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e082908\Desktop\Current Website Docs\Grantee Report Forms by SOW\FY 24\Adult SA\"/>
    </mc:Choice>
  </mc:AlternateContent>
  <xr:revisionPtr revIDLastSave="0" documentId="8_{78C1A253-07EC-4A3C-A72C-076BEE9C2FBE}" xr6:coauthVersionLast="47" xr6:coauthVersionMax="47" xr10:uidLastSave="{00000000-0000-0000-0000-000000000000}"/>
  <bookViews>
    <workbookView xWindow="3240" yWindow="3240" windowWidth="18000" windowHeight="9360" activeTab="1" xr2:uid="{00000000-000D-0000-FFFF-FFFF00000000}"/>
  </bookViews>
  <sheets>
    <sheet name="INSTRUCTIONS " sheetId="1" r:id="rId1"/>
    <sheet name="GRANTEE SET UP INFO &amp; DATE " sheetId="2" r:id="rId2"/>
    <sheet name="REFERRAL ONLY" sheetId="3" r:id="rId3"/>
    <sheet name="refer admin discharge" sheetId="4" r:id="rId4"/>
    <sheet name="NOMS PRE ADM POST DISC" sheetId="5" r:id="rId5"/>
    <sheet name="TRAINING" sheetId="6" r:id="rId6"/>
    <sheet name="Naloxone Training Distribution" sheetId="7" r:id="rId7"/>
    <sheet name="ACTIVITIES MEETINGS EVENTS " sheetId="8" r:id="rId8"/>
    <sheet name="CONSUMER FEEDBACK" sheetId="9" r:id="rId9"/>
    <sheet name="SUMMARY" sheetId="10" r:id="rId10"/>
    <sheet name="Sheet1" sheetId="11" r:id="rId11"/>
    <sheet name="Sheet2" sheetId="14" r:id="rId12"/>
    <sheet name="Drop-Down Boxes " sheetId="12" r:id="rId13"/>
    <sheet name=" Scratch" sheetId="13"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7" roundtripDataSignature="AMtx7mhBYdlPdDvIYQPJyuS+HNRJrHiTEg=="/>
    </ext>
  </extLst>
</workbook>
</file>

<file path=xl/calcChain.xml><?xml version="1.0" encoding="utf-8"?>
<calcChain xmlns="http://schemas.openxmlformats.org/spreadsheetml/2006/main">
  <c r="AV176" i="13" l="1"/>
  <c r="AT176" i="13"/>
  <c r="AR176" i="13"/>
  <c r="AP176" i="13"/>
  <c r="AN176" i="13"/>
  <c r="AL176" i="13"/>
  <c r="AJ176" i="13"/>
  <c r="AH176" i="13"/>
  <c r="AF176" i="13"/>
  <c r="V176" i="13"/>
  <c r="T176" i="13"/>
  <c r="R176" i="13"/>
  <c r="P176" i="13"/>
  <c r="N176" i="13"/>
  <c r="L176" i="13"/>
  <c r="J176" i="13"/>
  <c r="H176" i="13"/>
  <c r="F176" i="13"/>
  <c r="AV175" i="13"/>
  <c r="AT175" i="13"/>
  <c r="AR175" i="13"/>
  <c r="AP175" i="13"/>
  <c r="AN175" i="13"/>
  <c r="AL175" i="13"/>
  <c r="AJ175" i="13"/>
  <c r="AH175" i="13"/>
  <c r="AF175" i="13"/>
  <c r="V175" i="13"/>
  <c r="T175" i="13"/>
  <c r="R175" i="13"/>
  <c r="P175" i="13"/>
  <c r="N175" i="13"/>
  <c r="L175" i="13"/>
  <c r="J175" i="13"/>
  <c r="H175" i="13"/>
  <c r="F175" i="13"/>
  <c r="AV174" i="13"/>
  <c r="AT174" i="13"/>
  <c r="AR174" i="13"/>
  <c r="AP174" i="13"/>
  <c r="AN174" i="13"/>
  <c r="AL174" i="13"/>
  <c r="AJ174" i="13"/>
  <c r="AH174" i="13"/>
  <c r="AF174" i="13"/>
  <c r="V174" i="13"/>
  <c r="T174" i="13"/>
  <c r="R174" i="13"/>
  <c r="P174" i="13"/>
  <c r="N174" i="13"/>
  <c r="L174" i="13"/>
  <c r="J174" i="13"/>
  <c r="H174" i="13"/>
  <c r="F174" i="13"/>
  <c r="AV173" i="13"/>
  <c r="AT173" i="13"/>
  <c r="AR173" i="13"/>
  <c r="AP173" i="13"/>
  <c r="AN173" i="13"/>
  <c r="AL173" i="13"/>
  <c r="AJ173" i="13"/>
  <c r="AH173" i="13"/>
  <c r="AF173" i="13"/>
  <c r="V173" i="13"/>
  <c r="T173" i="13"/>
  <c r="R173" i="13"/>
  <c r="P173" i="13"/>
  <c r="N173" i="13"/>
  <c r="L173" i="13"/>
  <c r="J173" i="13"/>
  <c r="H173" i="13"/>
  <c r="F173" i="13"/>
  <c r="AV172" i="13"/>
  <c r="AT172" i="13"/>
  <c r="AR172" i="13"/>
  <c r="AP172" i="13"/>
  <c r="AN172" i="13"/>
  <c r="AL172" i="13"/>
  <c r="AJ172" i="13"/>
  <c r="AH172" i="13"/>
  <c r="AF172" i="13"/>
  <c r="V172" i="13"/>
  <c r="T172" i="13"/>
  <c r="R172" i="13"/>
  <c r="P172" i="13"/>
  <c r="N172" i="13"/>
  <c r="L172" i="13"/>
  <c r="J172" i="13"/>
  <c r="H172" i="13"/>
  <c r="F172" i="13"/>
  <c r="Z160" i="13"/>
  <c r="Y160" i="13"/>
  <c r="X160" i="13"/>
  <c r="W160" i="13"/>
  <c r="V160" i="13"/>
  <c r="U160" i="13"/>
  <c r="AF160" i="13" s="1"/>
  <c r="S160" i="13"/>
  <c r="R160" i="13"/>
  <c r="Q160" i="13"/>
  <c r="P160" i="13"/>
  <c r="O160" i="13"/>
  <c r="N160" i="13"/>
  <c r="M160" i="13"/>
  <c r="L160" i="13"/>
  <c r="K160" i="13"/>
  <c r="J160" i="13"/>
  <c r="I160" i="13"/>
  <c r="H160" i="13"/>
  <c r="G160" i="13"/>
  <c r="F160" i="13"/>
  <c r="AD160" i="13" s="1"/>
  <c r="AD159" i="13"/>
  <c r="Z159" i="13"/>
  <c r="Y159" i="13"/>
  <c r="X159" i="13"/>
  <c r="W159" i="13"/>
  <c r="V159" i="13"/>
  <c r="U159" i="13"/>
  <c r="AF159" i="13" s="1"/>
  <c r="S159" i="13"/>
  <c r="R159" i="13"/>
  <c r="Q159" i="13"/>
  <c r="P159" i="13"/>
  <c r="O159" i="13"/>
  <c r="N159" i="13"/>
  <c r="M159" i="13"/>
  <c r="L159" i="13"/>
  <c r="K159" i="13"/>
  <c r="J159" i="13"/>
  <c r="I159" i="13"/>
  <c r="H159" i="13"/>
  <c r="G159" i="13"/>
  <c r="F159" i="13"/>
  <c r="AD158" i="13"/>
  <c r="Z158" i="13"/>
  <c r="Z161" i="13" s="1"/>
  <c r="Y158" i="13"/>
  <c r="Y161" i="13" s="1"/>
  <c r="X158" i="13"/>
  <c r="X161" i="13" s="1"/>
  <c r="W158" i="13"/>
  <c r="W161" i="13" s="1"/>
  <c r="V158" i="13"/>
  <c r="V161" i="13" s="1"/>
  <c r="U158" i="13"/>
  <c r="U161" i="13" s="1"/>
  <c r="AF161" i="13" s="1"/>
  <c r="S158" i="13"/>
  <c r="S161" i="13" s="1"/>
  <c r="R158" i="13"/>
  <c r="R161" i="13" s="1"/>
  <c r="Q158" i="13"/>
  <c r="Q161" i="13" s="1"/>
  <c r="P158" i="13"/>
  <c r="P161" i="13" s="1"/>
  <c r="O158" i="13"/>
  <c r="O161" i="13" s="1"/>
  <c r="N158" i="13"/>
  <c r="N161" i="13" s="1"/>
  <c r="M158" i="13"/>
  <c r="M161" i="13" s="1"/>
  <c r="L158" i="13"/>
  <c r="L161" i="13" s="1"/>
  <c r="K158" i="13"/>
  <c r="K161" i="13" s="1"/>
  <c r="J158" i="13"/>
  <c r="J161" i="13" s="1"/>
  <c r="I158" i="13"/>
  <c r="I161" i="13" s="1"/>
  <c r="H158" i="13"/>
  <c r="H161" i="13" s="1"/>
  <c r="G158" i="13"/>
  <c r="G161" i="13" s="1"/>
  <c r="F158" i="13"/>
  <c r="F161" i="13" s="1"/>
  <c r="AD161" i="13" s="1"/>
  <c r="AF156" i="13"/>
  <c r="Z156" i="13"/>
  <c r="Y156" i="13"/>
  <c r="X156" i="13"/>
  <c r="W156" i="13"/>
  <c r="V156" i="13"/>
  <c r="U156" i="13"/>
  <c r="S156" i="13"/>
  <c r="R156" i="13"/>
  <c r="Q156" i="13"/>
  <c r="P156" i="13"/>
  <c r="O156" i="13"/>
  <c r="N156" i="13"/>
  <c r="M156" i="13"/>
  <c r="L156" i="13"/>
  <c r="K156" i="13"/>
  <c r="J156" i="13"/>
  <c r="I156" i="13"/>
  <c r="H156" i="13"/>
  <c r="G156" i="13"/>
  <c r="F156" i="13"/>
  <c r="AD156" i="13" s="1"/>
  <c r="Z155" i="13"/>
  <c r="X155" i="13"/>
  <c r="V155" i="13"/>
  <c r="AF155" i="13" s="1"/>
  <c r="S155" i="13"/>
  <c r="Q155" i="13"/>
  <c r="O155" i="13"/>
  <c r="M155" i="13"/>
  <c r="K155" i="13"/>
  <c r="I155" i="13"/>
  <c r="G155" i="13"/>
  <c r="AD155" i="13" s="1"/>
  <c r="Z154" i="13"/>
  <c r="X154" i="13"/>
  <c r="V154" i="13"/>
  <c r="AF154" i="13" s="1"/>
  <c r="S154" i="13"/>
  <c r="Q154" i="13"/>
  <c r="O154" i="13"/>
  <c r="M154" i="13"/>
  <c r="K154" i="13"/>
  <c r="I154" i="13"/>
  <c r="G154" i="13"/>
  <c r="AD154" i="13" s="1"/>
  <c r="AM150" i="13"/>
  <c r="Z149" i="13"/>
  <c r="Y149" i="13"/>
  <c r="X149" i="13"/>
  <c r="W149" i="13"/>
  <c r="V149" i="13"/>
  <c r="U149" i="13"/>
  <c r="AF149" i="13" s="1"/>
  <c r="S149" i="13"/>
  <c r="R149" i="13"/>
  <c r="Q149" i="13"/>
  <c r="P149" i="13"/>
  <c r="O149" i="13"/>
  <c r="N149" i="13"/>
  <c r="M149" i="13"/>
  <c r="L149" i="13"/>
  <c r="K149" i="13"/>
  <c r="J149" i="13"/>
  <c r="I149" i="13"/>
  <c r="H149" i="13"/>
  <c r="G149" i="13"/>
  <c r="F149" i="13"/>
  <c r="AD149" i="13" s="1"/>
  <c r="D149" i="13"/>
  <c r="AF148" i="13"/>
  <c r="Z148" i="13"/>
  <c r="Y148" i="13"/>
  <c r="X148" i="13"/>
  <c r="W148" i="13"/>
  <c r="V148" i="13"/>
  <c r="U148" i="13"/>
  <c r="S148" i="13"/>
  <c r="R148" i="13"/>
  <c r="Q148" i="13"/>
  <c r="P148" i="13"/>
  <c r="O148" i="13"/>
  <c r="N148" i="13"/>
  <c r="M148" i="13"/>
  <c r="L148" i="13"/>
  <c r="K148" i="13"/>
  <c r="J148" i="13"/>
  <c r="I148" i="13"/>
  <c r="H148" i="13"/>
  <c r="G148" i="13"/>
  <c r="F148" i="13"/>
  <c r="AD148" i="13" s="1"/>
  <c r="D148" i="13"/>
  <c r="AD147" i="13"/>
  <c r="Z147" i="13"/>
  <c r="Y147" i="13"/>
  <c r="X147" i="13"/>
  <c r="W147" i="13"/>
  <c r="V147" i="13"/>
  <c r="U147" i="13"/>
  <c r="AF147" i="13" s="1"/>
  <c r="S147" i="13"/>
  <c r="R147" i="13"/>
  <c r="Q147" i="13"/>
  <c r="P147" i="13"/>
  <c r="O147" i="13"/>
  <c r="N147" i="13"/>
  <c r="M147" i="13"/>
  <c r="L147" i="13"/>
  <c r="K147" i="13"/>
  <c r="J147" i="13"/>
  <c r="I147" i="13"/>
  <c r="H147" i="13"/>
  <c r="G147" i="13"/>
  <c r="F147" i="13"/>
  <c r="D147" i="13"/>
  <c r="AF146" i="13"/>
  <c r="Z146" i="13"/>
  <c r="Y146" i="13"/>
  <c r="X146" i="13"/>
  <c r="W146" i="13"/>
  <c r="V146" i="13"/>
  <c r="U146" i="13"/>
  <c r="S146" i="13"/>
  <c r="R146" i="13"/>
  <c r="Q146" i="13"/>
  <c r="P146" i="13"/>
  <c r="O146" i="13"/>
  <c r="N146" i="13"/>
  <c r="M146" i="13"/>
  <c r="L146" i="13"/>
  <c r="K146" i="13"/>
  <c r="J146" i="13"/>
  <c r="I146" i="13"/>
  <c r="H146" i="13"/>
  <c r="G146" i="13"/>
  <c r="F146" i="13"/>
  <c r="AD146" i="13" s="1"/>
  <c r="D146" i="13"/>
  <c r="AD145" i="13"/>
  <c r="Z145" i="13"/>
  <c r="Y145" i="13"/>
  <c r="X145" i="13"/>
  <c r="W145" i="13"/>
  <c r="V145" i="13"/>
  <c r="U145" i="13"/>
  <c r="AF145" i="13" s="1"/>
  <c r="S145" i="13"/>
  <c r="R145" i="13"/>
  <c r="Q145" i="13"/>
  <c r="P145" i="13"/>
  <c r="O145" i="13"/>
  <c r="N145" i="13"/>
  <c r="M145" i="13"/>
  <c r="L145" i="13"/>
  <c r="K145" i="13"/>
  <c r="J145" i="13"/>
  <c r="I145" i="13"/>
  <c r="H145" i="13"/>
  <c r="G145" i="13"/>
  <c r="F145" i="13"/>
  <c r="D145" i="13"/>
  <c r="Z144" i="13"/>
  <c r="Y144" i="13"/>
  <c r="X144" i="13"/>
  <c r="W144" i="13"/>
  <c r="V144" i="13"/>
  <c r="U144" i="13"/>
  <c r="AF144" i="13" s="1"/>
  <c r="S144" i="13"/>
  <c r="R144" i="13"/>
  <c r="Q144" i="13"/>
  <c r="P144" i="13"/>
  <c r="O144" i="13"/>
  <c r="N144" i="13"/>
  <c r="M144" i="13"/>
  <c r="L144" i="13"/>
  <c r="K144" i="13"/>
  <c r="J144" i="13"/>
  <c r="I144" i="13"/>
  <c r="H144" i="13"/>
  <c r="G144" i="13"/>
  <c r="F144" i="13"/>
  <c r="AD144" i="13" s="1"/>
  <c r="D144" i="13"/>
  <c r="AF143" i="13"/>
  <c r="Z143" i="13"/>
  <c r="Y143" i="13"/>
  <c r="X143" i="13"/>
  <c r="W143" i="13"/>
  <c r="V143" i="13"/>
  <c r="U143" i="13"/>
  <c r="S143" i="13"/>
  <c r="R143" i="13"/>
  <c r="Q143" i="13"/>
  <c r="P143" i="13"/>
  <c r="O143" i="13"/>
  <c r="N143" i="13"/>
  <c r="M143" i="13"/>
  <c r="L143" i="13"/>
  <c r="K143" i="13"/>
  <c r="J143" i="13"/>
  <c r="I143" i="13"/>
  <c r="H143" i="13"/>
  <c r="G143" i="13"/>
  <c r="F143" i="13"/>
  <c r="AD143" i="13" s="1"/>
  <c r="D143" i="13"/>
  <c r="AF142" i="13"/>
  <c r="AD142" i="13"/>
  <c r="Z142" i="13"/>
  <c r="Z150" i="13" s="1"/>
  <c r="Y142" i="13"/>
  <c r="Y150" i="13" s="1"/>
  <c r="X142" i="13"/>
  <c r="X150" i="13" s="1"/>
  <c r="W142" i="13"/>
  <c r="W150" i="13" s="1"/>
  <c r="V142" i="13"/>
  <c r="V150" i="13" s="1"/>
  <c r="U142" i="13"/>
  <c r="U150" i="13" s="1"/>
  <c r="AF150" i="13" s="1"/>
  <c r="S142" i="13"/>
  <c r="S150" i="13" s="1"/>
  <c r="R142" i="13"/>
  <c r="R150" i="13" s="1"/>
  <c r="Q142" i="13"/>
  <c r="Q150" i="13" s="1"/>
  <c r="P142" i="13"/>
  <c r="P150" i="13" s="1"/>
  <c r="O142" i="13"/>
  <c r="O150" i="13" s="1"/>
  <c r="N142" i="13"/>
  <c r="N150" i="13" s="1"/>
  <c r="M142" i="13"/>
  <c r="M150" i="13" s="1"/>
  <c r="L142" i="13"/>
  <c r="L150" i="13" s="1"/>
  <c r="K142" i="13"/>
  <c r="K150" i="13" s="1"/>
  <c r="J142" i="13"/>
  <c r="J150" i="13" s="1"/>
  <c r="I142" i="13"/>
  <c r="I150" i="13" s="1"/>
  <c r="H142" i="13"/>
  <c r="H150" i="13" s="1"/>
  <c r="G142" i="13"/>
  <c r="G150" i="13" s="1"/>
  <c r="F142" i="13"/>
  <c r="F150" i="13" s="1"/>
  <c r="AD150" i="13" s="1"/>
  <c r="D142" i="13"/>
  <c r="D150" i="13" s="1"/>
  <c r="AD135" i="13"/>
  <c r="Z135" i="13"/>
  <c r="X135" i="13"/>
  <c r="V135" i="13"/>
  <c r="AF135" i="13" s="1"/>
  <c r="S135" i="13"/>
  <c r="Q135" i="13"/>
  <c r="O135" i="13"/>
  <c r="M135" i="13"/>
  <c r="K135" i="13"/>
  <c r="I135" i="13"/>
  <c r="G135" i="13"/>
  <c r="Z134" i="13"/>
  <c r="X134" i="13"/>
  <c r="V134" i="13"/>
  <c r="AF134" i="13" s="1"/>
  <c r="S134" i="13"/>
  <c r="Q134" i="13"/>
  <c r="O134" i="13"/>
  <c r="M134" i="13"/>
  <c r="K134" i="13"/>
  <c r="I134" i="13"/>
  <c r="G134" i="13"/>
  <c r="AD134" i="13" s="1"/>
  <c r="AD133" i="13"/>
  <c r="Z133" i="13"/>
  <c r="X133" i="13"/>
  <c r="V133" i="13"/>
  <c r="AF133" i="13" s="1"/>
  <c r="S133" i="13"/>
  <c r="Q133" i="13"/>
  <c r="O133" i="13"/>
  <c r="M133" i="13"/>
  <c r="K133" i="13"/>
  <c r="I133" i="13"/>
  <c r="G133" i="13"/>
  <c r="AD131" i="13"/>
  <c r="Z131" i="13"/>
  <c r="Y131" i="13"/>
  <c r="X131" i="13"/>
  <c r="W131" i="13"/>
  <c r="V131" i="13"/>
  <c r="U131" i="13"/>
  <c r="AF131" i="13" s="1"/>
  <c r="S131" i="13"/>
  <c r="R131" i="13"/>
  <c r="Q131" i="13"/>
  <c r="P131" i="13"/>
  <c r="O131" i="13"/>
  <c r="N131" i="13"/>
  <c r="M131" i="13"/>
  <c r="L131" i="13"/>
  <c r="K131" i="13"/>
  <c r="J131" i="13"/>
  <c r="I131" i="13"/>
  <c r="H131" i="13"/>
  <c r="G131" i="13"/>
  <c r="F131" i="13"/>
  <c r="AF130" i="13"/>
  <c r="Z130" i="13"/>
  <c r="Y130" i="13"/>
  <c r="X130" i="13"/>
  <c r="W130" i="13"/>
  <c r="V130" i="13"/>
  <c r="U130" i="13"/>
  <c r="S130" i="13"/>
  <c r="R130" i="13"/>
  <c r="Q130" i="13"/>
  <c r="P130" i="13"/>
  <c r="O130" i="13"/>
  <c r="N130" i="13"/>
  <c r="M130" i="13"/>
  <c r="L130" i="13"/>
  <c r="K130" i="13"/>
  <c r="J130" i="13"/>
  <c r="I130" i="13"/>
  <c r="H130" i="13"/>
  <c r="G130" i="13"/>
  <c r="F130" i="13"/>
  <c r="AD130" i="13" s="1"/>
  <c r="Z129" i="13"/>
  <c r="Y129" i="13"/>
  <c r="X129" i="13"/>
  <c r="W129" i="13"/>
  <c r="V129" i="13"/>
  <c r="U129" i="13"/>
  <c r="AF129" i="13" s="1"/>
  <c r="S129" i="13"/>
  <c r="R129" i="13"/>
  <c r="Q129" i="13"/>
  <c r="P129" i="13"/>
  <c r="O129" i="13"/>
  <c r="N129" i="13"/>
  <c r="M129" i="13"/>
  <c r="L129" i="13"/>
  <c r="K129" i="13"/>
  <c r="J129" i="13"/>
  <c r="I129" i="13"/>
  <c r="H129" i="13"/>
  <c r="G129" i="13"/>
  <c r="F129" i="13"/>
  <c r="AD129" i="13" s="1"/>
  <c r="N121" i="13"/>
  <c r="N120" i="13"/>
  <c r="N119" i="13"/>
  <c r="N122" i="13" s="1"/>
  <c r="N116" i="13"/>
  <c r="N115" i="13"/>
  <c r="N114" i="13"/>
  <c r="N113" i="13"/>
  <c r="N112" i="13"/>
  <c r="N111" i="13"/>
  <c r="N110" i="13"/>
  <c r="D110" i="13"/>
  <c r="N109" i="13"/>
  <c r="D109" i="13"/>
  <c r="D111" i="13" s="1"/>
  <c r="AI107" i="13"/>
  <c r="AF104" i="13"/>
  <c r="Z104" i="13"/>
  <c r="Y104" i="13"/>
  <c r="X104" i="13"/>
  <c r="W104" i="13"/>
  <c r="V104" i="13"/>
  <c r="U104" i="13"/>
  <c r="S104" i="13"/>
  <c r="R104" i="13"/>
  <c r="Q104" i="13"/>
  <c r="P104" i="13"/>
  <c r="O104" i="13"/>
  <c r="N104" i="13"/>
  <c r="M104" i="13"/>
  <c r="L104" i="13"/>
  <c r="K104" i="13"/>
  <c r="J104" i="13"/>
  <c r="I104" i="13"/>
  <c r="H104" i="13"/>
  <c r="G104" i="13"/>
  <c r="F104" i="13"/>
  <c r="AD104" i="13" s="1"/>
  <c r="Z103" i="13"/>
  <c r="Y103" i="13"/>
  <c r="X103" i="13"/>
  <c r="W103" i="13"/>
  <c r="V103" i="13"/>
  <c r="U103" i="13"/>
  <c r="AF103" i="13" s="1"/>
  <c r="S103" i="13"/>
  <c r="R103" i="13"/>
  <c r="Q103" i="13"/>
  <c r="P103" i="13"/>
  <c r="O103" i="13"/>
  <c r="N103" i="13"/>
  <c r="M103" i="13"/>
  <c r="L103" i="13"/>
  <c r="K103" i="13"/>
  <c r="J103" i="13"/>
  <c r="I103" i="13"/>
  <c r="H103" i="13"/>
  <c r="G103" i="13"/>
  <c r="F103" i="13"/>
  <c r="AD103" i="13" s="1"/>
  <c r="AF102" i="13"/>
  <c r="AD102" i="13"/>
  <c r="Z102" i="13"/>
  <c r="Y102" i="13"/>
  <c r="X102" i="13"/>
  <c r="W102" i="13"/>
  <c r="V102" i="13"/>
  <c r="U102" i="13"/>
  <c r="S102" i="13"/>
  <c r="R102" i="13"/>
  <c r="Q102" i="13"/>
  <c r="P102" i="13"/>
  <c r="O102" i="13"/>
  <c r="N102" i="13"/>
  <c r="M102" i="13"/>
  <c r="L102" i="13"/>
  <c r="K102" i="13"/>
  <c r="J102" i="13"/>
  <c r="I102" i="13"/>
  <c r="H102" i="13"/>
  <c r="G102" i="13"/>
  <c r="F102" i="13"/>
  <c r="AF101" i="13"/>
  <c r="Z101" i="13"/>
  <c r="Y101" i="13"/>
  <c r="X101" i="13"/>
  <c r="W101" i="13"/>
  <c r="V101" i="13"/>
  <c r="U101" i="13"/>
  <c r="S101" i="13"/>
  <c r="R101" i="13"/>
  <c r="Q101" i="13"/>
  <c r="P101" i="13"/>
  <c r="O101" i="13"/>
  <c r="N101" i="13"/>
  <c r="M101" i="13"/>
  <c r="L101" i="13"/>
  <c r="K101" i="13"/>
  <c r="J101" i="13"/>
  <c r="I101" i="13"/>
  <c r="H101" i="13"/>
  <c r="G101" i="13"/>
  <c r="F101" i="13"/>
  <c r="AD101" i="13" s="1"/>
  <c r="AF100" i="13"/>
  <c r="Z100" i="13"/>
  <c r="Y100" i="13"/>
  <c r="X100" i="13"/>
  <c r="W100" i="13"/>
  <c r="V100" i="13"/>
  <c r="U100" i="13"/>
  <c r="S100" i="13"/>
  <c r="R100" i="13"/>
  <c r="Q100" i="13"/>
  <c r="P100" i="13"/>
  <c r="O100" i="13"/>
  <c r="N100" i="13"/>
  <c r="M100" i="13"/>
  <c r="L100" i="13"/>
  <c r="K100" i="13"/>
  <c r="J100" i="13"/>
  <c r="I100" i="13"/>
  <c r="H100" i="13"/>
  <c r="G100" i="13"/>
  <c r="F100" i="13"/>
  <c r="AD100" i="13" s="1"/>
  <c r="Z99" i="13"/>
  <c r="Y99" i="13"/>
  <c r="X99" i="13"/>
  <c r="W99" i="13"/>
  <c r="V99" i="13"/>
  <c r="U99" i="13"/>
  <c r="AF99" i="13" s="1"/>
  <c r="S99" i="13"/>
  <c r="R99" i="13"/>
  <c r="Q99" i="13"/>
  <c r="P99" i="13"/>
  <c r="O99" i="13"/>
  <c r="N99" i="13"/>
  <c r="M99" i="13"/>
  <c r="L99" i="13"/>
  <c r="K99" i="13"/>
  <c r="J99" i="13"/>
  <c r="I99" i="13"/>
  <c r="H99" i="13"/>
  <c r="G99" i="13"/>
  <c r="F99" i="13"/>
  <c r="AD99" i="13" s="1"/>
  <c r="AF98" i="13"/>
  <c r="AD98" i="13"/>
  <c r="Z98" i="13"/>
  <c r="Y98" i="13"/>
  <c r="X98" i="13"/>
  <c r="W98" i="13"/>
  <c r="V98" i="13"/>
  <c r="U98" i="13"/>
  <c r="S98" i="13"/>
  <c r="R98" i="13"/>
  <c r="Q98" i="13"/>
  <c r="P98" i="13"/>
  <c r="O98" i="13"/>
  <c r="N98" i="13"/>
  <c r="M98" i="13"/>
  <c r="L98" i="13"/>
  <c r="K98" i="13"/>
  <c r="J98" i="13"/>
  <c r="I98" i="13"/>
  <c r="H98" i="13"/>
  <c r="G98" i="13"/>
  <c r="F98" i="13"/>
  <c r="AF97" i="13"/>
  <c r="Z97" i="13"/>
  <c r="Z105" i="13" s="1"/>
  <c r="Y97" i="13"/>
  <c r="Y105" i="13" s="1"/>
  <c r="X97" i="13"/>
  <c r="X105" i="13" s="1"/>
  <c r="W97" i="13"/>
  <c r="W105" i="13" s="1"/>
  <c r="V97" i="13"/>
  <c r="V105" i="13" s="1"/>
  <c r="U97" i="13"/>
  <c r="U105" i="13" s="1"/>
  <c r="AF105" i="13" s="1"/>
  <c r="S97" i="13"/>
  <c r="S105" i="13" s="1"/>
  <c r="R97" i="13"/>
  <c r="R105" i="13" s="1"/>
  <c r="Q97" i="13"/>
  <c r="Q105" i="13" s="1"/>
  <c r="P97" i="13"/>
  <c r="P105" i="13" s="1"/>
  <c r="O97" i="13"/>
  <c r="O105" i="13" s="1"/>
  <c r="N97" i="13"/>
  <c r="N105" i="13" s="1"/>
  <c r="M97" i="13"/>
  <c r="M105" i="13" s="1"/>
  <c r="L97" i="13"/>
  <c r="L105" i="13" s="1"/>
  <c r="K97" i="13"/>
  <c r="K105" i="13" s="1"/>
  <c r="J97" i="13"/>
  <c r="J105" i="13" s="1"/>
  <c r="I97" i="13"/>
  <c r="I105" i="13" s="1"/>
  <c r="H97" i="13"/>
  <c r="H105" i="13" s="1"/>
  <c r="G97" i="13"/>
  <c r="G105" i="13" s="1"/>
  <c r="F97" i="13"/>
  <c r="AD97" i="13" s="1"/>
  <c r="Z95" i="13"/>
  <c r="W95" i="13"/>
  <c r="S95" i="13"/>
  <c r="Q95" i="13"/>
  <c r="N95" i="13"/>
  <c r="K95" i="13"/>
  <c r="I95" i="13"/>
  <c r="F95" i="13"/>
  <c r="AD95" i="13" s="1"/>
  <c r="AD94" i="13"/>
  <c r="Z94" i="13"/>
  <c r="Y94" i="13"/>
  <c r="X94" i="13"/>
  <c r="W94" i="13"/>
  <c r="V94" i="13"/>
  <c r="U94" i="13"/>
  <c r="AF94" i="13" s="1"/>
  <c r="AK94" i="13" s="1"/>
  <c r="S94" i="13"/>
  <c r="R94" i="13"/>
  <c r="Q94" i="13"/>
  <c r="P94" i="13"/>
  <c r="O94" i="13"/>
  <c r="N94" i="13"/>
  <c r="M94" i="13"/>
  <c r="L94" i="13"/>
  <c r="K94" i="13"/>
  <c r="J94" i="13"/>
  <c r="I94" i="13"/>
  <c r="H94" i="13"/>
  <c r="G94" i="13"/>
  <c r="F94" i="13"/>
  <c r="Z93" i="13"/>
  <c r="Y93" i="13"/>
  <c r="X93" i="13"/>
  <c r="W93" i="13"/>
  <c r="V93" i="13"/>
  <c r="U93" i="13"/>
  <c r="AF93" i="13" s="1"/>
  <c r="AK93" i="13" s="1"/>
  <c r="S93" i="13"/>
  <c r="R93" i="13"/>
  <c r="Q93" i="13"/>
  <c r="P93" i="13"/>
  <c r="O93" i="13"/>
  <c r="N93" i="13"/>
  <c r="M93" i="13"/>
  <c r="L93" i="13"/>
  <c r="K93" i="13"/>
  <c r="J93" i="13"/>
  <c r="I93" i="13"/>
  <c r="H93" i="13"/>
  <c r="G93" i="13"/>
  <c r="F93" i="13"/>
  <c r="AD93" i="13" s="1"/>
  <c r="AF92" i="13"/>
  <c r="AK92" i="13" s="1"/>
  <c r="Z92" i="13"/>
  <c r="Y92" i="13"/>
  <c r="X92" i="13"/>
  <c r="W92" i="13"/>
  <c r="V92" i="13"/>
  <c r="U92" i="13"/>
  <c r="S92" i="13"/>
  <c r="R92" i="13"/>
  <c r="Q92" i="13"/>
  <c r="P92" i="13"/>
  <c r="O92" i="13"/>
  <c r="N92" i="13"/>
  <c r="M92" i="13"/>
  <c r="L92" i="13"/>
  <c r="K92" i="13"/>
  <c r="J92" i="13"/>
  <c r="I92" i="13"/>
  <c r="H92" i="13"/>
  <c r="G92" i="13"/>
  <c r="F92" i="13"/>
  <c r="AD92" i="13" s="1"/>
  <c r="AF91" i="13"/>
  <c r="AK91" i="13" s="1"/>
  <c r="AK107" i="13" s="1"/>
  <c r="AD91" i="13"/>
  <c r="Z91" i="13"/>
  <c r="Y91" i="13"/>
  <c r="Y95" i="13" s="1"/>
  <c r="X91" i="13"/>
  <c r="X95" i="13" s="1"/>
  <c r="W91" i="13"/>
  <c r="V91" i="13"/>
  <c r="V95" i="13" s="1"/>
  <c r="U91" i="13"/>
  <c r="U95" i="13" s="1"/>
  <c r="AF95" i="13" s="1"/>
  <c r="S91" i="13"/>
  <c r="R91" i="13"/>
  <c r="R95" i="13" s="1"/>
  <c r="Q91" i="13"/>
  <c r="P91" i="13"/>
  <c r="P95" i="13" s="1"/>
  <c r="O91" i="13"/>
  <c r="O95" i="13" s="1"/>
  <c r="N91" i="13"/>
  <c r="M91" i="13"/>
  <c r="M95" i="13" s="1"/>
  <c r="L91" i="13"/>
  <c r="L95" i="13" s="1"/>
  <c r="K91" i="13"/>
  <c r="J91" i="13"/>
  <c r="J95" i="13" s="1"/>
  <c r="I91" i="13"/>
  <c r="H91" i="13"/>
  <c r="H95" i="13" s="1"/>
  <c r="G91" i="13"/>
  <c r="G95" i="13" s="1"/>
  <c r="F91" i="13"/>
  <c r="AF87" i="13"/>
  <c r="Z87" i="13"/>
  <c r="Y87" i="13"/>
  <c r="X87" i="13"/>
  <c r="W87" i="13"/>
  <c r="V87" i="13"/>
  <c r="U87" i="13"/>
  <c r="S87" i="13"/>
  <c r="R87" i="13"/>
  <c r="Q87" i="13"/>
  <c r="P87" i="13"/>
  <c r="O87" i="13"/>
  <c r="N87" i="13"/>
  <c r="M87" i="13"/>
  <c r="L87" i="13"/>
  <c r="K87" i="13"/>
  <c r="J87" i="13"/>
  <c r="I87" i="13"/>
  <c r="H87" i="13"/>
  <c r="G87" i="13"/>
  <c r="F87" i="13"/>
  <c r="AD87" i="13" s="1"/>
  <c r="AF86" i="13"/>
  <c r="Z86" i="13"/>
  <c r="Y86" i="13"/>
  <c r="X86" i="13"/>
  <c r="W86" i="13"/>
  <c r="V86" i="13"/>
  <c r="U86" i="13"/>
  <c r="S86" i="13"/>
  <c r="R86" i="13"/>
  <c r="Q86" i="13"/>
  <c r="P86" i="13"/>
  <c r="O86" i="13"/>
  <c r="N86" i="13"/>
  <c r="M86" i="13"/>
  <c r="L86" i="13"/>
  <c r="K86" i="13"/>
  <c r="J86" i="13"/>
  <c r="I86" i="13"/>
  <c r="H86" i="13"/>
  <c r="G86" i="13"/>
  <c r="F86" i="13"/>
  <c r="AD86" i="13" s="1"/>
  <c r="Z85" i="13"/>
  <c r="Y85" i="13"/>
  <c r="X85" i="13"/>
  <c r="W85" i="13"/>
  <c r="V85" i="13"/>
  <c r="U85" i="13"/>
  <c r="AF85" i="13" s="1"/>
  <c r="S85" i="13"/>
  <c r="R85" i="13"/>
  <c r="Q85" i="13"/>
  <c r="P85" i="13"/>
  <c r="O85" i="13"/>
  <c r="N85" i="13"/>
  <c r="M85" i="13"/>
  <c r="L85" i="13"/>
  <c r="K85" i="13"/>
  <c r="J85" i="13"/>
  <c r="I85" i="13"/>
  <c r="H85" i="13"/>
  <c r="G85" i="13"/>
  <c r="F85" i="13"/>
  <c r="AD85" i="13" s="1"/>
  <c r="AF84" i="13"/>
  <c r="AD84" i="13"/>
  <c r="Z84" i="13"/>
  <c r="Y84" i="13"/>
  <c r="X84" i="13"/>
  <c r="W84" i="13"/>
  <c r="V84" i="13"/>
  <c r="U84" i="13"/>
  <c r="S84" i="13"/>
  <c r="R84" i="13"/>
  <c r="Q84" i="13"/>
  <c r="P84" i="13"/>
  <c r="O84" i="13"/>
  <c r="N84" i="13"/>
  <c r="M84" i="13"/>
  <c r="L84" i="13"/>
  <c r="K84" i="13"/>
  <c r="J84" i="13"/>
  <c r="I84" i="13"/>
  <c r="H84" i="13"/>
  <c r="G84" i="13"/>
  <c r="F84" i="13"/>
  <c r="AF83" i="13"/>
  <c r="Z83" i="13"/>
  <c r="Y83" i="13"/>
  <c r="X83" i="13"/>
  <c r="W83" i="13"/>
  <c r="V83" i="13"/>
  <c r="U83" i="13"/>
  <c r="S83" i="13"/>
  <c r="R83" i="13"/>
  <c r="Q83" i="13"/>
  <c r="P83" i="13"/>
  <c r="O83" i="13"/>
  <c r="N83" i="13"/>
  <c r="M83" i="13"/>
  <c r="L83" i="13"/>
  <c r="K83" i="13"/>
  <c r="J83" i="13"/>
  <c r="I83" i="13"/>
  <c r="H83" i="13"/>
  <c r="G83" i="13"/>
  <c r="F83" i="13"/>
  <c r="AD83" i="13" s="1"/>
  <c r="AF82" i="13"/>
  <c r="Z82" i="13"/>
  <c r="Y82" i="13"/>
  <c r="X82" i="13"/>
  <c r="W82" i="13"/>
  <c r="V82" i="13"/>
  <c r="U82" i="13"/>
  <c r="S82" i="13"/>
  <c r="R82" i="13"/>
  <c r="Q82" i="13"/>
  <c r="P82" i="13"/>
  <c r="O82" i="13"/>
  <c r="N82" i="13"/>
  <c r="M82" i="13"/>
  <c r="L82" i="13"/>
  <c r="K82" i="13"/>
  <c r="J82" i="13"/>
  <c r="I82" i="13"/>
  <c r="H82" i="13"/>
  <c r="G82" i="13"/>
  <c r="F82" i="13"/>
  <c r="AD82" i="13" s="1"/>
  <c r="Z81" i="13"/>
  <c r="X81" i="13"/>
  <c r="V81" i="13"/>
  <c r="AF81" i="13" s="1"/>
  <c r="S81" i="13"/>
  <c r="Q81" i="13"/>
  <c r="O81" i="13"/>
  <c r="M81" i="13"/>
  <c r="K81" i="13"/>
  <c r="I81" i="13"/>
  <c r="G81" i="13"/>
  <c r="AD81" i="13" s="1"/>
  <c r="AF80" i="13"/>
  <c r="Z80" i="13"/>
  <c r="X80" i="13"/>
  <c r="V80" i="13"/>
  <c r="S80" i="13"/>
  <c r="Q80" i="13"/>
  <c r="O80" i="13"/>
  <c r="M80" i="13"/>
  <c r="K80" i="13"/>
  <c r="I80" i="13"/>
  <c r="G80" i="13"/>
  <c r="AD80" i="13" s="1"/>
  <c r="AH78" i="13"/>
  <c r="Z75" i="13"/>
  <c r="Y75" i="13"/>
  <c r="X75" i="13"/>
  <c r="W75" i="13"/>
  <c r="V75" i="13"/>
  <c r="U75" i="13"/>
  <c r="AF75" i="13" s="1"/>
  <c r="S75" i="13"/>
  <c r="R75" i="13"/>
  <c r="Q75" i="13"/>
  <c r="P75" i="13"/>
  <c r="O75" i="13"/>
  <c r="N75" i="13"/>
  <c r="M75" i="13"/>
  <c r="L75" i="13"/>
  <c r="K75" i="13"/>
  <c r="J75" i="13"/>
  <c r="I75" i="13"/>
  <c r="H75" i="13"/>
  <c r="G75" i="13"/>
  <c r="F75" i="13"/>
  <c r="AD75" i="13" s="1"/>
  <c r="D75" i="13"/>
  <c r="AF74" i="13"/>
  <c r="Z74" i="13"/>
  <c r="Y74" i="13"/>
  <c r="X74" i="13"/>
  <c r="W74" i="13"/>
  <c r="V74" i="13"/>
  <c r="U74" i="13"/>
  <c r="S74" i="13"/>
  <c r="R74" i="13"/>
  <c r="Q74" i="13"/>
  <c r="P74" i="13"/>
  <c r="O74" i="13"/>
  <c r="N74" i="13"/>
  <c r="M74" i="13"/>
  <c r="L74" i="13"/>
  <c r="K74" i="13"/>
  <c r="J74" i="13"/>
  <c r="I74" i="13"/>
  <c r="H74" i="13"/>
  <c r="G74" i="13"/>
  <c r="F74" i="13"/>
  <c r="AD74" i="13" s="1"/>
  <c r="D74" i="13"/>
  <c r="AF73" i="13"/>
  <c r="AD73" i="13"/>
  <c r="Z73" i="13"/>
  <c r="Y73" i="13"/>
  <c r="X73" i="13"/>
  <c r="W73" i="13"/>
  <c r="V73" i="13"/>
  <c r="U73" i="13"/>
  <c r="S73" i="13"/>
  <c r="R73" i="13"/>
  <c r="Q73" i="13"/>
  <c r="P73" i="13"/>
  <c r="O73" i="13"/>
  <c r="N73" i="13"/>
  <c r="M73" i="13"/>
  <c r="L73" i="13"/>
  <c r="K73" i="13"/>
  <c r="J73" i="13"/>
  <c r="I73" i="13"/>
  <c r="H73" i="13"/>
  <c r="G73" i="13"/>
  <c r="F73" i="13"/>
  <c r="D73" i="13"/>
  <c r="Z72" i="13"/>
  <c r="Y72" i="13"/>
  <c r="X72" i="13"/>
  <c r="W72" i="13"/>
  <c r="V72" i="13"/>
  <c r="U72" i="13"/>
  <c r="AF72" i="13" s="1"/>
  <c r="S72" i="13"/>
  <c r="R72" i="13"/>
  <c r="Q72" i="13"/>
  <c r="P72" i="13"/>
  <c r="O72" i="13"/>
  <c r="N72" i="13"/>
  <c r="M72" i="13"/>
  <c r="L72" i="13"/>
  <c r="K72" i="13"/>
  <c r="J72" i="13"/>
  <c r="I72" i="13"/>
  <c r="H72" i="13"/>
  <c r="G72" i="13"/>
  <c r="F72" i="13"/>
  <c r="AD72" i="13" s="1"/>
  <c r="D72" i="13"/>
  <c r="AF71" i="13"/>
  <c r="Z71" i="13"/>
  <c r="Y71" i="13"/>
  <c r="X71" i="13"/>
  <c r="W71" i="13"/>
  <c r="V71" i="13"/>
  <c r="U71" i="13"/>
  <c r="S71" i="13"/>
  <c r="R71" i="13"/>
  <c r="Q71" i="13"/>
  <c r="P71" i="13"/>
  <c r="O71" i="13"/>
  <c r="N71" i="13"/>
  <c r="M71" i="13"/>
  <c r="L71" i="13"/>
  <c r="K71" i="13"/>
  <c r="J71" i="13"/>
  <c r="I71" i="13"/>
  <c r="H71" i="13"/>
  <c r="G71" i="13"/>
  <c r="F71" i="13"/>
  <c r="AD71" i="13" s="1"/>
  <c r="D71" i="13"/>
  <c r="AD70" i="13"/>
  <c r="Z70" i="13"/>
  <c r="Y70" i="13"/>
  <c r="X70" i="13"/>
  <c r="W70" i="13"/>
  <c r="V70" i="13"/>
  <c r="U70" i="13"/>
  <c r="AF70" i="13" s="1"/>
  <c r="S70" i="13"/>
  <c r="R70" i="13"/>
  <c r="Q70" i="13"/>
  <c r="P70" i="13"/>
  <c r="O70" i="13"/>
  <c r="N70" i="13"/>
  <c r="M70" i="13"/>
  <c r="L70" i="13"/>
  <c r="K70" i="13"/>
  <c r="J70" i="13"/>
  <c r="I70" i="13"/>
  <c r="H70" i="13"/>
  <c r="G70" i="13"/>
  <c r="F70" i="13"/>
  <c r="D70" i="13"/>
  <c r="AF69" i="13"/>
  <c r="Z69" i="13"/>
  <c r="Y69" i="13"/>
  <c r="X69" i="13"/>
  <c r="W69" i="13"/>
  <c r="V69" i="13"/>
  <c r="U69" i="13"/>
  <c r="S69" i="13"/>
  <c r="R69" i="13"/>
  <c r="Q69" i="13"/>
  <c r="P69" i="13"/>
  <c r="O69" i="13"/>
  <c r="N69" i="13"/>
  <c r="M69" i="13"/>
  <c r="L69" i="13"/>
  <c r="K69" i="13"/>
  <c r="J69" i="13"/>
  <c r="I69" i="13"/>
  <c r="H69" i="13"/>
  <c r="G69" i="13"/>
  <c r="F69" i="13"/>
  <c r="AD69" i="13" s="1"/>
  <c r="D69" i="13"/>
  <c r="AD68" i="13"/>
  <c r="Z68" i="13"/>
  <c r="Z76" i="13" s="1"/>
  <c r="Y68" i="13"/>
  <c r="Y76" i="13" s="1"/>
  <c r="X68" i="13"/>
  <c r="X76" i="13" s="1"/>
  <c r="W68" i="13"/>
  <c r="W76" i="13" s="1"/>
  <c r="V68" i="13"/>
  <c r="V76" i="13" s="1"/>
  <c r="U68" i="13"/>
  <c r="U76" i="13" s="1"/>
  <c r="AF76" i="13" s="1"/>
  <c r="S68" i="13"/>
  <c r="S76" i="13" s="1"/>
  <c r="R68" i="13"/>
  <c r="R76" i="13" s="1"/>
  <c r="Q68" i="13"/>
  <c r="Q76" i="13" s="1"/>
  <c r="P68" i="13"/>
  <c r="P76" i="13" s="1"/>
  <c r="O68" i="13"/>
  <c r="O76" i="13" s="1"/>
  <c r="N68" i="13"/>
  <c r="N76" i="13" s="1"/>
  <c r="M68" i="13"/>
  <c r="M76" i="13" s="1"/>
  <c r="L68" i="13"/>
  <c r="L76" i="13" s="1"/>
  <c r="K68" i="13"/>
  <c r="K76" i="13" s="1"/>
  <c r="J68" i="13"/>
  <c r="J76" i="13" s="1"/>
  <c r="I68" i="13"/>
  <c r="I76" i="13" s="1"/>
  <c r="H68" i="13"/>
  <c r="H76" i="13" s="1"/>
  <c r="G68" i="13"/>
  <c r="G76" i="13" s="1"/>
  <c r="F68" i="13"/>
  <c r="F76" i="13" s="1"/>
  <c r="AD76" i="13" s="1"/>
  <c r="D68" i="13"/>
  <c r="D76" i="13" s="1"/>
  <c r="P62" i="13"/>
  <c r="P61" i="13"/>
  <c r="P60" i="13"/>
  <c r="P59" i="13"/>
  <c r="P56" i="13"/>
  <c r="P55" i="13"/>
  <c r="P54" i="13"/>
  <c r="P53" i="13"/>
  <c r="P50" i="13"/>
  <c r="P49" i="13"/>
  <c r="P48" i="13"/>
  <c r="P47" i="13"/>
  <c r="P44" i="13"/>
  <c r="P43" i="13"/>
  <c r="P42" i="13"/>
  <c r="P41" i="13"/>
  <c r="P38" i="13"/>
  <c r="P37" i="13"/>
  <c r="P36" i="13"/>
  <c r="P35" i="13"/>
  <c r="P32" i="13"/>
  <c r="P31" i="13"/>
  <c r="P30" i="13"/>
  <c r="P29" i="13"/>
  <c r="P27" i="13"/>
  <c r="P26" i="13"/>
  <c r="P25" i="13"/>
  <c r="P24" i="13"/>
  <c r="P20" i="13"/>
  <c r="P17" i="13"/>
  <c r="P16" i="13"/>
  <c r="P15" i="13"/>
  <c r="P18" i="13" s="1"/>
  <c r="P14" i="13"/>
  <c r="P19" i="13" s="1"/>
  <c r="P21" i="13" s="1"/>
  <c r="U8" i="13"/>
  <c r="N8" i="13"/>
  <c r="F8" i="13"/>
  <c r="U7" i="13"/>
  <c r="U6" i="13"/>
  <c r="F6" i="13"/>
  <c r="U5" i="13"/>
  <c r="F5" i="13"/>
  <c r="U4" i="13"/>
  <c r="R85" i="11"/>
  <c r="M85" i="11"/>
  <c r="I85" i="11"/>
  <c r="R84" i="11"/>
  <c r="M84" i="11"/>
  <c r="I84" i="11"/>
  <c r="R83" i="11"/>
  <c r="M83" i="11"/>
  <c r="I83" i="11"/>
  <c r="R82" i="11"/>
  <c r="M82" i="11"/>
  <c r="I82" i="11"/>
  <c r="R81" i="11"/>
  <c r="M81" i="11"/>
  <c r="I81" i="11"/>
  <c r="R80" i="11"/>
  <c r="M80" i="11"/>
  <c r="I80" i="11"/>
  <c r="R79" i="11"/>
  <c r="M79" i="11"/>
  <c r="I79" i="11"/>
  <c r="R78" i="11"/>
  <c r="M78" i="11"/>
  <c r="I78" i="11"/>
  <c r="R77" i="11"/>
  <c r="M77" i="11"/>
  <c r="I77" i="11"/>
  <c r="R76" i="11"/>
  <c r="M76" i="11"/>
  <c r="I76" i="11"/>
  <c r="R75" i="11"/>
  <c r="M75" i="11"/>
  <c r="I75" i="11"/>
  <c r="R74" i="11"/>
  <c r="M74" i="11"/>
  <c r="I74" i="11"/>
  <c r="BS67" i="11"/>
  <c r="BO67" i="11"/>
  <c r="BK67" i="11"/>
  <c r="BG67" i="11"/>
  <c r="BC67" i="11"/>
  <c r="AY67" i="11"/>
  <c r="AU67" i="11"/>
  <c r="AQ67" i="11"/>
  <c r="AM67" i="11"/>
  <c r="AI67" i="11"/>
  <c r="AE67" i="11"/>
  <c r="AA67" i="11"/>
  <c r="W67" i="11"/>
  <c r="R67" i="11"/>
  <c r="M67" i="11"/>
  <c r="I67" i="11"/>
  <c r="BS66" i="11"/>
  <c r="BO66" i="11"/>
  <c r="BK66" i="11"/>
  <c r="BG66" i="11"/>
  <c r="BC66" i="11"/>
  <c r="AY66" i="11"/>
  <c r="AU66" i="11"/>
  <c r="AQ66" i="11"/>
  <c r="AM66" i="11"/>
  <c r="AI66" i="11"/>
  <c r="AE66" i="11"/>
  <c r="AA66" i="11"/>
  <c r="W66" i="11"/>
  <c r="R66" i="11"/>
  <c r="M66" i="11"/>
  <c r="I66" i="11"/>
  <c r="BS65" i="11"/>
  <c r="BO65" i="11"/>
  <c r="BK65" i="11"/>
  <c r="BG65" i="11"/>
  <c r="BC65" i="11"/>
  <c r="AY65" i="11"/>
  <c r="AU65" i="11"/>
  <c r="AQ65" i="11"/>
  <c r="AM65" i="11"/>
  <c r="AI65" i="11"/>
  <c r="AE65" i="11"/>
  <c r="AA65" i="11"/>
  <c r="W65" i="11"/>
  <c r="R65" i="11"/>
  <c r="M65" i="11"/>
  <c r="I65" i="11"/>
  <c r="BS64" i="11"/>
  <c r="BO64" i="11"/>
  <c r="BK64" i="11"/>
  <c r="BG64" i="11"/>
  <c r="BC64" i="11"/>
  <c r="AY64" i="11"/>
  <c r="AU64" i="11"/>
  <c r="AQ64" i="11"/>
  <c r="AM64" i="11"/>
  <c r="AI64" i="11"/>
  <c r="AE64" i="11"/>
  <c r="AA64" i="11"/>
  <c r="W64" i="11"/>
  <c r="R64" i="11"/>
  <c r="M64" i="11"/>
  <c r="I64" i="11"/>
  <c r="BS63" i="11"/>
  <c r="BO63" i="11"/>
  <c r="BK63" i="11"/>
  <c r="BG63" i="11"/>
  <c r="BC63" i="11"/>
  <c r="AY63" i="11"/>
  <c r="AU63" i="11"/>
  <c r="AQ63" i="11"/>
  <c r="AM63" i="11"/>
  <c r="AI63" i="11"/>
  <c r="AE63" i="11"/>
  <c r="AA63" i="11"/>
  <c r="W63" i="11"/>
  <c r="R63" i="11"/>
  <c r="M63" i="11"/>
  <c r="I63" i="11"/>
  <c r="BS62" i="11"/>
  <c r="BO62" i="11"/>
  <c r="BK62" i="11"/>
  <c r="BG62" i="11"/>
  <c r="BC62" i="11"/>
  <c r="AY62" i="11"/>
  <c r="AU62" i="11"/>
  <c r="AQ62" i="11"/>
  <c r="AM62" i="11"/>
  <c r="AI62" i="11"/>
  <c r="AE62" i="11"/>
  <c r="AA62" i="11"/>
  <c r="W62" i="11"/>
  <c r="R62" i="11"/>
  <c r="M62" i="11"/>
  <c r="I62" i="11"/>
  <c r="BS61" i="11"/>
  <c r="BO61" i="11"/>
  <c r="BK61" i="11"/>
  <c r="BG61" i="11"/>
  <c r="BC61" i="11"/>
  <c r="AY61" i="11"/>
  <c r="AU61" i="11"/>
  <c r="AQ61" i="11"/>
  <c r="AM61" i="11"/>
  <c r="AI61" i="11"/>
  <c r="AE61" i="11"/>
  <c r="AA61" i="11"/>
  <c r="W61" i="11"/>
  <c r="R61" i="11"/>
  <c r="M61" i="11"/>
  <c r="I61" i="11"/>
  <c r="BS60" i="11"/>
  <c r="BO60" i="11"/>
  <c r="BK60" i="11"/>
  <c r="BG60" i="11"/>
  <c r="BC60" i="11"/>
  <c r="AY60" i="11"/>
  <c r="AU60" i="11"/>
  <c r="AQ60" i="11"/>
  <c r="AM60" i="11"/>
  <c r="AI60" i="11"/>
  <c r="AE60" i="11"/>
  <c r="AA60" i="11"/>
  <c r="W60" i="11"/>
  <c r="R60" i="11"/>
  <c r="M60" i="11"/>
  <c r="I60" i="11"/>
  <c r="BS59" i="11"/>
  <c r="BO59" i="11"/>
  <c r="BK59" i="11"/>
  <c r="BG59" i="11"/>
  <c r="BC59" i="11"/>
  <c r="AY59" i="11"/>
  <c r="AU59" i="11"/>
  <c r="AQ59" i="11"/>
  <c r="AM59" i="11"/>
  <c r="AI59" i="11"/>
  <c r="AE59" i="11"/>
  <c r="AA59" i="11"/>
  <c r="W59" i="11"/>
  <c r="R59" i="11"/>
  <c r="M59" i="11"/>
  <c r="I59" i="11"/>
  <c r="BS58" i="11"/>
  <c r="BO58" i="11"/>
  <c r="BK58" i="11"/>
  <c r="BG58" i="11"/>
  <c r="BC58" i="11"/>
  <c r="AY58" i="11"/>
  <c r="AU58" i="11"/>
  <c r="AQ58" i="11"/>
  <c r="AM58" i="11"/>
  <c r="AI58" i="11"/>
  <c r="AE58" i="11"/>
  <c r="AA58" i="11"/>
  <c r="W58" i="11"/>
  <c r="R58" i="11"/>
  <c r="M58" i="11"/>
  <c r="I58" i="11"/>
  <c r="BS57" i="11"/>
  <c r="BO57" i="11"/>
  <c r="BK57" i="11"/>
  <c r="BG57" i="11"/>
  <c r="BC57" i="11"/>
  <c r="AY57" i="11"/>
  <c r="AU57" i="11"/>
  <c r="AQ57" i="11"/>
  <c r="AM57" i="11"/>
  <c r="AI57" i="11"/>
  <c r="AE57" i="11"/>
  <c r="AA57" i="11"/>
  <c r="W57" i="11"/>
  <c r="R57" i="11"/>
  <c r="M57" i="11"/>
  <c r="I57" i="11"/>
  <c r="BS56" i="11"/>
  <c r="BS69" i="11" s="1"/>
  <c r="BO56" i="11"/>
  <c r="BK56" i="11"/>
  <c r="BK69" i="11" s="1"/>
  <c r="BG56" i="11"/>
  <c r="BG69" i="11" s="1"/>
  <c r="BC56" i="11"/>
  <c r="BC69" i="11" s="1"/>
  <c r="AY56" i="11"/>
  <c r="AY69" i="11" s="1"/>
  <c r="AU56" i="11"/>
  <c r="AU69" i="11" s="1"/>
  <c r="AQ56" i="11"/>
  <c r="AQ69" i="11" s="1"/>
  <c r="AM56" i="11"/>
  <c r="AM69" i="11" s="1"/>
  <c r="AI56" i="11"/>
  <c r="AI69" i="11" s="1"/>
  <c r="AE56" i="11"/>
  <c r="AE69" i="11" s="1"/>
  <c r="AA56" i="11"/>
  <c r="AA69" i="11" s="1"/>
  <c r="W56" i="11"/>
  <c r="W69" i="11" s="1"/>
  <c r="R56" i="11"/>
  <c r="M56" i="11"/>
  <c r="I56" i="11"/>
  <c r="BS50" i="11"/>
  <c r="BO50" i="11"/>
  <c r="BK50" i="11"/>
  <c r="BG50" i="11"/>
  <c r="BC50" i="11"/>
  <c r="AY50" i="11"/>
  <c r="AU50" i="11"/>
  <c r="AQ50" i="11"/>
  <c r="AM50" i="11"/>
  <c r="AI50" i="11"/>
  <c r="AE50" i="11"/>
  <c r="AA50" i="11"/>
  <c r="W50" i="11"/>
  <c r="R50" i="11"/>
  <c r="M50" i="11"/>
  <c r="I50" i="11"/>
  <c r="BS49" i="11"/>
  <c r="BO49" i="11"/>
  <c r="BK49" i="11"/>
  <c r="BG49" i="11"/>
  <c r="BC49" i="11"/>
  <c r="AY49" i="11"/>
  <c r="AU49" i="11"/>
  <c r="AQ49" i="11"/>
  <c r="AM49" i="11"/>
  <c r="AI49" i="11"/>
  <c r="AE49" i="11"/>
  <c r="AA49" i="11"/>
  <c r="W49" i="11"/>
  <c r="R49" i="11"/>
  <c r="M49" i="11"/>
  <c r="I49" i="11"/>
  <c r="BS48" i="11"/>
  <c r="BO48" i="11"/>
  <c r="BK48" i="11"/>
  <c r="BG48" i="11"/>
  <c r="BC48" i="11"/>
  <c r="AY48" i="11"/>
  <c r="AU48" i="11"/>
  <c r="AQ48" i="11"/>
  <c r="AM48" i="11"/>
  <c r="AI48" i="11"/>
  <c r="AE48" i="11"/>
  <c r="AA48" i="11"/>
  <c r="W48" i="11"/>
  <c r="R48" i="11"/>
  <c r="M48" i="11"/>
  <c r="I48" i="11"/>
  <c r="BS47" i="11"/>
  <c r="BO47" i="11"/>
  <c r="BK47" i="11"/>
  <c r="BG47" i="11"/>
  <c r="BC47" i="11"/>
  <c r="AY47" i="11"/>
  <c r="AU47" i="11"/>
  <c r="AQ47" i="11"/>
  <c r="AM47" i="11"/>
  <c r="AI47" i="11"/>
  <c r="AE47" i="11"/>
  <c r="AA47" i="11"/>
  <c r="W47" i="11"/>
  <c r="R47" i="11"/>
  <c r="M47" i="11"/>
  <c r="I47" i="11"/>
  <c r="BS46" i="11"/>
  <c r="BO46" i="11"/>
  <c r="BK46" i="11"/>
  <c r="BG46" i="11"/>
  <c r="BC46" i="11"/>
  <c r="AY46" i="11"/>
  <c r="AU46" i="11"/>
  <c r="AQ46" i="11"/>
  <c r="AM46" i="11"/>
  <c r="AI46" i="11"/>
  <c r="AE46" i="11"/>
  <c r="AA46" i="11"/>
  <c r="W46" i="11"/>
  <c r="R46" i="11"/>
  <c r="M46" i="11"/>
  <c r="I46" i="11"/>
  <c r="BS45" i="11"/>
  <c r="BO45" i="11"/>
  <c r="BK45" i="11"/>
  <c r="BG45" i="11"/>
  <c r="BC45" i="11"/>
  <c r="AY45" i="11"/>
  <c r="AU45" i="11"/>
  <c r="AQ45" i="11"/>
  <c r="AM45" i="11"/>
  <c r="AI45" i="11"/>
  <c r="AE45" i="11"/>
  <c r="AA45" i="11"/>
  <c r="W45" i="11"/>
  <c r="R45" i="11"/>
  <c r="M45" i="11"/>
  <c r="I45" i="11"/>
  <c r="BS44" i="11"/>
  <c r="BO44" i="11"/>
  <c r="BK44" i="11"/>
  <c r="BG44" i="11"/>
  <c r="BC44" i="11"/>
  <c r="AY44" i="11"/>
  <c r="AU44" i="11"/>
  <c r="AQ44" i="11"/>
  <c r="AM44" i="11"/>
  <c r="AI44" i="11"/>
  <c r="AE44" i="11"/>
  <c r="AA44" i="11"/>
  <c r="W44" i="11"/>
  <c r="R44" i="11"/>
  <c r="M44" i="11"/>
  <c r="I44" i="11"/>
  <c r="BS43" i="11"/>
  <c r="BO43" i="11"/>
  <c r="BK43" i="11"/>
  <c r="BG43" i="11"/>
  <c r="BC43" i="11"/>
  <c r="AY43" i="11"/>
  <c r="AU43" i="11"/>
  <c r="AQ43" i="11"/>
  <c r="AM43" i="11"/>
  <c r="AI43" i="11"/>
  <c r="AE43" i="11"/>
  <c r="AA43" i="11"/>
  <c r="W43" i="11"/>
  <c r="R43" i="11"/>
  <c r="M43" i="11"/>
  <c r="I43" i="11"/>
  <c r="BS42" i="11"/>
  <c r="BO42" i="11"/>
  <c r="BK42" i="11"/>
  <c r="BG42" i="11"/>
  <c r="BC42" i="11"/>
  <c r="AY42" i="11"/>
  <c r="AU42" i="11"/>
  <c r="AQ42" i="11"/>
  <c r="AM42" i="11"/>
  <c r="AI42" i="11"/>
  <c r="AE42" i="11"/>
  <c r="AA42" i="11"/>
  <c r="W42" i="11"/>
  <c r="R42" i="11"/>
  <c r="M42" i="11"/>
  <c r="I42" i="11"/>
  <c r="BS41" i="11"/>
  <c r="BO41" i="11"/>
  <c r="BK41" i="11"/>
  <c r="BG41" i="11"/>
  <c r="BC41" i="11"/>
  <c r="AY41" i="11"/>
  <c r="AU41" i="11"/>
  <c r="AQ41" i="11"/>
  <c r="AM41" i="11"/>
  <c r="AI41" i="11"/>
  <c r="AE41" i="11"/>
  <c r="AA41" i="11"/>
  <c r="W41" i="11"/>
  <c r="R41" i="11"/>
  <c r="M41" i="11"/>
  <c r="I41" i="11"/>
  <c r="BS40" i="11"/>
  <c r="BO40" i="11"/>
  <c r="BK40" i="11"/>
  <c r="BG40" i="11"/>
  <c r="BC40" i="11"/>
  <c r="AY40" i="11"/>
  <c r="AU40" i="11"/>
  <c r="AQ40" i="11"/>
  <c r="AM40" i="11"/>
  <c r="AI40" i="11"/>
  <c r="AE40" i="11"/>
  <c r="AA40" i="11"/>
  <c r="W40" i="11"/>
  <c r="R40" i="11"/>
  <c r="M40" i="11"/>
  <c r="I40" i="11"/>
  <c r="BS39" i="11"/>
  <c r="BS52" i="11" s="1"/>
  <c r="BO39" i="11"/>
  <c r="BK39" i="11"/>
  <c r="BK52" i="11" s="1"/>
  <c r="BG39" i="11"/>
  <c r="BG52" i="11" s="1"/>
  <c r="BC39" i="11"/>
  <c r="BC52" i="11" s="1"/>
  <c r="AY39" i="11"/>
  <c r="AY52" i="11" s="1"/>
  <c r="AU39" i="11"/>
  <c r="AU52" i="11" s="1"/>
  <c r="AQ39" i="11"/>
  <c r="AQ52" i="11" s="1"/>
  <c r="AM39" i="11"/>
  <c r="AM52" i="11" s="1"/>
  <c r="AI39" i="11"/>
  <c r="AE39" i="11"/>
  <c r="AE52" i="11" s="1"/>
  <c r="AA39" i="11"/>
  <c r="AA52" i="11" s="1"/>
  <c r="W39" i="11"/>
  <c r="W52" i="11" s="1"/>
  <c r="R39" i="11"/>
  <c r="M39" i="11"/>
  <c r="I39" i="11"/>
  <c r="BS33" i="11"/>
  <c r="BO33" i="11"/>
  <c r="BK33" i="11"/>
  <c r="BG33" i="11"/>
  <c r="BC33" i="11"/>
  <c r="AY33" i="11"/>
  <c r="AU33" i="11"/>
  <c r="AQ33" i="11"/>
  <c r="AM33" i="11"/>
  <c r="AI33" i="11"/>
  <c r="AE33" i="11"/>
  <c r="AA33" i="11"/>
  <c r="W33" i="11"/>
  <c r="R33" i="11"/>
  <c r="M33" i="11"/>
  <c r="I33" i="11"/>
  <c r="BS32" i="11"/>
  <c r="BO32" i="11"/>
  <c r="BK32" i="11"/>
  <c r="BG32" i="11"/>
  <c r="BC32" i="11"/>
  <c r="AY32" i="11"/>
  <c r="AU32" i="11"/>
  <c r="AQ32" i="11"/>
  <c r="AM32" i="11"/>
  <c r="AI32" i="11"/>
  <c r="AE32" i="11"/>
  <c r="AA32" i="11"/>
  <c r="W32" i="11"/>
  <c r="R32" i="11"/>
  <c r="M32" i="11"/>
  <c r="I32" i="11"/>
  <c r="BS31" i="11"/>
  <c r="BO31" i="11"/>
  <c r="BK31" i="11"/>
  <c r="BG31" i="11"/>
  <c r="BC31" i="11"/>
  <c r="AY31" i="11"/>
  <c r="AU31" i="11"/>
  <c r="AQ31" i="11"/>
  <c r="AM31" i="11"/>
  <c r="AI31" i="11"/>
  <c r="AE31" i="11"/>
  <c r="AA31" i="11"/>
  <c r="W31" i="11"/>
  <c r="R31" i="11"/>
  <c r="M31" i="11"/>
  <c r="I31" i="11"/>
  <c r="BS30" i="11"/>
  <c r="BO30" i="11"/>
  <c r="BK30" i="11"/>
  <c r="BG30" i="11"/>
  <c r="BC30" i="11"/>
  <c r="AY30" i="11"/>
  <c r="AU30" i="11"/>
  <c r="AQ30" i="11"/>
  <c r="AM30" i="11"/>
  <c r="AI30" i="11"/>
  <c r="AE30" i="11"/>
  <c r="AA30" i="11"/>
  <c r="W30" i="11"/>
  <c r="R30" i="11"/>
  <c r="M30" i="11"/>
  <c r="I30" i="11"/>
  <c r="BS29" i="11"/>
  <c r="BO29" i="11"/>
  <c r="BK29" i="11"/>
  <c r="BG29" i="11"/>
  <c r="BC29" i="11"/>
  <c r="AY29" i="11"/>
  <c r="AU29" i="11"/>
  <c r="AQ29" i="11"/>
  <c r="AM29" i="11"/>
  <c r="AI29" i="11"/>
  <c r="AE29" i="11"/>
  <c r="AA29" i="11"/>
  <c r="W29" i="11"/>
  <c r="R29" i="11"/>
  <c r="M29" i="11"/>
  <c r="I29" i="11"/>
  <c r="BS28" i="11"/>
  <c r="BO28" i="11"/>
  <c r="BK28" i="11"/>
  <c r="BG28" i="11"/>
  <c r="BC28" i="11"/>
  <c r="AY28" i="11"/>
  <c r="AU28" i="11"/>
  <c r="AQ28" i="11"/>
  <c r="AM28" i="11"/>
  <c r="AI28" i="11"/>
  <c r="AE28" i="11"/>
  <c r="AA28" i="11"/>
  <c r="W28" i="11"/>
  <c r="R28" i="11"/>
  <c r="M28" i="11"/>
  <c r="I28" i="11"/>
  <c r="BS27" i="11"/>
  <c r="BO27" i="11"/>
  <c r="BK27" i="11"/>
  <c r="BG27" i="11"/>
  <c r="BC27" i="11"/>
  <c r="AY27" i="11"/>
  <c r="AU27" i="11"/>
  <c r="AQ27" i="11"/>
  <c r="AM27" i="11"/>
  <c r="AI27" i="11"/>
  <c r="AE27" i="11"/>
  <c r="AA27" i="11"/>
  <c r="W27" i="11"/>
  <c r="R27" i="11"/>
  <c r="M27" i="11"/>
  <c r="I27" i="11"/>
  <c r="BS26" i="11"/>
  <c r="BO26" i="11"/>
  <c r="BK26" i="11"/>
  <c r="BG26" i="11"/>
  <c r="BC26" i="11"/>
  <c r="AY26" i="11"/>
  <c r="AU26" i="11"/>
  <c r="AQ26" i="11"/>
  <c r="AM26" i="11"/>
  <c r="AI26" i="11"/>
  <c r="AE26" i="11"/>
  <c r="AA26" i="11"/>
  <c r="W26" i="11"/>
  <c r="R26" i="11"/>
  <c r="M26" i="11"/>
  <c r="I26" i="11"/>
  <c r="BS25" i="11"/>
  <c r="BO25" i="11"/>
  <c r="BK25" i="11"/>
  <c r="BG25" i="11"/>
  <c r="BC25" i="11"/>
  <c r="AY25" i="11"/>
  <c r="AU25" i="11"/>
  <c r="AQ25" i="11"/>
  <c r="AM25" i="11"/>
  <c r="AI25" i="11"/>
  <c r="AE25" i="11"/>
  <c r="AA25" i="11"/>
  <c r="W25" i="11"/>
  <c r="R25" i="11"/>
  <c r="M25" i="11"/>
  <c r="I25" i="11"/>
  <c r="BS24" i="11"/>
  <c r="BO24" i="11"/>
  <c r="BK24" i="11"/>
  <c r="BG24" i="11"/>
  <c r="BC24" i="11"/>
  <c r="AY24" i="11"/>
  <c r="AU24" i="11"/>
  <c r="AQ24" i="11"/>
  <c r="AM24" i="11"/>
  <c r="AI24" i="11"/>
  <c r="AE24" i="11"/>
  <c r="AA24" i="11"/>
  <c r="W24" i="11"/>
  <c r="R24" i="11"/>
  <c r="M24" i="11"/>
  <c r="I24" i="11"/>
  <c r="BS23" i="11"/>
  <c r="BO23" i="11"/>
  <c r="BK23" i="11"/>
  <c r="BG23" i="11"/>
  <c r="BC23" i="11"/>
  <c r="AY23" i="11"/>
  <c r="AU23" i="11"/>
  <c r="AQ23" i="11"/>
  <c r="AM23" i="11"/>
  <c r="AI23" i="11"/>
  <c r="AE23" i="11"/>
  <c r="AA23" i="11"/>
  <c r="W23" i="11"/>
  <c r="R23" i="11"/>
  <c r="M23" i="11"/>
  <c r="I23" i="11"/>
  <c r="BS22" i="11"/>
  <c r="BS35" i="11" s="1"/>
  <c r="BO22" i="11"/>
  <c r="BO35" i="11" s="1"/>
  <c r="BK22" i="11"/>
  <c r="BK35" i="11" s="1"/>
  <c r="BG22" i="11"/>
  <c r="BG35" i="11" s="1"/>
  <c r="BC22" i="11"/>
  <c r="BC35" i="11" s="1"/>
  <c r="AY22" i="11"/>
  <c r="AY35" i="11" s="1"/>
  <c r="AU22" i="11"/>
  <c r="AU35" i="11" s="1"/>
  <c r="AQ22" i="11"/>
  <c r="AQ35" i="11" s="1"/>
  <c r="AM22" i="11"/>
  <c r="AM35" i="11" s="1"/>
  <c r="AI22" i="11"/>
  <c r="AI35" i="11" s="1"/>
  <c r="AE22" i="11"/>
  <c r="AE35" i="11" s="1"/>
  <c r="AA22" i="11"/>
  <c r="AA35" i="11" s="1"/>
  <c r="W22" i="11"/>
  <c r="W35" i="11" s="1"/>
  <c r="R22" i="11"/>
  <c r="M22" i="11"/>
  <c r="I22" i="11"/>
  <c r="BS16" i="11"/>
  <c r="BS85" i="11" s="1"/>
  <c r="BO16" i="11"/>
  <c r="BK16" i="11"/>
  <c r="BK85" i="11" s="1"/>
  <c r="BG16" i="11"/>
  <c r="BG85" i="11" s="1"/>
  <c r="BC16" i="11"/>
  <c r="BC85" i="11" s="1"/>
  <c r="AY16" i="11"/>
  <c r="AY85" i="11" s="1"/>
  <c r="AU16" i="11"/>
  <c r="AU85" i="11" s="1"/>
  <c r="AQ16" i="11"/>
  <c r="AQ85" i="11" s="1"/>
  <c r="AM16" i="11"/>
  <c r="AM85" i="11" s="1"/>
  <c r="AI16" i="11"/>
  <c r="AI85" i="11" s="1"/>
  <c r="AE16" i="11"/>
  <c r="AE85" i="11" s="1"/>
  <c r="AA16" i="11"/>
  <c r="AA85" i="11" s="1"/>
  <c r="W16" i="11"/>
  <c r="W85" i="11" s="1"/>
  <c r="R16" i="11"/>
  <c r="M16" i="11"/>
  <c r="I16" i="11"/>
  <c r="BS15" i="11"/>
  <c r="BS84" i="11" s="1"/>
  <c r="BO15" i="11"/>
  <c r="BO84" i="11" s="1"/>
  <c r="BK15" i="11"/>
  <c r="BK84" i="11" s="1"/>
  <c r="BG15" i="11"/>
  <c r="BG84" i="11" s="1"/>
  <c r="BC15" i="11"/>
  <c r="BC84" i="11" s="1"/>
  <c r="AY15" i="11"/>
  <c r="AY84" i="11" s="1"/>
  <c r="AU15" i="11"/>
  <c r="AU84" i="11" s="1"/>
  <c r="AQ15" i="11"/>
  <c r="AQ84" i="11" s="1"/>
  <c r="AM15" i="11"/>
  <c r="AM84" i="11" s="1"/>
  <c r="AI15" i="11"/>
  <c r="AI84" i="11" s="1"/>
  <c r="AE15" i="11"/>
  <c r="AE84" i="11" s="1"/>
  <c r="AA15" i="11"/>
  <c r="AA84" i="11" s="1"/>
  <c r="W15" i="11"/>
  <c r="W84" i="11" s="1"/>
  <c r="R15" i="11"/>
  <c r="M15" i="11"/>
  <c r="I15" i="11"/>
  <c r="BS14" i="11"/>
  <c r="BS83" i="11" s="1"/>
  <c r="BO14" i="11"/>
  <c r="BO83" i="11" s="1"/>
  <c r="BK14" i="11"/>
  <c r="BK83" i="11" s="1"/>
  <c r="BG14" i="11"/>
  <c r="BG83" i="11" s="1"/>
  <c r="BC14" i="11"/>
  <c r="BC83" i="11" s="1"/>
  <c r="AY14" i="11"/>
  <c r="AY83" i="11" s="1"/>
  <c r="AU14" i="11"/>
  <c r="AU83" i="11" s="1"/>
  <c r="AQ14" i="11"/>
  <c r="AQ83" i="11" s="1"/>
  <c r="AM14" i="11"/>
  <c r="AM83" i="11" s="1"/>
  <c r="AI14" i="11"/>
  <c r="AI83" i="11" s="1"/>
  <c r="AE14" i="11"/>
  <c r="AE83" i="11" s="1"/>
  <c r="AA14" i="11"/>
  <c r="AA83" i="11" s="1"/>
  <c r="W14" i="11"/>
  <c r="W83" i="11" s="1"/>
  <c r="R14" i="11"/>
  <c r="M14" i="11"/>
  <c r="I14" i="11"/>
  <c r="BS13" i="11"/>
  <c r="BS82" i="11" s="1"/>
  <c r="BO13" i="11"/>
  <c r="BO82" i="11" s="1"/>
  <c r="BK13" i="11"/>
  <c r="BK82" i="11" s="1"/>
  <c r="BG13" i="11"/>
  <c r="BG82" i="11" s="1"/>
  <c r="BC13" i="11"/>
  <c r="BC82" i="11" s="1"/>
  <c r="AY13" i="11"/>
  <c r="AY82" i="11" s="1"/>
  <c r="AU13" i="11"/>
  <c r="AU82" i="11" s="1"/>
  <c r="AQ13" i="11"/>
  <c r="AQ82" i="11" s="1"/>
  <c r="AM13" i="11"/>
  <c r="AM82" i="11" s="1"/>
  <c r="AI13" i="11"/>
  <c r="AI82" i="11" s="1"/>
  <c r="AE13" i="11"/>
  <c r="AE82" i="11" s="1"/>
  <c r="AA13" i="11"/>
  <c r="AA82" i="11" s="1"/>
  <c r="W13" i="11"/>
  <c r="W82" i="11" s="1"/>
  <c r="R13" i="11"/>
  <c r="M13" i="11"/>
  <c r="I13" i="11"/>
  <c r="BS12" i="11"/>
  <c r="BS81" i="11" s="1"/>
  <c r="BO12" i="11"/>
  <c r="BO81" i="11" s="1"/>
  <c r="BK12" i="11"/>
  <c r="BK81" i="11" s="1"/>
  <c r="BG12" i="11"/>
  <c r="BG81" i="11" s="1"/>
  <c r="BC12" i="11"/>
  <c r="BC81" i="11" s="1"/>
  <c r="AY12" i="11"/>
  <c r="AY81" i="11" s="1"/>
  <c r="AU12" i="11"/>
  <c r="AU81" i="11" s="1"/>
  <c r="AQ12" i="11"/>
  <c r="AQ81" i="11" s="1"/>
  <c r="AM12" i="11"/>
  <c r="AM81" i="11" s="1"/>
  <c r="AI12" i="11"/>
  <c r="AI81" i="11" s="1"/>
  <c r="AE12" i="11"/>
  <c r="AE81" i="11" s="1"/>
  <c r="AA12" i="11"/>
  <c r="AA81" i="11" s="1"/>
  <c r="W12" i="11"/>
  <c r="W81" i="11" s="1"/>
  <c r="R12" i="11"/>
  <c r="M12" i="11"/>
  <c r="I12" i="11"/>
  <c r="BS11" i="11"/>
  <c r="BS80" i="11" s="1"/>
  <c r="BO11" i="11"/>
  <c r="BO80" i="11" s="1"/>
  <c r="BK11" i="11"/>
  <c r="BK80" i="11" s="1"/>
  <c r="BG11" i="11"/>
  <c r="BG80" i="11" s="1"/>
  <c r="BC11" i="11"/>
  <c r="BC80" i="11" s="1"/>
  <c r="AY11" i="11"/>
  <c r="AY80" i="11" s="1"/>
  <c r="AU11" i="11"/>
  <c r="AU80" i="11" s="1"/>
  <c r="AQ11" i="11"/>
  <c r="AQ80" i="11" s="1"/>
  <c r="AM11" i="11"/>
  <c r="AM80" i="11" s="1"/>
  <c r="AI11" i="11"/>
  <c r="AI80" i="11" s="1"/>
  <c r="AE11" i="11"/>
  <c r="AE80" i="11" s="1"/>
  <c r="AA11" i="11"/>
  <c r="AA80" i="11" s="1"/>
  <c r="W11" i="11"/>
  <c r="W80" i="11" s="1"/>
  <c r="R11" i="11"/>
  <c r="M11" i="11"/>
  <c r="I11" i="11"/>
  <c r="BS10" i="11"/>
  <c r="BS79" i="11" s="1"/>
  <c r="BO10" i="11"/>
  <c r="BO79" i="11" s="1"/>
  <c r="BK10" i="11"/>
  <c r="BK79" i="11" s="1"/>
  <c r="BG10" i="11"/>
  <c r="BG79" i="11" s="1"/>
  <c r="BC10" i="11"/>
  <c r="BC79" i="11" s="1"/>
  <c r="AY10" i="11"/>
  <c r="AY79" i="11" s="1"/>
  <c r="AU10" i="11"/>
  <c r="AU79" i="11" s="1"/>
  <c r="AQ10" i="11"/>
  <c r="AQ79" i="11" s="1"/>
  <c r="AM10" i="11"/>
  <c r="AM79" i="11" s="1"/>
  <c r="AI10" i="11"/>
  <c r="AI79" i="11" s="1"/>
  <c r="AE10" i="11"/>
  <c r="AE79" i="11" s="1"/>
  <c r="AA10" i="11"/>
  <c r="AA79" i="11" s="1"/>
  <c r="W10" i="11"/>
  <c r="W79" i="11" s="1"/>
  <c r="R10" i="11"/>
  <c r="M10" i="11"/>
  <c r="I10" i="11"/>
  <c r="BS9" i="11"/>
  <c r="BS78" i="11" s="1"/>
  <c r="BO9" i="11"/>
  <c r="BO78" i="11" s="1"/>
  <c r="BK9" i="11"/>
  <c r="BK78" i="11" s="1"/>
  <c r="BG9" i="11"/>
  <c r="BG78" i="11" s="1"/>
  <c r="BC9" i="11"/>
  <c r="BC78" i="11" s="1"/>
  <c r="AY9" i="11"/>
  <c r="AY78" i="11" s="1"/>
  <c r="AU9" i="11"/>
  <c r="AU78" i="11" s="1"/>
  <c r="AQ9" i="11"/>
  <c r="AQ78" i="11" s="1"/>
  <c r="AM9" i="11"/>
  <c r="AM78" i="11" s="1"/>
  <c r="AI9" i="11"/>
  <c r="AI78" i="11" s="1"/>
  <c r="AE9" i="11"/>
  <c r="AE78" i="11" s="1"/>
  <c r="AA9" i="11"/>
  <c r="AA78" i="11" s="1"/>
  <c r="W9" i="11"/>
  <c r="W78" i="11" s="1"/>
  <c r="R9" i="11"/>
  <c r="M9" i="11"/>
  <c r="I9" i="11"/>
  <c r="BS8" i="11"/>
  <c r="BS77" i="11" s="1"/>
  <c r="BO8" i="11"/>
  <c r="BO77" i="11" s="1"/>
  <c r="BK8" i="11"/>
  <c r="BK77" i="11" s="1"/>
  <c r="BG8" i="11"/>
  <c r="BG77" i="11" s="1"/>
  <c r="BC8" i="11"/>
  <c r="BC77" i="11" s="1"/>
  <c r="AY8" i="11"/>
  <c r="AY77" i="11" s="1"/>
  <c r="AU8" i="11"/>
  <c r="AU77" i="11" s="1"/>
  <c r="AQ8" i="11"/>
  <c r="AQ77" i="11" s="1"/>
  <c r="AM8" i="11"/>
  <c r="AM77" i="11" s="1"/>
  <c r="AI8" i="11"/>
  <c r="AI77" i="11" s="1"/>
  <c r="AE8" i="11"/>
  <c r="AE77" i="11" s="1"/>
  <c r="AA8" i="11"/>
  <c r="AA77" i="11" s="1"/>
  <c r="W8" i="11"/>
  <c r="W77" i="11" s="1"/>
  <c r="R8" i="11"/>
  <c r="M8" i="11"/>
  <c r="I8" i="11"/>
  <c r="BS7" i="11"/>
  <c r="BS76" i="11" s="1"/>
  <c r="BO7" i="11"/>
  <c r="BO76" i="11" s="1"/>
  <c r="BK7" i="11"/>
  <c r="BK76" i="11" s="1"/>
  <c r="BG7" i="11"/>
  <c r="BG76" i="11" s="1"/>
  <c r="BC7" i="11"/>
  <c r="BC76" i="11" s="1"/>
  <c r="AY7" i="11"/>
  <c r="AY76" i="11" s="1"/>
  <c r="AU7" i="11"/>
  <c r="AU76" i="11" s="1"/>
  <c r="AQ7" i="11"/>
  <c r="AQ76" i="11" s="1"/>
  <c r="AM7" i="11"/>
  <c r="AM76" i="11" s="1"/>
  <c r="AI7" i="11"/>
  <c r="AI76" i="11" s="1"/>
  <c r="AE7" i="11"/>
  <c r="AE76" i="11" s="1"/>
  <c r="AA7" i="11"/>
  <c r="AA76" i="11" s="1"/>
  <c r="W7" i="11"/>
  <c r="W76" i="11" s="1"/>
  <c r="R7" i="11"/>
  <c r="M7" i="11"/>
  <c r="I7" i="11"/>
  <c r="BS6" i="11"/>
  <c r="BS75" i="11" s="1"/>
  <c r="BO6" i="11"/>
  <c r="BO75" i="11" s="1"/>
  <c r="BK6" i="11"/>
  <c r="BK75" i="11" s="1"/>
  <c r="BG6" i="11"/>
  <c r="BG75" i="11" s="1"/>
  <c r="BC6" i="11"/>
  <c r="BC75" i="11" s="1"/>
  <c r="AY6" i="11"/>
  <c r="AY75" i="11" s="1"/>
  <c r="AU6" i="11"/>
  <c r="AU75" i="11" s="1"/>
  <c r="AQ6" i="11"/>
  <c r="AQ75" i="11" s="1"/>
  <c r="AM6" i="11"/>
  <c r="AM75" i="11" s="1"/>
  <c r="AI6" i="11"/>
  <c r="AI75" i="11" s="1"/>
  <c r="AE6" i="11"/>
  <c r="AE75" i="11" s="1"/>
  <c r="AA6" i="11"/>
  <c r="AA75" i="11" s="1"/>
  <c r="W6" i="11"/>
  <c r="W75" i="11" s="1"/>
  <c r="R6" i="11"/>
  <c r="M6" i="11"/>
  <c r="I6" i="11"/>
  <c r="BS5" i="11"/>
  <c r="BS18" i="11" s="1"/>
  <c r="BO5" i="11"/>
  <c r="BO74" i="11" s="1"/>
  <c r="BK5" i="11"/>
  <c r="BK18" i="11" s="1"/>
  <c r="BG5" i="11"/>
  <c r="BG74" i="11" s="1"/>
  <c r="BG87" i="11" s="1"/>
  <c r="BC5" i="11"/>
  <c r="BC18" i="11" s="1"/>
  <c r="AY5" i="11"/>
  <c r="AY18" i="11" s="1"/>
  <c r="AU5" i="11"/>
  <c r="AU18" i="11" s="1"/>
  <c r="AQ5" i="11"/>
  <c r="AQ18" i="11" s="1"/>
  <c r="AM5" i="11"/>
  <c r="AM18" i="11" s="1"/>
  <c r="AI5" i="11"/>
  <c r="AI74" i="11" s="1"/>
  <c r="AI87" i="11" s="1"/>
  <c r="AE5" i="11"/>
  <c r="AE18" i="11" s="1"/>
  <c r="AA5" i="11"/>
  <c r="AA74" i="11" s="1"/>
  <c r="AA87" i="11" s="1"/>
  <c r="W5" i="11"/>
  <c r="W18" i="11" s="1"/>
  <c r="R5" i="11"/>
  <c r="M5" i="11"/>
  <c r="I5" i="11"/>
  <c r="K197" i="10"/>
  <c r="K196" i="10"/>
  <c r="K195" i="10"/>
  <c r="K194" i="10"/>
  <c r="K199" i="10" s="1"/>
  <c r="AV186" i="10"/>
  <c r="AM186" i="10"/>
  <c r="AD186" i="10"/>
  <c r="AV185" i="10"/>
  <c r="AM185" i="10"/>
  <c r="AD185" i="10"/>
  <c r="AV184" i="10"/>
  <c r="AM184" i="10"/>
  <c r="AD184" i="10"/>
  <c r="AV183" i="10"/>
  <c r="AM183" i="10"/>
  <c r="AD183" i="10"/>
  <c r="AV182" i="10"/>
  <c r="AM182" i="10"/>
  <c r="AD182" i="10"/>
  <c r="AV181" i="10"/>
  <c r="AM181" i="10"/>
  <c r="AD181" i="10"/>
  <c r="AV180" i="10"/>
  <c r="AM180" i="10"/>
  <c r="AD180" i="10"/>
  <c r="AV179" i="10"/>
  <c r="AM179" i="10"/>
  <c r="AD179" i="10"/>
  <c r="AV178" i="10"/>
  <c r="AV188" i="10" s="1"/>
  <c r="AM178" i="10"/>
  <c r="AM188" i="10" s="1"/>
  <c r="AD178" i="10"/>
  <c r="AD188" i="10" s="1"/>
  <c r="AQ171" i="10"/>
  <c r="W171" i="10"/>
  <c r="R171" i="10"/>
  <c r="M171" i="10"/>
  <c r="I171" i="10"/>
  <c r="AQ170" i="10"/>
  <c r="W170" i="10"/>
  <c r="R170" i="10"/>
  <c r="M170" i="10"/>
  <c r="I170" i="10"/>
  <c r="AQ169" i="10"/>
  <c r="W169" i="10"/>
  <c r="R169" i="10"/>
  <c r="M169" i="10"/>
  <c r="I169" i="10"/>
  <c r="BK168" i="10"/>
  <c r="AQ168" i="10"/>
  <c r="W168" i="10"/>
  <c r="R168" i="10"/>
  <c r="M168" i="10"/>
  <c r="I168" i="10"/>
  <c r="BK167" i="10"/>
  <c r="AQ167" i="10"/>
  <c r="W167" i="10"/>
  <c r="R167" i="10"/>
  <c r="M167" i="10"/>
  <c r="I167" i="10"/>
  <c r="BK166" i="10"/>
  <c r="AQ166" i="10"/>
  <c r="W166" i="10"/>
  <c r="R166" i="10"/>
  <c r="M166" i="10"/>
  <c r="I166" i="10"/>
  <c r="BK165" i="10"/>
  <c r="AQ165" i="10"/>
  <c r="W165" i="10"/>
  <c r="R165" i="10"/>
  <c r="M165" i="10"/>
  <c r="I165" i="10"/>
  <c r="BK164" i="10"/>
  <c r="AQ164" i="10"/>
  <c r="W164" i="10"/>
  <c r="R164" i="10"/>
  <c r="M164" i="10"/>
  <c r="I164" i="10"/>
  <c r="BK163" i="10"/>
  <c r="AQ163" i="10"/>
  <c r="AQ173" i="10" s="1"/>
  <c r="W163" i="10"/>
  <c r="R163" i="10"/>
  <c r="M163" i="10"/>
  <c r="I163" i="10"/>
  <c r="BK162" i="10"/>
  <c r="BK173" i="10" s="1"/>
  <c r="AQ162" i="10"/>
  <c r="W162" i="10"/>
  <c r="R162" i="10"/>
  <c r="M162" i="10"/>
  <c r="I162" i="10"/>
  <c r="BK161" i="10"/>
  <c r="AQ161" i="10"/>
  <c r="W161" i="10"/>
  <c r="R161" i="10"/>
  <c r="M161" i="10"/>
  <c r="I161" i="10"/>
  <c r="BK160" i="10"/>
  <c r="AQ160" i="10"/>
  <c r="W160" i="10"/>
  <c r="R160" i="10"/>
  <c r="M160" i="10"/>
  <c r="I160" i="10"/>
  <c r="BC155" i="10"/>
  <c r="AF155" i="10"/>
  <c r="BC152" i="10"/>
  <c r="AF152" i="10"/>
  <c r="I152" i="10"/>
  <c r="I155" i="10" s="1"/>
  <c r="AF148" i="10"/>
  <c r="AF146" i="10"/>
  <c r="I146" i="10"/>
  <c r="I148" i="10" s="1"/>
  <c r="AF145" i="10"/>
  <c r="I145" i="10"/>
  <c r="BS137" i="10"/>
  <c r="BM137" i="10"/>
  <c r="BG137" i="10"/>
  <c r="BA137" i="10"/>
  <c r="AU137" i="10"/>
  <c r="AU139" i="10" s="1"/>
  <c r="AO137" i="10"/>
  <c r="AI137" i="10"/>
  <c r="AC137" i="10"/>
  <c r="W137" i="10"/>
  <c r="BS136" i="10"/>
  <c r="BM136" i="10"/>
  <c r="BG136" i="10"/>
  <c r="BA136" i="10"/>
  <c r="BA139" i="10" s="1"/>
  <c r="AU136" i="10"/>
  <c r="AO136" i="10"/>
  <c r="AI136" i="10"/>
  <c r="AC136" i="10"/>
  <c r="W136" i="10"/>
  <c r="BS135" i="10"/>
  <c r="BM135" i="10"/>
  <c r="BG135" i="10"/>
  <c r="BG139" i="10" s="1"/>
  <c r="BA135" i="10"/>
  <c r="AU135" i="10"/>
  <c r="AO135" i="10"/>
  <c r="AI135" i="10"/>
  <c r="AC135" i="10"/>
  <c r="W135" i="10"/>
  <c r="BS134" i="10"/>
  <c r="BS139" i="10" s="1"/>
  <c r="BM134" i="10"/>
  <c r="BM139" i="10" s="1"/>
  <c r="BG134" i="10"/>
  <c r="BA134" i="10"/>
  <c r="AU134" i="10"/>
  <c r="AO134" i="10"/>
  <c r="AO139" i="10" s="1"/>
  <c r="AI134" i="10"/>
  <c r="AI139" i="10" s="1"/>
  <c r="AC134" i="10"/>
  <c r="AC139" i="10" s="1"/>
  <c r="W134" i="10"/>
  <c r="W139" i="10" s="1"/>
  <c r="CK128" i="10"/>
  <c r="CE128" i="10"/>
  <c r="BY128" i="10"/>
  <c r="BS128" i="10"/>
  <c r="BM128" i="10"/>
  <c r="BG128" i="10"/>
  <c r="BA128" i="10"/>
  <c r="AU128" i="10"/>
  <c r="AO128" i="10"/>
  <c r="AI128" i="10"/>
  <c r="AC128" i="10"/>
  <c r="W128" i="10"/>
  <c r="CK127" i="10"/>
  <c r="CE127" i="10"/>
  <c r="BY127" i="10"/>
  <c r="BS127" i="10"/>
  <c r="BM127" i="10"/>
  <c r="BG127" i="10"/>
  <c r="BA127" i="10"/>
  <c r="AU127" i="10"/>
  <c r="AO127" i="10"/>
  <c r="AI127" i="10"/>
  <c r="AC127" i="10"/>
  <c r="W127" i="10"/>
  <c r="CK126" i="10"/>
  <c r="CE126" i="10"/>
  <c r="BY126" i="10"/>
  <c r="BS126" i="10"/>
  <c r="BM126" i="10"/>
  <c r="BG126" i="10"/>
  <c r="BA126" i="10"/>
  <c r="AU126" i="10"/>
  <c r="AO126" i="10"/>
  <c r="AI126" i="10"/>
  <c r="AC126" i="10"/>
  <c r="W126" i="10"/>
  <c r="CK125" i="10"/>
  <c r="CE125" i="10"/>
  <c r="BY125" i="10"/>
  <c r="BY130" i="10" s="1"/>
  <c r="BS125" i="10"/>
  <c r="BS130" i="10" s="1"/>
  <c r="BM125" i="10"/>
  <c r="BM130" i="10" s="1"/>
  <c r="BG125" i="10"/>
  <c r="BG130" i="10" s="1"/>
  <c r="BA125" i="10"/>
  <c r="AU125" i="10"/>
  <c r="AO125" i="10"/>
  <c r="AI125" i="10"/>
  <c r="AC125" i="10"/>
  <c r="AC130" i="10" s="1"/>
  <c r="W125" i="10"/>
  <c r="W130" i="10" s="1"/>
  <c r="AS114" i="10"/>
  <c r="AF114" i="10"/>
  <c r="AF115" i="10" s="1"/>
  <c r="W114" i="10"/>
  <c r="AS113" i="10"/>
  <c r="AF113" i="10"/>
  <c r="W113" i="10"/>
  <c r="AS112" i="10"/>
  <c r="AF112" i="10"/>
  <c r="W112" i="10"/>
  <c r="W115" i="10" s="1"/>
  <c r="AS111" i="10"/>
  <c r="AF111" i="10"/>
  <c r="W111" i="10"/>
  <c r="BW102" i="10"/>
  <c r="BQ102" i="10"/>
  <c r="BK102" i="10"/>
  <c r="BE102" i="10"/>
  <c r="AY102" i="10"/>
  <c r="AS102" i="10"/>
  <c r="AM102" i="10"/>
  <c r="AG102" i="10"/>
  <c r="AA102" i="10"/>
  <c r="U102" i="10"/>
  <c r="O102" i="10"/>
  <c r="I102" i="10"/>
  <c r="BW101" i="10"/>
  <c r="BW103" i="10" s="1"/>
  <c r="BQ101" i="10"/>
  <c r="BQ103" i="10" s="1"/>
  <c r="BK101" i="10"/>
  <c r="BK103" i="10" s="1"/>
  <c r="BE101" i="10"/>
  <c r="BE103" i="10" s="1"/>
  <c r="AY101" i="10"/>
  <c r="AY103" i="10" s="1"/>
  <c r="AS101" i="10"/>
  <c r="AS103" i="10" s="1"/>
  <c r="AM101" i="10"/>
  <c r="AM103" i="10" s="1"/>
  <c r="AG101" i="10"/>
  <c r="AG103" i="10" s="1"/>
  <c r="AA101" i="10"/>
  <c r="AA103" i="10" s="1"/>
  <c r="U101" i="10"/>
  <c r="U103" i="10" s="1"/>
  <c r="O101" i="10"/>
  <c r="O103" i="10" s="1"/>
  <c r="I101" i="10"/>
  <c r="I103" i="10" s="1"/>
  <c r="Q97" i="10"/>
  <c r="M97" i="10"/>
  <c r="Q96" i="10"/>
  <c r="M96" i="10"/>
  <c r="Q95" i="10"/>
  <c r="M95" i="10"/>
  <c r="Q94" i="10"/>
  <c r="M94" i="10"/>
  <c r="Q93" i="10"/>
  <c r="M93" i="10"/>
  <c r="Q92" i="10"/>
  <c r="M92" i="10"/>
  <c r="Q91" i="10"/>
  <c r="M91" i="10"/>
  <c r="K86" i="10"/>
  <c r="K85" i="10"/>
  <c r="K84" i="10"/>
  <c r="K83" i="10"/>
  <c r="K87" i="10" s="1"/>
  <c r="V79" i="10"/>
  <c r="V78" i="10"/>
  <c r="V77" i="10"/>
  <c r="V76" i="10"/>
  <c r="V75" i="10"/>
  <c r="AU74" i="10"/>
  <c r="V74" i="10"/>
  <c r="V73" i="10"/>
  <c r="AU72" i="10"/>
  <c r="V72" i="10"/>
  <c r="V80" i="10" s="1"/>
  <c r="AU71" i="10"/>
  <c r="V70" i="10"/>
  <c r="V69" i="10"/>
  <c r="V68" i="10"/>
  <c r="V67" i="10"/>
  <c r="V66" i="10"/>
  <c r="V65" i="10"/>
  <c r="AU64" i="10"/>
  <c r="V64" i="10"/>
  <c r="AU63" i="10"/>
  <c r="AU66" i="10" s="1"/>
  <c r="V63" i="10"/>
  <c r="V71" i="10" s="1"/>
  <c r="Q56" i="10"/>
  <c r="Q55" i="10"/>
  <c r="Q54" i="10"/>
  <c r="Q57" i="10" s="1"/>
  <c r="K50" i="10"/>
  <c r="BB45" i="10"/>
  <c r="AX45" i="10"/>
  <c r="AT45" i="10"/>
  <c r="BF45" i="10" s="1"/>
  <c r="AK45" i="10"/>
  <c r="AG45" i="10"/>
  <c r="AC45" i="10"/>
  <c r="Y45" i="10"/>
  <c r="U45" i="10"/>
  <c r="Q45" i="10"/>
  <c r="M45" i="10"/>
  <c r="AO45" i="10" s="1"/>
  <c r="BB44" i="10"/>
  <c r="AX44" i="10"/>
  <c r="AT44" i="10"/>
  <c r="BF44" i="10" s="1"/>
  <c r="AK44" i="10"/>
  <c r="AG44" i="10"/>
  <c r="AC44" i="10"/>
  <c r="Y44" i="10"/>
  <c r="U44" i="10"/>
  <c r="Q44" i="10"/>
  <c r="M44" i="10"/>
  <c r="AO44" i="10" s="1"/>
  <c r="BB43" i="10"/>
  <c r="AX43" i="10"/>
  <c r="AT43" i="10"/>
  <c r="BF43" i="10" s="1"/>
  <c r="AK43" i="10"/>
  <c r="AG43" i="10"/>
  <c r="AC43" i="10"/>
  <c r="Y43" i="10"/>
  <c r="U43" i="10"/>
  <c r="Q43" i="10"/>
  <c r="M43" i="10"/>
  <c r="AO43" i="10" s="1"/>
  <c r="BB42" i="10"/>
  <c r="AX42" i="10"/>
  <c r="AT42" i="10"/>
  <c r="BF42" i="10" s="1"/>
  <c r="AK42" i="10"/>
  <c r="AG42" i="10"/>
  <c r="AC42" i="10"/>
  <c r="Y42" i="10"/>
  <c r="U42" i="10"/>
  <c r="Q42" i="10"/>
  <c r="M42" i="10"/>
  <c r="AO42" i="10" s="1"/>
  <c r="BB41" i="10"/>
  <c r="AX41" i="10"/>
  <c r="AT41" i="10"/>
  <c r="BF41" i="10" s="1"/>
  <c r="AK41" i="10"/>
  <c r="AG41" i="10"/>
  <c r="AC41" i="10"/>
  <c r="Y41" i="10"/>
  <c r="U41" i="10"/>
  <c r="Q41" i="10"/>
  <c r="M41" i="10"/>
  <c r="AO41" i="10" s="1"/>
  <c r="BB40" i="10"/>
  <c r="AX40" i="10"/>
  <c r="AT40" i="10"/>
  <c r="BF40" i="10" s="1"/>
  <c r="AK40" i="10"/>
  <c r="AG40" i="10"/>
  <c r="AC40" i="10"/>
  <c r="Y40" i="10"/>
  <c r="U40" i="10"/>
  <c r="Q40" i="10"/>
  <c r="M40" i="10"/>
  <c r="BB39" i="10"/>
  <c r="AX39" i="10"/>
  <c r="AT39" i="10"/>
  <c r="AK39" i="10"/>
  <c r="AG39" i="10"/>
  <c r="AC39" i="10"/>
  <c r="Y39" i="10"/>
  <c r="U39" i="10"/>
  <c r="Q39" i="10"/>
  <c r="M39" i="10"/>
  <c r="AO39" i="10" s="1"/>
  <c r="BB38" i="10"/>
  <c r="AX38" i="10"/>
  <c r="AX46" i="10" s="1"/>
  <c r="AT38" i="10"/>
  <c r="BF38" i="10" s="1"/>
  <c r="AK38" i="10"/>
  <c r="AK46" i="10" s="1"/>
  <c r="AG38" i="10"/>
  <c r="AG46" i="10" s="1"/>
  <c r="AC38" i="10"/>
  <c r="AC46" i="10" s="1"/>
  <c r="Y38" i="10"/>
  <c r="Y46" i="10" s="1"/>
  <c r="U38" i="10"/>
  <c r="U46" i="10" s="1"/>
  <c r="Q38" i="10"/>
  <c r="Q46" i="10" s="1"/>
  <c r="M38" i="10"/>
  <c r="M46" i="10" s="1"/>
  <c r="BB32" i="10"/>
  <c r="AZ32" i="10"/>
  <c r="AX32" i="10"/>
  <c r="BF32" i="10" s="1"/>
  <c r="AV32" i="10"/>
  <c r="AT32" i="10"/>
  <c r="AR32" i="10"/>
  <c r="BD32" i="10" s="1"/>
  <c r="AK32" i="10"/>
  <c r="AI32" i="10"/>
  <c r="AG32" i="10"/>
  <c r="AE32" i="10"/>
  <c r="AC32" i="10"/>
  <c r="AA32" i="10"/>
  <c r="Y32" i="10"/>
  <c r="W32" i="10"/>
  <c r="U32" i="10"/>
  <c r="S32" i="10"/>
  <c r="Q32" i="10"/>
  <c r="AO32" i="10" s="1"/>
  <c r="O32" i="10"/>
  <c r="M32" i="10"/>
  <c r="K32" i="10"/>
  <c r="AM32" i="10" s="1"/>
  <c r="BB31" i="10"/>
  <c r="AZ31" i="10"/>
  <c r="AX31" i="10"/>
  <c r="BF31" i="10" s="1"/>
  <c r="AV31" i="10"/>
  <c r="AT31" i="10"/>
  <c r="AR31" i="10"/>
  <c r="BD31" i="10" s="1"/>
  <c r="AK31" i="10"/>
  <c r="AI31" i="10"/>
  <c r="AG31" i="10"/>
  <c r="AE31" i="10"/>
  <c r="AC31" i="10"/>
  <c r="AA31" i="10"/>
  <c r="Y31" i="10"/>
  <c r="W31" i="10"/>
  <c r="U31" i="10"/>
  <c r="S31" i="10"/>
  <c r="Q31" i="10"/>
  <c r="AO31" i="10" s="1"/>
  <c r="O31" i="10"/>
  <c r="M31" i="10"/>
  <c r="K31" i="10"/>
  <c r="AM31" i="10" s="1"/>
  <c r="BB30" i="10"/>
  <c r="AZ30" i="10"/>
  <c r="AX30" i="10"/>
  <c r="BF30" i="10" s="1"/>
  <c r="AV30" i="10"/>
  <c r="AT30" i="10"/>
  <c r="AR30" i="10"/>
  <c r="BD30" i="10" s="1"/>
  <c r="AK30" i="10"/>
  <c r="AI30" i="10"/>
  <c r="AG30" i="10"/>
  <c r="AE30" i="10"/>
  <c r="AC30" i="10"/>
  <c r="AA30" i="10"/>
  <c r="Y30" i="10"/>
  <c r="W30" i="10"/>
  <c r="U30" i="10"/>
  <c r="S30" i="10"/>
  <c r="Q30" i="10"/>
  <c r="AO30" i="10" s="1"/>
  <c r="O30" i="10"/>
  <c r="M30" i="10"/>
  <c r="K30" i="10"/>
  <c r="BB29" i="10"/>
  <c r="AZ29" i="10"/>
  <c r="AX29" i="10"/>
  <c r="BF29" i="10" s="1"/>
  <c r="AV29" i="10"/>
  <c r="AT29" i="10"/>
  <c r="AR29" i="10"/>
  <c r="BD29" i="10" s="1"/>
  <c r="AK29" i="10"/>
  <c r="AI29" i="10"/>
  <c r="AG29" i="10"/>
  <c r="AE29" i="10"/>
  <c r="AC29" i="10"/>
  <c r="AA29" i="10"/>
  <c r="Y29" i="10"/>
  <c r="W29" i="10"/>
  <c r="U29" i="10"/>
  <c r="S29" i="10"/>
  <c r="Q29" i="10"/>
  <c r="O29" i="10"/>
  <c r="M29" i="10"/>
  <c r="K29" i="10"/>
  <c r="BB28" i="10"/>
  <c r="AZ28" i="10"/>
  <c r="AX28" i="10"/>
  <c r="AV28" i="10"/>
  <c r="AT28" i="10"/>
  <c r="BF28" i="10" s="1"/>
  <c r="AR28" i="10"/>
  <c r="BD28" i="10" s="1"/>
  <c r="AK28" i="10"/>
  <c r="AI28" i="10"/>
  <c r="AG28" i="10"/>
  <c r="AE28" i="10"/>
  <c r="AC28" i="10"/>
  <c r="AA28" i="10"/>
  <c r="Y28" i="10"/>
  <c r="W28" i="10"/>
  <c r="U28" i="10"/>
  <c r="S28" i="10"/>
  <c r="Q28" i="10"/>
  <c r="O28" i="10"/>
  <c r="M28" i="10"/>
  <c r="K28" i="10"/>
  <c r="BB27" i="10"/>
  <c r="AZ27" i="10"/>
  <c r="AX27" i="10"/>
  <c r="AV27" i="10"/>
  <c r="AT27" i="10"/>
  <c r="BF27" i="10" s="1"/>
  <c r="AR27" i="10"/>
  <c r="BD27" i="10" s="1"/>
  <c r="AK27" i="10"/>
  <c r="AI27" i="10"/>
  <c r="AG27" i="10"/>
  <c r="AE27" i="10"/>
  <c r="AC27" i="10"/>
  <c r="AA27" i="10"/>
  <c r="Y27" i="10"/>
  <c r="W27" i="10"/>
  <c r="U27" i="10"/>
  <c r="S27" i="10"/>
  <c r="Q27" i="10"/>
  <c r="O27" i="10"/>
  <c r="M27" i="10"/>
  <c r="K27" i="10"/>
  <c r="BB26" i="10"/>
  <c r="AZ26" i="10"/>
  <c r="AX26" i="10"/>
  <c r="AV26" i="10"/>
  <c r="AT26" i="10"/>
  <c r="AR26" i="10"/>
  <c r="AK26" i="10"/>
  <c r="AI26" i="10"/>
  <c r="AG26" i="10"/>
  <c r="AE26" i="10"/>
  <c r="AC26" i="10"/>
  <c r="AA26" i="10"/>
  <c r="Y26" i="10"/>
  <c r="W26" i="10"/>
  <c r="U26" i="10"/>
  <c r="S26" i="10"/>
  <c r="Q26" i="10"/>
  <c r="O26" i="10"/>
  <c r="M26" i="10"/>
  <c r="K26" i="10"/>
  <c r="AM26" i="10" s="1"/>
  <c r="BB25" i="10"/>
  <c r="AZ25" i="10"/>
  <c r="AZ33" i="10" s="1"/>
  <c r="AX25" i="10"/>
  <c r="AX33" i="10" s="1"/>
  <c r="AV25" i="10"/>
  <c r="AT25" i="10"/>
  <c r="AR25" i="10"/>
  <c r="BD25" i="10" s="1"/>
  <c r="AK25" i="10"/>
  <c r="AK33" i="10" s="1"/>
  <c r="AI25" i="10"/>
  <c r="AI33" i="10" s="1"/>
  <c r="AG25" i="10"/>
  <c r="AE25" i="10"/>
  <c r="AE33" i="10" s="1"/>
  <c r="AC25" i="10"/>
  <c r="AC33" i="10" s="1"/>
  <c r="AA25" i="10"/>
  <c r="AA33" i="10" s="1"/>
  <c r="Y25" i="10"/>
  <c r="Y33" i="10" s="1"/>
  <c r="W25" i="10"/>
  <c r="W33" i="10" s="1"/>
  <c r="U25" i="10"/>
  <c r="U33" i="10" s="1"/>
  <c r="S25" i="10"/>
  <c r="S33" i="10" s="1"/>
  <c r="Q25" i="10"/>
  <c r="O25" i="10"/>
  <c r="O33" i="10" s="1"/>
  <c r="M25" i="10"/>
  <c r="K25" i="10"/>
  <c r="X17" i="10"/>
  <c r="X16" i="10"/>
  <c r="X15" i="10"/>
  <c r="X14" i="10"/>
  <c r="X13" i="10"/>
  <c r="X18" i="10" s="1"/>
  <c r="X19" i="10" s="1"/>
  <c r="AF8" i="10"/>
  <c r="S8" i="10"/>
  <c r="K8" i="10"/>
  <c r="AF7" i="10"/>
  <c r="AF6" i="10"/>
  <c r="K6" i="10"/>
  <c r="AF5" i="10"/>
  <c r="K5" i="10"/>
  <c r="AF4" i="10"/>
  <c r="K4" i="10"/>
  <c r="A2" i="10"/>
  <c r="A1" i="10"/>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X9" i="9"/>
  <c r="N9" i="9"/>
  <c r="F9" i="9"/>
  <c r="X8" i="9"/>
  <c r="X7" i="9"/>
  <c r="F7" i="9"/>
  <c r="X6" i="9"/>
  <c r="F6" i="9"/>
  <c r="X5" i="9"/>
  <c r="F5" i="9"/>
  <c r="A3" i="9"/>
  <c r="A2" i="9"/>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Z9" i="8"/>
  <c r="P9" i="8"/>
  <c r="H9" i="8"/>
  <c r="Z8" i="8"/>
  <c r="Z7" i="8"/>
  <c r="H7" i="8"/>
  <c r="Z6" i="8"/>
  <c r="H6" i="8"/>
  <c r="Z5" i="8"/>
  <c r="H5" i="8"/>
  <c r="A3" i="8"/>
  <c r="A2" i="8"/>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I14" i="7"/>
  <c r="AH14" i="7"/>
  <c r="AG14" i="7"/>
  <c r="AF14" i="7"/>
  <c r="AE14" i="7"/>
  <c r="AD14" i="7"/>
  <c r="AC14" i="7"/>
  <c r="AB14" i="7"/>
  <c r="AA14" i="7"/>
  <c r="Z14" i="7"/>
  <c r="Y14" i="7"/>
  <c r="X14" i="7"/>
  <c r="Z9" i="7"/>
  <c r="P9" i="7"/>
  <c r="H9" i="7"/>
  <c r="Z8" i="7"/>
  <c r="Z7" i="7"/>
  <c r="H7" i="7"/>
  <c r="Z6" i="7"/>
  <c r="H6" i="7"/>
  <c r="Z5" i="7"/>
  <c r="H5" i="7"/>
  <c r="A3" i="7"/>
  <c r="A2" i="7"/>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Y14" i="6"/>
  <c r="AX14" i="6"/>
  <c r="AW14" i="6"/>
  <c r="AV14" i="6"/>
  <c r="AU14" i="6"/>
  <c r="AT14" i="6"/>
  <c r="AS14" i="6"/>
  <c r="AR14" i="6"/>
  <c r="AQ14" i="6"/>
  <c r="AP14" i="6"/>
  <c r="AO14" i="6"/>
  <c r="AN14" i="6"/>
  <c r="AO9" i="6"/>
  <c r="Z9" i="6"/>
  <c r="K9" i="6"/>
  <c r="AO8" i="6"/>
  <c r="AO7" i="6"/>
  <c r="K7" i="6"/>
  <c r="AO6" i="6"/>
  <c r="K6" i="6"/>
  <c r="AO5" i="6"/>
  <c r="K5" i="6"/>
  <c r="A3" i="6"/>
  <c r="A2" i="6"/>
  <c r="V1613" i="5"/>
  <c r="F1613" i="5"/>
  <c r="D1613" i="5"/>
  <c r="B1613" i="5"/>
  <c r="A1613" i="5"/>
  <c r="V1612" i="5"/>
  <c r="F1612" i="5"/>
  <c r="D1612" i="5"/>
  <c r="B1612" i="5"/>
  <c r="A1612" i="5"/>
  <c r="V1611" i="5"/>
  <c r="F1611" i="5"/>
  <c r="D1611" i="5"/>
  <c r="B1611" i="5"/>
  <c r="A1611" i="5"/>
  <c r="V1610" i="5"/>
  <c r="F1610" i="5"/>
  <c r="D1610" i="5"/>
  <c r="B1610" i="5"/>
  <c r="A1610" i="5"/>
  <c r="V1609" i="5"/>
  <c r="F1609" i="5"/>
  <c r="D1609" i="5"/>
  <c r="B1609" i="5"/>
  <c r="A1609" i="5"/>
  <c r="V1608" i="5"/>
  <c r="F1608" i="5"/>
  <c r="D1608" i="5"/>
  <c r="B1608" i="5"/>
  <c r="A1608" i="5"/>
  <c r="V1607" i="5"/>
  <c r="F1607" i="5"/>
  <c r="D1607" i="5"/>
  <c r="B1607" i="5"/>
  <c r="A1607" i="5"/>
  <c r="V1606" i="5"/>
  <c r="F1606" i="5"/>
  <c r="D1606" i="5"/>
  <c r="B1606" i="5"/>
  <c r="A1606" i="5"/>
  <c r="V1605" i="5"/>
  <c r="F1605" i="5"/>
  <c r="D1605" i="5"/>
  <c r="B1605" i="5"/>
  <c r="A1605" i="5"/>
  <c r="V1604" i="5"/>
  <c r="F1604" i="5"/>
  <c r="D1604" i="5"/>
  <c r="B1604" i="5"/>
  <c r="A1604" i="5"/>
  <c r="V1603" i="5"/>
  <c r="F1603" i="5"/>
  <c r="D1603" i="5"/>
  <c r="B1603" i="5"/>
  <c r="A1603" i="5"/>
  <c r="V1602" i="5"/>
  <c r="F1602" i="5"/>
  <c r="D1602" i="5"/>
  <c r="B1602" i="5"/>
  <c r="A1602" i="5"/>
  <c r="V1601" i="5"/>
  <c r="F1601" i="5"/>
  <c r="D1601" i="5"/>
  <c r="B1601" i="5"/>
  <c r="A1601" i="5"/>
  <c r="V1600" i="5"/>
  <c r="F1600" i="5"/>
  <c r="D1600" i="5"/>
  <c r="B1600" i="5"/>
  <c r="A1600" i="5"/>
  <c r="V1599" i="5"/>
  <c r="F1599" i="5"/>
  <c r="D1599" i="5"/>
  <c r="B1599" i="5"/>
  <c r="A1599" i="5"/>
  <c r="V1598" i="5"/>
  <c r="F1598" i="5"/>
  <c r="D1598" i="5"/>
  <c r="B1598" i="5"/>
  <c r="A1598" i="5"/>
  <c r="V1597" i="5"/>
  <c r="F1597" i="5"/>
  <c r="D1597" i="5"/>
  <c r="B1597" i="5"/>
  <c r="A1597" i="5"/>
  <c r="V1596" i="5"/>
  <c r="F1596" i="5"/>
  <c r="D1596" i="5"/>
  <c r="B1596" i="5"/>
  <c r="A1596" i="5"/>
  <c r="V1595" i="5"/>
  <c r="F1595" i="5"/>
  <c r="D1595" i="5"/>
  <c r="B1595" i="5"/>
  <c r="A1595" i="5"/>
  <c r="V1594" i="5"/>
  <c r="F1594" i="5"/>
  <c r="D1594" i="5"/>
  <c r="B1594" i="5"/>
  <c r="A1594" i="5"/>
  <c r="V1593" i="5"/>
  <c r="F1593" i="5"/>
  <c r="D1593" i="5"/>
  <c r="B1593" i="5"/>
  <c r="A1593" i="5"/>
  <c r="V1592" i="5"/>
  <c r="F1592" i="5"/>
  <c r="D1592" i="5"/>
  <c r="B1592" i="5"/>
  <c r="A1592" i="5"/>
  <c r="V1591" i="5"/>
  <c r="F1591" i="5"/>
  <c r="D1591" i="5"/>
  <c r="B1591" i="5"/>
  <c r="A1591" i="5"/>
  <c r="V1590" i="5"/>
  <c r="F1590" i="5"/>
  <c r="D1590" i="5"/>
  <c r="B1590" i="5"/>
  <c r="A1590" i="5"/>
  <c r="V1589" i="5"/>
  <c r="F1589" i="5"/>
  <c r="D1589" i="5"/>
  <c r="B1589" i="5"/>
  <c r="A1589" i="5"/>
  <c r="V1588" i="5"/>
  <c r="F1588" i="5"/>
  <c r="D1588" i="5"/>
  <c r="B1588" i="5"/>
  <c r="A1588" i="5"/>
  <c r="V1587" i="5"/>
  <c r="F1587" i="5"/>
  <c r="D1587" i="5"/>
  <c r="B1587" i="5"/>
  <c r="A1587" i="5"/>
  <c r="V1586" i="5"/>
  <c r="F1586" i="5"/>
  <c r="D1586" i="5"/>
  <c r="B1586" i="5"/>
  <c r="A1586" i="5"/>
  <c r="V1585" i="5"/>
  <c r="F1585" i="5"/>
  <c r="D1585" i="5"/>
  <c r="B1585" i="5"/>
  <c r="A1585" i="5"/>
  <c r="V1584" i="5"/>
  <c r="F1584" i="5"/>
  <c r="D1584" i="5"/>
  <c r="B1584" i="5"/>
  <c r="A1584" i="5"/>
  <c r="V1583" i="5"/>
  <c r="F1583" i="5"/>
  <c r="D1583" i="5"/>
  <c r="B1583" i="5"/>
  <c r="A1583" i="5"/>
  <c r="V1582" i="5"/>
  <c r="F1582" i="5"/>
  <c r="D1582" i="5"/>
  <c r="B1582" i="5"/>
  <c r="A1582" i="5"/>
  <c r="V1581" i="5"/>
  <c r="F1581" i="5"/>
  <c r="D1581" i="5"/>
  <c r="B1581" i="5"/>
  <c r="A1581" i="5"/>
  <c r="V1580" i="5"/>
  <c r="F1580" i="5"/>
  <c r="D1580" i="5"/>
  <c r="B1580" i="5"/>
  <c r="A1580" i="5"/>
  <c r="V1579" i="5"/>
  <c r="F1579" i="5"/>
  <c r="D1579" i="5"/>
  <c r="B1579" i="5"/>
  <c r="A1579" i="5"/>
  <c r="V1578" i="5"/>
  <c r="F1578" i="5"/>
  <c r="D1578" i="5"/>
  <c r="B1578" i="5"/>
  <c r="A1578" i="5"/>
  <c r="V1577" i="5"/>
  <c r="F1577" i="5"/>
  <c r="D1577" i="5"/>
  <c r="B1577" i="5"/>
  <c r="A1577" i="5"/>
  <c r="V1576" i="5"/>
  <c r="F1576" i="5"/>
  <c r="D1576" i="5"/>
  <c r="B1576" i="5"/>
  <c r="A1576" i="5"/>
  <c r="V1575" i="5"/>
  <c r="F1575" i="5"/>
  <c r="D1575" i="5"/>
  <c r="B1575" i="5"/>
  <c r="A1575" i="5"/>
  <c r="V1574" i="5"/>
  <c r="F1574" i="5"/>
  <c r="D1574" i="5"/>
  <c r="B1574" i="5"/>
  <c r="A1574" i="5"/>
  <c r="V1573" i="5"/>
  <c r="F1573" i="5"/>
  <c r="D1573" i="5"/>
  <c r="B1573" i="5"/>
  <c r="A1573" i="5"/>
  <c r="V1572" i="5"/>
  <c r="F1572" i="5"/>
  <c r="D1572" i="5"/>
  <c r="B1572" i="5"/>
  <c r="A1572" i="5"/>
  <c r="V1571" i="5"/>
  <c r="F1571" i="5"/>
  <c r="D1571" i="5"/>
  <c r="B1571" i="5"/>
  <c r="A1571" i="5"/>
  <c r="V1570" i="5"/>
  <c r="F1570" i="5"/>
  <c r="D1570" i="5"/>
  <c r="B1570" i="5"/>
  <c r="A1570" i="5"/>
  <c r="V1569" i="5"/>
  <c r="F1569" i="5"/>
  <c r="D1569" i="5"/>
  <c r="B1569" i="5"/>
  <c r="A1569" i="5"/>
  <c r="V1568" i="5"/>
  <c r="F1568" i="5"/>
  <c r="D1568" i="5"/>
  <c r="B1568" i="5"/>
  <c r="A1568" i="5"/>
  <c r="V1567" i="5"/>
  <c r="F1567" i="5"/>
  <c r="D1567" i="5"/>
  <c r="B1567" i="5"/>
  <c r="A1567" i="5"/>
  <c r="V1566" i="5"/>
  <c r="F1566" i="5"/>
  <c r="D1566" i="5"/>
  <c r="B1566" i="5"/>
  <c r="A1566" i="5"/>
  <c r="V1565" i="5"/>
  <c r="F1565" i="5"/>
  <c r="D1565" i="5"/>
  <c r="B1565" i="5"/>
  <c r="A1565" i="5"/>
  <c r="V1564" i="5"/>
  <c r="F1564" i="5"/>
  <c r="D1564" i="5"/>
  <c r="B1564" i="5"/>
  <c r="A1564" i="5"/>
  <c r="V1563" i="5"/>
  <c r="F1563" i="5"/>
  <c r="D1563" i="5"/>
  <c r="B1563" i="5"/>
  <c r="A1563" i="5"/>
  <c r="V1562" i="5"/>
  <c r="F1562" i="5"/>
  <c r="D1562" i="5"/>
  <c r="B1562" i="5"/>
  <c r="A1562" i="5"/>
  <c r="V1561" i="5"/>
  <c r="F1561" i="5"/>
  <c r="D1561" i="5"/>
  <c r="B1561" i="5"/>
  <c r="A1561" i="5"/>
  <c r="V1560" i="5"/>
  <c r="F1560" i="5"/>
  <c r="D1560" i="5"/>
  <c r="B1560" i="5"/>
  <c r="A1560" i="5"/>
  <c r="V1559" i="5"/>
  <c r="F1559" i="5"/>
  <c r="D1559" i="5"/>
  <c r="B1559" i="5"/>
  <c r="A1559" i="5"/>
  <c r="V1558" i="5"/>
  <c r="F1558" i="5"/>
  <c r="D1558" i="5"/>
  <c r="B1558" i="5"/>
  <c r="A1558" i="5"/>
  <c r="V1557" i="5"/>
  <c r="F1557" i="5"/>
  <c r="D1557" i="5"/>
  <c r="B1557" i="5"/>
  <c r="A1557" i="5"/>
  <c r="V1556" i="5"/>
  <c r="F1556" i="5"/>
  <c r="D1556" i="5"/>
  <c r="B1556" i="5"/>
  <c r="A1556" i="5"/>
  <c r="V1555" i="5"/>
  <c r="F1555" i="5"/>
  <c r="D1555" i="5"/>
  <c r="B1555" i="5"/>
  <c r="A1555" i="5"/>
  <c r="V1554" i="5"/>
  <c r="F1554" i="5"/>
  <c r="D1554" i="5"/>
  <c r="B1554" i="5"/>
  <c r="A1554" i="5"/>
  <c r="V1553" i="5"/>
  <c r="F1553" i="5"/>
  <c r="D1553" i="5"/>
  <c r="B1553" i="5"/>
  <c r="A1553" i="5"/>
  <c r="V1552" i="5"/>
  <c r="F1552" i="5"/>
  <c r="D1552" i="5"/>
  <c r="B1552" i="5"/>
  <c r="A1552" i="5"/>
  <c r="V1551" i="5"/>
  <c r="F1551" i="5"/>
  <c r="D1551" i="5"/>
  <c r="B1551" i="5"/>
  <c r="A1551" i="5"/>
  <c r="V1550" i="5"/>
  <c r="F1550" i="5"/>
  <c r="D1550" i="5"/>
  <c r="B1550" i="5"/>
  <c r="A1550" i="5"/>
  <c r="V1549" i="5"/>
  <c r="F1549" i="5"/>
  <c r="D1549" i="5"/>
  <c r="B1549" i="5"/>
  <c r="A1549" i="5"/>
  <c r="V1548" i="5"/>
  <c r="F1548" i="5"/>
  <c r="D1548" i="5"/>
  <c r="B1548" i="5"/>
  <c r="A1548" i="5"/>
  <c r="V1547" i="5"/>
  <c r="F1547" i="5"/>
  <c r="D1547" i="5"/>
  <c r="B1547" i="5"/>
  <c r="A1547" i="5"/>
  <c r="V1546" i="5"/>
  <c r="F1546" i="5"/>
  <c r="D1546" i="5"/>
  <c r="B1546" i="5"/>
  <c r="A1546" i="5"/>
  <c r="V1545" i="5"/>
  <c r="F1545" i="5"/>
  <c r="D1545" i="5"/>
  <c r="B1545" i="5"/>
  <c r="A1545" i="5"/>
  <c r="V1544" i="5"/>
  <c r="F1544" i="5"/>
  <c r="D1544" i="5"/>
  <c r="B1544" i="5"/>
  <c r="A1544" i="5"/>
  <c r="V1543" i="5"/>
  <c r="F1543" i="5"/>
  <c r="D1543" i="5"/>
  <c r="B1543" i="5"/>
  <c r="A1543" i="5"/>
  <c r="V1542" i="5"/>
  <c r="F1542" i="5"/>
  <c r="D1542" i="5"/>
  <c r="B1542" i="5"/>
  <c r="A1542" i="5"/>
  <c r="V1541" i="5"/>
  <c r="F1541" i="5"/>
  <c r="D1541" i="5"/>
  <c r="B1541" i="5"/>
  <c r="A1541" i="5"/>
  <c r="V1540" i="5"/>
  <c r="F1540" i="5"/>
  <c r="D1540" i="5"/>
  <c r="B1540" i="5"/>
  <c r="A1540" i="5"/>
  <c r="V1539" i="5"/>
  <c r="F1539" i="5"/>
  <c r="D1539" i="5"/>
  <c r="B1539" i="5"/>
  <c r="A1539" i="5"/>
  <c r="V1538" i="5"/>
  <c r="F1538" i="5"/>
  <c r="D1538" i="5"/>
  <c r="B1538" i="5"/>
  <c r="A1538" i="5"/>
  <c r="V1537" i="5"/>
  <c r="F1537" i="5"/>
  <c r="D1537" i="5"/>
  <c r="B1537" i="5"/>
  <c r="A1537" i="5"/>
  <c r="V1536" i="5"/>
  <c r="F1536" i="5"/>
  <c r="D1536" i="5"/>
  <c r="B1536" i="5"/>
  <c r="A1536" i="5"/>
  <c r="V1535" i="5"/>
  <c r="F1535" i="5"/>
  <c r="D1535" i="5"/>
  <c r="B1535" i="5"/>
  <c r="A1535" i="5"/>
  <c r="V1534" i="5"/>
  <c r="F1534" i="5"/>
  <c r="D1534" i="5"/>
  <c r="B1534" i="5"/>
  <c r="A1534" i="5"/>
  <c r="V1533" i="5"/>
  <c r="F1533" i="5"/>
  <c r="D1533" i="5"/>
  <c r="B1533" i="5"/>
  <c r="A1533" i="5"/>
  <c r="V1532" i="5"/>
  <c r="F1532" i="5"/>
  <c r="D1532" i="5"/>
  <c r="B1532" i="5"/>
  <c r="A1532" i="5"/>
  <c r="V1531" i="5"/>
  <c r="F1531" i="5"/>
  <c r="D1531" i="5"/>
  <c r="B1531" i="5"/>
  <c r="A1531" i="5"/>
  <c r="V1530" i="5"/>
  <c r="F1530" i="5"/>
  <c r="D1530" i="5"/>
  <c r="B1530" i="5"/>
  <c r="A1530" i="5"/>
  <c r="V1529" i="5"/>
  <c r="F1529" i="5"/>
  <c r="D1529" i="5"/>
  <c r="B1529" i="5"/>
  <c r="A1529" i="5"/>
  <c r="V1528" i="5"/>
  <c r="F1528" i="5"/>
  <c r="D1528" i="5"/>
  <c r="B1528" i="5"/>
  <c r="A1528" i="5"/>
  <c r="V1527" i="5"/>
  <c r="F1527" i="5"/>
  <c r="D1527" i="5"/>
  <c r="B1527" i="5"/>
  <c r="A1527" i="5"/>
  <c r="V1526" i="5"/>
  <c r="F1526" i="5"/>
  <c r="D1526" i="5"/>
  <c r="B1526" i="5"/>
  <c r="A1526" i="5"/>
  <c r="V1525" i="5"/>
  <c r="F1525" i="5"/>
  <c r="D1525" i="5"/>
  <c r="B1525" i="5"/>
  <c r="A1525" i="5"/>
  <c r="V1524" i="5"/>
  <c r="F1524" i="5"/>
  <c r="D1524" i="5"/>
  <c r="B1524" i="5"/>
  <c r="A1524" i="5"/>
  <c r="V1523" i="5"/>
  <c r="F1523" i="5"/>
  <c r="D1523" i="5"/>
  <c r="B1523" i="5"/>
  <c r="A1523" i="5"/>
  <c r="V1522" i="5"/>
  <c r="F1522" i="5"/>
  <c r="D1522" i="5"/>
  <c r="B1522" i="5"/>
  <c r="A1522" i="5"/>
  <c r="V1521" i="5"/>
  <c r="F1521" i="5"/>
  <c r="D1521" i="5"/>
  <c r="B1521" i="5"/>
  <c r="A1521" i="5"/>
  <c r="V1520" i="5"/>
  <c r="F1520" i="5"/>
  <c r="D1520" i="5"/>
  <c r="B1520" i="5"/>
  <c r="A1520" i="5"/>
  <c r="V1519" i="5"/>
  <c r="F1519" i="5"/>
  <c r="D1519" i="5"/>
  <c r="B1519" i="5"/>
  <c r="A1519" i="5"/>
  <c r="V1518" i="5"/>
  <c r="F1518" i="5"/>
  <c r="D1518" i="5"/>
  <c r="B1518" i="5"/>
  <c r="A1518" i="5"/>
  <c r="V1517" i="5"/>
  <c r="F1517" i="5"/>
  <c r="D1517" i="5"/>
  <c r="B1517" i="5"/>
  <c r="A1517" i="5"/>
  <c r="V1516" i="5"/>
  <c r="F1516" i="5"/>
  <c r="D1516" i="5"/>
  <c r="B1516" i="5"/>
  <c r="A1516" i="5"/>
  <c r="V1515" i="5"/>
  <c r="F1515" i="5"/>
  <c r="D1515" i="5"/>
  <c r="B1515" i="5"/>
  <c r="A1515" i="5"/>
  <c r="V1514" i="5"/>
  <c r="F1514" i="5"/>
  <c r="D1514" i="5"/>
  <c r="B1514" i="5"/>
  <c r="A1514" i="5"/>
  <c r="V1513" i="5"/>
  <c r="F1513" i="5"/>
  <c r="D1513" i="5"/>
  <c r="B1513" i="5"/>
  <c r="A1513" i="5"/>
  <c r="V1512" i="5"/>
  <c r="F1512" i="5"/>
  <c r="D1512" i="5"/>
  <c r="B1512" i="5"/>
  <c r="A1512" i="5"/>
  <c r="V1511" i="5"/>
  <c r="F1511" i="5"/>
  <c r="D1511" i="5"/>
  <c r="B1511" i="5"/>
  <c r="A1511" i="5"/>
  <c r="V1510" i="5"/>
  <c r="F1510" i="5"/>
  <c r="D1510" i="5"/>
  <c r="B1510" i="5"/>
  <c r="A1510" i="5"/>
  <c r="V1509" i="5"/>
  <c r="F1509" i="5"/>
  <c r="D1509" i="5"/>
  <c r="B1509" i="5"/>
  <c r="A1509" i="5"/>
  <c r="V1508" i="5"/>
  <c r="F1508" i="5"/>
  <c r="D1508" i="5"/>
  <c r="B1508" i="5"/>
  <c r="A1508" i="5"/>
  <c r="V1507" i="5"/>
  <c r="F1507" i="5"/>
  <c r="D1507" i="5"/>
  <c r="B1507" i="5"/>
  <c r="A1507" i="5"/>
  <c r="V1506" i="5"/>
  <c r="F1506" i="5"/>
  <c r="D1506" i="5"/>
  <c r="B1506" i="5"/>
  <c r="A1506" i="5"/>
  <c r="V1505" i="5"/>
  <c r="F1505" i="5"/>
  <c r="D1505" i="5"/>
  <c r="B1505" i="5"/>
  <c r="A1505" i="5"/>
  <c r="V1504" i="5"/>
  <c r="F1504" i="5"/>
  <c r="D1504" i="5"/>
  <c r="B1504" i="5"/>
  <c r="A1504" i="5"/>
  <c r="V1503" i="5"/>
  <c r="F1503" i="5"/>
  <c r="D1503" i="5"/>
  <c r="B1503" i="5"/>
  <c r="A1503" i="5"/>
  <c r="V1502" i="5"/>
  <c r="F1502" i="5"/>
  <c r="D1502" i="5"/>
  <c r="B1502" i="5"/>
  <c r="A1502" i="5"/>
  <c r="V1501" i="5"/>
  <c r="F1501" i="5"/>
  <c r="D1501" i="5"/>
  <c r="B1501" i="5"/>
  <c r="A1501" i="5"/>
  <c r="V1500" i="5"/>
  <c r="F1500" i="5"/>
  <c r="D1500" i="5"/>
  <c r="B1500" i="5"/>
  <c r="A1500" i="5"/>
  <c r="V1499" i="5"/>
  <c r="F1499" i="5"/>
  <c r="D1499" i="5"/>
  <c r="B1499" i="5"/>
  <c r="A1499" i="5"/>
  <c r="V1498" i="5"/>
  <c r="F1498" i="5"/>
  <c r="D1498" i="5"/>
  <c r="B1498" i="5"/>
  <c r="A1498" i="5"/>
  <c r="V1497" i="5"/>
  <c r="F1497" i="5"/>
  <c r="D1497" i="5"/>
  <c r="B1497" i="5"/>
  <c r="A1497" i="5"/>
  <c r="V1496" i="5"/>
  <c r="F1496" i="5"/>
  <c r="D1496" i="5"/>
  <c r="B1496" i="5"/>
  <c r="A1496" i="5"/>
  <c r="V1495" i="5"/>
  <c r="F1495" i="5"/>
  <c r="D1495" i="5"/>
  <c r="B1495" i="5"/>
  <c r="A1495" i="5"/>
  <c r="V1494" i="5"/>
  <c r="F1494" i="5"/>
  <c r="D1494" i="5"/>
  <c r="B1494" i="5"/>
  <c r="A1494" i="5"/>
  <c r="V1493" i="5"/>
  <c r="F1493" i="5"/>
  <c r="D1493" i="5"/>
  <c r="B1493" i="5"/>
  <c r="A1493" i="5"/>
  <c r="V1492" i="5"/>
  <c r="F1492" i="5"/>
  <c r="D1492" i="5"/>
  <c r="B1492" i="5"/>
  <c r="A1492" i="5"/>
  <c r="V1491" i="5"/>
  <c r="F1491" i="5"/>
  <c r="D1491" i="5"/>
  <c r="B1491" i="5"/>
  <c r="A1491" i="5"/>
  <c r="V1490" i="5"/>
  <c r="F1490" i="5"/>
  <c r="D1490" i="5"/>
  <c r="B1490" i="5"/>
  <c r="A1490" i="5"/>
  <c r="V1489" i="5"/>
  <c r="F1489" i="5"/>
  <c r="D1489" i="5"/>
  <c r="B1489" i="5"/>
  <c r="A1489" i="5"/>
  <c r="V1488" i="5"/>
  <c r="F1488" i="5"/>
  <c r="D1488" i="5"/>
  <c r="B1488" i="5"/>
  <c r="A1488" i="5"/>
  <c r="V1487" i="5"/>
  <c r="F1487" i="5"/>
  <c r="D1487" i="5"/>
  <c r="B1487" i="5"/>
  <c r="A1487" i="5"/>
  <c r="V1486" i="5"/>
  <c r="F1486" i="5"/>
  <c r="D1486" i="5"/>
  <c r="B1486" i="5"/>
  <c r="A1486" i="5"/>
  <c r="V1485" i="5"/>
  <c r="F1485" i="5"/>
  <c r="D1485" i="5"/>
  <c r="B1485" i="5"/>
  <c r="A1485" i="5"/>
  <c r="V1484" i="5"/>
  <c r="F1484" i="5"/>
  <c r="D1484" i="5"/>
  <c r="B1484" i="5"/>
  <c r="A1484" i="5"/>
  <c r="V1483" i="5"/>
  <c r="F1483" i="5"/>
  <c r="D1483" i="5"/>
  <c r="B1483" i="5"/>
  <c r="A1483" i="5"/>
  <c r="V1482" i="5"/>
  <c r="F1482" i="5"/>
  <c r="D1482" i="5"/>
  <c r="B1482" i="5"/>
  <c r="A1482" i="5"/>
  <c r="V1481" i="5"/>
  <c r="F1481" i="5"/>
  <c r="D1481" i="5"/>
  <c r="B1481" i="5"/>
  <c r="A1481" i="5"/>
  <c r="V1480" i="5"/>
  <c r="F1480" i="5"/>
  <c r="D1480" i="5"/>
  <c r="B1480" i="5"/>
  <c r="A1480" i="5"/>
  <c r="V1479" i="5"/>
  <c r="F1479" i="5"/>
  <c r="D1479" i="5"/>
  <c r="B1479" i="5"/>
  <c r="A1479" i="5"/>
  <c r="V1478" i="5"/>
  <c r="F1478" i="5"/>
  <c r="D1478" i="5"/>
  <c r="B1478" i="5"/>
  <c r="A1478" i="5"/>
  <c r="V1477" i="5"/>
  <c r="F1477" i="5"/>
  <c r="D1477" i="5"/>
  <c r="B1477" i="5"/>
  <c r="A1477" i="5"/>
  <c r="V1476" i="5"/>
  <c r="F1476" i="5"/>
  <c r="D1476" i="5"/>
  <c r="B1476" i="5"/>
  <c r="A1476" i="5"/>
  <c r="V1475" i="5"/>
  <c r="F1475" i="5"/>
  <c r="D1475" i="5"/>
  <c r="B1475" i="5"/>
  <c r="A1475" i="5"/>
  <c r="V1474" i="5"/>
  <c r="F1474" i="5"/>
  <c r="D1474" i="5"/>
  <c r="B1474" i="5"/>
  <c r="A1474" i="5"/>
  <c r="V1473" i="5"/>
  <c r="F1473" i="5"/>
  <c r="D1473" i="5"/>
  <c r="B1473" i="5"/>
  <c r="A1473" i="5"/>
  <c r="V1472" i="5"/>
  <c r="F1472" i="5"/>
  <c r="D1472" i="5"/>
  <c r="B1472" i="5"/>
  <c r="A1472" i="5"/>
  <c r="V1471" i="5"/>
  <c r="F1471" i="5"/>
  <c r="D1471" i="5"/>
  <c r="B1471" i="5"/>
  <c r="A1471" i="5"/>
  <c r="V1470" i="5"/>
  <c r="F1470" i="5"/>
  <c r="D1470" i="5"/>
  <c r="B1470" i="5"/>
  <c r="A1470" i="5"/>
  <c r="V1469" i="5"/>
  <c r="F1469" i="5"/>
  <c r="D1469" i="5"/>
  <c r="B1469" i="5"/>
  <c r="A1469" i="5"/>
  <c r="V1468" i="5"/>
  <c r="F1468" i="5"/>
  <c r="D1468" i="5"/>
  <c r="B1468" i="5"/>
  <c r="A1468" i="5"/>
  <c r="V1467" i="5"/>
  <c r="F1467" i="5"/>
  <c r="D1467" i="5"/>
  <c r="B1467" i="5"/>
  <c r="A1467" i="5"/>
  <c r="V1466" i="5"/>
  <c r="F1466" i="5"/>
  <c r="D1466" i="5"/>
  <c r="B1466" i="5"/>
  <c r="A1466" i="5"/>
  <c r="V1465" i="5"/>
  <c r="F1465" i="5"/>
  <c r="D1465" i="5"/>
  <c r="B1465" i="5"/>
  <c r="A1465" i="5"/>
  <c r="V1464" i="5"/>
  <c r="F1464" i="5"/>
  <c r="D1464" i="5"/>
  <c r="B1464" i="5"/>
  <c r="A1464" i="5"/>
  <c r="V1463" i="5"/>
  <c r="F1463" i="5"/>
  <c r="D1463" i="5"/>
  <c r="B1463" i="5"/>
  <c r="A1463" i="5"/>
  <c r="V1462" i="5"/>
  <c r="F1462" i="5"/>
  <c r="D1462" i="5"/>
  <c r="B1462" i="5"/>
  <c r="A1462" i="5"/>
  <c r="V1461" i="5"/>
  <c r="F1461" i="5"/>
  <c r="D1461" i="5"/>
  <c r="B1461" i="5"/>
  <c r="A1461" i="5"/>
  <c r="V1460" i="5"/>
  <c r="F1460" i="5"/>
  <c r="D1460" i="5"/>
  <c r="B1460" i="5"/>
  <c r="A1460" i="5"/>
  <c r="V1459" i="5"/>
  <c r="F1459" i="5"/>
  <c r="D1459" i="5"/>
  <c r="B1459" i="5"/>
  <c r="A1459" i="5"/>
  <c r="V1458" i="5"/>
  <c r="F1458" i="5"/>
  <c r="D1458" i="5"/>
  <c r="B1458" i="5"/>
  <c r="A1458" i="5"/>
  <c r="V1457" i="5"/>
  <c r="F1457" i="5"/>
  <c r="D1457" i="5"/>
  <c r="B1457" i="5"/>
  <c r="A1457" i="5"/>
  <c r="V1456" i="5"/>
  <c r="F1456" i="5"/>
  <c r="D1456" i="5"/>
  <c r="B1456" i="5"/>
  <c r="A1456" i="5"/>
  <c r="V1455" i="5"/>
  <c r="F1455" i="5"/>
  <c r="D1455" i="5"/>
  <c r="B1455" i="5"/>
  <c r="A1455" i="5"/>
  <c r="V1454" i="5"/>
  <c r="F1454" i="5"/>
  <c r="D1454" i="5"/>
  <c r="B1454" i="5"/>
  <c r="A1454" i="5"/>
  <c r="V1453" i="5"/>
  <c r="F1453" i="5"/>
  <c r="D1453" i="5"/>
  <c r="B1453" i="5"/>
  <c r="A1453" i="5"/>
  <c r="V1452" i="5"/>
  <c r="F1452" i="5"/>
  <c r="D1452" i="5"/>
  <c r="B1452" i="5"/>
  <c r="A1452" i="5"/>
  <c r="V1451" i="5"/>
  <c r="F1451" i="5"/>
  <c r="D1451" i="5"/>
  <c r="B1451" i="5"/>
  <c r="A1451" i="5"/>
  <c r="V1450" i="5"/>
  <c r="F1450" i="5"/>
  <c r="D1450" i="5"/>
  <c r="B1450" i="5"/>
  <c r="A1450" i="5"/>
  <c r="V1449" i="5"/>
  <c r="F1449" i="5"/>
  <c r="D1449" i="5"/>
  <c r="B1449" i="5"/>
  <c r="A1449" i="5"/>
  <c r="V1448" i="5"/>
  <c r="F1448" i="5"/>
  <c r="D1448" i="5"/>
  <c r="B1448" i="5"/>
  <c r="A1448" i="5"/>
  <c r="V1447" i="5"/>
  <c r="F1447" i="5"/>
  <c r="D1447" i="5"/>
  <c r="B1447" i="5"/>
  <c r="A1447" i="5"/>
  <c r="V1446" i="5"/>
  <c r="F1446" i="5"/>
  <c r="D1446" i="5"/>
  <c r="B1446" i="5"/>
  <c r="A1446" i="5"/>
  <c r="V1445" i="5"/>
  <c r="F1445" i="5"/>
  <c r="D1445" i="5"/>
  <c r="B1445" i="5"/>
  <c r="A1445" i="5"/>
  <c r="V1444" i="5"/>
  <c r="F1444" i="5"/>
  <c r="D1444" i="5"/>
  <c r="B1444" i="5"/>
  <c r="A1444" i="5"/>
  <c r="V1443" i="5"/>
  <c r="F1443" i="5"/>
  <c r="D1443" i="5"/>
  <c r="B1443" i="5"/>
  <c r="A1443" i="5"/>
  <c r="V1442" i="5"/>
  <c r="F1442" i="5"/>
  <c r="D1442" i="5"/>
  <c r="B1442" i="5"/>
  <c r="A1442" i="5"/>
  <c r="V1441" i="5"/>
  <c r="F1441" i="5"/>
  <c r="D1441" i="5"/>
  <c r="B1441" i="5"/>
  <c r="A1441" i="5"/>
  <c r="V1440" i="5"/>
  <c r="F1440" i="5"/>
  <c r="D1440" i="5"/>
  <c r="B1440" i="5"/>
  <c r="A1440" i="5"/>
  <c r="V1439" i="5"/>
  <c r="F1439" i="5"/>
  <c r="D1439" i="5"/>
  <c r="B1439" i="5"/>
  <c r="A1439" i="5"/>
  <c r="V1438" i="5"/>
  <c r="F1438" i="5"/>
  <c r="D1438" i="5"/>
  <c r="B1438" i="5"/>
  <c r="A1438" i="5"/>
  <c r="V1437" i="5"/>
  <c r="F1437" i="5"/>
  <c r="D1437" i="5"/>
  <c r="B1437" i="5"/>
  <c r="A1437" i="5"/>
  <c r="V1436" i="5"/>
  <c r="F1436" i="5"/>
  <c r="D1436" i="5"/>
  <c r="B1436" i="5"/>
  <c r="A1436" i="5"/>
  <c r="V1435" i="5"/>
  <c r="F1435" i="5"/>
  <c r="D1435" i="5"/>
  <c r="B1435" i="5"/>
  <c r="A1435" i="5"/>
  <c r="V1434" i="5"/>
  <c r="F1434" i="5"/>
  <c r="D1434" i="5"/>
  <c r="B1434" i="5"/>
  <c r="A1434" i="5"/>
  <c r="V1433" i="5"/>
  <c r="F1433" i="5"/>
  <c r="D1433" i="5"/>
  <c r="B1433" i="5"/>
  <c r="A1433" i="5"/>
  <c r="V1432" i="5"/>
  <c r="F1432" i="5"/>
  <c r="D1432" i="5"/>
  <c r="B1432" i="5"/>
  <c r="A1432" i="5"/>
  <c r="V1431" i="5"/>
  <c r="F1431" i="5"/>
  <c r="D1431" i="5"/>
  <c r="B1431" i="5"/>
  <c r="A1431" i="5"/>
  <c r="V1430" i="5"/>
  <c r="F1430" i="5"/>
  <c r="D1430" i="5"/>
  <c r="B1430" i="5"/>
  <c r="A1430" i="5"/>
  <c r="V1429" i="5"/>
  <c r="F1429" i="5"/>
  <c r="D1429" i="5"/>
  <c r="B1429" i="5"/>
  <c r="A1429" i="5"/>
  <c r="V1428" i="5"/>
  <c r="F1428" i="5"/>
  <c r="D1428" i="5"/>
  <c r="B1428" i="5"/>
  <c r="A1428" i="5"/>
  <c r="V1427" i="5"/>
  <c r="F1427" i="5"/>
  <c r="D1427" i="5"/>
  <c r="B1427" i="5"/>
  <c r="A1427" i="5"/>
  <c r="V1426" i="5"/>
  <c r="F1426" i="5"/>
  <c r="D1426" i="5"/>
  <c r="B1426" i="5"/>
  <c r="A1426" i="5"/>
  <c r="V1425" i="5"/>
  <c r="F1425" i="5"/>
  <c r="D1425" i="5"/>
  <c r="B1425" i="5"/>
  <c r="A1425" i="5"/>
  <c r="V1424" i="5"/>
  <c r="F1424" i="5"/>
  <c r="D1424" i="5"/>
  <c r="B1424" i="5"/>
  <c r="A1424" i="5"/>
  <c r="V1423" i="5"/>
  <c r="F1423" i="5"/>
  <c r="D1423" i="5"/>
  <c r="B1423" i="5"/>
  <c r="A1423" i="5"/>
  <c r="V1422" i="5"/>
  <c r="F1422" i="5"/>
  <c r="D1422" i="5"/>
  <c r="B1422" i="5"/>
  <c r="A1422" i="5"/>
  <c r="V1421" i="5"/>
  <c r="F1421" i="5"/>
  <c r="D1421" i="5"/>
  <c r="B1421" i="5"/>
  <c r="A1421" i="5"/>
  <c r="V1420" i="5"/>
  <c r="F1420" i="5"/>
  <c r="D1420" i="5"/>
  <c r="B1420" i="5"/>
  <c r="A1420" i="5"/>
  <c r="V1419" i="5"/>
  <c r="F1419" i="5"/>
  <c r="D1419" i="5"/>
  <c r="B1419" i="5"/>
  <c r="A1419" i="5"/>
  <c r="V1418" i="5"/>
  <c r="F1418" i="5"/>
  <c r="D1418" i="5"/>
  <c r="B1418" i="5"/>
  <c r="A1418" i="5"/>
  <c r="V1417" i="5"/>
  <c r="F1417" i="5"/>
  <c r="D1417" i="5"/>
  <c r="B1417" i="5"/>
  <c r="A1417" i="5"/>
  <c r="V1416" i="5"/>
  <c r="F1416" i="5"/>
  <c r="D1416" i="5"/>
  <c r="B1416" i="5"/>
  <c r="A1416" i="5"/>
  <c r="V1415" i="5"/>
  <c r="F1415" i="5"/>
  <c r="D1415" i="5"/>
  <c r="B1415" i="5"/>
  <c r="A1415" i="5"/>
  <c r="V1414" i="5"/>
  <c r="F1414" i="5"/>
  <c r="D1414" i="5"/>
  <c r="B1414" i="5"/>
  <c r="A1414" i="5"/>
  <c r="V1413" i="5"/>
  <c r="F1413" i="5"/>
  <c r="D1413" i="5"/>
  <c r="B1413" i="5"/>
  <c r="A1413" i="5"/>
  <c r="V1412" i="5"/>
  <c r="F1412" i="5"/>
  <c r="D1412" i="5"/>
  <c r="B1412" i="5"/>
  <c r="A1412" i="5"/>
  <c r="V1411" i="5"/>
  <c r="F1411" i="5"/>
  <c r="D1411" i="5"/>
  <c r="B1411" i="5"/>
  <c r="A1411" i="5"/>
  <c r="V1410" i="5"/>
  <c r="F1410" i="5"/>
  <c r="D1410" i="5"/>
  <c r="B1410" i="5"/>
  <c r="A1410" i="5"/>
  <c r="V1409" i="5"/>
  <c r="F1409" i="5"/>
  <c r="D1409" i="5"/>
  <c r="B1409" i="5"/>
  <c r="A1409" i="5"/>
  <c r="V1408" i="5"/>
  <c r="F1408" i="5"/>
  <c r="D1408" i="5"/>
  <c r="B1408" i="5"/>
  <c r="A1408" i="5"/>
  <c r="V1407" i="5"/>
  <c r="F1407" i="5"/>
  <c r="D1407" i="5"/>
  <c r="B1407" i="5"/>
  <c r="A1407" i="5"/>
  <c r="V1406" i="5"/>
  <c r="F1406" i="5"/>
  <c r="D1406" i="5"/>
  <c r="B1406" i="5"/>
  <c r="A1406" i="5"/>
  <c r="V1405" i="5"/>
  <c r="F1405" i="5"/>
  <c r="D1405" i="5"/>
  <c r="B1405" i="5"/>
  <c r="A1405" i="5"/>
  <c r="V1404" i="5"/>
  <c r="F1404" i="5"/>
  <c r="D1404" i="5"/>
  <c r="B1404" i="5"/>
  <c r="A1404" i="5"/>
  <c r="V1403" i="5"/>
  <c r="F1403" i="5"/>
  <c r="D1403" i="5"/>
  <c r="B1403" i="5"/>
  <c r="A1403" i="5"/>
  <c r="V1402" i="5"/>
  <c r="F1402" i="5"/>
  <c r="D1402" i="5"/>
  <c r="B1402" i="5"/>
  <c r="A1402" i="5"/>
  <c r="V1401" i="5"/>
  <c r="F1401" i="5"/>
  <c r="D1401" i="5"/>
  <c r="B1401" i="5"/>
  <c r="A1401" i="5"/>
  <c r="V1400" i="5"/>
  <c r="F1400" i="5"/>
  <c r="D1400" i="5"/>
  <c r="B1400" i="5"/>
  <c r="A1400" i="5"/>
  <c r="V1399" i="5"/>
  <c r="F1399" i="5"/>
  <c r="D1399" i="5"/>
  <c r="B1399" i="5"/>
  <c r="A1399" i="5"/>
  <c r="V1398" i="5"/>
  <c r="F1398" i="5"/>
  <c r="D1398" i="5"/>
  <c r="B1398" i="5"/>
  <c r="A1398" i="5"/>
  <c r="V1397" i="5"/>
  <c r="F1397" i="5"/>
  <c r="D1397" i="5"/>
  <c r="B1397" i="5"/>
  <c r="A1397" i="5"/>
  <c r="V1396" i="5"/>
  <c r="F1396" i="5"/>
  <c r="D1396" i="5"/>
  <c r="B1396" i="5"/>
  <c r="A1396" i="5"/>
  <c r="V1395" i="5"/>
  <c r="F1395" i="5"/>
  <c r="D1395" i="5"/>
  <c r="B1395" i="5"/>
  <c r="A1395" i="5"/>
  <c r="V1394" i="5"/>
  <c r="F1394" i="5"/>
  <c r="D1394" i="5"/>
  <c r="B1394" i="5"/>
  <c r="A1394" i="5"/>
  <c r="V1393" i="5"/>
  <c r="F1393" i="5"/>
  <c r="D1393" i="5"/>
  <c r="B1393" i="5"/>
  <c r="A1393" i="5"/>
  <c r="V1392" i="5"/>
  <c r="F1392" i="5"/>
  <c r="D1392" i="5"/>
  <c r="B1392" i="5"/>
  <c r="A1392" i="5"/>
  <c r="V1391" i="5"/>
  <c r="F1391" i="5"/>
  <c r="D1391" i="5"/>
  <c r="B1391" i="5"/>
  <c r="A1391" i="5"/>
  <c r="V1390" i="5"/>
  <c r="F1390" i="5"/>
  <c r="D1390" i="5"/>
  <c r="B1390" i="5"/>
  <c r="A1390" i="5"/>
  <c r="V1389" i="5"/>
  <c r="F1389" i="5"/>
  <c r="D1389" i="5"/>
  <c r="B1389" i="5"/>
  <c r="A1389" i="5"/>
  <c r="V1388" i="5"/>
  <c r="F1388" i="5"/>
  <c r="D1388" i="5"/>
  <c r="B1388" i="5"/>
  <c r="A1388" i="5"/>
  <c r="V1387" i="5"/>
  <c r="F1387" i="5"/>
  <c r="D1387" i="5"/>
  <c r="B1387" i="5"/>
  <c r="A1387" i="5"/>
  <c r="V1386" i="5"/>
  <c r="F1386" i="5"/>
  <c r="D1386" i="5"/>
  <c r="B1386" i="5"/>
  <c r="A1386" i="5"/>
  <c r="V1385" i="5"/>
  <c r="F1385" i="5"/>
  <c r="D1385" i="5"/>
  <c r="B1385" i="5"/>
  <c r="A1385" i="5"/>
  <c r="V1384" i="5"/>
  <c r="F1384" i="5"/>
  <c r="D1384" i="5"/>
  <c r="B1384" i="5"/>
  <c r="A1384" i="5"/>
  <c r="V1383" i="5"/>
  <c r="F1383" i="5"/>
  <c r="D1383" i="5"/>
  <c r="B1383" i="5"/>
  <c r="A1383" i="5"/>
  <c r="V1382" i="5"/>
  <c r="F1382" i="5"/>
  <c r="D1382" i="5"/>
  <c r="B1382" i="5"/>
  <c r="A1382" i="5"/>
  <c r="V1381" i="5"/>
  <c r="F1381" i="5"/>
  <c r="D1381" i="5"/>
  <c r="B1381" i="5"/>
  <c r="A1381" i="5"/>
  <c r="V1380" i="5"/>
  <c r="F1380" i="5"/>
  <c r="D1380" i="5"/>
  <c r="B1380" i="5"/>
  <c r="A1380" i="5"/>
  <c r="V1379" i="5"/>
  <c r="F1379" i="5"/>
  <c r="D1379" i="5"/>
  <c r="B1379" i="5"/>
  <c r="A1379" i="5"/>
  <c r="V1378" i="5"/>
  <c r="F1378" i="5"/>
  <c r="D1378" i="5"/>
  <c r="B1378" i="5"/>
  <c r="A1378" i="5"/>
  <c r="V1377" i="5"/>
  <c r="F1377" i="5"/>
  <c r="D1377" i="5"/>
  <c r="B1377" i="5"/>
  <c r="A1377" i="5"/>
  <c r="V1376" i="5"/>
  <c r="F1376" i="5"/>
  <c r="D1376" i="5"/>
  <c r="B1376" i="5"/>
  <c r="A1376" i="5"/>
  <c r="V1375" i="5"/>
  <c r="F1375" i="5"/>
  <c r="D1375" i="5"/>
  <c r="B1375" i="5"/>
  <c r="A1375" i="5"/>
  <c r="V1374" i="5"/>
  <c r="F1374" i="5"/>
  <c r="D1374" i="5"/>
  <c r="B1374" i="5"/>
  <c r="A1374" i="5"/>
  <c r="V1373" i="5"/>
  <c r="F1373" i="5"/>
  <c r="D1373" i="5"/>
  <c r="B1373" i="5"/>
  <c r="A1373" i="5"/>
  <c r="V1372" i="5"/>
  <c r="F1372" i="5"/>
  <c r="D1372" i="5"/>
  <c r="B1372" i="5"/>
  <c r="A1372" i="5"/>
  <c r="V1371" i="5"/>
  <c r="F1371" i="5"/>
  <c r="D1371" i="5"/>
  <c r="B1371" i="5"/>
  <c r="A1371" i="5"/>
  <c r="V1370" i="5"/>
  <c r="F1370" i="5"/>
  <c r="D1370" i="5"/>
  <c r="B1370" i="5"/>
  <c r="A1370" i="5"/>
  <c r="V1369" i="5"/>
  <c r="F1369" i="5"/>
  <c r="D1369" i="5"/>
  <c r="B1369" i="5"/>
  <c r="A1369" i="5"/>
  <c r="V1368" i="5"/>
  <c r="F1368" i="5"/>
  <c r="D1368" i="5"/>
  <c r="B1368" i="5"/>
  <c r="A1368" i="5"/>
  <c r="V1367" i="5"/>
  <c r="F1367" i="5"/>
  <c r="D1367" i="5"/>
  <c r="B1367" i="5"/>
  <c r="A1367" i="5"/>
  <c r="V1366" i="5"/>
  <c r="F1366" i="5"/>
  <c r="D1366" i="5"/>
  <c r="B1366" i="5"/>
  <c r="A1366" i="5"/>
  <c r="V1365" i="5"/>
  <c r="F1365" i="5"/>
  <c r="D1365" i="5"/>
  <c r="B1365" i="5"/>
  <c r="A1365" i="5"/>
  <c r="V1364" i="5"/>
  <c r="F1364" i="5"/>
  <c r="D1364" i="5"/>
  <c r="B1364" i="5"/>
  <c r="A1364" i="5"/>
  <c r="V1363" i="5"/>
  <c r="F1363" i="5"/>
  <c r="D1363" i="5"/>
  <c r="B1363" i="5"/>
  <c r="A1363" i="5"/>
  <c r="V1362" i="5"/>
  <c r="F1362" i="5"/>
  <c r="D1362" i="5"/>
  <c r="B1362" i="5"/>
  <c r="A1362" i="5"/>
  <c r="V1361" i="5"/>
  <c r="F1361" i="5"/>
  <c r="D1361" i="5"/>
  <c r="B1361" i="5"/>
  <c r="A1361" i="5"/>
  <c r="V1360" i="5"/>
  <c r="F1360" i="5"/>
  <c r="D1360" i="5"/>
  <c r="B1360" i="5"/>
  <c r="A1360" i="5"/>
  <c r="V1359" i="5"/>
  <c r="F1359" i="5"/>
  <c r="D1359" i="5"/>
  <c r="B1359" i="5"/>
  <c r="A1359" i="5"/>
  <c r="V1358" i="5"/>
  <c r="F1358" i="5"/>
  <c r="D1358" i="5"/>
  <c r="B1358" i="5"/>
  <c r="A1358" i="5"/>
  <c r="V1357" i="5"/>
  <c r="F1357" i="5"/>
  <c r="D1357" i="5"/>
  <c r="B1357" i="5"/>
  <c r="A1357" i="5"/>
  <c r="V1356" i="5"/>
  <c r="F1356" i="5"/>
  <c r="D1356" i="5"/>
  <c r="B1356" i="5"/>
  <c r="A1356" i="5"/>
  <c r="V1355" i="5"/>
  <c r="F1355" i="5"/>
  <c r="D1355" i="5"/>
  <c r="B1355" i="5"/>
  <c r="A1355" i="5"/>
  <c r="V1354" i="5"/>
  <c r="F1354" i="5"/>
  <c r="D1354" i="5"/>
  <c r="B1354" i="5"/>
  <c r="A1354" i="5"/>
  <c r="V1353" i="5"/>
  <c r="F1353" i="5"/>
  <c r="D1353" i="5"/>
  <c r="B1353" i="5"/>
  <c r="A1353" i="5"/>
  <c r="V1352" i="5"/>
  <c r="F1352" i="5"/>
  <c r="D1352" i="5"/>
  <c r="B1352" i="5"/>
  <c r="A1352" i="5"/>
  <c r="V1351" i="5"/>
  <c r="F1351" i="5"/>
  <c r="D1351" i="5"/>
  <c r="B1351" i="5"/>
  <c r="A1351" i="5"/>
  <c r="V1350" i="5"/>
  <c r="F1350" i="5"/>
  <c r="D1350" i="5"/>
  <c r="B1350" i="5"/>
  <c r="A1350" i="5"/>
  <c r="V1349" i="5"/>
  <c r="F1349" i="5"/>
  <c r="D1349" i="5"/>
  <c r="B1349" i="5"/>
  <c r="A1349" i="5"/>
  <c r="V1348" i="5"/>
  <c r="F1348" i="5"/>
  <c r="D1348" i="5"/>
  <c r="B1348" i="5"/>
  <c r="A1348" i="5"/>
  <c r="V1347" i="5"/>
  <c r="F1347" i="5"/>
  <c r="D1347" i="5"/>
  <c r="B1347" i="5"/>
  <c r="A1347" i="5"/>
  <c r="V1346" i="5"/>
  <c r="F1346" i="5"/>
  <c r="D1346" i="5"/>
  <c r="B1346" i="5"/>
  <c r="A1346" i="5"/>
  <c r="V1345" i="5"/>
  <c r="F1345" i="5"/>
  <c r="D1345" i="5"/>
  <c r="B1345" i="5"/>
  <c r="A1345" i="5"/>
  <c r="V1344" i="5"/>
  <c r="F1344" i="5"/>
  <c r="D1344" i="5"/>
  <c r="B1344" i="5"/>
  <c r="A1344" i="5"/>
  <c r="V1343" i="5"/>
  <c r="F1343" i="5"/>
  <c r="D1343" i="5"/>
  <c r="B1343" i="5"/>
  <c r="A1343" i="5"/>
  <c r="V1342" i="5"/>
  <c r="F1342" i="5"/>
  <c r="D1342" i="5"/>
  <c r="B1342" i="5"/>
  <c r="A1342" i="5"/>
  <c r="V1341" i="5"/>
  <c r="F1341" i="5"/>
  <c r="D1341" i="5"/>
  <c r="B1341" i="5"/>
  <c r="A1341" i="5"/>
  <c r="V1340" i="5"/>
  <c r="F1340" i="5"/>
  <c r="D1340" i="5"/>
  <c r="B1340" i="5"/>
  <c r="A1340" i="5"/>
  <c r="V1339" i="5"/>
  <c r="F1339" i="5"/>
  <c r="D1339" i="5"/>
  <c r="B1339" i="5"/>
  <c r="A1339" i="5"/>
  <c r="V1338" i="5"/>
  <c r="F1338" i="5"/>
  <c r="D1338" i="5"/>
  <c r="B1338" i="5"/>
  <c r="A1338" i="5"/>
  <c r="V1337" i="5"/>
  <c r="F1337" i="5"/>
  <c r="D1337" i="5"/>
  <c r="B1337" i="5"/>
  <c r="A1337" i="5"/>
  <c r="V1336" i="5"/>
  <c r="F1336" i="5"/>
  <c r="D1336" i="5"/>
  <c r="B1336" i="5"/>
  <c r="A1336" i="5"/>
  <c r="V1335" i="5"/>
  <c r="F1335" i="5"/>
  <c r="D1335" i="5"/>
  <c r="B1335" i="5"/>
  <c r="A1335" i="5"/>
  <c r="V1334" i="5"/>
  <c r="F1334" i="5"/>
  <c r="D1334" i="5"/>
  <c r="B1334" i="5"/>
  <c r="A1334" i="5"/>
  <c r="V1333" i="5"/>
  <c r="F1333" i="5"/>
  <c r="D1333" i="5"/>
  <c r="B1333" i="5"/>
  <c r="A1333" i="5"/>
  <c r="V1332" i="5"/>
  <c r="F1332" i="5"/>
  <c r="D1332" i="5"/>
  <c r="B1332" i="5"/>
  <c r="A1332" i="5"/>
  <c r="V1331" i="5"/>
  <c r="F1331" i="5"/>
  <c r="D1331" i="5"/>
  <c r="B1331" i="5"/>
  <c r="A1331" i="5"/>
  <c r="V1330" i="5"/>
  <c r="F1330" i="5"/>
  <c r="D1330" i="5"/>
  <c r="B1330" i="5"/>
  <c r="A1330" i="5"/>
  <c r="V1329" i="5"/>
  <c r="F1329" i="5"/>
  <c r="D1329" i="5"/>
  <c r="B1329" i="5"/>
  <c r="A1329" i="5"/>
  <c r="V1328" i="5"/>
  <c r="F1328" i="5"/>
  <c r="D1328" i="5"/>
  <c r="B1328" i="5"/>
  <c r="A1328" i="5"/>
  <c r="V1327" i="5"/>
  <c r="F1327" i="5"/>
  <c r="D1327" i="5"/>
  <c r="B1327" i="5"/>
  <c r="A1327" i="5"/>
  <c r="V1326" i="5"/>
  <c r="F1326" i="5"/>
  <c r="D1326" i="5"/>
  <c r="B1326" i="5"/>
  <c r="A1326" i="5"/>
  <c r="V1325" i="5"/>
  <c r="F1325" i="5"/>
  <c r="D1325" i="5"/>
  <c r="B1325" i="5"/>
  <c r="A1325" i="5"/>
  <c r="V1324" i="5"/>
  <c r="F1324" i="5"/>
  <c r="D1324" i="5"/>
  <c r="B1324" i="5"/>
  <c r="A1324" i="5"/>
  <c r="V1323" i="5"/>
  <c r="F1323" i="5"/>
  <c r="D1323" i="5"/>
  <c r="B1323" i="5"/>
  <c r="A1323" i="5"/>
  <c r="V1322" i="5"/>
  <c r="F1322" i="5"/>
  <c r="D1322" i="5"/>
  <c r="B1322" i="5"/>
  <c r="A1322" i="5"/>
  <c r="V1321" i="5"/>
  <c r="F1321" i="5"/>
  <c r="D1321" i="5"/>
  <c r="B1321" i="5"/>
  <c r="A1321" i="5"/>
  <c r="V1320" i="5"/>
  <c r="F1320" i="5"/>
  <c r="D1320" i="5"/>
  <c r="B1320" i="5"/>
  <c r="A1320" i="5"/>
  <c r="V1319" i="5"/>
  <c r="F1319" i="5"/>
  <c r="D1319" i="5"/>
  <c r="B1319" i="5"/>
  <c r="A1319" i="5"/>
  <c r="V1318" i="5"/>
  <c r="F1318" i="5"/>
  <c r="D1318" i="5"/>
  <c r="B1318" i="5"/>
  <c r="A1318" i="5"/>
  <c r="V1317" i="5"/>
  <c r="F1317" i="5"/>
  <c r="D1317" i="5"/>
  <c r="B1317" i="5"/>
  <c r="A1317" i="5"/>
  <c r="V1316" i="5"/>
  <c r="F1316" i="5"/>
  <c r="D1316" i="5"/>
  <c r="B1316" i="5"/>
  <c r="A1316" i="5"/>
  <c r="V1315" i="5"/>
  <c r="F1315" i="5"/>
  <c r="D1315" i="5"/>
  <c r="B1315" i="5"/>
  <c r="A1315" i="5"/>
  <c r="V1314" i="5"/>
  <c r="F1314" i="5"/>
  <c r="D1314" i="5"/>
  <c r="B1314" i="5"/>
  <c r="A1314" i="5"/>
  <c r="V1313" i="5"/>
  <c r="F1313" i="5"/>
  <c r="D1313" i="5"/>
  <c r="B1313" i="5"/>
  <c r="A1313" i="5"/>
  <c r="V1312" i="5"/>
  <c r="F1312" i="5"/>
  <c r="D1312" i="5"/>
  <c r="B1312" i="5"/>
  <c r="A1312" i="5"/>
  <c r="V1311" i="5"/>
  <c r="F1311" i="5"/>
  <c r="D1311" i="5"/>
  <c r="B1311" i="5"/>
  <c r="A1311" i="5"/>
  <c r="V1310" i="5"/>
  <c r="F1310" i="5"/>
  <c r="D1310" i="5"/>
  <c r="B1310" i="5"/>
  <c r="A1310" i="5"/>
  <c r="V1309" i="5"/>
  <c r="F1309" i="5"/>
  <c r="D1309" i="5"/>
  <c r="B1309" i="5"/>
  <c r="A1309" i="5"/>
  <c r="V1308" i="5"/>
  <c r="F1308" i="5"/>
  <c r="D1308" i="5"/>
  <c r="B1308" i="5"/>
  <c r="A1308" i="5"/>
  <c r="V1307" i="5"/>
  <c r="F1307" i="5"/>
  <c r="D1307" i="5"/>
  <c r="B1307" i="5"/>
  <c r="A1307" i="5"/>
  <c r="V1306" i="5"/>
  <c r="F1306" i="5"/>
  <c r="D1306" i="5"/>
  <c r="B1306" i="5"/>
  <c r="A1306" i="5"/>
  <c r="V1305" i="5"/>
  <c r="F1305" i="5"/>
  <c r="D1305" i="5"/>
  <c r="B1305" i="5"/>
  <c r="A1305" i="5"/>
  <c r="V1304" i="5"/>
  <c r="F1304" i="5"/>
  <c r="D1304" i="5"/>
  <c r="B1304" i="5"/>
  <c r="A1304" i="5"/>
  <c r="V1303" i="5"/>
  <c r="F1303" i="5"/>
  <c r="D1303" i="5"/>
  <c r="B1303" i="5"/>
  <c r="A1303" i="5"/>
  <c r="V1302" i="5"/>
  <c r="F1302" i="5"/>
  <c r="D1302" i="5"/>
  <c r="B1302" i="5"/>
  <c r="A1302" i="5"/>
  <c r="V1301" i="5"/>
  <c r="F1301" i="5"/>
  <c r="D1301" i="5"/>
  <c r="B1301" i="5"/>
  <c r="A1301" i="5"/>
  <c r="V1300" i="5"/>
  <c r="F1300" i="5"/>
  <c r="D1300" i="5"/>
  <c r="B1300" i="5"/>
  <c r="A1300" i="5"/>
  <c r="V1299" i="5"/>
  <c r="F1299" i="5"/>
  <c r="D1299" i="5"/>
  <c r="B1299" i="5"/>
  <c r="A1299" i="5"/>
  <c r="V1298" i="5"/>
  <c r="F1298" i="5"/>
  <c r="D1298" i="5"/>
  <c r="B1298" i="5"/>
  <c r="A1298" i="5"/>
  <c r="V1297" i="5"/>
  <c r="F1297" i="5"/>
  <c r="D1297" i="5"/>
  <c r="B1297" i="5"/>
  <c r="A1297" i="5"/>
  <c r="V1296" i="5"/>
  <c r="F1296" i="5"/>
  <c r="D1296" i="5"/>
  <c r="B1296" i="5"/>
  <c r="A1296" i="5"/>
  <c r="V1295" i="5"/>
  <c r="F1295" i="5"/>
  <c r="D1295" i="5"/>
  <c r="B1295" i="5"/>
  <c r="A1295" i="5"/>
  <c r="V1294" i="5"/>
  <c r="F1294" i="5"/>
  <c r="D1294" i="5"/>
  <c r="B1294" i="5"/>
  <c r="A1294" i="5"/>
  <c r="V1293" i="5"/>
  <c r="F1293" i="5"/>
  <c r="D1293" i="5"/>
  <c r="B1293" i="5"/>
  <c r="A1293" i="5"/>
  <c r="V1292" i="5"/>
  <c r="F1292" i="5"/>
  <c r="D1292" i="5"/>
  <c r="B1292" i="5"/>
  <c r="A1292" i="5"/>
  <c r="V1291" i="5"/>
  <c r="F1291" i="5"/>
  <c r="D1291" i="5"/>
  <c r="B1291" i="5"/>
  <c r="A1291" i="5"/>
  <c r="V1290" i="5"/>
  <c r="F1290" i="5"/>
  <c r="D1290" i="5"/>
  <c r="B1290" i="5"/>
  <c r="A1290" i="5"/>
  <c r="V1289" i="5"/>
  <c r="F1289" i="5"/>
  <c r="D1289" i="5"/>
  <c r="B1289" i="5"/>
  <c r="A1289" i="5"/>
  <c r="V1288" i="5"/>
  <c r="F1288" i="5"/>
  <c r="D1288" i="5"/>
  <c r="B1288" i="5"/>
  <c r="A1288" i="5"/>
  <c r="V1287" i="5"/>
  <c r="F1287" i="5"/>
  <c r="D1287" i="5"/>
  <c r="B1287" i="5"/>
  <c r="A1287" i="5"/>
  <c r="V1286" i="5"/>
  <c r="F1286" i="5"/>
  <c r="D1286" i="5"/>
  <c r="B1286" i="5"/>
  <c r="A1286" i="5"/>
  <c r="V1285" i="5"/>
  <c r="F1285" i="5"/>
  <c r="D1285" i="5"/>
  <c r="B1285" i="5"/>
  <c r="A1285" i="5"/>
  <c r="V1284" i="5"/>
  <c r="F1284" i="5"/>
  <c r="D1284" i="5"/>
  <c r="B1284" i="5"/>
  <c r="A1284" i="5"/>
  <c r="V1283" i="5"/>
  <c r="F1283" i="5"/>
  <c r="D1283" i="5"/>
  <c r="B1283" i="5"/>
  <c r="A1283" i="5"/>
  <c r="V1282" i="5"/>
  <c r="F1282" i="5"/>
  <c r="D1282" i="5"/>
  <c r="B1282" i="5"/>
  <c r="A1282" i="5"/>
  <c r="V1281" i="5"/>
  <c r="F1281" i="5"/>
  <c r="D1281" i="5"/>
  <c r="B1281" i="5"/>
  <c r="A1281" i="5"/>
  <c r="V1280" i="5"/>
  <c r="F1280" i="5"/>
  <c r="D1280" i="5"/>
  <c r="B1280" i="5"/>
  <c r="A1280" i="5"/>
  <c r="V1279" i="5"/>
  <c r="F1279" i="5"/>
  <c r="D1279" i="5"/>
  <c r="B1279" i="5"/>
  <c r="A1279" i="5"/>
  <c r="V1278" i="5"/>
  <c r="F1278" i="5"/>
  <c r="D1278" i="5"/>
  <c r="B1278" i="5"/>
  <c r="A1278" i="5"/>
  <c r="V1277" i="5"/>
  <c r="F1277" i="5"/>
  <c r="D1277" i="5"/>
  <c r="B1277" i="5"/>
  <c r="A1277" i="5"/>
  <c r="V1276" i="5"/>
  <c r="F1276" i="5"/>
  <c r="D1276" i="5"/>
  <c r="B1276" i="5"/>
  <c r="A1276" i="5"/>
  <c r="V1275" i="5"/>
  <c r="F1275" i="5"/>
  <c r="D1275" i="5"/>
  <c r="B1275" i="5"/>
  <c r="A1275" i="5"/>
  <c r="V1274" i="5"/>
  <c r="F1274" i="5"/>
  <c r="D1274" i="5"/>
  <c r="B1274" i="5"/>
  <c r="A1274" i="5"/>
  <c r="V1273" i="5"/>
  <c r="F1273" i="5"/>
  <c r="D1273" i="5"/>
  <c r="B1273" i="5"/>
  <c r="A1273" i="5"/>
  <c r="V1272" i="5"/>
  <c r="F1272" i="5"/>
  <c r="D1272" i="5"/>
  <c r="B1272" i="5"/>
  <c r="A1272" i="5"/>
  <c r="V1271" i="5"/>
  <c r="F1271" i="5"/>
  <c r="D1271" i="5"/>
  <c r="B1271" i="5"/>
  <c r="A1271" i="5"/>
  <c r="V1270" i="5"/>
  <c r="F1270" i="5"/>
  <c r="D1270" i="5"/>
  <c r="B1270" i="5"/>
  <c r="A1270" i="5"/>
  <c r="V1269" i="5"/>
  <c r="F1269" i="5"/>
  <c r="D1269" i="5"/>
  <c r="B1269" i="5"/>
  <c r="A1269" i="5"/>
  <c r="V1268" i="5"/>
  <c r="F1268" i="5"/>
  <c r="D1268" i="5"/>
  <c r="B1268" i="5"/>
  <c r="A1268" i="5"/>
  <c r="V1267" i="5"/>
  <c r="F1267" i="5"/>
  <c r="D1267" i="5"/>
  <c r="B1267" i="5"/>
  <c r="A1267" i="5"/>
  <c r="V1266" i="5"/>
  <c r="F1266" i="5"/>
  <c r="D1266" i="5"/>
  <c r="B1266" i="5"/>
  <c r="A1266" i="5"/>
  <c r="V1265" i="5"/>
  <c r="F1265" i="5"/>
  <c r="D1265" i="5"/>
  <c r="B1265" i="5"/>
  <c r="A1265" i="5"/>
  <c r="V1264" i="5"/>
  <c r="F1264" i="5"/>
  <c r="D1264" i="5"/>
  <c r="B1264" i="5"/>
  <c r="A1264" i="5"/>
  <c r="V1263" i="5"/>
  <c r="F1263" i="5"/>
  <c r="D1263" i="5"/>
  <c r="B1263" i="5"/>
  <c r="A1263" i="5"/>
  <c r="V1262" i="5"/>
  <c r="F1262" i="5"/>
  <c r="D1262" i="5"/>
  <c r="B1262" i="5"/>
  <c r="A1262" i="5"/>
  <c r="V1261" i="5"/>
  <c r="F1261" i="5"/>
  <c r="D1261" i="5"/>
  <c r="B1261" i="5"/>
  <c r="A1261" i="5"/>
  <c r="V1260" i="5"/>
  <c r="F1260" i="5"/>
  <c r="D1260" i="5"/>
  <c r="B1260" i="5"/>
  <c r="A1260" i="5"/>
  <c r="V1259" i="5"/>
  <c r="F1259" i="5"/>
  <c r="D1259" i="5"/>
  <c r="B1259" i="5"/>
  <c r="A1259" i="5"/>
  <c r="V1258" i="5"/>
  <c r="F1258" i="5"/>
  <c r="D1258" i="5"/>
  <c r="B1258" i="5"/>
  <c r="A1258" i="5"/>
  <c r="V1257" i="5"/>
  <c r="F1257" i="5"/>
  <c r="D1257" i="5"/>
  <c r="B1257" i="5"/>
  <c r="A1257" i="5"/>
  <c r="V1256" i="5"/>
  <c r="F1256" i="5"/>
  <c r="D1256" i="5"/>
  <c r="B1256" i="5"/>
  <c r="A1256" i="5"/>
  <c r="V1255" i="5"/>
  <c r="F1255" i="5"/>
  <c r="D1255" i="5"/>
  <c r="B1255" i="5"/>
  <c r="A1255" i="5"/>
  <c r="V1254" i="5"/>
  <c r="F1254" i="5"/>
  <c r="D1254" i="5"/>
  <c r="B1254" i="5"/>
  <c r="A1254" i="5"/>
  <c r="V1253" i="5"/>
  <c r="F1253" i="5"/>
  <c r="D1253" i="5"/>
  <c r="B1253" i="5"/>
  <c r="A1253" i="5"/>
  <c r="V1252" i="5"/>
  <c r="F1252" i="5"/>
  <c r="D1252" i="5"/>
  <c r="B1252" i="5"/>
  <c r="A1252" i="5"/>
  <c r="V1251" i="5"/>
  <c r="F1251" i="5"/>
  <c r="D1251" i="5"/>
  <c r="B1251" i="5"/>
  <c r="A1251" i="5"/>
  <c r="V1250" i="5"/>
  <c r="F1250" i="5"/>
  <c r="D1250" i="5"/>
  <c r="B1250" i="5"/>
  <c r="A1250" i="5"/>
  <c r="V1249" i="5"/>
  <c r="F1249" i="5"/>
  <c r="D1249" i="5"/>
  <c r="B1249" i="5"/>
  <c r="A1249" i="5"/>
  <c r="V1248" i="5"/>
  <c r="F1248" i="5"/>
  <c r="D1248" i="5"/>
  <c r="B1248" i="5"/>
  <c r="A1248" i="5"/>
  <c r="V1247" i="5"/>
  <c r="F1247" i="5"/>
  <c r="D1247" i="5"/>
  <c r="B1247" i="5"/>
  <c r="A1247" i="5"/>
  <c r="V1246" i="5"/>
  <c r="F1246" i="5"/>
  <c r="D1246" i="5"/>
  <c r="B1246" i="5"/>
  <c r="A1246" i="5"/>
  <c r="V1245" i="5"/>
  <c r="F1245" i="5"/>
  <c r="D1245" i="5"/>
  <c r="B1245" i="5"/>
  <c r="A1245" i="5"/>
  <c r="V1244" i="5"/>
  <c r="F1244" i="5"/>
  <c r="D1244" i="5"/>
  <c r="B1244" i="5"/>
  <c r="A1244" i="5"/>
  <c r="V1243" i="5"/>
  <c r="F1243" i="5"/>
  <c r="D1243" i="5"/>
  <c r="B1243" i="5"/>
  <c r="A1243" i="5"/>
  <c r="V1242" i="5"/>
  <c r="F1242" i="5"/>
  <c r="D1242" i="5"/>
  <c r="B1242" i="5"/>
  <c r="A1242" i="5"/>
  <c r="V1241" i="5"/>
  <c r="F1241" i="5"/>
  <c r="D1241" i="5"/>
  <c r="B1241" i="5"/>
  <c r="A1241" i="5"/>
  <c r="V1240" i="5"/>
  <c r="F1240" i="5"/>
  <c r="D1240" i="5"/>
  <c r="B1240" i="5"/>
  <c r="A1240" i="5"/>
  <c r="V1239" i="5"/>
  <c r="F1239" i="5"/>
  <c r="D1239" i="5"/>
  <c r="B1239" i="5"/>
  <c r="A1239" i="5"/>
  <c r="V1238" i="5"/>
  <c r="F1238" i="5"/>
  <c r="D1238" i="5"/>
  <c r="B1238" i="5"/>
  <c r="A1238" i="5"/>
  <c r="V1237" i="5"/>
  <c r="F1237" i="5"/>
  <c r="D1237" i="5"/>
  <c r="B1237" i="5"/>
  <c r="A1237" i="5"/>
  <c r="V1236" i="5"/>
  <c r="F1236" i="5"/>
  <c r="D1236" i="5"/>
  <c r="B1236" i="5"/>
  <c r="A1236" i="5"/>
  <c r="V1235" i="5"/>
  <c r="F1235" i="5"/>
  <c r="D1235" i="5"/>
  <c r="B1235" i="5"/>
  <c r="A1235" i="5"/>
  <c r="V1234" i="5"/>
  <c r="F1234" i="5"/>
  <c r="D1234" i="5"/>
  <c r="B1234" i="5"/>
  <c r="A1234" i="5"/>
  <c r="V1233" i="5"/>
  <c r="F1233" i="5"/>
  <c r="D1233" i="5"/>
  <c r="B1233" i="5"/>
  <c r="A1233" i="5"/>
  <c r="V1232" i="5"/>
  <c r="F1232" i="5"/>
  <c r="D1232" i="5"/>
  <c r="B1232" i="5"/>
  <c r="A1232" i="5"/>
  <c r="V1231" i="5"/>
  <c r="F1231" i="5"/>
  <c r="D1231" i="5"/>
  <c r="B1231" i="5"/>
  <c r="A1231" i="5"/>
  <c r="V1230" i="5"/>
  <c r="F1230" i="5"/>
  <c r="D1230" i="5"/>
  <c r="B1230" i="5"/>
  <c r="A1230" i="5"/>
  <c r="V1229" i="5"/>
  <c r="F1229" i="5"/>
  <c r="D1229" i="5"/>
  <c r="B1229" i="5"/>
  <c r="A1229" i="5"/>
  <c r="V1228" i="5"/>
  <c r="F1228" i="5"/>
  <c r="D1228" i="5"/>
  <c r="B1228" i="5"/>
  <c r="A1228" i="5"/>
  <c r="V1227" i="5"/>
  <c r="F1227" i="5"/>
  <c r="D1227" i="5"/>
  <c r="B1227" i="5"/>
  <c r="A1227" i="5"/>
  <c r="V1226" i="5"/>
  <c r="F1226" i="5"/>
  <c r="D1226" i="5"/>
  <c r="B1226" i="5"/>
  <c r="A1226" i="5"/>
  <c r="V1225" i="5"/>
  <c r="F1225" i="5"/>
  <c r="D1225" i="5"/>
  <c r="B1225" i="5"/>
  <c r="A1225" i="5"/>
  <c r="V1224" i="5"/>
  <c r="F1224" i="5"/>
  <c r="D1224" i="5"/>
  <c r="B1224" i="5"/>
  <c r="A1224" i="5"/>
  <c r="V1223" i="5"/>
  <c r="F1223" i="5"/>
  <c r="D1223" i="5"/>
  <c r="B1223" i="5"/>
  <c r="A1223" i="5"/>
  <c r="V1222" i="5"/>
  <c r="F1222" i="5"/>
  <c r="D1222" i="5"/>
  <c r="B1222" i="5"/>
  <c r="A1222" i="5"/>
  <c r="V1221" i="5"/>
  <c r="F1221" i="5"/>
  <c r="D1221" i="5"/>
  <c r="B1221" i="5"/>
  <c r="A1221" i="5"/>
  <c r="V1220" i="5"/>
  <c r="F1220" i="5"/>
  <c r="D1220" i="5"/>
  <c r="B1220" i="5"/>
  <c r="A1220" i="5"/>
  <c r="V1219" i="5"/>
  <c r="F1219" i="5"/>
  <c r="D1219" i="5"/>
  <c r="B1219" i="5"/>
  <c r="A1219" i="5"/>
  <c r="V1218" i="5"/>
  <c r="F1218" i="5"/>
  <c r="D1218" i="5"/>
  <c r="B1218" i="5"/>
  <c r="A1218" i="5"/>
  <c r="V1217" i="5"/>
  <c r="F1217" i="5"/>
  <c r="D1217" i="5"/>
  <c r="B1217" i="5"/>
  <c r="A1217" i="5"/>
  <c r="V1216" i="5"/>
  <c r="F1216" i="5"/>
  <c r="D1216" i="5"/>
  <c r="B1216" i="5"/>
  <c r="A1216" i="5"/>
  <c r="V1215" i="5"/>
  <c r="F1215" i="5"/>
  <c r="D1215" i="5"/>
  <c r="B1215" i="5"/>
  <c r="A1215" i="5"/>
  <c r="V1214" i="5"/>
  <c r="F1214" i="5"/>
  <c r="D1214" i="5"/>
  <c r="B1214" i="5"/>
  <c r="A1214" i="5"/>
  <c r="V1213" i="5"/>
  <c r="F1213" i="5"/>
  <c r="D1213" i="5"/>
  <c r="B1213" i="5"/>
  <c r="A1213" i="5"/>
  <c r="V1212" i="5"/>
  <c r="F1212" i="5"/>
  <c r="D1212" i="5"/>
  <c r="B1212" i="5"/>
  <c r="A1212" i="5"/>
  <c r="V1211" i="5"/>
  <c r="F1211" i="5"/>
  <c r="D1211" i="5"/>
  <c r="B1211" i="5"/>
  <c r="A1211" i="5"/>
  <c r="V1210" i="5"/>
  <c r="F1210" i="5"/>
  <c r="D1210" i="5"/>
  <c r="B1210" i="5"/>
  <c r="A1210" i="5"/>
  <c r="V1209" i="5"/>
  <c r="F1209" i="5"/>
  <c r="D1209" i="5"/>
  <c r="B1209" i="5"/>
  <c r="A1209" i="5"/>
  <c r="V1208" i="5"/>
  <c r="F1208" i="5"/>
  <c r="D1208" i="5"/>
  <c r="B1208" i="5"/>
  <c r="A1208" i="5"/>
  <c r="V1207" i="5"/>
  <c r="F1207" i="5"/>
  <c r="D1207" i="5"/>
  <c r="B1207" i="5"/>
  <c r="A1207" i="5"/>
  <c r="V1206" i="5"/>
  <c r="F1206" i="5"/>
  <c r="D1206" i="5"/>
  <c r="B1206" i="5"/>
  <c r="A1206" i="5"/>
  <c r="V1205" i="5"/>
  <c r="F1205" i="5"/>
  <c r="D1205" i="5"/>
  <c r="B1205" i="5"/>
  <c r="A1205" i="5"/>
  <c r="V1204" i="5"/>
  <c r="F1204" i="5"/>
  <c r="D1204" i="5"/>
  <c r="B1204" i="5"/>
  <c r="A1204" i="5"/>
  <c r="V1203" i="5"/>
  <c r="F1203" i="5"/>
  <c r="D1203" i="5"/>
  <c r="B1203" i="5"/>
  <c r="A1203" i="5"/>
  <c r="V1202" i="5"/>
  <c r="F1202" i="5"/>
  <c r="D1202" i="5"/>
  <c r="B1202" i="5"/>
  <c r="A1202" i="5"/>
  <c r="V1201" i="5"/>
  <c r="F1201" i="5"/>
  <c r="D1201" i="5"/>
  <c r="B1201" i="5"/>
  <c r="A1201" i="5"/>
  <c r="V1200" i="5"/>
  <c r="F1200" i="5"/>
  <c r="D1200" i="5"/>
  <c r="B1200" i="5"/>
  <c r="A1200" i="5"/>
  <c r="V1199" i="5"/>
  <c r="F1199" i="5"/>
  <c r="D1199" i="5"/>
  <c r="B1199" i="5"/>
  <c r="A1199" i="5"/>
  <c r="V1198" i="5"/>
  <c r="F1198" i="5"/>
  <c r="D1198" i="5"/>
  <c r="B1198" i="5"/>
  <c r="A1198" i="5"/>
  <c r="V1197" i="5"/>
  <c r="F1197" i="5"/>
  <c r="D1197" i="5"/>
  <c r="B1197" i="5"/>
  <c r="A1197" i="5"/>
  <c r="V1196" i="5"/>
  <c r="F1196" i="5"/>
  <c r="D1196" i="5"/>
  <c r="B1196" i="5"/>
  <c r="A1196" i="5"/>
  <c r="V1195" i="5"/>
  <c r="F1195" i="5"/>
  <c r="D1195" i="5"/>
  <c r="B1195" i="5"/>
  <c r="A1195" i="5"/>
  <c r="V1194" i="5"/>
  <c r="F1194" i="5"/>
  <c r="D1194" i="5"/>
  <c r="B1194" i="5"/>
  <c r="A1194" i="5"/>
  <c r="V1193" i="5"/>
  <c r="F1193" i="5"/>
  <c r="D1193" i="5"/>
  <c r="B1193" i="5"/>
  <c r="A1193" i="5"/>
  <c r="V1192" i="5"/>
  <c r="F1192" i="5"/>
  <c r="D1192" i="5"/>
  <c r="B1192" i="5"/>
  <c r="A1192" i="5"/>
  <c r="V1191" i="5"/>
  <c r="F1191" i="5"/>
  <c r="D1191" i="5"/>
  <c r="B1191" i="5"/>
  <c r="A1191" i="5"/>
  <c r="V1190" i="5"/>
  <c r="F1190" i="5"/>
  <c r="D1190" i="5"/>
  <c r="B1190" i="5"/>
  <c r="A1190" i="5"/>
  <c r="V1189" i="5"/>
  <c r="F1189" i="5"/>
  <c r="D1189" i="5"/>
  <c r="B1189" i="5"/>
  <c r="A1189" i="5"/>
  <c r="V1188" i="5"/>
  <c r="F1188" i="5"/>
  <c r="D1188" i="5"/>
  <c r="B1188" i="5"/>
  <c r="A1188" i="5"/>
  <c r="V1187" i="5"/>
  <c r="F1187" i="5"/>
  <c r="D1187" i="5"/>
  <c r="B1187" i="5"/>
  <c r="A1187" i="5"/>
  <c r="V1186" i="5"/>
  <c r="F1186" i="5"/>
  <c r="D1186" i="5"/>
  <c r="B1186" i="5"/>
  <c r="A1186" i="5"/>
  <c r="V1185" i="5"/>
  <c r="F1185" i="5"/>
  <c r="D1185" i="5"/>
  <c r="B1185" i="5"/>
  <c r="A1185" i="5"/>
  <c r="V1184" i="5"/>
  <c r="F1184" i="5"/>
  <c r="D1184" i="5"/>
  <c r="B1184" i="5"/>
  <c r="A1184" i="5"/>
  <c r="V1183" i="5"/>
  <c r="F1183" i="5"/>
  <c r="D1183" i="5"/>
  <c r="B1183" i="5"/>
  <c r="A1183" i="5"/>
  <c r="V1182" i="5"/>
  <c r="F1182" i="5"/>
  <c r="D1182" i="5"/>
  <c r="B1182" i="5"/>
  <c r="A1182" i="5"/>
  <c r="V1181" i="5"/>
  <c r="F1181" i="5"/>
  <c r="D1181" i="5"/>
  <c r="B1181" i="5"/>
  <c r="A1181" i="5"/>
  <c r="V1180" i="5"/>
  <c r="F1180" i="5"/>
  <c r="D1180" i="5"/>
  <c r="B1180" i="5"/>
  <c r="A1180" i="5"/>
  <c r="V1179" i="5"/>
  <c r="F1179" i="5"/>
  <c r="D1179" i="5"/>
  <c r="B1179" i="5"/>
  <c r="A1179" i="5"/>
  <c r="V1178" i="5"/>
  <c r="F1178" i="5"/>
  <c r="D1178" i="5"/>
  <c r="B1178" i="5"/>
  <c r="A1178" i="5"/>
  <c r="V1177" i="5"/>
  <c r="F1177" i="5"/>
  <c r="D1177" i="5"/>
  <c r="B1177" i="5"/>
  <c r="A1177" i="5"/>
  <c r="V1176" i="5"/>
  <c r="F1176" i="5"/>
  <c r="D1176" i="5"/>
  <c r="B1176" i="5"/>
  <c r="A1176" i="5"/>
  <c r="V1175" i="5"/>
  <c r="F1175" i="5"/>
  <c r="D1175" i="5"/>
  <c r="B1175" i="5"/>
  <c r="A1175" i="5"/>
  <c r="V1174" i="5"/>
  <c r="F1174" i="5"/>
  <c r="D1174" i="5"/>
  <c r="B1174" i="5"/>
  <c r="A1174" i="5"/>
  <c r="V1173" i="5"/>
  <c r="F1173" i="5"/>
  <c r="D1173" i="5"/>
  <c r="B1173" i="5"/>
  <c r="A1173" i="5"/>
  <c r="V1172" i="5"/>
  <c r="F1172" i="5"/>
  <c r="D1172" i="5"/>
  <c r="B1172" i="5"/>
  <c r="A1172" i="5"/>
  <c r="V1171" i="5"/>
  <c r="F1171" i="5"/>
  <c r="D1171" i="5"/>
  <c r="B1171" i="5"/>
  <c r="A1171" i="5"/>
  <c r="V1170" i="5"/>
  <c r="F1170" i="5"/>
  <c r="D1170" i="5"/>
  <c r="B1170" i="5"/>
  <c r="A1170" i="5"/>
  <c r="V1169" i="5"/>
  <c r="F1169" i="5"/>
  <c r="D1169" i="5"/>
  <c r="B1169" i="5"/>
  <c r="A1169" i="5"/>
  <c r="V1168" i="5"/>
  <c r="F1168" i="5"/>
  <c r="D1168" i="5"/>
  <c r="B1168" i="5"/>
  <c r="A1168" i="5"/>
  <c r="V1167" i="5"/>
  <c r="F1167" i="5"/>
  <c r="D1167" i="5"/>
  <c r="B1167" i="5"/>
  <c r="A1167" i="5"/>
  <c r="V1166" i="5"/>
  <c r="F1166" i="5"/>
  <c r="D1166" i="5"/>
  <c r="B1166" i="5"/>
  <c r="A1166" i="5"/>
  <c r="V1165" i="5"/>
  <c r="F1165" i="5"/>
  <c r="D1165" i="5"/>
  <c r="B1165" i="5"/>
  <c r="A1165" i="5"/>
  <c r="V1164" i="5"/>
  <c r="F1164" i="5"/>
  <c r="D1164" i="5"/>
  <c r="B1164" i="5"/>
  <c r="A1164" i="5"/>
  <c r="V1163" i="5"/>
  <c r="F1163" i="5"/>
  <c r="D1163" i="5"/>
  <c r="B1163" i="5"/>
  <c r="A1163" i="5"/>
  <c r="V1162" i="5"/>
  <c r="F1162" i="5"/>
  <c r="D1162" i="5"/>
  <c r="B1162" i="5"/>
  <c r="A1162" i="5"/>
  <c r="V1161" i="5"/>
  <c r="F1161" i="5"/>
  <c r="D1161" i="5"/>
  <c r="B1161" i="5"/>
  <c r="A1161" i="5"/>
  <c r="V1160" i="5"/>
  <c r="F1160" i="5"/>
  <c r="D1160" i="5"/>
  <c r="B1160" i="5"/>
  <c r="A1160" i="5"/>
  <c r="V1159" i="5"/>
  <c r="F1159" i="5"/>
  <c r="D1159" i="5"/>
  <c r="B1159" i="5"/>
  <c r="A1159" i="5"/>
  <c r="V1158" i="5"/>
  <c r="F1158" i="5"/>
  <c r="D1158" i="5"/>
  <c r="B1158" i="5"/>
  <c r="A1158" i="5"/>
  <c r="V1157" i="5"/>
  <c r="F1157" i="5"/>
  <c r="D1157" i="5"/>
  <c r="B1157" i="5"/>
  <c r="A1157" i="5"/>
  <c r="V1156" i="5"/>
  <c r="F1156" i="5"/>
  <c r="D1156" i="5"/>
  <c r="B1156" i="5"/>
  <c r="A1156" i="5"/>
  <c r="V1155" i="5"/>
  <c r="F1155" i="5"/>
  <c r="D1155" i="5"/>
  <c r="B1155" i="5"/>
  <c r="A1155" i="5"/>
  <c r="V1154" i="5"/>
  <c r="F1154" i="5"/>
  <c r="D1154" i="5"/>
  <c r="B1154" i="5"/>
  <c r="A1154" i="5"/>
  <c r="V1153" i="5"/>
  <c r="F1153" i="5"/>
  <c r="D1153" i="5"/>
  <c r="B1153" i="5"/>
  <c r="A1153" i="5"/>
  <c r="V1152" i="5"/>
  <c r="F1152" i="5"/>
  <c r="D1152" i="5"/>
  <c r="B1152" i="5"/>
  <c r="A1152" i="5"/>
  <c r="V1151" i="5"/>
  <c r="F1151" i="5"/>
  <c r="D1151" i="5"/>
  <c r="B1151" i="5"/>
  <c r="A1151" i="5"/>
  <c r="V1150" i="5"/>
  <c r="F1150" i="5"/>
  <c r="D1150" i="5"/>
  <c r="B1150" i="5"/>
  <c r="A1150" i="5"/>
  <c r="V1149" i="5"/>
  <c r="F1149" i="5"/>
  <c r="D1149" i="5"/>
  <c r="B1149" i="5"/>
  <c r="A1149" i="5"/>
  <c r="V1148" i="5"/>
  <c r="F1148" i="5"/>
  <c r="D1148" i="5"/>
  <c r="B1148" i="5"/>
  <c r="A1148" i="5"/>
  <c r="V1147" i="5"/>
  <c r="F1147" i="5"/>
  <c r="D1147" i="5"/>
  <c r="B1147" i="5"/>
  <c r="A1147" i="5"/>
  <c r="V1146" i="5"/>
  <c r="F1146" i="5"/>
  <c r="D1146" i="5"/>
  <c r="B1146" i="5"/>
  <c r="A1146" i="5"/>
  <c r="V1145" i="5"/>
  <c r="F1145" i="5"/>
  <c r="D1145" i="5"/>
  <c r="B1145" i="5"/>
  <c r="A1145" i="5"/>
  <c r="V1144" i="5"/>
  <c r="F1144" i="5"/>
  <c r="D1144" i="5"/>
  <c r="B1144" i="5"/>
  <c r="A1144" i="5"/>
  <c r="V1143" i="5"/>
  <c r="F1143" i="5"/>
  <c r="D1143" i="5"/>
  <c r="B1143" i="5"/>
  <c r="A1143" i="5"/>
  <c r="V1142" i="5"/>
  <c r="F1142" i="5"/>
  <c r="D1142" i="5"/>
  <c r="B1142" i="5"/>
  <c r="A1142" i="5"/>
  <c r="V1141" i="5"/>
  <c r="F1141" i="5"/>
  <c r="D1141" i="5"/>
  <c r="B1141" i="5"/>
  <c r="A1141" i="5"/>
  <c r="V1140" i="5"/>
  <c r="F1140" i="5"/>
  <c r="D1140" i="5"/>
  <c r="B1140" i="5"/>
  <c r="A1140" i="5"/>
  <c r="V1139" i="5"/>
  <c r="F1139" i="5"/>
  <c r="D1139" i="5"/>
  <c r="B1139" i="5"/>
  <c r="A1139" i="5"/>
  <c r="V1138" i="5"/>
  <c r="F1138" i="5"/>
  <c r="D1138" i="5"/>
  <c r="B1138" i="5"/>
  <c r="A1138" i="5"/>
  <c r="V1137" i="5"/>
  <c r="F1137" i="5"/>
  <c r="D1137" i="5"/>
  <c r="B1137" i="5"/>
  <c r="A1137" i="5"/>
  <c r="V1136" i="5"/>
  <c r="F1136" i="5"/>
  <c r="D1136" i="5"/>
  <c r="B1136" i="5"/>
  <c r="A1136" i="5"/>
  <c r="V1135" i="5"/>
  <c r="F1135" i="5"/>
  <c r="D1135" i="5"/>
  <c r="B1135" i="5"/>
  <c r="A1135" i="5"/>
  <c r="V1134" i="5"/>
  <c r="F1134" i="5"/>
  <c r="D1134" i="5"/>
  <c r="B1134" i="5"/>
  <c r="A1134" i="5"/>
  <c r="V1133" i="5"/>
  <c r="F1133" i="5"/>
  <c r="D1133" i="5"/>
  <c r="B1133" i="5"/>
  <c r="A1133" i="5"/>
  <c r="V1132" i="5"/>
  <c r="F1132" i="5"/>
  <c r="D1132" i="5"/>
  <c r="B1132" i="5"/>
  <c r="A1132" i="5"/>
  <c r="V1131" i="5"/>
  <c r="F1131" i="5"/>
  <c r="D1131" i="5"/>
  <c r="B1131" i="5"/>
  <c r="A1131" i="5"/>
  <c r="V1130" i="5"/>
  <c r="F1130" i="5"/>
  <c r="D1130" i="5"/>
  <c r="B1130" i="5"/>
  <c r="A1130" i="5"/>
  <c r="V1129" i="5"/>
  <c r="F1129" i="5"/>
  <c r="D1129" i="5"/>
  <c r="B1129" i="5"/>
  <c r="A1129" i="5"/>
  <c r="V1128" i="5"/>
  <c r="F1128" i="5"/>
  <c r="D1128" i="5"/>
  <c r="B1128" i="5"/>
  <c r="A1128" i="5"/>
  <c r="V1127" i="5"/>
  <c r="F1127" i="5"/>
  <c r="D1127" i="5"/>
  <c r="B1127" i="5"/>
  <c r="A1127" i="5"/>
  <c r="V1126" i="5"/>
  <c r="F1126" i="5"/>
  <c r="D1126" i="5"/>
  <c r="B1126" i="5"/>
  <c r="A1126" i="5"/>
  <c r="V1125" i="5"/>
  <c r="F1125" i="5"/>
  <c r="D1125" i="5"/>
  <c r="B1125" i="5"/>
  <c r="A1125" i="5"/>
  <c r="V1124" i="5"/>
  <c r="F1124" i="5"/>
  <c r="D1124" i="5"/>
  <c r="B1124" i="5"/>
  <c r="A1124" i="5"/>
  <c r="V1123" i="5"/>
  <c r="F1123" i="5"/>
  <c r="D1123" i="5"/>
  <c r="B1123" i="5"/>
  <c r="A1123" i="5"/>
  <c r="V1122" i="5"/>
  <c r="F1122" i="5"/>
  <c r="D1122" i="5"/>
  <c r="B1122" i="5"/>
  <c r="A1122" i="5"/>
  <c r="V1121" i="5"/>
  <c r="F1121" i="5"/>
  <c r="D1121" i="5"/>
  <c r="B1121" i="5"/>
  <c r="A1121" i="5"/>
  <c r="V1120" i="5"/>
  <c r="F1120" i="5"/>
  <c r="D1120" i="5"/>
  <c r="B1120" i="5"/>
  <c r="A1120" i="5"/>
  <c r="V1119" i="5"/>
  <c r="F1119" i="5"/>
  <c r="D1119" i="5"/>
  <c r="B1119" i="5"/>
  <c r="A1119" i="5"/>
  <c r="V1118" i="5"/>
  <c r="F1118" i="5"/>
  <c r="D1118" i="5"/>
  <c r="B1118" i="5"/>
  <c r="A1118" i="5"/>
  <c r="V1117" i="5"/>
  <c r="F1117" i="5"/>
  <c r="D1117" i="5"/>
  <c r="B1117" i="5"/>
  <c r="A1117" i="5"/>
  <c r="V1116" i="5"/>
  <c r="F1116" i="5"/>
  <c r="D1116" i="5"/>
  <c r="B1116" i="5"/>
  <c r="A1116" i="5"/>
  <c r="V1115" i="5"/>
  <c r="F1115" i="5"/>
  <c r="D1115" i="5"/>
  <c r="B1115" i="5"/>
  <c r="A1115" i="5"/>
  <c r="V1114" i="5"/>
  <c r="F1114" i="5"/>
  <c r="D1114" i="5"/>
  <c r="B1114" i="5"/>
  <c r="A1114" i="5"/>
  <c r="V1113" i="5"/>
  <c r="F1113" i="5"/>
  <c r="D1113" i="5"/>
  <c r="B1113" i="5"/>
  <c r="A1113" i="5"/>
  <c r="V1112" i="5"/>
  <c r="F1112" i="5"/>
  <c r="D1112" i="5"/>
  <c r="B1112" i="5"/>
  <c r="A1112" i="5"/>
  <c r="V1111" i="5"/>
  <c r="F1111" i="5"/>
  <c r="D1111" i="5"/>
  <c r="B1111" i="5"/>
  <c r="A1111" i="5"/>
  <c r="V1110" i="5"/>
  <c r="F1110" i="5"/>
  <c r="D1110" i="5"/>
  <c r="B1110" i="5"/>
  <c r="A1110" i="5"/>
  <c r="V1109" i="5"/>
  <c r="F1109" i="5"/>
  <c r="D1109" i="5"/>
  <c r="B1109" i="5"/>
  <c r="A1109" i="5"/>
  <c r="V1108" i="5"/>
  <c r="F1108" i="5"/>
  <c r="D1108" i="5"/>
  <c r="B1108" i="5"/>
  <c r="A1108" i="5"/>
  <c r="V1107" i="5"/>
  <c r="F1107" i="5"/>
  <c r="D1107" i="5"/>
  <c r="B1107" i="5"/>
  <c r="A1107" i="5"/>
  <c r="V1106" i="5"/>
  <c r="F1106" i="5"/>
  <c r="D1106" i="5"/>
  <c r="B1106" i="5"/>
  <c r="A1106" i="5"/>
  <c r="V1105" i="5"/>
  <c r="F1105" i="5"/>
  <c r="D1105" i="5"/>
  <c r="B1105" i="5"/>
  <c r="A1105" i="5"/>
  <c r="V1104" i="5"/>
  <c r="F1104" i="5"/>
  <c r="D1104" i="5"/>
  <c r="B1104" i="5"/>
  <c r="A1104" i="5"/>
  <c r="V1103" i="5"/>
  <c r="F1103" i="5"/>
  <c r="D1103" i="5"/>
  <c r="B1103" i="5"/>
  <c r="A1103" i="5"/>
  <c r="V1102" i="5"/>
  <c r="F1102" i="5"/>
  <c r="D1102" i="5"/>
  <c r="B1102" i="5"/>
  <c r="A1102" i="5"/>
  <c r="V1101" i="5"/>
  <c r="F1101" i="5"/>
  <c r="D1101" i="5"/>
  <c r="B1101" i="5"/>
  <c r="A1101" i="5"/>
  <c r="V1100" i="5"/>
  <c r="F1100" i="5"/>
  <c r="D1100" i="5"/>
  <c r="B1100" i="5"/>
  <c r="A1100" i="5"/>
  <c r="V1099" i="5"/>
  <c r="F1099" i="5"/>
  <c r="D1099" i="5"/>
  <c r="B1099" i="5"/>
  <c r="A1099" i="5"/>
  <c r="V1098" i="5"/>
  <c r="F1098" i="5"/>
  <c r="D1098" i="5"/>
  <c r="B1098" i="5"/>
  <c r="A1098" i="5"/>
  <c r="V1097" i="5"/>
  <c r="F1097" i="5"/>
  <c r="D1097" i="5"/>
  <c r="B1097" i="5"/>
  <c r="A1097" i="5"/>
  <c r="V1096" i="5"/>
  <c r="F1096" i="5"/>
  <c r="D1096" i="5"/>
  <c r="B1096" i="5"/>
  <c r="A1096" i="5"/>
  <c r="V1095" i="5"/>
  <c r="F1095" i="5"/>
  <c r="D1095" i="5"/>
  <c r="B1095" i="5"/>
  <c r="A1095" i="5"/>
  <c r="V1094" i="5"/>
  <c r="F1094" i="5"/>
  <c r="D1094" i="5"/>
  <c r="B1094" i="5"/>
  <c r="A1094" i="5"/>
  <c r="V1093" i="5"/>
  <c r="F1093" i="5"/>
  <c r="D1093" i="5"/>
  <c r="B1093" i="5"/>
  <c r="A1093" i="5"/>
  <c r="V1092" i="5"/>
  <c r="F1092" i="5"/>
  <c r="D1092" i="5"/>
  <c r="B1092" i="5"/>
  <c r="A1092" i="5"/>
  <c r="V1091" i="5"/>
  <c r="F1091" i="5"/>
  <c r="D1091" i="5"/>
  <c r="B1091" i="5"/>
  <c r="A1091" i="5"/>
  <c r="V1090" i="5"/>
  <c r="F1090" i="5"/>
  <c r="D1090" i="5"/>
  <c r="B1090" i="5"/>
  <c r="A1090" i="5"/>
  <c r="V1089" i="5"/>
  <c r="F1089" i="5"/>
  <c r="D1089" i="5"/>
  <c r="B1089" i="5"/>
  <c r="A1089" i="5"/>
  <c r="V1088" i="5"/>
  <c r="F1088" i="5"/>
  <c r="D1088" i="5"/>
  <c r="B1088" i="5"/>
  <c r="A1088" i="5"/>
  <c r="V1087" i="5"/>
  <c r="F1087" i="5"/>
  <c r="D1087" i="5"/>
  <c r="B1087" i="5"/>
  <c r="A1087" i="5"/>
  <c r="V1086" i="5"/>
  <c r="F1086" i="5"/>
  <c r="D1086" i="5"/>
  <c r="B1086" i="5"/>
  <c r="A1086" i="5"/>
  <c r="V1085" i="5"/>
  <c r="F1085" i="5"/>
  <c r="D1085" i="5"/>
  <c r="B1085" i="5"/>
  <c r="A1085" i="5"/>
  <c r="V1084" i="5"/>
  <c r="F1084" i="5"/>
  <c r="D1084" i="5"/>
  <c r="B1084" i="5"/>
  <c r="A1084" i="5"/>
  <c r="V1083" i="5"/>
  <c r="F1083" i="5"/>
  <c r="D1083" i="5"/>
  <c r="B1083" i="5"/>
  <c r="A1083" i="5"/>
  <c r="V1082" i="5"/>
  <c r="F1082" i="5"/>
  <c r="D1082" i="5"/>
  <c r="B1082" i="5"/>
  <c r="A1082" i="5"/>
  <c r="V1081" i="5"/>
  <c r="F1081" i="5"/>
  <c r="D1081" i="5"/>
  <c r="B1081" i="5"/>
  <c r="A1081" i="5"/>
  <c r="V1080" i="5"/>
  <c r="F1080" i="5"/>
  <c r="D1080" i="5"/>
  <c r="B1080" i="5"/>
  <c r="A1080" i="5"/>
  <c r="V1079" i="5"/>
  <c r="F1079" i="5"/>
  <c r="D1079" i="5"/>
  <c r="B1079" i="5"/>
  <c r="A1079" i="5"/>
  <c r="V1078" i="5"/>
  <c r="F1078" i="5"/>
  <c r="D1078" i="5"/>
  <c r="B1078" i="5"/>
  <c r="A1078" i="5"/>
  <c r="V1077" i="5"/>
  <c r="F1077" i="5"/>
  <c r="D1077" i="5"/>
  <c r="B1077" i="5"/>
  <c r="A1077" i="5"/>
  <c r="V1076" i="5"/>
  <c r="F1076" i="5"/>
  <c r="D1076" i="5"/>
  <c r="B1076" i="5"/>
  <c r="A1076" i="5"/>
  <c r="V1075" i="5"/>
  <c r="F1075" i="5"/>
  <c r="D1075" i="5"/>
  <c r="B1075" i="5"/>
  <c r="A1075" i="5"/>
  <c r="V1074" i="5"/>
  <c r="F1074" i="5"/>
  <c r="D1074" i="5"/>
  <c r="B1074" i="5"/>
  <c r="A1074" i="5"/>
  <c r="V1073" i="5"/>
  <c r="F1073" i="5"/>
  <c r="D1073" i="5"/>
  <c r="B1073" i="5"/>
  <c r="A1073" i="5"/>
  <c r="V1072" i="5"/>
  <c r="F1072" i="5"/>
  <c r="D1072" i="5"/>
  <c r="B1072" i="5"/>
  <c r="A1072" i="5"/>
  <c r="V1071" i="5"/>
  <c r="F1071" i="5"/>
  <c r="D1071" i="5"/>
  <c r="B1071" i="5"/>
  <c r="A1071" i="5"/>
  <c r="V1070" i="5"/>
  <c r="F1070" i="5"/>
  <c r="D1070" i="5"/>
  <c r="B1070" i="5"/>
  <c r="A1070" i="5"/>
  <c r="V1069" i="5"/>
  <c r="F1069" i="5"/>
  <c r="D1069" i="5"/>
  <c r="B1069" i="5"/>
  <c r="A1069" i="5"/>
  <c r="V1068" i="5"/>
  <c r="F1068" i="5"/>
  <c r="D1068" i="5"/>
  <c r="B1068" i="5"/>
  <c r="A1068" i="5"/>
  <c r="V1067" i="5"/>
  <c r="F1067" i="5"/>
  <c r="D1067" i="5"/>
  <c r="B1067" i="5"/>
  <c r="A1067" i="5"/>
  <c r="V1066" i="5"/>
  <c r="F1066" i="5"/>
  <c r="D1066" i="5"/>
  <c r="B1066" i="5"/>
  <c r="A1066" i="5"/>
  <c r="V1065" i="5"/>
  <c r="F1065" i="5"/>
  <c r="D1065" i="5"/>
  <c r="B1065" i="5"/>
  <c r="A1065" i="5"/>
  <c r="V1064" i="5"/>
  <c r="F1064" i="5"/>
  <c r="D1064" i="5"/>
  <c r="B1064" i="5"/>
  <c r="A1064" i="5"/>
  <c r="V1063" i="5"/>
  <c r="F1063" i="5"/>
  <c r="D1063" i="5"/>
  <c r="B1063" i="5"/>
  <c r="A1063" i="5"/>
  <c r="V1062" i="5"/>
  <c r="F1062" i="5"/>
  <c r="D1062" i="5"/>
  <c r="B1062" i="5"/>
  <c r="A1062" i="5"/>
  <c r="V1061" i="5"/>
  <c r="F1061" i="5"/>
  <c r="D1061" i="5"/>
  <c r="B1061" i="5"/>
  <c r="A1061" i="5"/>
  <c r="V1060" i="5"/>
  <c r="F1060" i="5"/>
  <c r="D1060" i="5"/>
  <c r="B1060" i="5"/>
  <c r="A1060" i="5"/>
  <c r="V1059" i="5"/>
  <c r="F1059" i="5"/>
  <c r="D1059" i="5"/>
  <c r="B1059" i="5"/>
  <c r="A1059" i="5"/>
  <c r="V1058" i="5"/>
  <c r="F1058" i="5"/>
  <c r="D1058" i="5"/>
  <c r="B1058" i="5"/>
  <c r="A1058" i="5"/>
  <c r="V1057" i="5"/>
  <c r="F1057" i="5"/>
  <c r="D1057" i="5"/>
  <c r="B1057" i="5"/>
  <c r="A1057" i="5"/>
  <c r="V1056" i="5"/>
  <c r="F1056" i="5"/>
  <c r="D1056" i="5"/>
  <c r="B1056" i="5"/>
  <c r="A1056" i="5"/>
  <c r="V1055" i="5"/>
  <c r="F1055" i="5"/>
  <c r="D1055" i="5"/>
  <c r="B1055" i="5"/>
  <c r="A1055" i="5"/>
  <c r="V1054" i="5"/>
  <c r="F1054" i="5"/>
  <c r="D1054" i="5"/>
  <c r="B1054" i="5"/>
  <c r="A1054" i="5"/>
  <c r="V1053" i="5"/>
  <c r="F1053" i="5"/>
  <c r="D1053" i="5"/>
  <c r="B1053" i="5"/>
  <c r="A1053" i="5"/>
  <c r="V1052" i="5"/>
  <c r="F1052" i="5"/>
  <c r="D1052" i="5"/>
  <c r="B1052" i="5"/>
  <c r="A1052" i="5"/>
  <c r="V1051" i="5"/>
  <c r="F1051" i="5"/>
  <c r="D1051" i="5"/>
  <c r="B1051" i="5"/>
  <c r="A1051" i="5"/>
  <c r="V1050" i="5"/>
  <c r="F1050" i="5"/>
  <c r="D1050" i="5"/>
  <c r="B1050" i="5"/>
  <c r="A1050" i="5"/>
  <c r="V1049" i="5"/>
  <c r="F1049" i="5"/>
  <c r="D1049" i="5"/>
  <c r="B1049" i="5"/>
  <c r="A1049" i="5"/>
  <c r="V1048" i="5"/>
  <c r="F1048" i="5"/>
  <c r="D1048" i="5"/>
  <c r="B1048" i="5"/>
  <c r="A1048" i="5"/>
  <c r="V1047" i="5"/>
  <c r="F1047" i="5"/>
  <c r="D1047" i="5"/>
  <c r="B1047" i="5"/>
  <c r="A1047" i="5"/>
  <c r="V1046" i="5"/>
  <c r="F1046" i="5"/>
  <c r="D1046" i="5"/>
  <c r="B1046" i="5"/>
  <c r="A1046" i="5"/>
  <c r="V1045" i="5"/>
  <c r="F1045" i="5"/>
  <c r="D1045" i="5"/>
  <c r="B1045" i="5"/>
  <c r="A1045" i="5"/>
  <c r="V1044" i="5"/>
  <c r="F1044" i="5"/>
  <c r="D1044" i="5"/>
  <c r="B1044" i="5"/>
  <c r="A1044" i="5"/>
  <c r="V1043" i="5"/>
  <c r="F1043" i="5"/>
  <c r="D1043" i="5"/>
  <c r="B1043" i="5"/>
  <c r="A1043" i="5"/>
  <c r="V1042" i="5"/>
  <c r="F1042" i="5"/>
  <c r="D1042" i="5"/>
  <c r="B1042" i="5"/>
  <c r="A1042" i="5"/>
  <c r="V1041" i="5"/>
  <c r="F1041" i="5"/>
  <c r="D1041" i="5"/>
  <c r="B1041" i="5"/>
  <c r="A1041" i="5"/>
  <c r="V1040" i="5"/>
  <c r="F1040" i="5"/>
  <c r="D1040" i="5"/>
  <c r="B1040" i="5"/>
  <c r="A1040" i="5"/>
  <c r="V1039" i="5"/>
  <c r="F1039" i="5"/>
  <c r="D1039" i="5"/>
  <c r="B1039" i="5"/>
  <c r="A1039" i="5"/>
  <c r="V1038" i="5"/>
  <c r="F1038" i="5"/>
  <c r="D1038" i="5"/>
  <c r="B1038" i="5"/>
  <c r="A1038" i="5"/>
  <c r="V1037" i="5"/>
  <c r="F1037" i="5"/>
  <c r="D1037" i="5"/>
  <c r="B1037" i="5"/>
  <c r="A1037" i="5"/>
  <c r="V1036" i="5"/>
  <c r="F1036" i="5"/>
  <c r="D1036" i="5"/>
  <c r="B1036" i="5"/>
  <c r="A1036" i="5"/>
  <c r="V1035" i="5"/>
  <c r="F1035" i="5"/>
  <c r="D1035" i="5"/>
  <c r="B1035" i="5"/>
  <c r="A1035" i="5"/>
  <c r="V1034" i="5"/>
  <c r="F1034" i="5"/>
  <c r="D1034" i="5"/>
  <c r="B1034" i="5"/>
  <c r="A1034" i="5"/>
  <c r="V1033" i="5"/>
  <c r="F1033" i="5"/>
  <c r="D1033" i="5"/>
  <c r="B1033" i="5"/>
  <c r="A1033" i="5"/>
  <c r="V1032" i="5"/>
  <c r="F1032" i="5"/>
  <c r="D1032" i="5"/>
  <c r="B1032" i="5"/>
  <c r="A1032" i="5"/>
  <c r="V1031" i="5"/>
  <c r="F1031" i="5"/>
  <c r="D1031" i="5"/>
  <c r="B1031" i="5"/>
  <c r="A1031" i="5"/>
  <c r="V1030" i="5"/>
  <c r="F1030" i="5"/>
  <c r="D1030" i="5"/>
  <c r="B1030" i="5"/>
  <c r="A1030" i="5"/>
  <c r="V1029" i="5"/>
  <c r="F1029" i="5"/>
  <c r="D1029" i="5"/>
  <c r="B1029" i="5"/>
  <c r="A1029" i="5"/>
  <c r="V1028" i="5"/>
  <c r="F1028" i="5"/>
  <c r="D1028" i="5"/>
  <c r="B1028" i="5"/>
  <c r="A1028" i="5"/>
  <c r="V1027" i="5"/>
  <c r="F1027" i="5"/>
  <c r="D1027" i="5"/>
  <c r="B1027" i="5"/>
  <c r="A1027" i="5"/>
  <c r="V1026" i="5"/>
  <c r="F1026" i="5"/>
  <c r="D1026" i="5"/>
  <c r="B1026" i="5"/>
  <c r="A1026" i="5"/>
  <c r="V1025" i="5"/>
  <c r="F1025" i="5"/>
  <c r="D1025" i="5"/>
  <c r="B1025" i="5"/>
  <c r="A1025" i="5"/>
  <c r="V1024" i="5"/>
  <c r="F1024" i="5"/>
  <c r="D1024" i="5"/>
  <c r="B1024" i="5"/>
  <c r="A1024" i="5"/>
  <c r="V1023" i="5"/>
  <c r="F1023" i="5"/>
  <c r="D1023" i="5"/>
  <c r="B1023" i="5"/>
  <c r="A1023" i="5"/>
  <c r="V1022" i="5"/>
  <c r="F1022" i="5"/>
  <c r="D1022" i="5"/>
  <c r="B1022" i="5"/>
  <c r="A1022" i="5"/>
  <c r="V1021" i="5"/>
  <c r="F1021" i="5"/>
  <c r="D1021" i="5"/>
  <c r="B1021" i="5"/>
  <c r="A1021" i="5"/>
  <c r="V1020" i="5"/>
  <c r="F1020" i="5"/>
  <c r="D1020" i="5"/>
  <c r="B1020" i="5"/>
  <c r="A1020" i="5"/>
  <c r="V1019" i="5"/>
  <c r="F1019" i="5"/>
  <c r="D1019" i="5"/>
  <c r="B1019" i="5"/>
  <c r="A1019" i="5"/>
  <c r="V1018" i="5"/>
  <c r="F1018" i="5"/>
  <c r="D1018" i="5"/>
  <c r="B1018" i="5"/>
  <c r="A1018" i="5"/>
  <c r="V1017" i="5"/>
  <c r="F1017" i="5"/>
  <c r="D1017" i="5"/>
  <c r="B1017" i="5"/>
  <c r="A1017" i="5"/>
  <c r="V1016" i="5"/>
  <c r="F1016" i="5"/>
  <c r="D1016" i="5"/>
  <c r="B1016" i="5"/>
  <c r="A1016" i="5"/>
  <c r="V1015" i="5"/>
  <c r="F1015" i="5"/>
  <c r="D1015" i="5"/>
  <c r="B1015" i="5"/>
  <c r="A1015" i="5"/>
  <c r="V1014" i="5"/>
  <c r="F1014" i="5"/>
  <c r="D1014" i="5"/>
  <c r="B1014" i="5"/>
  <c r="A1014" i="5"/>
  <c r="V1013" i="5"/>
  <c r="F1013" i="5"/>
  <c r="D1013" i="5"/>
  <c r="B1013" i="5"/>
  <c r="A1013" i="5"/>
  <c r="V1012" i="5"/>
  <c r="F1012" i="5"/>
  <c r="D1012" i="5"/>
  <c r="B1012" i="5"/>
  <c r="A1012" i="5"/>
  <c r="V1011" i="5"/>
  <c r="F1011" i="5"/>
  <c r="D1011" i="5"/>
  <c r="B1011" i="5"/>
  <c r="A1011" i="5"/>
  <c r="V1010" i="5"/>
  <c r="F1010" i="5"/>
  <c r="D1010" i="5"/>
  <c r="B1010" i="5"/>
  <c r="A1010" i="5"/>
  <c r="V1009" i="5"/>
  <c r="F1009" i="5"/>
  <c r="D1009" i="5"/>
  <c r="B1009" i="5"/>
  <c r="A1009" i="5"/>
  <c r="V1008" i="5"/>
  <c r="F1008" i="5"/>
  <c r="D1008" i="5"/>
  <c r="B1008" i="5"/>
  <c r="A1008" i="5"/>
  <c r="V1007" i="5"/>
  <c r="F1007" i="5"/>
  <c r="D1007" i="5"/>
  <c r="B1007" i="5"/>
  <c r="A1007" i="5"/>
  <c r="V1006" i="5"/>
  <c r="F1006" i="5"/>
  <c r="D1006" i="5"/>
  <c r="B1006" i="5"/>
  <c r="A1006" i="5"/>
  <c r="V1005" i="5"/>
  <c r="F1005" i="5"/>
  <c r="D1005" i="5"/>
  <c r="B1005" i="5"/>
  <c r="A1005" i="5"/>
  <c r="V1004" i="5"/>
  <c r="F1004" i="5"/>
  <c r="D1004" i="5"/>
  <c r="B1004" i="5"/>
  <c r="A1004" i="5"/>
  <c r="V1003" i="5"/>
  <c r="F1003" i="5"/>
  <c r="D1003" i="5"/>
  <c r="B1003" i="5"/>
  <c r="A1003" i="5"/>
  <c r="V1002" i="5"/>
  <c r="F1002" i="5"/>
  <c r="D1002" i="5"/>
  <c r="B1002" i="5"/>
  <c r="A1002" i="5"/>
  <c r="V1001" i="5"/>
  <c r="F1001" i="5"/>
  <c r="D1001" i="5"/>
  <c r="B1001" i="5"/>
  <c r="A1001" i="5"/>
  <c r="V1000" i="5"/>
  <c r="F1000" i="5"/>
  <c r="D1000" i="5"/>
  <c r="B1000" i="5"/>
  <c r="A1000" i="5"/>
  <c r="V999" i="5"/>
  <c r="F999" i="5"/>
  <c r="D999" i="5"/>
  <c r="B999" i="5"/>
  <c r="A999" i="5"/>
  <c r="V998" i="5"/>
  <c r="F998" i="5"/>
  <c r="D998" i="5"/>
  <c r="B998" i="5"/>
  <c r="A998" i="5"/>
  <c r="V997" i="5"/>
  <c r="F997" i="5"/>
  <c r="D997" i="5"/>
  <c r="B997" i="5"/>
  <c r="A997" i="5"/>
  <c r="V996" i="5"/>
  <c r="F996" i="5"/>
  <c r="D996" i="5"/>
  <c r="B996" i="5"/>
  <c r="A996" i="5"/>
  <c r="V995" i="5"/>
  <c r="F995" i="5"/>
  <c r="D995" i="5"/>
  <c r="B995" i="5"/>
  <c r="A995" i="5"/>
  <c r="V994" i="5"/>
  <c r="F994" i="5"/>
  <c r="D994" i="5"/>
  <c r="B994" i="5"/>
  <c r="A994" i="5"/>
  <c r="V993" i="5"/>
  <c r="F993" i="5"/>
  <c r="D993" i="5"/>
  <c r="B993" i="5"/>
  <c r="A993" i="5"/>
  <c r="V992" i="5"/>
  <c r="F992" i="5"/>
  <c r="D992" i="5"/>
  <c r="B992" i="5"/>
  <c r="A992" i="5"/>
  <c r="V991" i="5"/>
  <c r="F991" i="5"/>
  <c r="D991" i="5"/>
  <c r="B991" i="5"/>
  <c r="A991" i="5"/>
  <c r="V990" i="5"/>
  <c r="F990" i="5"/>
  <c r="D990" i="5"/>
  <c r="B990" i="5"/>
  <c r="A990" i="5"/>
  <c r="V989" i="5"/>
  <c r="F989" i="5"/>
  <c r="D989" i="5"/>
  <c r="B989" i="5"/>
  <c r="A989" i="5"/>
  <c r="V988" i="5"/>
  <c r="F988" i="5"/>
  <c r="D988" i="5"/>
  <c r="B988" i="5"/>
  <c r="A988" i="5"/>
  <c r="V987" i="5"/>
  <c r="F987" i="5"/>
  <c r="D987" i="5"/>
  <c r="B987" i="5"/>
  <c r="A987" i="5"/>
  <c r="V986" i="5"/>
  <c r="F986" i="5"/>
  <c r="D986" i="5"/>
  <c r="B986" i="5"/>
  <c r="A986" i="5"/>
  <c r="V985" i="5"/>
  <c r="F985" i="5"/>
  <c r="D985" i="5"/>
  <c r="B985" i="5"/>
  <c r="A985" i="5"/>
  <c r="V984" i="5"/>
  <c r="F984" i="5"/>
  <c r="D984" i="5"/>
  <c r="B984" i="5"/>
  <c r="A984" i="5"/>
  <c r="V983" i="5"/>
  <c r="F983" i="5"/>
  <c r="D983" i="5"/>
  <c r="B983" i="5"/>
  <c r="A983" i="5"/>
  <c r="V982" i="5"/>
  <c r="F982" i="5"/>
  <c r="D982" i="5"/>
  <c r="B982" i="5"/>
  <c r="A982" i="5"/>
  <c r="V981" i="5"/>
  <c r="F981" i="5"/>
  <c r="D981" i="5"/>
  <c r="B981" i="5"/>
  <c r="A981" i="5"/>
  <c r="V980" i="5"/>
  <c r="F980" i="5"/>
  <c r="D980" i="5"/>
  <c r="B980" i="5"/>
  <c r="A980" i="5"/>
  <c r="V979" i="5"/>
  <c r="F979" i="5"/>
  <c r="D979" i="5"/>
  <c r="B979" i="5"/>
  <c r="A979" i="5"/>
  <c r="V978" i="5"/>
  <c r="F978" i="5"/>
  <c r="D978" i="5"/>
  <c r="B978" i="5"/>
  <c r="A978" i="5"/>
  <c r="V977" i="5"/>
  <c r="F977" i="5"/>
  <c r="D977" i="5"/>
  <c r="B977" i="5"/>
  <c r="A977" i="5"/>
  <c r="V976" i="5"/>
  <c r="F976" i="5"/>
  <c r="D976" i="5"/>
  <c r="B976" i="5"/>
  <c r="A976" i="5"/>
  <c r="V975" i="5"/>
  <c r="F975" i="5"/>
  <c r="D975" i="5"/>
  <c r="B975" i="5"/>
  <c r="A975" i="5"/>
  <c r="V974" i="5"/>
  <c r="F974" i="5"/>
  <c r="D974" i="5"/>
  <c r="B974" i="5"/>
  <c r="A974" i="5"/>
  <c r="V973" i="5"/>
  <c r="F973" i="5"/>
  <c r="D973" i="5"/>
  <c r="B973" i="5"/>
  <c r="A973" i="5"/>
  <c r="V972" i="5"/>
  <c r="F972" i="5"/>
  <c r="D972" i="5"/>
  <c r="B972" i="5"/>
  <c r="A972" i="5"/>
  <c r="V971" i="5"/>
  <c r="F971" i="5"/>
  <c r="D971" i="5"/>
  <c r="B971" i="5"/>
  <c r="A971" i="5"/>
  <c r="V970" i="5"/>
  <c r="F970" i="5"/>
  <c r="D970" i="5"/>
  <c r="B970" i="5"/>
  <c r="A970" i="5"/>
  <c r="V969" i="5"/>
  <c r="F969" i="5"/>
  <c r="D969" i="5"/>
  <c r="B969" i="5"/>
  <c r="A969" i="5"/>
  <c r="V968" i="5"/>
  <c r="F968" i="5"/>
  <c r="D968" i="5"/>
  <c r="B968" i="5"/>
  <c r="A968" i="5"/>
  <c r="V967" i="5"/>
  <c r="F967" i="5"/>
  <c r="D967" i="5"/>
  <c r="B967" i="5"/>
  <c r="A967" i="5"/>
  <c r="V966" i="5"/>
  <c r="F966" i="5"/>
  <c r="D966" i="5"/>
  <c r="B966" i="5"/>
  <c r="A966" i="5"/>
  <c r="V965" i="5"/>
  <c r="F965" i="5"/>
  <c r="D965" i="5"/>
  <c r="B965" i="5"/>
  <c r="A965" i="5"/>
  <c r="V964" i="5"/>
  <c r="F964" i="5"/>
  <c r="D964" i="5"/>
  <c r="B964" i="5"/>
  <c r="A964" i="5"/>
  <c r="V963" i="5"/>
  <c r="F963" i="5"/>
  <c r="D963" i="5"/>
  <c r="B963" i="5"/>
  <c r="A963" i="5"/>
  <c r="V962" i="5"/>
  <c r="F962" i="5"/>
  <c r="D962" i="5"/>
  <c r="B962" i="5"/>
  <c r="A962" i="5"/>
  <c r="V961" i="5"/>
  <c r="F961" i="5"/>
  <c r="D961" i="5"/>
  <c r="B961" i="5"/>
  <c r="A961" i="5"/>
  <c r="V960" i="5"/>
  <c r="F960" i="5"/>
  <c r="D960" i="5"/>
  <c r="B960" i="5"/>
  <c r="A960" i="5"/>
  <c r="V959" i="5"/>
  <c r="F959" i="5"/>
  <c r="D959" i="5"/>
  <c r="B959" i="5"/>
  <c r="A959" i="5"/>
  <c r="V958" i="5"/>
  <c r="F958" i="5"/>
  <c r="D958" i="5"/>
  <c r="B958" i="5"/>
  <c r="A958" i="5"/>
  <c r="V957" i="5"/>
  <c r="F957" i="5"/>
  <c r="D957" i="5"/>
  <c r="B957" i="5"/>
  <c r="A957" i="5"/>
  <c r="V956" i="5"/>
  <c r="F956" i="5"/>
  <c r="D956" i="5"/>
  <c r="B956" i="5"/>
  <c r="A956" i="5"/>
  <c r="V955" i="5"/>
  <c r="F955" i="5"/>
  <c r="D955" i="5"/>
  <c r="B955" i="5"/>
  <c r="A955" i="5"/>
  <c r="V954" i="5"/>
  <c r="F954" i="5"/>
  <c r="D954" i="5"/>
  <c r="B954" i="5"/>
  <c r="A954" i="5"/>
  <c r="V953" i="5"/>
  <c r="F953" i="5"/>
  <c r="D953" i="5"/>
  <c r="B953" i="5"/>
  <c r="A953" i="5"/>
  <c r="V952" i="5"/>
  <c r="F952" i="5"/>
  <c r="D952" i="5"/>
  <c r="B952" i="5"/>
  <c r="A952" i="5"/>
  <c r="V951" i="5"/>
  <c r="F951" i="5"/>
  <c r="D951" i="5"/>
  <c r="B951" i="5"/>
  <c r="A951" i="5"/>
  <c r="V950" i="5"/>
  <c r="F950" i="5"/>
  <c r="D950" i="5"/>
  <c r="B950" i="5"/>
  <c r="A950" i="5"/>
  <c r="V949" i="5"/>
  <c r="F949" i="5"/>
  <c r="D949" i="5"/>
  <c r="B949" i="5"/>
  <c r="A949" i="5"/>
  <c r="V948" i="5"/>
  <c r="F948" i="5"/>
  <c r="D948" i="5"/>
  <c r="B948" i="5"/>
  <c r="A948" i="5"/>
  <c r="V947" i="5"/>
  <c r="F947" i="5"/>
  <c r="D947" i="5"/>
  <c r="B947" i="5"/>
  <c r="A947" i="5"/>
  <c r="V946" i="5"/>
  <c r="F946" i="5"/>
  <c r="D946" i="5"/>
  <c r="B946" i="5"/>
  <c r="A946" i="5"/>
  <c r="V945" i="5"/>
  <c r="F945" i="5"/>
  <c r="D945" i="5"/>
  <c r="B945" i="5"/>
  <c r="A945" i="5"/>
  <c r="V944" i="5"/>
  <c r="F944" i="5"/>
  <c r="D944" i="5"/>
  <c r="B944" i="5"/>
  <c r="A944" i="5"/>
  <c r="V943" i="5"/>
  <c r="F943" i="5"/>
  <c r="D943" i="5"/>
  <c r="B943" i="5"/>
  <c r="A943" i="5"/>
  <c r="V942" i="5"/>
  <c r="F942" i="5"/>
  <c r="D942" i="5"/>
  <c r="B942" i="5"/>
  <c r="A942" i="5"/>
  <c r="V941" i="5"/>
  <c r="F941" i="5"/>
  <c r="D941" i="5"/>
  <c r="B941" i="5"/>
  <c r="A941" i="5"/>
  <c r="V940" i="5"/>
  <c r="F940" i="5"/>
  <c r="D940" i="5"/>
  <c r="B940" i="5"/>
  <c r="A940" i="5"/>
  <c r="V939" i="5"/>
  <c r="F939" i="5"/>
  <c r="D939" i="5"/>
  <c r="B939" i="5"/>
  <c r="A939" i="5"/>
  <c r="V938" i="5"/>
  <c r="F938" i="5"/>
  <c r="D938" i="5"/>
  <c r="B938" i="5"/>
  <c r="A938" i="5"/>
  <c r="V937" i="5"/>
  <c r="F937" i="5"/>
  <c r="D937" i="5"/>
  <c r="B937" i="5"/>
  <c r="A937" i="5"/>
  <c r="V936" i="5"/>
  <c r="F936" i="5"/>
  <c r="D936" i="5"/>
  <c r="B936" i="5"/>
  <c r="A936" i="5"/>
  <c r="V935" i="5"/>
  <c r="F935" i="5"/>
  <c r="D935" i="5"/>
  <c r="B935" i="5"/>
  <c r="A935" i="5"/>
  <c r="V934" i="5"/>
  <c r="F934" i="5"/>
  <c r="D934" i="5"/>
  <c r="B934" i="5"/>
  <c r="A934" i="5"/>
  <c r="V933" i="5"/>
  <c r="F933" i="5"/>
  <c r="D933" i="5"/>
  <c r="B933" i="5"/>
  <c r="A933" i="5"/>
  <c r="V932" i="5"/>
  <c r="F932" i="5"/>
  <c r="D932" i="5"/>
  <c r="B932" i="5"/>
  <c r="A932" i="5"/>
  <c r="V931" i="5"/>
  <c r="F931" i="5"/>
  <c r="D931" i="5"/>
  <c r="B931" i="5"/>
  <c r="A931" i="5"/>
  <c r="V930" i="5"/>
  <c r="F930" i="5"/>
  <c r="D930" i="5"/>
  <c r="B930" i="5"/>
  <c r="A930" i="5"/>
  <c r="V929" i="5"/>
  <c r="F929" i="5"/>
  <c r="D929" i="5"/>
  <c r="B929" i="5"/>
  <c r="A929" i="5"/>
  <c r="V928" i="5"/>
  <c r="F928" i="5"/>
  <c r="D928" i="5"/>
  <c r="B928" i="5"/>
  <c r="A928" i="5"/>
  <c r="V927" i="5"/>
  <c r="F927" i="5"/>
  <c r="D927" i="5"/>
  <c r="B927" i="5"/>
  <c r="A927" i="5"/>
  <c r="V926" i="5"/>
  <c r="F926" i="5"/>
  <c r="D926" i="5"/>
  <c r="B926" i="5"/>
  <c r="A926" i="5"/>
  <c r="V925" i="5"/>
  <c r="F925" i="5"/>
  <c r="D925" i="5"/>
  <c r="B925" i="5"/>
  <c r="A925" i="5"/>
  <c r="V924" i="5"/>
  <c r="F924" i="5"/>
  <c r="D924" i="5"/>
  <c r="B924" i="5"/>
  <c r="A924" i="5"/>
  <c r="V923" i="5"/>
  <c r="F923" i="5"/>
  <c r="D923" i="5"/>
  <c r="B923" i="5"/>
  <c r="A923" i="5"/>
  <c r="V922" i="5"/>
  <c r="F922" i="5"/>
  <c r="D922" i="5"/>
  <c r="B922" i="5"/>
  <c r="A922" i="5"/>
  <c r="V921" i="5"/>
  <c r="F921" i="5"/>
  <c r="D921" i="5"/>
  <c r="B921" i="5"/>
  <c r="A921" i="5"/>
  <c r="V920" i="5"/>
  <c r="F920" i="5"/>
  <c r="D920" i="5"/>
  <c r="B920" i="5"/>
  <c r="A920" i="5"/>
  <c r="V919" i="5"/>
  <c r="F919" i="5"/>
  <c r="D919" i="5"/>
  <c r="B919" i="5"/>
  <c r="A919" i="5"/>
  <c r="V918" i="5"/>
  <c r="F918" i="5"/>
  <c r="D918" i="5"/>
  <c r="B918" i="5"/>
  <c r="A918" i="5"/>
  <c r="V917" i="5"/>
  <c r="F917" i="5"/>
  <c r="D917" i="5"/>
  <c r="B917" i="5"/>
  <c r="A917" i="5"/>
  <c r="V916" i="5"/>
  <c r="F916" i="5"/>
  <c r="D916" i="5"/>
  <c r="B916" i="5"/>
  <c r="A916" i="5"/>
  <c r="V915" i="5"/>
  <c r="F915" i="5"/>
  <c r="D915" i="5"/>
  <c r="B915" i="5"/>
  <c r="A915" i="5"/>
  <c r="V914" i="5"/>
  <c r="F914" i="5"/>
  <c r="D914" i="5"/>
  <c r="B914" i="5"/>
  <c r="A914" i="5"/>
  <c r="V913" i="5"/>
  <c r="F913" i="5"/>
  <c r="D913" i="5"/>
  <c r="B913" i="5"/>
  <c r="A913" i="5"/>
  <c r="V912" i="5"/>
  <c r="F912" i="5"/>
  <c r="D912" i="5"/>
  <c r="B912" i="5"/>
  <c r="A912" i="5"/>
  <c r="V911" i="5"/>
  <c r="F911" i="5"/>
  <c r="D911" i="5"/>
  <c r="B911" i="5"/>
  <c r="A911" i="5"/>
  <c r="V910" i="5"/>
  <c r="F910" i="5"/>
  <c r="D910" i="5"/>
  <c r="B910" i="5"/>
  <c r="A910" i="5"/>
  <c r="V909" i="5"/>
  <c r="F909" i="5"/>
  <c r="D909" i="5"/>
  <c r="B909" i="5"/>
  <c r="A909" i="5"/>
  <c r="V908" i="5"/>
  <c r="F908" i="5"/>
  <c r="D908" i="5"/>
  <c r="B908" i="5"/>
  <c r="A908" i="5"/>
  <c r="V907" i="5"/>
  <c r="F907" i="5"/>
  <c r="D907" i="5"/>
  <c r="B907" i="5"/>
  <c r="A907" i="5"/>
  <c r="V906" i="5"/>
  <c r="F906" i="5"/>
  <c r="D906" i="5"/>
  <c r="B906" i="5"/>
  <c r="A906" i="5"/>
  <c r="V905" i="5"/>
  <c r="F905" i="5"/>
  <c r="D905" i="5"/>
  <c r="B905" i="5"/>
  <c r="A905" i="5"/>
  <c r="V904" i="5"/>
  <c r="F904" i="5"/>
  <c r="D904" i="5"/>
  <c r="B904" i="5"/>
  <c r="A904" i="5"/>
  <c r="V903" i="5"/>
  <c r="F903" i="5"/>
  <c r="D903" i="5"/>
  <c r="B903" i="5"/>
  <c r="A903" i="5"/>
  <c r="V902" i="5"/>
  <c r="F902" i="5"/>
  <c r="D902" i="5"/>
  <c r="B902" i="5"/>
  <c r="A902" i="5"/>
  <c r="V901" i="5"/>
  <c r="F901" i="5"/>
  <c r="D901" i="5"/>
  <c r="B901" i="5"/>
  <c r="A901" i="5"/>
  <c r="V900" i="5"/>
  <c r="F900" i="5"/>
  <c r="D900" i="5"/>
  <c r="B900" i="5"/>
  <c r="A900" i="5"/>
  <c r="V899" i="5"/>
  <c r="F899" i="5"/>
  <c r="D899" i="5"/>
  <c r="B899" i="5"/>
  <c r="A899" i="5"/>
  <c r="V898" i="5"/>
  <c r="F898" i="5"/>
  <c r="D898" i="5"/>
  <c r="B898" i="5"/>
  <c r="A898" i="5"/>
  <c r="V897" i="5"/>
  <c r="F897" i="5"/>
  <c r="D897" i="5"/>
  <c r="B897" i="5"/>
  <c r="A897" i="5"/>
  <c r="V896" i="5"/>
  <c r="F896" i="5"/>
  <c r="D896" i="5"/>
  <c r="B896" i="5"/>
  <c r="A896" i="5"/>
  <c r="V895" i="5"/>
  <c r="F895" i="5"/>
  <c r="D895" i="5"/>
  <c r="B895" i="5"/>
  <c r="A895" i="5"/>
  <c r="V894" i="5"/>
  <c r="F894" i="5"/>
  <c r="D894" i="5"/>
  <c r="B894" i="5"/>
  <c r="A894" i="5"/>
  <c r="V893" i="5"/>
  <c r="F893" i="5"/>
  <c r="D893" i="5"/>
  <c r="B893" i="5"/>
  <c r="A893" i="5"/>
  <c r="V892" i="5"/>
  <c r="F892" i="5"/>
  <c r="D892" i="5"/>
  <c r="B892" i="5"/>
  <c r="A892" i="5"/>
  <c r="V891" i="5"/>
  <c r="F891" i="5"/>
  <c r="D891" i="5"/>
  <c r="B891" i="5"/>
  <c r="A891" i="5"/>
  <c r="V890" i="5"/>
  <c r="F890" i="5"/>
  <c r="D890" i="5"/>
  <c r="B890" i="5"/>
  <c r="A890" i="5"/>
  <c r="V889" i="5"/>
  <c r="F889" i="5"/>
  <c r="D889" i="5"/>
  <c r="B889" i="5"/>
  <c r="A889" i="5"/>
  <c r="V888" i="5"/>
  <c r="F888" i="5"/>
  <c r="D888" i="5"/>
  <c r="B888" i="5"/>
  <c r="A888" i="5"/>
  <c r="V887" i="5"/>
  <c r="F887" i="5"/>
  <c r="D887" i="5"/>
  <c r="B887" i="5"/>
  <c r="A887" i="5"/>
  <c r="V886" i="5"/>
  <c r="F886" i="5"/>
  <c r="D886" i="5"/>
  <c r="B886" i="5"/>
  <c r="A886" i="5"/>
  <c r="V885" i="5"/>
  <c r="F885" i="5"/>
  <c r="D885" i="5"/>
  <c r="B885" i="5"/>
  <c r="A885" i="5"/>
  <c r="V884" i="5"/>
  <c r="F884" i="5"/>
  <c r="D884" i="5"/>
  <c r="B884" i="5"/>
  <c r="A884" i="5"/>
  <c r="V883" i="5"/>
  <c r="F883" i="5"/>
  <c r="D883" i="5"/>
  <c r="B883" i="5"/>
  <c r="A883" i="5"/>
  <c r="V882" i="5"/>
  <c r="F882" i="5"/>
  <c r="D882" i="5"/>
  <c r="B882" i="5"/>
  <c r="A882" i="5"/>
  <c r="V881" i="5"/>
  <c r="F881" i="5"/>
  <c r="D881" i="5"/>
  <c r="B881" i="5"/>
  <c r="A881" i="5"/>
  <c r="V880" i="5"/>
  <c r="F880" i="5"/>
  <c r="D880" i="5"/>
  <c r="B880" i="5"/>
  <c r="A880" i="5"/>
  <c r="V879" i="5"/>
  <c r="F879" i="5"/>
  <c r="D879" i="5"/>
  <c r="B879" i="5"/>
  <c r="A879" i="5"/>
  <c r="V878" i="5"/>
  <c r="F878" i="5"/>
  <c r="D878" i="5"/>
  <c r="B878" i="5"/>
  <c r="A878" i="5"/>
  <c r="V877" i="5"/>
  <c r="F877" i="5"/>
  <c r="D877" i="5"/>
  <c r="B877" i="5"/>
  <c r="A877" i="5"/>
  <c r="V876" i="5"/>
  <c r="F876" i="5"/>
  <c r="D876" i="5"/>
  <c r="B876" i="5"/>
  <c r="A876" i="5"/>
  <c r="V875" i="5"/>
  <c r="F875" i="5"/>
  <c r="D875" i="5"/>
  <c r="B875" i="5"/>
  <c r="A875" i="5"/>
  <c r="V874" i="5"/>
  <c r="F874" i="5"/>
  <c r="D874" i="5"/>
  <c r="B874" i="5"/>
  <c r="A874" i="5"/>
  <c r="V873" i="5"/>
  <c r="F873" i="5"/>
  <c r="D873" i="5"/>
  <c r="B873" i="5"/>
  <c r="A873" i="5"/>
  <c r="V872" i="5"/>
  <c r="F872" i="5"/>
  <c r="D872" i="5"/>
  <c r="B872" i="5"/>
  <c r="A872" i="5"/>
  <c r="V871" i="5"/>
  <c r="F871" i="5"/>
  <c r="D871" i="5"/>
  <c r="B871" i="5"/>
  <c r="A871" i="5"/>
  <c r="V870" i="5"/>
  <c r="F870" i="5"/>
  <c r="D870" i="5"/>
  <c r="B870" i="5"/>
  <c r="A870" i="5"/>
  <c r="V869" i="5"/>
  <c r="F869" i="5"/>
  <c r="D869" i="5"/>
  <c r="B869" i="5"/>
  <c r="A869" i="5"/>
  <c r="V868" i="5"/>
  <c r="F868" i="5"/>
  <c r="D868" i="5"/>
  <c r="B868" i="5"/>
  <c r="A868" i="5"/>
  <c r="V867" i="5"/>
  <c r="F867" i="5"/>
  <c r="D867" i="5"/>
  <c r="B867" i="5"/>
  <c r="A867" i="5"/>
  <c r="V866" i="5"/>
  <c r="F866" i="5"/>
  <c r="D866" i="5"/>
  <c r="B866" i="5"/>
  <c r="A866" i="5"/>
  <c r="V865" i="5"/>
  <c r="F865" i="5"/>
  <c r="D865" i="5"/>
  <c r="B865" i="5"/>
  <c r="A865" i="5"/>
  <c r="V864" i="5"/>
  <c r="F864" i="5"/>
  <c r="D864" i="5"/>
  <c r="B864" i="5"/>
  <c r="A864" i="5"/>
  <c r="V863" i="5"/>
  <c r="F863" i="5"/>
  <c r="D863" i="5"/>
  <c r="B863" i="5"/>
  <c r="A863" i="5"/>
  <c r="V862" i="5"/>
  <c r="F862" i="5"/>
  <c r="D862" i="5"/>
  <c r="B862" i="5"/>
  <c r="A862" i="5"/>
  <c r="V861" i="5"/>
  <c r="F861" i="5"/>
  <c r="D861" i="5"/>
  <c r="B861" i="5"/>
  <c r="A861" i="5"/>
  <c r="V860" i="5"/>
  <c r="F860" i="5"/>
  <c r="D860" i="5"/>
  <c r="B860" i="5"/>
  <c r="A860" i="5"/>
  <c r="V859" i="5"/>
  <c r="F859" i="5"/>
  <c r="D859" i="5"/>
  <c r="B859" i="5"/>
  <c r="A859" i="5"/>
  <c r="V858" i="5"/>
  <c r="F858" i="5"/>
  <c r="D858" i="5"/>
  <c r="B858" i="5"/>
  <c r="A858" i="5"/>
  <c r="V857" i="5"/>
  <c r="F857" i="5"/>
  <c r="D857" i="5"/>
  <c r="B857" i="5"/>
  <c r="A857" i="5"/>
  <c r="V856" i="5"/>
  <c r="F856" i="5"/>
  <c r="D856" i="5"/>
  <c r="B856" i="5"/>
  <c r="A856" i="5"/>
  <c r="V855" i="5"/>
  <c r="F855" i="5"/>
  <c r="D855" i="5"/>
  <c r="B855" i="5"/>
  <c r="A855" i="5"/>
  <c r="V854" i="5"/>
  <c r="F854" i="5"/>
  <c r="D854" i="5"/>
  <c r="B854" i="5"/>
  <c r="A854" i="5"/>
  <c r="V853" i="5"/>
  <c r="F853" i="5"/>
  <c r="D853" i="5"/>
  <c r="B853" i="5"/>
  <c r="A853" i="5"/>
  <c r="V852" i="5"/>
  <c r="F852" i="5"/>
  <c r="D852" i="5"/>
  <c r="B852" i="5"/>
  <c r="A852" i="5"/>
  <c r="V851" i="5"/>
  <c r="F851" i="5"/>
  <c r="D851" i="5"/>
  <c r="B851" i="5"/>
  <c r="A851" i="5"/>
  <c r="V850" i="5"/>
  <c r="F850" i="5"/>
  <c r="D850" i="5"/>
  <c r="B850" i="5"/>
  <c r="A850" i="5"/>
  <c r="V849" i="5"/>
  <c r="F849" i="5"/>
  <c r="D849" i="5"/>
  <c r="B849" i="5"/>
  <c r="A849" i="5"/>
  <c r="V848" i="5"/>
  <c r="F848" i="5"/>
  <c r="D848" i="5"/>
  <c r="B848" i="5"/>
  <c r="A848" i="5"/>
  <c r="V847" i="5"/>
  <c r="F847" i="5"/>
  <c r="D847" i="5"/>
  <c r="B847" i="5"/>
  <c r="A847" i="5"/>
  <c r="V846" i="5"/>
  <c r="F846" i="5"/>
  <c r="D846" i="5"/>
  <c r="B846" i="5"/>
  <c r="A846" i="5"/>
  <c r="V845" i="5"/>
  <c r="F845" i="5"/>
  <c r="D845" i="5"/>
  <c r="B845" i="5"/>
  <c r="A845" i="5"/>
  <c r="V844" i="5"/>
  <c r="F844" i="5"/>
  <c r="D844" i="5"/>
  <c r="B844" i="5"/>
  <c r="A844" i="5"/>
  <c r="V843" i="5"/>
  <c r="F843" i="5"/>
  <c r="D843" i="5"/>
  <c r="B843" i="5"/>
  <c r="A843" i="5"/>
  <c r="V842" i="5"/>
  <c r="F842" i="5"/>
  <c r="D842" i="5"/>
  <c r="B842" i="5"/>
  <c r="A842" i="5"/>
  <c r="V841" i="5"/>
  <c r="F841" i="5"/>
  <c r="D841" i="5"/>
  <c r="B841" i="5"/>
  <c r="A841" i="5"/>
  <c r="V840" i="5"/>
  <c r="F840" i="5"/>
  <c r="D840" i="5"/>
  <c r="B840" i="5"/>
  <c r="A840" i="5"/>
  <c r="V839" i="5"/>
  <c r="F839" i="5"/>
  <c r="D839" i="5"/>
  <c r="B839" i="5"/>
  <c r="A839" i="5"/>
  <c r="V838" i="5"/>
  <c r="F838" i="5"/>
  <c r="D838" i="5"/>
  <c r="B838" i="5"/>
  <c r="A838" i="5"/>
  <c r="V837" i="5"/>
  <c r="F837" i="5"/>
  <c r="D837" i="5"/>
  <c r="B837" i="5"/>
  <c r="A837" i="5"/>
  <c r="V836" i="5"/>
  <c r="F836" i="5"/>
  <c r="D836" i="5"/>
  <c r="B836" i="5"/>
  <c r="A836" i="5"/>
  <c r="V835" i="5"/>
  <c r="F835" i="5"/>
  <c r="D835" i="5"/>
  <c r="B835" i="5"/>
  <c r="A835" i="5"/>
  <c r="V834" i="5"/>
  <c r="F834" i="5"/>
  <c r="D834" i="5"/>
  <c r="B834" i="5"/>
  <c r="A834" i="5"/>
  <c r="V833" i="5"/>
  <c r="F833" i="5"/>
  <c r="D833" i="5"/>
  <c r="B833" i="5"/>
  <c r="A833" i="5"/>
  <c r="V832" i="5"/>
  <c r="F832" i="5"/>
  <c r="D832" i="5"/>
  <c r="B832" i="5"/>
  <c r="A832" i="5"/>
  <c r="V831" i="5"/>
  <c r="F831" i="5"/>
  <c r="D831" i="5"/>
  <c r="B831" i="5"/>
  <c r="A831" i="5"/>
  <c r="V830" i="5"/>
  <c r="F830" i="5"/>
  <c r="D830" i="5"/>
  <c r="B830" i="5"/>
  <c r="A830" i="5"/>
  <c r="V829" i="5"/>
  <c r="F829" i="5"/>
  <c r="D829" i="5"/>
  <c r="B829" i="5"/>
  <c r="A829" i="5"/>
  <c r="V828" i="5"/>
  <c r="F828" i="5"/>
  <c r="D828" i="5"/>
  <c r="B828" i="5"/>
  <c r="A828" i="5"/>
  <c r="V827" i="5"/>
  <c r="F827" i="5"/>
  <c r="D827" i="5"/>
  <c r="B827" i="5"/>
  <c r="A827" i="5"/>
  <c r="V826" i="5"/>
  <c r="F826" i="5"/>
  <c r="D826" i="5"/>
  <c r="B826" i="5"/>
  <c r="A826" i="5"/>
  <c r="V825" i="5"/>
  <c r="F825" i="5"/>
  <c r="D825" i="5"/>
  <c r="B825" i="5"/>
  <c r="A825" i="5"/>
  <c r="V824" i="5"/>
  <c r="F824" i="5"/>
  <c r="D824" i="5"/>
  <c r="B824" i="5"/>
  <c r="A824" i="5"/>
  <c r="V823" i="5"/>
  <c r="F823" i="5"/>
  <c r="D823" i="5"/>
  <c r="B823" i="5"/>
  <c r="A823" i="5"/>
  <c r="V822" i="5"/>
  <c r="F822" i="5"/>
  <c r="D822" i="5"/>
  <c r="B822" i="5"/>
  <c r="A822" i="5"/>
  <c r="V821" i="5"/>
  <c r="F821" i="5"/>
  <c r="D821" i="5"/>
  <c r="B821" i="5"/>
  <c r="A821" i="5"/>
  <c r="V820" i="5"/>
  <c r="F820" i="5"/>
  <c r="D820" i="5"/>
  <c r="B820" i="5"/>
  <c r="A820" i="5"/>
  <c r="V819" i="5"/>
  <c r="F819" i="5"/>
  <c r="D819" i="5"/>
  <c r="B819" i="5"/>
  <c r="A819" i="5"/>
  <c r="V818" i="5"/>
  <c r="F818" i="5"/>
  <c r="D818" i="5"/>
  <c r="B818" i="5"/>
  <c r="A818" i="5"/>
  <c r="V817" i="5"/>
  <c r="F817" i="5"/>
  <c r="D817" i="5"/>
  <c r="B817" i="5"/>
  <c r="A817" i="5"/>
  <c r="V816" i="5"/>
  <c r="F816" i="5"/>
  <c r="D816" i="5"/>
  <c r="B816" i="5"/>
  <c r="A816" i="5"/>
  <c r="V815" i="5"/>
  <c r="F815" i="5"/>
  <c r="D815" i="5"/>
  <c r="B815" i="5"/>
  <c r="A815" i="5"/>
  <c r="V814" i="5"/>
  <c r="F814" i="5"/>
  <c r="D814" i="5"/>
  <c r="B814" i="5"/>
  <c r="A814" i="5"/>
  <c r="V813" i="5"/>
  <c r="F813" i="5"/>
  <c r="D813" i="5"/>
  <c r="B813" i="5"/>
  <c r="A813" i="5"/>
  <c r="V812" i="5"/>
  <c r="F812" i="5"/>
  <c r="D812" i="5"/>
  <c r="B812" i="5"/>
  <c r="A812" i="5"/>
  <c r="V811" i="5"/>
  <c r="F811" i="5"/>
  <c r="D811" i="5"/>
  <c r="B811" i="5"/>
  <c r="A811" i="5"/>
  <c r="V810" i="5"/>
  <c r="F810" i="5"/>
  <c r="D810" i="5"/>
  <c r="B810" i="5"/>
  <c r="A810" i="5"/>
  <c r="V809" i="5"/>
  <c r="F809" i="5"/>
  <c r="D809" i="5"/>
  <c r="B809" i="5"/>
  <c r="A809" i="5"/>
  <c r="V808" i="5"/>
  <c r="F808" i="5"/>
  <c r="D808" i="5"/>
  <c r="B808" i="5"/>
  <c r="A808" i="5"/>
  <c r="V807" i="5"/>
  <c r="F807" i="5"/>
  <c r="D807" i="5"/>
  <c r="B807" i="5"/>
  <c r="A807" i="5"/>
  <c r="V806" i="5"/>
  <c r="F806" i="5"/>
  <c r="D806" i="5"/>
  <c r="B806" i="5"/>
  <c r="A806" i="5"/>
  <c r="V805" i="5"/>
  <c r="F805" i="5"/>
  <c r="D805" i="5"/>
  <c r="B805" i="5"/>
  <c r="A805" i="5"/>
  <c r="V804" i="5"/>
  <c r="F804" i="5"/>
  <c r="D804" i="5"/>
  <c r="B804" i="5"/>
  <c r="A804" i="5"/>
  <c r="V803" i="5"/>
  <c r="F803" i="5"/>
  <c r="D803" i="5"/>
  <c r="B803" i="5"/>
  <c r="A803" i="5"/>
  <c r="V802" i="5"/>
  <c r="F802" i="5"/>
  <c r="D802" i="5"/>
  <c r="B802" i="5"/>
  <c r="A802" i="5"/>
  <c r="V801" i="5"/>
  <c r="F801" i="5"/>
  <c r="D801" i="5"/>
  <c r="B801" i="5"/>
  <c r="A801" i="5"/>
  <c r="V800" i="5"/>
  <c r="F800" i="5"/>
  <c r="D800" i="5"/>
  <c r="B800" i="5"/>
  <c r="A800" i="5"/>
  <c r="V799" i="5"/>
  <c r="F799" i="5"/>
  <c r="D799" i="5"/>
  <c r="B799" i="5"/>
  <c r="A799" i="5"/>
  <c r="V798" i="5"/>
  <c r="F798" i="5"/>
  <c r="D798" i="5"/>
  <c r="B798" i="5"/>
  <c r="A798" i="5"/>
  <c r="V797" i="5"/>
  <c r="F797" i="5"/>
  <c r="D797" i="5"/>
  <c r="B797" i="5"/>
  <c r="A797" i="5"/>
  <c r="V796" i="5"/>
  <c r="F796" i="5"/>
  <c r="D796" i="5"/>
  <c r="B796" i="5"/>
  <c r="A796" i="5"/>
  <c r="V795" i="5"/>
  <c r="F795" i="5"/>
  <c r="D795" i="5"/>
  <c r="B795" i="5"/>
  <c r="A795" i="5"/>
  <c r="V794" i="5"/>
  <c r="F794" i="5"/>
  <c r="D794" i="5"/>
  <c r="B794" i="5"/>
  <c r="A794" i="5"/>
  <c r="V793" i="5"/>
  <c r="F793" i="5"/>
  <c r="D793" i="5"/>
  <c r="B793" i="5"/>
  <c r="A793" i="5"/>
  <c r="V792" i="5"/>
  <c r="F792" i="5"/>
  <c r="D792" i="5"/>
  <c r="B792" i="5"/>
  <c r="A792" i="5"/>
  <c r="V791" i="5"/>
  <c r="F791" i="5"/>
  <c r="D791" i="5"/>
  <c r="B791" i="5"/>
  <c r="A791" i="5"/>
  <c r="V790" i="5"/>
  <c r="F790" i="5"/>
  <c r="D790" i="5"/>
  <c r="B790" i="5"/>
  <c r="A790" i="5"/>
  <c r="V789" i="5"/>
  <c r="F789" i="5"/>
  <c r="D789" i="5"/>
  <c r="B789" i="5"/>
  <c r="A789" i="5"/>
  <c r="V788" i="5"/>
  <c r="F788" i="5"/>
  <c r="D788" i="5"/>
  <c r="B788" i="5"/>
  <c r="A788" i="5"/>
  <c r="V787" i="5"/>
  <c r="F787" i="5"/>
  <c r="D787" i="5"/>
  <c r="B787" i="5"/>
  <c r="A787" i="5"/>
  <c r="V786" i="5"/>
  <c r="F786" i="5"/>
  <c r="D786" i="5"/>
  <c r="B786" i="5"/>
  <c r="A786" i="5"/>
  <c r="V785" i="5"/>
  <c r="F785" i="5"/>
  <c r="D785" i="5"/>
  <c r="B785" i="5"/>
  <c r="A785" i="5"/>
  <c r="V784" i="5"/>
  <c r="F784" i="5"/>
  <c r="D784" i="5"/>
  <c r="B784" i="5"/>
  <c r="A784" i="5"/>
  <c r="V783" i="5"/>
  <c r="F783" i="5"/>
  <c r="D783" i="5"/>
  <c r="B783" i="5"/>
  <c r="A783" i="5"/>
  <c r="V782" i="5"/>
  <c r="F782" i="5"/>
  <c r="D782" i="5"/>
  <c r="B782" i="5"/>
  <c r="A782" i="5"/>
  <c r="V781" i="5"/>
  <c r="F781" i="5"/>
  <c r="D781" i="5"/>
  <c r="B781" i="5"/>
  <c r="A781" i="5"/>
  <c r="V780" i="5"/>
  <c r="F780" i="5"/>
  <c r="D780" i="5"/>
  <c r="B780" i="5"/>
  <c r="A780" i="5"/>
  <c r="V779" i="5"/>
  <c r="F779" i="5"/>
  <c r="D779" i="5"/>
  <c r="B779" i="5"/>
  <c r="A779" i="5"/>
  <c r="V778" i="5"/>
  <c r="F778" i="5"/>
  <c r="D778" i="5"/>
  <c r="B778" i="5"/>
  <c r="A778" i="5"/>
  <c r="V777" i="5"/>
  <c r="F777" i="5"/>
  <c r="D777" i="5"/>
  <c r="B777" i="5"/>
  <c r="A777" i="5"/>
  <c r="V776" i="5"/>
  <c r="F776" i="5"/>
  <c r="D776" i="5"/>
  <c r="B776" i="5"/>
  <c r="A776" i="5"/>
  <c r="V775" i="5"/>
  <c r="F775" i="5"/>
  <c r="D775" i="5"/>
  <c r="B775" i="5"/>
  <c r="A775" i="5"/>
  <c r="V774" i="5"/>
  <c r="F774" i="5"/>
  <c r="D774" i="5"/>
  <c r="B774" i="5"/>
  <c r="A774" i="5"/>
  <c r="V773" i="5"/>
  <c r="F773" i="5"/>
  <c r="D773" i="5"/>
  <c r="B773" i="5"/>
  <c r="A773" i="5"/>
  <c r="V772" i="5"/>
  <c r="F772" i="5"/>
  <c r="D772" i="5"/>
  <c r="B772" i="5"/>
  <c r="A772" i="5"/>
  <c r="V771" i="5"/>
  <c r="F771" i="5"/>
  <c r="D771" i="5"/>
  <c r="B771" i="5"/>
  <c r="A771" i="5"/>
  <c r="V770" i="5"/>
  <c r="F770" i="5"/>
  <c r="D770" i="5"/>
  <c r="B770" i="5"/>
  <c r="A770" i="5"/>
  <c r="V769" i="5"/>
  <c r="F769" i="5"/>
  <c r="D769" i="5"/>
  <c r="B769" i="5"/>
  <c r="A769" i="5"/>
  <c r="V768" i="5"/>
  <c r="F768" i="5"/>
  <c r="D768" i="5"/>
  <c r="B768" i="5"/>
  <c r="A768" i="5"/>
  <c r="V767" i="5"/>
  <c r="F767" i="5"/>
  <c r="D767" i="5"/>
  <c r="B767" i="5"/>
  <c r="A767" i="5"/>
  <c r="V766" i="5"/>
  <c r="F766" i="5"/>
  <c r="D766" i="5"/>
  <c r="B766" i="5"/>
  <c r="A766" i="5"/>
  <c r="V765" i="5"/>
  <c r="F765" i="5"/>
  <c r="D765" i="5"/>
  <c r="B765" i="5"/>
  <c r="A765" i="5"/>
  <c r="V764" i="5"/>
  <c r="F764" i="5"/>
  <c r="D764" i="5"/>
  <c r="B764" i="5"/>
  <c r="A764" i="5"/>
  <c r="V763" i="5"/>
  <c r="F763" i="5"/>
  <c r="D763" i="5"/>
  <c r="B763" i="5"/>
  <c r="A763" i="5"/>
  <c r="V762" i="5"/>
  <c r="F762" i="5"/>
  <c r="D762" i="5"/>
  <c r="B762" i="5"/>
  <c r="A762" i="5"/>
  <c r="V761" i="5"/>
  <c r="F761" i="5"/>
  <c r="D761" i="5"/>
  <c r="B761" i="5"/>
  <c r="A761" i="5"/>
  <c r="V760" i="5"/>
  <c r="F760" i="5"/>
  <c r="D760" i="5"/>
  <c r="B760" i="5"/>
  <c r="A760" i="5"/>
  <c r="V759" i="5"/>
  <c r="F759" i="5"/>
  <c r="D759" i="5"/>
  <c r="B759" i="5"/>
  <c r="A759" i="5"/>
  <c r="V758" i="5"/>
  <c r="F758" i="5"/>
  <c r="D758" i="5"/>
  <c r="B758" i="5"/>
  <c r="A758" i="5"/>
  <c r="V757" i="5"/>
  <c r="F757" i="5"/>
  <c r="D757" i="5"/>
  <c r="B757" i="5"/>
  <c r="A757" i="5"/>
  <c r="V756" i="5"/>
  <c r="F756" i="5"/>
  <c r="D756" i="5"/>
  <c r="B756" i="5"/>
  <c r="A756" i="5"/>
  <c r="V755" i="5"/>
  <c r="F755" i="5"/>
  <c r="D755" i="5"/>
  <c r="B755" i="5"/>
  <c r="A755" i="5"/>
  <c r="V754" i="5"/>
  <c r="F754" i="5"/>
  <c r="D754" i="5"/>
  <c r="B754" i="5"/>
  <c r="A754" i="5"/>
  <c r="V753" i="5"/>
  <c r="F753" i="5"/>
  <c r="D753" i="5"/>
  <c r="B753" i="5"/>
  <c r="A753" i="5"/>
  <c r="V752" i="5"/>
  <c r="F752" i="5"/>
  <c r="D752" i="5"/>
  <c r="B752" i="5"/>
  <c r="A752" i="5"/>
  <c r="V751" i="5"/>
  <c r="F751" i="5"/>
  <c r="D751" i="5"/>
  <c r="B751" i="5"/>
  <c r="A751" i="5"/>
  <c r="V750" i="5"/>
  <c r="F750" i="5"/>
  <c r="D750" i="5"/>
  <c r="B750" i="5"/>
  <c r="A750" i="5"/>
  <c r="V749" i="5"/>
  <c r="F749" i="5"/>
  <c r="D749" i="5"/>
  <c r="B749" i="5"/>
  <c r="A749" i="5"/>
  <c r="V748" i="5"/>
  <c r="F748" i="5"/>
  <c r="D748" i="5"/>
  <c r="B748" i="5"/>
  <c r="A748" i="5"/>
  <c r="V747" i="5"/>
  <c r="F747" i="5"/>
  <c r="D747" i="5"/>
  <c r="B747" i="5"/>
  <c r="A747" i="5"/>
  <c r="V746" i="5"/>
  <c r="F746" i="5"/>
  <c r="D746" i="5"/>
  <c r="B746" i="5"/>
  <c r="A746" i="5"/>
  <c r="V745" i="5"/>
  <c r="F745" i="5"/>
  <c r="D745" i="5"/>
  <c r="B745" i="5"/>
  <c r="A745" i="5"/>
  <c r="V744" i="5"/>
  <c r="F744" i="5"/>
  <c r="D744" i="5"/>
  <c r="B744" i="5"/>
  <c r="A744" i="5"/>
  <c r="V743" i="5"/>
  <c r="F743" i="5"/>
  <c r="D743" i="5"/>
  <c r="B743" i="5"/>
  <c r="A743" i="5"/>
  <c r="V742" i="5"/>
  <c r="F742" i="5"/>
  <c r="D742" i="5"/>
  <c r="B742" i="5"/>
  <c r="A742" i="5"/>
  <c r="V741" i="5"/>
  <c r="F741" i="5"/>
  <c r="D741" i="5"/>
  <c r="B741" i="5"/>
  <c r="A741" i="5"/>
  <c r="V740" i="5"/>
  <c r="F740" i="5"/>
  <c r="D740" i="5"/>
  <c r="B740" i="5"/>
  <c r="A740" i="5"/>
  <c r="V739" i="5"/>
  <c r="F739" i="5"/>
  <c r="D739" i="5"/>
  <c r="B739" i="5"/>
  <c r="A739" i="5"/>
  <c r="V738" i="5"/>
  <c r="F738" i="5"/>
  <c r="D738" i="5"/>
  <c r="B738" i="5"/>
  <c r="A738" i="5"/>
  <c r="V737" i="5"/>
  <c r="F737" i="5"/>
  <c r="D737" i="5"/>
  <c r="B737" i="5"/>
  <c r="A737" i="5"/>
  <c r="V736" i="5"/>
  <c r="F736" i="5"/>
  <c r="D736" i="5"/>
  <c r="B736" i="5"/>
  <c r="A736" i="5"/>
  <c r="V735" i="5"/>
  <c r="F735" i="5"/>
  <c r="D735" i="5"/>
  <c r="B735" i="5"/>
  <c r="A735" i="5"/>
  <c r="V734" i="5"/>
  <c r="F734" i="5"/>
  <c r="D734" i="5"/>
  <c r="B734" i="5"/>
  <c r="A734" i="5"/>
  <c r="V733" i="5"/>
  <c r="F733" i="5"/>
  <c r="D733" i="5"/>
  <c r="B733" i="5"/>
  <c r="A733" i="5"/>
  <c r="V732" i="5"/>
  <c r="F732" i="5"/>
  <c r="D732" i="5"/>
  <c r="B732" i="5"/>
  <c r="A732" i="5"/>
  <c r="V731" i="5"/>
  <c r="F731" i="5"/>
  <c r="D731" i="5"/>
  <c r="B731" i="5"/>
  <c r="A731" i="5"/>
  <c r="V730" i="5"/>
  <c r="F730" i="5"/>
  <c r="D730" i="5"/>
  <c r="B730" i="5"/>
  <c r="A730" i="5"/>
  <c r="V729" i="5"/>
  <c r="F729" i="5"/>
  <c r="D729" i="5"/>
  <c r="B729" i="5"/>
  <c r="A729" i="5"/>
  <c r="V728" i="5"/>
  <c r="F728" i="5"/>
  <c r="D728" i="5"/>
  <c r="B728" i="5"/>
  <c r="A728" i="5"/>
  <c r="V727" i="5"/>
  <c r="F727" i="5"/>
  <c r="D727" i="5"/>
  <c r="B727" i="5"/>
  <c r="A727" i="5"/>
  <c r="V726" i="5"/>
  <c r="F726" i="5"/>
  <c r="D726" i="5"/>
  <c r="B726" i="5"/>
  <c r="A726" i="5"/>
  <c r="V725" i="5"/>
  <c r="F725" i="5"/>
  <c r="D725" i="5"/>
  <c r="B725" i="5"/>
  <c r="A725" i="5"/>
  <c r="V724" i="5"/>
  <c r="F724" i="5"/>
  <c r="D724" i="5"/>
  <c r="B724" i="5"/>
  <c r="A724" i="5"/>
  <c r="V723" i="5"/>
  <c r="F723" i="5"/>
  <c r="D723" i="5"/>
  <c r="B723" i="5"/>
  <c r="A723" i="5"/>
  <c r="V722" i="5"/>
  <c r="F722" i="5"/>
  <c r="D722" i="5"/>
  <c r="B722" i="5"/>
  <c r="A722" i="5"/>
  <c r="V721" i="5"/>
  <c r="F721" i="5"/>
  <c r="D721" i="5"/>
  <c r="B721" i="5"/>
  <c r="A721" i="5"/>
  <c r="V720" i="5"/>
  <c r="F720" i="5"/>
  <c r="D720" i="5"/>
  <c r="B720" i="5"/>
  <c r="A720" i="5"/>
  <c r="V719" i="5"/>
  <c r="F719" i="5"/>
  <c r="D719" i="5"/>
  <c r="B719" i="5"/>
  <c r="A719" i="5"/>
  <c r="V718" i="5"/>
  <c r="F718" i="5"/>
  <c r="D718" i="5"/>
  <c r="B718" i="5"/>
  <c r="A718" i="5"/>
  <c r="V717" i="5"/>
  <c r="F717" i="5"/>
  <c r="D717" i="5"/>
  <c r="B717" i="5"/>
  <c r="A717" i="5"/>
  <c r="V716" i="5"/>
  <c r="F716" i="5"/>
  <c r="D716" i="5"/>
  <c r="B716" i="5"/>
  <c r="A716" i="5"/>
  <c r="V715" i="5"/>
  <c r="F715" i="5"/>
  <c r="D715" i="5"/>
  <c r="B715" i="5"/>
  <c r="A715" i="5"/>
  <c r="V714" i="5"/>
  <c r="F714" i="5"/>
  <c r="D714" i="5"/>
  <c r="B714" i="5"/>
  <c r="A714" i="5"/>
  <c r="V713" i="5"/>
  <c r="F713" i="5"/>
  <c r="D713" i="5"/>
  <c r="B713" i="5"/>
  <c r="A713" i="5"/>
  <c r="V712" i="5"/>
  <c r="F712" i="5"/>
  <c r="D712" i="5"/>
  <c r="B712" i="5"/>
  <c r="A712" i="5"/>
  <c r="V711" i="5"/>
  <c r="F711" i="5"/>
  <c r="D711" i="5"/>
  <c r="B711" i="5"/>
  <c r="A711" i="5"/>
  <c r="V710" i="5"/>
  <c r="F710" i="5"/>
  <c r="D710" i="5"/>
  <c r="B710" i="5"/>
  <c r="A710" i="5"/>
  <c r="V709" i="5"/>
  <c r="F709" i="5"/>
  <c r="D709" i="5"/>
  <c r="B709" i="5"/>
  <c r="A709" i="5"/>
  <c r="V708" i="5"/>
  <c r="F708" i="5"/>
  <c r="D708" i="5"/>
  <c r="B708" i="5"/>
  <c r="A708" i="5"/>
  <c r="V707" i="5"/>
  <c r="F707" i="5"/>
  <c r="D707" i="5"/>
  <c r="B707" i="5"/>
  <c r="A707" i="5"/>
  <c r="V706" i="5"/>
  <c r="F706" i="5"/>
  <c r="D706" i="5"/>
  <c r="B706" i="5"/>
  <c r="A706" i="5"/>
  <c r="V705" i="5"/>
  <c r="F705" i="5"/>
  <c r="D705" i="5"/>
  <c r="B705" i="5"/>
  <c r="A705" i="5"/>
  <c r="V704" i="5"/>
  <c r="F704" i="5"/>
  <c r="D704" i="5"/>
  <c r="B704" i="5"/>
  <c r="A704" i="5"/>
  <c r="V703" i="5"/>
  <c r="F703" i="5"/>
  <c r="D703" i="5"/>
  <c r="B703" i="5"/>
  <c r="A703" i="5"/>
  <c r="V702" i="5"/>
  <c r="F702" i="5"/>
  <c r="D702" i="5"/>
  <c r="B702" i="5"/>
  <c r="A702" i="5"/>
  <c r="V701" i="5"/>
  <c r="F701" i="5"/>
  <c r="D701" i="5"/>
  <c r="B701" i="5"/>
  <c r="A701" i="5"/>
  <c r="V700" i="5"/>
  <c r="F700" i="5"/>
  <c r="D700" i="5"/>
  <c r="B700" i="5"/>
  <c r="A700" i="5"/>
  <c r="V699" i="5"/>
  <c r="F699" i="5"/>
  <c r="D699" i="5"/>
  <c r="B699" i="5"/>
  <c r="A699" i="5"/>
  <c r="V698" i="5"/>
  <c r="F698" i="5"/>
  <c r="D698" i="5"/>
  <c r="B698" i="5"/>
  <c r="A698" i="5"/>
  <c r="V697" i="5"/>
  <c r="F697" i="5"/>
  <c r="D697" i="5"/>
  <c r="B697" i="5"/>
  <c r="A697" i="5"/>
  <c r="V696" i="5"/>
  <c r="F696" i="5"/>
  <c r="D696" i="5"/>
  <c r="B696" i="5"/>
  <c r="A696" i="5"/>
  <c r="V695" i="5"/>
  <c r="F695" i="5"/>
  <c r="D695" i="5"/>
  <c r="B695" i="5"/>
  <c r="A695" i="5"/>
  <c r="V694" i="5"/>
  <c r="F694" i="5"/>
  <c r="D694" i="5"/>
  <c r="B694" i="5"/>
  <c r="A694" i="5"/>
  <c r="V693" i="5"/>
  <c r="F693" i="5"/>
  <c r="D693" i="5"/>
  <c r="B693" i="5"/>
  <c r="A693" i="5"/>
  <c r="V692" i="5"/>
  <c r="F692" i="5"/>
  <c r="D692" i="5"/>
  <c r="B692" i="5"/>
  <c r="A692" i="5"/>
  <c r="V691" i="5"/>
  <c r="F691" i="5"/>
  <c r="D691" i="5"/>
  <c r="B691" i="5"/>
  <c r="A691" i="5"/>
  <c r="V690" i="5"/>
  <c r="F690" i="5"/>
  <c r="D690" i="5"/>
  <c r="B690" i="5"/>
  <c r="A690" i="5"/>
  <c r="V689" i="5"/>
  <c r="F689" i="5"/>
  <c r="D689" i="5"/>
  <c r="B689" i="5"/>
  <c r="A689" i="5"/>
  <c r="V688" i="5"/>
  <c r="F688" i="5"/>
  <c r="D688" i="5"/>
  <c r="B688" i="5"/>
  <c r="A688" i="5"/>
  <c r="V687" i="5"/>
  <c r="F687" i="5"/>
  <c r="D687" i="5"/>
  <c r="B687" i="5"/>
  <c r="A687" i="5"/>
  <c r="V686" i="5"/>
  <c r="F686" i="5"/>
  <c r="D686" i="5"/>
  <c r="B686" i="5"/>
  <c r="A686" i="5"/>
  <c r="V685" i="5"/>
  <c r="F685" i="5"/>
  <c r="D685" i="5"/>
  <c r="B685" i="5"/>
  <c r="A685" i="5"/>
  <c r="V684" i="5"/>
  <c r="F684" i="5"/>
  <c r="D684" i="5"/>
  <c r="B684" i="5"/>
  <c r="A684" i="5"/>
  <c r="V683" i="5"/>
  <c r="F683" i="5"/>
  <c r="D683" i="5"/>
  <c r="B683" i="5"/>
  <c r="A683" i="5"/>
  <c r="V682" i="5"/>
  <c r="F682" i="5"/>
  <c r="D682" i="5"/>
  <c r="B682" i="5"/>
  <c r="A682" i="5"/>
  <c r="V681" i="5"/>
  <c r="F681" i="5"/>
  <c r="D681" i="5"/>
  <c r="B681" i="5"/>
  <c r="A681" i="5"/>
  <c r="V680" i="5"/>
  <c r="F680" i="5"/>
  <c r="D680" i="5"/>
  <c r="B680" i="5"/>
  <c r="A680" i="5"/>
  <c r="V679" i="5"/>
  <c r="F679" i="5"/>
  <c r="D679" i="5"/>
  <c r="B679" i="5"/>
  <c r="A679" i="5"/>
  <c r="V678" i="5"/>
  <c r="F678" i="5"/>
  <c r="D678" i="5"/>
  <c r="B678" i="5"/>
  <c r="A678" i="5"/>
  <c r="V677" i="5"/>
  <c r="F677" i="5"/>
  <c r="D677" i="5"/>
  <c r="B677" i="5"/>
  <c r="A677" i="5"/>
  <c r="V676" i="5"/>
  <c r="F676" i="5"/>
  <c r="D676" i="5"/>
  <c r="B676" i="5"/>
  <c r="A676" i="5"/>
  <c r="V675" i="5"/>
  <c r="F675" i="5"/>
  <c r="D675" i="5"/>
  <c r="B675" i="5"/>
  <c r="A675" i="5"/>
  <c r="V674" i="5"/>
  <c r="F674" i="5"/>
  <c r="D674" i="5"/>
  <c r="B674" i="5"/>
  <c r="A674" i="5"/>
  <c r="V673" i="5"/>
  <c r="F673" i="5"/>
  <c r="D673" i="5"/>
  <c r="B673" i="5"/>
  <c r="A673" i="5"/>
  <c r="V672" i="5"/>
  <c r="F672" i="5"/>
  <c r="D672" i="5"/>
  <c r="B672" i="5"/>
  <c r="A672" i="5"/>
  <c r="V671" i="5"/>
  <c r="F671" i="5"/>
  <c r="D671" i="5"/>
  <c r="B671" i="5"/>
  <c r="A671" i="5"/>
  <c r="V670" i="5"/>
  <c r="F670" i="5"/>
  <c r="D670" i="5"/>
  <c r="B670" i="5"/>
  <c r="A670" i="5"/>
  <c r="V669" i="5"/>
  <c r="F669" i="5"/>
  <c r="D669" i="5"/>
  <c r="B669" i="5"/>
  <c r="A669" i="5"/>
  <c r="V668" i="5"/>
  <c r="F668" i="5"/>
  <c r="D668" i="5"/>
  <c r="B668" i="5"/>
  <c r="A668" i="5"/>
  <c r="V667" i="5"/>
  <c r="F667" i="5"/>
  <c r="D667" i="5"/>
  <c r="B667" i="5"/>
  <c r="A667" i="5"/>
  <c r="V666" i="5"/>
  <c r="F666" i="5"/>
  <c r="D666" i="5"/>
  <c r="B666" i="5"/>
  <c r="A666" i="5"/>
  <c r="V665" i="5"/>
  <c r="F665" i="5"/>
  <c r="D665" i="5"/>
  <c r="B665" i="5"/>
  <c r="A665" i="5"/>
  <c r="V664" i="5"/>
  <c r="F664" i="5"/>
  <c r="D664" i="5"/>
  <c r="B664" i="5"/>
  <c r="A664" i="5"/>
  <c r="V663" i="5"/>
  <c r="F663" i="5"/>
  <c r="D663" i="5"/>
  <c r="B663" i="5"/>
  <c r="A663" i="5"/>
  <c r="V662" i="5"/>
  <c r="F662" i="5"/>
  <c r="D662" i="5"/>
  <c r="B662" i="5"/>
  <c r="A662" i="5"/>
  <c r="V661" i="5"/>
  <c r="F661" i="5"/>
  <c r="D661" i="5"/>
  <c r="B661" i="5"/>
  <c r="A661" i="5"/>
  <c r="V660" i="5"/>
  <c r="F660" i="5"/>
  <c r="D660" i="5"/>
  <c r="B660" i="5"/>
  <c r="A660" i="5"/>
  <c r="V659" i="5"/>
  <c r="F659" i="5"/>
  <c r="D659" i="5"/>
  <c r="B659" i="5"/>
  <c r="A659" i="5"/>
  <c r="V658" i="5"/>
  <c r="F658" i="5"/>
  <c r="D658" i="5"/>
  <c r="B658" i="5"/>
  <c r="A658" i="5"/>
  <c r="V657" i="5"/>
  <c r="F657" i="5"/>
  <c r="D657" i="5"/>
  <c r="B657" i="5"/>
  <c r="A657" i="5"/>
  <c r="V656" i="5"/>
  <c r="F656" i="5"/>
  <c r="D656" i="5"/>
  <c r="B656" i="5"/>
  <c r="A656" i="5"/>
  <c r="V655" i="5"/>
  <c r="F655" i="5"/>
  <c r="D655" i="5"/>
  <c r="B655" i="5"/>
  <c r="A655" i="5"/>
  <c r="V654" i="5"/>
  <c r="F654" i="5"/>
  <c r="D654" i="5"/>
  <c r="B654" i="5"/>
  <c r="A654" i="5"/>
  <c r="V653" i="5"/>
  <c r="F653" i="5"/>
  <c r="D653" i="5"/>
  <c r="B653" i="5"/>
  <c r="A653" i="5"/>
  <c r="V652" i="5"/>
  <c r="F652" i="5"/>
  <c r="D652" i="5"/>
  <c r="B652" i="5"/>
  <c r="A652" i="5"/>
  <c r="V651" i="5"/>
  <c r="F651" i="5"/>
  <c r="D651" i="5"/>
  <c r="B651" i="5"/>
  <c r="A651" i="5"/>
  <c r="V650" i="5"/>
  <c r="F650" i="5"/>
  <c r="D650" i="5"/>
  <c r="B650" i="5"/>
  <c r="A650" i="5"/>
  <c r="V649" i="5"/>
  <c r="F649" i="5"/>
  <c r="D649" i="5"/>
  <c r="B649" i="5"/>
  <c r="A649" i="5"/>
  <c r="V648" i="5"/>
  <c r="F648" i="5"/>
  <c r="D648" i="5"/>
  <c r="B648" i="5"/>
  <c r="A648" i="5"/>
  <c r="V647" i="5"/>
  <c r="F647" i="5"/>
  <c r="D647" i="5"/>
  <c r="B647" i="5"/>
  <c r="A647" i="5"/>
  <c r="V646" i="5"/>
  <c r="F646" i="5"/>
  <c r="D646" i="5"/>
  <c r="B646" i="5"/>
  <c r="A646" i="5"/>
  <c r="V645" i="5"/>
  <c r="F645" i="5"/>
  <c r="D645" i="5"/>
  <c r="B645" i="5"/>
  <c r="A645" i="5"/>
  <c r="V644" i="5"/>
  <c r="F644" i="5"/>
  <c r="D644" i="5"/>
  <c r="B644" i="5"/>
  <c r="A644" i="5"/>
  <c r="V643" i="5"/>
  <c r="F643" i="5"/>
  <c r="D643" i="5"/>
  <c r="B643" i="5"/>
  <c r="A643" i="5"/>
  <c r="V642" i="5"/>
  <c r="F642" i="5"/>
  <c r="D642" i="5"/>
  <c r="B642" i="5"/>
  <c r="A642" i="5"/>
  <c r="V641" i="5"/>
  <c r="F641" i="5"/>
  <c r="D641" i="5"/>
  <c r="B641" i="5"/>
  <c r="A641" i="5"/>
  <c r="V640" i="5"/>
  <c r="F640" i="5"/>
  <c r="D640" i="5"/>
  <c r="B640" i="5"/>
  <c r="A640" i="5"/>
  <c r="V639" i="5"/>
  <c r="F639" i="5"/>
  <c r="D639" i="5"/>
  <c r="B639" i="5"/>
  <c r="A639" i="5"/>
  <c r="V638" i="5"/>
  <c r="F638" i="5"/>
  <c r="D638" i="5"/>
  <c r="B638" i="5"/>
  <c r="A638" i="5"/>
  <c r="V637" i="5"/>
  <c r="F637" i="5"/>
  <c r="D637" i="5"/>
  <c r="B637" i="5"/>
  <c r="A637" i="5"/>
  <c r="V636" i="5"/>
  <c r="F636" i="5"/>
  <c r="D636" i="5"/>
  <c r="B636" i="5"/>
  <c r="A636" i="5"/>
  <c r="V635" i="5"/>
  <c r="F635" i="5"/>
  <c r="D635" i="5"/>
  <c r="B635" i="5"/>
  <c r="A635" i="5"/>
  <c r="V634" i="5"/>
  <c r="F634" i="5"/>
  <c r="D634" i="5"/>
  <c r="B634" i="5"/>
  <c r="A634" i="5"/>
  <c r="V633" i="5"/>
  <c r="F633" i="5"/>
  <c r="D633" i="5"/>
  <c r="B633" i="5"/>
  <c r="A633" i="5"/>
  <c r="V632" i="5"/>
  <c r="F632" i="5"/>
  <c r="D632" i="5"/>
  <c r="B632" i="5"/>
  <c r="A632" i="5"/>
  <c r="V631" i="5"/>
  <c r="F631" i="5"/>
  <c r="D631" i="5"/>
  <c r="B631" i="5"/>
  <c r="A631" i="5"/>
  <c r="V630" i="5"/>
  <c r="F630" i="5"/>
  <c r="D630" i="5"/>
  <c r="B630" i="5"/>
  <c r="A630" i="5"/>
  <c r="V629" i="5"/>
  <c r="F629" i="5"/>
  <c r="D629" i="5"/>
  <c r="B629" i="5"/>
  <c r="A629" i="5"/>
  <c r="V628" i="5"/>
  <c r="F628" i="5"/>
  <c r="D628" i="5"/>
  <c r="B628" i="5"/>
  <c r="A628" i="5"/>
  <c r="V627" i="5"/>
  <c r="F627" i="5"/>
  <c r="D627" i="5"/>
  <c r="B627" i="5"/>
  <c r="A627" i="5"/>
  <c r="V626" i="5"/>
  <c r="F626" i="5"/>
  <c r="D626" i="5"/>
  <c r="B626" i="5"/>
  <c r="A626" i="5"/>
  <c r="V625" i="5"/>
  <c r="F625" i="5"/>
  <c r="D625" i="5"/>
  <c r="B625" i="5"/>
  <c r="A625" i="5"/>
  <c r="V624" i="5"/>
  <c r="F624" i="5"/>
  <c r="D624" i="5"/>
  <c r="B624" i="5"/>
  <c r="A624" i="5"/>
  <c r="V623" i="5"/>
  <c r="F623" i="5"/>
  <c r="D623" i="5"/>
  <c r="B623" i="5"/>
  <c r="A623" i="5"/>
  <c r="V622" i="5"/>
  <c r="F622" i="5"/>
  <c r="D622" i="5"/>
  <c r="B622" i="5"/>
  <c r="A622" i="5"/>
  <c r="V621" i="5"/>
  <c r="F621" i="5"/>
  <c r="D621" i="5"/>
  <c r="B621" i="5"/>
  <c r="A621" i="5"/>
  <c r="V620" i="5"/>
  <c r="F620" i="5"/>
  <c r="D620" i="5"/>
  <c r="B620" i="5"/>
  <c r="A620" i="5"/>
  <c r="V619" i="5"/>
  <c r="F619" i="5"/>
  <c r="D619" i="5"/>
  <c r="B619" i="5"/>
  <c r="A619" i="5"/>
  <c r="V618" i="5"/>
  <c r="F618" i="5"/>
  <c r="D618" i="5"/>
  <c r="B618" i="5"/>
  <c r="A618" i="5"/>
  <c r="V617" i="5"/>
  <c r="F617" i="5"/>
  <c r="D617" i="5"/>
  <c r="B617" i="5"/>
  <c r="A617" i="5"/>
  <c r="V616" i="5"/>
  <c r="F616" i="5"/>
  <c r="D616" i="5"/>
  <c r="B616" i="5"/>
  <c r="A616" i="5"/>
  <c r="V615" i="5"/>
  <c r="F615" i="5"/>
  <c r="D615" i="5"/>
  <c r="B615" i="5"/>
  <c r="A615" i="5"/>
  <c r="V614" i="5"/>
  <c r="F614" i="5"/>
  <c r="D614" i="5"/>
  <c r="B614" i="5"/>
  <c r="A614" i="5"/>
  <c r="V613" i="5"/>
  <c r="F613" i="5"/>
  <c r="D613" i="5"/>
  <c r="B613" i="5"/>
  <c r="A613" i="5"/>
  <c r="V612" i="5"/>
  <c r="F612" i="5"/>
  <c r="D612" i="5"/>
  <c r="B612" i="5"/>
  <c r="A612" i="5"/>
  <c r="V611" i="5"/>
  <c r="F611" i="5"/>
  <c r="D611" i="5"/>
  <c r="B611" i="5"/>
  <c r="A611" i="5"/>
  <c r="V610" i="5"/>
  <c r="F610" i="5"/>
  <c r="D610" i="5"/>
  <c r="B610" i="5"/>
  <c r="A610" i="5"/>
  <c r="V609" i="5"/>
  <c r="F609" i="5"/>
  <c r="D609" i="5"/>
  <c r="B609" i="5"/>
  <c r="A609" i="5"/>
  <c r="V608" i="5"/>
  <c r="F608" i="5"/>
  <c r="D608" i="5"/>
  <c r="B608" i="5"/>
  <c r="A608" i="5"/>
  <c r="V607" i="5"/>
  <c r="F607" i="5"/>
  <c r="D607" i="5"/>
  <c r="B607" i="5"/>
  <c r="A607" i="5"/>
  <c r="V606" i="5"/>
  <c r="F606" i="5"/>
  <c r="D606" i="5"/>
  <c r="B606" i="5"/>
  <c r="A606" i="5"/>
  <c r="V605" i="5"/>
  <c r="F605" i="5"/>
  <c r="D605" i="5"/>
  <c r="B605" i="5"/>
  <c r="A605" i="5"/>
  <c r="V604" i="5"/>
  <c r="F604" i="5"/>
  <c r="D604" i="5"/>
  <c r="B604" i="5"/>
  <c r="A604" i="5"/>
  <c r="V603" i="5"/>
  <c r="F603" i="5"/>
  <c r="D603" i="5"/>
  <c r="B603" i="5"/>
  <c r="A603" i="5"/>
  <c r="V602" i="5"/>
  <c r="F602" i="5"/>
  <c r="D602" i="5"/>
  <c r="B602" i="5"/>
  <c r="A602" i="5"/>
  <c r="V601" i="5"/>
  <c r="F601" i="5"/>
  <c r="D601" i="5"/>
  <c r="B601" i="5"/>
  <c r="A601" i="5"/>
  <c r="V600" i="5"/>
  <c r="F600" i="5"/>
  <c r="D600" i="5"/>
  <c r="B600" i="5"/>
  <c r="A600" i="5"/>
  <c r="V599" i="5"/>
  <c r="F599" i="5"/>
  <c r="D599" i="5"/>
  <c r="B599" i="5"/>
  <c r="A599" i="5"/>
  <c r="V598" i="5"/>
  <c r="F598" i="5"/>
  <c r="D598" i="5"/>
  <c r="B598" i="5"/>
  <c r="A598" i="5"/>
  <c r="V597" i="5"/>
  <c r="F597" i="5"/>
  <c r="D597" i="5"/>
  <c r="B597" i="5"/>
  <c r="A597" i="5"/>
  <c r="V596" i="5"/>
  <c r="F596" i="5"/>
  <c r="D596" i="5"/>
  <c r="B596" i="5"/>
  <c r="A596" i="5"/>
  <c r="V595" i="5"/>
  <c r="F595" i="5"/>
  <c r="D595" i="5"/>
  <c r="B595" i="5"/>
  <c r="A595" i="5"/>
  <c r="V594" i="5"/>
  <c r="F594" i="5"/>
  <c r="D594" i="5"/>
  <c r="B594" i="5"/>
  <c r="A594" i="5"/>
  <c r="V593" i="5"/>
  <c r="F593" i="5"/>
  <c r="D593" i="5"/>
  <c r="B593" i="5"/>
  <c r="A593" i="5"/>
  <c r="V592" i="5"/>
  <c r="F592" i="5"/>
  <c r="D592" i="5"/>
  <c r="B592" i="5"/>
  <c r="A592" i="5"/>
  <c r="V591" i="5"/>
  <c r="F591" i="5"/>
  <c r="D591" i="5"/>
  <c r="B591" i="5"/>
  <c r="A591" i="5"/>
  <c r="V590" i="5"/>
  <c r="F590" i="5"/>
  <c r="D590" i="5"/>
  <c r="B590" i="5"/>
  <c r="A590" i="5"/>
  <c r="V589" i="5"/>
  <c r="F589" i="5"/>
  <c r="D589" i="5"/>
  <c r="B589" i="5"/>
  <c r="A589" i="5"/>
  <c r="V588" i="5"/>
  <c r="F588" i="5"/>
  <c r="D588" i="5"/>
  <c r="B588" i="5"/>
  <c r="A588" i="5"/>
  <c r="V587" i="5"/>
  <c r="F587" i="5"/>
  <c r="D587" i="5"/>
  <c r="B587" i="5"/>
  <c r="A587" i="5"/>
  <c r="V586" i="5"/>
  <c r="F586" i="5"/>
  <c r="D586" i="5"/>
  <c r="B586" i="5"/>
  <c r="A586" i="5"/>
  <c r="V585" i="5"/>
  <c r="F585" i="5"/>
  <c r="D585" i="5"/>
  <c r="B585" i="5"/>
  <c r="A585" i="5"/>
  <c r="V584" i="5"/>
  <c r="F584" i="5"/>
  <c r="D584" i="5"/>
  <c r="B584" i="5"/>
  <c r="A584" i="5"/>
  <c r="V583" i="5"/>
  <c r="F583" i="5"/>
  <c r="D583" i="5"/>
  <c r="B583" i="5"/>
  <c r="A583" i="5"/>
  <c r="V582" i="5"/>
  <c r="F582" i="5"/>
  <c r="D582" i="5"/>
  <c r="B582" i="5"/>
  <c r="A582" i="5"/>
  <c r="V581" i="5"/>
  <c r="F581" i="5"/>
  <c r="D581" i="5"/>
  <c r="B581" i="5"/>
  <c r="A581" i="5"/>
  <c r="V580" i="5"/>
  <c r="F580" i="5"/>
  <c r="D580" i="5"/>
  <c r="B580" i="5"/>
  <c r="A580" i="5"/>
  <c r="V579" i="5"/>
  <c r="F579" i="5"/>
  <c r="D579" i="5"/>
  <c r="B579" i="5"/>
  <c r="A579" i="5"/>
  <c r="V578" i="5"/>
  <c r="F578" i="5"/>
  <c r="D578" i="5"/>
  <c r="B578" i="5"/>
  <c r="A578" i="5"/>
  <c r="V577" i="5"/>
  <c r="F577" i="5"/>
  <c r="D577" i="5"/>
  <c r="B577" i="5"/>
  <c r="A577" i="5"/>
  <c r="V576" i="5"/>
  <c r="F576" i="5"/>
  <c r="D576" i="5"/>
  <c r="B576" i="5"/>
  <c r="A576" i="5"/>
  <c r="V575" i="5"/>
  <c r="F575" i="5"/>
  <c r="D575" i="5"/>
  <c r="B575" i="5"/>
  <c r="A575" i="5"/>
  <c r="V574" i="5"/>
  <c r="F574" i="5"/>
  <c r="D574" i="5"/>
  <c r="B574" i="5"/>
  <c r="A574" i="5"/>
  <c r="V573" i="5"/>
  <c r="F573" i="5"/>
  <c r="D573" i="5"/>
  <c r="B573" i="5"/>
  <c r="A573" i="5"/>
  <c r="V572" i="5"/>
  <c r="F572" i="5"/>
  <c r="D572" i="5"/>
  <c r="B572" i="5"/>
  <c r="A572" i="5"/>
  <c r="V571" i="5"/>
  <c r="F571" i="5"/>
  <c r="D571" i="5"/>
  <c r="B571" i="5"/>
  <c r="A571" i="5"/>
  <c r="V570" i="5"/>
  <c r="F570" i="5"/>
  <c r="D570" i="5"/>
  <c r="B570" i="5"/>
  <c r="A570" i="5"/>
  <c r="V569" i="5"/>
  <c r="F569" i="5"/>
  <c r="D569" i="5"/>
  <c r="B569" i="5"/>
  <c r="A569" i="5"/>
  <c r="V568" i="5"/>
  <c r="F568" i="5"/>
  <c r="D568" i="5"/>
  <c r="B568" i="5"/>
  <c r="A568" i="5"/>
  <c r="V567" i="5"/>
  <c r="F567" i="5"/>
  <c r="D567" i="5"/>
  <c r="B567" i="5"/>
  <c r="A567" i="5"/>
  <c r="V566" i="5"/>
  <c r="F566" i="5"/>
  <c r="D566" i="5"/>
  <c r="B566" i="5"/>
  <c r="A566" i="5"/>
  <c r="V565" i="5"/>
  <c r="F565" i="5"/>
  <c r="D565" i="5"/>
  <c r="B565" i="5"/>
  <c r="A565" i="5"/>
  <c r="V564" i="5"/>
  <c r="F564" i="5"/>
  <c r="D564" i="5"/>
  <c r="B564" i="5"/>
  <c r="A564" i="5"/>
  <c r="V563" i="5"/>
  <c r="F563" i="5"/>
  <c r="D563" i="5"/>
  <c r="B563" i="5"/>
  <c r="A563" i="5"/>
  <c r="V562" i="5"/>
  <c r="F562" i="5"/>
  <c r="D562" i="5"/>
  <c r="B562" i="5"/>
  <c r="A562" i="5"/>
  <c r="V561" i="5"/>
  <c r="F561" i="5"/>
  <c r="D561" i="5"/>
  <c r="B561" i="5"/>
  <c r="A561" i="5"/>
  <c r="V560" i="5"/>
  <c r="F560" i="5"/>
  <c r="D560" i="5"/>
  <c r="B560" i="5"/>
  <c r="A560" i="5"/>
  <c r="V559" i="5"/>
  <c r="F559" i="5"/>
  <c r="D559" i="5"/>
  <c r="B559" i="5"/>
  <c r="A559" i="5"/>
  <c r="V558" i="5"/>
  <c r="F558" i="5"/>
  <c r="D558" i="5"/>
  <c r="B558" i="5"/>
  <c r="A558" i="5"/>
  <c r="V557" i="5"/>
  <c r="F557" i="5"/>
  <c r="D557" i="5"/>
  <c r="B557" i="5"/>
  <c r="A557" i="5"/>
  <c r="V556" i="5"/>
  <c r="F556" i="5"/>
  <c r="D556" i="5"/>
  <c r="B556" i="5"/>
  <c r="A556" i="5"/>
  <c r="V555" i="5"/>
  <c r="F555" i="5"/>
  <c r="D555" i="5"/>
  <c r="B555" i="5"/>
  <c r="A555" i="5"/>
  <c r="V554" i="5"/>
  <c r="F554" i="5"/>
  <c r="D554" i="5"/>
  <c r="B554" i="5"/>
  <c r="A554" i="5"/>
  <c r="V553" i="5"/>
  <c r="F553" i="5"/>
  <c r="D553" i="5"/>
  <c r="B553" i="5"/>
  <c r="A553" i="5"/>
  <c r="V552" i="5"/>
  <c r="F552" i="5"/>
  <c r="D552" i="5"/>
  <c r="B552" i="5"/>
  <c r="A552" i="5"/>
  <c r="V551" i="5"/>
  <c r="F551" i="5"/>
  <c r="D551" i="5"/>
  <c r="B551" i="5"/>
  <c r="A551" i="5"/>
  <c r="V550" i="5"/>
  <c r="F550" i="5"/>
  <c r="D550" i="5"/>
  <c r="B550" i="5"/>
  <c r="A550" i="5"/>
  <c r="V549" i="5"/>
  <c r="F549" i="5"/>
  <c r="D549" i="5"/>
  <c r="B549" i="5"/>
  <c r="A549" i="5"/>
  <c r="V548" i="5"/>
  <c r="F548" i="5"/>
  <c r="D548" i="5"/>
  <c r="B548" i="5"/>
  <c r="A548" i="5"/>
  <c r="V547" i="5"/>
  <c r="F547" i="5"/>
  <c r="D547" i="5"/>
  <c r="B547" i="5"/>
  <c r="A547" i="5"/>
  <c r="V546" i="5"/>
  <c r="F546" i="5"/>
  <c r="D546" i="5"/>
  <c r="B546" i="5"/>
  <c r="A546" i="5"/>
  <c r="V545" i="5"/>
  <c r="F545" i="5"/>
  <c r="D545" i="5"/>
  <c r="B545" i="5"/>
  <c r="A545" i="5"/>
  <c r="V544" i="5"/>
  <c r="F544" i="5"/>
  <c r="D544" i="5"/>
  <c r="B544" i="5"/>
  <c r="A544" i="5"/>
  <c r="V543" i="5"/>
  <c r="F543" i="5"/>
  <c r="D543" i="5"/>
  <c r="B543" i="5"/>
  <c r="A543" i="5"/>
  <c r="V542" i="5"/>
  <c r="F542" i="5"/>
  <c r="D542" i="5"/>
  <c r="B542" i="5"/>
  <c r="A542" i="5"/>
  <c r="V541" i="5"/>
  <c r="F541" i="5"/>
  <c r="D541" i="5"/>
  <c r="B541" i="5"/>
  <c r="A541" i="5"/>
  <c r="V540" i="5"/>
  <c r="F540" i="5"/>
  <c r="D540" i="5"/>
  <c r="B540" i="5"/>
  <c r="A540" i="5"/>
  <c r="V539" i="5"/>
  <c r="F539" i="5"/>
  <c r="D539" i="5"/>
  <c r="B539" i="5"/>
  <c r="A539" i="5"/>
  <c r="V538" i="5"/>
  <c r="F538" i="5"/>
  <c r="D538" i="5"/>
  <c r="B538" i="5"/>
  <c r="A538" i="5"/>
  <c r="V537" i="5"/>
  <c r="F537" i="5"/>
  <c r="D537" i="5"/>
  <c r="B537" i="5"/>
  <c r="A537" i="5"/>
  <c r="V536" i="5"/>
  <c r="F536" i="5"/>
  <c r="D536" i="5"/>
  <c r="B536" i="5"/>
  <c r="A536" i="5"/>
  <c r="V535" i="5"/>
  <c r="F535" i="5"/>
  <c r="D535" i="5"/>
  <c r="B535" i="5"/>
  <c r="A535" i="5"/>
  <c r="V534" i="5"/>
  <c r="F534" i="5"/>
  <c r="D534" i="5"/>
  <c r="B534" i="5"/>
  <c r="A534" i="5"/>
  <c r="V533" i="5"/>
  <c r="F533" i="5"/>
  <c r="D533" i="5"/>
  <c r="B533" i="5"/>
  <c r="A533" i="5"/>
  <c r="V532" i="5"/>
  <c r="F532" i="5"/>
  <c r="D532" i="5"/>
  <c r="B532" i="5"/>
  <c r="A532" i="5"/>
  <c r="V531" i="5"/>
  <c r="F531" i="5"/>
  <c r="D531" i="5"/>
  <c r="B531" i="5"/>
  <c r="A531" i="5"/>
  <c r="V530" i="5"/>
  <c r="F530" i="5"/>
  <c r="D530" i="5"/>
  <c r="B530" i="5"/>
  <c r="A530" i="5"/>
  <c r="V529" i="5"/>
  <c r="F529" i="5"/>
  <c r="D529" i="5"/>
  <c r="B529" i="5"/>
  <c r="A529" i="5"/>
  <c r="V528" i="5"/>
  <c r="F528" i="5"/>
  <c r="D528" i="5"/>
  <c r="B528" i="5"/>
  <c r="A528" i="5"/>
  <c r="V527" i="5"/>
  <c r="F527" i="5"/>
  <c r="D527" i="5"/>
  <c r="B527" i="5"/>
  <c r="A527" i="5"/>
  <c r="V526" i="5"/>
  <c r="F526" i="5"/>
  <c r="D526" i="5"/>
  <c r="B526" i="5"/>
  <c r="A526" i="5"/>
  <c r="V525" i="5"/>
  <c r="F525" i="5"/>
  <c r="D525" i="5"/>
  <c r="B525" i="5"/>
  <c r="A525" i="5"/>
  <c r="V524" i="5"/>
  <c r="F524" i="5"/>
  <c r="D524" i="5"/>
  <c r="B524" i="5"/>
  <c r="A524" i="5"/>
  <c r="V523" i="5"/>
  <c r="F523" i="5"/>
  <c r="D523" i="5"/>
  <c r="B523" i="5"/>
  <c r="A523" i="5"/>
  <c r="V522" i="5"/>
  <c r="F522" i="5"/>
  <c r="D522" i="5"/>
  <c r="B522" i="5"/>
  <c r="A522" i="5"/>
  <c r="V521" i="5"/>
  <c r="F521" i="5"/>
  <c r="D521" i="5"/>
  <c r="B521" i="5"/>
  <c r="A521" i="5"/>
  <c r="V520" i="5"/>
  <c r="F520" i="5"/>
  <c r="D520" i="5"/>
  <c r="B520" i="5"/>
  <c r="A520" i="5"/>
  <c r="V519" i="5"/>
  <c r="F519" i="5"/>
  <c r="D519" i="5"/>
  <c r="B519" i="5"/>
  <c r="A519" i="5"/>
  <c r="V518" i="5"/>
  <c r="F518" i="5"/>
  <c r="D518" i="5"/>
  <c r="B518" i="5"/>
  <c r="A518" i="5"/>
  <c r="V517" i="5"/>
  <c r="F517" i="5"/>
  <c r="D517" i="5"/>
  <c r="B517" i="5"/>
  <c r="A517" i="5"/>
  <c r="V516" i="5"/>
  <c r="F516" i="5"/>
  <c r="D516" i="5"/>
  <c r="B516" i="5"/>
  <c r="A516" i="5"/>
  <c r="V515" i="5"/>
  <c r="F515" i="5"/>
  <c r="D515" i="5"/>
  <c r="B515" i="5"/>
  <c r="A515" i="5"/>
  <c r="V514" i="5"/>
  <c r="F514" i="5"/>
  <c r="D514" i="5"/>
  <c r="B514" i="5"/>
  <c r="A514" i="5"/>
  <c r="V513" i="5"/>
  <c r="F513" i="5"/>
  <c r="D513" i="5"/>
  <c r="B513" i="5"/>
  <c r="A513" i="5"/>
  <c r="V512" i="5"/>
  <c r="F512" i="5"/>
  <c r="D512" i="5"/>
  <c r="B512" i="5"/>
  <c r="A512" i="5"/>
  <c r="V511" i="5"/>
  <c r="F511" i="5"/>
  <c r="D511" i="5"/>
  <c r="B511" i="5"/>
  <c r="A511" i="5"/>
  <c r="V510" i="5"/>
  <c r="F510" i="5"/>
  <c r="D510" i="5"/>
  <c r="B510" i="5"/>
  <c r="A510" i="5"/>
  <c r="V509" i="5"/>
  <c r="F509" i="5"/>
  <c r="D509" i="5"/>
  <c r="B509" i="5"/>
  <c r="A509" i="5"/>
  <c r="V508" i="5"/>
  <c r="F508" i="5"/>
  <c r="D508" i="5"/>
  <c r="B508" i="5"/>
  <c r="A508" i="5"/>
  <c r="V507" i="5"/>
  <c r="F507" i="5"/>
  <c r="D507" i="5"/>
  <c r="B507" i="5"/>
  <c r="A507" i="5"/>
  <c r="V506" i="5"/>
  <c r="F506" i="5"/>
  <c r="D506" i="5"/>
  <c r="B506" i="5"/>
  <c r="A506" i="5"/>
  <c r="V505" i="5"/>
  <c r="F505" i="5"/>
  <c r="D505" i="5"/>
  <c r="B505" i="5"/>
  <c r="A505" i="5"/>
  <c r="V504" i="5"/>
  <c r="F504" i="5"/>
  <c r="D504" i="5"/>
  <c r="B504" i="5"/>
  <c r="A504" i="5"/>
  <c r="V503" i="5"/>
  <c r="F503" i="5"/>
  <c r="D503" i="5"/>
  <c r="B503" i="5"/>
  <c r="A503" i="5"/>
  <c r="V502" i="5"/>
  <c r="F502" i="5"/>
  <c r="D502" i="5"/>
  <c r="B502" i="5"/>
  <c r="A502" i="5"/>
  <c r="V501" i="5"/>
  <c r="F501" i="5"/>
  <c r="D501" i="5"/>
  <c r="B501" i="5"/>
  <c r="A501" i="5"/>
  <c r="V500" i="5"/>
  <c r="F500" i="5"/>
  <c r="D500" i="5"/>
  <c r="B500" i="5"/>
  <c r="A500" i="5"/>
  <c r="V499" i="5"/>
  <c r="F499" i="5"/>
  <c r="D499" i="5"/>
  <c r="B499" i="5"/>
  <c r="A499" i="5"/>
  <c r="V498" i="5"/>
  <c r="F498" i="5"/>
  <c r="D498" i="5"/>
  <c r="B498" i="5"/>
  <c r="A498" i="5"/>
  <c r="V497" i="5"/>
  <c r="F497" i="5"/>
  <c r="D497" i="5"/>
  <c r="B497" i="5"/>
  <c r="A497" i="5"/>
  <c r="V496" i="5"/>
  <c r="F496" i="5"/>
  <c r="D496" i="5"/>
  <c r="B496" i="5"/>
  <c r="A496" i="5"/>
  <c r="V495" i="5"/>
  <c r="F495" i="5"/>
  <c r="D495" i="5"/>
  <c r="B495" i="5"/>
  <c r="A495" i="5"/>
  <c r="V494" i="5"/>
  <c r="F494" i="5"/>
  <c r="D494" i="5"/>
  <c r="B494" i="5"/>
  <c r="A494" i="5"/>
  <c r="V493" i="5"/>
  <c r="F493" i="5"/>
  <c r="D493" i="5"/>
  <c r="B493" i="5"/>
  <c r="A493" i="5"/>
  <c r="V492" i="5"/>
  <c r="F492" i="5"/>
  <c r="D492" i="5"/>
  <c r="B492" i="5"/>
  <c r="A492" i="5"/>
  <c r="V491" i="5"/>
  <c r="F491" i="5"/>
  <c r="D491" i="5"/>
  <c r="B491" i="5"/>
  <c r="A491" i="5"/>
  <c r="V490" i="5"/>
  <c r="F490" i="5"/>
  <c r="D490" i="5"/>
  <c r="B490" i="5"/>
  <c r="A490" i="5"/>
  <c r="V489" i="5"/>
  <c r="F489" i="5"/>
  <c r="D489" i="5"/>
  <c r="B489" i="5"/>
  <c r="A489" i="5"/>
  <c r="V488" i="5"/>
  <c r="F488" i="5"/>
  <c r="D488" i="5"/>
  <c r="B488" i="5"/>
  <c r="A488" i="5"/>
  <c r="V487" i="5"/>
  <c r="F487" i="5"/>
  <c r="D487" i="5"/>
  <c r="B487" i="5"/>
  <c r="A487" i="5"/>
  <c r="V486" i="5"/>
  <c r="F486" i="5"/>
  <c r="D486" i="5"/>
  <c r="B486" i="5"/>
  <c r="A486" i="5"/>
  <c r="V485" i="5"/>
  <c r="F485" i="5"/>
  <c r="D485" i="5"/>
  <c r="B485" i="5"/>
  <c r="A485" i="5"/>
  <c r="V484" i="5"/>
  <c r="F484" i="5"/>
  <c r="D484" i="5"/>
  <c r="B484" i="5"/>
  <c r="A484" i="5"/>
  <c r="V483" i="5"/>
  <c r="F483" i="5"/>
  <c r="D483" i="5"/>
  <c r="B483" i="5"/>
  <c r="A483" i="5"/>
  <c r="V482" i="5"/>
  <c r="F482" i="5"/>
  <c r="D482" i="5"/>
  <c r="B482" i="5"/>
  <c r="A482" i="5"/>
  <c r="V481" i="5"/>
  <c r="F481" i="5"/>
  <c r="D481" i="5"/>
  <c r="B481" i="5"/>
  <c r="A481" i="5"/>
  <c r="V480" i="5"/>
  <c r="F480" i="5"/>
  <c r="D480" i="5"/>
  <c r="B480" i="5"/>
  <c r="A480" i="5"/>
  <c r="V479" i="5"/>
  <c r="F479" i="5"/>
  <c r="D479" i="5"/>
  <c r="B479" i="5"/>
  <c r="A479" i="5"/>
  <c r="V478" i="5"/>
  <c r="F478" i="5"/>
  <c r="D478" i="5"/>
  <c r="B478" i="5"/>
  <c r="A478" i="5"/>
  <c r="V477" i="5"/>
  <c r="F477" i="5"/>
  <c r="D477" i="5"/>
  <c r="B477" i="5"/>
  <c r="A477" i="5"/>
  <c r="V476" i="5"/>
  <c r="F476" i="5"/>
  <c r="D476" i="5"/>
  <c r="B476" i="5"/>
  <c r="A476" i="5"/>
  <c r="V475" i="5"/>
  <c r="F475" i="5"/>
  <c r="D475" i="5"/>
  <c r="B475" i="5"/>
  <c r="A475" i="5"/>
  <c r="V474" i="5"/>
  <c r="F474" i="5"/>
  <c r="D474" i="5"/>
  <c r="B474" i="5"/>
  <c r="A474" i="5"/>
  <c r="V473" i="5"/>
  <c r="F473" i="5"/>
  <c r="D473" i="5"/>
  <c r="B473" i="5"/>
  <c r="A473" i="5"/>
  <c r="V472" i="5"/>
  <c r="F472" i="5"/>
  <c r="D472" i="5"/>
  <c r="B472" i="5"/>
  <c r="A472" i="5"/>
  <c r="V471" i="5"/>
  <c r="F471" i="5"/>
  <c r="D471" i="5"/>
  <c r="B471" i="5"/>
  <c r="A471" i="5"/>
  <c r="V470" i="5"/>
  <c r="F470" i="5"/>
  <c r="D470" i="5"/>
  <c r="B470" i="5"/>
  <c r="A470" i="5"/>
  <c r="V469" i="5"/>
  <c r="F469" i="5"/>
  <c r="D469" i="5"/>
  <c r="B469" i="5"/>
  <c r="A469" i="5"/>
  <c r="V468" i="5"/>
  <c r="F468" i="5"/>
  <c r="D468" i="5"/>
  <c r="B468" i="5"/>
  <c r="A468" i="5"/>
  <c r="V467" i="5"/>
  <c r="F467" i="5"/>
  <c r="D467" i="5"/>
  <c r="B467" i="5"/>
  <c r="A467" i="5"/>
  <c r="V466" i="5"/>
  <c r="F466" i="5"/>
  <c r="D466" i="5"/>
  <c r="B466" i="5"/>
  <c r="A466" i="5"/>
  <c r="V465" i="5"/>
  <c r="F465" i="5"/>
  <c r="D465" i="5"/>
  <c r="B465" i="5"/>
  <c r="A465" i="5"/>
  <c r="V464" i="5"/>
  <c r="F464" i="5"/>
  <c r="D464" i="5"/>
  <c r="B464" i="5"/>
  <c r="A464" i="5"/>
  <c r="V463" i="5"/>
  <c r="F463" i="5"/>
  <c r="D463" i="5"/>
  <c r="B463" i="5"/>
  <c r="A463" i="5"/>
  <c r="V462" i="5"/>
  <c r="F462" i="5"/>
  <c r="D462" i="5"/>
  <c r="B462" i="5"/>
  <c r="A462" i="5"/>
  <c r="V461" i="5"/>
  <c r="F461" i="5"/>
  <c r="D461" i="5"/>
  <c r="B461" i="5"/>
  <c r="A461" i="5"/>
  <c r="V460" i="5"/>
  <c r="F460" i="5"/>
  <c r="D460" i="5"/>
  <c r="B460" i="5"/>
  <c r="A460" i="5"/>
  <c r="V459" i="5"/>
  <c r="F459" i="5"/>
  <c r="D459" i="5"/>
  <c r="B459" i="5"/>
  <c r="A459" i="5"/>
  <c r="V458" i="5"/>
  <c r="F458" i="5"/>
  <c r="D458" i="5"/>
  <c r="B458" i="5"/>
  <c r="A458" i="5"/>
  <c r="V457" i="5"/>
  <c r="F457" i="5"/>
  <c r="D457" i="5"/>
  <c r="B457" i="5"/>
  <c r="A457" i="5"/>
  <c r="V456" i="5"/>
  <c r="F456" i="5"/>
  <c r="D456" i="5"/>
  <c r="B456" i="5"/>
  <c r="A456" i="5"/>
  <c r="V455" i="5"/>
  <c r="F455" i="5"/>
  <c r="D455" i="5"/>
  <c r="B455" i="5"/>
  <c r="A455" i="5"/>
  <c r="V454" i="5"/>
  <c r="F454" i="5"/>
  <c r="D454" i="5"/>
  <c r="B454" i="5"/>
  <c r="A454" i="5"/>
  <c r="V453" i="5"/>
  <c r="F453" i="5"/>
  <c r="D453" i="5"/>
  <c r="B453" i="5"/>
  <c r="A453" i="5"/>
  <c r="V452" i="5"/>
  <c r="F452" i="5"/>
  <c r="D452" i="5"/>
  <c r="B452" i="5"/>
  <c r="A452" i="5"/>
  <c r="V451" i="5"/>
  <c r="F451" i="5"/>
  <c r="D451" i="5"/>
  <c r="B451" i="5"/>
  <c r="A451" i="5"/>
  <c r="V450" i="5"/>
  <c r="F450" i="5"/>
  <c r="D450" i="5"/>
  <c r="B450" i="5"/>
  <c r="A450" i="5"/>
  <c r="V449" i="5"/>
  <c r="F449" i="5"/>
  <c r="D449" i="5"/>
  <c r="B449" i="5"/>
  <c r="A449" i="5"/>
  <c r="V448" i="5"/>
  <c r="F448" i="5"/>
  <c r="D448" i="5"/>
  <c r="B448" i="5"/>
  <c r="A448" i="5"/>
  <c r="V447" i="5"/>
  <c r="F447" i="5"/>
  <c r="D447" i="5"/>
  <c r="B447" i="5"/>
  <c r="A447" i="5"/>
  <c r="V446" i="5"/>
  <c r="F446" i="5"/>
  <c r="D446" i="5"/>
  <c r="B446" i="5"/>
  <c r="A446" i="5"/>
  <c r="V445" i="5"/>
  <c r="F445" i="5"/>
  <c r="D445" i="5"/>
  <c r="B445" i="5"/>
  <c r="A445" i="5"/>
  <c r="V444" i="5"/>
  <c r="F444" i="5"/>
  <c r="D444" i="5"/>
  <c r="B444" i="5"/>
  <c r="A444" i="5"/>
  <c r="V443" i="5"/>
  <c r="F443" i="5"/>
  <c r="D443" i="5"/>
  <c r="B443" i="5"/>
  <c r="A443" i="5"/>
  <c r="V442" i="5"/>
  <c r="F442" i="5"/>
  <c r="D442" i="5"/>
  <c r="B442" i="5"/>
  <c r="A442" i="5"/>
  <c r="V441" i="5"/>
  <c r="F441" i="5"/>
  <c r="D441" i="5"/>
  <c r="B441" i="5"/>
  <c r="A441" i="5"/>
  <c r="V440" i="5"/>
  <c r="F440" i="5"/>
  <c r="D440" i="5"/>
  <c r="B440" i="5"/>
  <c r="A440" i="5"/>
  <c r="V439" i="5"/>
  <c r="F439" i="5"/>
  <c r="D439" i="5"/>
  <c r="B439" i="5"/>
  <c r="A439" i="5"/>
  <c r="V438" i="5"/>
  <c r="F438" i="5"/>
  <c r="D438" i="5"/>
  <c r="B438" i="5"/>
  <c r="A438" i="5"/>
  <c r="V437" i="5"/>
  <c r="F437" i="5"/>
  <c r="D437" i="5"/>
  <c r="B437" i="5"/>
  <c r="A437" i="5"/>
  <c r="V436" i="5"/>
  <c r="F436" i="5"/>
  <c r="D436" i="5"/>
  <c r="B436" i="5"/>
  <c r="A436" i="5"/>
  <c r="V435" i="5"/>
  <c r="F435" i="5"/>
  <c r="D435" i="5"/>
  <c r="B435" i="5"/>
  <c r="A435" i="5"/>
  <c r="V434" i="5"/>
  <c r="F434" i="5"/>
  <c r="D434" i="5"/>
  <c r="B434" i="5"/>
  <c r="A434" i="5"/>
  <c r="V433" i="5"/>
  <c r="F433" i="5"/>
  <c r="D433" i="5"/>
  <c r="B433" i="5"/>
  <c r="A433" i="5"/>
  <c r="V432" i="5"/>
  <c r="F432" i="5"/>
  <c r="D432" i="5"/>
  <c r="B432" i="5"/>
  <c r="A432" i="5"/>
  <c r="V431" i="5"/>
  <c r="F431" i="5"/>
  <c r="D431" i="5"/>
  <c r="B431" i="5"/>
  <c r="A431" i="5"/>
  <c r="V430" i="5"/>
  <c r="F430" i="5"/>
  <c r="D430" i="5"/>
  <c r="B430" i="5"/>
  <c r="A430" i="5"/>
  <c r="V429" i="5"/>
  <c r="F429" i="5"/>
  <c r="D429" i="5"/>
  <c r="B429" i="5"/>
  <c r="A429" i="5"/>
  <c r="V428" i="5"/>
  <c r="F428" i="5"/>
  <c r="D428" i="5"/>
  <c r="B428" i="5"/>
  <c r="A428" i="5"/>
  <c r="V427" i="5"/>
  <c r="F427" i="5"/>
  <c r="D427" i="5"/>
  <c r="B427" i="5"/>
  <c r="A427" i="5"/>
  <c r="V426" i="5"/>
  <c r="F426" i="5"/>
  <c r="D426" i="5"/>
  <c r="B426" i="5"/>
  <c r="A426" i="5"/>
  <c r="V425" i="5"/>
  <c r="F425" i="5"/>
  <c r="D425" i="5"/>
  <c r="B425" i="5"/>
  <c r="A425" i="5"/>
  <c r="V424" i="5"/>
  <c r="F424" i="5"/>
  <c r="D424" i="5"/>
  <c r="B424" i="5"/>
  <c r="A424" i="5"/>
  <c r="V423" i="5"/>
  <c r="F423" i="5"/>
  <c r="D423" i="5"/>
  <c r="B423" i="5"/>
  <c r="A423" i="5"/>
  <c r="V422" i="5"/>
  <c r="F422" i="5"/>
  <c r="D422" i="5"/>
  <c r="B422" i="5"/>
  <c r="A422" i="5"/>
  <c r="V421" i="5"/>
  <c r="F421" i="5"/>
  <c r="D421" i="5"/>
  <c r="B421" i="5"/>
  <c r="A421" i="5"/>
  <c r="V420" i="5"/>
  <c r="F420" i="5"/>
  <c r="D420" i="5"/>
  <c r="B420" i="5"/>
  <c r="A420" i="5"/>
  <c r="V419" i="5"/>
  <c r="F419" i="5"/>
  <c r="D419" i="5"/>
  <c r="B419" i="5"/>
  <c r="A419" i="5"/>
  <c r="V418" i="5"/>
  <c r="F418" i="5"/>
  <c r="D418" i="5"/>
  <c r="B418" i="5"/>
  <c r="A418" i="5"/>
  <c r="V417" i="5"/>
  <c r="F417" i="5"/>
  <c r="D417" i="5"/>
  <c r="B417" i="5"/>
  <c r="A417" i="5"/>
  <c r="V416" i="5"/>
  <c r="F416" i="5"/>
  <c r="D416" i="5"/>
  <c r="B416" i="5"/>
  <c r="A416" i="5"/>
  <c r="V415" i="5"/>
  <c r="F415" i="5"/>
  <c r="D415" i="5"/>
  <c r="B415" i="5"/>
  <c r="A415" i="5"/>
  <c r="V414" i="5"/>
  <c r="F414" i="5"/>
  <c r="D414" i="5"/>
  <c r="B414" i="5"/>
  <c r="A414" i="5"/>
  <c r="V413" i="5"/>
  <c r="F413" i="5"/>
  <c r="D413" i="5"/>
  <c r="B413" i="5"/>
  <c r="A413" i="5"/>
  <c r="V412" i="5"/>
  <c r="F412" i="5"/>
  <c r="D412" i="5"/>
  <c r="B412" i="5"/>
  <c r="A412" i="5"/>
  <c r="V411" i="5"/>
  <c r="F411" i="5"/>
  <c r="D411" i="5"/>
  <c r="B411" i="5"/>
  <c r="A411" i="5"/>
  <c r="V410" i="5"/>
  <c r="F410" i="5"/>
  <c r="D410" i="5"/>
  <c r="B410" i="5"/>
  <c r="A410" i="5"/>
  <c r="V409" i="5"/>
  <c r="F409" i="5"/>
  <c r="D409" i="5"/>
  <c r="B409" i="5"/>
  <c r="A409" i="5"/>
  <c r="V408" i="5"/>
  <c r="F408" i="5"/>
  <c r="D408" i="5"/>
  <c r="B408" i="5"/>
  <c r="A408" i="5"/>
  <c r="V407" i="5"/>
  <c r="F407" i="5"/>
  <c r="D407" i="5"/>
  <c r="B407" i="5"/>
  <c r="A407" i="5"/>
  <c r="V406" i="5"/>
  <c r="F406" i="5"/>
  <c r="D406" i="5"/>
  <c r="B406" i="5"/>
  <c r="A406" i="5"/>
  <c r="V405" i="5"/>
  <c r="F405" i="5"/>
  <c r="D405" i="5"/>
  <c r="B405" i="5"/>
  <c r="A405" i="5"/>
  <c r="V404" i="5"/>
  <c r="F404" i="5"/>
  <c r="D404" i="5"/>
  <c r="B404" i="5"/>
  <c r="A404" i="5"/>
  <c r="V403" i="5"/>
  <c r="F403" i="5"/>
  <c r="D403" i="5"/>
  <c r="B403" i="5"/>
  <c r="A403" i="5"/>
  <c r="V402" i="5"/>
  <c r="F402" i="5"/>
  <c r="D402" i="5"/>
  <c r="B402" i="5"/>
  <c r="A402" i="5"/>
  <c r="V401" i="5"/>
  <c r="F401" i="5"/>
  <c r="D401" i="5"/>
  <c r="B401" i="5"/>
  <c r="A401" i="5"/>
  <c r="V400" i="5"/>
  <c r="F400" i="5"/>
  <c r="D400" i="5"/>
  <c r="B400" i="5"/>
  <c r="A400" i="5"/>
  <c r="V399" i="5"/>
  <c r="F399" i="5"/>
  <c r="D399" i="5"/>
  <c r="B399" i="5"/>
  <c r="A399" i="5"/>
  <c r="V398" i="5"/>
  <c r="F398" i="5"/>
  <c r="D398" i="5"/>
  <c r="B398" i="5"/>
  <c r="A398" i="5"/>
  <c r="V397" i="5"/>
  <c r="F397" i="5"/>
  <c r="D397" i="5"/>
  <c r="B397" i="5"/>
  <c r="A397" i="5"/>
  <c r="V396" i="5"/>
  <c r="F396" i="5"/>
  <c r="D396" i="5"/>
  <c r="B396" i="5"/>
  <c r="A396" i="5"/>
  <c r="V395" i="5"/>
  <c r="F395" i="5"/>
  <c r="D395" i="5"/>
  <c r="B395" i="5"/>
  <c r="A395" i="5"/>
  <c r="V394" i="5"/>
  <c r="F394" i="5"/>
  <c r="D394" i="5"/>
  <c r="B394" i="5"/>
  <c r="A394" i="5"/>
  <c r="V393" i="5"/>
  <c r="F393" i="5"/>
  <c r="D393" i="5"/>
  <c r="B393" i="5"/>
  <c r="A393" i="5"/>
  <c r="V392" i="5"/>
  <c r="F392" i="5"/>
  <c r="D392" i="5"/>
  <c r="B392" i="5"/>
  <c r="A392" i="5"/>
  <c r="V391" i="5"/>
  <c r="F391" i="5"/>
  <c r="D391" i="5"/>
  <c r="B391" i="5"/>
  <c r="A391" i="5"/>
  <c r="V390" i="5"/>
  <c r="F390" i="5"/>
  <c r="D390" i="5"/>
  <c r="B390" i="5"/>
  <c r="A390" i="5"/>
  <c r="V389" i="5"/>
  <c r="F389" i="5"/>
  <c r="D389" i="5"/>
  <c r="B389" i="5"/>
  <c r="A389" i="5"/>
  <c r="V388" i="5"/>
  <c r="F388" i="5"/>
  <c r="D388" i="5"/>
  <c r="B388" i="5"/>
  <c r="A388" i="5"/>
  <c r="V387" i="5"/>
  <c r="F387" i="5"/>
  <c r="D387" i="5"/>
  <c r="B387" i="5"/>
  <c r="A387" i="5"/>
  <c r="V386" i="5"/>
  <c r="F386" i="5"/>
  <c r="D386" i="5"/>
  <c r="B386" i="5"/>
  <c r="A386" i="5"/>
  <c r="V385" i="5"/>
  <c r="F385" i="5"/>
  <c r="D385" i="5"/>
  <c r="B385" i="5"/>
  <c r="A385" i="5"/>
  <c r="V384" i="5"/>
  <c r="F384" i="5"/>
  <c r="D384" i="5"/>
  <c r="B384" i="5"/>
  <c r="A384" i="5"/>
  <c r="V383" i="5"/>
  <c r="F383" i="5"/>
  <c r="D383" i="5"/>
  <c r="B383" i="5"/>
  <c r="A383" i="5"/>
  <c r="V382" i="5"/>
  <c r="F382" i="5"/>
  <c r="D382" i="5"/>
  <c r="B382" i="5"/>
  <c r="A382" i="5"/>
  <c r="V381" i="5"/>
  <c r="F381" i="5"/>
  <c r="D381" i="5"/>
  <c r="B381" i="5"/>
  <c r="A381" i="5"/>
  <c r="V380" i="5"/>
  <c r="F380" i="5"/>
  <c r="D380" i="5"/>
  <c r="B380" i="5"/>
  <c r="A380" i="5"/>
  <c r="V379" i="5"/>
  <c r="F379" i="5"/>
  <c r="D379" i="5"/>
  <c r="B379" i="5"/>
  <c r="A379" i="5"/>
  <c r="V378" i="5"/>
  <c r="F378" i="5"/>
  <c r="D378" i="5"/>
  <c r="B378" i="5"/>
  <c r="A378" i="5"/>
  <c r="V377" i="5"/>
  <c r="F377" i="5"/>
  <c r="D377" i="5"/>
  <c r="B377" i="5"/>
  <c r="A377" i="5"/>
  <c r="V376" i="5"/>
  <c r="F376" i="5"/>
  <c r="D376" i="5"/>
  <c r="B376" i="5"/>
  <c r="A376" i="5"/>
  <c r="V375" i="5"/>
  <c r="F375" i="5"/>
  <c r="D375" i="5"/>
  <c r="B375" i="5"/>
  <c r="A375" i="5"/>
  <c r="V374" i="5"/>
  <c r="F374" i="5"/>
  <c r="D374" i="5"/>
  <c r="B374" i="5"/>
  <c r="A374" i="5"/>
  <c r="V373" i="5"/>
  <c r="F373" i="5"/>
  <c r="D373" i="5"/>
  <c r="B373" i="5"/>
  <c r="A373" i="5"/>
  <c r="V372" i="5"/>
  <c r="F372" i="5"/>
  <c r="D372" i="5"/>
  <c r="B372" i="5"/>
  <c r="A372" i="5"/>
  <c r="V371" i="5"/>
  <c r="F371" i="5"/>
  <c r="D371" i="5"/>
  <c r="B371" i="5"/>
  <c r="A371" i="5"/>
  <c r="V370" i="5"/>
  <c r="F370" i="5"/>
  <c r="D370" i="5"/>
  <c r="B370" i="5"/>
  <c r="A370" i="5"/>
  <c r="V369" i="5"/>
  <c r="F369" i="5"/>
  <c r="D369" i="5"/>
  <c r="B369" i="5"/>
  <c r="A369" i="5"/>
  <c r="V368" i="5"/>
  <c r="F368" i="5"/>
  <c r="D368" i="5"/>
  <c r="B368" i="5"/>
  <c r="A368" i="5"/>
  <c r="V367" i="5"/>
  <c r="F367" i="5"/>
  <c r="D367" i="5"/>
  <c r="B367" i="5"/>
  <c r="A367" i="5"/>
  <c r="V366" i="5"/>
  <c r="F366" i="5"/>
  <c r="D366" i="5"/>
  <c r="B366" i="5"/>
  <c r="A366" i="5"/>
  <c r="V365" i="5"/>
  <c r="F365" i="5"/>
  <c r="D365" i="5"/>
  <c r="B365" i="5"/>
  <c r="A365" i="5"/>
  <c r="V364" i="5"/>
  <c r="F364" i="5"/>
  <c r="D364" i="5"/>
  <c r="B364" i="5"/>
  <c r="A364" i="5"/>
  <c r="V363" i="5"/>
  <c r="F363" i="5"/>
  <c r="D363" i="5"/>
  <c r="B363" i="5"/>
  <c r="A363" i="5"/>
  <c r="V362" i="5"/>
  <c r="F362" i="5"/>
  <c r="D362" i="5"/>
  <c r="B362" i="5"/>
  <c r="A362" i="5"/>
  <c r="V361" i="5"/>
  <c r="F361" i="5"/>
  <c r="D361" i="5"/>
  <c r="B361" i="5"/>
  <c r="A361" i="5"/>
  <c r="V360" i="5"/>
  <c r="F360" i="5"/>
  <c r="D360" i="5"/>
  <c r="B360" i="5"/>
  <c r="A360" i="5"/>
  <c r="V359" i="5"/>
  <c r="F359" i="5"/>
  <c r="D359" i="5"/>
  <c r="B359" i="5"/>
  <c r="A359" i="5"/>
  <c r="V358" i="5"/>
  <c r="F358" i="5"/>
  <c r="D358" i="5"/>
  <c r="B358" i="5"/>
  <c r="A358" i="5"/>
  <c r="V357" i="5"/>
  <c r="F357" i="5"/>
  <c r="D357" i="5"/>
  <c r="B357" i="5"/>
  <c r="A357" i="5"/>
  <c r="V356" i="5"/>
  <c r="F356" i="5"/>
  <c r="D356" i="5"/>
  <c r="B356" i="5"/>
  <c r="A356" i="5"/>
  <c r="V355" i="5"/>
  <c r="F355" i="5"/>
  <c r="D355" i="5"/>
  <c r="B355" i="5"/>
  <c r="A355" i="5"/>
  <c r="V354" i="5"/>
  <c r="F354" i="5"/>
  <c r="D354" i="5"/>
  <c r="B354" i="5"/>
  <c r="A354" i="5"/>
  <c r="V353" i="5"/>
  <c r="F353" i="5"/>
  <c r="D353" i="5"/>
  <c r="B353" i="5"/>
  <c r="A353" i="5"/>
  <c r="V352" i="5"/>
  <c r="F352" i="5"/>
  <c r="D352" i="5"/>
  <c r="B352" i="5"/>
  <c r="A352" i="5"/>
  <c r="V351" i="5"/>
  <c r="F351" i="5"/>
  <c r="D351" i="5"/>
  <c r="B351" i="5"/>
  <c r="A351" i="5"/>
  <c r="V350" i="5"/>
  <c r="F350" i="5"/>
  <c r="D350" i="5"/>
  <c r="B350" i="5"/>
  <c r="A350" i="5"/>
  <c r="V349" i="5"/>
  <c r="F349" i="5"/>
  <c r="D349" i="5"/>
  <c r="B349" i="5"/>
  <c r="A349" i="5"/>
  <c r="V348" i="5"/>
  <c r="F348" i="5"/>
  <c r="D348" i="5"/>
  <c r="B348" i="5"/>
  <c r="A348" i="5"/>
  <c r="V347" i="5"/>
  <c r="F347" i="5"/>
  <c r="D347" i="5"/>
  <c r="B347" i="5"/>
  <c r="A347" i="5"/>
  <c r="V346" i="5"/>
  <c r="F346" i="5"/>
  <c r="D346" i="5"/>
  <c r="B346" i="5"/>
  <c r="A346" i="5"/>
  <c r="V345" i="5"/>
  <c r="F345" i="5"/>
  <c r="D345" i="5"/>
  <c r="B345" i="5"/>
  <c r="A345" i="5"/>
  <c r="V344" i="5"/>
  <c r="F344" i="5"/>
  <c r="D344" i="5"/>
  <c r="B344" i="5"/>
  <c r="A344" i="5"/>
  <c r="V343" i="5"/>
  <c r="F343" i="5"/>
  <c r="D343" i="5"/>
  <c r="B343" i="5"/>
  <c r="A343" i="5"/>
  <c r="V342" i="5"/>
  <c r="F342" i="5"/>
  <c r="D342" i="5"/>
  <c r="B342" i="5"/>
  <c r="A342" i="5"/>
  <c r="V341" i="5"/>
  <c r="F341" i="5"/>
  <c r="D341" i="5"/>
  <c r="B341" i="5"/>
  <c r="A341" i="5"/>
  <c r="V340" i="5"/>
  <c r="F340" i="5"/>
  <c r="D340" i="5"/>
  <c r="B340" i="5"/>
  <c r="A340" i="5"/>
  <c r="V339" i="5"/>
  <c r="F339" i="5"/>
  <c r="D339" i="5"/>
  <c r="B339" i="5"/>
  <c r="A339" i="5"/>
  <c r="V338" i="5"/>
  <c r="F338" i="5"/>
  <c r="D338" i="5"/>
  <c r="B338" i="5"/>
  <c r="A338" i="5"/>
  <c r="V337" i="5"/>
  <c r="F337" i="5"/>
  <c r="D337" i="5"/>
  <c r="B337" i="5"/>
  <c r="A337" i="5"/>
  <c r="V336" i="5"/>
  <c r="F336" i="5"/>
  <c r="D336" i="5"/>
  <c r="B336" i="5"/>
  <c r="A336" i="5"/>
  <c r="V335" i="5"/>
  <c r="F335" i="5"/>
  <c r="D335" i="5"/>
  <c r="B335" i="5"/>
  <c r="A335" i="5"/>
  <c r="V334" i="5"/>
  <c r="F334" i="5"/>
  <c r="D334" i="5"/>
  <c r="B334" i="5"/>
  <c r="A334" i="5"/>
  <c r="V333" i="5"/>
  <c r="F333" i="5"/>
  <c r="D333" i="5"/>
  <c r="B333" i="5"/>
  <c r="A333" i="5"/>
  <c r="V332" i="5"/>
  <c r="F332" i="5"/>
  <c r="D332" i="5"/>
  <c r="B332" i="5"/>
  <c r="A332" i="5"/>
  <c r="V331" i="5"/>
  <c r="F331" i="5"/>
  <c r="D331" i="5"/>
  <c r="B331" i="5"/>
  <c r="A331" i="5"/>
  <c r="V330" i="5"/>
  <c r="F330" i="5"/>
  <c r="D330" i="5"/>
  <c r="B330" i="5"/>
  <c r="A330" i="5"/>
  <c r="V329" i="5"/>
  <c r="F329" i="5"/>
  <c r="D329" i="5"/>
  <c r="B329" i="5"/>
  <c r="A329" i="5"/>
  <c r="V328" i="5"/>
  <c r="F328" i="5"/>
  <c r="D328" i="5"/>
  <c r="B328" i="5"/>
  <c r="A328" i="5"/>
  <c r="V327" i="5"/>
  <c r="F327" i="5"/>
  <c r="D327" i="5"/>
  <c r="B327" i="5"/>
  <c r="A327" i="5"/>
  <c r="V326" i="5"/>
  <c r="F326" i="5"/>
  <c r="D326" i="5"/>
  <c r="B326" i="5"/>
  <c r="A326" i="5"/>
  <c r="V325" i="5"/>
  <c r="F325" i="5"/>
  <c r="D325" i="5"/>
  <c r="B325" i="5"/>
  <c r="A325" i="5"/>
  <c r="V324" i="5"/>
  <c r="F324" i="5"/>
  <c r="D324" i="5"/>
  <c r="B324" i="5"/>
  <c r="A324" i="5"/>
  <c r="V323" i="5"/>
  <c r="F323" i="5"/>
  <c r="D323" i="5"/>
  <c r="B323" i="5"/>
  <c r="A323" i="5"/>
  <c r="V322" i="5"/>
  <c r="F322" i="5"/>
  <c r="D322" i="5"/>
  <c r="B322" i="5"/>
  <c r="A322" i="5"/>
  <c r="V321" i="5"/>
  <c r="F321" i="5"/>
  <c r="D321" i="5"/>
  <c r="B321" i="5"/>
  <c r="A321" i="5"/>
  <c r="V320" i="5"/>
  <c r="F320" i="5"/>
  <c r="D320" i="5"/>
  <c r="B320" i="5"/>
  <c r="A320" i="5"/>
  <c r="V319" i="5"/>
  <c r="F319" i="5"/>
  <c r="D319" i="5"/>
  <c r="B319" i="5"/>
  <c r="A319" i="5"/>
  <c r="V318" i="5"/>
  <c r="F318" i="5"/>
  <c r="D318" i="5"/>
  <c r="B318" i="5"/>
  <c r="A318" i="5"/>
  <c r="V317" i="5"/>
  <c r="F317" i="5"/>
  <c r="D317" i="5"/>
  <c r="B317" i="5"/>
  <c r="A317" i="5"/>
  <c r="V316" i="5"/>
  <c r="F316" i="5"/>
  <c r="D316" i="5"/>
  <c r="B316" i="5"/>
  <c r="A316" i="5"/>
  <c r="V315" i="5"/>
  <c r="F315" i="5"/>
  <c r="D315" i="5"/>
  <c r="B315" i="5"/>
  <c r="A315" i="5"/>
  <c r="V314" i="5"/>
  <c r="F314" i="5"/>
  <c r="D314" i="5"/>
  <c r="B314" i="5"/>
  <c r="A314" i="5"/>
  <c r="V313" i="5"/>
  <c r="F313" i="5"/>
  <c r="D313" i="5"/>
  <c r="B313" i="5"/>
  <c r="A313" i="5"/>
  <c r="V312" i="5"/>
  <c r="F312" i="5"/>
  <c r="D312" i="5"/>
  <c r="B312" i="5"/>
  <c r="A312" i="5"/>
  <c r="V311" i="5"/>
  <c r="F311" i="5"/>
  <c r="D311" i="5"/>
  <c r="B311" i="5"/>
  <c r="A311" i="5"/>
  <c r="V310" i="5"/>
  <c r="F310" i="5"/>
  <c r="D310" i="5"/>
  <c r="B310" i="5"/>
  <c r="A310" i="5"/>
  <c r="V309" i="5"/>
  <c r="F309" i="5"/>
  <c r="D309" i="5"/>
  <c r="B309" i="5"/>
  <c r="A309" i="5"/>
  <c r="V308" i="5"/>
  <c r="F308" i="5"/>
  <c r="D308" i="5"/>
  <c r="B308" i="5"/>
  <c r="A308" i="5"/>
  <c r="V307" i="5"/>
  <c r="F307" i="5"/>
  <c r="D307" i="5"/>
  <c r="B307" i="5"/>
  <c r="A307" i="5"/>
  <c r="V306" i="5"/>
  <c r="F306" i="5"/>
  <c r="D306" i="5"/>
  <c r="B306" i="5"/>
  <c r="A306" i="5"/>
  <c r="V305" i="5"/>
  <c r="F305" i="5"/>
  <c r="D305" i="5"/>
  <c r="B305" i="5"/>
  <c r="A305" i="5"/>
  <c r="V304" i="5"/>
  <c r="F304" i="5"/>
  <c r="D304" i="5"/>
  <c r="B304" i="5"/>
  <c r="A304" i="5"/>
  <c r="V303" i="5"/>
  <c r="F303" i="5"/>
  <c r="D303" i="5"/>
  <c r="B303" i="5"/>
  <c r="A303" i="5"/>
  <c r="V302" i="5"/>
  <c r="F302" i="5"/>
  <c r="D302" i="5"/>
  <c r="B302" i="5"/>
  <c r="A302" i="5"/>
  <c r="V301" i="5"/>
  <c r="F301" i="5"/>
  <c r="D301" i="5"/>
  <c r="B301" i="5"/>
  <c r="A301" i="5"/>
  <c r="V300" i="5"/>
  <c r="F300" i="5"/>
  <c r="D300" i="5"/>
  <c r="B300" i="5"/>
  <c r="A300" i="5"/>
  <c r="V299" i="5"/>
  <c r="F299" i="5"/>
  <c r="D299" i="5"/>
  <c r="B299" i="5"/>
  <c r="A299" i="5"/>
  <c r="V298" i="5"/>
  <c r="F298" i="5"/>
  <c r="D298" i="5"/>
  <c r="B298" i="5"/>
  <c r="A298" i="5"/>
  <c r="V297" i="5"/>
  <c r="F297" i="5"/>
  <c r="D297" i="5"/>
  <c r="B297" i="5"/>
  <c r="A297" i="5"/>
  <c r="V296" i="5"/>
  <c r="F296" i="5"/>
  <c r="D296" i="5"/>
  <c r="B296" i="5"/>
  <c r="A296" i="5"/>
  <c r="V295" i="5"/>
  <c r="F295" i="5"/>
  <c r="D295" i="5"/>
  <c r="B295" i="5"/>
  <c r="A295" i="5"/>
  <c r="V294" i="5"/>
  <c r="F294" i="5"/>
  <c r="D294" i="5"/>
  <c r="B294" i="5"/>
  <c r="A294" i="5"/>
  <c r="V293" i="5"/>
  <c r="F293" i="5"/>
  <c r="D293" i="5"/>
  <c r="B293" i="5"/>
  <c r="A293" i="5"/>
  <c r="V292" i="5"/>
  <c r="F292" i="5"/>
  <c r="D292" i="5"/>
  <c r="B292" i="5"/>
  <c r="A292" i="5"/>
  <c r="V291" i="5"/>
  <c r="F291" i="5"/>
  <c r="D291" i="5"/>
  <c r="B291" i="5"/>
  <c r="A291" i="5"/>
  <c r="V290" i="5"/>
  <c r="F290" i="5"/>
  <c r="D290" i="5"/>
  <c r="B290" i="5"/>
  <c r="A290" i="5"/>
  <c r="V289" i="5"/>
  <c r="F289" i="5"/>
  <c r="D289" i="5"/>
  <c r="B289" i="5"/>
  <c r="A289" i="5"/>
  <c r="V288" i="5"/>
  <c r="F288" i="5"/>
  <c r="D288" i="5"/>
  <c r="B288" i="5"/>
  <c r="A288" i="5"/>
  <c r="V287" i="5"/>
  <c r="F287" i="5"/>
  <c r="D287" i="5"/>
  <c r="B287" i="5"/>
  <c r="A287" i="5"/>
  <c r="V286" i="5"/>
  <c r="F286" i="5"/>
  <c r="D286" i="5"/>
  <c r="B286" i="5"/>
  <c r="A286" i="5"/>
  <c r="V285" i="5"/>
  <c r="F285" i="5"/>
  <c r="D285" i="5"/>
  <c r="B285" i="5"/>
  <c r="A285" i="5"/>
  <c r="V284" i="5"/>
  <c r="F284" i="5"/>
  <c r="D284" i="5"/>
  <c r="B284" i="5"/>
  <c r="A284" i="5"/>
  <c r="V283" i="5"/>
  <c r="F283" i="5"/>
  <c r="D283" i="5"/>
  <c r="B283" i="5"/>
  <c r="A283" i="5"/>
  <c r="V282" i="5"/>
  <c r="F282" i="5"/>
  <c r="D282" i="5"/>
  <c r="B282" i="5"/>
  <c r="A282" i="5"/>
  <c r="V281" i="5"/>
  <c r="F281" i="5"/>
  <c r="D281" i="5"/>
  <c r="B281" i="5"/>
  <c r="A281" i="5"/>
  <c r="V280" i="5"/>
  <c r="F280" i="5"/>
  <c r="D280" i="5"/>
  <c r="B280" i="5"/>
  <c r="A280" i="5"/>
  <c r="V279" i="5"/>
  <c r="F279" i="5"/>
  <c r="D279" i="5"/>
  <c r="B279" i="5"/>
  <c r="A279" i="5"/>
  <c r="V278" i="5"/>
  <c r="F278" i="5"/>
  <c r="D278" i="5"/>
  <c r="B278" i="5"/>
  <c r="A278" i="5"/>
  <c r="V277" i="5"/>
  <c r="F277" i="5"/>
  <c r="D277" i="5"/>
  <c r="B277" i="5"/>
  <c r="A277" i="5"/>
  <c r="V276" i="5"/>
  <c r="F276" i="5"/>
  <c r="D276" i="5"/>
  <c r="B276" i="5"/>
  <c r="A276" i="5"/>
  <c r="V275" i="5"/>
  <c r="F275" i="5"/>
  <c r="D275" i="5"/>
  <c r="B275" i="5"/>
  <c r="A275" i="5"/>
  <c r="V274" i="5"/>
  <c r="F274" i="5"/>
  <c r="D274" i="5"/>
  <c r="B274" i="5"/>
  <c r="A274" i="5"/>
  <c r="V273" i="5"/>
  <c r="F273" i="5"/>
  <c r="D273" i="5"/>
  <c r="B273" i="5"/>
  <c r="A273" i="5"/>
  <c r="V272" i="5"/>
  <c r="F272" i="5"/>
  <c r="D272" i="5"/>
  <c r="B272" i="5"/>
  <c r="A272" i="5"/>
  <c r="V271" i="5"/>
  <c r="F271" i="5"/>
  <c r="D271" i="5"/>
  <c r="B271" i="5"/>
  <c r="A271" i="5"/>
  <c r="V270" i="5"/>
  <c r="F270" i="5"/>
  <c r="D270" i="5"/>
  <c r="B270" i="5"/>
  <c r="A270" i="5"/>
  <c r="V269" i="5"/>
  <c r="F269" i="5"/>
  <c r="D269" i="5"/>
  <c r="B269" i="5"/>
  <c r="A269" i="5"/>
  <c r="V268" i="5"/>
  <c r="F268" i="5"/>
  <c r="D268" i="5"/>
  <c r="B268" i="5"/>
  <c r="A268" i="5"/>
  <c r="V267" i="5"/>
  <c r="F267" i="5"/>
  <c r="D267" i="5"/>
  <c r="B267" i="5"/>
  <c r="A267" i="5"/>
  <c r="V266" i="5"/>
  <c r="F266" i="5"/>
  <c r="D266" i="5"/>
  <c r="B266" i="5"/>
  <c r="A266" i="5"/>
  <c r="V265" i="5"/>
  <c r="F265" i="5"/>
  <c r="D265" i="5"/>
  <c r="B265" i="5"/>
  <c r="A265" i="5"/>
  <c r="V264" i="5"/>
  <c r="F264" i="5"/>
  <c r="D264" i="5"/>
  <c r="B264" i="5"/>
  <c r="A264" i="5"/>
  <c r="V263" i="5"/>
  <c r="F263" i="5"/>
  <c r="D263" i="5"/>
  <c r="B263" i="5"/>
  <c r="A263" i="5"/>
  <c r="V262" i="5"/>
  <c r="F262" i="5"/>
  <c r="D262" i="5"/>
  <c r="B262" i="5"/>
  <c r="A262" i="5"/>
  <c r="V261" i="5"/>
  <c r="F261" i="5"/>
  <c r="D261" i="5"/>
  <c r="B261" i="5"/>
  <c r="A261" i="5"/>
  <c r="V260" i="5"/>
  <c r="F260" i="5"/>
  <c r="D260" i="5"/>
  <c r="B260" i="5"/>
  <c r="A260" i="5"/>
  <c r="V259" i="5"/>
  <c r="F259" i="5"/>
  <c r="D259" i="5"/>
  <c r="B259" i="5"/>
  <c r="A259" i="5"/>
  <c r="V258" i="5"/>
  <c r="F258" i="5"/>
  <c r="D258" i="5"/>
  <c r="B258" i="5"/>
  <c r="A258" i="5"/>
  <c r="V257" i="5"/>
  <c r="F257" i="5"/>
  <c r="D257" i="5"/>
  <c r="B257" i="5"/>
  <c r="A257" i="5"/>
  <c r="V256" i="5"/>
  <c r="F256" i="5"/>
  <c r="D256" i="5"/>
  <c r="B256" i="5"/>
  <c r="A256" i="5"/>
  <c r="V255" i="5"/>
  <c r="F255" i="5"/>
  <c r="D255" i="5"/>
  <c r="B255" i="5"/>
  <c r="A255" i="5"/>
  <c r="V254" i="5"/>
  <c r="F254" i="5"/>
  <c r="D254" i="5"/>
  <c r="B254" i="5"/>
  <c r="A254" i="5"/>
  <c r="V253" i="5"/>
  <c r="F253" i="5"/>
  <c r="D253" i="5"/>
  <c r="B253" i="5"/>
  <c r="A253" i="5"/>
  <c r="V252" i="5"/>
  <c r="F252" i="5"/>
  <c r="D252" i="5"/>
  <c r="B252" i="5"/>
  <c r="A252" i="5"/>
  <c r="V251" i="5"/>
  <c r="F251" i="5"/>
  <c r="D251" i="5"/>
  <c r="B251" i="5"/>
  <c r="A251" i="5"/>
  <c r="V250" i="5"/>
  <c r="F250" i="5"/>
  <c r="D250" i="5"/>
  <c r="B250" i="5"/>
  <c r="A250" i="5"/>
  <c r="V249" i="5"/>
  <c r="F249" i="5"/>
  <c r="D249" i="5"/>
  <c r="B249" i="5"/>
  <c r="A249" i="5"/>
  <c r="V248" i="5"/>
  <c r="F248" i="5"/>
  <c r="D248" i="5"/>
  <c r="B248" i="5"/>
  <c r="A248" i="5"/>
  <c r="V247" i="5"/>
  <c r="F247" i="5"/>
  <c r="D247" i="5"/>
  <c r="B247" i="5"/>
  <c r="A247" i="5"/>
  <c r="V246" i="5"/>
  <c r="F246" i="5"/>
  <c r="D246" i="5"/>
  <c r="B246" i="5"/>
  <c r="A246" i="5"/>
  <c r="V245" i="5"/>
  <c r="F245" i="5"/>
  <c r="D245" i="5"/>
  <c r="B245" i="5"/>
  <c r="A245" i="5"/>
  <c r="V244" i="5"/>
  <c r="F244" i="5"/>
  <c r="D244" i="5"/>
  <c r="B244" i="5"/>
  <c r="A244" i="5"/>
  <c r="V243" i="5"/>
  <c r="F243" i="5"/>
  <c r="D243" i="5"/>
  <c r="B243" i="5"/>
  <c r="A243" i="5"/>
  <c r="V242" i="5"/>
  <c r="F242" i="5"/>
  <c r="D242" i="5"/>
  <c r="B242" i="5"/>
  <c r="A242" i="5"/>
  <c r="V241" i="5"/>
  <c r="F241" i="5"/>
  <c r="D241" i="5"/>
  <c r="B241" i="5"/>
  <c r="A241" i="5"/>
  <c r="V240" i="5"/>
  <c r="F240" i="5"/>
  <c r="D240" i="5"/>
  <c r="B240" i="5"/>
  <c r="A240" i="5"/>
  <c r="V239" i="5"/>
  <c r="F239" i="5"/>
  <c r="D239" i="5"/>
  <c r="B239" i="5"/>
  <c r="A239" i="5"/>
  <c r="V238" i="5"/>
  <c r="F238" i="5"/>
  <c r="D238" i="5"/>
  <c r="B238" i="5"/>
  <c r="A238" i="5"/>
  <c r="V237" i="5"/>
  <c r="F237" i="5"/>
  <c r="D237" i="5"/>
  <c r="B237" i="5"/>
  <c r="A237" i="5"/>
  <c r="V236" i="5"/>
  <c r="F236" i="5"/>
  <c r="D236" i="5"/>
  <c r="B236" i="5"/>
  <c r="A236" i="5"/>
  <c r="V235" i="5"/>
  <c r="F235" i="5"/>
  <c r="D235" i="5"/>
  <c r="B235" i="5"/>
  <c r="A235" i="5"/>
  <c r="V234" i="5"/>
  <c r="F234" i="5"/>
  <c r="D234" i="5"/>
  <c r="B234" i="5"/>
  <c r="A234" i="5"/>
  <c r="V233" i="5"/>
  <c r="F233" i="5"/>
  <c r="D233" i="5"/>
  <c r="B233" i="5"/>
  <c r="A233" i="5"/>
  <c r="V232" i="5"/>
  <c r="F232" i="5"/>
  <c r="D232" i="5"/>
  <c r="B232" i="5"/>
  <c r="A232" i="5"/>
  <c r="V231" i="5"/>
  <c r="F231" i="5"/>
  <c r="D231" i="5"/>
  <c r="B231" i="5"/>
  <c r="A231" i="5"/>
  <c r="V230" i="5"/>
  <c r="F230" i="5"/>
  <c r="D230" i="5"/>
  <c r="B230" i="5"/>
  <c r="A230" i="5"/>
  <c r="V229" i="5"/>
  <c r="F229" i="5"/>
  <c r="D229" i="5"/>
  <c r="B229" i="5"/>
  <c r="A229" i="5"/>
  <c r="V228" i="5"/>
  <c r="F228" i="5"/>
  <c r="D228" i="5"/>
  <c r="B228" i="5"/>
  <c r="A228" i="5"/>
  <c r="V227" i="5"/>
  <c r="F227" i="5"/>
  <c r="D227" i="5"/>
  <c r="B227" i="5"/>
  <c r="A227" i="5"/>
  <c r="V226" i="5"/>
  <c r="F226" i="5"/>
  <c r="D226" i="5"/>
  <c r="B226" i="5"/>
  <c r="A226" i="5"/>
  <c r="V225" i="5"/>
  <c r="F225" i="5"/>
  <c r="D225" i="5"/>
  <c r="B225" i="5"/>
  <c r="A225" i="5"/>
  <c r="V224" i="5"/>
  <c r="F224" i="5"/>
  <c r="D224" i="5"/>
  <c r="B224" i="5"/>
  <c r="A224" i="5"/>
  <c r="V223" i="5"/>
  <c r="F223" i="5"/>
  <c r="D223" i="5"/>
  <c r="B223" i="5"/>
  <c r="A223" i="5"/>
  <c r="V222" i="5"/>
  <c r="F222" i="5"/>
  <c r="D222" i="5"/>
  <c r="B222" i="5"/>
  <c r="A222" i="5"/>
  <c r="V221" i="5"/>
  <c r="F221" i="5"/>
  <c r="D221" i="5"/>
  <c r="B221" i="5"/>
  <c r="A221" i="5"/>
  <c r="V220" i="5"/>
  <c r="F220" i="5"/>
  <c r="D220" i="5"/>
  <c r="B220" i="5"/>
  <c r="A220" i="5"/>
  <c r="V219" i="5"/>
  <c r="F219" i="5"/>
  <c r="D219" i="5"/>
  <c r="B219" i="5"/>
  <c r="A219" i="5"/>
  <c r="V218" i="5"/>
  <c r="F218" i="5"/>
  <c r="D218" i="5"/>
  <c r="B218" i="5"/>
  <c r="A218" i="5"/>
  <c r="V217" i="5"/>
  <c r="F217" i="5"/>
  <c r="D217" i="5"/>
  <c r="B217" i="5"/>
  <c r="A217" i="5"/>
  <c r="V216" i="5"/>
  <c r="F216" i="5"/>
  <c r="D216" i="5"/>
  <c r="B216" i="5"/>
  <c r="A216" i="5"/>
  <c r="V215" i="5"/>
  <c r="F215" i="5"/>
  <c r="D215" i="5"/>
  <c r="B215" i="5"/>
  <c r="A215" i="5"/>
  <c r="V214" i="5"/>
  <c r="F214" i="5"/>
  <c r="D214" i="5"/>
  <c r="B214" i="5"/>
  <c r="A214" i="5"/>
  <c r="V213" i="5"/>
  <c r="F213" i="5"/>
  <c r="D213" i="5"/>
  <c r="B213" i="5"/>
  <c r="A213" i="5"/>
  <c r="V212" i="5"/>
  <c r="F212" i="5"/>
  <c r="D212" i="5"/>
  <c r="B212" i="5"/>
  <c r="A212" i="5"/>
  <c r="V211" i="5"/>
  <c r="F211" i="5"/>
  <c r="D211" i="5"/>
  <c r="B211" i="5"/>
  <c r="A211" i="5"/>
  <c r="V210" i="5"/>
  <c r="F210" i="5"/>
  <c r="D210" i="5"/>
  <c r="B210" i="5"/>
  <c r="A210" i="5"/>
  <c r="V209" i="5"/>
  <c r="F209" i="5"/>
  <c r="D209" i="5"/>
  <c r="B209" i="5"/>
  <c r="A209" i="5"/>
  <c r="V208" i="5"/>
  <c r="F208" i="5"/>
  <c r="D208" i="5"/>
  <c r="B208" i="5"/>
  <c r="A208" i="5"/>
  <c r="V207" i="5"/>
  <c r="F207" i="5"/>
  <c r="D207" i="5"/>
  <c r="B207" i="5"/>
  <c r="A207" i="5"/>
  <c r="V206" i="5"/>
  <c r="F206" i="5"/>
  <c r="D206" i="5"/>
  <c r="B206" i="5"/>
  <c r="A206" i="5"/>
  <c r="V205" i="5"/>
  <c r="F205" i="5"/>
  <c r="D205" i="5"/>
  <c r="B205" i="5"/>
  <c r="A205" i="5"/>
  <c r="V204" i="5"/>
  <c r="F204" i="5"/>
  <c r="D204" i="5"/>
  <c r="B204" i="5"/>
  <c r="A204" i="5"/>
  <c r="V203" i="5"/>
  <c r="F203" i="5"/>
  <c r="D203" i="5"/>
  <c r="B203" i="5"/>
  <c r="A203" i="5"/>
  <c r="V202" i="5"/>
  <c r="F202" i="5"/>
  <c r="D202" i="5"/>
  <c r="B202" i="5"/>
  <c r="A202" i="5"/>
  <c r="V201" i="5"/>
  <c r="F201" i="5"/>
  <c r="D201" i="5"/>
  <c r="B201" i="5"/>
  <c r="A201" i="5"/>
  <c r="V200" i="5"/>
  <c r="F200" i="5"/>
  <c r="D200" i="5"/>
  <c r="B200" i="5"/>
  <c r="A200" i="5"/>
  <c r="V199" i="5"/>
  <c r="F199" i="5"/>
  <c r="D199" i="5"/>
  <c r="B199" i="5"/>
  <c r="A199" i="5"/>
  <c r="V198" i="5"/>
  <c r="F198" i="5"/>
  <c r="D198" i="5"/>
  <c r="B198" i="5"/>
  <c r="A198" i="5"/>
  <c r="V197" i="5"/>
  <c r="F197" i="5"/>
  <c r="D197" i="5"/>
  <c r="B197" i="5"/>
  <c r="A197" i="5"/>
  <c r="V196" i="5"/>
  <c r="F196" i="5"/>
  <c r="D196" i="5"/>
  <c r="B196" i="5"/>
  <c r="A196" i="5"/>
  <c r="V195" i="5"/>
  <c r="F195" i="5"/>
  <c r="D195" i="5"/>
  <c r="B195" i="5"/>
  <c r="A195" i="5"/>
  <c r="V194" i="5"/>
  <c r="F194" i="5"/>
  <c r="D194" i="5"/>
  <c r="B194" i="5"/>
  <c r="A194" i="5"/>
  <c r="V193" i="5"/>
  <c r="F193" i="5"/>
  <c r="D193" i="5"/>
  <c r="B193" i="5"/>
  <c r="A193" i="5"/>
  <c r="V192" i="5"/>
  <c r="F192" i="5"/>
  <c r="D192" i="5"/>
  <c r="B192" i="5"/>
  <c r="A192" i="5"/>
  <c r="V191" i="5"/>
  <c r="F191" i="5"/>
  <c r="D191" i="5"/>
  <c r="B191" i="5"/>
  <c r="A191" i="5"/>
  <c r="V190" i="5"/>
  <c r="F190" i="5"/>
  <c r="D190" i="5"/>
  <c r="B190" i="5"/>
  <c r="A190" i="5"/>
  <c r="V189" i="5"/>
  <c r="F189" i="5"/>
  <c r="D189" i="5"/>
  <c r="B189" i="5"/>
  <c r="A189" i="5"/>
  <c r="V188" i="5"/>
  <c r="F188" i="5"/>
  <c r="D188" i="5"/>
  <c r="B188" i="5"/>
  <c r="A188" i="5"/>
  <c r="V187" i="5"/>
  <c r="F187" i="5"/>
  <c r="D187" i="5"/>
  <c r="B187" i="5"/>
  <c r="A187" i="5"/>
  <c r="V186" i="5"/>
  <c r="F186" i="5"/>
  <c r="D186" i="5"/>
  <c r="B186" i="5"/>
  <c r="A186" i="5"/>
  <c r="V185" i="5"/>
  <c r="F185" i="5"/>
  <c r="D185" i="5"/>
  <c r="B185" i="5"/>
  <c r="A185" i="5"/>
  <c r="V184" i="5"/>
  <c r="F184" i="5"/>
  <c r="D184" i="5"/>
  <c r="B184" i="5"/>
  <c r="A184" i="5"/>
  <c r="V183" i="5"/>
  <c r="F183" i="5"/>
  <c r="D183" i="5"/>
  <c r="B183" i="5"/>
  <c r="A183" i="5"/>
  <c r="V182" i="5"/>
  <c r="F182" i="5"/>
  <c r="D182" i="5"/>
  <c r="B182" i="5"/>
  <c r="A182" i="5"/>
  <c r="V181" i="5"/>
  <c r="F181" i="5"/>
  <c r="D181" i="5"/>
  <c r="B181" i="5"/>
  <c r="A181" i="5"/>
  <c r="V180" i="5"/>
  <c r="F180" i="5"/>
  <c r="D180" i="5"/>
  <c r="B180" i="5"/>
  <c r="A180" i="5"/>
  <c r="V179" i="5"/>
  <c r="F179" i="5"/>
  <c r="D179" i="5"/>
  <c r="B179" i="5"/>
  <c r="A179" i="5"/>
  <c r="V178" i="5"/>
  <c r="F178" i="5"/>
  <c r="D178" i="5"/>
  <c r="B178" i="5"/>
  <c r="A178" i="5"/>
  <c r="V177" i="5"/>
  <c r="F177" i="5"/>
  <c r="D177" i="5"/>
  <c r="B177" i="5"/>
  <c r="A177" i="5"/>
  <c r="V176" i="5"/>
  <c r="F176" i="5"/>
  <c r="D176" i="5"/>
  <c r="B176" i="5"/>
  <c r="A176" i="5"/>
  <c r="V175" i="5"/>
  <c r="F175" i="5"/>
  <c r="D175" i="5"/>
  <c r="B175" i="5"/>
  <c r="A175" i="5"/>
  <c r="V174" i="5"/>
  <c r="F174" i="5"/>
  <c r="D174" i="5"/>
  <c r="B174" i="5"/>
  <c r="A174" i="5"/>
  <c r="V173" i="5"/>
  <c r="F173" i="5"/>
  <c r="D173" i="5"/>
  <c r="B173" i="5"/>
  <c r="A173" i="5"/>
  <c r="V172" i="5"/>
  <c r="F172" i="5"/>
  <c r="D172" i="5"/>
  <c r="B172" i="5"/>
  <c r="A172" i="5"/>
  <c r="V171" i="5"/>
  <c r="F171" i="5"/>
  <c r="D171" i="5"/>
  <c r="B171" i="5"/>
  <c r="A171" i="5"/>
  <c r="V170" i="5"/>
  <c r="F170" i="5"/>
  <c r="D170" i="5"/>
  <c r="B170" i="5"/>
  <c r="A170" i="5"/>
  <c r="V169" i="5"/>
  <c r="F169" i="5"/>
  <c r="D169" i="5"/>
  <c r="B169" i="5"/>
  <c r="A169" i="5"/>
  <c r="V168" i="5"/>
  <c r="F168" i="5"/>
  <c r="D168" i="5"/>
  <c r="B168" i="5"/>
  <c r="A168" i="5"/>
  <c r="V167" i="5"/>
  <c r="F167" i="5"/>
  <c r="D167" i="5"/>
  <c r="B167" i="5"/>
  <c r="A167" i="5"/>
  <c r="V166" i="5"/>
  <c r="F166" i="5"/>
  <c r="D166" i="5"/>
  <c r="B166" i="5"/>
  <c r="A166" i="5"/>
  <c r="V165" i="5"/>
  <c r="F165" i="5"/>
  <c r="D165" i="5"/>
  <c r="B165" i="5"/>
  <c r="A165" i="5"/>
  <c r="V164" i="5"/>
  <c r="F164" i="5"/>
  <c r="D164" i="5"/>
  <c r="B164" i="5"/>
  <c r="A164" i="5"/>
  <c r="V163" i="5"/>
  <c r="F163" i="5"/>
  <c r="D163" i="5"/>
  <c r="B163" i="5"/>
  <c r="A163" i="5"/>
  <c r="V162" i="5"/>
  <c r="F162" i="5"/>
  <c r="D162" i="5"/>
  <c r="B162" i="5"/>
  <c r="A162" i="5"/>
  <c r="V161" i="5"/>
  <c r="F161" i="5"/>
  <c r="D161" i="5"/>
  <c r="B161" i="5"/>
  <c r="A161" i="5"/>
  <c r="V160" i="5"/>
  <c r="F160" i="5"/>
  <c r="D160" i="5"/>
  <c r="B160" i="5"/>
  <c r="A160" i="5"/>
  <c r="V159" i="5"/>
  <c r="F159" i="5"/>
  <c r="D159" i="5"/>
  <c r="B159" i="5"/>
  <c r="A159" i="5"/>
  <c r="V158" i="5"/>
  <c r="F158" i="5"/>
  <c r="D158" i="5"/>
  <c r="B158" i="5"/>
  <c r="A158" i="5"/>
  <c r="V157" i="5"/>
  <c r="F157" i="5"/>
  <c r="D157" i="5"/>
  <c r="B157" i="5"/>
  <c r="A157" i="5"/>
  <c r="V156" i="5"/>
  <c r="F156" i="5"/>
  <c r="D156" i="5"/>
  <c r="B156" i="5"/>
  <c r="A156" i="5"/>
  <c r="V155" i="5"/>
  <c r="F155" i="5"/>
  <c r="D155" i="5"/>
  <c r="B155" i="5"/>
  <c r="A155" i="5"/>
  <c r="V154" i="5"/>
  <c r="F154" i="5"/>
  <c r="D154" i="5"/>
  <c r="B154" i="5"/>
  <c r="A154" i="5"/>
  <c r="V153" i="5"/>
  <c r="F153" i="5"/>
  <c r="D153" i="5"/>
  <c r="B153" i="5"/>
  <c r="A153" i="5"/>
  <c r="V152" i="5"/>
  <c r="F152" i="5"/>
  <c r="D152" i="5"/>
  <c r="B152" i="5"/>
  <c r="A152" i="5"/>
  <c r="V151" i="5"/>
  <c r="F151" i="5"/>
  <c r="D151" i="5"/>
  <c r="B151" i="5"/>
  <c r="A151" i="5"/>
  <c r="V150" i="5"/>
  <c r="F150" i="5"/>
  <c r="D150" i="5"/>
  <c r="B150" i="5"/>
  <c r="A150" i="5"/>
  <c r="V149" i="5"/>
  <c r="F149" i="5"/>
  <c r="D149" i="5"/>
  <c r="B149" i="5"/>
  <c r="A149" i="5"/>
  <c r="V148" i="5"/>
  <c r="F148" i="5"/>
  <c r="D148" i="5"/>
  <c r="B148" i="5"/>
  <c r="A148" i="5"/>
  <c r="V147" i="5"/>
  <c r="F147" i="5"/>
  <c r="D147" i="5"/>
  <c r="B147" i="5"/>
  <c r="A147" i="5"/>
  <c r="V146" i="5"/>
  <c r="F146" i="5"/>
  <c r="D146" i="5"/>
  <c r="B146" i="5"/>
  <c r="A146" i="5"/>
  <c r="V145" i="5"/>
  <c r="F145" i="5"/>
  <c r="D145" i="5"/>
  <c r="B145" i="5"/>
  <c r="A145" i="5"/>
  <c r="V144" i="5"/>
  <c r="F144" i="5"/>
  <c r="D144" i="5"/>
  <c r="B144" i="5"/>
  <c r="A144" i="5"/>
  <c r="V143" i="5"/>
  <c r="F143" i="5"/>
  <c r="D143" i="5"/>
  <c r="B143" i="5"/>
  <c r="A143" i="5"/>
  <c r="V142" i="5"/>
  <c r="F142" i="5"/>
  <c r="D142" i="5"/>
  <c r="B142" i="5"/>
  <c r="A142" i="5"/>
  <c r="V141" i="5"/>
  <c r="F141" i="5"/>
  <c r="D141" i="5"/>
  <c r="B141" i="5"/>
  <c r="A141" i="5"/>
  <c r="V140" i="5"/>
  <c r="F140" i="5"/>
  <c r="D140" i="5"/>
  <c r="B140" i="5"/>
  <c r="A140" i="5"/>
  <c r="V139" i="5"/>
  <c r="F139" i="5"/>
  <c r="D139" i="5"/>
  <c r="B139" i="5"/>
  <c r="A139" i="5"/>
  <c r="V138" i="5"/>
  <c r="F138" i="5"/>
  <c r="D138" i="5"/>
  <c r="B138" i="5"/>
  <c r="A138" i="5"/>
  <c r="V137" i="5"/>
  <c r="F137" i="5"/>
  <c r="D137" i="5"/>
  <c r="B137" i="5"/>
  <c r="A137" i="5"/>
  <c r="V136" i="5"/>
  <c r="F136" i="5"/>
  <c r="D136" i="5"/>
  <c r="B136" i="5"/>
  <c r="A136" i="5"/>
  <c r="V135" i="5"/>
  <c r="F135" i="5"/>
  <c r="D135" i="5"/>
  <c r="B135" i="5"/>
  <c r="A135" i="5"/>
  <c r="V134" i="5"/>
  <c r="F134" i="5"/>
  <c r="D134" i="5"/>
  <c r="B134" i="5"/>
  <c r="A134" i="5"/>
  <c r="V133" i="5"/>
  <c r="F133" i="5"/>
  <c r="D133" i="5"/>
  <c r="B133" i="5"/>
  <c r="A133" i="5"/>
  <c r="V132" i="5"/>
  <c r="F132" i="5"/>
  <c r="D132" i="5"/>
  <c r="B132" i="5"/>
  <c r="A132" i="5"/>
  <c r="V131" i="5"/>
  <c r="F131" i="5"/>
  <c r="D131" i="5"/>
  <c r="B131" i="5"/>
  <c r="A131" i="5"/>
  <c r="V130" i="5"/>
  <c r="F130" i="5"/>
  <c r="D130" i="5"/>
  <c r="B130" i="5"/>
  <c r="A130" i="5"/>
  <c r="V129" i="5"/>
  <c r="F129" i="5"/>
  <c r="D129" i="5"/>
  <c r="B129" i="5"/>
  <c r="A129" i="5"/>
  <c r="V128" i="5"/>
  <c r="F128" i="5"/>
  <c r="D128" i="5"/>
  <c r="B128" i="5"/>
  <c r="A128" i="5"/>
  <c r="V127" i="5"/>
  <c r="F127" i="5"/>
  <c r="D127" i="5"/>
  <c r="B127" i="5"/>
  <c r="A127" i="5"/>
  <c r="V126" i="5"/>
  <c r="F126" i="5"/>
  <c r="D126" i="5"/>
  <c r="B126" i="5"/>
  <c r="A126" i="5"/>
  <c r="V125" i="5"/>
  <c r="F125" i="5"/>
  <c r="D125" i="5"/>
  <c r="B125" i="5"/>
  <c r="A125" i="5"/>
  <c r="V124" i="5"/>
  <c r="F124" i="5"/>
  <c r="D124" i="5"/>
  <c r="B124" i="5"/>
  <c r="A124" i="5"/>
  <c r="V123" i="5"/>
  <c r="F123" i="5"/>
  <c r="D123" i="5"/>
  <c r="B123" i="5"/>
  <c r="A123" i="5"/>
  <c r="V122" i="5"/>
  <c r="F122" i="5"/>
  <c r="D122" i="5"/>
  <c r="B122" i="5"/>
  <c r="A122" i="5"/>
  <c r="V121" i="5"/>
  <c r="F121" i="5"/>
  <c r="D121" i="5"/>
  <c r="B121" i="5"/>
  <c r="A121" i="5"/>
  <c r="V120" i="5"/>
  <c r="F120" i="5"/>
  <c r="D120" i="5"/>
  <c r="B120" i="5"/>
  <c r="A120" i="5"/>
  <c r="V119" i="5"/>
  <c r="F119" i="5"/>
  <c r="D119" i="5"/>
  <c r="B119" i="5"/>
  <c r="A119" i="5"/>
  <c r="V118" i="5"/>
  <c r="F118" i="5"/>
  <c r="D118" i="5"/>
  <c r="B118" i="5"/>
  <c r="A118" i="5"/>
  <c r="V117" i="5"/>
  <c r="F117" i="5"/>
  <c r="D117" i="5"/>
  <c r="B117" i="5"/>
  <c r="A117" i="5"/>
  <c r="V116" i="5"/>
  <c r="F116" i="5"/>
  <c r="D116" i="5"/>
  <c r="B116" i="5"/>
  <c r="A116" i="5"/>
  <c r="V115" i="5"/>
  <c r="F115" i="5"/>
  <c r="D115" i="5"/>
  <c r="B115" i="5"/>
  <c r="A115" i="5"/>
  <c r="V114" i="5"/>
  <c r="F114" i="5"/>
  <c r="D114" i="5"/>
  <c r="B114" i="5"/>
  <c r="A114" i="5"/>
  <c r="V113" i="5"/>
  <c r="F113" i="5"/>
  <c r="D113" i="5"/>
  <c r="B113" i="5"/>
  <c r="A113" i="5"/>
  <c r="V112" i="5"/>
  <c r="F112" i="5"/>
  <c r="D112" i="5"/>
  <c r="B112" i="5"/>
  <c r="A112" i="5"/>
  <c r="V111" i="5"/>
  <c r="F111" i="5"/>
  <c r="D111" i="5"/>
  <c r="B111" i="5"/>
  <c r="A111" i="5"/>
  <c r="V110" i="5"/>
  <c r="F110" i="5"/>
  <c r="D110" i="5"/>
  <c r="B110" i="5"/>
  <c r="A110" i="5"/>
  <c r="V109" i="5"/>
  <c r="F109" i="5"/>
  <c r="D109" i="5"/>
  <c r="B109" i="5"/>
  <c r="A109" i="5"/>
  <c r="V108" i="5"/>
  <c r="F108" i="5"/>
  <c r="D108" i="5"/>
  <c r="B108" i="5"/>
  <c r="A108" i="5"/>
  <c r="V107" i="5"/>
  <c r="F107" i="5"/>
  <c r="D107" i="5"/>
  <c r="B107" i="5"/>
  <c r="A107" i="5"/>
  <c r="V106" i="5"/>
  <c r="F106" i="5"/>
  <c r="D106" i="5"/>
  <c r="B106" i="5"/>
  <c r="A106" i="5"/>
  <c r="V105" i="5"/>
  <c r="F105" i="5"/>
  <c r="D105" i="5"/>
  <c r="B105" i="5"/>
  <c r="A105" i="5"/>
  <c r="V104" i="5"/>
  <c r="F104" i="5"/>
  <c r="D104" i="5"/>
  <c r="B104" i="5"/>
  <c r="A104" i="5"/>
  <c r="V103" i="5"/>
  <c r="F103" i="5"/>
  <c r="D103" i="5"/>
  <c r="B103" i="5"/>
  <c r="A103" i="5"/>
  <c r="V102" i="5"/>
  <c r="F102" i="5"/>
  <c r="D102" i="5"/>
  <c r="B102" i="5"/>
  <c r="A102" i="5"/>
  <c r="V101" i="5"/>
  <c r="F101" i="5"/>
  <c r="D101" i="5"/>
  <c r="B101" i="5"/>
  <c r="A101" i="5"/>
  <c r="V100" i="5"/>
  <c r="F100" i="5"/>
  <c r="D100" i="5"/>
  <c r="B100" i="5"/>
  <c r="A100" i="5"/>
  <c r="V99" i="5"/>
  <c r="F99" i="5"/>
  <c r="D99" i="5"/>
  <c r="B99" i="5"/>
  <c r="A99" i="5"/>
  <c r="V98" i="5"/>
  <c r="F98" i="5"/>
  <c r="D98" i="5"/>
  <c r="B98" i="5"/>
  <c r="A98" i="5"/>
  <c r="V97" i="5"/>
  <c r="F97" i="5"/>
  <c r="D97" i="5"/>
  <c r="B97" i="5"/>
  <c r="A97" i="5"/>
  <c r="V96" i="5"/>
  <c r="F96" i="5"/>
  <c r="D96" i="5"/>
  <c r="B96" i="5"/>
  <c r="A96" i="5"/>
  <c r="V95" i="5"/>
  <c r="F95" i="5"/>
  <c r="D95" i="5"/>
  <c r="B95" i="5"/>
  <c r="A95" i="5"/>
  <c r="V94" i="5"/>
  <c r="F94" i="5"/>
  <c r="D94" i="5"/>
  <c r="B94" i="5"/>
  <c r="A94" i="5"/>
  <c r="V93" i="5"/>
  <c r="F93" i="5"/>
  <c r="D93" i="5"/>
  <c r="B93" i="5"/>
  <c r="A93" i="5"/>
  <c r="V92" i="5"/>
  <c r="F92" i="5"/>
  <c r="D92" i="5"/>
  <c r="B92" i="5"/>
  <c r="A92" i="5"/>
  <c r="V91" i="5"/>
  <c r="F91" i="5"/>
  <c r="D91" i="5"/>
  <c r="B91" i="5"/>
  <c r="A91" i="5"/>
  <c r="V90" i="5"/>
  <c r="F90" i="5"/>
  <c r="D90" i="5"/>
  <c r="B90" i="5"/>
  <c r="A90" i="5"/>
  <c r="V89" i="5"/>
  <c r="F89" i="5"/>
  <c r="D89" i="5"/>
  <c r="B89" i="5"/>
  <c r="A89" i="5"/>
  <c r="V88" i="5"/>
  <c r="F88" i="5"/>
  <c r="D88" i="5"/>
  <c r="B88" i="5"/>
  <c r="A88" i="5"/>
  <c r="V87" i="5"/>
  <c r="F87" i="5"/>
  <c r="D87" i="5"/>
  <c r="B87" i="5"/>
  <c r="A87" i="5"/>
  <c r="V86" i="5"/>
  <c r="F86" i="5"/>
  <c r="D86" i="5"/>
  <c r="B86" i="5"/>
  <c r="A86" i="5"/>
  <c r="V85" i="5"/>
  <c r="F85" i="5"/>
  <c r="D85" i="5"/>
  <c r="B85" i="5"/>
  <c r="A85" i="5"/>
  <c r="V84" i="5"/>
  <c r="F84" i="5"/>
  <c r="D84" i="5"/>
  <c r="B84" i="5"/>
  <c r="A84" i="5"/>
  <c r="V83" i="5"/>
  <c r="F83" i="5"/>
  <c r="D83" i="5"/>
  <c r="B83" i="5"/>
  <c r="A83" i="5"/>
  <c r="V82" i="5"/>
  <c r="F82" i="5"/>
  <c r="D82" i="5"/>
  <c r="B82" i="5"/>
  <c r="A82" i="5"/>
  <c r="V81" i="5"/>
  <c r="F81" i="5"/>
  <c r="D81" i="5"/>
  <c r="B81" i="5"/>
  <c r="A81" i="5"/>
  <c r="V80" i="5"/>
  <c r="F80" i="5"/>
  <c r="D80" i="5"/>
  <c r="B80" i="5"/>
  <c r="A80" i="5"/>
  <c r="V79" i="5"/>
  <c r="F79" i="5"/>
  <c r="D79" i="5"/>
  <c r="B79" i="5"/>
  <c r="A79" i="5"/>
  <c r="V78" i="5"/>
  <c r="F78" i="5"/>
  <c r="D78" i="5"/>
  <c r="B78" i="5"/>
  <c r="A78" i="5"/>
  <c r="V77" i="5"/>
  <c r="F77" i="5"/>
  <c r="D77" i="5"/>
  <c r="B77" i="5"/>
  <c r="A77" i="5"/>
  <c r="V76" i="5"/>
  <c r="F76" i="5"/>
  <c r="D76" i="5"/>
  <c r="B76" i="5"/>
  <c r="A76" i="5"/>
  <c r="V75" i="5"/>
  <c r="F75" i="5"/>
  <c r="D75" i="5"/>
  <c r="B75" i="5"/>
  <c r="A75" i="5"/>
  <c r="V74" i="5"/>
  <c r="F74" i="5"/>
  <c r="D74" i="5"/>
  <c r="B74" i="5"/>
  <c r="A74" i="5"/>
  <c r="V73" i="5"/>
  <c r="F73" i="5"/>
  <c r="D73" i="5"/>
  <c r="B73" i="5"/>
  <c r="A73" i="5"/>
  <c r="V72" i="5"/>
  <c r="F72" i="5"/>
  <c r="D72" i="5"/>
  <c r="B72" i="5"/>
  <c r="A72" i="5"/>
  <c r="V71" i="5"/>
  <c r="F71" i="5"/>
  <c r="D71" i="5"/>
  <c r="B71" i="5"/>
  <c r="A71" i="5"/>
  <c r="V70" i="5"/>
  <c r="F70" i="5"/>
  <c r="D70" i="5"/>
  <c r="B70" i="5"/>
  <c r="A70" i="5"/>
  <c r="V69" i="5"/>
  <c r="F69" i="5"/>
  <c r="D69" i="5"/>
  <c r="B69" i="5"/>
  <c r="A69" i="5"/>
  <c r="V68" i="5"/>
  <c r="F68" i="5"/>
  <c r="D68" i="5"/>
  <c r="B68" i="5"/>
  <c r="A68" i="5"/>
  <c r="V67" i="5"/>
  <c r="F67" i="5"/>
  <c r="D67" i="5"/>
  <c r="B67" i="5"/>
  <c r="A67" i="5"/>
  <c r="V66" i="5"/>
  <c r="F66" i="5"/>
  <c r="D66" i="5"/>
  <c r="B66" i="5"/>
  <c r="A66" i="5"/>
  <c r="V65" i="5"/>
  <c r="F65" i="5"/>
  <c r="D65" i="5"/>
  <c r="B65" i="5"/>
  <c r="A65" i="5"/>
  <c r="V64" i="5"/>
  <c r="F64" i="5"/>
  <c r="D64" i="5"/>
  <c r="B64" i="5"/>
  <c r="A64" i="5"/>
  <c r="V63" i="5"/>
  <c r="F63" i="5"/>
  <c r="D63" i="5"/>
  <c r="B63" i="5"/>
  <c r="A63" i="5"/>
  <c r="V62" i="5"/>
  <c r="F62" i="5"/>
  <c r="D62" i="5"/>
  <c r="B62" i="5"/>
  <c r="A62" i="5"/>
  <c r="V61" i="5"/>
  <c r="F61" i="5"/>
  <c r="D61" i="5"/>
  <c r="B61" i="5"/>
  <c r="A61" i="5"/>
  <c r="V60" i="5"/>
  <c r="F60" i="5"/>
  <c r="D60" i="5"/>
  <c r="B60" i="5"/>
  <c r="A60" i="5"/>
  <c r="V59" i="5"/>
  <c r="F59" i="5"/>
  <c r="D59" i="5"/>
  <c r="B59" i="5"/>
  <c r="A59" i="5"/>
  <c r="V58" i="5"/>
  <c r="F58" i="5"/>
  <c r="D58" i="5"/>
  <c r="B58" i="5"/>
  <c r="A58" i="5"/>
  <c r="V57" i="5"/>
  <c r="F57" i="5"/>
  <c r="D57" i="5"/>
  <c r="B57" i="5"/>
  <c r="A57" i="5"/>
  <c r="V56" i="5"/>
  <c r="F56" i="5"/>
  <c r="D56" i="5"/>
  <c r="B56" i="5"/>
  <c r="A56" i="5"/>
  <c r="V55" i="5"/>
  <c r="F55" i="5"/>
  <c r="D55" i="5"/>
  <c r="B55" i="5"/>
  <c r="A55" i="5"/>
  <c r="V54" i="5"/>
  <c r="F54" i="5"/>
  <c r="D54" i="5"/>
  <c r="B54" i="5"/>
  <c r="A54" i="5"/>
  <c r="V53" i="5"/>
  <c r="F53" i="5"/>
  <c r="D53" i="5"/>
  <c r="B53" i="5"/>
  <c r="A53" i="5"/>
  <c r="V52" i="5"/>
  <c r="F52" i="5"/>
  <c r="D52" i="5"/>
  <c r="B52" i="5"/>
  <c r="A52" i="5"/>
  <c r="V51" i="5"/>
  <c r="F51" i="5"/>
  <c r="D51" i="5"/>
  <c r="B51" i="5"/>
  <c r="A51" i="5"/>
  <c r="V50" i="5"/>
  <c r="F50" i="5"/>
  <c r="D50" i="5"/>
  <c r="B50" i="5"/>
  <c r="A50" i="5"/>
  <c r="V49" i="5"/>
  <c r="F49" i="5"/>
  <c r="D49" i="5"/>
  <c r="B49" i="5"/>
  <c r="A49" i="5"/>
  <c r="V48" i="5"/>
  <c r="F48" i="5"/>
  <c r="D48" i="5"/>
  <c r="B48" i="5"/>
  <c r="A48" i="5"/>
  <c r="V47" i="5"/>
  <c r="F47" i="5"/>
  <c r="D47" i="5"/>
  <c r="B47" i="5"/>
  <c r="A47" i="5"/>
  <c r="V46" i="5"/>
  <c r="F46" i="5"/>
  <c r="D46" i="5"/>
  <c r="B46" i="5"/>
  <c r="A46" i="5"/>
  <c r="V45" i="5"/>
  <c r="F45" i="5"/>
  <c r="D45" i="5"/>
  <c r="B45" i="5"/>
  <c r="A45" i="5"/>
  <c r="V44" i="5"/>
  <c r="F44" i="5"/>
  <c r="D44" i="5"/>
  <c r="B44" i="5"/>
  <c r="A44" i="5"/>
  <c r="V43" i="5"/>
  <c r="F43" i="5"/>
  <c r="D43" i="5"/>
  <c r="B43" i="5"/>
  <c r="A43" i="5"/>
  <c r="V42" i="5"/>
  <c r="F42" i="5"/>
  <c r="D42" i="5"/>
  <c r="B42" i="5"/>
  <c r="A42" i="5"/>
  <c r="V41" i="5"/>
  <c r="F41" i="5"/>
  <c r="D41" i="5"/>
  <c r="B41" i="5"/>
  <c r="A41" i="5"/>
  <c r="V40" i="5"/>
  <c r="F40" i="5"/>
  <c r="D40" i="5"/>
  <c r="B40" i="5"/>
  <c r="A40" i="5"/>
  <c r="V39" i="5"/>
  <c r="F39" i="5"/>
  <c r="D39" i="5"/>
  <c r="B39" i="5"/>
  <c r="A39" i="5"/>
  <c r="V38" i="5"/>
  <c r="F38" i="5"/>
  <c r="D38" i="5"/>
  <c r="B38" i="5"/>
  <c r="A38" i="5"/>
  <c r="V37" i="5"/>
  <c r="F37" i="5"/>
  <c r="D37" i="5"/>
  <c r="B37" i="5"/>
  <c r="A37" i="5"/>
  <c r="V36" i="5"/>
  <c r="F36" i="5"/>
  <c r="D36" i="5"/>
  <c r="B36" i="5"/>
  <c r="A36" i="5"/>
  <c r="V35" i="5"/>
  <c r="F35" i="5"/>
  <c r="D35" i="5"/>
  <c r="B35" i="5"/>
  <c r="A35" i="5"/>
  <c r="V34" i="5"/>
  <c r="F34" i="5"/>
  <c r="D34" i="5"/>
  <c r="B34" i="5"/>
  <c r="A34" i="5"/>
  <c r="V33" i="5"/>
  <c r="F33" i="5"/>
  <c r="D33" i="5"/>
  <c r="B33" i="5"/>
  <c r="A33" i="5"/>
  <c r="V32" i="5"/>
  <c r="F32" i="5"/>
  <c r="D32" i="5"/>
  <c r="B32" i="5"/>
  <c r="A32" i="5"/>
  <c r="V31" i="5"/>
  <c r="F31" i="5"/>
  <c r="D31" i="5"/>
  <c r="B31" i="5"/>
  <c r="A31" i="5"/>
  <c r="V30" i="5"/>
  <c r="F30" i="5"/>
  <c r="D30" i="5"/>
  <c r="B30" i="5"/>
  <c r="A30" i="5"/>
  <c r="V29" i="5"/>
  <c r="F29" i="5"/>
  <c r="D29" i="5"/>
  <c r="B29" i="5"/>
  <c r="A29" i="5"/>
  <c r="V28" i="5"/>
  <c r="F28" i="5"/>
  <c r="D28" i="5"/>
  <c r="B28" i="5"/>
  <c r="A28" i="5"/>
  <c r="V27" i="5"/>
  <c r="F27" i="5"/>
  <c r="D27" i="5"/>
  <c r="B27" i="5"/>
  <c r="A27" i="5"/>
  <c r="V26" i="5"/>
  <c r="F26" i="5"/>
  <c r="D26" i="5"/>
  <c r="B26" i="5"/>
  <c r="A26" i="5"/>
  <c r="V25" i="5"/>
  <c r="F25" i="5"/>
  <c r="D25" i="5"/>
  <c r="B25" i="5"/>
  <c r="A25" i="5"/>
  <c r="V24" i="5"/>
  <c r="F24" i="5"/>
  <c r="D24" i="5"/>
  <c r="B24" i="5"/>
  <c r="A24" i="5"/>
  <c r="V23" i="5"/>
  <c r="F23" i="5"/>
  <c r="D23" i="5"/>
  <c r="B23" i="5"/>
  <c r="A23" i="5"/>
  <c r="V22" i="5"/>
  <c r="F22" i="5"/>
  <c r="D22" i="5"/>
  <c r="B22" i="5"/>
  <c r="A22" i="5"/>
  <c r="V21" i="5"/>
  <c r="F21" i="5"/>
  <c r="D21" i="5"/>
  <c r="B21" i="5"/>
  <c r="A21" i="5"/>
  <c r="V20" i="5"/>
  <c r="F20" i="5"/>
  <c r="D20" i="5"/>
  <c r="B20" i="5"/>
  <c r="A20" i="5"/>
  <c r="V19" i="5"/>
  <c r="F19" i="5"/>
  <c r="D19" i="5"/>
  <c r="B19" i="5"/>
  <c r="A19" i="5"/>
  <c r="V18" i="5"/>
  <c r="F18" i="5"/>
  <c r="D18" i="5"/>
  <c r="B18" i="5"/>
  <c r="A18" i="5"/>
  <c r="V17" i="5"/>
  <c r="F17" i="5"/>
  <c r="D17" i="5"/>
  <c r="B17" i="5"/>
  <c r="A17" i="5"/>
  <c r="V16" i="5"/>
  <c r="F16" i="5"/>
  <c r="D16" i="5"/>
  <c r="B16" i="5"/>
  <c r="A16" i="5"/>
  <c r="V15" i="5"/>
  <c r="F15" i="5"/>
  <c r="D15" i="5"/>
  <c r="B15" i="5"/>
  <c r="A15" i="5"/>
  <c r="V14" i="5"/>
  <c r="F14" i="5"/>
  <c r="D14" i="5"/>
  <c r="B14" i="5"/>
  <c r="A14" i="5"/>
  <c r="AO9" i="5"/>
  <c r="U9" i="5"/>
  <c r="L9" i="5"/>
  <c r="AO8" i="5"/>
  <c r="AO7" i="5"/>
  <c r="L7" i="5"/>
  <c r="AO6" i="5"/>
  <c r="L6" i="5"/>
  <c r="AO5" i="5"/>
  <c r="L5" i="5"/>
  <c r="A3" i="5"/>
  <c r="A2" i="5" a="1"/>
  <c r="A2" i="5" s="1"/>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C10" i="4"/>
  <c r="R10" i="4"/>
  <c r="H10" i="4"/>
  <c r="AC9" i="4"/>
  <c r="AC8" i="4"/>
  <c r="H8" i="4"/>
  <c r="AC7" i="4"/>
  <c r="H7" i="4"/>
  <c r="AC6" i="4"/>
  <c r="H6" i="4"/>
  <c r="A3" i="4"/>
  <c r="A2" i="4"/>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K9" i="3"/>
  <c r="Z9" i="3"/>
  <c r="P9" i="3"/>
  <c r="AK8" i="3"/>
  <c r="AK7" i="3"/>
  <c r="P7" i="3"/>
  <c r="AK6" i="3"/>
  <c r="P6" i="3"/>
  <c r="AK5" i="3"/>
  <c r="P5" i="3"/>
  <c r="A3" i="3"/>
  <c r="A2" i="3"/>
  <c r="AS115" i="10" l="1"/>
  <c r="BO85" i="11"/>
  <c r="BO87" i="11" s="1"/>
  <c r="BO52" i="11"/>
  <c r="AI130" i="10"/>
  <c r="AO130" i="10"/>
  <c r="CK130" i="10"/>
  <c r="AI52" i="11"/>
  <c r="AU130" i="10"/>
  <c r="BO69" i="11"/>
  <c r="CE130" i="10"/>
  <c r="BA130" i="10"/>
  <c r="W173" i="10"/>
  <c r="BO18" i="11"/>
  <c r="AI18" i="11"/>
  <c r="AT33" i="10"/>
  <c r="BF25" i="10"/>
  <c r="AM25" i="10"/>
  <c r="AV33" i="10"/>
  <c r="AM27" i="10"/>
  <c r="AM29" i="10"/>
  <c r="K33" i="10"/>
  <c r="AO40" i="10"/>
  <c r="M33" i="10"/>
  <c r="AO25" i="10"/>
  <c r="AO33" i="10" s="1"/>
  <c r="AO27" i="10"/>
  <c r="AO29" i="10"/>
  <c r="BD26" i="10"/>
  <c r="AR33" i="10"/>
  <c r="Q33" i="10"/>
  <c r="AG33" i="10"/>
  <c r="BB33" i="10"/>
  <c r="BF26" i="10"/>
  <c r="AM28" i="10"/>
  <c r="AM30" i="10"/>
  <c r="AO26" i="10"/>
  <c r="AO28" i="10"/>
  <c r="BB46" i="10"/>
  <c r="BF39" i="10"/>
  <c r="BF46" i="10" s="1"/>
  <c r="BD47" i="10" s="1"/>
  <c r="BD33" i="10"/>
  <c r="AA18" i="11"/>
  <c r="BG18" i="11"/>
  <c r="AE74" i="11"/>
  <c r="AE87" i="11" s="1"/>
  <c r="BK74" i="11"/>
  <c r="BK87" i="11" s="1"/>
  <c r="AM74" i="11"/>
  <c r="AM87" i="11" s="1"/>
  <c r="BS74" i="11"/>
  <c r="BS87" i="11" s="1"/>
  <c r="AO38" i="10"/>
  <c r="AO46" i="10" s="1"/>
  <c r="AM47" i="10" s="1"/>
  <c r="AQ74" i="11"/>
  <c r="AQ87" i="11" s="1"/>
  <c r="AF68" i="13"/>
  <c r="F105" i="13"/>
  <c r="AD105" i="13" s="1"/>
  <c r="AF158" i="13"/>
  <c r="AT46" i="10"/>
  <c r="AU74" i="11"/>
  <c r="AU87" i="11" s="1"/>
  <c r="AY74" i="11"/>
  <c r="AY87" i="11" s="1"/>
  <c r="W74" i="11"/>
  <c r="W87" i="11" s="1"/>
  <c r="BC74" i="11"/>
  <c r="BC87" i="11" s="1"/>
  <c r="BF33" i="10" l="1"/>
  <c r="BD34" i="10" s="1"/>
  <c r="BD48" i="10" s="1"/>
  <c r="AM33" i="10"/>
  <c r="AM34" i="10" s="1"/>
  <c r="AM48" i="10" s="1"/>
</calcChain>
</file>

<file path=xl/sharedStrings.xml><?xml version="1.0" encoding="utf-8"?>
<sst xmlns="http://schemas.openxmlformats.org/spreadsheetml/2006/main" count="35968" uniqueCount="1089">
  <si>
    <r>
      <rPr>
        <b/>
        <sz val="20"/>
        <color theme="0"/>
        <rFont val="Calibri"/>
      </rPr>
      <t xml:space="preserve">This form is designed to be used for the </t>
    </r>
    <r>
      <rPr>
        <b/>
        <u/>
        <sz val="20"/>
        <color theme="0"/>
        <rFont val="Calibri"/>
      </rPr>
      <t>entire</t>
    </r>
    <r>
      <rPr>
        <b/>
        <sz val="20"/>
        <color theme="0"/>
        <rFont val="Calibri"/>
      </rPr>
      <t xml:space="preserve"> fiscal year.                                                                                                                                                                                                                                                                                                                                                                                                                                                                                                                                                                                                                                                   </t>
    </r>
  </si>
  <si>
    <t>Please note:  "Month Being Reported" is from 1st -30th (or 31st) of each month.  The report for the "Month Being Reported" is due by the 25th of the following month. Examples:</t>
  </si>
  <si>
    <t>July 1 - 31</t>
  </si>
  <si>
    <t>due August 25</t>
  </si>
  <si>
    <t>Oct. 1 - 31</t>
  </si>
  <si>
    <t>due Nov. 25</t>
  </si>
  <si>
    <t>Jan. 1- 31</t>
  </si>
  <si>
    <t>due Feb. 25</t>
  </si>
  <si>
    <t>April 1 - 30</t>
  </si>
  <si>
    <t>due May 25</t>
  </si>
  <si>
    <t>August 1 - 31</t>
  </si>
  <si>
    <t>due Sept. 25</t>
  </si>
  <si>
    <t>Nov. 1 - 30</t>
  </si>
  <si>
    <t>due Dec. 25</t>
  </si>
  <si>
    <t>Feb. 1-28 or 29</t>
  </si>
  <si>
    <t>due March 25</t>
  </si>
  <si>
    <t>May 1 - 31</t>
  </si>
  <si>
    <t>due June 25</t>
  </si>
  <si>
    <t>Sept 1 - 30</t>
  </si>
  <si>
    <t>due Oct. 25</t>
  </si>
  <si>
    <t>Dec. 1 - 31</t>
  </si>
  <si>
    <t>due Jan. 25</t>
  </si>
  <si>
    <t>March 1 - 31</t>
  </si>
  <si>
    <t>due April 25</t>
  </si>
  <si>
    <t>June 1-30</t>
  </si>
  <si>
    <t>due July 25</t>
  </si>
  <si>
    <t xml:space="preserve">Program reports need to be submitted electronically, via e-mail to DHHRBBHReporting@wv.gov  within 25 calendar days of the end of each month </t>
  </si>
  <si>
    <r>
      <rPr>
        <b/>
        <sz val="22"/>
        <color theme="1"/>
        <rFont val="Calibri"/>
      </rPr>
      <t xml:space="preserve">GRANTEE SET UP INFO &amp; DATE  </t>
    </r>
    <r>
      <rPr>
        <sz val="22"/>
        <color theme="1"/>
        <rFont val="Calibri"/>
      </rPr>
      <t xml:space="preserve"> </t>
    </r>
  </si>
  <si>
    <r>
      <rPr>
        <b/>
        <sz val="11"/>
        <color theme="1"/>
        <rFont val="Calibri"/>
      </rPr>
      <t>1.A</t>
    </r>
    <r>
      <rPr>
        <sz val="11"/>
        <color theme="1"/>
        <rFont val="Calibri"/>
      </rPr>
      <t xml:space="preserve"> Lines 3 - 8:  Complete all information, including updating the date each month on this tab: This will populate to other tabs </t>
    </r>
  </si>
  <si>
    <t>1A:  Grantee - Program Information: ON LINES 3- 8 ALL INFORMATION WILL NEED TO BE INITALLY ENTERED AND CHANGES WILL NEED TO BE MADE  (INCLUDING THE DATE)  ON THE GRANTEE SET UP INFO &amp; DATE TAB - INFORMATION WILL POPULATE TO OTHER TABS</t>
  </si>
  <si>
    <r>
      <rPr>
        <sz val="11"/>
        <color theme="1"/>
        <rFont val="Calibri"/>
      </rPr>
      <t xml:space="preserve">Program Name:  </t>
    </r>
    <r>
      <rPr>
        <sz val="8"/>
        <color theme="1"/>
        <rFont val="Calibri"/>
      </rPr>
      <t xml:space="preserve">(same as on Statement of Work): </t>
    </r>
  </si>
  <si>
    <t xml:space="preserve">Name of Program (Should be the same as the Statement of Work) </t>
  </si>
  <si>
    <t>Grantee Name:</t>
  </si>
  <si>
    <t>Formal Name of Agency used in the Grant Agreement</t>
  </si>
  <si>
    <r>
      <rPr>
        <sz val="11"/>
        <color theme="1"/>
        <rFont val="Calibri"/>
      </rPr>
      <t xml:space="preserve">Name of Program </t>
    </r>
    <r>
      <rPr>
        <sz val="8"/>
        <color theme="1"/>
        <rFont val="Calibri"/>
      </rPr>
      <t>(given by Grantee):</t>
    </r>
  </si>
  <si>
    <t xml:space="preserve">Name of Program (Grantee may have a different name for the program) </t>
  </si>
  <si>
    <t>Contact Name(s):</t>
  </si>
  <si>
    <t xml:space="preserve">Names of Persons to contact regarding the program </t>
  </si>
  <si>
    <t xml:space="preserve">Physical Address of Program: </t>
  </si>
  <si>
    <t xml:space="preserve">Physical Address of the Program </t>
  </si>
  <si>
    <t xml:space="preserve">Contact Phone(s): </t>
  </si>
  <si>
    <t>Phone numbers of Contact Persons</t>
  </si>
  <si>
    <t>Grant Number:</t>
  </si>
  <si>
    <t>Grant Number will be located on the Grant agreement or Targeted Fund Budget (TFB)</t>
  </si>
  <si>
    <r>
      <rPr>
        <b/>
        <sz val="11"/>
        <color theme="1"/>
        <rFont val="Calibri"/>
      </rPr>
      <t xml:space="preserve">Month Being Reported </t>
    </r>
    <r>
      <rPr>
        <sz val="8"/>
        <color theme="1"/>
        <rFont val="Calibri"/>
      </rPr>
      <t>(Month/Year)</t>
    </r>
    <r>
      <rPr>
        <sz val="11"/>
        <color theme="1"/>
        <rFont val="Calibri"/>
      </rPr>
      <t>:</t>
    </r>
  </si>
  <si>
    <t>October 1 - 31</t>
  </si>
  <si>
    <t>Program Code :</t>
  </si>
  <si>
    <t>Program Code will located in SOW or TFB</t>
  </si>
  <si>
    <t>Line 1</t>
  </si>
  <si>
    <t xml:space="preserve">Will have the Name of the Form and the Version of the Form - Please check to see that you are using the most recent version - Note If the form has "working draft" it is not the correct version.  </t>
  </si>
  <si>
    <t>Line 2</t>
  </si>
  <si>
    <t xml:space="preserve">Reminder that the forms need to be submitted electronically to DHHRBBHReporting@wv.gov .  You can certainly cc other individuals; however, it is critical that all forms be sent to this e-mail address. </t>
  </si>
  <si>
    <t>1A:  Lines 3 - 8</t>
  </si>
  <si>
    <r>
      <rPr>
        <b/>
        <sz val="11"/>
        <color theme="1"/>
        <rFont val="Calibri"/>
      </rPr>
      <t>Grantee - Program Information:</t>
    </r>
    <r>
      <rPr>
        <sz val="11"/>
        <color theme="1"/>
        <rFont val="Calibri"/>
      </rPr>
      <t xml:space="preserve"> ON LINES 4 - 8 ALL INFORMATION WILL NEED TO BE INITALLY ENTERED AND CHANGES WILL NEED TO BE MADE (INCLUDING THE DATE)  ON THE GRANTEE SET UP INFO &amp; DATE TAB - INFORMATION WILL POPULATE TO OTHER TABS</t>
    </r>
  </si>
  <si>
    <t>1B: Lines 9 - 18</t>
  </si>
  <si>
    <t>1C: Lines - 19 &gt;</t>
  </si>
  <si>
    <r>
      <rPr>
        <b/>
        <sz val="11"/>
        <color theme="1"/>
        <rFont val="Calibri"/>
      </rPr>
      <t xml:space="preserve">THIS SECTION IS REQUIRED:  </t>
    </r>
    <r>
      <rPr>
        <sz val="11"/>
        <color theme="1"/>
        <rFont val="Calibri"/>
      </rPr>
      <t xml:space="preserve">This space is for a narrative about the program in order to provide a description of  activities / accomplishments related to measurable outcomes.   Sections are divided into months. This section provides invaluable information about the program. </t>
    </r>
  </si>
  <si>
    <r>
      <rPr>
        <b/>
        <sz val="24"/>
        <color theme="0"/>
        <rFont val="Calibri"/>
      </rPr>
      <t xml:space="preserve">REFERRAL ONLY  </t>
    </r>
    <r>
      <rPr>
        <b/>
        <sz val="16"/>
        <color theme="0"/>
        <rFont val="Calibri"/>
      </rPr>
      <t xml:space="preserve">(TO THE PEER RECOVERY SUPPORT SPECIALIST PROGRAM WITHIN THE FACILITY) </t>
    </r>
  </si>
  <si>
    <r>
      <rPr>
        <b/>
        <sz val="11"/>
        <color theme="1"/>
        <rFont val="Calibri"/>
      </rPr>
      <t xml:space="preserve">2.A: Lines 5 -9:  </t>
    </r>
    <r>
      <rPr>
        <b/>
        <sz val="11"/>
        <color rgb="FFFF0000"/>
        <rFont val="Calibri"/>
      </rPr>
      <t xml:space="preserve">Any changes need to be made on GRANTEE INFO SET UP &amp; DATE TAB: </t>
    </r>
  </si>
  <si>
    <r>
      <rPr>
        <b/>
        <sz val="11"/>
        <color theme="1"/>
        <rFont val="Calibri"/>
      </rPr>
      <t>2.B: Client Demographics  - Other Information  -</t>
    </r>
    <r>
      <rPr>
        <b/>
        <sz val="11"/>
        <color rgb="FFFF0000"/>
        <rFont val="Calibri"/>
      </rPr>
      <t xml:space="preserve"> (Include all clients referred under the SOR Grant) </t>
    </r>
  </si>
  <si>
    <t xml:space="preserve">This line can be locked by going to View, Freeze Panes, Freeze Top Row;  As the Lines get longer, this may be helpful in completing the form </t>
  </si>
  <si>
    <t xml:space="preserve">Name of program with the version of the form; please make sure you are using the most up-to-date form. Note If the form has "working draft" it is not the correct version.  </t>
  </si>
  <si>
    <t>Line 3</t>
  </si>
  <si>
    <t xml:space="preserve">Reminder that Program reports need to be submitted electronically, via e-mail to  DHHRBBHReporting@wv.gov   within 25 calendar days of the end of each month   You can certainly cc other individuals; however, it is critical that all forms be sent to this e-mail address. </t>
  </si>
  <si>
    <t>Line 5-9</t>
  </si>
  <si>
    <t>Grantee - Program Information: ON LINES 5 - 9 ALL INFORMATION WILL NEED TO BE INITALLY ENTERED AND CHANGES WILL NEED TO BE MADE (INCLUDING THE DATE)  ON THE GRANTEE SET UP INFO &amp; DATE TAB - INFORMATION WILL POPULATE TO OTHER TABS</t>
  </si>
  <si>
    <t>Column A</t>
  </si>
  <si>
    <r>
      <rPr>
        <sz val="11"/>
        <color theme="1"/>
        <rFont val="Calibri"/>
      </rPr>
      <t xml:space="preserve">Automatically numbers the Lines - </t>
    </r>
    <r>
      <rPr>
        <b/>
        <sz val="11"/>
        <color theme="1"/>
        <rFont val="Calibri"/>
      </rPr>
      <t>There are approximately 1000 lines for input of client data.</t>
    </r>
    <r>
      <rPr>
        <sz val="11"/>
        <color theme="1"/>
        <rFont val="Calibri"/>
      </rPr>
      <t xml:space="preserve">  Each client will have their own unique line.  In the event a client is discharged and returns use a "new" line with the same internal client I.D.  </t>
    </r>
  </si>
  <si>
    <t>Line 14&gt; Column B-C</t>
  </si>
  <si>
    <t xml:space="preserve">Internal Space for Grantee - For your own use; some grantees choose to use 'first name, initials of clients, etc.)  Full names and other information that that could I.D. the client cannot be used when submitting reports. </t>
  </si>
  <si>
    <t>Line 14&gt; Column D-E</t>
  </si>
  <si>
    <t>The Client ID is a unique client identifier determined by the project. The program uses the same unique ID each time, even if the client has more than one episode of care. For confidentiality reasons, do not use any part of the client’s date of birth or Social Security number in the Client ID.</t>
  </si>
  <si>
    <t>Line 14&gt; Column F-G</t>
  </si>
  <si>
    <t xml:space="preserve">Date Individual was  Referred to the  - Enter date  Month/Day/Year 00/00/0000 </t>
  </si>
  <si>
    <t>Line 14&gt; Column H-J</t>
  </si>
  <si>
    <t xml:space="preserve">Disposition of the Referral - Select from the Drop-down box </t>
  </si>
  <si>
    <t>Line 14&gt; Column K-M</t>
  </si>
  <si>
    <t>If Admitted to program - date of Admission / Enrollment into Program - Enter date  Month/Day/Year 00/00/0000</t>
  </si>
  <si>
    <t>Line 14&gt; Column N-U</t>
  </si>
  <si>
    <t xml:space="preserve">NOTES:  Space for a narrative for any specifics required from the drop-down box;  or other narrative information the grantee may want to share </t>
  </si>
  <si>
    <r>
      <rPr>
        <b/>
        <sz val="24"/>
        <color theme="0"/>
        <rFont val="Calibri"/>
      </rPr>
      <t xml:space="preserve">Refer - Admission Stay - Discharge </t>
    </r>
    <r>
      <rPr>
        <b/>
        <sz val="16"/>
        <color theme="0"/>
        <rFont val="Calibri"/>
      </rPr>
      <t>(TO THE PEER RECOVERY SUPPORT SPECIALIST PROGRAM WITHIN THE FACILITY)</t>
    </r>
  </si>
  <si>
    <t>Line 5-10</t>
  </si>
  <si>
    <t>A: Grantee - Program Information: ON LINES 5 - 9 ALL INFORMATION WILL NEED TO BE INITALLY ENTERED AND CHANGES WILL NEED TO BE MADE (INCLUDING THE DATE)  ON THE GRANTEE SET UP INFO &amp; DATE TAB - INFORMATION WILL POPULATE TO OTHER TABS</t>
  </si>
  <si>
    <t>Line 14&gt; Column A</t>
  </si>
  <si>
    <r>
      <rPr>
        <sz val="11"/>
        <color theme="1"/>
        <rFont val="Calibri"/>
      </rPr>
      <t xml:space="preserve">Automatically numbers the Lines - </t>
    </r>
    <r>
      <rPr>
        <b/>
        <sz val="11"/>
        <color theme="1"/>
        <rFont val="Calibri"/>
      </rPr>
      <t>There are approximately 1000 lines for input of client data.</t>
    </r>
    <r>
      <rPr>
        <sz val="11"/>
        <color theme="1"/>
        <rFont val="Calibri"/>
      </rPr>
      <t xml:space="preserve">  Each client will have their own unique line.  In the event a client is discharged and returns use a "new" line with the same internal client I.D.  </t>
    </r>
  </si>
  <si>
    <t>Internal Space for Grantee - For your own use; some grantees choose to use ( first name, initials of clients, etc.)  Full names or other information that could  I.D. the client cannot be used when submitting reports. Will Populate TO RECOVERY CONTACT HISTORY TAB</t>
  </si>
  <si>
    <t>Date Individual was  Referred to the program  - Enter Date - Month/Day/Year   00/00/0000 - Will Populate TO  RECOVERY CONTACT HISTORY TAB</t>
  </si>
  <si>
    <t>Line 14&gt; Column H-I</t>
  </si>
  <si>
    <t xml:space="preserve">Date of Admission / Enrollment into program  - Date client formally admitted/enrolled into the program) Enter Date - Month/Day/Year   00/00/0000  </t>
  </si>
  <si>
    <t>Line 14&gt; Column J-K</t>
  </si>
  <si>
    <t xml:space="preserve">Has individual been readmitted to the program - Select from Drop-down box </t>
  </si>
  <si>
    <t>Line 14&gt; Column L-M</t>
  </si>
  <si>
    <t>Place the initials of the Peer Recovery Support Specialist  - Use the same initials from the Grantee Set Up Info &amp; Date tab - Lines 11-18, Column C-E and Lines 11-18, Column W-Y</t>
  </si>
  <si>
    <t>Line 14&gt; Column N</t>
  </si>
  <si>
    <t xml:space="preserve">Age - Use Number - DO NOT use alphabet </t>
  </si>
  <si>
    <t>Line 14&gt; Column O</t>
  </si>
  <si>
    <t xml:space="preserve">Gender - Select from Drop-down box </t>
  </si>
  <si>
    <t>Line 14&gt; Column P-Q</t>
  </si>
  <si>
    <t xml:space="preserve">Race - Select from Drop-down box </t>
  </si>
  <si>
    <t>Line 14&gt; Column R-S</t>
  </si>
  <si>
    <t xml:space="preserve">Ethnicity - Hispanic Latino Origin - Select from Drop-down box </t>
  </si>
  <si>
    <t>Line 14&gt; Column T-U</t>
  </si>
  <si>
    <t xml:space="preserve">Veteran - Select from Drop-down box </t>
  </si>
  <si>
    <t>Line 14&gt; Column V-W</t>
  </si>
  <si>
    <t xml:space="preserve">Assisted (help the client) with enrollment into the Medicaid program </t>
  </si>
  <si>
    <t>Line 14&gt; Column X-AA</t>
  </si>
  <si>
    <r>
      <rPr>
        <sz val="11"/>
        <color theme="1"/>
        <rFont val="Calibri"/>
      </rPr>
      <t xml:space="preserve">Resources </t>
    </r>
    <r>
      <rPr>
        <b/>
        <sz val="11"/>
        <color theme="1"/>
        <rFont val="Calibri"/>
      </rPr>
      <t xml:space="preserve">REFERRED </t>
    </r>
    <r>
      <rPr>
        <sz val="11"/>
        <color theme="1"/>
        <rFont val="Calibri"/>
      </rPr>
      <t>(not offered - referred elsewhere)</t>
    </r>
    <r>
      <rPr>
        <b/>
        <sz val="11"/>
        <color theme="1"/>
        <rFont val="Calibri"/>
      </rPr>
      <t xml:space="preserve"> </t>
    </r>
    <r>
      <rPr>
        <sz val="11"/>
        <color theme="1"/>
        <rFont val="Calibri"/>
      </rPr>
      <t xml:space="preserve"> by grantee to support recovery by type - Enter from List Row 13 - Columns V-AC-  Use number beside the resource - You do not have to write the referral out. There may be more than one resource </t>
    </r>
  </si>
  <si>
    <t>Line 14&gt; Column AB-AE</t>
  </si>
  <si>
    <r>
      <rPr>
        <sz val="11"/>
        <color theme="1"/>
        <rFont val="Calibri"/>
      </rPr>
      <t xml:space="preserve">Resources </t>
    </r>
    <r>
      <rPr>
        <b/>
        <sz val="11"/>
        <color theme="1"/>
        <rFont val="Calibri"/>
      </rPr>
      <t>OFFERED</t>
    </r>
    <r>
      <rPr>
        <sz val="11"/>
        <color theme="1"/>
        <rFont val="Calibri"/>
      </rPr>
      <t xml:space="preserve"> by grantee to support recovery by type -  Enter from List Row 13 - Columns V-AC-  Use number beside the resource - You do not have to write the referral out. There may be more than one resource </t>
    </r>
  </si>
  <si>
    <t>Line 14&gt; Column AF-AG</t>
  </si>
  <si>
    <t xml:space="preserve">Individual has a Recovery Plan.  Choose from the Drop-down box (YES/NO) </t>
  </si>
  <si>
    <t>Line 14&gt; Column AH-AI</t>
  </si>
  <si>
    <t xml:space="preserve">Diagnostic Information:  Client is able to state that they have a known  Substance Use Disorder.  Choose from the Drop-down box (YES/NO) </t>
  </si>
  <si>
    <t>Line 14&gt; Column AJ-AK</t>
  </si>
  <si>
    <r>
      <rPr>
        <sz val="11"/>
        <color theme="1"/>
        <rFont val="Calibri"/>
      </rPr>
      <t xml:space="preserve">Client Pregnant at Admission or During Stay  - Select from Drop-down box   IF FEMALE MUST </t>
    </r>
    <r>
      <rPr>
        <sz val="11"/>
        <color rgb="FFFF0000"/>
        <rFont val="Calibri"/>
      </rPr>
      <t xml:space="preserve">CHOOSE "YES" OR "NO" IN ORDER FOR DATA TO SUMMARIZE CORRECTLY </t>
    </r>
  </si>
  <si>
    <t>Line 14&gt; Column AL-AM</t>
  </si>
  <si>
    <t>If pregnant what is the due date - Enter Date - Month/Day/Year   00/00/0000</t>
  </si>
  <si>
    <t>Line 14&gt; Column AN-AO</t>
  </si>
  <si>
    <t>Delivery date of the baby - Enter Date - Month/Day/Year   00/00/0000</t>
  </si>
  <si>
    <t>Line 14&gt; Column AP-AQ</t>
  </si>
  <si>
    <t xml:space="preserve">Client  on MAT at time of admission - Select from Drop-down box (Verify if the client is on MAT upon admission to the program ) </t>
  </si>
  <si>
    <t>Line 14&gt; Column AR-AS</t>
  </si>
  <si>
    <t xml:space="preserve">Client referred  for MAT at admission or during stay - Select from Drop-down box </t>
  </si>
  <si>
    <t>Line 14&gt; Column AT-AU</t>
  </si>
  <si>
    <t xml:space="preserve">admitted to MAT while in program- Select from Drop-down box </t>
  </si>
  <si>
    <t>Line 14&gt; Column AX-AZ</t>
  </si>
  <si>
    <t xml:space="preserve">Type of MAT Utilized by Client - Select from Drop-down box  (Must Choose one - "Not Receiving MAT" Included, or if the individual has switched from one type to another "CHANGED MAT (Specify in Notes)" included) In Notes include MAT type client was taking when they changed the type and time frame. </t>
  </si>
  <si>
    <t>Line 14&gt; Column BA-BB</t>
  </si>
  <si>
    <t xml:space="preserve">remained on the following type of MAT during stay - Select from Drop-down box </t>
  </si>
  <si>
    <t>Line 14&gt; Column BC</t>
  </si>
  <si>
    <t xml:space="preserve">Was client Discharged - Select from Drop-down box   If yes is selected line will turn a "grayish" color; to indicate the individual has been discharged. </t>
  </si>
  <si>
    <t>Line 14&gt; Column BD-BE</t>
  </si>
  <si>
    <t>Date of Discharge - Enter Date - Month/Day/Year   00/00/0000</t>
  </si>
  <si>
    <t>Line 14&gt; Column BF-BI</t>
  </si>
  <si>
    <t xml:space="preserve">Reason for Discharge - Select from Drop-down box </t>
  </si>
  <si>
    <t>Line 14&gt; Column BJ-BM</t>
  </si>
  <si>
    <t xml:space="preserve">Discharged to: (geographic location where client will be living and proposed services that the client was linked to...)  Provide a brief narrative </t>
  </si>
  <si>
    <t>Line 14&gt; Column BN-BV</t>
  </si>
  <si>
    <r>
      <rPr>
        <b/>
        <sz val="22"/>
        <color theme="0"/>
        <rFont val="Calibri"/>
      </rPr>
      <t xml:space="preserve">NOMS PRE ADMISSION - POST DISCHARGE </t>
    </r>
    <r>
      <rPr>
        <b/>
        <sz val="16"/>
        <color theme="0"/>
        <rFont val="Calibri"/>
      </rPr>
      <t>(WITHIN THE  PEER RECOVERY SUPPORT SPECIALIST PROGRAM WITHIN THE FACILITY)</t>
    </r>
  </si>
  <si>
    <t xml:space="preserve">Name of program with the version of the form; please make sure you are using the most up-to-date form </t>
  </si>
  <si>
    <t xml:space="preserve">Reminder that the forms need to be submitted electronically to DHHRBBHReporting@wv.gov.  You can certainly cc other individuals; however, it is critical that all forms be sent to this e-mail address. </t>
  </si>
  <si>
    <t>Grantee - Program Information: ON LINES 5 - 9 ALL INFORMATION WILL NEED TO BE INITALLY  ENTERED AND CHANGES WILL NEED TO BE MADE (INCLUDING THE DATE)  ON THE GRANTEE SET UP INFO &amp; DATE TAB - INFORMATION WILL POPULATE TO OTHER TABS</t>
  </si>
  <si>
    <r>
      <rPr>
        <sz val="11"/>
        <color theme="1"/>
        <rFont val="Calibri"/>
      </rPr>
      <t xml:space="preserve">Automatically numbers the Lines - </t>
    </r>
    <r>
      <rPr>
        <b/>
        <sz val="11"/>
        <color theme="1"/>
        <rFont val="Calibri"/>
      </rPr>
      <t>There are approximately 1000 lines for input of client data.</t>
    </r>
    <r>
      <rPr>
        <sz val="11"/>
        <color theme="1"/>
        <rFont val="Calibri"/>
      </rPr>
      <t xml:space="preserve">  Each client will have their own unique line.  In the event a client is discharged and returns use a "new" line with the same internal client I.D.</t>
    </r>
  </si>
  <si>
    <t>Lines 15&gt; Column B-C</t>
  </si>
  <si>
    <t xml:space="preserve">Internal Space for Grantee - Will Populate from Admission Stay Discharge Tab </t>
  </si>
  <si>
    <t>Lines 15&gt; Column D-E</t>
  </si>
  <si>
    <t xml:space="preserve">Internal Unique Client I.D.  Grantee - Will Populate from Admission Stay Discharge Tab </t>
  </si>
  <si>
    <t>Lines 15&gt; Column F-G</t>
  </si>
  <si>
    <t xml:space="preserve">Date Referred to Program  - Will Populate from Admission Stay Discharge Tab </t>
  </si>
  <si>
    <t>Lines 15&gt; Column H -I</t>
  </si>
  <si>
    <t xml:space="preserve">30 DAYS BEFORE ADMISSION - Was Individual Employed (Part time or full time) - If so Indicate by using the Numeral (1) - Use the Number (1) Do not use alphabet. </t>
  </si>
  <si>
    <t>Lines 15&gt; Column J-K</t>
  </si>
  <si>
    <t xml:space="preserve">30 DAYS BEFORE ADMISSION - Was Individual a Student (Part time or full time)  - If so Indicate by using the Numeral (1) - Use the Number (1) Do not use alphabet. </t>
  </si>
  <si>
    <t>Lines 15&gt; Column L-M</t>
  </si>
  <si>
    <t xml:space="preserve">30 DAYS BEFORE ADMISSION - Did the individual have a Stable Living Situation  - If so Indicate by using the Numeral (1) - Use the Number (1) Do not use alphabet. </t>
  </si>
  <si>
    <t>Lines 15&gt; Column N-O</t>
  </si>
  <si>
    <t xml:space="preserve">30 DAYS BEFORE ADMISSION - Did the Individual have any involvement with the Legal System (arrest) - If so Indicate by using the Numeral (1) - Use the Number (1) Do not use alphabet. </t>
  </si>
  <si>
    <t>Lines 15&gt; Column P-Q</t>
  </si>
  <si>
    <t xml:space="preserve">30 DAYS BEFORE ADMISSION - Did the individual use Alcohol- If so Indicate by using the Numeral (1) - Use the Number (1) Do not use alphabet. </t>
  </si>
  <si>
    <t>Lines 15&gt; Column R-S</t>
  </si>
  <si>
    <t xml:space="preserve">30 DAYS BEFORE ADMISSION - Did the Individual use Illegal Drugs  - If so Indicate by using the Numeral (1) - Use the Number (1) Do not use alphabet. </t>
  </si>
  <si>
    <t>Lines 15&gt; Column T-U</t>
  </si>
  <si>
    <t xml:space="preserve">30 DAYS BEFORE ADMISSION - Did the individual participate in self help groups such as AA or NA - If so Indicate by using the Numeral (1) - Use the Number (1) Do not use alphabet. </t>
  </si>
  <si>
    <t>Lines 15&gt; Column X-Y</t>
  </si>
  <si>
    <t xml:space="preserve">30 DAYS POST DISCHARGE - Was Individual Employed (Part time or full time) - If so Indicate by using the Numeral (1) - Use the Number (1) Do not use alphabet. </t>
  </si>
  <si>
    <t>Lines 15&gt; Column Z-AA</t>
  </si>
  <si>
    <t xml:space="preserve">30 DAYS POST DISCHARGE - Was Individual a Student (Part time or full time)  - If so Indicate by using the Numeral (1) - Use the Number (1) Do not use alphabet. </t>
  </si>
  <si>
    <t>Lines 15&gt; Column AB-AC</t>
  </si>
  <si>
    <t xml:space="preserve">30 DAYS POST DISCHARGE - Did the individual have a Stable Living Situation  - If so Indicate by using the Numeral (1) - Use the Number (1) Do not use alphabet. </t>
  </si>
  <si>
    <t>Lines 15&gt; Column AD-AE</t>
  </si>
  <si>
    <t xml:space="preserve">30 DAYS POST DISCHARGE - Did the Individual have any involvement with the Legal System (arrest) - If so Indicate by using the Numeral (1) - Use the Number (1) Do not use alphabet. </t>
  </si>
  <si>
    <t>Lines 15&gt; Column AF-AG</t>
  </si>
  <si>
    <t xml:space="preserve">30 DAYS POST DISCHARGE- Did the individual use Alcohol- If so Indicate by using the Numeral (1) - Use the Number (1) Do not use alphabet. </t>
  </si>
  <si>
    <t xml:space="preserve">30 DAYS POST DISCHARGE - Did the Individual use Illegal Drugs  - If so Indicate by using the Numeral (1) - Use the Number (1) Do not use alphabet. </t>
  </si>
  <si>
    <t>Lines 15&gt; Column AJ-AK</t>
  </si>
  <si>
    <t xml:space="preserve">30 DAYS POST DISCHARGE - Did the individual participate in self help groups such as AA or NA - If so Indicate by using the Numeral (1) - Use the Number (1) Do not use alphabet. </t>
  </si>
  <si>
    <t>Lines 15&gt; Column AL-BB</t>
  </si>
  <si>
    <r>
      <rPr>
        <sz val="22"/>
        <color theme="1"/>
        <rFont val="Calibri"/>
      </rPr>
      <t xml:space="preserve">TRAINING </t>
    </r>
    <r>
      <rPr>
        <sz val="16"/>
        <color theme="1"/>
        <rFont val="Calibri"/>
      </rPr>
      <t>(INVOLVING THE PEER RECOVERY SUPPORT SPECIALIST PROGRAM WITHIN THE FACILITY)</t>
    </r>
  </si>
  <si>
    <t>A. Grantee - Program Information: ON LINES 5 - 9 ALL INFORMATION WILL NEED TO BE INITALLY  ENTERED AND CHANGES WILL NEED TO BE MADE (INCLUDING THE DATE)  ON THE GRANTEE SET UP INFO &amp; DATE TAB - INFORMATION WILL POPULATE TO OTHER TABS</t>
  </si>
  <si>
    <r>
      <rPr>
        <sz val="11"/>
        <color theme="1"/>
        <rFont val="Calibri"/>
      </rPr>
      <t xml:space="preserve">Automatically numbers the Lines - </t>
    </r>
    <r>
      <rPr>
        <b/>
        <sz val="11"/>
        <color theme="1"/>
        <rFont val="Calibri"/>
      </rPr>
      <t>There are approximately 500 lines for input of training data.</t>
    </r>
    <r>
      <rPr>
        <sz val="11"/>
        <color theme="1"/>
        <rFont val="Calibri"/>
      </rPr>
      <t xml:space="preserve">  </t>
    </r>
  </si>
  <si>
    <t>Lines 15&gt;Column B-C</t>
  </si>
  <si>
    <t>Date of Training  Enter Date - Month/Day/Year   00/00/0000</t>
  </si>
  <si>
    <t>Lines 15&gt;Column D-K</t>
  </si>
  <si>
    <t xml:space="preserve">Type of Training - Choose from the Drop - down box  - Examples of trainings listed below: </t>
  </si>
  <si>
    <t xml:space="preserve">Examples of Training </t>
  </si>
  <si>
    <r>
      <rPr>
        <b/>
        <u/>
        <sz val="8"/>
        <color theme="1"/>
        <rFont val="Calibri"/>
      </rPr>
      <t xml:space="preserve">Evidence Based Training -  EXAMPLES OF EVIDENCE BASED TRAINING INCLUDE: </t>
    </r>
    <r>
      <rPr>
        <sz val="8"/>
        <color theme="1"/>
        <rFont val="Calibri"/>
      </rPr>
      <t xml:space="preserve">      </t>
    </r>
    <r>
      <rPr>
        <b/>
        <u/>
        <sz val="8"/>
        <color theme="1"/>
        <rFont val="Calibri"/>
      </rPr>
      <t xml:space="preserve">                                                                                                                                                                                                                                                                                                                                        </t>
    </r>
    <r>
      <rPr>
        <sz val="8"/>
        <color theme="1"/>
        <rFont val="Calibri"/>
      </rPr>
      <t xml:space="preserve">•	 Motivational Interviewing – directive, client centered counseling style for eliciting behavior change by helping clients explore and resolve ambivalence
•	 SBIRT – Screening, Brief Intervention, Referral to Treatment
•	 Cognitive-Behavioral Therapy (CBT)
•	 Dialectical Behavioral Therapy (DBT) – therapist and client work with acceptance and change-oriented strategies
•	 Contingency Management Interventions/Motivational Incentives – uses rewards to reinforce behaviors that support person’s individual recovery
•	 Motivational Enhancement Therapy (MET) – brief, understanding resistance, encouraging self-efficacy
•	 The Matrix Model – designed for stimulant substances such as Methamphetamine and Cocaine – is intensive outpatient treatment, integrative, structured, and time-limited
•	 Medication-Assisted Treatment (MAT) – this includes Buprenorphine (Suboxone), Naltrexone (or Vivitrol), Methadone
•	 12-Step Facilitation Therapy
•	 Family Behavior Therapy (FBT)
•	 Seeking Safety (for Trauma/PTSD and Addiction)
•	 Relapse Prevention Therapy
•	 Client-Centered/Shared Decision Making                                                                                                                                                                                                                                                                                                                                                                                                    </t>
    </r>
    <r>
      <rPr>
        <b/>
        <u/>
        <sz val="8"/>
        <color theme="1"/>
        <rFont val="Calibri"/>
      </rPr>
      <t xml:space="preserve">Mandatory Training -  EXAMPLES OF MANDATORY TRAINING INCLUDE:   </t>
    </r>
    <r>
      <rPr>
        <sz val="8"/>
        <color theme="1"/>
        <rFont val="Calibri"/>
      </rPr>
      <t xml:space="preserve">                                                                                                                                                                                                                                                                                                                                                                                                                                                                                                                                                                                                                                                                                                                                                                                                                                                                                       •              Confidentiality  Health Insurance Portability and Accountability Act (HIPAA)
•	Complicate
•	 First Aid
•	Infection Control 
•	Cardio-Pulmonary Resuscitation (CPT)
•	Crisis Intervention
•	Mental Health First Aide 
•	Cultural Competency
•	Motivational Interviewing
•	Suicide Prevention
•	Trauma-Informed Care
•	Person-Centered Care 
       </t>
    </r>
  </si>
  <si>
    <t>Lines 15&gt;Column L-O</t>
  </si>
  <si>
    <t xml:space="preserve">Description of the Training </t>
  </si>
  <si>
    <t>Lines 15&gt;Column P-S</t>
  </si>
  <si>
    <t xml:space="preserve">Purpose of Training </t>
  </si>
  <si>
    <t>Lines 15&gt;Column T-W</t>
  </si>
  <si>
    <t xml:space="preserve">Entity Providing Training:  Name of Organization, Company, Agency, etc. </t>
  </si>
  <si>
    <t>Lines 15&gt;Column X-AA</t>
  </si>
  <si>
    <t xml:space="preserve">Location of Training:  At the very least include City and County </t>
  </si>
  <si>
    <t>Lines 15&gt;Column AB-AD</t>
  </si>
  <si>
    <t>Person(s) Providing the Training - Give Name(s) of the Person(s)</t>
  </si>
  <si>
    <t>Lines 15&gt;Column AE-AG</t>
  </si>
  <si>
    <t xml:space="preserve">Credentials of Person(s) Providing Training  (degrees, certifications, etc.) </t>
  </si>
  <si>
    <t>Lines 15&gt;Column AH-AJ</t>
  </si>
  <si>
    <t xml:space="preserve">Was the training funded  wholly or in part by the grant - Select from Drop-down Box (YES/NO)  </t>
  </si>
  <si>
    <t>Lines 15&gt;Column AK-AM</t>
  </si>
  <si>
    <t xml:space="preserve">Was training done to fulfil the SOR Statement of Work (SOW)  - Select from Drop-down Box </t>
  </si>
  <si>
    <t xml:space="preserve">Lines 15&gt; Columns AN - through AY  </t>
  </si>
  <si>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</si>
  <si>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Lines 15&gt; Columns AZ - through BH</t>
  </si>
  <si>
    <t>INTERNAL AND EXTERNAL INDIVIDUALS NOT FUNDED BY THE GRANT BY OCCUPATION/DISCLIPLINE.  USE NUMBERS ONLY - DO NOT USE ALPHABET</t>
  </si>
  <si>
    <t>Lines 15&gt;Column BI-BV</t>
  </si>
  <si>
    <r>
      <rPr>
        <sz val="22"/>
        <color theme="0"/>
        <rFont val="Calibri"/>
      </rPr>
      <t xml:space="preserve">Naloxone Training Distribution </t>
    </r>
    <r>
      <rPr>
        <sz val="16"/>
        <color theme="0"/>
        <rFont val="Calibri"/>
      </rPr>
      <t xml:space="preserve"> (INVOLVING THE PEER RECOVERY SUPPORT SPECIALIST PROGRAM WITHIN THE FACILITY)</t>
    </r>
  </si>
  <si>
    <r>
      <rPr>
        <sz val="11"/>
        <color theme="1"/>
        <rFont val="Calibri"/>
      </rPr>
      <t xml:space="preserve">Automatically numbers the Lines - </t>
    </r>
    <r>
      <rPr>
        <b/>
        <sz val="11"/>
        <color theme="1"/>
        <rFont val="Calibri"/>
      </rPr>
      <t>There are approximately 500 lines for input of Naloxone Training events.</t>
    </r>
    <r>
      <rPr>
        <sz val="11"/>
        <color theme="1"/>
        <rFont val="Calibri"/>
      </rPr>
      <t xml:space="preserve">  </t>
    </r>
  </si>
  <si>
    <t>Lines 15&gt;Column D-G</t>
  </si>
  <si>
    <t>Lines 15&gt;Column H-K</t>
  </si>
  <si>
    <t xml:space="preserve">Location of Naloxone Training:  At the very least include City and County </t>
  </si>
  <si>
    <t>Lines 15&gt;Column L-M</t>
  </si>
  <si>
    <t>Lines 15&gt;Column O-Q</t>
  </si>
  <si>
    <t xml:space="preserve">Credentials of Person(s) Providing Training,  (degrees, certifications, etc.) </t>
  </si>
  <si>
    <t>Lines 15&gt;Column R-T</t>
  </si>
  <si>
    <t xml:space="preserve">Funded Wholly or in Part by  SOR grant - Select from Drop-down Box   </t>
  </si>
  <si>
    <t>Lines 15&gt;Column U-W</t>
  </si>
  <si>
    <t>Funded Generally - Not by the grant.  Select from Drop-down Box -  (In note section briefly describe funding source)</t>
  </si>
  <si>
    <t xml:space="preserve">Lines 15&gt;Column X through AI </t>
  </si>
  <si>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</si>
  <si>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Lines 15&gt;Column AJ through AR</t>
  </si>
  <si>
    <t>Lines 15&gt;Column AS-AY</t>
  </si>
  <si>
    <t xml:space="preserve">Notes - A space for Specification required with Drop-down boxes - Narrative </t>
  </si>
  <si>
    <t>Lines 15&gt;Column BB-BC</t>
  </si>
  <si>
    <t>Date of Naloxone Distribution - This may or may not be tied to training</t>
  </si>
  <si>
    <t>Lines 15&gt;Column BD-BF</t>
  </si>
  <si>
    <t xml:space="preserve">Total # of Naloxone overdose reversal kits distributed - This may or may not be tied to training </t>
  </si>
  <si>
    <t>Lines 15&gt;Column BG-BJ</t>
  </si>
  <si>
    <t xml:space="preserve">Location(s) Naloxone Kits Distributed; include at least the City and County </t>
  </si>
  <si>
    <t>Lines 15&gt;Column BK-BM</t>
  </si>
  <si>
    <t xml:space="preserve">Naloxone Kits funded wholly or in part by SOR - Select from Drop-down Box </t>
  </si>
  <si>
    <t>Lines 15&gt;Column BP-BR</t>
  </si>
  <si>
    <t xml:space="preserve">Date Aware of Overdose Reversal - (Does not necessarily have to tie to training) </t>
  </si>
  <si>
    <t>Lines 15&gt;Column BS-BU</t>
  </si>
  <si>
    <t xml:space="preserve">Number of Overdose Reversals - (Does not necessarily have to tie to training) </t>
  </si>
  <si>
    <r>
      <rPr>
        <b/>
        <sz val="22"/>
        <color theme="0"/>
        <rFont val="Calibri"/>
      </rPr>
      <t xml:space="preserve">ACTVITIES - MEETINGS - EVENTS  </t>
    </r>
    <r>
      <rPr>
        <b/>
        <sz val="14"/>
        <color theme="0"/>
        <rFont val="Calibri"/>
      </rPr>
      <t>(EXCLUDES TRAINING - TRAINING NEEDS )</t>
    </r>
    <r>
      <rPr>
        <b/>
        <sz val="22"/>
        <color theme="0"/>
        <rFont val="Calibri"/>
      </rPr>
      <t xml:space="preserve">  </t>
    </r>
    <r>
      <rPr>
        <b/>
        <sz val="16"/>
        <color theme="0"/>
        <rFont val="Calibri"/>
      </rPr>
      <t>(INVOLVING THE PEER RECOVERY SUPPORT SPECIALIST PROGRAM WITHIN THE FACILITY)</t>
    </r>
  </si>
  <si>
    <t>Lines 12&gt; Column  A</t>
  </si>
  <si>
    <t>Numbering of the Lines of Activities, Meetings and Events</t>
  </si>
  <si>
    <t>Lines 12&gt; Column  B-C</t>
  </si>
  <si>
    <t>Date of Activity - Meeting - Event   - -  Use Month/Day/ Year (00/00/0000)</t>
  </si>
  <si>
    <t>Lines 12&gt; Column  D-H</t>
  </si>
  <si>
    <t xml:space="preserve">Type of Activity  - Meeting - Event  - -  Select from Drop-down box   If materials distributed is selected, give the total items distributed and what was distributed in the note section. </t>
  </si>
  <si>
    <t>Lines 12&gt; Column  I-P</t>
  </si>
  <si>
    <r>
      <rPr>
        <sz val="11"/>
        <color theme="1"/>
        <rFont val="Calibri"/>
      </rPr>
      <t xml:space="preserve">Name of the Activity - Meeting - Event ; Examples include                                                                                                                                                                                                                                                                                                                                                                   </t>
    </r>
    <r>
      <rPr>
        <sz val="8"/>
        <color theme="1"/>
        <rFont val="Calibri"/>
      </rPr>
      <t xml:space="preserve">• Regional Substance Abuse Lead Prevention Organization's monthly meeting ,                                                                                                                                                                                                                                                                                                                                                                                                                                                                                                                                                                                                                                                                                                                                                                                                                                                                                                                                                                                                                                                                                                                                                                                                                                                                                     • Family Resource Network (FRNs) Meetings,                                                                                                                                                                                                                                                                                                                                                                                                                                                                                                                                                                                                                                               • BBH Required Events                                                                                                                                                                                                                                                                                                                                                                                                                                                                                                </t>
    </r>
    <r>
      <rPr>
        <sz val="11"/>
        <color theme="1"/>
        <rFont val="Calibri"/>
      </rPr>
      <t xml:space="preserve"> </t>
    </r>
    <r>
      <rPr>
        <sz val="8"/>
        <color theme="1"/>
        <rFont val="Calibri"/>
      </rPr>
      <t xml:space="preserve">  • Activities/ efforts to reach high-risk populations (Homeless, Veterans, men aged 35-54, pregnant/parenting women, those involved with the criminal justice system, blue-collar professions) </t>
    </r>
  </si>
  <si>
    <t>Lines 12&gt; Column  Q-X</t>
  </si>
  <si>
    <t>Purpose of the Activity - Meeting - Event</t>
  </si>
  <si>
    <t>Lines 12&gt; Column  Y-Z</t>
  </si>
  <si>
    <t>Number of individuals attending - participating the  Activity - Meeting Event - USE NUMBERS ONLY - DO NOT USE ALPHABET</t>
  </si>
  <si>
    <t>Lines 12&gt; Column AA-AD</t>
  </si>
  <si>
    <t xml:space="preserve">Entity, Organization, Agency, Company providing / leading Activity - Meeting - Event - Formal name of the Entity </t>
  </si>
  <si>
    <t>Lines 12&gt; Column AE-AG</t>
  </si>
  <si>
    <t xml:space="preserve">Name of Person(s) Providing / Leading Activity  - Meeting - Event </t>
  </si>
  <si>
    <t>Lines 12&gt; Column AH-AJ</t>
  </si>
  <si>
    <t xml:space="preserve">Credentials of Person(s) Providing / Leading  Activity - Meeting - Event - (Degree, Certification, etc.) </t>
  </si>
  <si>
    <t>Lines 12&gt; Column AK-AN</t>
  </si>
  <si>
    <t xml:space="preserve">Physical Location of Activity - Meeting - Event -  (Include at least City, County) </t>
  </si>
  <si>
    <t>Lines 12&gt; Column AO-AV</t>
  </si>
  <si>
    <t xml:space="preserve">System(s) Organization(s) Represented at the Activity  (Organizations, Companies, Agencies, Groups, etc.) </t>
  </si>
  <si>
    <t>Lines 12&gt; Column AW-AY</t>
  </si>
  <si>
    <t xml:space="preserve">Was the Activity - Meeting - Event done to fulfil the SOR SOW? - Select from Drop-down box (YES/NO) </t>
  </si>
  <si>
    <t>Lines 12&gt; Column AZ-BO</t>
  </si>
  <si>
    <r>
      <rPr>
        <sz val="22"/>
        <color theme="1"/>
        <rFont val="Calibri"/>
      </rPr>
      <t xml:space="preserve">CONSUMER FEEDBACK - SATISFACTION RESULTS   </t>
    </r>
    <r>
      <rPr>
        <sz val="16"/>
        <color theme="1"/>
        <rFont val="Calibri"/>
      </rPr>
      <t>(INVOLVING THE PEER RECOVERY SUPPORT SPECIALIST PROGRAM WITHIN THE FACILITY)</t>
    </r>
  </si>
  <si>
    <t>Lines 12&gt; Column A</t>
  </si>
  <si>
    <t xml:space="preserve">Numbering of the Lines for Consumer Feedback - </t>
  </si>
  <si>
    <t>Lines 12&gt; Column B-D</t>
  </si>
  <si>
    <t>Date of Consumer Feedback Activity - Date Focus Group- Key-Informant Interview, Survey, etc.  Took place - -  Use Month/Day/ Year (00/00/0000)</t>
  </si>
  <si>
    <t>Lines 12&gt; Column E-G</t>
  </si>
  <si>
    <t>Type of Consumer Feedback Activity - Select from Drop-down box</t>
  </si>
  <si>
    <t>Lines 12&gt; Column H-K</t>
  </si>
  <si>
    <t xml:space="preserve">What was the Consumer Feedback Activity Completed for? </t>
  </si>
  <si>
    <t>Lines 12&gt; Column L-P</t>
  </si>
  <si>
    <t xml:space="preserve">Did the feedback indicate that the Service / Activity was accessible to individuals?   </t>
  </si>
  <si>
    <t>Lines 12&gt; Column Q-Z</t>
  </si>
  <si>
    <t>What were the Aggregated results of the feedback. Give a brief narrative of if the information obtained can lead to improvement of service delivery.</t>
  </si>
  <si>
    <t>Lines 12&gt; Column AA-AQ</t>
  </si>
  <si>
    <t xml:space="preserve">NOTES:  Space for a narrative for any specifics required from the drop-down box; or other narrative information the grantee may want to share. </t>
  </si>
  <si>
    <t>SUMMARY   (PEER RECOVERY SUPPORT SPECIALIST PROGRAM WITHIN THE FACILITY)</t>
  </si>
  <si>
    <t xml:space="preserve">SUMMARY OF DATA FROM ALL TABS </t>
  </si>
  <si>
    <t>WV Bureau for Behavioral Health  - Peer Recovery Support Services  V 20200110</t>
  </si>
  <si>
    <r>
      <rPr>
        <i/>
        <sz val="12"/>
        <color theme="1"/>
        <rFont val="Calibri"/>
      </rPr>
      <t xml:space="preserve">Program reports need to be submitted electronically, via e-mail to </t>
    </r>
    <r>
      <rPr>
        <sz val="12"/>
        <color theme="1"/>
        <rFont val="Calibri"/>
      </rPr>
      <t xml:space="preserve">DHHRBBHReporting@wv.gov </t>
    </r>
    <r>
      <rPr>
        <i/>
        <sz val="12"/>
        <color theme="1"/>
        <rFont val="Calibri"/>
      </rPr>
      <t xml:space="preserve"> within 25 calendar days of the end of each month </t>
    </r>
  </si>
  <si>
    <r>
      <rPr>
        <b/>
        <sz val="11"/>
        <color rgb="FFFFDDFF"/>
        <rFont val="Calibri"/>
      </rPr>
      <t xml:space="preserve">A:  Grantee - Program Information ALL ENTRIES - CHANGES NEED TO BE MADE ON THIS TAB - </t>
    </r>
    <r>
      <rPr>
        <b/>
        <sz val="11"/>
        <color rgb="FFFF0000"/>
        <rFont val="Calibri"/>
      </rPr>
      <t>INFORMATION ON LINES 4 - 8 WILL POPULATE TO ALL THE OTHER TABS</t>
    </r>
  </si>
  <si>
    <r>
      <rPr>
        <sz val="11"/>
        <color theme="1"/>
        <rFont val="Calibri"/>
      </rPr>
      <t xml:space="preserve">Program Name:  </t>
    </r>
    <r>
      <rPr>
        <sz val="8"/>
        <color theme="1"/>
        <rFont val="Calibri"/>
      </rPr>
      <t xml:space="preserve">(same as on Statement of Work): </t>
    </r>
  </si>
  <si>
    <r>
      <rPr>
        <sz val="11"/>
        <color theme="1"/>
        <rFont val="Calibri"/>
      </rPr>
      <t xml:space="preserve">Name of Program </t>
    </r>
    <r>
      <rPr>
        <sz val="8"/>
        <color theme="1"/>
        <rFont val="Calibri"/>
      </rPr>
      <t>(given by Grantee):</t>
    </r>
  </si>
  <si>
    <t>Contact Name (s)</t>
  </si>
  <si>
    <r>
      <rPr>
        <b/>
        <sz val="11"/>
        <color theme="1"/>
        <rFont val="Calibri"/>
      </rPr>
      <t xml:space="preserve">Month Being Reported </t>
    </r>
    <r>
      <rPr>
        <sz val="8"/>
        <color theme="1"/>
        <rFont val="Calibri"/>
      </rPr>
      <t>(Month/Year)</t>
    </r>
    <r>
      <rPr>
        <sz val="11"/>
        <color theme="1"/>
        <rFont val="Calibri"/>
      </rPr>
      <t>:</t>
    </r>
  </si>
  <si>
    <t xml:space="preserve">B:  Staff funded by the Grant (Initials will populate to Evidence Based Training Tab  and Naloxone Training Distribution Tab </t>
  </si>
  <si>
    <t>#</t>
  </si>
  <si>
    <t>Date Started Employment for Grant 00/00/0000</t>
  </si>
  <si>
    <t>End Date for Employment for Grant 00/00/0000</t>
  </si>
  <si>
    <t xml:space="preserve">C: Pertinent Information / Service Delivery Interruptions:  </t>
  </si>
  <si>
    <t>2021</t>
  </si>
  <si>
    <t>Pertinent Information  / Service Delivery Interruptions - Updates - Highlights [ Provide a description of 3 Major Activities / Accomplishments related to measurable outcomes - Provide a description of barriers, how they were addressed, as well as remaining barriers]</t>
  </si>
  <si>
    <t>Prior to October 2021</t>
  </si>
  <si>
    <t>x</t>
  </si>
  <si>
    <t xml:space="preserve">OCTOBER </t>
  </si>
  <si>
    <t>November</t>
  </si>
  <si>
    <t>December</t>
  </si>
  <si>
    <t>xx</t>
  </si>
  <si>
    <t>2022</t>
  </si>
  <si>
    <t>January</t>
  </si>
  <si>
    <t>February</t>
  </si>
  <si>
    <t>March</t>
  </si>
  <si>
    <t>April</t>
  </si>
  <si>
    <t>May</t>
  </si>
  <si>
    <t>June</t>
  </si>
  <si>
    <t>July</t>
  </si>
  <si>
    <t>August</t>
  </si>
  <si>
    <t>September</t>
  </si>
  <si>
    <t>2023</t>
  </si>
  <si>
    <t>Internal Space for Grantee</t>
  </si>
  <si>
    <t xml:space="preserve">Internal Unique Client I.D </t>
  </si>
  <si>
    <t xml:space="preserve">Date Referred to Program </t>
  </si>
  <si>
    <t xml:space="preserve">Disposition of Referral </t>
  </si>
  <si>
    <t>Date of Admission / Enrollment into Program</t>
  </si>
  <si>
    <t>NOTES</t>
  </si>
  <si>
    <t>A: Grantee - Program Information  (ANY CHANGES INCLUDING THE DATE ON Rows 4 - 9 will need to be changed on GRANTEE SET UP &amp; INFO TAB [an earlier tab])</t>
  </si>
  <si>
    <r>
      <rPr>
        <sz val="11"/>
        <color theme="1"/>
        <rFont val="Calibri"/>
      </rPr>
      <t xml:space="preserve">Program Name:  </t>
    </r>
    <r>
      <rPr>
        <sz val="8"/>
        <color theme="1"/>
        <rFont val="Calibri"/>
      </rPr>
      <t xml:space="preserve">(same as on Statement of Work): </t>
    </r>
  </si>
  <si>
    <r>
      <rPr>
        <sz val="11"/>
        <color theme="1"/>
        <rFont val="Calibri"/>
      </rPr>
      <t xml:space="preserve">Name of Program </t>
    </r>
    <r>
      <rPr>
        <sz val="8"/>
        <color theme="1"/>
        <rFont val="Calibri"/>
      </rPr>
      <t>(given by Grantee):</t>
    </r>
  </si>
  <si>
    <t>Contact Name (s):</t>
  </si>
  <si>
    <r>
      <rPr>
        <b/>
        <sz val="11"/>
        <color rgb="FFFF0000"/>
        <rFont val="Calibri"/>
      </rPr>
      <t xml:space="preserve">Month Being Reported </t>
    </r>
    <r>
      <rPr>
        <sz val="8"/>
        <color rgb="FFFF0000"/>
        <rFont val="Calibri"/>
      </rPr>
      <t>(Month/Year)</t>
    </r>
    <r>
      <rPr>
        <sz val="11"/>
        <color rgb="FFFF0000"/>
        <rFont val="Calibri"/>
      </rPr>
      <t>:</t>
    </r>
  </si>
  <si>
    <r>
      <rPr>
        <b/>
        <sz val="11"/>
        <color theme="0"/>
        <rFont val="Calibri"/>
      </rPr>
      <t xml:space="preserve">The above Information on ROWS 5,6,7,8,and 9  will populate to the other tabs  - Any changes on the above information will need to be made on the GRANTEE SET UP INFO &amp; DATE tab-                                                                                                                                                                                                                                                                                                                                                                  THIS SAME FORM IS DESIGNED TO BE USED FOR THE ENTIRE FISCAL YEAR </t>
    </r>
    <r>
      <rPr>
        <b/>
        <sz val="11"/>
        <color rgb="FFFABF8F"/>
        <rFont val="Calibri"/>
      </rPr>
      <t xml:space="preserve"> BROWN FONT INDICATES DROP-DOWN BOX        </t>
    </r>
    <r>
      <rPr>
        <b/>
        <sz val="11"/>
        <color theme="0"/>
        <rFont val="Calibri"/>
      </rPr>
      <t xml:space="preserve">                                                                                                                                                                                                                                                                </t>
    </r>
  </si>
  <si>
    <t>B Referrals Received -   INFORMATION FROM THIS TAB WILL NOT POPULATE TO OTHER TABS</t>
  </si>
  <si>
    <t xml:space="preserve">CLIENT IDENTIFIER </t>
  </si>
  <si>
    <t xml:space="preserve">COMPLETE AT TIME OF REFERRAL  - ADMISSION / ENROLLMENT INTO THE PROGRAM </t>
  </si>
  <si>
    <t>00/00/0000</t>
  </si>
  <si>
    <t>e</t>
  </si>
  <si>
    <t>k</t>
  </si>
  <si>
    <t>j</t>
  </si>
  <si>
    <t>m</t>
  </si>
  <si>
    <t>l</t>
  </si>
  <si>
    <t>b</t>
  </si>
  <si>
    <t>h</t>
  </si>
  <si>
    <t>f</t>
  </si>
  <si>
    <t>c</t>
  </si>
  <si>
    <t>I</t>
  </si>
  <si>
    <t xml:space="preserve">Date Referred to Harm Reduction Program </t>
  </si>
  <si>
    <t>Date of Admission / Enrollment into Harm Reduction Program</t>
  </si>
  <si>
    <t xml:space="preserve">Readmitted to Harm Reduction program while funded by grant </t>
  </si>
  <si>
    <r>
      <rPr>
        <b/>
        <sz val="9"/>
        <color rgb="FF974806"/>
        <rFont val="Calibri"/>
      </rPr>
      <t xml:space="preserve">Initials of Staff </t>
    </r>
    <r>
      <rPr>
        <b/>
        <sz val="8"/>
        <color rgb="FF974806"/>
        <rFont val="Calibri"/>
      </rPr>
      <t>*</t>
    </r>
  </si>
  <si>
    <t>Age</t>
  </si>
  <si>
    <t>Gender</t>
  </si>
  <si>
    <t>Race</t>
  </si>
  <si>
    <t>Hispanic Latino Origin</t>
  </si>
  <si>
    <t>Veteran</t>
  </si>
  <si>
    <t>Assisted with Enrollment into Medicaid</t>
  </si>
  <si>
    <r>
      <rPr>
        <sz val="8"/>
        <color theme="1"/>
        <rFont val="Calibri"/>
      </rPr>
      <t xml:space="preserve">Resources </t>
    </r>
    <r>
      <rPr>
        <u/>
        <sz val="8"/>
        <color theme="1"/>
        <rFont val="Calibri"/>
      </rPr>
      <t>referred</t>
    </r>
    <r>
      <rPr>
        <sz val="8"/>
        <color theme="1"/>
        <rFont val="Calibri"/>
      </rPr>
      <t xml:space="preserve"> by grantee to support recovery by type (Select from Line 13; Column V-AC) Use # beside resource</t>
    </r>
  </si>
  <si>
    <r>
      <rPr>
        <sz val="8"/>
        <color theme="1"/>
        <rFont val="Calibri"/>
      </rPr>
      <t xml:space="preserve">Resources </t>
    </r>
    <r>
      <rPr>
        <u/>
        <sz val="8"/>
        <color theme="1"/>
        <rFont val="Calibri"/>
      </rPr>
      <t>offered</t>
    </r>
    <r>
      <rPr>
        <sz val="8"/>
        <color theme="1"/>
        <rFont val="Calibri"/>
      </rPr>
      <t xml:space="preserve"> by grantee to support recovery by type (Select from Line 13; Column V-AC Use # beside resource </t>
    </r>
  </si>
  <si>
    <t xml:space="preserve">Client has Recovery Plan </t>
  </si>
  <si>
    <t xml:space="preserve">Does Client have a known history of a Substance Use Disorder </t>
  </si>
  <si>
    <t>Client Pregnant at admission or during stay IF FEMALE MUST CHOOSE YES/NO</t>
  </si>
  <si>
    <t>If Pregnant, Due Date</t>
  </si>
  <si>
    <t>Actual Delivery Date</t>
  </si>
  <si>
    <t>Client on MAT at time of admission to program (need to verify)</t>
  </si>
  <si>
    <t xml:space="preserve"> Client referred for MAT at admission or during stay  to program </t>
  </si>
  <si>
    <r>
      <rPr>
        <sz val="8"/>
        <color rgb="FF974806"/>
        <rFont val="Calibri"/>
      </rPr>
      <t>admitted to MAT</t>
    </r>
    <r>
      <rPr>
        <u/>
        <sz val="8"/>
        <color rgb="FF974806"/>
        <rFont val="Calibri"/>
      </rPr>
      <t xml:space="preserve"> while in</t>
    </r>
    <r>
      <rPr>
        <sz val="8"/>
        <color rgb="FF974806"/>
        <rFont val="Calibri"/>
      </rPr>
      <t xml:space="preserve"> program</t>
    </r>
  </si>
  <si>
    <t xml:space="preserve">Date Admitted / Started MAT </t>
  </si>
  <si>
    <t>Type of MAT Utilized by Client (Must Choose one - None Included)</t>
  </si>
  <si>
    <t xml:space="preserve"> remained on the following MAT during stay  in program </t>
  </si>
  <si>
    <t>Was client Discharged</t>
  </si>
  <si>
    <t>Date of Discharge</t>
  </si>
  <si>
    <t xml:space="preserve">Reason for Discharge </t>
  </si>
  <si>
    <t xml:space="preserve">Discharged to: (physical location and proposed services) </t>
  </si>
  <si>
    <t>A:  Grantee - Program Information  (ANY CHANGES INCLUDING THE DATE ON Rows6- 9 will need to be changed on GRANTEE SET UP &amp; INFO TAB [an earlier tab])</t>
  </si>
  <si>
    <r>
      <rPr>
        <sz val="11"/>
        <color theme="1"/>
        <rFont val="Calibri"/>
      </rPr>
      <t xml:space="preserve">Program Name:  </t>
    </r>
    <r>
      <rPr>
        <sz val="8"/>
        <color theme="1"/>
        <rFont val="Calibri"/>
      </rPr>
      <t xml:space="preserve">(same as on Statement of Work): </t>
    </r>
  </si>
  <si>
    <r>
      <rPr>
        <sz val="11"/>
        <color theme="1"/>
        <rFont val="Calibri"/>
      </rPr>
      <t xml:space="preserve">Name of Program </t>
    </r>
    <r>
      <rPr>
        <sz val="8"/>
        <color theme="1"/>
        <rFont val="Calibri"/>
      </rPr>
      <t>(given by Grantee):;</t>
    </r>
  </si>
  <si>
    <t>Contact Phone(s)</t>
  </si>
  <si>
    <t>Grantee Number :</t>
  </si>
  <si>
    <r>
      <rPr>
        <b/>
        <sz val="11"/>
        <color rgb="FFFF0000"/>
        <rFont val="Calibri"/>
      </rPr>
      <t xml:space="preserve">Month Being Reported </t>
    </r>
    <r>
      <rPr>
        <sz val="8"/>
        <color rgb="FFFF0000"/>
        <rFont val="Calibri"/>
      </rPr>
      <t>(Month/Year)</t>
    </r>
    <r>
      <rPr>
        <sz val="11"/>
        <color rgb="FFFF0000"/>
        <rFont val="Calibri"/>
      </rPr>
      <t>:</t>
    </r>
  </si>
  <si>
    <t xml:space="preserve">Program Code: </t>
  </si>
  <si>
    <r>
      <rPr>
        <b/>
        <sz val="11"/>
        <color theme="0"/>
        <rFont val="Calibri"/>
      </rPr>
      <t xml:space="preserve">The above Information on ROWS ,6,7,8,9 and 10  will populate to the other tabs  - Any changes on the above information will need to be made on the GRANTEE SET UP INFO &amp; DATE tab-                                                                                                                                                                                                                                    THIS SAME FORM IS DESIGNED TO BE USED FOR THE ENTIRE YEAR </t>
    </r>
    <r>
      <rPr>
        <b/>
        <sz val="11"/>
        <color rgb="FFFABF8F"/>
        <rFont val="Calibri"/>
      </rPr>
      <t xml:space="preserve"> BROWN FONT INDICATES DROP-DOWN BOX        </t>
    </r>
    <r>
      <rPr>
        <b/>
        <sz val="11"/>
        <color theme="0"/>
        <rFont val="Calibri"/>
      </rPr>
      <t xml:space="preserve">                                                                                                                                                                                                                                                                </t>
    </r>
  </si>
  <si>
    <r>
      <rPr>
        <b/>
        <sz val="14"/>
        <color theme="0"/>
        <rFont val="Calibri"/>
      </rPr>
      <t xml:space="preserve">B Client Demographics  - Other Information    </t>
    </r>
    <r>
      <rPr>
        <b/>
        <sz val="11"/>
        <color theme="0"/>
        <rFont val="Calibri"/>
      </rPr>
      <t xml:space="preserve">FOR INDIVIDUALS ADMITTED TO THE PROGRAM UNDER THE SOR GRANT  </t>
    </r>
    <r>
      <rPr>
        <b/>
        <sz val="14"/>
        <color theme="0"/>
        <rFont val="Calibri"/>
      </rPr>
      <t xml:space="preserve"> COLUMNS WITH BLUE FONT WILL POPULATE TO OTHER TABS</t>
    </r>
  </si>
  <si>
    <r>
      <rPr>
        <b/>
        <sz val="14"/>
        <color rgb="FF0070C0"/>
        <rFont val="Calibri"/>
      </rPr>
      <t xml:space="preserve">COMPLETE AT TIME OF  INTIAL CONTACT  -  ADMISSION / ENROLLMENT INTO THE PROGRAM                                                                                                                                                        </t>
    </r>
    <r>
      <rPr>
        <b/>
        <sz val="10"/>
        <color rgb="FF0070C0"/>
        <rFont val="Calibri"/>
      </rPr>
      <t xml:space="preserve">     (An individual may have an initial contact before being formally admitted / enrolled in the program) </t>
    </r>
  </si>
  <si>
    <t xml:space="preserve">(1) Housing,                                                                                                                                                                            (2) Employment,                                                                      (3) Educational,                                                                       (4) Medical,                                                                                  (5)  MH Counseling,                                                                  (6) Childcare,                                                                                               (7) Transportation,          </t>
  </si>
  <si>
    <t>(8) Support Group,           (9) Relapse Prevention, (10) Crisis Support,             (11) HIV Testing,                      (12) Hepatitis B Testing , (13) Hepatitis C Testing, (14) Other (Specify)</t>
  </si>
  <si>
    <t>Recovery Plan</t>
  </si>
  <si>
    <t>Diagnostic Information</t>
  </si>
  <si>
    <t xml:space="preserve">PREGNANCY STATUS </t>
  </si>
  <si>
    <t xml:space="preserve">Medication Assisted Treatment (MAT) </t>
  </si>
  <si>
    <t xml:space="preserve">Complete at Discharge from the PRSS Program </t>
  </si>
  <si>
    <t xml:space="preserve">Date Referred to PRSS Program </t>
  </si>
  <si>
    <t xml:space="preserve">Readmitted to PRSS program while funded by grant </t>
  </si>
  <si>
    <r>
      <rPr>
        <b/>
        <sz val="9"/>
        <color rgb="FF974806"/>
        <rFont val="Calibri"/>
      </rPr>
      <t>Initials of Staff</t>
    </r>
    <r>
      <rPr>
        <b/>
        <sz val="8"/>
        <color rgb="FF974806"/>
        <rFont val="Calibri"/>
      </rPr>
      <t xml:space="preserve"> *</t>
    </r>
  </si>
  <si>
    <r>
      <rPr>
        <b/>
        <sz val="10"/>
        <color theme="1"/>
        <rFont val="Calibri"/>
      </rPr>
      <t xml:space="preserve">Resources </t>
    </r>
    <r>
      <rPr>
        <b/>
        <u/>
        <sz val="10"/>
        <color theme="1"/>
        <rFont val="Calibri"/>
      </rPr>
      <t>referred</t>
    </r>
    <r>
      <rPr>
        <b/>
        <sz val="10"/>
        <color theme="1"/>
        <rFont val="Calibri"/>
      </rPr>
      <t xml:space="preserve"> by grantee to support recovery by type</t>
    </r>
    <r>
      <rPr>
        <b/>
        <sz val="8"/>
        <color theme="1"/>
        <rFont val="Calibri"/>
      </rPr>
      <t xml:space="preserve">  (Select from Line 13; Column V-AC) Use # beside resource</t>
    </r>
  </si>
  <si>
    <r>
      <rPr>
        <b/>
        <sz val="10"/>
        <color theme="1"/>
        <rFont val="Calibri"/>
      </rPr>
      <t xml:space="preserve">Resources </t>
    </r>
    <r>
      <rPr>
        <b/>
        <u/>
        <sz val="10"/>
        <color theme="1"/>
        <rFont val="Calibri"/>
      </rPr>
      <t>offered</t>
    </r>
    <r>
      <rPr>
        <b/>
        <sz val="10"/>
        <color theme="1"/>
        <rFont val="Calibri"/>
      </rPr>
      <t xml:space="preserve"> by grantee to support recovery by type </t>
    </r>
    <r>
      <rPr>
        <b/>
        <sz val="8"/>
        <color theme="1"/>
        <rFont val="Calibri"/>
      </rPr>
      <t xml:space="preserve"> (Select from Line 13; Column V-AC) Use # beside resource</t>
    </r>
  </si>
  <si>
    <t>Client  on MAT at time of admission to program (need to verify)</t>
  </si>
  <si>
    <t xml:space="preserve"> Client referred for MAT at admission or during stay to  program  </t>
  </si>
  <si>
    <r>
      <rPr>
        <sz val="10"/>
        <color rgb="FF974806"/>
        <rFont val="Calibri"/>
      </rPr>
      <t>admitted to MAT</t>
    </r>
    <r>
      <rPr>
        <b/>
        <u/>
        <sz val="10"/>
        <color rgb="FF974806"/>
        <rFont val="Calibri"/>
      </rPr>
      <t xml:space="preserve"> while in</t>
    </r>
    <r>
      <rPr>
        <sz val="10"/>
        <color rgb="FF974806"/>
        <rFont val="Calibri"/>
      </rPr>
      <t xml:space="preserve">  program</t>
    </r>
  </si>
  <si>
    <t xml:space="preserve">Date  Started MAT </t>
  </si>
  <si>
    <r>
      <rPr>
        <sz val="11"/>
        <color rgb="FF974806"/>
        <rFont val="Calibri"/>
      </rPr>
      <t>Type of MAT Utilized by Client</t>
    </r>
    <r>
      <rPr>
        <b/>
        <sz val="11"/>
        <color rgb="FF974806"/>
        <rFont val="Calibri"/>
      </rPr>
      <t xml:space="preserve"> </t>
    </r>
    <r>
      <rPr>
        <b/>
        <sz val="9"/>
        <color rgb="FF974806"/>
        <rFont val="Calibri"/>
      </rPr>
      <t>(Must Choose one - None Included)</t>
    </r>
  </si>
  <si>
    <t xml:space="preserve"> remained on the following MAT during stay in  program </t>
  </si>
  <si>
    <t xml:space="preserve">Discharged to: (Physical location and proposed services) </t>
  </si>
  <si>
    <t>00/00/000</t>
  </si>
  <si>
    <t xml:space="preserve">Internal Client I.D </t>
  </si>
  <si>
    <r>
      <rPr>
        <b/>
        <sz val="10"/>
        <color rgb="FF0070C0"/>
        <rFont val="Calibri"/>
      </rPr>
      <t xml:space="preserve">Date of Admission </t>
    </r>
    <r>
      <rPr>
        <b/>
        <sz val="8"/>
        <color rgb="FF0070C0"/>
        <rFont val="Calibri"/>
      </rPr>
      <t>(will auto populate)                              00/00/0000</t>
    </r>
  </si>
  <si>
    <r>
      <rPr>
        <sz val="8"/>
        <color theme="1"/>
        <rFont val="Calibri"/>
      </rPr>
      <t>Employment</t>
    </r>
    <r>
      <rPr>
        <sz val="6"/>
        <color theme="1"/>
        <rFont val="Calibri"/>
      </rPr>
      <t xml:space="preserve">  (use numeral (1) if applicable)</t>
    </r>
  </si>
  <si>
    <r>
      <rPr>
        <sz val="8"/>
        <color theme="1"/>
        <rFont val="Calibri"/>
      </rPr>
      <t xml:space="preserve">Student </t>
    </r>
    <r>
      <rPr>
        <sz val="6"/>
        <color theme="1"/>
        <rFont val="Calibri"/>
      </rPr>
      <t>(use numeral (1) if applicable)</t>
    </r>
  </si>
  <si>
    <r>
      <rPr>
        <sz val="8"/>
        <color theme="1"/>
        <rFont val="Calibri"/>
      </rPr>
      <t xml:space="preserve">Stable Living Situation </t>
    </r>
    <r>
      <rPr>
        <sz val="6"/>
        <color theme="1"/>
        <rFont val="Calibri"/>
      </rPr>
      <t>(use numeral (1) if applicable)</t>
    </r>
  </si>
  <si>
    <r>
      <rPr>
        <sz val="8"/>
        <color theme="1"/>
        <rFont val="Calibri"/>
      </rPr>
      <t>LEGAL - Arrest</t>
    </r>
    <r>
      <rPr>
        <sz val="6"/>
        <color theme="1"/>
        <rFont val="Calibri"/>
      </rPr>
      <t xml:space="preserve"> (use numeral (1) if applicable)</t>
    </r>
  </si>
  <si>
    <r>
      <rPr>
        <sz val="8"/>
        <color theme="1"/>
        <rFont val="Calibri"/>
      </rPr>
      <t xml:space="preserve">Alcohol Use </t>
    </r>
    <r>
      <rPr>
        <sz val="6"/>
        <color theme="1"/>
        <rFont val="Calibri"/>
      </rPr>
      <t>(use numeral (1) if applicable)</t>
    </r>
  </si>
  <si>
    <r>
      <rPr>
        <sz val="8"/>
        <color theme="1"/>
        <rFont val="Calibri"/>
      </rPr>
      <t xml:space="preserve">Illegal drugs used </t>
    </r>
    <r>
      <rPr>
        <sz val="6"/>
        <color theme="1"/>
        <rFont val="Calibri"/>
      </rPr>
      <t>(use numeral (1) if applicable)</t>
    </r>
  </si>
  <si>
    <r>
      <rPr>
        <sz val="8"/>
        <color theme="1"/>
        <rFont val="Calibri"/>
      </rPr>
      <t xml:space="preserve">self-help groups (AA, NA, etc.) </t>
    </r>
    <r>
      <rPr>
        <sz val="6"/>
        <color theme="1"/>
        <rFont val="Calibri"/>
      </rPr>
      <t>(use numeral (1) if applicable)</t>
    </r>
  </si>
  <si>
    <r>
      <rPr>
        <b/>
        <sz val="10"/>
        <color rgb="FF0070C0"/>
        <rFont val="Calibri"/>
      </rPr>
      <t xml:space="preserve">Date of Admission </t>
    </r>
    <r>
      <rPr>
        <b/>
        <sz val="8"/>
        <color rgb="FF0070C0"/>
        <rFont val="Calibri"/>
      </rPr>
      <t>(will auto populate)                              00/00/0000</t>
    </r>
  </si>
  <si>
    <r>
      <rPr>
        <sz val="8"/>
        <color theme="1"/>
        <rFont val="Calibri"/>
      </rPr>
      <t>Employment</t>
    </r>
    <r>
      <rPr>
        <sz val="6"/>
        <color theme="1"/>
        <rFont val="Calibri"/>
      </rPr>
      <t xml:space="preserve">  (use numeral (1) if applicable)</t>
    </r>
  </si>
  <si>
    <r>
      <rPr>
        <sz val="8"/>
        <color theme="1"/>
        <rFont val="Calibri"/>
      </rPr>
      <t xml:space="preserve">Student </t>
    </r>
    <r>
      <rPr>
        <sz val="6"/>
        <color theme="1"/>
        <rFont val="Calibri"/>
      </rPr>
      <t>(use numeral (1) if applicable)</t>
    </r>
  </si>
  <si>
    <r>
      <rPr>
        <sz val="8"/>
        <color theme="1"/>
        <rFont val="Calibri"/>
      </rPr>
      <t xml:space="preserve">Stable Living Situation </t>
    </r>
    <r>
      <rPr>
        <sz val="6"/>
        <color theme="1"/>
        <rFont val="Calibri"/>
      </rPr>
      <t>(use numeral (1) if applicable)</t>
    </r>
  </si>
  <si>
    <r>
      <rPr>
        <sz val="8"/>
        <color theme="1"/>
        <rFont val="Calibri"/>
      </rPr>
      <t>LEGAL - Arrest</t>
    </r>
    <r>
      <rPr>
        <sz val="6"/>
        <color theme="1"/>
        <rFont val="Calibri"/>
      </rPr>
      <t xml:space="preserve"> (use numeral (1) if applicable)</t>
    </r>
  </si>
  <si>
    <r>
      <rPr>
        <sz val="8"/>
        <color theme="1"/>
        <rFont val="Calibri"/>
      </rPr>
      <t xml:space="preserve">Alcohol Use </t>
    </r>
    <r>
      <rPr>
        <sz val="6"/>
        <color theme="1"/>
        <rFont val="Calibri"/>
      </rPr>
      <t>(use numeral (1) if applicable)</t>
    </r>
  </si>
  <si>
    <r>
      <rPr>
        <sz val="8"/>
        <color theme="1"/>
        <rFont val="Calibri"/>
      </rPr>
      <t xml:space="preserve">Illegal drugs used </t>
    </r>
    <r>
      <rPr>
        <sz val="6"/>
        <color theme="1"/>
        <rFont val="Calibri"/>
      </rPr>
      <t>(use numeral (1) if applicable)</t>
    </r>
  </si>
  <si>
    <r>
      <rPr>
        <sz val="8"/>
        <color theme="1"/>
        <rFont val="Calibri"/>
      </rPr>
      <t xml:space="preserve">self-help groups (AA, NA, etc.) </t>
    </r>
    <r>
      <rPr>
        <sz val="6"/>
        <color theme="1"/>
        <rFont val="Calibri"/>
      </rPr>
      <t>(use numeral (1) if applicable)</t>
    </r>
  </si>
  <si>
    <t xml:space="preserve">A:  Grantee - Program Information </t>
  </si>
  <si>
    <r>
      <rPr>
        <sz val="11"/>
        <color theme="1"/>
        <rFont val="Calibri"/>
      </rPr>
      <t xml:space="preserve">Program Name:  </t>
    </r>
    <r>
      <rPr>
        <sz val="8"/>
        <color theme="1"/>
        <rFont val="Calibri"/>
      </rPr>
      <t xml:space="preserve">(same as on Statement of Work): </t>
    </r>
  </si>
  <si>
    <r>
      <rPr>
        <sz val="11"/>
        <color theme="1"/>
        <rFont val="Calibri"/>
      </rPr>
      <t xml:space="preserve">Name of Program </t>
    </r>
    <r>
      <rPr>
        <sz val="8"/>
        <color theme="1"/>
        <rFont val="Calibri"/>
      </rPr>
      <t>(given by Grantee):</t>
    </r>
  </si>
  <si>
    <r>
      <rPr>
        <b/>
        <sz val="11"/>
        <color rgb="FFFF0000"/>
        <rFont val="Calibri"/>
      </rPr>
      <t xml:space="preserve">Month Being Reported </t>
    </r>
    <r>
      <rPr>
        <sz val="8"/>
        <color rgb="FFFF0000"/>
        <rFont val="Calibri"/>
      </rPr>
      <t>(Month/Year)</t>
    </r>
    <r>
      <rPr>
        <sz val="11"/>
        <color rgb="FFFF0000"/>
        <rFont val="Calibri"/>
      </rPr>
      <t>:</t>
    </r>
  </si>
  <si>
    <r>
      <rPr>
        <b/>
        <sz val="11"/>
        <color theme="0"/>
        <rFont val="Calibri"/>
      </rPr>
      <t xml:space="preserve">The above Information on ROWS 5,6,7,8,9 and 10  will populate to the other tabs  - Any changes (including the date) on the above information will need to be made on the tab (GRANTEE SET UP  INFO &amp; DATE)  -                                                                                                                                                                                                                           THIS SAME FORM IS DESIGNED TO BE USED FOR THE ENTIRE YEAR </t>
    </r>
    <r>
      <rPr>
        <b/>
        <sz val="11"/>
        <color rgb="FFFABF8F"/>
        <rFont val="Calibri"/>
      </rPr>
      <t xml:space="preserve"> BROWN FONT INDICATES DROP-DOWN BOX        </t>
    </r>
    <r>
      <rPr>
        <b/>
        <sz val="11"/>
        <color theme="0"/>
        <rFont val="Calibri"/>
      </rPr>
      <t xml:space="preserve">                                                                                                                                                                                                                                                                </t>
    </r>
  </si>
  <si>
    <r>
      <rPr>
        <b/>
        <sz val="11"/>
        <color theme="1"/>
        <rFont val="Calibri"/>
      </rPr>
      <t xml:space="preserve">CLIENT INFORMATION </t>
    </r>
    <r>
      <rPr>
        <sz val="9"/>
        <color theme="1"/>
        <rFont val="Calibri"/>
      </rPr>
      <t xml:space="preserve">                           (will auto populate)</t>
    </r>
  </si>
  <si>
    <t>30 DAYS BEFORE ADMISSION  (Use numeral (1) if applicable)</t>
  </si>
  <si>
    <t>POST 30 DAYS AFTER DISCHARGE   (Use numeral (1) if applicable)</t>
  </si>
  <si>
    <r>
      <rPr>
        <b/>
        <sz val="10"/>
        <color rgb="FF0070C0"/>
        <rFont val="Calibri"/>
      </rPr>
      <t xml:space="preserve">Date of Admission </t>
    </r>
    <r>
      <rPr>
        <b/>
        <sz val="8"/>
        <color rgb="FF0070C0"/>
        <rFont val="Calibri"/>
      </rPr>
      <t>(will auto populate)                              00/00/0000</t>
    </r>
  </si>
  <si>
    <r>
      <rPr>
        <sz val="8"/>
        <color theme="1"/>
        <rFont val="Calibri"/>
      </rPr>
      <t>Employment</t>
    </r>
    <r>
      <rPr>
        <sz val="6"/>
        <color theme="1"/>
        <rFont val="Calibri"/>
      </rPr>
      <t xml:space="preserve">  (use numeral (1) if applicable)</t>
    </r>
  </si>
  <si>
    <r>
      <rPr>
        <sz val="8"/>
        <color theme="1"/>
        <rFont val="Calibri"/>
      </rPr>
      <t xml:space="preserve">Student </t>
    </r>
    <r>
      <rPr>
        <sz val="6"/>
        <color theme="1"/>
        <rFont val="Calibri"/>
      </rPr>
      <t>(use numeral (1) if applicable)</t>
    </r>
  </si>
  <si>
    <r>
      <rPr>
        <sz val="8"/>
        <color theme="1"/>
        <rFont val="Calibri"/>
      </rPr>
      <t xml:space="preserve">Stable Living Situation </t>
    </r>
    <r>
      <rPr>
        <sz val="6"/>
        <color theme="1"/>
        <rFont val="Calibri"/>
      </rPr>
      <t>(use numeral (1) if applicable)</t>
    </r>
  </si>
  <si>
    <r>
      <rPr>
        <sz val="8"/>
        <color theme="1"/>
        <rFont val="Calibri"/>
      </rPr>
      <t>LEGAL - Arrest</t>
    </r>
    <r>
      <rPr>
        <sz val="6"/>
        <color theme="1"/>
        <rFont val="Calibri"/>
      </rPr>
      <t xml:space="preserve"> (use numeral (1) if applicable)</t>
    </r>
  </si>
  <si>
    <r>
      <rPr>
        <sz val="8"/>
        <color theme="1"/>
        <rFont val="Calibri"/>
      </rPr>
      <t xml:space="preserve">Alcohol Use </t>
    </r>
    <r>
      <rPr>
        <sz val="6"/>
        <color theme="1"/>
        <rFont val="Calibri"/>
      </rPr>
      <t>(use numeral (1) if applicable)</t>
    </r>
  </si>
  <si>
    <r>
      <rPr>
        <sz val="8"/>
        <color theme="1"/>
        <rFont val="Calibri"/>
      </rPr>
      <t xml:space="preserve">Illegal drugs used </t>
    </r>
    <r>
      <rPr>
        <sz val="6"/>
        <color theme="1"/>
        <rFont val="Calibri"/>
      </rPr>
      <t>(use numeral (1) if applicable)</t>
    </r>
  </si>
  <si>
    <r>
      <rPr>
        <sz val="8"/>
        <color theme="1"/>
        <rFont val="Calibri"/>
      </rPr>
      <t xml:space="preserve">self-help groups (AA, NA, etc.) </t>
    </r>
    <r>
      <rPr>
        <sz val="6"/>
        <color theme="1"/>
        <rFont val="Calibri"/>
      </rPr>
      <t>(use numeral (1) if applicable)</t>
    </r>
  </si>
  <si>
    <r>
      <rPr>
        <b/>
        <sz val="10"/>
        <color rgb="FF0070C0"/>
        <rFont val="Calibri"/>
      </rPr>
      <t xml:space="preserve">Date of Admission </t>
    </r>
    <r>
      <rPr>
        <b/>
        <sz val="8"/>
        <color rgb="FF0070C0"/>
        <rFont val="Calibri"/>
      </rPr>
      <t>(will auto populate)                              00/00/0000</t>
    </r>
  </si>
  <si>
    <r>
      <rPr>
        <sz val="8"/>
        <color theme="1"/>
        <rFont val="Calibri"/>
      </rPr>
      <t>Employment</t>
    </r>
    <r>
      <rPr>
        <sz val="6"/>
        <color theme="1"/>
        <rFont val="Calibri"/>
      </rPr>
      <t xml:space="preserve">  (use numeral (1) if applicable)</t>
    </r>
  </si>
  <si>
    <r>
      <rPr>
        <sz val="8"/>
        <color theme="1"/>
        <rFont val="Calibri"/>
      </rPr>
      <t xml:space="preserve">Student </t>
    </r>
    <r>
      <rPr>
        <sz val="6"/>
        <color theme="1"/>
        <rFont val="Calibri"/>
      </rPr>
      <t>(use numeral (1) if applicable)</t>
    </r>
  </si>
  <si>
    <r>
      <rPr>
        <sz val="8"/>
        <color theme="1"/>
        <rFont val="Calibri"/>
      </rPr>
      <t xml:space="preserve">Stable Living Situation </t>
    </r>
    <r>
      <rPr>
        <sz val="6"/>
        <color theme="1"/>
        <rFont val="Calibri"/>
      </rPr>
      <t>(use numeral (1) if applicable)</t>
    </r>
  </si>
  <si>
    <r>
      <rPr>
        <sz val="8"/>
        <color theme="1"/>
        <rFont val="Calibri"/>
      </rPr>
      <t>LEGAL - Arrest</t>
    </r>
    <r>
      <rPr>
        <sz val="6"/>
        <color theme="1"/>
        <rFont val="Calibri"/>
      </rPr>
      <t xml:space="preserve"> (use numeral (1) if applicable)</t>
    </r>
  </si>
  <si>
    <r>
      <rPr>
        <sz val="8"/>
        <color theme="1"/>
        <rFont val="Calibri"/>
      </rPr>
      <t xml:space="preserve">Alcohol Use </t>
    </r>
    <r>
      <rPr>
        <sz val="6"/>
        <color theme="1"/>
        <rFont val="Calibri"/>
      </rPr>
      <t>(use numeral (1) if applicable)</t>
    </r>
  </si>
  <si>
    <r>
      <rPr>
        <sz val="8"/>
        <color theme="1"/>
        <rFont val="Calibri"/>
      </rPr>
      <t xml:space="preserve">Illegal drugs used </t>
    </r>
    <r>
      <rPr>
        <sz val="6"/>
        <color theme="1"/>
        <rFont val="Calibri"/>
      </rPr>
      <t>(use numeral (1) if applicable)</t>
    </r>
  </si>
  <si>
    <r>
      <rPr>
        <sz val="8"/>
        <color theme="1"/>
        <rFont val="Calibri"/>
      </rPr>
      <t xml:space="preserve">self-help groups (AA, NA, etc.) </t>
    </r>
    <r>
      <rPr>
        <sz val="6"/>
        <color theme="1"/>
        <rFont val="Calibri"/>
      </rPr>
      <t>(use numeral (1) if applicable)</t>
    </r>
  </si>
  <si>
    <t>Date of Training</t>
  </si>
  <si>
    <t xml:space="preserve">TYPE OF TRAINING </t>
  </si>
  <si>
    <t>Description of Training</t>
  </si>
  <si>
    <t>Purpose of Training</t>
  </si>
  <si>
    <t>Entity  Providing Training</t>
  </si>
  <si>
    <t>Location of Training (include city, county)</t>
  </si>
  <si>
    <t>Person(s) Providing Training</t>
  </si>
  <si>
    <t>Credentials of Person(s) Providing Training</t>
  </si>
  <si>
    <t>Was training Funded wholly or in part by grant funds? (YES/NO)</t>
  </si>
  <si>
    <t xml:space="preserve">Was training done to fulfull the SOW ?(YES/NO) </t>
  </si>
  <si>
    <t>Staff 1</t>
  </si>
  <si>
    <t>Staff 2</t>
  </si>
  <si>
    <t>Staff 3</t>
  </si>
  <si>
    <t>Staff 4</t>
  </si>
  <si>
    <t>Staff 5</t>
  </si>
  <si>
    <t>Staff 6</t>
  </si>
  <si>
    <t>Staff 7</t>
  </si>
  <si>
    <t>Staff 8</t>
  </si>
  <si>
    <t>Staff 9</t>
  </si>
  <si>
    <t>Staff 10</t>
  </si>
  <si>
    <t>Staff 11</t>
  </si>
  <si>
    <t>Staff 12</t>
  </si>
  <si>
    <t>Peer Recovery Support Positions</t>
  </si>
  <si>
    <t>Physicians</t>
  </si>
  <si>
    <t>Physician Assistants</t>
  </si>
  <si>
    <t>Nurse Practitioners</t>
  </si>
  <si>
    <t>Nurse (RN, LPN)</t>
  </si>
  <si>
    <t>Social Workers</t>
  </si>
  <si>
    <t>Addiction Counselors</t>
  </si>
  <si>
    <t>Prevention</t>
  </si>
  <si>
    <t xml:space="preserve">Other (Describe in notes) </t>
  </si>
  <si>
    <t xml:space="preserve">A:  Grantee - Program Information  </t>
  </si>
  <si>
    <r>
      <rPr>
        <sz val="11"/>
        <color theme="1"/>
        <rFont val="Calibri"/>
      </rPr>
      <t xml:space="preserve">Program Name:  </t>
    </r>
    <r>
      <rPr>
        <sz val="8"/>
        <color theme="1"/>
        <rFont val="Calibri"/>
      </rPr>
      <t xml:space="preserve">(same as on Statement of Work): </t>
    </r>
  </si>
  <si>
    <r>
      <rPr>
        <sz val="11"/>
        <color theme="1"/>
        <rFont val="Calibri"/>
      </rPr>
      <t xml:space="preserve">Name of Program </t>
    </r>
    <r>
      <rPr>
        <sz val="8"/>
        <color theme="1"/>
        <rFont val="Calibri"/>
      </rPr>
      <t>(given by Grantee):</t>
    </r>
  </si>
  <si>
    <r>
      <rPr>
        <b/>
        <sz val="11"/>
        <color rgb="FFFF0000"/>
        <rFont val="Calibri"/>
      </rPr>
      <t xml:space="preserve">Month Being Reported </t>
    </r>
    <r>
      <rPr>
        <sz val="8"/>
        <color rgb="FFFF0000"/>
        <rFont val="Calibri"/>
      </rPr>
      <t>(Month/Year)</t>
    </r>
    <r>
      <rPr>
        <sz val="11"/>
        <color rgb="FFFF0000"/>
        <rFont val="Calibri"/>
      </rPr>
      <t>:</t>
    </r>
  </si>
  <si>
    <r>
      <rPr>
        <b/>
        <sz val="11"/>
        <color theme="0"/>
        <rFont val="Calibri"/>
      </rPr>
      <t xml:space="preserve">The above Information on ROWS 5,6,7,8,and 9  will populate to the other tabs  - Any changes on the above information will need to be made on the GRANTEE SET UP INFO &amp; DATE tab-                                                                                                                                                                                                                                                              THIS SAME FORM IS DESIGNED TO BE USED FOR THE ENTIRE YEAR........ </t>
    </r>
    <r>
      <rPr>
        <b/>
        <sz val="11"/>
        <color rgb="FFFABF8F"/>
        <rFont val="Calibri"/>
      </rPr>
      <t xml:space="preserve"> BROWN FONT INDICATES A DROP-DOWN BOX        </t>
    </r>
    <r>
      <rPr>
        <b/>
        <sz val="11"/>
        <color theme="0"/>
        <rFont val="Calibri"/>
      </rPr>
      <t xml:space="preserve">                                                                                                                                                                                                                                                                </t>
    </r>
  </si>
  <si>
    <t xml:space="preserve">B:  EVIDENCE BASED TRAINING </t>
  </si>
  <si>
    <t xml:space="preserve">TRAINING </t>
  </si>
  <si>
    <r>
      <rPr>
        <sz val="10"/>
        <color theme="1"/>
        <rFont val="Calibri"/>
      </rPr>
      <t xml:space="preserve">NUMBER OF </t>
    </r>
    <r>
      <rPr>
        <b/>
        <sz val="10"/>
        <color theme="1"/>
        <rFont val="Calibri"/>
      </rPr>
      <t>INTERNAL/EXTERNAL</t>
    </r>
    <r>
      <rPr>
        <sz val="10"/>
        <color theme="1"/>
        <rFont val="Calibri"/>
      </rPr>
      <t xml:space="preserve"> INDIVIDUALS</t>
    </r>
    <r>
      <rPr>
        <b/>
        <sz val="10"/>
        <color theme="1"/>
        <rFont val="Calibri"/>
      </rPr>
      <t xml:space="preserve"> </t>
    </r>
    <r>
      <rPr>
        <sz val="10"/>
        <color rgb="FFFF0000"/>
        <rFont val="Calibri"/>
      </rPr>
      <t>(</t>
    </r>
    <r>
      <rPr>
        <b/>
        <sz val="10"/>
        <color rgb="FFFF0000"/>
        <rFont val="Calibri"/>
      </rPr>
      <t xml:space="preserve">NOT </t>
    </r>
    <r>
      <rPr>
        <sz val="10"/>
        <color rgb="FFFF0000"/>
        <rFont val="Calibri"/>
      </rPr>
      <t xml:space="preserve">FUNDED BY  GRANT) </t>
    </r>
    <r>
      <rPr>
        <sz val="10"/>
        <color theme="1"/>
        <rFont val="Calibri"/>
      </rPr>
      <t>PARTICIPATING  BY DISCIPLINE  (USE NUMBER -DO NOT USE ALPHABET)</t>
    </r>
  </si>
  <si>
    <t>Was training Funded wholly or in part by SOR funds? (YES/NO)</t>
  </si>
  <si>
    <t xml:space="preserve">Was training done to fulfil the SOR SOW? (YES/NO) </t>
  </si>
  <si>
    <t xml:space="preserve">Date of Naloxone Training </t>
  </si>
  <si>
    <t>Location of Training</t>
  </si>
  <si>
    <t>funded wholly or in part by this grant</t>
  </si>
  <si>
    <t>Funded Generally (NOT BY GRANT) List Funding Source under NOTES</t>
  </si>
  <si>
    <t>Date of Naloxone Distribution</t>
  </si>
  <si>
    <t xml:space="preserve">Total # of Naloxone overdose reversal kits distributed </t>
  </si>
  <si>
    <t>Location(s) Naloxone Kits Distributed  (include city, county)</t>
  </si>
  <si>
    <t>Naloxone Kits funded wholly or in part by SOR</t>
  </si>
  <si>
    <t xml:space="preserve">Date  Aware of Overdose Reversals </t>
  </si>
  <si>
    <t xml:space="preserve">Number of Overdose Reversals </t>
  </si>
  <si>
    <t xml:space="preserve">A:  Grantee - Program Information   </t>
  </si>
  <si>
    <r>
      <rPr>
        <sz val="11"/>
        <color theme="1"/>
        <rFont val="Calibri"/>
      </rPr>
      <t xml:space="preserve">Program Name:  </t>
    </r>
    <r>
      <rPr>
        <sz val="8"/>
        <color theme="1"/>
        <rFont val="Calibri"/>
      </rPr>
      <t xml:space="preserve">(same as on SOW): </t>
    </r>
  </si>
  <si>
    <r>
      <rPr>
        <sz val="11"/>
        <color theme="1"/>
        <rFont val="Calibri"/>
      </rPr>
      <t xml:space="preserve">Name of Program </t>
    </r>
    <r>
      <rPr>
        <sz val="8"/>
        <color theme="1"/>
        <rFont val="Calibri"/>
      </rPr>
      <t>(given by Grantee):</t>
    </r>
  </si>
  <si>
    <r>
      <rPr>
        <b/>
        <sz val="11"/>
        <color rgb="FFFF0000"/>
        <rFont val="Calibri"/>
      </rPr>
      <t xml:space="preserve">Month Being Reported </t>
    </r>
    <r>
      <rPr>
        <sz val="8"/>
        <color rgb="FFFF0000"/>
        <rFont val="Calibri"/>
      </rPr>
      <t>(Month/Year)</t>
    </r>
    <r>
      <rPr>
        <sz val="11"/>
        <color rgb="FFFF0000"/>
        <rFont val="Calibri"/>
      </rPr>
      <t>:</t>
    </r>
  </si>
  <si>
    <r>
      <rPr>
        <b/>
        <sz val="11"/>
        <color theme="0"/>
        <rFont val="Calibri"/>
      </rPr>
      <t xml:space="preserve">The above Information on ROWS 5,6,7,8,and 9  will populate to the other tabs  - Any changes on the above information will need to be made on the GRANTEE SET UP INFO &amp; DATE tab-                                                                                                                                                                                                                             THIS SAME FORM IS DESIGNED TO BE USED FOR THE ENTIRE YEAR </t>
    </r>
    <r>
      <rPr>
        <b/>
        <sz val="11"/>
        <color rgb="FFFABF8F"/>
        <rFont val="Calibri"/>
      </rPr>
      <t xml:space="preserve"> BROWN FONT INDICATES A DROP-DOWN BOX        </t>
    </r>
    <r>
      <rPr>
        <b/>
        <sz val="11"/>
        <color theme="0"/>
        <rFont val="Calibri"/>
      </rPr>
      <t xml:space="preserve">                                                                                                                                                                                                                                                                </t>
    </r>
  </si>
  <si>
    <t xml:space="preserve">B:  Naloxone Training and Naloxone Distribution </t>
  </si>
  <si>
    <t xml:space="preserve">Naloxone Training </t>
  </si>
  <si>
    <t xml:space="preserve">Naloxone TRAINING FOR Staff (FUNDED BY GRANT) PARTICIPATING BY DISCIPLINE  (Line 14 - initials will populate from Grantee Set Up Info &amp; Date Tab) </t>
  </si>
  <si>
    <r>
      <rPr>
        <sz val="10"/>
        <color theme="1"/>
        <rFont val="Calibri"/>
      </rPr>
      <t xml:space="preserve">NUMBER OF </t>
    </r>
    <r>
      <rPr>
        <b/>
        <sz val="10"/>
        <color theme="1"/>
        <rFont val="Calibri"/>
      </rPr>
      <t>INTERNAL/EXTERNAL</t>
    </r>
    <r>
      <rPr>
        <sz val="10"/>
        <color theme="1"/>
        <rFont val="Calibri"/>
      </rPr>
      <t xml:space="preserve"> STAFF</t>
    </r>
    <r>
      <rPr>
        <b/>
        <sz val="10"/>
        <color theme="1"/>
        <rFont val="Calibri"/>
      </rPr>
      <t xml:space="preserve">  BY DISCIPLINE</t>
    </r>
    <r>
      <rPr>
        <sz val="10"/>
        <color theme="1"/>
        <rFont val="Calibri"/>
      </rPr>
      <t xml:space="preserve"> </t>
    </r>
    <r>
      <rPr>
        <sz val="10"/>
        <color rgb="FFFF0000"/>
        <rFont val="Calibri"/>
      </rPr>
      <t>(</t>
    </r>
    <r>
      <rPr>
        <b/>
        <sz val="10"/>
        <color rgb="FFFF0000"/>
        <rFont val="Calibri"/>
      </rPr>
      <t xml:space="preserve">NOT </t>
    </r>
    <r>
      <rPr>
        <sz val="10"/>
        <color rgb="FFFF0000"/>
        <rFont val="Calibri"/>
      </rPr>
      <t xml:space="preserve">FUNDED BY  GRANT) </t>
    </r>
    <r>
      <rPr>
        <sz val="10"/>
        <color theme="1"/>
        <rFont val="Calibri"/>
      </rPr>
      <t xml:space="preserve">RECEIVING NALOXONE TRAINING ( USE A NUMBER - NOT ALPHABET) </t>
    </r>
  </si>
  <si>
    <r>
      <rPr>
        <sz val="18"/>
        <color theme="1"/>
        <rFont val="Calibri"/>
      </rPr>
      <t xml:space="preserve">NALOXONE DISTRIBUTION                             </t>
    </r>
    <r>
      <rPr>
        <sz val="11"/>
        <color theme="1"/>
        <rFont val="Calibri"/>
      </rPr>
      <t xml:space="preserve">(Does not necessarily have to tie to training)  </t>
    </r>
  </si>
  <si>
    <r>
      <rPr>
        <sz val="14"/>
        <color theme="1"/>
        <rFont val="Calibri"/>
      </rPr>
      <t xml:space="preserve">OVERDOSE REVERSALS                                  </t>
    </r>
    <r>
      <rPr>
        <sz val="10"/>
        <color theme="1"/>
        <rFont val="Calibri"/>
      </rPr>
      <t xml:space="preserve">(Does not necessarily have to tie to training)  </t>
    </r>
  </si>
  <si>
    <t>Date Aware of Overdose Reversals</t>
  </si>
  <si>
    <t xml:space="preserve">Number of Overdose Reversals                    </t>
  </si>
  <si>
    <t>YES</t>
  </si>
  <si>
    <t>Date of Activity 00/00/0000</t>
  </si>
  <si>
    <t xml:space="preserve">Type of Activity (Cross Planning Initiative, Service Activities implemented with other entity, Other) </t>
  </si>
  <si>
    <t>Name of Activity</t>
  </si>
  <si>
    <t xml:space="preserve">Purpose of Activity - Meeting - Event </t>
  </si>
  <si>
    <t># Attending / Participating</t>
  </si>
  <si>
    <t xml:space="preserve">Entity  Providing/Leading  Activity - Meeting - Event </t>
  </si>
  <si>
    <t xml:space="preserve">Person(s) Providing / Leading Activity </t>
  </si>
  <si>
    <t>Credentials of Person(s) Providing / Leading  Activity</t>
  </si>
  <si>
    <t>Location of Activity (City/County)</t>
  </si>
  <si>
    <t xml:space="preserve">System(s) - Organization(s) Represented at the Activity </t>
  </si>
  <si>
    <t xml:space="preserve">Was Activity done to fulfil the SOW (YES/NO) </t>
  </si>
  <si>
    <t>A:  Grantee - Program Information  (ANY CHANGES INCLUDING THE DATE ON Rows 5 - 9 will need to be changed on GRANTEE SET UP &amp; INFO TAB [an earlier tab])</t>
  </si>
  <si>
    <r>
      <rPr>
        <sz val="11"/>
        <color theme="1"/>
        <rFont val="Calibri"/>
      </rPr>
      <t xml:space="preserve">Program Name:  </t>
    </r>
    <r>
      <rPr>
        <sz val="8"/>
        <color theme="1"/>
        <rFont val="Calibri"/>
      </rPr>
      <t xml:space="preserve">(same as on SOW): </t>
    </r>
  </si>
  <si>
    <r>
      <rPr>
        <sz val="11"/>
        <color theme="1"/>
        <rFont val="Calibri"/>
      </rPr>
      <t xml:space="preserve">Name of Program </t>
    </r>
    <r>
      <rPr>
        <sz val="8"/>
        <color theme="1"/>
        <rFont val="Calibri"/>
      </rPr>
      <t>(given by Grantee):</t>
    </r>
  </si>
  <si>
    <r>
      <rPr>
        <b/>
        <sz val="11"/>
        <color rgb="FFFF0000"/>
        <rFont val="Calibri"/>
      </rPr>
      <t xml:space="preserve">Month Being Reported </t>
    </r>
    <r>
      <rPr>
        <sz val="8"/>
        <color rgb="FFFF0000"/>
        <rFont val="Calibri"/>
      </rPr>
      <t>(Month/Year)</t>
    </r>
    <r>
      <rPr>
        <sz val="11"/>
        <color rgb="FFFF0000"/>
        <rFont val="Calibri"/>
      </rPr>
      <t>:</t>
    </r>
  </si>
  <si>
    <r>
      <rPr>
        <b/>
        <sz val="11"/>
        <color theme="0"/>
        <rFont val="Calibri"/>
      </rPr>
      <t xml:space="preserve">The above Information on ROWS 5,6,7,8,and 9  will populate to the other tabs  - Any changes on the above information will need to be made on the GRANTEE SET UP INFO &amp; DATE tab-                                                                                                                                                                                                                           THIS SAME FORM IS DESIGNED TO BE USED FOR THE ENTIRE YEAR........ </t>
    </r>
    <r>
      <rPr>
        <b/>
        <sz val="11"/>
        <color rgb="FFFABF8F"/>
        <rFont val="Calibri"/>
      </rPr>
      <t xml:space="preserve"> BROWN FONT INDICATES A DROP-DOWN BOX        </t>
    </r>
    <r>
      <rPr>
        <b/>
        <sz val="11"/>
        <color theme="0"/>
        <rFont val="Calibri"/>
      </rPr>
      <t xml:space="preserve">                                                                                                                                                                                                                                                                </t>
    </r>
  </si>
  <si>
    <t xml:space="preserve">B:  ACTIVITIES MEETINGS EVENTS </t>
  </si>
  <si>
    <t>Date of Activity - Meeting - Event  00/00/0000</t>
  </si>
  <si>
    <t xml:space="preserve">Type of Activity (Cross Planning Initiative,  Service Activities implemented with other entity, Other) </t>
  </si>
  <si>
    <t xml:space="preserve">Name of Activity - Meeting - Event </t>
  </si>
  <si>
    <t xml:space="preserve">Person(s) Providing / Leading Activity - Meeting - Event </t>
  </si>
  <si>
    <t>Location of Activity - Meeting - Event  (City/County)</t>
  </si>
  <si>
    <t xml:space="preserve">System(s) - Organization(s) Represented at the Activity - Meeting - Event </t>
  </si>
  <si>
    <t xml:space="preserve">Was Activity - Meeting - Event done to fulfil the SOW (YES/NO) </t>
  </si>
  <si>
    <t>Date of Consumer Feedback Activity  00/00/0000</t>
  </si>
  <si>
    <t xml:space="preserve">Type of Consumer Feedback Activity </t>
  </si>
  <si>
    <t>Did the feedback indicate that the Service / Activity was accessible to  individuals?</t>
  </si>
  <si>
    <t>Aggregate Results (example: What information was learned that can lead to improvement of service delivery?)</t>
  </si>
  <si>
    <t>A:  Grantee - Program Information  (ANY CHANGES INCLUDING THE DATE ON Rows6 - 9 will need to be changed on GRANTEE SET UP &amp; INFO TAB [an earlier tab])</t>
  </si>
  <si>
    <r>
      <rPr>
        <sz val="11"/>
        <color theme="1"/>
        <rFont val="Calibri"/>
      </rPr>
      <t xml:space="preserve">Program </t>
    </r>
    <r>
      <rPr>
        <sz val="8"/>
        <color theme="1"/>
        <rFont val="Calibri"/>
      </rPr>
      <t xml:space="preserve">(same as on Statement of Work): </t>
    </r>
  </si>
  <si>
    <t>Agency Name:</t>
  </si>
  <si>
    <r>
      <rPr>
        <sz val="11"/>
        <color theme="1"/>
        <rFont val="Calibri"/>
      </rPr>
      <t xml:space="preserve">Name of Program </t>
    </r>
    <r>
      <rPr>
        <sz val="8"/>
        <color theme="1"/>
        <rFont val="Calibri"/>
      </rPr>
      <t>(given by Agency):</t>
    </r>
  </si>
  <si>
    <t xml:space="preserve">Contact Phone: </t>
  </si>
  <si>
    <r>
      <rPr>
        <b/>
        <sz val="11"/>
        <color rgb="FFFF0000"/>
        <rFont val="Calibri"/>
      </rPr>
      <t>Month Being Reported</t>
    </r>
    <r>
      <rPr>
        <sz val="11"/>
        <color rgb="FFFF0000"/>
        <rFont val="Calibri"/>
      </rPr>
      <t xml:space="preserve"> </t>
    </r>
    <r>
      <rPr>
        <sz val="8"/>
        <color rgb="FFFF0000"/>
        <rFont val="Calibri"/>
      </rPr>
      <t>(Month/Year)</t>
    </r>
    <r>
      <rPr>
        <sz val="11"/>
        <color rgb="FFFF0000"/>
        <rFont val="Calibri"/>
      </rPr>
      <t>:</t>
    </r>
  </si>
  <si>
    <t>Program Code:</t>
  </si>
  <si>
    <t xml:space="preserve">The above Information on ROWS 5,6,7,8,and 9  will populate to the other tabs  - Any changes on the above information will need to be made on the GRANTEE SET UP INFO &amp; DATE tab-                                                                                                                                                              Remember, THIS SAME FORM IS DESIGNED TO BE USED FOR THE ENTIRE YEAR </t>
  </si>
  <si>
    <t xml:space="preserve">B: Client Satisfaction Information </t>
  </si>
  <si>
    <t>8.A:  Grantee - Program Information  (ANY CHANGES INCLUDING THE DATE ON Rows 4 - 9 will need to be changed on GRANTEE SET UP &amp; INFO TAB [an earlier tab])</t>
  </si>
  <si>
    <r>
      <rPr>
        <sz val="11"/>
        <color theme="1"/>
        <rFont val="Calibri"/>
      </rPr>
      <t xml:space="preserve">Program </t>
    </r>
    <r>
      <rPr>
        <sz val="8"/>
        <color theme="1"/>
        <rFont val="Calibri"/>
      </rPr>
      <t xml:space="preserve">(same as on Statement of Work): </t>
    </r>
  </si>
  <si>
    <r>
      <rPr>
        <sz val="11"/>
        <color theme="1"/>
        <rFont val="Calibri"/>
      </rPr>
      <t xml:space="preserve">Name of Program </t>
    </r>
    <r>
      <rPr>
        <sz val="8"/>
        <color theme="1"/>
        <rFont val="Calibri"/>
      </rPr>
      <t>(given by Agency):</t>
    </r>
  </si>
  <si>
    <r>
      <rPr>
        <b/>
        <sz val="11"/>
        <color rgb="FFFF0000"/>
        <rFont val="Calibri"/>
      </rPr>
      <t>Month Being Reported</t>
    </r>
    <r>
      <rPr>
        <sz val="11"/>
        <color rgb="FFFF0000"/>
        <rFont val="Calibri"/>
      </rPr>
      <t xml:space="preserve"> </t>
    </r>
    <r>
      <rPr>
        <sz val="8"/>
        <color rgb="FFFF0000"/>
        <rFont val="Calibri"/>
      </rPr>
      <t>(Month/Year)</t>
    </r>
    <r>
      <rPr>
        <sz val="11"/>
        <color rgb="FFFF0000"/>
        <rFont val="Calibri"/>
      </rPr>
      <t>:</t>
    </r>
  </si>
  <si>
    <t xml:space="preserve">The above Information on ROWS 4,5,6, and 8  will populate to the other tabs  - Any changes on the above information will need to be made on the GRANTEE SET UP INFO &amp; DATE tab-                                                                                Remember, THIS SAME FORM IS DESIGNED TO BE USED FOR THE ENTIRE YEAR </t>
  </si>
  <si>
    <t>8.B: SUMMARY</t>
  </si>
  <si>
    <t>PROFILE OF PROGRAM</t>
  </si>
  <si>
    <t>TOTAL YEAR TO DATE</t>
  </si>
  <si>
    <t xml:space="preserve">Individuals Admitted to the Program between 07/01/2010 and 09/30/2019  </t>
  </si>
  <si>
    <t>Individuals Admitted to the Program during the fiscal year:</t>
  </si>
  <si>
    <t>Individuals re-admitted to the program in the past year</t>
  </si>
  <si>
    <t>Individuals Discharged/Transferred from the Program during the Fiscal year:</t>
  </si>
  <si>
    <t xml:space="preserve">Individuals Currently in the Program year to date: </t>
  </si>
  <si>
    <t xml:space="preserve">Total Number of Clients Served by the Program During Fiscal Year: </t>
  </si>
  <si>
    <t>Total Number of Unduplicated Clients Served by Program During Fiscal Year</t>
  </si>
  <si>
    <t xml:space="preserve">REFERRAL INFORMATION </t>
  </si>
  <si>
    <t>DEMOGRAPHICS</t>
  </si>
  <si>
    <t>AGE - NON PREGNANT CLIENTS</t>
  </si>
  <si>
    <t>White</t>
  </si>
  <si>
    <t>Black or African American</t>
  </si>
  <si>
    <t>Native Hawaiian / Other Pacific Islander</t>
  </si>
  <si>
    <t>Asian</t>
  </si>
  <si>
    <t>American Indian / Alaska Native</t>
  </si>
  <si>
    <t xml:space="preserve">More than One Race Reported </t>
  </si>
  <si>
    <t xml:space="preserve">Unknown </t>
  </si>
  <si>
    <t xml:space="preserve">TOTAL </t>
  </si>
  <si>
    <t>Not Hispanic or Latino</t>
  </si>
  <si>
    <t>Hispanic or Latino</t>
  </si>
  <si>
    <t>Male</t>
  </si>
  <si>
    <t>Female</t>
  </si>
  <si>
    <t>non pregnant - Age 12 and under</t>
  </si>
  <si>
    <t>non pregnant - Age 13-17</t>
  </si>
  <si>
    <t>non pregnant - Age 18-20</t>
  </si>
  <si>
    <t>non pregnant - ages 21-24</t>
  </si>
  <si>
    <t>non pregnant - Ages 25-44</t>
  </si>
  <si>
    <t>non pregnant - Ages 45-64</t>
  </si>
  <si>
    <t>non pregnant - Ages 65-74</t>
  </si>
  <si>
    <t>non pregnant - Ages 75 and over</t>
  </si>
  <si>
    <t>TOTAL</t>
  </si>
  <si>
    <t>AGE - PREGNANT CLIENTS</t>
  </si>
  <si>
    <t>pregnant women - Age 12 and under</t>
  </si>
  <si>
    <t>pregnant women -  Age 13-17</t>
  </si>
  <si>
    <t>pregnant women - Age 18-20</t>
  </si>
  <si>
    <t>pregnant women - ages 21-24</t>
  </si>
  <si>
    <t>pregnant women - Ages 25-44</t>
  </si>
  <si>
    <t>pregnant women - Ages 45-64</t>
  </si>
  <si>
    <t>pregnant women - Ages 65-74</t>
  </si>
  <si>
    <t>pregnant women - Ages 75 and over</t>
  </si>
  <si>
    <t xml:space="preserve">TOTAL   NON PREGNANT &amp; PREGNANT </t>
  </si>
  <si>
    <t>VETERAN STATUS</t>
  </si>
  <si>
    <t>Veterans</t>
  </si>
  <si>
    <t>Assisted with HI enrollment for the eligible uninsured</t>
  </si>
  <si>
    <t>NO</t>
  </si>
  <si>
    <t>N/A</t>
  </si>
  <si>
    <t xml:space="preserve">STATUS: MEDICATION ASSISTED TREATMENT </t>
  </si>
  <si>
    <t xml:space="preserve">CLIENT HAS RECOVERY PLAN </t>
  </si>
  <si>
    <t xml:space="preserve">SUMMARY OF MAT ACTIVITY </t>
  </si>
  <si>
    <t xml:space="preserve">Client has individualized change/recovery plan </t>
  </si>
  <si>
    <t xml:space="preserve">Pregnant - Already on MAT upon Admission to program </t>
  </si>
  <si>
    <t xml:space="preserve">Pregnant -- Referred to MAT while in Program </t>
  </si>
  <si>
    <t xml:space="preserve">Pregnant - Admitted to MAT while in Program </t>
  </si>
  <si>
    <t xml:space="preserve">Pregnant - Remained on MAT while in Program </t>
  </si>
  <si>
    <t xml:space="preserve">Not Pregnant - Already on MAT upon Admission to program </t>
  </si>
  <si>
    <t xml:space="preserve">Not Pregnant  -- Referred to MAT while in Program </t>
  </si>
  <si>
    <t xml:space="preserve">Not Pregnant - Admitted to MAT while in Program </t>
  </si>
  <si>
    <t xml:space="preserve">DIAGNOSES - HISTORY OF SUBSTANCE USE DISORDER </t>
  </si>
  <si>
    <t xml:space="preserve">Not Pregnant - Remained on MAT while in Program </t>
  </si>
  <si>
    <t>History of Substance Use Disorder</t>
  </si>
  <si>
    <t>TYPE OF MAT UTILZIED</t>
  </si>
  <si>
    <t>Methadone</t>
  </si>
  <si>
    <t>Buprenorphine Oral</t>
  </si>
  <si>
    <t>Buprenorphine - Injectable</t>
  </si>
  <si>
    <t>Buprenorphine Implant</t>
  </si>
  <si>
    <t>Naltrexone - Oral</t>
  </si>
  <si>
    <t xml:space="preserve">Naltrexone - Injectable </t>
  </si>
  <si>
    <t xml:space="preserve">Did not Use Medicaid Assisted Treatment (MAT) </t>
  </si>
  <si>
    <t xml:space="preserve">Changed Type of MAT (Switched from one type to another) </t>
  </si>
  <si>
    <t>STATUS:  DISCHARGE</t>
  </si>
  <si>
    <t>REASONS FOR DISCHARGE</t>
  </si>
  <si>
    <t>Referred to another PRSS</t>
  </si>
  <si>
    <t>mutually agreed cessation of PRSS</t>
  </si>
  <si>
    <t xml:space="preserve">Withdrew from / DECLINED </t>
  </si>
  <si>
    <t>Other (SPECIFY)</t>
  </si>
  <si>
    <t>NOMS PRE ADMISSION - POST DISCHARGE</t>
  </si>
  <si>
    <t xml:space="preserve">STATUS OF  CLIENTS :  PRE ADMISSION - POST REFERAL  </t>
  </si>
  <si>
    <t>30 Days Prior</t>
  </si>
  <si>
    <t xml:space="preserve">30 Days Post </t>
  </si>
  <si>
    <t>Employment</t>
  </si>
  <si>
    <t>Student</t>
  </si>
  <si>
    <t>Stable Living Environment</t>
  </si>
  <si>
    <t>Legal - Arrest</t>
  </si>
  <si>
    <t xml:space="preserve">Alcohol Use </t>
  </si>
  <si>
    <t>Illegal Drugs Used</t>
  </si>
  <si>
    <t>Self Help Group------  N/A - AA</t>
  </si>
  <si>
    <t xml:space="preserve">Caseload per Recovery Specialist </t>
  </si>
  <si>
    <t>PRSS 1</t>
  </si>
  <si>
    <t>PRSS 2</t>
  </si>
  <si>
    <t>PRSS 3</t>
  </si>
  <si>
    <t>PRSS 4</t>
  </si>
  <si>
    <t>PRSS 5</t>
  </si>
  <si>
    <t>PRSS 6</t>
  </si>
  <si>
    <t>PRSS 7</t>
  </si>
  <si>
    <t>PRSS 8</t>
  </si>
  <si>
    <t>PRSS 9</t>
  </si>
  <si>
    <t>PRSS 10</t>
  </si>
  <si>
    <t>PRSS 11</t>
  </si>
  <si>
    <t>PRSS 12</t>
  </si>
  <si>
    <t xml:space="preserve">Caseload size </t>
  </si>
  <si>
    <t>TOTAL:</t>
  </si>
  <si>
    <t xml:space="preserve">value for Line 102 needs to be same as Line 101 - formula on line 102 needs adjusted for this. </t>
  </si>
  <si>
    <t xml:space="preserve">TRAINING                                                                                                                                                                                                                                                                                                                                        TRAINING                                                                                                                                                                                                                                                                                                                      </t>
  </si>
  <si>
    <t>TRAINING</t>
  </si>
  <si>
    <t># of Trainings</t>
  </si>
  <si>
    <t>Training done to fulfil the SOW</t>
  </si>
  <si>
    <t>Training funded wholly or in part by Grant</t>
  </si>
  <si>
    <t>Mandatory</t>
  </si>
  <si>
    <t>Evidence Based</t>
  </si>
  <si>
    <t>Both Mandatory and Evidence Based Training</t>
  </si>
  <si>
    <t>Other (Specify in Notes)</t>
  </si>
  <si>
    <t>Other (Specify in Notes) HAND COUNT</t>
  </si>
  <si>
    <r>
      <rPr>
        <b/>
        <sz val="16"/>
        <color theme="1"/>
        <rFont val="Calibri"/>
      </rPr>
      <t xml:space="preserve">TRAINING FOR STAFF </t>
    </r>
    <r>
      <rPr>
        <b/>
        <u/>
        <sz val="16"/>
        <color theme="1"/>
        <rFont val="Calibri"/>
      </rPr>
      <t xml:space="preserve"> </t>
    </r>
    <r>
      <rPr>
        <b/>
        <sz val="16"/>
        <color theme="1"/>
        <rFont val="Calibri"/>
      </rPr>
      <t xml:space="preserve">FUNDED BY GRANT </t>
    </r>
  </si>
  <si>
    <r>
      <rPr>
        <b/>
        <sz val="18"/>
        <color theme="1"/>
        <rFont val="Calibri"/>
      </rPr>
      <t xml:space="preserve">TRAINING FOR STAFF </t>
    </r>
    <r>
      <rPr>
        <b/>
        <u/>
        <sz val="18"/>
        <color theme="1"/>
        <rFont val="Calibri"/>
      </rPr>
      <t xml:space="preserve">NOT </t>
    </r>
    <r>
      <rPr>
        <b/>
        <sz val="18"/>
        <color theme="1"/>
        <rFont val="Calibri"/>
      </rPr>
      <t xml:space="preserve">FUNDED BY GRANT </t>
    </r>
  </si>
  <si>
    <t>Peer Recovery Support</t>
  </si>
  <si>
    <t xml:space="preserve">Other (Describe in Notes) </t>
  </si>
  <si>
    <t xml:space="preserve">NALOXONE TRAINING   DISTRIBUTION                                                                                                                                                       NALOXONE TRAINING   DISTRIBUTION                                                                                                        NALOXONE TRAINING   DISTRIBUTION                                                                                                                                                                                                                                                                                                                                                                                                                                                            </t>
  </si>
  <si>
    <t>funded wholly or in part by SOR</t>
  </si>
  <si>
    <r>
      <rPr>
        <sz val="16"/>
        <color theme="0"/>
        <rFont val="Calibri"/>
      </rPr>
      <t xml:space="preserve">Funded Generally </t>
    </r>
    <r>
      <rPr>
        <sz val="8"/>
        <color theme="0"/>
        <rFont val="Calibri"/>
      </rPr>
      <t>(NOT BY GRANT) List Funding Source under NOTES</t>
    </r>
  </si>
  <si>
    <t>Funding</t>
  </si>
  <si>
    <t xml:space="preserve">NALOXONE KIT DISTRIBUTIONS      </t>
  </si>
  <si>
    <t xml:space="preserve">NALOXONE  DISTRIBUTION FUNDED BY GRANT </t>
  </si>
  <si>
    <t xml:space="preserve">NUMBER OF OVER DOSE REVERSALS </t>
  </si>
  <si>
    <t xml:space="preserve">Naloxone Kits Distributed </t>
  </si>
  <si>
    <t xml:space="preserve">Reversals </t>
  </si>
  <si>
    <t xml:space="preserve">Kits Distributed </t>
  </si>
  <si>
    <t xml:space="preserve">  Peer Recovery Support Specialist  (FUNDED BY GRANT) </t>
  </si>
  <si>
    <t xml:space="preserve">NUMBER OF STAFF FUNDED BY  GRANT RECEIVING NALOXONE TRAINING </t>
  </si>
  <si>
    <t xml:space="preserve">NUMBER OF INTERNAL/EXTERNAL STAFF  BY DISCIPLINE (NOT FUNDED BY  GRANT) RECEIVING NALOXONE TRAINING </t>
  </si>
  <si>
    <t xml:space="preserve">Peer Recovery Support Specialist </t>
  </si>
  <si>
    <t>Initials</t>
  </si>
  <si>
    <t xml:space="preserve">Beginning  Date </t>
  </si>
  <si>
    <t>Employment End date</t>
  </si>
  <si>
    <t>Date Peer Certification Obtained</t>
  </si>
  <si>
    <t>Peer Recovery Support Specialist  1</t>
  </si>
  <si>
    <t>Peer Recovery Support Specialist  2</t>
  </si>
  <si>
    <t>Peer Recovery Support Specialist  3</t>
  </si>
  <si>
    <t>Peer Recovery Support Specialist  4</t>
  </si>
  <si>
    <t>Peer Recovery Support Specialist  5</t>
  </si>
  <si>
    <t>Peer Recovery Support Specialist  6</t>
  </si>
  <si>
    <t>Peer Recovery Support Specialist  7</t>
  </si>
  <si>
    <t>Peer Recovery Support Specialist  8</t>
  </si>
  <si>
    <t>Peer Recovery Support Specialist  9</t>
  </si>
  <si>
    <t>Peer Recovery Support Specialist  10</t>
  </si>
  <si>
    <t>Peer Recovery Support Specialist  11</t>
  </si>
  <si>
    <t>Peer Recovery Support Specialist  12</t>
  </si>
  <si>
    <t>TOTAL PEER CERTIFICATIONS OBTAINED :</t>
  </si>
  <si>
    <t xml:space="preserve">ACTIVITIES MEETINGS EVENTS                                                                                                                   ACTIVITIES MEETINGS EVENTS                                                                                                  ACTIVITIES MEETINGS EVENTS                                                                                                                      </t>
  </si>
  <si>
    <t xml:space="preserve">TYPE OF ACTIVITY - MEETING - EVENT </t>
  </si>
  <si>
    <t xml:space="preserve">#  of Events </t>
  </si>
  <si>
    <t>#  Participants</t>
  </si>
  <si>
    <t>Activity Completed  to fulfil the SOW</t>
  </si>
  <si>
    <t>Cross Planning Initiatives</t>
  </si>
  <si>
    <t>Service Activity Implemented with other sectors</t>
  </si>
  <si>
    <t xml:space="preserve">Meeting Attended </t>
  </si>
  <si>
    <t>Specific Activities with goal  to Reach High-Risk Populations (Specify Population in Notes)</t>
  </si>
  <si>
    <t>Peer Reviews</t>
  </si>
  <si>
    <t>Peer Support Groups</t>
  </si>
  <si>
    <t>Coalitions</t>
  </si>
  <si>
    <t xml:space="preserve">Materials Distributed (specify kind &amp; amount in notes) </t>
  </si>
  <si>
    <t xml:space="preserve">Other (Specify in Notes) </t>
  </si>
  <si>
    <t xml:space="preserve">CONSUMER FEEDBACK                                                                  CONSUMER FEEDBACK                                                                              CONSUMER FEEDBACK                                                                                                                   </t>
  </si>
  <si>
    <t xml:space="preserve">Type of Feedback </t>
  </si>
  <si>
    <t>Focus group</t>
  </si>
  <si>
    <t>Key-informant interview</t>
  </si>
  <si>
    <t>Survey</t>
  </si>
  <si>
    <t xml:space="preserve">Other (specify in Note Section) </t>
  </si>
  <si>
    <t xml:space="preserve">STAFF FUNDED BY THE GRANT  - MANDATORY TRAINING </t>
  </si>
  <si>
    <t xml:space="preserve">MANDATORY </t>
  </si>
  <si>
    <t>Prior to 09/30/2019</t>
  </si>
  <si>
    <t>1st Quarter  10/01/2019 - 12/31/2019</t>
  </si>
  <si>
    <t>2nd Quarter 01/01/2020 - 03/31/2020</t>
  </si>
  <si>
    <t>3rd quarter 04/01/2020 - 06/30/2020</t>
  </si>
  <si>
    <t>4th Quarter  07/01/2020 - 09/30/2020</t>
  </si>
  <si>
    <t>1st Quarter 10/01/2020 -21/31/2020</t>
  </si>
  <si>
    <t>2nd Quarter 01/01/2021 - 03/31/2021</t>
  </si>
  <si>
    <t>3rd quarter 04/01/2021 - 06/30/2021</t>
  </si>
  <si>
    <t>4th Quarter 07/01/2021 - 09/30/2021</t>
  </si>
  <si>
    <t>1st Quarter  10/01/2021 - 12/31/2021</t>
  </si>
  <si>
    <t>2nd Quarter 01/01/2022 - 03/31/2022</t>
  </si>
  <si>
    <t>3rd quarter 04/01/2022 - 06/30/2022</t>
  </si>
  <si>
    <t>4th Quarter  07/01/2022 - 09/30/2022</t>
  </si>
  <si>
    <t xml:space="preserve">STAFF FUNDED BY THE GRANT - EVIDENCE BASED TRAINING </t>
  </si>
  <si>
    <t xml:space="preserve">EVIDENCE BASED </t>
  </si>
  <si>
    <t xml:space="preserve">STAFF FUNDED BY THE GRANT - Both Mandatory and Evidenced Based Training (EBT) Training </t>
  </si>
  <si>
    <t xml:space="preserve">Both Mandatory and Evidenced Based Training (EBT) Training </t>
  </si>
  <si>
    <t xml:space="preserve">STAFF FUNDED BY THE GRANT - Other (Specify in Notes) Training </t>
  </si>
  <si>
    <t xml:space="preserve">TOTAL ALL TRAINING (Mandatory, Evidence Based, Both Mandatory and Evidenced Based Training (EBT), Other (Specify in Notes)                                     TOTAL ALL TRAINING (Mandatory, Evidence Based, Both Mandatory and Evidenced Based Training (EBT), Other (Specify in Notes)    </t>
  </si>
  <si>
    <t>TOTAL ALL TRAINING (Mandatory, Evidence Based, Both Mandatory and Evidenced Based Training (EBT), Other (Specify in Notes)</t>
  </si>
  <si>
    <t xml:space="preserve">                                               TOTAL                 TOTAL                        TOTAL                   TOTAL </t>
  </si>
  <si>
    <t xml:space="preserve">TOTAL   ALL TRAINING </t>
  </si>
  <si>
    <t xml:space="preserve">TOTAL ALL TRAINING (Mandatory, Evidence Based, Both Mandatory and Evidenced Based Training (EBT), Other (Specify in Notes)                                        TOTAL ALL TRAINING (Mandatory, Evidence Based, Both Mandatory and Evidenced Based Training (EBT), Other (Specify in Notes)      </t>
  </si>
  <si>
    <t>RACE</t>
  </si>
  <si>
    <t>MONTH</t>
  </si>
  <si>
    <t>African American /Black</t>
  </si>
  <si>
    <t>accepted</t>
  </si>
  <si>
    <t>wait list (give anticipated time)</t>
  </si>
  <si>
    <t>September 1 - 30</t>
  </si>
  <si>
    <t xml:space="preserve">denied (give reason) </t>
  </si>
  <si>
    <t>October</t>
  </si>
  <si>
    <t>More than one race reported</t>
  </si>
  <si>
    <t>November 1 - 30</t>
  </si>
  <si>
    <t>December 1 - 31</t>
  </si>
  <si>
    <t>Unknown</t>
  </si>
  <si>
    <t>January 1 - 31</t>
  </si>
  <si>
    <t>February 1 - 28/29</t>
  </si>
  <si>
    <t>Type of Event  (Training Received,  Cross Planning Initiative,  Outreach Activity, Other etc.)</t>
  </si>
  <si>
    <t xml:space="preserve">Hispanic-Latino </t>
  </si>
  <si>
    <t xml:space="preserve">May </t>
  </si>
  <si>
    <t>June 1 - 30</t>
  </si>
  <si>
    <t>GENDER</t>
  </si>
  <si>
    <t>Training Received Through Employer</t>
  </si>
  <si>
    <t>Private Residence</t>
  </si>
  <si>
    <t>using drugs or alcohol</t>
  </si>
  <si>
    <t xml:space="preserve">Training Received externally (not through employer) </t>
  </si>
  <si>
    <t xml:space="preserve">Homeless </t>
  </si>
  <si>
    <t>using cell phone</t>
  </si>
  <si>
    <t>Cross Planning Initiative</t>
  </si>
  <si>
    <t>Residential Care</t>
  </si>
  <si>
    <t>driving a car</t>
  </si>
  <si>
    <t>Outreach Activity</t>
  </si>
  <si>
    <t xml:space="preserve">COUNTY </t>
  </si>
  <si>
    <t>REGION</t>
  </si>
  <si>
    <t>Crisis Residence</t>
  </si>
  <si>
    <t>violence</t>
  </si>
  <si>
    <t xml:space="preserve">Other (List) </t>
  </si>
  <si>
    <t>Barbour</t>
  </si>
  <si>
    <t>Institutional Setting</t>
  </si>
  <si>
    <t>sexual overtones</t>
  </si>
  <si>
    <t>Berkeley</t>
  </si>
  <si>
    <t>Jail/Correction Facility</t>
  </si>
  <si>
    <t>racial overtones</t>
  </si>
  <si>
    <t>Boone</t>
  </si>
  <si>
    <t>Foster Home/Foster Care (under 18)</t>
  </si>
  <si>
    <t>Braxton</t>
  </si>
  <si>
    <t xml:space="preserve">Other (Detail in Notes) </t>
  </si>
  <si>
    <t>Brooke</t>
  </si>
  <si>
    <t>Cabell</t>
  </si>
  <si>
    <t>Calhoun</t>
  </si>
  <si>
    <t>Clay</t>
  </si>
  <si>
    <t>Doddridge</t>
  </si>
  <si>
    <t>Fayette</t>
  </si>
  <si>
    <t>Gilmer</t>
  </si>
  <si>
    <t>Grant</t>
  </si>
  <si>
    <t>Medicaid Only</t>
  </si>
  <si>
    <t>Medicaid only</t>
  </si>
  <si>
    <t>Greenbrier</t>
  </si>
  <si>
    <t>Non-Medicaid Sources only</t>
  </si>
  <si>
    <t>Non-Medicaid only</t>
  </si>
  <si>
    <t>Hampshire</t>
  </si>
  <si>
    <t xml:space="preserve">Both Medicaid and Non-Medicaid </t>
  </si>
  <si>
    <t>Both Medicaid and Non--Medicaid</t>
  </si>
  <si>
    <t>Hancock</t>
  </si>
  <si>
    <t xml:space="preserve">Not known </t>
  </si>
  <si>
    <t>Not known</t>
  </si>
  <si>
    <t>Hardy</t>
  </si>
  <si>
    <t>Harrison</t>
  </si>
  <si>
    <t>Jackson</t>
  </si>
  <si>
    <t>Jefferson</t>
  </si>
  <si>
    <t>Kanawha</t>
  </si>
  <si>
    <t>Lewis</t>
  </si>
  <si>
    <t>Lincoln</t>
  </si>
  <si>
    <t>Clinically referred out</t>
  </si>
  <si>
    <t>Logan</t>
  </si>
  <si>
    <t>Owned or rented Home</t>
  </si>
  <si>
    <t>Housing</t>
  </si>
  <si>
    <t>mutually agreed cessation of T</t>
  </si>
  <si>
    <t>Marion</t>
  </si>
  <si>
    <t>Someone else's home</t>
  </si>
  <si>
    <t>Withdrew from / DECLINED TX</t>
  </si>
  <si>
    <t>Marshall</t>
  </si>
  <si>
    <t>Homeless</t>
  </si>
  <si>
    <t>Educational</t>
  </si>
  <si>
    <t>No contact within 90 days of last encounter</t>
  </si>
  <si>
    <t>Mason</t>
  </si>
  <si>
    <t>Residential SA TX</t>
  </si>
  <si>
    <t>Medical</t>
  </si>
  <si>
    <t>Expulsion from program</t>
  </si>
  <si>
    <t>McDowell</t>
  </si>
  <si>
    <t>Detox (Inpatient, Residential)</t>
  </si>
  <si>
    <t>MH Counseling</t>
  </si>
  <si>
    <t>Incarcerated</t>
  </si>
  <si>
    <t>Mercer</t>
  </si>
  <si>
    <t xml:space="preserve">Correctional Facility </t>
  </si>
  <si>
    <t>Childcare</t>
  </si>
  <si>
    <t>Death (EXPLAIN)</t>
  </si>
  <si>
    <t>Mineral</t>
  </si>
  <si>
    <t>Hospital (Medical)</t>
  </si>
  <si>
    <t xml:space="preserve">Not Receiving MAT </t>
  </si>
  <si>
    <t>Transportation</t>
  </si>
  <si>
    <t>Mingo</t>
  </si>
  <si>
    <t>Hospital (Psychiatric)</t>
  </si>
  <si>
    <t xml:space="preserve">Changed MAT (Specify in Notes) </t>
  </si>
  <si>
    <t>Support Group</t>
  </si>
  <si>
    <t>Monongalia</t>
  </si>
  <si>
    <t xml:space="preserve">Other (Specify) </t>
  </si>
  <si>
    <t>Relapse Prevention</t>
  </si>
  <si>
    <t>Monroe</t>
  </si>
  <si>
    <t>Crisis Support</t>
  </si>
  <si>
    <t xml:space="preserve">When "yes is selected will darken the row </t>
  </si>
  <si>
    <t>Morgan</t>
  </si>
  <si>
    <t>Medicare Only</t>
  </si>
  <si>
    <t>HIV / Hepatitis B &amp; C Testing</t>
  </si>
  <si>
    <t>Nicholas</t>
  </si>
  <si>
    <t>Medicare + Supplement</t>
  </si>
  <si>
    <t xml:space="preserve">Other (Specify in Note Section) </t>
  </si>
  <si>
    <t>Ohio</t>
  </si>
  <si>
    <t>Both Medicaid and Medicare</t>
  </si>
  <si>
    <t>Pendleton</t>
  </si>
  <si>
    <t>Private Insurance</t>
  </si>
  <si>
    <t>Pleasants</t>
  </si>
  <si>
    <t>No Insurance</t>
  </si>
  <si>
    <t>Pocahontas</t>
  </si>
  <si>
    <t>Preston</t>
  </si>
  <si>
    <t>Putnam</t>
  </si>
  <si>
    <t>Raleigh</t>
  </si>
  <si>
    <t>Randolph</t>
  </si>
  <si>
    <t>Ritchie</t>
  </si>
  <si>
    <t>Roane</t>
  </si>
  <si>
    <t>24 hours</t>
  </si>
  <si>
    <t>Phone</t>
  </si>
  <si>
    <t>Summers</t>
  </si>
  <si>
    <t>48 hours</t>
  </si>
  <si>
    <t>Face to Face</t>
  </si>
  <si>
    <t>Taylor</t>
  </si>
  <si>
    <t>72 hours</t>
  </si>
  <si>
    <t>Tucker</t>
  </si>
  <si>
    <t>96 hours</t>
  </si>
  <si>
    <t>Tyler</t>
  </si>
  <si>
    <t>5 days</t>
  </si>
  <si>
    <t>Upshur</t>
  </si>
  <si>
    <t>6+ days</t>
  </si>
  <si>
    <t>Wayne</t>
  </si>
  <si>
    <t>Webster</t>
  </si>
  <si>
    <t>Wetzel</t>
  </si>
  <si>
    <t>Wirt</t>
  </si>
  <si>
    <t>Wood</t>
  </si>
  <si>
    <t>Wyoming</t>
  </si>
  <si>
    <t>30 days of admission</t>
  </si>
  <si>
    <t>employed</t>
  </si>
  <si>
    <t>Unemployed</t>
  </si>
  <si>
    <t>Not in Labor Force</t>
  </si>
  <si>
    <t xml:space="preserve">Referred to another PRSS </t>
  </si>
  <si>
    <t xml:space="preserve">Not Available </t>
  </si>
  <si>
    <t>30 days of discharge</t>
  </si>
  <si>
    <t xml:space="preserve">Declined program </t>
  </si>
  <si>
    <t>at both admission and discharge</t>
  </si>
  <si>
    <t xml:space="preserve">N/A On MAT at Admission </t>
  </si>
  <si>
    <t>N/A Already on MAT</t>
  </si>
  <si>
    <t>WV Bureau for Behavioral Health and Health Facilities  - Behavioral Health - State Fiscal Year</t>
  </si>
  <si>
    <t xml:space="preserve">Program reports need to be submitted electronically, via e-mail to DHHR. BHHFReporting@wv.gov </t>
  </si>
  <si>
    <r>
      <rPr>
        <b/>
        <sz val="11"/>
        <color rgb="FFFFDDFF"/>
        <rFont val="Calibri"/>
      </rPr>
      <t xml:space="preserve">1A:  Grantee - Program Information  </t>
    </r>
    <r>
      <rPr>
        <b/>
        <sz val="11"/>
        <color rgb="FFFF0000"/>
        <rFont val="Calibri"/>
      </rPr>
      <t>(Rows 4- 9 need to changed on GRANTEE INFO SET-UP &amp; DATE TAB)</t>
    </r>
  </si>
  <si>
    <r>
      <rPr>
        <sz val="11"/>
        <color theme="1"/>
        <rFont val="Calibri"/>
      </rPr>
      <t xml:space="preserve">Program </t>
    </r>
    <r>
      <rPr>
        <sz val="8"/>
        <color theme="1"/>
        <rFont val="Calibri"/>
      </rPr>
      <t xml:space="preserve">(same as on Statement of Work): </t>
    </r>
  </si>
  <si>
    <r>
      <rPr>
        <sz val="11"/>
        <color theme="1"/>
        <rFont val="Calibri"/>
      </rPr>
      <t xml:space="preserve">Name of Program </t>
    </r>
    <r>
      <rPr>
        <sz val="8"/>
        <color theme="1"/>
        <rFont val="Calibri"/>
      </rPr>
      <t>(given by Agency):</t>
    </r>
  </si>
  <si>
    <r>
      <rPr>
        <b/>
        <sz val="11"/>
        <color rgb="FFFF0000"/>
        <rFont val="Calibri"/>
      </rPr>
      <t>Month Being Reported</t>
    </r>
    <r>
      <rPr>
        <sz val="11"/>
        <color rgb="FFFF0000"/>
        <rFont val="Calibri"/>
      </rPr>
      <t xml:space="preserve"> </t>
    </r>
    <r>
      <rPr>
        <sz val="8"/>
        <color rgb="FFFF0000"/>
        <rFont val="Calibri"/>
      </rPr>
      <t>(Month/Year)</t>
    </r>
    <r>
      <rPr>
        <sz val="11"/>
        <color rgb="FFFF0000"/>
        <rFont val="Calibri"/>
      </rPr>
      <t>:</t>
    </r>
  </si>
  <si>
    <t xml:space="preserve">Information on ROWS 4, 5, 6, 7 and  8 will populate from BaseInformationSEPTUP - Any changes, including month being reported, will need to be made on the tab (GRANTEE INFO SET UP &amp; DATE)  - Remember, THIS SAME FORM IS DESIGNED TO BE USED FOR THE ENTIRE YEAR </t>
  </si>
  <si>
    <t xml:space="preserve">CLIENT ADMISSION STAY - CLIENT DISCHARGES </t>
  </si>
  <si>
    <t xml:space="preserve"> Outcomes</t>
  </si>
  <si>
    <t xml:space="preserve">Profile of Program </t>
  </si>
  <si>
    <t>TOTAL TO DATE</t>
  </si>
  <si>
    <t xml:space="preserve">Individuals in the Program at beginning of the fiscal year:  </t>
  </si>
  <si>
    <t>Individuals Admitted to the Program during the 2018/2019 fiscal year:</t>
  </si>
  <si>
    <t>Individuals Discharged/Transferred from the Program during the 2018/2019 Fiscal year:</t>
  </si>
  <si>
    <t>P15   P16</t>
  </si>
  <si>
    <t xml:space="preserve">Total Number of Days Client spent in Program during their stay </t>
  </si>
  <si>
    <t>Average Length of Stay in program</t>
  </si>
  <si>
    <t>Individual Outcomes at time of  admission &amp; discharge</t>
  </si>
  <si>
    <t>(1) Employment Status</t>
  </si>
  <si>
    <t>For discharges this month, enter the total number with an employment status at both admission and discharge:</t>
  </si>
  <si>
    <t>L-AB</t>
  </si>
  <si>
    <t>Of those, how many were employed (full- or part-time) (prior 30 days) 30 days at admission?</t>
  </si>
  <si>
    <t>L</t>
  </si>
  <si>
    <t>Of those, how many were employed  (full- or part-time) in the past 30 days of when they were discharged?</t>
  </si>
  <si>
    <t>AB</t>
  </si>
  <si>
    <t xml:space="preserve">Of those, how many were employed (full- or part-time) 30 DAYS POST DISCHARGE </t>
  </si>
  <si>
    <t>AJ</t>
  </si>
  <si>
    <t>(1)Education Status</t>
  </si>
  <si>
    <t>For discharges this month, enter the total number with an education status at both admission and discharge:</t>
  </si>
  <si>
    <t>N-AD</t>
  </si>
  <si>
    <t>Of those, how many were students (full- or part-time) (prior 30 days) 30 days at admission?</t>
  </si>
  <si>
    <t>N</t>
  </si>
  <si>
    <t>Of those, how many were students (full- or part-time) in the past 30 days of when they were discharged?</t>
  </si>
  <si>
    <t>AD</t>
  </si>
  <si>
    <t xml:space="preserve">Of those, how many were Students (full- or part-time) 30 DAYS POST DISCHARGE </t>
  </si>
  <si>
    <t>AL</t>
  </si>
  <si>
    <t>(2) Stability of Housing</t>
  </si>
  <si>
    <t>For discharges this month, enter the total number with a housing status at both admission and discharge:</t>
  </si>
  <si>
    <t>O-AE</t>
  </si>
  <si>
    <t>Of those, how many were in a stable living situation in the past 30 days of when they were admitted?</t>
  </si>
  <si>
    <t>O</t>
  </si>
  <si>
    <t>Of those, how many were in a stable living situation in the past 30 days of when they were discharged?</t>
  </si>
  <si>
    <t>AE</t>
  </si>
  <si>
    <t xml:space="preserve">Of those, how many were in a stable living situation 30 DAYS POST DISCHARGE </t>
  </si>
  <si>
    <t>AM</t>
  </si>
  <si>
    <t>(3) Criminal Justice Involvement</t>
  </si>
  <si>
    <t>For discharges this month, enter the total number with a criminal justice involvement status at both admission and discharge:</t>
  </si>
  <si>
    <t>P-AF</t>
  </si>
  <si>
    <r>
      <rPr>
        <sz val="8"/>
        <color theme="1"/>
        <rFont val="Calibri"/>
      </rPr>
      <t xml:space="preserve">Of those, how many had </t>
    </r>
    <r>
      <rPr>
        <b/>
        <u/>
        <sz val="8"/>
        <color theme="1"/>
        <rFont val="Calibri"/>
      </rPr>
      <t>no</t>
    </r>
    <r>
      <rPr>
        <u/>
        <sz val="8"/>
        <color theme="1"/>
        <rFont val="Calibri"/>
      </rPr>
      <t xml:space="preserve"> arrests </t>
    </r>
    <r>
      <rPr>
        <sz val="8"/>
        <color theme="1"/>
        <rFont val="Calibri"/>
      </rPr>
      <t>(prior 30 days) 30 days at admission?</t>
    </r>
  </si>
  <si>
    <t>P</t>
  </si>
  <si>
    <r>
      <rPr>
        <sz val="8"/>
        <color theme="1"/>
        <rFont val="Calibri"/>
      </rPr>
      <t xml:space="preserve">Of those, how many had </t>
    </r>
    <r>
      <rPr>
        <u/>
        <sz val="8"/>
        <color theme="1"/>
        <rFont val="Calibri"/>
      </rPr>
      <t xml:space="preserve">no arrests </t>
    </r>
    <r>
      <rPr>
        <sz val="8"/>
        <color theme="1"/>
        <rFont val="Calibri"/>
      </rPr>
      <t>in the past 30 days of when they were discharged?</t>
    </r>
  </si>
  <si>
    <t>AF</t>
  </si>
  <si>
    <r>
      <rPr>
        <sz val="8"/>
        <color theme="1"/>
        <rFont val="Calibri"/>
      </rPr>
      <t xml:space="preserve">Of those, how many had </t>
    </r>
    <r>
      <rPr>
        <u/>
        <sz val="8"/>
        <color theme="1"/>
        <rFont val="Calibri"/>
      </rPr>
      <t>no arrest</t>
    </r>
    <r>
      <rPr>
        <sz val="8"/>
        <color theme="1"/>
        <rFont val="Calibri"/>
      </rPr>
      <t xml:space="preserve">  30 DAYS POST DISCHARGE </t>
    </r>
  </si>
  <si>
    <t>AN</t>
  </si>
  <si>
    <t>(4) Alcohol Use</t>
  </si>
  <si>
    <t>For discharges this month, enter the total number with an alcohol use status at both admission and discharge:</t>
  </si>
  <si>
    <t>Q-AG</t>
  </si>
  <si>
    <r>
      <rPr>
        <sz val="8"/>
        <color theme="1"/>
        <rFont val="Calibri"/>
      </rPr>
      <t xml:space="preserve">Of those, how many </t>
    </r>
    <r>
      <rPr>
        <u/>
        <sz val="8"/>
        <color theme="1"/>
        <rFont val="Calibri"/>
      </rPr>
      <t>had not</t>
    </r>
    <r>
      <rPr>
        <sz val="8"/>
        <color theme="1"/>
        <rFont val="Calibri"/>
      </rPr>
      <t xml:space="preserve"> consumed alcohol at admission?</t>
    </r>
  </si>
  <si>
    <t>Q</t>
  </si>
  <si>
    <r>
      <rPr>
        <sz val="8"/>
        <color theme="1"/>
        <rFont val="Calibri"/>
      </rPr>
      <t xml:space="preserve">Of those, how many </t>
    </r>
    <r>
      <rPr>
        <u/>
        <sz val="8"/>
        <color theme="1"/>
        <rFont val="Calibri"/>
      </rPr>
      <t>had not</t>
    </r>
    <r>
      <rPr>
        <sz val="8"/>
        <color theme="1"/>
        <rFont val="Calibri"/>
      </rPr>
      <t xml:space="preserve"> consumed alcohol in the past 30 days of when they were discharged?</t>
    </r>
  </si>
  <si>
    <t>AG</t>
  </si>
  <si>
    <r>
      <rPr>
        <sz val="8"/>
        <color theme="1"/>
        <rFont val="Calibri"/>
      </rPr>
      <t xml:space="preserve">Of those, how many </t>
    </r>
    <r>
      <rPr>
        <u/>
        <sz val="8"/>
        <color theme="1"/>
        <rFont val="Calibri"/>
      </rPr>
      <t xml:space="preserve">had not </t>
    </r>
    <r>
      <rPr>
        <sz val="8"/>
        <color theme="1"/>
        <rFont val="Calibri"/>
      </rPr>
      <t xml:space="preserve">consumed alcohol 30 DAYS POST DISCHARGE </t>
    </r>
  </si>
  <si>
    <t>AO</t>
  </si>
  <si>
    <t>(5) Illegal Drug Use</t>
  </si>
  <si>
    <t>For discharges this month, enter the total number with an illegal drug use status at both admission and discharge:</t>
  </si>
  <si>
    <t>R-AH</t>
  </si>
  <si>
    <r>
      <rPr>
        <sz val="8"/>
        <color theme="1"/>
        <rFont val="Calibri"/>
      </rPr>
      <t>Of those, how many</t>
    </r>
    <r>
      <rPr>
        <u/>
        <sz val="8"/>
        <color theme="1"/>
        <rFont val="Calibri"/>
      </rPr>
      <t xml:space="preserve"> had not </t>
    </r>
    <r>
      <rPr>
        <sz val="8"/>
        <color theme="1"/>
        <rFont val="Calibri"/>
      </rPr>
      <t>used illegal drugs at admission?</t>
    </r>
  </si>
  <si>
    <t>R</t>
  </si>
  <si>
    <r>
      <rPr>
        <sz val="8"/>
        <color theme="1"/>
        <rFont val="Calibri"/>
      </rPr>
      <t xml:space="preserve">Of those, how many </t>
    </r>
    <r>
      <rPr>
        <u/>
        <sz val="8"/>
        <color theme="1"/>
        <rFont val="Calibri"/>
      </rPr>
      <t>had not</t>
    </r>
    <r>
      <rPr>
        <sz val="8"/>
        <color theme="1"/>
        <rFont val="Calibri"/>
      </rPr>
      <t xml:space="preserve"> used illegal drugs in the past 30 days of when they were discharged?</t>
    </r>
  </si>
  <si>
    <t>AH</t>
  </si>
  <si>
    <r>
      <rPr>
        <sz val="8"/>
        <color theme="1"/>
        <rFont val="Calibri"/>
      </rPr>
      <t xml:space="preserve">Of those, how many </t>
    </r>
    <r>
      <rPr>
        <u/>
        <sz val="8"/>
        <color theme="1"/>
        <rFont val="Calibri"/>
      </rPr>
      <t>had not</t>
    </r>
    <r>
      <rPr>
        <sz val="8"/>
        <color theme="1"/>
        <rFont val="Calibri"/>
      </rPr>
      <t xml:space="preserve"> used illegal drugs 30 DAYS POST DISCHARGE </t>
    </r>
  </si>
  <si>
    <t>AP</t>
  </si>
  <si>
    <t xml:space="preserve">(6) Social Support/Recovery </t>
  </si>
  <si>
    <t>For discharges this month, enter the total number with a social support status at both admission and discharge:</t>
  </si>
  <si>
    <t>S-AI</t>
  </si>
  <si>
    <t>Of those, how many had participated in self-help groups (AA, NA, etc.) in the past 30 days of when they were admitted?</t>
  </si>
  <si>
    <t>S</t>
  </si>
  <si>
    <t>Of those, how many had participated in self-help groups (AA, NA, etc.) in the past 30 days of when they were discharged?</t>
  </si>
  <si>
    <t>AI</t>
  </si>
  <si>
    <t xml:space="preserve">Of those, how many had participated in self-help groups (AA, NA, etc.) 30 DAYS POST DISCHARGE </t>
  </si>
  <si>
    <t>AQ</t>
  </si>
  <si>
    <t xml:space="preserve">DEMOGRAPHICS AT ADMISSION - CONTINUING STAY </t>
  </si>
  <si>
    <t xml:space="preserve">WILL AUTOMATICALLY POPULATE PREVIOUSLY ENTERED DATA - </t>
  </si>
  <si>
    <t>ETHNICITY</t>
  </si>
  <si>
    <t xml:space="preserve">ETHNICITY </t>
  </si>
  <si>
    <t xml:space="preserve">YEAR TO DATE </t>
  </si>
  <si>
    <t>Native Hawaiian/ Pacific Islander</t>
  </si>
  <si>
    <t>American Indian/ Alaskan Native</t>
  </si>
  <si>
    <t>More than One Race Reported</t>
  </si>
  <si>
    <t>Origin Unknown</t>
  </si>
  <si>
    <t>Ages</t>
  </si>
  <si>
    <t>M</t>
  </si>
  <si>
    <t>F</t>
  </si>
  <si>
    <t>Age 12 and under</t>
  </si>
  <si>
    <t>Age 13-17</t>
  </si>
  <si>
    <t>Age 18 -20</t>
  </si>
  <si>
    <t>Age 21-24</t>
  </si>
  <si>
    <t>Age 25-44</t>
  </si>
  <si>
    <t>Age 45-64</t>
  </si>
  <si>
    <t>Age 65 -74</t>
  </si>
  <si>
    <t>Age 75 and older</t>
  </si>
  <si>
    <t>Total Individuals</t>
  </si>
  <si>
    <t>PROGRAM INFORMATION AT ADMISSION - CONTINUING STAY</t>
  </si>
  <si>
    <t xml:space="preserve">PREGNANT WOMEN AT ADMISSION </t>
  </si>
  <si>
    <t>V</t>
  </si>
  <si>
    <t>Pregnant Women - TOTAL</t>
  </si>
  <si>
    <t xml:space="preserve">V = Pregnant </t>
  </si>
  <si>
    <t xml:space="preserve">PREGNANT WOMEN IV USING AT ADMISSION </t>
  </si>
  <si>
    <t>W</t>
  </si>
  <si>
    <t xml:space="preserve">W= IV Using </t>
  </si>
  <si>
    <t>IV USING AT ADMSSION</t>
  </si>
  <si>
    <t>IV Using -                    TOTAL</t>
  </si>
  <si>
    <t>Orientation Provided</t>
  </si>
  <si>
    <t>AK</t>
  </si>
  <si>
    <t>Orientation Provided -                    TOTAL</t>
  </si>
  <si>
    <t>Peer Coach Provided</t>
  </si>
  <si>
    <t>Peer Coach Provided -                    TOTAL</t>
  </si>
  <si>
    <t>Screening for Co-occurring</t>
  </si>
  <si>
    <t>Screening for Co-occurring -                    TOTAL</t>
  </si>
  <si>
    <t>If yes for Co-occurring Screening referred</t>
  </si>
  <si>
    <r>
      <rPr>
        <b/>
        <sz val="8"/>
        <color theme="0"/>
        <rFont val="Calibri"/>
      </rPr>
      <t xml:space="preserve">If yes for Co-occurring Screening referred </t>
    </r>
    <r>
      <rPr>
        <b/>
        <sz val="9"/>
        <color theme="0"/>
        <rFont val="Calibri"/>
      </rPr>
      <t>-                    TOTAL</t>
    </r>
  </si>
  <si>
    <t xml:space="preserve">DX of SMI </t>
  </si>
  <si>
    <t>DX of SMI -                    TOTAL</t>
  </si>
  <si>
    <t>MEDICAL INSURANCE AT ADMISSION- CONTINUING STAY</t>
  </si>
  <si>
    <t>MEDICAL INSURANCE AT ADMISSION - CONTINUED STAY</t>
  </si>
  <si>
    <t>LIVING SITUATION AT ADMISSION - CONTINUING STAY</t>
  </si>
  <si>
    <t>LIVING SITUATIOON AT ADMISSION - CONTINUING STAY</t>
  </si>
  <si>
    <t>aB</t>
  </si>
  <si>
    <t>African American / Black</t>
  </si>
  <si>
    <t>American Indian Alaskan Native</t>
  </si>
  <si>
    <t xml:space="preserve">Asian </t>
  </si>
  <si>
    <t>Native Hawaiian/Pacific</t>
  </si>
  <si>
    <t>White - Caucasian</t>
  </si>
  <si>
    <t>Hispanic/Latino Origin</t>
  </si>
  <si>
    <t>MEDICATION ASSISTED TREATMENT INFORMATION - COLLECTED AT DISCHARGE</t>
  </si>
  <si>
    <t>NON - PREGNANT CLIENTS REFERRED TO MAT DURING PROGRAM FROM DISCHARGE INFORMATION</t>
  </si>
  <si>
    <t>NON - PREGNANT CLIENTS REFERRED TO MAT</t>
  </si>
  <si>
    <t>Client Referred to MAT</t>
  </si>
  <si>
    <t>VW</t>
  </si>
  <si>
    <t>If Referred, Admitted to MAT</t>
  </si>
  <si>
    <t>XY</t>
  </si>
  <si>
    <t xml:space="preserve">Remained on MAT DURING STAY </t>
  </si>
  <si>
    <t>ZAA</t>
  </si>
  <si>
    <t xml:space="preserve">PREGNANT CLIENTS REFERRED TO MATDURING PROGRAM FROM DISCHARGE INFORMATION </t>
  </si>
  <si>
    <t>PREGNANT CLIENTS REFERRED TO MAT</t>
  </si>
  <si>
    <t>6.D. REFERRAL INFORMATION</t>
  </si>
  <si>
    <t xml:space="preserve">DEMOGRAPHICS AT REFERRAL </t>
  </si>
  <si>
    <t xml:space="preserve">REFERRALS </t>
  </si>
  <si>
    <t>age O</t>
  </si>
  <si>
    <t>Gender P</t>
  </si>
  <si>
    <t>Pregnant Q</t>
  </si>
  <si>
    <t>IV User R</t>
  </si>
  <si>
    <t>Race S</t>
  </si>
  <si>
    <t>Ethnicity U</t>
  </si>
  <si>
    <t xml:space="preserve">IV USERS AT TIME OF REFERRAL </t>
  </si>
  <si>
    <t>PREGNANT WOMEN</t>
  </si>
  <si>
    <t>PREGNANT WOMEN TOTAL</t>
  </si>
  <si>
    <t>PREGANT WOMEN IV USING</t>
  </si>
  <si>
    <t>PREGNANT WOMEN IV USER</t>
  </si>
  <si>
    <t>IV USING ALL</t>
  </si>
  <si>
    <t>IV USING ALL TOTAL</t>
  </si>
  <si>
    <t>Disposition of Referral</t>
  </si>
  <si>
    <t>K</t>
  </si>
  <si>
    <t>accepted TOTAL</t>
  </si>
  <si>
    <t xml:space="preserve">wait list (give anticipated time) TOTAL </t>
  </si>
  <si>
    <t xml:space="preserve">denied (give reason) TOTAL </t>
  </si>
  <si>
    <t>TRAINING AND OTHER EVENTS</t>
  </si>
  <si>
    <t>RECOVERY HOUSE PROGRAM STAFF</t>
  </si>
  <si>
    <t xml:space="preserve">NON PROGRAM STAFF (INTERNAL AND EXTERAL) </t>
  </si>
  <si>
    <t>X</t>
  </si>
  <si>
    <t>Y</t>
  </si>
  <si>
    <t>Z</t>
  </si>
  <si>
    <t>AA</t>
  </si>
  <si>
    <t>AC</t>
  </si>
  <si>
    <t>Training Received externally (not through employer)</t>
  </si>
  <si>
    <t>Training Received externally from employer</t>
  </si>
  <si>
    <t xml:space="preserve">Which service the survey was completed for: </t>
  </si>
  <si>
    <t>Which service the survey was completed for:</t>
  </si>
  <si>
    <r>
      <t xml:space="preserve">TRAINING FOR Staff </t>
    </r>
    <r>
      <rPr>
        <b/>
        <sz val="10"/>
        <color theme="1"/>
        <rFont val="Calibri"/>
      </rPr>
      <t xml:space="preserve"> </t>
    </r>
    <r>
      <rPr>
        <b/>
        <sz val="10"/>
        <color rgb="FFFF0000"/>
        <rFont val="Calibri"/>
      </rPr>
      <t>(FUNDED BY GRANT</t>
    </r>
    <r>
      <rPr>
        <sz val="10"/>
        <color rgb="FFFF0000"/>
        <rFont val="Calibri"/>
      </rPr>
      <t>)</t>
    </r>
    <r>
      <rPr>
        <sz val="10"/>
        <color theme="1"/>
        <rFont val="Calibri"/>
      </rPr>
      <t xml:space="preserve"> PARTICIPATING BY DISCIPLINE  (Line 14 - initials will populate from Grantee Set Up Info &amp; Date Tab) </t>
    </r>
  </si>
  <si>
    <t>Recovery Community Organization (RCO)</t>
  </si>
  <si>
    <t>Date Started Advising for Grant 00/00/0000</t>
  </si>
  <si>
    <t>End Date for Advising for Grant 00/00/0000</t>
  </si>
  <si>
    <t>Advisory Board members Recovery Status</t>
  </si>
  <si>
    <r>
      <rPr>
        <sz val="11"/>
        <color theme="1"/>
        <rFont val="Calibri"/>
        <family val="2"/>
      </rPr>
      <t xml:space="preserve">Initials of Staff </t>
    </r>
    <r>
      <rPr>
        <sz val="8"/>
        <color theme="1"/>
        <rFont val="Calibri"/>
        <family val="2"/>
      </rPr>
      <t xml:space="preserve">(will populate to Training &amp; Other Tabs) </t>
    </r>
  </si>
  <si>
    <t>Staff Credentials and Recovery Status</t>
  </si>
  <si>
    <r>
      <t xml:space="preserve">Initials of Advisory Board Members </t>
    </r>
    <r>
      <rPr>
        <sz val="8"/>
        <color theme="1"/>
        <rFont val="Calibri"/>
        <family val="2"/>
      </rPr>
      <t xml:space="preserve">(will populate to Training &amp; Other Tabs) </t>
    </r>
  </si>
  <si>
    <t xml:space="preserve">Staff funded/supported by the Grant:   List the initials of the staff, the date they started employment for the grant and if applicable the date they ended employment for the grant.  Use Month/Day/Year (00/00/0000).  The initials placed in Columns C-G and W-Y  will populate to the  Evidence Based Training Tab Line 14 Columns AN through AY and the Naloxone Training Distribution Tab Line 14 Columns X through AI. Also include the recovery status of staff and advisory board members per the minimum 51% requirment in the statement of work. The requirements are staff identify as being in long term recovery from an SUD, and RCO advisory committee comprised of at least 51% family members of persons who identify as being in long term recovery from an SUD. The RCO Board of Directors should be at least 51% individuals in recovery from an SUD. </t>
  </si>
  <si>
    <t>Other (Please List in Notes)</t>
  </si>
  <si>
    <t>Column1</t>
  </si>
  <si>
    <t>Column2</t>
  </si>
  <si>
    <t>Column3</t>
  </si>
  <si>
    <t>Column4</t>
  </si>
  <si>
    <t>Required by SOW</t>
  </si>
  <si>
    <t>Required by Org.</t>
  </si>
  <si>
    <t>FAVoR Training</t>
  </si>
  <si>
    <t xml:space="preserve">Names of Contact(s):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</si>
</sst>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123">
    <font>
      <sz val="11"/>
      <color theme="1"/>
      <name val="Calibri"/>
      <scheme val="minor"/>
    </font>
    <font>
      <sz val="11"/>
      <color theme="1"/>
      <name val="Calibri"/>
      <family val="2"/>
      <scheme val="minor"/>
    </font>
    <font>
      <sz val="11"/>
      <color theme="1"/>
      <name val="Calibri"/>
      <family val="2"/>
      <scheme val="minor"/>
    </font>
    <font>
      <b/>
      <sz val="20"/>
      <color theme="0"/>
      <name val="Calibri"/>
    </font>
    <font>
      <sz val="11"/>
      <name val="Calibri"/>
    </font>
    <font>
      <b/>
      <sz val="12"/>
      <color theme="1"/>
      <name val="Calibri"/>
    </font>
    <font>
      <sz val="10"/>
      <color theme="1"/>
      <name val="Calibri"/>
    </font>
    <font>
      <b/>
      <sz val="18"/>
      <color theme="0"/>
      <name val="Calibri"/>
    </font>
    <font>
      <sz val="22"/>
      <color theme="1"/>
      <name val="Calibri"/>
    </font>
    <font>
      <sz val="11"/>
      <color theme="1"/>
      <name val="Calibri"/>
    </font>
    <font>
      <b/>
      <sz val="11"/>
      <color theme="1"/>
      <name val="Calibri"/>
    </font>
    <font>
      <sz val="9"/>
      <color theme="1"/>
      <name val="Calibri"/>
    </font>
    <font>
      <b/>
      <sz val="12"/>
      <color rgb="FF974806"/>
      <name val="Calibri"/>
    </font>
    <font>
      <b/>
      <sz val="24"/>
      <color theme="0"/>
      <name val="Calibri"/>
    </font>
    <font>
      <b/>
      <sz val="22"/>
      <color theme="0"/>
      <name val="Calibri"/>
    </font>
    <font>
      <sz val="8"/>
      <color theme="1"/>
      <name val="Calibri"/>
    </font>
    <font>
      <sz val="22"/>
      <color theme="0"/>
      <name val="Calibri"/>
    </font>
    <font>
      <b/>
      <sz val="14"/>
      <color theme="1"/>
      <name val="Calibri"/>
    </font>
    <font>
      <i/>
      <sz val="12"/>
      <color theme="1"/>
      <name val="Calibri"/>
    </font>
    <font>
      <b/>
      <sz val="11"/>
      <color rgb="FFFFDDFF"/>
      <name val="Calibri"/>
    </font>
    <font>
      <b/>
      <sz val="12"/>
      <color rgb="FFFF0000"/>
      <name val="Calibri"/>
    </font>
    <font>
      <sz val="12"/>
      <color theme="1"/>
      <name val="Calibri"/>
    </font>
    <font>
      <b/>
      <sz val="11"/>
      <color theme="0"/>
      <name val="Calibri"/>
    </font>
    <font>
      <b/>
      <sz val="11"/>
      <color rgb="FFFBD4B4"/>
      <name val="Calibri"/>
    </font>
    <font>
      <b/>
      <sz val="8"/>
      <color theme="1"/>
      <name val="Calibri"/>
    </font>
    <font>
      <sz val="8"/>
      <color rgb="FF974806"/>
      <name val="Calibri"/>
    </font>
    <font>
      <b/>
      <sz val="14"/>
      <color theme="0"/>
      <name val="Calibri"/>
    </font>
    <font>
      <sz val="11"/>
      <color rgb="FFFF0000"/>
      <name val="Calibri"/>
    </font>
    <font>
      <b/>
      <sz val="14"/>
      <color rgb="FF0070C0"/>
      <name val="Calibri"/>
    </font>
    <font>
      <sz val="14"/>
      <color theme="1"/>
      <name val="Calibri"/>
    </font>
    <font>
      <b/>
      <sz val="9"/>
      <color theme="1"/>
      <name val="Calibri"/>
    </font>
    <font>
      <b/>
      <sz val="9"/>
      <color rgb="FF974806"/>
      <name val="Calibri"/>
    </font>
    <font>
      <b/>
      <sz val="10"/>
      <color theme="1"/>
      <name val="Calibri"/>
    </font>
    <font>
      <sz val="11"/>
      <color rgb="FF974806"/>
      <name val="Calibri"/>
    </font>
    <font>
      <sz val="8"/>
      <color rgb="FF0070C0"/>
      <name val="Calibri"/>
    </font>
    <font>
      <b/>
      <sz val="11"/>
      <color rgb="FF974806"/>
      <name val="Calibri"/>
    </font>
    <font>
      <b/>
      <sz val="8"/>
      <color rgb="FF974806"/>
      <name val="Calibri"/>
    </font>
    <font>
      <sz val="8"/>
      <color rgb="FFFF0000"/>
      <name val="Calibri"/>
    </font>
    <font>
      <sz val="16"/>
      <color theme="1"/>
      <name val="Calibri"/>
    </font>
    <font>
      <sz val="12"/>
      <color theme="0"/>
      <name val="Calibri"/>
    </font>
    <font>
      <b/>
      <sz val="16"/>
      <color theme="1"/>
      <name val="Calibri"/>
    </font>
    <font>
      <b/>
      <sz val="9"/>
      <color rgb="FF0070C0"/>
      <name val="Calibri"/>
    </font>
    <font>
      <b/>
      <sz val="11"/>
      <color rgb="FF0070C0"/>
      <name val="Calibri"/>
    </font>
    <font>
      <sz val="9"/>
      <color rgb="FF974806"/>
      <name val="Calibri"/>
    </font>
    <font>
      <sz val="10"/>
      <color rgb="FF974806"/>
      <name val="Calibri"/>
    </font>
    <font>
      <sz val="9"/>
      <color rgb="FFFF0000"/>
      <name val="Calibri"/>
    </font>
    <font>
      <b/>
      <sz val="10"/>
      <color rgb="FF974806"/>
      <name val="Calibri"/>
    </font>
    <font>
      <sz val="6"/>
      <color theme="1"/>
      <name val="Calibri"/>
    </font>
    <font>
      <b/>
      <sz val="11"/>
      <color rgb="FFFF0000"/>
      <name val="Calibri"/>
    </font>
    <font>
      <b/>
      <sz val="11"/>
      <color rgb="FFFF00FF"/>
      <name val="Calibri"/>
    </font>
    <font>
      <b/>
      <sz val="14"/>
      <color rgb="FFFFDDFF"/>
      <name val="Calibri"/>
    </font>
    <font>
      <b/>
      <sz val="20"/>
      <color theme="1"/>
      <name val="Calibri"/>
    </font>
    <font>
      <sz val="18"/>
      <color theme="1"/>
      <name val="Calibri"/>
    </font>
    <font>
      <b/>
      <sz val="10"/>
      <color rgb="FF632423"/>
      <name val="Calibri"/>
    </font>
    <font>
      <b/>
      <sz val="8"/>
      <color theme="0"/>
      <name val="Calibri"/>
    </font>
    <font>
      <sz val="16"/>
      <color theme="0"/>
      <name val="Calibri"/>
    </font>
    <font>
      <sz val="10"/>
      <color theme="0"/>
      <name val="Calibri"/>
    </font>
    <font>
      <sz val="11"/>
      <color theme="0"/>
      <name val="Calibri"/>
    </font>
    <font>
      <sz val="14"/>
      <color rgb="FFFFDDFF"/>
      <name val="Calibri"/>
    </font>
    <font>
      <b/>
      <i/>
      <sz val="11"/>
      <color theme="1"/>
      <name val="Calibri"/>
    </font>
    <font>
      <sz val="11"/>
      <color rgb="FFFABF8F"/>
      <name val="Calibri"/>
    </font>
    <font>
      <sz val="16"/>
      <color rgb="FFFABF8F"/>
      <name val="Calibri"/>
    </font>
    <font>
      <b/>
      <sz val="16"/>
      <color theme="0"/>
      <name val="Calibri"/>
    </font>
    <font>
      <sz val="10"/>
      <color rgb="FF0070C0"/>
      <name val="Calibri"/>
    </font>
    <font>
      <b/>
      <sz val="10"/>
      <color rgb="FF0070C0"/>
      <name val="Calibri"/>
    </font>
    <font>
      <b/>
      <sz val="11"/>
      <color rgb="FF002060"/>
      <name val="Calibri"/>
    </font>
    <font>
      <sz val="14"/>
      <color theme="0"/>
      <name val="Calibri"/>
    </font>
    <font>
      <b/>
      <sz val="16"/>
      <color rgb="FFFF0000"/>
      <name val="Calibri"/>
    </font>
    <font>
      <sz val="16"/>
      <color rgb="FFFF0000"/>
      <name val="Calibri"/>
    </font>
    <font>
      <b/>
      <sz val="14"/>
      <color rgb="FFE36C09"/>
      <name val="Calibri"/>
    </font>
    <font>
      <sz val="14"/>
      <color rgb="FFE36C09"/>
      <name val="Calibri"/>
    </font>
    <font>
      <sz val="16"/>
      <color rgb="FFDAEEF3"/>
      <name val="Calibri"/>
    </font>
    <font>
      <sz val="11"/>
      <color rgb="FFDAEEF3"/>
      <name val="Calibri"/>
    </font>
    <font>
      <i/>
      <sz val="20"/>
      <color theme="1"/>
      <name val="Calibri"/>
    </font>
    <font>
      <i/>
      <sz val="11"/>
      <color rgb="FFFF0000"/>
      <name val="Calibri"/>
    </font>
    <font>
      <sz val="14"/>
      <color rgb="FFF2F2F2"/>
      <name val="Calibri"/>
    </font>
    <font>
      <b/>
      <sz val="18"/>
      <color theme="1"/>
      <name val="Calibri"/>
    </font>
    <font>
      <b/>
      <sz val="14"/>
      <color rgb="FFF2F2F2"/>
      <name val="Calibri"/>
    </font>
    <font>
      <b/>
      <sz val="12"/>
      <color theme="0"/>
      <name val="Calibri"/>
    </font>
    <font>
      <b/>
      <sz val="10"/>
      <color theme="0"/>
      <name val="Calibri"/>
    </font>
    <font>
      <sz val="11"/>
      <color theme="1"/>
      <name val="Calibri"/>
      <scheme val="minor"/>
    </font>
    <font>
      <b/>
      <sz val="24"/>
      <color rgb="FFFF0000"/>
      <name val="Calibri"/>
    </font>
    <font>
      <b/>
      <sz val="20"/>
      <color rgb="FFFF0000"/>
      <name val="Calibri"/>
    </font>
    <font>
      <sz val="9"/>
      <color theme="0"/>
      <name val="Calibri"/>
    </font>
    <font>
      <b/>
      <sz val="11"/>
      <color rgb="FFBFBFBF"/>
      <name val="Calibri"/>
    </font>
    <font>
      <b/>
      <i/>
      <sz val="11"/>
      <color rgb="FFFF0000"/>
      <name val="Calibri"/>
    </font>
    <font>
      <sz val="8"/>
      <color rgb="FFD8D8D8"/>
      <name val="Calibri"/>
    </font>
    <font>
      <b/>
      <sz val="18"/>
      <color rgb="FFFF0000"/>
      <name val="Calibri"/>
    </font>
    <font>
      <sz val="11"/>
      <color rgb="FFBFBFBF"/>
      <name val="Calibri"/>
    </font>
    <font>
      <b/>
      <sz val="10"/>
      <color rgb="FFFF0000"/>
      <name val="Calibri"/>
    </font>
    <font>
      <b/>
      <sz val="9"/>
      <color rgb="FFFF0000"/>
      <name val="Calibri"/>
    </font>
    <font>
      <sz val="7"/>
      <color theme="1"/>
      <name val="Calibri"/>
    </font>
    <font>
      <sz val="8"/>
      <color rgb="FF002060"/>
      <name val="Calibri"/>
    </font>
    <font>
      <b/>
      <sz val="10"/>
      <color rgb="FF002060"/>
      <name val="Calibri"/>
    </font>
    <font>
      <b/>
      <i/>
      <sz val="9"/>
      <color rgb="FF0070C0"/>
      <name val="Calibri"/>
    </font>
    <font>
      <sz val="11"/>
      <color rgb="FFA5A5A5"/>
      <name val="Calibri"/>
    </font>
    <font>
      <b/>
      <sz val="9"/>
      <color theme="0"/>
      <name val="Calibri"/>
    </font>
    <font>
      <sz val="11"/>
      <color rgb="FF7F7F7F"/>
      <name val="Calibri"/>
    </font>
    <font>
      <sz val="20"/>
      <color theme="0"/>
      <name val="Calibri"/>
    </font>
    <font>
      <sz val="11"/>
      <color rgb="FFD8D8D8"/>
      <name val="Calibri"/>
    </font>
    <font>
      <b/>
      <u/>
      <sz val="20"/>
      <color theme="0"/>
      <name val="Calibri"/>
    </font>
    <font>
      <b/>
      <sz val="22"/>
      <color theme="1"/>
      <name val="Calibri"/>
    </font>
    <font>
      <b/>
      <u/>
      <sz val="8"/>
      <color theme="1"/>
      <name val="Calibri"/>
    </font>
    <font>
      <b/>
      <sz val="11"/>
      <color rgb="FFFABF8F"/>
      <name val="Calibri"/>
    </font>
    <font>
      <u/>
      <sz val="8"/>
      <color theme="1"/>
      <name val="Calibri"/>
    </font>
    <font>
      <u/>
      <sz val="8"/>
      <color rgb="FF974806"/>
      <name val="Calibri"/>
    </font>
    <font>
      <b/>
      <u/>
      <sz val="10"/>
      <color theme="1"/>
      <name val="Calibri"/>
    </font>
    <font>
      <b/>
      <u/>
      <sz val="10"/>
      <color rgb="FF974806"/>
      <name val="Calibri"/>
    </font>
    <font>
      <b/>
      <sz val="8"/>
      <color rgb="FF0070C0"/>
      <name val="Calibri"/>
    </font>
    <font>
      <sz val="10"/>
      <color rgb="FFFF0000"/>
      <name val="Calibri"/>
    </font>
    <font>
      <b/>
      <u/>
      <sz val="16"/>
      <color theme="1"/>
      <name val="Calibri"/>
    </font>
    <font>
      <b/>
      <u/>
      <sz val="18"/>
      <color theme="1"/>
      <name val="Calibri"/>
    </font>
    <font>
      <sz val="8"/>
      <color theme="0"/>
      <name val="Calibri"/>
    </font>
    <font>
      <sz val="11"/>
      <color theme="1"/>
      <name val="Calibri"/>
      <family val="2"/>
    </font>
    <font>
      <sz val="8"/>
      <color theme="1"/>
      <name val="Calibri"/>
      <family val="2"/>
    </font>
    <font>
      <sz val="9"/>
      <color theme="1"/>
      <name val="Calibri"/>
      <family val="2"/>
    </font>
    <font>
      <b/>
      <sz val="11"/>
      <color rgb="FFFFDDFF"/>
      <name val="Calibri"/>
      <family val="2"/>
    </font>
    <font>
      <sz val="11"/>
      <name val="Calibri"/>
      <family val="2"/>
    </font>
    <font>
      <b/>
      <sz val="12"/>
      <color rgb="FFFF0000"/>
      <name val="Calibri"/>
      <family val="2"/>
    </font>
    <font>
      <sz val="12"/>
      <color theme="1"/>
      <name val="Calibri"/>
      <family val="2"/>
    </font>
    <font>
      <b/>
      <sz val="11"/>
      <color theme="1"/>
      <name val="Calibri"/>
      <family val="2"/>
    </font>
    <font>
      <sz val="9"/>
      <color rgb="FF974806"/>
      <name val="Calibri"/>
      <family val="2"/>
    </font>
    <font>
      <sz val="11"/>
      <color rgb="FF000000"/>
      <name val="Arial"/>
      <family val="2"/>
    </font>
  </fonts>
  <fills count="75">
    <fill>
      <patternFill patternType="none"/>
    </fill>
    <fill>
      <patternFill patternType="gray125"/>
    </fill>
    <fill>
      <patternFill patternType="solid">
        <fgColor theme="1"/>
        <bgColor theme="1"/>
      </patternFill>
    </fill>
    <fill>
      <patternFill patternType="solid">
        <fgColor rgb="FFFFFFCC"/>
        <bgColor rgb="FFFFFFCC"/>
      </patternFill>
    </fill>
    <fill>
      <patternFill patternType="solid">
        <fgColor rgb="FFFFFF99"/>
        <bgColor rgb="FFFFFF99"/>
      </patternFill>
    </fill>
    <fill>
      <patternFill patternType="solid">
        <fgColor rgb="FFFFC000"/>
        <bgColor rgb="FFFFC000"/>
      </patternFill>
    </fill>
    <fill>
      <patternFill patternType="solid">
        <fgColor rgb="FFFFF3CD"/>
        <bgColor rgb="FFFFF3CD"/>
      </patternFill>
    </fill>
    <fill>
      <patternFill patternType="solid">
        <fgColor rgb="FFFFCC29"/>
        <bgColor rgb="FFFFCC29"/>
      </patternFill>
    </fill>
    <fill>
      <patternFill patternType="solid">
        <fgColor rgb="FFFFDD71"/>
        <bgColor rgb="FFFFDD71"/>
      </patternFill>
    </fill>
    <fill>
      <patternFill patternType="solid">
        <fgColor rgb="FFF4FEBA"/>
        <bgColor rgb="FFF4FEBA"/>
      </patternFill>
    </fill>
    <fill>
      <patternFill patternType="solid">
        <fgColor rgb="FFFFFF85"/>
        <bgColor rgb="FFFFFF85"/>
      </patternFill>
    </fill>
    <fill>
      <patternFill patternType="solid">
        <fgColor rgb="FF974806"/>
        <bgColor rgb="FF974806"/>
      </patternFill>
    </fill>
    <fill>
      <patternFill patternType="solid">
        <fgColor rgb="FFFABF8F"/>
        <bgColor rgb="FFFABF8F"/>
      </patternFill>
    </fill>
    <fill>
      <patternFill patternType="solid">
        <fgColor rgb="FFFBD4B4"/>
        <bgColor rgb="FFFBD4B4"/>
      </patternFill>
    </fill>
    <fill>
      <patternFill patternType="solid">
        <fgColor rgb="FF00B050"/>
        <bgColor rgb="FF00B050"/>
      </patternFill>
    </fill>
    <fill>
      <patternFill patternType="solid">
        <fgColor rgb="FFEAF1DD"/>
        <bgColor rgb="FFEAF1DD"/>
      </patternFill>
    </fill>
    <fill>
      <patternFill patternType="solid">
        <fgColor rgb="FFD6E3BC"/>
        <bgColor rgb="FFD6E3BC"/>
      </patternFill>
    </fill>
    <fill>
      <patternFill patternType="solid">
        <fgColor rgb="FFFF0000"/>
        <bgColor rgb="FFFF0000"/>
      </patternFill>
    </fill>
    <fill>
      <patternFill patternType="solid">
        <fgColor rgb="FFFF81FF"/>
        <bgColor rgb="FFFF81FF"/>
      </patternFill>
    </fill>
    <fill>
      <patternFill patternType="solid">
        <fgColor rgb="FFFFC9FF"/>
        <bgColor rgb="FFFFC9FF"/>
      </patternFill>
    </fill>
    <fill>
      <patternFill patternType="solid">
        <fgColor rgb="FFA5A5A5"/>
        <bgColor rgb="FFA5A5A5"/>
      </patternFill>
    </fill>
    <fill>
      <patternFill patternType="solid">
        <fgColor rgb="FFD8D8D8"/>
        <bgColor rgb="FFD8D8D8"/>
      </patternFill>
    </fill>
    <fill>
      <patternFill patternType="solid">
        <fgColor rgb="FFBFBFBF"/>
        <bgColor rgb="FFBFBFBF"/>
      </patternFill>
    </fill>
    <fill>
      <patternFill patternType="solid">
        <fgColor rgb="FFDAEEF3"/>
        <bgColor rgb="FFDAEEF3"/>
      </patternFill>
    </fill>
    <fill>
      <patternFill patternType="solid">
        <fgColor rgb="FF632423"/>
        <bgColor rgb="FF632423"/>
      </patternFill>
    </fill>
    <fill>
      <patternFill patternType="solid">
        <fgColor rgb="FFB6DDE8"/>
        <bgColor rgb="FFB6DDE8"/>
      </patternFill>
    </fill>
    <fill>
      <patternFill patternType="solid">
        <fgColor rgb="FF31859B"/>
        <bgColor rgb="FF31859B"/>
      </patternFill>
    </fill>
    <fill>
      <patternFill patternType="solid">
        <fgColor rgb="FFE36C09"/>
        <bgColor rgb="FFE36C09"/>
      </patternFill>
    </fill>
    <fill>
      <patternFill patternType="solid">
        <fgColor rgb="FFFDE9D9"/>
        <bgColor rgb="FFFDE9D9"/>
      </patternFill>
    </fill>
    <fill>
      <patternFill patternType="solid">
        <fgColor rgb="FF3F3151"/>
        <bgColor rgb="FF3F3151"/>
      </patternFill>
    </fill>
    <fill>
      <patternFill patternType="solid">
        <fgColor rgb="FFE5DFEC"/>
        <bgColor rgb="FFE5DFEC"/>
      </patternFill>
    </fill>
    <fill>
      <patternFill patternType="solid">
        <fgColor rgb="FFCCC0D9"/>
        <bgColor rgb="FFCCC0D9"/>
      </patternFill>
    </fill>
    <fill>
      <patternFill patternType="solid">
        <fgColor rgb="FF002060"/>
        <bgColor rgb="FF002060"/>
      </patternFill>
    </fill>
    <fill>
      <patternFill patternType="solid">
        <fgColor rgb="FFFFFF66"/>
        <bgColor rgb="FFFFFF66"/>
      </patternFill>
    </fill>
    <fill>
      <patternFill patternType="solid">
        <fgColor rgb="FF92CDDC"/>
        <bgColor rgb="FF92CDDC"/>
      </patternFill>
    </fill>
    <fill>
      <patternFill patternType="solid">
        <fgColor rgb="FFF2F2F2"/>
        <bgColor rgb="FFF2F2F2"/>
      </patternFill>
    </fill>
    <fill>
      <patternFill patternType="solid">
        <fgColor rgb="FF93CDDD"/>
        <bgColor rgb="FF93CDDD"/>
      </patternFill>
    </fill>
    <fill>
      <patternFill patternType="solid">
        <fgColor rgb="FFC2D69B"/>
        <bgColor rgb="FFC2D69B"/>
      </patternFill>
    </fill>
    <fill>
      <patternFill patternType="solid">
        <fgColor rgb="FFA7D6E3"/>
        <bgColor rgb="FFA7D6E3"/>
      </patternFill>
    </fill>
    <fill>
      <patternFill patternType="solid">
        <fgColor rgb="FF6DBCD1"/>
        <bgColor rgb="FF6DBCD1"/>
      </patternFill>
    </fill>
    <fill>
      <patternFill patternType="solid">
        <fgColor rgb="FF99D0DF"/>
        <bgColor rgb="FF99D0DF"/>
      </patternFill>
    </fill>
    <fill>
      <patternFill patternType="solid">
        <fgColor rgb="FFFFDDFF"/>
        <bgColor rgb="FFFFDDFF"/>
      </patternFill>
    </fill>
    <fill>
      <patternFill patternType="solid">
        <fgColor rgb="FFFFCDFF"/>
        <bgColor rgb="FFFFCDFF"/>
      </patternFill>
    </fill>
    <fill>
      <patternFill patternType="solid">
        <fgColor rgb="FFB5CD81"/>
        <bgColor rgb="FFB5CD81"/>
      </patternFill>
    </fill>
    <fill>
      <patternFill patternType="solid">
        <fgColor rgb="FFC5D79D"/>
        <bgColor rgb="FFC5D79D"/>
      </patternFill>
    </fill>
    <fill>
      <patternFill patternType="solid">
        <fgColor rgb="FFFFC5FF"/>
        <bgColor rgb="FFFFC5FF"/>
      </patternFill>
    </fill>
    <fill>
      <patternFill patternType="solid">
        <fgColor rgb="FFFFABFF"/>
        <bgColor rgb="FFFFABFF"/>
      </patternFill>
    </fill>
    <fill>
      <patternFill patternType="solid">
        <fgColor rgb="FFD99594"/>
        <bgColor rgb="FFD99594"/>
      </patternFill>
    </fill>
    <fill>
      <patternFill patternType="solid">
        <fgColor rgb="FFE5B8B7"/>
        <bgColor rgb="FFE5B8B7"/>
      </patternFill>
    </fill>
    <fill>
      <patternFill patternType="solid">
        <fgColor rgb="FFF2DBDB"/>
        <bgColor rgb="FFF2DBDB"/>
      </patternFill>
    </fill>
    <fill>
      <patternFill patternType="solid">
        <fgColor rgb="FFFFFFA3"/>
        <bgColor rgb="FFFFFFA3"/>
      </patternFill>
    </fill>
    <fill>
      <patternFill patternType="solid">
        <fgColor rgb="FF5F497A"/>
        <bgColor rgb="FF5F497A"/>
      </patternFill>
    </fill>
    <fill>
      <patternFill patternType="solid">
        <fgColor rgb="FF76923C"/>
        <bgColor rgb="FF76923C"/>
      </patternFill>
    </fill>
    <fill>
      <patternFill patternType="solid">
        <fgColor rgb="FF39471D"/>
        <bgColor rgb="FF39471D"/>
      </patternFill>
    </fill>
    <fill>
      <patternFill patternType="solid">
        <fgColor rgb="FF205867"/>
        <bgColor rgb="FF205867"/>
      </patternFill>
    </fill>
    <fill>
      <patternFill patternType="solid">
        <fgColor rgb="FF4F6128"/>
        <bgColor rgb="FF4F6128"/>
      </patternFill>
    </fill>
    <fill>
      <patternFill patternType="solid">
        <fgColor rgb="FF143840"/>
        <bgColor rgb="FF143840"/>
      </patternFill>
    </fill>
    <fill>
      <patternFill patternType="solid">
        <fgColor rgb="FFFF8BFF"/>
        <bgColor rgb="FFFF8BFF"/>
      </patternFill>
    </fill>
    <fill>
      <patternFill patternType="solid">
        <fgColor rgb="FFFFD5FF"/>
        <bgColor rgb="FFFFD5FF"/>
      </patternFill>
    </fill>
    <fill>
      <patternFill patternType="solid">
        <fgColor rgb="FFFFA3FF"/>
        <bgColor rgb="FFFFA3FF"/>
      </patternFill>
    </fill>
    <fill>
      <patternFill patternType="solid">
        <fgColor rgb="FFD3817F"/>
        <bgColor rgb="FFD3817F"/>
      </patternFill>
    </fill>
    <fill>
      <patternFill patternType="solid">
        <fgColor rgb="FFEBC9C7"/>
        <bgColor rgb="FFEBC9C7"/>
      </patternFill>
    </fill>
    <fill>
      <patternFill patternType="solid">
        <fgColor rgb="FF7030A0"/>
        <bgColor rgb="FF7030A0"/>
      </patternFill>
    </fill>
    <fill>
      <patternFill patternType="solid">
        <fgColor rgb="FF953734"/>
        <bgColor rgb="FF953734"/>
      </patternFill>
    </fill>
    <fill>
      <patternFill patternType="solid">
        <fgColor rgb="FFF8A968"/>
        <bgColor rgb="FFF8A968"/>
      </patternFill>
    </fill>
    <fill>
      <patternFill patternType="solid">
        <fgColor rgb="FFBD4441"/>
        <bgColor rgb="FFBD4441"/>
      </patternFill>
    </fill>
    <fill>
      <patternFill patternType="solid">
        <fgColor rgb="FFFFFF00"/>
        <bgColor rgb="FFFFFF00"/>
      </patternFill>
    </fill>
    <fill>
      <patternFill patternType="solid">
        <fgColor rgb="FFCAE7EE"/>
        <bgColor rgb="FFCAE7EE"/>
      </patternFill>
    </fill>
    <fill>
      <patternFill patternType="solid">
        <fgColor rgb="FFB2A1C7"/>
        <bgColor rgb="FFB2A1C7"/>
      </patternFill>
    </fill>
    <fill>
      <patternFill patternType="solid">
        <fgColor theme="0"/>
        <bgColor theme="0"/>
      </patternFill>
    </fill>
    <fill>
      <patternFill patternType="solid">
        <fgColor rgb="FFBADFE8"/>
        <bgColor rgb="FFBADFE8"/>
      </patternFill>
    </fill>
    <fill>
      <patternFill patternType="solid">
        <fgColor rgb="FFFF9F9F"/>
        <bgColor rgb="FFFF9F9F"/>
      </patternFill>
    </fill>
    <fill>
      <patternFill patternType="solid">
        <fgColor rgb="FF0070C0"/>
        <bgColor rgb="FF0070C0"/>
      </patternFill>
    </fill>
    <fill>
      <patternFill patternType="solid">
        <fgColor rgb="FF95B3D7"/>
        <bgColor rgb="FF95B3D7"/>
      </patternFill>
    </fill>
    <fill>
      <patternFill patternType="solid">
        <fgColor theme="0"/>
        <bgColor indexed="64"/>
      </patternFill>
    </fill>
  </fills>
  <borders count="112">
    <border>
      <left/>
      <right/>
      <top/>
      <bottom/>
      <diagonal/>
    </border>
    <border>
      <left/>
      <right/>
      <top/>
      <bottom/>
      <diagonal/>
    </border>
    <border>
      <left/>
      <right/>
      <top/>
      <bottom/>
      <diagonal/>
    </border>
    <border>
      <left/>
      <right/>
      <top/>
      <bottom/>
      <diagonal/>
    </border>
    <border>
      <left style="thin">
        <color rgb="FF000000"/>
      </left>
      <right/>
      <top/>
      <bottom style="double">
        <color rgb="FF000000"/>
      </bottom>
      <diagonal/>
    </border>
    <border>
      <left/>
      <right/>
      <top/>
      <bottom style="double">
        <color rgb="FF000000"/>
      </bottom>
      <diagonal/>
    </border>
    <border>
      <left/>
      <right/>
      <top/>
      <bottom style="double">
        <color rgb="FF000000"/>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diagonal/>
    </border>
    <border>
      <left style="double">
        <color rgb="FF000000"/>
      </left>
      <right/>
      <top/>
      <bottom/>
      <diagonal/>
    </border>
    <border>
      <left/>
      <right style="double">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top style="thin">
        <color rgb="FF000000"/>
      </top>
      <bottom/>
      <diagonal/>
    </border>
    <border>
      <left/>
      <right/>
      <top style="thin">
        <color rgb="FF000000"/>
      </top>
      <bottom/>
      <diagonal/>
    </border>
    <border>
      <left/>
      <right/>
      <top style="thin">
        <color rgb="FF000000"/>
      </top>
      <bottom style="thin">
        <color rgb="FFA5A5A5"/>
      </bottom>
      <diagonal/>
    </border>
    <border>
      <left/>
      <right/>
      <top style="thin">
        <color rgb="FF000000"/>
      </top>
      <bottom style="thin">
        <color rgb="FFA5A5A5"/>
      </bottom>
      <diagonal/>
    </border>
    <border>
      <left/>
      <right/>
      <top style="thin">
        <color rgb="FF000000"/>
      </top>
      <bottom style="thin">
        <color rgb="FFA5A5A5"/>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000000"/>
      </bottom>
      <diagonal/>
    </border>
    <border>
      <left/>
      <right/>
      <top style="thin">
        <color rgb="FFA5A5A5"/>
      </top>
      <bottom/>
      <diagonal/>
    </border>
    <border>
      <left/>
      <right/>
      <top style="thin">
        <color rgb="FFA5A5A5"/>
      </top>
      <bottom/>
      <diagonal/>
    </border>
    <border>
      <left/>
      <right/>
      <top style="thin">
        <color rgb="FFA5A5A5"/>
      </top>
      <bottom/>
      <diagonal/>
    </border>
    <border>
      <left/>
      <right style="double">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theme="0"/>
      </left>
      <right/>
      <top style="thin">
        <color theme="0"/>
      </top>
      <bottom style="thin">
        <color rgb="FF000000"/>
      </bottom>
      <diagonal/>
    </border>
    <border>
      <left/>
      <right/>
      <top style="thin">
        <color theme="0"/>
      </top>
      <bottom style="thin">
        <color rgb="FF000000"/>
      </bottom>
      <diagonal/>
    </border>
    <border>
      <left/>
      <right/>
      <top style="thin">
        <color theme="0"/>
      </top>
      <bottom style="thin">
        <color rgb="FF0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top/>
      <bottom/>
      <diagonal/>
    </border>
    <border>
      <left style="thick">
        <color rgb="FF000000"/>
      </left>
      <right/>
      <top/>
      <bottom/>
      <diagonal/>
    </border>
    <border>
      <left style="thick">
        <color rgb="FF000000"/>
      </left>
      <right/>
      <top style="thin">
        <color rgb="FF000000"/>
      </top>
      <bottom/>
      <diagonal/>
    </border>
    <border>
      <left style="thick">
        <color rgb="FF000000"/>
      </left>
      <right/>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092">
    <xf numFmtId="0" fontId="0" fillId="0" borderId="0" xfId="0"/>
    <xf numFmtId="0" fontId="6" fillId="3" borderId="10" xfId="0" applyFont="1" applyFill="1" applyBorder="1"/>
    <xf numFmtId="0" fontId="9" fillId="6" borderId="19" xfId="0" applyFont="1" applyFill="1" applyBorder="1"/>
    <xf numFmtId="0" fontId="9" fillId="5" borderId="19" xfId="0" applyFont="1" applyFill="1" applyBorder="1" applyAlignment="1">
      <alignment horizontal="center" vertical="center"/>
    </xf>
    <xf numFmtId="0" fontId="9" fillId="2" borderId="29" xfId="0" applyFont="1" applyFill="1" applyBorder="1"/>
    <xf numFmtId="0" fontId="9" fillId="2" borderId="33" xfId="0" applyFont="1" applyFill="1" applyBorder="1"/>
    <xf numFmtId="0" fontId="9" fillId="12" borderId="19" xfId="0" applyFont="1" applyFill="1" applyBorder="1"/>
    <xf numFmtId="0" fontId="9" fillId="12" borderId="40" xfId="0" applyFont="1" applyFill="1" applyBorder="1"/>
    <xf numFmtId="0" fontId="9" fillId="32" borderId="19" xfId="0" applyFont="1" applyFill="1" applyBorder="1"/>
    <xf numFmtId="0" fontId="9" fillId="2" borderId="19" xfId="0" applyFont="1" applyFill="1" applyBorder="1"/>
    <xf numFmtId="49" fontId="10" fillId="34" borderId="51" xfId="0" applyNumberFormat="1" applyFont="1" applyFill="1" applyBorder="1" applyAlignment="1">
      <alignment horizontal="center" vertical="center"/>
    </xf>
    <xf numFmtId="49" fontId="10" fillId="34" borderId="52" xfId="0" applyNumberFormat="1" applyFont="1" applyFill="1" applyBorder="1" applyAlignment="1">
      <alignment horizontal="center" vertical="center"/>
    </xf>
    <xf numFmtId="0" fontId="10" fillId="34" borderId="51" xfId="0" applyFont="1" applyFill="1" applyBorder="1" applyAlignment="1">
      <alignment horizontal="center" vertical="center" wrapText="1"/>
    </xf>
    <xf numFmtId="0" fontId="10" fillId="34" borderId="52" xfId="0" applyFont="1" applyFill="1" applyBorder="1" applyAlignment="1">
      <alignment horizontal="center" vertical="center" wrapText="1"/>
    </xf>
    <xf numFmtId="49" fontId="10" fillId="23" borderId="51" xfId="0" applyNumberFormat="1" applyFont="1" applyFill="1" applyBorder="1" applyAlignment="1">
      <alignment horizontal="center" vertical="center"/>
    </xf>
    <xf numFmtId="49" fontId="10" fillId="23" borderId="52" xfId="0" applyNumberFormat="1" applyFont="1" applyFill="1" applyBorder="1" applyAlignment="1">
      <alignment horizontal="center" vertical="center"/>
    </xf>
    <xf numFmtId="0" fontId="10" fillId="23" borderId="51" xfId="0" applyFont="1" applyFill="1" applyBorder="1" applyAlignment="1">
      <alignment horizontal="center" vertical="center"/>
    </xf>
    <xf numFmtId="0" fontId="10" fillId="23" borderId="52" xfId="0" applyFont="1" applyFill="1" applyBorder="1" applyAlignment="1">
      <alignment horizontal="center" vertical="center"/>
    </xf>
    <xf numFmtId="49" fontId="10" fillId="25" borderId="51" xfId="0" applyNumberFormat="1" applyFont="1" applyFill="1" applyBorder="1" applyAlignment="1">
      <alignment horizontal="center" vertical="center"/>
    </xf>
    <xf numFmtId="49" fontId="10" fillId="25" borderId="52" xfId="0" applyNumberFormat="1" applyFont="1" applyFill="1" applyBorder="1" applyAlignment="1">
      <alignment horizontal="center" vertical="center"/>
    </xf>
    <xf numFmtId="0" fontId="10" fillId="25" borderId="51" xfId="0" applyFont="1" applyFill="1" applyBorder="1" applyAlignment="1">
      <alignment horizontal="center" vertical="center"/>
    </xf>
    <xf numFmtId="0" fontId="10" fillId="25" borderId="52" xfId="0" applyFont="1" applyFill="1" applyBorder="1" applyAlignment="1">
      <alignment horizontal="center" vertical="center"/>
    </xf>
    <xf numFmtId="0" fontId="10" fillId="30" borderId="51" xfId="0" applyFont="1" applyFill="1" applyBorder="1" applyAlignment="1">
      <alignment horizontal="center" vertical="center"/>
    </xf>
    <xf numFmtId="0" fontId="10" fillId="30" borderId="52" xfId="0" applyFont="1" applyFill="1" applyBorder="1" applyAlignment="1">
      <alignment horizontal="center" vertical="center"/>
    </xf>
    <xf numFmtId="0" fontId="15" fillId="23" borderId="33" xfId="0" applyFont="1" applyFill="1" applyBorder="1" applyAlignment="1">
      <alignment horizontal="center" vertical="center"/>
    </xf>
    <xf numFmtId="0" fontId="10" fillId="23" borderId="33" xfId="0" applyFont="1" applyFill="1" applyBorder="1" applyAlignment="1">
      <alignment horizontal="center" vertical="center"/>
    </xf>
    <xf numFmtId="0" fontId="15" fillId="37" borderId="33" xfId="0" applyFont="1" applyFill="1" applyBorder="1" applyAlignment="1">
      <alignment horizontal="center" vertical="center" wrapText="1"/>
    </xf>
    <xf numFmtId="0" fontId="25" fillId="15" borderId="33" xfId="0" applyFont="1" applyFill="1" applyBorder="1" applyAlignment="1">
      <alignment horizontal="center" vertical="center" textRotation="90" wrapText="1"/>
    </xf>
    <xf numFmtId="0" fontId="37" fillId="41" borderId="33" xfId="0" applyFont="1" applyFill="1" applyBorder="1" applyAlignment="1">
      <alignment vertical="center" textRotation="90" wrapText="1"/>
    </xf>
    <xf numFmtId="0" fontId="18" fillId="25" borderId="19" xfId="0" applyFont="1" applyFill="1" applyBorder="1" applyAlignment="1">
      <alignment horizontal="center" vertical="center" wrapText="1"/>
    </xf>
    <xf numFmtId="0" fontId="22" fillId="2" borderId="19" xfId="0" applyFont="1" applyFill="1" applyBorder="1" applyAlignment="1">
      <alignment vertical="center" wrapText="1"/>
    </xf>
    <xf numFmtId="0" fontId="30" fillId="37" borderId="33" xfId="0" applyFont="1" applyFill="1" applyBorder="1" applyAlignment="1">
      <alignment horizontal="center" vertical="center" wrapText="1"/>
    </xf>
    <xf numFmtId="0" fontId="31" fillId="16" borderId="33" xfId="0" applyFont="1" applyFill="1" applyBorder="1" applyAlignment="1">
      <alignment horizontal="center" vertical="center" textRotation="90" wrapText="1"/>
    </xf>
    <xf numFmtId="0" fontId="45" fillId="41" borderId="29" xfId="0" applyFont="1" applyFill="1" applyBorder="1" applyAlignment="1">
      <alignment vertical="center" textRotation="90" wrapText="1"/>
    </xf>
    <xf numFmtId="0" fontId="11" fillId="37" borderId="33" xfId="0" applyFont="1" applyFill="1" applyBorder="1" applyAlignment="1">
      <alignment horizontal="center" vertical="center" wrapText="1"/>
    </xf>
    <xf numFmtId="0" fontId="25" fillId="16" borderId="33" xfId="0" applyFont="1" applyFill="1" applyBorder="1" applyAlignment="1">
      <alignment horizontal="center" vertical="center" textRotation="90" wrapText="1"/>
    </xf>
    <xf numFmtId="0" fontId="33" fillId="41" borderId="33" xfId="0" applyFont="1" applyFill="1" applyBorder="1" applyAlignment="1">
      <alignment vertical="center"/>
    </xf>
    <xf numFmtId="0" fontId="11" fillId="43" borderId="33" xfId="0" applyFont="1" applyFill="1" applyBorder="1" applyAlignment="1">
      <alignment horizontal="center" vertical="center" wrapText="1"/>
    </xf>
    <xf numFmtId="0" fontId="25" fillId="44" borderId="33" xfId="0" applyFont="1" applyFill="1" applyBorder="1" applyAlignment="1">
      <alignment horizontal="center" vertical="center" textRotation="90" wrapText="1"/>
    </xf>
    <xf numFmtId="0" fontId="33" fillId="45" borderId="33" xfId="0" applyFont="1" applyFill="1" applyBorder="1" applyAlignment="1">
      <alignment vertical="center"/>
    </xf>
    <xf numFmtId="49" fontId="33" fillId="39" borderId="62" xfId="0" applyNumberFormat="1" applyFont="1" applyFill="1" applyBorder="1" applyAlignment="1">
      <alignment vertical="center" wrapText="1"/>
    </xf>
    <xf numFmtId="49" fontId="33" fillId="39" borderId="63" xfId="0" applyNumberFormat="1" applyFont="1" applyFill="1" applyBorder="1" applyAlignment="1">
      <alignment vertical="center" wrapText="1"/>
    </xf>
    <xf numFmtId="0" fontId="11" fillId="0" borderId="0" xfId="0" applyFont="1"/>
    <xf numFmtId="0" fontId="17" fillId="25" borderId="19" xfId="0" applyFont="1" applyFill="1" applyBorder="1" applyAlignment="1">
      <alignment horizontal="center" vertical="center"/>
    </xf>
    <xf numFmtId="0" fontId="27" fillId="32" borderId="19" xfId="0" applyFont="1" applyFill="1" applyBorder="1"/>
    <xf numFmtId="0" fontId="15" fillId="23" borderId="19" xfId="0" applyFont="1" applyFill="1" applyBorder="1" applyAlignment="1">
      <alignment vertical="center"/>
    </xf>
    <xf numFmtId="0" fontId="36" fillId="23" borderId="29" xfId="0" applyFont="1" applyFill="1" applyBorder="1" applyAlignment="1">
      <alignment vertical="center" textRotation="90" wrapText="1"/>
    </xf>
    <xf numFmtId="0" fontId="36" fillId="25" borderId="29" xfId="0" applyFont="1" applyFill="1" applyBorder="1" applyAlignment="1">
      <alignment vertical="center" textRotation="90" wrapText="1"/>
    </xf>
    <xf numFmtId="0" fontId="36" fillId="12" borderId="33" xfId="0" applyFont="1" applyFill="1" applyBorder="1" applyAlignment="1">
      <alignment vertical="center" textRotation="90" wrapText="1"/>
    </xf>
    <xf numFmtId="0" fontId="36" fillId="13" borderId="33" xfId="0" applyFont="1" applyFill="1" applyBorder="1" applyAlignment="1">
      <alignment vertical="center" textRotation="90" wrapText="1"/>
    </xf>
    <xf numFmtId="0" fontId="9" fillId="23" borderId="33" xfId="0" applyFont="1" applyFill="1" applyBorder="1"/>
    <xf numFmtId="0" fontId="12" fillId="0" borderId="74" xfId="0" applyFont="1" applyBorder="1" applyAlignment="1">
      <alignment vertical="center" wrapText="1"/>
    </xf>
    <xf numFmtId="0" fontId="12" fillId="25" borderId="29" xfId="0" applyFont="1" applyFill="1" applyBorder="1" applyAlignment="1">
      <alignment vertical="center" wrapText="1"/>
    </xf>
    <xf numFmtId="0" fontId="12" fillId="23" borderId="29" xfId="0" applyFont="1" applyFill="1" applyBorder="1" applyAlignment="1">
      <alignment vertical="center" wrapText="1"/>
    </xf>
    <xf numFmtId="14" fontId="12" fillId="23" borderId="29" xfId="0" applyNumberFormat="1" applyFont="1" applyFill="1" applyBorder="1" applyAlignment="1">
      <alignment vertical="center" wrapText="1"/>
    </xf>
    <xf numFmtId="0" fontId="9" fillId="23" borderId="33" xfId="0" applyFont="1" applyFill="1" applyBorder="1" applyAlignment="1">
      <alignment horizontal="center" vertical="center"/>
    </xf>
    <xf numFmtId="14" fontId="11" fillId="25" borderId="33" xfId="0" applyNumberFormat="1" applyFont="1" applyFill="1" applyBorder="1"/>
    <xf numFmtId="0" fontId="11" fillId="25" borderId="33" xfId="0" applyFont="1" applyFill="1" applyBorder="1"/>
    <xf numFmtId="0" fontId="43" fillId="23" borderId="33" xfId="0" applyFont="1" applyFill="1" applyBorder="1" applyAlignment="1">
      <alignment horizontal="center" vertical="center"/>
    </xf>
    <xf numFmtId="0" fontId="43" fillId="25" borderId="33" xfId="0" applyFont="1" applyFill="1" applyBorder="1" applyAlignment="1">
      <alignment horizontal="center" vertical="center"/>
    </xf>
    <xf numFmtId="0" fontId="33" fillId="12" borderId="33" xfId="0" applyFont="1" applyFill="1" applyBorder="1" applyAlignment="1">
      <alignment horizontal="center" vertical="center"/>
    </xf>
    <xf numFmtId="0" fontId="33" fillId="13" borderId="33" xfId="0" applyFont="1" applyFill="1" applyBorder="1" applyAlignment="1">
      <alignment horizontal="center" vertical="center"/>
    </xf>
    <xf numFmtId="0" fontId="33" fillId="12" borderId="33" xfId="0" applyFont="1" applyFill="1" applyBorder="1" applyAlignment="1">
      <alignment vertical="center"/>
    </xf>
    <xf numFmtId="0" fontId="11" fillId="23" borderId="33" xfId="0" applyFont="1" applyFill="1" applyBorder="1" applyAlignment="1">
      <alignment horizontal="center" vertical="center"/>
    </xf>
    <xf numFmtId="0" fontId="9" fillId="12" borderId="33" xfId="0" applyFont="1" applyFill="1" applyBorder="1"/>
    <xf numFmtId="0" fontId="9" fillId="34" borderId="19" xfId="0" applyFont="1" applyFill="1" applyBorder="1"/>
    <xf numFmtId="0" fontId="25" fillId="23" borderId="29" xfId="0" applyFont="1" applyFill="1" applyBorder="1" applyAlignment="1">
      <alignment vertical="center" textRotation="90" wrapText="1"/>
    </xf>
    <xf numFmtId="0" fontId="9" fillId="2" borderId="63" xfId="0" applyFont="1" applyFill="1" applyBorder="1" applyAlignment="1">
      <alignment horizontal="center" vertical="center"/>
    </xf>
    <xf numFmtId="0" fontId="32" fillId="2" borderId="33" xfId="0" applyFont="1" applyFill="1" applyBorder="1" applyAlignment="1">
      <alignment vertical="center" wrapText="1"/>
    </xf>
    <xf numFmtId="0" fontId="9" fillId="25" borderId="19" xfId="0" applyFont="1" applyFill="1" applyBorder="1"/>
    <xf numFmtId="0" fontId="9" fillId="34" borderId="33" xfId="0" applyFont="1" applyFill="1" applyBorder="1"/>
    <xf numFmtId="0" fontId="9" fillId="2" borderId="19" xfId="0" applyFont="1" applyFill="1" applyBorder="1" applyAlignment="1">
      <alignment horizontal="center" vertical="center" wrapText="1"/>
    </xf>
    <xf numFmtId="0" fontId="52" fillId="2" borderId="75" xfId="0" applyFont="1" applyFill="1" applyBorder="1" applyAlignment="1">
      <alignment horizontal="center" vertical="center"/>
    </xf>
    <xf numFmtId="0" fontId="15" fillId="23" borderId="29" xfId="0" applyFont="1" applyFill="1" applyBorder="1" applyAlignment="1">
      <alignment horizontal="center" vertical="center" wrapText="1"/>
    </xf>
    <xf numFmtId="0" fontId="15" fillId="25" borderId="29" xfId="0" applyFont="1" applyFill="1" applyBorder="1" applyAlignment="1">
      <alignment horizontal="center" vertical="center" wrapText="1"/>
    </xf>
    <xf numFmtId="0" fontId="32" fillId="2" borderId="63" xfId="0" applyFont="1" applyFill="1" applyBorder="1" applyAlignment="1">
      <alignment vertical="center" wrapText="1"/>
    </xf>
    <xf numFmtId="0" fontId="9" fillId="34" borderId="33" xfId="0" applyFont="1" applyFill="1" applyBorder="1" applyAlignment="1">
      <alignment horizontal="center" vertical="center"/>
    </xf>
    <xf numFmtId="0" fontId="33" fillId="23" borderId="33" xfId="0" applyFont="1" applyFill="1" applyBorder="1"/>
    <xf numFmtId="0" fontId="33" fillId="25" borderId="33" xfId="0" applyFont="1" applyFill="1" applyBorder="1"/>
    <xf numFmtId="0" fontId="33" fillId="12" borderId="33" xfId="0" applyFont="1" applyFill="1" applyBorder="1"/>
    <xf numFmtId="0" fontId="33" fillId="13" borderId="33" xfId="0" applyFont="1" applyFill="1" applyBorder="1"/>
    <xf numFmtId="0" fontId="15" fillId="2" borderId="63" xfId="0" applyFont="1" applyFill="1" applyBorder="1" applyAlignment="1">
      <alignment horizontal="left" vertical="center" wrapText="1"/>
    </xf>
    <xf numFmtId="0" fontId="15" fillId="2" borderId="63" xfId="0" applyFont="1" applyFill="1" applyBorder="1" applyAlignment="1">
      <alignment vertical="center" wrapText="1"/>
    </xf>
    <xf numFmtId="0" fontId="15" fillId="2" borderId="76" xfId="0" applyFont="1" applyFill="1" applyBorder="1" applyAlignment="1">
      <alignment horizontal="left" vertical="center" wrapText="1"/>
    </xf>
    <xf numFmtId="0" fontId="15" fillId="2" borderId="76" xfId="0" applyFont="1" applyFill="1" applyBorder="1" applyAlignment="1">
      <alignment vertical="center" wrapText="1"/>
    </xf>
    <xf numFmtId="0" fontId="9" fillId="0" borderId="35" xfId="0" applyFont="1" applyBorder="1"/>
    <xf numFmtId="0" fontId="15" fillId="0" borderId="35" xfId="0" applyFont="1" applyBorder="1" applyAlignment="1">
      <alignment horizontal="left" vertical="center" wrapText="1"/>
    </xf>
    <xf numFmtId="14" fontId="11" fillId="0" borderId="35" xfId="0" applyNumberFormat="1" applyFont="1" applyBorder="1"/>
    <xf numFmtId="0" fontId="11" fillId="0" borderId="35" xfId="0" applyFont="1" applyBorder="1"/>
    <xf numFmtId="0" fontId="15" fillId="0" borderId="35" xfId="0" applyFont="1" applyBorder="1" applyAlignment="1">
      <alignment vertical="center" wrapText="1"/>
    </xf>
    <xf numFmtId="0" fontId="15" fillId="0" borderId="0" xfId="0" applyFont="1" applyAlignment="1">
      <alignment horizontal="left" vertical="center" wrapText="1"/>
    </xf>
    <xf numFmtId="14" fontId="11" fillId="0" borderId="0" xfId="0" applyNumberFormat="1" applyFont="1" applyAlignment="1">
      <alignment horizontal="left"/>
    </xf>
    <xf numFmtId="0" fontId="11" fillId="0" borderId="0" xfId="0" applyFont="1" applyAlignment="1">
      <alignment horizontal="left"/>
    </xf>
    <xf numFmtId="0" fontId="15" fillId="0" borderId="0" xfId="0" applyFont="1" applyAlignment="1">
      <alignment vertical="center" wrapText="1"/>
    </xf>
    <xf numFmtId="14" fontId="11" fillId="0" borderId="0" xfId="0" applyNumberFormat="1" applyFont="1"/>
    <xf numFmtId="0" fontId="9" fillId="2" borderId="19" xfId="0" applyFont="1" applyFill="1" applyBorder="1" applyAlignment="1">
      <alignment vertical="center"/>
    </xf>
    <xf numFmtId="0" fontId="9" fillId="2" borderId="19" xfId="0" applyFont="1" applyFill="1" applyBorder="1" applyAlignment="1">
      <alignment horizontal="left" vertical="top"/>
    </xf>
    <xf numFmtId="0" fontId="9" fillId="2" borderId="19" xfId="0" applyFont="1" applyFill="1" applyBorder="1" applyAlignment="1">
      <alignment horizontal="left"/>
    </xf>
    <xf numFmtId="0" fontId="9" fillId="0" borderId="33" xfId="0" applyFont="1" applyBorder="1"/>
    <xf numFmtId="0" fontId="15" fillId="0" borderId="33" xfId="0" applyFont="1" applyBorder="1" applyAlignment="1">
      <alignment vertical="center"/>
    </xf>
    <xf numFmtId="0" fontId="26" fillId="0" borderId="0" xfId="0" applyFont="1" applyAlignment="1">
      <alignment vertical="center" wrapText="1"/>
    </xf>
    <xf numFmtId="0" fontId="55" fillId="32" borderId="19" xfId="0" applyFont="1" applyFill="1" applyBorder="1"/>
    <xf numFmtId="0" fontId="56" fillId="32" borderId="19" xfId="0" applyFont="1" applyFill="1" applyBorder="1"/>
    <xf numFmtId="0" fontId="9" fillId="0" borderId="41" xfId="0" applyFont="1" applyBorder="1"/>
    <xf numFmtId="0" fontId="57" fillId="2" borderId="19" xfId="0" applyFont="1" applyFill="1" applyBorder="1"/>
    <xf numFmtId="0" fontId="38" fillId="0" borderId="0" xfId="0" applyFont="1" applyAlignment="1">
      <alignment horizontal="center" vertical="center"/>
    </xf>
    <xf numFmtId="0" fontId="5" fillId="0" borderId="0" xfId="0" applyFont="1" applyAlignment="1">
      <alignment horizontal="center" vertical="center"/>
    </xf>
    <xf numFmtId="0" fontId="48" fillId="0" borderId="0" xfId="0" applyFont="1"/>
    <xf numFmtId="0" fontId="9"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xf numFmtId="0" fontId="6" fillId="0" borderId="0" xfId="0" applyFont="1"/>
    <xf numFmtId="0" fontId="10" fillId="0" borderId="0" xfId="0" applyFont="1" applyAlignment="1">
      <alignment vertical="top"/>
    </xf>
    <xf numFmtId="0" fontId="59" fillId="0" borderId="0" xfId="0" applyFont="1" applyAlignment="1">
      <alignment vertical="top"/>
    </xf>
    <xf numFmtId="0" fontId="29" fillId="0" borderId="0" xfId="0" applyFont="1" applyAlignment="1">
      <alignment horizontal="right" vertical="center"/>
    </xf>
    <xf numFmtId="0" fontId="29" fillId="0" borderId="0" xfId="0" applyFont="1" applyAlignment="1">
      <alignment vertical="center" wrapText="1"/>
    </xf>
    <xf numFmtId="0" fontId="55" fillId="0" borderId="0" xfId="0" applyFont="1" applyAlignment="1">
      <alignment horizontal="center" vertical="center"/>
    </xf>
    <xf numFmtId="0" fontId="26" fillId="2" borderId="62" xfId="0" applyFont="1" applyFill="1" applyBorder="1" applyAlignment="1">
      <alignment horizontal="right"/>
    </xf>
    <xf numFmtId="0" fontId="26" fillId="2" borderId="77" xfId="0" applyFont="1" applyFill="1" applyBorder="1" applyAlignment="1">
      <alignment horizontal="right"/>
    </xf>
    <xf numFmtId="0" fontId="26" fillId="2" borderId="77" xfId="0" applyFont="1" applyFill="1" applyBorder="1" applyAlignment="1">
      <alignment horizontal="center" vertical="center"/>
    </xf>
    <xf numFmtId="0" fontId="26" fillId="2" borderId="63" xfId="0" applyFont="1" applyFill="1" applyBorder="1" applyAlignment="1">
      <alignment horizontal="right"/>
    </xf>
    <xf numFmtId="0" fontId="26" fillId="2" borderId="33" xfId="0" applyFont="1" applyFill="1" applyBorder="1" applyAlignment="1">
      <alignment horizontal="center"/>
    </xf>
    <xf numFmtId="0" fontId="66" fillId="2" borderId="33" xfId="0" applyFont="1" applyFill="1" applyBorder="1" applyAlignment="1">
      <alignment horizontal="right"/>
    </xf>
    <xf numFmtId="0" fontId="66" fillId="2" borderId="33" xfId="0" applyFont="1" applyFill="1" applyBorder="1" applyAlignment="1">
      <alignment horizontal="center"/>
    </xf>
    <xf numFmtId="0" fontId="68" fillId="0" borderId="0" xfId="0" applyFont="1" applyAlignment="1">
      <alignment horizontal="center" vertical="center"/>
    </xf>
    <xf numFmtId="0" fontId="69" fillId="56" borderId="77" xfId="0" applyFont="1" applyFill="1" applyBorder="1" applyAlignment="1">
      <alignment horizontal="right"/>
    </xf>
    <xf numFmtId="0" fontId="69" fillId="0" borderId="0" xfId="0" applyFont="1" applyAlignment="1">
      <alignment horizontal="right"/>
    </xf>
    <xf numFmtId="0" fontId="69" fillId="0" borderId="0" xfId="0" applyFont="1" applyAlignment="1">
      <alignment horizontal="center"/>
    </xf>
    <xf numFmtId="0" fontId="70" fillId="0" borderId="0" xfId="0" applyFont="1" applyAlignment="1">
      <alignment horizontal="right"/>
    </xf>
    <xf numFmtId="0" fontId="70" fillId="0" borderId="0" xfId="0" applyFont="1" applyAlignment="1">
      <alignment horizontal="center"/>
    </xf>
    <xf numFmtId="0" fontId="5" fillId="34" borderId="51" xfId="0" applyFont="1" applyFill="1" applyBorder="1" applyAlignment="1">
      <alignment horizontal="left" wrapText="1"/>
    </xf>
    <xf numFmtId="0" fontId="5" fillId="34" borderId="19" xfId="0" applyFont="1" applyFill="1" applyBorder="1" applyAlignment="1">
      <alignment horizontal="left" wrapText="1"/>
    </xf>
    <xf numFmtId="0" fontId="5" fillId="34" borderId="19" xfId="0" applyFont="1" applyFill="1" applyBorder="1" applyAlignment="1">
      <alignment horizontal="center" vertical="center" wrapText="1"/>
    </xf>
    <xf numFmtId="0" fontId="9" fillId="0" borderId="0" xfId="0" applyFont="1" applyAlignment="1">
      <alignment vertical="center" wrapText="1"/>
    </xf>
    <xf numFmtId="0" fontId="10" fillId="2" borderId="19" xfId="0" applyFont="1" applyFill="1" applyBorder="1" applyAlignment="1">
      <alignment horizontal="left" vertical="center" wrapText="1"/>
    </xf>
    <xf numFmtId="0" fontId="26" fillId="2" borderId="75" xfId="0" applyFont="1" applyFill="1" applyBorder="1" applyAlignment="1">
      <alignment horizontal="left" vertical="center" wrapText="1"/>
    </xf>
    <xf numFmtId="0" fontId="26" fillId="2" borderId="75" xfId="0" applyFont="1" applyFill="1" applyBorder="1" applyAlignment="1">
      <alignment horizontal="center" vertical="center" wrapText="1"/>
    </xf>
    <xf numFmtId="0" fontId="10" fillId="0" borderId="0" xfId="0" applyFont="1" applyAlignment="1">
      <alignment horizontal="left" vertical="center" wrapText="1"/>
    </xf>
    <xf numFmtId="0" fontId="10" fillId="2" borderId="51"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10" fillId="2" borderId="78" xfId="0" applyFont="1" applyFill="1" applyBorder="1" applyAlignment="1">
      <alignment horizontal="center" vertical="center" wrapText="1"/>
    </xf>
    <xf numFmtId="0" fontId="10" fillId="2" borderId="75" xfId="0" applyFont="1" applyFill="1" applyBorder="1" applyAlignment="1">
      <alignment horizontal="center" vertical="center" wrapText="1"/>
    </xf>
    <xf numFmtId="0" fontId="10" fillId="2" borderId="79" xfId="0" applyFont="1" applyFill="1" applyBorder="1" applyAlignment="1">
      <alignment horizontal="center" vertical="center" wrapText="1"/>
    </xf>
    <xf numFmtId="0" fontId="9" fillId="2" borderId="19" xfId="0" applyFont="1" applyFill="1" applyBorder="1" applyAlignment="1">
      <alignment horizontal="center" vertical="center"/>
    </xf>
    <xf numFmtId="0" fontId="71" fillId="0" borderId="0" xfId="0" applyFont="1" applyAlignment="1">
      <alignment horizontal="center" vertical="center"/>
    </xf>
    <xf numFmtId="0" fontId="9" fillId="54" borderId="62" xfId="0" applyFont="1" applyFill="1" applyBorder="1"/>
    <xf numFmtId="0" fontId="9" fillId="54" borderId="77" xfId="0" applyFont="1" applyFill="1" applyBorder="1"/>
    <xf numFmtId="0" fontId="9" fillId="54" borderId="63" xfId="0" applyFont="1" applyFill="1" applyBorder="1"/>
    <xf numFmtId="0" fontId="71" fillId="2" borderId="19" xfId="0" applyFont="1" applyFill="1" applyBorder="1" applyAlignment="1">
      <alignment horizontal="center" vertical="center"/>
    </xf>
    <xf numFmtId="0" fontId="57" fillId="54" borderId="19" xfId="0" applyFont="1" applyFill="1" applyBorder="1"/>
    <xf numFmtId="0" fontId="55" fillId="54" borderId="19" xfId="0" applyFont="1" applyFill="1" applyBorder="1" applyAlignment="1">
      <alignment horizontal="center" vertical="center"/>
    </xf>
    <xf numFmtId="0" fontId="9" fillId="26" borderId="19" xfId="0" applyFont="1" applyFill="1" applyBorder="1"/>
    <xf numFmtId="0" fontId="9" fillId="25" borderId="62" xfId="0" applyFont="1" applyFill="1" applyBorder="1"/>
    <xf numFmtId="0" fontId="9" fillId="25" borderId="77" xfId="0" applyFont="1" applyFill="1" applyBorder="1"/>
    <xf numFmtId="0" fontId="9" fillId="25" borderId="77" xfId="0" applyFont="1" applyFill="1" applyBorder="1" applyAlignment="1">
      <alignment horizontal="center" vertical="center"/>
    </xf>
    <xf numFmtId="0" fontId="9" fillId="25" borderId="63" xfId="0" applyFont="1" applyFill="1" applyBorder="1"/>
    <xf numFmtId="0" fontId="15" fillId="0" borderId="0" xfId="0" applyFont="1"/>
    <xf numFmtId="0" fontId="72" fillId="0" borderId="0" xfId="0" applyFont="1" applyAlignment="1">
      <alignment vertical="center" wrapText="1"/>
    </xf>
    <xf numFmtId="0" fontId="21" fillId="0" borderId="0" xfId="0" applyFont="1" applyAlignment="1">
      <alignment horizontal="center" vertical="center" wrapText="1"/>
    </xf>
    <xf numFmtId="0" fontId="27" fillId="0" borderId="0" xfId="0" applyFont="1"/>
    <xf numFmtId="0" fontId="15" fillId="0" borderId="0" xfId="0" applyFont="1" applyAlignment="1">
      <alignment horizontal="center" vertical="center"/>
    </xf>
    <xf numFmtId="0" fontId="21" fillId="0" borderId="0" xfId="0" applyFont="1" applyAlignment="1">
      <alignment horizontal="center" vertical="center"/>
    </xf>
    <xf numFmtId="0" fontId="74" fillId="0" borderId="0" xfId="0" applyFont="1"/>
    <xf numFmtId="0" fontId="9" fillId="0" borderId="41" xfId="0" applyFont="1" applyBorder="1" applyAlignment="1">
      <alignment horizontal="center" vertical="center" wrapText="1"/>
    </xf>
    <xf numFmtId="0" fontId="9" fillId="0" borderId="41" xfId="0" applyFont="1" applyBorder="1" applyAlignment="1">
      <alignment horizontal="center" vertical="center"/>
    </xf>
    <xf numFmtId="0" fontId="5" fillId="0" borderId="41" xfId="0" applyFont="1" applyBorder="1" applyAlignment="1">
      <alignment horizontal="center"/>
    </xf>
    <xf numFmtId="0" fontId="5" fillId="0" borderId="0" xfId="0" applyFont="1" applyAlignment="1">
      <alignment horizontal="center"/>
    </xf>
    <xf numFmtId="0" fontId="75" fillId="0" borderId="0" xfId="0" applyFont="1"/>
    <xf numFmtId="0" fontId="75" fillId="0" borderId="0" xfId="0" applyFont="1" applyAlignment="1">
      <alignment horizontal="center" vertical="center"/>
    </xf>
    <xf numFmtId="0" fontId="57" fillId="26" borderId="19" xfId="0" applyFont="1" applyFill="1" applyBorder="1"/>
    <xf numFmtId="0" fontId="78" fillId="26" borderId="19" xfId="0" applyFont="1" applyFill="1" applyBorder="1" applyAlignment="1">
      <alignment horizontal="center" vertical="center"/>
    </xf>
    <xf numFmtId="0" fontId="78" fillId="0" borderId="0" xfId="0" applyFont="1" applyAlignment="1">
      <alignment horizontal="center" vertical="center"/>
    </xf>
    <xf numFmtId="0" fontId="9" fillId="54" borderId="19" xfId="0" applyFont="1" applyFill="1" applyBorder="1"/>
    <xf numFmtId="0" fontId="10" fillId="54" borderId="51" xfId="0" applyFont="1" applyFill="1" applyBorder="1" applyAlignment="1">
      <alignment horizontal="center" vertical="center"/>
    </xf>
    <xf numFmtId="0" fontId="9" fillId="54" borderId="19" xfId="0" applyFont="1" applyFill="1" applyBorder="1" applyAlignment="1">
      <alignment horizontal="center" vertical="center"/>
    </xf>
    <xf numFmtId="0" fontId="17" fillId="34" borderId="77" xfId="0" applyFont="1" applyFill="1" applyBorder="1" applyAlignment="1">
      <alignment horizontal="left" vertical="center"/>
    </xf>
    <xf numFmtId="0" fontId="17" fillId="34" borderId="77" xfId="0" applyFont="1" applyFill="1" applyBorder="1" applyAlignment="1">
      <alignment horizontal="center" vertical="center"/>
    </xf>
    <xf numFmtId="0" fontId="17" fillId="34" borderId="63" xfId="0" applyFont="1" applyFill="1" applyBorder="1" applyAlignment="1">
      <alignment horizontal="center" vertical="center"/>
    </xf>
    <xf numFmtId="0" fontId="57" fillId="2" borderId="19" xfId="0" applyFont="1" applyFill="1" applyBorder="1" applyAlignment="1">
      <alignment vertical="center" textRotation="90" wrapText="1"/>
    </xf>
    <xf numFmtId="0" fontId="9" fillId="66" borderId="19" xfId="0" applyFont="1" applyFill="1" applyBorder="1"/>
    <xf numFmtId="0" fontId="80" fillId="0" borderId="0" xfId="0" applyFont="1"/>
    <xf numFmtId="0" fontId="15" fillId="0" borderId="0" xfId="0" applyFont="1" applyAlignment="1">
      <alignment horizontal="left" vertical="top"/>
    </xf>
    <xf numFmtId="0" fontId="15" fillId="0" borderId="0" xfId="0" applyFont="1" applyAlignment="1">
      <alignment horizontal="center" vertical="top"/>
    </xf>
    <xf numFmtId="0" fontId="15" fillId="0" borderId="0" xfId="0" applyFont="1" applyAlignment="1">
      <alignment vertical="top"/>
    </xf>
    <xf numFmtId="0" fontId="15" fillId="66" borderId="19" xfId="0" applyFont="1" applyFill="1" applyBorder="1" applyAlignment="1">
      <alignment horizontal="left" vertical="top"/>
    </xf>
    <xf numFmtId="0" fontId="9" fillId="0" borderId="0" xfId="0" applyFont="1"/>
    <xf numFmtId="0" fontId="57" fillId="2" borderId="33" xfId="0" applyFont="1" applyFill="1" applyBorder="1"/>
    <xf numFmtId="0" fontId="83" fillId="0" borderId="0" xfId="0" applyFont="1" applyAlignment="1">
      <alignment horizontal="center" vertical="center" wrapText="1"/>
    </xf>
    <xf numFmtId="0" fontId="84" fillId="2" borderId="33" xfId="0" applyFont="1" applyFill="1" applyBorder="1" applyAlignment="1">
      <alignment horizontal="center" vertical="center"/>
    </xf>
    <xf numFmtId="0" fontId="10" fillId="0" borderId="0" xfId="0" applyFont="1" applyAlignment="1">
      <alignment horizontal="center" vertical="center"/>
    </xf>
    <xf numFmtId="0" fontId="15" fillId="0" borderId="0" xfId="0" applyFont="1" applyAlignment="1">
      <alignment horizontal="center" vertical="center" wrapText="1"/>
    </xf>
    <xf numFmtId="0" fontId="87" fillId="2" borderId="19" xfId="0" applyFont="1" applyFill="1" applyBorder="1"/>
    <xf numFmtId="0" fontId="52" fillId="2" borderId="19" xfId="0" applyFont="1" applyFill="1" applyBorder="1" applyAlignment="1">
      <alignment horizontal="center" vertical="center" wrapText="1"/>
    </xf>
    <xf numFmtId="0" fontId="88" fillId="2" borderId="33" xfId="0" applyFont="1" applyFill="1" applyBorder="1"/>
    <xf numFmtId="0" fontId="89" fillId="0" borderId="0" xfId="0" applyFont="1"/>
    <xf numFmtId="0" fontId="90" fillId="0" borderId="0" xfId="0" applyFont="1"/>
    <xf numFmtId="0" fontId="91" fillId="0" borderId="0" xfId="0" applyFont="1" applyAlignment="1">
      <alignment horizontal="center" vertical="center" wrapText="1"/>
    </xf>
    <xf numFmtId="0" fontId="57" fillId="0" borderId="0" xfId="0" applyFont="1"/>
    <xf numFmtId="0" fontId="57" fillId="0" borderId="0" xfId="0" applyFont="1" applyAlignment="1">
      <alignment horizontal="center" vertical="center"/>
    </xf>
    <xf numFmtId="0" fontId="57" fillId="0" borderId="0" xfId="0" applyFont="1" applyAlignment="1">
      <alignment horizontal="left"/>
    </xf>
    <xf numFmtId="0" fontId="32" fillId="0" borderId="0" xfId="0" applyFont="1" applyAlignment="1">
      <alignment horizontal="center" vertical="center"/>
    </xf>
    <xf numFmtId="0" fontId="88" fillId="2" borderId="29" xfId="0" applyFont="1" applyFill="1" applyBorder="1"/>
    <xf numFmtId="0" fontId="56" fillId="0" borderId="0" xfId="0" applyFont="1" applyAlignment="1">
      <alignment horizontal="center" vertical="center"/>
    </xf>
    <xf numFmtId="0" fontId="33" fillId="0" borderId="0" xfId="0" applyFont="1" applyAlignment="1">
      <alignment horizontal="center" vertical="center"/>
    </xf>
    <xf numFmtId="0" fontId="46" fillId="0" borderId="0" xfId="0" applyFont="1" applyAlignment="1">
      <alignment horizontal="center" vertical="center"/>
    </xf>
    <xf numFmtId="0" fontId="22" fillId="2" borderId="19" xfId="0" applyFont="1" applyFill="1" applyBorder="1"/>
    <xf numFmtId="0" fontId="57" fillId="54" borderId="19" xfId="0" applyFont="1" applyFill="1" applyBorder="1" applyAlignment="1">
      <alignment horizontal="center"/>
    </xf>
    <xf numFmtId="0" fontId="22" fillId="25" borderId="19" xfId="0" applyFont="1" applyFill="1" applyBorder="1" applyAlignment="1">
      <alignment horizontal="center" vertical="center"/>
    </xf>
    <xf numFmtId="0" fontId="22" fillId="2" borderId="77" xfId="0" applyFont="1" applyFill="1" applyBorder="1" applyAlignment="1">
      <alignment horizontal="center" vertical="center"/>
    </xf>
    <xf numFmtId="0" fontId="22" fillId="26" borderId="19" xfId="0" applyFont="1" applyFill="1" applyBorder="1" applyAlignment="1">
      <alignment horizontal="center" vertical="center"/>
    </xf>
    <xf numFmtId="0" fontId="57" fillId="2" borderId="33" xfId="0" applyFont="1" applyFill="1" applyBorder="1" applyAlignment="1">
      <alignment horizontal="center"/>
    </xf>
    <xf numFmtId="0" fontId="15" fillId="2" borderId="33" xfId="0" applyFont="1" applyFill="1" applyBorder="1" applyAlignment="1">
      <alignment vertical="center" wrapText="1"/>
    </xf>
    <xf numFmtId="0" fontId="21" fillId="23" borderId="33" xfId="0" applyFont="1" applyFill="1" applyBorder="1" applyAlignment="1">
      <alignment horizontal="center"/>
    </xf>
    <xf numFmtId="0" fontId="21" fillId="25" borderId="33" xfId="0" applyFont="1" applyFill="1" applyBorder="1" applyAlignment="1">
      <alignment horizontal="center"/>
    </xf>
    <xf numFmtId="0" fontId="21" fillId="30" borderId="33" xfId="0" applyFont="1" applyFill="1" applyBorder="1" applyAlignment="1">
      <alignment horizontal="center"/>
    </xf>
    <xf numFmtId="0" fontId="21" fillId="68" borderId="33" xfId="0" applyFont="1" applyFill="1" applyBorder="1" applyAlignment="1">
      <alignment horizontal="center"/>
    </xf>
    <xf numFmtId="0" fontId="21" fillId="23" borderId="33" xfId="0" applyFont="1" applyFill="1" applyBorder="1" applyAlignment="1">
      <alignment horizontal="center" vertical="center"/>
    </xf>
    <xf numFmtId="0" fontId="21" fillId="25" borderId="33" xfId="0" applyFont="1" applyFill="1" applyBorder="1" applyAlignment="1">
      <alignment horizontal="center" vertical="center"/>
    </xf>
    <xf numFmtId="0" fontId="21" fillId="30" borderId="33" xfId="0" applyFont="1" applyFill="1" applyBorder="1" applyAlignment="1">
      <alignment horizontal="center" vertical="center"/>
    </xf>
    <xf numFmtId="0" fontId="21" fillId="31" borderId="33" xfId="0" applyFont="1" applyFill="1" applyBorder="1" applyAlignment="1">
      <alignment horizontal="center" vertical="center"/>
    </xf>
    <xf numFmtId="0" fontId="9" fillId="25" borderId="33" xfId="0" applyFont="1" applyFill="1" applyBorder="1" applyAlignment="1">
      <alignment horizontal="center"/>
    </xf>
    <xf numFmtId="0" fontId="9" fillId="31" borderId="33" xfId="0" applyFont="1" applyFill="1" applyBorder="1" applyAlignment="1">
      <alignment horizontal="center"/>
    </xf>
    <xf numFmtId="0" fontId="95" fillId="0" borderId="0" xfId="0" applyFont="1"/>
    <xf numFmtId="0" fontId="21" fillId="70" borderId="33" xfId="0" applyFont="1" applyFill="1" applyBorder="1" applyAlignment="1">
      <alignment horizontal="center" vertical="center"/>
    </xf>
    <xf numFmtId="0" fontId="21" fillId="36" borderId="33" xfId="0" applyFont="1" applyFill="1" applyBorder="1" applyAlignment="1">
      <alignment horizontal="center" vertical="center"/>
    </xf>
    <xf numFmtId="0" fontId="21" fillId="68" borderId="33" xfId="0" applyFont="1" applyFill="1" applyBorder="1" applyAlignment="1">
      <alignment horizontal="center" vertical="center"/>
    </xf>
    <xf numFmtId="0" fontId="9" fillId="70" borderId="33" xfId="0" applyFont="1" applyFill="1" applyBorder="1" applyAlignment="1">
      <alignment horizontal="center" vertical="center"/>
    </xf>
    <xf numFmtId="0" fontId="9" fillId="36" borderId="33" xfId="0" applyFont="1" applyFill="1" applyBorder="1" applyAlignment="1">
      <alignment horizontal="center" vertical="center"/>
    </xf>
    <xf numFmtId="0" fontId="9" fillId="31" borderId="33" xfId="0" applyFont="1" applyFill="1" applyBorder="1" applyAlignment="1">
      <alignment horizontal="center" vertical="center"/>
    </xf>
    <xf numFmtId="0" fontId="9" fillId="68" borderId="33" xfId="0" applyFont="1" applyFill="1" applyBorder="1" applyAlignment="1">
      <alignment horizontal="center" vertical="center"/>
    </xf>
    <xf numFmtId="0" fontId="9" fillId="25" borderId="33" xfId="0" applyFont="1" applyFill="1" applyBorder="1" applyAlignment="1">
      <alignment horizontal="center" vertical="center"/>
    </xf>
    <xf numFmtId="0" fontId="9" fillId="30" borderId="33" xfId="0" applyFont="1" applyFill="1" applyBorder="1" applyAlignment="1">
      <alignment horizontal="center" vertical="center"/>
    </xf>
    <xf numFmtId="0" fontId="10" fillId="13" borderId="33" xfId="0" applyFont="1" applyFill="1" applyBorder="1" applyAlignment="1">
      <alignment horizontal="center" vertical="center"/>
    </xf>
    <xf numFmtId="0" fontId="10" fillId="27" borderId="33" xfId="0" applyFont="1" applyFill="1" applyBorder="1" applyAlignment="1">
      <alignment horizontal="center" vertical="center"/>
    </xf>
    <xf numFmtId="0" fontId="10" fillId="2" borderId="33" xfId="0" applyFont="1" applyFill="1" applyBorder="1"/>
    <xf numFmtId="0" fontId="10" fillId="30" borderId="33" xfId="0" applyFont="1" applyFill="1" applyBorder="1" applyAlignment="1">
      <alignment horizontal="center" vertical="center"/>
    </xf>
    <xf numFmtId="0" fontId="10" fillId="31" borderId="33" xfId="0" applyFont="1" applyFill="1" applyBorder="1" applyAlignment="1">
      <alignment horizontal="center" vertical="center"/>
    </xf>
    <xf numFmtId="0" fontId="57" fillId="29" borderId="19" xfId="0" applyFont="1" applyFill="1" applyBorder="1" applyAlignment="1">
      <alignment horizontal="center"/>
    </xf>
    <xf numFmtId="0" fontId="10" fillId="2" borderId="33" xfId="0" applyFont="1" applyFill="1" applyBorder="1" applyAlignment="1">
      <alignment horizontal="center" vertical="center"/>
    </xf>
    <xf numFmtId="0" fontId="57" fillId="2" borderId="19" xfId="0" applyFont="1" applyFill="1" applyBorder="1" applyAlignment="1">
      <alignment horizontal="center"/>
    </xf>
    <xf numFmtId="0" fontId="48" fillId="69" borderId="75" xfId="0" applyFont="1" applyFill="1" applyBorder="1" applyAlignment="1">
      <alignment horizontal="center" vertical="center"/>
    </xf>
    <xf numFmtId="0" fontId="48" fillId="69" borderId="79" xfId="0" applyFont="1" applyFill="1" applyBorder="1" applyAlignment="1">
      <alignment horizontal="center" vertical="center"/>
    </xf>
    <xf numFmtId="0" fontId="10" fillId="17" borderId="33" xfId="0" applyFont="1" applyFill="1" applyBorder="1" applyAlignment="1">
      <alignment horizontal="center" vertical="center"/>
    </xf>
    <xf numFmtId="0" fontId="10" fillId="17" borderId="62" xfId="0" applyFont="1" applyFill="1" applyBorder="1" applyAlignment="1">
      <alignment horizontal="center" vertical="center"/>
    </xf>
    <xf numFmtId="0" fontId="57" fillId="17" borderId="103" xfId="0" applyFont="1" applyFill="1" applyBorder="1" applyAlignment="1">
      <alignment horizontal="center" vertical="center"/>
    </xf>
    <xf numFmtId="0" fontId="88" fillId="0" borderId="0" xfId="0" applyFont="1"/>
    <xf numFmtId="0" fontId="10" fillId="71" borderId="33" xfId="0" applyFont="1" applyFill="1" applyBorder="1" applyAlignment="1">
      <alignment horizontal="center" vertical="center"/>
    </xf>
    <xf numFmtId="0" fontId="10" fillId="71" borderId="62" xfId="0" applyFont="1" applyFill="1" applyBorder="1" applyAlignment="1">
      <alignment horizontal="center" vertical="center"/>
    </xf>
    <xf numFmtId="0" fontId="57" fillId="71" borderId="103" xfId="0" applyFont="1" applyFill="1" applyBorder="1" applyAlignment="1">
      <alignment horizontal="center" vertical="center"/>
    </xf>
    <xf numFmtId="0" fontId="10" fillId="73" borderId="33" xfId="0" applyFont="1" applyFill="1" applyBorder="1" applyAlignment="1">
      <alignment horizontal="center" vertical="center"/>
    </xf>
    <xf numFmtId="0" fontId="10" fillId="72" borderId="33" xfId="0" applyFont="1" applyFill="1" applyBorder="1" applyAlignment="1">
      <alignment horizontal="center" vertical="center"/>
    </xf>
    <xf numFmtId="0" fontId="10" fillId="72" borderId="62" xfId="0" applyFont="1" applyFill="1" applyBorder="1" applyAlignment="1">
      <alignment horizontal="center" vertical="center"/>
    </xf>
    <xf numFmtId="0" fontId="57" fillId="72" borderId="103" xfId="0" applyFont="1" applyFill="1" applyBorder="1" applyAlignment="1">
      <alignment horizontal="center" vertical="center"/>
    </xf>
    <xf numFmtId="0" fontId="10" fillId="37" borderId="33" xfId="0" applyFont="1" applyFill="1" applyBorder="1" applyAlignment="1">
      <alignment horizontal="center" vertical="center"/>
    </xf>
    <xf numFmtId="0" fontId="10" fillId="52" borderId="33" xfId="0" applyFont="1" applyFill="1" applyBorder="1" applyAlignment="1">
      <alignment horizontal="center" vertical="center"/>
    </xf>
    <xf numFmtId="0" fontId="10" fillId="52" borderId="62" xfId="0" applyFont="1" applyFill="1" applyBorder="1" applyAlignment="1">
      <alignment horizontal="center" vertical="center"/>
    </xf>
    <xf numFmtId="0" fontId="57" fillId="52" borderId="103" xfId="0" applyFont="1" applyFill="1" applyBorder="1" applyAlignment="1">
      <alignment horizontal="center" vertical="center"/>
    </xf>
    <xf numFmtId="0" fontId="10" fillId="47" borderId="33" xfId="0" applyFont="1" applyFill="1" applyBorder="1" applyAlignment="1">
      <alignment horizontal="center" vertical="center"/>
    </xf>
    <xf numFmtId="0" fontId="10" fillId="63" borderId="33" xfId="0" applyFont="1" applyFill="1" applyBorder="1" applyAlignment="1">
      <alignment horizontal="center" vertical="center"/>
    </xf>
    <xf numFmtId="0" fontId="10" fillId="63" borderId="62" xfId="0" applyFont="1" applyFill="1" applyBorder="1" applyAlignment="1">
      <alignment horizontal="center" vertical="center"/>
    </xf>
    <xf numFmtId="0" fontId="57" fillId="63" borderId="103" xfId="0" applyFont="1" applyFill="1" applyBorder="1" applyAlignment="1">
      <alignment horizontal="center" vertical="center"/>
    </xf>
    <xf numFmtId="0" fontId="10" fillId="68" borderId="33" xfId="0" applyFont="1" applyFill="1" applyBorder="1" applyAlignment="1">
      <alignment horizontal="center" vertical="center"/>
    </xf>
    <xf numFmtId="0" fontId="10" fillId="51" borderId="33" xfId="0" applyFont="1" applyFill="1" applyBorder="1" applyAlignment="1">
      <alignment horizontal="center" vertical="center"/>
    </xf>
    <xf numFmtId="0" fontId="10" fillId="51" borderId="62" xfId="0" applyFont="1" applyFill="1" applyBorder="1" applyAlignment="1">
      <alignment horizontal="center" vertical="center"/>
    </xf>
    <xf numFmtId="0" fontId="57" fillId="51" borderId="103" xfId="0" applyFont="1" applyFill="1" applyBorder="1" applyAlignment="1">
      <alignment horizontal="center" vertical="center"/>
    </xf>
    <xf numFmtId="0" fontId="10" fillId="12" borderId="33" xfId="0" applyFont="1" applyFill="1" applyBorder="1" applyAlignment="1">
      <alignment horizontal="center" vertical="center"/>
    </xf>
    <xf numFmtId="0" fontId="10" fillId="27" borderId="62" xfId="0" applyFont="1" applyFill="1" applyBorder="1" applyAlignment="1">
      <alignment horizontal="center" vertical="center"/>
    </xf>
    <xf numFmtId="0" fontId="57" fillId="27" borderId="103" xfId="0" applyFont="1" applyFill="1" applyBorder="1" applyAlignment="1">
      <alignment horizontal="center" vertical="center"/>
    </xf>
    <xf numFmtId="0" fontId="10" fillId="21" borderId="33" xfId="0" applyFont="1" applyFill="1" applyBorder="1" applyAlignment="1">
      <alignment horizontal="center" vertical="center"/>
    </xf>
    <xf numFmtId="0" fontId="10" fillId="20" borderId="33" xfId="0" applyFont="1" applyFill="1" applyBorder="1" applyAlignment="1">
      <alignment horizontal="center" vertical="center"/>
    </xf>
    <xf numFmtId="0" fontId="10" fillId="20" borderId="62" xfId="0" applyFont="1" applyFill="1" applyBorder="1" applyAlignment="1">
      <alignment horizontal="center" vertical="center"/>
    </xf>
    <xf numFmtId="0" fontId="57" fillId="20" borderId="103" xfId="0" applyFont="1" applyFill="1" applyBorder="1" applyAlignment="1">
      <alignment horizontal="center" vertical="center"/>
    </xf>
    <xf numFmtId="0" fontId="22" fillId="2" borderId="104" xfId="0" applyFont="1" applyFill="1" applyBorder="1" applyAlignment="1">
      <alignment horizontal="center" vertical="center" wrapText="1"/>
    </xf>
    <xf numFmtId="0" fontId="10" fillId="2" borderId="19" xfId="0" applyFont="1" applyFill="1" applyBorder="1" applyAlignment="1">
      <alignment horizontal="center" vertical="center"/>
    </xf>
    <xf numFmtId="0" fontId="57" fillId="2" borderId="19" xfId="0" applyFont="1" applyFill="1" applyBorder="1" applyAlignment="1">
      <alignment horizontal="center" vertical="center"/>
    </xf>
    <xf numFmtId="0" fontId="48" fillId="34" borderId="75" xfId="0" applyFont="1" applyFill="1" applyBorder="1" applyAlignment="1">
      <alignment horizontal="center" vertical="center"/>
    </xf>
    <xf numFmtId="0" fontId="48" fillId="34" borderId="79" xfId="0" applyFont="1" applyFill="1" applyBorder="1" applyAlignment="1">
      <alignment horizontal="center" vertical="center"/>
    </xf>
    <xf numFmtId="0" fontId="21" fillId="31" borderId="33" xfId="0" applyFont="1" applyFill="1" applyBorder="1" applyAlignment="1">
      <alignment horizontal="center"/>
    </xf>
    <xf numFmtId="0" fontId="9" fillId="2" borderId="33" xfId="0" applyFont="1" applyFill="1" applyBorder="1" applyAlignment="1">
      <alignment horizontal="center" vertical="center"/>
    </xf>
    <xf numFmtId="0" fontId="9" fillId="30" borderId="33" xfId="0" applyFont="1" applyFill="1" applyBorder="1"/>
    <xf numFmtId="0" fontId="9" fillId="31" borderId="33" xfId="0" applyFont="1" applyFill="1" applyBorder="1"/>
    <xf numFmtId="0" fontId="15" fillId="54" borderId="19" xfId="0" applyFont="1" applyFill="1" applyBorder="1" applyAlignment="1">
      <alignment vertical="center" wrapText="1"/>
    </xf>
    <xf numFmtId="0" fontId="9" fillId="54" borderId="19" xfId="0" applyFont="1" applyFill="1" applyBorder="1" applyAlignment="1">
      <alignment horizontal="center"/>
    </xf>
    <xf numFmtId="0" fontId="57" fillId="54" borderId="33" xfId="0" applyFont="1" applyFill="1" applyBorder="1" applyAlignment="1">
      <alignment horizontal="center" vertical="center"/>
    </xf>
    <xf numFmtId="0" fontId="96" fillId="2" borderId="19" xfId="0" applyFont="1" applyFill="1" applyBorder="1" applyAlignment="1">
      <alignment horizontal="left" vertical="center" wrapText="1"/>
    </xf>
    <xf numFmtId="0" fontId="9" fillId="15" borderId="33" xfId="0" applyFont="1" applyFill="1" applyBorder="1" applyAlignment="1">
      <alignment horizontal="center" vertical="center"/>
    </xf>
    <xf numFmtId="0" fontId="9" fillId="15" borderId="33" xfId="0" applyFont="1" applyFill="1" applyBorder="1"/>
    <xf numFmtId="0" fontId="9" fillId="16" borderId="33" xfId="0" applyFont="1" applyFill="1" applyBorder="1" applyAlignment="1">
      <alignment horizontal="center" vertical="center"/>
    </xf>
    <xf numFmtId="0" fontId="9" fillId="16" borderId="33" xfId="0" applyFont="1" applyFill="1" applyBorder="1"/>
    <xf numFmtId="0" fontId="15" fillId="55" borderId="19" xfId="0" applyFont="1" applyFill="1" applyBorder="1" applyAlignment="1">
      <alignment vertical="center" wrapText="1"/>
    </xf>
    <xf numFmtId="0" fontId="9" fillId="55" borderId="19" xfId="0" applyFont="1" applyFill="1" applyBorder="1" applyAlignment="1">
      <alignment horizontal="center"/>
    </xf>
    <xf numFmtId="0" fontId="57" fillId="55" borderId="33" xfId="0" applyFont="1" applyFill="1" applyBorder="1" applyAlignment="1">
      <alignment horizontal="center" vertical="center"/>
    </xf>
    <xf numFmtId="0" fontId="57" fillId="52" borderId="19" xfId="0" applyFont="1" applyFill="1" applyBorder="1"/>
    <xf numFmtId="0" fontId="9" fillId="0" borderId="0" xfId="0" applyFont="1" applyAlignment="1">
      <alignment horizontal="center"/>
    </xf>
    <xf numFmtId="0" fontId="57" fillId="0" borderId="0" xfId="0" applyFont="1" applyAlignment="1">
      <alignment vertical="center" wrapText="1"/>
    </xf>
    <xf numFmtId="0" fontId="10" fillId="2" borderId="62" xfId="0" applyFont="1" applyFill="1" applyBorder="1" applyAlignment="1">
      <alignment horizontal="center" vertical="center"/>
    </xf>
    <xf numFmtId="0" fontId="9" fillId="24" borderId="19" xfId="0" applyFont="1" applyFill="1" applyBorder="1"/>
    <xf numFmtId="0" fontId="57" fillId="24" borderId="19" xfId="0" applyFont="1" applyFill="1" applyBorder="1" applyAlignment="1">
      <alignment horizontal="center"/>
    </xf>
    <xf numFmtId="0" fontId="21" fillId="49" borderId="33" xfId="0" applyFont="1" applyFill="1" applyBorder="1" applyAlignment="1">
      <alignment horizontal="center"/>
    </xf>
    <xf numFmtId="0" fontId="21" fillId="48" borderId="33" xfId="0" applyFont="1" applyFill="1" applyBorder="1" applyAlignment="1">
      <alignment horizontal="center"/>
    </xf>
    <xf numFmtId="0" fontId="22" fillId="24" borderId="19" xfId="0" applyFont="1" applyFill="1" applyBorder="1"/>
    <xf numFmtId="0" fontId="57" fillId="24" borderId="19" xfId="0" applyFont="1" applyFill="1" applyBorder="1" applyAlignment="1">
      <alignment horizontal="center" vertical="center"/>
    </xf>
    <xf numFmtId="0" fontId="9" fillId="49" borderId="33" xfId="0" applyFont="1" applyFill="1" applyBorder="1" applyAlignment="1">
      <alignment horizontal="center" vertical="center"/>
    </xf>
    <xf numFmtId="0" fontId="9" fillId="49" borderId="33" xfId="0" applyFont="1" applyFill="1" applyBorder="1"/>
    <xf numFmtId="0" fontId="9" fillId="48" borderId="33" xfId="0" applyFont="1" applyFill="1" applyBorder="1" applyAlignment="1">
      <alignment horizontal="center" vertical="center"/>
    </xf>
    <xf numFmtId="0" fontId="9" fillId="48" borderId="33" xfId="0" applyFont="1" applyFill="1" applyBorder="1"/>
    <xf numFmtId="0" fontId="22" fillId="24" borderId="77" xfId="0" applyFont="1" applyFill="1" applyBorder="1" applyAlignment="1">
      <alignment horizontal="center" vertical="center"/>
    </xf>
    <xf numFmtId="0" fontId="57" fillId="20" borderId="19" xfId="0" applyFont="1" applyFill="1" applyBorder="1" applyAlignment="1">
      <alignment horizontal="center" vertical="center"/>
    </xf>
    <xf numFmtId="0" fontId="22" fillId="25" borderId="62" xfId="0" applyFont="1" applyFill="1" applyBorder="1" applyAlignment="1">
      <alignment horizontal="center" vertical="center"/>
    </xf>
    <xf numFmtId="0" fontId="22" fillId="25" borderId="77" xfId="0" applyFont="1" applyFill="1" applyBorder="1" applyAlignment="1">
      <alignment horizontal="center" vertical="center"/>
    </xf>
    <xf numFmtId="0" fontId="22" fillId="25" borderId="63" xfId="0" applyFont="1" applyFill="1" applyBorder="1" applyAlignment="1">
      <alignment horizontal="center" vertical="center"/>
    </xf>
    <xf numFmtId="0" fontId="22" fillId="0" borderId="0" xfId="0" applyFont="1" applyAlignment="1">
      <alignment horizontal="center" vertical="center"/>
    </xf>
    <xf numFmtId="0" fontId="57" fillId="0" borderId="0" xfId="0" applyFont="1" applyAlignment="1">
      <alignment horizontal="center"/>
    </xf>
    <xf numFmtId="0" fontId="9" fillId="23" borderId="33" xfId="0" applyFont="1" applyFill="1" applyBorder="1" applyAlignment="1">
      <alignment horizontal="center"/>
    </xf>
    <xf numFmtId="0" fontId="9" fillId="30" borderId="33" xfId="0" applyFont="1" applyFill="1" applyBorder="1" applyAlignment="1">
      <alignment horizontal="center"/>
    </xf>
    <xf numFmtId="0" fontId="9" fillId="34" borderId="33" xfId="0" applyFont="1" applyFill="1" applyBorder="1" applyAlignment="1">
      <alignment horizontal="center"/>
    </xf>
    <xf numFmtId="0" fontId="9" fillId="68" borderId="33" xfId="0" applyFont="1" applyFill="1" applyBorder="1" applyAlignment="1">
      <alignment horizontal="center"/>
    </xf>
    <xf numFmtId="0" fontId="48" fillId="13" borderId="33" xfId="0" applyFont="1" applyFill="1" applyBorder="1" applyAlignment="1">
      <alignment horizontal="center" vertical="center"/>
    </xf>
    <xf numFmtId="0" fontId="9" fillId="27" borderId="19" xfId="0" applyFont="1" applyFill="1" applyBorder="1"/>
    <xf numFmtId="0" fontId="57" fillId="11" borderId="19" xfId="0" applyFont="1" applyFill="1" applyBorder="1" applyAlignment="1">
      <alignment horizontal="center"/>
    </xf>
    <xf numFmtId="0" fontId="48" fillId="25" borderId="75" xfId="0" applyFont="1" applyFill="1" applyBorder="1" applyAlignment="1">
      <alignment horizontal="center" vertical="center"/>
    </xf>
    <xf numFmtId="0" fontId="48" fillId="25" borderId="79" xfId="0" applyFont="1" applyFill="1" applyBorder="1" applyAlignment="1">
      <alignment horizontal="center" vertical="center"/>
    </xf>
    <xf numFmtId="0" fontId="21" fillId="25" borderId="105" xfId="0" applyFont="1" applyFill="1" applyBorder="1" applyAlignment="1">
      <alignment horizontal="center"/>
    </xf>
    <xf numFmtId="0" fontId="9" fillId="17" borderId="33" xfId="0" applyFont="1" applyFill="1" applyBorder="1" applyAlignment="1">
      <alignment horizontal="center" vertical="center"/>
    </xf>
    <xf numFmtId="0" fontId="9" fillId="17" borderId="33" xfId="0" applyFont="1" applyFill="1" applyBorder="1"/>
    <xf numFmtId="0" fontId="9" fillId="17" borderId="19" xfId="0" applyFont="1" applyFill="1" applyBorder="1"/>
    <xf numFmtId="0" fontId="9" fillId="71" borderId="33" xfId="0" applyFont="1" applyFill="1" applyBorder="1" applyAlignment="1">
      <alignment horizontal="center" vertical="center"/>
    </xf>
    <xf numFmtId="0" fontId="9" fillId="71" borderId="33" xfId="0" applyFont="1" applyFill="1" applyBorder="1"/>
    <xf numFmtId="0" fontId="9" fillId="71" borderId="19" xfId="0" applyFont="1" applyFill="1" applyBorder="1"/>
    <xf numFmtId="0" fontId="9" fillId="72" borderId="33" xfId="0" applyFont="1" applyFill="1" applyBorder="1" applyAlignment="1">
      <alignment horizontal="center" vertical="center"/>
    </xf>
    <xf numFmtId="0" fontId="9" fillId="72" borderId="33" xfId="0" applyFont="1" applyFill="1" applyBorder="1"/>
    <xf numFmtId="0" fontId="9" fillId="72" borderId="19" xfId="0" applyFont="1" applyFill="1" applyBorder="1"/>
    <xf numFmtId="0" fontId="99" fillId="0" borderId="0" xfId="0" applyFont="1"/>
    <xf numFmtId="0" fontId="6" fillId="0" borderId="0" xfId="0" applyFont="1" applyAlignment="1">
      <alignment vertical="center" wrapText="1"/>
    </xf>
    <xf numFmtId="0" fontId="43" fillId="0" borderId="0" xfId="0" applyFont="1" applyAlignment="1">
      <alignment vertical="center"/>
    </xf>
    <xf numFmtId="0" fontId="4" fillId="0" borderId="31" xfId="0" applyFont="1" applyBorder="1"/>
    <xf numFmtId="0" fontId="113" fillId="32" borderId="19" xfId="0" applyFont="1" applyFill="1" applyBorder="1"/>
    <xf numFmtId="0" fontId="113" fillId="2" borderId="19" xfId="0" applyFont="1" applyFill="1" applyBorder="1"/>
    <xf numFmtId="0" fontId="80" fillId="74" borderId="0" xfId="0" applyFont="1" applyFill="1"/>
    <xf numFmtId="0" fontId="0" fillId="74" borderId="0" xfId="0" applyFill="1"/>
    <xf numFmtId="0" fontId="122" fillId="0" borderId="0" xfId="0" applyFont="1" applyAlignment="1">
      <alignment vertical="center"/>
    </xf>
    <xf numFmtId="0" fontId="122" fillId="74" borderId="0" xfId="0" applyFont="1" applyFill="1" applyAlignment="1">
      <alignment vertical="center"/>
    </xf>
    <xf numFmtId="0" fontId="4" fillId="0" borderId="77" xfId="0" applyFont="1" applyBorder="1"/>
    <xf numFmtId="0" fontId="43" fillId="25" borderId="77" xfId="0" applyFont="1" applyFill="1" applyBorder="1" applyAlignment="1">
      <alignment vertical="center"/>
    </xf>
    <xf numFmtId="0" fontId="43" fillId="25" borderId="75" xfId="0" applyFont="1" applyFill="1" applyBorder="1" applyAlignment="1">
      <alignment vertical="center"/>
    </xf>
    <xf numFmtId="0" fontId="4" fillId="0" borderId="75" xfId="0" applyFont="1" applyBorder="1"/>
    <xf numFmtId="0" fontId="43" fillId="25" borderId="104" xfId="0" applyFont="1" applyFill="1" applyBorder="1" applyAlignment="1">
      <alignment vertical="center"/>
    </xf>
    <xf numFmtId="0" fontId="4" fillId="0" borderId="104" xfId="0" applyFont="1" applyBorder="1"/>
    <xf numFmtId="0" fontId="9" fillId="31" borderId="30" xfId="0" applyFont="1" applyFill="1" applyBorder="1" applyAlignment="1">
      <alignment vertical="center" wrapText="1"/>
    </xf>
    <xf numFmtId="0" fontId="4" fillId="0" borderId="31" xfId="0" applyFont="1" applyBorder="1"/>
    <xf numFmtId="0" fontId="4" fillId="0" borderId="32" xfId="0" applyFont="1" applyBorder="1"/>
    <xf numFmtId="0" fontId="9" fillId="28" borderId="30" xfId="0" applyFont="1" applyFill="1" applyBorder="1"/>
    <xf numFmtId="0" fontId="9" fillId="13" borderId="30" xfId="0" applyFont="1" applyFill="1" applyBorder="1"/>
    <xf numFmtId="0" fontId="16" fillId="29" borderId="34" xfId="0" applyFont="1" applyFill="1" applyBorder="1" applyAlignment="1">
      <alignment horizontal="left" vertical="center"/>
    </xf>
    <xf numFmtId="0" fontId="4" fillId="0" borderId="35" xfId="0" applyFont="1" applyBorder="1"/>
    <xf numFmtId="0" fontId="4" fillId="0" borderId="36" xfId="0" applyFont="1" applyBorder="1"/>
    <xf numFmtId="0" fontId="4" fillId="0" borderId="41" xfId="0" applyFont="1" applyBorder="1"/>
    <xf numFmtId="0" fontId="0" fillId="0" borderId="0" xfId="0"/>
    <xf numFmtId="0" fontId="4" fillId="0" borderId="42" xfId="0" applyFont="1" applyBorder="1"/>
    <xf numFmtId="0" fontId="4" fillId="0" borderId="26" xfId="0" applyFont="1" applyBorder="1"/>
    <xf numFmtId="0" fontId="4" fillId="0" borderId="27" xfId="0" applyFont="1" applyBorder="1"/>
    <xf numFmtId="0" fontId="4" fillId="0" borderId="28" xfId="0" applyFont="1" applyBorder="1"/>
    <xf numFmtId="0" fontId="9" fillId="30" borderId="30" xfId="0" applyFont="1" applyFill="1" applyBorder="1" applyAlignment="1">
      <alignment vertical="center" wrapText="1"/>
    </xf>
    <xf numFmtId="0" fontId="9" fillId="13" borderId="30" xfId="0" applyFont="1" applyFill="1" applyBorder="1" applyAlignment="1">
      <alignment vertical="center" wrapText="1"/>
    </xf>
    <xf numFmtId="0" fontId="9" fillId="28" borderId="30" xfId="0" applyFont="1" applyFill="1" applyBorder="1" applyAlignment="1">
      <alignment vertical="center" wrapText="1"/>
    </xf>
    <xf numFmtId="0" fontId="9" fillId="13" borderId="30" xfId="0" applyFont="1" applyFill="1" applyBorder="1" applyAlignment="1">
      <alignment vertical="center"/>
    </xf>
    <xf numFmtId="0" fontId="9" fillId="28" borderId="30" xfId="0" applyFont="1" applyFill="1" applyBorder="1" applyAlignment="1">
      <alignment vertical="center"/>
    </xf>
    <xf numFmtId="0" fontId="9" fillId="25" borderId="30" xfId="0" applyFont="1" applyFill="1" applyBorder="1"/>
    <xf numFmtId="0" fontId="8" fillId="27" borderId="34" xfId="0" applyFont="1" applyFill="1" applyBorder="1" applyAlignment="1">
      <alignment horizontal="left" vertical="center"/>
    </xf>
    <xf numFmtId="0" fontId="4" fillId="0" borderId="50" xfId="0" applyFont="1" applyBorder="1"/>
    <xf numFmtId="0" fontId="9" fillId="25" borderId="30" xfId="0" applyFont="1" applyFill="1" applyBorder="1" applyAlignment="1">
      <alignment vertical="center" wrapText="1"/>
    </xf>
    <xf numFmtId="0" fontId="9" fillId="23" borderId="30" xfId="0" applyFont="1" applyFill="1" applyBorder="1" applyAlignment="1">
      <alignment vertical="center" wrapText="1"/>
    </xf>
    <xf numFmtId="0" fontId="9" fillId="25" borderId="30" xfId="0" applyFont="1" applyFill="1" applyBorder="1" applyAlignment="1">
      <alignment horizontal="left" vertical="center" wrapText="1"/>
    </xf>
    <xf numFmtId="0" fontId="9" fillId="25" borderId="30" xfId="0" applyFont="1" applyFill="1" applyBorder="1" applyAlignment="1">
      <alignment vertical="center"/>
    </xf>
    <xf numFmtId="0" fontId="9" fillId="21" borderId="30" xfId="0" applyFont="1" applyFill="1" applyBorder="1" applyAlignment="1">
      <alignment vertical="center" wrapText="1"/>
    </xf>
    <xf numFmtId="0" fontId="9" fillId="22" borderId="30" xfId="0" applyFont="1" applyFill="1" applyBorder="1" applyAlignment="1">
      <alignment vertical="center" wrapText="1"/>
    </xf>
    <xf numFmtId="0" fontId="9" fillId="23" borderId="43" xfId="0" applyFont="1" applyFill="1" applyBorder="1" applyAlignment="1">
      <alignment vertical="center" wrapText="1"/>
    </xf>
    <xf numFmtId="0" fontId="4" fillId="0" borderId="44" xfId="0" applyFont="1" applyBorder="1"/>
    <xf numFmtId="0" fontId="4" fillId="0" borderId="45" xfId="0" applyFont="1" applyBorder="1"/>
    <xf numFmtId="0" fontId="9" fillId="23" borderId="46" xfId="0" applyFont="1" applyFill="1" applyBorder="1" applyAlignment="1">
      <alignment vertical="center" wrapText="1"/>
    </xf>
    <xf numFmtId="0" fontId="4" fillId="0" borderId="2" xfId="0" applyFont="1" applyBorder="1"/>
    <xf numFmtId="0" fontId="4" fillId="0" borderId="47" xfId="0" applyFont="1" applyBorder="1"/>
    <xf numFmtId="0" fontId="9" fillId="23" borderId="48" xfId="0" applyFont="1" applyFill="1" applyBorder="1" applyAlignment="1">
      <alignment vertical="center" wrapText="1"/>
    </xf>
    <xf numFmtId="0" fontId="4" fillId="0" borderId="24" xfId="0" applyFont="1" applyBorder="1"/>
    <xf numFmtId="0" fontId="4" fillId="0" borderId="25" xfId="0" applyFont="1" applyBorder="1"/>
    <xf numFmtId="0" fontId="9" fillId="18" borderId="30" xfId="0" applyFont="1" applyFill="1" applyBorder="1" applyAlignment="1">
      <alignment vertical="center" wrapText="1"/>
    </xf>
    <xf numFmtId="0" fontId="9" fillId="19" borderId="30" xfId="0" applyFont="1" applyFill="1" applyBorder="1" applyAlignment="1">
      <alignment vertical="center" wrapText="1"/>
    </xf>
    <xf numFmtId="0" fontId="9" fillId="15" borderId="30" xfId="0" applyFont="1" applyFill="1" applyBorder="1" applyAlignment="1">
      <alignment vertical="center" wrapText="1"/>
    </xf>
    <xf numFmtId="0" fontId="14" fillId="17" borderId="11" xfId="0" applyFont="1" applyFill="1" applyBorder="1" applyAlignment="1">
      <alignment horizontal="left" vertical="center"/>
    </xf>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9" fillId="13" borderId="30" xfId="0" applyFont="1" applyFill="1" applyBorder="1" applyAlignment="1">
      <alignment horizontal="left" vertical="center" wrapText="1"/>
    </xf>
    <xf numFmtId="0" fontId="13" fillId="14" borderId="37" xfId="0" applyFont="1" applyFill="1" applyBorder="1" applyAlignment="1">
      <alignment horizontal="left" vertical="center"/>
    </xf>
    <xf numFmtId="0" fontId="4" fillId="0" borderId="38" xfId="0" applyFont="1" applyBorder="1"/>
    <xf numFmtId="0" fontId="9" fillId="16" borderId="30" xfId="0" applyFont="1" applyFill="1" applyBorder="1" applyAlignment="1">
      <alignment vertical="center" wrapText="1"/>
    </xf>
    <xf numFmtId="0" fontId="9" fillId="9" borderId="30" xfId="0" applyFont="1" applyFill="1" applyBorder="1" applyAlignment="1">
      <alignment vertical="center" wrapText="1"/>
    </xf>
    <xf numFmtId="0" fontId="9" fillId="10" borderId="30" xfId="0" applyFont="1" applyFill="1" applyBorder="1" applyAlignment="1">
      <alignment vertical="center" wrapText="1"/>
    </xf>
    <xf numFmtId="0" fontId="120" fillId="10" borderId="30" xfId="0" applyFont="1" applyFill="1" applyBorder="1" applyAlignment="1">
      <alignment vertical="center" wrapText="1"/>
    </xf>
    <xf numFmtId="0" fontId="13" fillId="11" borderId="37" xfId="0" applyFont="1" applyFill="1" applyBorder="1" applyAlignment="1">
      <alignment horizontal="left" vertical="center"/>
    </xf>
    <xf numFmtId="0" fontId="7" fillId="2" borderId="11" xfId="0" applyFont="1" applyFill="1" applyBorder="1" applyAlignment="1">
      <alignment horizontal="center" vertical="center" wrapText="1"/>
    </xf>
    <xf numFmtId="0" fontId="8" fillId="5" borderId="11" xfId="0" applyFont="1" applyFill="1" applyBorder="1" applyAlignment="1">
      <alignment horizontal="left" vertical="center"/>
    </xf>
    <xf numFmtId="0" fontId="10" fillId="7" borderId="20" xfId="0" applyFont="1" applyFill="1" applyBorder="1" applyAlignment="1">
      <alignment vertical="center" wrapText="1"/>
    </xf>
    <xf numFmtId="0" fontId="4" fillId="0" borderId="21" xfId="0" applyFont="1" applyBorder="1"/>
    <xf numFmtId="0" fontId="4" fillId="0" borderId="22" xfId="0" applyFont="1" applyBorder="1"/>
    <xf numFmtId="0" fontId="9" fillId="8" borderId="23" xfId="0" applyFont="1" applyFill="1" applyBorder="1"/>
    <xf numFmtId="0" fontId="9" fillId="0" borderId="26" xfId="0" applyFont="1" applyBorder="1"/>
    <xf numFmtId="0" fontId="9" fillId="0" borderId="30" xfId="0" applyFont="1" applyBorder="1"/>
    <xf numFmtId="0" fontId="9" fillId="0" borderId="30" xfId="0" applyFont="1" applyBorder="1" applyAlignment="1">
      <alignment horizontal="left" vertical="top"/>
    </xf>
    <xf numFmtId="0" fontId="9" fillId="8" borderId="30" xfId="0" applyFont="1" applyFill="1" applyBorder="1" applyAlignment="1">
      <alignment horizontal="left" vertical="top"/>
    </xf>
    <xf numFmtId="0" fontId="9" fillId="8" borderId="30" xfId="0" applyFont="1" applyFill="1" applyBorder="1"/>
    <xf numFmtId="0" fontId="11" fillId="0" borderId="30" xfId="0" applyFont="1" applyBorder="1"/>
    <xf numFmtId="0" fontId="9" fillId="8" borderId="30" xfId="0" applyFont="1" applyFill="1" applyBorder="1" applyAlignment="1">
      <alignment horizontal="left"/>
    </xf>
    <xf numFmtId="49" fontId="9" fillId="0" borderId="30" xfId="0" applyNumberFormat="1" applyFont="1" applyBorder="1" applyAlignment="1">
      <alignment horizontal="left"/>
    </xf>
    <xf numFmtId="0" fontId="9" fillId="8" borderId="34" xfId="0" applyFont="1" applyFill="1" applyBorder="1" applyAlignment="1">
      <alignment vertical="center"/>
    </xf>
    <xf numFmtId="0" fontId="9" fillId="0" borderId="34" xfId="0" applyFont="1" applyBorder="1" applyAlignment="1">
      <alignment vertical="center" wrapText="1"/>
    </xf>
    <xf numFmtId="0" fontId="9" fillId="8" borderId="30" xfId="0" applyFont="1" applyFill="1" applyBorder="1" applyAlignment="1">
      <alignment vertical="center"/>
    </xf>
    <xf numFmtId="0" fontId="12" fillId="0" borderId="30" xfId="0" applyFont="1" applyBorder="1" applyAlignment="1">
      <alignment vertical="center" wrapText="1"/>
    </xf>
    <xf numFmtId="0" fontId="6" fillId="3" borderId="7" xfId="0" applyFont="1" applyFill="1" applyBorder="1"/>
    <xf numFmtId="0" fontId="4" fillId="0" borderId="9" xfId="0" applyFont="1" applyBorder="1"/>
    <xf numFmtId="0" fontId="4" fillId="0" borderId="8" xfId="0" applyFont="1" applyBorder="1"/>
    <xf numFmtId="0" fontId="6" fillId="4" borderId="7" xfId="0" applyFont="1" applyFill="1" applyBorder="1"/>
    <xf numFmtId="0" fontId="3" fillId="2" borderId="1" xfId="0" applyFont="1" applyFill="1" applyBorder="1" applyAlignment="1">
      <alignment horizontal="center" vertical="center" wrapText="1"/>
    </xf>
    <xf numFmtId="0" fontId="4" fillId="0" borderId="3" xfId="0" applyFont="1" applyBorder="1"/>
    <xf numFmtId="0" fontId="5" fillId="3" borderId="4" xfId="0" applyFont="1" applyFill="1" applyBorder="1" applyAlignment="1">
      <alignment vertical="center" wrapText="1"/>
    </xf>
    <xf numFmtId="0" fontId="4" fillId="0" borderId="5" xfId="0" applyFont="1" applyBorder="1"/>
    <xf numFmtId="0" fontId="4" fillId="0" borderId="6" xfId="0" applyFont="1" applyBorder="1"/>
    <xf numFmtId="0" fontId="10" fillId="12" borderId="1" xfId="0" applyFont="1" applyFill="1" applyBorder="1"/>
    <xf numFmtId="0" fontId="10" fillId="12" borderId="39" xfId="0" applyFont="1" applyFill="1" applyBorder="1"/>
    <xf numFmtId="0" fontId="9" fillId="0" borderId="30" xfId="0" applyFont="1" applyBorder="1" applyAlignment="1">
      <alignment vertical="center" wrapText="1"/>
    </xf>
    <xf numFmtId="0" fontId="14" fillId="26" borderId="48" xfId="0" applyFont="1" applyFill="1" applyBorder="1" applyAlignment="1">
      <alignment horizontal="left" vertical="center"/>
    </xf>
    <xf numFmtId="0" fontId="4" fillId="0" borderId="49" xfId="0" applyFont="1" applyBorder="1"/>
    <xf numFmtId="0" fontId="16" fillId="24" borderId="34" xfId="0" applyFont="1" applyFill="1" applyBorder="1" applyAlignment="1">
      <alignment horizontal="left" vertical="center"/>
    </xf>
    <xf numFmtId="0" fontId="15" fillId="23" borderId="23" xfId="0" applyFont="1" applyFill="1" applyBorder="1" applyAlignment="1">
      <alignment vertical="center" wrapText="1"/>
    </xf>
    <xf numFmtId="0" fontId="8" fillId="20" borderId="34" xfId="0" applyFont="1" applyFill="1" applyBorder="1" applyAlignment="1">
      <alignment horizontal="left" vertical="center"/>
    </xf>
    <xf numFmtId="14" fontId="113" fillId="0" borderId="62" xfId="0" applyNumberFormat="1" applyFont="1" applyBorder="1"/>
    <xf numFmtId="0" fontId="117" fillId="0" borderId="77" xfId="0" applyFont="1" applyBorder="1"/>
    <xf numFmtId="0" fontId="117" fillId="0" borderId="63" xfId="0" applyFont="1" applyBorder="1"/>
    <xf numFmtId="0" fontId="118" fillId="34" borderId="62" xfId="0" applyFont="1" applyFill="1" applyBorder="1" applyAlignment="1">
      <alignment horizontal="center" vertical="center"/>
    </xf>
    <xf numFmtId="0" fontId="113" fillId="25" borderId="62" xfId="0" applyFont="1" applyFill="1" applyBorder="1" applyAlignment="1">
      <alignment vertical="center"/>
    </xf>
    <xf numFmtId="14" fontId="119" fillId="35" borderId="62" xfId="0" applyNumberFormat="1" applyFont="1" applyFill="1" applyBorder="1" applyAlignment="1">
      <alignment vertical="center" wrapText="1"/>
    </xf>
    <xf numFmtId="0" fontId="24" fillId="34" borderId="11" xfId="0" applyFont="1" applyFill="1" applyBorder="1" applyAlignment="1">
      <alignment horizontal="left" vertical="center" wrapText="1"/>
    </xf>
    <xf numFmtId="0" fontId="4" fillId="0" borderId="53" xfId="0" applyFont="1" applyBorder="1"/>
    <xf numFmtId="0" fontId="4" fillId="0" borderId="54" xfId="0" applyFont="1" applyBorder="1"/>
    <xf numFmtId="0" fontId="4" fillId="0" borderId="55" xfId="0" applyFont="1" applyBorder="1"/>
    <xf numFmtId="0" fontId="23" fillId="32" borderId="1" xfId="0" applyFont="1" applyFill="1" applyBorder="1" applyAlignment="1">
      <alignment horizontal="left" vertical="center" wrapText="1"/>
    </xf>
    <xf numFmtId="0" fontId="24" fillId="23" borderId="11" xfId="0" applyFont="1" applyFill="1" applyBorder="1" applyAlignment="1">
      <alignment horizontal="left" vertical="center" wrapText="1"/>
    </xf>
    <xf numFmtId="0" fontId="24" fillId="25" borderId="11" xfId="0" applyFont="1" applyFill="1" applyBorder="1" applyAlignment="1">
      <alignment horizontal="left" vertical="center" wrapText="1"/>
    </xf>
    <xf numFmtId="0" fontId="9" fillId="25" borderId="34" xfId="0" applyFont="1" applyFill="1" applyBorder="1" applyAlignment="1">
      <alignment vertical="center"/>
    </xf>
    <xf numFmtId="0" fontId="20" fillId="33" borderId="30" xfId="0" applyFont="1" applyFill="1" applyBorder="1" applyAlignment="1">
      <alignment vertical="center" wrapText="1"/>
    </xf>
    <xf numFmtId="0" fontId="118" fillId="26" borderId="62" xfId="0" applyFont="1" applyFill="1" applyBorder="1" applyAlignment="1">
      <alignment horizontal="center" vertical="center" wrapText="1"/>
    </xf>
    <xf numFmtId="0" fontId="113" fillId="26" borderId="62" xfId="0" applyFont="1" applyFill="1" applyBorder="1" applyAlignment="1">
      <alignment horizontal="center" vertical="center" wrapText="1"/>
    </xf>
    <xf numFmtId="0" fontId="115" fillId="34" borderId="62" xfId="0" applyFont="1" applyFill="1" applyBorder="1" applyAlignment="1">
      <alignment vertical="center" wrapText="1"/>
    </xf>
    <xf numFmtId="14" fontId="22" fillId="32" borderId="1" xfId="0" applyNumberFormat="1" applyFont="1" applyFill="1" applyBorder="1" applyAlignment="1">
      <alignment horizontal="left" vertical="center"/>
    </xf>
    <xf numFmtId="0" fontId="0" fillId="0" borderId="108" xfId="0" applyBorder="1" applyAlignment="1" applyProtection="1">
      <alignment vertical="center" wrapText="1"/>
      <protection locked="0"/>
    </xf>
    <xf numFmtId="0" fontId="0" fillId="0" borderId="109" xfId="0" applyBorder="1" applyProtection="1">
      <protection locked="0"/>
    </xf>
    <xf numFmtId="0" fontId="0" fillId="0" borderId="110" xfId="0" applyBorder="1" applyProtection="1">
      <protection locked="0"/>
    </xf>
    <xf numFmtId="0" fontId="0" fillId="0" borderId="111" xfId="0" applyBorder="1" applyProtection="1">
      <protection locked="0"/>
    </xf>
    <xf numFmtId="0" fontId="2" fillId="0" borderId="109" xfId="0" applyFont="1" applyBorder="1" applyProtection="1">
      <protection locked="0"/>
    </xf>
    <xf numFmtId="0" fontId="113" fillId="34" borderId="62" xfId="0" applyFont="1" applyFill="1" applyBorder="1" applyAlignment="1">
      <alignment vertical="center" wrapText="1"/>
    </xf>
    <xf numFmtId="0" fontId="24" fillId="30" borderId="11" xfId="0" applyFont="1" applyFill="1" applyBorder="1" applyAlignment="1">
      <alignment horizontal="left" vertical="center" wrapText="1"/>
    </xf>
    <xf numFmtId="0" fontId="17" fillId="25" borderId="1" xfId="0" applyFont="1" applyFill="1" applyBorder="1" applyAlignment="1">
      <alignment horizontal="center" vertical="center"/>
    </xf>
    <xf numFmtId="0" fontId="18" fillId="25" borderId="1" xfId="0" applyFont="1" applyFill="1" applyBorder="1" applyAlignment="1">
      <alignment horizontal="center" vertical="center" wrapText="1"/>
    </xf>
    <xf numFmtId="0" fontId="19" fillId="32" borderId="20" xfId="0" applyFont="1" applyFill="1" applyBorder="1" applyAlignment="1">
      <alignment vertical="center" wrapText="1"/>
    </xf>
    <xf numFmtId="0" fontId="9" fillId="25" borderId="23" xfId="0" applyFont="1" applyFill="1" applyBorder="1"/>
    <xf numFmtId="0" fontId="0" fillId="0" borderId="107" xfId="0" applyBorder="1" applyProtection="1">
      <protection locked="0"/>
    </xf>
    <xf numFmtId="0" fontId="9" fillId="25" borderId="30" xfId="0" applyFont="1" applyFill="1" applyBorder="1" applyAlignment="1">
      <alignment horizontal="left"/>
    </xf>
    <xf numFmtId="49" fontId="2" fillId="0" borderId="109" xfId="0" applyNumberFormat="1" applyFont="1" applyBorder="1" applyAlignment="1" applyProtection="1">
      <alignment horizontal="left"/>
      <protection locked="0"/>
    </xf>
    <xf numFmtId="49" fontId="0" fillId="0" borderId="110" xfId="0" applyNumberFormat="1" applyBorder="1" applyAlignment="1" applyProtection="1">
      <alignment horizontal="left"/>
      <protection locked="0"/>
    </xf>
    <xf numFmtId="49" fontId="0" fillId="0" borderId="111" xfId="0" applyNumberFormat="1" applyBorder="1" applyAlignment="1" applyProtection="1">
      <alignment horizontal="left"/>
      <protection locked="0"/>
    </xf>
    <xf numFmtId="0" fontId="116" fillId="32" borderId="20" xfId="0" applyFont="1" applyFill="1" applyBorder="1" applyAlignment="1">
      <alignment vertical="center" wrapText="1"/>
    </xf>
    <xf numFmtId="0" fontId="117" fillId="0" borderId="21" xfId="0" applyFont="1" applyBorder="1"/>
    <xf numFmtId="0" fontId="117" fillId="0" borderId="22" xfId="0" applyFont="1" applyBorder="1"/>
    <xf numFmtId="0" fontId="0" fillId="0" borderId="108" xfId="0" applyBorder="1" applyProtection="1">
      <protection locked="0"/>
    </xf>
    <xf numFmtId="0" fontId="9" fillId="25" borderId="30" xfId="0" applyFont="1" applyFill="1" applyBorder="1" applyAlignment="1">
      <alignment horizontal="left" vertical="top"/>
    </xf>
    <xf numFmtId="0" fontId="1" fillId="0" borderId="109" xfId="0" applyFont="1" applyBorder="1" applyAlignment="1" applyProtection="1">
      <alignment horizontal="left" vertical="top"/>
      <protection locked="0"/>
    </xf>
    <xf numFmtId="0" fontId="0" fillId="0" borderId="110" xfId="0" applyBorder="1" applyAlignment="1" applyProtection="1">
      <alignment horizontal="left" vertical="top"/>
      <protection locked="0"/>
    </xf>
    <xf numFmtId="0" fontId="0" fillId="0" borderId="111" xfId="0" applyBorder="1" applyAlignment="1" applyProtection="1">
      <alignment horizontal="left" vertical="top"/>
      <protection locked="0"/>
    </xf>
    <xf numFmtId="0" fontId="11" fillId="38" borderId="30" xfId="0" applyFont="1" applyFill="1" applyBorder="1" applyAlignment="1">
      <alignment horizontal="left" vertical="center" wrapText="1"/>
    </xf>
    <xf numFmtId="0" fontId="11" fillId="39" borderId="30" xfId="0" applyFont="1" applyFill="1" applyBorder="1" applyAlignment="1">
      <alignment horizontal="left" vertical="center" wrapText="1"/>
    </xf>
    <xf numFmtId="14" fontId="9" fillId="25" borderId="30" xfId="0" applyNumberFormat="1" applyFont="1" applyFill="1" applyBorder="1" applyAlignment="1">
      <alignment horizontal="left" vertical="center" wrapText="1"/>
    </xf>
    <xf numFmtId="14" fontId="33" fillId="39" borderId="30" xfId="0" applyNumberFormat="1" applyFont="1" applyFill="1" applyBorder="1" applyAlignment="1">
      <alignment horizontal="left" vertical="center" wrapText="1"/>
    </xf>
    <xf numFmtId="14" fontId="33" fillId="34" borderId="30" xfId="0" applyNumberFormat="1" applyFont="1" applyFill="1" applyBorder="1" applyAlignment="1">
      <alignment horizontal="left" vertical="center" wrapText="1"/>
    </xf>
    <xf numFmtId="0" fontId="11" fillId="25" borderId="30" xfId="0" applyFont="1" applyFill="1" applyBorder="1" applyAlignment="1">
      <alignment horizontal="left" vertical="center" wrapText="1"/>
    </xf>
    <xf numFmtId="0" fontId="11" fillId="34" borderId="30" xfId="0" applyFont="1" applyFill="1" applyBorder="1" applyAlignment="1">
      <alignment horizontal="left" vertical="center" wrapText="1"/>
    </xf>
    <xf numFmtId="0" fontId="9" fillId="34" borderId="30" xfId="0" applyFont="1" applyFill="1" applyBorder="1" applyAlignment="1">
      <alignment vertical="center" wrapText="1"/>
    </xf>
    <xf numFmtId="0" fontId="9" fillId="39" borderId="30" xfId="0" applyFont="1" applyFill="1" applyBorder="1" applyAlignment="1">
      <alignment vertical="center" wrapText="1"/>
    </xf>
    <xf numFmtId="0" fontId="32" fillId="25" borderId="30" xfId="0" applyFont="1" applyFill="1" applyBorder="1" applyAlignment="1">
      <alignment vertical="center" wrapText="1"/>
    </xf>
    <xf numFmtId="0" fontId="9" fillId="36" borderId="30" xfId="0" applyFont="1" applyFill="1" applyBorder="1" applyAlignment="1">
      <alignment horizontal="center" vertical="center"/>
    </xf>
    <xf numFmtId="0" fontId="22" fillId="2" borderId="56" xfId="0" applyFont="1" applyFill="1" applyBorder="1" applyAlignment="1">
      <alignment vertical="center" wrapText="1"/>
    </xf>
    <xf numFmtId="0" fontId="4" fillId="0" borderId="57" xfId="0" applyFont="1" applyBorder="1"/>
    <xf numFmtId="0" fontId="26" fillId="32" borderId="1" xfId="0" applyFont="1" applyFill="1" applyBorder="1" applyAlignment="1">
      <alignment vertical="center" wrapText="1"/>
    </xf>
    <xf numFmtId="0" fontId="17" fillId="36" borderId="34"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9" fillId="36" borderId="34" xfId="0" applyFont="1" applyFill="1" applyBorder="1" applyAlignment="1">
      <alignment horizontal="center" vertical="center"/>
    </xf>
    <xf numFmtId="0" fontId="30" fillId="25" borderId="30" xfId="0" applyFont="1" applyFill="1" applyBorder="1" applyAlignment="1">
      <alignment horizontal="center" vertical="center" wrapText="1"/>
    </xf>
    <xf numFmtId="0" fontId="10" fillId="36" borderId="30" xfId="0" applyFont="1" applyFill="1" applyBorder="1" applyAlignment="1">
      <alignment vertical="center" wrapText="1"/>
    </xf>
    <xf numFmtId="0" fontId="10" fillId="25" borderId="30" xfId="0" applyFont="1" applyFill="1" applyBorder="1" applyAlignment="1">
      <alignment vertical="center" wrapText="1"/>
    </xf>
    <xf numFmtId="0" fontId="31" fillId="34" borderId="30" xfId="0" applyFont="1" applyFill="1" applyBorder="1" applyAlignment="1">
      <alignment horizontal="center" vertical="center" wrapText="1"/>
    </xf>
    <xf numFmtId="0" fontId="15" fillId="25" borderId="30" xfId="0" applyFont="1" applyFill="1" applyBorder="1" applyAlignment="1">
      <alignment horizontal="center" vertical="center" wrapText="1"/>
    </xf>
    <xf numFmtId="0" fontId="15" fillId="36" borderId="30" xfId="0" applyFont="1" applyFill="1" applyBorder="1" applyAlignment="1">
      <alignment vertical="center" wrapText="1"/>
    </xf>
    <xf numFmtId="0" fontId="15" fillId="25" borderId="30" xfId="0" applyFont="1" applyFill="1" applyBorder="1" applyAlignment="1">
      <alignment vertical="center" wrapText="1"/>
    </xf>
    <xf numFmtId="0" fontId="25" fillId="36" borderId="30" xfId="0" applyFont="1" applyFill="1" applyBorder="1" applyAlignment="1">
      <alignment horizontal="center" vertical="center" wrapText="1"/>
    </xf>
    <xf numFmtId="0" fontId="9" fillId="36" borderId="46" xfId="0" applyFont="1" applyFill="1" applyBorder="1" applyAlignment="1">
      <alignment horizontal="center" vertical="center"/>
    </xf>
    <xf numFmtId="0" fontId="9" fillId="34" borderId="30" xfId="0" applyFont="1" applyFill="1" applyBorder="1" applyAlignment="1">
      <alignment vertical="center"/>
    </xf>
    <xf numFmtId="0" fontId="9" fillId="34" borderId="30" xfId="0" applyFont="1" applyFill="1" applyBorder="1" applyAlignment="1">
      <alignment horizontal="left" vertical="top"/>
    </xf>
    <xf numFmtId="0" fontId="9" fillId="34" borderId="30" xfId="0" applyFont="1" applyFill="1" applyBorder="1"/>
    <xf numFmtId="0" fontId="9" fillId="34" borderId="30" xfId="0" applyFont="1" applyFill="1" applyBorder="1" applyAlignment="1">
      <alignment horizontal="left"/>
    </xf>
    <xf numFmtId="49" fontId="9" fillId="0" borderId="30" xfId="0" applyNumberFormat="1" applyFont="1" applyBorder="1"/>
    <xf numFmtId="0" fontId="26" fillId="32" borderId="39" xfId="0" applyFont="1" applyFill="1" applyBorder="1" applyAlignment="1">
      <alignment vertical="center" wrapText="1"/>
    </xf>
    <xf numFmtId="0" fontId="9" fillId="34" borderId="23" xfId="0" applyFont="1" applyFill="1" applyBorder="1" applyAlignment="1">
      <alignment vertical="center" wrapText="1"/>
    </xf>
    <xf numFmtId="0" fontId="9" fillId="0" borderId="26" xfId="0" applyFont="1" applyBorder="1" applyAlignment="1">
      <alignment vertical="center"/>
    </xf>
    <xf numFmtId="0" fontId="9" fillId="0" borderId="30" xfId="0" applyFont="1" applyBorder="1" applyAlignment="1">
      <alignment vertical="center"/>
    </xf>
    <xf numFmtId="0" fontId="9" fillId="34" borderId="43" xfId="0" applyFont="1" applyFill="1" applyBorder="1" applyAlignment="1">
      <alignment vertical="center"/>
    </xf>
    <xf numFmtId="0" fontId="9" fillId="0" borderId="34" xfId="0" applyFont="1" applyBorder="1" applyAlignment="1">
      <alignment horizontal="left" vertical="center" wrapText="1"/>
    </xf>
    <xf numFmtId="0" fontId="9" fillId="34" borderId="23" xfId="0" applyFont="1" applyFill="1" applyBorder="1" applyAlignment="1">
      <alignment vertical="center"/>
    </xf>
    <xf numFmtId="0" fontId="27" fillId="25" borderId="30" xfId="0" applyFont="1" applyFill="1" applyBorder="1" applyAlignment="1">
      <alignment vertical="center"/>
    </xf>
    <xf numFmtId="0" fontId="34" fillId="38" borderId="30" xfId="0" applyFont="1" applyFill="1" applyBorder="1" applyAlignment="1">
      <alignment horizontal="left" vertical="center" wrapText="1"/>
    </xf>
    <xf numFmtId="0" fontId="34" fillId="39" borderId="30" xfId="0" applyFont="1" applyFill="1" applyBorder="1" applyAlignment="1">
      <alignment horizontal="left" vertical="center" wrapText="1"/>
    </xf>
    <xf numFmtId="41" fontId="11" fillId="38" borderId="30" xfId="0" applyNumberFormat="1" applyFont="1" applyFill="1" applyBorder="1" applyAlignment="1">
      <alignment vertical="center" wrapText="1"/>
    </xf>
    <xf numFmtId="14" fontId="11" fillId="39" borderId="30" xfId="0" applyNumberFormat="1" applyFont="1" applyFill="1" applyBorder="1" applyAlignment="1">
      <alignment vertical="center" wrapText="1"/>
    </xf>
    <xf numFmtId="0" fontId="25" fillId="37" borderId="30" xfId="0" applyFont="1" applyFill="1" applyBorder="1" applyAlignment="1">
      <alignment horizontal="center" vertical="center" wrapText="1"/>
    </xf>
    <xf numFmtId="0" fontId="25" fillId="44" borderId="30" xfId="0" applyFont="1" applyFill="1" applyBorder="1" applyAlignment="1">
      <alignment horizontal="center" vertical="center" wrapText="1"/>
    </xf>
    <xf numFmtId="41" fontId="33" fillId="43" borderId="30" xfId="0" applyNumberFormat="1" applyFont="1" applyFill="1" applyBorder="1" applyAlignment="1">
      <alignment vertical="center" wrapText="1"/>
    </xf>
    <xf numFmtId="0" fontId="36" fillId="34" borderId="30" xfId="0" applyFont="1" applyFill="1" applyBorder="1" applyAlignment="1">
      <alignment vertical="center" wrapText="1"/>
    </xf>
    <xf numFmtId="0" fontId="9" fillId="3" borderId="30" xfId="0" applyFont="1" applyFill="1" applyBorder="1" applyAlignment="1">
      <alignment vertical="center" wrapText="1"/>
    </xf>
    <xf numFmtId="41" fontId="11" fillId="34" borderId="30" xfId="0" applyNumberFormat="1" applyFont="1" applyFill="1" applyBorder="1" applyAlignment="1">
      <alignment vertical="center" wrapText="1"/>
    </xf>
    <xf numFmtId="41" fontId="33" fillId="25" borderId="30" xfId="0" applyNumberFormat="1" applyFont="1" applyFill="1" applyBorder="1" applyAlignment="1">
      <alignment vertical="center" wrapText="1"/>
    </xf>
    <xf numFmtId="41" fontId="43" fillId="34" borderId="30" xfId="0" applyNumberFormat="1" applyFont="1" applyFill="1" applyBorder="1" applyAlignment="1">
      <alignment vertical="center" wrapText="1"/>
    </xf>
    <xf numFmtId="41" fontId="43" fillId="25" borderId="30" xfId="0" applyNumberFormat="1" applyFont="1" applyFill="1" applyBorder="1" applyAlignment="1">
      <alignment vertical="center" wrapText="1"/>
    </xf>
    <xf numFmtId="0" fontId="25" fillId="16" borderId="30" xfId="0" applyFont="1" applyFill="1" applyBorder="1" applyAlignment="1">
      <alignment horizontal="center" vertical="center" wrapText="1"/>
    </xf>
    <xf numFmtId="41" fontId="33" fillId="37" borderId="30" xfId="0" applyNumberFormat="1" applyFont="1" applyFill="1" applyBorder="1" applyAlignment="1">
      <alignment vertical="center" wrapText="1"/>
    </xf>
    <xf numFmtId="14" fontId="25" fillId="16" borderId="30" xfId="0" applyNumberFormat="1" applyFont="1" applyFill="1" applyBorder="1" applyAlignment="1">
      <alignment horizontal="center" vertical="center" wrapText="1"/>
    </xf>
    <xf numFmtId="0" fontId="11" fillId="34" borderId="30" xfId="0" applyFont="1" applyFill="1" applyBorder="1" applyAlignment="1">
      <alignment vertical="center" wrapText="1"/>
    </xf>
    <xf numFmtId="0" fontId="11" fillId="25" borderId="30" xfId="0" applyFont="1" applyFill="1" applyBorder="1" applyAlignment="1">
      <alignment vertical="center" wrapText="1"/>
    </xf>
    <xf numFmtId="0" fontId="31" fillId="25" borderId="30" xfId="0" applyFont="1" applyFill="1" applyBorder="1" applyAlignment="1">
      <alignment vertical="center" wrapText="1"/>
    </xf>
    <xf numFmtId="14" fontId="25" fillId="44" borderId="30" xfId="0" applyNumberFormat="1" applyFont="1" applyFill="1" applyBorder="1" applyAlignment="1">
      <alignment horizontal="center" vertical="center" wrapText="1"/>
    </xf>
    <xf numFmtId="0" fontId="11" fillId="39" borderId="30" xfId="0" applyFont="1" applyFill="1" applyBorder="1" applyAlignment="1">
      <alignment vertical="center" wrapText="1"/>
    </xf>
    <xf numFmtId="0" fontId="11" fillId="38" borderId="30" xfId="0" applyFont="1" applyFill="1" applyBorder="1" applyAlignment="1">
      <alignment vertical="center" wrapText="1"/>
    </xf>
    <xf numFmtId="0" fontId="31" fillId="38" borderId="30" xfId="0" applyFont="1" applyFill="1" applyBorder="1" applyAlignment="1">
      <alignment vertical="center" wrapText="1"/>
    </xf>
    <xf numFmtId="41" fontId="33" fillId="34" borderId="30" xfId="0" applyNumberFormat="1" applyFont="1" applyFill="1" applyBorder="1" applyAlignment="1">
      <alignment vertical="center" wrapText="1"/>
    </xf>
    <xf numFmtId="14" fontId="45" fillId="46" borderId="30" xfId="0" applyNumberFormat="1" applyFont="1" applyFill="1" applyBorder="1" applyAlignment="1">
      <alignment horizontal="center" vertical="center"/>
    </xf>
    <xf numFmtId="0" fontId="46" fillId="39" borderId="30" xfId="0" applyFont="1" applyFill="1" applyBorder="1" applyAlignment="1">
      <alignment vertical="center" wrapText="1"/>
    </xf>
    <xf numFmtId="0" fontId="15" fillId="38" borderId="30" xfId="0" applyFont="1" applyFill="1" applyBorder="1" applyAlignment="1">
      <alignment vertical="center" wrapText="1"/>
    </xf>
    <xf numFmtId="41" fontId="11" fillId="39" borderId="30" xfId="0" applyNumberFormat="1" applyFont="1" applyFill="1" applyBorder="1" applyAlignment="1">
      <alignment vertical="center" wrapText="1"/>
    </xf>
    <xf numFmtId="41" fontId="33" fillId="38" borderId="30" xfId="0" applyNumberFormat="1" applyFont="1" applyFill="1" applyBorder="1" applyAlignment="1">
      <alignment vertical="center" wrapText="1"/>
    </xf>
    <xf numFmtId="41" fontId="43" fillId="39" borderId="30" xfId="0" applyNumberFormat="1" applyFont="1" applyFill="1" applyBorder="1" applyAlignment="1">
      <alignment vertical="center" wrapText="1"/>
    </xf>
    <xf numFmtId="41" fontId="43" fillId="38" borderId="30" xfId="0" applyNumberFormat="1" applyFont="1" applyFill="1" applyBorder="1" applyAlignment="1">
      <alignment vertical="center" wrapText="1"/>
    </xf>
    <xf numFmtId="0" fontId="43" fillId="25" borderId="30" xfId="0" applyFont="1" applyFill="1" applyBorder="1" applyAlignment="1">
      <alignment vertical="center" wrapText="1"/>
    </xf>
    <xf numFmtId="41" fontId="33" fillId="39" borderId="30" xfId="0" applyNumberFormat="1" applyFont="1" applyFill="1" applyBorder="1" applyAlignment="1">
      <alignment vertical="center" wrapText="1"/>
    </xf>
    <xf numFmtId="41" fontId="11" fillId="25" borderId="30" xfId="0" applyNumberFormat="1" applyFont="1" applyFill="1" applyBorder="1" applyAlignment="1">
      <alignment vertical="center" wrapText="1"/>
    </xf>
    <xf numFmtId="14" fontId="45" fillId="42" borderId="30" xfId="0" applyNumberFormat="1" applyFont="1" applyFill="1" applyBorder="1" applyAlignment="1">
      <alignment horizontal="center" vertical="center"/>
    </xf>
    <xf numFmtId="0" fontId="46" fillId="34" borderId="30" xfId="0" applyFont="1" applyFill="1" applyBorder="1" applyAlignment="1">
      <alignment vertical="center" wrapText="1"/>
    </xf>
    <xf numFmtId="0" fontId="34" fillId="25" borderId="30" xfId="0" applyFont="1" applyFill="1" applyBorder="1" applyAlignment="1">
      <alignment horizontal="left" vertical="center" wrapText="1"/>
    </xf>
    <xf numFmtId="0" fontId="34" fillId="34" borderId="30" xfId="0" applyFont="1" applyFill="1" applyBorder="1" applyAlignment="1">
      <alignment horizontal="left" vertical="center" wrapText="1"/>
    </xf>
    <xf numFmtId="0" fontId="25" fillId="43" borderId="30" xfId="0" applyFont="1" applyFill="1" applyBorder="1" applyAlignment="1">
      <alignment horizontal="center" vertical="center" wrapText="1"/>
    </xf>
    <xf numFmtId="14" fontId="11" fillId="34" borderId="30" xfId="0" applyNumberFormat="1" applyFont="1" applyFill="1" applyBorder="1" applyAlignment="1">
      <alignment vertical="center" wrapText="1"/>
    </xf>
    <xf numFmtId="49" fontId="33" fillId="34" borderId="30" xfId="0" applyNumberFormat="1" applyFont="1" applyFill="1" applyBorder="1" applyAlignment="1">
      <alignment vertical="center" wrapText="1"/>
    </xf>
    <xf numFmtId="49" fontId="33" fillId="39" borderId="30" xfId="0" applyNumberFormat="1" applyFont="1" applyFill="1" applyBorder="1" applyAlignment="1">
      <alignment vertical="center" wrapText="1"/>
    </xf>
    <xf numFmtId="0" fontId="33" fillId="34" borderId="30" xfId="0" applyFont="1" applyFill="1" applyBorder="1" applyAlignment="1">
      <alignment vertical="center" wrapText="1"/>
    </xf>
    <xf numFmtId="0" fontId="34" fillId="25" borderId="30" xfId="0" applyFont="1" applyFill="1" applyBorder="1" applyAlignment="1">
      <alignment horizontal="center" vertical="center" wrapText="1"/>
    </xf>
    <xf numFmtId="0" fontId="34" fillId="36" borderId="30" xfId="0" applyFont="1" applyFill="1" applyBorder="1" applyAlignment="1">
      <alignment vertical="center" wrapText="1"/>
    </xf>
    <xf numFmtId="0" fontId="25" fillId="25" borderId="30" xfId="0" applyFont="1" applyFill="1" applyBorder="1" applyAlignment="1">
      <alignment vertical="center" wrapText="1"/>
    </xf>
    <xf numFmtId="0" fontId="31" fillId="15" borderId="30" xfId="0" applyFont="1" applyFill="1" applyBorder="1" applyAlignment="1">
      <alignment vertical="center" wrapText="1"/>
    </xf>
    <xf numFmtId="0" fontId="25" fillId="37" borderId="30" xfId="0" applyFont="1" applyFill="1" applyBorder="1" applyAlignment="1">
      <alignment vertical="center" wrapText="1"/>
    </xf>
    <xf numFmtId="0" fontId="25" fillId="15" borderId="30" xfId="0" applyFont="1" applyFill="1" applyBorder="1" applyAlignment="1">
      <alignment vertical="center" wrapText="1"/>
    </xf>
    <xf numFmtId="0" fontId="15" fillId="34" borderId="30" xfId="0" applyFont="1" applyFill="1" applyBorder="1" applyAlignment="1">
      <alignment vertical="center" wrapText="1"/>
    </xf>
    <xf numFmtId="0" fontId="35" fillId="40" borderId="30" xfId="0" applyFont="1" applyFill="1" applyBorder="1" applyAlignment="1">
      <alignment vertical="center" wrapText="1"/>
    </xf>
    <xf numFmtId="0" fontId="36" fillId="40" borderId="30" xfId="0" applyFont="1" applyFill="1" applyBorder="1" applyAlignment="1">
      <alignment vertical="center" wrapText="1"/>
    </xf>
    <xf numFmtId="0" fontId="25" fillId="34" borderId="30" xfId="0" applyFont="1" applyFill="1" applyBorder="1" applyAlignment="1">
      <alignment vertical="center" wrapText="1"/>
    </xf>
    <xf numFmtId="0" fontId="39" fillId="32" borderId="34" xfId="0" applyFont="1" applyFill="1" applyBorder="1" applyAlignment="1">
      <alignment horizontal="center" vertical="center" wrapText="1"/>
    </xf>
    <xf numFmtId="0" fontId="25" fillId="25" borderId="30" xfId="0" applyFont="1" applyFill="1" applyBorder="1" applyAlignment="1">
      <alignment horizontal="center" vertical="center" wrapText="1"/>
    </xf>
    <xf numFmtId="0" fontId="25" fillId="34" borderId="30" xfId="0" applyFont="1" applyFill="1" applyBorder="1" applyAlignment="1">
      <alignment horizontal="center" vertical="center" wrapText="1"/>
    </xf>
    <xf numFmtId="0" fontId="15" fillId="42" borderId="30" xfId="0" applyFont="1" applyFill="1" applyBorder="1" applyAlignment="1">
      <alignment vertical="center" wrapText="1"/>
    </xf>
    <xf numFmtId="0" fontId="38" fillId="3" borderId="30" xfId="0" applyFont="1" applyFill="1" applyBorder="1" applyAlignment="1">
      <alignment horizontal="center" vertical="center"/>
    </xf>
    <xf numFmtId="0" fontId="22" fillId="2" borderId="58" xfId="0" applyFont="1" applyFill="1" applyBorder="1" applyAlignment="1">
      <alignment vertical="center" wrapText="1"/>
    </xf>
    <xf numFmtId="0" fontId="4" fillId="0" borderId="59" xfId="0" applyFont="1" applyBorder="1"/>
    <xf numFmtId="0" fontId="4" fillId="0" borderId="60" xfId="0" applyFont="1" applyBorder="1"/>
    <xf numFmtId="0" fontId="40" fillId="34" borderId="30" xfId="0" applyFont="1" applyFill="1" applyBorder="1" applyAlignment="1">
      <alignment horizontal="center" vertical="center" wrapText="1"/>
    </xf>
    <xf numFmtId="0" fontId="40" fillId="3" borderId="30" xfId="0" applyFont="1" applyFill="1" applyBorder="1" applyAlignment="1">
      <alignment horizontal="center" vertical="center"/>
    </xf>
    <xf numFmtId="0" fontId="28" fillId="36" borderId="30"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4" fillId="34" borderId="30" xfId="0" applyFont="1" applyFill="1" applyBorder="1" applyAlignment="1">
      <alignment horizontal="left" vertical="center" wrapText="1"/>
    </xf>
    <xf numFmtId="0" fontId="24" fillId="34" borderId="61" xfId="0" applyFont="1" applyFill="1" applyBorder="1" applyAlignment="1">
      <alignment horizontal="left" vertical="center" wrapText="1"/>
    </xf>
    <xf numFmtId="0" fontId="9" fillId="40" borderId="46" xfId="0" applyFont="1" applyFill="1" applyBorder="1" applyAlignment="1">
      <alignment vertical="center" wrapText="1"/>
    </xf>
    <xf numFmtId="0" fontId="9" fillId="40" borderId="30" xfId="0" applyFont="1" applyFill="1" applyBorder="1" applyAlignment="1">
      <alignment vertical="center" wrapText="1"/>
    </xf>
    <xf numFmtId="0" fontId="9" fillId="42" borderId="23" xfId="0" applyFont="1" applyFill="1" applyBorder="1" applyAlignment="1">
      <alignment vertical="center" wrapText="1"/>
    </xf>
    <xf numFmtId="0" fontId="46" fillId="34" borderId="23" xfId="0" applyFont="1" applyFill="1" applyBorder="1" applyAlignment="1">
      <alignment horizontal="center" vertical="center" wrapText="1"/>
    </xf>
    <xf numFmtId="0" fontId="6" fillId="34" borderId="30" xfId="0" applyFont="1" applyFill="1" applyBorder="1" applyAlignment="1">
      <alignment vertical="center" wrapText="1"/>
    </xf>
    <xf numFmtId="0" fontId="43" fillId="34" borderId="30" xfId="0" applyFont="1" applyFill="1" applyBorder="1" applyAlignment="1">
      <alignment vertical="center" wrapText="1"/>
    </xf>
    <xf numFmtId="0" fontId="44" fillId="25" borderId="30" xfId="0" applyFont="1" applyFill="1" applyBorder="1" applyAlignment="1">
      <alignment vertical="center" wrapText="1"/>
    </xf>
    <xf numFmtId="0" fontId="33" fillId="25" borderId="30" xfId="0" applyFont="1" applyFill="1" applyBorder="1" applyAlignment="1">
      <alignment horizontal="center" vertical="center" wrapText="1"/>
    </xf>
    <xf numFmtId="0" fontId="43" fillId="34" borderId="30" xfId="0" applyFont="1" applyFill="1" applyBorder="1" applyAlignment="1">
      <alignment horizontal="center" vertical="center" wrapText="1"/>
    </xf>
    <xf numFmtId="0" fontId="32" fillId="25" borderId="23" xfId="0" applyFont="1" applyFill="1" applyBorder="1" applyAlignment="1">
      <alignment horizontal="center" vertical="center" wrapText="1"/>
    </xf>
    <xf numFmtId="0" fontId="41" fillId="25" borderId="30" xfId="0" applyFont="1" applyFill="1" applyBorder="1" applyAlignment="1">
      <alignment horizontal="center" vertical="center" wrapText="1"/>
    </xf>
    <xf numFmtId="0" fontId="42" fillId="36" borderId="30" xfId="0" applyFont="1" applyFill="1" applyBorder="1" applyAlignment="1">
      <alignment vertical="center" wrapText="1"/>
    </xf>
    <xf numFmtId="0" fontId="31" fillId="37" borderId="30" xfId="0" applyFont="1" applyFill="1" applyBorder="1" applyAlignment="1">
      <alignment horizontal="center" vertical="center" wrapText="1"/>
    </xf>
    <xf numFmtId="0" fontId="6" fillId="25" borderId="30" xfId="0" applyFont="1" applyFill="1" applyBorder="1" applyAlignment="1">
      <alignment vertical="center" wrapText="1"/>
    </xf>
    <xf numFmtId="0" fontId="35" fillId="16" borderId="30" xfId="0" applyFont="1" applyFill="1" applyBorder="1" applyAlignment="1">
      <alignment horizontal="center" vertical="center" wrapText="1"/>
    </xf>
    <xf numFmtId="0" fontId="31" fillId="37" borderId="30" xfId="0" applyFont="1" applyFill="1" applyBorder="1" applyAlignment="1">
      <alignment vertical="center" wrapText="1"/>
    </xf>
    <xf numFmtId="0" fontId="32" fillId="34" borderId="30" xfId="0" applyFont="1" applyFill="1" applyBorder="1" applyAlignment="1">
      <alignment vertical="center" wrapText="1"/>
    </xf>
    <xf numFmtId="0" fontId="15" fillId="47" borderId="30" xfId="0" applyFont="1" applyFill="1" applyBorder="1" applyAlignment="1">
      <alignment vertical="center" wrapText="1"/>
    </xf>
    <xf numFmtId="0" fontId="15" fillId="48" borderId="30" xfId="0" applyFont="1" applyFill="1" applyBorder="1" applyAlignment="1">
      <alignment vertical="center" wrapText="1"/>
    </xf>
    <xf numFmtId="0" fontId="9" fillId="50" borderId="30" xfId="0" applyFont="1" applyFill="1" applyBorder="1"/>
    <xf numFmtId="14" fontId="42" fillId="37" borderId="30" xfId="0" applyNumberFormat="1" applyFont="1" applyFill="1" applyBorder="1" applyAlignment="1">
      <alignment vertical="center" wrapText="1"/>
    </xf>
    <xf numFmtId="0" fontId="15" fillId="16" borderId="30" xfId="0" applyFont="1" applyFill="1" applyBorder="1" applyAlignment="1">
      <alignment vertical="center" wrapText="1"/>
    </xf>
    <xf numFmtId="0" fontId="15" fillId="37" borderId="30" xfId="0" applyFont="1" applyFill="1" applyBorder="1" applyAlignment="1">
      <alignment horizontal="center" vertical="center"/>
    </xf>
    <xf numFmtId="0" fontId="15" fillId="37" borderId="30" xfId="0" applyFont="1" applyFill="1" applyBorder="1" applyAlignment="1">
      <alignment vertical="center" wrapText="1"/>
    </xf>
    <xf numFmtId="14" fontId="42" fillId="48" borderId="30" xfId="0" applyNumberFormat="1" applyFont="1" applyFill="1" applyBorder="1" applyAlignment="1">
      <alignment vertical="center" wrapText="1"/>
    </xf>
    <xf numFmtId="0" fontId="15" fillId="47" borderId="30" xfId="0" applyFont="1" applyFill="1" applyBorder="1" applyAlignment="1">
      <alignment horizontal="center" vertical="center"/>
    </xf>
    <xf numFmtId="0" fontId="15" fillId="15" borderId="30" xfId="0" applyFont="1" applyFill="1" applyBorder="1" applyAlignment="1">
      <alignment vertical="center" wrapText="1"/>
    </xf>
    <xf numFmtId="0" fontId="15" fillId="49" borderId="30" xfId="0" applyFont="1" applyFill="1" applyBorder="1" applyAlignment="1">
      <alignment vertical="center" wrapText="1"/>
    </xf>
    <xf numFmtId="0" fontId="15" fillId="48" borderId="30" xfId="0" applyFont="1" applyFill="1" applyBorder="1" applyAlignment="1">
      <alignment horizontal="center" vertical="center"/>
    </xf>
    <xf numFmtId="0" fontId="41" fillId="23" borderId="30" xfId="0" applyFont="1" applyFill="1" applyBorder="1" applyAlignment="1">
      <alignment horizontal="center" vertical="center" wrapText="1"/>
    </xf>
    <xf numFmtId="0" fontId="42" fillId="25" borderId="30" xfId="0" applyFont="1" applyFill="1" applyBorder="1" applyAlignment="1">
      <alignment vertical="center" wrapText="1"/>
    </xf>
    <xf numFmtId="14" fontId="42" fillId="16" borderId="30" xfId="0" applyNumberFormat="1" applyFont="1" applyFill="1" applyBorder="1" applyAlignment="1">
      <alignment vertical="center" wrapText="1"/>
    </xf>
    <xf numFmtId="0" fontId="15" fillId="16" borderId="30" xfId="0" applyFont="1" applyFill="1" applyBorder="1" applyAlignment="1">
      <alignment horizontal="center" vertical="center"/>
    </xf>
    <xf numFmtId="0" fontId="9" fillId="3" borderId="30" xfId="0" applyFont="1" applyFill="1" applyBorder="1"/>
    <xf numFmtId="14" fontId="42" fillId="47" borderId="30" xfId="0" applyNumberFormat="1" applyFont="1" applyFill="1" applyBorder="1" applyAlignment="1">
      <alignment vertical="center" wrapText="1"/>
    </xf>
    <xf numFmtId="0" fontId="42" fillId="37" borderId="30" xfId="0" applyFont="1" applyFill="1" applyBorder="1" applyAlignment="1">
      <alignment vertical="center" wrapText="1"/>
    </xf>
    <xf numFmtId="0" fontId="10" fillId="10" borderId="30" xfId="0" applyFont="1" applyFill="1" applyBorder="1" applyAlignment="1">
      <alignment horizontal="center" vertical="center" wrapText="1"/>
    </xf>
    <xf numFmtId="0" fontId="49" fillId="32" borderId="65" xfId="0" applyFont="1" applyFill="1" applyBorder="1" applyAlignment="1">
      <alignment vertical="center" wrapText="1"/>
    </xf>
    <xf numFmtId="0" fontId="4" fillId="0" borderId="66" xfId="0" applyFont="1" applyBorder="1"/>
    <xf numFmtId="0" fontId="4" fillId="0" borderId="67" xfId="0" applyFont="1" applyBorder="1"/>
    <xf numFmtId="0" fontId="9" fillId="25" borderId="56" xfId="0" applyFont="1" applyFill="1" applyBorder="1" applyAlignment="1">
      <alignment horizontal="center" vertical="center" wrapText="1"/>
    </xf>
    <xf numFmtId="0" fontId="17" fillId="37" borderId="46" xfId="0" applyFont="1" applyFill="1" applyBorder="1" applyAlignment="1">
      <alignment horizontal="center" vertical="center" wrapText="1"/>
    </xf>
    <xf numFmtId="0" fontId="17" fillId="47" borderId="43" xfId="0" applyFont="1" applyFill="1" applyBorder="1" applyAlignment="1">
      <alignment horizontal="center" vertical="center" wrapText="1"/>
    </xf>
    <xf numFmtId="0" fontId="17" fillId="10" borderId="30" xfId="0" applyFont="1" applyFill="1" applyBorder="1" applyAlignment="1">
      <alignment horizontal="center" vertical="center" wrapText="1"/>
    </xf>
    <xf numFmtId="0" fontId="42" fillId="47" borderId="30" xfId="0" applyFont="1" applyFill="1" applyBorder="1" applyAlignment="1">
      <alignment vertical="center" wrapText="1"/>
    </xf>
    <xf numFmtId="0" fontId="47" fillId="48" borderId="30" xfId="0" applyFont="1" applyFill="1" applyBorder="1" applyAlignment="1">
      <alignment vertical="center" wrapText="1"/>
    </xf>
    <xf numFmtId="0" fontId="15" fillId="47" borderId="30" xfId="0" applyFont="1" applyFill="1" applyBorder="1" applyAlignment="1">
      <alignment horizontal="center" vertical="center" wrapText="1"/>
    </xf>
    <xf numFmtId="0" fontId="47" fillId="15" borderId="30" xfId="0" applyFont="1" applyFill="1" applyBorder="1" applyAlignment="1">
      <alignment vertical="center" wrapText="1"/>
    </xf>
    <xf numFmtId="0" fontId="15" fillId="37" borderId="30" xfId="0" applyFont="1" applyFill="1" applyBorder="1" applyAlignment="1">
      <alignment horizontal="center" vertical="center" wrapText="1"/>
    </xf>
    <xf numFmtId="0" fontId="18" fillId="25" borderId="64" xfId="0" applyFont="1" applyFill="1" applyBorder="1" applyAlignment="1">
      <alignment horizontal="center" vertical="center" wrapText="1"/>
    </xf>
    <xf numFmtId="0" fontId="9" fillId="0" borderId="27" xfId="0" applyFont="1" applyBorder="1" applyAlignment="1">
      <alignment vertical="center"/>
    </xf>
    <xf numFmtId="0" fontId="9" fillId="0" borderId="31" xfId="0" applyFont="1" applyBorder="1"/>
    <xf numFmtId="0" fontId="9" fillId="0" borderId="35" xfId="0" applyFont="1" applyBorder="1" applyAlignment="1">
      <alignment horizontal="left" vertical="center" wrapText="1"/>
    </xf>
    <xf numFmtId="0" fontId="48" fillId="33" borderId="61" xfId="0" applyFont="1" applyFill="1" applyBorder="1"/>
    <xf numFmtId="0" fontId="43" fillId="25" borderId="30" xfId="0" applyFont="1" applyFill="1" applyBorder="1" applyAlignment="1">
      <alignment vertical="center"/>
    </xf>
    <xf numFmtId="0" fontId="43" fillId="34" borderId="30" xfId="0" applyFont="1" applyFill="1" applyBorder="1" applyAlignment="1">
      <alignment vertical="center"/>
    </xf>
    <xf numFmtId="0" fontId="25" fillId="23" borderId="30" xfId="0" applyFont="1" applyFill="1" applyBorder="1" applyAlignment="1">
      <alignment vertical="center" wrapText="1"/>
    </xf>
    <xf numFmtId="0" fontId="15" fillId="25" borderId="61" xfId="0" applyFont="1" applyFill="1" applyBorder="1" applyAlignment="1">
      <alignment wrapText="1"/>
    </xf>
    <xf numFmtId="0" fontId="40" fillId="25" borderId="71" xfId="0" applyFont="1" applyFill="1" applyBorder="1" applyAlignment="1">
      <alignment horizontal="center" vertical="center"/>
    </xf>
    <xf numFmtId="0" fontId="4" fillId="0" borderId="72" xfId="0" applyFont="1" applyBorder="1"/>
    <xf numFmtId="0" fontId="32" fillId="34" borderId="30" xfId="0" applyFont="1" applyFill="1" applyBorder="1" applyAlignment="1">
      <alignment horizontal="center" vertical="center" wrapText="1"/>
    </xf>
    <xf numFmtId="0" fontId="6" fillId="25" borderId="23" xfId="0" applyFont="1" applyFill="1" applyBorder="1" applyAlignment="1">
      <alignment horizontal="center" vertical="center" wrapText="1"/>
    </xf>
    <xf numFmtId="0" fontId="6" fillId="12" borderId="48" xfId="0" applyFont="1" applyFill="1" applyBorder="1" applyAlignment="1">
      <alignment horizontal="center" vertical="center" wrapText="1"/>
    </xf>
    <xf numFmtId="0" fontId="9" fillId="25" borderId="43" xfId="0" applyFont="1" applyFill="1" applyBorder="1"/>
    <xf numFmtId="0" fontId="9" fillId="23" borderId="69" xfId="0" applyFont="1" applyFill="1" applyBorder="1"/>
    <xf numFmtId="0" fontId="4" fillId="0" borderId="73" xfId="0" applyFont="1" applyBorder="1"/>
    <xf numFmtId="0" fontId="32" fillId="25" borderId="34" xfId="0" applyFont="1" applyFill="1" applyBorder="1" applyAlignment="1">
      <alignment vertical="center" wrapText="1"/>
    </xf>
    <xf numFmtId="0" fontId="35" fillId="34" borderId="34" xfId="0" applyFont="1" applyFill="1" applyBorder="1" applyAlignment="1">
      <alignment vertical="center" wrapText="1"/>
    </xf>
    <xf numFmtId="0" fontId="10" fillId="25" borderId="34" xfId="0" applyFont="1" applyFill="1" applyBorder="1" applyAlignment="1">
      <alignment vertical="center" wrapText="1"/>
    </xf>
    <xf numFmtId="0" fontId="10" fillId="34" borderId="34" xfId="0" applyFont="1" applyFill="1" applyBorder="1" applyAlignment="1">
      <alignment vertical="center" wrapText="1"/>
    </xf>
    <xf numFmtId="0" fontId="121" fillId="34" borderId="30" xfId="0" applyFont="1" applyFill="1" applyBorder="1" applyAlignment="1">
      <alignment vertical="center"/>
    </xf>
    <xf numFmtId="0" fontId="22" fillId="2" borderId="1" xfId="0" applyFont="1" applyFill="1" applyBorder="1" applyAlignment="1">
      <alignment vertical="center" wrapText="1"/>
    </xf>
    <xf numFmtId="0" fontId="50" fillId="32" borderId="39" xfId="0" applyFont="1" applyFill="1" applyBorder="1" applyAlignment="1">
      <alignment vertical="center" wrapText="1"/>
    </xf>
    <xf numFmtId="0" fontId="4" fillId="0" borderId="68" xfId="0" applyFont="1" applyBorder="1"/>
    <xf numFmtId="0" fontId="35" fillId="23" borderId="34" xfId="0" applyFont="1" applyFill="1" applyBorder="1" applyAlignment="1">
      <alignment vertical="center" wrapText="1"/>
    </xf>
    <xf numFmtId="0" fontId="35" fillId="25" borderId="34" xfId="0" applyFont="1" applyFill="1" applyBorder="1" applyAlignment="1">
      <alignment vertical="center" wrapText="1"/>
    </xf>
    <xf numFmtId="0" fontId="24" fillId="12" borderId="70" xfId="0" applyFont="1" applyFill="1" applyBorder="1" applyAlignment="1">
      <alignment vertical="center" textRotation="90" wrapText="1"/>
    </xf>
    <xf numFmtId="0" fontId="4" fillId="0" borderId="74" xfId="0" applyFont="1" applyBorder="1"/>
    <xf numFmtId="0" fontId="24" fillId="13" borderId="70" xfId="0" applyFont="1" applyFill="1" applyBorder="1" applyAlignment="1">
      <alignment vertical="center" textRotation="90" wrapText="1"/>
    </xf>
    <xf numFmtId="0" fontId="9" fillId="0" borderId="34" xfId="0" applyFont="1" applyBorder="1" applyAlignment="1">
      <alignment horizontal="left" vertical="top" wrapText="1"/>
    </xf>
    <xf numFmtId="0" fontId="48" fillId="33" borderId="30" xfId="0" applyFont="1" applyFill="1" applyBorder="1"/>
    <xf numFmtId="0" fontId="15" fillId="25" borderId="23" xfId="0" applyFont="1" applyFill="1" applyBorder="1" applyAlignment="1">
      <alignment vertical="center" wrapText="1"/>
    </xf>
    <xf numFmtId="0" fontId="25" fillId="34" borderId="23" xfId="0" applyFont="1" applyFill="1" applyBorder="1" applyAlignment="1">
      <alignment vertical="center" wrapText="1"/>
    </xf>
    <xf numFmtId="0" fontId="15" fillId="34" borderId="23" xfId="0" applyFont="1" applyFill="1" applyBorder="1" applyAlignment="1">
      <alignment vertical="center" wrapText="1"/>
    </xf>
    <xf numFmtId="0" fontId="25" fillId="23" borderId="23" xfId="0" applyFont="1" applyFill="1" applyBorder="1" applyAlignment="1">
      <alignment vertical="center" wrapText="1"/>
    </xf>
    <xf numFmtId="0" fontId="25" fillId="25" borderId="23" xfId="0" applyFont="1" applyFill="1" applyBorder="1" applyAlignment="1">
      <alignment vertical="center" wrapText="1"/>
    </xf>
    <xf numFmtId="0" fontId="24" fillId="25" borderId="23" xfId="0" applyFont="1" applyFill="1" applyBorder="1" applyAlignment="1">
      <alignment horizontal="center" vertical="center"/>
    </xf>
    <xf numFmtId="0" fontId="9" fillId="0" borderId="26" xfId="0" applyFont="1" applyBorder="1" applyAlignment="1">
      <alignment horizontal="left" vertical="top"/>
    </xf>
    <xf numFmtId="14" fontId="11" fillId="30" borderId="30" xfId="0" applyNumberFormat="1" applyFont="1" applyFill="1" applyBorder="1"/>
    <xf numFmtId="0" fontId="9" fillId="30" borderId="30" xfId="0" applyFont="1" applyFill="1" applyBorder="1"/>
    <xf numFmtId="0" fontId="15" fillId="25" borderId="30" xfId="0" applyFont="1" applyFill="1" applyBorder="1" applyAlignment="1">
      <alignment horizontal="left" vertical="center" wrapText="1"/>
    </xf>
    <xf numFmtId="0" fontId="25" fillId="31" borderId="30" xfId="0" applyFont="1" applyFill="1" applyBorder="1" applyAlignment="1">
      <alignment vertical="center" wrapText="1"/>
    </xf>
    <xf numFmtId="0" fontId="9" fillId="31" borderId="30" xfId="0" applyFont="1" applyFill="1" applyBorder="1"/>
    <xf numFmtId="0" fontId="9" fillId="31" borderId="43" xfId="0" applyFont="1" applyFill="1" applyBorder="1"/>
    <xf numFmtId="0" fontId="9" fillId="30" borderId="43" xfId="0" applyFont="1" applyFill="1" applyBorder="1"/>
    <xf numFmtId="0" fontId="25" fillId="31" borderId="43" xfId="0" applyFont="1" applyFill="1" applyBorder="1" applyAlignment="1">
      <alignment vertical="center" wrapText="1"/>
    </xf>
    <xf numFmtId="14" fontId="11" fillId="30" borderId="30" xfId="0" applyNumberFormat="1" applyFont="1" applyFill="1" applyBorder="1" applyAlignment="1">
      <alignment horizontal="left"/>
    </xf>
    <xf numFmtId="14" fontId="11" fillId="23" borderId="30" xfId="0" applyNumberFormat="1" applyFont="1" applyFill="1" applyBorder="1" applyAlignment="1">
      <alignment horizontal="left" vertical="center"/>
    </xf>
    <xf numFmtId="0" fontId="11" fillId="34" borderId="30" xfId="0" applyFont="1" applyFill="1" applyBorder="1" applyAlignment="1">
      <alignment vertical="center"/>
    </xf>
    <xf numFmtId="0" fontId="11" fillId="25" borderId="30" xfId="0" applyFont="1" applyFill="1" applyBorder="1" applyAlignment="1">
      <alignment vertical="center"/>
    </xf>
    <xf numFmtId="0" fontId="9" fillId="34" borderId="69" xfId="0" applyFont="1" applyFill="1" applyBorder="1"/>
    <xf numFmtId="0" fontId="32" fillId="23" borderId="34" xfId="0" applyFont="1" applyFill="1" applyBorder="1" applyAlignment="1">
      <alignment vertical="center" wrapText="1"/>
    </xf>
    <xf numFmtId="0" fontId="32" fillId="34" borderId="34" xfId="0" applyFont="1" applyFill="1" applyBorder="1" applyAlignment="1">
      <alignment horizontal="center" vertical="center" wrapText="1"/>
    </xf>
    <xf numFmtId="0" fontId="32" fillId="25" borderId="34" xfId="0" applyFont="1" applyFill="1" applyBorder="1" applyAlignment="1">
      <alignment horizontal="center" vertical="center" wrapText="1"/>
    </xf>
    <xf numFmtId="0" fontId="32" fillId="30" borderId="34" xfId="0" applyFont="1" applyFill="1" applyBorder="1" applyAlignment="1">
      <alignment vertical="center" wrapText="1"/>
    </xf>
    <xf numFmtId="0" fontId="36" fillId="12" borderId="70" xfId="0" applyFont="1" applyFill="1" applyBorder="1" applyAlignment="1">
      <alignment vertical="center" textRotation="90" wrapText="1"/>
    </xf>
    <xf numFmtId="0" fontId="36" fillId="13" borderId="70" xfId="0" applyFont="1" applyFill="1" applyBorder="1" applyAlignment="1">
      <alignment vertical="center" textRotation="90" wrapText="1"/>
    </xf>
    <xf numFmtId="0" fontId="9" fillId="25" borderId="34" xfId="0" applyFont="1" applyFill="1" applyBorder="1" applyAlignment="1">
      <alignment horizontal="center" vertical="center"/>
    </xf>
    <xf numFmtId="0" fontId="9" fillId="25" borderId="23" xfId="0" applyFont="1" applyFill="1" applyBorder="1" applyAlignment="1">
      <alignment vertical="center" wrapText="1"/>
    </xf>
    <xf numFmtId="0" fontId="9" fillId="25" borderId="30" xfId="0" applyFont="1" applyFill="1" applyBorder="1" applyAlignment="1">
      <alignment horizontal="left" vertical="center"/>
    </xf>
    <xf numFmtId="0" fontId="52" fillId="51" borderId="48" xfId="0" applyFont="1" applyFill="1" applyBorder="1" applyAlignment="1">
      <alignment horizontal="center" vertical="center" wrapText="1"/>
    </xf>
    <xf numFmtId="0" fontId="29" fillId="51" borderId="48" xfId="0" applyFont="1" applyFill="1" applyBorder="1" applyAlignment="1">
      <alignment horizontal="center" vertical="center" wrapText="1"/>
    </xf>
    <xf numFmtId="49" fontId="9" fillId="0" borderId="30" xfId="0" applyNumberFormat="1" applyFont="1" applyBorder="1" applyAlignment="1">
      <alignment vertical="center"/>
    </xf>
    <xf numFmtId="0" fontId="32" fillId="25" borderId="23" xfId="0" applyFont="1" applyFill="1" applyBorder="1" applyAlignment="1">
      <alignment vertical="center" wrapText="1"/>
    </xf>
    <xf numFmtId="0" fontId="9" fillId="25" borderId="30" xfId="0" applyFont="1" applyFill="1" applyBorder="1" applyAlignment="1">
      <alignment horizontal="center" vertical="center"/>
    </xf>
    <xf numFmtId="0" fontId="32" fillId="30" borderId="30" xfId="0" applyFont="1" applyFill="1" applyBorder="1" applyAlignment="1">
      <alignment vertical="center" wrapText="1"/>
    </xf>
    <xf numFmtId="0" fontId="32" fillId="34" borderId="34" xfId="0" applyFont="1" applyFill="1" applyBorder="1" applyAlignment="1">
      <alignment vertical="center" wrapText="1"/>
    </xf>
    <xf numFmtId="0" fontId="32" fillId="34" borderId="71" xfId="0" applyFont="1" applyFill="1" applyBorder="1" applyAlignment="1">
      <alignment vertical="center" wrapText="1"/>
    </xf>
    <xf numFmtId="0" fontId="46" fillId="25" borderId="34" xfId="0" applyFont="1" applyFill="1" applyBorder="1" applyAlignment="1">
      <alignment horizontal="center" vertical="center" wrapText="1"/>
    </xf>
    <xf numFmtId="0" fontId="6" fillId="31" borderId="34" xfId="0" applyFont="1" applyFill="1" applyBorder="1" applyAlignment="1">
      <alignment vertical="center" wrapText="1"/>
    </xf>
    <xf numFmtId="0" fontId="6" fillId="30" borderId="34" xfId="0" applyFont="1" applyFill="1" applyBorder="1" applyAlignment="1">
      <alignment vertical="center" wrapText="1"/>
    </xf>
    <xf numFmtId="0" fontId="46" fillId="31" borderId="34" xfId="0" applyFont="1" applyFill="1" applyBorder="1" applyAlignment="1">
      <alignment vertical="center" wrapText="1"/>
    </xf>
    <xf numFmtId="0" fontId="9" fillId="30" borderId="34" xfId="0" applyFont="1" applyFill="1" applyBorder="1" applyAlignment="1">
      <alignment vertical="center" wrapText="1"/>
    </xf>
    <xf numFmtId="0" fontId="32" fillId="34" borderId="23" xfId="0" applyFont="1" applyFill="1" applyBorder="1" applyAlignment="1">
      <alignment vertical="center" wrapText="1"/>
    </xf>
    <xf numFmtId="0" fontId="6" fillId="31" borderId="30" xfId="0" applyFont="1" applyFill="1" applyBorder="1" applyAlignment="1">
      <alignment vertical="center" wrapText="1"/>
    </xf>
    <xf numFmtId="0" fontId="6" fillId="30" borderId="30" xfId="0" applyFont="1" applyFill="1" applyBorder="1" applyAlignment="1">
      <alignment vertical="center" wrapText="1"/>
    </xf>
    <xf numFmtId="0" fontId="46" fillId="31" borderId="30" xfId="0" applyFont="1" applyFill="1" applyBorder="1" applyAlignment="1">
      <alignment vertical="center" wrapText="1"/>
    </xf>
    <xf numFmtId="0" fontId="9" fillId="31" borderId="46" xfId="0" applyFont="1" applyFill="1" applyBorder="1" applyAlignment="1">
      <alignment vertical="center" wrapText="1"/>
    </xf>
    <xf numFmtId="0" fontId="51" fillId="34" borderId="30" xfId="0" applyFont="1" applyFill="1" applyBorder="1" applyAlignment="1">
      <alignment horizontal="center" vertical="center" wrapText="1"/>
    </xf>
    <xf numFmtId="0" fontId="44" fillId="25" borderId="23" xfId="0" applyFont="1" applyFill="1" applyBorder="1" applyAlignment="1">
      <alignment horizontal="center" vertical="center" wrapText="1"/>
    </xf>
    <xf numFmtId="0" fontId="9" fillId="34" borderId="46" xfId="0" applyFont="1" applyFill="1" applyBorder="1" applyAlignment="1">
      <alignment horizontal="center" vertical="center" wrapText="1"/>
    </xf>
    <xf numFmtId="0" fontId="12" fillId="33" borderId="30" xfId="0" applyFont="1" applyFill="1" applyBorder="1" applyAlignment="1">
      <alignment vertical="center" wrapText="1"/>
    </xf>
    <xf numFmtId="0" fontId="32" fillId="23" borderId="23" xfId="0" applyFont="1" applyFill="1" applyBorder="1" applyAlignment="1">
      <alignment vertical="center" wrapText="1"/>
    </xf>
    <xf numFmtId="0" fontId="15" fillId="25" borderId="43" xfId="0" applyFont="1" applyFill="1" applyBorder="1" applyAlignment="1">
      <alignment horizontal="left" vertical="center" wrapText="1"/>
    </xf>
    <xf numFmtId="0" fontId="33" fillId="0" borderId="30" xfId="0" applyFont="1" applyBorder="1"/>
    <xf numFmtId="0" fontId="43" fillId="0" borderId="30" xfId="0" applyFont="1" applyBorder="1" applyAlignment="1">
      <alignment vertical="center" wrapText="1"/>
    </xf>
    <xf numFmtId="0" fontId="33" fillId="25" borderId="30" xfId="0" applyFont="1" applyFill="1" applyBorder="1"/>
    <xf numFmtId="0" fontId="11" fillId="25" borderId="30" xfId="0" applyFont="1" applyFill="1" applyBorder="1"/>
    <xf numFmtId="0" fontId="10" fillId="34" borderId="30" xfId="0" applyFont="1" applyFill="1" applyBorder="1" applyAlignment="1">
      <alignment vertical="center" wrapText="1"/>
    </xf>
    <xf numFmtId="0" fontId="53" fillId="25" borderId="30" xfId="0" applyFont="1" applyFill="1" applyBorder="1" applyAlignment="1">
      <alignment vertical="center" wrapText="1"/>
    </xf>
    <xf numFmtId="0" fontId="17" fillId="34" borderId="30" xfId="0" applyFont="1" applyFill="1" applyBorder="1" applyAlignment="1">
      <alignment horizontal="center" vertical="center"/>
    </xf>
    <xf numFmtId="0" fontId="30" fillId="25" borderId="30" xfId="0" applyFont="1" applyFill="1" applyBorder="1" applyAlignment="1">
      <alignment vertical="center" wrapText="1"/>
    </xf>
    <xf numFmtId="0" fontId="24" fillId="25" borderId="30" xfId="0" applyFont="1" applyFill="1" applyBorder="1" applyAlignment="1">
      <alignment vertical="center" wrapText="1"/>
    </xf>
    <xf numFmtId="0" fontId="36" fillId="25" borderId="30" xfId="0" applyFont="1" applyFill="1" applyBorder="1" applyAlignment="1">
      <alignment vertical="center" wrapText="1"/>
    </xf>
    <xf numFmtId="0" fontId="15" fillId="34" borderId="30" xfId="0" applyFont="1" applyFill="1" applyBorder="1" applyAlignment="1">
      <alignment horizontal="center" vertical="center"/>
    </xf>
    <xf numFmtId="0" fontId="31" fillId="34" borderId="30" xfId="0" applyFont="1" applyFill="1" applyBorder="1" applyAlignment="1">
      <alignment vertical="center" wrapText="1"/>
    </xf>
    <xf numFmtId="0" fontId="33" fillId="0" borderId="30" xfId="0" applyFont="1" applyBorder="1" applyAlignment="1">
      <alignment vertical="center" wrapText="1"/>
    </xf>
    <xf numFmtId="0" fontId="33" fillId="25" borderId="30" xfId="0" applyFont="1" applyFill="1" applyBorder="1" applyAlignment="1">
      <alignment vertical="center" wrapText="1"/>
    </xf>
    <xf numFmtId="0" fontId="9" fillId="0" borderId="30" xfId="0" applyFont="1" applyBorder="1" applyAlignment="1">
      <alignment horizontal="center" vertical="center"/>
    </xf>
    <xf numFmtId="0" fontId="9" fillId="25" borderId="34" xfId="0" applyFont="1" applyFill="1" applyBorder="1" applyAlignment="1">
      <alignment vertical="center" wrapText="1"/>
    </xf>
    <xf numFmtId="0" fontId="27" fillId="25" borderId="30" xfId="0" applyFont="1" applyFill="1" applyBorder="1" applyAlignment="1">
      <alignment vertical="center" wrapText="1"/>
    </xf>
    <xf numFmtId="0" fontId="35" fillId="0" borderId="30" xfId="0" applyFont="1" applyBorder="1" applyAlignment="1">
      <alignment vertical="center" wrapText="1"/>
    </xf>
    <xf numFmtId="0" fontId="54" fillId="2" borderId="56" xfId="0" applyFont="1" applyFill="1" applyBorder="1" applyAlignment="1">
      <alignment vertical="center" wrapText="1"/>
    </xf>
    <xf numFmtId="0" fontId="11" fillId="0" borderId="30" xfId="0" applyFont="1" applyBorder="1" applyAlignment="1">
      <alignment vertical="center" wrapText="1"/>
    </xf>
    <xf numFmtId="0" fontId="15" fillId="0" borderId="30" xfId="0" applyFont="1" applyBorder="1" applyAlignment="1">
      <alignment vertical="center" wrapText="1"/>
    </xf>
    <xf numFmtId="0" fontId="46" fillId="0" borderId="30" xfId="0" applyFont="1" applyBorder="1" applyAlignment="1">
      <alignment vertical="center" wrapText="1"/>
    </xf>
    <xf numFmtId="0" fontId="53" fillId="0" borderId="30" xfId="0" applyFont="1" applyBorder="1" applyAlignment="1">
      <alignment vertical="center" wrapText="1"/>
    </xf>
    <xf numFmtId="0" fontId="6" fillId="0" borderId="30" xfId="0" applyFont="1" applyBorder="1" applyAlignment="1">
      <alignment vertical="center" wrapText="1"/>
    </xf>
    <xf numFmtId="0" fontId="15" fillId="0" borderId="30" xfId="0" applyFont="1" applyBorder="1" applyAlignment="1">
      <alignment horizontal="center" vertical="center"/>
    </xf>
    <xf numFmtId="0" fontId="17" fillId="25" borderId="65" xfId="0" applyFont="1" applyFill="1" applyBorder="1" applyAlignment="1">
      <alignment horizontal="center" vertical="center"/>
    </xf>
    <xf numFmtId="0" fontId="9" fillId="0" borderId="30" xfId="0" applyFont="1" applyBorder="1" applyAlignment="1">
      <alignment wrapText="1"/>
    </xf>
    <xf numFmtId="0" fontId="9" fillId="25" borderId="30" xfId="0" applyFont="1" applyFill="1" applyBorder="1" applyAlignment="1">
      <alignment horizontal="left" vertical="top" wrapText="1"/>
    </xf>
    <xf numFmtId="0" fontId="40" fillId="34" borderId="30" xfId="0" applyFont="1" applyFill="1" applyBorder="1" applyAlignment="1">
      <alignment horizontal="center"/>
    </xf>
    <xf numFmtId="0" fontId="40" fillId="34" borderId="30" xfId="0" applyFont="1" applyFill="1" applyBorder="1" applyAlignment="1">
      <alignment horizontal="center" vertical="center"/>
    </xf>
    <xf numFmtId="0" fontId="9" fillId="34" borderId="30" xfId="0" applyFont="1" applyFill="1" applyBorder="1" applyAlignment="1">
      <alignment horizontal="center" vertical="center"/>
    </xf>
    <xf numFmtId="0" fontId="9" fillId="23" borderId="30" xfId="0" applyFont="1" applyFill="1" applyBorder="1"/>
    <xf numFmtId="0" fontId="9" fillId="23" borderId="30" xfId="0" applyFont="1" applyFill="1" applyBorder="1" applyAlignment="1">
      <alignment horizontal="center" vertical="center"/>
    </xf>
    <xf numFmtId="0" fontId="10" fillId="34" borderId="30" xfId="0" applyFont="1" applyFill="1" applyBorder="1" applyAlignment="1">
      <alignment horizontal="right"/>
    </xf>
    <xf numFmtId="0" fontId="73" fillId="0" borderId="30" xfId="0" applyFont="1" applyBorder="1" applyAlignment="1">
      <alignment horizontal="center" vertical="center"/>
    </xf>
    <xf numFmtId="0" fontId="21" fillId="58" borderId="30" xfId="0" applyFont="1" applyFill="1" applyBorder="1"/>
    <xf numFmtId="0" fontId="38" fillId="58" borderId="30" xfId="0" applyFont="1" applyFill="1" applyBorder="1" applyAlignment="1">
      <alignment horizontal="center" vertical="center"/>
    </xf>
    <xf numFmtId="0" fontId="21" fillId="19" borderId="30" xfId="0" applyFont="1" applyFill="1" applyBorder="1"/>
    <xf numFmtId="0" fontId="17" fillId="59" borderId="30" xfId="0" applyFont="1" applyFill="1" applyBorder="1" applyAlignment="1">
      <alignment horizontal="right"/>
    </xf>
    <xf numFmtId="0" fontId="40" fillId="59" borderId="30" xfId="0" applyFont="1" applyFill="1" applyBorder="1" applyAlignment="1">
      <alignment horizontal="center" vertical="center"/>
    </xf>
    <xf numFmtId="0" fontId="38" fillId="17" borderId="1" xfId="0" applyFont="1" applyFill="1" applyBorder="1" applyAlignment="1">
      <alignment horizontal="center" vertical="center"/>
    </xf>
    <xf numFmtId="0" fontId="55" fillId="2" borderId="80" xfId="0" applyFont="1" applyFill="1" applyBorder="1" applyAlignment="1">
      <alignment horizontal="center" vertical="center" wrapText="1"/>
    </xf>
    <xf numFmtId="0" fontId="4" fillId="0" borderId="81" xfId="0" applyFont="1" applyBorder="1"/>
    <xf numFmtId="0" fontId="4" fillId="0" borderId="82" xfId="0" applyFont="1" applyBorder="1"/>
    <xf numFmtId="0" fontId="72" fillId="2" borderId="83" xfId="0" applyFont="1" applyFill="1" applyBorder="1" applyAlignment="1">
      <alignment horizontal="center" vertical="center" wrapText="1"/>
    </xf>
    <xf numFmtId="0" fontId="4" fillId="0" borderId="84" xfId="0" applyFont="1" applyBorder="1"/>
    <xf numFmtId="0" fontId="4" fillId="0" borderId="85" xfId="0" applyFont="1" applyBorder="1"/>
    <xf numFmtId="0" fontId="5" fillId="47" borderId="30" xfId="0" applyFont="1" applyFill="1" applyBorder="1" applyAlignment="1">
      <alignment vertical="center" wrapText="1"/>
    </xf>
    <xf numFmtId="0" fontId="5" fillId="48" borderId="30" xfId="0" applyFont="1" applyFill="1" applyBorder="1" applyAlignment="1">
      <alignment vertical="center" wrapText="1"/>
    </xf>
    <xf numFmtId="0" fontId="5" fillId="48" borderId="30" xfId="0" applyFont="1" applyFill="1" applyBorder="1" applyAlignment="1">
      <alignment horizontal="center" vertical="center" wrapText="1"/>
    </xf>
    <xf numFmtId="0" fontId="5" fillId="61" borderId="30" xfId="0" applyFont="1" applyFill="1" applyBorder="1" applyAlignment="1">
      <alignment horizontal="center" vertical="center" wrapText="1"/>
    </xf>
    <xf numFmtId="0" fontId="5" fillId="47" borderId="30" xfId="0" applyFont="1" applyFill="1" applyBorder="1" applyAlignment="1">
      <alignment horizontal="left" vertical="center"/>
    </xf>
    <xf numFmtId="0" fontId="5" fillId="47" borderId="30" xfId="0" applyFont="1" applyFill="1" applyBorder="1" applyAlignment="1">
      <alignment horizontal="center" vertical="center"/>
    </xf>
    <xf numFmtId="0" fontId="5" fillId="60" borderId="30" xfId="0" applyFont="1" applyFill="1" applyBorder="1" applyAlignment="1">
      <alignment horizontal="center" vertical="center"/>
    </xf>
    <xf numFmtId="0" fontId="69" fillId="56" borderId="56" xfId="0" applyFont="1" applyFill="1" applyBorder="1" applyAlignment="1">
      <alignment horizontal="right"/>
    </xf>
    <xf numFmtId="0" fontId="69" fillId="56" borderId="56" xfId="0" applyFont="1" applyFill="1" applyBorder="1" applyAlignment="1">
      <alignment horizontal="center" vertical="center"/>
    </xf>
    <xf numFmtId="0" fontId="55" fillId="17" borderId="1" xfId="0" applyFont="1" applyFill="1" applyBorder="1" applyAlignment="1">
      <alignment horizontal="center" vertical="center"/>
    </xf>
    <xf numFmtId="0" fontId="9" fillId="57" borderId="30" xfId="0" applyFont="1" applyFill="1" applyBorder="1" applyAlignment="1">
      <alignment horizontal="center" vertical="center"/>
    </xf>
    <xf numFmtId="0" fontId="38" fillId="19" borderId="30" xfId="0" applyFont="1" applyFill="1" applyBorder="1" applyAlignment="1">
      <alignment horizontal="center" vertical="center"/>
    </xf>
    <xf numFmtId="0" fontId="5" fillId="26" borderId="30" xfId="0" applyFont="1" applyFill="1" applyBorder="1" applyAlignment="1">
      <alignment horizontal="center" vertical="center"/>
    </xf>
    <xf numFmtId="0" fontId="17" fillId="34" borderId="30" xfId="0" applyFont="1" applyFill="1" applyBorder="1" applyAlignment="1">
      <alignment horizontal="center" vertical="center" wrapText="1"/>
    </xf>
    <xf numFmtId="0" fontId="22" fillId="54" borderId="30" xfId="0" applyFont="1" applyFill="1" applyBorder="1" applyAlignment="1">
      <alignment horizontal="center"/>
    </xf>
    <xf numFmtId="0" fontId="9" fillId="54" borderId="30" xfId="0" applyFont="1" applyFill="1" applyBorder="1" applyAlignment="1">
      <alignment horizontal="center"/>
    </xf>
    <xf numFmtId="0" fontId="71" fillId="17" borderId="1" xfId="0" applyFont="1" applyFill="1" applyBorder="1" applyAlignment="1">
      <alignment horizontal="center" vertical="center"/>
    </xf>
    <xf numFmtId="0" fontId="9" fillId="48" borderId="30" xfId="0" applyFont="1" applyFill="1" applyBorder="1"/>
    <xf numFmtId="0" fontId="9" fillId="48" borderId="30" xfId="0" applyFont="1" applyFill="1" applyBorder="1" applyAlignment="1">
      <alignment horizontal="center" vertical="center"/>
    </xf>
    <xf numFmtId="0" fontId="9" fillId="49" borderId="30" xfId="0" applyFont="1" applyFill="1" applyBorder="1" applyAlignment="1">
      <alignment horizontal="center" vertical="center"/>
    </xf>
    <xf numFmtId="0" fontId="9" fillId="49" borderId="30" xfId="0" applyFont="1" applyFill="1" applyBorder="1"/>
    <xf numFmtId="0" fontId="26" fillId="56" borderId="30" xfId="0" applyFont="1" applyFill="1" applyBorder="1" applyAlignment="1">
      <alignment horizontal="center"/>
    </xf>
    <xf numFmtId="0" fontId="40" fillId="34" borderId="30" xfId="0" applyFont="1" applyFill="1" applyBorder="1" applyAlignment="1">
      <alignment horizontal="left" wrapText="1"/>
    </xf>
    <xf numFmtId="0" fontId="5" fillId="25" borderId="30" xfId="0" applyFont="1" applyFill="1" applyBorder="1" applyAlignment="1">
      <alignment horizontal="center" vertical="center" wrapText="1"/>
    </xf>
    <xf numFmtId="0" fontId="55" fillId="2" borderId="46" xfId="0" applyFont="1" applyFill="1" applyBorder="1" applyAlignment="1">
      <alignment horizontal="left" vertical="center" wrapText="1"/>
    </xf>
    <xf numFmtId="0" fontId="5" fillId="34" borderId="30" xfId="0" applyFont="1" applyFill="1" applyBorder="1" applyAlignment="1">
      <alignment horizontal="left" wrapText="1"/>
    </xf>
    <xf numFmtId="0" fontId="69" fillId="56" borderId="30" xfId="0" applyFont="1" applyFill="1" applyBorder="1" applyAlignment="1">
      <alignment horizontal="right" vertical="center" wrapText="1"/>
    </xf>
    <xf numFmtId="0" fontId="69" fillId="56" borderId="30" xfId="0" applyFont="1" applyFill="1" applyBorder="1" applyAlignment="1">
      <alignment horizontal="center" vertical="center" wrapText="1"/>
    </xf>
    <xf numFmtId="0" fontId="9" fillId="0" borderId="30" xfId="0" applyFont="1" applyBorder="1" applyAlignment="1">
      <alignment horizontal="center"/>
    </xf>
    <xf numFmtId="0" fontId="9" fillId="34" borderId="30" xfId="0" applyFont="1" applyFill="1" applyBorder="1" applyAlignment="1">
      <alignment horizontal="center" vertical="center" wrapText="1"/>
    </xf>
    <xf numFmtId="0" fontId="40" fillId="34" borderId="30" xfId="0" applyFont="1" applyFill="1" applyBorder="1" applyAlignment="1">
      <alignment vertical="center"/>
    </xf>
    <xf numFmtId="0" fontId="5" fillId="47" borderId="30" xfId="0" applyFont="1" applyFill="1" applyBorder="1" applyAlignment="1">
      <alignment horizontal="center" vertical="center" wrapText="1"/>
    </xf>
    <xf numFmtId="0" fontId="5" fillId="60" borderId="30" xfId="0" applyFont="1" applyFill="1" applyBorder="1" applyAlignment="1">
      <alignment horizontal="center" vertical="center" wrapText="1"/>
    </xf>
    <xf numFmtId="0" fontId="5" fillId="48" borderId="30" xfId="0" applyFont="1" applyFill="1" applyBorder="1" applyAlignment="1">
      <alignment horizontal="left"/>
    </xf>
    <xf numFmtId="0" fontId="5" fillId="48" borderId="30" xfId="0" applyFont="1" applyFill="1" applyBorder="1" applyAlignment="1">
      <alignment horizontal="center" vertical="center"/>
    </xf>
    <xf numFmtId="0" fontId="5" fillId="61" borderId="30" xfId="0" applyFont="1" applyFill="1" applyBorder="1" applyAlignment="1">
      <alignment horizontal="center" vertical="center"/>
    </xf>
    <xf numFmtId="0" fontId="38" fillId="34" borderId="30" xfId="0" applyFont="1" applyFill="1" applyBorder="1" applyAlignment="1">
      <alignment horizontal="center"/>
    </xf>
    <xf numFmtId="0" fontId="75" fillId="62" borderId="1" xfId="0" applyFont="1" applyFill="1" applyBorder="1"/>
    <xf numFmtId="0" fontId="52" fillId="34" borderId="30" xfId="0" applyFont="1" applyFill="1" applyBorder="1" applyAlignment="1">
      <alignment horizontal="right"/>
    </xf>
    <xf numFmtId="0" fontId="10" fillId="2" borderId="30" xfId="0" applyFont="1" applyFill="1" applyBorder="1" applyAlignment="1">
      <alignment horizontal="left" vertical="center" wrapText="1"/>
    </xf>
    <xf numFmtId="0" fontId="10" fillId="0" borderId="30" xfId="0" applyFont="1" applyBorder="1" applyAlignment="1">
      <alignment horizontal="left" vertical="center" wrapText="1"/>
    </xf>
    <xf numFmtId="0" fontId="10" fillId="53" borderId="30" xfId="0" applyFont="1" applyFill="1" applyBorder="1" applyAlignment="1">
      <alignment horizontal="left" vertical="center" wrapText="1"/>
    </xf>
    <xf numFmtId="0" fontId="65" fillId="0" borderId="30" xfId="0" applyFont="1" applyBorder="1" applyAlignment="1">
      <alignment horizontal="center" vertical="center" wrapText="1"/>
    </xf>
    <xf numFmtId="0" fontId="65" fillId="2" borderId="30" xfId="0" applyFont="1" applyFill="1" applyBorder="1" applyAlignment="1">
      <alignment horizontal="left" vertical="center" wrapText="1"/>
    </xf>
    <xf numFmtId="0" fontId="26" fillId="54" borderId="30" xfId="0" applyFont="1" applyFill="1" applyBorder="1" applyAlignment="1">
      <alignment horizontal="right"/>
    </xf>
    <xf numFmtId="0" fontId="26" fillId="54" borderId="30" xfId="0" applyFont="1" applyFill="1" applyBorder="1" applyAlignment="1">
      <alignment horizontal="center"/>
    </xf>
    <xf numFmtId="0" fontId="66" fillId="55" borderId="30" xfId="0" applyFont="1" applyFill="1" applyBorder="1" applyAlignment="1">
      <alignment horizontal="right"/>
    </xf>
    <xf numFmtId="0" fontId="66" fillId="55" borderId="30" xfId="0" applyFont="1" applyFill="1" applyBorder="1" applyAlignment="1">
      <alignment horizontal="center"/>
    </xf>
    <xf numFmtId="0" fontId="69" fillId="56" borderId="43" xfId="0" applyFont="1" applyFill="1" applyBorder="1" applyAlignment="1">
      <alignment horizontal="center"/>
    </xf>
    <xf numFmtId="0" fontId="69" fillId="53" borderId="43" xfId="0" applyFont="1" applyFill="1" applyBorder="1" applyAlignment="1">
      <alignment horizontal="right"/>
    </xf>
    <xf numFmtId="0" fontId="69" fillId="53" borderId="43" xfId="0" applyFont="1" applyFill="1" applyBorder="1" applyAlignment="1">
      <alignment horizontal="center"/>
    </xf>
    <xf numFmtId="0" fontId="69" fillId="56" borderId="43" xfId="0" applyFont="1" applyFill="1" applyBorder="1" applyAlignment="1">
      <alignment horizontal="right"/>
    </xf>
    <xf numFmtId="0" fontId="65" fillId="2" borderId="30" xfId="0" applyFont="1" applyFill="1" applyBorder="1" applyAlignment="1">
      <alignment horizontal="center" vertical="center" wrapText="1"/>
    </xf>
    <xf numFmtId="0" fontId="10" fillId="34" borderId="30" xfId="0" applyFont="1" applyFill="1" applyBorder="1" applyAlignment="1">
      <alignment horizontal="right" vertical="center" wrapText="1"/>
    </xf>
    <xf numFmtId="0" fontId="48" fillId="2" borderId="30" xfId="0" applyFont="1" applyFill="1" applyBorder="1" applyAlignment="1">
      <alignment horizontal="left" vertical="center" wrapText="1"/>
    </xf>
    <xf numFmtId="0" fontId="48" fillId="16" borderId="30" xfId="0" applyFont="1" applyFill="1" applyBorder="1" applyAlignment="1">
      <alignment horizontal="left" vertical="center" wrapText="1"/>
    </xf>
    <xf numFmtId="0" fontId="48" fillId="53" borderId="30" xfId="0" applyFont="1" applyFill="1" applyBorder="1" applyAlignment="1">
      <alignment horizontal="left" vertical="center" wrapText="1"/>
    </xf>
    <xf numFmtId="0" fontId="48" fillId="0" borderId="30" xfId="0" applyFont="1" applyBorder="1" applyAlignment="1">
      <alignment horizontal="left" vertical="center" wrapText="1"/>
    </xf>
    <xf numFmtId="0" fontId="42" fillId="25" borderId="30" xfId="0" applyFont="1" applyFill="1" applyBorder="1" applyAlignment="1">
      <alignment horizontal="center" vertical="center" wrapText="1"/>
    </xf>
    <xf numFmtId="0" fontId="48" fillId="34" borderId="30" xfId="0" applyFont="1" applyFill="1" applyBorder="1" applyAlignment="1">
      <alignment horizontal="left" vertical="center" wrapText="1"/>
    </xf>
    <xf numFmtId="0" fontId="42" fillId="2" borderId="30" xfId="0" applyFont="1" applyFill="1" applyBorder="1" applyAlignment="1">
      <alignment horizontal="center" vertical="center" wrapText="1"/>
    </xf>
    <xf numFmtId="0" fontId="48" fillId="2" borderId="30" xfId="0" applyFont="1" applyFill="1" applyBorder="1" applyAlignment="1">
      <alignment horizontal="center" vertical="center" wrapText="1"/>
    </xf>
    <xf numFmtId="0" fontId="67" fillId="2" borderId="34" xfId="0" applyFont="1" applyFill="1" applyBorder="1" applyAlignment="1">
      <alignment horizontal="center" vertical="center" wrapText="1"/>
    </xf>
    <xf numFmtId="0" fontId="27" fillId="23" borderId="30" xfId="0" applyFont="1" applyFill="1" applyBorder="1" applyAlignment="1">
      <alignment horizontal="center" vertical="center" wrapText="1"/>
    </xf>
    <xf numFmtId="0" fontId="6" fillId="2" borderId="30" xfId="0" applyFont="1" applyFill="1" applyBorder="1" applyAlignment="1">
      <alignment vertical="center" wrapText="1"/>
    </xf>
    <xf numFmtId="0" fontId="63" fillId="23" borderId="30" xfId="0" applyFont="1" applyFill="1" applyBorder="1" applyAlignment="1">
      <alignment vertical="center" wrapText="1"/>
    </xf>
    <xf numFmtId="0" fontId="67" fillId="23" borderId="30" xfId="0" applyFont="1" applyFill="1" applyBorder="1" applyAlignment="1">
      <alignment horizontal="center" vertical="center" wrapText="1"/>
    </xf>
    <xf numFmtId="0" fontId="27" fillId="16" borderId="30" xfId="0" applyFont="1" applyFill="1" applyBorder="1" applyAlignment="1">
      <alignment horizontal="center" vertical="center" wrapText="1"/>
    </xf>
    <xf numFmtId="0" fontId="67" fillId="37" borderId="30" xfId="0" applyFont="1" applyFill="1" applyBorder="1" applyAlignment="1">
      <alignment horizontal="center" vertical="center" wrapText="1"/>
    </xf>
    <xf numFmtId="0" fontId="63" fillId="16" borderId="30" xfId="0" applyFont="1" applyFill="1" applyBorder="1" applyAlignment="1">
      <alignment vertical="center" wrapText="1"/>
    </xf>
    <xf numFmtId="0" fontId="10" fillId="53" borderId="30" xfId="0" applyFont="1" applyFill="1" applyBorder="1" applyAlignment="1">
      <alignment vertical="center" wrapText="1"/>
    </xf>
    <xf numFmtId="0" fontId="32" fillId="2" borderId="30" xfId="0" applyFont="1" applyFill="1" applyBorder="1" applyAlignment="1">
      <alignment vertical="center" wrapText="1"/>
    </xf>
    <xf numFmtId="0" fontId="64" fillId="23" borderId="30" xfId="0" applyFont="1" applyFill="1" applyBorder="1" applyAlignment="1">
      <alignment vertical="center" wrapText="1"/>
    </xf>
    <xf numFmtId="0" fontId="63" fillId="25" borderId="30" xfId="0" applyFont="1" applyFill="1" applyBorder="1" applyAlignment="1">
      <alignment vertical="center" wrapText="1"/>
    </xf>
    <xf numFmtId="0" fontId="10" fillId="34" borderId="30" xfId="0" applyFont="1" applyFill="1" applyBorder="1" applyAlignment="1">
      <alignment horizontal="left" vertical="center" wrapText="1"/>
    </xf>
    <xf numFmtId="0" fontId="10" fillId="25" borderId="30" xfId="0" applyFont="1" applyFill="1" applyBorder="1" applyAlignment="1">
      <alignment horizontal="left" vertical="center" wrapText="1"/>
    </xf>
    <xf numFmtId="0" fontId="42" fillId="25" borderId="30" xfId="0" applyFont="1" applyFill="1" applyBorder="1" applyAlignment="1">
      <alignment horizontal="left" vertical="center" wrapText="1"/>
    </xf>
    <xf numFmtId="0" fontId="10" fillId="0" borderId="30" xfId="0" applyFont="1" applyBorder="1" applyAlignment="1">
      <alignment horizontal="center" vertical="center" wrapText="1"/>
    </xf>
    <xf numFmtId="0" fontId="10" fillId="16" borderId="30" xfId="0" applyFont="1" applyFill="1" applyBorder="1" applyAlignment="1">
      <alignment horizontal="left" vertical="center" wrapText="1"/>
    </xf>
    <xf numFmtId="0" fontId="42" fillId="16" borderId="30" xfId="0" applyFont="1" applyFill="1" applyBorder="1" applyAlignment="1">
      <alignment horizontal="left" vertical="center" wrapText="1"/>
    </xf>
    <xf numFmtId="0" fontId="40" fillId="23" borderId="30" xfId="0" applyFont="1" applyFill="1" applyBorder="1" applyAlignment="1">
      <alignment horizontal="center" vertical="center" wrapText="1"/>
    </xf>
    <xf numFmtId="0" fontId="9" fillId="16" borderId="30" xfId="0" applyFont="1" applyFill="1" applyBorder="1" applyAlignment="1">
      <alignment horizontal="center" vertical="center" wrapText="1"/>
    </xf>
    <xf numFmtId="0" fontId="10" fillId="37" borderId="30" xfId="0" applyFont="1" applyFill="1" applyBorder="1" applyAlignment="1">
      <alignment vertical="center" wrapText="1"/>
    </xf>
    <xf numFmtId="0" fontId="10" fillId="37" borderId="30" xfId="0" applyFont="1" applyFill="1" applyBorder="1" applyAlignment="1">
      <alignment vertical="top"/>
    </xf>
    <xf numFmtId="0" fontId="55" fillId="11" borderId="1" xfId="0" applyFont="1" applyFill="1" applyBorder="1" applyAlignment="1">
      <alignment horizontal="center" vertical="center"/>
    </xf>
    <xf numFmtId="0" fontId="62" fillId="2" borderId="34" xfId="0" applyFont="1" applyFill="1" applyBorder="1" applyAlignment="1">
      <alignment horizontal="center" vertical="center" wrapText="1"/>
    </xf>
    <xf numFmtId="0" fontId="9" fillId="23" borderId="30" xfId="0" applyFont="1" applyFill="1" applyBorder="1" applyAlignment="1">
      <alignment horizontal="center" vertical="center" wrapText="1"/>
    </xf>
    <xf numFmtId="0" fontId="40" fillId="37" borderId="30" xfId="0" applyFont="1" applyFill="1" applyBorder="1" applyAlignment="1">
      <alignment horizontal="center" vertical="center" wrapText="1"/>
    </xf>
    <xf numFmtId="0" fontId="60" fillId="53" borderId="30" xfId="0" applyFont="1" applyFill="1" applyBorder="1" applyAlignment="1">
      <alignment horizontal="left" vertical="center"/>
    </xf>
    <xf numFmtId="0" fontId="61" fillId="53" borderId="30" xfId="0" applyFont="1" applyFill="1" applyBorder="1" applyAlignment="1">
      <alignment horizontal="center" vertical="center"/>
    </xf>
    <xf numFmtId="0" fontId="38" fillId="37" borderId="30" xfId="0" applyFont="1" applyFill="1" applyBorder="1" applyAlignment="1">
      <alignment horizontal="center" vertical="center"/>
    </xf>
    <xf numFmtId="0" fontId="6" fillId="23" borderId="30" xfId="0" applyFont="1" applyFill="1" applyBorder="1" applyAlignment="1">
      <alignment vertical="center" wrapText="1"/>
    </xf>
    <xf numFmtId="0" fontId="32" fillId="23" borderId="30" xfId="0" applyFont="1" applyFill="1" applyBorder="1" applyAlignment="1">
      <alignment vertical="center" wrapText="1"/>
    </xf>
    <xf numFmtId="0" fontId="6" fillId="16" borderId="30" xfId="0" applyFont="1" applyFill="1" applyBorder="1" applyAlignment="1">
      <alignment vertical="center" wrapText="1"/>
    </xf>
    <xf numFmtId="0" fontId="26" fillId="32" borderId="1" xfId="0" applyFont="1" applyFill="1" applyBorder="1" applyAlignment="1">
      <alignment horizontal="left" vertical="center"/>
    </xf>
    <xf numFmtId="0" fontId="38" fillId="14" borderId="1" xfId="0" applyFont="1" applyFill="1" applyBorder="1" applyAlignment="1">
      <alignment horizontal="center" vertical="center"/>
    </xf>
    <xf numFmtId="0" fontId="50" fillId="52" borderId="30" xfId="0" applyFont="1" applyFill="1" applyBorder="1"/>
    <xf numFmtId="0" fontId="58" fillId="52" borderId="30" xfId="0" applyFont="1" applyFill="1" applyBorder="1" applyAlignment="1">
      <alignment horizontal="center" vertical="center"/>
    </xf>
    <xf numFmtId="0" fontId="29" fillId="37" borderId="30" xfId="0" applyFont="1" applyFill="1" applyBorder="1" applyAlignment="1">
      <alignment horizontal="center" vertical="center"/>
    </xf>
    <xf numFmtId="0" fontId="10" fillId="37" borderId="30" xfId="0" applyFont="1" applyFill="1" applyBorder="1"/>
    <xf numFmtId="0" fontId="10" fillId="16" borderId="30" xfId="0" applyFont="1" applyFill="1" applyBorder="1" applyAlignment="1">
      <alignment vertical="top"/>
    </xf>
    <xf numFmtId="0" fontId="38" fillId="16" borderId="30" xfId="0" applyFont="1" applyFill="1" applyBorder="1" applyAlignment="1">
      <alignment horizontal="center" vertical="center"/>
    </xf>
    <xf numFmtId="0" fontId="59" fillId="37" borderId="30" xfId="0" applyFont="1" applyFill="1" applyBorder="1" applyAlignment="1">
      <alignment vertical="top"/>
    </xf>
    <xf numFmtId="0" fontId="57" fillId="53" borderId="30" xfId="0" applyFont="1" applyFill="1" applyBorder="1" applyAlignment="1">
      <alignment horizontal="left" vertical="center"/>
    </xf>
    <xf numFmtId="0" fontId="55" fillId="53" borderId="30" xfId="0" applyFont="1" applyFill="1" applyBorder="1" applyAlignment="1">
      <alignment horizontal="center" vertical="center"/>
    </xf>
    <xf numFmtId="0" fontId="9" fillId="0" borderId="41" xfId="0" applyFont="1" applyBorder="1"/>
    <xf numFmtId="0" fontId="9" fillId="34" borderId="34" xfId="0" applyFont="1" applyFill="1" applyBorder="1" applyAlignment="1">
      <alignment vertical="center"/>
    </xf>
    <xf numFmtId="0" fontId="27" fillId="34" borderId="30" xfId="0" applyFont="1" applyFill="1" applyBorder="1" applyAlignment="1">
      <alignment vertical="center"/>
    </xf>
    <xf numFmtId="0" fontId="35" fillId="33" borderId="30" xfId="0" applyFont="1" applyFill="1" applyBorder="1" applyAlignment="1">
      <alignment vertical="center" wrapText="1"/>
    </xf>
    <xf numFmtId="0" fontId="9" fillId="0" borderId="41" xfId="0" applyFont="1" applyBorder="1" applyAlignment="1">
      <alignment horizontal="left" vertical="top"/>
    </xf>
    <xf numFmtId="49" fontId="9" fillId="0" borderId="41" xfId="0" applyNumberFormat="1" applyFont="1" applyBorder="1" applyAlignment="1">
      <alignment horizontal="left"/>
    </xf>
    <xf numFmtId="0" fontId="21" fillId="0" borderId="30" xfId="0" applyFont="1" applyBorder="1" applyAlignment="1">
      <alignment horizontal="center"/>
    </xf>
    <xf numFmtId="0" fontId="5" fillId="34" borderId="30" xfId="0" applyFont="1" applyFill="1" applyBorder="1" applyAlignment="1">
      <alignment horizontal="center"/>
    </xf>
    <xf numFmtId="0" fontId="5" fillId="34" borderId="30" xfId="0" applyFont="1" applyFill="1" applyBorder="1" applyAlignment="1">
      <alignment horizontal="center" vertical="center"/>
    </xf>
    <xf numFmtId="14" fontId="9" fillId="23" borderId="30" xfId="0" applyNumberFormat="1" applyFont="1" applyFill="1" applyBorder="1" applyAlignment="1">
      <alignment horizontal="right" vertical="center"/>
    </xf>
    <xf numFmtId="14" fontId="9" fillId="23" borderId="30" xfId="0" applyNumberFormat="1" applyFont="1" applyFill="1" applyBorder="1"/>
    <xf numFmtId="14" fontId="9" fillId="0" borderId="30" xfId="0" applyNumberFormat="1" applyFont="1" applyBorder="1"/>
    <xf numFmtId="49" fontId="9" fillId="23" borderId="30" xfId="0" applyNumberFormat="1" applyFont="1" applyFill="1" applyBorder="1" applyAlignment="1">
      <alignment horizontal="right" vertical="center"/>
    </xf>
    <xf numFmtId="49" fontId="9" fillId="23" borderId="30" xfId="0" applyNumberFormat="1" applyFont="1" applyFill="1" applyBorder="1" applyAlignment="1">
      <alignment horizontal="right"/>
    </xf>
    <xf numFmtId="0" fontId="78" fillId="26" borderId="30" xfId="0" applyFont="1" applyFill="1" applyBorder="1" applyAlignment="1">
      <alignment horizontal="center" vertical="center"/>
    </xf>
    <xf numFmtId="0" fontId="78" fillId="63" borderId="48" xfId="0" applyFont="1" applyFill="1" applyBorder="1" applyAlignment="1">
      <alignment vertical="center" wrapText="1"/>
    </xf>
    <xf numFmtId="0" fontId="55" fillId="63" borderId="1" xfId="0" applyFont="1" applyFill="1" applyBorder="1" applyAlignment="1">
      <alignment horizontal="center" vertical="center"/>
    </xf>
    <xf numFmtId="0" fontId="54" fillId="55" borderId="30" xfId="0" applyFont="1" applyFill="1" applyBorder="1" applyAlignment="1">
      <alignment horizontal="center" vertical="center" wrapText="1"/>
    </xf>
    <xf numFmtId="0" fontId="22" fillId="55" borderId="46" xfId="0" applyFont="1" applyFill="1" applyBorder="1" applyAlignment="1">
      <alignment vertical="center" wrapText="1"/>
    </xf>
    <xf numFmtId="0" fontId="39" fillId="26" borderId="48" xfId="0" applyFont="1" applyFill="1" applyBorder="1" applyAlignment="1">
      <alignment vertical="center" wrapText="1"/>
    </xf>
    <xf numFmtId="0" fontId="66" fillId="55" borderId="30" xfId="0" applyFont="1" applyFill="1" applyBorder="1" applyAlignment="1">
      <alignment horizontal="right" vertical="top"/>
    </xf>
    <xf numFmtId="0" fontId="26" fillId="55" borderId="43" xfId="0" applyFont="1" applyFill="1" applyBorder="1"/>
    <xf numFmtId="0" fontId="66" fillId="63" borderId="56" xfId="0" applyFont="1" applyFill="1" applyBorder="1"/>
    <xf numFmtId="0" fontId="26" fillId="63" borderId="56" xfId="0" applyFont="1" applyFill="1" applyBorder="1"/>
    <xf numFmtId="0" fontId="62" fillId="55" borderId="1" xfId="0" applyFont="1" applyFill="1" applyBorder="1" applyAlignment="1">
      <alignment horizontal="center" vertical="center"/>
    </xf>
    <xf numFmtId="0" fontId="22" fillId="55" borderId="30" xfId="0" applyFont="1" applyFill="1" applyBorder="1" applyAlignment="1">
      <alignment horizontal="center" vertical="center"/>
    </xf>
    <xf numFmtId="0" fontId="79" fillId="55" borderId="30" xfId="0" applyFont="1" applyFill="1" applyBorder="1" applyAlignment="1">
      <alignment horizontal="center" vertical="center"/>
    </xf>
    <xf numFmtId="0" fontId="10" fillId="12" borderId="30" xfId="0" applyFont="1" applyFill="1" applyBorder="1" applyAlignment="1">
      <alignment horizontal="right"/>
    </xf>
    <xf numFmtId="0" fontId="57" fillId="54" borderId="48" xfId="0" applyFont="1" applyFill="1" applyBorder="1"/>
    <xf numFmtId="0" fontId="21" fillId="12" borderId="48" xfId="0" applyFont="1" applyFill="1" applyBorder="1" applyAlignment="1">
      <alignment vertical="center" wrapText="1"/>
    </xf>
    <xf numFmtId="0" fontId="9" fillId="34" borderId="30" xfId="0" applyFont="1" applyFill="1" applyBorder="1" applyAlignment="1">
      <alignment horizontal="center"/>
    </xf>
    <xf numFmtId="0" fontId="10" fillId="12" borderId="30" xfId="0" applyFont="1" applyFill="1" applyBorder="1" applyAlignment="1">
      <alignment horizontal="center" vertical="center" wrapText="1"/>
    </xf>
    <xf numFmtId="0" fontId="10" fillId="12" borderId="30" xfId="0" applyFont="1" applyFill="1" applyBorder="1" applyAlignment="1">
      <alignment vertical="center" wrapText="1"/>
    </xf>
    <xf numFmtId="0" fontId="76" fillId="12" borderId="30" xfId="0" applyFont="1" applyFill="1" applyBorder="1" applyAlignment="1">
      <alignment vertical="center"/>
    </xf>
    <xf numFmtId="0" fontId="5" fillId="12" borderId="30" xfId="0" applyFont="1" applyFill="1" applyBorder="1" applyAlignment="1">
      <alignment horizontal="center"/>
    </xf>
    <xf numFmtId="0" fontId="5" fillId="12" borderId="30" xfId="0" applyFont="1" applyFill="1" applyBorder="1" applyAlignment="1">
      <alignment horizontal="center" vertical="center"/>
    </xf>
    <xf numFmtId="0" fontId="9" fillId="12" borderId="30" xfId="0" applyFont="1" applyFill="1" applyBorder="1" applyAlignment="1">
      <alignment horizontal="center"/>
    </xf>
    <xf numFmtId="0" fontId="77" fillId="63" borderId="1" xfId="0" applyFont="1" applyFill="1" applyBorder="1"/>
    <xf numFmtId="0" fontId="9" fillId="37" borderId="30" xfId="0" applyFont="1" applyFill="1" applyBorder="1" applyAlignment="1">
      <alignment horizontal="center" vertical="center"/>
    </xf>
    <xf numFmtId="0" fontId="9" fillId="47" borderId="30" xfId="0" applyFont="1" applyFill="1" applyBorder="1" applyAlignment="1">
      <alignment horizontal="center" vertical="center"/>
    </xf>
    <xf numFmtId="0" fontId="4" fillId="0" borderId="90" xfId="0" applyFont="1" applyBorder="1"/>
    <xf numFmtId="0" fontId="9" fillId="13" borderId="30" xfId="0" applyFont="1" applyFill="1" applyBorder="1" applyAlignment="1">
      <alignment horizontal="center" vertical="center"/>
    </xf>
    <xf numFmtId="0" fontId="9" fillId="28" borderId="30" xfId="0" applyFont="1" applyFill="1" applyBorder="1" applyAlignment="1">
      <alignment horizontal="center" vertical="center"/>
    </xf>
    <xf numFmtId="0" fontId="32" fillId="23" borderId="30" xfId="0" applyFont="1" applyFill="1" applyBorder="1" applyAlignment="1">
      <alignment horizontal="center" vertical="center" wrapText="1"/>
    </xf>
    <xf numFmtId="0" fontId="9" fillId="47" borderId="30" xfId="0" applyFont="1" applyFill="1" applyBorder="1"/>
    <xf numFmtId="0" fontId="9" fillId="13" borderId="30" xfId="0" applyFont="1" applyFill="1" applyBorder="1" applyAlignment="1">
      <alignment horizontal="center"/>
    </xf>
    <xf numFmtId="0" fontId="30" fillId="28" borderId="30" xfId="0" applyFont="1" applyFill="1" applyBorder="1" applyAlignment="1">
      <alignment horizontal="center" vertical="center"/>
    </xf>
    <xf numFmtId="14" fontId="9" fillId="23" borderId="30" xfId="0" applyNumberFormat="1" applyFont="1" applyFill="1" applyBorder="1" applyAlignment="1">
      <alignment horizontal="right"/>
    </xf>
    <xf numFmtId="0" fontId="5" fillId="47" borderId="30" xfId="0" applyFont="1" applyFill="1" applyBorder="1"/>
    <xf numFmtId="0" fontId="5" fillId="34" borderId="30" xfId="0" applyFont="1" applyFill="1" applyBorder="1" applyAlignment="1">
      <alignment horizontal="right" vertical="top"/>
    </xf>
    <xf numFmtId="0" fontId="5" fillId="52" borderId="30" xfId="0" applyFont="1" applyFill="1" applyBorder="1" applyAlignment="1">
      <alignment horizontal="center"/>
    </xf>
    <xf numFmtId="0" fontId="5" fillId="26" borderId="30" xfId="0" applyFont="1" applyFill="1" applyBorder="1" applyAlignment="1">
      <alignment horizontal="center"/>
    </xf>
    <xf numFmtId="0" fontId="5" fillId="34" borderId="30" xfId="0" applyFont="1" applyFill="1" applyBorder="1"/>
    <xf numFmtId="0" fontId="5" fillId="64" borderId="30" xfId="0" applyFont="1" applyFill="1" applyBorder="1"/>
    <xf numFmtId="0" fontId="32" fillId="47" borderId="30" xfId="0" applyFont="1" applyFill="1" applyBorder="1" applyAlignment="1">
      <alignment horizontal="center" vertical="center" wrapText="1"/>
    </xf>
    <xf numFmtId="0" fontId="32" fillId="48" borderId="30" xfId="0" applyFont="1" applyFill="1" applyBorder="1" applyAlignment="1">
      <alignment horizontal="center" vertical="center" wrapText="1"/>
    </xf>
    <xf numFmtId="0" fontId="32" fillId="13" borderId="30" xfId="0" applyFont="1" applyFill="1" applyBorder="1" applyAlignment="1">
      <alignment horizontal="center" vertical="center" wrapText="1"/>
    </xf>
    <xf numFmtId="0" fontId="32" fillId="28" borderId="30" xfId="0" applyFont="1" applyFill="1" applyBorder="1" applyAlignment="1">
      <alignment horizontal="center" vertical="center" wrapText="1"/>
    </xf>
    <xf numFmtId="0" fontId="17" fillId="34" borderId="30" xfId="0" applyFont="1" applyFill="1" applyBorder="1" applyAlignment="1">
      <alignment horizontal="left" vertical="center"/>
    </xf>
    <xf numFmtId="0" fontId="10" fillId="34" borderId="30" xfId="0" applyFont="1" applyFill="1" applyBorder="1" applyAlignment="1">
      <alignment horizontal="center" vertical="center"/>
    </xf>
    <xf numFmtId="0" fontId="32" fillId="34" borderId="30" xfId="0" applyFont="1" applyFill="1" applyBorder="1" applyAlignment="1">
      <alignment horizontal="center" vertical="center"/>
    </xf>
    <xf numFmtId="0" fontId="24" fillId="34" borderId="30" xfId="0" applyFont="1" applyFill="1" applyBorder="1" applyAlignment="1">
      <alignment horizontal="center" vertical="center" wrapText="1"/>
    </xf>
    <xf numFmtId="0" fontId="32" fillId="37" borderId="30" xfId="0" applyFont="1" applyFill="1" applyBorder="1" applyAlignment="1">
      <alignment horizontal="center" vertical="center" wrapText="1"/>
    </xf>
    <xf numFmtId="0" fontId="5" fillId="12" borderId="30" xfId="0" applyFont="1" applyFill="1" applyBorder="1"/>
    <xf numFmtId="0" fontId="5" fillId="63" borderId="30" xfId="0" applyFont="1" applyFill="1" applyBorder="1"/>
    <xf numFmtId="0" fontId="9" fillId="23" borderId="43" xfId="0" applyFont="1" applyFill="1" applyBorder="1"/>
    <xf numFmtId="0" fontId="30" fillId="23" borderId="30" xfId="0" applyFont="1" applyFill="1" applyBorder="1" applyAlignment="1">
      <alignment horizontal="center" vertical="center"/>
    </xf>
    <xf numFmtId="0" fontId="66" fillId="2" borderId="91" xfId="0" applyFont="1" applyFill="1" applyBorder="1" applyAlignment="1">
      <alignment vertical="center" textRotation="90" wrapText="1"/>
    </xf>
    <xf numFmtId="0" fontId="4" fillId="0" borderId="92" xfId="0" applyFont="1" applyBorder="1"/>
    <xf numFmtId="0" fontId="4" fillId="0" borderId="94" xfId="0" applyFont="1" applyBorder="1"/>
    <xf numFmtId="0" fontId="9" fillId="23" borderId="43" xfId="0" applyFont="1" applyFill="1" applyBorder="1" applyAlignment="1">
      <alignment horizontal="center" vertical="center"/>
    </xf>
    <xf numFmtId="0" fontId="5" fillId="47" borderId="98" xfId="0" applyFont="1" applyFill="1" applyBorder="1" applyAlignment="1">
      <alignment horizontal="center"/>
    </xf>
    <xf numFmtId="0" fontId="4" fillId="0" borderId="96" xfId="0" applyFont="1" applyBorder="1"/>
    <xf numFmtId="0" fontId="4" fillId="0" borderId="99" xfId="0" applyFont="1" applyBorder="1"/>
    <xf numFmtId="0" fontId="10" fillId="34" borderId="95" xfId="0" applyFont="1" applyFill="1" applyBorder="1" applyAlignment="1">
      <alignment horizontal="right"/>
    </xf>
    <xf numFmtId="0" fontId="4" fillId="0" borderId="97" xfId="0" applyFont="1" applyBorder="1"/>
    <xf numFmtId="0" fontId="5" fillId="52" borderId="98" xfId="0" applyFont="1" applyFill="1" applyBorder="1" applyAlignment="1">
      <alignment horizontal="center"/>
    </xf>
    <xf numFmtId="0" fontId="5" fillId="26" borderId="98" xfId="0" applyFont="1" applyFill="1" applyBorder="1" applyAlignment="1">
      <alignment horizontal="center"/>
    </xf>
    <xf numFmtId="0" fontId="5" fillId="34" borderId="98" xfId="0" applyFont="1" applyFill="1" applyBorder="1" applyAlignment="1">
      <alignment horizontal="center" vertical="center"/>
    </xf>
    <xf numFmtId="0" fontId="5" fillId="26" borderId="98" xfId="0" applyFont="1" applyFill="1" applyBorder="1" applyAlignment="1">
      <alignment horizontal="center" vertical="center"/>
    </xf>
    <xf numFmtId="0" fontId="5" fillId="64" borderId="98" xfId="0" applyFont="1" applyFill="1" applyBorder="1" applyAlignment="1">
      <alignment horizontal="center" vertical="center"/>
    </xf>
    <xf numFmtId="0" fontId="57" fillId="2" borderId="1" xfId="0" applyFont="1" applyFill="1" applyBorder="1"/>
    <xf numFmtId="0" fontId="5" fillId="12" borderId="98" xfId="0" applyFont="1" applyFill="1" applyBorder="1" applyAlignment="1">
      <alignment horizontal="center" vertical="center"/>
    </xf>
    <xf numFmtId="0" fontId="5" fillId="63" borderId="98" xfId="0" applyFont="1" applyFill="1" applyBorder="1" applyAlignment="1">
      <alignment horizontal="center" vertical="center"/>
    </xf>
    <xf numFmtId="0" fontId="5" fillId="47" borderId="98" xfId="0" applyFont="1" applyFill="1" applyBorder="1" applyAlignment="1">
      <alignment horizontal="center" vertical="center"/>
    </xf>
    <xf numFmtId="0" fontId="9" fillId="23" borderId="93" xfId="0" applyFont="1" applyFill="1" applyBorder="1"/>
    <xf numFmtId="0" fontId="21" fillId="34" borderId="30" xfId="0" applyFont="1" applyFill="1" applyBorder="1" applyAlignment="1">
      <alignment horizontal="center"/>
    </xf>
    <xf numFmtId="0" fontId="5" fillId="26" borderId="30" xfId="0" applyFont="1" applyFill="1" applyBorder="1"/>
    <xf numFmtId="0" fontId="5" fillId="64" borderId="30" xfId="0" applyFont="1" applyFill="1" applyBorder="1" applyAlignment="1">
      <alignment horizontal="center" vertical="center"/>
    </xf>
    <xf numFmtId="0" fontId="76" fillId="34" borderId="86" xfId="0" applyFont="1" applyFill="1" applyBorder="1" applyAlignment="1">
      <alignment horizontal="left" vertical="center"/>
    </xf>
    <xf numFmtId="0" fontId="4" fillId="0" borderId="87" xfId="0" applyFont="1" applyBorder="1"/>
    <xf numFmtId="0" fontId="4" fillId="0" borderId="88" xfId="0" applyFont="1" applyBorder="1"/>
    <xf numFmtId="0" fontId="10" fillId="34" borderId="89" xfId="0" applyFont="1" applyFill="1" applyBorder="1" applyAlignment="1">
      <alignment horizontal="center" vertical="center"/>
    </xf>
    <xf numFmtId="0" fontId="5" fillId="63" borderId="30" xfId="0" applyFont="1" applyFill="1" applyBorder="1" applyAlignment="1">
      <alignment horizontal="center" vertical="center"/>
    </xf>
    <xf numFmtId="0" fontId="5" fillId="47" borderId="30" xfId="0" applyFont="1" applyFill="1" applyBorder="1" applyAlignment="1">
      <alignment horizontal="center"/>
    </xf>
    <xf numFmtId="0" fontId="9" fillId="48" borderId="30" xfId="0" applyFont="1" applyFill="1" applyBorder="1" applyAlignment="1">
      <alignment horizontal="center"/>
    </xf>
    <xf numFmtId="0" fontId="21" fillId="34" borderId="30" xfId="0" applyFont="1" applyFill="1" applyBorder="1" applyAlignment="1">
      <alignment horizontal="center" vertical="center"/>
    </xf>
    <xf numFmtId="0" fontId="9" fillId="23" borderId="30" xfId="0" applyFont="1" applyFill="1" applyBorder="1" applyAlignment="1">
      <alignment horizontal="center"/>
    </xf>
    <xf numFmtId="0" fontId="9" fillId="37" borderId="30" xfId="0" applyFont="1" applyFill="1" applyBorder="1" applyAlignment="1">
      <alignment horizontal="center"/>
    </xf>
    <xf numFmtId="0" fontId="9" fillId="34" borderId="30" xfId="0" applyFont="1" applyFill="1" applyBorder="1" applyAlignment="1">
      <alignment horizontal="center" vertical="top"/>
    </xf>
    <xf numFmtId="0" fontId="9" fillId="37" borderId="30" xfId="0" applyFont="1" applyFill="1" applyBorder="1"/>
    <xf numFmtId="0" fontId="9" fillId="65" borderId="30" xfId="0" applyFont="1" applyFill="1" applyBorder="1" applyAlignment="1">
      <alignment horizontal="center" vertical="center"/>
    </xf>
    <xf numFmtId="0" fontId="5" fillId="65" borderId="30" xfId="0" applyFont="1" applyFill="1" applyBorder="1" applyAlignment="1">
      <alignment horizontal="center" vertical="center"/>
    </xf>
    <xf numFmtId="0" fontId="21" fillId="34" borderId="30" xfId="0" applyFont="1" applyFill="1" applyBorder="1"/>
    <xf numFmtId="0" fontId="15" fillId="23" borderId="43" xfId="0" applyFont="1" applyFill="1" applyBorder="1" applyAlignment="1">
      <alignment vertical="center" wrapText="1"/>
    </xf>
    <xf numFmtId="0" fontId="15" fillId="23" borderId="46" xfId="0" applyFont="1" applyFill="1" applyBorder="1" applyAlignment="1">
      <alignment vertical="center" wrapText="1"/>
    </xf>
    <xf numFmtId="0" fontId="9" fillId="12" borderId="30" xfId="0" applyFont="1" applyFill="1" applyBorder="1" applyAlignment="1">
      <alignment horizontal="center" vertical="center"/>
    </xf>
    <xf numFmtId="0" fontId="6" fillId="28" borderId="30" xfId="0" applyFont="1" applyFill="1" applyBorder="1" applyAlignment="1">
      <alignment vertical="center" wrapText="1"/>
    </xf>
    <xf numFmtId="0" fontId="9" fillId="12" borderId="30" xfId="0" applyFont="1" applyFill="1" applyBorder="1"/>
    <xf numFmtId="0" fontId="15" fillId="23" borderId="30" xfId="0" applyFont="1" applyFill="1" applyBorder="1" applyAlignment="1">
      <alignment vertical="center" wrapText="1"/>
    </xf>
    <xf numFmtId="0" fontId="15" fillId="12" borderId="30" xfId="0" applyFont="1" applyFill="1" applyBorder="1" applyAlignment="1">
      <alignment vertical="center" wrapText="1"/>
    </xf>
    <xf numFmtId="0" fontId="15" fillId="28" borderId="30" xfId="0" applyFont="1" applyFill="1" applyBorder="1" applyAlignment="1">
      <alignment vertical="center" wrapText="1"/>
    </xf>
    <xf numFmtId="0" fontId="15" fillId="23" borderId="30" xfId="0" applyFont="1" applyFill="1" applyBorder="1"/>
    <xf numFmtId="0" fontId="79" fillId="54" borderId="30" xfId="0" applyFont="1" applyFill="1" applyBorder="1" applyAlignment="1">
      <alignment horizontal="right"/>
    </xf>
    <xf numFmtId="0" fontId="57" fillId="54" borderId="30" xfId="0" applyFont="1" applyFill="1" applyBorder="1" applyAlignment="1">
      <alignment horizontal="center"/>
    </xf>
    <xf numFmtId="0" fontId="9" fillId="2" borderId="30" xfId="0" applyFont="1" applyFill="1" applyBorder="1" applyAlignment="1">
      <alignment horizontal="center"/>
    </xf>
    <xf numFmtId="0" fontId="9" fillId="2" borderId="30" xfId="0" applyFont="1" applyFill="1" applyBorder="1"/>
    <xf numFmtId="0" fontId="22" fillId="2" borderId="61" xfId="0" applyFont="1" applyFill="1" applyBorder="1" applyAlignment="1">
      <alignment horizontal="center" vertical="center" wrapText="1"/>
    </xf>
    <xf numFmtId="0" fontId="15" fillId="0" borderId="30" xfId="0" applyFont="1" applyBorder="1" applyAlignment="1">
      <alignment horizontal="center" vertical="center" wrapText="1"/>
    </xf>
    <xf numFmtId="0" fontId="94" fillId="23" borderId="30" xfId="0" applyFont="1" applyFill="1" applyBorder="1"/>
    <xf numFmtId="0" fontId="10" fillId="25" borderId="30" xfId="0" applyFont="1" applyFill="1" applyBorder="1" applyAlignment="1">
      <alignment horizontal="center"/>
    </xf>
    <xf numFmtId="0" fontId="94" fillId="70" borderId="30" xfId="0" applyFont="1" applyFill="1" applyBorder="1"/>
    <xf numFmtId="0" fontId="42" fillId="34" borderId="23" xfId="0" applyFont="1" applyFill="1" applyBorder="1" applyAlignment="1">
      <alignment horizontal="center" vertical="center"/>
    </xf>
    <xf numFmtId="0" fontId="94" fillId="23" borderId="30" xfId="0" applyFont="1" applyFill="1" applyBorder="1" applyAlignment="1">
      <alignment horizontal="left" vertical="center"/>
    </xf>
    <xf numFmtId="0" fontId="76" fillId="25" borderId="34" xfId="0" applyFont="1" applyFill="1" applyBorder="1" applyAlignment="1">
      <alignment horizontal="center" vertical="center"/>
    </xf>
    <xf numFmtId="0" fontId="22" fillId="24" borderId="48" xfId="0" applyFont="1" applyFill="1" applyBorder="1" applyAlignment="1">
      <alignment horizontal="center" vertical="center"/>
    </xf>
    <xf numFmtId="0" fontId="10" fillId="31" borderId="61" xfId="0" applyFont="1" applyFill="1" applyBorder="1" applyAlignment="1">
      <alignment horizontal="center" vertical="center"/>
    </xf>
    <xf numFmtId="0" fontId="97" fillId="48" borderId="30" xfId="0" applyFont="1" applyFill="1" applyBorder="1" applyAlignment="1">
      <alignment horizontal="center"/>
    </xf>
    <xf numFmtId="0" fontId="15" fillId="0" borderId="31" xfId="0" applyFont="1" applyBorder="1" applyAlignment="1">
      <alignment horizontal="center" vertical="center" wrapText="1"/>
    </xf>
    <xf numFmtId="0" fontId="97" fillId="49" borderId="30" xfId="0" applyFont="1" applyFill="1" applyBorder="1" applyAlignment="1">
      <alignment horizontal="center"/>
    </xf>
    <xf numFmtId="0" fontId="22" fillId="24" borderId="30" xfId="0" applyFont="1" applyFill="1" applyBorder="1" applyAlignment="1">
      <alignment horizontal="center" vertical="center"/>
    </xf>
    <xf numFmtId="0" fontId="88" fillId="49" borderId="30" xfId="0" applyFont="1" applyFill="1" applyBorder="1" applyAlignment="1">
      <alignment horizontal="center"/>
    </xf>
    <xf numFmtId="0" fontId="10" fillId="25" borderId="30" xfId="0" applyFont="1" applyFill="1" applyBorder="1" applyAlignment="1">
      <alignment horizontal="center" vertical="center"/>
    </xf>
    <xf numFmtId="0" fontId="48" fillId="69" borderId="30" xfId="0" applyFont="1" applyFill="1" applyBorder="1" applyAlignment="1">
      <alignment horizontal="center" vertical="center"/>
    </xf>
    <xf numFmtId="0" fontId="98" fillId="2" borderId="1" xfId="0" applyFont="1" applyFill="1" applyBorder="1" applyAlignment="1">
      <alignment horizontal="left" vertical="center"/>
    </xf>
    <xf numFmtId="0" fontId="22" fillId="2" borderId="1" xfId="0" applyFont="1" applyFill="1" applyBorder="1" applyAlignment="1">
      <alignment horizontal="center" vertical="center"/>
    </xf>
    <xf numFmtId="0" fontId="48" fillId="69" borderId="48" xfId="0" applyFont="1" applyFill="1" applyBorder="1" applyAlignment="1">
      <alignment horizontal="center" vertical="center"/>
    </xf>
    <xf numFmtId="0" fontId="22" fillId="24" borderId="61" xfId="0" applyFont="1" applyFill="1" applyBorder="1" applyAlignment="1">
      <alignment horizontal="center" vertical="center"/>
    </xf>
    <xf numFmtId="0" fontId="9" fillId="23" borderId="1" xfId="0" applyFont="1" applyFill="1" applyBorder="1" applyAlignment="1">
      <alignment horizontal="center" vertical="center"/>
    </xf>
    <xf numFmtId="0" fontId="9" fillId="28" borderId="1" xfId="0" applyFont="1" applyFill="1" applyBorder="1" applyAlignment="1">
      <alignment horizontal="center"/>
    </xf>
    <xf numFmtId="0" fontId="9" fillId="0" borderId="0" xfId="0" applyFont="1"/>
    <xf numFmtId="0" fontId="11" fillId="71" borderId="30" xfId="0" applyFont="1" applyFill="1" applyBorder="1" applyAlignment="1">
      <alignment horizontal="center" vertical="center" wrapText="1"/>
    </xf>
    <xf numFmtId="0" fontId="11" fillId="72" borderId="30" xfId="0" applyFont="1" applyFill="1" applyBorder="1" applyAlignment="1">
      <alignment horizontal="center" vertical="center" wrapText="1"/>
    </xf>
    <xf numFmtId="0" fontId="4" fillId="0" borderId="106" xfId="0" applyFont="1" applyBorder="1"/>
    <xf numFmtId="0" fontId="11" fillId="17" borderId="30" xfId="0" applyFont="1" applyFill="1" applyBorder="1" applyAlignment="1">
      <alignment horizontal="center" vertical="center" wrapText="1"/>
    </xf>
    <xf numFmtId="0" fontId="22" fillId="11" borderId="30" xfId="0" applyFont="1" applyFill="1" applyBorder="1" applyAlignment="1">
      <alignment horizontal="center" vertical="center"/>
    </xf>
    <xf numFmtId="0" fontId="22" fillId="27" borderId="30" xfId="0" applyFont="1" applyFill="1" applyBorder="1" applyAlignment="1">
      <alignment horizontal="center" vertical="center"/>
    </xf>
    <xf numFmtId="0" fontId="30" fillId="71" borderId="30" xfId="0" applyFont="1" applyFill="1" applyBorder="1" applyAlignment="1">
      <alignment horizontal="center" vertical="center" wrapText="1"/>
    </xf>
    <xf numFmtId="0" fontId="88" fillId="23" borderId="30" xfId="0" applyFont="1" applyFill="1" applyBorder="1" applyAlignment="1">
      <alignment horizontal="center" vertical="center"/>
    </xf>
    <xf numFmtId="0" fontId="22" fillId="72" borderId="30" xfId="0" applyFont="1" applyFill="1" applyBorder="1" applyAlignment="1">
      <alignment horizontal="center" vertical="center" wrapText="1"/>
    </xf>
    <xf numFmtId="0" fontId="22" fillId="2" borderId="56" xfId="0" applyFont="1" applyFill="1" applyBorder="1" applyAlignment="1">
      <alignment horizontal="center" vertical="center"/>
    </xf>
    <xf numFmtId="0" fontId="88" fillId="23" borderId="30" xfId="0" applyFont="1" applyFill="1" applyBorder="1" applyAlignment="1">
      <alignment horizontal="center"/>
    </xf>
    <xf numFmtId="0" fontId="88" fillId="34" borderId="30" xfId="0" applyFont="1" applyFill="1" applyBorder="1" applyAlignment="1">
      <alignment horizontal="center"/>
    </xf>
    <xf numFmtId="0" fontId="57" fillId="54" borderId="56" xfId="0" applyFont="1" applyFill="1" applyBorder="1" applyAlignment="1">
      <alignment vertical="center" wrapText="1"/>
    </xf>
    <xf numFmtId="0" fontId="22" fillId="2" borderId="61" xfId="0" applyFont="1" applyFill="1" applyBorder="1" applyAlignment="1">
      <alignment horizontal="center" vertical="center"/>
    </xf>
    <xf numFmtId="0" fontId="22" fillId="17" borderId="30" xfId="0" applyFont="1" applyFill="1" applyBorder="1" applyAlignment="1">
      <alignment horizontal="center" vertical="center" wrapText="1"/>
    </xf>
    <xf numFmtId="0" fontId="15" fillId="15" borderId="30" xfId="0" applyFont="1" applyFill="1" applyBorder="1" applyAlignment="1">
      <alignment horizontal="left" vertical="center" wrapText="1"/>
    </xf>
    <xf numFmtId="0" fontId="88" fillId="15" borderId="30" xfId="0" applyFont="1" applyFill="1" applyBorder="1" applyAlignment="1">
      <alignment horizontal="center"/>
    </xf>
    <xf numFmtId="0" fontId="22" fillId="54" borderId="56" xfId="0" applyFont="1" applyFill="1" applyBorder="1" applyAlignment="1">
      <alignment horizontal="right"/>
    </xf>
    <xf numFmtId="0" fontId="57" fillId="54" borderId="56" xfId="0" applyFont="1" applyFill="1" applyBorder="1"/>
    <xf numFmtId="0" fontId="9" fillId="2" borderId="1" xfId="0" applyFont="1" applyFill="1" applyBorder="1"/>
    <xf numFmtId="0" fontId="15" fillId="16" borderId="30" xfId="0" applyFont="1" applyFill="1" applyBorder="1" applyAlignment="1">
      <alignment horizontal="left" vertical="center" wrapText="1"/>
    </xf>
    <xf numFmtId="0" fontId="88" fillId="16" borderId="30" xfId="0" applyFont="1" applyFill="1" applyBorder="1" applyAlignment="1">
      <alignment horizontal="center"/>
    </xf>
    <xf numFmtId="0" fontId="9" fillId="70" borderId="30" xfId="0" applyFont="1" applyFill="1" applyBorder="1" applyAlignment="1">
      <alignment horizontal="center" vertical="center"/>
    </xf>
    <xf numFmtId="0" fontId="15" fillId="68" borderId="30" xfId="0" applyFont="1" applyFill="1" applyBorder="1" applyAlignment="1">
      <alignment horizontal="center" vertical="center" wrapText="1"/>
    </xf>
    <xf numFmtId="0" fontId="22" fillId="17" borderId="1" xfId="0" applyFont="1" applyFill="1" applyBorder="1" applyAlignment="1">
      <alignment horizontal="center" vertical="center"/>
    </xf>
    <xf numFmtId="0" fontId="10" fillId="68" borderId="61" xfId="0" applyFont="1" applyFill="1" applyBorder="1" applyAlignment="1">
      <alignment horizontal="center" vertical="center"/>
    </xf>
    <xf numFmtId="0" fontId="32" fillId="67" borderId="30" xfId="0" applyFont="1" applyFill="1" applyBorder="1" applyAlignment="1">
      <alignment horizontal="center" vertical="center"/>
    </xf>
    <xf numFmtId="0" fontId="46" fillId="34" borderId="30" xfId="0" applyFont="1" applyFill="1" applyBorder="1" applyAlignment="1">
      <alignment horizontal="center" vertical="center"/>
    </xf>
    <xf numFmtId="0" fontId="15" fillId="13" borderId="30" xfId="0" applyFont="1" applyFill="1" applyBorder="1" applyAlignment="1">
      <alignment vertical="center" wrapText="1"/>
    </xf>
    <xf numFmtId="0" fontId="32" fillId="13" borderId="30" xfId="0" applyFont="1" applyFill="1" applyBorder="1" applyAlignment="1">
      <alignment horizontal="center" vertical="center"/>
    </xf>
    <xf numFmtId="0" fontId="15" fillId="26" borderId="30" xfId="0" applyFont="1" applyFill="1" applyBorder="1" applyAlignment="1">
      <alignment vertical="center" wrapText="1"/>
    </xf>
    <xf numFmtId="0" fontId="32" fillId="26" borderId="30" xfId="0" applyFont="1" applyFill="1" applyBorder="1" applyAlignment="1">
      <alignment horizontal="center" vertical="center"/>
    </xf>
    <xf numFmtId="0" fontId="57" fillId="2" borderId="30" xfId="0" applyFont="1" applyFill="1" applyBorder="1"/>
    <xf numFmtId="0" fontId="57" fillId="2" borderId="1" xfId="0" applyFont="1" applyFill="1" applyBorder="1" applyAlignment="1">
      <alignment horizontal="left"/>
    </xf>
    <xf numFmtId="0" fontId="92" fillId="23" borderId="30" xfId="0" applyFont="1" applyFill="1" applyBorder="1"/>
    <xf numFmtId="0" fontId="15" fillId="25" borderId="30" xfId="0" applyFont="1" applyFill="1" applyBorder="1"/>
    <xf numFmtId="0" fontId="15" fillId="13" borderId="30" xfId="0" applyFont="1" applyFill="1" applyBorder="1"/>
    <xf numFmtId="0" fontId="56" fillId="2" borderId="30" xfId="0" applyFont="1" applyFill="1" applyBorder="1" applyAlignment="1">
      <alignment horizontal="center" vertical="center"/>
    </xf>
    <xf numFmtId="0" fontId="10" fillId="23" borderId="1" xfId="0" applyFont="1" applyFill="1" applyBorder="1" applyAlignment="1">
      <alignment vertical="top"/>
    </xf>
    <xf numFmtId="0" fontId="32" fillId="23" borderId="30" xfId="0" applyFont="1" applyFill="1" applyBorder="1" applyAlignment="1">
      <alignment horizontal="center" vertical="center"/>
    </xf>
    <xf numFmtId="0" fontId="57" fillId="2" borderId="23" xfId="0" applyFont="1" applyFill="1" applyBorder="1"/>
    <xf numFmtId="0" fontId="32" fillId="25" borderId="30" xfId="0" applyFont="1" applyFill="1" applyBorder="1" applyAlignment="1">
      <alignment horizontal="center" vertical="center"/>
    </xf>
    <xf numFmtId="0" fontId="48" fillId="25" borderId="1" xfId="0" applyFont="1" applyFill="1" applyBorder="1"/>
    <xf numFmtId="0" fontId="59" fillId="23" borderId="1" xfId="0" applyFont="1" applyFill="1" applyBorder="1" applyAlignment="1">
      <alignment vertical="top"/>
    </xf>
    <xf numFmtId="0" fontId="10" fillId="25" borderId="1" xfId="0" applyFont="1" applyFill="1" applyBorder="1" applyAlignment="1">
      <alignment vertical="top"/>
    </xf>
    <xf numFmtId="0" fontId="9" fillId="23" borderId="1" xfId="0" applyFont="1" applyFill="1" applyBorder="1" applyAlignment="1">
      <alignment vertical="top"/>
    </xf>
    <xf numFmtId="0" fontId="9" fillId="25" borderId="1" xfId="0" applyFont="1" applyFill="1" applyBorder="1" applyAlignment="1">
      <alignment vertical="top"/>
    </xf>
    <xf numFmtId="0" fontId="27" fillId="0" borderId="30" xfId="0" applyFont="1" applyBorder="1" applyAlignment="1">
      <alignment vertical="center"/>
    </xf>
    <xf numFmtId="0" fontId="35" fillId="25" borderId="30" xfId="0" applyFont="1" applyFill="1" applyBorder="1" applyAlignment="1">
      <alignment vertical="center" wrapText="1"/>
    </xf>
    <xf numFmtId="0" fontId="10" fillId="0" borderId="0" xfId="0" applyFont="1" applyAlignment="1">
      <alignment horizontal="center" vertical="center"/>
    </xf>
    <xf numFmtId="0" fontId="81" fillId="32" borderId="11" xfId="0" applyFont="1" applyFill="1" applyBorder="1" applyAlignment="1">
      <alignment horizontal="left" vertical="center"/>
    </xf>
    <xf numFmtId="0" fontId="82" fillId="2" borderId="1" xfId="0" applyFont="1" applyFill="1" applyBorder="1" applyAlignment="1">
      <alignment vertical="top"/>
    </xf>
    <xf numFmtId="0" fontId="67" fillId="2" borderId="1" xfId="0" applyFont="1" applyFill="1" applyBorder="1" applyAlignment="1">
      <alignment horizontal="left" vertical="center"/>
    </xf>
    <xf numFmtId="0" fontId="83" fillId="0" borderId="0" xfId="0" applyFont="1" applyAlignment="1">
      <alignment horizontal="center" vertical="center" wrapText="1"/>
    </xf>
    <xf numFmtId="0" fontId="48" fillId="0" borderId="0" xfId="0" applyFont="1" applyAlignment="1">
      <alignment horizontal="center" vertical="center" wrapText="1"/>
    </xf>
    <xf numFmtId="0" fontId="48" fillId="25" borderId="30"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85" fillId="25" borderId="30" xfId="0" applyFont="1" applyFill="1" applyBorder="1" applyAlignment="1">
      <alignment horizontal="center" vertical="center" wrapText="1"/>
    </xf>
    <xf numFmtId="0" fontId="9" fillId="0" borderId="34" xfId="0" applyFont="1" applyBorder="1" applyAlignment="1">
      <alignment vertical="center"/>
    </xf>
    <xf numFmtId="0" fontId="57" fillId="55" borderId="56" xfId="0" applyFont="1" applyFill="1" applyBorder="1" applyAlignment="1">
      <alignment vertical="center" wrapText="1"/>
    </xf>
    <xf numFmtId="49" fontId="9" fillId="25" borderId="30" xfId="0" applyNumberFormat="1" applyFont="1" applyFill="1" applyBorder="1" applyAlignment="1">
      <alignment horizontal="left"/>
    </xf>
    <xf numFmtId="0" fontId="10" fillId="23" borderId="30" xfId="0" applyFont="1" applyFill="1" applyBorder="1" applyAlignment="1">
      <alignment horizontal="center" vertical="center"/>
    </xf>
    <xf numFmtId="0" fontId="86" fillId="0" borderId="41" xfId="0" applyFont="1" applyBorder="1" applyAlignment="1">
      <alignment horizontal="center" vertical="center" wrapText="1"/>
    </xf>
    <xf numFmtId="0" fontId="93" fillId="23" borderId="30" xfId="0" applyFont="1" applyFill="1" applyBorder="1" applyAlignment="1">
      <alignment horizontal="center" vertical="center"/>
    </xf>
    <xf numFmtId="0" fontId="22" fillId="2" borderId="48" xfId="0" applyFont="1" applyFill="1" applyBorder="1" applyAlignment="1">
      <alignment horizontal="center" vertical="center"/>
    </xf>
    <xf numFmtId="0" fontId="54" fillId="2" borderId="30"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4" fillId="0" borderId="101" xfId="0" applyFont="1" applyBorder="1"/>
    <xf numFmtId="0" fontId="4" fillId="0" borderId="102" xfId="0" applyFont="1" applyBorder="1"/>
    <xf numFmtId="0" fontId="54" fillId="17" borderId="30" xfId="0" applyFont="1" applyFill="1" applyBorder="1" applyAlignment="1">
      <alignment horizontal="center" vertical="center" wrapText="1"/>
    </xf>
    <xf numFmtId="0" fontId="54" fillId="71" borderId="30" xfId="0" applyFont="1" applyFill="1" applyBorder="1" applyAlignment="1">
      <alignment horizontal="center" vertical="center" wrapText="1"/>
    </xf>
    <xf numFmtId="0" fontId="54" fillId="27" borderId="30" xfId="0" applyFont="1" applyFill="1" applyBorder="1" applyAlignment="1">
      <alignment horizontal="center" vertical="center" wrapText="1"/>
    </xf>
    <xf numFmtId="0" fontId="22" fillId="20" borderId="30" xfId="0" applyFont="1" applyFill="1" applyBorder="1" applyAlignment="1">
      <alignment horizontal="center" vertical="center" wrapText="1"/>
    </xf>
    <xf numFmtId="0" fontId="22" fillId="52" borderId="30" xfId="0" applyFont="1" applyFill="1" applyBorder="1" applyAlignment="1">
      <alignment horizontal="center" vertical="center" wrapText="1"/>
    </xf>
    <xf numFmtId="0" fontId="22" fillId="63" borderId="30" xfId="0" applyFont="1" applyFill="1" applyBorder="1" applyAlignment="1">
      <alignment horizontal="center" vertical="center" wrapText="1"/>
    </xf>
    <xf numFmtId="0" fontId="22" fillId="51" borderId="30" xfId="0" applyFont="1" applyFill="1" applyBorder="1" applyAlignment="1">
      <alignment horizontal="center" vertical="center" wrapText="1"/>
    </xf>
  </cellXfs>
  <cellStyles count="1">
    <cellStyle name="Normal" xfId="0" builtinId="0"/>
  </cellStyles>
  <dxfs count="4911">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ont>
        <b val="0"/>
        <i val="0"/>
        <strike val="0"/>
        <condense val="0"/>
        <extend val="0"/>
        <outline val="0"/>
        <shadow val="0"/>
        <u val="none"/>
        <vertAlign val="baseline"/>
        <sz val="11"/>
        <color auto="1"/>
        <name val="Calibri"/>
        <scheme val="none"/>
      </font>
      <border diagonalUp="0" diagonalDown="0">
        <left/>
        <right/>
        <top style="thin">
          <color rgb="FF000000"/>
        </top>
        <bottom style="thin">
          <color rgb="FF000000"/>
        </bottom>
        <vertical/>
        <horizontal/>
      </border>
    </dxf>
    <dxf>
      <font>
        <b val="0"/>
        <i val="0"/>
        <strike val="0"/>
        <condense val="0"/>
        <extend val="0"/>
        <outline val="0"/>
        <shadow val="0"/>
        <u val="none"/>
        <vertAlign val="baseline"/>
        <sz val="11"/>
        <color auto="1"/>
        <name val="Calibri"/>
        <scheme val="none"/>
      </font>
      <border diagonalUp="0" diagonalDown="0">
        <left/>
        <right/>
        <top style="thin">
          <color rgb="FF000000"/>
        </top>
        <bottom style="thin">
          <color rgb="FF000000"/>
        </bottom>
        <vertical/>
        <horizontal/>
      </border>
    </dxf>
    <dxf>
      <font>
        <b val="0"/>
        <i val="0"/>
        <strike val="0"/>
        <condense val="0"/>
        <extend val="0"/>
        <outline val="0"/>
        <shadow val="0"/>
        <u val="none"/>
        <vertAlign val="baseline"/>
        <sz val="11"/>
        <color auto="1"/>
        <name val="Calibri"/>
        <scheme val="none"/>
      </font>
      <border diagonalUp="0" diagonalDown="0">
        <left/>
        <right/>
        <top style="thin">
          <color rgb="FF000000"/>
        </top>
        <bottom style="thin">
          <color rgb="FF000000"/>
        </bottom>
        <vertical/>
        <horizontal/>
      </border>
    </dxf>
    <dxf>
      <font>
        <b val="0"/>
        <i val="0"/>
        <strike val="0"/>
        <condense val="0"/>
        <extend val="0"/>
        <outline val="0"/>
        <shadow val="0"/>
        <u val="none"/>
        <vertAlign val="baseline"/>
        <sz val="9"/>
        <color rgb="FF974806"/>
        <name val="Calibri"/>
        <scheme val="none"/>
      </font>
      <fill>
        <patternFill patternType="solid">
          <fgColor rgb="FFB6DDE8"/>
          <bgColor rgb="FFB6DDE8"/>
        </patternFill>
      </fill>
      <alignment horizontal="general" vertical="center" textRotation="0" wrapText="0" indent="0" justifyLastLine="0" shrinkToFit="0" readingOrder="0"/>
      <border diagonalUp="0" diagonalDown="0">
        <left/>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none"/>
      </font>
    </dxf>
    <dxf>
      <border outline="0">
        <bottom style="thin">
          <color rgb="FF000000"/>
        </bottom>
      </border>
    </dxf>
    <dxf>
      <font>
        <b val="0"/>
        <i val="0"/>
        <strike val="0"/>
        <condense val="0"/>
        <extend val="0"/>
        <outline val="0"/>
        <shadow val="0"/>
        <u val="none"/>
        <vertAlign val="baseline"/>
        <sz val="11"/>
        <color auto="1"/>
        <name val="Calibri"/>
        <scheme val="none"/>
      </font>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CA6E28-036F-4943-9983-26AB5E328AC0}" name="Table1" displayName="Table1" ref="L98:O110" totalsRowShown="0" headerRowDxfId="14" dataDxfId="12" headerRowBorderDxfId="13" tableBorderDxfId="11" totalsRowBorderDxfId="10">
  <autoFilter ref="L98:O110" xr:uid="{3DCA6E28-036F-4943-9983-26AB5E328AC0}"/>
  <tableColumns count="4">
    <tableColumn id="1" xr3:uid="{A98F9BD8-7786-42B5-B4BD-F3B3AD063454}" name="Column1" dataDxfId="9"/>
    <tableColumn id="2" xr3:uid="{C3FE4C44-25CF-4183-A310-3607716B92E2}" name="Column2" dataDxfId="8"/>
    <tableColumn id="3" xr3:uid="{47E2EAF3-0141-476C-8146-8540E4A54C33}" name="Column3" dataDxfId="7"/>
    <tableColumn id="4" xr3:uid="{E7B8FBE3-1561-439B-BDC9-01ED726F95BF}" name="Column4" dataDxfId="6"/>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1000"/>
  <sheetViews>
    <sheetView workbookViewId="0">
      <selection activeCell="A27" sqref="A27:AL27"/>
    </sheetView>
  </sheetViews>
  <sheetFormatPr defaultColWidth="14.42578125" defaultRowHeight="15" customHeight="1"/>
  <cols>
    <col min="1" max="2" width="5.7109375" customWidth="1"/>
    <col min="3" max="3" width="12.28515625" customWidth="1"/>
    <col min="4" max="38" width="5.7109375" customWidth="1"/>
  </cols>
  <sheetData>
    <row r="1" spans="1:38" ht="45" customHeight="1">
      <c r="A1" s="427" t="s">
        <v>0</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428"/>
    </row>
    <row r="2" spans="1:38" ht="30" customHeight="1">
      <c r="A2" s="429" t="s">
        <v>1</v>
      </c>
      <c r="B2" s="430"/>
      <c r="C2" s="430"/>
      <c r="D2" s="430"/>
      <c r="E2" s="430"/>
      <c r="F2" s="430"/>
      <c r="G2" s="430"/>
      <c r="H2" s="430"/>
      <c r="I2" s="430"/>
      <c r="J2" s="430"/>
      <c r="K2" s="430"/>
      <c r="L2" s="430"/>
      <c r="M2" s="430"/>
      <c r="N2" s="430"/>
      <c r="O2" s="430"/>
      <c r="P2" s="430"/>
      <c r="Q2" s="430"/>
      <c r="R2" s="430"/>
      <c r="S2" s="430"/>
      <c r="T2" s="430"/>
      <c r="U2" s="430"/>
      <c r="V2" s="431"/>
    </row>
    <row r="3" spans="1:38">
      <c r="A3" s="426" t="s">
        <v>2</v>
      </c>
      <c r="B3" s="425"/>
      <c r="C3" s="426" t="s">
        <v>3</v>
      </c>
      <c r="D3" s="424"/>
      <c r="E3" s="425"/>
      <c r="F3" s="423" t="s">
        <v>4</v>
      </c>
      <c r="G3" s="425"/>
      <c r="H3" s="423" t="s">
        <v>5</v>
      </c>
      <c r="I3" s="424"/>
      <c r="J3" s="425"/>
      <c r="K3" s="426" t="s">
        <v>6</v>
      </c>
      <c r="L3" s="424"/>
      <c r="M3" s="424"/>
      <c r="N3" s="425"/>
      <c r="O3" s="426" t="s">
        <v>7</v>
      </c>
      <c r="P3" s="424"/>
      <c r="Q3" s="425"/>
      <c r="R3" s="1" t="s">
        <v>8</v>
      </c>
      <c r="S3" s="1"/>
      <c r="T3" s="423" t="s">
        <v>9</v>
      </c>
      <c r="U3" s="424"/>
      <c r="V3" s="425"/>
    </row>
    <row r="4" spans="1:38">
      <c r="A4" s="426" t="s">
        <v>10</v>
      </c>
      <c r="B4" s="425"/>
      <c r="C4" s="426" t="s">
        <v>11</v>
      </c>
      <c r="D4" s="424"/>
      <c r="E4" s="425"/>
      <c r="F4" s="423" t="s">
        <v>12</v>
      </c>
      <c r="G4" s="425"/>
      <c r="H4" s="423" t="s">
        <v>13</v>
      </c>
      <c r="I4" s="424"/>
      <c r="J4" s="425"/>
      <c r="K4" s="426" t="s">
        <v>14</v>
      </c>
      <c r="L4" s="424"/>
      <c r="M4" s="424"/>
      <c r="N4" s="425"/>
      <c r="O4" s="426" t="s">
        <v>15</v>
      </c>
      <c r="P4" s="424"/>
      <c r="Q4" s="425"/>
      <c r="R4" s="1" t="s">
        <v>16</v>
      </c>
      <c r="S4" s="1"/>
      <c r="T4" s="423" t="s">
        <v>17</v>
      </c>
      <c r="U4" s="424"/>
      <c r="V4" s="425"/>
    </row>
    <row r="5" spans="1:38">
      <c r="A5" s="426" t="s">
        <v>18</v>
      </c>
      <c r="B5" s="425"/>
      <c r="C5" s="426" t="s">
        <v>19</v>
      </c>
      <c r="D5" s="424"/>
      <c r="E5" s="425"/>
      <c r="F5" s="423" t="s">
        <v>20</v>
      </c>
      <c r="G5" s="425"/>
      <c r="H5" s="423" t="s">
        <v>21</v>
      </c>
      <c r="I5" s="424"/>
      <c r="J5" s="425"/>
      <c r="K5" s="426" t="s">
        <v>22</v>
      </c>
      <c r="L5" s="424"/>
      <c r="M5" s="424"/>
      <c r="N5" s="425"/>
      <c r="O5" s="426" t="s">
        <v>23</v>
      </c>
      <c r="P5" s="424"/>
      <c r="Q5" s="425"/>
      <c r="R5" s="1" t="s">
        <v>24</v>
      </c>
      <c r="S5" s="1"/>
      <c r="T5" s="423" t="s">
        <v>25</v>
      </c>
      <c r="U5" s="424"/>
      <c r="V5" s="425"/>
    </row>
    <row r="6" spans="1:38" ht="15.75" customHeight="1">
      <c r="A6" s="405" t="s">
        <v>26</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1"/>
    </row>
    <row r="7" spans="1:38" ht="15" customHeight="1">
      <c r="A7" s="392"/>
      <c r="B7" s="358"/>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93"/>
    </row>
    <row r="8" spans="1:38" ht="18.75" customHeight="1">
      <c r="A8" s="394"/>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395"/>
      <c r="AH8" s="395"/>
      <c r="AI8" s="395"/>
      <c r="AJ8" s="395"/>
      <c r="AK8" s="395"/>
      <c r="AL8" s="396"/>
    </row>
    <row r="9" spans="1:38" ht="18.75" customHeight="1">
      <c r="A9" s="406" t="s">
        <v>27</v>
      </c>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1"/>
    </row>
    <row r="10" spans="1:38" ht="18.75" customHeight="1">
      <c r="A10" s="392"/>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93"/>
    </row>
    <row r="11" spans="1:38">
      <c r="A11" s="394"/>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395"/>
      <c r="AI11" s="395"/>
      <c r="AJ11" s="395"/>
      <c r="AK11" s="395"/>
      <c r="AL11" s="396"/>
    </row>
    <row r="12" spans="1:38">
      <c r="A12" s="2" t="s">
        <v>28</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row>
    <row r="13" spans="1:38" ht="34.5" customHeight="1">
      <c r="A13" s="3">
        <v>3</v>
      </c>
      <c r="B13" s="407" t="s">
        <v>29</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9"/>
    </row>
    <row r="14" spans="1:38">
      <c r="A14" s="3">
        <v>4</v>
      </c>
      <c r="B14" s="410" t="s">
        <v>30</v>
      </c>
      <c r="C14" s="384"/>
      <c r="D14" s="384"/>
      <c r="E14" s="384"/>
      <c r="F14" s="384"/>
      <c r="G14" s="384"/>
      <c r="H14" s="385"/>
      <c r="I14" s="411" t="s">
        <v>31</v>
      </c>
      <c r="J14" s="361"/>
      <c r="K14" s="361"/>
      <c r="L14" s="361"/>
      <c r="M14" s="361"/>
      <c r="N14" s="361"/>
      <c r="O14" s="361"/>
      <c r="P14" s="361"/>
      <c r="Q14" s="361"/>
      <c r="R14" s="361"/>
      <c r="S14" s="361"/>
      <c r="T14" s="362"/>
      <c r="U14" s="4"/>
      <c r="V14" s="410" t="s">
        <v>32</v>
      </c>
      <c r="W14" s="384"/>
      <c r="X14" s="384"/>
      <c r="Y14" s="384"/>
      <c r="Z14" s="385"/>
      <c r="AA14" s="411" t="s">
        <v>33</v>
      </c>
      <c r="AB14" s="361"/>
      <c r="AC14" s="361"/>
      <c r="AD14" s="361"/>
      <c r="AE14" s="361"/>
      <c r="AF14" s="361"/>
      <c r="AG14" s="361"/>
      <c r="AH14" s="361"/>
      <c r="AI14" s="361"/>
      <c r="AJ14" s="361"/>
      <c r="AK14" s="361"/>
      <c r="AL14" s="362"/>
    </row>
    <row r="15" spans="1:38">
      <c r="A15" s="3">
        <v>5</v>
      </c>
      <c r="B15" s="415" t="s">
        <v>34</v>
      </c>
      <c r="C15" s="350"/>
      <c r="D15" s="350"/>
      <c r="E15" s="350"/>
      <c r="F15" s="350"/>
      <c r="G15" s="350"/>
      <c r="H15" s="351"/>
      <c r="I15" s="412" t="s">
        <v>35</v>
      </c>
      <c r="J15" s="350"/>
      <c r="K15" s="350"/>
      <c r="L15" s="350"/>
      <c r="M15" s="350"/>
      <c r="N15" s="350"/>
      <c r="O15" s="350"/>
      <c r="P15" s="350"/>
      <c r="Q15" s="350"/>
      <c r="R15" s="350"/>
      <c r="S15" s="350"/>
      <c r="T15" s="351"/>
      <c r="U15" s="5"/>
      <c r="V15" s="414" t="s">
        <v>36</v>
      </c>
      <c r="W15" s="350"/>
      <c r="X15" s="350"/>
      <c r="Y15" s="350"/>
      <c r="Z15" s="351"/>
      <c r="AA15" s="413" t="s">
        <v>37</v>
      </c>
      <c r="AB15" s="350"/>
      <c r="AC15" s="350"/>
      <c r="AD15" s="350"/>
      <c r="AE15" s="350"/>
      <c r="AF15" s="350"/>
      <c r="AG15" s="350"/>
      <c r="AH15" s="350"/>
      <c r="AI15" s="350"/>
      <c r="AJ15" s="350"/>
      <c r="AK15" s="350"/>
      <c r="AL15" s="351"/>
    </row>
    <row r="16" spans="1:38">
      <c r="A16" s="3">
        <v>6</v>
      </c>
      <c r="B16" s="419" t="s">
        <v>38</v>
      </c>
      <c r="C16" s="355"/>
      <c r="D16" s="355"/>
      <c r="E16" s="355"/>
      <c r="F16" s="355"/>
      <c r="G16" s="355"/>
      <c r="H16" s="356"/>
      <c r="I16" s="420" t="s">
        <v>39</v>
      </c>
      <c r="J16" s="355"/>
      <c r="K16" s="355"/>
      <c r="L16" s="355"/>
      <c r="M16" s="355"/>
      <c r="N16" s="355"/>
      <c r="O16" s="355"/>
      <c r="P16" s="355"/>
      <c r="Q16" s="355"/>
      <c r="R16" s="355"/>
      <c r="S16" s="355"/>
      <c r="T16" s="356"/>
      <c r="U16" s="5"/>
      <c r="V16" s="415" t="s">
        <v>40</v>
      </c>
      <c r="W16" s="350"/>
      <c r="X16" s="350"/>
      <c r="Y16" s="350"/>
      <c r="Z16" s="351"/>
      <c r="AA16" s="412" t="s">
        <v>41</v>
      </c>
      <c r="AB16" s="350"/>
      <c r="AC16" s="350"/>
      <c r="AD16" s="350"/>
      <c r="AE16" s="350"/>
      <c r="AF16" s="350"/>
      <c r="AG16" s="350"/>
      <c r="AH16" s="350"/>
      <c r="AI16" s="350"/>
      <c r="AJ16" s="350"/>
      <c r="AK16" s="350"/>
      <c r="AL16" s="351"/>
    </row>
    <row r="17" spans="1:38">
      <c r="A17" s="3">
        <v>7</v>
      </c>
      <c r="B17" s="360"/>
      <c r="C17" s="361"/>
      <c r="D17" s="361"/>
      <c r="E17" s="361"/>
      <c r="F17" s="361"/>
      <c r="G17" s="361"/>
      <c r="H17" s="362"/>
      <c r="I17" s="360"/>
      <c r="J17" s="361"/>
      <c r="K17" s="361"/>
      <c r="L17" s="361"/>
      <c r="M17" s="361"/>
      <c r="N17" s="361"/>
      <c r="O17" s="361"/>
      <c r="P17" s="361"/>
      <c r="Q17" s="361"/>
      <c r="R17" s="361"/>
      <c r="S17" s="361"/>
      <c r="T17" s="362"/>
      <c r="U17" s="5"/>
      <c r="V17" s="415" t="s">
        <v>42</v>
      </c>
      <c r="W17" s="350"/>
      <c r="X17" s="350"/>
      <c r="Y17" s="350"/>
      <c r="Z17" s="351"/>
      <c r="AA17" s="416" t="s">
        <v>43</v>
      </c>
      <c r="AB17" s="350"/>
      <c r="AC17" s="350"/>
      <c r="AD17" s="350"/>
      <c r="AE17" s="350"/>
      <c r="AF17" s="350"/>
      <c r="AG17" s="350"/>
      <c r="AH17" s="350"/>
      <c r="AI17" s="350"/>
      <c r="AJ17" s="350"/>
      <c r="AK17" s="350"/>
      <c r="AL17" s="351"/>
    </row>
    <row r="18" spans="1:38">
      <c r="A18" s="3">
        <v>8</v>
      </c>
      <c r="B18" s="421" t="s">
        <v>44</v>
      </c>
      <c r="C18" s="350"/>
      <c r="D18" s="350"/>
      <c r="E18" s="350"/>
      <c r="F18" s="350"/>
      <c r="G18" s="350"/>
      <c r="H18" s="351"/>
      <c r="I18" s="422" t="s">
        <v>45</v>
      </c>
      <c r="J18" s="350"/>
      <c r="K18" s="350"/>
      <c r="L18" s="350"/>
      <c r="M18" s="350"/>
      <c r="N18" s="350"/>
      <c r="O18" s="350"/>
      <c r="P18" s="351"/>
      <c r="Q18" s="422">
        <v>2018</v>
      </c>
      <c r="R18" s="350"/>
      <c r="S18" s="350"/>
      <c r="T18" s="351"/>
      <c r="U18" s="5"/>
      <c r="V18" s="417" t="s">
        <v>46</v>
      </c>
      <c r="W18" s="350"/>
      <c r="X18" s="350"/>
      <c r="Y18" s="350"/>
      <c r="Z18" s="351"/>
      <c r="AA18" s="418" t="s">
        <v>47</v>
      </c>
      <c r="AB18" s="350"/>
      <c r="AC18" s="350"/>
      <c r="AD18" s="350"/>
      <c r="AE18" s="350"/>
      <c r="AF18" s="350"/>
      <c r="AG18" s="350"/>
      <c r="AH18" s="350"/>
      <c r="AI18" s="350"/>
      <c r="AJ18" s="350"/>
      <c r="AK18" s="350"/>
      <c r="AL18" s="351"/>
    </row>
    <row r="19" spans="1:38" ht="18" customHeight="1">
      <c r="A19" s="401" t="s">
        <v>48</v>
      </c>
      <c r="B19" s="350"/>
      <c r="C19" s="351"/>
      <c r="D19" s="401" t="s">
        <v>49</v>
      </c>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1"/>
    </row>
    <row r="20" spans="1:38" ht="18" customHeight="1">
      <c r="A20" s="401" t="s">
        <v>50</v>
      </c>
      <c r="B20" s="350"/>
      <c r="C20" s="351"/>
      <c r="D20" s="401" t="s">
        <v>51</v>
      </c>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1"/>
    </row>
    <row r="21" spans="1:38" ht="30" customHeight="1">
      <c r="A21" s="402" t="s">
        <v>52</v>
      </c>
      <c r="B21" s="350"/>
      <c r="C21" s="351"/>
      <c r="D21" s="402" t="s">
        <v>53</v>
      </c>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1"/>
    </row>
    <row r="22" spans="1:38" ht="30" customHeight="1">
      <c r="A22" s="402" t="s">
        <v>54</v>
      </c>
      <c r="B22" s="350"/>
      <c r="C22" s="351"/>
      <c r="D22" s="403" t="s">
        <v>1079</v>
      </c>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1"/>
    </row>
    <row r="23" spans="1:38" ht="39.75" customHeight="1">
      <c r="A23" s="401" t="s">
        <v>55</v>
      </c>
      <c r="B23" s="350"/>
      <c r="C23" s="351"/>
      <c r="D23" s="401" t="s">
        <v>56</v>
      </c>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1"/>
    </row>
    <row r="24" spans="1:38" ht="15.75" customHeight="1">
      <c r="A24" s="404" t="s">
        <v>57</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99"/>
    </row>
    <row r="25" spans="1:38" ht="15.75" customHeight="1">
      <c r="A25" s="392"/>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93"/>
    </row>
    <row r="26" spans="1:38" ht="15.75" customHeight="1">
      <c r="A26" s="394"/>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6"/>
    </row>
    <row r="27" spans="1:38" ht="15.75" customHeight="1">
      <c r="A27" s="432" t="s">
        <v>58</v>
      </c>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428"/>
    </row>
    <row r="28" spans="1:38" ht="15.75" customHeight="1">
      <c r="A28" s="433" t="s">
        <v>59</v>
      </c>
      <c r="B28" s="381"/>
      <c r="C28" s="381"/>
      <c r="D28" s="381"/>
      <c r="E28" s="381"/>
      <c r="F28" s="381"/>
      <c r="G28" s="381"/>
      <c r="H28" s="381"/>
      <c r="I28" s="381"/>
      <c r="J28" s="381"/>
      <c r="K28" s="381"/>
      <c r="L28" s="381"/>
      <c r="M28" s="381"/>
      <c r="N28" s="381"/>
      <c r="O28" s="381"/>
      <c r="P28" s="381"/>
      <c r="Q28" s="381"/>
      <c r="R28" s="381"/>
      <c r="S28" s="381"/>
      <c r="T28" s="381"/>
      <c r="U28" s="381"/>
      <c r="V28" s="381"/>
      <c r="W28" s="381"/>
      <c r="X28" s="428"/>
      <c r="Y28" s="6"/>
      <c r="Z28" s="6"/>
      <c r="AA28" s="6"/>
      <c r="AB28" s="6"/>
      <c r="AC28" s="6"/>
      <c r="AD28" s="6"/>
      <c r="AE28" s="6"/>
      <c r="AF28" s="6"/>
      <c r="AG28" s="6"/>
      <c r="AH28" s="6"/>
      <c r="AI28" s="6"/>
      <c r="AJ28" s="6"/>
      <c r="AK28" s="6"/>
      <c r="AL28" s="7"/>
    </row>
    <row r="29" spans="1:38" ht="15.75" customHeight="1">
      <c r="A29" s="364" t="s">
        <v>48</v>
      </c>
      <c r="B29" s="350"/>
      <c r="C29" s="351"/>
      <c r="D29" s="364" t="s">
        <v>60</v>
      </c>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1"/>
    </row>
    <row r="30" spans="1:38" ht="15.75" customHeight="1">
      <c r="A30" s="364" t="s">
        <v>50</v>
      </c>
      <c r="B30" s="350"/>
      <c r="C30" s="351"/>
      <c r="D30" s="364" t="s">
        <v>61</v>
      </c>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1"/>
    </row>
    <row r="31" spans="1:38" ht="34.5" customHeight="1">
      <c r="A31" s="364" t="s">
        <v>62</v>
      </c>
      <c r="B31" s="350"/>
      <c r="C31" s="351"/>
      <c r="D31" s="364" t="s">
        <v>63</v>
      </c>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1"/>
    </row>
    <row r="32" spans="1:38" ht="31.5" customHeight="1">
      <c r="A32" s="364" t="s">
        <v>64</v>
      </c>
      <c r="B32" s="350"/>
      <c r="C32" s="351"/>
      <c r="D32" s="364" t="s">
        <v>65</v>
      </c>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1"/>
    </row>
    <row r="33" spans="1:38" ht="30" customHeight="1">
      <c r="A33" s="364" t="s">
        <v>66</v>
      </c>
      <c r="B33" s="350"/>
      <c r="C33" s="351"/>
      <c r="D33" s="364" t="s">
        <v>67</v>
      </c>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1"/>
    </row>
    <row r="34" spans="1:38" ht="15.75" customHeight="1">
      <c r="A34" s="364" t="s">
        <v>68</v>
      </c>
      <c r="B34" s="350"/>
      <c r="C34" s="351"/>
      <c r="D34" s="364" t="s">
        <v>69</v>
      </c>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1"/>
    </row>
    <row r="35" spans="1:38" ht="30" customHeight="1">
      <c r="A35" s="364" t="s">
        <v>70</v>
      </c>
      <c r="B35" s="350"/>
      <c r="C35" s="351"/>
      <c r="D35" s="364" t="s">
        <v>71</v>
      </c>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1"/>
    </row>
    <row r="36" spans="1:38" ht="15.75" customHeight="1">
      <c r="A36" s="364" t="s">
        <v>72</v>
      </c>
      <c r="B36" s="350"/>
      <c r="C36" s="351"/>
      <c r="D36" s="364" t="s">
        <v>73</v>
      </c>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1"/>
    </row>
    <row r="37" spans="1:38" ht="15.75" customHeight="1">
      <c r="A37" s="364" t="s">
        <v>74</v>
      </c>
      <c r="B37" s="350"/>
      <c r="C37" s="351"/>
      <c r="D37" s="397" t="s">
        <v>75</v>
      </c>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1"/>
    </row>
    <row r="38" spans="1:38" ht="15.75" customHeight="1">
      <c r="A38" s="364" t="s">
        <v>76</v>
      </c>
      <c r="B38" s="350"/>
      <c r="C38" s="351"/>
      <c r="D38" s="364" t="s">
        <v>77</v>
      </c>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1"/>
    </row>
    <row r="39" spans="1:38" ht="15.75" customHeight="1">
      <c r="A39" s="364" t="s">
        <v>78</v>
      </c>
      <c r="B39" s="350"/>
      <c r="C39" s="351"/>
      <c r="D39" s="364" t="s">
        <v>79</v>
      </c>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1"/>
    </row>
    <row r="40" spans="1:38" ht="15" customHeight="1">
      <c r="A40" s="398" t="s">
        <v>80</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99"/>
    </row>
    <row r="41" spans="1:38" ht="15" customHeight="1">
      <c r="A41" s="392"/>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93"/>
    </row>
    <row r="42" spans="1:38" ht="15" customHeight="1">
      <c r="A42" s="394"/>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6"/>
    </row>
    <row r="43" spans="1:38" ht="15" customHeight="1">
      <c r="A43" s="388" t="s">
        <v>48</v>
      </c>
      <c r="B43" s="350"/>
      <c r="C43" s="351"/>
      <c r="D43" s="388" t="s">
        <v>60</v>
      </c>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1"/>
    </row>
    <row r="44" spans="1:38" ht="15" customHeight="1">
      <c r="A44" s="400" t="s">
        <v>50</v>
      </c>
      <c r="B44" s="350"/>
      <c r="C44" s="351"/>
      <c r="D44" s="400" t="s">
        <v>61</v>
      </c>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1"/>
    </row>
    <row r="45" spans="1:38" ht="15" customHeight="1">
      <c r="A45" s="388" t="s">
        <v>62</v>
      </c>
      <c r="B45" s="350"/>
      <c r="C45" s="351"/>
      <c r="D45" s="388" t="s">
        <v>63</v>
      </c>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1"/>
    </row>
    <row r="46" spans="1:38" ht="30" customHeight="1">
      <c r="A46" s="400" t="s">
        <v>81</v>
      </c>
      <c r="B46" s="350"/>
      <c r="C46" s="351"/>
      <c r="D46" s="400" t="s">
        <v>82</v>
      </c>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1"/>
    </row>
    <row r="47" spans="1:38" ht="30" customHeight="1">
      <c r="A47" s="400" t="s">
        <v>83</v>
      </c>
      <c r="B47" s="350"/>
      <c r="C47" s="351"/>
      <c r="D47" s="400" t="s">
        <v>84</v>
      </c>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1"/>
    </row>
    <row r="48" spans="1:38" ht="30" customHeight="1">
      <c r="A48" s="388" t="s">
        <v>68</v>
      </c>
      <c r="B48" s="350"/>
      <c r="C48" s="351"/>
      <c r="D48" s="388" t="s">
        <v>85</v>
      </c>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1"/>
    </row>
    <row r="49" spans="1:38" ht="45" customHeight="1">
      <c r="A49" s="388" t="s">
        <v>70</v>
      </c>
      <c r="B49" s="350"/>
      <c r="C49" s="351"/>
      <c r="D49" s="388" t="s">
        <v>71</v>
      </c>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1"/>
    </row>
    <row r="50" spans="1:38" ht="15.75" customHeight="1">
      <c r="A50" s="388" t="s">
        <v>72</v>
      </c>
      <c r="B50" s="350"/>
      <c r="C50" s="351"/>
      <c r="D50" s="388" t="s">
        <v>86</v>
      </c>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1"/>
    </row>
    <row r="51" spans="1:38" ht="15.75" customHeight="1">
      <c r="A51" s="388" t="s">
        <v>87</v>
      </c>
      <c r="B51" s="350"/>
      <c r="C51" s="351"/>
      <c r="D51" s="388" t="s">
        <v>88</v>
      </c>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1"/>
    </row>
    <row r="52" spans="1:38" ht="15.75" customHeight="1">
      <c r="A52" s="388" t="s">
        <v>89</v>
      </c>
      <c r="B52" s="350"/>
      <c r="C52" s="351"/>
      <c r="D52" s="388" t="s">
        <v>90</v>
      </c>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1"/>
    </row>
    <row r="53" spans="1:38" ht="15.75" customHeight="1">
      <c r="A53" s="388" t="s">
        <v>91</v>
      </c>
      <c r="B53" s="350"/>
      <c r="C53" s="351"/>
      <c r="D53" s="388" t="s">
        <v>92</v>
      </c>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1"/>
    </row>
    <row r="54" spans="1:38" ht="15.75" customHeight="1">
      <c r="A54" s="388" t="s">
        <v>93</v>
      </c>
      <c r="B54" s="350"/>
      <c r="C54" s="351"/>
      <c r="D54" s="388" t="s">
        <v>94</v>
      </c>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1"/>
    </row>
    <row r="55" spans="1:38" ht="15.75" customHeight="1">
      <c r="A55" s="388" t="s">
        <v>95</v>
      </c>
      <c r="B55" s="350"/>
      <c r="C55" s="351"/>
      <c r="D55" s="388" t="s">
        <v>96</v>
      </c>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1"/>
    </row>
    <row r="56" spans="1:38" ht="15" customHeight="1">
      <c r="A56" s="388" t="s">
        <v>97</v>
      </c>
      <c r="B56" s="350"/>
      <c r="C56" s="351"/>
      <c r="D56" s="388" t="s">
        <v>98</v>
      </c>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1"/>
    </row>
    <row r="57" spans="1:38" ht="15" customHeight="1">
      <c r="A57" s="388" t="s">
        <v>99</v>
      </c>
      <c r="B57" s="350"/>
      <c r="C57" s="351"/>
      <c r="D57" s="388" t="s">
        <v>100</v>
      </c>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1"/>
    </row>
    <row r="58" spans="1:38" ht="15.75" customHeight="1">
      <c r="A58" s="388" t="s">
        <v>101</v>
      </c>
      <c r="B58" s="350"/>
      <c r="C58" s="351"/>
      <c r="D58" s="388" t="s">
        <v>102</v>
      </c>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1"/>
    </row>
    <row r="59" spans="1:38" ht="15.75" customHeight="1">
      <c r="A59" s="388" t="s">
        <v>103</v>
      </c>
      <c r="B59" s="350"/>
      <c r="C59" s="351"/>
      <c r="D59" s="388" t="s">
        <v>104</v>
      </c>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1"/>
    </row>
    <row r="60" spans="1:38" ht="34.5" customHeight="1">
      <c r="A60" s="388" t="s">
        <v>105</v>
      </c>
      <c r="B60" s="350"/>
      <c r="C60" s="351"/>
      <c r="D60" s="388" t="s">
        <v>106</v>
      </c>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1"/>
    </row>
    <row r="61" spans="1:38" ht="34.5" customHeight="1">
      <c r="A61" s="388" t="s">
        <v>107</v>
      </c>
      <c r="B61" s="350"/>
      <c r="C61" s="351"/>
      <c r="D61" s="388" t="s">
        <v>108</v>
      </c>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1"/>
    </row>
    <row r="62" spans="1:38" ht="19.5" customHeight="1">
      <c r="A62" s="388" t="s">
        <v>109</v>
      </c>
      <c r="B62" s="350"/>
      <c r="C62" s="351"/>
      <c r="D62" s="388" t="s">
        <v>110</v>
      </c>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1"/>
    </row>
    <row r="63" spans="1:38" ht="19.5" customHeight="1">
      <c r="A63" s="388" t="s">
        <v>111</v>
      </c>
      <c r="B63" s="350"/>
      <c r="C63" s="351"/>
      <c r="D63" s="388" t="s">
        <v>112</v>
      </c>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1"/>
    </row>
    <row r="64" spans="1:38" ht="15.75" customHeight="1">
      <c r="A64" s="388" t="s">
        <v>113</v>
      </c>
      <c r="B64" s="350"/>
      <c r="C64" s="351"/>
      <c r="D64" s="388" t="s">
        <v>114</v>
      </c>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1"/>
    </row>
    <row r="65" spans="1:38" ht="15" customHeight="1">
      <c r="A65" s="388" t="s">
        <v>115</v>
      </c>
      <c r="B65" s="350"/>
      <c r="C65" s="351"/>
      <c r="D65" s="388" t="s">
        <v>116</v>
      </c>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1"/>
    </row>
    <row r="66" spans="1:38" ht="15.75" customHeight="1">
      <c r="A66" s="388" t="s">
        <v>117</v>
      </c>
      <c r="B66" s="350"/>
      <c r="C66" s="351"/>
      <c r="D66" s="388" t="s">
        <v>118</v>
      </c>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1"/>
    </row>
    <row r="67" spans="1:38" ht="15.75" customHeight="1">
      <c r="A67" s="388" t="s">
        <v>119</v>
      </c>
      <c r="B67" s="350"/>
      <c r="C67" s="351"/>
      <c r="D67" s="388" t="s">
        <v>120</v>
      </c>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1"/>
    </row>
    <row r="68" spans="1:38" ht="15.75" customHeight="1">
      <c r="A68" s="388" t="s">
        <v>121</v>
      </c>
      <c r="B68" s="350"/>
      <c r="C68" s="351"/>
      <c r="D68" s="388" t="s">
        <v>122</v>
      </c>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1"/>
    </row>
    <row r="69" spans="1:38" ht="15.75" customHeight="1">
      <c r="A69" s="388" t="s">
        <v>123</v>
      </c>
      <c r="B69" s="350"/>
      <c r="C69" s="351"/>
      <c r="D69" s="388" t="s">
        <v>124</v>
      </c>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1"/>
    </row>
    <row r="70" spans="1:38" ht="30" customHeight="1">
      <c r="A70" s="388" t="s">
        <v>125</v>
      </c>
      <c r="B70" s="350"/>
      <c r="C70" s="351"/>
      <c r="D70" s="388" t="s">
        <v>126</v>
      </c>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c r="AF70" s="350"/>
      <c r="AG70" s="350"/>
      <c r="AH70" s="350"/>
      <c r="AI70" s="350"/>
      <c r="AJ70" s="350"/>
      <c r="AK70" s="350"/>
      <c r="AL70" s="351"/>
    </row>
    <row r="71" spans="1:38" ht="15" customHeight="1">
      <c r="A71" s="388" t="s">
        <v>127</v>
      </c>
      <c r="B71" s="350"/>
      <c r="C71" s="351"/>
      <c r="D71" s="388" t="s">
        <v>128</v>
      </c>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1"/>
    </row>
    <row r="72" spans="1:38" ht="15.75" customHeight="1">
      <c r="A72" s="388" t="s">
        <v>129</v>
      </c>
      <c r="B72" s="350"/>
      <c r="C72" s="351"/>
      <c r="D72" s="388" t="s">
        <v>130</v>
      </c>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1"/>
    </row>
    <row r="73" spans="1:38" ht="15.75" customHeight="1">
      <c r="A73" s="388" t="s">
        <v>131</v>
      </c>
      <c r="B73" s="350"/>
      <c r="C73" s="351"/>
      <c r="D73" s="388" t="s">
        <v>132</v>
      </c>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1"/>
    </row>
    <row r="74" spans="1:38" ht="15.75" customHeight="1">
      <c r="A74" s="388" t="s">
        <v>133</v>
      </c>
      <c r="B74" s="350"/>
      <c r="C74" s="351"/>
      <c r="D74" s="388" t="s">
        <v>134</v>
      </c>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c r="AF74" s="350"/>
      <c r="AG74" s="350"/>
      <c r="AH74" s="350"/>
      <c r="AI74" s="350"/>
      <c r="AJ74" s="350"/>
      <c r="AK74" s="350"/>
      <c r="AL74" s="351"/>
    </row>
    <row r="75" spans="1:38" ht="15.75" customHeight="1">
      <c r="A75" s="388" t="s">
        <v>135</v>
      </c>
      <c r="B75" s="350"/>
      <c r="C75" s="351"/>
      <c r="D75" s="388" t="s">
        <v>136</v>
      </c>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c r="AG75" s="350"/>
      <c r="AH75" s="350"/>
      <c r="AI75" s="350"/>
      <c r="AJ75" s="350"/>
      <c r="AK75" s="350"/>
      <c r="AL75" s="351"/>
    </row>
    <row r="76" spans="1:38" ht="15.75" customHeight="1">
      <c r="A76" s="388" t="s">
        <v>137</v>
      </c>
      <c r="B76" s="350"/>
      <c r="C76" s="351"/>
      <c r="D76" s="388" t="s">
        <v>79</v>
      </c>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c r="AG76" s="350"/>
      <c r="AH76" s="350"/>
      <c r="AI76" s="350"/>
      <c r="AJ76" s="350"/>
      <c r="AK76" s="350"/>
      <c r="AL76" s="351"/>
    </row>
    <row r="77" spans="1:38" ht="15.75" customHeight="1">
      <c r="A77" s="389" t="s">
        <v>138</v>
      </c>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390"/>
      <c r="AL77" s="391"/>
    </row>
    <row r="78" spans="1:38" ht="15.75" customHeight="1">
      <c r="A78" s="392"/>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93"/>
    </row>
    <row r="79" spans="1:38" ht="15.75" customHeight="1">
      <c r="A79" s="394"/>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6"/>
    </row>
    <row r="80" spans="1:38" ht="15" customHeight="1">
      <c r="A80" s="386" t="s">
        <v>48</v>
      </c>
      <c r="B80" s="350"/>
      <c r="C80" s="351"/>
      <c r="D80" s="386" t="s">
        <v>60</v>
      </c>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c r="AF80" s="350"/>
      <c r="AG80" s="350"/>
      <c r="AH80" s="350"/>
      <c r="AI80" s="350"/>
      <c r="AJ80" s="350"/>
      <c r="AK80" s="350"/>
      <c r="AL80" s="351"/>
    </row>
    <row r="81" spans="1:38" ht="15" customHeight="1">
      <c r="A81" s="386" t="s">
        <v>50</v>
      </c>
      <c r="B81" s="350"/>
      <c r="C81" s="351"/>
      <c r="D81" s="386" t="s">
        <v>139</v>
      </c>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c r="AF81" s="350"/>
      <c r="AG81" s="350"/>
      <c r="AH81" s="350"/>
      <c r="AI81" s="350"/>
      <c r="AJ81" s="350"/>
      <c r="AK81" s="350"/>
      <c r="AL81" s="351"/>
    </row>
    <row r="82" spans="1:38" ht="15.75" customHeight="1">
      <c r="A82" s="386" t="s">
        <v>62</v>
      </c>
      <c r="B82" s="350"/>
      <c r="C82" s="351"/>
      <c r="D82" s="386" t="s">
        <v>140</v>
      </c>
      <c r="E82" s="350"/>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350"/>
      <c r="AL82" s="351"/>
    </row>
    <row r="83" spans="1:38" ht="30" customHeight="1">
      <c r="A83" s="386" t="s">
        <v>64</v>
      </c>
      <c r="B83" s="350"/>
      <c r="C83" s="351"/>
      <c r="D83" s="386" t="s">
        <v>141</v>
      </c>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H83" s="350"/>
      <c r="AI83" s="350"/>
      <c r="AJ83" s="350"/>
      <c r="AK83" s="350"/>
      <c r="AL83" s="351"/>
    </row>
    <row r="84" spans="1:38" ht="30" customHeight="1">
      <c r="A84" s="386" t="s">
        <v>66</v>
      </c>
      <c r="B84" s="350"/>
      <c r="C84" s="351"/>
      <c r="D84" s="386" t="s">
        <v>142</v>
      </c>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H84" s="350"/>
      <c r="AI84" s="350"/>
      <c r="AJ84" s="350"/>
      <c r="AK84" s="350"/>
      <c r="AL84" s="351"/>
    </row>
    <row r="85" spans="1:38" ht="15.75" customHeight="1">
      <c r="A85" s="386" t="s">
        <v>143</v>
      </c>
      <c r="B85" s="350"/>
      <c r="C85" s="351"/>
      <c r="D85" s="386" t="s">
        <v>144</v>
      </c>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c r="AF85" s="350"/>
      <c r="AG85" s="350"/>
      <c r="AH85" s="350"/>
      <c r="AI85" s="350"/>
      <c r="AJ85" s="350"/>
      <c r="AK85" s="350"/>
      <c r="AL85" s="351"/>
    </row>
    <row r="86" spans="1:38" ht="15.75" customHeight="1">
      <c r="A86" s="386" t="s">
        <v>145</v>
      </c>
      <c r="B86" s="350"/>
      <c r="C86" s="351"/>
      <c r="D86" s="386" t="s">
        <v>146</v>
      </c>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c r="AG86" s="350"/>
      <c r="AH86" s="350"/>
      <c r="AI86" s="350"/>
      <c r="AJ86" s="350"/>
      <c r="AK86" s="350"/>
      <c r="AL86" s="351"/>
    </row>
    <row r="87" spans="1:38" ht="15.75" customHeight="1">
      <c r="A87" s="386" t="s">
        <v>147</v>
      </c>
      <c r="B87" s="350"/>
      <c r="C87" s="351"/>
      <c r="D87" s="386" t="s">
        <v>148</v>
      </c>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1"/>
    </row>
    <row r="88" spans="1:38" ht="15" customHeight="1">
      <c r="A88" s="387" t="s">
        <v>149</v>
      </c>
      <c r="B88" s="350"/>
      <c r="C88" s="351"/>
      <c r="D88" s="387" t="s">
        <v>150</v>
      </c>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H88" s="350"/>
      <c r="AI88" s="350"/>
      <c r="AJ88" s="350"/>
      <c r="AK88" s="350"/>
      <c r="AL88" s="351"/>
    </row>
    <row r="89" spans="1:38" ht="15" customHeight="1">
      <c r="A89" s="387" t="s">
        <v>151</v>
      </c>
      <c r="B89" s="350"/>
      <c r="C89" s="351"/>
      <c r="D89" s="387" t="s">
        <v>152</v>
      </c>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1"/>
    </row>
    <row r="90" spans="1:38" ht="15" customHeight="1">
      <c r="A90" s="387" t="s">
        <v>153</v>
      </c>
      <c r="B90" s="350"/>
      <c r="C90" s="351"/>
      <c r="D90" s="387" t="s">
        <v>154</v>
      </c>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c r="AI90" s="350"/>
      <c r="AJ90" s="350"/>
      <c r="AK90" s="350"/>
      <c r="AL90" s="351"/>
    </row>
    <row r="91" spans="1:38" ht="15" customHeight="1">
      <c r="A91" s="387" t="s">
        <v>155</v>
      </c>
      <c r="B91" s="350"/>
      <c r="C91" s="351"/>
      <c r="D91" s="387" t="s">
        <v>156</v>
      </c>
      <c r="E91" s="350"/>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c r="AG91" s="350"/>
      <c r="AH91" s="350"/>
      <c r="AI91" s="350"/>
      <c r="AJ91" s="350"/>
      <c r="AK91" s="350"/>
      <c r="AL91" s="351"/>
    </row>
    <row r="92" spans="1:38" ht="15" customHeight="1">
      <c r="A92" s="387" t="s">
        <v>157</v>
      </c>
      <c r="B92" s="350"/>
      <c r="C92" s="351"/>
      <c r="D92" s="387" t="s">
        <v>158</v>
      </c>
      <c r="E92" s="350"/>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350"/>
      <c r="AI92" s="350"/>
      <c r="AJ92" s="350"/>
      <c r="AK92" s="350"/>
      <c r="AL92" s="351"/>
    </row>
    <row r="93" spans="1:38" ht="15" customHeight="1">
      <c r="A93" s="387" t="s">
        <v>159</v>
      </c>
      <c r="B93" s="350"/>
      <c r="C93" s="351"/>
      <c r="D93" s="387" t="s">
        <v>160</v>
      </c>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1"/>
    </row>
    <row r="94" spans="1:38" ht="15" customHeight="1">
      <c r="A94" s="387" t="s">
        <v>161</v>
      </c>
      <c r="B94" s="350"/>
      <c r="C94" s="351"/>
      <c r="D94" s="387" t="s">
        <v>162</v>
      </c>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1"/>
    </row>
    <row r="95" spans="1:38" ht="15" customHeight="1">
      <c r="A95" s="386" t="s">
        <v>163</v>
      </c>
      <c r="B95" s="350"/>
      <c r="C95" s="351"/>
      <c r="D95" s="386" t="s">
        <v>164</v>
      </c>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1"/>
    </row>
    <row r="96" spans="1:38" ht="15" customHeight="1">
      <c r="A96" s="386" t="s">
        <v>165</v>
      </c>
      <c r="B96" s="350"/>
      <c r="C96" s="351"/>
      <c r="D96" s="386" t="s">
        <v>166</v>
      </c>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1"/>
    </row>
    <row r="97" spans="1:38" ht="15" customHeight="1">
      <c r="A97" s="386" t="s">
        <v>167</v>
      </c>
      <c r="B97" s="350"/>
      <c r="C97" s="351"/>
      <c r="D97" s="386" t="s">
        <v>168</v>
      </c>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1"/>
    </row>
    <row r="98" spans="1:38" ht="15" customHeight="1">
      <c r="A98" s="386" t="s">
        <v>169</v>
      </c>
      <c r="B98" s="350"/>
      <c r="C98" s="351"/>
      <c r="D98" s="386" t="s">
        <v>170</v>
      </c>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1"/>
    </row>
    <row r="99" spans="1:38" ht="15" customHeight="1">
      <c r="A99" s="386" t="s">
        <v>171</v>
      </c>
      <c r="B99" s="350"/>
      <c r="C99" s="351"/>
      <c r="D99" s="386" t="s">
        <v>172</v>
      </c>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1"/>
    </row>
    <row r="100" spans="1:38" ht="15.75" customHeight="1">
      <c r="A100" s="386" t="s">
        <v>171</v>
      </c>
      <c r="B100" s="350"/>
      <c r="C100" s="351"/>
      <c r="D100" s="386" t="s">
        <v>173</v>
      </c>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1"/>
    </row>
    <row r="101" spans="1:38" ht="15" customHeight="1">
      <c r="A101" s="386" t="s">
        <v>174</v>
      </c>
      <c r="B101" s="350"/>
      <c r="C101" s="351"/>
      <c r="D101" s="386" t="s">
        <v>175</v>
      </c>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1"/>
    </row>
    <row r="102" spans="1:38" ht="19.5" customHeight="1">
      <c r="A102" s="387" t="s">
        <v>176</v>
      </c>
      <c r="B102" s="350"/>
      <c r="C102" s="351"/>
      <c r="D102" s="387" t="s">
        <v>79</v>
      </c>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1"/>
    </row>
    <row r="103" spans="1:38" ht="15.75" customHeight="1">
      <c r="A103" s="439" t="s">
        <v>177</v>
      </c>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6"/>
    </row>
    <row r="104" spans="1:38" ht="15.75" customHeight="1">
      <c r="A104" s="357"/>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9"/>
    </row>
    <row r="105" spans="1:38" ht="15.75" customHeight="1">
      <c r="A105" s="360"/>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2"/>
    </row>
    <row r="106" spans="1:38" ht="15.75" customHeight="1">
      <c r="A106" s="375" t="s">
        <v>48</v>
      </c>
      <c r="B106" s="350"/>
      <c r="C106" s="351"/>
      <c r="D106" s="375" t="s">
        <v>60</v>
      </c>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1"/>
    </row>
    <row r="107" spans="1:38" ht="15.75" customHeight="1">
      <c r="A107" s="376" t="s">
        <v>50</v>
      </c>
      <c r="B107" s="350"/>
      <c r="C107" s="351"/>
      <c r="D107" s="376" t="s">
        <v>139</v>
      </c>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350"/>
      <c r="AK107" s="350"/>
      <c r="AL107" s="351"/>
    </row>
    <row r="108" spans="1:38" ht="15.75" customHeight="1">
      <c r="A108" s="375" t="s">
        <v>62</v>
      </c>
      <c r="B108" s="350"/>
      <c r="C108" s="351"/>
      <c r="D108" s="375" t="s">
        <v>140</v>
      </c>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350"/>
      <c r="AK108" s="350"/>
      <c r="AL108" s="351"/>
    </row>
    <row r="109" spans="1:38" ht="15.75" customHeight="1">
      <c r="A109" s="376" t="s">
        <v>64</v>
      </c>
      <c r="B109" s="350"/>
      <c r="C109" s="351"/>
      <c r="D109" s="376" t="s">
        <v>178</v>
      </c>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350"/>
      <c r="AK109" s="350"/>
      <c r="AL109" s="351"/>
    </row>
    <row r="110" spans="1:38" ht="15.75" customHeight="1">
      <c r="A110" s="375" t="s">
        <v>66</v>
      </c>
      <c r="B110" s="350"/>
      <c r="C110" s="351"/>
      <c r="D110" s="375" t="s">
        <v>179</v>
      </c>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1"/>
    </row>
    <row r="111" spans="1:38" ht="15.75" customHeight="1">
      <c r="A111" s="372" t="s">
        <v>180</v>
      </c>
      <c r="B111" s="350"/>
      <c r="C111" s="351"/>
      <c r="D111" s="372" t="s">
        <v>181</v>
      </c>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1"/>
    </row>
    <row r="112" spans="1:38" ht="15.75" customHeight="1">
      <c r="A112" s="377" t="s">
        <v>182</v>
      </c>
      <c r="B112" s="378"/>
      <c r="C112" s="379"/>
      <c r="D112" s="377" t="s">
        <v>183</v>
      </c>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c r="AL112" s="379"/>
    </row>
    <row r="113" spans="1:38" ht="15.75" customHeight="1">
      <c r="A113" s="380"/>
      <c r="B113" s="381"/>
      <c r="C113" s="382"/>
      <c r="D113" s="380" t="s">
        <v>184</v>
      </c>
      <c r="E113" s="381"/>
      <c r="F113" s="381"/>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381"/>
      <c r="AL113" s="382"/>
    </row>
    <row r="114" spans="1:38" ht="324.75" customHeight="1">
      <c r="A114" s="383"/>
      <c r="B114" s="384"/>
      <c r="C114" s="385"/>
      <c r="D114" s="438" t="s">
        <v>185</v>
      </c>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5"/>
    </row>
    <row r="115" spans="1:38" ht="15.75" customHeight="1">
      <c r="A115" s="372" t="s">
        <v>186</v>
      </c>
      <c r="B115" s="350"/>
      <c r="C115" s="351"/>
      <c r="D115" s="372" t="s">
        <v>187</v>
      </c>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350"/>
      <c r="AK115" s="350"/>
      <c r="AL115" s="351"/>
    </row>
    <row r="116" spans="1:38" ht="15.75" customHeight="1">
      <c r="A116" s="372" t="s">
        <v>188</v>
      </c>
      <c r="B116" s="350"/>
      <c r="C116" s="351"/>
      <c r="D116" s="372" t="s">
        <v>189</v>
      </c>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H116" s="350"/>
      <c r="AI116" s="350"/>
      <c r="AJ116" s="350"/>
      <c r="AK116" s="350"/>
      <c r="AL116" s="351"/>
    </row>
    <row r="117" spans="1:38" ht="15.75" customHeight="1">
      <c r="A117" s="372" t="s">
        <v>190</v>
      </c>
      <c r="B117" s="350"/>
      <c r="C117" s="351"/>
      <c r="D117" s="372" t="s">
        <v>191</v>
      </c>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350"/>
      <c r="AK117" s="350"/>
      <c r="AL117" s="351"/>
    </row>
    <row r="118" spans="1:38" ht="15.75" customHeight="1">
      <c r="A118" s="372" t="s">
        <v>192</v>
      </c>
      <c r="B118" s="350"/>
      <c r="C118" s="351"/>
      <c r="D118" s="372" t="s">
        <v>193</v>
      </c>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350"/>
      <c r="AK118" s="350"/>
      <c r="AL118" s="351"/>
    </row>
    <row r="119" spans="1:38" ht="15.75" customHeight="1">
      <c r="A119" s="372" t="s">
        <v>194</v>
      </c>
      <c r="B119" s="350"/>
      <c r="C119" s="351"/>
      <c r="D119" s="372" t="s">
        <v>195</v>
      </c>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350"/>
      <c r="AK119" s="350"/>
      <c r="AL119" s="351"/>
    </row>
    <row r="120" spans="1:38" ht="15.75" customHeight="1">
      <c r="A120" s="372" t="s">
        <v>196</v>
      </c>
      <c r="B120" s="350"/>
      <c r="C120" s="351"/>
      <c r="D120" s="372" t="s">
        <v>197</v>
      </c>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350"/>
      <c r="AK120" s="350"/>
      <c r="AL120" s="351"/>
    </row>
    <row r="121" spans="1:38" ht="15.75" customHeight="1">
      <c r="A121" s="372" t="s">
        <v>198</v>
      </c>
      <c r="B121" s="350"/>
      <c r="C121" s="351"/>
      <c r="D121" s="372" t="s">
        <v>199</v>
      </c>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H121" s="350"/>
      <c r="AI121" s="350"/>
      <c r="AJ121" s="350"/>
      <c r="AK121" s="350"/>
      <c r="AL121" s="351"/>
    </row>
    <row r="122" spans="1:38" ht="15.75" customHeight="1">
      <c r="A122" s="372" t="s">
        <v>200</v>
      </c>
      <c r="B122" s="350"/>
      <c r="C122" s="351"/>
      <c r="D122" s="372" t="s">
        <v>201</v>
      </c>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350"/>
      <c r="AK122" s="350"/>
      <c r="AL122" s="351"/>
    </row>
    <row r="123" spans="1:38" ht="30" customHeight="1">
      <c r="A123" s="372" t="s">
        <v>202</v>
      </c>
      <c r="B123" s="350"/>
      <c r="C123" s="351"/>
      <c r="D123" s="372" t="s">
        <v>203</v>
      </c>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350"/>
      <c r="AK123" s="350"/>
      <c r="AL123" s="351"/>
    </row>
    <row r="124" spans="1:38" ht="30" customHeight="1">
      <c r="A124" s="372" t="s">
        <v>204</v>
      </c>
      <c r="B124" s="350"/>
      <c r="C124" s="351"/>
      <c r="D124" s="372" t="s">
        <v>205</v>
      </c>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H124" s="350"/>
      <c r="AI124" s="350"/>
      <c r="AJ124" s="350"/>
      <c r="AK124" s="350"/>
      <c r="AL124" s="351"/>
    </row>
    <row r="125" spans="1:38" ht="15.75" customHeight="1">
      <c r="A125" s="372" t="s">
        <v>206</v>
      </c>
      <c r="B125" s="350"/>
      <c r="C125" s="351"/>
      <c r="D125" s="372" t="s">
        <v>79</v>
      </c>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1"/>
    </row>
    <row r="126" spans="1:38" ht="15.75" customHeight="1">
      <c r="A126" s="437" t="s">
        <v>207</v>
      </c>
      <c r="B126" s="355"/>
      <c r="C126" s="355"/>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5"/>
      <c r="AC126" s="355"/>
      <c r="AD126" s="355"/>
      <c r="AE126" s="355"/>
      <c r="AF126" s="355"/>
      <c r="AG126" s="355"/>
      <c r="AH126" s="355"/>
      <c r="AI126" s="355"/>
      <c r="AJ126" s="355"/>
      <c r="AK126" s="355"/>
      <c r="AL126" s="356"/>
    </row>
    <row r="127" spans="1:38" ht="15.75" customHeight="1">
      <c r="A127" s="357"/>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c r="AL127" s="359"/>
    </row>
    <row r="128" spans="1:38" ht="15.75" customHeight="1">
      <c r="A128" s="360"/>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1"/>
      <c r="AD128" s="361"/>
      <c r="AE128" s="361"/>
      <c r="AF128" s="361"/>
      <c r="AG128" s="361"/>
      <c r="AH128" s="361"/>
      <c r="AI128" s="361"/>
      <c r="AJ128" s="361"/>
      <c r="AK128" s="361"/>
      <c r="AL128" s="362"/>
    </row>
    <row r="129" spans="1:38" ht="15.75" customHeight="1">
      <c r="A129" s="372" t="s">
        <v>48</v>
      </c>
      <c r="B129" s="350"/>
      <c r="C129" s="351"/>
      <c r="D129" s="372" t="s">
        <v>60</v>
      </c>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1"/>
    </row>
    <row r="130" spans="1:38" ht="15.75" customHeight="1">
      <c r="A130" s="371" t="s">
        <v>50</v>
      </c>
      <c r="B130" s="350"/>
      <c r="C130" s="351"/>
      <c r="D130" s="371" t="s">
        <v>139</v>
      </c>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1"/>
    </row>
    <row r="131" spans="1:38" ht="15.75" customHeight="1">
      <c r="A131" s="372" t="s">
        <v>62</v>
      </c>
      <c r="B131" s="350"/>
      <c r="C131" s="351"/>
      <c r="D131" s="372" t="s">
        <v>140</v>
      </c>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1"/>
    </row>
    <row r="132" spans="1:38" ht="15.75" customHeight="1">
      <c r="A132" s="371" t="s">
        <v>64</v>
      </c>
      <c r="B132" s="350"/>
      <c r="C132" s="351"/>
      <c r="D132" s="371" t="s">
        <v>178</v>
      </c>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1"/>
    </row>
    <row r="133" spans="1:38" ht="15.75" customHeight="1">
      <c r="A133" s="372" t="s">
        <v>66</v>
      </c>
      <c r="B133" s="350"/>
      <c r="C133" s="351"/>
      <c r="D133" s="372" t="s">
        <v>208</v>
      </c>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1"/>
    </row>
    <row r="134" spans="1:38" ht="15" customHeight="1">
      <c r="A134" s="371" t="s">
        <v>180</v>
      </c>
      <c r="B134" s="350"/>
      <c r="C134" s="351"/>
      <c r="D134" s="373" t="s">
        <v>181</v>
      </c>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1"/>
    </row>
    <row r="135" spans="1:38" ht="15.75" customHeight="1">
      <c r="A135" s="371" t="s">
        <v>209</v>
      </c>
      <c r="B135" s="350"/>
      <c r="C135" s="351"/>
      <c r="D135" s="371" t="s">
        <v>191</v>
      </c>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1"/>
    </row>
    <row r="136" spans="1:38" ht="15.75" customHeight="1">
      <c r="A136" s="371" t="s">
        <v>210</v>
      </c>
      <c r="B136" s="350"/>
      <c r="C136" s="351"/>
      <c r="D136" s="371" t="s">
        <v>211</v>
      </c>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1"/>
    </row>
    <row r="137" spans="1:38" ht="15.75" customHeight="1">
      <c r="A137" s="371" t="s">
        <v>212</v>
      </c>
      <c r="B137" s="350"/>
      <c r="C137" s="351"/>
      <c r="D137" s="371" t="s">
        <v>195</v>
      </c>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1"/>
    </row>
    <row r="138" spans="1:38" ht="15.75" customHeight="1">
      <c r="A138" s="371" t="s">
        <v>213</v>
      </c>
      <c r="B138" s="350"/>
      <c r="C138" s="351"/>
      <c r="D138" s="371" t="s">
        <v>214</v>
      </c>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1"/>
    </row>
    <row r="139" spans="1:38" ht="15.75" customHeight="1">
      <c r="A139" s="371" t="s">
        <v>215</v>
      </c>
      <c r="B139" s="350"/>
      <c r="C139" s="351"/>
      <c r="D139" s="371" t="s">
        <v>216</v>
      </c>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1"/>
    </row>
    <row r="140" spans="1:38" ht="15.75" customHeight="1">
      <c r="A140" s="371" t="s">
        <v>217</v>
      </c>
      <c r="B140" s="350"/>
      <c r="C140" s="351"/>
      <c r="D140" s="371" t="s">
        <v>218</v>
      </c>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1"/>
    </row>
    <row r="141" spans="1:38" ht="39.75" customHeight="1">
      <c r="A141" s="371" t="s">
        <v>219</v>
      </c>
      <c r="B141" s="350"/>
      <c r="C141" s="351"/>
      <c r="D141" s="371" t="s">
        <v>220</v>
      </c>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1"/>
    </row>
    <row r="142" spans="1:38" ht="30" customHeight="1">
      <c r="A142" s="371" t="s">
        <v>221</v>
      </c>
      <c r="B142" s="350"/>
      <c r="C142" s="351"/>
      <c r="D142" s="371" t="s">
        <v>205</v>
      </c>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1"/>
    </row>
    <row r="143" spans="1:38" ht="15.75" customHeight="1">
      <c r="A143" s="371" t="s">
        <v>222</v>
      </c>
      <c r="B143" s="350"/>
      <c r="C143" s="351"/>
      <c r="D143" s="371" t="s">
        <v>223</v>
      </c>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1"/>
    </row>
    <row r="144" spans="1:38" ht="15.75" customHeight="1">
      <c r="A144" s="434" t="s">
        <v>224</v>
      </c>
      <c r="B144" s="350"/>
      <c r="C144" s="351"/>
      <c r="D144" s="434" t="s">
        <v>225</v>
      </c>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1"/>
    </row>
    <row r="145" spans="1:38" ht="15.75" customHeight="1">
      <c r="A145" s="434" t="s">
        <v>226</v>
      </c>
      <c r="B145" s="350"/>
      <c r="C145" s="351"/>
      <c r="D145" s="434" t="s">
        <v>227</v>
      </c>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1"/>
    </row>
    <row r="146" spans="1:38" ht="15.75" customHeight="1">
      <c r="A146" s="434" t="s">
        <v>228</v>
      </c>
      <c r="B146" s="350"/>
      <c r="C146" s="351"/>
      <c r="D146" s="434" t="s">
        <v>229</v>
      </c>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H146" s="350"/>
      <c r="AI146" s="350"/>
      <c r="AJ146" s="350"/>
      <c r="AK146" s="350"/>
      <c r="AL146" s="351"/>
    </row>
    <row r="147" spans="1:38" ht="15.75" customHeight="1">
      <c r="A147" s="434" t="s">
        <v>230</v>
      </c>
      <c r="B147" s="350"/>
      <c r="C147" s="351"/>
      <c r="D147" s="434" t="s">
        <v>231</v>
      </c>
      <c r="E147" s="350"/>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c r="AG147" s="350"/>
      <c r="AH147" s="350"/>
      <c r="AI147" s="350"/>
      <c r="AJ147" s="350"/>
      <c r="AK147" s="350"/>
      <c r="AL147" s="351"/>
    </row>
    <row r="148" spans="1:38" ht="15.75" customHeight="1">
      <c r="A148" s="434" t="s">
        <v>232</v>
      </c>
      <c r="B148" s="350"/>
      <c r="C148" s="351"/>
      <c r="D148" s="434" t="s">
        <v>233</v>
      </c>
      <c r="E148" s="350"/>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c r="AF148" s="350"/>
      <c r="AG148" s="350"/>
      <c r="AH148" s="350"/>
      <c r="AI148" s="350"/>
      <c r="AJ148" s="350"/>
      <c r="AK148" s="350"/>
      <c r="AL148" s="351"/>
    </row>
    <row r="149" spans="1:38" ht="15.75" customHeight="1">
      <c r="A149" s="434" t="s">
        <v>234</v>
      </c>
      <c r="B149" s="350"/>
      <c r="C149" s="351"/>
      <c r="D149" s="434" t="s">
        <v>235</v>
      </c>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c r="AG149" s="350"/>
      <c r="AH149" s="350"/>
      <c r="AI149" s="350"/>
      <c r="AJ149" s="350"/>
      <c r="AK149" s="350"/>
      <c r="AL149" s="351"/>
    </row>
    <row r="150" spans="1:38" ht="15.75" customHeight="1">
      <c r="A150" s="435" t="s">
        <v>236</v>
      </c>
      <c r="B150" s="384"/>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c r="AI150" s="384"/>
      <c r="AJ150" s="384"/>
      <c r="AK150" s="384"/>
      <c r="AL150" s="436"/>
    </row>
    <row r="151" spans="1:38" ht="15.75" customHeight="1">
      <c r="A151" s="372" t="s">
        <v>48</v>
      </c>
      <c r="B151" s="350"/>
      <c r="C151" s="351"/>
      <c r="D151" s="372" t="s">
        <v>60</v>
      </c>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50"/>
      <c r="AL151" s="351"/>
    </row>
    <row r="152" spans="1:38" ht="15.75" customHeight="1">
      <c r="A152" s="371" t="s">
        <v>50</v>
      </c>
      <c r="B152" s="350"/>
      <c r="C152" s="351"/>
      <c r="D152" s="371" t="s">
        <v>139</v>
      </c>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351"/>
    </row>
    <row r="153" spans="1:38" ht="15.75" customHeight="1">
      <c r="A153" s="372" t="s">
        <v>62</v>
      </c>
      <c r="B153" s="350"/>
      <c r="C153" s="351"/>
      <c r="D153" s="372" t="s">
        <v>140</v>
      </c>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50"/>
      <c r="AL153" s="351"/>
    </row>
    <row r="154" spans="1:38" ht="15" customHeight="1">
      <c r="A154" s="371" t="s">
        <v>64</v>
      </c>
      <c r="B154" s="350"/>
      <c r="C154" s="351"/>
      <c r="D154" s="371" t="s">
        <v>178</v>
      </c>
      <c r="E154" s="350"/>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c r="AF154" s="350"/>
      <c r="AG154" s="350"/>
      <c r="AH154" s="350"/>
      <c r="AI154" s="350"/>
      <c r="AJ154" s="350"/>
      <c r="AK154" s="350"/>
      <c r="AL154" s="351"/>
    </row>
    <row r="155" spans="1:38" ht="15.75" customHeight="1">
      <c r="A155" s="368" t="s">
        <v>237</v>
      </c>
      <c r="B155" s="350"/>
      <c r="C155" s="370"/>
      <c r="D155" s="368" t="s">
        <v>238</v>
      </c>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1"/>
    </row>
    <row r="156" spans="1:38" ht="15.75" customHeight="1">
      <c r="A156" s="368" t="s">
        <v>239</v>
      </c>
      <c r="B156" s="350"/>
      <c r="C156" s="370"/>
      <c r="D156" s="368" t="s">
        <v>240</v>
      </c>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1"/>
    </row>
    <row r="157" spans="1:38" ht="15" customHeight="1">
      <c r="A157" s="368" t="s">
        <v>241</v>
      </c>
      <c r="B157" s="350"/>
      <c r="C157" s="370"/>
      <c r="D157" s="371" t="s">
        <v>242</v>
      </c>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50"/>
      <c r="AL157" s="351"/>
    </row>
    <row r="158" spans="1:38" ht="79.5" customHeight="1">
      <c r="A158" s="374" t="s">
        <v>243</v>
      </c>
      <c r="B158" s="350"/>
      <c r="C158" s="370"/>
      <c r="D158" s="373" t="s">
        <v>244</v>
      </c>
      <c r="E158" s="350"/>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1"/>
    </row>
    <row r="159" spans="1:38" ht="15.75" customHeight="1">
      <c r="A159" s="368" t="s">
        <v>245</v>
      </c>
      <c r="B159" s="350"/>
      <c r="C159" s="370"/>
      <c r="D159" s="368" t="s">
        <v>246</v>
      </c>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c r="AG159" s="350"/>
      <c r="AH159" s="350"/>
      <c r="AI159" s="350"/>
      <c r="AJ159" s="350"/>
      <c r="AK159" s="350"/>
      <c r="AL159" s="351"/>
    </row>
    <row r="160" spans="1:38" ht="15.75" customHeight="1">
      <c r="A160" s="368" t="s">
        <v>247</v>
      </c>
      <c r="B160" s="350"/>
      <c r="C160" s="370"/>
      <c r="D160" s="368" t="s">
        <v>248</v>
      </c>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c r="AG160" s="350"/>
      <c r="AH160" s="350"/>
      <c r="AI160" s="350"/>
      <c r="AJ160" s="350"/>
      <c r="AK160" s="350"/>
      <c r="AL160" s="351"/>
    </row>
    <row r="161" spans="1:38" ht="15.75" customHeight="1">
      <c r="A161" s="368" t="s">
        <v>249</v>
      </c>
      <c r="B161" s="350"/>
      <c r="C161" s="370"/>
      <c r="D161" s="368" t="s">
        <v>250</v>
      </c>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50"/>
      <c r="AL161" s="351"/>
    </row>
    <row r="162" spans="1:38" ht="15.75" customHeight="1">
      <c r="A162" s="368" t="s">
        <v>251</v>
      </c>
      <c r="B162" s="350"/>
      <c r="C162" s="370"/>
      <c r="D162" s="368" t="s">
        <v>252</v>
      </c>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1"/>
    </row>
    <row r="163" spans="1:38" ht="15.75" customHeight="1">
      <c r="A163" s="368" t="s">
        <v>253</v>
      </c>
      <c r="B163" s="350"/>
      <c r="C163" s="370"/>
      <c r="D163" s="368" t="s">
        <v>254</v>
      </c>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c r="AG163" s="350"/>
      <c r="AH163" s="350"/>
      <c r="AI163" s="350"/>
      <c r="AJ163" s="350"/>
      <c r="AK163" s="350"/>
      <c r="AL163" s="351"/>
    </row>
    <row r="164" spans="1:38" ht="15.75" customHeight="1">
      <c r="A164" s="368" t="s">
        <v>255</v>
      </c>
      <c r="B164" s="350"/>
      <c r="C164" s="370"/>
      <c r="D164" s="368" t="s">
        <v>256</v>
      </c>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H164" s="350"/>
      <c r="AI164" s="350"/>
      <c r="AJ164" s="350"/>
      <c r="AK164" s="350"/>
      <c r="AL164" s="351"/>
    </row>
    <row r="165" spans="1:38" ht="15.75" customHeight="1">
      <c r="A165" s="368" t="s">
        <v>257</v>
      </c>
      <c r="B165" s="350"/>
      <c r="C165" s="370"/>
      <c r="D165" s="368" t="s">
        <v>258</v>
      </c>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c r="AF165" s="350"/>
      <c r="AG165" s="350"/>
      <c r="AH165" s="350"/>
      <c r="AI165" s="350"/>
      <c r="AJ165" s="350"/>
      <c r="AK165" s="350"/>
      <c r="AL165" s="351"/>
    </row>
    <row r="166" spans="1:38" ht="15.75" customHeight="1">
      <c r="A166" s="368" t="s">
        <v>259</v>
      </c>
      <c r="B166" s="350"/>
      <c r="C166" s="370"/>
      <c r="D166" s="368" t="s">
        <v>260</v>
      </c>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1"/>
    </row>
    <row r="167" spans="1:38" ht="15.75" customHeight="1">
      <c r="A167" s="368" t="s">
        <v>261</v>
      </c>
      <c r="B167" s="350"/>
      <c r="C167" s="370"/>
      <c r="D167" s="368" t="s">
        <v>79</v>
      </c>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1"/>
    </row>
    <row r="168" spans="1:38" ht="15" customHeight="1">
      <c r="A168" s="369" t="s">
        <v>262</v>
      </c>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55"/>
      <c r="AE168" s="355"/>
      <c r="AF168" s="355"/>
      <c r="AG168" s="355"/>
      <c r="AH168" s="355"/>
      <c r="AI168" s="355"/>
      <c r="AJ168" s="355"/>
      <c r="AK168" s="355"/>
      <c r="AL168" s="356"/>
    </row>
    <row r="169" spans="1:38" ht="15" customHeight="1">
      <c r="A169" s="357"/>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9"/>
    </row>
    <row r="170" spans="1:38" ht="15" customHeight="1">
      <c r="A170" s="360"/>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2"/>
    </row>
    <row r="171" spans="1:38" ht="15.75" customHeight="1">
      <c r="A171" s="365" t="s">
        <v>48</v>
      </c>
      <c r="B171" s="350"/>
      <c r="C171" s="351"/>
      <c r="D171" s="365" t="s">
        <v>60</v>
      </c>
      <c r="E171" s="350"/>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c r="AF171" s="350"/>
      <c r="AG171" s="350"/>
      <c r="AH171" s="350"/>
      <c r="AI171" s="350"/>
      <c r="AJ171" s="350"/>
      <c r="AK171" s="350"/>
      <c r="AL171" s="351"/>
    </row>
    <row r="172" spans="1:38" ht="15.75" customHeight="1">
      <c r="A172" s="364" t="s">
        <v>50</v>
      </c>
      <c r="B172" s="350"/>
      <c r="C172" s="351"/>
      <c r="D172" s="364" t="s">
        <v>139</v>
      </c>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c r="AG172" s="350"/>
      <c r="AH172" s="350"/>
      <c r="AI172" s="350"/>
      <c r="AJ172" s="350"/>
      <c r="AK172" s="350"/>
      <c r="AL172" s="351"/>
    </row>
    <row r="173" spans="1:38" ht="15" customHeight="1">
      <c r="A173" s="365" t="s">
        <v>62</v>
      </c>
      <c r="B173" s="350"/>
      <c r="C173" s="351"/>
      <c r="D173" s="365" t="s">
        <v>140</v>
      </c>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c r="AF173" s="350"/>
      <c r="AG173" s="350"/>
      <c r="AH173" s="350"/>
      <c r="AI173" s="350"/>
      <c r="AJ173" s="350"/>
      <c r="AK173" s="350"/>
      <c r="AL173" s="351"/>
    </row>
    <row r="174" spans="1:38" ht="30" customHeight="1">
      <c r="A174" s="364" t="s">
        <v>64</v>
      </c>
      <c r="B174" s="350"/>
      <c r="C174" s="351"/>
      <c r="D174" s="364" t="s">
        <v>178</v>
      </c>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c r="AG174" s="350"/>
      <c r="AH174" s="350"/>
      <c r="AI174" s="350"/>
      <c r="AJ174" s="350"/>
      <c r="AK174" s="350"/>
      <c r="AL174" s="351"/>
    </row>
    <row r="175" spans="1:38" ht="15" customHeight="1">
      <c r="A175" s="367" t="s">
        <v>263</v>
      </c>
      <c r="B175" s="350"/>
      <c r="C175" s="351"/>
      <c r="D175" s="365" t="s">
        <v>264</v>
      </c>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c r="AF175" s="350"/>
      <c r="AG175" s="350"/>
      <c r="AH175" s="350"/>
      <c r="AI175" s="350"/>
      <c r="AJ175" s="350"/>
      <c r="AK175" s="350"/>
      <c r="AL175" s="351"/>
    </row>
    <row r="176" spans="1:38" ht="15" customHeight="1">
      <c r="A176" s="366" t="s">
        <v>265</v>
      </c>
      <c r="B176" s="350"/>
      <c r="C176" s="351"/>
      <c r="D176" s="353" t="s">
        <v>266</v>
      </c>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c r="AG176" s="350"/>
      <c r="AH176" s="350"/>
      <c r="AI176" s="350"/>
      <c r="AJ176" s="350"/>
      <c r="AK176" s="350"/>
      <c r="AL176" s="351"/>
    </row>
    <row r="177" spans="1:38" ht="15" customHeight="1">
      <c r="A177" s="367" t="s">
        <v>267</v>
      </c>
      <c r="B177" s="350"/>
      <c r="C177" s="351"/>
      <c r="D177" s="352" t="s">
        <v>268</v>
      </c>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c r="AG177" s="350"/>
      <c r="AH177" s="350"/>
      <c r="AI177" s="350"/>
      <c r="AJ177" s="350"/>
      <c r="AK177" s="350"/>
      <c r="AL177" s="351"/>
    </row>
    <row r="178" spans="1:38" ht="15" customHeight="1">
      <c r="A178" s="366" t="s">
        <v>269</v>
      </c>
      <c r="B178" s="350"/>
      <c r="C178" s="351"/>
      <c r="D178" s="353" t="s">
        <v>270</v>
      </c>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c r="AG178" s="350"/>
      <c r="AH178" s="350"/>
      <c r="AI178" s="350"/>
      <c r="AJ178" s="350"/>
      <c r="AK178" s="350"/>
      <c r="AL178" s="351"/>
    </row>
    <row r="179" spans="1:38" ht="15.75" customHeight="1">
      <c r="A179" s="367" t="s">
        <v>271</v>
      </c>
      <c r="B179" s="350"/>
      <c r="C179" s="351"/>
      <c r="D179" s="352" t="s">
        <v>272</v>
      </c>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c r="AG179" s="350"/>
      <c r="AH179" s="350"/>
      <c r="AI179" s="350"/>
      <c r="AJ179" s="350"/>
      <c r="AK179" s="350"/>
      <c r="AL179" s="351"/>
    </row>
    <row r="180" spans="1:38" ht="15.75" customHeight="1">
      <c r="A180" s="366" t="s">
        <v>273</v>
      </c>
      <c r="B180" s="350"/>
      <c r="C180" s="351"/>
      <c r="D180" s="353" t="s">
        <v>274</v>
      </c>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H180" s="350"/>
      <c r="AI180" s="350"/>
      <c r="AJ180" s="350"/>
      <c r="AK180" s="350"/>
      <c r="AL180" s="351"/>
    </row>
    <row r="181" spans="1:38" ht="15.75" customHeight="1">
      <c r="A181" s="367" t="s">
        <v>275</v>
      </c>
      <c r="B181" s="350"/>
      <c r="C181" s="351"/>
      <c r="D181" s="352" t="s">
        <v>276</v>
      </c>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50"/>
      <c r="AL181" s="351"/>
    </row>
    <row r="182" spans="1:38" ht="15.75" customHeight="1">
      <c r="A182" s="354" t="s">
        <v>277</v>
      </c>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6"/>
    </row>
    <row r="183" spans="1:38" ht="15.75" customHeight="1">
      <c r="A183" s="357"/>
      <c r="B183" s="358"/>
      <c r="C183" s="358"/>
      <c r="D183" s="358"/>
      <c r="E183" s="358"/>
      <c r="F183" s="358"/>
      <c r="G183" s="358"/>
      <c r="H183" s="358"/>
      <c r="I183" s="358"/>
      <c r="J183" s="358"/>
      <c r="K183" s="358"/>
      <c r="L183" s="358"/>
      <c r="M183" s="358"/>
      <c r="N183" s="358"/>
      <c r="O183" s="358"/>
      <c r="P183" s="358"/>
      <c r="Q183" s="358"/>
      <c r="R183" s="358"/>
      <c r="S183" s="358"/>
      <c r="T183" s="358"/>
      <c r="U183" s="358"/>
      <c r="V183" s="358"/>
      <c r="W183" s="358"/>
      <c r="X183" s="358"/>
      <c r="Y183" s="358"/>
      <c r="Z183" s="358"/>
      <c r="AA183" s="358"/>
      <c r="AB183" s="358"/>
      <c r="AC183" s="358"/>
      <c r="AD183" s="358"/>
      <c r="AE183" s="358"/>
      <c r="AF183" s="358"/>
      <c r="AG183" s="358"/>
      <c r="AH183" s="358"/>
      <c r="AI183" s="358"/>
      <c r="AJ183" s="358"/>
      <c r="AK183" s="358"/>
      <c r="AL183" s="359"/>
    </row>
    <row r="184" spans="1:38" ht="15.75" customHeight="1">
      <c r="A184" s="360"/>
      <c r="B184" s="361"/>
      <c r="C184" s="361"/>
      <c r="D184" s="361"/>
      <c r="E184" s="361"/>
      <c r="F184" s="361"/>
      <c r="G184" s="361"/>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2"/>
    </row>
    <row r="185" spans="1:38" ht="15.75" customHeight="1">
      <c r="A185" s="363" t="s">
        <v>48</v>
      </c>
      <c r="B185" s="350"/>
      <c r="C185" s="351"/>
      <c r="D185" s="363" t="s">
        <v>60</v>
      </c>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c r="AG185" s="350"/>
      <c r="AH185" s="350"/>
      <c r="AI185" s="350"/>
      <c r="AJ185" s="350"/>
      <c r="AK185" s="350"/>
      <c r="AL185" s="351"/>
    </row>
    <row r="186" spans="1:38" ht="15.75" customHeight="1">
      <c r="A186" s="349" t="s">
        <v>50</v>
      </c>
      <c r="B186" s="350"/>
      <c r="C186" s="351"/>
      <c r="D186" s="349" t="s">
        <v>139</v>
      </c>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c r="AG186" s="350"/>
      <c r="AH186" s="350"/>
      <c r="AI186" s="350"/>
      <c r="AJ186" s="350"/>
      <c r="AK186" s="350"/>
      <c r="AL186" s="351"/>
    </row>
    <row r="187" spans="1:38" ht="15.75" customHeight="1">
      <c r="A187" s="363" t="s">
        <v>62</v>
      </c>
      <c r="B187" s="350"/>
      <c r="C187" s="351"/>
      <c r="D187" s="363" t="s">
        <v>140</v>
      </c>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50"/>
      <c r="AL187" s="351"/>
    </row>
    <row r="188" spans="1:38" ht="15.75" customHeight="1">
      <c r="A188" s="349" t="s">
        <v>64</v>
      </c>
      <c r="B188" s="350"/>
      <c r="C188" s="351"/>
      <c r="D188" s="349" t="s">
        <v>178</v>
      </c>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c r="AG188" s="350"/>
      <c r="AH188" s="350"/>
      <c r="AI188" s="350"/>
      <c r="AJ188" s="350"/>
      <c r="AK188" s="350"/>
      <c r="AL188" s="351"/>
    </row>
    <row r="189" spans="1:38" ht="15.75" customHeight="1">
      <c r="A189" s="349"/>
      <c r="B189" s="350"/>
      <c r="C189" s="351"/>
      <c r="D189" s="349" t="s">
        <v>278</v>
      </c>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c r="AG189" s="350"/>
      <c r="AH189" s="350"/>
      <c r="AI189" s="350"/>
      <c r="AJ189" s="350"/>
      <c r="AK189" s="350"/>
      <c r="AL189" s="351"/>
    </row>
    <row r="190" spans="1:38" ht="15.75" customHeight="1">
      <c r="A190" s="349"/>
      <c r="B190" s="350"/>
      <c r="C190" s="351"/>
      <c r="D190" s="349"/>
      <c r="E190" s="350"/>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c r="AF190" s="350"/>
      <c r="AG190" s="350"/>
      <c r="AH190" s="350"/>
      <c r="AI190" s="350"/>
      <c r="AJ190" s="350"/>
      <c r="AK190" s="350"/>
      <c r="AL190" s="351"/>
    </row>
    <row r="191" spans="1:38" ht="15.75" customHeight="1"/>
    <row r="192" spans="1:3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1">
    <mergeCell ref="D135:AL135"/>
    <mergeCell ref="D136:AL136"/>
    <mergeCell ref="D137:AL137"/>
    <mergeCell ref="D138:AL138"/>
    <mergeCell ref="D139:AL139"/>
    <mergeCell ref="D140:AL140"/>
    <mergeCell ref="D141:AL141"/>
    <mergeCell ref="D142:AL142"/>
    <mergeCell ref="D143:AL143"/>
    <mergeCell ref="D144:AL144"/>
    <mergeCell ref="D145:AL145"/>
    <mergeCell ref="D146:AL146"/>
    <mergeCell ref="D147:AL147"/>
    <mergeCell ref="D148:AL148"/>
    <mergeCell ref="D89:AL89"/>
    <mergeCell ref="D90:AL90"/>
    <mergeCell ref="D91:AL91"/>
    <mergeCell ref="D92:AL92"/>
    <mergeCell ref="D93:AL93"/>
    <mergeCell ref="D94:AL94"/>
    <mergeCell ref="D95:AL95"/>
    <mergeCell ref="D96:AL96"/>
    <mergeCell ref="D97:AL97"/>
    <mergeCell ref="D98:AL98"/>
    <mergeCell ref="D99:AL99"/>
    <mergeCell ref="D100:AL100"/>
    <mergeCell ref="D101:AL101"/>
    <mergeCell ref="D102:AL102"/>
    <mergeCell ref="A103:AL105"/>
    <mergeCell ref="D106:AL106"/>
    <mergeCell ref="D107:AL107"/>
    <mergeCell ref="D108:AL108"/>
    <mergeCell ref="D109:AL109"/>
    <mergeCell ref="D110:AL110"/>
    <mergeCell ref="D111:AL111"/>
    <mergeCell ref="D112:AL112"/>
    <mergeCell ref="D113:AL113"/>
    <mergeCell ref="D114:AL114"/>
    <mergeCell ref="D115:AL115"/>
    <mergeCell ref="D116:AL116"/>
    <mergeCell ref="D117:AL117"/>
    <mergeCell ref="D118:AL118"/>
    <mergeCell ref="D119:AL119"/>
    <mergeCell ref="D120:AL120"/>
    <mergeCell ref="D121:AL121"/>
    <mergeCell ref="D122:AL122"/>
    <mergeCell ref="D123:AL123"/>
    <mergeCell ref="D124:AL124"/>
    <mergeCell ref="D125:AL125"/>
    <mergeCell ref="A126:AL128"/>
    <mergeCell ref="D129:AL129"/>
    <mergeCell ref="A129:C129"/>
    <mergeCell ref="A27:AL27"/>
    <mergeCell ref="A28:X28"/>
    <mergeCell ref="D130:AL130"/>
    <mergeCell ref="D131:AL131"/>
    <mergeCell ref="D132:AL132"/>
    <mergeCell ref="D133:AL133"/>
    <mergeCell ref="D134:AL134"/>
    <mergeCell ref="D149:AL149"/>
    <mergeCell ref="A150:AL150"/>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AL1"/>
    <mergeCell ref="A2:V2"/>
    <mergeCell ref="A3:B3"/>
    <mergeCell ref="C3:E3"/>
    <mergeCell ref="F3:G3"/>
    <mergeCell ref="H3:J3"/>
    <mergeCell ref="K3:N3"/>
    <mergeCell ref="T3:V3"/>
    <mergeCell ref="T4:V4"/>
    <mergeCell ref="T5:V5"/>
    <mergeCell ref="O3:Q3"/>
    <mergeCell ref="A4:B4"/>
    <mergeCell ref="C4:E4"/>
    <mergeCell ref="F4:G4"/>
    <mergeCell ref="H4:J4"/>
    <mergeCell ref="K4:N4"/>
    <mergeCell ref="O4:Q4"/>
    <mergeCell ref="A5:B5"/>
    <mergeCell ref="C5:E5"/>
    <mergeCell ref="F5:G5"/>
    <mergeCell ref="H5:J5"/>
    <mergeCell ref="K5:N5"/>
    <mergeCell ref="O5:Q5"/>
    <mergeCell ref="A6:AL8"/>
    <mergeCell ref="A9:AL11"/>
    <mergeCell ref="B13:AL13"/>
    <mergeCell ref="B14:H14"/>
    <mergeCell ref="I14:T14"/>
    <mergeCell ref="AA14:AL14"/>
    <mergeCell ref="I15:T15"/>
    <mergeCell ref="AA15:AL15"/>
    <mergeCell ref="D20:AL20"/>
    <mergeCell ref="V14:Z14"/>
    <mergeCell ref="V15:Z15"/>
    <mergeCell ref="V16:Z16"/>
    <mergeCell ref="AA16:AL16"/>
    <mergeCell ref="V17:Z17"/>
    <mergeCell ref="AA17:AL17"/>
    <mergeCell ref="V18:Z18"/>
    <mergeCell ref="AA18:AL18"/>
    <mergeCell ref="B15:H15"/>
    <mergeCell ref="B16:H17"/>
    <mergeCell ref="I16:T17"/>
    <mergeCell ref="B18:H18"/>
    <mergeCell ref="I18:P18"/>
    <mergeCell ref="Q18:T18"/>
    <mergeCell ref="D19:AL19"/>
    <mergeCell ref="A47:C47"/>
    <mergeCell ref="D29:AL29"/>
    <mergeCell ref="D30:AL30"/>
    <mergeCell ref="D31:AL31"/>
    <mergeCell ref="D32:AL32"/>
    <mergeCell ref="D33:AL33"/>
    <mergeCell ref="D34:AL34"/>
    <mergeCell ref="D35:AL35"/>
    <mergeCell ref="A19:C19"/>
    <mergeCell ref="A20:C20"/>
    <mergeCell ref="A21:C21"/>
    <mergeCell ref="A22:C22"/>
    <mergeCell ref="A23:C23"/>
    <mergeCell ref="A29:C29"/>
    <mergeCell ref="A30:C30"/>
    <mergeCell ref="A31:C31"/>
    <mergeCell ref="A32:C32"/>
    <mergeCell ref="A33:C33"/>
    <mergeCell ref="A34:C34"/>
    <mergeCell ref="A35:C35"/>
    <mergeCell ref="D21:AL21"/>
    <mergeCell ref="D22:AL22"/>
    <mergeCell ref="D23:AL23"/>
    <mergeCell ref="A24:AL26"/>
    <mergeCell ref="A48:C48"/>
    <mergeCell ref="A49:C49"/>
    <mergeCell ref="A50:C50"/>
    <mergeCell ref="A51:C51"/>
    <mergeCell ref="A52:C52"/>
    <mergeCell ref="A53:C53"/>
    <mergeCell ref="A54:C54"/>
    <mergeCell ref="A55:C55"/>
    <mergeCell ref="A56:C56"/>
    <mergeCell ref="D56:AL56"/>
    <mergeCell ref="D57:AL57"/>
    <mergeCell ref="D58:AL58"/>
    <mergeCell ref="D59:AL59"/>
    <mergeCell ref="D60:AL60"/>
    <mergeCell ref="A66:C66"/>
    <mergeCell ref="A67:C67"/>
    <mergeCell ref="A68:C68"/>
    <mergeCell ref="A69:C69"/>
    <mergeCell ref="A57:C57"/>
    <mergeCell ref="A58:C58"/>
    <mergeCell ref="A59:C59"/>
    <mergeCell ref="A60:C60"/>
    <mergeCell ref="A61:C61"/>
    <mergeCell ref="A62:C62"/>
    <mergeCell ref="A63:C63"/>
    <mergeCell ref="A64:C64"/>
    <mergeCell ref="A65:C65"/>
    <mergeCell ref="D61:AL61"/>
    <mergeCell ref="D62:AL62"/>
    <mergeCell ref="D63:AL63"/>
    <mergeCell ref="D64:AL64"/>
    <mergeCell ref="D65:AL65"/>
    <mergeCell ref="D66:AL66"/>
    <mergeCell ref="D47:AL47"/>
    <mergeCell ref="D48:AL48"/>
    <mergeCell ref="D49:AL49"/>
    <mergeCell ref="D50:AL50"/>
    <mergeCell ref="D51:AL51"/>
    <mergeCell ref="D52:AL52"/>
    <mergeCell ref="D53:AL53"/>
    <mergeCell ref="D54:AL54"/>
    <mergeCell ref="D55:AL55"/>
    <mergeCell ref="D36:AL36"/>
    <mergeCell ref="D37:AL37"/>
    <mergeCell ref="D38:AL38"/>
    <mergeCell ref="D39:AL39"/>
    <mergeCell ref="A40:AL42"/>
    <mergeCell ref="D43:AL43"/>
    <mergeCell ref="D44:AL44"/>
    <mergeCell ref="D45:AL45"/>
    <mergeCell ref="D46:AL46"/>
    <mergeCell ref="A36:C36"/>
    <mergeCell ref="A37:C37"/>
    <mergeCell ref="A38:C38"/>
    <mergeCell ref="A39:C39"/>
    <mergeCell ref="A43:C43"/>
    <mergeCell ref="A44:C44"/>
    <mergeCell ref="A45:C45"/>
    <mergeCell ref="A46:C46"/>
    <mergeCell ref="D67:AL67"/>
    <mergeCell ref="D68:AL68"/>
    <mergeCell ref="D69:AL69"/>
    <mergeCell ref="D70:AL70"/>
    <mergeCell ref="D71:AL71"/>
    <mergeCell ref="D72:AL72"/>
    <mergeCell ref="D73:AL73"/>
    <mergeCell ref="D74:AL74"/>
    <mergeCell ref="D75:AL75"/>
    <mergeCell ref="D76:AL76"/>
    <mergeCell ref="A77:AL79"/>
    <mergeCell ref="D80:AL80"/>
    <mergeCell ref="A76:C76"/>
    <mergeCell ref="A80:C80"/>
    <mergeCell ref="A75:C75"/>
    <mergeCell ref="A70:C70"/>
    <mergeCell ref="A71:C71"/>
    <mergeCell ref="A72:C72"/>
    <mergeCell ref="A73:C73"/>
    <mergeCell ref="A74:C74"/>
    <mergeCell ref="D81:AL81"/>
    <mergeCell ref="D82:AL82"/>
    <mergeCell ref="D83:AL83"/>
    <mergeCell ref="D84:AL84"/>
    <mergeCell ref="D85:AL85"/>
    <mergeCell ref="D86:AL86"/>
    <mergeCell ref="D87:AL87"/>
    <mergeCell ref="D88:AL88"/>
    <mergeCell ref="A134:C134"/>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189:C189"/>
    <mergeCell ref="A190:C190"/>
    <mergeCell ref="A173:C173"/>
    <mergeCell ref="A174:C174"/>
    <mergeCell ref="A175:C175"/>
    <mergeCell ref="A176:C176"/>
    <mergeCell ref="A177:C177"/>
    <mergeCell ref="A178:C178"/>
    <mergeCell ref="A179:C179"/>
    <mergeCell ref="A96:C96"/>
    <mergeCell ref="A97:C97"/>
    <mergeCell ref="A98:C98"/>
    <mergeCell ref="A99:C99"/>
    <mergeCell ref="A100:C100"/>
    <mergeCell ref="A101:C101"/>
    <mergeCell ref="A102:C102"/>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30:C130"/>
    <mergeCell ref="A131:C131"/>
    <mergeCell ref="A132:C132"/>
    <mergeCell ref="A133:C133"/>
    <mergeCell ref="D156:AL156"/>
    <mergeCell ref="D157:AL157"/>
    <mergeCell ref="D158:AL158"/>
    <mergeCell ref="D159:AL159"/>
    <mergeCell ref="D160:AL160"/>
    <mergeCell ref="A160:C160"/>
    <mergeCell ref="A151:C151"/>
    <mergeCell ref="A152:C152"/>
    <mergeCell ref="A153:C153"/>
    <mergeCell ref="A154:C154"/>
    <mergeCell ref="A155:C155"/>
    <mergeCell ref="A156:C156"/>
    <mergeCell ref="A157:C157"/>
    <mergeCell ref="A158:C158"/>
    <mergeCell ref="A159:C159"/>
    <mergeCell ref="D153:AL153"/>
    <mergeCell ref="D154:AL154"/>
    <mergeCell ref="D155:AL155"/>
    <mergeCell ref="D151:AL151"/>
    <mergeCell ref="D152:AL152"/>
    <mergeCell ref="D161:AL161"/>
    <mergeCell ref="D162:AL162"/>
    <mergeCell ref="D163:AL163"/>
    <mergeCell ref="D164:AL164"/>
    <mergeCell ref="D165:AL165"/>
    <mergeCell ref="D166:AL166"/>
    <mergeCell ref="D167:AL167"/>
    <mergeCell ref="A168:AL170"/>
    <mergeCell ref="D171:AL171"/>
    <mergeCell ref="A161:C161"/>
    <mergeCell ref="A162:C162"/>
    <mergeCell ref="A163:C163"/>
    <mergeCell ref="A164:C164"/>
    <mergeCell ref="A165:C165"/>
    <mergeCell ref="A166:C166"/>
    <mergeCell ref="A167:C167"/>
    <mergeCell ref="A171:C171"/>
    <mergeCell ref="D190:AL190"/>
    <mergeCell ref="D179:AL179"/>
    <mergeCell ref="D180:AL180"/>
    <mergeCell ref="D181:AL181"/>
    <mergeCell ref="A182:AL184"/>
    <mergeCell ref="D185:AL185"/>
    <mergeCell ref="D186:AL186"/>
    <mergeCell ref="D187:AL187"/>
    <mergeCell ref="D172:AL172"/>
    <mergeCell ref="D173:AL173"/>
    <mergeCell ref="D174:AL174"/>
    <mergeCell ref="D175:AL175"/>
    <mergeCell ref="D176:AL176"/>
    <mergeCell ref="D177:AL177"/>
    <mergeCell ref="D178:AL178"/>
    <mergeCell ref="D188:AL188"/>
    <mergeCell ref="D189:AL189"/>
    <mergeCell ref="A172:C172"/>
    <mergeCell ref="A180:C180"/>
    <mergeCell ref="A181:C181"/>
    <mergeCell ref="A185:C185"/>
    <mergeCell ref="A186:C186"/>
    <mergeCell ref="A187:C187"/>
    <mergeCell ref="A188:C188"/>
  </mergeCells>
  <pageMargins left="0.25" right="0.25" top="0.75" bottom="0.75" header="0" footer="0"/>
  <pageSetup paperSize="5" fitToHeight="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'Drop-Down Boxes '!$H$3:$H$11</xm:f>
          </x14:formula1>
          <xm:sqref>Q18</xm:sqref>
        </x14:dataValidation>
        <x14:dataValidation type="list" allowBlank="1" showErrorMessage="1" xr:uid="{00000000-0002-0000-0000-000001000000}">
          <x14:formula1>
            <xm:f>'Drop-Down Boxes '!$D$3:$D$14</xm:f>
          </x14:formula1>
          <xm:sqref>I18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5F497A"/>
  </sheetPr>
  <dimension ref="A1:CV1000"/>
  <sheetViews>
    <sheetView topLeftCell="A56" workbookViewId="0">
      <selection sqref="A1:AU1"/>
    </sheetView>
  </sheetViews>
  <sheetFormatPr defaultColWidth="14.42578125" defaultRowHeight="15" customHeight="1"/>
  <cols>
    <col min="1" max="14" width="4.7109375" customWidth="1"/>
    <col min="15" max="100" width="3.7109375" customWidth="1"/>
  </cols>
  <sheetData>
    <row r="1" spans="1:59" ht="18.75">
      <c r="A1" s="466" t="str">
        <f>'GRANTEE SET UP INFO &amp; DATE '!A1</f>
        <v>WV Bureau for Behavioral Health  - Peer Recovery Support Services  V 20200110</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428"/>
    </row>
    <row r="2" spans="1:59" ht="16.5" customHeight="1">
      <c r="A2" s="467" t="str">
        <f>'GRANTEE SET UP INFO &amp; DATE '!A2</f>
        <v xml:space="preserve">Program reports need to be submitted electronically, via e-mail to DHHRBBHReporting@wv.gov  within 25 calendar days of the end of each month </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428"/>
    </row>
    <row r="3" spans="1:59" ht="19.5" customHeight="1">
      <c r="A3" s="514" t="s">
        <v>536</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428"/>
    </row>
    <row r="4" spans="1:59">
      <c r="A4" s="511" t="s">
        <v>537</v>
      </c>
      <c r="B4" s="350"/>
      <c r="C4" s="350"/>
      <c r="D4" s="350"/>
      <c r="E4" s="350"/>
      <c r="F4" s="350"/>
      <c r="G4" s="350"/>
      <c r="H4" s="350"/>
      <c r="I4" s="350"/>
      <c r="J4" s="351"/>
      <c r="K4" s="412" t="str">
        <f>'GRANTEE SET UP INFO &amp; DATE '!H4</f>
        <v>Recovery Community Organization (RCO)</v>
      </c>
      <c r="L4" s="350"/>
      <c r="M4" s="350"/>
      <c r="N4" s="350"/>
      <c r="O4" s="350"/>
      <c r="P4" s="350"/>
      <c r="Q4" s="350"/>
      <c r="R4" s="350"/>
      <c r="S4" s="350"/>
      <c r="T4" s="350"/>
      <c r="U4" s="351"/>
      <c r="V4" s="9"/>
      <c r="W4" s="511" t="s">
        <v>529</v>
      </c>
      <c r="X4" s="350"/>
      <c r="Y4" s="350"/>
      <c r="Z4" s="350"/>
      <c r="AA4" s="350"/>
      <c r="AB4" s="350"/>
      <c r="AC4" s="350"/>
      <c r="AD4" s="350"/>
      <c r="AE4" s="351"/>
      <c r="AF4" s="875">
        <f>'GRANTEE SET UP INFO &amp; DATE '!Z4</f>
        <v>0</v>
      </c>
      <c r="AG4" s="358"/>
      <c r="AH4" s="358"/>
      <c r="AI4" s="358"/>
      <c r="AJ4" s="358"/>
      <c r="AK4" s="358"/>
      <c r="AL4" s="358"/>
      <c r="AM4" s="358"/>
      <c r="AN4" s="358"/>
      <c r="AO4" s="358"/>
      <c r="AP4" s="358"/>
      <c r="AQ4" s="358"/>
      <c r="AR4" s="358"/>
      <c r="AS4" s="358"/>
      <c r="AT4" s="358"/>
      <c r="AU4" s="358"/>
    </row>
    <row r="5" spans="1:59">
      <c r="A5" s="511" t="s">
        <v>538</v>
      </c>
      <c r="B5" s="350"/>
      <c r="C5" s="350"/>
      <c r="D5" s="350"/>
      <c r="E5" s="350"/>
      <c r="F5" s="350"/>
      <c r="G5" s="350"/>
      <c r="H5" s="350"/>
      <c r="I5" s="350"/>
      <c r="J5" s="351"/>
      <c r="K5" s="412">
        <f>'GRANTEE SET UP INFO &amp; DATE '!H5</f>
        <v>0</v>
      </c>
      <c r="L5" s="350"/>
      <c r="M5" s="350"/>
      <c r="N5" s="350"/>
      <c r="O5" s="350"/>
      <c r="P5" s="350"/>
      <c r="Q5" s="350"/>
      <c r="R5" s="350"/>
      <c r="S5" s="350"/>
      <c r="T5" s="350"/>
      <c r="U5" s="351"/>
      <c r="V5" s="9"/>
      <c r="W5" s="511" t="s">
        <v>36</v>
      </c>
      <c r="X5" s="350"/>
      <c r="Y5" s="350"/>
      <c r="Z5" s="350"/>
      <c r="AA5" s="350"/>
      <c r="AB5" s="350"/>
      <c r="AC5" s="350"/>
      <c r="AD5" s="350"/>
      <c r="AE5" s="351"/>
      <c r="AF5" s="879" t="str">
        <f>'GRANTEE SET UP INFO &amp; DATE '!Z5</f>
        <v xml:space="preserve">Names of Contact(s): </v>
      </c>
      <c r="AG5" s="358"/>
      <c r="AH5" s="358"/>
      <c r="AI5" s="358"/>
      <c r="AJ5" s="358"/>
      <c r="AK5" s="358"/>
      <c r="AL5" s="358"/>
      <c r="AM5" s="358"/>
      <c r="AN5" s="358"/>
      <c r="AO5" s="358"/>
      <c r="AP5" s="358"/>
      <c r="AQ5" s="358"/>
      <c r="AR5" s="358"/>
      <c r="AS5" s="358"/>
      <c r="AT5" s="358"/>
      <c r="AU5" s="358"/>
    </row>
    <row r="6" spans="1:59" ht="14.25" customHeight="1">
      <c r="A6" s="876" t="s">
        <v>38</v>
      </c>
      <c r="B6" s="355"/>
      <c r="C6" s="355"/>
      <c r="D6" s="355"/>
      <c r="E6" s="355"/>
      <c r="F6" s="355"/>
      <c r="G6" s="355"/>
      <c r="H6" s="355"/>
      <c r="I6" s="355"/>
      <c r="J6" s="356"/>
      <c r="K6" s="420">
        <f>'GRANTEE SET UP INFO &amp; DATE '!H6</f>
        <v>0</v>
      </c>
      <c r="L6" s="355"/>
      <c r="M6" s="355"/>
      <c r="N6" s="355"/>
      <c r="O6" s="355"/>
      <c r="P6" s="355"/>
      <c r="Q6" s="355"/>
      <c r="R6" s="355"/>
      <c r="S6" s="355"/>
      <c r="T6" s="355"/>
      <c r="U6" s="356"/>
      <c r="V6" s="9"/>
      <c r="W6" s="511" t="s">
        <v>40</v>
      </c>
      <c r="X6" s="350"/>
      <c r="Y6" s="350"/>
      <c r="Z6" s="350"/>
      <c r="AA6" s="350"/>
      <c r="AB6" s="350"/>
      <c r="AC6" s="350"/>
      <c r="AD6" s="350"/>
      <c r="AE6" s="351"/>
      <c r="AF6" s="875">
        <f>'GRANTEE SET UP INFO &amp; DATE '!Z6</f>
        <v>0</v>
      </c>
      <c r="AG6" s="358"/>
      <c r="AH6" s="358"/>
      <c r="AI6" s="358"/>
      <c r="AJ6" s="358"/>
      <c r="AK6" s="358"/>
      <c r="AL6" s="358"/>
      <c r="AM6" s="358"/>
      <c r="AN6" s="358"/>
      <c r="AO6" s="358"/>
      <c r="AP6" s="358"/>
      <c r="AQ6" s="358"/>
      <c r="AR6" s="358"/>
      <c r="AS6" s="358"/>
      <c r="AT6" s="358"/>
      <c r="AU6" s="358"/>
    </row>
    <row r="7" spans="1:59">
      <c r="A7" s="360"/>
      <c r="B7" s="361"/>
      <c r="C7" s="361"/>
      <c r="D7" s="361"/>
      <c r="E7" s="361"/>
      <c r="F7" s="361"/>
      <c r="G7" s="361"/>
      <c r="H7" s="361"/>
      <c r="I7" s="361"/>
      <c r="J7" s="362"/>
      <c r="K7" s="360"/>
      <c r="L7" s="361"/>
      <c r="M7" s="361"/>
      <c r="N7" s="361"/>
      <c r="O7" s="361"/>
      <c r="P7" s="361"/>
      <c r="Q7" s="361"/>
      <c r="R7" s="361"/>
      <c r="S7" s="361"/>
      <c r="T7" s="361"/>
      <c r="U7" s="362"/>
      <c r="V7" s="9"/>
      <c r="W7" s="511" t="s">
        <v>42</v>
      </c>
      <c r="X7" s="350"/>
      <c r="Y7" s="350"/>
      <c r="Z7" s="350"/>
      <c r="AA7" s="350"/>
      <c r="AB7" s="350"/>
      <c r="AC7" s="350"/>
      <c r="AD7" s="350"/>
      <c r="AE7" s="351"/>
      <c r="AF7" s="875">
        <f>'GRANTEE SET UP INFO &amp; DATE '!Z7</f>
        <v>0</v>
      </c>
      <c r="AG7" s="358"/>
      <c r="AH7" s="358"/>
      <c r="AI7" s="358"/>
      <c r="AJ7" s="358"/>
      <c r="AK7" s="358"/>
      <c r="AL7" s="358"/>
      <c r="AM7" s="358"/>
      <c r="AN7" s="358"/>
      <c r="AO7" s="358"/>
      <c r="AP7" s="358"/>
      <c r="AQ7" s="358"/>
      <c r="AR7" s="358"/>
      <c r="AS7" s="358"/>
      <c r="AT7" s="358"/>
      <c r="AU7" s="358"/>
    </row>
    <row r="8" spans="1:59" ht="15" customHeight="1">
      <c r="A8" s="877" t="s">
        <v>539</v>
      </c>
      <c r="B8" s="350"/>
      <c r="C8" s="350"/>
      <c r="D8" s="350"/>
      <c r="E8" s="350"/>
      <c r="F8" s="350"/>
      <c r="G8" s="350"/>
      <c r="H8" s="350"/>
      <c r="I8" s="350"/>
      <c r="J8" s="351"/>
      <c r="K8" s="878" t="str">
        <f>'GRANTEE SET UP INFO &amp; DATE '!H8</f>
        <v>June 1 - 30</v>
      </c>
      <c r="L8" s="350"/>
      <c r="M8" s="350"/>
      <c r="N8" s="350"/>
      <c r="O8" s="350"/>
      <c r="P8" s="350"/>
      <c r="Q8" s="350"/>
      <c r="R8" s="351"/>
      <c r="S8" s="878">
        <f>'GRANTEE SET UP INFO &amp; DATE '!P8</f>
        <v>2022</v>
      </c>
      <c r="T8" s="350"/>
      <c r="U8" s="351"/>
      <c r="V8" s="104"/>
      <c r="W8" s="511" t="s">
        <v>533</v>
      </c>
      <c r="X8" s="350"/>
      <c r="Y8" s="350"/>
      <c r="Z8" s="350"/>
      <c r="AA8" s="350"/>
      <c r="AB8" s="350"/>
      <c r="AC8" s="350"/>
      <c r="AD8" s="350"/>
      <c r="AE8" s="351"/>
      <c r="AF8" s="880">
        <f>'GRANTEE SET UP INFO &amp; DATE '!Z8</f>
        <v>0</v>
      </c>
      <c r="AG8" s="358"/>
      <c r="AH8" s="358"/>
      <c r="AI8" s="358"/>
      <c r="AJ8" s="358"/>
      <c r="AK8" s="358"/>
      <c r="AL8" s="358"/>
      <c r="AM8" s="358"/>
      <c r="AN8" s="358"/>
      <c r="AO8" s="358"/>
      <c r="AP8" s="358"/>
      <c r="AQ8" s="358"/>
      <c r="AR8" s="358"/>
      <c r="AS8" s="358"/>
      <c r="AT8" s="358"/>
      <c r="AU8" s="358"/>
    </row>
    <row r="9" spans="1:59" ht="24.75" customHeight="1">
      <c r="A9" s="741" t="s">
        <v>540</v>
      </c>
      <c r="B9" s="378"/>
      <c r="C9" s="378"/>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495"/>
      <c r="AO9" s="9"/>
      <c r="AP9" s="9"/>
      <c r="AQ9" s="9"/>
      <c r="AR9" s="9"/>
      <c r="AS9" s="9"/>
      <c r="AT9" s="9"/>
      <c r="AU9" s="9"/>
    </row>
    <row r="10" spans="1:59" ht="18.75">
      <c r="A10" s="864" t="s">
        <v>541</v>
      </c>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428"/>
    </row>
    <row r="11" spans="1:59" ht="21">
      <c r="A11" s="865" t="s">
        <v>542</v>
      </c>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c r="AT11" s="381"/>
      <c r="AU11" s="381"/>
      <c r="AV11" s="381"/>
      <c r="AW11" s="381"/>
      <c r="AX11" s="381"/>
      <c r="AY11" s="381"/>
      <c r="AZ11" s="381"/>
      <c r="BA11" s="381"/>
      <c r="BB11" s="381"/>
      <c r="BC11" s="381"/>
      <c r="BD11" s="381"/>
      <c r="BE11" s="381"/>
      <c r="BF11" s="381"/>
      <c r="BG11" s="428"/>
    </row>
    <row r="12" spans="1:59" ht="21">
      <c r="A12" s="866" t="s">
        <v>542</v>
      </c>
      <c r="B12" s="350"/>
      <c r="C12" s="350"/>
      <c r="D12" s="350"/>
      <c r="E12" s="350"/>
      <c r="F12" s="350"/>
      <c r="G12" s="350"/>
      <c r="H12" s="350"/>
      <c r="I12" s="350"/>
      <c r="J12" s="350"/>
      <c r="K12" s="350"/>
      <c r="L12" s="350"/>
      <c r="M12" s="350"/>
      <c r="N12" s="350"/>
      <c r="O12" s="350"/>
      <c r="P12" s="350"/>
      <c r="Q12" s="350"/>
      <c r="R12" s="350"/>
      <c r="S12" s="350"/>
      <c r="T12" s="350"/>
      <c r="U12" s="350"/>
      <c r="V12" s="350"/>
      <c r="W12" s="351"/>
      <c r="X12" s="867" t="s">
        <v>543</v>
      </c>
      <c r="Y12" s="350"/>
      <c r="Z12" s="350"/>
      <c r="AA12" s="350"/>
      <c r="AB12" s="350"/>
      <c r="AC12" s="350"/>
      <c r="AD12" s="350"/>
      <c r="AE12" s="351"/>
      <c r="AF12" s="105"/>
      <c r="AG12" s="105"/>
      <c r="AH12" s="105"/>
      <c r="AK12" s="106"/>
      <c r="AL12" s="106"/>
      <c r="AM12" s="106"/>
      <c r="AN12" s="106"/>
      <c r="AO12" s="106"/>
      <c r="AP12" s="106"/>
      <c r="AQ12" s="106"/>
      <c r="AR12" s="106"/>
      <c r="AS12" s="106"/>
      <c r="AT12" s="106"/>
      <c r="AU12" s="106"/>
      <c r="AV12" s="106"/>
      <c r="AW12" s="106"/>
      <c r="AX12" s="106"/>
      <c r="AY12" s="106"/>
      <c r="AZ12" s="106"/>
    </row>
    <row r="13" spans="1:59" ht="21">
      <c r="A13" s="869" t="s">
        <v>544</v>
      </c>
      <c r="B13" s="350"/>
      <c r="C13" s="350"/>
      <c r="D13" s="350"/>
      <c r="E13" s="350"/>
      <c r="F13" s="350"/>
      <c r="G13" s="350"/>
      <c r="H13" s="350"/>
      <c r="I13" s="350"/>
      <c r="J13" s="350"/>
      <c r="K13" s="350"/>
      <c r="L13" s="350"/>
      <c r="M13" s="350"/>
      <c r="N13" s="350"/>
      <c r="O13" s="350"/>
      <c r="P13" s="350"/>
      <c r="Q13" s="350"/>
      <c r="R13" s="350"/>
      <c r="S13" s="350"/>
      <c r="T13" s="350"/>
      <c r="U13" s="350"/>
      <c r="V13" s="350"/>
      <c r="W13" s="351"/>
      <c r="X13" s="868">
        <f>COUNTIFS('refer admin discharge'!H15:H2995,"&gt;=07/01/2015",'refer admin discharge'!H15:H2995,"&lt;=09/30/2019")</f>
        <v>0</v>
      </c>
      <c r="Y13" s="350"/>
      <c r="Z13" s="350"/>
      <c r="AA13" s="350"/>
      <c r="AB13" s="350"/>
      <c r="AC13" s="350"/>
      <c r="AD13" s="350"/>
      <c r="AE13" s="351"/>
      <c r="AF13" s="105"/>
      <c r="AG13" s="105"/>
      <c r="AH13" s="105"/>
      <c r="AK13" s="106"/>
      <c r="AL13" s="106"/>
      <c r="AM13" s="106"/>
      <c r="AN13" s="106"/>
      <c r="AO13" s="106"/>
      <c r="AP13" s="106"/>
      <c r="AQ13" s="106"/>
      <c r="AR13" s="106"/>
      <c r="AS13" s="106"/>
      <c r="AT13" s="106"/>
      <c r="AU13" s="106"/>
      <c r="AV13" s="106"/>
      <c r="AW13" s="106"/>
      <c r="AX13" s="106"/>
      <c r="AY13" s="106"/>
      <c r="AZ13" s="106"/>
    </row>
    <row r="14" spans="1:59" ht="21">
      <c r="A14" s="870" t="s">
        <v>545</v>
      </c>
      <c r="B14" s="350"/>
      <c r="C14" s="350"/>
      <c r="D14" s="350"/>
      <c r="E14" s="350"/>
      <c r="F14" s="350"/>
      <c r="G14" s="350"/>
      <c r="H14" s="350"/>
      <c r="I14" s="350"/>
      <c r="J14" s="350"/>
      <c r="K14" s="350"/>
      <c r="L14" s="350"/>
      <c r="M14" s="350"/>
      <c r="N14" s="350"/>
      <c r="O14" s="350"/>
      <c r="P14" s="350"/>
      <c r="Q14" s="350"/>
      <c r="R14" s="350"/>
      <c r="S14" s="350"/>
      <c r="T14" s="350"/>
      <c r="U14" s="350"/>
      <c r="V14" s="350"/>
      <c r="W14" s="351"/>
      <c r="X14" s="871">
        <f>COUNTIFS('refer admin discharge'!H15:H2995,"&gt;=10/01/2019",'refer admin discharge'!H15:H2995,"&lt;=09/30/2022")</f>
        <v>0</v>
      </c>
      <c r="Y14" s="350"/>
      <c r="Z14" s="350"/>
      <c r="AA14" s="350"/>
      <c r="AB14" s="350"/>
      <c r="AC14" s="350"/>
      <c r="AD14" s="350"/>
      <c r="AE14" s="351"/>
      <c r="AF14" s="105"/>
      <c r="AG14" s="107"/>
      <c r="AH14" s="107"/>
      <c r="AK14" s="108"/>
      <c r="AL14" s="108"/>
      <c r="AM14" s="108"/>
      <c r="AN14" s="108"/>
      <c r="AO14" s="108"/>
      <c r="AP14" s="108"/>
      <c r="AQ14" s="108"/>
      <c r="AR14" s="108"/>
      <c r="AS14" s="109"/>
      <c r="AT14" s="109"/>
      <c r="AU14" s="109"/>
      <c r="AV14" s="109"/>
      <c r="AW14" s="109"/>
      <c r="AX14" s="109"/>
      <c r="AY14" s="109"/>
      <c r="AZ14" s="109"/>
    </row>
    <row r="15" spans="1:59" ht="21">
      <c r="A15" s="872" t="s">
        <v>546</v>
      </c>
      <c r="B15" s="350"/>
      <c r="C15" s="350"/>
      <c r="D15" s="350"/>
      <c r="E15" s="350"/>
      <c r="F15" s="350"/>
      <c r="G15" s="350"/>
      <c r="H15" s="350"/>
      <c r="I15" s="350"/>
      <c r="J15" s="350"/>
      <c r="K15" s="350"/>
      <c r="L15" s="350"/>
      <c r="M15" s="350"/>
      <c r="N15" s="350"/>
      <c r="O15" s="350"/>
      <c r="P15" s="350"/>
      <c r="Q15" s="350"/>
      <c r="R15" s="350"/>
      <c r="S15" s="350"/>
      <c r="T15" s="350"/>
      <c r="U15" s="350"/>
      <c r="V15" s="350"/>
      <c r="W15" s="351"/>
      <c r="X15" s="860">
        <f>COUNTIFS('refer admin discharge'!L15:L2995,"YES")</f>
        <v>0</v>
      </c>
      <c r="Y15" s="350"/>
      <c r="Z15" s="350"/>
      <c r="AA15" s="350"/>
      <c r="AB15" s="350"/>
      <c r="AC15" s="350"/>
      <c r="AD15" s="350"/>
      <c r="AE15" s="351"/>
      <c r="AF15" s="105"/>
      <c r="AG15" s="110"/>
      <c r="AH15" s="110"/>
      <c r="AK15" s="111"/>
      <c r="AL15" s="111"/>
      <c r="AM15" s="111"/>
      <c r="AN15" s="111"/>
      <c r="AO15" s="111"/>
      <c r="AP15" s="111"/>
      <c r="AQ15" s="111"/>
      <c r="AR15" s="111"/>
      <c r="AS15" s="105"/>
      <c r="AT15" s="105"/>
      <c r="AU15" s="105"/>
      <c r="AV15" s="105"/>
      <c r="AW15" s="105"/>
      <c r="AX15" s="105"/>
      <c r="AY15" s="105"/>
      <c r="AZ15" s="105"/>
    </row>
    <row r="16" spans="1:59" ht="21">
      <c r="A16" s="870" t="s">
        <v>547</v>
      </c>
      <c r="B16" s="350"/>
      <c r="C16" s="350"/>
      <c r="D16" s="350"/>
      <c r="E16" s="350"/>
      <c r="F16" s="350"/>
      <c r="G16" s="350"/>
      <c r="H16" s="350"/>
      <c r="I16" s="350"/>
      <c r="J16" s="350"/>
      <c r="K16" s="350"/>
      <c r="L16" s="350"/>
      <c r="M16" s="350"/>
      <c r="N16" s="350"/>
      <c r="O16" s="350"/>
      <c r="P16" s="350"/>
      <c r="Q16" s="350"/>
      <c r="R16" s="350"/>
      <c r="S16" s="350"/>
      <c r="T16" s="350"/>
      <c r="U16" s="350"/>
      <c r="V16" s="350"/>
      <c r="W16" s="351"/>
      <c r="X16" s="871">
        <f>COUNTIFS('refer admin discharge'!BC15:BC2995,"YES")</f>
        <v>0</v>
      </c>
      <c r="Y16" s="350"/>
      <c r="Z16" s="350"/>
      <c r="AA16" s="350"/>
      <c r="AB16" s="350"/>
      <c r="AC16" s="350"/>
      <c r="AD16" s="350"/>
      <c r="AE16" s="351"/>
      <c r="AF16" s="105"/>
      <c r="AG16" s="112"/>
      <c r="AH16" s="112"/>
      <c r="AK16" s="111"/>
      <c r="AL16" s="111"/>
      <c r="AM16" s="111"/>
      <c r="AN16" s="111"/>
      <c r="AO16" s="111"/>
      <c r="AP16" s="111"/>
      <c r="AQ16" s="111"/>
      <c r="AR16" s="111"/>
      <c r="AS16" s="105"/>
      <c r="AT16" s="105"/>
      <c r="AU16" s="105"/>
      <c r="AV16" s="105"/>
      <c r="AW16" s="105"/>
      <c r="AX16" s="105"/>
      <c r="AY16" s="105"/>
      <c r="AZ16" s="105"/>
    </row>
    <row r="17" spans="1:78" ht="21">
      <c r="A17" s="853" t="s">
        <v>548</v>
      </c>
      <c r="B17" s="350"/>
      <c r="C17" s="350"/>
      <c r="D17" s="350"/>
      <c r="E17" s="350"/>
      <c r="F17" s="350"/>
      <c r="G17" s="350"/>
      <c r="H17" s="350"/>
      <c r="I17" s="350"/>
      <c r="J17" s="350"/>
      <c r="K17" s="350"/>
      <c r="L17" s="350"/>
      <c r="M17" s="350"/>
      <c r="N17" s="350"/>
      <c r="O17" s="350"/>
      <c r="P17" s="350"/>
      <c r="Q17" s="350"/>
      <c r="R17" s="350"/>
      <c r="S17" s="350"/>
      <c r="T17" s="350"/>
      <c r="U17" s="350"/>
      <c r="V17" s="350"/>
      <c r="W17" s="351"/>
      <c r="X17" s="860">
        <f>X13+X14-X16</f>
        <v>0</v>
      </c>
      <c r="Y17" s="350"/>
      <c r="Z17" s="350"/>
      <c r="AA17" s="350"/>
      <c r="AB17" s="350"/>
      <c r="AC17" s="350"/>
      <c r="AD17" s="350"/>
      <c r="AE17" s="351"/>
      <c r="AF17" s="105"/>
      <c r="AG17" s="113"/>
      <c r="AH17" s="113"/>
      <c r="AK17" s="111"/>
      <c r="AL17" s="111"/>
      <c r="AM17" s="111"/>
      <c r="AN17" s="111"/>
      <c r="AO17" s="111"/>
      <c r="AP17" s="111"/>
      <c r="AQ17" s="111"/>
      <c r="AR17" s="111"/>
      <c r="AS17" s="105"/>
      <c r="AT17" s="105"/>
      <c r="AU17" s="105"/>
      <c r="AV17" s="105"/>
      <c r="AW17" s="105"/>
      <c r="AX17" s="105"/>
      <c r="AY17" s="105"/>
      <c r="AZ17" s="105"/>
    </row>
    <row r="18" spans="1:78" ht="21">
      <c r="A18" s="873" t="s">
        <v>549</v>
      </c>
      <c r="B18" s="350"/>
      <c r="C18" s="350"/>
      <c r="D18" s="350"/>
      <c r="E18" s="350"/>
      <c r="F18" s="350"/>
      <c r="G18" s="350"/>
      <c r="H18" s="350"/>
      <c r="I18" s="350"/>
      <c r="J18" s="350"/>
      <c r="K18" s="350"/>
      <c r="L18" s="350"/>
      <c r="M18" s="350"/>
      <c r="N18" s="350"/>
      <c r="O18" s="350"/>
      <c r="P18" s="350"/>
      <c r="Q18" s="350"/>
      <c r="R18" s="350"/>
      <c r="S18" s="350"/>
      <c r="T18" s="350"/>
      <c r="U18" s="350"/>
      <c r="V18" s="350"/>
      <c r="W18" s="351"/>
      <c r="X18" s="874">
        <f>X13+X14</f>
        <v>0</v>
      </c>
      <c r="Y18" s="350"/>
      <c r="Z18" s="350"/>
      <c r="AA18" s="350"/>
      <c r="AB18" s="350"/>
      <c r="AC18" s="350"/>
      <c r="AD18" s="350"/>
      <c r="AE18" s="351"/>
      <c r="AF18" s="105"/>
      <c r="AG18" s="112"/>
      <c r="AH18" s="112"/>
      <c r="AK18" s="114"/>
      <c r="AL18" s="114"/>
      <c r="AM18" s="114"/>
      <c r="AN18" s="114"/>
      <c r="AO18" s="114"/>
      <c r="AP18" s="114"/>
      <c r="AQ18" s="114"/>
      <c r="AR18" s="114"/>
      <c r="AS18" s="105"/>
      <c r="AT18" s="105"/>
      <c r="AU18" s="105"/>
      <c r="AV18" s="105"/>
      <c r="AW18" s="105"/>
      <c r="AX18" s="105"/>
      <c r="AY18" s="105"/>
      <c r="AZ18" s="105"/>
      <c r="BA18" s="105"/>
      <c r="BB18" s="105"/>
      <c r="BC18" s="105"/>
      <c r="BD18" s="105"/>
      <c r="BE18" s="105"/>
      <c r="BF18" s="105"/>
      <c r="BG18" s="105"/>
      <c r="BJ18" s="114"/>
      <c r="BK18" s="114"/>
      <c r="BL18" s="114"/>
      <c r="BM18" s="114"/>
      <c r="BN18" s="114"/>
      <c r="BO18" s="114"/>
      <c r="BP18" s="114"/>
      <c r="BQ18" s="114"/>
      <c r="BR18" s="115"/>
      <c r="BS18" s="115"/>
      <c r="BT18" s="105"/>
      <c r="BU18" s="105"/>
      <c r="BV18" s="105"/>
      <c r="BW18" s="105"/>
      <c r="BX18" s="105"/>
      <c r="BY18" s="105"/>
      <c r="BZ18" s="105"/>
    </row>
    <row r="19" spans="1:78" ht="21">
      <c r="A19" s="858" t="s">
        <v>550</v>
      </c>
      <c r="B19" s="350"/>
      <c r="C19" s="350"/>
      <c r="D19" s="350"/>
      <c r="E19" s="350"/>
      <c r="F19" s="350"/>
      <c r="G19" s="350"/>
      <c r="H19" s="350"/>
      <c r="I19" s="350"/>
      <c r="J19" s="350"/>
      <c r="K19" s="350"/>
      <c r="L19" s="350"/>
      <c r="M19" s="350"/>
      <c r="N19" s="350"/>
      <c r="O19" s="350"/>
      <c r="P19" s="350"/>
      <c r="Q19" s="350"/>
      <c r="R19" s="350"/>
      <c r="S19" s="350"/>
      <c r="T19" s="350"/>
      <c r="U19" s="350"/>
      <c r="V19" s="350"/>
      <c r="W19" s="351"/>
      <c r="X19" s="859">
        <f>X18-X15</f>
        <v>0</v>
      </c>
      <c r="Y19" s="350"/>
      <c r="Z19" s="350"/>
      <c r="AA19" s="350"/>
      <c r="AB19" s="350"/>
      <c r="AC19" s="350"/>
      <c r="AD19" s="350"/>
      <c r="AE19" s="351"/>
      <c r="AF19" s="105"/>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05"/>
      <c r="BE19" s="105"/>
      <c r="BF19" s="105"/>
      <c r="BG19" s="105"/>
    </row>
    <row r="20" spans="1:78" ht="21">
      <c r="A20" s="853"/>
      <c r="B20" s="350"/>
      <c r="C20" s="350"/>
      <c r="D20" s="350"/>
      <c r="E20" s="350"/>
      <c r="F20" s="350"/>
      <c r="G20" s="350"/>
      <c r="H20" s="350"/>
      <c r="I20" s="350"/>
      <c r="J20" s="350"/>
      <c r="K20" s="350"/>
      <c r="L20" s="350"/>
      <c r="M20" s="350"/>
      <c r="N20" s="350"/>
      <c r="O20" s="350"/>
      <c r="P20" s="350"/>
      <c r="Q20" s="350"/>
      <c r="R20" s="350"/>
      <c r="S20" s="350"/>
      <c r="T20" s="350"/>
      <c r="U20" s="350"/>
      <c r="V20" s="350"/>
      <c r="W20" s="351"/>
      <c r="X20" s="860"/>
      <c r="Y20" s="350"/>
      <c r="Z20" s="350"/>
      <c r="AA20" s="350"/>
      <c r="AB20" s="350"/>
      <c r="AC20" s="350"/>
      <c r="AD20" s="350"/>
      <c r="AE20" s="351"/>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row>
    <row r="21" spans="1:78" ht="15.75" customHeight="1">
      <c r="A21" s="854" t="s">
        <v>551</v>
      </c>
      <c r="B21" s="381"/>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1"/>
      <c r="BB21" s="381"/>
      <c r="BC21" s="381"/>
      <c r="BD21" s="381"/>
      <c r="BE21" s="381"/>
      <c r="BF21" s="381"/>
      <c r="BG21" s="428"/>
      <c r="BH21" s="116"/>
      <c r="BI21" s="116"/>
      <c r="BJ21" s="116"/>
      <c r="BK21" s="116"/>
      <c r="BL21" s="116"/>
      <c r="BM21" s="116"/>
      <c r="BN21" s="116"/>
      <c r="BO21" s="116"/>
      <c r="BP21" s="116"/>
      <c r="BQ21" s="116"/>
    </row>
    <row r="22" spans="1:78" ht="15.75" customHeight="1">
      <c r="A22" s="854" t="s">
        <v>552</v>
      </c>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428"/>
    </row>
    <row r="23" spans="1:78" ht="60" customHeight="1">
      <c r="A23" s="855" t="s">
        <v>553</v>
      </c>
      <c r="B23" s="355"/>
      <c r="C23" s="355"/>
      <c r="D23" s="355"/>
      <c r="E23" s="355"/>
      <c r="F23" s="355"/>
      <c r="G23" s="355"/>
      <c r="H23" s="355"/>
      <c r="I23" s="355"/>
      <c r="J23" s="356"/>
      <c r="K23" s="856" t="s">
        <v>554</v>
      </c>
      <c r="L23" s="350"/>
      <c r="M23" s="350"/>
      <c r="N23" s="351"/>
      <c r="O23" s="856" t="s">
        <v>555</v>
      </c>
      <c r="P23" s="350"/>
      <c r="Q23" s="350"/>
      <c r="R23" s="351"/>
      <c r="S23" s="856" t="s">
        <v>556</v>
      </c>
      <c r="T23" s="350"/>
      <c r="U23" s="350"/>
      <c r="V23" s="351"/>
      <c r="W23" s="856" t="s">
        <v>557</v>
      </c>
      <c r="X23" s="350"/>
      <c r="Y23" s="350"/>
      <c r="Z23" s="351"/>
      <c r="AA23" s="856" t="s">
        <v>558</v>
      </c>
      <c r="AB23" s="350"/>
      <c r="AC23" s="350"/>
      <c r="AD23" s="351"/>
      <c r="AE23" s="856" t="s">
        <v>559</v>
      </c>
      <c r="AF23" s="350"/>
      <c r="AG23" s="350"/>
      <c r="AH23" s="351"/>
      <c r="AI23" s="856" t="s">
        <v>560</v>
      </c>
      <c r="AJ23" s="350"/>
      <c r="AK23" s="350"/>
      <c r="AL23" s="351"/>
      <c r="AM23" s="850" t="s">
        <v>561</v>
      </c>
      <c r="AN23" s="350"/>
      <c r="AO23" s="350"/>
      <c r="AP23" s="351"/>
      <c r="AQ23" s="9"/>
      <c r="AR23" s="851" t="s">
        <v>562</v>
      </c>
      <c r="AS23" s="350"/>
      <c r="AT23" s="350"/>
      <c r="AU23" s="351"/>
      <c r="AV23" s="851" t="s">
        <v>563</v>
      </c>
      <c r="AW23" s="350"/>
      <c r="AX23" s="350"/>
      <c r="AY23" s="351"/>
      <c r="AZ23" s="851" t="s">
        <v>560</v>
      </c>
      <c r="BA23" s="350"/>
      <c r="BB23" s="350"/>
      <c r="BC23" s="351"/>
      <c r="BD23" s="857" t="s">
        <v>561</v>
      </c>
      <c r="BE23" s="350"/>
      <c r="BF23" s="350"/>
      <c r="BG23" s="351"/>
    </row>
    <row r="24" spans="1:78" ht="15" customHeight="1">
      <c r="A24" s="360"/>
      <c r="B24" s="361"/>
      <c r="C24" s="361"/>
      <c r="D24" s="361"/>
      <c r="E24" s="361"/>
      <c r="F24" s="361"/>
      <c r="G24" s="361"/>
      <c r="H24" s="361"/>
      <c r="I24" s="361"/>
      <c r="J24" s="362"/>
      <c r="K24" s="861" t="s">
        <v>564</v>
      </c>
      <c r="L24" s="351"/>
      <c r="M24" s="835" t="s">
        <v>565</v>
      </c>
      <c r="N24" s="351"/>
      <c r="O24" s="861" t="s">
        <v>564</v>
      </c>
      <c r="P24" s="351"/>
      <c r="Q24" s="835" t="s">
        <v>565</v>
      </c>
      <c r="R24" s="351"/>
      <c r="S24" s="861" t="s">
        <v>564</v>
      </c>
      <c r="T24" s="351"/>
      <c r="U24" s="835" t="s">
        <v>565</v>
      </c>
      <c r="V24" s="351"/>
      <c r="W24" s="861" t="s">
        <v>564</v>
      </c>
      <c r="X24" s="351"/>
      <c r="Y24" s="835" t="s">
        <v>565</v>
      </c>
      <c r="Z24" s="351"/>
      <c r="AA24" s="861" t="s">
        <v>564</v>
      </c>
      <c r="AB24" s="351"/>
      <c r="AC24" s="835" t="s">
        <v>565</v>
      </c>
      <c r="AD24" s="351"/>
      <c r="AE24" s="861" t="s">
        <v>564</v>
      </c>
      <c r="AF24" s="351"/>
      <c r="AG24" s="835" t="s">
        <v>565</v>
      </c>
      <c r="AH24" s="351"/>
      <c r="AI24" s="861" t="s">
        <v>564</v>
      </c>
      <c r="AJ24" s="351"/>
      <c r="AK24" s="835" t="s">
        <v>565</v>
      </c>
      <c r="AL24" s="351"/>
      <c r="AM24" s="862" t="s">
        <v>564</v>
      </c>
      <c r="AN24" s="351"/>
      <c r="AO24" s="842" t="s">
        <v>565</v>
      </c>
      <c r="AP24" s="351"/>
      <c r="AQ24" s="9"/>
      <c r="AR24" s="863" t="s">
        <v>564</v>
      </c>
      <c r="AS24" s="351"/>
      <c r="AT24" s="839" t="s">
        <v>565</v>
      </c>
      <c r="AU24" s="351"/>
      <c r="AV24" s="863" t="s">
        <v>564</v>
      </c>
      <c r="AW24" s="351"/>
      <c r="AX24" s="839" t="s">
        <v>565</v>
      </c>
      <c r="AY24" s="351"/>
      <c r="AZ24" s="863" t="s">
        <v>564</v>
      </c>
      <c r="BA24" s="351"/>
      <c r="BB24" s="839" t="s">
        <v>565</v>
      </c>
      <c r="BC24" s="351"/>
      <c r="BD24" s="852" t="s">
        <v>564</v>
      </c>
      <c r="BE24" s="351"/>
      <c r="BF24" s="852" t="s">
        <v>565</v>
      </c>
      <c r="BG24" s="351"/>
    </row>
    <row r="25" spans="1:78" ht="15.75" customHeight="1">
      <c r="A25" s="844" t="s">
        <v>566</v>
      </c>
      <c r="B25" s="350"/>
      <c r="C25" s="350"/>
      <c r="D25" s="350"/>
      <c r="E25" s="350"/>
      <c r="F25" s="350"/>
      <c r="G25" s="350"/>
      <c r="H25" s="350"/>
      <c r="I25" s="350"/>
      <c r="J25" s="351"/>
      <c r="K25" s="845">
        <f>COUNTIFS('refer admin discharge'!N15:N2995,"&gt;=0",'refer admin discharge'!N15:N2995,"&lt;=12",'refer admin discharge'!O15:O2995,"Male",'refer admin discharge'!P15:P2995,"White")</f>
        <v>0</v>
      </c>
      <c r="L25" s="351"/>
      <c r="M25" s="846">
        <f>COUNTIFS('refer admin discharge'!N15:N2995,"&gt;=0",'refer admin discharge'!N15:N2995,"&lt;=12",'refer admin discharge'!O15:O2995,"Female",'refer admin discharge'!P15:P2995,"White",'refer admin discharge'!AJ15:AJ2995,"NO")</f>
        <v>0</v>
      </c>
      <c r="N25" s="351"/>
      <c r="O25" s="845">
        <f>COUNTIFS('refer admin discharge'!N15:N2995,"&gt;=0",'refer admin discharge'!N15:N2995,"&lt;=12",'refer admin discharge'!O15:O2995,"Male",'refer admin discharge'!P15:P2995,"African American /Black")</f>
        <v>0</v>
      </c>
      <c r="P25" s="351"/>
      <c r="Q25" s="846">
        <f>COUNTIFS('refer admin discharge'!N15:N2995,"&gt;=0",'refer admin discharge'!N15:N2995,"&lt;=12",'refer admin discharge'!O15:O2995,"Female",'refer admin discharge'!P15:P2995,"African American /Black",'refer admin discharge'!AJ15:AJ2995,"NO")</f>
        <v>0</v>
      </c>
      <c r="R25" s="351"/>
      <c r="S25" s="845">
        <f>COUNTIFS('refer admin discharge'!N15:N2995,"&gt;=0",'refer admin discharge'!N15:N2995,"&lt;=12",'refer admin discharge'!O15:O2995,"Male",'refer admin discharge'!P15:P2995,"Native Hawaiian / Other Pacific Islander")</f>
        <v>0</v>
      </c>
      <c r="T25" s="351"/>
      <c r="U25" s="846">
        <f>COUNTIFS('refer admin discharge'!N15:N2995,"&gt;=0",'refer admin discharge'!N15:N2995,"&lt;=12",'refer admin discharge'!O15:O2995,"Female",'refer admin discharge'!P15:P2995,"Native Hawaiian / Other Pacific Islander",'refer admin discharge'!AJ15:AJ2995,"NO")</f>
        <v>0</v>
      </c>
      <c r="V25" s="351"/>
      <c r="W25" s="845">
        <f>COUNTIFS('refer admin discharge'!N15:N2995,"&gt;=0",'refer admin discharge'!N15:N2995,"&lt;=12",'refer admin discharge'!O15:O2995,"Male",'refer admin discharge'!P15:P2995,"Asian")</f>
        <v>0</v>
      </c>
      <c r="X25" s="351"/>
      <c r="Y25" s="846">
        <f>COUNTIFS('refer admin discharge'!N15:N2995,"&gt;=0",'refer admin discharge'!N15:N2995,"&lt;=12",'refer admin discharge'!O15:O2995,"Female",'refer admin discharge'!P15:P2995,"Asian",'refer admin discharge'!AJ15:AJ2995,"NO")</f>
        <v>0</v>
      </c>
      <c r="Z25" s="351"/>
      <c r="AA25" s="845">
        <f>COUNTIFS('refer admin discharge'!N15:N2995,"&gt;=0",'refer admin discharge'!N15:N2995,"&lt;=12",'refer admin discharge'!O15:O2995,"Male",'refer admin discharge'!P15:P2995,"American Indian / Alaska Native")</f>
        <v>0</v>
      </c>
      <c r="AB25" s="351"/>
      <c r="AC25" s="846">
        <f>COUNTIFS('refer admin discharge'!N15:N2995,"&gt;=0",'refer admin discharge'!N15:N2995,"&lt;=12",'refer admin discharge'!O15:O2995,"Female",'refer admin discharge'!P15:P2995,"American Indian / Alaska Native",'refer admin discharge'!AJ15:AJ2995,"NO")</f>
        <v>0</v>
      </c>
      <c r="AD25" s="351"/>
      <c r="AE25" s="845">
        <f>COUNTIFS('refer admin discharge'!N15:N2995,"&gt;=0",'refer admin discharge'!N15:N2995,"&lt;=12",'refer admin discharge'!O15:O2995,"Male",'refer admin discharge'!P15:P2995,"More than one race reported")</f>
        <v>0</v>
      </c>
      <c r="AF25" s="351"/>
      <c r="AG25" s="846">
        <f>COUNTIFS('refer admin discharge'!N15:N2995,"&gt;=0",'refer admin discharge'!N15:N2995,"&lt;=12",'refer admin discharge'!O15:O2995,"Female",'refer admin discharge'!P15:P2995,"More than one race reported",'refer admin discharge'!AJ15:AJ2995,"NO")</f>
        <v>0</v>
      </c>
      <c r="AH25" s="351"/>
      <c r="AI25" s="845">
        <f>COUNTIFS('refer admin discharge'!N15:N2995,"&gt;=0",'refer admin discharge'!N15:N2995,"&lt;=12",'refer admin discharge'!O15:O2995,"Male",'refer admin discharge'!P15:P2995,"Unknown")</f>
        <v>0</v>
      </c>
      <c r="AJ25" s="351"/>
      <c r="AK25" s="846">
        <f>COUNTIFS('refer admin discharge'!N15:N2995,"&gt;=0",'refer admin discharge'!N15:N2995,"&lt;=12",'refer admin discharge'!O15:O2995,"Female",'refer admin discharge'!P15:P2995,"Unknown",'refer admin discharge'!AJ15:AJ2995,"NO")</f>
        <v>0</v>
      </c>
      <c r="AL25" s="351"/>
      <c r="AM25" s="847">
        <f t="shared" ref="AM25:AM32" si="0">K25+O25+S25+W25+AA25+AE25+AI25</f>
        <v>0</v>
      </c>
      <c r="AN25" s="351"/>
      <c r="AO25" s="812">
        <f t="shared" ref="AO25:AO32" si="1">M25+Q25+U25+Y25+AC25+AG25+AK25</f>
        <v>0</v>
      </c>
      <c r="AP25" s="351"/>
      <c r="AQ25" s="9"/>
      <c r="AR25" s="848">
        <f>COUNTIFS('refer admin discharge'!N15:N2995,"&gt;=0",'refer admin discharge'!N15:N2995,"&lt;=12",'refer admin discharge'!O15:O2995,"Male",'refer admin discharge'!R15:R2995,"Not Hispanic or Latino")</f>
        <v>0</v>
      </c>
      <c r="AS25" s="351"/>
      <c r="AT25" s="849">
        <f>COUNTIFS('refer admin discharge'!N15:N2995,"&gt;=0",'refer admin discharge'!N15:N2995,"&lt;=12",'refer admin discharge'!O15:O2995,"Female",'refer admin discharge'!R15:R2995,"Not Hispanic or Latino",'refer admin discharge'!AJ15:AJ2995,"NO")</f>
        <v>0</v>
      </c>
      <c r="AU25" s="351"/>
      <c r="AV25" s="848">
        <f>COUNTIFS('refer admin discharge'!N15:N2995,"&gt;=0",'refer admin discharge'!N15:N2995,"&lt;=12",'refer admin discharge'!O15:O2995,"Male",'refer admin discharge'!R15:R2995,"Hispanic-Latino ")</f>
        <v>0</v>
      </c>
      <c r="AW25" s="351"/>
      <c r="AX25" s="849">
        <f>COUNTIFS('refer admin discharge'!N15:N2995,"&gt;=0",'refer admin discharge'!N15:N2995,"&lt;=12",'refer admin discharge'!O15:O2995,"Female",'refer admin discharge'!R15:R2995,"Hispanic-Latino ",'refer admin discharge'!AJ15:AJ2995,"NO")</f>
        <v>0</v>
      </c>
      <c r="AY25" s="351"/>
      <c r="AZ25" s="848">
        <f>COUNTIFS('refer admin discharge'!N15:N2995,"&gt;=0",'refer admin discharge'!N15:N2995,"&lt;=12",'refer admin discharge'!O15:O2995,"Male",'refer admin discharge'!R15:R2995,"Unknown")</f>
        <v>0</v>
      </c>
      <c r="BA25" s="351"/>
      <c r="BB25" s="849">
        <f>COUNTIFS('refer admin discharge'!N15:N2995,"&gt;=0",'refer admin discharge'!N15:N2995,"&lt;=12",'refer admin discharge'!O15:O2995,"Female",'refer admin discharge'!R15:R2995,"Unknown",'refer admin discharge'!AJ15:AJ2995,"NO")</f>
        <v>0</v>
      </c>
      <c r="BC25" s="351"/>
      <c r="BD25" s="810">
        <f t="shared" ref="BD25:BD32" si="2">AR25+AV25+AZ25</f>
        <v>0</v>
      </c>
      <c r="BE25" s="351"/>
      <c r="BF25" s="810">
        <f t="shared" ref="BF25:BF32" si="3">AT25+AX25+BB25</f>
        <v>0</v>
      </c>
      <c r="BG25" s="351"/>
    </row>
    <row r="26" spans="1:78" ht="15.75" customHeight="1">
      <c r="A26" s="844" t="s">
        <v>567</v>
      </c>
      <c r="B26" s="350"/>
      <c r="C26" s="350"/>
      <c r="D26" s="350"/>
      <c r="E26" s="350"/>
      <c r="F26" s="350"/>
      <c r="G26" s="350"/>
      <c r="H26" s="350"/>
      <c r="I26" s="350"/>
      <c r="J26" s="351"/>
      <c r="K26" s="845">
        <f>COUNTIFS('refer admin discharge'!N15:N2995,"&gt;=13",'refer admin discharge'!N15:N2995,"&lt;=17",'refer admin discharge'!O15:O2995,"Male",'refer admin discharge'!P15:P2995,"White")</f>
        <v>0</v>
      </c>
      <c r="L26" s="351"/>
      <c r="M26" s="846">
        <f>COUNTIFS('refer admin discharge'!N15:N2995,"&gt;=13",'refer admin discharge'!N15:N2995,"&lt;=17",'refer admin discharge'!O15:O2995,"Female",'refer admin discharge'!P15:P2995,"White",'refer admin discharge'!AJ15:AJ2995,"NO")</f>
        <v>0</v>
      </c>
      <c r="N26" s="351"/>
      <c r="O26" s="845">
        <f>COUNTIFS('refer admin discharge'!N15:N2995,"&gt;=13",'refer admin discharge'!N15:N2995,"&lt;=17",'refer admin discharge'!O15:O2995,"Male",'refer admin discharge'!P15:P2995,"African American /Black")</f>
        <v>0</v>
      </c>
      <c r="P26" s="351"/>
      <c r="Q26" s="846">
        <f>COUNTIFS('refer admin discharge'!N15:N2995,"&gt;=13",'refer admin discharge'!N15:N2995,"&lt;=17",'refer admin discharge'!O15:O2995,"Female",'refer admin discharge'!P15:P2995,"African American /Black",'refer admin discharge'!AJ15:AJ2995,"NO")</f>
        <v>0</v>
      </c>
      <c r="R26" s="351"/>
      <c r="S26" s="845">
        <f>COUNTIFS('refer admin discharge'!N15:N2995,"&gt;=13",'refer admin discharge'!N15:N2995,"&lt;=17",'refer admin discharge'!O15:O2995,"Male",'refer admin discharge'!P15:P2995,"Native Hawaiian / Other Pacific Islander")</f>
        <v>0</v>
      </c>
      <c r="T26" s="351"/>
      <c r="U26" s="846">
        <f>COUNTIFS('refer admin discharge'!N15:N2995,"&gt;=13",'refer admin discharge'!N15:N2995,"&lt;=17",'refer admin discharge'!O15:O2995,"Female",'refer admin discharge'!P15:P2995,"Native Hawaiian / Other Pacific Islander",'refer admin discharge'!AJ15:AJ2995,"NO")</f>
        <v>0</v>
      </c>
      <c r="V26" s="351"/>
      <c r="W26" s="845">
        <f>COUNTIFS('refer admin discharge'!N15:N2995,"&gt;=13",'refer admin discharge'!N15:N2995,"&lt;=17",'refer admin discharge'!O15:O2995,"Male",'refer admin discharge'!P15:P2995,"Asian")</f>
        <v>0</v>
      </c>
      <c r="X26" s="351"/>
      <c r="Y26" s="846">
        <f>COUNTIFS('refer admin discharge'!N15:N2995,"&gt;=13",'refer admin discharge'!N15:N2995,"&lt;=17",'refer admin discharge'!O15:O2995,"Female",'refer admin discharge'!P15:P2995,"Asian",'refer admin discharge'!AJ15:AJ2995,"NO")</f>
        <v>0</v>
      </c>
      <c r="Z26" s="351"/>
      <c r="AA26" s="845">
        <f>COUNTIFS('refer admin discharge'!N15:N2995,"&gt;=13",'refer admin discharge'!N15:N2995,"&lt;=17",'refer admin discharge'!O15:O2995,"Male",'refer admin discharge'!P15:P2995,"American Indian / Alaska Native")</f>
        <v>0</v>
      </c>
      <c r="AB26" s="351"/>
      <c r="AC26" s="846">
        <f>COUNTIFS('refer admin discharge'!N15:N2995,"&gt;=13",'refer admin discharge'!N15:N2995,"&lt;=17",'refer admin discharge'!O15:O2995,"Female",'refer admin discharge'!P15:P2995,"American Indian / Alaska Native",'refer admin discharge'!AJ15:AJ2995,"NO")</f>
        <v>0</v>
      </c>
      <c r="AD26" s="351"/>
      <c r="AE26" s="845">
        <f>COUNTIFS('refer admin discharge'!N15:N2995,"&gt;=13",'refer admin discharge'!N15:N2995,"&lt;=17",'refer admin discharge'!O15:O2995,"Male",'refer admin discharge'!P15:P2995,"More than one race reported")</f>
        <v>0</v>
      </c>
      <c r="AF26" s="351"/>
      <c r="AG26" s="846">
        <f>COUNTIFS('refer admin discharge'!N15:N2995,"&gt;=13",'refer admin discharge'!N15:N2995,"&lt;=17",'refer admin discharge'!O15:O2995,"Female",'refer admin discharge'!P15:P2995,"More than one race reported",'refer admin discharge'!AJ15:AJ2995,"NO")</f>
        <v>0</v>
      </c>
      <c r="AH26" s="351"/>
      <c r="AI26" s="845">
        <f>COUNTIFS('refer admin discharge'!N15:N2995,"&gt;=13",'refer admin discharge'!N15:N2995,"&lt;=17",'refer admin discharge'!O15:O2995,"Male",'refer admin discharge'!P15:P2995,"Unknown")</f>
        <v>0</v>
      </c>
      <c r="AJ26" s="351"/>
      <c r="AK26" s="846">
        <f>COUNTIFS('refer admin discharge'!N15:N2995,"&gt;=13",'refer admin discharge'!N15:N2995,"&lt;=17",'refer admin discharge'!O15:O2995,"Female",'refer admin discharge'!P15:P2995,"Unknown",'refer admin discharge'!AJ15:AJ2995,"NO")</f>
        <v>0</v>
      </c>
      <c r="AL26" s="351"/>
      <c r="AM26" s="847">
        <f t="shared" si="0"/>
        <v>0</v>
      </c>
      <c r="AN26" s="351"/>
      <c r="AO26" s="812">
        <f t="shared" si="1"/>
        <v>0</v>
      </c>
      <c r="AP26" s="351"/>
      <c r="AQ26" s="9"/>
      <c r="AR26" s="848">
        <f>COUNTIFS('refer admin discharge'!N15:N2995,"&gt;=13",'refer admin discharge'!N15:N2995,"&lt;=17",'refer admin discharge'!O15:O2995,"Male",'refer admin discharge'!R15:R2995,"Not Hispanic or Latino")</f>
        <v>0</v>
      </c>
      <c r="AS26" s="351"/>
      <c r="AT26" s="849">
        <f>COUNTIFS('refer admin discharge'!N15:N2995,"&gt;=13",'refer admin discharge'!N15:N2995,"&lt;=17",'refer admin discharge'!O15:O2995,"Female",'refer admin discharge'!R15:R2995,"Not Hispanic or Latino",'refer admin discharge'!AJ15:AJ2995,"NO")</f>
        <v>0</v>
      </c>
      <c r="AU26" s="351"/>
      <c r="AV26" s="848">
        <f>COUNTIFS('refer admin discharge'!N15:N1674,"&gt;=13",'refer admin discharge'!N15:N1674,"&lt;=17",'refer admin discharge'!O15:O1674,"Male",'refer admin discharge'!R15:R1674,"Hispanic-Latino ")</f>
        <v>0</v>
      </c>
      <c r="AW26" s="351"/>
      <c r="AX26" s="849">
        <f>COUNTIFS('refer admin discharge'!N15:N2995,"&gt;=13",'refer admin discharge'!N15:N2995,"&lt;=17",'refer admin discharge'!O15:O2995,"Female",'refer admin discharge'!R15:R2995,"Hispanic-Latino ",'refer admin discharge'!AJ15:AJ2995,"NO")</f>
        <v>0</v>
      </c>
      <c r="AY26" s="351"/>
      <c r="AZ26" s="848">
        <f>COUNTIFS('refer admin discharge'!N15:N2995,"&gt;=13",'refer admin discharge'!N15:N2995,"&lt;=17",'refer admin discharge'!O15:O2995,"Male",'refer admin discharge'!R15:R2995,"Unknown")</f>
        <v>0</v>
      </c>
      <c r="BA26" s="351"/>
      <c r="BB26" s="849">
        <f>COUNTIFS('refer admin discharge'!N15:N2995,"&gt;=13",'refer admin discharge'!N15:N2995,"&lt;=17",'refer admin discharge'!O15:O2995,"Female",'refer admin discharge'!R15:R2995,"Unknown",'refer admin discharge'!AJ15:AJ2995,"NO")</f>
        <v>0</v>
      </c>
      <c r="BC26" s="351"/>
      <c r="BD26" s="810">
        <f t="shared" si="2"/>
        <v>0</v>
      </c>
      <c r="BE26" s="351"/>
      <c r="BF26" s="810">
        <f t="shared" si="3"/>
        <v>0</v>
      </c>
      <c r="BG26" s="351"/>
    </row>
    <row r="27" spans="1:78" ht="15.75" customHeight="1">
      <c r="A27" s="844" t="s">
        <v>568</v>
      </c>
      <c r="B27" s="350"/>
      <c r="C27" s="350"/>
      <c r="D27" s="350"/>
      <c r="E27" s="350"/>
      <c r="F27" s="350"/>
      <c r="G27" s="350"/>
      <c r="H27" s="350"/>
      <c r="I27" s="350"/>
      <c r="J27" s="351"/>
      <c r="K27" s="845">
        <f>COUNTIFS('refer admin discharge'!N15:N2995,"&gt;=18",'refer admin discharge'!N15:N2995,"&lt;=20",'refer admin discharge'!O15:O2995,"Male",'refer admin discharge'!P15:P2995,"White")</f>
        <v>0</v>
      </c>
      <c r="L27" s="351"/>
      <c r="M27" s="846">
        <f>COUNTIFS('refer admin discharge'!N15:N2995,"&gt;=18",'refer admin discharge'!N15:N2995,"&lt;=20",'refer admin discharge'!O15:O2995,"Female",'refer admin discharge'!P15:P2995,"White",'refer admin discharge'!AJ15:AJ2995,"NO")</f>
        <v>0</v>
      </c>
      <c r="N27" s="351"/>
      <c r="O27" s="845">
        <f>COUNTIFS('refer admin discharge'!N15:N2995,"&gt;=18",'refer admin discharge'!N15:N2995,"&lt;=20",'refer admin discharge'!O15:O2995,"Male",'refer admin discharge'!P15:P2995,"African American /Black")</f>
        <v>0</v>
      </c>
      <c r="P27" s="351"/>
      <c r="Q27" s="846">
        <f>COUNTIFS('refer admin discharge'!N15:N2995,"&gt;=18",'refer admin discharge'!N15:N2995,"&lt;=20",'refer admin discharge'!O15:O2995,"Female",'refer admin discharge'!P15:P2995,"African American /Black",'refer admin discharge'!AJ15:AJ2995,"NO")</f>
        <v>0</v>
      </c>
      <c r="R27" s="351"/>
      <c r="S27" s="845">
        <f>COUNTIFS('refer admin discharge'!N15:N2995,"&gt;=18",'refer admin discharge'!N15:N2995,"&lt;=20",'refer admin discharge'!O15:O2995,"Male",'refer admin discharge'!P15:P2995,"Native Hawaiian / Other Pacific Islander")</f>
        <v>0</v>
      </c>
      <c r="T27" s="351"/>
      <c r="U27" s="846">
        <f>COUNTIFS('refer admin discharge'!N15:N2995,"&gt;=18",'refer admin discharge'!N15:N2995,"&lt;=20",'refer admin discharge'!O15:O2995,"Female",'refer admin discharge'!P15:P2995,"Native Hawaiian / Other Pacific Islander",'refer admin discharge'!AJ15:AJ2995,"NO")</f>
        <v>0</v>
      </c>
      <c r="V27" s="351"/>
      <c r="W27" s="845">
        <f>COUNTIFS('refer admin discharge'!N15:N2995,"&gt;=18",'refer admin discharge'!N15:N2995,"&lt;=20",'refer admin discharge'!O15:O2995,"Male",'refer admin discharge'!P15:P2995,"Asian")</f>
        <v>0</v>
      </c>
      <c r="X27" s="351"/>
      <c r="Y27" s="846">
        <f>COUNTIFS('refer admin discharge'!N15:N2995,"&gt;=18",'refer admin discharge'!N15:N2995,"&lt;=20",'refer admin discharge'!O15:O2995,"Female",'refer admin discharge'!P15:P2995,"Asian",'refer admin discharge'!AJ15:AJ2995,"NO")</f>
        <v>0</v>
      </c>
      <c r="Z27" s="351"/>
      <c r="AA27" s="845">
        <f>COUNTIFS('refer admin discharge'!N15:N2995,"&gt;=18",'refer admin discharge'!N15:N2995,"&lt;=20",'refer admin discharge'!O15:O2995,"Male",'refer admin discharge'!P15:P2995,"American Indian / Alaska Native")</f>
        <v>0</v>
      </c>
      <c r="AB27" s="351"/>
      <c r="AC27" s="846">
        <f>COUNTIFS('refer admin discharge'!N15:N2995,"&gt;=18",'refer admin discharge'!N15:N2995,"&lt;=20",'refer admin discharge'!O15:O2995,"Female",'refer admin discharge'!P15:P2995,"American Indian / Alaska Native",'refer admin discharge'!AJ15:AJ2995,"NO")</f>
        <v>0</v>
      </c>
      <c r="AD27" s="351"/>
      <c r="AE27" s="845">
        <f>COUNTIFS('refer admin discharge'!N15:N2995,"&gt;=18",'refer admin discharge'!N15:N2995,"&lt;=20",'refer admin discharge'!O15:O2995,"Male",'refer admin discharge'!P15:P2995,"More than one race reported")</f>
        <v>0</v>
      </c>
      <c r="AF27" s="351"/>
      <c r="AG27" s="846">
        <f>COUNTIFS('refer admin discharge'!N15:N2995,"&gt;=18",'refer admin discharge'!N15:N2995,"&lt;=20",'refer admin discharge'!O15:O2995,"Female",'refer admin discharge'!P15:P2995,"More than one race reported",'refer admin discharge'!AJ15:AJ2995,"NO")</f>
        <v>0</v>
      </c>
      <c r="AH27" s="351"/>
      <c r="AI27" s="845">
        <f>COUNTIFS('refer admin discharge'!N15:N2995,"&gt;=18",'refer admin discharge'!N15:N2995,"&lt;=20",'refer admin discharge'!O15:O2995,"Male",'refer admin discharge'!P15:P2995,"Unknown")</f>
        <v>0</v>
      </c>
      <c r="AJ27" s="351"/>
      <c r="AK27" s="846">
        <f>COUNTIFS('refer admin discharge'!N15:N2995,"&gt;=18",'refer admin discharge'!N15:N2995,"&lt;=20",'refer admin discharge'!O15:O2995,"Female",'refer admin discharge'!P15:P2995,"Unknown",'refer admin discharge'!AJ15:AJ2995,"NO")</f>
        <v>0</v>
      </c>
      <c r="AL27" s="351"/>
      <c r="AM27" s="847">
        <f t="shared" si="0"/>
        <v>0</v>
      </c>
      <c r="AN27" s="351"/>
      <c r="AO27" s="812">
        <f t="shared" si="1"/>
        <v>0</v>
      </c>
      <c r="AP27" s="351"/>
      <c r="AQ27" s="9"/>
      <c r="AR27" s="848">
        <f>COUNTIFS('refer admin discharge'!N15:N2995,"&gt;=18",'refer admin discharge'!N15:N2995,"&lt;=20",'refer admin discharge'!O15:O2995,"Male",'refer admin discharge'!R15:R2995,"Not Hispanic or Latino")</f>
        <v>0</v>
      </c>
      <c r="AS27" s="351"/>
      <c r="AT27" s="849">
        <f>COUNTIFS('refer admin discharge'!N15:N2995,"&gt;=18",'refer admin discharge'!N15:N2995,"&lt;=20",'refer admin discharge'!O15:O2995,"Female",'refer admin discharge'!R15:R2995,"Not Hispanic or Latino",'refer admin discharge'!AJ15:AJ2995,"NO")</f>
        <v>0</v>
      </c>
      <c r="AU27" s="351"/>
      <c r="AV27" s="848">
        <f>COUNTIFS('refer admin discharge'!N15:N2995,"&gt;=18",'refer admin discharge'!N15:N2995,"&lt;=20",'refer admin discharge'!O15:O2995,"Male",'refer admin discharge'!R15:R2995,"Hispanic-Latino ")</f>
        <v>0</v>
      </c>
      <c r="AW27" s="351"/>
      <c r="AX27" s="849">
        <f>COUNTIFS('refer admin discharge'!N15:N2995,"&gt;=18",'refer admin discharge'!N15:N2995,"&lt;=20",'refer admin discharge'!O15:O2995,"Female",'refer admin discharge'!R15:R2995,"Hispanic-Latino ",'refer admin discharge'!AJ15:AJ2995,"NO")</f>
        <v>0</v>
      </c>
      <c r="AY27" s="351"/>
      <c r="AZ27" s="848">
        <f>COUNTIFS('refer admin discharge'!N15:N2995,"&gt;=18",'refer admin discharge'!N15:N2995,"&lt;=20",'refer admin discharge'!O15:O2995,"Male",'refer admin discharge'!R15:R2995,"Unknown")</f>
        <v>0</v>
      </c>
      <c r="BA27" s="351"/>
      <c r="BB27" s="849">
        <f>COUNTIFS('refer admin discharge'!N15:N2995,"&gt;=18",'refer admin discharge'!N15:N2995,"&lt;=20",'refer admin discharge'!O15:O2995,"Female",'refer admin discharge'!R15:R2995,"Unknown",'refer admin discharge'!AJ15:AJ2995,"NO")</f>
        <v>0</v>
      </c>
      <c r="BC27" s="351"/>
      <c r="BD27" s="810">
        <f t="shared" si="2"/>
        <v>0</v>
      </c>
      <c r="BE27" s="351"/>
      <c r="BF27" s="810">
        <f t="shared" si="3"/>
        <v>0</v>
      </c>
      <c r="BG27" s="351"/>
    </row>
    <row r="28" spans="1:78" ht="15.75" customHeight="1">
      <c r="A28" s="844" t="s">
        <v>569</v>
      </c>
      <c r="B28" s="350"/>
      <c r="C28" s="350"/>
      <c r="D28" s="350"/>
      <c r="E28" s="350"/>
      <c r="F28" s="350"/>
      <c r="G28" s="350"/>
      <c r="H28" s="350"/>
      <c r="I28" s="350"/>
      <c r="J28" s="351"/>
      <c r="K28" s="845">
        <f>COUNTIFS('refer admin discharge'!N15:N2995,"&gt;=21",'refer admin discharge'!N15:N2995,"&lt;=24",'refer admin discharge'!O15:O2995,"Male",'refer admin discharge'!P15:P2995,"White")</f>
        <v>0</v>
      </c>
      <c r="L28" s="351"/>
      <c r="M28" s="846">
        <f>COUNTIFS('refer admin discharge'!N15:N2995,"&gt;=21",'refer admin discharge'!N15:N2995,"&lt;=24",'refer admin discharge'!O15:O2995,"Female",'refer admin discharge'!P15:P2995,"White",'refer admin discharge'!AJ15:AJ2995,"NO")</f>
        <v>0</v>
      </c>
      <c r="N28" s="351"/>
      <c r="O28" s="845">
        <f>COUNTIFS('refer admin discharge'!N15:N2995,"&gt;=21",'refer admin discharge'!N15:N2995,"&lt;=24",'refer admin discharge'!O15:O2995,"Male",'refer admin discharge'!P15:P2995,"African American /Black")</f>
        <v>0</v>
      </c>
      <c r="P28" s="351"/>
      <c r="Q28" s="846">
        <f>COUNTIFS('refer admin discharge'!N15:N2995,"&gt;=21",'refer admin discharge'!N15:N2995,"&lt;=24",'refer admin discharge'!O15:O2995,"Female",'refer admin discharge'!P15:P2995,"African American /Black",'refer admin discharge'!AJ15:AJ2995,"NO")</f>
        <v>0</v>
      </c>
      <c r="R28" s="351"/>
      <c r="S28" s="845">
        <f>COUNTIFS('refer admin discharge'!N15:N2995,"&gt;=21",'refer admin discharge'!N15:N2995,"&lt;=24",'refer admin discharge'!O15:O2995,"Male",'refer admin discharge'!P15:P2995,"Native Hawaiian / Other Pacific Islander")</f>
        <v>0</v>
      </c>
      <c r="T28" s="351"/>
      <c r="U28" s="846">
        <f>COUNTIFS('refer admin discharge'!N15:N2995,"&gt;=21",'refer admin discharge'!N15:N2995,"&lt;=24",'refer admin discharge'!O15:O2995,"Female",'refer admin discharge'!P15:P2995,"Native Hawaiian / Other Pacific Islander",'refer admin discharge'!AJ15:AJ2995,"NO")</f>
        <v>0</v>
      </c>
      <c r="V28" s="351"/>
      <c r="W28" s="845">
        <f>COUNTIFS('refer admin discharge'!N15:N2995,"&gt;=21",'refer admin discharge'!N15:N2995,"&lt;=24",'refer admin discharge'!O15:O2995,"Male",'refer admin discharge'!P15:P2995,"Asian")</f>
        <v>0</v>
      </c>
      <c r="X28" s="351"/>
      <c r="Y28" s="846">
        <f>COUNTIFS('refer admin discharge'!N15:N2995,"&gt;=21",'refer admin discharge'!N15:N2995,"&lt;=24",'refer admin discharge'!O15:O2995,"Female",'refer admin discharge'!P15:P2995,"Asian",'refer admin discharge'!AJ15:AJ2995,"NO")</f>
        <v>0</v>
      </c>
      <c r="Z28" s="351"/>
      <c r="AA28" s="845">
        <f>COUNTIFS('refer admin discharge'!N15:N2995,"&gt;=21",'refer admin discharge'!N15:N2995,"&lt;=24",'refer admin discharge'!O15:O2995,"Male",'refer admin discharge'!P15:P2995,"American Indian / Alaska Native")</f>
        <v>0</v>
      </c>
      <c r="AB28" s="351"/>
      <c r="AC28" s="846">
        <f>COUNTIFS('refer admin discharge'!N15:N2995,"&gt;=21",'refer admin discharge'!N15:N2995,"&lt;=24",'refer admin discharge'!O15:O2995,"Female",'refer admin discharge'!P15:P2995,"American Indian / Alaska Native",'refer admin discharge'!AJ15:AJ2995,"NO")</f>
        <v>0</v>
      </c>
      <c r="AD28" s="351"/>
      <c r="AE28" s="845">
        <f>COUNTIFS('refer admin discharge'!N15:N2995,"&gt;=21",'refer admin discharge'!N15:N2995,"&lt;=24",'refer admin discharge'!O15:O2995,"Male",'refer admin discharge'!P15:P2995,"More than one race reported")</f>
        <v>0</v>
      </c>
      <c r="AF28" s="351"/>
      <c r="AG28" s="846">
        <f>COUNTIFS('refer admin discharge'!N15:N2995,"&gt;=21",'refer admin discharge'!N15:N2995,"&lt;=24",'refer admin discharge'!O15:O2995,"Female",'refer admin discharge'!P15:P2995,"More than one race reported",'refer admin discharge'!AJ15:AJ2995,"NO")</f>
        <v>0</v>
      </c>
      <c r="AH28" s="351"/>
      <c r="AI28" s="845">
        <f>COUNTIFS('refer admin discharge'!N15:N2995,"&gt;=21",'refer admin discharge'!N15:N2995,"&lt;=24",'refer admin discharge'!O15:O2995,"Male",'refer admin discharge'!P15:P2995,"Unknown")</f>
        <v>0</v>
      </c>
      <c r="AJ28" s="351"/>
      <c r="AK28" s="846">
        <f>COUNTIFS('refer admin discharge'!N15:N2995,"&gt;=21",'refer admin discharge'!N15:N2995,"&lt;=24",'refer admin discharge'!O15:O2995,"Female",'refer admin discharge'!P15:P2995,"Unknown",'refer admin discharge'!AJ15:AJ2995,"NO")</f>
        <v>0</v>
      </c>
      <c r="AL28" s="351"/>
      <c r="AM28" s="847">
        <f t="shared" si="0"/>
        <v>0</v>
      </c>
      <c r="AN28" s="351"/>
      <c r="AO28" s="812">
        <f t="shared" si="1"/>
        <v>0</v>
      </c>
      <c r="AP28" s="351"/>
      <c r="AQ28" s="9"/>
      <c r="AR28" s="848">
        <f>COUNTIFS('refer admin discharge'!N15:N2995,"&gt;=21",'refer admin discharge'!N15:N2995,"&lt;=24",'refer admin discharge'!O15:O2995,"Male",'refer admin discharge'!R15:R2995,"Not Hispanic or Latino")</f>
        <v>0</v>
      </c>
      <c r="AS28" s="351"/>
      <c r="AT28" s="849">
        <f>COUNTIFS('refer admin discharge'!N15:N2995,"&gt;=21",'refer admin discharge'!N15:N2995,"&lt;=24",'refer admin discharge'!O15:O2995,"Female",'refer admin discharge'!R15:R2995,"Not Hispanic or Latino",'refer admin discharge'!AJ15:AJ2995,"NO")</f>
        <v>0</v>
      </c>
      <c r="AU28" s="351"/>
      <c r="AV28" s="848">
        <f>COUNTIFS('refer admin discharge'!N15:N2995,"&gt;=21",'refer admin discharge'!N15:N2995,"&lt;=24",'refer admin discharge'!O15:O2995,"Male",'refer admin discharge'!R15:R2995,"Hispanic-Latino ")</f>
        <v>0</v>
      </c>
      <c r="AW28" s="351"/>
      <c r="AX28" s="849">
        <f>COUNTIFS('refer admin discharge'!N15:N2995,"&gt;=21",'refer admin discharge'!N15:N2995,"&lt;=24",'refer admin discharge'!O15:O2995,"Female",'refer admin discharge'!R15:R2995,"Hispanic-Latino ",'refer admin discharge'!AJ15:AJ2995,"NO")</f>
        <v>0</v>
      </c>
      <c r="AY28" s="351"/>
      <c r="AZ28" s="848">
        <f>COUNTIFS('refer admin discharge'!N15:N2995,"&gt;=21",'refer admin discharge'!N15:N2995,"&lt;=24",'refer admin discharge'!O15:O2995,"Male",'refer admin discharge'!R15:R2995,"Unknown")</f>
        <v>0</v>
      </c>
      <c r="BA28" s="351"/>
      <c r="BB28" s="849">
        <f>COUNTIFS('refer admin discharge'!N15:N2995,"&gt;=21",'refer admin discharge'!N15:N2995,"&lt;=24",'refer admin discharge'!O15:O2995,"Female",'refer admin discharge'!R15:R2995,"Unknown",'refer admin discharge'!AJ15:AJ2995,"NO")</f>
        <v>0</v>
      </c>
      <c r="BC28" s="351"/>
      <c r="BD28" s="810">
        <f t="shared" si="2"/>
        <v>0</v>
      </c>
      <c r="BE28" s="351"/>
      <c r="BF28" s="810">
        <f t="shared" si="3"/>
        <v>0</v>
      </c>
      <c r="BG28" s="351"/>
    </row>
    <row r="29" spans="1:78" ht="15.75" customHeight="1">
      <c r="A29" s="844" t="s">
        <v>570</v>
      </c>
      <c r="B29" s="350"/>
      <c r="C29" s="350"/>
      <c r="D29" s="350"/>
      <c r="E29" s="350"/>
      <c r="F29" s="350"/>
      <c r="G29" s="350"/>
      <c r="H29" s="350"/>
      <c r="I29" s="350"/>
      <c r="J29" s="351"/>
      <c r="K29" s="845">
        <f>COUNTIFS('refer admin discharge'!N15:N2995,"&gt;=25",'refer admin discharge'!N15:N2995,"&lt;=44",'refer admin discharge'!O15:O2995,"Male",'refer admin discharge'!P15:P2995,"White")</f>
        <v>0</v>
      </c>
      <c r="L29" s="351"/>
      <c r="M29" s="846">
        <f>COUNTIFS('refer admin discharge'!N15:N2995,"&gt;=25",'refer admin discharge'!N15:N2995,"&lt;=44",'refer admin discharge'!O15:O2995,"Female",'refer admin discharge'!P15:P2995,"White",'refer admin discharge'!AJ15:AJ2995,"NO")</f>
        <v>0</v>
      </c>
      <c r="N29" s="351"/>
      <c r="O29" s="845">
        <f>COUNTIFS('refer admin discharge'!N15:N2995,"&gt;=25",'refer admin discharge'!N15:N2995,"&lt;=44",'refer admin discharge'!O15:O2995,"Male",'refer admin discharge'!P15:P2995,"African American /Black")</f>
        <v>0</v>
      </c>
      <c r="P29" s="351"/>
      <c r="Q29" s="846">
        <f>COUNTIFS('refer admin discharge'!N15:N2995,"&gt;=25",'refer admin discharge'!N15:N2995,"&lt;=44",'refer admin discharge'!O15:O2995,"Female",'refer admin discharge'!P15:P2995,"African American /Black",'refer admin discharge'!AJ15:AJ2995,"NO")</f>
        <v>0</v>
      </c>
      <c r="R29" s="351"/>
      <c r="S29" s="845">
        <f>COUNTIFS('refer admin discharge'!N15:N2995,"&gt;=25",'refer admin discharge'!N15:N2995,"&lt;=44",'refer admin discharge'!O15:O2995,"Male",'refer admin discharge'!P15:P2995,"Native Hawaiian / Other Pacific Islander")</f>
        <v>0</v>
      </c>
      <c r="T29" s="351"/>
      <c r="U29" s="846">
        <f>COUNTIFS('refer admin discharge'!N15:N2995,"&gt;=25",'refer admin discharge'!N15:N2995,"&lt;=44",'refer admin discharge'!O15:O2995,"Female",'refer admin discharge'!P15:P2995,"Native Hawaiian / Other Pacific Islander",'refer admin discharge'!AJ15:AJ2995,"NO")</f>
        <v>0</v>
      </c>
      <c r="V29" s="351"/>
      <c r="W29" s="845">
        <f>COUNTIFS('refer admin discharge'!N15:N2995,"&gt;=25",'refer admin discharge'!N15:N2995,"&lt;=44",'refer admin discharge'!O15:O2995,"Male",'refer admin discharge'!P15:P2995,"Asian")</f>
        <v>0</v>
      </c>
      <c r="X29" s="351"/>
      <c r="Y29" s="846">
        <f>COUNTIFS('refer admin discharge'!N15:N2995,"&gt;=25",'refer admin discharge'!N15:N2995,"&lt;=44",'refer admin discharge'!O15:O2995,"Female",'refer admin discharge'!P15:P2995,"Asian",'refer admin discharge'!AJ15:AJ2995,"NO")</f>
        <v>0</v>
      </c>
      <c r="Z29" s="351"/>
      <c r="AA29" s="845">
        <f>COUNTIFS('refer admin discharge'!N15:N2995,"&gt;=25",'refer admin discharge'!N15:N2995,"&lt;=44",'refer admin discharge'!O15:O2995,"Male",'refer admin discharge'!P15:P2995,"American Indian / Alaska Native")</f>
        <v>0</v>
      </c>
      <c r="AB29" s="351"/>
      <c r="AC29" s="846">
        <f>COUNTIFS('refer admin discharge'!N15:N2995,"&gt;=25",'refer admin discharge'!N15:N2995,"&lt;=44",'refer admin discharge'!O15:O2995,"Female",'refer admin discharge'!P15:P2995,"American Indian / Alaska Native",'refer admin discharge'!AJ15:AJ2995,"NO")</f>
        <v>0</v>
      </c>
      <c r="AD29" s="351"/>
      <c r="AE29" s="845">
        <f>COUNTIFS('refer admin discharge'!N15:N2995,"&gt;=25",'refer admin discharge'!N15:N2995,"&lt;=44",'refer admin discharge'!O15:O2995,"Male",'refer admin discharge'!P15:P2995,"More than one race reported")</f>
        <v>0</v>
      </c>
      <c r="AF29" s="351"/>
      <c r="AG29" s="846">
        <f>COUNTIFS('refer admin discharge'!N15:N2995,"&gt;=25",'refer admin discharge'!N15:N2995,"&lt;=44",'refer admin discharge'!O15:O2995,"Female",'refer admin discharge'!P15:P2995,"More than one race reported",'refer admin discharge'!AJ15:AJ2995,"NO")</f>
        <v>0</v>
      </c>
      <c r="AH29" s="351"/>
      <c r="AI29" s="845">
        <f>COUNTIFS('refer admin discharge'!N15:N2995,"&gt;=25",'refer admin discharge'!N15:N2995,"&lt;=44",'refer admin discharge'!O15:O2995,"Male",'refer admin discharge'!P15:P2995,"Unknown")</f>
        <v>0</v>
      </c>
      <c r="AJ29" s="351"/>
      <c r="AK29" s="846">
        <f>COUNTIFS('refer admin discharge'!N15:N2995,"&gt;=25",'refer admin discharge'!N15:N2995,"&lt;=44",'refer admin discharge'!O15:O2995,"Female",'refer admin discharge'!P15:P2995,"Unknown",'refer admin discharge'!AJ15:AJ2995,"NO")</f>
        <v>0</v>
      </c>
      <c r="AL29" s="351"/>
      <c r="AM29" s="847">
        <f t="shared" si="0"/>
        <v>0</v>
      </c>
      <c r="AN29" s="351"/>
      <c r="AO29" s="812">
        <f t="shared" si="1"/>
        <v>0</v>
      </c>
      <c r="AP29" s="351"/>
      <c r="AQ29" s="9"/>
      <c r="AR29" s="848">
        <f>COUNTIFS('refer admin discharge'!N15:N2995,"&gt;=25",'refer admin discharge'!N15:N2995,"&lt;=44",'refer admin discharge'!O15:O2995,"Male",'refer admin discharge'!R15:R2995,"Not Hispanic or Latino")</f>
        <v>0</v>
      </c>
      <c r="AS29" s="351"/>
      <c r="AT29" s="849">
        <f>COUNTIFS('refer admin discharge'!N15:N2995,"&gt;=25",'refer admin discharge'!N15:N2995,"&lt;=44",'refer admin discharge'!O15:O2995,"Female",'refer admin discharge'!R15:R2995,"Not Hispanic or Latino",'refer admin discharge'!AJ15:AJ2995,"NO")</f>
        <v>0</v>
      </c>
      <c r="AU29" s="351"/>
      <c r="AV29" s="848">
        <f>COUNTIFS('refer admin discharge'!N15:N2995,"&gt;=25",'refer admin discharge'!N15:N2995,"&lt;=44",'refer admin discharge'!O15:O2995,"Male",'refer admin discharge'!R15:R2995,"Hispanic-Latino ")</f>
        <v>0</v>
      </c>
      <c r="AW29" s="351"/>
      <c r="AX29" s="849">
        <f>COUNTIFS('refer admin discharge'!N15:N2995,"&gt;=25",'refer admin discharge'!N15:N2995,"&lt;=44",'refer admin discharge'!O15:O2995,"Female",'refer admin discharge'!R15:R2995,"Hispanic-Latino ",'refer admin discharge'!AJ15:AJ2995,"NO")</f>
        <v>0</v>
      </c>
      <c r="AY29" s="351"/>
      <c r="AZ29" s="848">
        <f>COUNTIFS('refer admin discharge'!N15:N2995,"&gt;=25",'refer admin discharge'!N15:N2995,"&lt;=44",'refer admin discharge'!O15:O2995,"Male",'refer admin discharge'!R15:R2995,"Unknown")</f>
        <v>0</v>
      </c>
      <c r="BA29" s="351"/>
      <c r="BB29" s="849">
        <f>COUNTIFS('refer admin discharge'!N15:N2995,"&gt;=25",'refer admin discharge'!N15:N2995,"&lt;=44",'refer admin discharge'!O15:O2995,"Female",'refer admin discharge'!R15:R2995,"Unknown",'refer admin discharge'!AJ15:AJ2995,"NO")</f>
        <v>0</v>
      </c>
      <c r="BC29" s="351"/>
      <c r="BD29" s="810">
        <f t="shared" si="2"/>
        <v>0</v>
      </c>
      <c r="BE29" s="351"/>
      <c r="BF29" s="810">
        <f t="shared" si="3"/>
        <v>0</v>
      </c>
      <c r="BG29" s="351"/>
    </row>
    <row r="30" spans="1:78" ht="15.75" customHeight="1">
      <c r="A30" s="844" t="s">
        <v>571</v>
      </c>
      <c r="B30" s="350"/>
      <c r="C30" s="350"/>
      <c r="D30" s="350"/>
      <c r="E30" s="350"/>
      <c r="F30" s="350"/>
      <c r="G30" s="350"/>
      <c r="H30" s="350"/>
      <c r="I30" s="350"/>
      <c r="J30" s="351"/>
      <c r="K30" s="845">
        <f>COUNTIFS('refer admin discharge'!N15:N2995,"&gt;=45",'refer admin discharge'!N15:N2995,"&lt;=64",'refer admin discharge'!O15:O2995,"Male",'refer admin discharge'!P15:P2995,"White")</f>
        <v>0</v>
      </c>
      <c r="L30" s="351"/>
      <c r="M30" s="846">
        <f>COUNTIFS('refer admin discharge'!N15:N2995,"&gt;=45",'refer admin discharge'!N15:N2995,"&lt;=64",'refer admin discharge'!O15:O2995,"Female",'refer admin discharge'!P15:P2995,"White",'refer admin discharge'!AJ15:AJ2995,"NO")</f>
        <v>0</v>
      </c>
      <c r="N30" s="351"/>
      <c r="O30" s="845">
        <f>COUNTIFS('refer admin discharge'!N15:N2995,"&gt;=45",'refer admin discharge'!N15:N2995,"&lt;=64",'refer admin discharge'!O15:O2995,"Male",'refer admin discharge'!P15:P2995,"African American /Black")</f>
        <v>0</v>
      </c>
      <c r="P30" s="351"/>
      <c r="Q30" s="846">
        <f>COUNTIFS('refer admin discharge'!N15:N2995,"&gt;=45",'refer admin discharge'!N15:N2995,"&lt;=64",'refer admin discharge'!O15:O2995,"Female",'refer admin discharge'!P15:P2995,"African American /Black",'refer admin discharge'!AJ15:AJ2995,"NO")</f>
        <v>0</v>
      </c>
      <c r="R30" s="351"/>
      <c r="S30" s="845">
        <f>COUNTIFS('refer admin discharge'!N15:N2995,"&gt;=45",'refer admin discharge'!N15:N2995,"&lt;=64",'refer admin discharge'!O15:O2995,"Male",'refer admin discharge'!P15:P2995,"Native Hawaiian / Other Pacific Islander")</f>
        <v>0</v>
      </c>
      <c r="T30" s="351"/>
      <c r="U30" s="846">
        <f>COUNTIFS('refer admin discharge'!N15:N2995,"&gt;=45",'refer admin discharge'!N15:N2995,"&lt;=64",'refer admin discharge'!O15:O2995,"Female",'refer admin discharge'!P15:P2995,"Native Hawaiian / Other Pacific Islander",'refer admin discharge'!AJ15:AJ2995,"NO")</f>
        <v>0</v>
      </c>
      <c r="V30" s="351"/>
      <c r="W30" s="845">
        <f>COUNTIFS('refer admin discharge'!N15:N2995,"&gt;=45",'refer admin discharge'!N15:N2995,"&lt;=64",'refer admin discharge'!O15:O2995,"Male",'refer admin discharge'!P15:P2995,"Asian")</f>
        <v>0</v>
      </c>
      <c r="X30" s="351"/>
      <c r="Y30" s="846">
        <f>COUNTIFS('refer admin discharge'!N15:N2995,"&gt;=45",'refer admin discharge'!N15:N2995,"&lt;=64",'refer admin discharge'!O15:O2995,"Female",'refer admin discharge'!P15:P2995,"Asian",'refer admin discharge'!AJ15:AJ2995,"NO")</f>
        <v>0</v>
      </c>
      <c r="Z30" s="351"/>
      <c r="AA30" s="845">
        <f>COUNTIFS('refer admin discharge'!N15:N2995,"&gt;=45",'refer admin discharge'!N15:N2995,"&lt;=64",'refer admin discharge'!O15:O2995,"Male",'refer admin discharge'!P15:P2995,"American Indian / Alaska Native")</f>
        <v>0</v>
      </c>
      <c r="AB30" s="351"/>
      <c r="AC30" s="846">
        <f>COUNTIFS('refer admin discharge'!N15:N2995,"&gt;=45",'refer admin discharge'!N15:N2995,"&lt;=64",'refer admin discharge'!O15:O2995,"Female",'refer admin discharge'!P15:P2995,"American Indian / Alaska Native",'refer admin discharge'!AJ15:AJ2995,"NO")</f>
        <v>0</v>
      </c>
      <c r="AD30" s="351"/>
      <c r="AE30" s="845">
        <f>COUNTIFS('refer admin discharge'!N15:N2995,"&gt;=45",'refer admin discharge'!N15:N2995,"&lt;=64",'refer admin discharge'!O15:O2995,"Male",'refer admin discharge'!P15:P2995,"More than one race reported")</f>
        <v>0</v>
      </c>
      <c r="AF30" s="351"/>
      <c r="AG30" s="846">
        <f>COUNTIFS('refer admin discharge'!N15:N2995,"&gt;=45",'refer admin discharge'!N15:N2995,"&lt;=64",'refer admin discharge'!O15:O2995,"Female",'refer admin discharge'!P15:P2995,"More than one race reported",'refer admin discharge'!AJ15:AJ2995,"NO")</f>
        <v>0</v>
      </c>
      <c r="AH30" s="351"/>
      <c r="AI30" s="845">
        <f>COUNTIFS('refer admin discharge'!N15:N2995,"&gt;=45",'refer admin discharge'!N15:N2995,"&lt;=64",'refer admin discharge'!O15:O2995,"Male",'refer admin discharge'!P15:P2995,"Unknown")</f>
        <v>0</v>
      </c>
      <c r="AJ30" s="351"/>
      <c r="AK30" s="846">
        <f>COUNTIFS('refer admin discharge'!N15:N2995,"&gt;=45",'refer admin discharge'!N15:N2995,"&lt;=64",'refer admin discharge'!O15:O2995,"Female",'refer admin discharge'!P15:P2995,"Unknown",'refer admin discharge'!AJ15:AJ2995,"NO")</f>
        <v>0</v>
      </c>
      <c r="AL30" s="351"/>
      <c r="AM30" s="847">
        <f t="shared" si="0"/>
        <v>0</v>
      </c>
      <c r="AN30" s="351"/>
      <c r="AO30" s="812">
        <f t="shared" si="1"/>
        <v>0</v>
      </c>
      <c r="AP30" s="351"/>
      <c r="AQ30" s="9"/>
      <c r="AR30" s="848">
        <f>COUNTIFS('refer admin discharge'!N15:N2995,"&gt;=45",'refer admin discharge'!N15:N2995,"&lt;=64",'refer admin discharge'!O15:O2995,"Male",'refer admin discharge'!R15:R2995,"Not Hispanic or Latino")</f>
        <v>0</v>
      </c>
      <c r="AS30" s="351"/>
      <c r="AT30" s="849">
        <f>COUNTIFS('refer admin discharge'!N15:N2995,"&gt;=45",'refer admin discharge'!N15:N2995,"&lt;=64",'refer admin discharge'!O15:O2995,"Female",'refer admin discharge'!R15:R2995,"Not Hispanic or Latino",'refer admin discharge'!AJ15:AJ2995,"NO")</f>
        <v>0</v>
      </c>
      <c r="AU30" s="351"/>
      <c r="AV30" s="848">
        <f>COUNTIFS('refer admin discharge'!N15:N2995,"&gt;=45",'refer admin discharge'!N15:N2995,"&lt;=64",'refer admin discharge'!O15:O2995,"Male",'refer admin discharge'!R15:R2995,"Hispanic-Latino ")</f>
        <v>0</v>
      </c>
      <c r="AW30" s="351"/>
      <c r="AX30" s="849">
        <f>COUNTIFS('refer admin discharge'!N15:N2995,"&gt;=45",'refer admin discharge'!N15:N2995,"&lt;=64",'refer admin discharge'!O15:O2995,"Female",'refer admin discharge'!R15:R2995,"Hispanic-Latino ",'refer admin discharge'!AJ15:AJ2995,"NO")</f>
        <v>0</v>
      </c>
      <c r="AY30" s="351"/>
      <c r="AZ30" s="848">
        <f>COUNTIFS('refer admin discharge'!N15:N2995,"&gt;=45",'refer admin discharge'!N15:N2995,"&lt;=64",'refer admin discharge'!O15:O2995,"Male",'refer admin discharge'!R15:R2995,"Unknown")</f>
        <v>0</v>
      </c>
      <c r="BA30" s="351"/>
      <c r="BB30" s="849">
        <f>COUNTIFS('refer admin discharge'!N15:N2995,"&gt;=45",'refer admin discharge'!N15:N2995,"&lt;=64",'refer admin discharge'!O15:O2995,"Female",'refer admin discharge'!R15:R2995,"Unknown",'refer admin discharge'!AJ15:AJ2995,"NO")</f>
        <v>0</v>
      </c>
      <c r="BC30" s="351"/>
      <c r="BD30" s="810">
        <f t="shared" si="2"/>
        <v>0</v>
      </c>
      <c r="BE30" s="351"/>
      <c r="BF30" s="810">
        <f t="shared" si="3"/>
        <v>0</v>
      </c>
      <c r="BG30" s="351"/>
    </row>
    <row r="31" spans="1:78" ht="15.75" customHeight="1">
      <c r="A31" s="844" t="s">
        <v>572</v>
      </c>
      <c r="B31" s="350"/>
      <c r="C31" s="350"/>
      <c r="D31" s="350"/>
      <c r="E31" s="350"/>
      <c r="F31" s="350"/>
      <c r="G31" s="350"/>
      <c r="H31" s="350"/>
      <c r="I31" s="350"/>
      <c r="J31" s="351"/>
      <c r="K31" s="845">
        <f>COUNTIFS('refer admin discharge'!N15:N2995,"&gt;=65",'refer admin discharge'!N15:N2995,"&lt;=74",'refer admin discharge'!O15:O2995,"Male",'refer admin discharge'!P15:P2995,"White")</f>
        <v>0</v>
      </c>
      <c r="L31" s="351"/>
      <c r="M31" s="846">
        <f>COUNTIFS('refer admin discharge'!N15:N2995,"&gt;=65",'refer admin discharge'!N15:N2995,"&lt;=74",'refer admin discharge'!O15:O2995,"Female",'refer admin discharge'!P15:P2995,"White",'refer admin discharge'!AJ15:AJ2995,"NO")</f>
        <v>0</v>
      </c>
      <c r="N31" s="351"/>
      <c r="O31" s="845">
        <f>COUNTIFS('refer admin discharge'!N15:N2995,"&gt;=65",'refer admin discharge'!N15:N2995,"&lt;=74",'refer admin discharge'!O15:O2995,"Male",'refer admin discharge'!P15:P2995,"African American /Black")</f>
        <v>0</v>
      </c>
      <c r="P31" s="351"/>
      <c r="Q31" s="846">
        <f>COUNTIFS('refer admin discharge'!N15:N2995,"&gt;=65",'refer admin discharge'!N15:N2995,"&lt;=74",'refer admin discharge'!O15:O2995,"Female",'refer admin discharge'!P15:P2995,"African American /Black",'refer admin discharge'!AJ15:AJ2995,"NO")</f>
        <v>0</v>
      </c>
      <c r="R31" s="351"/>
      <c r="S31" s="845">
        <f>COUNTIFS('refer admin discharge'!N15:N2995,"&gt;=65",'refer admin discharge'!N15:N2995,"&lt;=74",'refer admin discharge'!O15:O2995,"Male",'refer admin discharge'!P15:P2995,"Native Hawaiian / Other Pacific Islander")</f>
        <v>0</v>
      </c>
      <c r="T31" s="351"/>
      <c r="U31" s="846">
        <f>COUNTIFS('refer admin discharge'!N15:N2995,"&gt;=65",'refer admin discharge'!N15:N2995,"&lt;=74",'refer admin discharge'!O15:O2995,"Female",'refer admin discharge'!P15:P2995,"Native Hawaiian / Other Pacific Islander",'refer admin discharge'!AJ15:AJ2995,"NO")</f>
        <v>0</v>
      </c>
      <c r="V31" s="351"/>
      <c r="W31" s="845">
        <f>COUNTIFS('refer admin discharge'!N15:N2995,"&gt;=65",'refer admin discharge'!N15:N2995,"&lt;=74",'refer admin discharge'!O15:O2995,"Male",'refer admin discharge'!P15:P2995,"Asian")</f>
        <v>0</v>
      </c>
      <c r="X31" s="351"/>
      <c r="Y31" s="846">
        <f>COUNTIFS('refer admin discharge'!N15:N2995,"&gt;=65",'refer admin discharge'!N15:N2995,"&lt;=74",'refer admin discharge'!O15:O2995,"Female",'refer admin discharge'!P15:P2995,"Asian",'refer admin discharge'!AJ15:AJ2995,"NO")</f>
        <v>0</v>
      </c>
      <c r="Z31" s="351"/>
      <c r="AA31" s="845">
        <f>COUNTIFS('refer admin discharge'!N15:N2995,"&gt;=65",'refer admin discharge'!N15:N2995,"&lt;=74",'refer admin discharge'!O15:O2995,"Male",'refer admin discharge'!P15:P2995,"American Indian / Alaska Native")</f>
        <v>0</v>
      </c>
      <c r="AB31" s="351"/>
      <c r="AC31" s="846">
        <f>COUNTIFS('refer admin discharge'!N15:N2995,"&gt;=65",'refer admin discharge'!N15:N2995,"&lt;=74",'refer admin discharge'!O15:O2995,"Female",'refer admin discharge'!P15:P2995,"American Indian / Alaska Native",'refer admin discharge'!AJ15:AJ2995,"NO")</f>
        <v>0</v>
      </c>
      <c r="AD31" s="351"/>
      <c r="AE31" s="845">
        <f>COUNTIFS('refer admin discharge'!N15:N2995,"&gt;=65",'refer admin discharge'!N15:N2995,"&lt;=74",'refer admin discharge'!O15:O2995,"Male",'refer admin discharge'!P15:P2995,"More than one race reported")</f>
        <v>0</v>
      </c>
      <c r="AF31" s="351"/>
      <c r="AG31" s="846">
        <f>COUNTIFS('refer admin discharge'!N15:N2995,"&gt;=65",'refer admin discharge'!N15:N2995,"&lt;=74",'refer admin discharge'!O15:O2995,"Female",'refer admin discharge'!P15:P2995,"More than one race reported",'refer admin discharge'!AJ15:AJ2995,"NO")</f>
        <v>0</v>
      </c>
      <c r="AH31" s="351"/>
      <c r="AI31" s="845">
        <f>COUNTIFS('refer admin discharge'!N15:N2995,"&gt;=65",'refer admin discharge'!N15:N2995,"&lt;=74",'refer admin discharge'!O15:O2995,"Male",'refer admin discharge'!P15:P2995,"Unknown")</f>
        <v>0</v>
      </c>
      <c r="AJ31" s="351"/>
      <c r="AK31" s="846">
        <f>COUNTIFS('refer admin discharge'!N15:N2995,"&gt;=65",'refer admin discharge'!N15:N2995,"&lt;=74",'refer admin discharge'!O15:O2995,"Female",'refer admin discharge'!P15:P2995,"Unknown",'refer admin discharge'!AJ15:AJ2995,"NO")</f>
        <v>0</v>
      </c>
      <c r="AL31" s="351"/>
      <c r="AM31" s="847">
        <f t="shared" si="0"/>
        <v>0</v>
      </c>
      <c r="AN31" s="351"/>
      <c r="AO31" s="812">
        <f t="shared" si="1"/>
        <v>0</v>
      </c>
      <c r="AP31" s="351"/>
      <c r="AQ31" s="9"/>
      <c r="AR31" s="848">
        <f>COUNTIFS('refer admin discharge'!N15:N2995,"&gt;=65",'refer admin discharge'!N15:N2995,"&lt;=74",'refer admin discharge'!O15:O2995,"Male",'refer admin discharge'!R15:R2995,"Not Hispanic or Latino")</f>
        <v>0</v>
      </c>
      <c r="AS31" s="351"/>
      <c r="AT31" s="849">
        <f>COUNTIFS('refer admin discharge'!N15:N2995,"&gt;=65",'refer admin discharge'!N15:N2995,"&lt;=74",'refer admin discharge'!O15:O2995,"Female",'refer admin discharge'!R15:R2995,"Not Hispanic or Latino",'refer admin discharge'!AJ15:AJ2995,"NO")</f>
        <v>0</v>
      </c>
      <c r="AU31" s="351"/>
      <c r="AV31" s="848">
        <f>COUNTIFS('refer admin discharge'!N15:N2995,"&gt;=65",'refer admin discharge'!N15:N2995,"&lt;=74",'refer admin discharge'!O15:O2995,"Male",'refer admin discharge'!R15:R2995,"Hispanic-Latino ")</f>
        <v>0</v>
      </c>
      <c r="AW31" s="351"/>
      <c r="AX31" s="849">
        <f>COUNTIFS('refer admin discharge'!N15:N2995,"&gt;=65",'refer admin discharge'!N15:N2995,"&lt;=74",'refer admin discharge'!O15:O2995,"Female",'refer admin discharge'!R15:R2995,"Hispanic-Latino ",'refer admin discharge'!AJ15:AJ2995,"NO")</f>
        <v>0</v>
      </c>
      <c r="AY31" s="351"/>
      <c r="AZ31" s="848">
        <f>COUNTIFS('refer admin discharge'!N15:N2995,"&gt;=65",'refer admin discharge'!N15:N2995,"&lt;=74",'refer admin discharge'!O15:O2995,"Male",'refer admin discharge'!R15:R2995,"Unknown")</f>
        <v>0</v>
      </c>
      <c r="BA31" s="351"/>
      <c r="BB31" s="849">
        <f>COUNTIFS('refer admin discharge'!N15:N2995,"&gt;=65",'refer admin discharge'!N15:N2995,"&lt;=74",'refer admin discharge'!O15:O2995,"Female",'refer admin discharge'!R15:R2995,"Unknown",'refer admin discharge'!AJ15:AJ2995,"NO")</f>
        <v>0</v>
      </c>
      <c r="BC31" s="351"/>
      <c r="BD31" s="810">
        <f t="shared" si="2"/>
        <v>0</v>
      </c>
      <c r="BE31" s="351"/>
      <c r="BF31" s="810">
        <f t="shared" si="3"/>
        <v>0</v>
      </c>
      <c r="BG31" s="351"/>
    </row>
    <row r="32" spans="1:78" ht="15.75" customHeight="1">
      <c r="A32" s="844" t="s">
        <v>573</v>
      </c>
      <c r="B32" s="350"/>
      <c r="C32" s="350"/>
      <c r="D32" s="350"/>
      <c r="E32" s="350"/>
      <c r="F32" s="350"/>
      <c r="G32" s="350"/>
      <c r="H32" s="350"/>
      <c r="I32" s="350"/>
      <c r="J32" s="351"/>
      <c r="K32" s="845">
        <f>COUNTIFS('refer admin discharge'!N15:N2995,"&gt;=75",'refer admin discharge'!N15:N2995,"&lt;=150",'refer admin discharge'!O15:O2995,"Male",'refer admin discharge'!P15:P2995,"White")</f>
        <v>0</v>
      </c>
      <c r="L32" s="351"/>
      <c r="M32" s="846">
        <f>COUNTIFS('refer admin discharge'!N15:N2995,"&gt;=75",'refer admin discharge'!N15:N2995,"&lt;=150",'refer admin discharge'!O15:O2995,"FEmale",'refer admin discharge'!P15:P2995,"White",'refer admin discharge'!AJ15:AJ2995,"NO")</f>
        <v>0</v>
      </c>
      <c r="N32" s="351"/>
      <c r="O32" s="845">
        <f>COUNTIFS('refer admin discharge'!N15:N2995,"&gt;=75",'refer admin discharge'!N15:N2995,"&lt;=150",'refer admin discharge'!O15:O2995,"Male",'refer admin discharge'!P15:P2995,"African American /Black")</f>
        <v>0</v>
      </c>
      <c r="P32" s="351"/>
      <c r="Q32" s="846">
        <f>COUNTIFS('refer admin discharge'!N15:N2995,"&gt;=75",'refer admin discharge'!N15:N2995,"&lt;=150",'refer admin discharge'!O15:O2995,"FEmale",'refer admin discharge'!P15:P2995,"African American /Black",'refer admin discharge'!AJ15:AJ2995,"NO")</f>
        <v>0</v>
      </c>
      <c r="R32" s="351"/>
      <c r="S32" s="845">
        <f>COUNTIFS('refer admin discharge'!N15:N2995,"&gt;=75",'refer admin discharge'!N15:N2995,"&lt;=150",'refer admin discharge'!O15:O2995,"Male",'refer admin discharge'!P15:P2995,"Native Hawaiian / Other Pacific Islander")</f>
        <v>0</v>
      </c>
      <c r="T32" s="351"/>
      <c r="U32" s="846">
        <f>COUNTIFS('refer admin discharge'!N15:N2995,"&gt;=75",'refer admin discharge'!N15:N2995,"&lt;=150",'refer admin discharge'!O15:O2995,"FEmale",'refer admin discharge'!P15:P2995,"Native Hawaiian / Other Pacific Islander",'refer admin discharge'!AJ15:AJ2995,"NO")</f>
        <v>0</v>
      </c>
      <c r="V32" s="351"/>
      <c r="W32" s="845">
        <f>COUNTIFS('refer admin discharge'!N15:N2995,"&gt;=75",'refer admin discharge'!N15:N2995,"&lt;=150",'refer admin discharge'!O15:O2995,"Male",'refer admin discharge'!P15:P2995,"Asian")</f>
        <v>0</v>
      </c>
      <c r="X32" s="351"/>
      <c r="Y32" s="846">
        <f>COUNTIFS('refer admin discharge'!N15:N2995,"&gt;=75",'refer admin discharge'!N15:N2995,"&lt;=150",'refer admin discharge'!O15:O2995,"Female",'refer admin discharge'!P15:P2995,"Asian",'refer admin discharge'!AJ15:AJ2995,"NO")</f>
        <v>0</v>
      </c>
      <c r="Z32" s="351"/>
      <c r="AA32" s="845">
        <f>COUNTIFS('refer admin discharge'!N15:N2995,"&gt;=75",'refer admin discharge'!N15:N2995,"&lt;=150",'refer admin discharge'!O15:O2995,"Male",'refer admin discharge'!P15:P2995,"American Indian / Alaska Native")</f>
        <v>0</v>
      </c>
      <c r="AB32" s="351"/>
      <c r="AC32" s="846">
        <f>COUNTIFS('refer admin discharge'!N15:N2995,"&gt;=75",'refer admin discharge'!N15:N2995,"&lt;=150",'refer admin discharge'!O15:O2995,"Female",'refer admin discharge'!P15:P2995,"American Indian / Alaska Native",'refer admin discharge'!AJ15:AJ2995,"NO")</f>
        <v>0</v>
      </c>
      <c r="AD32" s="351"/>
      <c r="AE32" s="845">
        <f>COUNTIFS('refer admin discharge'!N15:N2995,"&gt;=75",'refer admin discharge'!N15:N2995,"&lt;=150",'refer admin discharge'!O15:O2995,"Male",'refer admin discharge'!P15:P2995,"More than one race reported")</f>
        <v>0</v>
      </c>
      <c r="AF32" s="351"/>
      <c r="AG32" s="846">
        <f>COUNTIFS('refer admin discharge'!N15:N2995,"&gt;=75",'refer admin discharge'!N15:N2995,"&lt;=150",'refer admin discharge'!O15:O2995,"Female",'refer admin discharge'!P15:P2995,"More than one race reported",'refer admin discharge'!AJ15:AJ2995,"NO")</f>
        <v>0</v>
      </c>
      <c r="AH32" s="351"/>
      <c r="AI32" s="845">
        <f>COUNTIFS('refer admin discharge'!N15:N2995,"&gt;=75",'refer admin discharge'!N15:N2995,"&lt;=150",'refer admin discharge'!O15:O2995,"Male",'refer admin discharge'!P15:P2995,"Unknown")</f>
        <v>0</v>
      </c>
      <c r="AJ32" s="351"/>
      <c r="AK32" s="846">
        <f>COUNTIFS('refer admin discharge'!N15:N2995,"&gt;=75",'refer admin discharge'!N15:N2995,"&lt;=150",'refer admin discharge'!O15:O2995,"Female",'refer admin discharge'!P15:P2995,"Unknown",'refer admin discharge'!AJ15:AJ2995,"NO")</f>
        <v>0</v>
      </c>
      <c r="AL32" s="351"/>
      <c r="AM32" s="847">
        <f t="shared" si="0"/>
        <v>0</v>
      </c>
      <c r="AN32" s="351"/>
      <c r="AO32" s="812">
        <f t="shared" si="1"/>
        <v>0</v>
      </c>
      <c r="AP32" s="351"/>
      <c r="AQ32" s="9"/>
      <c r="AR32" s="848">
        <f>COUNTIFS('refer admin discharge'!N15:N2995,"&gt;=75",'refer admin discharge'!N15:N2995,"&lt;=150",'refer admin discharge'!O15:O2995,"Male",'refer admin discharge'!R15:R2995,"Not Hispanic or Latino")</f>
        <v>0</v>
      </c>
      <c r="AS32" s="351"/>
      <c r="AT32" s="849">
        <f>COUNTIFS('refer admin discharge'!N15:N2995,"&gt;=75",'refer admin discharge'!N15:N2995,"&lt;=150",'refer admin discharge'!O15:O2995,"FEmale",'refer admin discharge'!R15:R2995,"Not Hispanic or Latino",'refer admin discharge'!AJ15:AJ2995,"NO")</f>
        <v>0</v>
      </c>
      <c r="AU32" s="351"/>
      <c r="AV32" s="848">
        <f>COUNTIFS('refer admin discharge'!N15:N2995,"&gt;=75",'refer admin discharge'!N15:N2995,"&lt;=150",'refer admin discharge'!O15:O2995,"Male",'refer admin discharge'!R15:R2995,"Hispanic-Latino ")</f>
        <v>0</v>
      </c>
      <c r="AW32" s="351"/>
      <c r="AX32" s="849">
        <f>COUNTIFS('refer admin discharge'!N15:N2995,"&gt;=75",'refer admin discharge'!N15:N2995,"&lt;=150",'refer admin discharge'!O15:O2995,"Female",'refer admin discharge'!R15:R2995,"Hispanic-Latino ",'refer admin discharge'!AJ15:AJ2995,"NO")</f>
        <v>0</v>
      </c>
      <c r="AY32" s="351"/>
      <c r="AZ32" s="848">
        <f>COUNTIFS('refer admin discharge'!N15:N2995,"&gt;=75",'refer admin discharge'!N15:N2995,"&lt;=150",'refer admin discharge'!O15:O2995,"Male",'refer admin discharge'!R15:R2995,"Unknown")</f>
        <v>0</v>
      </c>
      <c r="BA32" s="351"/>
      <c r="BB32" s="849">
        <f>COUNTIFS('refer admin discharge'!N15:N2995,"&gt;=75",'refer admin discharge'!N15:N2995,"&lt;=150",'refer admin discharge'!O15:O2995,"FEmale",'refer admin discharge'!R15:R2995,"Unknown",'refer admin discharge'!AJ15:AJ2995,"NO")</f>
        <v>0</v>
      </c>
      <c r="BC32" s="351"/>
      <c r="BD32" s="810">
        <f t="shared" si="2"/>
        <v>0</v>
      </c>
      <c r="BE32" s="351"/>
      <c r="BF32" s="810">
        <f t="shared" si="3"/>
        <v>0</v>
      </c>
      <c r="BG32" s="351"/>
    </row>
    <row r="33" spans="1:72" ht="15.75" customHeight="1">
      <c r="A33" s="823" t="s">
        <v>561</v>
      </c>
      <c r="B33" s="350"/>
      <c r="C33" s="350"/>
      <c r="D33" s="350"/>
      <c r="E33" s="350"/>
      <c r="F33" s="350"/>
      <c r="G33" s="350"/>
      <c r="H33" s="350"/>
      <c r="I33" s="350"/>
      <c r="J33" s="351"/>
      <c r="K33" s="847">
        <f>SUM(K25:K32)</f>
        <v>0</v>
      </c>
      <c r="L33" s="351"/>
      <c r="M33" s="847">
        <f>SUM(M25:M32)</f>
        <v>0</v>
      </c>
      <c r="N33" s="351"/>
      <c r="O33" s="847">
        <f>SUM(O25:O32)</f>
        <v>0</v>
      </c>
      <c r="P33" s="351"/>
      <c r="Q33" s="847">
        <f>SUM(Q25:Q32)</f>
        <v>0</v>
      </c>
      <c r="R33" s="351"/>
      <c r="S33" s="847">
        <f>SUM(S25:S32)</f>
        <v>0</v>
      </c>
      <c r="T33" s="351"/>
      <c r="U33" s="847">
        <f>SUM(U25:U32)</f>
        <v>0</v>
      </c>
      <c r="V33" s="351"/>
      <c r="W33" s="847">
        <f>SUM(W25:W32)</f>
        <v>0</v>
      </c>
      <c r="X33" s="351"/>
      <c r="Y33" s="847">
        <f>SUM(Y25:Y32)</f>
        <v>0</v>
      </c>
      <c r="Z33" s="351"/>
      <c r="AA33" s="847">
        <f>SUM(AA25:AA32)</f>
        <v>0</v>
      </c>
      <c r="AB33" s="351"/>
      <c r="AC33" s="847">
        <f>SUM(AC25:AC32)</f>
        <v>0</v>
      </c>
      <c r="AD33" s="351"/>
      <c r="AE33" s="847">
        <f>SUM(AE25:AE32)</f>
        <v>0</v>
      </c>
      <c r="AF33" s="351"/>
      <c r="AG33" s="847">
        <f>SUM(AG25:AG32)</f>
        <v>0</v>
      </c>
      <c r="AH33" s="351"/>
      <c r="AI33" s="847">
        <f>SUM(AI25:AI32)</f>
        <v>0</v>
      </c>
      <c r="AJ33" s="351"/>
      <c r="AK33" s="847">
        <f>SUM(AK25:AK32)</f>
        <v>0</v>
      </c>
      <c r="AL33" s="351"/>
      <c r="AM33" s="847">
        <f>SUM(AM25:AM32)</f>
        <v>0</v>
      </c>
      <c r="AN33" s="351"/>
      <c r="AO33" s="812">
        <f>SUM(AO25:AO32)</f>
        <v>0</v>
      </c>
      <c r="AP33" s="351"/>
      <c r="AQ33" s="9"/>
      <c r="AR33" s="810">
        <f>SUM(AR25:AR32)</f>
        <v>0</v>
      </c>
      <c r="AS33" s="351"/>
      <c r="AT33" s="810">
        <f>SUM(AT25:AT32)</f>
        <v>0</v>
      </c>
      <c r="AU33" s="351"/>
      <c r="AV33" s="810">
        <f>SUM(AV25:AV32)</f>
        <v>0</v>
      </c>
      <c r="AW33" s="351"/>
      <c r="AX33" s="810">
        <f>SUM(AX25:AX32)</f>
        <v>0</v>
      </c>
      <c r="AY33" s="351"/>
      <c r="AZ33" s="810">
        <f>SUM(AZ25:AZ32)</f>
        <v>0</v>
      </c>
      <c r="BA33" s="351"/>
      <c r="BB33" s="810">
        <f>SUM(BB25:BB32)</f>
        <v>0</v>
      </c>
      <c r="BC33" s="351"/>
      <c r="BD33" s="810">
        <f>SUM(BD25:BD32)</f>
        <v>0</v>
      </c>
      <c r="BE33" s="351"/>
      <c r="BF33" s="810">
        <f>SUM(BF25:BF32)</f>
        <v>0</v>
      </c>
      <c r="BG33" s="351"/>
    </row>
    <row r="34" spans="1:72" ht="15.75" customHeight="1">
      <c r="A34" s="814" t="s">
        <v>574</v>
      </c>
      <c r="B34" s="350"/>
      <c r="C34" s="350"/>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1"/>
      <c r="AM34" s="815">
        <f>AM33+AO33</f>
        <v>0</v>
      </c>
      <c r="AN34" s="350"/>
      <c r="AO34" s="350"/>
      <c r="AP34" s="351"/>
      <c r="AQ34" s="9"/>
      <c r="AR34" s="816" t="s">
        <v>574</v>
      </c>
      <c r="AS34" s="350"/>
      <c r="AT34" s="350"/>
      <c r="AU34" s="350"/>
      <c r="AV34" s="350"/>
      <c r="AW34" s="350"/>
      <c r="AX34" s="350"/>
      <c r="AY34" s="350"/>
      <c r="AZ34" s="350"/>
      <c r="BA34" s="350"/>
      <c r="BB34" s="350"/>
      <c r="BC34" s="351"/>
      <c r="BD34" s="817">
        <f>BD33+BF33</f>
        <v>0</v>
      </c>
      <c r="BE34" s="350"/>
      <c r="BF34" s="350"/>
      <c r="BG34" s="351"/>
    </row>
    <row r="35" spans="1:72" ht="15.75" customHeight="1">
      <c r="A35" s="117"/>
      <c r="B35" s="118"/>
      <c r="C35" s="118"/>
      <c r="D35" s="118"/>
      <c r="E35" s="118"/>
      <c r="F35" s="118"/>
      <c r="G35" s="118"/>
      <c r="H35" s="118"/>
      <c r="I35" s="119"/>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20"/>
      <c r="AM35" s="121"/>
      <c r="AN35" s="121"/>
      <c r="AO35" s="121"/>
      <c r="AP35" s="121"/>
      <c r="AQ35" s="9"/>
      <c r="AR35" s="122"/>
      <c r="AS35" s="122"/>
      <c r="AT35" s="122"/>
      <c r="AU35" s="122"/>
      <c r="AV35" s="122"/>
      <c r="AW35" s="122"/>
      <c r="AX35" s="122"/>
      <c r="AY35" s="122"/>
      <c r="AZ35" s="122"/>
      <c r="BA35" s="122"/>
      <c r="BB35" s="122"/>
      <c r="BC35" s="122"/>
      <c r="BD35" s="123"/>
      <c r="BE35" s="123"/>
      <c r="BF35" s="123"/>
      <c r="BG35" s="123"/>
    </row>
    <row r="36" spans="1:72" ht="60" customHeight="1">
      <c r="A36" s="832" t="s">
        <v>575</v>
      </c>
      <c r="B36" s="355"/>
      <c r="C36" s="355"/>
      <c r="D36" s="355"/>
      <c r="E36" s="355"/>
      <c r="F36" s="355"/>
      <c r="G36" s="355"/>
      <c r="H36" s="355"/>
      <c r="I36" s="355"/>
      <c r="J36" s="356"/>
      <c r="K36" s="833" t="s">
        <v>554</v>
      </c>
      <c r="L36" s="350"/>
      <c r="M36" s="350"/>
      <c r="N36" s="351"/>
      <c r="O36" s="833" t="s">
        <v>555</v>
      </c>
      <c r="P36" s="350"/>
      <c r="Q36" s="350"/>
      <c r="R36" s="351"/>
      <c r="S36" s="833" t="s">
        <v>556</v>
      </c>
      <c r="T36" s="350"/>
      <c r="U36" s="350"/>
      <c r="V36" s="351"/>
      <c r="W36" s="833" t="s">
        <v>557</v>
      </c>
      <c r="X36" s="350"/>
      <c r="Y36" s="350"/>
      <c r="Z36" s="351"/>
      <c r="AA36" s="833" t="s">
        <v>558</v>
      </c>
      <c r="AB36" s="350"/>
      <c r="AC36" s="350"/>
      <c r="AD36" s="351"/>
      <c r="AE36" s="833" t="s">
        <v>559</v>
      </c>
      <c r="AF36" s="350"/>
      <c r="AG36" s="350"/>
      <c r="AH36" s="351"/>
      <c r="AI36" s="833" t="s">
        <v>560</v>
      </c>
      <c r="AJ36" s="350"/>
      <c r="AK36" s="350"/>
      <c r="AL36" s="351"/>
      <c r="AM36" s="836" t="s">
        <v>561</v>
      </c>
      <c r="AN36" s="350"/>
      <c r="AO36" s="350"/>
      <c r="AP36" s="351"/>
      <c r="AQ36" s="9"/>
      <c r="AR36" s="837" t="s">
        <v>562</v>
      </c>
      <c r="AS36" s="350"/>
      <c r="AT36" s="350"/>
      <c r="AU36" s="351"/>
      <c r="AV36" s="837" t="s">
        <v>563</v>
      </c>
      <c r="AW36" s="350"/>
      <c r="AX36" s="350"/>
      <c r="AY36" s="351"/>
      <c r="AZ36" s="837" t="s">
        <v>560</v>
      </c>
      <c r="BA36" s="350"/>
      <c r="BB36" s="350"/>
      <c r="BC36" s="351"/>
      <c r="BD36" s="838" t="s">
        <v>561</v>
      </c>
      <c r="BE36" s="350"/>
      <c r="BF36" s="350"/>
      <c r="BG36" s="351"/>
    </row>
    <row r="37" spans="1:72" ht="15.75" customHeight="1">
      <c r="A37" s="360"/>
      <c r="B37" s="361"/>
      <c r="C37" s="361"/>
      <c r="D37" s="361"/>
      <c r="E37" s="361"/>
      <c r="F37" s="361"/>
      <c r="G37" s="361"/>
      <c r="H37" s="361"/>
      <c r="I37" s="361"/>
      <c r="J37" s="362"/>
      <c r="K37" s="834" t="s">
        <v>564</v>
      </c>
      <c r="L37" s="351"/>
      <c r="M37" s="835" t="s">
        <v>565</v>
      </c>
      <c r="N37" s="351"/>
      <c r="O37" s="834" t="s">
        <v>564</v>
      </c>
      <c r="P37" s="351"/>
      <c r="Q37" s="835" t="s">
        <v>565</v>
      </c>
      <c r="R37" s="351"/>
      <c r="S37" s="834" t="s">
        <v>564</v>
      </c>
      <c r="T37" s="351"/>
      <c r="U37" s="835" t="s">
        <v>565</v>
      </c>
      <c r="V37" s="351"/>
      <c r="W37" s="834" t="s">
        <v>564</v>
      </c>
      <c r="X37" s="351"/>
      <c r="Y37" s="835" t="s">
        <v>565</v>
      </c>
      <c r="Z37" s="351"/>
      <c r="AA37" s="834" t="s">
        <v>564</v>
      </c>
      <c r="AB37" s="351"/>
      <c r="AC37" s="843" t="s">
        <v>565</v>
      </c>
      <c r="AD37" s="351"/>
      <c r="AE37" s="834" t="s">
        <v>564</v>
      </c>
      <c r="AF37" s="351"/>
      <c r="AG37" s="835" t="s">
        <v>565</v>
      </c>
      <c r="AH37" s="351"/>
      <c r="AI37" s="834" t="s">
        <v>564</v>
      </c>
      <c r="AJ37" s="351"/>
      <c r="AK37" s="835" t="s">
        <v>565</v>
      </c>
      <c r="AL37" s="351"/>
      <c r="AM37" s="841" t="s">
        <v>564</v>
      </c>
      <c r="AN37" s="351"/>
      <c r="AO37" s="842" t="s">
        <v>565</v>
      </c>
      <c r="AP37" s="351"/>
      <c r="AQ37" s="9"/>
      <c r="AR37" s="834" t="s">
        <v>564</v>
      </c>
      <c r="AS37" s="351"/>
      <c r="AT37" s="839" t="s">
        <v>565</v>
      </c>
      <c r="AU37" s="351"/>
      <c r="AV37" s="834" t="s">
        <v>564</v>
      </c>
      <c r="AW37" s="351"/>
      <c r="AX37" s="839" t="s">
        <v>565</v>
      </c>
      <c r="AY37" s="351"/>
      <c r="AZ37" s="834" t="s">
        <v>564</v>
      </c>
      <c r="BA37" s="351"/>
      <c r="BB37" s="839" t="s">
        <v>565</v>
      </c>
      <c r="BC37" s="351"/>
      <c r="BD37" s="840" t="s">
        <v>564</v>
      </c>
      <c r="BE37" s="351"/>
      <c r="BF37" s="624" t="s">
        <v>565</v>
      </c>
      <c r="BG37" s="351"/>
      <c r="BI37" s="105"/>
      <c r="BJ37" s="105"/>
      <c r="BK37" s="124"/>
      <c r="BL37" s="105"/>
      <c r="BM37" s="105"/>
      <c r="BN37" s="105"/>
      <c r="BO37" s="124"/>
      <c r="BP37" s="105"/>
      <c r="BQ37" s="105"/>
      <c r="BR37" s="105"/>
      <c r="BS37" s="124"/>
      <c r="BT37" s="105"/>
    </row>
    <row r="38" spans="1:72" ht="15.75" customHeight="1">
      <c r="A38" s="829" t="s">
        <v>576</v>
      </c>
      <c r="B38" s="350"/>
      <c r="C38" s="350"/>
      <c r="D38" s="350"/>
      <c r="E38" s="350"/>
      <c r="F38" s="350"/>
      <c r="G38" s="350"/>
      <c r="H38" s="350"/>
      <c r="I38" s="350"/>
      <c r="J38" s="351"/>
      <c r="K38" s="824"/>
      <c r="L38" s="351"/>
      <c r="M38" s="828">
        <f>COUNTIFS('refer admin discharge'!N15:N2995,"&gt;=0",'refer admin discharge'!N15:N2995,"&lt;=12",'refer admin discharge'!O15:O2995,"Female",'refer admin discharge'!P15:P2995,"White",'refer admin discharge'!AJ15:AJ2995,"YES")</f>
        <v>0</v>
      </c>
      <c r="N38" s="351"/>
      <c r="O38" s="830"/>
      <c r="P38" s="351"/>
      <c r="Q38" s="828">
        <f>COUNTIFS('refer admin discharge'!N15:N2995,"&gt;=0",'refer admin discharge'!N15:N2995,"&lt;=12",'refer admin discharge'!O15:O2995,"Female",'refer admin discharge'!P15:P2995,"African American /Black",'refer admin discharge'!AJ15:AJ2995,"YES")</f>
        <v>0</v>
      </c>
      <c r="R38" s="351"/>
      <c r="S38" s="830"/>
      <c r="T38" s="351"/>
      <c r="U38" s="828">
        <f>COUNTIFS('refer admin discharge'!N15:N2995,"&gt;=0",'refer admin discharge'!N15:N2995,"&lt;=12",'refer admin discharge'!O15:O2995,"Female",'refer admin discharge'!P15:P2995,"Native Hawaiian / Other Pacific Islander",'refer admin discharge'!AJ15:AJ2995,"YES")</f>
        <v>0</v>
      </c>
      <c r="V38" s="351"/>
      <c r="W38" s="830"/>
      <c r="X38" s="351"/>
      <c r="Y38" s="828">
        <f>COUNTIFS('refer admin discharge'!N15:N2995,"&gt;=0",'refer admin discharge'!N15:N2995,"&lt;=12",'refer admin discharge'!O15:O2995,"Female",'refer admin discharge'!P15:P2995,"Asian",'refer admin discharge'!AJ15:AJ2995,"YES")</f>
        <v>0</v>
      </c>
      <c r="Z38" s="351"/>
      <c r="AA38" s="830"/>
      <c r="AB38" s="351"/>
      <c r="AC38" s="828">
        <f>COUNTIFS('refer admin discharge'!N15:N2995,"&gt;=0",'refer admin discharge'!N15:N2995,"&lt;=12",'refer admin discharge'!O15:O2995,"Female",'refer admin discharge'!P15:P2995,"American Indian / Alaska Native",'refer admin discharge'!AJ15:AJ2995,"YES")</f>
        <v>0</v>
      </c>
      <c r="AD38" s="351"/>
      <c r="AE38" s="831"/>
      <c r="AF38" s="351"/>
      <c r="AG38" s="828">
        <f>COUNTIFS('refer admin discharge'!N15:N2995,"&gt;=0",'refer admin discharge'!N15:N2995,"&lt;=12",'refer admin discharge'!O15:O2995,"Female",'refer admin discharge'!P15:P2995,"More than one race reported",'refer admin discharge'!AJ15:AJ2995,"YES")</f>
        <v>0</v>
      </c>
      <c r="AH38" s="351"/>
      <c r="AI38" s="831"/>
      <c r="AJ38" s="351"/>
      <c r="AK38" s="828">
        <f>COUNTIFS('refer admin discharge'!N15:N2995,"&gt;=0",'refer admin discharge'!N15:N2995,"&lt;=12",'refer admin discharge'!O15:O2995,"Female",'refer admin discharge'!P15:P2995,"Unknown",'refer admin discharge'!AJ15:AJ2995,"YES")</f>
        <v>0</v>
      </c>
      <c r="AL38" s="351"/>
      <c r="AM38" s="824"/>
      <c r="AN38" s="351"/>
      <c r="AO38" s="812">
        <f t="shared" ref="AO38:AO45" si="4">M38+Q38+U38+Y38+AC38+AG38+AK38</f>
        <v>0</v>
      </c>
      <c r="AP38" s="351"/>
      <c r="AQ38" s="9"/>
      <c r="AR38" s="824"/>
      <c r="AS38" s="351"/>
      <c r="AT38" s="825">
        <f>COUNTIFS('refer admin discharge'!N15:N2995,"&gt;=0",'refer admin discharge'!N15:N2995,"&lt;=12",'refer admin discharge'!O15:O2995,"Female",'refer admin discharge'!R15:R2995,"Not Hispanic or Latino",'refer admin discharge'!AJ15:AJ2995,"YES")</f>
        <v>0</v>
      </c>
      <c r="AU38" s="351"/>
      <c r="AV38" s="824"/>
      <c r="AW38" s="351"/>
      <c r="AX38" s="825">
        <f>COUNTIFS('refer admin discharge'!N15:N2995,"&gt;=0",'refer admin discharge'!N15:N2995,"&lt;=12",'refer admin discharge'!O15:O2995,"Female",'refer admin discharge'!R15:R2995,"Hispanic-Latino ",'refer admin discharge'!AJ15:AJ2995,"YES")</f>
        <v>0</v>
      </c>
      <c r="AY38" s="351"/>
      <c r="AZ38" s="824"/>
      <c r="BA38" s="351"/>
      <c r="BB38" s="825">
        <f>COUNTIFS('refer admin discharge'!N15:N2995,"&gt;=0",'refer admin discharge'!N15:N2995,"&lt;=12",'refer admin discharge'!O15:O2995,"Female",'refer admin discharge'!R15:R2995,"Unknown",'refer admin discharge'!AJ15:AJ2995,"YES")</f>
        <v>0</v>
      </c>
      <c r="BC38" s="351"/>
      <c r="BD38" s="826"/>
      <c r="BE38" s="351"/>
      <c r="BF38" s="827">
        <f t="shared" ref="BF38:BF45" si="5">AT38+AX38+BB38</f>
        <v>0</v>
      </c>
      <c r="BG38" s="351"/>
    </row>
    <row r="39" spans="1:72" ht="15.75" customHeight="1">
      <c r="A39" s="829" t="s">
        <v>577</v>
      </c>
      <c r="B39" s="350"/>
      <c r="C39" s="350"/>
      <c r="D39" s="350"/>
      <c r="E39" s="350"/>
      <c r="F39" s="350"/>
      <c r="G39" s="350"/>
      <c r="H39" s="350"/>
      <c r="I39" s="350"/>
      <c r="J39" s="351"/>
      <c r="K39" s="824"/>
      <c r="L39" s="351"/>
      <c r="M39" s="828">
        <f>COUNTIFS('refer admin discharge'!N15:N2995,"&gt;=13",'refer admin discharge'!N15:N2995,"&lt;=17",'refer admin discharge'!O15:O2995,"Female",'refer admin discharge'!P15:P2995,"White",'refer admin discharge'!AJ15:AJ2995,"YES")</f>
        <v>0</v>
      </c>
      <c r="N39" s="351"/>
      <c r="O39" s="830"/>
      <c r="P39" s="351"/>
      <c r="Q39" s="828">
        <f>COUNTIFS('refer admin discharge'!N15:N2995,"&gt;=13",'refer admin discharge'!N15:N2995,"&lt;=17",'refer admin discharge'!O15:O2995,"Female",'refer admin discharge'!P15:P2995,"African American /Black",'refer admin discharge'!AJ15:AJ2995,"YES")</f>
        <v>0</v>
      </c>
      <c r="R39" s="351"/>
      <c r="S39" s="830"/>
      <c r="T39" s="351"/>
      <c r="U39" s="828">
        <f>COUNTIFS('refer admin discharge'!N15:N2995,"&gt;=13",'refer admin discharge'!N15:N2995,"&lt;=17",'refer admin discharge'!O15:O2995,"Female",'refer admin discharge'!P15:P2995,"Native Hawaiian / Other Pacific Islander",'refer admin discharge'!AJ15:AJ2995,"YES")</f>
        <v>0</v>
      </c>
      <c r="V39" s="351"/>
      <c r="W39" s="830"/>
      <c r="X39" s="351"/>
      <c r="Y39" s="828">
        <f>COUNTIFS('refer admin discharge'!N15:N2995,"&gt;=13",'refer admin discharge'!N15:N2995,"&lt;=17",'refer admin discharge'!O15:O2995,"Female",'refer admin discharge'!P15:P2995,"Asian",'refer admin discharge'!AJ15:AJ2995,"YES")</f>
        <v>0</v>
      </c>
      <c r="Z39" s="351"/>
      <c r="AA39" s="830"/>
      <c r="AB39" s="351"/>
      <c r="AC39" s="828">
        <f>COUNTIFS('refer admin discharge'!N15:N2995,"&gt;=13",'refer admin discharge'!N15:N2995,"&lt;=17",'refer admin discharge'!O15:O2995,"Female",'refer admin discharge'!P15:P2995,"American Indian / Alaska Native",'refer admin discharge'!AJ15:AJ2995,"YES")</f>
        <v>0</v>
      </c>
      <c r="AD39" s="351"/>
      <c r="AE39" s="831"/>
      <c r="AF39" s="351"/>
      <c r="AG39" s="828">
        <f>COUNTIFS('refer admin discharge'!N15:N2995,"&gt;=13",'refer admin discharge'!N15:N2995,"&lt;=17",'refer admin discharge'!O15:O2995,"Female",'refer admin discharge'!P15:P2995,"More than one race reported",'refer admin discharge'!AJ15:AJ2995,"YES")</f>
        <v>0</v>
      </c>
      <c r="AH39" s="351"/>
      <c r="AI39" s="831"/>
      <c r="AJ39" s="351"/>
      <c r="AK39" s="828">
        <f>COUNTIFS('refer admin discharge'!N15:N2995,"&gt;=13",'refer admin discharge'!N15:N2995,"&lt;=17",'refer admin discharge'!O15:O2995,"Female",'refer admin discharge'!P15:P2995,"Unknown",'refer admin discharge'!AJ15:AJ2995,"YES")</f>
        <v>0</v>
      </c>
      <c r="AL39" s="351"/>
      <c r="AM39" s="824"/>
      <c r="AN39" s="351"/>
      <c r="AO39" s="812">
        <f t="shared" si="4"/>
        <v>0</v>
      </c>
      <c r="AP39" s="351"/>
      <c r="AQ39" s="9"/>
      <c r="AR39" s="824"/>
      <c r="AS39" s="351"/>
      <c r="AT39" s="825">
        <f>COUNTIFS('refer admin discharge'!N15:N2995,"&gt;=13",'refer admin discharge'!N15:N2995,"&lt;=17",'refer admin discharge'!O15:O2995,"Female",'refer admin discharge'!R15:R2995,"Not Hispanic or Latino",'refer admin discharge'!AJ15:AJ2995,"YES")</f>
        <v>0</v>
      </c>
      <c r="AU39" s="351"/>
      <c r="AV39" s="824"/>
      <c r="AW39" s="351"/>
      <c r="AX39" s="825">
        <f>COUNTIFS('refer admin discharge'!N15:N2995,"&gt;=13",'refer admin discharge'!N15:N2995,"&lt;=17",'refer admin discharge'!O15:O2995,"Female",'refer admin discharge'!R15:R2995,"Hispanic-Latino ",'refer admin discharge'!AJ15:AJ2995,"YES")</f>
        <v>0</v>
      </c>
      <c r="AY39" s="351"/>
      <c r="AZ39" s="824"/>
      <c r="BA39" s="351"/>
      <c r="BB39" s="825">
        <f>COUNTIFS('refer admin discharge'!N15:N2995,"&gt;=13",'refer admin discharge'!N15:N2995,"&lt;=17",'refer admin discharge'!O15:O2995,"Female",'refer admin discharge'!R15:R2995,"Unknown",'refer admin discharge'!AJ15:AJ2995,"YES")</f>
        <v>0</v>
      </c>
      <c r="BC39" s="351"/>
      <c r="BD39" s="826"/>
      <c r="BE39" s="351"/>
      <c r="BF39" s="827">
        <f t="shared" si="5"/>
        <v>0</v>
      </c>
      <c r="BG39" s="351"/>
    </row>
    <row r="40" spans="1:72" ht="15.75" customHeight="1">
      <c r="A40" s="829" t="s">
        <v>578</v>
      </c>
      <c r="B40" s="350"/>
      <c r="C40" s="350"/>
      <c r="D40" s="350"/>
      <c r="E40" s="350"/>
      <c r="F40" s="350"/>
      <c r="G40" s="350"/>
      <c r="H40" s="350"/>
      <c r="I40" s="350"/>
      <c r="J40" s="351"/>
      <c r="K40" s="824"/>
      <c r="L40" s="351"/>
      <c r="M40" s="828">
        <f>COUNTIFS('refer admin discharge'!N15:N2995,"&gt;=18",'refer admin discharge'!N15:N2995,"&lt;=20",'refer admin discharge'!O15:O2995,"Female",'refer admin discharge'!P15:P2995,"White",'refer admin discharge'!AJ15:AJ2995,"YES")</f>
        <v>0</v>
      </c>
      <c r="N40" s="351"/>
      <c r="O40" s="830"/>
      <c r="P40" s="351"/>
      <c r="Q40" s="828">
        <f>COUNTIFS('refer admin discharge'!N15:N2995,"&gt;=18",'refer admin discharge'!N15:N2995,"&lt;=20",'refer admin discharge'!O15:O2995,"Female",'refer admin discharge'!P15:P2995,"African American /Black",'refer admin discharge'!AJ15:AJ2995,"YES")</f>
        <v>0</v>
      </c>
      <c r="R40" s="351"/>
      <c r="S40" s="830"/>
      <c r="T40" s="351"/>
      <c r="U40" s="828">
        <f>COUNTIFS('refer admin discharge'!N15:N2995,"&gt;=18",'refer admin discharge'!N15:N2995,"&lt;=20",'refer admin discharge'!O15:O2995,"Female",'refer admin discharge'!P15:P2995,"Native Hawaiian / Other Pacific Islander",'refer admin discharge'!AJ15:AJ2995,"YES")</f>
        <v>0</v>
      </c>
      <c r="V40" s="351"/>
      <c r="W40" s="830"/>
      <c r="X40" s="351"/>
      <c r="Y40" s="828">
        <f>COUNTIFS('refer admin discharge'!N15:N2995,"&gt;=18",'refer admin discharge'!N15:N2995,"&lt;=20",'refer admin discharge'!O15:O2995,"Female",'refer admin discharge'!P15:P2995,"Asian",'refer admin discharge'!AJ15:AJ2995,"YES")</f>
        <v>0</v>
      </c>
      <c r="Z40" s="351"/>
      <c r="AA40" s="830"/>
      <c r="AB40" s="351"/>
      <c r="AC40" s="828">
        <f>COUNTIFS('refer admin discharge'!N15:N2995,"&gt;=18",'refer admin discharge'!N15:N2995,"&lt;=20",'refer admin discharge'!O15:O2995,"Female",'refer admin discharge'!P15:P2995,"American Indian / Alaska Native",'refer admin discharge'!AJ15:AJ2995,"YES")</f>
        <v>0</v>
      </c>
      <c r="AD40" s="351"/>
      <c r="AE40" s="831"/>
      <c r="AF40" s="351"/>
      <c r="AG40" s="828">
        <f>COUNTIFS('refer admin discharge'!N15:N2995,"&gt;=18",'refer admin discharge'!N15:N2995,"&lt;=20",'refer admin discharge'!O15:O2995,"Female",'refer admin discharge'!P15:P2995,"More than one race reported",'refer admin discharge'!AJ15:AJ2995,"YES")</f>
        <v>0</v>
      </c>
      <c r="AH40" s="351"/>
      <c r="AI40" s="831"/>
      <c r="AJ40" s="351"/>
      <c r="AK40" s="828">
        <f>COUNTIFS('refer admin discharge'!N15:N2995,"&gt;=18",'refer admin discharge'!N15:N2995,"&lt;=20",'refer admin discharge'!O15:O2995,"Female",'refer admin discharge'!P15:P2995,"Unknown",'refer admin discharge'!AJ15:AJ2995,"YES")</f>
        <v>0</v>
      </c>
      <c r="AL40" s="351"/>
      <c r="AM40" s="824"/>
      <c r="AN40" s="351"/>
      <c r="AO40" s="812">
        <f t="shared" si="4"/>
        <v>0</v>
      </c>
      <c r="AP40" s="351"/>
      <c r="AQ40" s="9"/>
      <c r="AR40" s="824"/>
      <c r="AS40" s="351"/>
      <c r="AT40" s="825">
        <f>COUNTIFS('refer admin discharge'!N15:N2995,"&gt;=18",'refer admin discharge'!N15:N2995,"&lt;=20",'refer admin discharge'!O15:O2995,"Female",'refer admin discharge'!R15:R2995,"Not Hispanic or Latino",'refer admin discharge'!AJ15:AJ2995,"YES")</f>
        <v>0</v>
      </c>
      <c r="AU40" s="351"/>
      <c r="AV40" s="824"/>
      <c r="AW40" s="351"/>
      <c r="AX40" s="825">
        <f>COUNTIFS('refer admin discharge'!N15:N2995,"&gt;=18",'refer admin discharge'!N15:N2995,"&lt;=20",'refer admin discharge'!O15:O2995,"Female",'refer admin discharge'!R15:R2995,"Hispanic-Latino ",'refer admin discharge'!AJ15:AJ2995,"YES")</f>
        <v>0</v>
      </c>
      <c r="AY40" s="351"/>
      <c r="AZ40" s="824"/>
      <c r="BA40" s="351"/>
      <c r="BB40" s="825">
        <f>COUNTIFS('refer admin discharge'!N15:N2995,"&gt;=18",'refer admin discharge'!N15:N2995,"&lt;=20",'refer admin discharge'!O15:O2995,"Female",'refer admin discharge'!R15:R2995,"Unknown",'refer admin discharge'!AJ15:AJ2995,"YES")</f>
        <v>0</v>
      </c>
      <c r="BC40" s="351"/>
      <c r="BD40" s="826"/>
      <c r="BE40" s="351"/>
      <c r="BF40" s="827">
        <f t="shared" si="5"/>
        <v>0</v>
      </c>
      <c r="BG40" s="351"/>
    </row>
    <row r="41" spans="1:72" ht="15.75" customHeight="1">
      <c r="A41" s="829" t="s">
        <v>579</v>
      </c>
      <c r="B41" s="350"/>
      <c r="C41" s="350"/>
      <c r="D41" s="350"/>
      <c r="E41" s="350"/>
      <c r="F41" s="350"/>
      <c r="G41" s="350"/>
      <c r="H41" s="350"/>
      <c r="I41" s="350"/>
      <c r="J41" s="351"/>
      <c r="K41" s="824"/>
      <c r="L41" s="351"/>
      <c r="M41" s="828">
        <f>COUNTIFS('refer admin discharge'!N15:N2995,"&gt;=21",'refer admin discharge'!N15:N2995,"&lt;=24",'refer admin discharge'!O15:O2995,"Female",'refer admin discharge'!P15:P2995,"White",'refer admin discharge'!AJ15:AJ2995,"YES")</f>
        <v>0</v>
      </c>
      <c r="N41" s="351"/>
      <c r="O41" s="830"/>
      <c r="P41" s="351"/>
      <c r="Q41" s="828">
        <f>COUNTIFS('refer admin discharge'!N15:N2995,"&gt;=21",'refer admin discharge'!N15:N2995,"&lt;=24",'refer admin discharge'!O15:O2995,"Female",'refer admin discharge'!P15:P2995,"African American /Black",'refer admin discharge'!AJ15:AJ2995,"YES")</f>
        <v>0</v>
      </c>
      <c r="R41" s="351"/>
      <c r="S41" s="830"/>
      <c r="T41" s="351"/>
      <c r="U41" s="828">
        <f>COUNTIFS('refer admin discharge'!N15:N2995,"&gt;=21",'refer admin discharge'!N15:N2995,"&lt;=24",'refer admin discharge'!O15:O2995,"Female",'refer admin discharge'!P15:P2995,"Native Hawaiian / Other Pacific Islander",'refer admin discharge'!AJ15:AJ2995,"YES")</f>
        <v>0</v>
      </c>
      <c r="V41" s="351"/>
      <c r="W41" s="830"/>
      <c r="X41" s="351"/>
      <c r="Y41" s="828">
        <f>COUNTIFS('refer admin discharge'!N15:N2995,"&gt;=21",'refer admin discharge'!N15:N2995,"&lt;=24",'refer admin discharge'!O15:O2995,"Female",'refer admin discharge'!P15:P2995,"Asian",'refer admin discharge'!AJ15:AJ2995,"YES")</f>
        <v>0</v>
      </c>
      <c r="Z41" s="351"/>
      <c r="AA41" s="830"/>
      <c r="AB41" s="351"/>
      <c r="AC41" s="828">
        <f>COUNTIFS('refer admin discharge'!N15:N2995,"&gt;=21",'refer admin discharge'!N15:N2995,"&lt;=24",'refer admin discharge'!O15:O2995,"Female",'refer admin discharge'!P15:P2995,"American Indian / Alaska Native",'refer admin discharge'!AJ15:AJ2995,"YES")</f>
        <v>0</v>
      </c>
      <c r="AD41" s="351"/>
      <c r="AE41" s="831"/>
      <c r="AF41" s="351"/>
      <c r="AG41" s="828">
        <f>COUNTIFS('refer admin discharge'!N15:N2995,"&gt;=21",'refer admin discharge'!N15:N2995,"&lt;=24",'refer admin discharge'!O15:O2995,"Female",'refer admin discharge'!P15:P2995,"More than one race reported",'refer admin discharge'!AJ15:AJ2995,"YES")</f>
        <v>0</v>
      </c>
      <c r="AH41" s="351"/>
      <c r="AI41" s="831"/>
      <c r="AJ41" s="351"/>
      <c r="AK41" s="828">
        <f>COUNTIFS('refer admin discharge'!N15:N2995,"&gt;=21",'refer admin discharge'!N15:N2995,"&lt;=24",'refer admin discharge'!O15:O2995,"Female",'refer admin discharge'!P15:P2995,"Unknown",'refer admin discharge'!AJ15:AJ2995,"YES")</f>
        <v>0</v>
      </c>
      <c r="AL41" s="351"/>
      <c r="AM41" s="824"/>
      <c r="AN41" s="351"/>
      <c r="AO41" s="812">
        <f t="shared" si="4"/>
        <v>0</v>
      </c>
      <c r="AP41" s="351"/>
      <c r="AQ41" s="9"/>
      <c r="AR41" s="824"/>
      <c r="AS41" s="351"/>
      <c r="AT41" s="825">
        <f>COUNTIFS('refer admin discharge'!N15:N2995,"&gt;=21",'refer admin discharge'!N15:N2995,"&lt;=24",'refer admin discharge'!O15:O2995,"Female",'refer admin discharge'!R15:R2995,"Not Hispanic or Latino",'refer admin discharge'!AJ15:AJ2995,"YES")</f>
        <v>0</v>
      </c>
      <c r="AU41" s="351"/>
      <c r="AV41" s="824"/>
      <c r="AW41" s="351"/>
      <c r="AX41" s="825">
        <f>COUNTIFS('refer admin discharge'!N15:N2995,"&gt;=21",'refer admin discharge'!N15:N2995,"&lt;=24",'refer admin discharge'!O15:O2995,"Female",'refer admin discharge'!R15:R2995,"Hispanic-Latino ",'refer admin discharge'!AJ15:AJ2995,"YES")</f>
        <v>0</v>
      </c>
      <c r="AY41" s="351"/>
      <c r="AZ41" s="824"/>
      <c r="BA41" s="351"/>
      <c r="BB41" s="825">
        <f>COUNTIFS('refer admin discharge'!N15:N2995,"&gt;=21",'refer admin discharge'!N15:N2995,"&lt;=24",'refer admin discharge'!O15:O2995,"Female",'refer admin discharge'!R15:R2995,"Unknown",'refer admin discharge'!AJ15:AJ2995,"YES")</f>
        <v>0</v>
      </c>
      <c r="BC41" s="351"/>
      <c r="BD41" s="826"/>
      <c r="BE41" s="351"/>
      <c r="BF41" s="827">
        <f t="shared" si="5"/>
        <v>0</v>
      </c>
      <c r="BG41" s="351"/>
    </row>
    <row r="42" spans="1:72" ht="15.75" customHeight="1">
      <c r="A42" s="829" t="s">
        <v>580</v>
      </c>
      <c r="B42" s="350"/>
      <c r="C42" s="350"/>
      <c r="D42" s="350"/>
      <c r="E42" s="350"/>
      <c r="F42" s="350"/>
      <c r="G42" s="350"/>
      <c r="H42" s="350"/>
      <c r="I42" s="350"/>
      <c r="J42" s="351"/>
      <c r="K42" s="824"/>
      <c r="L42" s="351"/>
      <c r="M42" s="828">
        <f>COUNTIFS('refer admin discharge'!N15:N2995,"&gt;=25",'refer admin discharge'!N15:N2995,"&lt;=44",'refer admin discharge'!O15:O2995,"Female",'refer admin discharge'!P15:P2995,"White",'refer admin discharge'!AJ15:AJ2995,"YES")</f>
        <v>0</v>
      </c>
      <c r="N42" s="351"/>
      <c r="O42" s="830"/>
      <c r="P42" s="351"/>
      <c r="Q42" s="828">
        <f>COUNTIFS('refer admin discharge'!N15:N2995,"&gt;=25",'refer admin discharge'!N15:N2995,"&lt;=44",'refer admin discharge'!O15:O2995,"Female",'refer admin discharge'!P15:P2995,"African American /Black",'refer admin discharge'!AJ15:AJ2995,"YES")</f>
        <v>0</v>
      </c>
      <c r="R42" s="351"/>
      <c r="S42" s="830"/>
      <c r="T42" s="351"/>
      <c r="U42" s="828">
        <f>COUNTIFS('refer admin discharge'!N15:N2995,"&gt;=25",'refer admin discharge'!N15:N2995,"&lt;=44",'refer admin discharge'!O15:O2995,"Female",'refer admin discharge'!P15:P2995,"Native Hawaiian / Other Pacific Islander",'refer admin discharge'!AJ15:AJ2995,"YES")</f>
        <v>0</v>
      </c>
      <c r="V42" s="351"/>
      <c r="W42" s="830"/>
      <c r="X42" s="351"/>
      <c r="Y42" s="828">
        <f>COUNTIFS('refer admin discharge'!N15:N2995,"&gt;=25",'refer admin discharge'!N15:N2995,"&lt;=44",'refer admin discharge'!O15:O2995,"Female",'refer admin discharge'!P15:P2995,"Asian",'refer admin discharge'!AJ15:AJ2995,"YES")</f>
        <v>0</v>
      </c>
      <c r="Z42" s="351"/>
      <c r="AA42" s="830"/>
      <c r="AB42" s="351"/>
      <c r="AC42" s="828">
        <f>COUNTIFS('refer admin discharge'!N15:N2995,"&gt;=25",'refer admin discharge'!N15:N2995,"&lt;=44",'refer admin discharge'!O15:O2995,"Female",'refer admin discharge'!P15:P2995,"American Indian / Alaska Native",'refer admin discharge'!AJ15:AJ2995,"YES")</f>
        <v>0</v>
      </c>
      <c r="AD42" s="351"/>
      <c r="AE42" s="831"/>
      <c r="AF42" s="351"/>
      <c r="AG42" s="828">
        <f>COUNTIFS('refer admin discharge'!N15:N2995,"&gt;=25",'refer admin discharge'!N15:N2995,"&lt;=44",'refer admin discharge'!O15:O2995,"Female",'refer admin discharge'!P15:P2995,"More than one race reported",'refer admin discharge'!AJ15:AJ2995,"YES")</f>
        <v>0</v>
      </c>
      <c r="AH42" s="351"/>
      <c r="AI42" s="831"/>
      <c r="AJ42" s="351"/>
      <c r="AK42" s="828">
        <f>COUNTIFS('refer admin discharge'!N15:N2995,"&gt;=25",'refer admin discharge'!N15:N2995,"&lt;=44",'refer admin discharge'!O15:O2995,"Female",'refer admin discharge'!P15:P2995,"Unknown",'refer admin discharge'!AJ15:AJ2995,"YES")</f>
        <v>0</v>
      </c>
      <c r="AL42" s="351"/>
      <c r="AM42" s="824"/>
      <c r="AN42" s="351"/>
      <c r="AO42" s="812">
        <f t="shared" si="4"/>
        <v>0</v>
      </c>
      <c r="AP42" s="351"/>
      <c r="AQ42" s="9"/>
      <c r="AR42" s="824"/>
      <c r="AS42" s="351"/>
      <c r="AT42" s="825">
        <f>COUNTIFS('refer admin discharge'!N15:N2995,"&gt;=25",'refer admin discharge'!N15:N2995,"&lt;=44",'refer admin discharge'!O15:O2995,"Female",'refer admin discharge'!R15:R2995,"Not Hispanic or Latino",'refer admin discharge'!AJ15:AJ2995,"YES")</f>
        <v>0</v>
      </c>
      <c r="AU42" s="351"/>
      <c r="AV42" s="824"/>
      <c r="AW42" s="351"/>
      <c r="AX42" s="825">
        <f>COUNTIFS('refer admin discharge'!N15:N2995,"&gt;=25",'refer admin discharge'!N15:N2995,"&lt;=44",'refer admin discharge'!O15:O2995,"Female",'refer admin discharge'!R15:R2995,"Hispanic-Latino ",'refer admin discharge'!AJ15:AJ2995,"YES")</f>
        <v>0</v>
      </c>
      <c r="AY42" s="351"/>
      <c r="AZ42" s="824"/>
      <c r="BA42" s="351"/>
      <c r="BB42" s="825">
        <f>COUNTIFS('refer admin discharge'!N15:N2995,"&gt;=25",'refer admin discharge'!N15:N2995,"&lt;=44",'refer admin discharge'!O15:O2995,"Female",'refer admin discharge'!R15:R2995,"Unknown",'refer admin discharge'!AJ15:AJ2995,"YES")</f>
        <v>0</v>
      </c>
      <c r="BC42" s="351"/>
      <c r="BD42" s="826"/>
      <c r="BE42" s="351"/>
      <c r="BF42" s="827">
        <f t="shared" si="5"/>
        <v>0</v>
      </c>
      <c r="BG42" s="351"/>
    </row>
    <row r="43" spans="1:72" ht="15.75" customHeight="1">
      <c r="A43" s="829" t="s">
        <v>581</v>
      </c>
      <c r="B43" s="350"/>
      <c r="C43" s="350"/>
      <c r="D43" s="350"/>
      <c r="E43" s="350"/>
      <c r="F43" s="350"/>
      <c r="G43" s="350"/>
      <c r="H43" s="350"/>
      <c r="I43" s="350"/>
      <c r="J43" s="351"/>
      <c r="K43" s="824"/>
      <c r="L43" s="351"/>
      <c r="M43" s="828">
        <f>COUNTIFS('refer admin discharge'!N15:N2995,"&gt;=45",'refer admin discharge'!N15:N2995,"&lt;=64",'refer admin discharge'!O15:O2995,"Female",'refer admin discharge'!P15:P2995,"White",'refer admin discharge'!AJ15:AJ2995,"YES")</f>
        <v>0</v>
      </c>
      <c r="N43" s="351"/>
      <c r="O43" s="830"/>
      <c r="P43" s="351"/>
      <c r="Q43" s="828">
        <f>COUNTIFS('refer admin discharge'!N15:N2995,"&gt;=45",'refer admin discharge'!N15:N2995,"&lt;=64",'refer admin discharge'!O15:O2995,"Female",'refer admin discharge'!P15:P2995,"African American /Black",'refer admin discharge'!AJ15:AJ2995,"YES")</f>
        <v>0</v>
      </c>
      <c r="R43" s="351"/>
      <c r="S43" s="830"/>
      <c r="T43" s="351"/>
      <c r="U43" s="828">
        <f>COUNTIFS('refer admin discharge'!N15:N2995,"&gt;=45",'refer admin discharge'!N15:N2995,"&lt;=64",'refer admin discharge'!O15:O2995,"Female",'refer admin discharge'!P15:P2995,"Native Hawaiian / Other Pacific Islander",'refer admin discharge'!AJ15:AJ2995,"YES")</f>
        <v>0</v>
      </c>
      <c r="V43" s="351"/>
      <c r="W43" s="830"/>
      <c r="X43" s="351"/>
      <c r="Y43" s="828">
        <f>COUNTIFS('refer admin discharge'!N15:N2995,"&gt;=45",'refer admin discharge'!N15:N2995,"&lt;=64",'refer admin discharge'!O15:O2995,"Female",'refer admin discharge'!P15:P2995,"Asian",'refer admin discharge'!AJ15:AJ2995,"YES")</f>
        <v>0</v>
      </c>
      <c r="Z43" s="351"/>
      <c r="AA43" s="830"/>
      <c r="AB43" s="351"/>
      <c r="AC43" s="828">
        <f>COUNTIFS('refer admin discharge'!N15:N2995,"&gt;=45",'refer admin discharge'!N15:N2995,"&lt;=64",'refer admin discharge'!O15:O2995,"Female",'refer admin discharge'!P15:P2995,"American Indian / Alaska Native",'refer admin discharge'!AJ15:AJ2995,"YES")</f>
        <v>0</v>
      </c>
      <c r="AD43" s="351"/>
      <c r="AE43" s="831"/>
      <c r="AF43" s="351"/>
      <c r="AG43" s="828">
        <f>COUNTIFS('refer admin discharge'!N15:N2995,"&gt;=45",'refer admin discharge'!N15:N2995,"&lt;=64",'refer admin discharge'!O15:O2995,"Female",'refer admin discharge'!P15:P2995,"More than one race reported",'refer admin discharge'!AJ15:AJ2995,"YES")</f>
        <v>0</v>
      </c>
      <c r="AH43" s="351"/>
      <c r="AI43" s="831"/>
      <c r="AJ43" s="351"/>
      <c r="AK43" s="828">
        <f>COUNTIFS('refer admin discharge'!N15:N2995,"&gt;=45",'refer admin discharge'!N15:N2995,"&lt;=64",'refer admin discharge'!O15:O2995,"Female",'refer admin discharge'!P15:P2995,"Unknown",'refer admin discharge'!AJ15:AJ2995,"YES")</f>
        <v>0</v>
      </c>
      <c r="AL43" s="351"/>
      <c r="AM43" s="824"/>
      <c r="AN43" s="351"/>
      <c r="AO43" s="812">
        <f t="shared" si="4"/>
        <v>0</v>
      </c>
      <c r="AP43" s="351"/>
      <c r="AQ43" s="9"/>
      <c r="AR43" s="824"/>
      <c r="AS43" s="351"/>
      <c r="AT43" s="825">
        <f>COUNTIFS('refer admin discharge'!N15:N2995,"&gt;=45",'refer admin discharge'!N15:N2995,"&lt;=64",'refer admin discharge'!O15:O2995,"Female",'refer admin discharge'!R15:R2995,"Not Hispanic or Latino",'refer admin discharge'!AJ15:AJ2995,"YES")</f>
        <v>0</v>
      </c>
      <c r="AU43" s="351"/>
      <c r="AV43" s="824"/>
      <c r="AW43" s="351"/>
      <c r="AX43" s="825">
        <f>COUNTIFS('refer admin discharge'!N15:N2995,"&gt;=45",'refer admin discharge'!N15:N2995,"&lt;=64",'refer admin discharge'!O15:O2995,"Female",'refer admin discharge'!R15:R2995,"Hispanic-Latino ",'refer admin discharge'!AJ15:AJ2995,"YES")</f>
        <v>0</v>
      </c>
      <c r="AY43" s="351"/>
      <c r="AZ43" s="824"/>
      <c r="BA43" s="351"/>
      <c r="BB43" s="825">
        <f>COUNTIFS('refer admin discharge'!N15:N2995,"&gt;=45",'refer admin discharge'!N15:N2995,"&lt;=64",'refer admin discharge'!O15:O2995,"Female",'refer admin discharge'!R15:R2995,"Unknown",'refer admin discharge'!AJ15:AJ2995,"YES")</f>
        <v>0</v>
      </c>
      <c r="BC43" s="351"/>
      <c r="BD43" s="826"/>
      <c r="BE43" s="351"/>
      <c r="BF43" s="827">
        <f t="shared" si="5"/>
        <v>0</v>
      </c>
      <c r="BG43" s="351"/>
    </row>
    <row r="44" spans="1:72" ht="15.75" customHeight="1">
      <c r="A44" s="829" t="s">
        <v>582</v>
      </c>
      <c r="B44" s="350"/>
      <c r="C44" s="350"/>
      <c r="D44" s="350"/>
      <c r="E44" s="350"/>
      <c r="F44" s="350"/>
      <c r="G44" s="350"/>
      <c r="H44" s="350"/>
      <c r="I44" s="350"/>
      <c r="J44" s="351"/>
      <c r="K44" s="824"/>
      <c r="L44" s="351"/>
      <c r="M44" s="828">
        <f>COUNTIFS('refer admin discharge'!N15:N2995,"&gt;=65",'refer admin discharge'!N15:N2995,"&lt;=74",'refer admin discharge'!O15:O2995,"Female",'refer admin discharge'!P15:P2995,"White",'refer admin discharge'!AJ15:AJ2995,"YES")</f>
        <v>0</v>
      </c>
      <c r="N44" s="351"/>
      <c r="O44" s="830"/>
      <c r="P44" s="351"/>
      <c r="Q44" s="828">
        <f>COUNTIFS('refer admin discharge'!N15:N2995,"&gt;=65",'refer admin discharge'!N15:N2995,"&lt;=74",'refer admin discharge'!O15:O2995,"Female",'refer admin discharge'!P15:P2995,"African American /Black",'refer admin discharge'!AJ15:AJ2995,"YES")</f>
        <v>0</v>
      </c>
      <c r="R44" s="351"/>
      <c r="S44" s="830"/>
      <c r="T44" s="351"/>
      <c r="U44" s="828">
        <f>COUNTIFS('refer admin discharge'!N15:N2995,"&gt;=65",'refer admin discharge'!N15:N2995,"&lt;=74",'refer admin discharge'!O15:O2995,"Female",'refer admin discharge'!P15:P2995,"Native Hawaiian / Other Pacific Islander",'refer admin discharge'!AJ15:AJ2995,"YES")</f>
        <v>0</v>
      </c>
      <c r="V44" s="351"/>
      <c r="W44" s="830"/>
      <c r="X44" s="351"/>
      <c r="Y44" s="828">
        <f>COUNTIFS('refer admin discharge'!N15:N2995,"&gt;=65",'refer admin discharge'!N15:N2995,"&lt;=74",'refer admin discharge'!O15:O2995,"Female",'refer admin discharge'!P15:P2995,"Asian",'refer admin discharge'!AJ15:AJ2995,"YES")</f>
        <v>0</v>
      </c>
      <c r="Z44" s="351"/>
      <c r="AA44" s="830"/>
      <c r="AB44" s="351"/>
      <c r="AC44" s="828">
        <f>COUNTIFS('refer admin discharge'!N15:N2995,"&gt;=65",'refer admin discharge'!N15:N2995,"&lt;=74",'refer admin discharge'!O15:O2995,"Female",'refer admin discharge'!P15:P2995,"American Indian / Alaska Native",'refer admin discharge'!AJ15:AJ2995,"YES")</f>
        <v>0</v>
      </c>
      <c r="AD44" s="351"/>
      <c r="AE44" s="831"/>
      <c r="AF44" s="351"/>
      <c r="AG44" s="828">
        <f>COUNTIFS('refer admin discharge'!N15:N2995,"&gt;=65",'refer admin discharge'!N15:N2995,"&lt;=74",'refer admin discharge'!O15:O2995,"Female",'refer admin discharge'!P15:P2995,"More than one race reported",'refer admin discharge'!AJ15:AJ2995,"YES")</f>
        <v>0</v>
      </c>
      <c r="AH44" s="351"/>
      <c r="AI44" s="831"/>
      <c r="AJ44" s="351"/>
      <c r="AK44" s="828">
        <f>COUNTIFS('refer admin discharge'!N15:N2995,"&gt;=65",'refer admin discharge'!N15:N2995,"&lt;=74",'refer admin discharge'!O15:O2995,"Female",'refer admin discharge'!P15:P2995,"Unknown",'refer admin discharge'!AJ15:AJ2995,"YES")</f>
        <v>0</v>
      </c>
      <c r="AL44" s="351"/>
      <c r="AM44" s="824"/>
      <c r="AN44" s="351"/>
      <c r="AO44" s="812">
        <f t="shared" si="4"/>
        <v>0</v>
      </c>
      <c r="AP44" s="351"/>
      <c r="AQ44" s="9"/>
      <c r="AR44" s="824"/>
      <c r="AS44" s="351"/>
      <c r="AT44" s="825">
        <f>COUNTIFS('refer admin discharge'!N15:N2995,"&gt;=65",'refer admin discharge'!N15:N2995,"&lt;=74",'refer admin discharge'!O15:O2995,"Female",'refer admin discharge'!R15:R2995,"Not Hispanic or Latino",'refer admin discharge'!AJ15:AJ2995,"YES")</f>
        <v>0</v>
      </c>
      <c r="AU44" s="351"/>
      <c r="AV44" s="824"/>
      <c r="AW44" s="351"/>
      <c r="AX44" s="825">
        <f>COUNTIFS('refer admin discharge'!N15:N2995,"&gt;=65",'refer admin discharge'!N15:N2995,"&lt;=74",'refer admin discharge'!O15:O2995,"Female",'refer admin discharge'!R15:R2995,"Hispanic-Latino ",'refer admin discharge'!AJ15:AJ2995,"YES")</f>
        <v>0</v>
      </c>
      <c r="AY44" s="351"/>
      <c r="AZ44" s="824"/>
      <c r="BA44" s="351"/>
      <c r="BB44" s="825">
        <f>COUNTIFS('refer admin discharge'!N15:N2995,"&gt;=65",'refer admin discharge'!N15:N2995,"&lt;=74",'refer admin discharge'!O15:O2995,"Female",'refer admin discharge'!R15:R2995,"Unknown",'refer admin discharge'!AJ15:AJ2995,"YES")</f>
        <v>0</v>
      </c>
      <c r="BC44" s="351"/>
      <c r="BD44" s="826"/>
      <c r="BE44" s="351"/>
      <c r="BF44" s="827">
        <f t="shared" si="5"/>
        <v>0</v>
      </c>
      <c r="BG44" s="351"/>
    </row>
    <row r="45" spans="1:72" ht="15.75" customHeight="1">
      <c r="A45" s="829" t="s">
        <v>583</v>
      </c>
      <c r="B45" s="350"/>
      <c r="C45" s="350"/>
      <c r="D45" s="350"/>
      <c r="E45" s="350"/>
      <c r="F45" s="350"/>
      <c r="G45" s="350"/>
      <c r="H45" s="350"/>
      <c r="I45" s="350"/>
      <c r="J45" s="351"/>
      <c r="K45" s="824"/>
      <c r="L45" s="351"/>
      <c r="M45" s="828">
        <f>COUNTIFS('refer admin discharge'!N15:N2995,"&gt;=75",'refer admin discharge'!N15:N2995,"&lt;=150",'refer admin discharge'!O15:O2995,"Female",'refer admin discharge'!P15:P2995,"White",'refer admin discharge'!AJ15:AJ2995,"YES")</f>
        <v>0</v>
      </c>
      <c r="N45" s="351"/>
      <c r="O45" s="830"/>
      <c r="P45" s="351"/>
      <c r="Q45" s="828">
        <f>COUNTIFS('refer admin discharge'!N15:N2995,"&gt;=75",'refer admin discharge'!N15:N2995,"&lt;=150",'refer admin discharge'!O15:O2995,"Female",'refer admin discharge'!P15:P2995,"African American /Black",'refer admin discharge'!AJ15:AJ2995,"YES")</f>
        <v>0</v>
      </c>
      <c r="R45" s="351"/>
      <c r="S45" s="830"/>
      <c r="T45" s="351"/>
      <c r="U45" s="828">
        <f>COUNTIFS('refer admin discharge'!N15:N2995,"&gt;=75",'refer admin discharge'!N15:N2995,"&lt;=150",'refer admin discharge'!O15:O2995,"Female",'refer admin discharge'!P15:P2995,"Native Hawaiian / Other Pacific Islander",'refer admin discharge'!AJ15:AJ2995,"YES")</f>
        <v>0</v>
      </c>
      <c r="V45" s="351"/>
      <c r="W45" s="830"/>
      <c r="X45" s="351"/>
      <c r="Y45" s="828">
        <f>COUNTIFS('refer admin discharge'!N15:N2995,"&gt;=75",'refer admin discharge'!N15:N2995,"&lt;=150",'refer admin discharge'!O15:O2995,"Female",'refer admin discharge'!P15:P2995,"Asian",'refer admin discharge'!AJ15:AJ2995,"YES")</f>
        <v>0</v>
      </c>
      <c r="Z45" s="351"/>
      <c r="AA45" s="830"/>
      <c r="AB45" s="351"/>
      <c r="AC45" s="828">
        <f>COUNTIFS('refer admin discharge'!N15:N2995,"&gt;=75",'refer admin discharge'!N15:N2995,"&lt;=150",'refer admin discharge'!O15:O2995,"Female",'refer admin discharge'!P15:P2995,"American Indian / Alaska Native",'refer admin discharge'!AJ15:AJ2995,"YES")</f>
        <v>0</v>
      </c>
      <c r="AD45" s="351"/>
      <c r="AE45" s="831"/>
      <c r="AF45" s="351"/>
      <c r="AG45" s="828">
        <f>COUNTIFS('refer admin discharge'!N15:N2995,"&gt;=75",'refer admin discharge'!N15:N2995,"&lt;=150",'refer admin discharge'!O15:O2995,"Female",'refer admin discharge'!P15:P2995,"More than one race reported",'refer admin discharge'!AJ15:AJ2995,"YES")</f>
        <v>0</v>
      </c>
      <c r="AH45" s="351"/>
      <c r="AI45" s="831"/>
      <c r="AJ45" s="351"/>
      <c r="AK45" s="828">
        <f>COUNTIFS('refer admin discharge'!N15:N2995,"&gt;=75",'refer admin discharge'!N15:N2995,"&lt;=150",'refer admin discharge'!O15:O2995,"Female",'refer admin discharge'!P15:P2995,"Unknown",'refer admin discharge'!AJ15:AJ2995,"YES")</f>
        <v>0</v>
      </c>
      <c r="AL45" s="351"/>
      <c r="AM45" s="824"/>
      <c r="AN45" s="351"/>
      <c r="AO45" s="812">
        <f t="shared" si="4"/>
        <v>0</v>
      </c>
      <c r="AP45" s="351"/>
      <c r="AQ45" s="9"/>
      <c r="AR45" s="824"/>
      <c r="AS45" s="351"/>
      <c r="AT45" s="825">
        <f>COUNTIFS('refer admin discharge'!N15:N2995,"&gt;=75",'refer admin discharge'!N15:N2995,"&lt;=150",'refer admin discharge'!O15:O2995,"Female",'refer admin discharge'!R15:R2995,"Not Hispanic or Latino",'refer admin discharge'!AJ15:AJ2995,"YES")</f>
        <v>0</v>
      </c>
      <c r="AU45" s="351"/>
      <c r="AV45" s="824"/>
      <c r="AW45" s="351"/>
      <c r="AX45" s="825">
        <f>COUNTIFS('refer admin discharge'!N15:N2995,"&gt;=75",'refer admin discharge'!N15:N2995,"&lt;=150",'refer admin discharge'!O15:O2995,"Female",'refer admin discharge'!R15:R2995,"Hispanic-Latino ",'refer admin discharge'!AJ15:AJ2995,"YES")</f>
        <v>0</v>
      </c>
      <c r="AY45" s="351"/>
      <c r="AZ45" s="824"/>
      <c r="BA45" s="351"/>
      <c r="BB45" s="825">
        <f>COUNTIFS('refer admin discharge'!N15:N2995,"&gt;=75",'refer admin discharge'!N15:N2995,"&lt;=150",'refer admin discharge'!O15:O2995,"Female",'refer admin discharge'!R15:R2995,"Unknown",'refer admin discharge'!AJ15:AJ2995,"YES")</f>
        <v>0</v>
      </c>
      <c r="BC45" s="351"/>
      <c r="BD45" s="826"/>
      <c r="BE45" s="351"/>
      <c r="BF45" s="827">
        <f t="shared" si="5"/>
        <v>0</v>
      </c>
      <c r="BG45" s="351"/>
    </row>
    <row r="46" spans="1:72" ht="15.75" customHeight="1">
      <c r="A46" s="823" t="s">
        <v>561</v>
      </c>
      <c r="B46" s="350"/>
      <c r="C46" s="350"/>
      <c r="D46" s="350"/>
      <c r="E46" s="350"/>
      <c r="F46" s="350"/>
      <c r="G46" s="350"/>
      <c r="H46" s="350"/>
      <c r="I46" s="350"/>
      <c r="J46" s="351"/>
      <c r="K46" s="824"/>
      <c r="L46" s="351"/>
      <c r="M46" s="812">
        <f>SUM(M38:M45)</f>
        <v>0</v>
      </c>
      <c r="N46" s="351"/>
      <c r="O46" s="822"/>
      <c r="P46" s="351"/>
      <c r="Q46" s="812">
        <f>SUM(Q38:Q45)</f>
        <v>0</v>
      </c>
      <c r="R46" s="351"/>
      <c r="S46" s="822"/>
      <c r="T46" s="351"/>
      <c r="U46" s="812">
        <f>SUM(U38:U45)</f>
        <v>0</v>
      </c>
      <c r="V46" s="351"/>
      <c r="W46" s="822"/>
      <c r="X46" s="351"/>
      <c r="Y46" s="812">
        <f>SUM(Y38:Y45)</f>
        <v>0</v>
      </c>
      <c r="Z46" s="351"/>
      <c r="AA46" s="822"/>
      <c r="AB46" s="351"/>
      <c r="AC46" s="812">
        <f>SUM(AC38:AC45)</f>
        <v>0</v>
      </c>
      <c r="AD46" s="351"/>
      <c r="AE46" s="822"/>
      <c r="AF46" s="351"/>
      <c r="AG46" s="812">
        <f>SUM(AG38:AG45)</f>
        <v>0</v>
      </c>
      <c r="AH46" s="351"/>
      <c r="AI46" s="822"/>
      <c r="AJ46" s="351"/>
      <c r="AK46" s="812">
        <f>SUM(AK38:AK45)</f>
        <v>0</v>
      </c>
      <c r="AL46" s="351"/>
      <c r="AM46" s="813"/>
      <c r="AN46" s="351"/>
      <c r="AO46" s="812">
        <f>SUM(AO38:AO45)</f>
        <v>0</v>
      </c>
      <c r="AP46" s="351"/>
      <c r="AQ46" s="9"/>
      <c r="AR46" s="809"/>
      <c r="AS46" s="351"/>
      <c r="AT46" s="810">
        <f>SUM(AT38:AT45)</f>
        <v>0</v>
      </c>
      <c r="AU46" s="351"/>
      <c r="AV46" s="809"/>
      <c r="AW46" s="351"/>
      <c r="AX46" s="810">
        <f>SUM(AX38:AX45)</f>
        <v>0</v>
      </c>
      <c r="AY46" s="351"/>
      <c r="AZ46" s="809"/>
      <c r="BA46" s="351"/>
      <c r="BB46" s="810">
        <f>SUM(BB38:BB45)</f>
        <v>0</v>
      </c>
      <c r="BC46" s="351"/>
      <c r="BD46" s="811"/>
      <c r="BE46" s="351"/>
      <c r="BF46" s="810">
        <f>SUM(BF38:BF45)</f>
        <v>0</v>
      </c>
      <c r="BG46" s="351"/>
    </row>
    <row r="47" spans="1:72" ht="15.75" customHeight="1">
      <c r="A47" s="814" t="s">
        <v>574</v>
      </c>
      <c r="B47" s="350"/>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1"/>
      <c r="AM47" s="815">
        <f>AO46</f>
        <v>0</v>
      </c>
      <c r="AN47" s="350"/>
      <c r="AO47" s="350"/>
      <c r="AP47" s="351"/>
      <c r="AQ47" s="9"/>
      <c r="AR47" s="816" t="s">
        <v>574</v>
      </c>
      <c r="AS47" s="350"/>
      <c r="AT47" s="350"/>
      <c r="AU47" s="350"/>
      <c r="AV47" s="350"/>
      <c r="AW47" s="350"/>
      <c r="AX47" s="350"/>
      <c r="AY47" s="350"/>
      <c r="AZ47" s="350"/>
      <c r="BA47" s="350"/>
      <c r="BB47" s="350"/>
      <c r="BC47" s="351"/>
      <c r="BD47" s="817">
        <f>BF46</f>
        <v>0</v>
      </c>
      <c r="BE47" s="350"/>
      <c r="BF47" s="350"/>
      <c r="BG47" s="351"/>
    </row>
    <row r="48" spans="1:72" ht="15.75" customHeight="1">
      <c r="A48" s="821" t="s">
        <v>584</v>
      </c>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9"/>
      <c r="AM48" s="818">
        <f>AM34+AM47</f>
        <v>0</v>
      </c>
      <c r="AN48" s="378"/>
      <c r="AO48" s="378"/>
      <c r="AP48" s="379"/>
      <c r="AQ48" s="9"/>
      <c r="AR48" s="819" t="s">
        <v>584</v>
      </c>
      <c r="AS48" s="378"/>
      <c r="AT48" s="378"/>
      <c r="AU48" s="378"/>
      <c r="AV48" s="378"/>
      <c r="AW48" s="378"/>
      <c r="AX48" s="378"/>
      <c r="AY48" s="378"/>
      <c r="AZ48" s="378"/>
      <c r="BA48" s="378"/>
      <c r="BB48" s="378"/>
      <c r="BC48" s="379"/>
      <c r="BD48" s="820">
        <f>BD34+BD47</f>
        <v>0</v>
      </c>
      <c r="BE48" s="378"/>
      <c r="BF48" s="378"/>
      <c r="BG48" s="379"/>
    </row>
    <row r="49" spans="1:59" ht="15.75" customHeight="1">
      <c r="A49" s="791" t="s">
        <v>585</v>
      </c>
      <c r="B49" s="350"/>
      <c r="C49" s="350"/>
      <c r="D49" s="350"/>
      <c r="E49" s="350"/>
      <c r="F49" s="350"/>
      <c r="G49" s="350"/>
      <c r="H49" s="350"/>
      <c r="I49" s="350"/>
      <c r="J49" s="350"/>
      <c r="K49" s="350"/>
      <c r="L49" s="370"/>
      <c r="M49" s="125"/>
      <c r="N49" s="125"/>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7"/>
      <c r="AN49" s="127"/>
      <c r="AO49" s="127"/>
      <c r="AP49" s="127"/>
      <c r="AR49" s="128"/>
      <c r="AS49" s="128"/>
      <c r="AT49" s="128"/>
      <c r="AU49" s="128"/>
      <c r="AV49" s="128"/>
      <c r="AW49" s="128"/>
      <c r="AX49" s="128"/>
      <c r="AY49" s="128"/>
      <c r="AZ49" s="128"/>
      <c r="BA49" s="128"/>
      <c r="BB49" s="128"/>
      <c r="BC49" s="128"/>
      <c r="BD49" s="129"/>
      <c r="BE49" s="129"/>
      <c r="BF49" s="129"/>
      <c r="BG49" s="129"/>
    </row>
    <row r="50" spans="1:59" ht="15.75" customHeight="1">
      <c r="A50" s="792" t="s">
        <v>586</v>
      </c>
      <c r="B50" s="350"/>
      <c r="C50" s="350"/>
      <c r="D50" s="350"/>
      <c r="E50" s="350"/>
      <c r="F50" s="350"/>
      <c r="G50" s="350"/>
      <c r="H50" s="350"/>
      <c r="I50" s="350"/>
      <c r="J50" s="351"/>
      <c r="K50" s="793">
        <f>COUNTIFS('refer admin discharge'!T13:T2976,"YES")</f>
        <v>0</v>
      </c>
      <c r="L50" s="350"/>
      <c r="M50" s="350"/>
      <c r="N50" s="351"/>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7"/>
      <c r="AN50" s="127"/>
      <c r="AO50" s="127"/>
      <c r="AP50" s="127"/>
      <c r="AR50" s="128"/>
      <c r="AS50" s="128"/>
      <c r="AT50" s="128"/>
      <c r="AU50" s="128"/>
      <c r="AV50" s="128"/>
      <c r="AW50" s="128"/>
      <c r="AX50" s="128"/>
      <c r="AY50" s="128"/>
      <c r="AZ50" s="128"/>
      <c r="BA50" s="128"/>
      <c r="BB50" s="128"/>
      <c r="BC50" s="128"/>
      <c r="BD50" s="129"/>
      <c r="BE50" s="129"/>
      <c r="BF50" s="129"/>
      <c r="BG50" s="129"/>
    </row>
    <row r="51" spans="1:59" ht="15.75" customHeight="1">
      <c r="A51" s="130"/>
      <c r="B51" s="131"/>
      <c r="C51" s="131"/>
      <c r="D51" s="131"/>
      <c r="E51" s="131"/>
      <c r="F51" s="131"/>
      <c r="G51" s="131"/>
      <c r="H51" s="131"/>
      <c r="I51" s="132"/>
      <c r="J51" s="131"/>
      <c r="K51" s="132"/>
      <c r="L51" s="132"/>
      <c r="M51" s="132"/>
      <c r="N51" s="132"/>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7"/>
      <c r="AN51" s="127"/>
      <c r="AO51" s="127"/>
      <c r="AP51" s="127"/>
      <c r="AR51" s="128"/>
      <c r="AS51" s="128"/>
      <c r="AT51" s="128"/>
      <c r="AU51" s="128"/>
      <c r="AV51" s="128"/>
      <c r="AW51" s="128"/>
      <c r="AX51" s="128"/>
      <c r="AY51" s="128"/>
      <c r="AZ51" s="128"/>
      <c r="BA51" s="128"/>
      <c r="BB51" s="128"/>
      <c r="BC51" s="128"/>
      <c r="BD51" s="129"/>
      <c r="BE51" s="129"/>
      <c r="BF51" s="129"/>
      <c r="BG51" s="129"/>
    </row>
    <row r="52" spans="1:59" ht="21" customHeight="1">
      <c r="A52" s="794" t="s">
        <v>587</v>
      </c>
      <c r="B52" s="381"/>
      <c r="C52" s="381"/>
      <c r="D52" s="381"/>
      <c r="E52" s="381"/>
      <c r="F52" s="381"/>
      <c r="G52" s="381"/>
      <c r="H52" s="381"/>
      <c r="I52" s="381"/>
      <c r="J52" s="381"/>
      <c r="K52" s="381"/>
      <c r="L52" s="381"/>
      <c r="M52" s="381"/>
      <c r="N52" s="381"/>
      <c r="O52" s="381"/>
      <c r="P52" s="381"/>
      <c r="Q52" s="381"/>
      <c r="R52" s="381"/>
      <c r="S52" s="381"/>
      <c r="T52" s="428"/>
      <c r="AI52" s="133"/>
      <c r="AJ52" s="133"/>
      <c r="AK52" s="133"/>
      <c r="AL52" s="133"/>
      <c r="AM52" s="133"/>
      <c r="AN52" s="133"/>
      <c r="AO52" s="133"/>
      <c r="AP52" s="133"/>
      <c r="AR52" s="133"/>
      <c r="AS52" s="133"/>
      <c r="AT52" s="133"/>
      <c r="AU52" s="133"/>
      <c r="AV52" s="133"/>
      <c r="AW52" s="133"/>
      <c r="AX52" s="133"/>
      <c r="AY52" s="133"/>
      <c r="AZ52" s="133"/>
      <c r="BA52" s="133"/>
      <c r="BB52" s="133"/>
      <c r="BC52" s="133"/>
      <c r="BD52" s="133"/>
      <c r="BE52" s="133"/>
      <c r="BF52" s="133"/>
      <c r="BG52" s="133"/>
    </row>
    <row r="53" spans="1:59" ht="18.75" customHeight="1">
      <c r="A53" s="134"/>
      <c r="B53" s="134"/>
      <c r="C53" s="134"/>
      <c r="D53" s="134"/>
      <c r="E53" s="134"/>
      <c r="F53" s="134"/>
      <c r="G53" s="135"/>
      <c r="H53" s="135"/>
      <c r="I53" s="136"/>
      <c r="J53" s="135"/>
      <c r="K53" s="135"/>
      <c r="L53" s="135"/>
      <c r="M53" s="135"/>
      <c r="N53" s="135"/>
      <c r="O53" s="135"/>
      <c r="P53" s="135"/>
      <c r="Q53" s="135"/>
      <c r="R53" s="135"/>
      <c r="S53" s="135"/>
      <c r="T53" s="135"/>
      <c r="AI53" s="137"/>
      <c r="AJ53" s="137"/>
      <c r="AK53" s="137"/>
      <c r="AL53" s="137"/>
      <c r="AM53" s="137"/>
      <c r="AN53" s="137"/>
      <c r="AO53" s="137"/>
      <c r="AP53" s="137"/>
      <c r="AR53" s="137"/>
      <c r="AS53" s="137"/>
      <c r="AT53" s="137"/>
      <c r="AU53" s="137"/>
      <c r="AV53" s="137"/>
      <c r="AW53" s="137"/>
      <c r="AX53" s="137"/>
      <c r="AY53" s="137"/>
      <c r="AZ53" s="137"/>
      <c r="BA53" s="137"/>
      <c r="BB53" s="137"/>
      <c r="BC53" s="137"/>
      <c r="BD53" s="137"/>
      <c r="BE53" s="137"/>
      <c r="BF53" s="137"/>
      <c r="BG53" s="137"/>
    </row>
    <row r="54" spans="1:59" ht="15.75" customHeight="1">
      <c r="A54" s="134"/>
      <c r="B54" s="134"/>
      <c r="C54" s="134"/>
      <c r="D54" s="134"/>
      <c r="E54" s="134"/>
      <c r="F54" s="134"/>
      <c r="G54" s="795" t="s">
        <v>498</v>
      </c>
      <c r="H54" s="350"/>
      <c r="I54" s="350"/>
      <c r="J54" s="350"/>
      <c r="K54" s="350"/>
      <c r="L54" s="350"/>
      <c r="M54" s="350"/>
      <c r="N54" s="350"/>
      <c r="O54" s="350"/>
      <c r="P54" s="351"/>
      <c r="Q54" s="793">
        <f>COUNTIFS('refer admin discharge'!V15:V2976,"YES")</f>
        <v>0</v>
      </c>
      <c r="R54" s="350"/>
      <c r="S54" s="350"/>
      <c r="T54" s="351"/>
      <c r="AI54" s="137"/>
      <c r="AJ54" s="137"/>
      <c r="AK54" s="137"/>
      <c r="AL54" s="137"/>
      <c r="AM54" s="137"/>
      <c r="AN54" s="137"/>
      <c r="AO54" s="137"/>
      <c r="AP54" s="137"/>
      <c r="AR54" s="137"/>
      <c r="AS54" s="137"/>
      <c r="AT54" s="137"/>
      <c r="AU54" s="137"/>
      <c r="AV54" s="137"/>
      <c r="AW54" s="137"/>
      <c r="AX54" s="137"/>
      <c r="AY54" s="137"/>
      <c r="AZ54" s="137"/>
      <c r="BA54" s="137"/>
      <c r="BB54" s="137"/>
      <c r="BC54" s="137"/>
      <c r="BD54" s="137"/>
      <c r="BE54" s="137"/>
      <c r="BF54" s="137"/>
      <c r="BG54" s="137"/>
    </row>
    <row r="55" spans="1:59" ht="15.75" customHeight="1">
      <c r="A55" s="134"/>
      <c r="B55" s="134"/>
      <c r="C55" s="134"/>
      <c r="D55" s="134"/>
      <c r="E55" s="134"/>
      <c r="F55" s="134"/>
      <c r="G55" s="795" t="s">
        <v>588</v>
      </c>
      <c r="H55" s="350"/>
      <c r="I55" s="350"/>
      <c r="J55" s="350"/>
      <c r="K55" s="350"/>
      <c r="L55" s="350"/>
      <c r="M55" s="350"/>
      <c r="N55" s="350"/>
      <c r="O55" s="350"/>
      <c r="P55" s="351"/>
      <c r="Q55" s="793">
        <f>COUNTIFS('refer admin discharge'!V15:V2976,"NO")</f>
        <v>0</v>
      </c>
      <c r="R55" s="350"/>
      <c r="S55" s="350"/>
      <c r="T55" s="351"/>
      <c r="AI55" s="137"/>
      <c r="AX55" s="137"/>
      <c r="AY55" s="137"/>
      <c r="AZ55" s="137"/>
      <c r="BA55" s="137"/>
      <c r="BB55" s="137"/>
      <c r="BC55" s="137"/>
      <c r="BD55" s="137"/>
      <c r="BE55" s="137"/>
      <c r="BF55" s="137"/>
      <c r="BG55" s="137"/>
    </row>
    <row r="56" spans="1:59" ht="15.75" customHeight="1">
      <c r="A56" s="134"/>
      <c r="B56" s="134"/>
      <c r="C56" s="134"/>
      <c r="D56" s="134"/>
      <c r="E56" s="134"/>
      <c r="F56" s="134"/>
      <c r="G56" s="795" t="s">
        <v>589</v>
      </c>
      <c r="H56" s="350"/>
      <c r="I56" s="350"/>
      <c r="J56" s="350"/>
      <c r="K56" s="350"/>
      <c r="L56" s="350"/>
      <c r="M56" s="350"/>
      <c r="N56" s="350"/>
      <c r="O56" s="350"/>
      <c r="P56" s="351"/>
      <c r="Q56" s="793">
        <f>COUNTIFS('refer admin discharge'!V15:V2976,"N/A")</f>
        <v>0</v>
      </c>
      <c r="R56" s="350"/>
      <c r="S56" s="350"/>
      <c r="T56" s="351"/>
      <c r="AI56" s="137"/>
      <c r="AX56" s="137"/>
      <c r="AY56" s="137"/>
      <c r="AZ56" s="137"/>
      <c r="BA56" s="137"/>
      <c r="BB56" s="137"/>
      <c r="BC56" s="137"/>
      <c r="BD56" s="137"/>
      <c r="BE56" s="137"/>
      <c r="BF56" s="137"/>
      <c r="BG56" s="137"/>
    </row>
    <row r="57" spans="1:59" ht="15.75" customHeight="1">
      <c r="A57" s="134"/>
      <c r="B57" s="134"/>
      <c r="C57" s="134"/>
      <c r="D57" s="134"/>
      <c r="E57" s="134"/>
      <c r="F57" s="134"/>
      <c r="G57" s="796" t="s">
        <v>561</v>
      </c>
      <c r="H57" s="350"/>
      <c r="I57" s="350"/>
      <c r="J57" s="350"/>
      <c r="K57" s="350"/>
      <c r="L57" s="350"/>
      <c r="M57" s="350"/>
      <c r="N57" s="350"/>
      <c r="O57" s="350"/>
      <c r="P57" s="351"/>
      <c r="Q57" s="797">
        <f>SUM(Q54:Q56)</f>
        <v>0</v>
      </c>
      <c r="R57" s="350"/>
      <c r="S57" s="350"/>
      <c r="T57" s="351"/>
      <c r="AI57" s="137"/>
      <c r="AX57" s="137"/>
      <c r="AY57" s="137"/>
      <c r="AZ57" s="137"/>
      <c r="BA57" s="137"/>
      <c r="BB57" s="137"/>
      <c r="BC57" s="137"/>
      <c r="BD57" s="137"/>
      <c r="BE57" s="137"/>
      <c r="BF57" s="137"/>
      <c r="BG57" s="137"/>
    </row>
    <row r="58" spans="1:59" ht="15.75" customHeight="1">
      <c r="A58" s="134"/>
      <c r="B58" s="134"/>
      <c r="C58" s="134"/>
      <c r="D58" s="134"/>
      <c r="E58" s="134"/>
      <c r="F58" s="134"/>
      <c r="G58" s="138"/>
      <c r="H58" s="139"/>
      <c r="I58" s="139"/>
      <c r="J58" s="139"/>
      <c r="K58" s="139"/>
      <c r="L58" s="139"/>
      <c r="M58" s="139"/>
      <c r="N58" s="139"/>
      <c r="O58" s="139"/>
      <c r="P58" s="139"/>
      <c r="Q58" s="139"/>
      <c r="R58" s="139"/>
      <c r="S58" s="139"/>
      <c r="T58" s="140"/>
      <c r="AI58" s="137"/>
      <c r="AJ58" s="137"/>
      <c r="AK58" s="137"/>
      <c r="AL58" s="137"/>
      <c r="AM58" s="137"/>
      <c r="AN58" s="137"/>
      <c r="AO58" s="137"/>
      <c r="AP58" s="137"/>
      <c r="AR58" s="137"/>
      <c r="AS58" s="137"/>
      <c r="AT58" s="137"/>
      <c r="AU58" s="137"/>
      <c r="AV58" s="137"/>
      <c r="AW58" s="137"/>
      <c r="AX58" s="137"/>
      <c r="AY58" s="137"/>
      <c r="AZ58" s="137"/>
      <c r="BA58" s="137"/>
      <c r="BB58" s="137"/>
      <c r="BC58" s="137"/>
      <c r="BD58" s="137"/>
      <c r="BE58" s="137"/>
      <c r="BF58" s="137"/>
      <c r="BG58" s="137"/>
    </row>
    <row r="59" spans="1:59" ht="15.75" customHeight="1">
      <c r="A59" s="134"/>
      <c r="B59" s="134"/>
      <c r="C59" s="134"/>
      <c r="D59" s="134"/>
      <c r="E59" s="134"/>
      <c r="F59" s="134"/>
      <c r="G59" s="141"/>
      <c r="H59" s="142"/>
      <c r="I59" s="142"/>
      <c r="J59" s="142"/>
      <c r="K59" s="142"/>
      <c r="L59" s="142"/>
      <c r="M59" s="142"/>
      <c r="N59" s="142"/>
      <c r="O59" s="142"/>
      <c r="P59" s="142"/>
      <c r="Q59" s="142"/>
      <c r="R59" s="142"/>
      <c r="S59" s="142"/>
      <c r="T59" s="143"/>
      <c r="AI59" s="137"/>
      <c r="AJ59" s="137"/>
      <c r="AK59" s="137"/>
      <c r="AL59" s="137"/>
      <c r="AM59" s="137"/>
      <c r="AN59" s="137"/>
      <c r="AO59" s="137"/>
      <c r="AP59" s="137"/>
      <c r="AR59" s="137"/>
      <c r="AS59" s="137"/>
      <c r="AT59" s="137"/>
      <c r="AU59" s="137"/>
      <c r="AV59" s="137"/>
      <c r="AW59" s="137"/>
      <c r="AX59" s="137"/>
      <c r="AY59" s="137"/>
      <c r="AZ59" s="137"/>
      <c r="BA59" s="137"/>
      <c r="BB59" s="137"/>
      <c r="BC59" s="137"/>
      <c r="BD59" s="137"/>
      <c r="BE59" s="137"/>
      <c r="BF59" s="137"/>
      <c r="BG59" s="137"/>
    </row>
    <row r="60" spans="1:59" ht="15.75" customHeight="1">
      <c r="A60" s="134"/>
      <c r="B60" s="134"/>
      <c r="C60" s="134"/>
      <c r="D60" s="134"/>
      <c r="E60" s="134"/>
      <c r="F60" s="134"/>
      <c r="G60" s="9"/>
      <c r="H60" s="9"/>
      <c r="I60" s="144"/>
      <c r="J60" s="9"/>
      <c r="K60" s="9"/>
      <c r="L60" s="9"/>
      <c r="M60" s="9"/>
      <c r="N60" s="9"/>
      <c r="O60" s="9"/>
      <c r="P60" s="9"/>
      <c r="Q60" s="9"/>
      <c r="R60" s="9"/>
      <c r="S60" s="9"/>
      <c r="T60" s="9"/>
      <c r="AI60" s="137"/>
      <c r="AJ60" s="137"/>
      <c r="AK60" s="137"/>
      <c r="AL60" s="137"/>
      <c r="AM60" s="137"/>
      <c r="AN60" s="137"/>
      <c r="AO60" s="137"/>
      <c r="AP60" s="137"/>
      <c r="AR60" s="137"/>
      <c r="AS60" s="137"/>
      <c r="AT60" s="137"/>
      <c r="AU60" s="137"/>
      <c r="AV60" s="137"/>
      <c r="AW60" s="137"/>
      <c r="AX60" s="137"/>
      <c r="AY60" s="137"/>
      <c r="AZ60" s="137"/>
      <c r="BA60" s="137"/>
      <c r="BB60" s="137"/>
      <c r="BC60" s="137"/>
      <c r="BD60" s="137"/>
      <c r="BE60" s="137"/>
      <c r="BF60" s="137"/>
      <c r="BG60" s="137"/>
    </row>
    <row r="61" spans="1:59" ht="15.75" customHeight="1">
      <c r="A61" s="786" t="s">
        <v>590</v>
      </c>
      <c r="B61" s="381"/>
      <c r="C61" s="381"/>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428"/>
      <c r="AD61" s="145"/>
      <c r="AE61" s="145"/>
      <c r="AF61" s="145"/>
      <c r="AG61" s="145"/>
      <c r="AH61" s="145"/>
      <c r="AI61" s="145"/>
      <c r="AJ61" s="145"/>
      <c r="AK61" s="145"/>
      <c r="AL61" s="145"/>
      <c r="AM61" s="779" t="s">
        <v>591</v>
      </c>
      <c r="AN61" s="381"/>
      <c r="AO61" s="381"/>
      <c r="AP61" s="381"/>
      <c r="AQ61" s="381"/>
      <c r="AR61" s="381"/>
      <c r="AS61" s="381"/>
      <c r="AT61" s="381"/>
      <c r="AU61" s="381"/>
      <c r="AV61" s="381"/>
      <c r="AW61" s="381"/>
      <c r="AX61" s="381"/>
      <c r="AY61" s="381"/>
      <c r="AZ61" s="381"/>
      <c r="BA61" s="381"/>
      <c r="BB61" s="381"/>
      <c r="BC61" s="381"/>
      <c r="BD61" s="381"/>
      <c r="BE61" s="381"/>
      <c r="BF61" s="381"/>
      <c r="BG61" s="428"/>
    </row>
    <row r="62" spans="1:59" ht="15.75" customHeight="1">
      <c r="A62" s="784" t="s">
        <v>592</v>
      </c>
      <c r="B62" s="350"/>
      <c r="C62" s="350"/>
      <c r="D62" s="350"/>
      <c r="E62" s="350"/>
      <c r="F62" s="350"/>
      <c r="G62" s="350"/>
      <c r="H62" s="350"/>
      <c r="I62" s="350"/>
      <c r="J62" s="350"/>
      <c r="K62" s="350"/>
      <c r="L62" s="350"/>
      <c r="M62" s="350"/>
      <c r="N62" s="350"/>
      <c r="O62" s="350"/>
      <c r="P62" s="350"/>
      <c r="Q62" s="350"/>
      <c r="R62" s="350"/>
      <c r="S62" s="350"/>
      <c r="T62" s="350"/>
      <c r="U62" s="351"/>
      <c r="V62" s="146"/>
      <c r="W62" s="147"/>
      <c r="X62" s="147"/>
      <c r="Y62" s="147"/>
      <c r="Z62" s="148"/>
      <c r="AA62" s="149"/>
      <c r="AB62" s="149"/>
      <c r="AC62" s="149"/>
      <c r="AM62" s="150"/>
      <c r="AN62" s="150" t="s">
        <v>593</v>
      </c>
      <c r="AO62" s="150"/>
      <c r="AP62" s="150"/>
      <c r="AQ62" s="150"/>
      <c r="AR62" s="150"/>
      <c r="AS62" s="151"/>
      <c r="AT62" s="151"/>
      <c r="AU62" s="151"/>
      <c r="AV62" s="151"/>
      <c r="AW62" s="151"/>
      <c r="AX62" s="151"/>
      <c r="AY62" s="151"/>
      <c r="AZ62" s="151"/>
      <c r="BA62" s="151"/>
      <c r="BB62" s="151"/>
      <c r="BC62" s="151"/>
      <c r="BD62" s="151"/>
      <c r="BE62" s="151"/>
      <c r="BF62" s="151"/>
      <c r="BG62" s="151"/>
    </row>
    <row r="63" spans="1:59" ht="15.75" customHeight="1">
      <c r="A63" s="787" t="s">
        <v>594</v>
      </c>
      <c r="B63" s="350"/>
      <c r="C63" s="350"/>
      <c r="D63" s="350"/>
      <c r="E63" s="350"/>
      <c r="F63" s="350"/>
      <c r="G63" s="350"/>
      <c r="H63" s="350"/>
      <c r="I63" s="350"/>
      <c r="J63" s="350"/>
      <c r="K63" s="350"/>
      <c r="L63" s="350"/>
      <c r="M63" s="350"/>
      <c r="N63" s="350"/>
      <c r="O63" s="350"/>
      <c r="P63" s="350"/>
      <c r="Q63" s="350"/>
      <c r="R63" s="350"/>
      <c r="S63" s="350"/>
      <c r="T63" s="350"/>
      <c r="U63" s="351"/>
      <c r="V63" s="788">
        <f>COUNTIFS('refer admin discharge'!O15:O2976,"Female",'refer admin discharge'!AJ15:AJ2976,"YES",'refer admin discharge'!AP15:AP2976,"YES")</f>
        <v>0</v>
      </c>
      <c r="W63" s="350"/>
      <c r="X63" s="350"/>
      <c r="Y63" s="350"/>
      <c r="Z63" s="351"/>
      <c r="AA63" s="9"/>
      <c r="AB63" s="9"/>
      <c r="AC63" s="9"/>
      <c r="AM63" s="703" t="s">
        <v>498</v>
      </c>
      <c r="AN63" s="350"/>
      <c r="AO63" s="350"/>
      <c r="AP63" s="350"/>
      <c r="AQ63" s="350"/>
      <c r="AR63" s="350"/>
      <c r="AS63" s="350"/>
      <c r="AT63" s="351"/>
      <c r="AU63" s="737">
        <f>COUNTIFS('refer admin discharge'!AF15:AF2976,"YES")</f>
        <v>0</v>
      </c>
      <c r="AV63" s="350"/>
      <c r="AW63" s="350"/>
      <c r="AX63" s="350"/>
      <c r="AY63" s="350"/>
      <c r="AZ63" s="350"/>
      <c r="BA63" s="351"/>
      <c r="BB63" s="152"/>
      <c r="BC63" s="152"/>
      <c r="BD63" s="152"/>
      <c r="BE63" s="152"/>
      <c r="BF63" s="152"/>
      <c r="BG63" s="152"/>
    </row>
    <row r="64" spans="1:59" ht="15.75" customHeight="1">
      <c r="A64" s="790" t="s">
        <v>595</v>
      </c>
      <c r="B64" s="350"/>
      <c r="C64" s="350"/>
      <c r="D64" s="350"/>
      <c r="E64" s="350"/>
      <c r="F64" s="350"/>
      <c r="G64" s="350"/>
      <c r="H64" s="350"/>
      <c r="I64" s="350"/>
      <c r="J64" s="350"/>
      <c r="K64" s="350"/>
      <c r="L64" s="350"/>
      <c r="M64" s="350"/>
      <c r="N64" s="350"/>
      <c r="O64" s="350"/>
      <c r="P64" s="350"/>
      <c r="Q64" s="350"/>
      <c r="R64" s="350"/>
      <c r="S64" s="350"/>
      <c r="T64" s="350"/>
      <c r="U64" s="351"/>
      <c r="V64" s="789">
        <f>COUNTIFS('refer admin discharge'!O15:O2976,"Female",'refer admin discharge'!AJ15:AJ2976,"YES",'refer admin discharge'!AR15:AR2976,"YES")</f>
        <v>0</v>
      </c>
      <c r="W64" s="350"/>
      <c r="X64" s="350"/>
      <c r="Y64" s="350"/>
      <c r="Z64" s="351"/>
      <c r="AA64" s="9"/>
      <c r="AB64" s="9"/>
      <c r="AC64" s="9"/>
      <c r="AM64" s="703" t="s">
        <v>588</v>
      </c>
      <c r="AN64" s="350"/>
      <c r="AO64" s="350"/>
      <c r="AP64" s="350"/>
      <c r="AQ64" s="350"/>
      <c r="AR64" s="350"/>
      <c r="AS64" s="350"/>
      <c r="AT64" s="351"/>
      <c r="AU64" s="737">
        <f>COUNTIFS('refer admin discharge'!AF15:AF2976,"NO")</f>
        <v>0</v>
      </c>
      <c r="AV64" s="350"/>
      <c r="AW64" s="350"/>
      <c r="AX64" s="350"/>
      <c r="AY64" s="350"/>
      <c r="AZ64" s="350"/>
      <c r="BA64" s="351"/>
      <c r="BB64" s="152"/>
      <c r="BC64" s="152"/>
      <c r="BD64" s="152"/>
      <c r="BE64" s="152"/>
      <c r="BF64" s="152"/>
      <c r="BG64" s="152"/>
    </row>
    <row r="65" spans="1:59" ht="15.75" customHeight="1">
      <c r="A65" s="787" t="s">
        <v>596</v>
      </c>
      <c r="B65" s="350"/>
      <c r="C65" s="350"/>
      <c r="D65" s="350"/>
      <c r="E65" s="350"/>
      <c r="F65" s="350"/>
      <c r="G65" s="350"/>
      <c r="H65" s="350"/>
      <c r="I65" s="350"/>
      <c r="J65" s="350"/>
      <c r="K65" s="350"/>
      <c r="L65" s="350"/>
      <c r="M65" s="350"/>
      <c r="N65" s="350"/>
      <c r="O65" s="350"/>
      <c r="P65" s="350"/>
      <c r="Q65" s="350"/>
      <c r="R65" s="350"/>
      <c r="S65" s="350"/>
      <c r="T65" s="350"/>
      <c r="U65" s="351"/>
      <c r="V65" s="788">
        <f>COUNTIFS('refer admin discharge'!O15:O2976,"Female",'refer admin discharge'!AJ15:AJ2976,"YES",'refer admin discharge'!AT15:AT2976,"YES")</f>
        <v>0</v>
      </c>
      <c r="W65" s="350"/>
      <c r="X65" s="350"/>
      <c r="Y65" s="350"/>
      <c r="Z65" s="351"/>
      <c r="AA65" s="9"/>
      <c r="AB65" s="9"/>
      <c r="AC65" s="9"/>
      <c r="AM65" s="703"/>
      <c r="AN65" s="350"/>
      <c r="AO65" s="350"/>
      <c r="AP65" s="350"/>
      <c r="AQ65" s="350"/>
      <c r="AR65" s="350"/>
      <c r="AS65" s="350"/>
      <c r="AT65" s="351"/>
      <c r="AU65" s="737"/>
      <c r="AV65" s="350"/>
      <c r="AW65" s="350"/>
      <c r="AX65" s="350"/>
      <c r="AY65" s="350"/>
      <c r="AZ65" s="350"/>
      <c r="BA65" s="351"/>
      <c r="BB65" s="152"/>
      <c r="BC65" s="152"/>
      <c r="BD65" s="152"/>
      <c r="BE65" s="152"/>
      <c r="BF65" s="152"/>
      <c r="BG65" s="152"/>
    </row>
    <row r="66" spans="1:59" ht="15.75" customHeight="1">
      <c r="A66" s="790" t="s">
        <v>597</v>
      </c>
      <c r="B66" s="350"/>
      <c r="C66" s="350"/>
      <c r="D66" s="350"/>
      <c r="E66" s="350"/>
      <c r="F66" s="350"/>
      <c r="G66" s="350"/>
      <c r="H66" s="350"/>
      <c r="I66" s="350"/>
      <c r="J66" s="350"/>
      <c r="K66" s="350"/>
      <c r="L66" s="350"/>
      <c r="M66" s="350"/>
      <c r="N66" s="350"/>
      <c r="O66" s="350"/>
      <c r="P66" s="350"/>
      <c r="Q66" s="350"/>
      <c r="R66" s="350"/>
      <c r="S66" s="350"/>
      <c r="T66" s="350"/>
      <c r="U66" s="351"/>
      <c r="V66" s="789">
        <f>COUNTIFS('refer admin discharge'!O15:O2976,"Female",'refer admin discharge'!AJ15:AJ2976,"YES",'refer admin discharge'!BA15:BA2976,"YES")</f>
        <v>0</v>
      </c>
      <c r="W66" s="350"/>
      <c r="X66" s="350"/>
      <c r="Y66" s="350"/>
      <c r="Z66" s="351"/>
      <c r="AA66" s="9"/>
      <c r="AB66" s="9"/>
      <c r="AC66" s="9"/>
      <c r="AM66" s="782" t="s">
        <v>561</v>
      </c>
      <c r="AN66" s="350"/>
      <c r="AO66" s="350"/>
      <c r="AP66" s="350"/>
      <c r="AQ66" s="350"/>
      <c r="AR66" s="350"/>
      <c r="AS66" s="350"/>
      <c r="AT66" s="351"/>
      <c r="AU66" s="782">
        <f>SUM(AU63:AU65)</f>
        <v>0</v>
      </c>
      <c r="AV66" s="350"/>
      <c r="AW66" s="350"/>
      <c r="AX66" s="350"/>
      <c r="AY66" s="350"/>
      <c r="AZ66" s="350"/>
      <c r="BA66" s="351"/>
      <c r="BB66" s="152"/>
      <c r="BC66" s="152"/>
      <c r="BD66" s="152"/>
      <c r="BE66" s="152"/>
      <c r="BF66" s="152"/>
      <c r="BG66" s="152"/>
    </row>
    <row r="67" spans="1:59" ht="15.75" customHeight="1">
      <c r="A67" s="511" t="s">
        <v>598</v>
      </c>
      <c r="B67" s="350"/>
      <c r="C67" s="350"/>
      <c r="D67" s="350"/>
      <c r="E67" s="350"/>
      <c r="F67" s="350"/>
      <c r="G67" s="350"/>
      <c r="H67" s="350"/>
      <c r="I67" s="350"/>
      <c r="J67" s="350"/>
      <c r="K67" s="350"/>
      <c r="L67" s="350"/>
      <c r="M67" s="350"/>
      <c r="N67" s="350"/>
      <c r="O67" s="350"/>
      <c r="P67" s="350"/>
      <c r="Q67" s="350"/>
      <c r="R67" s="350"/>
      <c r="S67" s="350"/>
      <c r="T67" s="350"/>
      <c r="U67" s="351"/>
      <c r="V67" s="753">
        <f>COUNTIFS('refer admin discharge'!AJ15:AJ2976,"NO",'refer admin discharge'!AP15:AP2976,"YES")</f>
        <v>0</v>
      </c>
      <c r="W67" s="350"/>
      <c r="X67" s="350"/>
      <c r="Y67" s="350"/>
      <c r="Z67" s="351"/>
      <c r="AA67" s="9"/>
      <c r="AB67" s="9"/>
      <c r="AC67" s="9"/>
    </row>
    <row r="68" spans="1:59" ht="15.75" customHeight="1">
      <c r="A68" s="368" t="s">
        <v>599</v>
      </c>
      <c r="B68" s="350"/>
      <c r="C68" s="350"/>
      <c r="D68" s="350"/>
      <c r="E68" s="350"/>
      <c r="F68" s="350"/>
      <c r="G68" s="350"/>
      <c r="H68" s="350"/>
      <c r="I68" s="350"/>
      <c r="J68" s="350"/>
      <c r="K68" s="350"/>
      <c r="L68" s="350"/>
      <c r="M68" s="350"/>
      <c r="N68" s="350"/>
      <c r="O68" s="350"/>
      <c r="P68" s="350"/>
      <c r="Q68" s="350"/>
      <c r="R68" s="350"/>
      <c r="S68" s="350"/>
      <c r="T68" s="350"/>
      <c r="U68" s="351"/>
      <c r="V68" s="703">
        <f>COUNTIFS('refer admin discharge'!AJ15:AJ2976,"NO",'refer admin discharge'!AR15:AR2976,"YES")</f>
        <v>0</v>
      </c>
      <c r="W68" s="350"/>
      <c r="X68" s="350"/>
      <c r="Y68" s="350"/>
      <c r="Z68" s="351"/>
      <c r="AA68" s="9"/>
      <c r="AB68" s="9"/>
      <c r="AC68" s="9"/>
    </row>
    <row r="69" spans="1:59" ht="15.75" customHeight="1">
      <c r="A69" s="511" t="s">
        <v>600</v>
      </c>
      <c r="B69" s="350"/>
      <c r="C69" s="350"/>
      <c r="D69" s="350"/>
      <c r="E69" s="350"/>
      <c r="F69" s="350"/>
      <c r="G69" s="350"/>
      <c r="H69" s="350"/>
      <c r="I69" s="350"/>
      <c r="J69" s="350"/>
      <c r="K69" s="350"/>
      <c r="L69" s="350"/>
      <c r="M69" s="350"/>
      <c r="N69" s="350"/>
      <c r="O69" s="350"/>
      <c r="P69" s="350"/>
      <c r="Q69" s="350"/>
      <c r="R69" s="350"/>
      <c r="S69" s="350"/>
      <c r="T69" s="350"/>
      <c r="U69" s="351"/>
      <c r="V69" s="753">
        <f>COUNTIFS('refer admin discharge'!AJ15:AJ2976,"NO",'refer admin discharge'!AT15:AT2976,"YES")</f>
        <v>0</v>
      </c>
      <c r="W69" s="350"/>
      <c r="X69" s="350"/>
      <c r="Y69" s="350"/>
      <c r="Z69" s="351"/>
      <c r="AA69" s="9"/>
      <c r="AB69" s="9"/>
      <c r="AC69" s="9"/>
      <c r="AM69" s="779" t="s">
        <v>601</v>
      </c>
      <c r="AN69" s="381"/>
      <c r="AO69" s="381"/>
      <c r="AP69" s="381"/>
      <c r="AQ69" s="381"/>
      <c r="AR69" s="381"/>
      <c r="AS69" s="381"/>
      <c r="AT69" s="381"/>
      <c r="AU69" s="381"/>
      <c r="AV69" s="381"/>
      <c r="AW69" s="381"/>
      <c r="AX69" s="381"/>
      <c r="AY69" s="381"/>
      <c r="AZ69" s="381"/>
      <c r="BA69" s="381"/>
      <c r="BB69" s="381"/>
      <c r="BC69" s="381"/>
      <c r="BD69" s="381"/>
      <c r="BE69" s="381"/>
      <c r="BF69" s="381"/>
      <c r="BG69" s="428"/>
    </row>
    <row r="70" spans="1:59" ht="15.75" customHeight="1">
      <c r="A70" s="368" t="s">
        <v>602</v>
      </c>
      <c r="B70" s="350"/>
      <c r="C70" s="350"/>
      <c r="D70" s="350"/>
      <c r="E70" s="350"/>
      <c r="F70" s="350"/>
      <c r="G70" s="350"/>
      <c r="H70" s="350"/>
      <c r="I70" s="350"/>
      <c r="J70" s="350"/>
      <c r="K70" s="350"/>
      <c r="L70" s="350"/>
      <c r="M70" s="350"/>
      <c r="N70" s="350"/>
      <c r="O70" s="350"/>
      <c r="P70" s="350"/>
      <c r="Q70" s="350"/>
      <c r="R70" s="350"/>
      <c r="S70" s="350"/>
      <c r="T70" s="350"/>
      <c r="U70" s="351"/>
      <c r="V70" s="703">
        <f>COUNTIFS('refer admin discharge'!AJ15:AJ2976,"NO",'refer admin discharge'!BA15:BA2976,"YES")</f>
        <v>0</v>
      </c>
      <c r="W70" s="350"/>
      <c r="X70" s="350"/>
      <c r="Y70" s="350"/>
      <c r="Z70" s="351"/>
      <c r="AA70" s="9"/>
      <c r="AB70" s="9"/>
      <c r="AC70" s="9"/>
      <c r="AM70" s="150"/>
      <c r="AN70" s="150" t="s">
        <v>603</v>
      </c>
      <c r="AO70" s="150"/>
      <c r="AP70" s="150"/>
      <c r="AQ70" s="150"/>
      <c r="AR70" s="150"/>
      <c r="AS70" s="151"/>
      <c r="AT70" s="151"/>
      <c r="AU70" s="151"/>
      <c r="AV70" s="151"/>
      <c r="AW70" s="151"/>
      <c r="AX70" s="151"/>
      <c r="AY70" s="151"/>
      <c r="AZ70" s="151"/>
      <c r="BA70" s="151"/>
      <c r="BB70" s="151"/>
      <c r="BC70" s="151"/>
      <c r="BD70" s="151"/>
      <c r="BE70" s="151"/>
      <c r="BF70" s="151"/>
      <c r="BG70" s="151"/>
    </row>
    <row r="71" spans="1:59" ht="15.75" customHeight="1">
      <c r="A71" s="784" t="s">
        <v>604</v>
      </c>
      <c r="B71" s="350"/>
      <c r="C71" s="350"/>
      <c r="D71" s="350"/>
      <c r="E71" s="350"/>
      <c r="F71" s="350"/>
      <c r="G71" s="350"/>
      <c r="H71" s="350"/>
      <c r="I71" s="350"/>
      <c r="J71" s="350"/>
      <c r="K71" s="350"/>
      <c r="L71" s="350"/>
      <c r="M71" s="350"/>
      <c r="N71" s="350"/>
      <c r="O71" s="350"/>
      <c r="P71" s="350"/>
      <c r="Q71" s="350"/>
      <c r="R71" s="350"/>
      <c r="S71" s="350"/>
      <c r="T71" s="350"/>
      <c r="U71" s="351"/>
      <c r="V71" s="785">
        <f>SUM(V63:V70)</f>
        <v>0</v>
      </c>
      <c r="W71" s="350"/>
      <c r="X71" s="350"/>
      <c r="Y71" s="350"/>
      <c r="Z71" s="351"/>
      <c r="AA71" s="9"/>
      <c r="AB71" s="9"/>
      <c r="AC71" s="9"/>
      <c r="AM71" s="703" t="s">
        <v>498</v>
      </c>
      <c r="AN71" s="350"/>
      <c r="AO71" s="350"/>
      <c r="AP71" s="350"/>
      <c r="AQ71" s="350"/>
      <c r="AR71" s="350"/>
      <c r="AS71" s="350"/>
      <c r="AT71" s="351"/>
      <c r="AU71" s="737">
        <f>COUNTIFS('refer admin discharge'!AH15:AH2984,"YES")</f>
        <v>0</v>
      </c>
      <c r="AV71" s="350"/>
      <c r="AW71" s="350"/>
      <c r="AX71" s="350"/>
      <c r="AY71" s="350"/>
      <c r="AZ71" s="350"/>
      <c r="BA71" s="351"/>
      <c r="BB71" s="152"/>
      <c r="BC71" s="152"/>
      <c r="BD71" s="152"/>
      <c r="BE71" s="152"/>
      <c r="BF71" s="152"/>
      <c r="BG71" s="152"/>
    </row>
    <row r="72" spans="1:59" ht="15.75" customHeight="1">
      <c r="A72" s="511" t="s">
        <v>605</v>
      </c>
      <c r="B72" s="350"/>
      <c r="C72" s="350"/>
      <c r="D72" s="350"/>
      <c r="E72" s="350"/>
      <c r="F72" s="350"/>
      <c r="G72" s="350"/>
      <c r="H72" s="350"/>
      <c r="I72" s="350"/>
      <c r="J72" s="350"/>
      <c r="K72" s="350"/>
      <c r="L72" s="350"/>
      <c r="M72" s="350"/>
      <c r="N72" s="350"/>
      <c r="O72" s="350"/>
      <c r="P72" s="350"/>
      <c r="Q72" s="350"/>
      <c r="R72" s="350"/>
      <c r="S72" s="350"/>
      <c r="T72" s="350"/>
      <c r="U72" s="351"/>
      <c r="V72" s="753">
        <f>COUNTIFS('refer admin discharge'!AX15:AX2976,"Methadone")</f>
        <v>0</v>
      </c>
      <c r="W72" s="350"/>
      <c r="X72" s="350"/>
      <c r="Y72" s="350"/>
      <c r="Z72" s="351"/>
      <c r="AA72" s="9"/>
      <c r="AB72" s="9"/>
      <c r="AC72" s="9"/>
      <c r="AM72" s="703" t="s">
        <v>588</v>
      </c>
      <c r="AN72" s="350"/>
      <c r="AO72" s="350"/>
      <c r="AP72" s="350"/>
      <c r="AQ72" s="350"/>
      <c r="AR72" s="350"/>
      <c r="AS72" s="350"/>
      <c r="AT72" s="351"/>
      <c r="AU72" s="737">
        <f>COUNTIFS('refer admin discharge'!AH15:AH2984,"NO")</f>
        <v>0</v>
      </c>
      <c r="AV72" s="350"/>
      <c r="AW72" s="350"/>
      <c r="AX72" s="350"/>
      <c r="AY72" s="350"/>
      <c r="AZ72" s="350"/>
      <c r="BA72" s="351"/>
      <c r="BB72" s="152"/>
      <c r="BC72" s="152"/>
      <c r="BD72" s="152"/>
      <c r="BE72" s="152"/>
      <c r="BF72" s="152"/>
      <c r="BG72" s="152"/>
    </row>
    <row r="73" spans="1:59" ht="15.75" customHeight="1">
      <c r="A73" s="368" t="s">
        <v>606</v>
      </c>
      <c r="B73" s="350"/>
      <c r="C73" s="350"/>
      <c r="D73" s="350"/>
      <c r="E73" s="350"/>
      <c r="F73" s="350"/>
      <c r="G73" s="350"/>
      <c r="H73" s="350"/>
      <c r="I73" s="350"/>
      <c r="J73" s="350"/>
      <c r="K73" s="350"/>
      <c r="L73" s="350"/>
      <c r="M73" s="350"/>
      <c r="N73" s="350"/>
      <c r="O73" s="350"/>
      <c r="P73" s="350"/>
      <c r="Q73" s="350"/>
      <c r="R73" s="350"/>
      <c r="S73" s="350"/>
      <c r="T73" s="350"/>
      <c r="U73" s="351"/>
      <c r="V73" s="703">
        <f>COUNTIFS('refer admin discharge'!AX15:AX2976,"Buprenorphine Oral")</f>
        <v>0</v>
      </c>
      <c r="W73" s="350"/>
      <c r="X73" s="350"/>
      <c r="Y73" s="350"/>
      <c r="Z73" s="351"/>
      <c r="AA73" s="9"/>
      <c r="AB73" s="9"/>
      <c r="AC73" s="9"/>
      <c r="AM73" s="703"/>
      <c r="AN73" s="350"/>
      <c r="AO73" s="350"/>
      <c r="AP73" s="350"/>
      <c r="AQ73" s="350"/>
      <c r="AR73" s="350"/>
      <c r="AS73" s="350"/>
      <c r="AT73" s="351"/>
      <c r="AU73" s="737"/>
      <c r="AV73" s="350"/>
      <c r="AW73" s="350"/>
      <c r="AX73" s="350"/>
      <c r="AY73" s="350"/>
      <c r="AZ73" s="350"/>
      <c r="BA73" s="351"/>
      <c r="BB73" s="152"/>
      <c r="BC73" s="152"/>
      <c r="BD73" s="152"/>
      <c r="BE73" s="152"/>
      <c r="BF73" s="152"/>
      <c r="BG73" s="152"/>
    </row>
    <row r="74" spans="1:59" ht="15.75" customHeight="1">
      <c r="A74" s="511" t="s">
        <v>607</v>
      </c>
      <c r="B74" s="350"/>
      <c r="C74" s="350"/>
      <c r="D74" s="350"/>
      <c r="E74" s="350"/>
      <c r="F74" s="350"/>
      <c r="G74" s="350"/>
      <c r="H74" s="350"/>
      <c r="I74" s="350"/>
      <c r="J74" s="350"/>
      <c r="K74" s="350"/>
      <c r="L74" s="350"/>
      <c r="M74" s="350"/>
      <c r="N74" s="350"/>
      <c r="O74" s="350"/>
      <c r="P74" s="350"/>
      <c r="Q74" s="350"/>
      <c r="R74" s="350"/>
      <c r="S74" s="350"/>
      <c r="T74" s="350"/>
      <c r="U74" s="351"/>
      <c r="V74" s="753">
        <f>COUNTIFS('refer admin discharge'!AX15:AX2976,"Buprenorphine - Injectable")</f>
        <v>0</v>
      </c>
      <c r="W74" s="350"/>
      <c r="X74" s="350"/>
      <c r="Y74" s="350"/>
      <c r="Z74" s="351"/>
      <c r="AA74" s="9"/>
      <c r="AB74" s="9"/>
      <c r="AC74" s="9"/>
      <c r="AM74" s="782" t="s">
        <v>561</v>
      </c>
      <c r="AN74" s="350"/>
      <c r="AO74" s="350"/>
      <c r="AP74" s="350"/>
      <c r="AQ74" s="350"/>
      <c r="AR74" s="350"/>
      <c r="AS74" s="350"/>
      <c r="AT74" s="351"/>
      <c r="AU74" s="782">
        <f>SUM(AU71:AU73)</f>
        <v>0</v>
      </c>
      <c r="AV74" s="350"/>
      <c r="AW74" s="350"/>
      <c r="AX74" s="350"/>
      <c r="AY74" s="350"/>
      <c r="AZ74" s="350"/>
      <c r="BA74" s="351"/>
      <c r="BB74" s="152"/>
      <c r="BC74" s="152"/>
      <c r="BD74" s="152"/>
      <c r="BE74" s="152"/>
      <c r="BF74" s="152"/>
      <c r="BG74" s="152"/>
    </row>
    <row r="75" spans="1:59" ht="15.75" customHeight="1">
      <c r="A75" s="368" t="s">
        <v>608</v>
      </c>
      <c r="B75" s="350"/>
      <c r="C75" s="350"/>
      <c r="D75" s="350"/>
      <c r="E75" s="350"/>
      <c r="F75" s="350"/>
      <c r="G75" s="350"/>
      <c r="H75" s="350"/>
      <c r="I75" s="350"/>
      <c r="J75" s="350"/>
      <c r="K75" s="350"/>
      <c r="L75" s="350"/>
      <c r="M75" s="350"/>
      <c r="N75" s="350"/>
      <c r="O75" s="350"/>
      <c r="P75" s="350"/>
      <c r="Q75" s="350"/>
      <c r="R75" s="350"/>
      <c r="S75" s="350"/>
      <c r="T75" s="350"/>
      <c r="U75" s="351"/>
      <c r="V75" s="703">
        <f>COUNTIFS('refer admin discharge'!AX15:AX2976,"Buprenorphine Implant")</f>
        <v>0</v>
      </c>
      <c r="W75" s="350"/>
      <c r="X75" s="350"/>
      <c r="Y75" s="350"/>
      <c r="Z75" s="351"/>
      <c r="AA75" s="9"/>
      <c r="AB75" s="9"/>
      <c r="AC75" s="9"/>
    </row>
    <row r="76" spans="1:59" ht="15.75" customHeight="1">
      <c r="A76" s="511" t="s">
        <v>609</v>
      </c>
      <c r="B76" s="350"/>
      <c r="C76" s="350"/>
      <c r="D76" s="350"/>
      <c r="E76" s="350"/>
      <c r="F76" s="350"/>
      <c r="G76" s="350"/>
      <c r="H76" s="350"/>
      <c r="I76" s="350"/>
      <c r="J76" s="350"/>
      <c r="K76" s="350"/>
      <c r="L76" s="350"/>
      <c r="M76" s="350"/>
      <c r="N76" s="350"/>
      <c r="O76" s="350"/>
      <c r="P76" s="350"/>
      <c r="Q76" s="350"/>
      <c r="R76" s="350"/>
      <c r="S76" s="350"/>
      <c r="T76" s="350"/>
      <c r="U76" s="351"/>
      <c r="V76" s="753">
        <f>COUNTIFS('refer admin discharge'!AX15:AX2976,"Naltrexone - Oral")</f>
        <v>0</v>
      </c>
      <c r="W76" s="350"/>
      <c r="X76" s="350"/>
      <c r="Y76" s="350"/>
      <c r="Z76" s="351"/>
      <c r="AA76" s="9"/>
      <c r="AB76" s="9"/>
      <c r="AC76" s="9"/>
    </row>
    <row r="77" spans="1:59" ht="15.75" customHeight="1">
      <c r="A77" s="153" t="s">
        <v>610</v>
      </c>
      <c r="B77" s="154"/>
      <c r="C77" s="154"/>
      <c r="D77" s="154"/>
      <c r="E77" s="154"/>
      <c r="F77" s="154"/>
      <c r="G77" s="154"/>
      <c r="H77" s="154"/>
      <c r="I77" s="155"/>
      <c r="J77" s="154"/>
      <c r="K77" s="154"/>
      <c r="L77" s="154"/>
      <c r="M77" s="154"/>
      <c r="N77" s="154"/>
      <c r="O77" s="154"/>
      <c r="P77" s="154"/>
      <c r="Q77" s="154"/>
      <c r="R77" s="154"/>
      <c r="S77" s="154"/>
      <c r="T77" s="154"/>
      <c r="U77" s="156"/>
      <c r="V77" s="703">
        <f>COUNTIFS('refer admin discharge'!AX15:AX2976,"Naltrexone - Injectable ")</f>
        <v>0</v>
      </c>
      <c r="W77" s="350"/>
      <c r="X77" s="350"/>
      <c r="Y77" s="350"/>
      <c r="Z77" s="351"/>
      <c r="AA77" s="9"/>
      <c r="AB77" s="9"/>
      <c r="AC77" s="9"/>
    </row>
    <row r="78" spans="1:59" ht="15.75" customHeight="1">
      <c r="A78" s="511" t="s">
        <v>611</v>
      </c>
      <c r="B78" s="350"/>
      <c r="C78" s="350"/>
      <c r="D78" s="350"/>
      <c r="E78" s="350"/>
      <c r="F78" s="350"/>
      <c r="G78" s="350"/>
      <c r="H78" s="350"/>
      <c r="I78" s="350"/>
      <c r="J78" s="350"/>
      <c r="K78" s="350"/>
      <c r="L78" s="350"/>
      <c r="M78" s="350"/>
      <c r="N78" s="350"/>
      <c r="O78" s="350"/>
      <c r="P78" s="350"/>
      <c r="Q78" s="350"/>
      <c r="R78" s="350"/>
      <c r="S78" s="350"/>
      <c r="T78" s="350"/>
      <c r="U78" s="351"/>
      <c r="V78" s="753">
        <f>COUNTIFS('refer admin discharge'!AX15:AX2976,"Not Receiving MAT ")</f>
        <v>0</v>
      </c>
      <c r="W78" s="350"/>
      <c r="X78" s="350"/>
      <c r="Y78" s="350"/>
      <c r="Z78" s="351"/>
      <c r="AA78" s="9"/>
      <c r="AB78" s="9"/>
      <c r="AC78" s="9"/>
    </row>
    <row r="79" spans="1:59" ht="15.75" customHeight="1">
      <c r="A79" s="511" t="s">
        <v>612</v>
      </c>
      <c r="B79" s="350"/>
      <c r="C79" s="350"/>
      <c r="D79" s="350"/>
      <c r="E79" s="350"/>
      <c r="F79" s="350"/>
      <c r="G79" s="350"/>
      <c r="H79" s="350"/>
      <c r="I79" s="350"/>
      <c r="J79" s="350"/>
      <c r="K79" s="350"/>
      <c r="L79" s="350"/>
      <c r="M79" s="350"/>
      <c r="N79" s="350"/>
      <c r="O79" s="350"/>
      <c r="P79" s="350"/>
      <c r="Q79" s="350"/>
      <c r="R79" s="350"/>
      <c r="S79" s="350"/>
      <c r="T79" s="350"/>
      <c r="U79" s="351"/>
      <c r="V79" s="753">
        <f>COUNTIFS('refer admin discharge'!AX15:AX2976,"Changed MAT (Specify in Notes) ")</f>
        <v>0</v>
      </c>
      <c r="W79" s="350"/>
      <c r="X79" s="350"/>
      <c r="Y79" s="350"/>
      <c r="Z79" s="351"/>
      <c r="AA79" s="9"/>
      <c r="AB79" s="9"/>
      <c r="AC79" s="9"/>
    </row>
    <row r="80" spans="1:59" ht="15.75" customHeight="1">
      <c r="A80" s="777" t="s">
        <v>574</v>
      </c>
      <c r="B80" s="378"/>
      <c r="C80" s="378"/>
      <c r="D80" s="378"/>
      <c r="E80" s="378"/>
      <c r="F80" s="378"/>
      <c r="G80" s="378"/>
      <c r="H80" s="378"/>
      <c r="I80" s="378"/>
      <c r="J80" s="378"/>
      <c r="K80" s="378"/>
      <c r="L80" s="378"/>
      <c r="M80" s="378"/>
      <c r="N80" s="378"/>
      <c r="O80" s="378"/>
      <c r="P80" s="378"/>
      <c r="Q80" s="378"/>
      <c r="R80" s="378"/>
      <c r="S80" s="378"/>
      <c r="T80" s="378"/>
      <c r="U80" s="495"/>
      <c r="V80" s="778">
        <f>SUM(V72:V79)</f>
        <v>0</v>
      </c>
      <c r="W80" s="378"/>
      <c r="X80" s="378"/>
      <c r="Y80" s="378"/>
      <c r="Z80" s="495"/>
      <c r="AA80" s="9"/>
      <c r="AB80" s="9"/>
      <c r="AC80" s="9"/>
    </row>
    <row r="81" spans="1:59" ht="15.75" customHeight="1">
      <c r="A81" s="779" t="s">
        <v>613</v>
      </c>
      <c r="B81" s="381"/>
      <c r="C81" s="381"/>
      <c r="D81" s="381"/>
      <c r="E81" s="381"/>
      <c r="F81" s="381"/>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c r="AZ81" s="381"/>
      <c r="BA81" s="381"/>
      <c r="BB81" s="381"/>
      <c r="BC81" s="381"/>
      <c r="BD81" s="381"/>
      <c r="BE81" s="381"/>
      <c r="BF81" s="381"/>
      <c r="BG81" s="428"/>
    </row>
    <row r="82" spans="1:59" ht="15.75" customHeight="1">
      <c r="A82" s="780" t="s">
        <v>614</v>
      </c>
      <c r="B82" s="350"/>
      <c r="C82" s="350"/>
      <c r="D82" s="350"/>
      <c r="E82" s="350"/>
      <c r="F82" s="350"/>
      <c r="G82" s="350"/>
      <c r="H82" s="350"/>
      <c r="I82" s="350"/>
      <c r="J82" s="350"/>
      <c r="K82" s="350"/>
      <c r="L82" s="350"/>
      <c r="M82" s="350"/>
      <c r="N82" s="350"/>
      <c r="O82" s="351"/>
      <c r="P82" s="105"/>
      <c r="Q82" s="105"/>
      <c r="R82" s="105"/>
      <c r="S82" s="105"/>
      <c r="T82" s="105"/>
      <c r="U82" s="157"/>
      <c r="V82" s="157"/>
      <c r="W82" s="157"/>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row>
    <row r="83" spans="1:59" ht="15.75" customHeight="1">
      <c r="A83" s="758" t="s">
        <v>615</v>
      </c>
      <c r="B83" s="350"/>
      <c r="C83" s="350"/>
      <c r="D83" s="350"/>
      <c r="E83" s="350"/>
      <c r="F83" s="350"/>
      <c r="G83" s="350"/>
      <c r="H83" s="350"/>
      <c r="I83" s="350"/>
      <c r="J83" s="351"/>
      <c r="K83" s="759">
        <f>COUNTIFS('refer admin discharge'!BF15:BF2976,"Referred to another PRSS ")</f>
        <v>0</v>
      </c>
      <c r="L83" s="350"/>
      <c r="M83" s="350"/>
      <c r="N83" s="350"/>
      <c r="O83" s="351"/>
      <c r="P83" s="105"/>
      <c r="Q83" s="105"/>
      <c r="R83" s="105"/>
      <c r="T83" s="157"/>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row>
    <row r="84" spans="1:59" ht="15.75" customHeight="1">
      <c r="A84" s="760" t="s">
        <v>616</v>
      </c>
      <c r="B84" s="350"/>
      <c r="C84" s="350"/>
      <c r="D84" s="350"/>
      <c r="E84" s="350"/>
      <c r="F84" s="350"/>
      <c r="G84" s="350"/>
      <c r="H84" s="350"/>
      <c r="I84" s="350"/>
      <c r="J84" s="351"/>
      <c r="K84" s="781">
        <f>COUNTIFS('refer admin discharge'!BF15:BF2976,"mutually agreed cessation of PRSS")</f>
        <v>0</v>
      </c>
      <c r="L84" s="350"/>
      <c r="M84" s="350"/>
      <c r="N84" s="350"/>
      <c r="O84" s="351"/>
      <c r="P84" s="105"/>
      <c r="Q84" s="105"/>
      <c r="R84" s="105"/>
      <c r="T84" s="157"/>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row>
    <row r="85" spans="1:59" ht="15.75" customHeight="1">
      <c r="A85" s="758" t="s">
        <v>617</v>
      </c>
      <c r="B85" s="350"/>
      <c r="C85" s="350"/>
      <c r="D85" s="350"/>
      <c r="E85" s="350"/>
      <c r="F85" s="350"/>
      <c r="G85" s="350"/>
      <c r="H85" s="350"/>
      <c r="I85" s="350"/>
      <c r="J85" s="351"/>
      <c r="K85" s="759">
        <f>COUNTIFS('refer admin discharge'!BF15:BF2976,"Withdrew from / DECLINED ")</f>
        <v>0</v>
      </c>
      <c r="L85" s="350"/>
      <c r="M85" s="350"/>
      <c r="N85" s="350"/>
      <c r="O85" s="351"/>
      <c r="P85" s="105"/>
      <c r="Q85" s="105"/>
      <c r="R85" s="105"/>
      <c r="T85" s="157"/>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row>
    <row r="86" spans="1:59" ht="15.75" customHeight="1">
      <c r="A86" s="760" t="s">
        <v>618</v>
      </c>
      <c r="B86" s="350"/>
      <c r="C86" s="350"/>
      <c r="D86" s="350"/>
      <c r="E86" s="350"/>
      <c r="F86" s="350"/>
      <c r="G86" s="350"/>
      <c r="H86" s="350"/>
      <c r="I86" s="350"/>
      <c r="J86" s="351"/>
      <c r="K86" s="759">
        <f>COUNTIFS('refer admin discharge'!BF15:BF2976,"Other (Specify in Notes) ")</f>
        <v>0</v>
      </c>
      <c r="L86" s="350"/>
      <c r="M86" s="350"/>
      <c r="N86" s="350"/>
      <c r="O86" s="351"/>
      <c r="P86" s="105"/>
      <c r="Q86" s="105"/>
      <c r="R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row>
    <row r="87" spans="1:59" ht="15.75" customHeight="1">
      <c r="A87" s="761" t="s">
        <v>574</v>
      </c>
      <c r="B87" s="350"/>
      <c r="C87" s="350"/>
      <c r="D87" s="350"/>
      <c r="E87" s="350"/>
      <c r="F87" s="350"/>
      <c r="G87" s="350"/>
      <c r="H87" s="350"/>
      <c r="I87" s="350"/>
      <c r="J87" s="351"/>
      <c r="K87" s="762">
        <f>SUM(K83:K86)</f>
        <v>0</v>
      </c>
      <c r="L87" s="350"/>
      <c r="M87" s="350"/>
      <c r="N87" s="350"/>
      <c r="O87" s="351"/>
      <c r="P87" s="105"/>
      <c r="Q87" s="105"/>
      <c r="R87" s="105"/>
      <c r="S87" s="105"/>
      <c r="T87" s="105"/>
      <c r="U87" s="105"/>
      <c r="V87" s="105"/>
      <c r="W87" s="105"/>
      <c r="X87" s="105"/>
      <c r="Y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row>
    <row r="88" spans="1:59" ht="15.75" customHeight="1">
      <c r="I88" s="108"/>
      <c r="P88" s="105"/>
      <c r="Q88" s="105"/>
      <c r="R88" s="105"/>
      <c r="S88" s="105"/>
      <c r="T88" s="105"/>
      <c r="U88" s="105"/>
      <c r="V88" s="105"/>
      <c r="W88" s="105"/>
      <c r="X88" s="105"/>
      <c r="Y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row>
    <row r="89" spans="1:59" ht="15.75" customHeight="1">
      <c r="A89" s="763" t="s">
        <v>619</v>
      </c>
      <c r="B89" s="381"/>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428"/>
    </row>
    <row r="90" spans="1:59" ht="45" customHeight="1">
      <c r="A90" s="764" t="s">
        <v>620</v>
      </c>
      <c r="B90" s="765"/>
      <c r="C90" s="765"/>
      <c r="D90" s="765"/>
      <c r="E90" s="765"/>
      <c r="F90" s="765"/>
      <c r="G90" s="765"/>
      <c r="H90" s="765"/>
      <c r="I90" s="765"/>
      <c r="J90" s="765"/>
      <c r="K90" s="765"/>
      <c r="L90" s="766"/>
      <c r="M90" s="767" t="s">
        <v>621</v>
      </c>
      <c r="N90" s="768"/>
      <c r="O90" s="768"/>
      <c r="P90" s="769"/>
      <c r="Q90" s="767" t="s">
        <v>622</v>
      </c>
      <c r="R90" s="768"/>
      <c r="S90" s="768"/>
      <c r="T90" s="769"/>
      <c r="U90" s="158"/>
      <c r="V90" s="158"/>
      <c r="W90" s="158"/>
      <c r="X90" s="158"/>
      <c r="Y90" s="158"/>
      <c r="Z90" s="158"/>
      <c r="AA90" s="158"/>
      <c r="AB90" s="158"/>
      <c r="AC90" s="158"/>
      <c r="AD90" s="158"/>
      <c r="AE90" s="158"/>
      <c r="AF90" s="158"/>
    </row>
    <row r="91" spans="1:59" ht="30" customHeight="1">
      <c r="A91" s="770" t="s">
        <v>623</v>
      </c>
      <c r="B91" s="350"/>
      <c r="C91" s="350"/>
      <c r="D91" s="350"/>
      <c r="E91" s="350"/>
      <c r="F91" s="350"/>
      <c r="G91" s="350"/>
      <c r="H91" s="350"/>
      <c r="I91" s="350"/>
      <c r="J91" s="350"/>
      <c r="K91" s="350"/>
      <c r="L91" s="370"/>
      <c r="M91" s="801">
        <f>SUM('NOMS PRE ADM POST DISC'!H14:H5000)</f>
        <v>0</v>
      </c>
      <c r="N91" s="350"/>
      <c r="O91" s="350"/>
      <c r="P91" s="351"/>
      <c r="Q91" s="802">
        <f>SUM('NOMS PRE ADM POST DISC'!X14:X5000)</f>
        <v>0</v>
      </c>
      <c r="R91" s="350"/>
      <c r="S91" s="350"/>
      <c r="T91" s="351"/>
      <c r="U91" s="159"/>
      <c r="V91" s="159"/>
      <c r="W91" s="159"/>
      <c r="X91" s="159"/>
      <c r="Y91" s="159"/>
      <c r="Z91" s="159"/>
      <c r="AA91" s="159"/>
      <c r="AB91" s="159"/>
      <c r="AC91" s="159"/>
      <c r="AD91" s="159"/>
      <c r="AE91" s="159"/>
      <c r="AF91" s="159"/>
      <c r="AH91" s="160"/>
      <c r="AI91" s="160"/>
      <c r="AJ91" s="160"/>
      <c r="AK91" s="160"/>
      <c r="AL91" s="93"/>
      <c r="AM91" s="93"/>
      <c r="AN91" s="161"/>
      <c r="AO91" s="161"/>
      <c r="AP91" s="93"/>
      <c r="AQ91" s="93"/>
      <c r="AR91" s="93"/>
      <c r="AS91" s="93"/>
      <c r="AT91" s="93"/>
      <c r="AU91" s="93"/>
      <c r="AV91" s="93"/>
      <c r="AW91" s="93"/>
      <c r="AX91" s="93"/>
      <c r="AY91" s="93"/>
    </row>
    <row r="92" spans="1:59" ht="30" customHeight="1">
      <c r="A92" s="803" t="s">
        <v>624</v>
      </c>
      <c r="B92" s="350"/>
      <c r="C92" s="350"/>
      <c r="D92" s="350"/>
      <c r="E92" s="350"/>
      <c r="F92" s="350"/>
      <c r="G92" s="350"/>
      <c r="H92" s="350"/>
      <c r="I92" s="350"/>
      <c r="J92" s="350"/>
      <c r="K92" s="350"/>
      <c r="L92" s="370"/>
      <c r="M92" s="804">
        <f>SUM('NOMS PRE ADM POST DISC'!J14:J5000)</f>
        <v>0</v>
      </c>
      <c r="N92" s="350"/>
      <c r="O92" s="350"/>
      <c r="P92" s="351"/>
      <c r="Q92" s="805">
        <f>SUM('NOMS PRE ADM POST DISC'!Z14:Z5000)</f>
        <v>0</v>
      </c>
      <c r="R92" s="350"/>
      <c r="S92" s="350"/>
      <c r="T92" s="351"/>
      <c r="U92" s="162"/>
      <c r="V92" s="162"/>
      <c r="W92" s="162"/>
      <c r="X92" s="162"/>
      <c r="Y92" s="162"/>
      <c r="Z92" s="162"/>
      <c r="AA92" s="162"/>
      <c r="AB92" s="162"/>
      <c r="AC92" s="162"/>
      <c r="AD92" s="162"/>
      <c r="AE92" s="162"/>
      <c r="AF92" s="162"/>
    </row>
    <row r="93" spans="1:59" ht="30" customHeight="1">
      <c r="A93" s="770" t="s">
        <v>625</v>
      </c>
      <c r="B93" s="350"/>
      <c r="C93" s="350"/>
      <c r="D93" s="350"/>
      <c r="E93" s="350"/>
      <c r="F93" s="350"/>
      <c r="G93" s="350"/>
      <c r="H93" s="350"/>
      <c r="I93" s="350"/>
      <c r="J93" s="350"/>
      <c r="K93" s="350"/>
      <c r="L93" s="370"/>
      <c r="M93" s="801">
        <f>SUM('NOMS PRE ADM POST DISC'!L14:L5000)</f>
        <v>0</v>
      </c>
      <c r="N93" s="350"/>
      <c r="O93" s="350"/>
      <c r="P93" s="351"/>
      <c r="Q93" s="802">
        <f>SUM('NOMS PRE ADM POST DISC'!AB14:AB5000)</f>
        <v>0</v>
      </c>
      <c r="R93" s="350"/>
      <c r="S93" s="350"/>
      <c r="T93" s="351"/>
      <c r="U93" s="159"/>
      <c r="V93" s="159"/>
      <c r="W93" s="159"/>
      <c r="X93" s="159"/>
      <c r="Y93" s="159"/>
      <c r="Z93" s="159"/>
      <c r="AA93" s="159"/>
      <c r="AB93" s="159"/>
      <c r="AC93" s="159"/>
      <c r="AD93" s="159"/>
      <c r="AE93" s="159"/>
      <c r="AF93" s="159"/>
      <c r="AH93" s="160"/>
      <c r="AI93" s="160"/>
      <c r="AJ93" s="160"/>
      <c r="AK93" s="160"/>
      <c r="AL93" s="160"/>
      <c r="AM93" s="160"/>
      <c r="AN93" s="160"/>
      <c r="AO93" s="160"/>
      <c r="AP93" s="160"/>
    </row>
    <row r="94" spans="1:59" ht="30" customHeight="1">
      <c r="A94" s="771" t="s">
        <v>626</v>
      </c>
      <c r="B94" s="350"/>
      <c r="C94" s="350"/>
      <c r="D94" s="350"/>
      <c r="E94" s="350"/>
      <c r="F94" s="350"/>
      <c r="G94" s="350"/>
      <c r="H94" s="350"/>
      <c r="I94" s="350"/>
      <c r="J94" s="350"/>
      <c r="K94" s="350"/>
      <c r="L94" s="370"/>
      <c r="M94" s="772">
        <f>SUM('NOMS PRE ADM POST DISC'!N14:N5000)</f>
        <v>0</v>
      </c>
      <c r="N94" s="350"/>
      <c r="O94" s="350"/>
      <c r="P94" s="351"/>
      <c r="Q94" s="773">
        <f>SUM('NOMS PRE ADM POST DISC'!AD14:AD5000)</f>
        <v>0</v>
      </c>
      <c r="R94" s="350"/>
      <c r="S94" s="350"/>
      <c r="T94" s="351"/>
      <c r="U94" s="159"/>
      <c r="V94" s="159"/>
      <c r="W94" s="159"/>
      <c r="X94" s="159"/>
      <c r="Y94" s="159"/>
      <c r="Z94" s="159"/>
      <c r="AA94" s="159"/>
      <c r="AB94" s="159"/>
      <c r="AC94" s="159"/>
      <c r="AD94" s="159"/>
      <c r="AE94" s="159"/>
      <c r="AF94" s="159"/>
    </row>
    <row r="95" spans="1:59" ht="30" customHeight="1">
      <c r="A95" s="774" t="s">
        <v>627</v>
      </c>
      <c r="B95" s="350"/>
      <c r="C95" s="350"/>
      <c r="D95" s="350"/>
      <c r="E95" s="350"/>
      <c r="F95" s="350"/>
      <c r="G95" s="350"/>
      <c r="H95" s="350"/>
      <c r="I95" s="350"/>
      <c r="J95" s="350"/>
      <c r="K95" s="350"/>
      <c r="L95" s="370"/>
      <c r="M95" s="775">
        <f>SUM('NOMS PRE ADM POST DISC'!P14:P5000)</f>
        <v>0</v>
      </c>
      <c r="N95" s="350"/>
      <c r="O95" s="350"/>
      <c r="P95" s="351"/>
      <c r="Q95" s="776">
        <f>SUM('NOMS PRE ADM POST DISC'!AF14:AF5000)</f>
        <v>0</v>
      </c>
      <c r="R95" s="350"/>
      <c r="S95" s="350"/>
      <c r="T95" s="351"/>
      <c r="U95" s="106"/>
      <c r="V95" s="106"/>
      <c r="W95" s="106"/>
      <c r="X95" s="106"/>
      <c r="Y95" s="106"/>
      <c r="Z95" s="106"/>
      <c r="AA95" s="106"/>
      <c r="AB95" s="106"/>
      <c r="AC95" s="106"/>
      <c r="AD95" s="106"/>
      <c r="AE95" s="106"/>
      <c r="AF95" s="106"/>
    </row>
    <row r="96" spans="1:59" ht="30" customHeight="1">
      <c r="A96" s="771" t="s">
        <v>628</v>
      </c>
      <c r="B96" s="350"/>
      <c r="C96" s="350"/>
      <c r="D96" s="350"/>
      <c r="E96" s="350"/>
      <c r="F96" s="350"/>
      <c r="G96" s="350"/>
      <c r="H96" s="350"/>
      <c r="I96" s="350"/>
      <c r="J96" s="350"/>
      <c r="K96" s="350"/>
      <c r="L96" s="370"/>
      <c r="M96" s="772">
        <f>SUM('NOMS PRE ADM POST DISC'!R14:R5000)</f>
        <v>0</v>
      </c>
      <c r="N96" s="350"/>
      <c r="O96" s="350"/>
      <c r="P96" s="351"/>
      <c r="Q96" s="773">
        <f>SUM('NOMS PRE ADM POST DISC'!AH14:AH5000)</f>
        <v>0</v>
      </c>
      <c r="R96" s="350"/>
      <c r="S96" s="350"/>
      <c r="T96" s="351"/>
      <c r="U96" s="159"/>
      <c r="V96" s="159"/>
      <c r="W96" s="159"/>
      <c r="X96" s="159"/>
      <c r="Y96" s="159"/>
      <c r="Z96" s="159"/>
      <c r="AA96" s="159"/>
      <c r="AB96" s="159"/>
      <c r="AC96" s="159"/>
      <c r="AD96" s="159"/>
      <c r="AE96" s="159"/>
      <c r="AF96" s="159"/>
    </row>
    <row r="97" spans="1:100" ht="30" customHeight="1">
      <c r="A97" s="774" t="s">
        <v>629</v>
      </c>
      <c r="B97" s="350"/>
      <c r="C97" s="350"/>
      <c r="D97" s="350"/>
      <c r="E97" s="350"/>
      <c r="F97" s="350"/>
      <c r="G97" s="350"/>
      <c r="H97" s="350"/>
      <c r="I97" s="350"/>
      <c r="J97" s="350"/>
      <c r="K97" s="350"/>
      <c r="L97" s="370"/>
      <c r="M97" s="775">
        <f>SUM('NOMS PRE ADM POST DISC'!L14:L5000)</f>
        <v>0</v>
      </c>
      <c r="N97" s="350"/>
      <c r="O97" s="350"/>
      <c r="P97" s="351"/>
      <c r="Q97" s="776">
        <f>SUM('NOMS PRE ADM POST DISC'!AJ14:AJ5000)</f>
        <v>0</v>
      </c>
      <c r="R97" s="350"/>
      <c r="S97" s="350"/>
      <c r="T97" s="351"/>
      <c r="U97" s="106"/>
      <c r="V97" s="106"/>
      <c r="W97" s="106"/>
      <c r="X97" s="106"/>
      <c r="Y97" s="106"/>
      <c r="Z97" s="106"/>
      <c r="AA97" s="106"/>
      <c r="AB97" s="106"/>
      <c r="AC97" s="106"/>
      <c r="AD97" s="106"/>
      <c r="AE97" s="106"/>
      <c r="AF97" s="106"/>
    </row>
    <row r="98" spans="1:100" ht="15.75" customHeight="1">
      <c r="I98" s="108"/>
    </row>
    <row r="99" spans="1:100" ht="15.75" customHeight="1">
      <c r="I99" s="108"/>
    </row>
    <row r="100" spans="1:100" ht="30" customHeight="1">
      <c r="A100" s="783" t="s">
        <v>630</v>
      </c>
      <c r="B100" s="350"/>
      <c r="C100" s="350"/>
      <c r="D100" s="350"/>
      <c r="E100" s="350"/>
      <c r="F100" s="350"/>
      <c r="G100" s="350"/>
      <c r="H100" s="351"/>
      <c r="I100" s="783" t="s">
        <v>631</v>
      </c>
      <c r="J100" s="350"/>
      <c r="K100" s="350"/>
      <c r="L100" s="350"/>
      <c r="M100" s="350"/>
      <c r="N100" s="351"/>
      <c r="O100" s="783" t="s">
        <v>632</v>
      </c>
      <c r="P100" s="350"/>
      <c r="Q100" s="350"/>
      <c r="R100" s="350"/>
      <c r="S100" s="350"/>
      <c r="T100" s="351"/>
      <c r="U100" s="783" t="s">
        <v>633</v>
      </c>
      <c r="V100" s="350"/>
      <c r="W100" s="350"/>
      <c r="X100" s="350"/>
      <c r="Y100" s="350"/>
      <c r="Z100" s="351"/>
      <c r="AA100" s="783" t="s">
        <v>634</v>
      </c>
      <c r="AB100" s="350"/>
      <c r="AC100" s="350"/>
      <c r="AD100" s="350"/>
      <c r="AE100" s="350"/>
      <c r="AF100" s="351"/>
      <c r="AG100" s="783" t="s">
        <v>635</v>
      </c>
      <c r="AH100" s="350"/>
      <c r="AI100" s="350"/>
      <c r="AJ100" s="350"/>
      <c r="AK100" s="350"/>
      <c r="AL100" s="351"/>
      <c r="AM100" s="783" t="s">
        <v>636</v>
      </c>
      <c r="AN100" s="350"/>
      <c r="AO100" s="350"/>
      <c r="AP100" s="350"/>
      <c r="AQ100" s="350"/>
      <c r="AR100" s="351"/>
      <c r="AS100" s="783" t="s">
        <v>637</v>
      </c>
      <c r="AT100" s="350"/>
      <c r="AU100" s="350"/>
      <c r="AV100" s="350"/>
      <c r="AW100" s="350"/>
      <c r="AX100" s="351"/>
      <c r="AY100" s="783" t="s">
        <v>638</v>
      </c>
      <c r="AZ100" s="350"/>
      <c r="BA100" s="350"/>
      <c r="BB100" s="350"/>
      <c r="BC100" s="350"/>
      <c r="BD100" s="351"/>
      <c r="BE100" s="783" t="s">
        <v>639</v>
      </c>
      <c r="BF100" s="350"/>
      <c r="BG100" s="350"/>
      <c r="BH100" s="350"/>
      <c r="BI100" s="350"/>
      <c r="BJ100" s="351"/>
      <c r="BK100" s="783" t="s">
        <v>640</v>
      </c>
      <c r="BL100" s="350"/>
      <c r="BM100" s="350"/>
      <c r="BN100" s="350"/>
      <c r="BO100" s="350"/>
      <c r="BP100" s="351"/>
      <c r="BQ100" s="783" t="s">
        <v>641</v>
      </c>
      <c r="BR100" s="350"/>
      <c r="BS100" s="350"/>
      <c r="BT100" s="350"/>
      <c r="BU100" s="350"/>
      <c r="BV100" s="351"/>
      <c r="BW100" s="783" t="s">
        <v>642</v>
      </c>
      <c r="BX100" s="350"/>
      <c r="BY100" s="350"/>
      <c r="BZ100" s="350"/>
      <c r="CA100" s="350"/>
      <c r="CB100" s="351"/>
    </row>
    <row r="101" spans="1:100" ht="15.75" customHeight="1">
      <c r="A101" s="511"/>
      <c r="B101" s="350"/>
      <c r="C101" s="350"/>
      <c r="D101" s="350"/>
      <c r="E101" s="350"/>
      <c r="F101" s="350"/>
      <c r="G101" s="350"/>
      <c r="H101" s="351"/>
      <c r="I101" s="751">
        <f>'GRANTEE SET UP INFO &amp; DATE '!C11</f>
        <v>0</v>
      </c>
      <c r="J101" s="350"/>
      <c r="K101" s="350"/>
      <c r="L101" s="350"/>
      <c r="M101" s="350"/>
      <c r="N101" s="351"/>
      <c r="O101" s="751">
        <f>'GRANTEE SET UP INFO &amp; DATE '!C12</f>
        <v>0</v>
      </c>
      <c r="P101" s="350"/>
      <c r="Q101" s="350"/>
      <c r="R101" s="350"/>
      <c r="S101" s="350"/>
      <c r="T101" s="351"/>
      <c r="U101" s="751">
        <f>'GRANTEE SET UP INFO &amp; DATE '!C13</f>
        <v>0</v>
      </c>
      <c r="V101" s="350"/>
      <c r="W101" s="350"/>
      <c r="X101" s="350"/>
      <c r="Y101" s="350"/>
      <c r="Z101" s="351"/>
      <c r="AA101" s="751">
        <f>'GRANTEE SET UP INFO &amp; DATE '!C14</f>
        <v>0</v>
      </c>
      <c r="AB101" s="350"/>
      <c r="AC101" s="350"/>
      <c r="AD101" s="350"/>
      <c r="AE101" s="350"/>
      <c r="AF101" s="351"/>
      <c r="AG101" s="751">
        <f>'GRANTEE SET UP INFO &amp; DATE '!C15</f>
        <v>0</v>
      </c>
      <c r="AH101" s="350"/>
      <c r="AI101" s="350"/>
      <c r="AJ101" s="350"/>
      <c r="AK101" s="350"/>
      <c r="AL101" s="351"/>
      <c r="AM101" s="751">
        <f>'GRANTEE SET UP INFO &amp; DATE '!C16</f>
        <v>0</v>
      </c>
      <c r="AN101" s="350"/>
      <c r="AO101" s="350"/>
      <c r="AP101" s="350"/>
      <c r="AQ101" s="350"/>
      <c r="AR101" s="351"/>
      <c r="AS101" s="751">
        <f>'GRANTEE SET UP INFO &amp; DATE '!C17</f>
        <v>0</v>
      </c>
      <c r="AT101" s="350"/>
      <c r="AU101" s="350"/>
      <c r="AV101" s="350"/>
      <c r="AW101" s="350"/>
      <c r="AX101" s="351"/>
      <c r="AY101" s="751">
        <f>'GRANTEE SET UP INFO &amp; DATE '!C18</f>
        <v>0</v>
      </c>
      <c r="AZ101" s="350"/>
      <c r="BA101" s="350"/>
      <c r="BB101" s="350"/>
      <c r="BC101" s="350"/>
      <c r="BD101" s="351"/>
      <c r="BE101" s="751">
        <f>'GRANTEE SET UP INFO &amp; DATE '!W11</f>
        <v>0</v>
      </c>
      <c r="BF101" s="350"/>
      <c r="BG101" s="350"/>
      <c r="BH101" s="350"/>
      <c r="BI101" s="350"/>
      <c r="BJ101" s="351"/>
      <c r="BK101" s="751">
        <f>'GRANTEE SET UP INFO &amp; DATE '!W12</f>
        <v>0</v>
      </c>
      <c r="BL101" s="350"/>
      <c r="BM101" s="350"/>
      <c r="BN101" s="350"/>
      <c r="BO101" s="350"/>
      <c r="BP101" s="351"/>
      <c r="BQ101" s="752">
        <f>'GRANTEE SET UP INFO &amp; DATE '!W13</f>
        <v>0</v>
      </c>
      <c r="BR101" s="350"/>
      <c r="BS101" s="350"/>
      <c r="BT101" s="350"/>
      <c r="BU101" s="350"/>
      <c r="BV101" s="351"/>
      <c r="BW101" s="752">
        <f>'GRANTEE SET UP INFO &amp; DATE '!W14</f>
        <v>0</v>
      </c>
      <c r="BX101" s="350"/>
      <c r="BY101" s="350"/>
      <c r="BZ101" s="350"/>
      <c r="CA101" s="350"/>
      <c r="CB101" s="351"/>
    </row>
    <row r="102" spans="1:100" ht="30" customHeight="1">
      <c r="A102" s="757" t="s">
        <v>643</v>
      </c>
      <c r="B102" s="350"/>
      <c r="C102" s="350"/>
      <c r="D102" s="350"/>
      <c r="E102" s="350"/>
      <c r="F102" s="350"/>
      <c r="G102" s="350"/>
      <c r="H102" s="351"/>
      <c r="I102" s="737">
        <f>COUNTIFS('refer admin discharge'!L15:L2995,"b")</f>
        <v>0</v>
      </c>
      <c r="J102" s="350"/>
      <c r="K102" s="350"/>
      <c r="L102" s="350"/>
      <c r="M102" s="350"/>
      <c r="N102" s="351"/>
      <c r="O102" s="737">
        <f>COUNTIFS('refer admin discharge'!L15:L2995,"b")</f>
        <v>0</v>
      </c>
      <c r="P102" s="350"/>
      <c r="Q102" s="350"/>
      <c r="R102" s="350"/>
      <c r="S102" s="350"/>
      <c r="T102" s="351"/>
      <c r="U102" s="737">
        <f>COUNTIFS('refer admin discharge'!L15:L2995,"a")</f>
        <v>0</v>
      </c>
      <c r="V102" s="350"/>
      <c r="W102" s="350"/>
      <c r="X102" s="350"/>
      <c r="Y102" s="350"/>
      <c r="Z102" s="351"/>
      <c r="AA102" s="737">
        <f>COUNTIFS('refer admin discharge'!L15:L2995,"a")</f>
        <v>0</v>
      </c>
      <c r="AB102" s="350"/>
      <c r="AC102" s="350"/>
      <c r="AD102" s="350"/>
      <c r="AE102" s="350"/>
      <c r="AF102" s="351"/>
      <c r="AG102" s="737">
        <f>COUNTIFS('refer admin discharge'!L15:L2995,"a")</f>
        <v>0</v>
      </c>
      <c r="AH102" s="350"/>
      <c r="AI102" s="350"/>
      <c r="AJ102" s="350"/>
      <c r="AK102" s="350"/>
      <c r="AL102" s="351"/>
      <c r="AM102" s="737">
        <f>COUNTIFS('refer admin discharge'!L15:L2995,"a")</f>
        <v>0</v>
      </c>
      <c r="AN102" s="350"/>
      <c r="AO102" s="350"/>
      <c r="AP102" s="350"/>
      <c r="AQ102" s="350"/>
      <c r="AR102" s="351"/>
      <c r="AS102" s="737">
        <f>COUNTIFS('refer admin discharge'!L15:L2995,"a")</f>
        <v>0</v>
      </c>
      <c r="AT102" s="350"/>
      <c r="AU102" s="350"/>
      <c r="AV102" s="350"/>
      <c r="AW102" s="350"/>
      <c r="AX102" s="351"/>
      <c r="AY102" s="737">
        <f>COUNTIFS('refer admin discharge'!L15:L2995,"a")</f>
        <v>0</v>
      </c>
      <c r="AZ102" s="350"/>
      <c r="BA102" s="350"/>
      <c r="BB102" s="350"/>
      <c r="BC102" s="350"/>
      <c r="BD102" s="351"/>
      <c r="BE102" s="737">
        <f>COUNTIFS('refer admin discharge'!L15:L2995,"a")</f>
        <v>0</v>
      </c>
      <c r="BF102" s="350"/>
      <c r="BG102" s="350"/>
      <c r="BH102" s="350"/>
      <c r="BI102" s="350"/>
      <c r="BJ102" s="351"/>
      <c r="BK102" s="737">
        <f>COUNTIFS('refer admin discharge'!L15:L2995,"a")</f>
        <v>0</v>
      </c>
      <c r="BL102" s="350"/>
      <c r="BM102" s="350"/>
      <c r="BN102" s="350"/>
      <c r="BO102" s="350"/>
      <c r="BP102" s="351"/>
      <c r="BQ102" s="737">
        <f>COUNTIFS('refer admin discharge'!L15:L2995,"a")</f>
        <v>0</v>
      </c>
      <c r="BR102" s="350"/>
      <c r="BS102" s="350"/>
      <c r="BT102" s="350"/>
      <c r="BU102" s="350"/>
      <c r="BV102" s="351"/>
      <c r="BW102" s="737">
        <f>COUNTIFS('refer admin discharge'!L15:L2995,"a")</f>
        <v>0</v>
      </c>
      <c r="BX102" s="350"/>
      <c r="BY102" s="350"/>
      <c r="BZ102" s="350"/>
      <c r="CA102" s="350"/>
      <c r="CB102" s="351"/>
    </row>
    <row r="103" spans="1:100" ht="15.75" customHeight="1">
      <c r="A103" s="808" t="s">
        <v>644</v>
      </c>
      <c r="B103" s="350"/>
      <c r="C103" s="350"/>
      <c r="D103" s="350"/>
      <c r="E103" s="350"/>
      <c r="F103" s="350"/>
      <c r="G103" s="350"/>
      <c r="H103" s="351"/>
      <c r="I103" s="752">
        <f>SUM(I101:I102)</f>
        <v>0</v>
      </c>
      <c r="J103" s="350"/>
      <c r="K103" s="350"/>
      <c r="L103" s="350"/>
      <c r="M103" s="350"/>
      <c r="N103" s="351"/>
      <c r="O103" s="806">
        <f>SUM(O101:O102)</f>
        <v>0</v>
      </c>
      <c r="P103" s="350"/>
      <c r="Q103" s="350"/>
      <c r="R103" s="350"/>
      <c r="S103" s="350"/>
      <c r="T103" s="351"/>
      <c r="U103" s="806">
        <f>SUM(U101:U102)</f>
        <v>0</v>
      </c>
      <c r="V103" s="350"/>
      <c r="W103" s="350"/>
      <c r="X103" s="350"/>
      <c r="Y103" s="350"/>
      <c r="Z103" s="351"/>
      <c r="AA103" s="751">
        <f>SUM(AA101:AA102)</f>
        <v>0</v>
      </c>
      <c r="AB103" s="350"/>
      <c r="AC103" s="350"/>
      <c r="AD103" s="350"/>
      <c r="AE103" s="350"/>
      <c r="AF103" s="351"/>
      <c r="AG103" s="751">
        <f>SUM(AG101:AG102)</f>
        <v>0</v>
      </c>
      <c r="AH103" s="350"/>
      <c r="AI103" s="350"/>
      <c r="AJ103" s="350"/>
      <c r="AK103" s="350"/>
      <c r="AL103" s="351"/>
      <c r="AM103" s="751">
        <f>SUM(AM101:AM102)</f>
        <v>0</v>
      </c>
      <c r="AN103" s="350"/>
      <c r="AO103" s="350"/>
      <c r="AP103" s="350"/>
      <c r="AQ103" s="350"/>
      <c r="AR103" s="351"/>
      <c r="AS103" s="751">
        <f>SUM(AS101:AS102)</f>
        <v>0</v>
      </c>
      <c r="AT103" s="350"/>
      <c r="AU103" s="350"/>
      <c r="AV103" s="350"/>
      <c r="AW103" s="350"/>
      <c r="AX103" s="351"/>
      <c r="AY103" s="751">
        <f>SUM(AY101:AY102)</f>
        <v>0</v>
      </c>
      <c r="AZ103" s="350"/>
      <c r="BA103" s="350"/>
      <c r="BB103" s="350"/>
      <c r="BC103" s="350"/>
      <c r="BD103" s="351"/>
      <c r="BE103" s="751">
        <f>SUM(BE101:BE102)</f>
        <v>0</v>
      </c>
      <c r="BF103" s="350"/>
      <c r="BG103" s="350"/>
      <c r="BH103" s="350"/>
      <c r="BI103" s="350"/>
      <c r="BJ103" s="351"/>
      <c r="BK103" s="752">
        <f>SUM(BK101:BK102)</f>
        <v>0</v>
      </c>
      <c r="BL103" s="350"/>
      <c r="BM103" s="350"/>
      <c r="BN103" s="350"/>
      <c r="BO103" s="350"/>
      <c r="BP103" s="351"/>
      <c r="BQ103" s="751">
        <f>SUM(BQ101:BQ102)</f>
        <v>0</v>
      </c>
      <c r="BR103" s="350"/>
      <c r="BS103" s="350"/>
      <c r="BT103" s="350"/>
      <c r="BU103" s="350"/>
      <c r="BV103" s="351"/>
      <c r="BW103" s="751">
        <f>SUM(BW101:BW102)</f>
        <v>0</v>
      </c>
      <c r="BX103" s="350"/>
      <c r="BY103" s="350"/>
      <c r="BZ103" s="350"/>
      <c r="CA103" s="350"/>
      <c r="CB103" s="351"/>
    </row>
    <row r="104" spans="1:100" ht="15.75" customHeight="1">
      <c r="I104" s="108"/>
      <c r="L104" s="163" t="s">
        <v>645</v>
      </c>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100" ht="15.75" customHeight="1">
      <c r="I105" s="108"/>
    </row>
    <row r="106" spans="1:100" ht="15.75" customHeight="1">
      <c r="I106" s="108"/>
    </row>
    <row r="107" spans="1:100" ht="15.75" customHeight="1">
      <c r="I107" s="108"/>
    </row>
    <row r="108" spans="1:100" ht="15.75" customHeight="1">
      <c r="A108" s="807" t="s">
        <v>646</v>
      </c>
      <c r="B108" s="381"/>
      <c r="C108" s="381"/>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c r="AW108" s="381"/>
      <c r="AX108" s="381"/>
      <c r="AY108" s="381"/>
      <c r="AZ108" s="381"/>
      <c r="BA108" s="381"/>
      <c r="BB108" s="381"/>
      <c r="BC108" s="381"/>
      <c r="BD108" s="381"/>
      <c r="BE108" s="381"/>
      <c r="BF108" s="381"/>
      <c r="BG108" s="381"/>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428"/>
    </row>
    <row r="109" spans="1:100" ht="15.75" customHeight="1">
      <c r="I109" s="108"/>
    </row>
    <row r="110" spans="1:100" ht="15.75" customHeight="1">
      <c r="A110" s="511" t="s">
        <v>647</v>
      </c>
      <c r="B110" s="350"/>
      <c r="C110" s="350"/>
      <c r="D110" s="350"/>
      <c r="E110" s="350"/>
      <c r="F110" s="350"/>
      <c r="G110" s="350"/>
      <c r="H110" s="350"/>
      <c r="I110" s="350"/>
      <c r="J110" s="350"/>
      <c r="K110" s="350"/>
      <c r="L110" s="350"/>
      <c r="M110" s="350"/>
      <c r="N110" s="350"/>
      <c r="O110" s="350"/>
      <c r="P110" s="350"/>
      <c r="Q110" s="350"/>
      <c r="R110" s="350"/>
      <c r="S110" s="350"/>
      <c r="T110" s="350"/>
      <c r="U110" s="350"/>
      <c r="V110" s="351"/>
      <c r="W110" s="753" t="s">
        <v>648</v>
      </c>
      <c r="X110" s="350"/>
      <c r="Y110" s="350"/>
      <c r="Z110" s="350"/>
      <c r="AA110" s="350"/>
      <c r="AB110" s="350"/>
      <c r="AC110" s="350"/>
      <c r="AD110" s="350"/>
      <c r="AE110" s="351"/>
      <c r="AF110" s="753" t="s">
        <v>649</v>
      </c>
      <c r="AG110" s="350"/>
      <c r="AH110" s="350"/>
      <c r="AI110" s="350"/>
      <c r="AJ110" s="350"/>
      <c r="AK110" s="350"/>
      <c r="AL110" s="350"/>
      <c r="AM110" s="350"/>
      <c r="AN110" s="350"/>
      <c r="AO110" s="350"/>
      <c r="AP110" s="350"/>
      <c r="AQ110" s="350"/>
      <c r="AR110" s="351"/>
      <c r="AS110" s="753" t="s">
        <v>650</v>
      </c>
      <c r="AT110" s="350"/>
      <c r="AU110" s="350"/>
      <c r="AV110" s="350"/>
      <c r="AW110" s="350"/>
      <c r="AX110" s="350"/>
      <c r="AY110" s="350"/>
      <c r="AZ110" s="350"/>
      <c r="BA110" s="350"/>
      <c r="BB110" s="350"/>
      <c r="BC110" s="350"/>
      <c r="BD110" s="350"/>
      <c r="BE110" s="350"/>
      <c r="BF110" s="350"/>
      <c r="BG110" s="351"/>
    </row>
    <row r="111" spans="1:100" ht="15.75" customHeight="1">
      <c r="A111" s="412" t="s">
        <v>651</v>
      </c>
      <c r="B111" s="350"/>
      <c r="C111" s="350"/>
      <c r="D111" s="350"/>
      <c r="E111" s="350"/>
      <c r="F111" s="350"/>
      <c r="G111" s="350"/>
      <c r="H111" s="350"/>
      <c r="I111" s="350"/>
      <c r="J111" s="350"/>
      <c r="K111" s="350"/>
      <c r="L111" s="350"/>
      <c r="M111" s="350"/>
      <c r="N111" s="350"/>
      <c r="O111" s="350"/>
      <c r="P111" s="350"/>
      <c r="Q111" s="350"/>
      <c r="R111" s="350"/>
      <c r="S111" s="350"/>
      <c r="T111" s="350"/>
      <c r="U111" s="350"/>
      <c r="V111" s="351"/>
      <c r="W111" s="737">
        <f>COUNTIFS(TRAINING!D15:D3000,"Mandatory")</f>
        <v>0</v>
      </c>
      <c r="X111" s="350"/>
      <c r="Y111" s="350"/>
      <c r="Z111" s="350"/>
      <c r="AA111" s="350"/>
      <c r="AB111" s="350"/>
      <c r="AC111" s="350"/>
      <c r="AD111" s="350"/>
      <c r="AE111" s="351"/>
      <c r="AF111" s="737">
        <f>COUNTIFS(TRAINING!D15:D3000,"Mandatory", TRAINING!AK15:AK3000,"YES")</f>
        <v>0</v>
      </c>
      <c r="AG111" s="350"/>
      <c r="AH111" s="350"/>
      <c r="AI111" s="350"/>
      <c r="AJ111" s="350"/>
      <c r="AK111" s="350"/>
      <c r="AL111" s="350"/>
      <c r="AM111" s="350"/>
      <c r="AN111" s="350"/>
      <c r="AO111" s="350"/>
      <c r="AP111" s="350"/>
      <c r="AQ111" s="350"/>
      <c r="AR111" s="351"/>
      <c r="AS111" s="737">
        <f>COUNTIFS(TRAINING!D15:D3000,"Mandatory", TRAINING!AH15:AH3000,"YES")</f>
        <v>0</v>
      </c>
      <c r="AT111" s="350"/>
      <c r="AU111" s="350"/>
      <c r="AV111" s="350"/>
      <c r="AW111" s="350"/>
      <c r="AX111" s="350"/>
      <c r="AY111" s="350"/>
      <c r="AZ111" s="350"/>
      <c r="BA111" s="350"/>
      <c r="BB111" s="350"/>
      <c r="BC111" s="350"/>
      <c r="BD111" s="350"/>
      <c r="BE111" s="350"/>
      <c r="BF111" s="350"/>
      <c r="BG111" s="351"/>
    </row>
    <row r="112" spans="1:100" ht="15.75" customHeight="1">
      <c r="A112" s="412" t="s">
        <v>652</v>
      </c>
      <c r="B112" s="350"/>
      <c r="C112" s="350"/>
      <c r="D112" s="350"/>
      <c r="E112" s="350"/>
      <c r="F112" s="350"/>
      <c r="G112" s="350"/>
      <c r="H112" s="350"/>
      <c r="I112" s="350"/>
      <c r="J112" s="350"/>
      <c r="K112" s="350"/>
      <c r="L112" s="350"/>
      <c r="M112" s="350"/>
      <c r="N112" s="350"/>
      <c r="O112" s="350"/>
      <c r="P112" s="350"/>
      <c r="Q112" s="350"/>
      <c r="R112" s="350"/>
      <c r="S112" s="350"/>
      <c r="T112" s="350"/>
      <c r="U112" s="350"/>
      <c r="V112" s="351"/>
      <c r="W112" s="737">
        <f>COUNTIFS(TRAINING!D15:D3000,"Evidence Based Training (EBT)")</f>
        <v>0</v>
      </c>
      <c r="X112" s="350"/>
      <c r="Y112" s="350"/>
      <c r="Z112" s="350"/>
      <c r="AA112" s="350"/>
      <c r="AB112" s="350"/>
      <c r="AC112" s="350"/>
      <c r="AD112" s="350"/>
      <c r="AE112" s="351"/>
      <c r="AF112" s="737">
        <f>COUNTIFS(TRAINING!D15:D3000,"Evidence Based Training (EBT)",TRAINING!AK15:AK3000,"YES")</f>
        <v>0</v>
      </c>
      <c r="AG112" s="350"/>
      <c r="AH112" s="350"/>
      <c r="AI112" s="350"/>
      <c r="AJ112" s="350"/>
      <c r="AK112" s="350"/>
      <c r="AL112" s="350"/>
      <c r="AM112" s="350"/>
      <c r="AN112" s="350"/>
      <c r="AO112" s="350"/>
      <c r="AP112" s="350"/>
      <c r="AQ112" s="350"/>
      <c r="AR112" s="351"/>
      <c r="AS112" s="737">
        <f>COUNTIFS(TRAINING!D15:D3000,"Evidence Based Training (EBT)", TRAINING!AH15:AH3000,"YES")</f>
        <v>0</v>
      </c>
      <c r="AT112" s="350"/>
      <c r="AU112" s="350"/>
      <c r="AV112" s="350"/>
      <c r="AW112" s="350"/>
      <c r="AX112" s="350"/>
      <c r="AY112" s="350"/>
      <c r="AZ112" s="350"/>
      <c r="BA112" s="350"/>
      <c r="BB112" s="350"/>
      <c r="BC112" s="350"/>
      <c r="BD112" s="350"/>
      <c r="BE112" s="350"/>
      <c r="BF112" s="350"/>
      <c r="BG112" s="351"/>
    </row>
    <row r="113" spans="1:100" ht="15.75" customHeight="1">
      <c r="A113" s="412" t="s">
        <v>653</v>
      </c>
      <c r="B113" s="350"/>
      <c r="C113" s="350"/>
      <c r="D113" s="350"/>
      <c r="E113" s="350"/>
      <c r="F113" s="350"/>
      <c r="G113" s="350"/>
      <c r="H113" s="350"/>
      <c r="I113" s="350"/>
      <c r="J113" s="350"/>
      <c r="K113" s="350"/>
      <c r="L113" s="350"/>
      <c r="M113" s="350"/>
      <c r="N113" s="350"/>
      <c r="O113" s="350"/>
      <c r="P113" s="350"/>
      <c r="Q113" s="350"/>
      <c r="R113" s="350"/>
      <c r="S113" s="350"/>
      <c r="T113" s="350"/>
      <c r="U113" s="350"/>
      <c r="V113" s="351"/>
      <c r="W113" s="737">
        <f>COUNTIFS(TRAINING!D15:D3000,"Both Mandatory and EBT")</f>
        <v>0</v>
      </c>
      <c r="X113" s="350"/>
      <c r="Y113" s="350"/>
      <c r="Z113" s="350"/>
      <c r="AA113" s="350"/>
      <c r="AB113" s="350"/>
      <c r="AC113" s="350"/>
      <c r="AD113" s="350"/>
      <c r="AE113" s="351"/>
      <c r="AF113" s="737">
        <f>COUNTIFS(TRAINING!D15:D3000,"Both Mandatory and EBT",TRAINING!AK15:AK3000,"YES")</f>
        <v>0</v>
      </c>
      <c r="AG113" s="350"/>
      <c r="AH113" s="350"/>
      <c r="AI113" s="350"/>
      <c r="AJ113" s="350"/>
      <c r="AK113" s="350"/>
      <c r="AL113" s="350"/>
      <c r="AM113" s="350"/>
      <c r="AN113" s="350"/>
      <c r="AO113" s="350"/>
      <c r="AP113" s="350"/>
      <c r="AQ113" s="350"/>
      <c r="AR113" s="351"/>
      <c r="AS113" s="737">
        <f>COUNTIFS(TRAINING!D15:D3000,"Both Mandatory and EBT", TRAINING!AH15:AH3000,"YES")</f>
        <v>0</v>
      </c>
      <c r="AT113" s="350"/>
      <c r="AU113" s="350"/>
      <c r="AV113" s="350"/>
      <c r="AW113" s="350"/>
      <c r="AX113" s="350"/>
      <c r="AY113" s="350"/>
      <c r="AZ113" s="350"/>
      <c r="BA113" s="350"/>
      <c r="BB113" s="350"/>
      <c r="BC113" s="350"/>
      <c r="BD113" s="350"/>
      <c r="BE113" s="350"/>
      <c r="BF113" s="350"/>
      <c r="BG113" s="351"/>
    </row>
    <row r="114" spans="1:100" ht="15.75" customHeight="1">
      <c r="A114" s="412" t="s">
        <v>654</v>
      </c>
      <c r="B114" s="350"/>
      <c r="C114" s="350"/>
      <c r="D114" s="350"/>
      <c r="E114" s="350"/>
      <c r="F114" s="350"/>
      <c r="G114" s="350"/>
      <c r="H114" s="350"/>
      <c r="I114" s="350"/>
      <c r="J114" s="350"/>
      <c r="K114" s="350"/>
      <c r="L114" s="350"/>
      <c r="M114" s="350"/>
      <c r="N114" s="350"/>
      <c r="O114" s="350"/>
      <c r="P114" s="350"/>
      <c r="Q114" s="350"/>
      <c r="R114" s="350"/>
      <c r="S114" s="350"/>
      <c r="T114" s="350"/>
      <c r="U114" s="350"/>
      <c r="V114" s="351"/>
      <c r="W114" s="737">
        <f>COUNTIFS(TRAINING!D15:D3000,"Other (Specify in Notes)")</f>
        <v>0</v>
      </c>
      <c r="X114" s="350"/>
      <c r="Y114" s="350"/>
      <c r="Z114" s="350"/>
      <c r="AA114" s="350"/>
      <c r="AB114" s="350"/>
      <c r="AC114" s="350"/>
      <c r="AD114" s="350"/>
      <c r="AE114" s="351"/>
      <c r="AF114" s="737">
        <f>COUNTIFS(TRAINING!D15:D3000,"Other (Specify in Notes)",TRAINING!AK15:AK3000,"YES")</f>
        <v>0</v>
      </c>
      <c r="AG114" s="350"/>
      <c r="AH114" s="350"/>
      <c r="AI114" s="350"/>
      <c r="AJ114" s="350"/>
      <c r="AK114" s="350"/>
      <c r="AL114" s="350"/>
      <c r="AM114" s="350"/>
      <c r="AN114" s="350"/>
      <c r="AO114" s="350"/>
      <c r="AP114" s="350"/>
      <c r="AQ114" s="350"/>
      <c r="AR114" s="351"/>
      <c r="AS114" s="737">
        <f>COUNTIFS(TRAINING!D15:D3000,"Other (Specify in Notes)", TRAINING!AH15:AH3000,"YES")</f>
        <v>0</v>
      </c>
      <c r="AT114" s="350"/>
      <c r="AU114" s="350"/>
      <c r="AV114" s="350"/>
      <c r="AW114" s="350"/>
      <c r="AX114" s="350"/>
      <c r="AY114" s="350"/>
      <c r="AZ114" s="350"/>
      <c r="BA114" s="350"/>
      <c r="BB114" s="350"/>
      <c r="BC114" s="350"/>
      <c r="BD114" s="350"/>
      <c r="BE114" s="350"/>
      <c r="BF114" s="350"/>
      <c r="BG114" s="351"/>
    </row>
    <row r="115" spans="1:100" ht="15.75" customHeight="1">
      <c r="A115" s="756" t="s">
        <v>561</v>
      </c>
      <c r="B115" s="350"/>
      <c r="C115" s="350"/>
      <c r="D115" s="350"/>
      <c r="E115" s="350"/>
      <c r="F115" s="350"/>
      <c r="G115" s="350"/>
      <c r="H115" s="350"/>
      <c r="I115" s="350"/>
      <c r="J115" s="350"/>
      <c r="K115" s="350"/>
      <c r="L115" s="350"/>
      <c r="M115" s="350"/>
      <c r="N115" s="350"/>
      <c r="O115" s="350"/>
      <c r="P115" s="350"/>
      <c r="Q115" s="350"/>
      <c r="R115" s="350"/>
      <c r="S115" s="350"/>
      <c r="T115" s="350"/>
      <c r="U115" s="350"/>
      <c r="V115" s="351"/>
      <c r="W115" s="753">
        <f>SUM(W111:W114)</f>
        <v>0</v>
      </c>
      <c r="X115" s="350"/>
      <c r="Y115" s="350"/>
      <c r="Z115" s="350"/>
      <c r="AA115" s="350"/>
      <c r="AB115" s="350"/>
      <c r="AC115" s="350"/>
      <c r="AD115" s="350"/>
      <c r="AE115" s="351"/>
      <c r="AF115" s="753">
        <f>SUM(AF111:AF114)</f>
        <v>0</v>
      </c>
      <c r="AG115" s="350"/>
      <c r="AH115" s="350"/>
      <c r="AI115" s="350"/>
      <c r="AJ115" s="350"/>
      <c r="AK115" s="350"/>
      <c r="AL115" s="350"/>
      <c r="AM115" s="350"/>
      <c r="AN115" s="350"/>
      <c r="AO115" s="350"/>
      <c r="AP115" s="350"/>
      <c r="AQ115" s="350"/>
      <c r="AR115" s="351"/>
      <c r="AS115" s="753">
        <f>SUM(AS111:AS114)</f>
        <v>0</v>
      </c>
      <c r="AT115" s="350"/>
      <c r="AU115" s="350"/>
      <c r="AV115" s="350"/>
      <c r="AW115" s="350"/>
      <c r="AX115" s="350"/>
      <c r="AY115" s="350"/>
      <c r="AZ115" s="350"/>
      <c r="BA115" s="350"/>
      <c r="BB115" s="350"/>
      <c r="BC115" s="350"/>
      <c r="BD115" s="350"/>
      <c r="BE115" s="350"/>
      <c r="BF115" s="350"/>
      <c r="BG115" s="351"/>
    </row>
    <row r="116" spans="1:100" ht="15.75" customHeight="1">
      <c r="A116" s="754" t="s">
        <v>655</v>
      </c>
      <c r="B116" s="350"/>
      <c r="C116" s="350"/>
      <c r="D116" s="350"/>
      <c r="E116" s="350"/>
      <c r="F116" s="350"/>
      <c r="G116" s="350"/>
      <c r="H116" s="350"/>
      <c r="I116" s="350"/>
      <c r="J116" s="350"/>
      <c r="K116" s="350"/>
      <c r="L116" s="350"/>
      <c r="M116" s="350"/>
      <c r="N116" s="350"/>
      <c r="O116" s="350"/>
      <c r="P116" s="350"/>
      <c r="Q116" s="350"/>
      <c r="R116" s="350"/>
      <c r="S116" s="350"/>
      <c r="T116" s="350"/>
      <c r="U116" s="350"/>
      <c r="V116" s="351"/>
      <c r="W116" s="755"/>
      <c r="X116" s="350"/>
      <c r="Y116" s="350"/>
      <c r="Z116" s="350"/>
      <c r="AA116" s="350"/>
      <c r="AB116" s="350"/>
      <c r="AC116" s="350"/>
      <c r="AD116" s="350"/>
      <c r="AE116" s="351"/>
      <c r="AF116" s="754"/>
      <c r="AG116" s="350"/>
      <c r="AH116" s="350"/>
      <c r="AI116" s="350"/>
      <c r="AJ116" s="350"/>
      <c r="AK116" s="350"/>
      <c r="AL116" s="350"/>
      <c r="AM116" s="350"/>
      <c r="AN116" s="350"/>
      <c r="AO116" s="350"/>
      <c r="AP116" s="350"/>
      <c r="AQ116" s="350"/>
      <c r="AR116" s="351"/>
      <c r="AS116" s="754"/>
      <c r="AT116" s="350"/>
      <c r="AU116" s="350"/>
      <c r="AV116" s="350"/>
      <c r="AW116" s="350"/>
      <c r="AX116" s="350"/>
      <c r="AY116" s="350"/>
      <c r="AZ116" s="350"/>
      <c r="BA116" s="350"/>
      <c r="BB116" s="350"/>
      <c r="BC116" s="350"/>
      <c r="BD116" s="350"/>
      <c r="BE116" s="350"/>
      <c r="BF116" s="350"/>
      <c r="BG116" s="351"/>
    </row>
    <row r="117" spans="1:100" ht="15.75" customHeight="1">
      <c r="A117" s="754" t="s">
        <v>655</v>
      </c>
      <c r="B117" s="350"/>
      <c r="C117" s="350"/>
      <c r="D117" s="350"/>
      <c r="E117" s="350"/>
      <c r="F117" s="350"/>
      <c r="G117" s="350"/>
      <c r="H117" s="350"/>
      <c r="I117" s="350"/>
      <c r="J117" s="350"/>
      <c r="K117" s="350"/>
      <c r="L117" s="350"/>
      <c r="M117" s="350"/>
      <c r="N117" s="350"/>
      <c r="O117" s="350"/>
      <c r="P117" s="350"/>
      <c r="Q117" s="350"/>
      <c r="R117" s="350"/>
      <c r="S117" s="350"/>
      <c r="T117" s="350"/>
      <c r="U117" s="350"/>
      <c r="V117" s="351"/>
      <c r="W117" s="755"/>
      <c r="X117" s="350"/>
      <c r="Y117" s="350"/>
      <c r="Z117" s="350"/>
      <c r="AA117" s="350"/>
      <c r="AB117" s="350"/>
      <c r="AC117" s="350"/>
      <c r="AD117" s="350"/>
      <c r="AE117" s="351"/>
      <c r="AF117" s="754"/>
      <c r="AG117" s="350"/>
      <c r="AH117" s="350"/>
      <c r="AI117" s="350"/>
      <c r="AJ117" s="350"/>
      <c r="AK117" s="350"/>
      <c r="AL117" s="350"/>
      <c r="AM117" s="350"/>
      <c r="AN117" s="350"/>
      <c r="AO117" s="350"/>
      <c r="AP117" s="350"/>
      <c r="AQ117" s="350"/>
      <c r="AR117" s="351"/>
      <c r="AS117" s="754"/>
      <c r="AT117" s="350"/>
      <c r="AU117" s="350"/>
      <c r="AV117" s="350"/>
      <c r="AW117" s="350"/>
      <c r="AX117" s="350"/>
      <c r="AY117" s="350"/>
      <c r="AZ117" s="350"/>
      <c r="BA117" s="350"/>
      <c r="BB117" s="350"/>
      <c r="BC117" s="350"/>
      <c r="BD117" s="350"/>
      <c r="BE117" s="350"/>
      <c r="BF117" s="350"/>
      <c r="BG117" s="351"/>
    </row>
    <row r="118" spans="1:100" ht="15.75" customHeight="1">
      <c r="A118" s="754" t="s">
        <v>655</v>
      </c>
      <c r="B118" s="350"/>
      <c r="C118" s="350"/>
      <c r="D118" s="350"/>
      <c r="E118" s="350"/>
      <c r="F118" s="350"/>
      <c r="G118" s="350"/>
      <c r="H118" s="350"/>
      <c r="I118" s="350"/>
      <c r="J118" s="350"/>
      <c r="K118" s="350"/>
      <c r="L118" s="350"/>
      <c r="M118" s="350"/>
      <c r="N118" s="350"/>
      <c r="O118" s="350"/>
      <c r="P118" s="350"/>
      <c r="Q118" s="350"/>
      <c r="R118" s="350"/>
      <c r="S118" s="350"/>
      <c r="T118" s="350"/>
      <c r="U118" s="350"/>
      <c r="V118" s="351"/>
      <c r="W118" s="755"/>
      <c r="X118" s="350"/>
      <c r="Y118" s="350"/>
      <c r="Z118" s="350"/>
      <c r="AA118" s="350"/>
      <c r="AB118" s="350"/>
      <c r="AC118" s="350"/>
      <c r="AD118" s="350"/>
      <c r="AE118" s="351"/>
      <c r="AF118" s="754"/>
      <c r="AG118" s="350"/>
      <c r="AH118" s="350"/>
      <c r="AI118" s="350"/>
      <c r="AJ118" s="350"/>
      <c r="AK118" s="350"/>
      <c r="AL118" s="350"/>
      <c r="AM118" s="350"/>
      <c r="AN118" s="350"/>
      <c r="AO118" s="350"/>
      <c r="AP118" s="350"/>
      <c r="AQ118" s="350"/>
      <c r="AR118" s="351"/>
      <c r="AS118" s="754"/>
      <c r="AT118" s="350"/>
      <c r="AU118" s="350"/>
      <c r="AV118" s="350"/>
      <c r="AW118" s="350"/>
      <c r="AX118" s="350"/>
      <c r="AY118" s="350"/>
      <c r="AZ118" s="350"/>
      <c r="BA118" s="350"/>
      <c r="BB118" s="350"/>
      <c r="BC118" s="350"/>
      <c r="BD118" s="350"/>
      <c r="BE118" s="350"/>
      <c r="BF118" s="350"/>
      <c r="BG118" s="351"/>
    </row>
    <row r="119" spans="1:100" ht="15.75" customHeight="1">
      <c r="A119" s="754" t="s">
        <v>655</v>
      </c>
      <c r="B119" s="350"/>
      <c r="C119" s="350"/>
      <c r="D119" s="350"/>
      <c r="E119" s="350"/>
      <c r="F119" s="350"/>
      <c r="G119" s="350"/>
      <c r="H119" s="350"/>
      <c r="I119" s="350"/>
      <c r="J119" s="350"/>
      <c r="K119" s="350"/>
      <c r="L119" s="350"/>
      <c r="M119" s="350"/>
      <c r="N119" s="350"/>
      <c r="O119" s="350"/>
      <c r="P119" s="350"/>
      <c r="Q119" s="350"/>
      <c r="R119" s="350"/>
      <c r="S119" s="350"/>
      <c r="T119" s="350"/>
      <c r="U119" s="350"/>
      <c r="V119" s="351"/>
      <c r="W119" s="755"/>
      <c r="X119" s="350"/>
      <c r="Y119" s="350"/>
      <c r="Z119" s="350"/>
      <c r="AA119" s="350"/>
      <c r="AB119" s="350"/>
      <c r="AC119" s="350"/>
      <c r="AD119" s="350"/>
      <c r="AE119" s="351"/>
      <c r="AF119" s="754"/>
      <c r="AG119" s="350"/>
      <c r="AH119" s="350"/>
      <c r="AI119" s="350"/>
      <c r="AJ119" s="350"/>
      <c r="AK119" s="350"/>
      <c r="AL119" s="350"/>
      <c r="AM119" s="350"/>
      <c r="AN119" s="350"/>
      <c r="AO119" s="350"/>
      <c r="AP119" s="350"/>
      <c r="AQ119" s="350"/>
      <c r="AR119" s="351"/>
      <c r="AS119" s="754"/>
      <c r="AT119" s="350"/>
      <c r="AU119" s="350"/>
      <c r="AV119" s="350"/>
      <c r="AW119" s="350"/>
      <c r="AX119" s="350"/>
      <c r="AY119" s="350"/>
      <c r="AZ119" s="350"/>
      <c r="BA119" s="350"/>
      <c r="BB119" s="350"/>
      <c r="BC119" s="350"/>
      <c r="BD119" s="350"/>
      <c r="BE119" s="350"/>
      <c r="BF119" s="350"/>
      <c r="BG119" s="351"/>
    </row>
    <row r="120" spans="1:100" ht="15.75" customHeight="1">
      <c r="A120" s="754" t="s">
        <v>655</v>
      </c>
      <c r="B120" s="350"/>
      <c r="C120" s="350"/>
      <c r="D120" s="350"/>
      <c r="E120" s="350"/>
      <c r="F120" s="350"/>
      <c r="G120" s="350"/>
      <c r="H120" s="350"/>
      <c r="I120" s="350"/>
      <c r="J120" s="350"/>
      <c r="K120" s="350"/>
      <c r="L120" s="350"/>
      <c r="M120" s="350"/>
      <c r="N120" s="350"/>
      <c r="O120" s="350"/>
      <c r="P120" s="350"/>
      <c r="Q120" s="350"/>
      <c r="R120" s="350"/>
      <c r="S120" s="350"/>
      <c r="T120" s="350"/>
      <c r="U120" s="350"/>
      <c r="V120" s="351"/>
      <c r="W120" s="755"/>
      <c r="X120" s="350"/>
      <c r="Y120" s="350"/>
      <c r="Z120" s="350"/>
      <c r="AA120" s="350"/>
      <c r="AB120" s="350"/>
      <c r="AC120" s="350"/>
      <c r="AD120" s="350"/>
      <c r="AE120" s="351"/>
      <c r="AF120" s="754"/>
      <c r="AG120" s="350"/>
      <c r="AH120" s="350"/>
      <c r="AI120" s="350"/>
      <c r="AJ120" s="350"/>
      <c r="AK120" s="350"/>
      <c r="AL120" s="350"/>
      <c r="AM120" s="350"/>
      <c r="AN120" s="350"/>
      <c r="AO120" s="350"/>
      <c r="AP120" s="350"/>
      <c r="AQ120" s="350"/>
      <c r="AR120" s="351"/>
      <c r="AS120" s="754"/>
      <c r="AT120" s="350"/>
      <c r="AU120" s="350"/>
      <c r="AV120" s="350"/>
      <c r="AW120" s="350"/>
      <c r="AX120" s="350"/>
      <c r="AY120" s="350"/>
      <c r="AZ120" s="350"/>
      <c r="BA120" s="350"/>
      <c r="BB120" s="350"/>
      <c r="BC120" s="350"/>
      <c r="BD120" s="350"/>
      <c r="BE120" s="350"/>
      <c r="BF120" s="350"/>
      <c r="BG120" s="351"/>
    </row>
    <row r="121" spans="1:100" ht="15.75" customHeight="1">
      <c r="A121" s="754" t="s">
        <v>655</v>
      </c>
      <c r="B121" s="350"/>
      <c r="C121" s="350"/>
      <c r="D121" s="350"/>
      <c r="E121" s="350"/>
      <c r="F121" s="350"/>
      <c r="G121" s="350"/>
      <c r="H121" s="350"/>
      <c r="I121" s="350"/>
      <c r="J121" s="350"/>
      <c r="K121" s="350"/>
      <c r="L121" s="350"/>
      <c r="M121" s="350"/>
      <c r="N121" s="350"/>
      <c r="O121" s="350"/>
      <c r="P121" s="350"/>
      <c r="Q121" s="350"/>
      <c r="R121" s="350"/>
      <c r="S121" s="350"/>
      <c r="T121" s="350"/>
      <c r="U121" s="350"/>
      <c r="V121" s="351"/>
      <c r="W121" s="755"/>
      <c r="X121" s="350"/>
      <c r="Y121" s="350"/>
      <c r="Z121" s="350"/>
      <c r="AA121" s="350"/>
      <c r="AB121" s="350"/>
      <c r="AC121" s="350"/>
      <c r="AD121" s="350"/>
      <c r="AE121" s="351"/>
      <c r="AF121" s="754"/>
      <c r="AG121" s="350"/>
      <c r="AH121" s="350"/>
      <c r="AI121" s="350"/>
      <c r="AJ121" s="350"/>
      <c r="AK121" s="350"/>
      <c r="AL121" s="350"/>
      <c r="AM121" s="350"/>
      <c r="AN121" s="350"/>
      <c r="AO121" s="350"/>
      <c r="AP121" s="350"/>
      <c r="AQ121" s="350"/>
      <c r="AR121" s="351"/>
      <c r="AS121" s="754"/>
      <c r="AT121" s="350"/>
      <c r="AU121" s="350"/>
      <c r="AV121" s="350"/>
      <c r="AW121" s="350"/>
      <c r="AX121" s="350"/>
      <c r="AY121" s="350"/>
      <c r="AZ121" s="350"/>
      <c r="BA121" s="350"/>
      <c r="BB121" s="350"/>
      <c r="BC121" s="350"/>
      <c r="BD121" s="350"/>
      <c r="BE121" s="350"/>
      <c r="BF121" s="350"/>
      <c r="BG121" s="351"/>
    </row>
    <row r="122" spans="1:100" ht="15.75" customHeight="1">
      <c r="A122" s="754" t="s">
        <v>655</v>
      </c>
      <c r="B122" s="350"/>
      <c r="C122" s="350"/>
      <c r="D122" s="350"/>
      <c r="E122" s="350"/>
      <c r="F122" s="350"/>
      <c r="G122" s="350"/>
      <c r="H122" s="350"/>
      <c r="I122" s="350"/>
      <c r="J122" s="350"/>
      <c r="K122" s="350"/>
      <c r="L122" s="350"/>
      <c r="M122" s="350"/>
      <c r="N122" s="350"/>
      <c r="O122" s="350"/>
      <c r="P122" s="350"/>
      <c r="Q122" s="350"/>
      <c r="R122" s="350"/>
      <c r="S122" s="350"/>
      <c r="T122" s="350"/>
      <c r="U122" s="350"/>
      <c r="V122" s="351"/>
      <c r="W122" s="755"/>
      <c r="X122" s="350"/>
      <c r="Y122" s="350"/>
      <c r="Z122" s="350"/>
      <c r="AA122" s="350"/>
      <c r="AB122" s="350"/>
      <c r="AC122" s="350"/>
      <c r="AD122" s="350"/>
      <c r="AE122" s="351"/>
      <c r="AF122" s="754"/>
      <c r="AG122" s="350"/>
      <c r="AH122" s="350"/>
      <c r="AI122" s="350"/>
      <c r="AJ122" s="350"/>
      <c r="AK122" s="350"/>
      <c r="AL122" s="350"/>
      <c r="AM122" s="350"/>
      <c r="AN122" s="350"/>
      <c r="AO122" s="350"/>
      <c r="AP122" s="350"/>
      <c r="AQ122" s="350"/>
      <c r="AR122" s="351"/>
      <c r="AS122" s="754"/>
      <c r="AT122" s="350"/>
      <c r="AU122" s="350"/>
      <c r="AV122" s="350"/>
      <c r="AW122" s="350"/>
      <c r="AX122" s="350"/>
      <c r="AY122" s="350"/>
      <c r="AZ122" s="350"/>
      <c r="BA122" s="350"/>
      <c r="BB122" s="350"/>
      <c r="BC122" s="350"/>
      <c r="BD122" s="350"/>
      <c r="BE122" s="350"/>
      <c r="BF122" s="350"/>
      <c r="BG122" s="351"/>
    </row>
    <row r="123" spans="1:100" ht="15.75" customHeight="1">
      <c r="I123" s="108"/>
    </row>
    <row r="124" spans="1:100" ht="34.5" customHeight="1">
      <c r="A124" s="800" t="s">
        <v>656</v>
      </c>
      <c r="B124" s="350"/>
      <c r="C124" s="350"/>
      <c r="D124" s="350"/>
      <c r="E124" s="350"/>
      <c r="F124" s="350"/>
      <c r="G124" s="350"/>
      <c r="H124" s="350"/>
      <c r="I124" s="350"/>
      <c r="J124" s="350"/>
      <c r="K124" s="350"/>
      <c r="L124" s="350"/>
      <c r="M124" s="350"/>
      <c r="N124" s="350"/>
      <c r="O124" s="350"/>
      <c r="P124" s="350"/>
      <c r="Q124" s="350"/>
      <c r="R124" s="350"/>
      <c r="S124" s="350"/>
      <c r="T124" s="350"/>
      <c r="U124" s="350"/>
      <c r="V124" s="351"/>
      <c r="W124" s="799" t="s">
        <v>631</v>
      </c>
      <c r="X124" s="350"/>
      <c r="Y124" s="350"/>
      <c r="Z124" s="350"/>
      <c r="AA124" s="350"/>
      <c r="AB124" s="351"/>
      <c r="AC124" s="799" t="s">
        <v>632</v>
      </c>
      <c r="AD124" s="350"/>
      <c r="AE124" s="350"/>
      <c r="AF124" s="350"/>
      <c r="AG124" s="350"/>
      <c r="AH124" s="351"/>
      <c r="AI124" s="799" t="s">
        <v>633</v>
      </c>
      <c r="AJ124" s="350"/>
      <c r="AK124" s="350"/>
      <c r="AL124" s="350"/>
      <c r="AM124" s="350"/>
      <c r="AN124" s="351"/>
      <c r="AO124" s="799" t="s">
        <v>634</v>
      </c>
      <c r="AP124" s="350"/>
      <c r="AQ124" s="350"/>
      <c r="AR124" s="350"/>
      <c r="AS124" s="350"/>
      <c r="AT124" s="351"/>
      <c r="AU124" s="799" t="s">
        <v>635</v>
      </c>
      <c r="AV124" s="350"/>
      <c r="AW124" s="350"/>
      <c r="AX124" s="350"/>
      <c r="AY124" s="350"/>
      <c r="AZ124" s="351"/>
      <c r="BA124" s="799" t="s">
        <v>636</v>
      </c>
      <c r="BB124" s="350"/>
      <c r="BC124" s="350"/>
      <c r="BD124" s="350"/>
      <c r="BE124" s="350"/>
      <c r="BF124" s="351"/>
      <c r="BG124" s="799" t="s">
        <v>637</v>
      </c>
      <c r="BH124" s="350"/>
      <c r="BI124" s="350"/>
      <c r="BJ124" s="350"/>
      <c r="BK124" s="350"/>
      <c r="BL124" s="351"/>
      <c r="BM124" s="799" t="s">
        <v>638</v>
      </c>
      <c r="BN124" s="350"/>
      <c r="BO124" s="350"/>
      <c r="BP124" s="350"/>
      <c r="BQ124" s="350"/>
      <c r="BR124" s="351"/>
      <c r="BS124" s="799" t="s">
        <v>639</v>
      </c>
      <c r="BT124" s="350"/>
      <c r="BU124" s="350"/>
      <c r="BV124" s="350"/>
      <c r="BW124" s="350"/>
      <c r="BX124" s="351"/>
      <c r="BY124" s="799" t="s">
        <v>640</v>
      </c>
      <c r="BZ124" s="350"/>
      <c r="CA124" s="350"/>
      <c r="CB124" s="350"/>
      <c r="CC124" s="350"/>
      <c r="CD124" s="351"/>
      <c r="CE124" s="799" t="s">
        <v>641</v>
      </c>
      <c r="CF124" s="350"/>
      <c r="CG124" s="350"/>
      <c r="CH124" s="350"/>
      <c r="CI124" s="350"/>
      <c r="CJ124" s="351"/>
      <c r="CK124" s="799" t="s">
        <v>642</v>
      </c>
      <c r="CL124" s="350"/>
      <c r="CM124" s="350"/>
      <c r="CN124" s="350"/>
      <c r="CO124" s="350"/>
      <c r="CP124" s="351"/>
      <c r="CQ124" s="164"/>
      <c r="CR124" s="109"/>
      <c r="CS124" s="109"/>
      <c r="CT124" s="109"/>
      <c r="CU124" s="109"/>
      <c r="CV124" s="109"/>
    </row>
    <row r="125" spans="1:100" ht="15.75" customHeight="1">
      <c r="A125" s="412" t="s">
        <v>651</v>
      </c>
      <c r="B125" s="350"/>
      <c r="C125" s="350"/>
      <c r="D125" s="350"/>
      <c r="E125" s="350"/>
      <c r="F125" s="350"/>
      <c r="G125" s="350"/>
      <c r="H125" s="350"/>
      <c r="I125" s="350"/>
      <c r="J125" s="350"/>
      <c r="K125" s="350"/>
      <c r="L125" s="350"/>
      <c r="M125" s="350"/>
      <c r="N125" s="350"/>
      <c r="O125" s="350"/>
      <c r="P125" s="350"/>
      <c r="Q125" s="350"/>
      <c r="R125" s="350"/>
      <c r="S125" s="350"/>
      <c r="T125" s="350"/>
      <c r="U125" s="350"/>
      <c r="V125" s="351"/>
      <c r="W125" s="798">
        <f>COUNTIFS(TRAINING!D14:D4989,"Mandatory", TRAINING!AN14:AN4989,"YES")</f>
        <v>0</v>
      </c>
      <c r="X125" s="350"/>
      <c r="Y125" s="350"/>
      <c r="Z125" s="350"/>
      <c r="AA125" s="350"/>
      <c r="AB125" s="351"/>
      <c r="AC125" s="737">
        <f>COUNTIFS(TRAINING!D14:D4989,"Mandatory", TRAINING!AO14:AO4989,"YES")</f>
        <v>0</v>
      </c>
      <c r="AD125" s="350"/>
      <c r="AE125" s="350"/>
      <c r="AF125" s="350"/>
      <c r="AG125" s="350"/>
      <c r="AH125" s="351"/>
      <c r="AI125" s="737">
        <f>COUNTIFS(TRAINING!D14:D4989,"Mandatory", TRAINING!AP14:AP4989,"YES")</f>
        <v>0</v>
      </c>
      <c r="AJ125" s="350"/>
      <c r="AK125" s="350"/>
      <c r="AL125" s="350"/>
      <c r="AM125" s="350"/>
      <c r="AN125" s="351"/>
      <c r="AO125" s="737">
        <f>COUNTIFS(TRAINING!D14:D4989,"Mandatory", TRAINING!AQ14:AQ4989,"YES")</f>
        <v>0</v>
      </c>
      <c r="AP125" s="350"/>
      <c r="AQ125" s="350"/>
      <c r="AR125" s="350"/>
      <c r="AS125" s="350"/>
      <c r="AT125" s="351"/>
      <c r="AU125" s="737">
        <f>COUNTIFS(TRAINING!D14:D4989,"Mandatory", TRAINING!AR14:AR4989,"YES")</f>
        <v>0</v>
      </c>
      <c r="AV125" s="350"/>
      <c r="AW125" s="350"/>
      <c r="AX125" s="350"/>
      <c r="AY125" s="350"/>
      <c r="AZ125" s="351"/>
      <c r="BA125" s="737">
        <f>COUNTIFS(TRAINING!D14:D4989,"Mandatory", TRAINING!AS14:AS4989,"YES")</f>
        <v>0</v>
      </c>
      <c r="BB125" s="350"/>
      <c r="BC125" s="350"/>
      <c r="BD125" s="350"/>
      <c r="BE125" s="350"/>
      <c r="BF125" s="351"/>
      <c r="BG125" s="798">
        <f>COUNTIFS(TRAINING!D14:D4989,"Mandatory", TRAINING!AT14:AT4989,"YES")</f>
        <v>0</v>
      </c>
      <c r="BH125" s="350"/>
      <c r="BI125" s="350"/>
      <c r="BJ125" s="350"/>
      <c r="BK125" s="350"/>
      <c r="BL125" s="351"/>
      <c r="BM125" s="798">
        <f>COUNTIFS(TRAINING!D14:D4989,"Mandatory", TRAINING!AU14:AU4989,"YES")</f>
        <v>0</v>
      </c>
      <c r="BN125" s="350"/>
      <c r="BO125" s="350"/>
      <c r="BP125" s="350"/>
      <c r="BQ125" s="350"/>
      <c r="BR125" s="351"/>
      <c r="BS125" s="798">
        <f>COUNTIFS(TRAINING!D14:D4989,"Mandatory", TRAINING!AV14:AV4989,"YES")</f>
        <v>0</v>
      </c>
      <c r="BT125" s="350"/>
      <c r="BU125" s="350"/>
      <c r="BV125" s="350"/>
      <c r="BW125" s="350"/>
      <c r="BX125" s="351"/>
      <c r="BY125" s="798">
        <f>COUNTIFS(TRAINING!D14:D4989,"Mandatory", TRAINING!AW14:AW4989,"YES")</f>
        <v>0</v>
      </c>
      <c r="BZ125" s="350"/>
      <c r="CA125" s="350"/>
      <c r="CB125" s="350"/>
      <c r="CC125" s="350"/>
      <c r="CD125" s="351"/>
      <c r="CE125" s="737">
        <f>COUNTIFS(TRAINING!D14:D4989,"Mandatory", TRAINING!AX14:AX4989,"YES")</f>
        <v>0</v>
      </c>
      <c r="CF125" s="350"/>
      <c r="CG125" s="350"/>
      <c r="CH125" s="350"/>
      <c r="CI125" s="350"/>
      <c r="CJ125" s="351"/>
      <c r="CK125" s="737">
        <f>COUNTIFS(TRAINING!D14:D4989,"Mandatory", TRAINING!AY14:AY4989,"YES")</f>
        <v>0</v>
      </c>
      <c r="CL125" s="350"/>
      <c r="CM125" s="350"/>
      <c r="CN125" s="350"/>
      <c r="CO125" s="350"/>
      <c r="CP125" s="351"/>
      <c r="CQ125" s="165"/>
      <c r="CR125" s="108"/>
      <c r="CS125" s="108"/>
      <c r="CT125" s="108"/>
      <c r="CU125" s="108"/>
      <c r="CV125" s="108"/>
    </row>
    <row r="126" spans="1:100" ht="15.75" customHeight="1">
      <c r="A126" s="412" t="s">
        <v>652</v>
      </c>
      <c r="B126" s="350"/>
      <c r="C126" s="350"/>
      <c r="D126" s="350"/>
      <c r="E126" s="350"/>
      <c r="F126" s="350"/>
      <c r="G126" s="350"/>
      <c r="H126" s="350"/>
      <c r="I126" s="350"/>
      <c r="J126" s="350"/>
      <c r="K126" s="350"/>
      <c r="L126" s="350"/>
      <c r="M126" s="350"/>
      <c r="N126" s="350"/>
      <c r="O126" s="350"/>
      <c r="P126" s="350"/>
      <c r="Q126" s="350"/>
      <c r="R126" s="350"/>
      <c r="S126" s="350"/>
      <c r="T126" s="350"/>
      <c r="U126" s="350"/>
      <c r="V126" s="351"/>
      <c r="W126" s="798">
        <f>COUNTIFS(TRAINING!D14:D4989,"Evidence Based Training (EBT)", TRAINING!AN14:AN4989,"YES")</f>
        <v>0</v>
      </c>
      <c r="X126" s="350"/>
      <c r="Y126" s="350"/>
      <c r="Z126" s="350"/>
      <c r="AA126" s="350"/>
      <c r="AB126" s="351"/>
      <c r="AC126" s="737">
        <f>COUNTIFS(TRAINING!D14:D4989,"Evidence Based Training (EBT)", TRAINING!AO14:AO4989,"YES")</f>
        <v>0</v>
      </c>
      <c r="AD126" s="350"/>
      <c r="AE126" s="350"/>
      <c r="AF126" s="350"/>
      <c r="AG126" s="350"/>
      <c r="AH126" s="351"/>
      <c r="AI126" s="737">
        <f>COUNTIFS(TRAINING!D14:D4989,"Evidence Based Training (EBT)", TRAINING!AP14:AP4989,"YES")</f>
        <v>0</v>
      </c>
      <c r="AJ126" s="350"/>
      <c r="AK126" s="350"/>
      <c r="AL126" s="350"/>
      <c r="AM126" s="350"/>
      <c r="AN126" s="351"/>
      <c r="AO126" s="737">
        <f>COUNTIFS(TRAINING!D14:D4989,"Evidence Based Training (EBT)", TRAINING!AQ14:AQ4989,"YES")</f>
        <v>0</v>
      </c>
      <c r="AP126" s="350"/>
      <c r="AQ126" s="350"/>
      <c r="AR126" s="350"/>
      <c r="AS126" s="350"/>
      <c r="AT126" s="351"/>
      <c r="AU126" s="737">
        <f>COUNTIFS(TRAINING!D14:D4989,"Evidence Based Training (EBT)", TRAINING!AR14:AR4989,"YES")</f>
        <v>0</v>
      </c>
      <c r="AV126" s="350"/>
      <c r="AW126" s="350"/>
      <c r="AX126" s="350"/>
      <c r="AY126" s="350"/>
      <c r="AZ126" s="351"/>
      <c r="BA126" s="737">
        <f>COUNTIFS(TRAINING!D14:D4989,"Evidence Based Training (EBT)", TRAINING!AS14:AS4989,"YES")</f>
        <v>0</v>
      </c>
      <c r="BB126" s="350"/>
      <c r="BC126" s="350"/>
      <c r="BD126" s="350"/>
      <c r="BE126" s="350"/>
      <c r="BF126" s="351"/>
      <c r="BG126" s="798">
        <f>COUNTIFS(TRAINING!D14:D4989,"Evidence Based Training (EBT)", TRAINING!AT14:AT4989,"YES")</f>
        <v>0</v>
      </c>
      <c r="BH126" s="350"/>
      <c r="BI126" s="350"/>
      <c r="BJ126" s="350"/>
      <c r="BK126" s="350"/>
      <c r="BL126" s="351"/>
      <c r="BM126" s="798">
        <f>COUNTIFS(TRAINING!D14:D4989,"Evidence Based Training (EBT)", TRAINING!AU14:AU4989,"YES")</f>
        <v>0</v>
      </c>
      <c r="BN126" s="350"/>
      <c r="BO126" s="350"/>
      <c r="BP126" s="350"/>
      <c r="BQ126" s="350"/>
      <c r="BR126" s="351"/>
      <c r="BS126" s="798">
        <f>COUNTIFS(TRAINING!D14:D4989,"Evidence Based Training (EBT)", TRAINING!AV14:AV4989,"YES")</f>
        <v>0</v>
      </c>
      <c r="BT126" s="350"/>
      <c r="BU126" s="350"/>
      <c r="BV126" s="350"/>
      <c r="BW126" s="350"/>
      <c r="BX126" s="351"/>
      <c r="BY126" s="798">
        <f>COUNTIFS(TRAINING!D14:D4989,"Evidence Based Training (EBT)", TRAINING!AW14:AW4989,"YES")</f>
        <v>0</v>
      </c>
      <c r="BZ126" s="350"/>
      <c r="CA126" s="350"/>
      <c r="CB126" s="350"/>
      <c r="CC126" s="350"/>
      <c r="CD126" s="351"/>
      <c r="CE126" s="737">
        <f>COUNTIFS(TRAINING!D14:D4989,"Evidence Based Training (EBT)", TRAINING!AX14:AX4989,"YES")</f>
        <v>0</v>
      </c>
      <c r="CF126" s="350"/>
      <c r="CG126" s="350"/>
      <c r="CH126" s="350"/>
      <c r="CI126" s="350"/>
      <c r="CJ126" s="351"/>
      <c r="CK126" s="737">
        <f>COUNTIFS(TRAINING!D14:D4989,"Evidence Based Training (EBT)", TRAINING!AY14:AY4989,"YES")</f>
        <v>0</v>
      </c>
      <c r="CL126" s="350"/>
      <c r="CM126" s="350"/>
      <c r="CN126" s="350"/>
      <c r="CO126" s="350"/>
      <c r="CP126" s="351"/>
      <c r="CQ126" s="165"/>
      <c r="CR126" s="108"/>
      <c r="CS126" s="108"/>
      <c r="CT126" s="108"/>
      <c r="CU126" s="108"/>
      <c r="CV126" s="108"/>
    </row>
    <row r="127" spans="1:100" ht="15.75" customHeight="1">
      <c r="A127" s="412" t="s">
        <v>653</v>
      </c>
      <c r="B127" s="350"/>
      <c r="C127" s="350"/>
      <c r="D127" s="350"/>
      <c r="E127" s="350"/>
      <c r="F127" s="350"/>
      <c r="G127" s="350"/>
      <c r="H127" s="350"/>
      <c r="I127" s="350"/>
      <c r="J127" s="350"/>
      <c r="K127" s="350"/>
      <c r="L127" s="350"/>
      <c r="M127" s="350"/>
      <c r="N127" s="350"/>
      <c r="O127" s="350"/>
      <c r="P127" s="350"/>
      <c r="Q127" s="350"/>
      <c r="R127" s="350"/>
      <c r="S127" s="350"/>
      <c r="T127" s="350"/>
      <c r="U127" s="350"/>
      <c r="V127" s="351"/>
      <c r="W127" s="798">
        <f>COUNTIFS(TRAINING!D14:D4989,"Both Mandatory and EBT", TRAINING!AN14:AN4989,"YES")</f>
        <v>0</v>
      </c>
      <c r="X127" s="350"/>
      <c r="Y127" s="350"/>
      <c r="Z127" s="350"/>
      <c r="AA127" s="350"/>
      <c r="AB127" s="351"/>
      <c r="AC127" s="737">
        <f>COUNTIFS(TRAINING!D14:D4989,"Both Mandatory and EBT", TRAINING!AO14:AO4989,"YES")</f>
        <v>0</v>
      </c>
      <c r="AD127" s="350"/>
      <c r="AE127" s="350"/>
      <c r="AF127" s="350"/>
      <c r="AG127" s="350"/>
      <c r="AH127" s="351"/>
      <c r="AI127" s="737">
        <f>COUNTIFS(TRAINING!D14:D4989,"Both Mandatory and EBT", TRAINING!AP14:AP4989,"YES")</f>
        <v>0</v>
      </c>
      <c r="AJ127" s="350"/>
      <c r="AK127" s="350"/>
      <c r="AL127" s="350"/>
      <c r="AM127" s="350"/>
      <c r="AN127" s="351"/>
      <c r="AO127" s="737">
        <f>COUNTIFS(TRAINING!D14:D4989,"Both Mandatory and EBT", TRAINING!AQ14:AQ4989,"YES")</f>
        <v>0</v>
      </c>
      <c r="AP127" s="350"/>
      <c r="AQ127" s="350"/>
      <c r="AR127" s="350"/>
      <c r="AS127" s="350"/>
      <c r="AT127" s="351"/>
      <c r="AU127" s="737">
        <f>COUNTIFS(TRAINING!D14:D4989,"Both Mandatory and EBT", TRAINING!AR14:AR4989,"YES")</f>
        <v>0</v>
      </c>
      <c r="AV127" s="350"/>
      <c r="AW127" s="350"/>
      <c r="AX127" s="350"/>
      <c r="AY127" s="350"/>
      <c r="AZ127" s="351"/>
      <c r="BA127" s="737">
        <f>COUNTIFS(TRAINING!D14:D4989,"Both Mandatory and EBT", TRAINING!AS14:AS4989,"YES")</f>
        <v>0</v>
      </c>
      <c r="BB127" s="350"/>
      <c r="BC127" s="350"/>
      <c r="BD127" s="350"/>
      <c r="BE127" s="350"/>
      <c r="BF127" s="351"/>
      <c r="BG127" s="798">
        <f>COUNTIFS(TRAINING!D14:D4989,"Both Mandatory and EBT", TRAINING!AT14:AT4989,"YES")</f>
        <v>0</v>
      </c>
      <c r="BH127" s="350"/>
      <c r="BI127" s="350"/>
      <c r="BJ127" s="350"/>
      <c r="BK127" s="350"/>
      <c r="BL127" s="351"/>
      <c r="BM127" s="798">
        <f>COUNTIFS(TRAINING!D14:D4989,"Both Mandatory and EBT", TRAINING!AU14:AU4989,"YES")</f>
        <v>0</v>
      </c>
      <c r="BN127" s="350"/>
      <c r="BO127" s="350"/>
      <c r="BP127" s="350"/>
      <c r="BQ127" s="350"/>
      <c r="BR127" s="351"/>
      <c r="BS127" s="798">
        <f>COUNTIFS(TRAINING!D14:D4989,"Both Mandatory and EBT", TRAINING!AV14:AV4989,"YES")</f>
        <v>0</v>
      </c>
      <c r="BT127" s="350"/>
      <c r="BU127" s="350"/>
      <c r="BV127" s="350"/>
      <c r="BW127" s="350"/>
      <c r="BX127" s="351"/>
      <c r="BY127" s="798">
        <f>COUNTIFS(TRAINING!D14:D4989,"Both Mandatory and EBT", TRAINING!AW14:AW4989,"YES")</f>
        <v>0</v>
      </c>
      <c r="BZ127" s="350"/>
      <c r="CA127" s="350"/>
      <c r="CB127" s="350"/>
      <c r="CC127" s="350"/>
      <c r="CD127" s="351"/>
      <c r="CE127" s="737">
        <f>COUNTIFS(TRAINING!D14:D4989,"Both Mandatory and EBT", TRAINING!AX14:AX4989,"YES")</f>
        <v>0</v>
      </c>
      <c r="CF127" s="350"/>
      <c r="CG127" s="350"/>
      <c r="CH127" s="350"/>
      <c r="CI127" s="350"/>
      <c r="CJ127" s="351"/>
      <c r="CK127" s="737">
        <f>COUNTIFS(TRAINING!D14:D4989,"Both Mandatory and EBT", TRAINING!AY14:AY4989,"YES")</f>
        <v>0</v>
      </c>
      <c r="CL127" s="350"/>
      <c r="CM127" s="350"/>
      <c r="CN127" s="350"/>
      <c r="CO127" s="350"/>
      <c r="CP127" s="351"/>
      <c r="CQ127" s="165"/>
      <c r="CR127" s="108"/>
      <c r="CS127" s="108"/>
      <c r="CT127" s="108"/>
      <c r="CU127" s="108"/>
      <c r="CV127" s="108"/>
    </row>
    <row r="128" spans="1:100" ht="15.75" customHeight="1">
      <c r="A128" s="412" t="s">
        <v>654</v>
      </c>
      <c r="B128" s="350"/>
      <c r="C128" s="350"/>
      <c r="D128" s="350"/>
      <c r="E128" s="350"/>
      <c r="F128" s="350"/>
      <c r="G128" s="350"/>
      <c r="H128" s="350"/>
      <c r="I128" s="350"/>
      <c r="J128" s="350"/>
      <c r="K128" s="350"/>
      <c r="L128" s="350"/>
      <c r="M128" s="350"/>
      <c r="N128" s="350"/>
      <c r="O128" s="350"/>
      <c r="P128" s="350"/>
      <c r="Q128" s="350"/>
      <c r="R128" s="350"/>
      <c r="S128" s="350"/>
      <c r="T128" s="350"/>
      <c r="U128" s="350"/>
      <c r="V128" s="351"/>
      <c r="W128" s="798">
        <f>COUNTIFS(TRAINING!D14:D4989,"Other (Specify in Notes)", TRAINING!AN14:AN4989,"YES")</f>
        <v>0</v>
      </c>
      <c r="X128" s="350"/>
      <c r="Y128" s="350"/>
      <c r="Z128" s="350"/>
      <c r="AA128" s="350"/>
      <c r="AB128" s="351"/>
      <c r="AC128" s="737">
        <f>COUNTIFS(TRAINING!D14:D4989,"Other (Specify in Notes)", TRAINING!AO14:AO4989,"YES")</f>
        <v>0</v>
      </c>
      <c r="AD128" s="350"/>
      <c r="AE128" s="350"/>
      <c r="AF128" s="350"/>
      <c r="AG128" s="350"/>
      <c r="AH128" s="351"/>
      <c r="AI128" s="737">
        <f>COUNTIFS(TRAINING!D14:D4989,"Other (Specify in Notes)", TRAINING!AP14:AP4989,"YES")</f>
        <v>0</v>
      </c>
      <c r="AJ128" s="350"/>
      <c r="AK128" s="350"/>
      <c r="AL128" s="350"/>
      <c r="AM128" s="350"/>
      <c r="AN128" s="351"/>
      <c r="AO128" s="737">
        <f>COUNTIFS(TRAINING!D14:D4989,"Other (Specify in Notes)", TRAINING!AQ14:AQ4989,"YES")</f>
        <v>0</v>
      </c>
      <c r="AP128" s="350"/>
      <c r="AQ128" s="350"/>
      <c r="AR128" s="350"/>
      <c r="AS128" s="350"/>
      <c r="AT128" s="351"/>
      <c r="AU128" s="737">
        <f>COUNTIFS(TRAINING!D14:D4989,"Other (Specify in Notes)", TRAINING!AR14:AR4989,"YES")</f>
        <v>0</v>
      </c>
      <c r="AV128" s="350"/>
      <c r="AW128" s="350"/>
      <c r="AX128" s="350"/>
      <c r="AY128" s="350"/>
      <c r="AZ128" s="351"/>
      <c r="BA128" s="737">
        <f>COUNTIFS(TRAINING!D14:D4989,"Other (Specify in Notes)", TRAINING!AS14:AS4989,"YES")</f>
        <v>0</v>
      </c>
      <c r="BB128" s="350"/>
      <c r="BC128" s="350"/>
      <c r="BD128" s="350"/>
      <c r="BE128" s="350"/>
      <c r="BF128" s="351"/>
      <c r="BG128" s="798">
        <f>COUNTIFS(TRAINING!D14:D4989,"Other (Specify in Notes)", TRAINING!AT14:AT4989,"YES")</f>
        <v>0</v>
      </c>
      <c r="BH128" s="350"/>
      <c r="BI128" s="350"/>
      <c r="BJ128" s="350"/>
      <c r="BK128" s="350"/>
      <c r="BL128" s="351"/>
      <c r="BM128" s="798">
        <f>COUNTIFS(TRAINING!D14:D4989,"Other (Specify in Notes)", TRAINING!AU14:AU4989,"YES")</f>
        <v>0</v>
      </c>
      <c r="BN128" s="350"/>
      <c r="BO128" s="350"/>
      <c r="BP128" s="350"/>
      <c r="BQ128" s="350"/>
      <c r="BR128" s="351"/>
      <c r="BS128" s="798">
        <f>COUNTIFS(TRAINING!D14:D4989,"Other (Specify in Notes)", TRAINING!AV14:AV4989,"YES")</f>
        <v>0</v>
      </c>
      <c r="BT128" s="350"/>
      <c r="BU128" s="350"/>
      <c r="BV128" s="350"/>
      <c r="BW128" s="350"/>
      <c r="BX128" s="351"/>
      <c r="BY128" s="798">
        <f>COUNTIFS(TRAINING!D14:D4989,"Other (Specify in Notes)", TRAINING!AW14:AW4989,"YES")</f>
        <v>0</v>
      </c>
      <c r="BZ128" s="350"/>
      <c r="CA128" s="350"/>
      <c r="CB128" s="350"/>
      <c r="CC128" s="350"/>
      <c r="CD128" s="351"/>
      <c r="CE128" s="737">
        <f>COUNTIFS(TRAINING!D14:D4989,"Other (Specify in Notes)", TRAINING!AX14:AX4989,"YES")</f>
        <v>0</v>
      </c>
      <c r="CF128" s="350"/>
      <c r="CG128" s="350"/>
      <c r="CH128" s="350"/>
      <c r="CI128" s="350"/>
      <c r="CJ128" s="351"/>
      <c r="CK128" s="737">
        <f>COUNTIFS(TRAINING!D14:D4989,"Other (Specify in Notes)", TRAINING!AY14:AY4989,"YES")</f>
        <v>0</v>
      </c>
      <c r="CL128" s="350"/>
      <c r="CM128" s="350"/>
      <c r="CN128" s="350"/>
      <c r="CO128" s="350"/>
      <c r="CP128" s="351"/>
      <c r="CQ128" s="165"/>
      <c r="CR128" s="108"/>
      <c r="CS128" s="108"/>
      <c r="CT128" s="108"/>
      <c r="CU128" s="108"/>
      <c r="CV128" s="108"/>
    </row>
    <row r="129" spans="1:100" ht="15.75" customHeight="1">
      <c r="A129" s="412"/>
      <c r="B129" s="350"/>
      <c r="C129" s="350"/>
      <c r="D129" s="350"/>
      <c r="E129" s="350"/>
      <c r="F129" s="350"/>
      <c r="G129" s="350"/>
      <c r="H129" s="350"/>
      <c r="I129" s="350"/>
      <c r="J129" s="350"/>
      <c r="K129" s="350"/>
      <c r="L129" s="350"/>
      <c r="M129" s="350"/>
      <c r="N129" s="350"/>
      <c r="O129" s="350"/>
      <c r="P129" s="350"/>
      <c r="Q129" s="350"/>
      <c r="R129" s="350"/>
      <c r="S129" s="350"/>
      <c r="T129" s="350"/>
      <c r="U129" s="350"/>
      <c r="V129" s="351"/>
      <c r="W129" s="798"/>
      <c r="X129" s="350"/>
      <c r="Y129" s="350"/>
      <c r="Z129" s="350"/>
      <c r="AA129" s="350"/>
      <c r="AB129" s="351"/>
      <c r="AC129" s="798"/>
      <c r="AD129" s="350"/>
      <c r="AE129" s="350"/>
      <c r="AF129" s="350"/>
      <c r="AG129" s="350"/>
      <c r="AH129" s="351"/>
      <c r="AI129" s="798"/>
      <c r="AJ129" s="350"/>
      <c r="AK129" s="350"/>
      <c r="AL129" s="350"/>
      <c r="AM129" s="350"/>
      <c r="AN129" s="351"/>
      <c r="AO129" s="412"/>
      <c r="AP129" s="350"/>
      <c r="AQ129" s="350"/>
      <c r="AR129" s="350"/>
      <c r="AS129" s="350"/>
      <c r="AT129" s="351"/>
      <c r="AU129" s="412"/>
      <c r="AV129" s="350"/>
      <c r="AW129" s="350"/>
      <c r="AX129" s="350"/>
      <c r="AY129" s="350"/>
      <c r="AZ129" s="351"/>
      <c r="BA129" s="412"/>
      <c r="BB129" s="350"/>
      <c r="BC129" s="350"/>
      <c r="BD129" s="350"/>
      <c r="BE129" s="350"/>
      <c r="BF129" s="351"/>
      <c r="BG129" s="798"/>
      <c r="BH129" s="350"/>
      <c r="BI129" s="350"/>
      <c r="BJ129" s="350"/>
      <c r="BK129" s="350"/>
      <c r="BL129" s="351"/>
      <c r="BM129" s="798"/>
      <c r="BN129" s="350"/>
      <c r="BO129" s="350"/>
      <c r="BP129" s="350"/>
      <c r="BQ129" s="350"/>
      <c r="BR129" s="351"/>
      <c r="BS129" s="798"/>
      <c r="BT129" s="350"/>
      <c r="BU129" s="350"/>
      <c r="BV129" s="350"/>
      <c r="BW129" s="350"/>
      <c r="BX129" s="351"/>
      <c r="BY129" s="798"/>
      <c r="BZ129" s="350"/>
      <c r="CA129" s="350"/>
      <c r="CB129" s="350"/>
      <c r="CC129" s="350"/>
      <c r="CD129" s="351"/>
      <c r="CE129" s="798"/>
      <c r="CF129" s="350"/>
      <c r="CG129" s="350"/>
      <c r="CH129" s="350"/>
      <c r="CI129" s="350"/>
      <c r="CJ129" s="351"/>
      <c r="CK129" s="798"/>
      <c r="CL129" s="350"/>
      <c r="CM129" s="350"/>
      <c r="CN129" s="350"/>
      <c r="CO129" s="350"/>
      <c r="CP129" s="351"/>
      <c r="CQ129" s="103"/>
    </row>
    <row r="130" spans="1:100" ht="15.75" customHeight="1">
      <c r="A130" s="756" t="s">
        <v>574</v>
      </c>
      <c r="B130" s="350"/>
      <c r="C130" s="350"/>
      <c r="D130" s="350"/>
      <c r="E130" s="350"/>
      <c r="F130" s="350"/>
      <c r="G130" s="350"/>
      <c r="H130" s="350"/>
      <c r="I130" s="350"/>
      <c r="J130" s="350"/>
      <c r="K130" s="350"/>
      <c r="L130" s="350"/>
      <c r="M130" s="350"/>
      <c r="N130" s="350"/>
      <c r="O130" s="350"/>
      <c r="P130" s="350"/>
      <c r="Q130" s="350"/>
      <c r="R130" s="350"/>
      <c r="S130" s="350"/>
      <c r="T130" s="350"/>
      <c r="U130" s="350"/>
      <c r="V130" s="351"/>
      <c r="W130" s="883">
        <f>SUM(W125:W129)</f>
        <v>0</v>
      </c>
      <c r="X130" s="350"/>
      <c r="Y130" s="350"/>
      <c r="Z130" s="350"/>
      <c r="AA130" s="350"/>
      <c r="AB130" s="351"/>
      <c r="AC130" s="905">
        <f>SUM(AC125:AC129)</f>
        <v>0</v>
      </c>
      <c r="AD130" s="350"/>
      <c r="AE130" s="350"/>
      <c r="AF130" s="350"/>
      <c r="AG130" s="350"/>
      <c r="AH130" s="351"/>
      <c r="AI130" s="905">
        <f>SUM(AI125:AI129)</f>
        <v>0</v>
      </c>
      <c r="AJ130" s="350"/>
      <c r="AK130" s="350"/>
      <c r="AL130" s="350"/>
      <c r="AM130" s="350"/>
      <c r="AN130" s="351"/>
      <c r="AO130" s="882">
        <f>SUM(AO125:AO129)</f>
        <v>0</v>
      </c>
      <c r="AP130" s="350"/>
      <c r="AQ130" s="350"/>
      <c r="AR130" s="350"/>
      <c r="AS130" s="350"/>
      <c r="AT130" s="351"/>
      <c r="AU130" s="882">
        <f>SUM(AU125:AU129)</f>
        <v>0</v>
      </c>
      <c r="AV130" s="350"/>
      <c r="AW130" s="350"/>
      <c r="AX130" s="350"/>
      <c r="AY130" s="350"/>
      <c r="AZ130" s="351"/>
      <c r="BA130" s="882">
        <f>SUM(BA125:BA129)</f>
        <v>0</v>
      </c>
      <c r="BB130" s="350"/>
      <c r="BC130" s="350"/>
      <c r="BD130" s="350"/>
      <c r="BE130" s="350"/>
      <c r="BF130" s="351"/>
      <c r="BG130" s="882">
        <f>SUM(BG125:BG129)</f>
        <v>0</v>
      </c>
      <c r="BH130" s="350"/>
      <c r="BI130" s="350"/>
      <c r="BJ130" s="350"/>
      <c r="BK130" s="350"/>
      <c r="BL130" s="351"/>
      <c r="BM130" s="882">
        <f>SUM(BM125:BM129)</f>
        <v>0</v>
      </c>
      <c r="BN130" s="350"/>
      <c r="BO130" s="350"/>
      <c r="BP130" s="350"/>
      <c r="BQ130" s="350"/>
      <c r="BR130" s="351"/>
      <c r="BS130" s="882">
        <f>SUM(BS125:BS129)</f>
        <v>0</v>
      </c>
      <c r="BT130" s="350"/>
      <c r="BU130" s="350"/>
      <c r="BV130" s="350"/>
      <c r="BW130" s="350"/>
      <c r="BX130" s="351"/>
      <c r="BY130" s="883">
        <f>SUM(BY125:BY129)</f>
        <v>0</v>
      </c>
      <c r="BZ130" s="350"/>
      <c r="CA130" s="350"/>
      <c r="CB130" s="350"/>
      <c r="CC130" s="350"/>
      <c r="CD130" s="351"/>
      <c r="CE130" s="882">
        <f>SUM(CE125:CE129)</f>
        <v>0</v>
      </c>
      <c r="CF130" s="350"/>
      <c r="CG130" s="350"/>
      <c r="CH130" s="350"/>
      <c r="CI130" s="350"/>
      <c r="CJ130" s="351"/>
      <c r="CK130" s="882">
        <f>SUM(CK125:CK129)</f>
        <v>0</v>
      </c>
      <c r="CL130" s="350"/>
      <c r="CM130" s="350"/>
      <c r="CN130" s="350"/>
      <c r="CO130" s="350"/>
      <c r="CP130" s="351"/>
      <c r="CQ130" s="166"/>
      <c r="CR130" s="167"/>
      <c r="CS130" s="167"/>
      <c r="CT130" s="167"/>
      <c r="CU130" s="167"/>
      <c r="CV130" s="167"/>
    </row>
    <row r="131" spans="1:100" ht="15.75" customHeight="1">
      <c r="I131" s="108"/>
    </row>
    <row r="132" spans="1:100" ht="15.75" customHeight="1">
      <c r="I132" s="108"/>
    </row>
    <row r="133" spans="1:100" ht="34.5" customHeight="1">
      <c r="A133" s="908" t="s">
        <v>657</v>
      </c>
      <c r="B133" s="350"/>
      <c r="C133" s="350"/>
      <c r="D133" s="350"/>
      <c r="E133" s="350"/>
      <c r="F133" s="350"/>
      <c r="G133" s="350"/>
      <c r="H133" s="350"/>
      <c r="I133" s="350"/>
      <c r="J133" s="350"/>
      <c r="K133" s="350"/>
      <c r="L133" s="350"/>
      <c r="M133" s="350"/>
      <c r="N133" s="350"/>
      <c r="O133" s="350"/>
      <c r="P133" s="350"/>
      <c r="Q133" s="350"/>
      <c r="R133" s="350"/>
      <c r="S133" s="350"/>
      <c r="T133" s="350"/>
      <c r="U133" s="350"/>
      <c r="V133" s="351"/>
      <c r="W133" s="906" t="s">
        <v>658</v>
      </c>
      <c r="X133" s="350"/>
      <c r="Y133" s="350"/>
      <c r="Z133" s="350"/>
      <c r="AA133" s="350"/>
      <c r="AB133" s="351"/>
      <c r="AC133" s="906" t="s">
        <v>457</v>
      </c>
      <c r="AD133" s="350"/>
      <c r="AE133" s="350"/>
      <c r="AF133" s="350"/>
      <c r="AG133" s="350"/>
      <c r="AH133" s="351"/>
      <c r="AI133" s="906" t="s">
        <v>458</v>
      </c>
      <c r="AJ133" s="350"/>
      <c r="AK133" s="350"/>
      <c r="AL133" s="350"/>
      <c r="AM133" s="350"/>
      <c r="AN133" s="351"/>
      <c r="AO133" s="906" t="s">
        <v>459</v>
      </c>
      <c r="AP133" s="350"/>
      <c r="AQ133" s="350"/>
      <c r="AR133" s="350"/>
      <c r="AS133" s="350"/>
      <c r="AT133" s="351"/>
      <c r="AU133" s="906" t="s">
        <v>460</v>
      </c>
      <c r="AV133" s="350"/>
      <c r="AW133" s="350"/>
      <c r="AX133" s="350"/>
      <c r="AY133" s="350"/>
      <c r="AZ133" s="351"/>
      <c r="BA133" s="906" t="s">
        <v>461</v>
      </c>
      <c r="BB133" s="350"/>
      <c r="BC133" s="350"/>
      <c r="BD133" s="350"/>
      <c r="BE133" s="350"/>
      <c r="BF133" s="351"/>
      <c r="BG133" s="906" t="s">
        <v>462</v>
      </c>
      <c r="BH133" s="350"/>
      <c r="BI133" s="350"/>
      <c r="BJ133" s="350"/>
      <c r="BK133" s="350"/>
      <c r="BL133" s="351"/>
      <c r="BM133" s="906" t="s">
        <v>463</v>
      </c>
      <c r="BN133" s="350"/>
      <c r="BO133" s="350"/>
      <c r="BP133" s="350"/>
      <c r="BQ133" s="350"/>
      <c r="BR133" s="351"/>
      <c r="BS133" s="907" t="s">
        <v>659</v>
      </c>
      <c r="BT133" s="350"/>
      <c r="BU133" s="350"/>
      <c r="BV133" s="350"/>
      <c r="BW133" s="350"/>
      <c r="BX133" s="351"/>
    </row>
    <row r="134" spans="1:100" ht="15.75" customHeight="1">
      <c r="A134" s="412" t="s">
        <v>651</v>
      </c>
      <c r="B134" s="350"/>
      <c r="C134" s="350"/>
      <c r="D134" s="350"/>
      <c r="E134" s="350"/>
      <c r="F134" s="350"/>
      <c r="G134" s="350"/>
      <c r="H134" s="350"/>
      <c r="I134" s="350"/>
      <c r="J134" s="350"/>
      <c r="K134" s="350"/>
      <c r="L134" s="350"/>
      <c r="M134" s="350"/>
      <c r="N134" s="350"/>
      <c r="O134" s="350"/>
      <c r="P134" s="350"/>
      <c r="Q134" s="350"/>
      <c r="R134" s="350"/>
      <c r="S134" s="350"/>
      <c r="T134" s="350"/>
      <c r="U134" s="350"/>
      <c r="V134" s="351"/>
      <c r="W134" s="798">
        <f>COUNTIFS(TRAINING!D15:D5000,"Mandatory", TRAINING!AZ15:AZ5000,"YES")</f>
        <v>0</v>
      </c>
      <c r="X134" s="350"/>
      <c r="Y134" s="350"/>
      <c r="Z134" s="350"/>
      <c r="AA134" s="350"/>
      <c r="AB134" s="351"/>
      <c r="AC134" s="737">
        <f>COUNTIFS(TRAINING!D15:D5000,"Mandatory", TRAINING!BA15:BA5000,"YES")</f>
        <v>0</v>
      </c>
      <c r="AD134" s="350"/>
      <c r="AE134" s="350"/>
      <c r="AF134" s="350"/>
      <c r="AG134" s="350"/>
      <c r="AH134" s="351"/>
      <c r="AI134" s="737">
        <f>COUNTIFS(TRAINING!D15:D5000,"Mandatory", TRAINING!BB15:BB5000,"YES")</f>
        <v>0</v>
      </c>
      <c r="AJ134" s="350"/>
      <c r="AK134" s="350"/>
      <c r="AL134" s="350"/>
      <c r="AM134" s="350"/>
      <c r="AN134" s="351"/>
      <c r="AO134" s="737">
        <f>COUNTIFS(TRAINING!D15:D5000,"Mandatory", TRAINING!BC15:BC5000,"YES")</f>
        <v>0</v>
      </c>
      <c r="AP134" s="350"/>
      <c r="AQ134" s="350"/>
      <c r="AR134" s="350"/>
      <c r="AS134" s="350"/>
      <c r="AT134" s="351"/>
      <c r="AU134" s="737">
        <f>COUNTIFS(TRAINING!D15:D5000,"Mandatory", TRAINING!BD15:BD5000,"YES")</f>
        <v>0</v>
      </c>
      <c r="AV134" s="350"/>
      <c r="AW134" s="350"/>
      <c r="AX134" s="350"/>
      <c r="AY134" s="350"/>
      <c r="AZ134" s="351"/>
      <c r="BA134" s="737">
        <f>COUNTIFS(TRAINING!D15:D5000,"Mandatory", TRAINING!BE15:BE5000,"YES")</f>
        <v>0</v>
      </c>
      <c r="BB134" s="350"/>
      <c r="BC134" s="350"/>
      <c r="BD134" s="350"/>
      <c r="BE134" s="350"/>
      <c r="BF134" s="351"/>
      <c r="BG134" s="798">
        <f>COUNTIFS(TRAINING!D15:D5000,"Mandatory", TRAINING!BF15:BF5000,"YES")</f>
        <v>0</v>
      </c>
      <c r="BH134" s="350"/>
      <c r="BI134" s="350"/>
      <c r="BJ134" s="350"/>
      <c r="BK134" s="350"/>
      <c r="BL134" s="351"/>
      <c r="BM134" s="798">
        <f>COUNTIFS(TRAINING!D15:D5000,"Mandatory", TRAINING!BG15:BG5000,"YES")</f>
        <v>0</v>
      </c>
      <c r="BN134" s="350"/>
      <c r="BO134" s="350"/>
      <c r="BP134" s="350"/>
      <c r="BQ134" s="350"/>
      <c r="BR134" s="351"/>
      <c r="BS134" s="798">
        <f>COUNTIFS(TRAINING!D15:D5000,"Mandatory", TRAINING!BH15:BH5000,"YES")</f>
        <v>0</v>
      </c>
      <c r="BT134" s="350"/>
      <c r="BU134" s="350"/>
      <c r="BV134" s="350"/>
      <c r="BW134" s="350"/>
      <c r="BX134" s="351"/>
    </row>
    <row r="135" spans="1:100" ht="15.75" customHeight="1">
      <c r="A135" s="412" t="s">
        <v>652</v>
      </c>
      <c r="B135" s="350"/>
      <c r="C135" s="350"/>
      <c r="D135" s="350"/>
      <c r="E135" s="350"/>
      <c r="F135" s="350"/>
      <c r="G135" s="350"/>
      <c r="H135" s="350"/>
      <c r="I135" s="350"/>
      <c r="J135" s="350"/>
      <c r="K135" s="350"/>
      <c r="L135" s="350"/>
      <c r="M135" s="350"/>
      <c r="N135" s="350"/>
      <c r="O135" s="350"/>
      <c r="P135" s="350"/>
      <c r="Q135" s="350"/>
      <c r="R135" s="350"/>
      <c r="S135" s="350"/>
      <c r="T135" s="350"/>
      <c r="U135" s="350"/>
      <c r="V135" s="351"/>
      <c r="W135" s="798">
        <f>COUNTIFS(TRAINING!D15:D5000,"Evidence Based Training (EBT)", TRAINING!AZ15:AZ5000,"YES")</f>
        <v>0</v>
      </c>
      <c r="X135" s="350"/>
      <c r="Y135" s="350"/>
      <c r="Z135" s="350"/>
      <c r="AA135" s="350"/>
      <c r="AB135" s="351"/>
      <c r="AC135" s="737">
        <f>COUNTIFS(TRAINING!D15:D5000,"Evidence Based Training (EBT)", TRAINING!BA15:BA5000,"YES")</f>
        <v>0</v>
      </c>
      <c r="AD135" s="350"/>
      <c r="AE135" s="350"/>
      <c r="AF135" s="350"/>
      <c r="AG135" s="350"/>
      <c r="AH135" s="351"/>
      <c r="AI135" s="737">
        <f>COUNTIFS(TRAINING!D15:D5000,"Evidence Based Training (EBT)", TRAINING!BB15:BB5000,"YES")</f>
        <v>0</v>
      </c>
      <c r="AJ135" s="350"/>
      <c r="AK135" s="350"/>
      <c r="AL135" s="350"/>
      <c r="AM135" s="350"/>
      <c r="AN135" s="351"/>
      <c r="AO135" s="737">
        <f>COUNTIFS(TRAINING!D15:D5000,"Evidence Based Training (EBT)", TRAINING!BC15:BC5000,"YES")</f>
        <v>0</v>
      </c>
      <c r="AP135" s="350"/>
      <c r="AQ135" s="350"/>
      <c r="AR135" s="350"/>
      <c r="AS135" s="350"/>
      <c r="AT135" s="351"/>
      <c r="AU135" s="737">
        <f>COUNTIFS(TRAINING!D15:D5000,"Evidence Based Training (EBT)", TRAINING!BD15:BD5000,"YES")</f>
        <v>0</v>
      </c>
      <c r="AV135" s="350"/>
      <c r="AW135" s="350"/>
      <c r="AX135" s="350"/>
      <c r="AY135" s="350"/>
      <c r="AZ135" s="351"/>
      <c r="BA135" s="737">
        <f>COUNTIFS(TRAINING!D15:D5000,"Evidence Based Training (EBT)", TRAINING!BE15:BE5000,"YES")</f>
        <v>0</v>
      </c>
      <c r="BB135" s="350"/>
      <c r="BC135" s="350"/>
      <c r="BD135" s="350"/>
      <c r="BE135" s="350"/>
      <c r="BF135" s="351"/>
      <c r="BG135" s="798">
        <f>COUNTIFS(TRAINING!D15:D5000,"Evidence Based Training (EBT)", TRAINING!BF15:BF5000,"YES")</f>
        <v>0</v>
      </c>
      <c r="BH135" s="350"/>
      <c r="BI135" s="350"/>
      <c r="BJ135" s="350"/>
      <c r="BK135" s="350"/>
      <c r="BL135" s="351"/>
      <c r="BM135" s="798">
        <f>COUNTIFS(TRAINING!D15:D5000,"Evidence Based Training (EBT)", TRAINING!BG15:BG5000,"YES")</f>
        <v>0</v>
      </c>
      <c r="BN135" s="350"/>
      <c r="BO135" s="350"/>
      <c r="BP135" s="350"/>
      <c r="BQ135" s="350"/>
      <c r="BR135" s="351"/>
      <c r="BS135" s="798">
        <f>COUNTIFS(TRAINING!D15:D5000,"Evidence Based Training (EBT)", TRAINING!BH15:BH5000,"YES")</f>
        <v>0</v>
      </c>
      <c r="BT135" s="350"/>
      <c r="BU135" s="350"/>
      <c r="BV135" s="350"/>
      <c r="BW135" s="350"/>
      <c r="BX135" s="351"/>
    </row>
    <row r="136" spans="1:100" ht="15.75" customHeight="1">
      <c r="A136" s="412" t="s">
        <v>653</v>
      </c>
      <c r="B136" s="350"/>
      <c r="C136" s="350"/>
      <c r="D136" s="350"/>
      <c r="E136" s="350"/>
      <c r="F136" s="350"/>
      <c r="G136" s="350"/>
      <c r="H136" s="350"/>
      <c r="I136" s="350"/>
      <c r="J136" s="350"/>
      <c r="K136" s="350"/>
      <c r="L136" s="350"/>
      <c r="M136" s="350"/>
      <c r="N136" s="350"/>
      <c r="O136" s="350"/>
      <c r="P136" s="350"/>
      <c r="Q136" s="350"/>
      <c r="R136" s="350"/>
      <c r="S136" s="350"/>
      <c r="T136" s="350"/>
      <c r="U136" s="350"/>
      <c r="V136" s="351"/>
      <c r="W136" s="798">
        <f>COUNTIFS(TRAINING!D15:D5000,"Both Mandatory and EBT", TRAINING!AZ15:AZ5000,"YES")</f>
        <v>0</v>
      </c>
      <c r="X136" s="350"/>
      <c r="Y136" s="350"/>
      <c r="Z136" s="350"/>
      <c r="AA136" s="350"/>
      <c r="AB136" s="351"/>
      <c r="AC136" s="737">
        <f>COUNTIFS(TRAINING!D15:D5000,"Both Mandatory and EBT", TRAINING!BA15:BA5000,"YES")</f>
        <v>0</v>
      </c>
      <c r="AD136" s="350"/>
      <c r="AE136" s="350"/>
      <c r="AF136" s="350"/>
      <c r="AG136" s="350"/>
      <c r="AH136" s="351"/>
      <c r="AI136" s="737">
        <f>COUNTIFS(TRAINING!D15:D5000,"Both Mandatory and EBT", TRAINING!BB15:BB5000,"YES")</f>
        <v>0</v>
      </c>
      <c r="AJ136" s="350"/>
      <c r="AK136" s="350"/>
      <c r="AL136" s="350"/>
      <c r="AM136" s="350"/>
      <c r="AN136" s="351"/>
      <c r="AO136" s="737">
        <f>COUNTIFS(TRAINING!D15:D5000,"Both Mandatory and EBT", TRAINING!BC15:BC5000,"YES")</f>
        <v>0</v>
      </c>
      <c r="AP136" s="350"/>
      <c r="AQ136" s="350"/>
      <c r="AR136" s="350"/>
      <c r="AS136" s="350"/>
      <c r="AT136" s="351"/>
      <c r="AU136" s="737">
        <f>COUNTIFS(TRAINING!D15:D5000,"Both Mandatory and EBT", TRAINING!BD15:BD5000,"YES")</f>
        <v>0</v>
      </c>
      <c r="AV136" s="350"/>
      <c r="AW136" s="350"/>
      <c r="AX136" s="350"/>
      <c r="AY136" s="350"/>
      <c r="AZ136" s="351"/>
      <c r="BA136" s="737">
        <f>COUNTIFS(TRAINING!D15:D5000,"Both Mandatory and EBT", TRAINING!BE15:BE5000,"YES")</f>
        <v>0</v>
      </c>
      <c r="BB136" s="350"/>
      <c r="BC136" s="350"/>
      <c r="BD136" s="350"/>
      <c r="BE136" s="350"/>
      <c r="BF136" s="351"/>
      <c r="BG136" s="798">
        <f>COUNTIFS(TRAINING!D15:D5000,"Both Mandatory and EBT", TRAINING!BF15:BF5000,"YES")</f>
        <v>0</v>
      </c>
      <c r="BH136" s="350"/>
      <c r="BI136" s="350"/>
      <c r="BJ136" s="350"/>
      <c r="BK136" s="350"/>
      <c r="BL136" s="351"/>
      <c r="BM136" s="798">
        <f>COUNTIFS(TRAINING!D15:D5000,"Both Mandatory and EBT", TRAINING!BG15:BG5000,"YES")</f>
        <v>0</v>
      </c>
      <c r="BN136" s="350"/>
      <c r="BO136" s="350"/>
      <c r="BP136" s="350"/>
      <c r="BQ136" s="350"/>
      <c r="BR136" s="351"/>
      <c r="BS136" s="798">
        <f>COUNTIFS(TRAINING!D15:D5000,"Both Mandatory and EBT", TRAINING!BH15:BH5000,"YES")</f>
        <v>0</v>
      </c>
      <c r="BT136" s="350"/>
      <c r="BU136" s="350"/>
      <c r="BV136" s="350"/>
      <c r="BW136" s="350"/>
      <c r="BX136" s="351"/>
    </row>
    <row r="137" spans="1:100" ht="15.75" customHeight="1">
      <c r="A137" s="412" t="s">
        <v>654</v>
      </c>
      <c r="B137" s="350"/>
      <c r="C137" s="350"/>
      <c r="D137" s="350"/>
      <c r="E137" s="350"/>
      <c r="F137" s="350"/>
      <c r="G137" s="350"/>
      <c r="H137" s="350"/>
      <c r="I137" s="350"/>
      <c r="J137" s="350"/>
      <c r="K137" s="350"/>
      <c r="L137" s="350"/>
      <c r="M137" s="350"/>
      <c r="N137" s="350"/>
      <c r="O137" s="350"/>
      <c r="P137" s="350"/>
      <c r="Q137" s="350"/>
      <c r="R137" s="350"/>
      <c r="S137" s="350"/>
      <c r="T137" s="350"/>
      <c r="U137" s="350"/>
      <c r="V137" s="351"/>
      <c r="W137" s="798">
        <f>COUNTIFS(TRAINING!D15:D5000,"Other (Specify in Notes)", TRAINING!AZ15:AZ5000,"YES")</f>
        <v>0</v>
      </c>
      <c r="X137" s="350"/>
      <c r="Y137" s="350"/>
      <c r="Z137" s="350"/>
      <c r="AA137" s="350"/>
      <c r="AB137" s="351"/>
      <c r="AC137" s="737">
        <f>COUNTIFS(TRAINING!D15:D5000,"Other (Specify in Notes)", TRAINING!BA15:BA5000,"YES")</f>
        <v>0</v>
      </c>
      <c r="AD137" s="350"/>
      <c r="AE137" s="350"/>
      <c r="AF137" s="350"/>
      <c r="AG137" s="350"/>
      <c r="AH137" s="351"/>
      <c r="AI137" s="737">
        <f>COUNTIFS(TRAINING!D15:D5000,"Other (Specify in Notes)", TRAINING!BB15:BB5000,"YES")</f>
        <v>0</v>
      </c>
      <c r="AJ137" s="350"/>
      <c r="AK137" s="350"/>
      <c r="AL137" s="350"/>
      <c r="AM137" s="350"/>
      <c r="AN137" s="351"/>
      <c r="AO137" s="737">
        <f>COUNTIFS(TRAINING!D15:D5000,"Other (Specify in Notes)", TRAINING!BC15:BC5000,"YES")</f>
        <v>0</v>
      </c>
      <c r="AP137" s="350"/>
      <c r="AQ137" s="350"/>
      <c r="AR137" s="350"/>
      <c r="AS137" s="350"/>
      <c r="AT137" s="351"/>
      <c r="AU137" s="737">
        <f>COUNTIFS(TRAINING!D15:D5000,"Other (Specify in Notes)", TRAINING!BD15:BD5000,"YES")</f>
        <v>0</v>
      </c>
      <c r="AV137" s="350"/>
      <c r="AW137" s="350"/>
      <c r="AX137" s="350"/>
      <c r="AY137" s="350"/>
      <c r="AZ137" s="351"/>
      <c r="BA137" s="737">
        <f>COUNTIFS(TRAINING!D15:D5000,"Other (Specify in Notes)", TRAINING!BE15:BE5000,"YES")</f>
        <v>0</v>
      </c>
      <c r="BB137" s="350"/>
      <c r="BC137" s="350"/>
      <c r="BD137" s="350"/>
      <c r="BE137" s="350"/>
      <c r="BF137" s="351"/>
      <c r="BG137" s="798">
        <f>COUNTIFS(TRAINING!D15:D5000,"Other (Specify in Notes)", TRAINING!BF15:BF5000,"YES")</f>
        <v>0</v>
      </c>
      <c r="BH137" s="350"/>
      <c r="BI137" s="350"/>
      <c r="BJ137" s="350"/>
      <c r="BK137" s="350"/>
      <c r="BL137" s="351"/>
      <c r="BM137" s="798">
        <f>COUNTIFS(TRAINING!D15:D5000,"Other (Specify in Notes)", TRAINING!BG15:BG5000,"YES")</f>
        <v>0</v>
      </c>
      <c r="BN137" s="350"/>
      <c r="BO137" s="350"/>
      <c r="BP137" s="350"/>
      <c r="BQ137" s="350"/>
      <c r="BR137" s="351"/>
      <c r="BS137" s="798">
        <f>COUNTIFS(TRAINING!D15:D5000,"Other (Specify in Notes)", TRAINING!BH15:BH5000,"YES")</f>
        <v>0</v>
      </c>
      <c r="BT137" s="350"/>
      <c r="BU137" s="350"/>
      <c r="BV137" s="350"/>
      <c r="BW137" s="350"/>
      <c r="BX137" s="351"/>
    </row>
    <row r="138" spans="1:100" ht="15.75" customHeight="1">
      <c r="A138" s="412"/>
      <c r="B138" s="350"/>
      <c r="C138" s="350"/>
      <c r="D138" s="350"/>
      <c r="E138" s="350"/>
      <c r="F138" s="350"/>
      <c r="G138" s="350"/>
      <c r="H138" s="350"/>
      <c r="I138" s="350"/>
      <c r="J138" s="350"/>
      <c r="K138" s="350"/>
      <c r="L138" s="350"/>
      <c r="M138" s="350"/>
      <c r="N138" s="350"/>
      <c r="O138" s="350"/>
      <c r="P138" s="350"/>
      <c r="Q138" s="350"/>
      <c r="R138" s="350"/>
      <c r="S138" s="350"/>
      <c r="T138" s="350"/>
      <c r="U138" s="350"/>
      <c r="V138" s="351"/>
      <c r="W138" s="798"/>
      <c r="X138" s="350"/>
      <c r="Y138" s="350"/>
      <c r="Z138" s="350"/>
      <c r="AA138" s="350"/>
      <c r="AB138" s="351"/>
      <c r="AC138" s="798"/>
      <c r="AD138" s="350"/>
      <c r="AE138" s="350"/>
      <c r="AF138" s="350"/>
      <c r="AG138" s="350"/>
      <c r="AH138" s="351"/>
      <c r="AI138" s="798"/>
      <c r="AJ138" s="350"/>
      <c r="AK138" s="350"/>
      <c r="AL138" s="350"/>
      <c r="AM138" s="350"/>
      <c r="AN138" s="351"/>
      <c r="AO138" s="412"/>
      <c r="AP138" s="350"/>
      <c r="AQ138" s="350"/>
      <c r="AR138" s="350"/>
      <c r="AS138" s="350"/>
      <c r="AT138" s="351"/>
      <c r="AU138" s="412"/>
      <c r="AV138" s="350"/>
      <c r="AW138" s="350"/>
      <c r="AX138" s="350"/>
      <c r="AY138" s="350"/>
      <c r="AZ138" s="351"/>
      <c r="BA138" s="412"/>
      <c r="BB138" s="350"/>
      <c r="BC138" s="350"/>
      <c r="BD138" s="350"/>
      <c r="BE138" s="350"/>
      <c r="BF138" s="351"/>
      <c r="BG138" s="798"/>
      <c r="BH138" s="350"/>
      <c r="BI138" s="350"/>
      <c r="BJ138" s="350"/>
      <c r="BK138" s="350"/>
      <c r="BL138" s="351"/>
      <c r="BM138" s="798"/>
      <c r="BN138" s="350"/>
      <c r="BO138" s="350"/>
      <c r="BP138" s="350"/>
      <c r="BQ138" s="350"/>
      <c r="BR138" s="351"/>
      <c r="BS138" s="798"/>
      <c r="BT138" s="350"/>
      <c r="BU138" s="350"/>
      <c r="BV138" s="350"/>
      <c r="BW138" s="350"/>
      <c r="BX138" s="351"/>
    </row>
    <row r="139" spans="1:100" ht="15.75" customHeight="1">
      <c r="A139" s="902" t="s">
        <v>574</v>
      </c>
      <c r="B139" s="350"/>
      <c r="C139" s="350"/>
      <c r="D139" s="350"/>
      <c r="E139" s="350"/>
      <c r="F139" s="350"/>
      <c r="G139" s="350"/>
      <c r="H139" s="350"/>
      <c r="I139" s="350"/>
      <c r="J139" s="350"/>
      <c r="K139" s="350"/>
      <c r="L139" s="350"/>
      <c r="M139" s="350"/>
      <c r="N139" s="350"/>
      <c r="O139" s="350"/>
      <c r="P139" s="350"/>
      <c r="Q139" s="350"/>
      <c r="R139" s="350"/>
      <c r="S139" s="350"/>
      <c r="T139" s="350"/>
      <c r="U139" s="350"/>
      <c r="V139" s="351"/>
      <c r="W139" s="910">
        <f>SUM(W134:W138)</f>
        <v>0</v>
      </c>
      <c r="X139" s="350"/>
      <c r="Y139" s="350"/>
      <c r="Z139" s="350"/>
      <c r="AA139" s="350"/>
      <c r="AB139" s="351"/>
      <c r="AC139" s="911">
        <f>SUM(AC134:AC138)</f>
        <v>0</v>
      </c>
      <c r="AD139" s="350"/>
      <c r="AE139" s="350"/>
      <c r="AF139" s="350"/>
      <c r="AG139" s="350"/>
      <c r="AH139" s="351"/>
      <c r="AI139" s="911">
        <f>SUM(AI134:AI138)</f>
        <v>0</v>
      </c>
      <c r="AJ139" s="350"/>
      <c r="AK139" s="350"/>
      <c r="AL139" s="350"/>
      <c r="AM139" s="350"/>
      <c r="AN139" s="351"/>
      <c r="AO139" s="909">
        <f>SUM(AO134:AO138)</f>
        <v>0</v>
      </c>
      <c r="AP139" s="350"/>
      <c r="AQ139" s="350"/>
      <c r="AR139" s="350"/>
      <c r="AS139" s="350"/>
      <c r="AT139" s="351"/>
      <c r="AU139" s="909">
        <f>SUM(AU134:AU138)</f>
        <v>0</v>
      </c>
      <c r="AV139" s="350"/>
      <c r="AW139" s="350"/>
      <c r="AX139" s="350"/>
      <c r="AY139" s="350"/>
      <c r="AZ139" s="351"/>
      <c r="BA139" s="909">
        <f>SUM(BA134:BA138)</f>
        <v>0</v>
      </c>
      <c r="BB139" s="350"/>
      <c r="BC139" s="350"/>
      <c r="BD139" s="350"/>
      <c r="BE139" s="350"/>
      <c r="BF139" s="351"/>
      <c r="BG139" s="909">
        <f>SUM(BG134:BG138)</f>
        <v>0</v>
      </c>
      <c r="BH139" s="350"/>
      <c r="BI139" s="350"/>
      <c r="BJ139" s="350"/>
      <c r="BK139" s="350"/>
      <c r="BL139" s="351"/>
      <c r="BM139" s="909">
        <f>SUM(BM134:BM138)</f>
        <v>0</v>
      </c>
      <c r="BN139" s="350"/>
      <c r="BO139" s="350"/>
      <c r="BP139" s="350"/>
      <c r="BQ139" s="350"/>
      <c r="BR139" s="351"/>
      <c r="BS139" s="909">
        <f>SUM(BS134:BS138)</f>
        <v>0</v>
      </c>
      <c r="BT139" s="350"/>
      <c r="BU139" s="350"/>
      <c r="BV139" s="350"/>
      <c r="BW139" s="350"/>
      <c r="BX139" s="351"/>
    </row>
    <row r="140" spans="1:100" ht="15.75" customHeight="1">
      <c r="I140" s="108"/>
    </row>
    <row r="141" spans="1:100" ht="15.75" customHeight="1">
      <c r="A141" s="912" t="s">
        <v>660</v>
      </c>
      <c r="B141" s="381"/>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c r="CN141" s="381"/>
      <c r="CO141" s="381"/>
      <c r="CP141" s="381"/>
      <c r="CQ141" s="381"/>
      <c r="CR141" s="381"/>
      <c r="CS141" s="381"/>
      <c r="CT141" s="381"/>
      <c r="CU141" s="381"/>
      <c r="CV141" s="428"/>
    </row>
    <row r="142" spans="1:100" ht="15.75" customHeight="1">
      <c r="A142" s="168"/>
      <c r="B142" s="168"/>
      <c r="C142" s="168"/>
      <c r="D142" s="168"/>
      <c r="E142" s="168"/>
      <c r="F142" s="168"/>
      <c r="G142" s="168"/>
      <c r="H142" s="168"/>
      <c r="I142" s="169"/>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c r="CE142" s="168"/>
      <c r="CF142" s="168"/>
      <c r="CG142" s="168"/>
      <c r="CH142" s="168"/>
      <c r="CI142" s="168"/>
      <c r="CJ142" s="168"/>
      <c r="CK142" s="168"/>
      <c r="CL142" s="168"/>
      <c r="CM142" s="168"/>
      <c r="CN142" s="168"/>
      <c r="CO142" s="168"/>
      <c r="CP142" s="168"/>
      <c r="CQ142" s="168"/>
      <c r="CR142" s="168"/>
      <c r="CS142" s="168"/>
      <c r="CT142" s="168"/>
      <c r="CU142" s="168"/>
      <c r="CV142" s="168"/>
    </row>
    <row r="143" spans="1:100" ht="15.75" customHeight="1">
      <c r="A143" s="891" t="s">
        <v>661</v>
      </c>
      <c r="B143" s="381"/>
      <c r="C143" s="381"/>
      <c r="D143" s="381"/>
      <c r="E143" s="381"/>
      <c r="F143" s="381"/>
      <c r="G143" s="381"/>
      <c r="H143" s="381"/>
      <c r="I143" s="381"/>
      <c r="J143" s="381"/>
      <c r="K143" s="381"/>
      <c r="L143" s="381"/>
      <c r="M143" s="381"/>
      <c r="N143" s="381"/>
      <c r="O143" s="381"/>
      <c r="P143" s="381"/>
      <c r="Q143" s="381"/>
      <c r="R143" s="381"/>
      <c r="S143" s="381"/>
      <c r="T143" s="381"/>
      <c r="U143" s="428"/>
      <c r="V143" s="168"/>
      <c r="W143" s="168"/>
      <c r="X143" s="891" t="s">
        <v>662</v>
      </c>
      <c r="Y143" s="381"/>
      <c r="Z143" s="381"/>
      <c r="AA143" s="381"/>
      <c r="AB143" s="381"/>
      <c r="AC143" s="381"/>
      <c r="AD143" s="381"/>
      <c r="AE143" s="381"/>
      <c r="AF143" s="381"/>
      <c r="AG143" s="381"/>
      <c r="AH143" s="381"/>
      <c r="AI143" s="381"/>
      <c r="AJ143" s="381"/>
      <c r="AK143" s="381"/>
      <c r="AL143" s="381"/>
      <c r="AM143" s="381"/>
      <c r="AN143" s="381"/>
      <c r="AO143" s="381"/>
      <c r="AP143" s="381"/>
      <c r="AQ143" s="381"/>
      <c r="AR143" s="42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68"/>
      <c r="BR143" s="168"/>
      <c r="BS143" s="168"/>
      <c r="BT143" s="168"/>
      <c r="BU143" s="168"/>
      <c r="BV143" s="168"/>
      <c r="BW143" s="168"/>
      <c r="BX143" s="168"/>
      <c r="BY143" s="168"/>
      <c r="BZ143" s="168"/>
      <c r="CA143" s="168"/>
      <c r="CB143" s="168"/>
      <c r="CC143" s="168"/>
      <c r="CD143" s="168"/>
      <c r="CE143" s="168"/>
      <c r="CF143" s="168"/>
      <c r="CG143" s="168"/>
      <c r="CH143" s="168"/>
      <c r="CI143" s="168"/>
      <c r="CJ143" s="168"/>
      <c r="CK143" s="168"/>
      <c r="CL143" s="168"/>
      <c r="CM143" s="168"/>
      <c r="CN143" s="168"/>
      <c r="CO143" s="168"/>
      <c r="CP143" s="168"/>
      <c r="CQ143" s="168"/>
      <c r="CR143" s="168"/>
      <c r="CS143" s="168"/>
      <c r="CT143" s="168"/>
      <c r="CU143" s="168"/>
      <c r="CV143" s="168"/>
    </row>
    <row r="144" spans="1:100" ht="15.75" customHeight="1">
      <c r="A144" s="150"/>
      <c r="B144" s="150" t="s">
        <v>663</v>
      </c>
      <c r="C144" s="150"/>
      <c r="D144" s="150"/>
      <c r="E144" s="150"/>
      <c r="F144" s="150"/>
      <c r="G144" s="151"/>
      <c r="H144" s="151"/>
      <c r="I144" s="151"/>
      <c r="J144" s="151"/>
      <c r="K144" s="151"/>
      <c r="L144" s="151"/>
      <c r="M144" s="151"/>
      <c r="N144" s="151"/>
      <c r="O144" s="151"/>
      <c r="P144" s="151"/>
      <c r="Q144" s="151"/>
      <c r="R144" s="151"/>
      <c r="S144" s="151"/>
      <c r="T144" s="151"/>
      <c r="U144" s="151"/>
      <c r="V144" s="168"/>
      <c r="W144" s="168"/>
      <c r="X144" s="150"/>
      <c r="Y144" s="150" t="s">
        <v>663</v>
      </c>
      <c r="Z144" s="150"/>
      <c r="AA144" s="150"/>
      <c r="AB144" s="150"/>
      <c r="AC144" s="150"/>
      <c r="AD144" s="151"/>
      <c r="AE144" s="151"/>
      <c r="AF144" s="151"/>
      <c r="AG144" s="151"/>
      <c r="AH144" s="151"/>
      <c r="AI144" s="151"/>
      <c r="AJ144" s="151"/>
      <c r="AK144" s="151"/>
      <c r="AL144" s="151"/>
      <c r="AM144" s="151"/>
      <c r="AN144" s="151"/>
      <c r="AO144" s="151"/>
      <c r="AP144" s="151"/>
      <c r="AQ144" s="151"/>
      <c r="AR144" s="151"/>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c r="CQ144" s="168"/>
      <c r="CR144" s="168"/>
      <c r="CS144" s="168"/>
      <c r="CT144" s="168"/>
      <c r="CU144" s="168"/>
      <c r="CV144" s="168"/>
    </row>
    <row r="145" spans="1:100" ht="15.75" customHeight="1">
      <c r="A145" s="703" t="s">
        <v>498</v>
      </c>
      <c r="B145" s="350"/>
      <c r="C145" s="350"/>
      <c r="D145" s="350"/>
      <c r="E145" s="350"/>
      <c r="F145" s="350"/>
      <c r="G145" s="350"/>
      <c r="H145" s="351"/>
      <c r="I145" s="737">
        <f>COUNTIF('Naloxone Training Distribution'!R15:R4940, "YES")</f>
        <v>0</v>
      </c>
      <c r="J145" s="350"/>
      <c r="K145" s="350"/>
      <c r="L145" s="350"/>
      <c r="M145" s="350"/>
      <c r="N145" s="350"/>
      <c r="O145" s="351"/>
      <c r="P145" s="152"/>
      <c r="Q145" s="152"/>
      <c r="R145" s="152"/>
      <c r="S145" s="152"/>
      <c r="T145" s="152"/>
      <c r="U145" s="152"/>
      <c r="V145" s="168"/>
      <c r="W145" s="168"/>
      <c r="X145" s="703" t="s">
        <v>498</v>
      </c>
      <c r="Y145" s="350"/>
      <c r="Z145" s="350"/>
      <c r="AA145" s="350"/>
      <c r="AB145" s="350"/>
      <c r="AC145" s="350"/>
      <c r="AD145" s="350"/>
      <c r="AE145" s="351"/>
      <c r="AF145" s="737">
        <f>COUNTIF('Naloxone Training Distribution'!U15:U4940, "YES")</f>
        <v>0</v>
      </c>
      <c r="AG145" s="350"/>
      <c r="AH145" s="350"/>
      <c r="AI145" s="350"/>
      <c r="AJ145" s="350"/>
      <c r="AK145" s="350"/>
      <c r="AL145" s="351"/>
      <c r="AM145" s="152"/>
      <c r="AN145" s="152"/>
      <c r="AO145" s="152"/>
      <c r="AP145" s="152"/>
      <c r="AQ145" s="152"/>
      <c r="AR145" s="152"/>
      <c r="AS145" s="168"/>
      <c r="AT145" s="168"/>
      <c r="AU145" s="168"/>
      <c r="AV145" s="168"/>
      <c r="AW145" s="168"/>
      <c r="AX145" s="168"/>
      <c r="AY145" s="168"/>
      <c r="AZ145" s="168"/>
      <c r="BA145" s="168"/>
      <c r="BB145" s="168"/>
      <c r="BC145" s="168"/>
      <c r="BD145" s="168"/>
      <c r="BE145" s="168"/>
      <c r="BF145" s="168"/>
      <c r="BG145" s="168"/>
      <c r="BH145" s="168"/>
      <c r="BI145" s="168"/>
      <c r="BJ145" s="168"/>
      <c r="BK145" s="168"/>
      <c r="BL145" s="168"/>
      <c r="BM145" s="168"/>
      <c r="BN145" s="168"/>
      <c r="BO145" s="168"/>
      <c r="BP145" s="168"/>
      <c r="BQ145" s="168"/>
      <c r="BR145" s="168"/>
      <c r="BS145" s="168"/>
      <c r="BT145" s="168"/>
      <c r="BU145" s="168"/>
      <c r="BV145" s="168"/>
      <c r="BW145" s="168"/>
      <c r="BX145" s="168"/>
      <c r="BY145" s="168"/>
      <c r="BZ145" s="168"/>
      <c r="CA145" s="168"/>
      <c r="CB145" s="168"/>
      <c r="CC145" s="168"/>
      <c r="CD145" s="168"/>
      <c r="CE145" s="168"/>
      <c r="CF145" s="168"/>
      <c r="CG145" s="168"/>
      <c r="CH145" s="168"/>
      <c r="CI145" s="168"/>
      <c r="CJ145" s="168"/>
      <c r="CK145" s="168"/>
      <c r="CL145" s="168"/>
      <c r="CM145" s="168"/>
      <c r="CN145" s="168"/>
      <c r="CO145" s="168"/>
      <c r="CP145" s="168"/>
      <c r="CQ145" s="168"/>
      <c r="CR145" s="168"/>
      <c r="CS145" s="168"/>
      <c r="CT145" s="168"/>
      <c r="CU145" s="168"/>
      <c r="CV145" s="168"/>
    </row>
    <row r="146" spans="1:100" ht="15.75" customHeight="1">
      <c r="A146" s="703" t="s">
        <v>588</v>
      </c>
      <c r="B146" s="350"/>
      <c r="C146" s="350"/>
      <c r="D146" s="350"/>
      <c r="E146" s="350"/>
      <c r="F146" s="350"/>
      <c r="G146" s="350"/>
      <c r="H146" s="351"/>
      <c r="I146" s="737">
        <f>COUNTIF('Naloxone Training Distribution'!R15:R4940, "NO")</f>
        <v>0</v>
      </c>
      <c r="J146" s="350"/>
      <c r="K146" s="350"/>
      <c r="L146" s="350"/>
      <c r="M146" s="350"/>
      <c r="N146" s="350"/>
      <c r="O146" s="351"/>
      <c r="P146" s="152"/>
      <c r="Q146" s="152"/>
      <c r="R146" s="152"/>
      <c r="S146" s="152"/>
      <c r="T146" s="152"/>
      <c r="U146" s="152"/>
      <c r="V146" s="168"/>
      <c r="W146" s="168"/>
      <c r="X146" s="703" t="s">
        <v>588</v>
      </c>
      <c r="Y146" s="350"/>
      <c r="Z146" s="350"/>
      <c r="AA146" s="350"/>
      <c r="AB146" s="350"/>
      <c r="AC146" s="350"/>
      <c r="AD146" s="350"/>
      <c r="AE146" s="351"/>
      <c r="AF146" s="737">
        <f>COUNTIF('Naloxone Training Distribution'!U15:U4940, "NO")</f>
        <v>0</v>
      </c>
      <c r="AG146" s="350"/>
      <c r="AH146" s="350"/>
      <c r="AI146" s="350"/>
      <c r="AJ146" s="350"/>
      <c r="AK146" s="350"/>
      <c r="AL146" s="351"/>
      <c r="AM146" s="152"/>
      <c r="AN146" s="152"/>
      <c r="AO146" s="152"/>
      <c r="AP146" s="152"/>
      <c r="AQ146" s="152"/>
      <c r="AR146" s="152"/>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c r="CQ146" s="168"/>
      <c r="CR146" s="168"/>
      <c r="CS146" s="168"/>
      <c r="CT146" s="168"/>
      <c r="CU146" s="168"/>
      <c r="CV146" s="168"/>
    </row>
    <row r="147" spans="1:100" ht="15.75" customHeight="1">
      <c r="A147" s="703"/>
      <c r="B147" s="350"/>
      <c r="C147" s="350"/>
      <c r="D147" s="350"/>
      <c r="E147" s="350"/>
      <c r="F147" s="350"/>
      <c r="G147" s="350"/>
      <c r="H147" s="351"/>
      <c r="I147" s="737"/>
      <c r="J147" s="350"/>
      <c r="K147" s="350"/>
      <c r="L147" s="350"/>
      <c r="M147" s="350"/>
      <c r="N147" s="350"/>
      <c r="O147" s="351"/>
      <c r="P147" s="152"/>
      <c r="Q147" s="152"/>
      <c r="R147" s="152"/>
      <c r="S147" s="152"/>
      <c r="T147" s="152"/>
      <c r="U147" s="152"/>
      <c r="V147" s="168"/>
      <c r="W147" s="168"/>
      <c r="X147" s="703"/>
      <c r="Y147" s="350"/>
      <c r="Z147" s="350"/>
      <c r="AA147" s="350"/>
      <c r="AB147" s="350"/>
      <c r="AC147" s="350"/>
      <c r="AD147" s="350"/>
      <c r="AE147" s="351"/>
      <c r="AF147" s="737"/>
      <c r="AG147" s="350"/>
      <c r="AH147" s="350"/>
      <c r="AI147" s="350"/>
      <c r="AJ147" s="350"/>
      <c r="AK147" s="350"/>
      <c r="AL147" s="351"/>
      <c r="AM147" s="152"/>
      <c r="AN147" s="152"/>
      <c r="AO147" s="152"/>
      <c r="AP147" s="152"/>
      <c r="AQ147" s="152"/>
      <c r="AR147" s="152"/>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row>
    <row r="148" spans="1:100" ht="15.75" customHeight="1">
      <c r="A148" s="889" t="s">
        <v>561</v>
      </c>
      <c r="B148" s="350"/>
      <c r="C148" s="350"/>
      <c r="D148" s="350"/>
      <c r="E148" s="350"/>
      <c r="F148" s="350"/>
      <c r="G148" s="350"/>
      <c r="H148" s="351"/>
      <c r="I148" s="889">
        <f>SUM(I145:I147)</f>
        <v>0</v>
      </c>
      <c r="J148" s="350"/>
      <c r="K148" s="350"/>
      <c r="L148" s="350"/>
      <c r="M148" s="350"/>
      <c r="N148" s="350"/>
      <c r="O148" s="351"/>
      <c r="P148" s="170"/>
      <c r="Q148" s="170"/>
      <c r="R148" s="152"/>
      <c r="S148" s="152"/>
      <c r="T148" s="152"/>
      <c r="U148" s="152"/>
      <c r="V148" s="168"/>
      <c r="W148" s="168"/>
      <c r="X148" s="889" t="s">
        <v>561</v>
      </c>
      <c r="Y148" s="350"/>
      <c r="Z148" s="350"/>
      <c r="AA148" s="350"/>
      <c r="AB148" s="350"/>
      <c r="AC148" s="350"/>
      <c r="AD148" s="350"/>
      <c r="AE148" s="351"/>
      <c r="AF148" s="889">
        <f>SUM(AF145:AF147)</f>
        <v>0</v>
      </c>
      <c r="AG148" s="350"/>
      <c r="AH148" s="350"/>
      <c r="AI148" s="350"/>
      <c r="AJ148" s="350"/>
      <c r="AK148" s="350"/>
      <c r="AL148" s="351"/>
      <c r="AM148" s="152"/>
      <c r="AN148" s="152"/>
      <c r="AO148" s="152"/>
      <c r="AP148" s="152"/>
      <c r="AQ148" s="152"/>
      <c r="AR148" s="152"/>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c r="CQ148" s="168"/>
      <c r="CR148" s="168"/>
      <c r="CS148" s="168"/>
      <c r="CT148" s="168"/>
      <c r="CU148" s="168"/>
      <c r="CV148" s="168"/>
    </row>
    <row r="149" spans="1:100" ht="15.75" customHeight="1">
      <c r="I149" s="108"/>
    </row>
    <row r="150" spans="1:100" ht="15.75" customHeight="1">
      <c r="A150" s="891" t="s">
        <v>664</v>
      </c>
      <c r="B150" s="381"/>
      <c r="C150" s="381"/>
      <c r="D150" s="381"/>
      <c r="E150" s="381"/>
      <c r="F150" s="381"/>
      <c r="G150" s="381"/>
      <c r="H150" s="381"/>
      <c r="I150" s="381"/>
      <c r="J150" s="381"/>
      <c r="K150" s="381"/>
      <c r="L150" s="381"/>
      <c r="M150" s="381"/>
      <c r="N150" s="381"/>
      <c r="O150" s="381"/>
      <c r="P150" s="381"/>
      <c r="Q150" s="381"/>
      <c r="R150" s="381"/>
      <c r="S150" s="381"/>
      <c r="T150" s="381"/>
      <c r="U150" s="428"/>
      <c r="X150" s="891" t="s">
        <v>665</v>
      </c>
      <c r="Y150" s="381"/>
      <c r="Z150" s="381"/>
      <c r="AA150" s="381"/>
      <c r="AB150" s="381"/>
      <c r="AC150" s="381"/>
      <c r="AD150" s="381"/>
      <c r="AE150" s="381"/>
      <c r="AF150" s="381"/>
      <c r="AG150" s="381"/>
      <c r="AH150" s="381"/>
      <c r="AI150" s="381"/>
      <c r="AJ150" s="381"/>
      <c r="AK150" s="381"/>
      <c r="AL150" s="381"/>
      <c r="AM150" s="381"/>
      <c r="AN150" s="381"/>
      <c r="AO150" s="381"/>
      <c r="AP150" s="381"/>
      <c r="AQ150" s="381"/>
      <c r="AR150" s="428"/>
      <c r="AU150" s="891" t="s">
        <v>666</v>
      </c>
      <c r="AV150" s="381"/>
      <c r="AW150" s="381"/>
      <c r="AX150" s="381"/>
      <c r="AY150" s="381"/>
      <c r="AZ150" s="381"/>
      <c r="BA150" s="381"/>
      <c r="BB150" s="381"/>
      <c r="BC150" s="381"/>
      <c r="BD150" s="381"/>
      <c r="BE150" s="381"/>
      <c r="BF150" s="381"/>
      <c r="BG150" s="381"/>
      <c r="BH150" s="381"/>
      <c r="BI150" s="381"/>
      <c r="BJ150" s="381"/>
      <c r="BK150" s="381"/>
      <c r="BL150" s="381"/>
      <c r="BM150" s="381"/>
      <c r="BN150" s="381"/>
      <c r="BO150" s="428"/>
    </row>
    <row r="151" spans="1:100" ht="15.75" customHeight="1">
      <c r="A151" s="150"/>
      <c r="B151" s="150" t="s">
        <v>667</v>
      </c>
      <c r="C151" s="150"/>
      <c r="D151" s="150"/>
      <c r="E151" s="150"/>
      <c r="F151" s="150"/>
      <c r="G151" s="151"/>
      <c r="H151" s="151"/>
      <c r="I151" s="151"/>
      <c r="J151" s="151"/>
      <c r="K151" s="151"/>
      <c r="L151" s="151"/>
      <c r="M151" s="151"/>
      <c r="N151" s="151"/>
      <c r="O151" s="151"/>
      <c r="P151" s="151"/>
      <c r="Q151" s="151"/>
      <c r="R151" s="151"/>
      <c r="S151" s="151"/>
      <c r="T151" s="151"/>
      <c r="U151" s="151"/>
      <c r="X151" s="150"/>
      <c r="Y151" s="150" t="s">
        <v>667</v>
      </c>
      <c r="Z151" s="150"/>
      <c r="AA151" s="150"/>
      <c r="AB151" s="150"/>
      <c r="AC151" s="150"/>
      <c r="AD151" s="151"/>
      <c r="AE151" s="151"/>
      <c r="AF151" s="151"/>
      <c r="AG151" s="151"/>
      <c r="AH151" s="151"/>
      <c r="AI151" s="151"/>
      <c r="AJ151" s="151"/>
      <c r="AK151" s="151"/>
      <c r="AL151" s="151"/>
      <c r="AM151" s="151"/>
      <c r="AN151" s="151"/>
      <c r="AO151" s="151"/>
      <c r="AP151" s="151"/>
      <c r="AQ151" s="151"/>
      <c r="AR151" s="151"/>
      <c r="AU151" s="903" t="s">
        <v>668</v>
      </c>
      <c r="AV151" s="384"/>
      <c r="AW151" s="384"/>
      <c r="AX151" s="384"/>
      <c r="AY151" s="384"/>
      <c r="AZ151" s="384"/>
      <c r="BA151" s="384"/>
      <c r="BB151" s="384"/>
      <c r="BC151" s="384"/>
      <c r="BD151" s="384"/>
      <c r="BE151" s="384"/>
      <c r="BF151" s="384"/>
      <c r="BG151" s="384"/>
      <c r="BH151" s="384"/>
      <c r="BI151" s="436"/>
      <c r="BJ151" s="151"/>
      <c r="BK151" s="151"/>
      <c r="BL151" s="151"/>
      <c r="BM151" s="151"/>
      <c r="BN151" s="151"/>
      <c r="BO151" s="151"/>
    </row>
    <row r="152" spans="1:100" ht="15.75" customHeight="1">
      <c r="A152" s="703" t="s">
        <v>669</v>
      </c>
      <c r="B152" s="350"/>
      <c r="C152" s="350"/>
      <c r="D152" s="350"/>
      <c r="E152" s="350"/>
      <c r="F152" s="350"/>
      <c r="G152" s="350"/>
      <c r="H152" s="351"/>
      <c r="I152" s="737">
        <f>SUM('Naloxone Training Distribution'!BD13:BD4948)</f>
        <v>11</v>
      </c>
      <c r="J152" s="350"/>
      <c r="K152" s="350"/>
      <c r="L152" s="350"/>
      <c r="M152" s="350"/>
      <c r="N152" s="350"/>
      <c r="O152" s="351"/>
      <c r="P152" s="152"/>
      <c r="Q152" s="152"/>
      <c r="R152" s="152"/>
      <c r="S152" s="152"/>
      <c r="T152" s="152"/>
      <c r="U152" s="152"/>
      <c r="X152" s="703" t="s">
        <v>669</v>
      </c>
      <c r="Y152" s="350"/>
      <c r="Z152" s="350"/>
      <c r="AA152" s="350"/>
      <c r="AB152" s="350"/>
      <c r="AC152" s="350"/>
      <c r="AD152" s="350"/>
      <c r="AE152" s="351"/>
      <c r="AF152" s="737">
        <f>COUNTIFS('Naloxone Training Distribution'!BK15:BK4948,"YES")</f>
        <v>100</v>
      </c>
      <c r="AG152" s="350"/>
      <c r="AH152" s="350"/>
      <c r="AI152" s="350"/>
      <c r="AJ152" s="350"/>
      <c r="AK152" s="350"/>
      <c r="AL152" s="351"/>
      <c r="AM152" s="152"/>
      <c r="AN152" s="152"/>
      <c r="AO152" s="152"/>
      <c r="AP152" s="152"/>
      <c r="AQ152" s="152"/>
      <c r="AR152" s="152"/>
      <c r="AU152" s="703" t="s">
        <v>669</v>
      </c>
      <c r="AV152" s="350"/>
      <c r="AW152" s="350"/>
      <c r="AX152" s="350"/>
      <c r="AY152" s="350"/>
      <c r="AZ152" s="350"/>
      <c r="BA152" s="350"/>
      <c r="BB152" s="351"/>
      <c r="BC152" s="737">
        <f>SUMIF('Naloxone Training Distribution'!BS15:BS4948,"&gt;=0")</f>
        <v>0</v>
      </c>
      <c r="BD152" s="350"/>
      <c r="BE152" s="350"/>
      <c r="BF152" s="350"/>
      <c r="BG152" s="350"/>
      <c r="BH152" s="350"/>
      <c r="BI152" s="351"/>
      <c r="BJ152" s="152"/>
      <c r="BK152" s="152"/>
      <c r="BL152" s="152"/>
      <c r="BM152" s="152"/>
      <c r="BN152" s="152"/>
      <c r="BO152" s="152"/>
    </row>
    <row r="153" spans="1:100" ht="15.75" customHeight="1">
      <c r="A153" s="703"/>
      <c r="B153" s="350"/>
      <c r="C153" s="350"/>
      <c r="D153" s="350"/>
      <c r="E153" s="350"/>
      <c r="F153" s="350"/>
      <c r="G153" s="350"/>
      <c r="H153" s="351"/>
      <c r="I153" s="737"/>
      <c r="J153" s="350"/>
      <c r="K153" s="350"/>
      <c r="L153" s="350"/>
      <c r="M153" s="350"/>
      <c r="N153" s="350"/>
      <c r="O153" s="351"/>
      <c r="P153" s="152"/>
      <c r="Q153" s="152"/>
      <c r="R153" s="152"/>
      <c r="S153" s="152"/>
      <c r="T153" s="152"/>
      <c r="U153" s="152"/>
      <c r="X153" s="703"/>
      <c r="Y153" s="350"/>
      <c r="Z153" s="350"/>
      <c r="AA153" s="350"/>
      <c r="AB153" s="350"/>
      <c r="AC153" s="350"/>
      <c r="AD153" s="350"/>
      <c r="AE153" s="351"/>
      <c r="AF153" s="737"/>
      <c r="AG153" s="350"/>
      <c r="AH153" s="350"/>
      <c r="AI153" s="350"/>
      <c r="AJ153" s="350"/>
      <c r="AK153" s="350"/>
      <c r="AL153" s="351"/>
      <c r="AM153" s="152"/>
      <c r="AN153" s="152"/>
      <c r="AO153" s="152"/>
      <c r="AP153" s="152"/>
      <c r="AQ153" s="152"/>
      <c r="AR153" s="152"/>
      <c r="AU153" s="703"/>
      <c r="AV153" s="350"/>
      <c r="AW153" s="350"/>
      <c r="AX153" s="350"/>
      <c r="AY153" s="350"/>
      <c r="AZ153" s="350"/>
      <c r="BA153" s="350"/>
      <c r="BB153" s="351"/>
      <c r="BC153" s="737"/>
      <c r="BD153" s="350"/>
      <c r="BE153" s="350"/>
      <c r="BF153" s="350"/>
      <c r="BG153" s="350"/>
      <c r="BH153" s="350"/>
      <c r="BI153" s="351"/>
      <c r="BJ153" s="152"/>
      <c r="BK153" s="152"/>
      <c r="BL153" s="152"/>
      <c r="BM153" s="152"/>
      <c r="BN153" s="152"/>
      <c r="BO153" s="152"/>
    </row>
    <row r="154" spans="1:100" ht="15.75" customHeight="1">
      <c r="A154" s="703"/>
      <c r="B154" s="350"/>
      <c r="C154" s="350"/>
      <c r="D154" s="350"/>
      <c r="E154" s="350"/>
      <c r="F154" s="350"/>
      <c r="G154" s="350"/>
      <c r="H154" s="351"/>
      <c r="I154" s="737"/>
      <c r="J154" s="350"/>
      <c r="K154" s="350"/>
      <c r="L154" s="350"/>
      <c r="M154" s="350"/>
      <c r="N154" s="350"/>
      <c r="O154" s="351"/>
      <c r="P154" s="152"/>
      <c r="Q154" s="152"/>
      <c r="R154" s="152"/>
      <c r="S154" s="152"/>
      <c r="T154" s="152"/>
      <c r="U154" s="152"/>
      <c r="X154" s="703"/>
      <c r="Y154" s="350"/>
      <c r="Z154" s="350"/>
      <c r="AA154" s="350"/>
      <c r="AB154" s="350"/>
      <c r="AC154" s="350"/>
      <c r="AD154" s="350"/>
      <c r="AE154" s="351"/>
      <c r="AF154" s="737"/>
      <c r="AG154" s="350"/>
      <c r="AH154" s="350"/>
      <c r="AI154" s="350"/>
      <c r="AJ154" s="350"/>
      <c r="AK154" s="350"/>
      <c r="AL154" s="351"/>
      <c r="AM154" s="152"/>
      <c r="AN154" s="152"/>
      <c r="AO154" s="152"/>
      <c r="AP154" s="152"/>
      <c r="AQ154" s="152"/>
      <c r="AR154" s="152"/>
      <c r="AU154" s="703"/>
      <c r="AV154" s="350"/>
      <c r="AW154" s="350"/>
      <c r="AX154" s="350"/>
      <c r="AY154" s="350"/>
      <c r="AZ154" s="350"/>
      <c r="BA154" s="350"/>
      <c r="BB154" s="351"/>
      <c r="BC154" s="737"/>
      <c r="BD154" s="350"/>
      <c r="BE154" s="350"/>
      <c r="BF154" s="350"/>
      <c r="BG154" s="350"/>
      <c r="BH154" s="350"/>
      <c r="BI154" s="351"/>
      <c r="BJ154" s="152"/>
      <c r="BK154" s="152"/>
      <c r="BL154" s="152"/>
      <c r="BM154" s="152"/>
      <c r="BN154" s="152"/>
      <c r="BO154" s="152"/>
    </row>
    <row r="155" spans="1:100" ht="15.75" customHeight="1">
      <c r="A155" s="889" t="s">
        <v>561</v>
      </c>
      <c r="B155" s="350"/>
      <c r="C155" s="350"/>
      <c r="D155" s="350"/>
      <c r="E155" s="350"/>
      <c r="F155" s="350"/>
      <c r="G155" s="350"/>
      <c r="H155" s="351"/>
      <c r="I155" s="889">
        <f>SUM(I152:I154)</f>
        <v>11</v>
      </c>
      <c r="J155" s="350"/>
      <c r="K155" s="350"/>
      <c r="L155" s="350"/>
      <c r="M155" s="350"/>
      <c r="N155" s="350"/>
      <c r="O155" s="351"/>
      <c r="P155" s="152"/>
      <c r="Q155" s="152"/>
      <c r="R155" s="152"/>
      <c r="S155" s="152"/>
      <c r="T155" s="152"/>
      <c r="U155" s="152"/>
      <c r="X155" s="889" t="s">
        <v>561</v>
      </c>
      <c r="Y155" s="350"/>
      <c r="Z155" s="350"/>
      <c r="AA155" s="350"/>
      <c r="AB155" s="350"/>
      <c r="AC155" s="350"/>
      <c r="AD155" s="350"/>
      <c r="AE155" s="351"/>
      <c r="AF155" s="889">
        <f>SUM(AF152:AF154)</f>
        <v>100</v>
      </c>
      <c r="AG155" s="350"/>
      <c r="AH155" s="350"/>
      <c r="AI155" s="350"/>
      <c r="AJ155" s="350"/>
      <c r="AK155" s="350"/>
      <c r="AL155" s="351"/>
      <c r="AM155" s="152"/>
      <c r="AN155" s="152"/>
      <c r="AO155" s="152"/>
      <c r="AP155" s="152"/>
      <c r="AQ155" s="152"/>
      <c r="AR155" s="152"/>
      <c r="AU155" s="889" t="s">
        <v>561</v>
      </c>
      <c r="AV155" s="350"/>
      <c r="AW155" s="350"/>
      <c r="AX155" s="350"/>
      <c r="AY155" s="350"/>
      <c r="AZ155" s="350"/>
      <c r="BA155" s="350"/>
      <c r="BB155" s="351"/>
      <c r="BC155" s="889">
        <f>SUM(BC152:BC154)</f>
        <v>0</v>
      </c>
      <c r="BD155" s="350"/>
      <c r="BE155" s="350"/>
      <c r="BF155" s="350"/>
      <c r="BG155" s="350"/>
      <c r="BH155" s="350"/>
      <c r="BI155" s="351"/>
      <c r="BJ155" s="152"/>
      <c r="BK155" s="152"/>
      <c r="BL155" s="152"/>
      <c r="BM155" s="152"/>
      <c r="BN155" s="152"/>
      <c r="BO155" s="152"/>
    </row>
    <row r="156" spans="1:100" ht="15.75" customHeight="1">
      <c r="A156" s="171"/>
      <c r="B156" s="171"/>
      <c r="C156" s="171"/>
      <c r="D156" s="171"/>
      <c r="E156" s="171"/>
      <c r="F156" s="171"/>
      <c r="G156" s="171"/>
      <c r="H156" s="171"/>
      <c r="I156" s="171"/>
      <c r="J156" s="171"/>
      <c r="K156" s="171"/>
      <c r="L156" s="171"/>
      <c r="M156" s="171"/>
      <c r="N156" s="171"/>
      <c r="O156" s="171"/>
      <c r="P156" s="152"/>
      <c r="Q156" s="152"/>
      <c r="R156" s="152"/>
      <c r="S156" s="152"/>
      <c r="T156" s="152"/>
      <c r="U156" s="152"/>
      <c r="X156" s="171"/>
      <c r="Y156" s="171"/>
      <c r="Z156" s="171"/>
      <c r="AA156" s="171"/>
      <c r="AB156" s="171"/>
      <c r="AC156" s="171"/>
      <c r="AD156" s="171"/>
      <c r="AE156" s="171"/>
      <c r="AF156" s="171"/>
      <c r="AG156" s="171"/>
      <c r="AH156" s="171"/>
      <c r="AI156" s="171"/>
      <c r="AJ156" s="171"/>
      <c r="AK156" s="171"/>
      <c r="AL156" s="171"/>
      <c r="AM156" s="152"/>
      <c r="AN156" s="152"/>
      <c r="AO156" s="152"/>
      <c r="AP156" s="152"/>
      <c r="AQ156" s="152"/>
      <c r="AR156" s="152"/>
      <c r="AU156" s="171"/>
      <c r="AV156" s="171"/>
      <c r="AW156" s="171"/>
      <c r="AX156" s="171"/>
      <c r="AY156" s="171"/>
      <c r="AZ156" s="171"/>
      <c r="BA156" s="171"/>
      <c r="BB156" s="171"/>
      <c r="BC156" s="171"/>
      <c r="BD156" s="171"/>
      <c r="BE156" s="171"/>
      <c r="BF156" s="171"/>
      <c r="BG156" s="171"/>
      <c r="BH156" s="171"/>
      <c r="BI156" s="171"/>
      <c r="BJ156" s="152"/>
      <c r="BK156" s="152"/>
      <c r="BL156" s="152"/>
      <c r="BM156" s="152"/>
      <c r="BN156" s="152"/>
      <c r="BO156" s="152"/>
    </row>
    <row r="157" spans="1:100" ht="15.75" customHeight="1">
      <c r="A157" s="172"/>
      <c r="B157" s="172"/>
      <c r="C157" s="172"/>
      <c r="D157" s="172"/>
      <c r="E157" s="172"/>
      <c r="F157" s="172"/>
      <c r="G157" s="172"/>
      <c r="H157" s="172"/>
      <c r="I157" s="172"/>
      <c r="J157" s="172"/>
      <c r="K157" s="172"/>
      <c r="L157" s="172"/>
      <c r="M157" s="172"/>
      <c r="N157" s="172"/>
      <c r="O157" s="172"/>
      <c r="X157" s="172"/>
      <c r="Y157" s="172"/>
      <c r="Z157" s="172"/>
      <c r="AA157" s="172"/>
      <c r="AB157" s="172"/>
      <c r="AC157" s="172"/>
      <c r="AD157" s="172"/>
      <c r="AE157" s="172"/>
      <c r="AF157" s="172"/>
      <c r="AG157" s="172"/>
      <c r="AH157" s="172"/>
      <c r="AI157" s="172"/>
      <c r="AJ157" s="172"/>
      <c r="AK157" s="172"/>
      <c r="AL157" s="172"/>
      <c r="AU157" s="172"/>
      <c r="AV157" s="172"/>
      <c r="AW157" s="172"/>
      <c r="AX157" s="172"/>
      <c r="AY157" s="172"/>
      <c r="AZ157" s="172"/>
      <c r="BA157" s="172"/>
      <c r="BB157" s="172"/>
      <c r="BC157" s="172"/>
      <c r="BD157" s="172"/>
      <c r="BE157" s="172"/>
      <c r="BF157" s="172"/>
      <c r="BG157" s="172"/>
      <c r="BH157" s="172"/>
      <c r="BI157" s="172"/>
    </row>
    <row r="158" spans="1:100" ht="30" customHeight="1">
      <c r="A158" s="899" t="s">
        <v>670</v>
      </c>
      <c r="B158" s="381"/>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428"/>
      <c r="AG158" s="890" t="s">
        <v>671</v>
      </c>
      <c r="AH158" s="384"/>
      <c r="AI158" s="384"/>
      <c r="AJ158" s="384"/>
      <c r="AK158" s="384"/>
      <c r="AL158" s="384"/>
      <c r="AM158" s="384"/>
      <c r="AN158" s="384"/>
      <c r="AO158" s="384"/>
      <c r="AP158" s="384"/>
      <c r="AQ158" s="384"/>
      <c r="AR158" s="384"/>
      <c r="AS158" s="384"/>
      <c r="AT158" s="384"/>
      <c r="AU158" s="384"/>
      <c r="AV158" s="384"/>
      <c r="AW158" s="436"/>
      <c r="BA158" s="890" t="s">
        <v>672</v>
      </c>
      <c r="BB158" s="384"/>
      <c r="BC158" s="384"/>
      <c r="BD158" s="384"/>
      <c r="BE158" s="384"/>
      <c r="BF158" s="384"/>
      <c r="BG158" s="384"/>
      <c r="BH158" s="384"/>
      <c r="BI158" s="384"/>
      <c r="BJ158" s="384"/>
      <c r="BK158" s="384"/>
      <c r="BL158" s="384"/>
      <c r="BM158" s="384"/>
      <c r="BN158" s="384"/>
      <c r="BO158" s="384"/>
      <c r="BP158" s="384"/>
      <c r="BQ158" s="436"/>
    </row>
    <row r="159" spans="1:100" ht="30" customHeight="1">
      <c r="A159" s="900" t="s">
        <v>673</v>
      </c>
      <c r="B159" s="350"/>
      <c r="C159" s="350"/>
      <c r="D159" s="350"/>
      <c r="E159" s="350"/>
      <c r="F159" s="350"/>
      <c r="G159" s="350"/>
      <c r="H159" s="351"/>
      <c r="I159" s="900" t="s">
        <v>674</v>
      </c>
      <c r="J159" s="350"/>
      <c r="K159" s="350"/>
      <c r="L159" s="351"/>
      <c r="M159" s="901" t="s">
        <v>675</v>
      </c>
      <c r="N159" s="350"/>
      <c r="O159" s="350"/>
      <c r="P159" s="350"/>
      <c r="Q159" s="351"/>
      <c r="R159" s="892" t="s">
        <v>676</v>
      </c>
      <c r="S159" s="350"/>
      <c r="T159" s="350"/>
      <c r="U159" s="350"/>
      <c r="V159" s="351"/>
      <c r="W159" s="893" t="s">
        <v>677</v>
      </c>
      <c r="X159" s="381"/>
      <c r="Y159" s="381"/>
      <c r="Z159" s="381"/>
      <c r="AA159" s="381"/>
      <c r="AB159" s="428"/>
      <c r="AG159" s="894" t="s">
        <v>672</v>
      </c>
      <c r="AH159" s="384"/>
      <c r="AI159" s="384"/>
      <c r="AJ159" s="384"/>
      <c r="AK159" s="384"/>
      <c r="AL159" s="384"/>
      <c r="AM159" s="384"/>
      <c r="AN159" s="384"/>
      <c r="AO159" s="384"/>
      <c r="AP159" s="384"/>
      <c r="AQ159" s="384"/>
      <c r="AR159" s="384"/>
      <c r="AS159" s="384"/>
      <c r="AT159" s="384"/>
      <c r="AU159" s="384"/>
      <c r="AV159" s="384"/>
      <c r="AW159" s="436"/>
      <c r="BA159" s="904" t="s">
        <v>672</v>
      </c>
      <c r="BB159" s="384"/>
      <c r="BC159" s="384"/>
      <c r="BD159" s="384"/>
      <c r="BE159" s="384"/>
      <c r="BF159" s="384"/>
      <c r="BG159" s="384"/>
      <c r="BH159" s="384"/>
      <c r="BI159" s="384"/>
      <c r="BJ159" s="384"/>
      <c r="BK159" s="384"/>
      <c r="BL159" s="384"/>
      <c r="BM159" s="384"/>
      <c r="BN159" s="384"/>
      <c r="BO159" s="384"/>
      <c r="BP159" s="384"/>
      <c r="BQ159" s="436"/>
    </row>
    <row r="160" spans="1:100" ht="15.75" customHeight="1">
      <c r="A160" s="413" t="s">
        <v>678</v>
      </c>
      <c r="B160" s="350"/>
      <c r="C160" s="350"/>
      <c r="D160" s="350"/>
      <c r="E160" s="350"/>
      <c r="F160" s="350"/>
      <c r="G160" s="350"/>
      <c r="H160" s="351"/>
      <c r="I160" s="755">
        <f>'GRANTEE SET UP INFO &amp; DATE '!C11</f>
        <v>0</v>
      </c>
      <c r="J160" s="350"/>
      <c r="K160" s="350"/>
      <c r="L160" s="351"/>
      <c r="M160" s="884">
        <f>'GRANTEE SET UP INFO &amp; DATE '!F11</f>
        <v>0</v>
      </c>
      <c r="N160" s="350"/>
      <c r="O160" s="350"/>
      <c r="P160" s="350"/>
      <c r="Q160" s="351"/>
      <c r="R160" s="885">
        <f>'GRANTEE SET UP INFO &amp; DATE '!J11</f>
        <v>0</v>
      </c>
      <c r="S160" s="350"/>
      <c r="T160" s="350"/>
      <c r="U160" s="350"/>
      <c r="V160" s="351"/>
      <c r="W160" s="886">
        <f>'GRANTEE SET UP INFO &amp; DATE '!N11</f>
        <v>0</v>
      </c>
      <c r="X160" s="350"/>
      <c r="Y160" s="350"/>
      <c r="Z160" s="350"/>
      <c r="AA160" s="350"/>
      <c r="AB160" s="351"/>
      <c r="AG160" s="412" t="s">
        <v>678</v>
      </c>
      <c r="AH160" s="350"/>
      <c r="AI160" s="350"/>
      <c r="AJ160" s="350"/>
      <c r="AK160" s="350"/>
      <c r="AL160" s="350"/>
      <c r="AM160" s="350"/>
      <c r="AN160" s="350"/>
      <c r="AO160" s="350"/>
      <c r="AP160" s="351"/>
      <c r="AQ160" s="737">
        <f>COUNTIFS('Naloxone Training Distribution'!X15:X5000,"YES")</f>
        <v>0</v>
      </c>
      <c r="AR160" s="350"/>
      <c r="AS160" s="350"/>
      <c r="AT160" s="350"/>
      <c r="AU160" s="350"/>
      <c r="AV160" s="350"/>
      <c r="AW160" s="351"/>
      <c r="BA160" s="412" t="s">
        <v>658</v>
      </c>
      <c r="BB160" s="350"/>
      <c r="BC160" s="350"/>
      <c r="BD160" s="350"/>
      <c r="BE160" s="350"/>
      <c r="BF160" s="350"/>
      <c r="BG160" s="350"/>
      <c r="BH160" s="350"/>
      <c r="BI160" s="350"/>
      <c r="BJ160" s="351"/>
      <c r="BK160" s="737">
        <f>COUNTIFS('Naloxone Training Distribution'!AJ15:AJ5000,"YES")</f>
        <v>0</v>
      </c>
      <c r="BL160" s="350"/>
      <c r="BM160" s="350"/>
      <c r="BN160" s="350"/>
      <c r="BO160" s="350"/>
      <c r="BP160" s="350"/>
      <c r="BQ160" s="351"/>
    </row>
    <row r="161" spans="1:100" ht="15.75" customHeight="1">
      <c r="A161" s="413" t="s">
        <v>679</v>
      </c>
      <c r="B161" s="350"/>
      <c r="C161" s="350"/>
      <c r="D161" s="350"/>
      <c r="E161" s="350"/>
      <c r="F161" s="350"/>
      <c r="G161" s="350"/>
      <c r="H161" s="351"/>
      <c r="I161" s="755">
        <f>'GRANTEE SET UP INFO &amp; DATE '!C12</f>
        <v>0</v>
      </c>
      <c r="J161" s="350"/>
      <c r="K161" s="350"/>
      <c r="L161" s="351"/>
      <c r="M161" s="884">
        <f>'GRANTEE SET UP INFO &amp; DATE '!F12</f>
        <v>0</v>
      </c>
      <c r="N161" s="350"/>
      <c r="O161" s="350"/>
      <c r="P161" s="350"/>
      <c r="Q161" s="351"/>
      <c r="R161" s="885">
        <f>'GRANTEE SET UP INFO &amp; DATE '!J12</f>
        <v>0</v>
      </c>
      <c r="S161" s="350"/>
      <c r="T161" s="350"/>
      <c r="U161" s="350"/>
      <c r="V161" s="351"/>
      <c r="W161" s="886">
        <f>'GRANTEE SET UP INFO &amp; DATE '!N12</f>
        <v>0</v>
      </c>
      <c r="X161" s="350"/>
      <c r="Y161" s="350"/>
      <c r="Z161" s="350"/>
      <c r="AA161" s="350"/>
      <c r="AB161" s="351"/>
      <c r="AG161" s="412" t="s">
        <v>679</v>
      </c>
      <c r="AH161" s="350"/>
      <c r="AI161" s="350"/>
      <c r="AJ161" s="350"/>
      <c r="AK161" s="350"/>
      <c r="AL161" s="350"/>
      <c r="AM161" s="350"/>
      <c r="AN161" s="350"/>
      <c r="AO161" s="350"/>
      <c r="AP161" s="351"/>
      <c r="AQ161" s="737">
        <f>COUNTIFS('Naloxone Training Distribution'!Y15:Y5000,"YES")</f>
        <v>0</v>
      </c>
      <c r="AR161" s="350"/>
      <c r="AS161" s="350"/>
      <c r="AT161" s="350"/>
      <c r="AU161" s="350"/>
      <c r="AV161" s="350"/>
      <c r="AW161" s="351"/>
      <c r="BA161" s="412" t="s">
        <v>457</v>
      </c>
      <c r="BB161" s="350"/>
      <c r="BC161" s="350"/>
      <c r="BD161" s="350"/>
      <c r="BE161" s="350"/>
      <c r="BF161" s="350"/>
      <c r="BG161" s="350"/>
      <c r="BH161" s="350"/>
      <c r="BI161" s="350"/>
      <c r="BJ161" s="351"/>
      <c r="BK161" s="737">
        <f>COUNTIFS('Naloxone Training Distribution'!AK15:AK5000,"YES")</f>
        <v>0</v>
      </c>
      <c r="BL161" s="350"/>
      <c r="BM161" s="350"/>
      <c r="BN161" s="350"/>
      <c r="BO161" s="350"/>
      <c r="BP161" s="350"/>
      <c r="BQ161" s="351"/>
    </row>
    <row r="162" spans="1:100" ht="15.75" customHeight="1">
      <c r="A162" s="413" t="s">
        <v>680</v>
      </c>
      <c r="B162" s="350"/>
      <c r="C162" s="350"/>
      <c r="D162" s="350"/>
      <c r="E162" s="350"/>
      <c r="F162" s="350"/>
      <c r="G162" s="350"/>
      <c r="H162" s="351"/>
      <c r="I162" s="755">
        <f>'GRANTEE SET UP INFO &amp; DATE '!C13</f>
        <v>0</v>
      </c>
      <c r="J162" s="350"/>
      <c r="K162" s="350"/>
      <c r="L162" s="351"/>
      <c r="M162" s="884">
        <f>'GRANTEE SET UP INFO &amp; DATE '!F13</f>
        <v>0</v>
      </c>
      <c r="N162" s="350"/>
      <c r="O162" s="350"/>
      <c r="P162" s="350"/>
      <c r="Q162" s="351"/>
      <c r="R162" s="885">
        <f>'GRANTEE SET UP INFO &amp; DATE '!J13</f>
        <v>0</v>
      </c>
      <c r="S162" s="350"/>
      <c r="T162" s="350"/>
      <c r="U162" s="350"/>
      <c r="V162" s="351"/>
      <c r="W162" s="886">
        <f>'GRANTEE SET UP INFO &amp; DATE '!N13</f>
        <v>0</v>
      </c>
      <c r="X162" s="350"/>
      <c r="Y162" s="350"/>
      <c r="Z162" s="350"/>
      <c r="AA162" s="350"/>
      <c r="AB162" s="351"/>
      <c r="AG162" s="412" t="s">
        <v>680</v>
      </c>
      <c r="AH162" s="350"/>
      <c r="AI162" s="350"/>
      <c r="AJ162" s="350"/>
      <c r="AK162" s="350"/>
      <c r="AL162" s="350"/>
      <c r="AM162" s="350"/>
      <c r="AN162" s="350"/>
      <c r="AO162" s="350"/>
      <c r="AP162" s="351"/>
      <c r="AQ162" s="737">
        <f>COUNTIFS('Naloxone Training Distribution'!Z15:Z5000,"YES")</f>
        <v>0</v>
      </c>
      <c r="AR162" s="350"/>
      <c r="AS162" s="350"/>
      <c r="AT162" s="350"/>
      <c r="AU162" s="350"/>
      <c r="AV162" s="350"/>
      <c r="AW162" s="351"/>
      <c r="BA162" s="412" t="s">
        <v>458</v>
      </c>
      <c r="BB162" s="350"/>
      <c r="BC162" s="350"/>
      <c r="BD162" s="350"/>
      <c r="BE162" s="350"/>
      <c r="BF162" s="350"/>
      <c r="BG162" s="350"/>
      <c r="BH162" s="350"/>
      <c r="BI162" s="350"/>
      <c r="BJ162" s="351"/>
      <c r="BK162" s="737">
        <f>COUNTIFS('Naloxone Training Distribution'!AL15:AL5000,"YES")</f>
        <v>0</v>
      </c>
      <c r="BL162" s="350"/>
      <c r="BM162" s="350"/>
      <c r="BN162" s="350"/>
      <c r="BO162" s="350"/>
      <c r="BP162" s="350"/>
      <c r="BQ162" s="351"/>
    </row>
    <row r="163" spans="1:100" ht="15.75" customHeight="1">
      <c r="A163" s="413" t="s">
        <v>681</v>
      </c>
      <c r="B163" s="350"/>
      <c r="C163" s="350"/>
      <c r="D163" s="350"/>
      <c r="E163" s="350"/>
      <c r="F163" s="350"/>
      <c r="G163" s="350"/>
      <c r="H163" s="351"/>
      <c r="I163" s="755">
        <f>'GRANTEE SET UP INFO &amp; DATE '!C14</f>
        <v>0</v>
      </c>
      <c r="J163" s="350"/>
      <c r="K163" s="350"/>
      <c r="L163" s="351"/>
      <c r="M163" s="884">
        <f>'GRANTEE SET UP INFO &amp; DATE '!F14</f>
        <v>0</v>
      </c>
      <c r="N163" s="350"/>
      <c r="O163" s="350"/>
      <c r="P163" s="350"/>
      <c r="Q163" s="351"/>
      <c r="R163" s="885">
        <f>'GRANTEE SET UP INFO &amp; DATE '!J14</f>
        <v>0</v>
      </c>
      <c r="S163" s="350"/>
      <c r="T163" s="350"/>
      <c r="U163" s="350"/>
      <c r="V163" s="351"/>
      <c r="W163" s="886">
        <f>'GRANTEE SET UP INFO &amp; DATE '!N14</f>
        <v>0</v>
      </c>
      <c r="X163" s="350"/>
      <c r="Y163" s="350"/>
      <c r="Z163" s="350"/>
      <c r="AA163" s="350"/>
      <c r="AB163" s="351"/>
      <c r="AG163" s="412" t="s">
        <v>681</v>
      </c>
      <c r="AH163" s="350"/>
      <c r="AI163" s="350"/>
      <c r="AJ163" s="350"/>
      <c r="AK163" s="350"/>
      <c r="AL163" s="350"/>
      <c r="AM163" s="350"/>
      <c r="AN163" s="350"/>
      <c r="AO163" s="350"/>
      <c r="AP163" s="351"/>
      <c r="AQ163" s="737">
        <f>COUNTIFS('Naloxone Training Distribution'!AA15:AA5000,"YES")</f>
        <v>0</v>
      </c>
      <c r="AR163" s="350"/>
      <c r="AS163" s="350"/>
      <c r="AT163" s="350"/>
      <c r="AU163" s="350"/>
      <c r="AV163" s="350"/>
      <c r="AW163" s="351"/>
      <c r="BA163" s="412" t="s">
        <v>459</v>
      </c>
      <c r="BB163" s="350"/>
      <c r="BC163" s="350"/>
      <c r="BD163" s="350"/>
      <c r="BE163" s="350"/>
      <c r="BF163" s="350"/>
      <c r="BG163" s="350"/>
      <c r="BH163" s="350"/>
      <c r="BI163" s="350"/>
      <c r="BJ163" s="351"/>
      <c r="BK163" s="737">
        <f>COUNTIFS('Naloxone Training Distribution'!AM15:AM5000,"YES")</f>
        <v>0</v>
      </c>
      <c r="BL163" s="350"/>
      <c r="BM163" s="350"/>
      <c r="BN163" s="350"/>
      <c r="BO163" s="350"/>
      <c r="BP163" s="350"/>
      <c r="BQ163" s="351"/>
    </row>
    <row r="164" spans="1:100" ht="15.75" customHeight="1">
      <c r="A164" s="413" t="s">
        <v>682</v>
      </c>
      <c r="B164" s="350"/>
      <c r="C164" s="350"/>
      <c r="D164" s="350"/>
      <c r="E164" s="350"/>
      <c r="F164" s="350"/>
      <c r="G164" s="350"/>
      <c r="H164" s="351"/>
      <c r="I164" s="755">
        <f>'GRANTEE SET UP INFO &amp; DATE '!C15</f>
        <v>0</v>
      </c>
      <c r="J164" s="350"/>
      <c r="K164" s="350"/>
      <c r="L164" s="351"/>
      <c r="M164" s="884">
        <f>'GRANTEE SET UP INFO &amp; DATE '!F15</f>
        <v>0</v>
      </c>
      <c r="N164" s="350"/>
      <c r="O164" s="350"/>
      <c r="P164" s="350"/>
      <c r="Q164" s="351"/>
      <c r="R164" s="885">
        <f>'GRANTEE SET UP INFO &amp; DATE '!J15</f>
        <v>0</v>
      </c>
      <c r="S164" s="350"/>
      <c r="T164" s="350"/>
      <c r="U164" s="350"/>
      <c r="V164" s="351"/>
      <c r="W164" s="886">
        <f>'GRANTEE SET UP INFO &amp; DATE '!N15</f>
        <v>0</v>
      </c>
      <c r="X164" s="350"/>
      <c r="Y164" s="350"/>
      <c r="Z164" s="350"/>
      <c r="AA164" s="350"/>
      <c r="AB164" s="351"/>
      <c r="AG164" s="412" t="s">
        <v>682</v>
      </c>
      <c r="AH164" s="350"/>
      <c r="AI164" s="350"/>
      <c r="AJ164" s="350"/>
      <c r="AK164" s="350"/>
      <c r="AL164" s="350"/>
      <c r="AM164" s="350"/>
      <c r="AN164" s="350"/>
      <c r="AO164" s="350"/>
      <c r="AP164" s="351"/>
      <c r="AQ164" s="737">
        <f>COUNTIFS('Naloxone Training Distribution'!AB15:AB5000,"YES")</f>
        <v>0</v>
      </c>
      <c r="AR164" s="350"/>
      <c r="AS164" s="350"/>
      <c r="AT164" s="350"/>
      <c r="AU164" s="350"/>
      <c r="AV164" s="350"/>
      <c r="AW164" s="351"/>
      <c r="BA164" s="412" t="s">
        <v>460</v>
      </c>
      <c r="BB164" s="350"/>
      <c r="BC164" s="350"/>
      <c r="BD164" s="350"/>
      <c r="BE164" s="350"/>
      <c r="BF164" s="350"/>
      <c r="BG164" s="350"/>
      <c r="BH164" s="350"/>
      <c r="BI164" s="350"/>
      <c r="BJ164" s="351"/>
      <c r="BK164" s="737">
        <f>COUNTIFS('Naloxone Training Distribution'!AN15:AN5000,"YES")</f>
        <v>0</v>
      </c>
      <c r="BL164" s="350"/>
      <c r="BM164" s="350"/>
      <c r="BN164" s="350"/>
      <c r="BO164" s="350"/>
      <c r="BP164" s="350"/>
      <c r="BQ164" s="351"/>
    </row>
    <row r="165" spans="1:100" ht="15.75" customHeight="1">
      <c r="A165" s="413" t="s">
        <v>683</v>
      </c>
      <c r="B165" s="350"/>
      <c r="C165" s="350"/>
      <c r="D165" s="350"/>
      <c r="E165" s="350"/>
      <c r="F165" s="350"/>
      <c r="G165" s="350"/>
      <c r="H165" s="351"/>
      <c r="I165" s="755">
        <f>'GRANTEE SET UP INFO &amp; DATE '!C16</f>
        <v>0</v>
      </c>
      <c r="J165" s="350"/>
      <c r="K165" s="350"/>
      <c r="L165" s="351"/>
      <c r="M165" s="884">
        <f>'GRANTEE SET UP INFO &amp; DATE '!F16</f>
        <v>0</v>
      </c>
      <c r="N165" s="350"/>
      <c r="O165" s="350"/>
      <c r="P165" s="350"/>
      <c r="Q165" s="351"/>
      <c r="R165" s="885">
        <f>'GRANTEE SET UP INFO &amp; DATE '!J16</f>
        <v>0</v>
      </c>
      <c r="S165" s="350"/>
      <c r="T165" s="350"/>
      <c r="U165" s="350"/>
      <c r="V165" s="351"/>
      <c r="W165" s="886">
        <f>'GRANTEE SET UP INFO &amp; DATE '!N16</f>
        <v>0</v>
      </c>
      <c r="X165" s="350"/>
      <c r="Y165" s="350"/>
      <c r="Z165" s="350"/>
      <c r="AA165" s="350"/>
      <c r="AB165" s="351"/>
      <c r="AG165" s="412" t="s">
        <v>683</v>
      </c>
      <c r="AH165" s="350"/>
      <c r="AI165" s="350"/>
      <c r="AJ165" s="350"/>
      <c r="AK165" s="350"/>
      <c r="AL165" s="350"/>
      <c r="AM165" s="350"/>
      <c r="AN165" s="350"/>
      <c r="AO165" s="350"/>
      <c r="AP165" s="351"/>
      <c r="AQ165" s="737">
        <f>COUNTIFS('Naloxone Training Distribution'!AC15:AC5000,"YES")</f>
        <v>0</v>
      </c>
      <c r="AR165" s="350"/>
      <c r="AS165" s="350"/>
      <c r="AT165" s="350"/>
      <c r="AU165" s="350"/>
      <c r="AV165" s="350"/>
      <c r="AW165" s="351"/>
      <c r="BA165" s="412" t="s">
        <v>461</v>
      </c>
      <c r="BB165" s="350"/>
      <c r="BC165" s="350"/>
      <c r="BD165" s="350"/>
      <c r="BE165" s="350"/>
      <c r="BF165" s="350"/>
      <c r="BG165" s="350"/>
      <c r="BH165" s="350"/>
      <c r="BI165" s="350"/>
      <c r="BJ165" s="351"/>
      <c r="BK165" s="737">
        <f>COUNTIFS('Naloxone Training Distribution'!AO15:AO5000,"YES")</f>
        <v>0</v>
      </c>
      <c r="BL165" s="350"/>
      <c r="BM165" s="350"/>
      <c r="BN165" s="350"/>
      <c r="BO165" s="350"/>
      <c r="BP165" s="350"/>
      <c r="BQ165" s="351"/>
    </row>
    <row r="166" spans="1:100" ht="15.75" customHeight="1">
      <c r="A166" s="413" t="s">
        <v>684</v>
      </c>
      <c r="B166" s="350"/>
      <c r="C166" s="350"/>
      <c r="D166" s="350"/>
      <c r="E166" s="350"/>
      <c r="F166" s="350"/>
      <c r="G166" s="350"/>
      <c r="H166" s="351"/>
      <c r="I166" s="755">
        <f>'GRANTEE SET UP INFO &amp; DATE '!C17</f>
        <v>0</v>
      </c>
      <c r="J166" s="350"/>
      <c r="K166" s="350"/>
      <c r="L166" s="351"/>
      <c r="M166" s="884">
        <f>'GRANTEE SET UP INFO &amp; DATE '!F17</f>
        <v>0</v>
      </c>
      <c r="N166" s="350"/>
      <c r="O166" s="350"/>
      <c r="P166" s="350"/>
      <c r="Q166" s="351"/>
      <c r="R166" s="885">
        <f>'GRANTEE SET UP INFO &amp; DATE '!J17</f>
        <v>0</v>
      </c>
      <c r="S166" s="350"/>
      <c r="T166" s="350"/>
      <c r="U166" s="350"/>
      <c r="V166" s="351"/>
      <c r="W166" s="886">
        <f>'GRANTEE SET UP INFO &amp; DATE '!N17</f>
        <v>0</v>
      </c>
      <c r="X166" s="350"/>
      <c r="Y166" s="350"/>
      <c r="Z166" s="350"/>
      <c r="AA166" s="350"/>
      <c r="AB166" s="351"/>
      <c r="AG166" s="412" t="s">
        <v>684</v>
      </c>
      <c r="AH166" s="350"/>
      <c r="AI166" s="350"/>
      <c r="AJ166" s="350"/>
      <c r="AK166" s="350"/>
      <c r="AL166" s="350"/>
      <c r="AM166" s="350"/>
      <c r="AN166" s="350"/>
      <c r="AO166" s="350"/>
      <c r="AP166" s="351"/>
      <c r="AQ166" s="737">
        <f>COUNTIFS('Naloxone Training Distribution'!AD15:AD5000,"YES")</f>
        <v>0</v>
      </c>
      <c r="AR166" s="350"/>
      <c r="AS166" s="350"/>
      <c r="AT166" s="350"/>
      <c r="AU166" s="350"/>
      <c r="AV166" s="350"/>
      <c r="AW166" s="351"/>
      <c r="BA166" s="412" t="s">
        <v>462</v>
      </c>
      <c r="BB166" s="350"/>
      <c r="BC166" s="350"/>
      <c r="BD166" s="350"/>
      <c r="BE166" s="350"/>
      <c r="BF166" s="350"/>
      <c r="BG166" s="350"/>
      <c r="BH166" s="350"/>
      <c r="BI166" s="350"/>
      <c r="BJ166" s="351"/>
      <c r="BK166" s="737">
        <f>COUNTIFS('Naloxone Training Distribution'!AP15:AP5000,"YES")</f>
        <v>0</v>
      </c>
      <c r="BL166" s="350"/>
      <c r="BM166" s="350"/>
      <c r="BN166" s="350"/>
      <c r="BO166" s="350"/>
      <c r="BP166" s="350"/>
      <c r="BQ166" s="351"/>
    </row>
    <row r="167" spans="1:100" ht="15.75" customHeight="1">
      <c r="A167" s="413" t="s">
        <v>685</v>
      </c>
      <c r="B167" s="350"/>
      <c r="C167" s="350"/>
      <c r="D167" s="350"/>
      <c r="E167" s="350"/>
      <c r="F167" s="350"/>
      <c r="G167" s="350"/>
      <c r="H167" s="351"/>
      <c r="I167" s="755">
        <f>'GRANTEE SET UP INFO &amp; DATE '!C18</f>
        <v>0</v>
      </c>
      <c r="J167" s="350"/>
      <c r="K167" s="350"/>
      <c r="L167" s="351"/>
      <c r="M167" s="884">
        <f>'GRANTEE SET UP INFO &amp; DATE '!F18</f>
        <v>0</v>
      </c>
      <c r="N167" s="350"/>
      <c r="O167" s="350"/>
      <c r="P167" s="350"/>
      <c r="Q167" s="351"/>
      <c r="R167" s="885">
        <f>'GRANTEE SET UP INFO &amp; DATE '!J18</f>
        <v>0</v>
      </c>
      <c r="S167" s="350"/>
      <c r="T167" s="350"/>
      <c r="U167" s="350"/>
      <c r="V167" s="351"/>
      <c r="W167" s="886">
        <f>'GRANTEE SET UP INFO &amp; DATE '!N18</f>
        <v>0</v>
      </c>
      <c r="X167" s="350"/>
      <c r="Y167" s="350"/>
      <c r="Z167" s="350"/>
      <c r="AA167" s="350"/>
      <c r="AB167" s="351"/>
      <c r="AG167" s="412" t="s">
        <v>685</v>
      </c>
      <c r="AH167" s="350"/>
      <c r="AI167" s="350"/>
      <c r="AJ167" s="350"/>
      <c r="AK167" s="350"/>
      <c r="AL167" s="350"/>
      <c r="AM167" s="350"/>
      <c r="AN167" s="350"/>
      <c r="AO167" s="350"/>
      <c r="AP167" s="351"/>
      <c r="AQ167" s="737">
        <f>COUNTIFS('Naloxone Training Distribution'!AE15:AE5000,"YES")</f>
        <v>0</v>
      </c>
      <c r="AR167" s="350"/>
      <c r="AS167" s="350"/>
      <c r="AT167" s="350"/>
      <c r="AU167" s="350"/>
      <c r="AV167" s="350"/>
      <c r="AW167" s="351"/>
      <c r="BA167" s="412" t="s">
        <v>463</v>
      </c>
      <c r="BB167" s="350"/>
      <c r="BC167" s="350"/>
      <c r="BD167" s="350"/>
      <c r="BE167" s="350"/>
      <c r="BF167" s="350"/>
      <c r="BG167" s="350"/>
      <c r="BH167" s="350"/>
      <c r="BI167" s="350"/>
      <c r="BJ167" s="351"/>
      <c r="BK167" s="737">
        <f>COUNTIFS('Naloxone Training Distribution'!AQ15:AQ5000,"YES")</f>
        <v>0</v>
      </c>
      <c r="BL167" s="350"/>
      <c r="BM167" s="350"/>
      <c r="BN167" s="350"/>
      <c r="BO167" s="350"/>
      <c r="BP167" s="350"/>
      <c r="BQ167" s="351"/>
    </row>
    <row r="168" spans="1:100" ht="15.75" customHeight="1">
      <c r="A168" s="413" t="s">
        <v>686</v>
      </c>
      <c r="B168" s="350"/>
      <c r="C168" s="350"/>
      <c r="D168" s="350"/>
      <c r="E168" s="350"/>
      <c r="F168" s="350"/>
      <c r="G168" s="350"/>
      <c r="H168" s="351"/>
      <c r="I168" s="755">
        <f>'GRANTEE SET UP INFO &amp; DATE '!W11</f>
        <v>0</v>
      </c>
      <c r="J168" s="350"/>
      <c r="K168" s="350"/>
      <c r="L168" s="351"/>
      <c r="M168" s="884">
        <f>'GRANTEE SET UP INFO &amp; DATE '!Z11</f>
        <v>0</v>
      </c>
      <c r="N168" s="350"/>
      <c r="O168" s="350"/>
      <c r="P168" s="350"/>
      <c r="Q168" s="351"/>
      <c r="R168" s="885">
        <f>'GRANTEE SET UP INFO &amp; DATE '!AD11</f>
        <v>0</v>
      </c>
      <c r="S168" s="350"/>
      <c r="T168" s="350"/>
      <c r="U168" s="350"/>
      <c r="V168" s="351"/>
      <c r="W168" s="886">
        <f>'GRANTEE SET UP INFO &amp; DATE '!AH11</f>
        <v>0</v>
      </c>
      <c r="X168" s="350"/>
      <c r="Y168" s="350"/>
      <c r="Z168" s="350"/>
      <c r="AA168" s="350"/>
      <c r="AB168" s="351"/>
      <c r="AG168" s="412" t="s">
        <v>686</v>
      </c>
      <c r="AH168" s="350"/>
      <c r="AI168" s="350"/>
      <c r="AJ168" s="350"/>
      <c r="AK168" s="350"/>
      <c r="AL168" s="350"/>
      <c r="AM168" s="350"/>
      <c r="AN168" s="350"/>
      <c r="AO168" s="350"/>
      <c r="AP168" s="351"/>
      <c r="AQ168" s="737">
        <f>COUNTIFS('Naloxone Training Distribution'!AF15:AF5000,"YES")</f>
        <v>0</v>
      </c>
      <c r="AR168" s="350"/>
      <c r="AS168" s="350"/>
      <c r="AT168" s="350"/>
      <c r="AU168" s="350"/>
      <c r="AV168" s="350"/>
      <c r="AW168" s="351"/>
      <c r="BA168" s="412" t="s">
        <v>464</v>
      </c>
      <c r="BB168" s="350"/>
      <c r="BC168" s="350"/>
      <c r="BD168" s="350"/>
      <c r="BE168" s="350"/>
      <c r="BF168" s="350"/>
      <c r="BG168" s="350"/>
      <c r="BH168" s="350"/>
      <c r="BI168" s="350"/>
      <c r="BJ168" s="351"/>
      <c r="BK168" s="737">
        <f>COUNTIFS('Naloxone Training Distribution'!AR15:AR5000,"YES")</f>
        <v>0</v>
      </c>
      <c r="BL168" s="350"/>
      <c r="BM168" s="350"/>
      <c r="BN168" s="350"/>
      <c r="BO168" s="350"/>
      <c r="BP168" s="350"/>
      <c r="BQ168" s="351"/>
    </row>
    <row r="169" spans="1:100" ht="15.75" customHeight="1">
      <c r="A169" s="413" t="s">
        <v>687</v>
      </c>
      <c r="B169" s="350"/>
      <c r="C169" s="350"/>
      <c r="D169" s="350"/>
      <c r="E169" s="350"/>
      <c r="F169" s="350"/>
      <c r="G169" s="350"/>
      <c r="H169" s="351"/>
      <c r="I169" s="755">
        <f>'GRANTEE SET UP INFO &amp; DATE '!W12</f>
        <v>0</v>
      </c>
      <c r="J169" s="350"/>
      <c r="K169" s="350"/>
      <c r="L169" s="351"/>
      <c r="M169" s="884">
        <f>'GRANTEE SET UP INFO &amp; DATE '!Z12</f>
        <v>0</v>
      </c>
      <c r="N169" s="350"/>
      <c r="O169" s="350"/>
      <c r="P169" s="350"/>
      <c r="Q169" s="351"/>
      <c r="R169" s="885">
        <f>'GRANTEE SET UP INFO &amp; DATE '!AD12</f>
        <v>0</v>
      </c>
      <c r="S169" s="350"/>
      <c r="T169" s="350"/>
      <c r="U169" s="350"/>
      <c r="V169" s="351"/>
      <c r="W169" s="886">
        <f>'GRANTEE SET UP INFO &amp; DATE '!AH12</f>
        <v>0</v>
      </c>
      <c r="X169" s="350"/>
      <c r="Y169" s="350"/>
      <c r="Z169" s="350"/>
      <c r="AA169" s="350"/>
      <c r="AB169" s="351"/>
      <c r="AG169" s="412" t="s">
        <v>687</v>
      </c>
      <c r="AH169" s="350"/>
      <c r="AI169" s="350"/>
      <c r="AJ169" s="350"/>
      <c r="AK169" s="350"/>
      <c r="AL169" s="350"/>
      <c r="AM169" s="350"/>
      <c r="AN169" s="350"/>
      <c r="AO169" s="350"/>
      <c r="AP169" s="351"/>
      <c r="AQ169" s="737">
        <f>COUNTIFS('Naloxone Training Distribution'!AG15:AG5000,"YES")</f>
        <v>0</v>
      </c>
      <c r="AR169" s="350"/>
      <c r="AS169" s="350"/>
      <c r="AT169" s="350"/>
      <c r="AU169" s="350"/>
      <c r="AV169" s="350"/>
      <c r="AW169" s="351"/>
      <c r="BA169" s="412"/>
      <c r="BB169" s="350"/>
      <c r="BC169" s="350"/>
      <c r="BD169" s="350"/>
      <c r="BE169" s="350"/>
      <c r="BF169" s="350"/>
      <c r="BG169" s="350"/>
      <c r="BH169" s="350"/>
      <c r="BI169" s="350"/>
      <c r="BJ169" s="351"/>
      <c r="BK169" s="737"/>
      <c r="BL169" s="350"/>
      <c r="BM169" s="350"/>
      <c r="BN169" s="350"/>
      <c r="BO169" s="350"/>
      <c r="BP169" s="350"/>
      <c r="BQ169" s="351"/>
    </row>
    <row r="170" spans="1:100" ht="15.75" customHeight="1">
      <c r="A170" s="413" t="s">
        <v>688</v>
      </c>
      <c r="B170" s="350"/>
      <c r="C170" s="350"/>
      <c r="D170" s="350"/>
      <c r="E170" s="350"/>
      <c r="F170" s="350"/>
      <c r="G170" s="350"/>
      <c r="H170" s="351"/>
      <c r="I170" s="755">
        <f>'GRANTEE SET UP INFO &amp; DATE '!W13</f>
        <v>0</v>
      </c>
      <c r="J170" s="350"/>
      <c r="K170" s="350"/>
      <c r="L170" s="351"/>
      <c r="M170" s="884">
        <f>'GRANTEE SET UP INFO &amp; DATE '!Z13</f>
        <v>0</v>
      </c>
      <c r="N170" s="350"/>
      <c r="O170" s="350"/>
      <c r="P170" s="350"/>
      <c r="Q170" s="351"/>
      <c r="R170" s="885">
        <f>'GRANTEE SET UP INFO &amp; DATE '!AD13</f>
        <v>0</v>
      </c>
      <c r="S170" s="350"/>
      <c r="T170" s="350"/>
      <c r="U170" s="350"/>
      <c r="V170" s="351"/>
      <c r="W170" s="886">
        <f>'GRANTEE SET UP INFO &amp; DATE '!AH13</f>
        <v>0</v>
      </c>
      <c r="X170" s="350"/>
      <c r="Y170" s="350"/>
      <c r="Z170" s="350"/>
      <c r="AA170" s="350"/>
      <c r="AB170" s="351"/>
      <c r="AG170" s="412" t="s">
        <v>688</v>
      </c>
      <c r="AH170" s="350"/>
      <c r="AI170" s="350"/>
      <c r="AJ170" s="350"/>
      <c r="AK170" s="350"/>
      <c r="AL170" s="350"/>
      <c r="AM170" s="350"/>
      <c r="AN170" s="350"/>
      <c r="AO170" s="350"/>
      <c r="AP170" s="351"/>
      <c r="AQ170" s="737">
        <f>COUNTIFS('Naloxone Training Distribution'!AH15:AH5000,"YES")</f>
        <v>0</v>
      </c>
      <c r="AR170" s="350"/>
      <c r="AS170" s="350"/>
      <c r="AT170" s="350"/>
      <c r="AU170" s="350"/>
      <c r="AV170" s="350"/>
      <c r="AW170" s="351"/>
      <c r="BA170" s="412"/>
      <c r="BB170" s="350"/>
      <c r="BC170" s="350"/>
      <c r="BD170" s="350"/>
      <c r="BE170" s="350"/>
      <c r="BF170" s="350"/>
      <c r="BG170" s="350"/>
      <c r="BH170" s="350"/>
      <c r="BI170" s="350"/>
      <c r="BJ170" s="351"/>
      <c r="BK170" s="737"/>
      <c r="BL170" s="350"/>
      <c r="BM170" s="350"/>
      <c r="BN170" s="350"/>
      <c r="BO170" s="350"/>
      <c r="BP170" s="350"/>
      <c r="BQ170" s="351"/>
    </row>
    <row r="171" spans="1:100" ht="15.75" customHeight="1">
      <c r="A171" s="413" t="s">
        <v>689</v>
      </c>
      <c r="B171" s="350"/>
      <c r="C171" s="350"/>
      <c r="D171" s="350"/>
      <c r="E171" s="350"/>
      <c r="F171" s="350"/>
      <c r="G171" s="350"/>
      <c r="H171" s="351"/>
      <c r="I171" s="755">
        <f>'GRANTEE SET UP INFO &amp; DATE '!W14</f>
        <v>0</v>
      </c>
      <c r="J171" s="350"/>
      <c r="K171" s="350"/>
      <c r="L171" s="351"/>
      <c r="M171" s="884">
        <f>'GRANTEE SET UP INFO &amp; DATE '!Z14</f>
        <v>0</v>
      </c>
      <c r="N171" s="350"/>
      <c r="O171" s="350"/>
      <c r="P171" s="350"/>
      <c r="Q171" s="351"/>
      <c r="R171" s="885">
        <f>'GRANTEE SET UP INFO &amp; DATE '!AD14</f>
        <v>0</v>
      </c>
      <c r="S171" s="350"/>
      <c r="T171" s="350"/>
      <c r="U171" s="350"/>
      <c r="V171" s="351"/>
      <c r="W171" s="886">
        <f>'GRANTEE SET UP INFO &amp; DATE '!AH14</f>
        <v>0</v>
      </c>
      <c r="X171" s="350"/>
      <c r="Y171" s="350"/>
      <c r="Z171" s="350"/>
      <c r="AA171" s="350"/>
      <c r="AB171" s="351"/>
      <c r="AG171" s="412" t="s">
        <v>689</v>
      </c>
      <c r="AH171" s="350"/>
      <c r="AI171" s="350"/>
      <c r="AJ171" s="350"/>
      <c r="AK171" s="350"/>
      <c r="AL171" s="350"/>
      <c r="AM171" s="350"/>
      <c r="AN171" s="350"/>
      <c r="AO171" s="350"/>
      <c r="AP171" s="351"/>
      <c r="AQ171" s="737">
        <f>COUNTIFS('Naloxone Training Distribution'!AI15:AI5000,"YES")</f>
        <v>0</v>
      </c>
      <c r="AR171" s="350"/>
      <c r="AS171" s="350"/>
      <c r="AT171" s="350"/>
      <c r="AU171" s="350"/>
      <c r="AV171" s="350"/>
      <c r="AW171" s="351"/>
      <c r="BA171" s="412"/>
      <c r="BB171" s="350"/>
      <c r="BC171" s="350"/>
      <c r="BD171" s="350"/>
      <c r="BE171" s="350"/>
      <c r="BF171" s="350"/>
      <c r="BG171" s="350"/>
      <c r="BH171" s="350"/>
      <c r="BI171" s="350"/>
      <c r="BJ171" s="351"/>
      <c r="BK171" s="737"/>
      <c r="BL171" s="350"/>
      <c r="BM171" s="350"/>
      <c r="BN171" s="350"/>
      <c r="BO171" s="350"/>
      <c r="BP171" s="350"/>
      <c r="BQ171" s="351"/>
    </row>
    <row r="172" spans="1:100" ht="15.75" customHeight="1">
      <c r="A172" s="413"/>
      <c r="B172" s="350"/>
      <c r="C172" s="350"/>
      <c r="D172" s="350"/>
      <c r="E172" s="350"/>
      <c r="F172" s="350"/>
      <c r="G172" s="350"/>
      <c r="H172" s="351"/>
      <c r="I172" s="754"/>
      <c r="J172" s="350"/>
      <c r="K172" s="350"/>
      <c r="L172" s="351"/>
      <c r="M172" s="887"/>
      <c r="N172" s="350"/>
      <c r="O172" s="350"/>
      <c r="P172" s="350"/>
      <c r="Q172" s="351"/>
      <c r="R172" s="888"/>
      <c r="S172" s="350"/>
      <c r="T172" s="350"/>
      <c r="U172" s="350"/>
      <c r="V172" s="351"/>
      <c r="W172" s="886"/>
      <c r="X172" s="350"/>
      <c r="Y172" s="350"/>
      <c r="Z172" s="350"/>
      <c r="AA172" s="350"/>
      <c r="AB172" s="351"/>
      <c r="AG172" s="412"/>
      <c r="AH172" s="350"/>
      <c r="AI172" s="350"/>
      <c r="AJ172" s="350"/>
      <c r="AK172" s="350"/>
      <c r="AL172" s="350"/>
      <c r="AM172" s="350"/>
      <c r="AN172" s="350"/>
      <c r="AO172" s="350"/>
      <c r="AP172" s="351"/>
      <c r="AQ172" s="737"/>
      <c r="AR172" s="350"/>
      <c r="AS172" s="350"/>
      <c r="AT172" s="350"/>
      <c r="AU172" s="350"/>
      <c r="AV172" s="350"/>
      <c r="AW172" s="351"/>
      <c r="BA172" s="412"/>
      <c r="BB172" s="350"/>
      <c r="BC172" s="350"/>
      <c r="BD172" s="350"/>
      <c r="BE172" s="350"/>
      <c r="BF172" s="350"/>
      <c r="BG172" s="350"/>
      <c r="BH172" s="350"/>
      <c r="BI172" s="350"/>
      <c r="BJ172" s="351"/>
      <c r="BK172" s="737"/>
      <c r="BL172" s="350"/>
      <c r="BM172" s="350"/>
      <c r="BN172" s="350"/>
      <c r="BO172" s="350"/>
      <c r="BP172" s="350"/>
      <c r="BQ172" s="351"/>
    </row>
    <row r="173" spans="1:100" ht="15.75" customHeight="1">
      <c r="A173" s="895" t="s">
        <v>690</v>
      </c>
      <c r="B173" s="350"/>
      <c r="C173" s="350"/>
      <c r="D173" s="350"/>
      <c r="E173" s="350"/>
      <c r="F173" s="350"/>
      <c r="G173" s="350"/>
      <c r="H173" s="350"/>
      <c r="I173" s="350"/>
      <c r="J173" s="350"/>
      <c r="K173" s="350"/>
      <c r="L173" s="350"/>
      <c r="M173" s="350"/>
      <c r="N173" s="350"/>
      <c r="O173" s="350"/>
      <c r="P173" s="350"/>
      <c r="Q173" s="350"/>
      <c r="R173" s="350"/>
      <c r="S173" s="350"/>
      <c r="T173" s="350"/>
      <c r="U173" s="350"/>
      <c r="V173" s="351"/>
      <c r="W173" s="896">
        <f>COUNTIFS(W160:W171,"&gt;=07/01/2010",W160:W171,"&lt;=09/30/2021")</f>
        <v>0</v>
      </c>
      <c r="X173" s="378"/>
      <c r="Y173" s="378"/>
      <c r="Z173" s="378"/>
      <c r="AA173" s="378"/>
      <c r="AB173" s="495"/>
      <c r="AG173" s="897" t="s">
        <v>574</v>
      </c>
      <c r="AH173" s="378"/>
      <c r="AI173" s="378"/>
      <c r="AJ173" s="378"/>
      <c r="AK173" s="378"/>
      <c r="AL173" s="378"/>
      <c r="AM173" s="378"/>
      <c r="AN173" s="378"/>
      <c r="AO173" s="378"/>
      <c r="AP173" s="495"/>
      <c r="AQ173" s="898">
        <f>SUM(AQ160:AQ172)</f>
        <v>0</v>
      </c>
      <c r="AR173" s="378"/>
      <c r="AS173" s="378"/>
      <c r="AT173" s="378"/>
      <c r="AU173" s="378"/>
      <c r="AV173" s="378"/>
      <c r="AW173" s="495"/>
      <c r="BA173" s="898" t="s">
        <v>574</v>
      </c>
      <c r="BB173" s="378"/>
      <c r="BC173" s="378"/>
      <c r="BD173" s="378"/>
      <c r="BE173" s="378"/>
      <c r="BF173" s="378"/>
      <c r="BG173" s="378"/>
      <c r="BH173" s="378"/>
      <c r="BI173" s="378"/>
      <c r="BJ173" s="495"/>
      <c r="BK173" s="898">
        <f>SUM(BK160:BK172)</f>
        <v>0</v>
      </c>
      <c r="BL173" s="378"/>
      <c r="BM173" s="378"/>
      <c r="BN173" s="378"/>
      <c r="BO173" s="378"/>
      <c r="BP173" s="378"/>
      <c r="BQ173" s="495"/>
    </row>
    <row r="174" spans="1:100" ht="15.75" customHeight="1">
      <c r="I174" s="108"/>
    </row>
    <row r="175" spans="1:100" ht="15.75" customHeight="1">
      <c r="A175" s="807" t="s">
        <v>691</v>
      </c>
      <c r="B175" s="381"/>
      <c r="C175" s="381"/>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428"/>
    </row>
    <row r="176" spans="1:100" ht="15.75" customHeight="1">
      <c r="I176" s="108"/>
    </row>
    <row r="177" spans="1:100" ht="15.75" customHeight="1">
      <c r="A177" s="511" t="s">
        <v>692</v>
      </c>
      <c r="B177" s="350"/>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1"/>
      <c r="AD177" s="753" t="s">
        <v>693</v>
      </c>
      <c r="AE177" s="350"/>
      <c r="AF177" s="350"/>
      <c r="AG177" s="350"/>
      <c r="AH177" s="350"/>
      <c r="AI177" s="350"/>
      <c r="AJ177" s="350"/>
      <c r="AK177" s="350"/>
      <c r="AL177" s="351"/>
      <c r="AM177" s="753" t="s">
        <v>694</v>
      </c>
      <c r="AN177" s="350"/>
      <c r="AO177" s="350"/>
      <c r="AP177" s="350"/>
      <c r="AQ177" s="350"/>
      <c r="AR177" s="350"/>
      <c r="AS177" s="350"/>
      <c r="AT177" s="350"/>
      <c r="AU177" s="351"/>
      <c r="AV177" s="753" t="s">
        <v>695</v>
      </c>
      <c r="AW177" s="350"/>
      <c r="AX177" s="350"/>
      <c r="AY177" s="350"/>
      <c r="AZ177" s="350"/>
      <c r="BA177" s="350"/>
      <c r="BB177" s="350"/>
      <c r="BC177" s="350"/>
      <c r="BD177" s="351"/>
      <c r="BE177" s="108"/>
      <c r="BF177" s="108"/>
      <c r="BG177" s="108"/>
      <c r="BH177" s="108"/>
    </row>
    <row r="178" spans="1:100" ht="15.75" customHeight="1">
      <c r="A178" s="412" t="s">
        <v>696</v>
      </c>
      <c r="B178" s="350"/>
      <c r="C178" s="350"/>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1"/>
      <c r="AD178" s="798">
        <f>COUNTIFS('ACTIVITIES MEETINGS EVENTS '!D13:D4948,"Cross Planning Initiatives")</f>
        <v>0</v>
      </c>
      <c r="AE178" s="350"/>
      <c r="AF178" s="350"/>
      <c r="AG178" s="350"/>
      <c r="AH178" s="350"/>
      <c r="AI178" s="350"/>
      <c r="AJ178" s="350"/>
      <c r="AK178" s="350"/>
      <c r="AL178" s="351"/>
      <c r="AM178" s="737">
        <f>SUMIF('ACTIVITIES MEETINGS EVENTS '!D13:D4948,"Cross Planning Initiatives",'ACTIVITIES MEETINGS EVENTS '!Y13:Y4948)</f>
        <v>0</v>
      </c>
      <c r="AN178" s="350"/>
      <c r="AO178" s="350"/>
      <c r="AP178" s="350"/>
      <c r="AQ178" s="350"/>
      <c r="AR178" s="350"/>
      <c r="AS178" s="350"/>
      <c r="AT178" s="350"/>
      <c r="AU178" s="351"/>
      <c r="AV178" s="737">
        <f>COUNTIFS('ACTIVITIES MEETINGS EVENTS '!D13:D4948,"Cross Planning Initiatives",'ACTIVITIES MEETINGS EVENTS '!AW13:AW4948,"YES")</f>
        <v>0</v>
      </c>
      <c r="AW178" s="350"/>
      <c r="AX178" s="350"/>
      <c r="AY178" s="350"/>
      <c r="AZ178" s="350"/>
      <c r="BA178" s="350"/>
      <c r="BB178" s="350"/>
      <c r="BC178" s="350"/>
      <c r="BD178" s="351"/>
    </row>
    <row r="179" spans="1:100" ht="15.75" customHeight="1">
      <c r="A179" s="412" t="s">
        <v>697</v>
      </c>
      <c r="B179" s="350"/>
      <c r="C179" s="350"/>
      <c r="D179" s="350"/>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1"/>
      <c r="AD179" s="798">
        <f>COUNTIFS('ACTIVITIES MEETINGS EVENTS '!D13:D4948,"Service Activity Implemented with other sectors")</f>
        <v>0</v>
      </c>
      <c r="AE179" s="350"/>
      <c r="AF179" s="350"/>
      <c r="AG179" s="350"/>
      <c r="AH179" s="350"/>
      <c r="AI179" s="350"/>
      <c r="AJ179" s="350"/>
      <c r="AK179" s="350"/>
      <c r="AL179" s="351"/>
      <c r="AM179" s="737">
        <f>SUMIF('ACTIVITIES MEETINGS EVENTS '!D13:D4948,"Service Activity Implemented with other sectors",'ACTIVITIES MEETINGS EVENTS '!Y13:Y4948)</f>
        <v>0</v>
      </c>
      <c r="AN179" s="350"/>
      <c r="AO179" s="350"/>
      <c r="AP179" s="350"/>
      <c r="AQ179" s="350"/>
      <c r="AR179" s="350"/>
      <c r="AS179" s="350"/>
      <c r="AT179" s="350"/>
      <c r="AU179" s="351"/>
      <c r="AV179" s="737">
        <f>COUNTIFS('ACTIVITIES MEETINGS EVENTS '!D13:D4948,"Service Activity Implemented with other sectors",'ACTIVITIES MEETINGS EVENTS '!AW13:AW4948,"YES")</f>
        <v>0</v>
      </c>
      <c r="AW179" s="350"/>
      <c r="AX179" s="350"/>
      <c r="AY179" s="350"/>
      <c r="AZ179" s="350"/>
      <c r="BA179" s="350"/>
      <c r="BB179" s="350"/>
      <c r="BC179" s="350"/>
      <c r="BD179" s="351"/>
    </row>
    <row r="180" spans="1:100" ht="15.75" customHeight="1">
      <c r="A180" s="412" t="s">
        <v>698</v>
      </c>
      <c r="B180" s="350"/>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1"/>
      <c r="AD180" s="798">
        <f>COUNTIFS('ACTIVITIES MEETINGS EVENTS '!D13:D4948,"Meeting Attended ")</f>
        <v>0</v>
      </c>
      <c r="AE180" s="350"/>
      <c r="AF180" s="350"/>
      <c r="AG180" s="350"/>
      <c r="AH180" s="350"/>
      <c r="AI180" s="350"/>
      <c r="AJ180" s="350"/>
      <c r="AK180" s="350"/>
      <c r="AL180" s="351"/>
      <c r="AM180" s="737">
        <f>SUMIF('ACTIVITIES MEETINGS EVENTS '!D13:D4948,"Meeting Attended ",'ACTIVITIES MEETINGS EVENTS '!Y13:Y4948)</f>
        <v>0</v>
      </c>
      <c r="AN180" s="350"/>
      <c r="AO180" s="350"/>
      <c r="AP180" s="350"/>
      <c r="AQ180" s="350"/>
      <c r="AR180" s="350"/>
      <c r="AS180" s="350"/>
      <c r="AT180" s="350"/>
      <c r="AU180" s="351"/>
      <c r="AV180" s="737">
        <f>COUNTIFS('ACTIVITIES MEETINGS EVENTS '!D13:D4948,"Meeting Attended ",'ACTIVITIES MEETINGS EVENTS '!AW13:AW4948,"YES")</f>
        <v>0</v>
      </c>
      <c r="AW180" s="350"/>
      <c r="AX180" s="350"/>
      <c r="AY180" s="350"/>
      <c r="AZ180" s="350"/>
      <c r="BA180" s="350"/>
      <c r="BB180" s="350"/>
      <c r="BC180" s="350"/>
      <c r="BD180" s="351"/>
    </row>
    <row r="181" spans="1:100" ht="15.75" customHeight="1">
      <c r="A181" s="412" t="s">
        <v>699</v>
      </c>
      <c r="B181" s="350"/>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1"/>
      <c r="AD181" s="798">
        <f>COUNTIFS('ACTIVITIES MEETINGS EVENTS '!D13:D4948,"Specific Activities with goal  to Reach High-Risk Populations (Specify Population in Notes)")</f>
        <v>0</v>
      </c>
      <c r="AE181" s="350"/>
      <c r="AF181" s="350"/>
      <c r="AG181" s="350"/>
      <c r="AH181" s="350"/>
      <c r="AI181" s="350"/>
      <c r="AJ181" s="350"/>
      <c r="AK181" s="350"/>
      <c r="AL181" s="351"/>
      <c r="AM181" s="737">
        <f>SUMIF('ACTIVITIES MEETINGS EVENTS '!D13:D4948,"Specific Activities with goal  to Reach High-Risk Populations (Specify Population in Notes)",'ACTIVITIES MEETINGS EVENTS '!Y13:Y4948)</f>
        <v>0</v>
      </c>
      <c r="AN181" s="350"/>
      <c r="AO181" s="350"/>
      <c r="AP181" s="350"/>
      <c r="AQ181" s="350"/>
      <c r="AR181" s="350"/>
      <c r="AS181" s="350"/>
      <c r="AT181" s="350"/>
      <c r="AU181" s="351"/>
      <c r="AV181" s="737">
        <f>COUNTIFS('ACTIVITIES MEETINGS EVENTS '!D13:D4948,"Specific Activities with goal  to Reach High-Risk Populations (Specify Population in Notes)",'ACTIVITIES MEETINGS EVENTS '!AW13:AW4948,"YES")</f>
        <v>0</v>
      </c>
      <c r="AW181" s="350"/>
      <c r="AX181" s="350"/>
      <c r="AY181" s="350"/>
      <c r="AZ181" s="350"/>
      <c r="BA181" s="350"/>
      <c r="BB181" s="350"/>
      <c r="BC181" s="350"/>
      <c r="BD181" s="351"/>
    </row>
    <row r="182" spans="1:100" ht="15.75" customHeight="1">
      <c r="A182" s="412" t="s">
        <v>700</v>
      </c>
      <c r="B182" s="350"/>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1"/>
      <c r="AD182" s="798">
        <f>COUNTIFS('ACTIVITIES MEETINGS EVENTS '!D13:D4948,"Peer Reviews")</f>
        <v>0</v>
      </c>
      <c r="AE182" s="350"/>
      <c r="AF182" s="350"/>
      <c r="AG182" s="350"/>
      <c r="AH182" s="350"/>
      <c r="AI182" s="350"/>
      <c r="AJ182" s="350"/>
      <c r="AK182" s="350"/>
      <c r="AL182" s="351"/>
      <c r="AM182" s="737">
        <f>SUMIF('ACTIVITIES MEETINGS EVENTS '!D13:D4948,"Peer Reviews",'ACTIVITIES MEETINGS EVENTS '!Y13:Y4948)</f>
        <v>0</v>
      </c>
      <c r="AN182" s="350"/>
      <c r="AO182" s="350"/>
      <c r="AP182" s="350"/>
      <c r="AQ182" s="350"/>
      <c r="AR182" s="350"/>
      <c r="AS182" s="350"/>
      <c r="AT182" s="350"/>
      <c r="AU182" s="351"/>
      <c r="AV182" s="737">
        <f>COUNTIFS('ACTIVITIES MEETINGS EVENTS '!D13:D4948,"Peer Reviews",'ACTIVITIES MEETINGS EVENTS '!AW13:AW4948,"YES")</f>
        <v>0</v>
      </c>
      <c r="AW182" s="350"/>
      <c r="AX182" s="350"/>
      <c r="AY182" s="350"/>
      <c r="AZ182" s="350"/>
      <c r="BA182" s="350"/>
      <c r="BB182" s="350"/>
      <c r="BC182" s="350"/>
      <c r="BD182" s="351"/>
    </row>
    <row r="183" spans="1:100" ht="15.75" customHeight="1">
      <c r="A183" s="412" t="s">
        <v>701</v>
      </c>
      <c r="B183" s="350"/>
      <c r="C183" s="350"/>
      <c r="D183" s="350"/>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1"/>
      <c r="AD183" s="798">
        <f>COUNTIFS('ACTIVITIES MEETINGS EVENTS '!D13:D4948,"Peer Support Groups")</f>
        <v>0</v>
      </c>
      <c r="AE183" s="350"/>
      <c r="AF183" s="350"/>
      <c r="AG183" s="350"/>
      <c r="AH183" s="350"/>
      <c r="AI183" s="350"/>
      <c r="AJ183" s="350"/>
      <c r="AK183" s="350"/>
      <c r="AL183" s="351"/>
      <c r="AM183" s="737">
        <f>SUMIF('ACTIVITIES MEETINGS EVENTS '!D13:D4948,"Peer Support Groups",'ACTIVITIES MEETINGS EVENTS '!Y13:Y4948)</f>
        <v>0</v>
      </c>
      <c r="AN183" s="350"/>
      <c r="AO183" s="350"/>
      <c r="AP183" s="350"/>
      <c r="AQ183" s="350"/>
      <c r="AR183" s="350"/>
      <c r="AS183" s="350"/>
      <c r="AT183" s="350"/>
      <c r="AU183" s="351"/>
      <c r="AV183" s="737">
        <f>COUNTIFS('ACTIVITIES MEETINGS EVENTS '!D13:D4948,"Peer Support Groups",'ACTIVITIES MEETINGS EVENTS '!AW13:AW4948,"YES")</f>
        <v>0</v>
      </c>
      <c r="AW183" s="350"/>
      <c r="AX183" s="350"/>
      <c r="AY183" s="350"/>
      <c r="AZ183" s="350"/>
      <c r="BA183" s="350"/>
      <c r="BB183" s="350"/>
      <c r="BC183" s="350"/>
      <c r="BD183" s="351"/>
    </row>
    <row r="184" spans="1:100" ht="15.75" customHeight="1">
      <c r="A184" s="412" t="s">
        <v>702</v>
      </c>
      <c r="B184" s="350"/>
      <c r="C184" s="350"/>
      <c r="D184" s="350"/>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1"/>
      <c r="AD184" s="798">
        <f>COUNTIFS('ACTIVITIES MEETINGS EVENTS '!D13:D4948,"Coalitions")</f>
        <v>0</v>
      </c>
      <c r="AE184" s="350"/>
      <c r="AF184" s="350"/>
      <c r="AG184" s="350"/>
      <c r="AH184" s="350"/>
      <c r="AI184" s="350"/>
      <c r="AJ184" s="350"/>
      <c r="AK184" s="350"/>
      <c r="AL184" s="351"/>
      <c r="AM184" s="737">
        <f>SUMIF('ACTIVITIES MEETINGS EVENTS '!D13:D4948,"Coalitions",'ACTIVITIES MEETINGS EVENTS '!Y13:Y4948)</f>
        <v>0</v>
      </c>
      <c r="AN184" s="350"/>
      <c r="AO184" s="350"/>
      <c r="AP184" s="350"/>
      <c r="AQ184" s="350"/>
      <c r="AR184" s="350"/>
      <c r="AS184" s="350"/>
      <c r="AT184" s="350"/>
      <c r="AU184" s="351"/>
      <c r="AV184" s="737">
        <f>COUNTIFS('ACTIVITIES MEETINGS EVENTS '!D13:D4948,"Coalitions",'ACTIVITIES MEETINGS EVENTS '!AW13:AW4948,"YES")</f>
        <v>0</v>
      </c>
      <c r="AW184" s="350"/>
      <c r="AX184" s="350"/>
      <c r="AY184" s="350"/>
      <c r="AZ184" s="350"/>
      <c r="BA184" s="350"/>
      <c r="BB184" s="350"/>
      <c r="BC184" s="350"/>
      <c r="BD184" s="351"/>
    </row>
    <row r="185" spans="1:100" ht="15.75" customHeight="1">
      <c r="A185" s="412" t="s">
        <v>703</v>
      </c>
      <c r="B185" s="350"/>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1"/>
      <c r="AD185" s="798">
        <f>COUNTIFS('ACTIVITIES MEETINGS EVENTS '!D13:D4948,"Materials Distributed (specify kind &amp; amount in notes) ")</f>
        <v>0</v>
      </c>
      <c r="AE185" s="350"/>
      <c r="AF185" s="350"/>
      <c r="AG185" s="350"/>
      <c r="AH185" s="350"/>
      <c r="AI185" s="350"/>
      <c r="AJ185" s="350"/>
      <c r="AK185" s="350"/>
      <c r="AL185" s="351"/>
      <c r="AM185" s="737">
        <f>SUMIF('ACTIVITIES MEETINGS EVENTS '!D13:D4948,"Materials Distributed (specify kind &amp; amount in notes) ",'ACTIVITIES MEETINGS EVENTS '!Y13:Y4948)</f>
        <v>0</v>
      </c>
      <c r="AN185" s="350"/>
      <c r="AO185" s="350"/>
      <c r="AP185" s="350"/>
      <c r="AQ185" s="350"/>
      <c r="AR185" s="350"/>
      <c r="AS185" s="350"/>
      <c r="AT185" s="350"/>
      <c r="AU185" s="351"/>
      <c r="AV185" s="737">
        <f>COUNTIFS('ACTIVITIES MEETINGS EVENTS '!D13:D4948,"Materials Distributed (specify kind &amp; amount in notes) ",'ACTIVITIES MEETINGS EVENTS '!AW13:AW4948,"YES")</f>
        <v>0</v>
      </c>
      <c r="AW185" s="350"/>
      <c r="AX185" s="350"/>
      <c r="AY185" s="350"/>
      <c r="AZ185" s="350"/>
      <c r="BA185" s="350"/>
      <c r="BB185" s="350"/>
      <c r="BC185" s="350"/>
      <c r="BD185" s="351"/>
    </row>
    <row r="186" spans="1:100" ht="15.75" customHeight="1">
      <c r="A186" s="412" t="s">
        <v>704</v>
      </c>
      <c r="B186" s="350"/>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1"/>
      <c r="AD186" s="798">
        <f>COUNTIFS('ACTIVITIES MEETINGS EVENTS '!D13:D4948,"Other (Specify in Notes) ")</f>
        <v>0</v>
      </c>
      <c r="AE186" s="350"/>
      <c r="AF186" s="350"/>
      <c r="AG186" s="350"/>
      <c r="AH186" s="350"/>
      <c r="AI186" s="350"/>
      <c r="AJ186" s="350"/>
      <c r="AK186" s="350"/>
      <c r="AL186" s="351"/>
      <c r="AM186" s="737">
        <f>SUMIF('ACTIVITIES MEETINGS EVENTS '!D13:D4948,"Other (Specify in Notes) ",'ACTIVITIES MEETINGS EVENTS '!Y13:Y4948)</f>
        <v>0</v>
      </c>
      <c r="AN186" s="350"/>
      <c r="AO186" s="350"/>
      <c r="AP186" s="350"/>
      <c r="AQ186" s="350"/>
      <c r="AR186" s="350"/>
      <c r="AS186" s="350"/>
      <c r="AT186" s="350"/>
      <c r="AU186" s="351"/>
      <c r="AV186" s="737">
        <f>COUNTIFS('ACTIVITIES MEETINGS EVENTS '!D13:D4948,"Other (Specify in Notes) ",'ACTIVITIES MEETINGS EVENTS '!AW13:AW4948,"YES")</f>
        <v>0</v>
      </c>
      <c r="AW186" s="350"/>
      <c r="AX186" s="350"/>
      <c r="AY186" s="350"/>
      <c r="AZ186" s="350"/>
      <c r="BA186" s="350"/>
      <c r="BB186" s="350"/>
      <c r="BC186" s="350"/>
      <c r="BD186" s="351"/>
    </row>
    <row r="187" spans="1:100" ht="15.75" customHeight="1">
      <c r="A187" s="412"/>
      <c r="B187" s="350"/>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1"/>
      <c r="AD187" s="881"/>
      <c r="AE187" s="350"/>
      <c r="AF187" s="350"/>
      <c r="AG187" s="350"/>
      <c r="AH187" s="350"/>
      <c r="AI187" s="350"/>
      <c r="AJ187" s="350"/>
      <c r="AK187" s="350"/>
      <c r="AL187" s="351"/>
      <c r="AM187" s="737"/>
      <c r="AN187" s="350"/>
      <c r="AO187" s="350"/>
      <c r="AP187" s="350"/>
      <c r="AQ187" s="350"/>
      <c r="AR187" s="350"/>
      <c r="AS187" s="350"/>
      <c r="AT187" s="350"/>
      <c r="AU187" s="351"/>
      <c r="AV187" s="737"/>
      <c r="AW187" s="350"/>
      <c r="AX187" s="350"/>
      <c r="AY187" s="350"/>
      <c r="AZ187" s="350"/>
      <c r="BA187" s="350"/>
      <c r="BB187" s="350"/>
      <c r="BC187" s="350"/>
      <c r="BD187" s="351"/>
    </row>
    <row r="188" spans="1:100" ht="15.75" customHeight="1">
      <c r="A188" s="756" t="s">
        <v>561</v>
      </c>
      <c r="B188" s="350"/>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1"/>
      <c r="AD188" s="882">
        <f>SUM(AD178:AD187)</f>
        <v>0</v>
      </c>
      <c r="AE188" s="350"/>
      <c r="AF188" s="350"/>
      <c r="AG188" s="350"/>
      <c r="AH188" s="350"/>
      <c r="AI188" s="350"/>
      <c r="AJ188" s="350"/>
      <c r="AK188" s="350"/>
      <c r="AL188" s="351"/>
      <c r="AM188" s="883">
        <f>SUM(AM178:AM187)</f>
        <v>0</v>
      </c>
      <c r="AN188" s="350"/>
      <c r="AO188" s="350"/>
      <c r="AP188" s="350"/>
      <c r="AQ188" s="350"/>
      <c r="AR188" s="350"/>
      <c r="AS188" s="350"/>
      <c r="AT188" s="350"/>
      <c r="AU188" s="351"/>
      <c r="AV188" s="883">
        <f>SUM(AV178:AV187)</f>
        <v>0</v>
      </c>
      <c r="AW188" s="350"/>
      <c r="AX188" s="350"/>
      <c r="AY188" s="350"/>
      <c r="AZ188" s="350"/>
      <c r="BA188" s="350"/>
      <c r="BB188" s="350"/>
      <c r="BC188" s="350"/>
      <c r="BD188" s="351"/>
    </row>
    <row r="189" spans="1:100" ht="15.75" customHeight="1">
      <c r="I189" s="108"/>
    </row>
    <row r="190" spans="1:100" ht="15.75" customHeight="1">
      <c r="I190" s="108"/>
    </row>
    <row r="191" spans="1:100" ht="15.75" customHeight="1">
      <c r="A191" s="807" t="s">
        <v>705</v>
      </c>
      <c r="B191" s="381"/>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428"/>
    </row>
    <row r="192" spans="1:100" ht="15.75" customHeight="1">
      <c r="I192" s="108"/>
    </row>
    <row r="193" spans="1:19" ht="15.75" customHeight="1">
      <c r="A193" s="511" t="s">
        <v>706</v>
      </c>
      <c r="B193" s="350"/>
      <c r="C193" s="350"/>
      <c r="D193" s="350"/>
      <c r="E193" s="350"/>
      <c r="F193" s="350"/>
      <c r="G193" s="350"/>
      <c r="H193" s="350"/>
      <c r="I193" s="350"/>
      <c r="J193" s="351"/>
      <c r="K193" s="753" t="s">
        <v>693</v>
      </c>
      <c r="L193" s="350"/>
      <c r="M193" s="350"/>
      <c r="N193" s="350"/>
      <c r="O193" s="350"/>
      <c r="P193" s="350"/>
      <c r="Q193" s="350"/>
      <c r="R193" s="350"/>
      <c r="S193" s="351"/>
    </row>
    <row r="194" spans="1:19" ht="15.75" customHeight="1">
      <c r="A194" s="412" t="s">
        <v>707</v>
      </c>
      <c r="B194" s="350"/>
      <c r="C194" s="350"/>
      <c r="D194" s="350"/>
      <c r="E194" s="350"/>
      <c r="F194" s="350"/>
      <c r="G194" s="350"/>
      <c r="H194" s="350"/>
      <c r="I194" s="350"/>
      <c r="J194" s="351"/>
      <c r="K194" s="737">
        <f>COUNTIFS('CONSUMER FEEDBACK'!E13:E5000,"Focus Group")</f>
        <v>0</v>
      </c>
      <c r="L194" s="350"/>
      <c r="M194" s="350"/>
      <c r="N194" s="350"/>
      <c r="O194" s="350"/>
      <c r="P194" s="350"/>
      <c r="Q194" s="350"/>
      <c r="R194" s="350"/>
      <c r="S194" s="351"/>
    </row>
    <row r="195" spans="1:19" ht="15.75" customHeight="1">
      <c r="A195" s="412" t="s">
        <v>708</v>
      </c>
      <c r="B195" s="350"/>
      <c r="C195" s="350"/>
      <c r="D195" s="350"/>
      <c r="E195" s="350"/>
      <c r="F195" s="350"/>
      <c r="G195" s="350"/>
      <c r="H195" s="350"/>
      <c r="I195" s="350"/>
      <c r="J195" s="351"/>
      <c r="K195" s="737">
        <f>COUNTIFS('CONSUMER FEEDBACK'!E13:E5000,"Key-informant interview")</f>
        <v>0</v>
      </c>
      <c r="L195" s="350"/>
      <c r="M195" s="350"/>
      <c r="N195" s="350"/>
      <c r="O195" s="350"/>
      <c r="P195" s="350"/>
      <c r="Q195" s="350"/>
      <c r="R195" s="350"/>
      <c r="S195" s="351"/>
    </row>
    <row r="196" spans="1:19" ht="15.75" customHeight="1">
      <c r="A196" s="412" t="s">
        <v>709</v>
      </c>
      <c r="B196" s="350"/>
      <c r="C196" s="350"/>
      <c r="D196" s="350"/>
      <c r="E196" s="350"/>
      <c r="F196" s="350"/>
      <c r="G196" s="350"/>
      <c r="H196" s="350"/>
      <c r="I196" s="350"/>
      <c r="J196" s="351"/>
      <c r="K196" s="737">
        <f>COUNTIFS('CONSUMER FEEDBACK'!E13:E5000,"Survey")</f>
        <v>0</v>
      </c>
      <c r="L196" s="350"/>
      <c r="M196" s="350"/>
      <c r="N196" s="350"/>
      <c r="O196" s="350"/>
      <c r="P196" s="350"/>
      <c r="Q196" s="350"/>
      <c r="R196" s="350"/>
      <c r="S196" s="351"/>
    </row>
    <row r="197" spans="1:19" ht="15.75" customHeight="1">
      <c r="A197" s="412" t="s">
        <v>710</v>
      </c>
      <c r="B197" s="350"/>
      <c r="C197" s="350"/>
      <c r="D197" s="350"/>
      <c r="E197" s="350"/>
      <c r="F197" s="350"/>
      <c r="G197" s="350"/>
      <c r="H197" s="350"/>
      <c r="I197" s="350"/>
      <c r="J197" s="351"/>
      <c r="K197" s="737">
        <f>COUNTIFS('CONSUMER FEEDBACK'!E13:E5000,"Other (specify in Note Section) ")</f>
        <v>0</v>
      </c>
      <c r="L197" s="350"/>
      <c r="M197" s="350"/>
      <c r="N197" s="350"/>
      <c r="O197" s="350"/>
      <c r="P197" s="350"/>
      <c r="Q197" s="350"/>
      <c r="R197" s="350"/>
      <c r="S197" s="351"/>
    </row>
    <row r="198" spans="1:19" ht="15.75" customHeight="1">
      <c r="A198" s="412"/>
      <c r="B198" s="350"/>
      <c r="C198" s="350"/>
      <c r="D198" s="350"/>
      <c r="E198" s="350"/>
      <c r="F198" s="350"/>
      <c r="G198" s="350"/>
      <c r="H198" s="350"/>
      <c r="I198" s="350"/>
      <c r="J198" s="351"/>
      <c r="K198" s="737"/>
      <c r="L198" s="350"/>
      <c r="M198" s="350"/>
      <c r="N198" s="350"/>
      <c r="O198" s="350"/>
      <c r="P198" s="350"/>
      <c r="Q198" s="350"/>
      <c r="R198" s="350"/>
      <c r="S198" s="351"/>
    </row>
    <row r="199" spans="1:19" ht="15.75" customHeight="1">
      <c r="A199" s="756" t="s">
        <v>561</v>
      </c>
      <c r="B199" s="350"/>
      <c r="C199" s="350"/>
      <c r="D199" s="350"/>
      <c r="E199" s="350"/>
      <c r="F199" s="350"/>
      <c r="G199" s="350"/>
      <c r="H199" s="350"/>
      <c r="I199" s="350"/>
      <c r="J199" s="351"/>
      <c r="K199" s="883">
        <f>SUM(K194:K198)</f>
        <v>0</v>
      </c>
      <c r="L199" s="350"/>
      <c r="M199" s="350"/>
      <c r="N199" s="350"/>
      <c r="O199" s="350"/>
      <c r="P199" s="350"/>
      <c r="Q199" s="350"/>
      <c r="R199" s="350"/>
      <c r="S199" s="351"/>
    </row>
    <row r="200" spans="1:19" ht="15.75" customHeight="1">
      <c r="I200" s="108"/>
    </row>
    <row r="201" spans="1:19" ht="15.75" customHeight="1">
      <c r="I201" s="108"/>
    </row>
    <row r="202" spans="1:19" ht="15.75" customHeight="1">
      <c r="I202" s="108"/>
    </row>
    <row r="203" spans="1:19" ht="15.75" customHeight="1">
      <c r="I203" s="108"/>
    </row>
    <row r="204" spans="1:19" ht="15.75" customHeight="1">
      <c r="I204" s="108"/>
    </row>
    <row r="205" spans="1:19" ht="15.75" customHeight="1">
      <c r="I205" s="108"/>
    </row>
    <row r="206" spans="1:19" ht="15.75" customHeight="1">
      <c r="I206" s="108"/>
    </row>
    <row r="207" spans="1:19" ht="15.75" customHeight="1">
      <c r="I207" s="108"/>
    </row>
    <row r="208" spans="1:19" ht="15.75" customHeight="1">
      <c r="I208" s="108"/>
    </row>
    <row r="209" spans="9:9" ht="15.75" customHeight="1">
      <c r="I209" s="108"/>
    </row>
    <row r="210" spans="9:9" ht="15.75" customHeight="1">
      <c r="I210" s="108"/>
    </row>
    <row r="211" spans="9:9" ht="15.75" customHeight="1">
      <c r="I211" s="108"/>
    </row>
    <row r="212" spans="9:9" ht="15.75" customHeight="1">
      <c r="I212" s="108"/>
    </row>
    <row r="213" spans="9:9" ht="15.75" customHeight="1">
      <c r="I213" s="108"/>
    </row>
    <row r="214" spans="9:9" ht="15.75" customHeight="1">
      <c r="I214" s="108"/>
    </row>
    <row r="215" spans="9:9" ht="15.75" customHeight="1">
      <c r="I215" s="108"/>
    </row>
    <row r="216" spans="9:9" ht="15.75" customHeight="1">
      <c r="I216" s="108"/>
    </row>
    <row r="217" spans="9:9" ht="15.75" customHeight="1">
      <c r="I217" s="108"/>
    </row>
    <row r="218" spans="9:9" ht="15.75" customHeight="1">
      <c r="I218" s="108"/>
    </row>
    <row r="219" spans="9:9" ht="15.75" customHeight="1">
      <c r="I219" s="108"/>
    </row>
    <row r="220" spans="9:9" ht="15.75" customHeight="1">
      <c r="I220" s="108"/>
    </row>
    <row r="221" spans="9:9" ht="15.75" customHeight="1">
      <c r="I221" s="108"/>
    </row>
    <row r="222" spans="9:9" ht="15.75" customHeight="1">
      <c r="I222" s="108"/>
    </row>
    <row r="223" spans="9:9" ht="15.75" customHeight="1">
      <c r="I223" s="108"/>
    </row>
    <row r="224" spans="9:9" ht="15.75" customHeight="1">
      <c r="I224" s="108"/>
    </row>
    <row r="225" spans="9:9" ht="15.75" customHeight="1">
      <c r="I225" s="108"/>
    </row>
    <row r="226" spans="9:9" ht="15.75" customHeight="1">
      <c r="I226" s="108"/>
    </row>
    <row r="227" spans="9:9" ht="15.75" customHeight="1">
      <c r="I227" s="108"/>
    </row>
    <row r="228" spans="9:9" ht="15.75" customHeight="1">
      <c r="I228" s="108"/>
    </row>
    <row r="229" spans="9:9" ht="15.75" customHeight="1">
      <c r="I229" s="108"/>
    </row>
    <row r="230" spans="9:9" ht="15.75" customHeight="1">
      <c r="I230" s="108"/>
    </row>
    <row r="231" spans="9:9" ht="15.75" customHeight="1">
      <c r="I231" s="108"/>
    </row>
    <row r="232" spans="9:9" ht="15.75" customHeight="1">
      <c r="I232" s="108"/>
    </row>
    <row r="233" spans="9:9" ht="15.75" customHeight="1">
      <c r="I233" s="108"/>
    </row>
    <row r="234" spans="9:9" ht="15.75" customHeight="1">
      <c r="I234" s="108"/>
    </row>
    <row r="235" spans="9:9" ht="15.75" customHeight="1">
      <c r="I235" s="108"/>
    </row>
    <row r="236" spans="9:9" ht="15.75" customHeight="1">
      <c r="I236" s="108"/>
    </row>
    <row r="237" spans="9:9" ht="15.75" customHeight="1">
      <c r="I237" s="108"/>
    </row>
    <row r="238" spans="9:9" ht="15.75" customHeight="1">
      <c r="I238" s="108"/>
    </row>
    <row r="239" spans="9:9" ht="15.75" customHeight="1">
      <c r="I239" s="108"/>
    </row>
    <row r="240" spans="9:9" ht="15.75" customHeight="1">
      <c r="I240" s="108"/>
    </row>
    <row r="241" spans="9:9" ht="15.75" customHeight="1">
      <c r="I241" s="108"/>
    </row>
    <row r="242" spans="9:9" ht="15.75" customHeight="1">
      <c r="I242" s="108"/>
    </row>
    <row r="243" spans="9:9" ht="15.75" customHeight="1">
      <c r="I243" s="108"/>
    </row>
    <row r="244" spans="9:9" ht="15.75" customHeight="1">
      <c r="I244" s="108"/>
    </row>
    <row r="245" spans="9:9" ht="15.75" customHeight="1">
      <c r="I245" s="108"/>
    </row>
    <row r="246" spans="9:9" ht="15.75" customHeight="1">
      <c r="I246" s="108"/>
    </row>
    <row r="247" spans="9:9" ht="15.75" customHeight="1">
      <c r="I247" s="108"/>
    </row>
    <row r="248" spans="9:9" ht="15.75" customHeight="1">
      <c r="I248" s="108"/>
    </row>
    <row r="249" spans="9:9" ht="15.75" customHeight="1">
      <c r="I249" s="108"/>
    </row>
    <row r="250" spans="9:9" ht="15.75" customHeight="1">
      <c r="I250" s="108"/>
    </row>
    <row r="251" spans="9:9" ht="15.75" customHeight="1">
      <c r="I251" s="108"/>
    </row>
    <row r="252" spans="9:9" ht="15.75" customHeight="1">
      <c r="I252" s="108"/>
    </row>
    <row r="253" spans="9:9" ht="15.75" customHeight="1">
      <c r="I253" s="108"/>
    </row>
    <row r="254" spans="9:9" ht="15.75" customHeight="1">
      <c r="I254" s="108"/>
    </row>
    <row r="255" spans="9:9" ht="15.75" customHeight="1">
      <c r="I255" s="108"/>
    </row>
    <row r="256" spans="9:9" ht="15.75" customHeight="1">
      <c r="I256" s="108"/>
    </row>
    <row r="257" spans="9:9" ht="15.75" customHeight="1">
      <c r="I257" s="108"/>
    </row>
    <row r="258" spans="9:9" ht="15.75" customHeight="1">
      <c r="I258" s="108"/>
    </row>
    <row r="259" spans="9:9" ht="15.75" customHeight="1">
      <c r="I259" s="108"/>
    </row>
    <row r="260" spans="9:9" ht="15.75" customHeight="1">
      <c r="I260" s="108"/>
    </row>
    <row r="261" spans="9:9" ht="15.75" customHeight="1">
      <c r="I261" s="108"/>
    </row>
    <row r="262" spans="9:9" ht="15.75" customHeight="1">
      <c r="I262" s="108"/>
    </row>
    <row r="263" spans="9:9" ht="15.75" customHeight="1">
      <c r="I263" s="108"/>
    </row>
    <row r="264" spans="9:9" ht="15.75" customHeight="1">
      <c r="I264" s="108"/>
    </row>
    <row r="265" spans="9:9" ht="15.75" customHeight="1">
      <c r="I265" s="108"/>
    </row>
    <row r="266" spans="9:9" ht="15.75" customHeight="1">
      <c r="I266" s="108"/>
    </row>
    <row r="267" spans="9:9" ht="15.75" customHeight="1">
      <c r="I267" s="108"/>
    </row>
    <row r="268" spans="9:9" ht="15.75" customHeight="1">
      <c r="I268" s="108"/>
    </row>
    <row r="269" spans="9:9" ht="15.75" customHeight="1">
      <c r="I269" s="108"/>
    </row>
    <row r="270" spans="9:9" ht="15.75" customHeight="1">
      <c r="I270" s="108"/>
    </row>
    <row r="271" spans="9:9" ht="15.75" customHeight="1">
      <c r="I271" s="108"/>
    </row>
    <row r="272" spans="9:9" ht="15.75" customHeight="1">
      <c r="I272" s="108"/>
    </row>
    <row r="273" spans="9:9" ht="15.75" customHeight="1">
      <c r="I273" s="108"/>
    </row>
    <row r="274" spans="9:9" ht="15.75" customHeight="1">
      <c r="I274" s="108"/>
    </row>
    <row r="275" spans="9:9" ht="15.75" customHeight="1">
      <c r="I275" s="108"/>
    </row>
    <row r="276" spans="9:9" ht="15.75" customHeight="1">
      <c r="I276" s="108"/>
    </row>
    <row r="277" spans="9:9" ht="15.75" customHeight="1">
      <c r="I277" s="108"/>
    </row>
    <row r="278" spans="9:9" ht="15.75" customHeight="1">
      <c r="I278" s="108"/>
    </row>
    <row r="279" spans="9:9" ht="15.75" customHeight="1">
      <c r="I279" s="108"/>
    </row>
    <row r="280" spans="9:9" ht="15.75" customHeight="1">
      <c r="I280" s="108"/>
    </row>
    <row r="281" spans="9:9" ht="15.75" customHeight="1">
      <c r="I281" s="108"/>
    </row>
    <row r="282" spans="9:9" ht="15.75" customHeight="1">
      <c r="I282" s="108"/>
    </row>
    <row r="283" spans="9:9" ht="15.75" customHeight="1">
      <c r="I283" s="108"/>
    </row>
    <row r="284" spans="9:9" ht="15.75" customHeight="1">
      <c r="I284" s="108"/>
    </row>
    <row r="285" spans="9:9" ht="15.75" customHeight="1">
      <c r="I285" s="108"/>
    </row>
    <row r="286" spans="9:9" ht="15.75" customHeight="1">
      <c r="I286" s="108"/>
    </row>
    <row r="287" spans="9:9" ht="15.75" customHeight="1">
      <c r="I287" s="108"/>
    </row>
    <row r="288" spans="9:9" ht="15.75" customHeight="1">
      <c r="I288" s="108"/>
    </row>
    <row r="289" spans="9:9" ht="15.75" customHeight="1">
      <c r="I289" s="108"/>
    </row>
    <row r="290" spans="9:9" ht="15.75" customHeight="1">
      <c r="I290" s="108"/>
    </row>
    <row r="291" spans="9:9" ht="15.75" customHeight="1">
      <c r="I291" s="108"/>
    </row>
    <row r="292" spans="9:9" ht="15.75" customHeight="1">
      <c r="I292" s="108"/>
    </row>
    <row r="293" spans="9:9" ht="15.75" customHeight="1">
      <c r="I293" s="108"/>
    </row>
    <row r="294" spans="9:9" ht="15.75" customHeight="1">
      <c r="I294" s="108"/>
    </row>
    <row r="295" spans="9:9" ht="15.75" customHeight="1">
      <c r="I295" s="108"/>
    </row>
    <row r="296" spans="9:9" ht="15.75" customHeight="1">
      <c r="I296" s="108"/>
    </row>
    <row r="297" spans="9:9" ht="15.75" customHeight="1">
      <c r="I297" s="108"/>
    </row>
    <row r="298" spans="9:9" ht="15.75" customHeight="1">
      <c r="I298" s="108"/>
    </row>
    <row r="299" spans="9:9" ht="15.75" customHeight="1">
      <c r="I299" s="108"/>
    </row>
    <row r="300" spans="9:9" ht="15.75" customHeight="1">
      <c r="I300" s="108"/>
    </row>
    <row r="301" spans="9:9" ht="15.75" customHeight="1">
      <c r="I301" s="108"/>
    </row>
    <row r="302" spans="9:9" ht="15.75" customHeight="1">
      <c r="I302" s="108"/>
    </row>
    <row r="303" spans="9:9" ht="15.75" customHeight="1">
      <c r="I303" s="108"/>
    </row>
    <row r="304" spans="9:9" ht="15.75" customHeight="1">
      <c r="I304" s="108"/>
    </row>
    <row r="305" spans="9:9" ht="15.75" customHeight="1">
      <c r="I305" s="108"/>
    </row>
    <row r="306" spans="9:9" ht="15.75" customHeight="1">
      <c r="I306" s="108"/>
    </row>
    <row r="307" spans="9:9" ht="15.75" customHeight="1">
      <c r="I307" s="108"/>
    </row>
    <row r="308" spans="9:9" ht="15.75" customHeight="1">
      <c r="I308" s="108"/>
    </row>
    <row r="309" spans="9:9" ht="15.75" customHeight="1">
      <c r="I309" s="108"/>
    </row>
    <row r="310" spans="9:9" ht="15.75" customHeight="1">
      <c r="I310" s="108"/>
    </row>
    <row r="311" spans="9:9" ht="15.75" customHeight="1">
      <c r="I311" s="108"/>
    </row>
    <row r="312" spans="9:9" ht="15.75" customHeight="1">
      <c r="I312" s="108"/>
    </row>
    <row r="313" spans="9:9" ht="15.75" customHeight="1">
      <c r="I313" s="108"/>
    </row>
    <row r="314" spans="9:9" ht="15.75" customHeight="1">
      <c r="I314" s="108"/>
    </row>
    <row r="315" spans="9:9" ht="15.75" customHeight="1">
      <c r="I315" s="108"/>
    </row>
    <row r="316" spans="9:9" ht="15.75" customHeight="1">
      <c r="I316" s="108"/>
    </row>
    <row r="317" spans="9:9" ht="15.75" customHeight="1">
      <c r="I317" s="108"/>
    </row>
    <row r="318" spans="9:9" ht="15.75" customHeight="1">
      <c r="I318" s="108"/>
    </row>
    <row r="319" spans="9:9" ht="15.75" customHeight="1">
      <c r="I319" s="108"/>
    </row>
    <row r="320" spans="9:9" ht="15.75" customHeight="1">
      <c r="I320" s="108"/>
    </row>
    <row r="321" spans="9:9" ht="15.75" customHeight="1">
      <c r="I321" s="108"/>
    </row>
    <row r="322" spans="9:9" ht="15.75" customHeight="1">
      <c r="I322" s="108"/>
    </row>
    <row r="323" spans="9:9" ht="15.75" customHeight="1">
      <c r="I323" s="108"/>
    </row>
    <row r="324" spans="9:9" ht="15.75" customHeight="1">
      <c r="I324" s="108"/>
    </row>
    <row r="325" spans="9:9" ht="15.75" customHeight="1">
      <c r="I325" s="108"/>
    </row>
    <row r="326" spans="9:9" ht="15.75" customHeight="1">
      <c r="I326" s="108"/>
    </row>
    <row r="327" spans="9:9" ht="15.75" customHeight="1">
      <c r="I327" s="108"/>
    </row>
    <row r="328" spans="9:9" ht="15.75" customHeight="1">
      <c r="I328" s="108"/>
    </row>
    <row r="329" spans="9:9" ht="15.75" customHeight="1">
      <c r="I329" s="108"/>
    </row>
    <row r="330" spans="9:9" ht="15.75" customHeight="1">
      <c r="I330" s="108"/>
    </row>
    <row r="331" spans="9:9" ht="15.75" customHeight="1">
      <c r="I331" s="108"/>
    </row>
    <row r="332" spans="9:9" ht="15.75" customHeight="1">
      <c r="I332" s="108"/>
    </row>
    <row r="333" spans="9:9" ht="15.75" customHeight="1">
      <c r="I333" s="108"/>
    </row>
    <row r="334" spans="9:9" ht="15.75" customHeight="1">
      <c r="I334" s="108"/>
    </row>
    <row r="335" spans="9:9" ht="15.75" customHeight="1">
      <c r="I335" s="108"/>
    </row>
    <row r="336" spans="9:9" ht="15.75" customHeight="1">
      <c r="I336" s="108"/>
    </row>
    <row r="337" spans="9:9" ht="15.75" customHeight="1">
      <c r="I337" s="108"/>
    </row>
    <row r="338" spans="9:9" ht="15.75" customHeight="1">
      <c r="I338" s="108"/>
    </row>
    <row r="339" spans="9:9" ht="15.75" customHeight="1">
      <c r="I339" s="108"/>
    </row>
    <row r="340" spans="9:9" ht="15.75" customHeight="1">
      <c r="I340" s="108"/>
    </row>
    <row r="341" spans="9:9" ht="15.75" customHeight="1">
      <c r="I341" s="108"/>
    </row>
    <row r="342" spans="9:9" ht="15.75" customHeight="1">
      <c r="I342" s="108"/>
    </row>
    <row r="343" spans="9:9" ht="15.75" customHeight="1">
      <c r="I343" s="108"/>
    </row>
    <row r="344" spans="9:9" ht="15.75" customHeight="1">
      <c r="I344" s="108"/>
    </row>
    <row r="345" spans="9:9" ht="15.75" customHeight="1">
      <c r="I345" s="108"/>
    </row>
    <row r="346" spans="9:9" ht="15.75" customHeight="1">
      <c r="I346" s="108"/>
    </row>
    <row r="347" spans="9:9" ht="15.75" customHeight="1">
      <c r="I347" s="108"/>
    </row>
    <row r="348" spans="9:9" ht="15.75" customHeight="1">
      <c r="I348" s="108"/>
    </row>
    <row r="349" spans="9:9" ht="15.75" customHeight="1">
      <c r="I349" s="108"/>
    </row>
    <row r="350" spans="9:9" ht="15.75" customHeight="1">
      <c r="I350" s="108"/>
    </row>
    <row r="351" spans="9:9" ht="15.75" customHeight="1">
      <c r="I351" s="108"/>
    </row>
    <row r="352" spans="9:9" ht="15.75" customHeight="1">
      <c r="I352" s="108"/>
    </row>
    <row r="353" spans="9:9" ht="15.75" customHeight="1">
      <c r="I353" s="108"/>
    </row>
    <row r="354" spans="9:9" ht="15.75" customHeight="1">
      <c r="I354" s="108"/>
    </row>
    <row r="355" spans="9:9" ht="15.75" customHeight="1">
      <c r="I355" s="108"/>
    </row>
    <row r="356" spans="9:9" ht="15.75" customHeight="1">
      <c r="I356" s="108"/>
    </row>
    <row r="357" spans="9:9" ht="15.75" customHeight="1">
      <c r="I357" s="108"/>
    </row>
    <row r="358" spans="9:9" ht="15.75" customHeight="1">
      <c r="I358" s="108"/>
    </row>
    <row r="359" spans="9:9" ht="15.75" customHeight="1">
      <c r="I359" s="108"/>
    </row>
    <row r="360" spans="9:9" ht="15.75" customHeight="1">
      <c r="I360" s="108"/>
    </row>
    <row r="361" spans="9:9" ht="15.75" customHeight="1">
      <c r="I361" s="108"/>
    </row>
    <row r="362" spans="9:9" ht="15.75" customHeight="1">
      <c r="I362" s="108"/>
    </row>
    <row r="363" spans="9:9" ht="15.75" customHeight="1">
      <c r="I363" s="108"/>
    </row>
    <row r="364" spans="9:9" ht="15.75" customHeight="1">
      <c r="I364" s="108"/>
    </row>
    <row r="365" spans="9:9" ht="15.75" customHeight="1">
      <c r="I365" s="108"/>
    </row>
    <row r="366" spans="9:9" ht="15.75" customHeight="1">
      <c r="I366" s="108"/>
    </row>
    <row r="367" spans="9:9" ht="15.75" customHeight="1">
      <c r="I367" s="108"/>
    </row>
    <row r="368" spans="9:9" ht="15.75" customHeight="1">
      <c r="I368" s="108"/>
    </row>
    <row r="369" spans="9:9" ht="15.75" customHeight="1">
      <c r="I369" s="108"/>
    </row>
    <row r="370" spans="9:9" ht="15.75" customHeight="1">
      <c r="I370" s="108"/>
    </row>
    <row r="371" spans="9:9" ht="15.75" customHeight="1">
      <c r="I371" s="108"/>
    </row>
    <row r="372" spans="9:9" ht="15.75" customHeight="1">
      <c r="I372" s="108"/>
    </row>
    <row r="373" spans="9:9" ht="15.75" customHeight="1">
      <c r="I373" s="108"/>
    </row>
    <row r="374" spans="9:9" ht="15.75" customHeight="1">
      <c r="I374" s="108"/>
    </row>
    <row r="375" spans="9:9" ht="15.75" customHeight="1">
      <c r="I375" s="108"/>
    </row>
    <row r="376" spans="9:9" ht="15.75" customHeight="1">
      <c r="I376" s="108"/>
    </row>
    <row r="377" spans="9:9" ht="15.75" customHeight="1">
      <c r="I377" s="108"/>
    </row>
    <row r="378" spans="9:9" ht="15.75" customHeight="1">
      <c r="I378" s="108"/>
    </row>
    <row r="379" spans="9:9" ht="15.75" customHeight="1">
      <c r="I379" s="108"/>
    </row>
    <row r="380" spans="9:9" ht="15.75" customHeight="1">
      <c r="I380" s="108"/>
    </row>
    <row r="381" spans="9:9" ht="15.75" customHeight="1">
      <c r="I381" s="108"/>
    </row>
    <row r="382" spans="9:9" ht="15.75" customHeight="1">
      <c r="I382" s="108"/>
    </row>
    <row r="383" spans="9:9" ht="15.75" customHeight="1">
      <c r="I383" s="108"/>
    </row>
    <row r="384" spans="9:9" ht="15.75" customHeight="1">
      <c r="I384" s="108"/>
    </row>
    <row r="385" spans="9:9" ht="15.75" customHeight="1">
      <c r="I385" s="108"/>
    </row>
    <row r="386" spans="9:9" ht="15.75" customHeight="1">
      <c r="I386" s="108"/>
    </row>
    <row r="387" spans="9:9" ht="15.75" customHeight="1">
      <c r="I387" s="108"/>
    </row>
    <row r="388" spans="9:9" ht="15.75" customHeight="1">
      <c r="I388" s="108"/>
    </row>
    <row r="389" spans="9:9" ht="15.75" customHeight="1">
      <c r="I389" s="108"/>
    </row>
    <row r="390" spans="9:9" ht="15.75" customHeight="1">
      <c r="I390" s="108"/>
    </row>
    <row r="391" spans="9:9" ht="15.75" customHeight="1">
      <c r="I391" s="108"/>
    </row>
    <row r="392" spans="9:9" ht="15.75" customHeight="1">
      <c r="I392" s="108"/>
    </row>
    <row r="393" spans="9:9" ht="15.75" customHeight="1">
      <c r="I393" s="108"/>
    </row>
    <row r="394" spans="9:9" ht="15.75" customHeight="1">
      <c r="I394" s="108"/>
    </row>
    <row r="395" spans="9:9" ht="15.75" customHeight="1">
      <c r="I395" s="108"/>
    </row>
    <row r="396" spans="9:9" ht="15.75" customHeight="1">
      <c r="I396" s="108"/>
    </row>
    <row r="397" spans="9:9" ht="15.75" customHeight="1">
      <c r="I397" s="108"/>
    </row>
    <row r="398" spans="9:9" ht="15.75" customHeight="1">
      <c r="I398" s="108"/>
    </row>
    <row r="399" spans="9:9" ht="15.75" customHeight="1">
      <c r="I399" s="108"/>
    </row>
    <row r="400" spans="9:9" ht="15.75" customHeight="1">
      <c r="I400" s="108"/>
    </row>
    <row r="401" spans="9:9" ht="15.75" customHeight="1">
      <c r="I401" s="108"/>
    </row>
    <row r="402" spans="9:9" ht="15.75" customHeight="1">
      <c r="I402" s="108"/>
    </row>
    <row r="403" spans="9:9" ht="15.75" customHeight="1">
      <c r="I403" s="108"/>
    </row>
    <row r="404" spans="9:9" ht="15.75" customHeight="1">
      <c r="I404" s="108"/>
    </row>
    <row r="405" spans="9:9" ht="15.75" customHeight="1">
      <c r="I405" s="108"/>
    </row>
    <row r="406" spans="9:9" ht="15.75" customHeight="1">
      <c r="I406" s="108"/>
    </row>
    <row r="407" spans="9:9" ht="15.75" customHeight="1">
      <c r="I407" s="108"/>
    </row>
    <row r="408" spans="9:9" ht="15.75" customHeight="1">
      <c r="I408" s="108"/>
    </row>
    <row r="409" spans="9:9" ht="15.75" customHeight="1">
      <c r="I409" s="108"/>
    </row>
    <row r="410" spans="9:9" ht="15.75" customHeight="1">
      <c r="I410" s="108"/>
    </row>
    <row r="411" spans="9:9" ht="15.75" customHeight="1">
      <c r="I411" s="108"/>
    </row>
    <row r="412" spans="9:9" ht="15.75" customHeight="1">
      <c r="I412" s="108"/>
    </row>
    <row r="413" spans="9:9" ht="15.75" customHeight="1">
      <c r="I413" s="108"/>
    </row>
    <row r="414" spans="9:9" ht="15.75" customHeight="1">
      <c r="I414" s="108"/>
    </row>
    <row r="415" spans="9:9" ht="15.75" customHeight="1">
      <c r="I415" s="108"/>
    </row>
    <row r="416" spans="9:9" ht="15.75" customHeight="1">
      <c r="I416" s="108"/>
    </row>
    <row r="417" spans="9:9" ht="15.75" customHeight="1">
      <c r="I417" s="108"/>
    </row>
    <row r="418" spans="9:9" ht="15.75" customHeight="1">
      <c r="I418" s="108"/>
    </row>
    <row r="419" spans="9:9" ht="15.75" customHeight="1">
      <c r="I419" s="108"/>
    </row>
    <row r="420" spans="9:9" ht="15.75" customHeight="1">
      <c r="I420" s="108"/>
    </row>
    <row r="421" spans="9:9" ht="15.75" customHeight="1">
      <c r="I421" s="108"/>
    </row>
    <row r="422" spans="9:9" ht="15.75" customHeight="1">
      <c r="I422" s="108"/>
    </row>
    <row r="423" spans="9:9" ht="15.75" customHeight="1">
      <c r="I423" s="108"/>
    </row>
    <row r="424" spans="9:9" ht="15.75" customHeight="1">
      <c r="I424" s="108"/>
    </row>
    <row r="425" spans="9:9" ht="15.75" customHeight="1">
      <c r="I425" s="108"/>
    </row>
    <row r="426" spans="9:9" ht="15.75" customHeight="1">
      <c r="I426" s="108"/>
    </row>
    <row r="427" spans="9:9" ht="15.75" customHeight="1">
      <c r="I427" s="108"/>
    </row>
    <row r="428" spans="9:9" ht="15.75" customHeight="1">
      <c r="I428" s="108"/>
    </row>
    <row r="429" spans="9:9" ht="15.75" customHeight="1">
      <c r="I429" s="108"/>
    </row>
    <row r="430" spans="9:9" ht="15.75" customHeight="1">
      <c r="I430" s="108"/>
    </row>
    <row r="431" spans="9:9" ht="15.75" customHeight="1">
      <c r="I431" s="108"/>
    </row>
    <row r="432" spans="9:9" ht="15.75" customHeight="1">
      <c r="I432" s="108"/>
    </row>
    <row r="433" spans="9:9" ht="15.75" customHeight="1">
      <c r="I433" s="108"/>
    </row>
    <row r="434" spans="9:9" ht="15.75" customHeight="1">
      <c r="I434" s="108"/>
    </row>
    <row r="435" spans="9:9" ht="15.75" customHeight="1">
      <c r="I435" s="108"/>
    </row>
    <row r="436" spans="9:9" ht="15.75" customHeight="1">
      <c r="I436" s="108"/>
    </row>
    <row r="437" spans="9:9" ht="15.75" customHeight="1">
      <c r="I437" s="108"/>
    </row>
    <row r="438" spans="9:9" ht="15.75" customHeight="1">
      <c r="I438" s="108"/>
    </row>
    <row r="439" spans="9:9" ht="15.75" customHeight="1">
      <c r="I439" s="108"/>
    </row>
    <row r="440" spans="9:9" ht="15.75" customHeight="1">
      <c r="I440" s="108"/>
    </row>
    <row r="441" spans="9:9" ht="15.75" customHeight="1">
      <c r="I441" s="108"/>
    </row>
    <row r="442" spans="9:9" ht="15.75" customHeight="1">
      <c r="I442" s="108"/>
    </row>
    <row r="443" spans="9:9" ht="15.75" customHeight="1">
      <c r="I443" s="108"/>
    </row>
    <row r="444" spans="9:9" ht="15.75" customHeight="1">
      <c r="I444" s="108"/>
    </row>
    <row r="445" spans="9:9" ht="15.75" customHeight="1">
      <c r="I445" s="108"/>
    </row>
    <row r="446" spans="9:9" ht="15.75" customHeight="1">
      <c r="I446" s="108"/>
    </row>
    <row r="447" spans="9:9" ht="15.75" customHeight="1">
      <c r="I447" s="108"/>
    </row>
    <row r="448" spans="9:9" ht="15.75" customHeight="1">
      <c r="I448" s="108"/>
    </row>
    <row r="449" spans="9:9" ht="15.75" customHeight="1">
      <c r="I449" s="108"/>
    </row>
    <row r="450" spans="9:9" ht="15.75" customHeight="1">
      <c r="I450" s="108"/>
    </row>
    <row r="451" spans="9:9" ht="15.75" customHeight="1">
      <c r="I451" s="108"/>
    </row>
    <row r="452" spans="9:9" ht="15.75" customHeight="1">
      <c r="I452" s="108"/>
    </row>
    <row r="453" spans="9:9" ht="15.75" customHeight="1">
      <c r="I453" s="108"/>
    </row>
    <row r="454" spans="9:9" ht="15.75" customHeight="1">
      <c r="I454" s="108"/>
    </row>
    <row r="455" spans="9:9" ht="15.75" customHeight="1">
      <c r="I455" s="108"/>
    </row>
    <row r="456" spans="9:9" ht="15.75" customHeight="1">
      <c r="I456" s="108"/>
    </row>
    <row r="457" spans="9:9" ht="15.75" customHeight="1">
      <c r="I457" s="108"/>
    </row>
    <row r="458" spans="9:9" ht="15.75" customHeight="1">
      <c r="I458" s="108"/>
    </row>
    <row r="459" spans="9:9" ht="15.75" customHeight="1">
      <c r="I459" s="108"/>
    </row>
    <row r="460" spans="9:9" ht="15.75" customHeight="1">
      <c r="I460" s="108"/>
    </row>
    <row r="461" spans="9:9" ht="15.75" customHeight="1">
      <c r="I461" s="108"/>
    </row>
    <row r="462" spans="9:9" ht="15.75" customHeight="1">
      <c r="I462" s="108"/>
    </row>
    <row r="463" spans="9:9" ht="15.75" customHeight="1">
      <c r="I463" s="108"/>
    </row>
    <row r="464" spans="9:9" ht="15.75" customHeight="1">
      <c r="I464" s="108"/>
    </row>
    <row r="465" spans="9:9" ht="15.75" customHeight="1">
      <c r="I465" s="108"/>
    </row>
    <row r="466" spans="9:9" ht="15.75" customHeight="1">
      <c r="I466" s="108"/>
    </row>
    <row r="467" spans="9:9" ht="15.75" customHeight="1">
      <c r="I467" s="108"/>
    </row>
    <row r="468" spans="9:9" ht="15.75" customHeight="1">
      <c r="I468" s="108"/>
    </row>
    <row r="469" spans="9:9" ht="15.75" customHeight="1">
      <c r="I469" s="108"/>
    </row>
    <row r="470" spans="9:9" ht="15.75" customHeight="1">
      <c r="I470" s="108"/>
    </row>
    <row r="471" spans="9:9" ht="15.75" customHeight="1">
      <c r="I471" s="108"/>
    </row>
    <row r="472" spans="9:9" ht="15.75" customHeight="1">
      <c r="I472" s="108"/>
    </row>
    <row r="473" spans="9:9" ht="15.75" customHeight="1">
      <c r="I473" s="108"/>
    </row>
    <row r="474" spans="9:9" ht="15.75" customHeight="1">
      <c r="I474" s="108"/>
    </row>
    <row r="475" spans="9:9" ht="15.75" customHeight="1">
      <c r="I475" s="108"/>
    </row>
    <row r="476" spans="9:9" ht="15.75" customHeight="1">
      <c r="I476" s="108"/>
    </row>
    <row r="477" spans="9:9" ht="15.75" customHeight="1">
      <c r="I477" s="108"/>
    </row>
    <row r="478" spans="9:9" ht="15.75" customHeight="1">
      <c r="I478" s="108"/>
    </row>
    <row r="479" spans="9:9" ht="15.75" customHeight="1">
      <c r="I479" s="108"/>
    </row>
    <row r="480" spans="9:9" ht="15.75" customHeight="1">
      <c r="I480" s="108"/>
    </row>
    <row r="481" spans="9:9" ht="15.75" customHeight="1">
      <c r="I481" s="108"/>
    </row>
    <row r="482" spans="9:9" ht="15.75" customHeight="1">
      <c r="I482" s="108"/>
    </row>
    <row r="483" spans="9:9" ht="15.75" customHeight="1">
      <c r="I483" s="108"/>
    </row>
    <row r="484" spans="9:9" ht="15.75" customHeight="1">
      <c r="I484" s="108"/>
    </row>
    <row r="485" spans="9:9" ht="15.75" customHeight="1">
      <c r="I485" s="108"/>
    </row>
    <row r="486" spans="9:9" ht="15.75" customHeight="1">
      <c r="I486" s="108"/>
    </row>
    <row r="487" spans="9:9" ht="15.75" customHeight="1">
      <c r="I487" s="108"/>
    </row>
    <row r="488" spans="9:9" ht="15.75" customHeight="1">
      <c r="I488" s="108"/>
    </row>
    <row r="489" spans="9:9" ht="15.75" customHeight="1">
      <c r="I489" s="108"/>
    </row>
    <row r="490" spans="9:9" ht="15.75" customHeight="1">
      <c r="I490" s="108"/>
    </row>
    <row r="491" spans="9:9" ht="15.75" customHeight="1">
      <c r="I491" s="108"/>
    </row>
    <row r="492" spans="9:9" ht="15.75" customHeight="1">
      <c r="I492" s="108"/>
    </row>
    <row r="493" spans="9:9" ht="15.75" customHeight="1">
      <c r="I493" s="108"/>
    </row>
    <row r="494" spans="9:9" ht="15.75" customHeight="1">
      <c r="I494" s="108"/>
    </row>
    <row r="495" spans="9:9" ht="15.75" customHeight="1">
      <c r="I495" s="108"/>
    </row>
    <row r="496" spans="9:9" ht="15.75" customHeight="1">
      <c r="I496" s="108"/>
    </row>
    <row r="497" spans="9:9" ht="15.75" customHeight="1">
      <c r="I497" s="108"/>
    </row>
    <row r="498" spans="9:9" ht="15.75" customHeight="1">
      <c r="I498" s="108"/>
    </row>
    <row r="499" spans="9:9" ht="15.75" customHeight="1">
      <c r="I499" s="108"/>
    </row>
    <row r="500" spans="9:9" ht="15.75" customHeight="1">
      <c r="I500" s="108"/>
    </row>
    <row r="501" spans="9:9" ht="15.75" customHeight="1">
      <c r="I501" s="108"/>
    </row>
    <row r="502" spans="9:9" ht="15.75" customHeight="1">
      <c r="I502" s="108"/>
    </row>
    <row r="503" spans="9:9" ht="15.75" customHeight="1">
      <c r="I503" s="108"/>
    </row>
    <row r="504" spans="9:9" ht="15.75" customHeight="1">
      <c r="I504" s="108"/>
    </row>
    <row r="505" spans="9:9" ht="15.75" customHeight="1">
      <c r="I505" s="108"/>
    </row>
    <row r="506" spans="9:9" ht="15.75" customHeight="1">
      <c r="I506" s="108"/>
    </row>
    <row r="507" spans="9:9" ht="15.75" customHeight="1">
      <c r="I507" s="108"/>
    </row>
    <row r="508" spans="9:9" ht="15.75" customHeight="1">
      <c r="I508" s="108"/>
    </row>
    <row r="509" spans="9:9" ht="15.75" customHeight="1">
      <c r="I509" s="108"/>
    </row>
    <row r="510" spans="9:9" ht="15.75" customHeight="1">
      <c r="I510" s="108"/>
    </row>
    <row r="511" spans="9:9" ht="15.75" customHeight="1">
      <c r="I511" s="108"/>
    </row>
    <row r="512" spans="9:9" ht="15.75" customHeight="1">
      <c r="I512" s="108"/>
    </row>
    <row r="513" spans="9:9" ht="15.75" customHeight="1">
      <c r="I513" s="108"/>
    </row>
    <row r="514" spans="9:9" ht="15.75" customHeight="1">
      <c r="I514" s="108"/>
    </row>
    <row r="515" spans="9:9" ht="15.75" customHeight="1">
      <c r="I515" s="108"/>
    </row>
    <row r="516" spans="9:9" ht="15.75" customHeight="1">
      <c r="I516" s="108"/>
    </row>
    <row r="517" spans="9:9" ht="15.75" customHeight="1">
      <c r="I517" s="108"/>
    </row>
    <row r="518" spans="9:9" ht="15.75" customHeight="1">
      <c r="I518" s="108"/>
    </row>
    <row r="519" spans="9:9" ht="15.75" customHeight="1">
      <c r="I519" s="108"/>
    </row>
    <row r="520" spans="9:9" ht="15.75" customHeight="1">
      <c r="I520" s="108"/>
    </row>
    <row r="521" spans="9:9" ht="15.75" customHeight="1">
      <c r="I521" s="108"/>
    </row>
    <row r="522" spans="9:9" ht="15.75" customHeight="1">
      <c r="I522" s="108"/>
    </row>
    <row r="523" spans="9:9" ht="15.75" customHeight="1">
      <c r="I523" s="108"/>
    </row>
    <row r="524" spans="9:9" ht="15.75" customHeight="1">
      <c r="I524" s="108"/>
    </row>
    <row r="525" spans="9:9" ht="15.75" customHeight="1">
      <c r="I525" s="108"/>
    </row>
    <row r="526" spans="9:9" ht="15.75" customHeight="1">
      <c r="I526" s="108"/>
    </row>
    <row r="527" spans="9:9" ht="15.75" customHeight="1">
      <c r="I527" s="108"/>
    </row>
    <row r="528" spans="9:9" ht="15.75" customHeight="1">
      <c r="I528" s="108"/>
    </row>
    <row r="529" spans="9:9" ht="15.75" customHeight="1">
      <c r="I529" s="108"/>
    </row>
    <row r="530" spans="9:9" ht="15.75" customHeight="1">
      <c r="I530" s="108"/>
    </row>
    <row r="531" spans="9:9" ht="15.75" customHeight="1">
      <c r="I531" s="108"/>
    </row>
    <row r="532" spans="9:9" ht="15.75" customHeight="1">
      <c r="I532" s="108"/>
    </row>
    <row r="533" spans="9:9" ht="15.75" customHeight="1">
      <c r="I533" s="108"/>
    </row>
    <row r="534" spans="9:9" ht="15.75" customHeight="1">
      <c r="I534" s="108"/>
    </row>
    <row r="535" spans="9:9" ht="15.75" customHeight="1">
      <c r="I535" s="108"/>
    </row>
    <row r="536" spans="9:9" ht="15.75" customHeight="1">
      <c r="I536" s="108"/>
    </row>
    <row r="537" spans="9:9" ht="15.75" customHeight="1">
      <c r="I537" s="108"/>
    </row>
    <row r="538" spans="9:9" ht="15.75" customHeight="1">
      <c r="I538" s="108"/>
    </row>
    <row r="539" spans="9:9" ht="15.75" customHeight="1">
      <c r="I539" s="108"/>
    </row>
    <row r="540" spans="9:9" ht="15.75" customHeight="1">
      <c r="I540" s="108"/>
    </row>
    <row r="541" spans="9:9" ht="15.75" customHeight="1">
      <c r="I541" s="108"/>
    </row>
    <row r="542" spans="9:9" ht="15.75" customHeight="1">
      <c r="I542" s="108"/>
    </row>
    <row r="543" spans="9:9" ht="15.75" customHeight="1">
      <c r="I543" s="108"/>
    </row>
    <row r="544" spans="9:9" ht="15.75" customHeight="1">
      <c r="I544" s="108"/>
    </row>
    <row r="545" spans="9:9" ht="15.75" customHeight="1">
      <c r="I545" s="108"/>
    </row>
    <row r="546" spans="9:9" ht="15.75" customHeight="1">
      <c r="I546" s="108"/>
    </row>
    <row r="547" spans="9:9" ht="15.75" customHeight="1">
      <c r="I547" s="108"/>
    </row>
    <row r="548" spans="9:9" ht="15.75" customHeight="1">
      <c r="I548" s="108"/>
    </row>
    <row r="549" spans="9:9" ht="15.75" customHeight="1">
      <c r="I549" s="108"/>
    </row>
    <row r="550" spans="9:9" ht="15.75" customHeight="1">
      <c r="I550" s="108"/>
    </row>
    <row r="551" spans="9:9" ht="15.75" customHeight="1">
      <c r="I551" s="108"/>
    </row>
    <row r="552" spans="9:9" ht="15.75" customHeight="1">
      <c r="I552" s="108"/>
    </row>
    <row r="553" spans="9:9" ht="15.75" customHeight="1">
      <c r="I553" s="108"/>
    </row>
    <row r="554" spans="9:9" ht="15.75" customHeight="1">
      <c r="I554" s="108"/>
    </row>
    <row r="555" spans="9:9" ht="15.75" customHeight="1">
      <c r="I555" s="108"/>
    </row>
    <row r="556" spans="9:9" ht="15.75" customHeight="1">
      <c r="I556" s="108"/>
    </row>
    <row r="557" spans="9:9" ht="15.75" customHeight="1">
      <c r="I557" s="108"/>
    </row>
    <row r="558" spans="9:9" ht="15.75" customHeight="1">
      <c r="I558" s="108"/>
    </row>
    <row r="559" spans="9:9" ht="15.75" customHeight="1">
      <c r="I559" s="108"/>
    </row>
    <row r="560" spans="9:9" ht="15.75" customHeight="1">
      <c r="I560" s="108"/>
    </row>
    <row r="561" spans="9:9" ht="15.75" customHeight="1">
      <c r="I561" s="108"/>
    </row>
    <row r="562" spans="9:9" ht="15.75" customHeight="1">
      <c r="I562" s="108"/>
    </row>
    <row r="563" spans="9:9" ht="15.75" customHeight="1">
      <c r="I563" s="108"/>
    </row>
    <row r="564" spans="9:9" ht="15.75" customHeight="1">
      <c r="I564" s="108"/>
    </row>
    <row r="565" spans="9:9" ht="15.75" customHeight="1">
      <c r="I565" s="108"/>
    </row>
    <row r="566" spans="9:9" ht="15.75" customHeight="1">
      <c r="I566" s="108"/>
    </row>
    <row r="567" spans="9:9" ht="15.75" customHeight="1">
      <c r="I567" s="108"/>
    </row>
    <row r="568" spans="9:9" ht="15.75" customHeight="1">
      <c r="I568" s="108"/>
    </row>
    <row r="569" spans="9:9" ht="15.75" customHeight="1">
      <c r="I569" s="108"/>
    </row>
    <row r="570" spans="9:9" ht="15.75" customHeight="1">
      <c r="I570" s="108"/>
    </row>
    <row r="571" spans="9:9" ht="15.75" customHeight="1">
      <c r="I571" s="108"/>
    </row>
    <row r="572" spans="9:9" ht="15.75" customHeight="1">
      <c r="I572" s="108"/>
    </row>
    <row r="573" spans="9:9" ht="15.75" customHeight="1">
      <c r="I573" s="108"/>
    </row>
    <row r="574" spans="9:9" ht="15.75" customHeight="1">
      <c r="I574" s="108"/>
    </row>
    <row r="575" spans="9:9" ht="15.75" customHeight="1">
      <c r="I575" s="108"/>
    </row>
    <row r="576" spans="9:9" ht="15.75" customHeight="1">
      <c r="I576" s="108"/>
    </row>
    <row r="577" spans="9:9" ht="15.75" customHeight="1">
      <c r="I577" s="108"/>
    </row>
    <row r="578" spans="9:9" ht="15.75" customHeight="1">
      <c r="I578" s="108"/>
    </row>
    <row r="579" spans="9:9" ht="15.75" customHeight="1">
      <c r="I579" s="108"/>
    </row>
    <row r="580" spans="9:9" ht="15.75" customHeight="1">
      <c r="I580" s="108"/>
    </row>
    <row r="581" spans="9:9" ht="15.75" customHeight="1">
      <c r="I581" s="108"/>
    </row>
    <row r="582" spans="9:9" ht="15.75" customHeight="1">
      <c r="I582" s="108"/>
    </row>
    <row r="583" spans="9:9" ht="15.75" customHeight="1">
      <c r="I583" s="108"/>
    </row>
    <row r="584" spans="9:9" ht="15.75" customHeight="1">
      <c r="I584" s="108"/>
    </row>
    <row r="585" spans="9:9" ht="15.75" customHeight="1">
      <c r="I585" s="108"/>
    </row>
    <row r="586" spans="9:9" ht="15.75" customHeight="1">
      <c r="I586" s="108"/>
    </row>
    <row r="587" spans="9:9" ht="15.75" customHeight="1">
      <c r="I587" s="108"/>
    </row>
    <row r="588" spans="9:9" ht="15.75" customHeight="1">
      <c r="I588" s="108"/>
    </row>
    <row r="589" spans="9:9" ht="15.75" customHeight="1">
      <c r="I589" s="108"/>
    </row>
    <row r="590" spans="9:9" ht="15.75" customHeight="1">
      <c r="I590" s="108"/>
    </row>
    <row r="591" spans="9:9" ht="15.75" customHeight="1">
      <c r="I591" s="108"/>
    </row>
    <row r="592" spans="9:9" ht="15.75" customHeight="1">
      <c r="I592" s="108"/>
    </row>
    <row r="593" spans="9:9" ht="15.75" customHeight="1">
      <c r="I593" s="108"/>
    </row>
    <row r="594" spans="9:9" ht="15.75" customHeight="1">
      <c r="I594" s="108"/>
    </row>
    <row r="595" spans="9:9" ht="15.75" customHeight="1">
      <c r="I595" s="108"/>
    </row>
    <row r="596" spans="9:9" ht="15.75" customHeight="1">
      <c r="I596" s="108"/>
    </row>
    <row r="597" spans="9:9" ht="15.75" customHeight="1">
      <c r="I597" s="108"/>
    </row>
    <row r="598" spans="9:9" ht="15.75" customHeight="1">
      <c r="I598" s="108"/>
    </row>
    <row r="599" spans="9:9" ht="15.75" customHeight="1">
      <c r="I599" s="108"/>
    </row>
    <row r="600" spans="9:9" ht="15.75" customHeight="1">
      <c r="I600" s="108"/>
    </row>
    <row r="601" spans="9:9" ht="15.75" customHeight="1">
      <c r="I601" s="108"/>
    </row>
    <row r="602" spans="9:9" ht="15.75" customHeight="1">
      <c r="I602" s="108"/>
    </row>
    <row r="603" spans="9:9" ht="15.75" customHeight="1">
      <c r="I603" s="108"/>
    </row>
    <row r="604" spans="9:9" ht="15.75" customHeight="1">
      <c r="I604" s="108"/>
    </row>
    <row r="605" spans="9:9" ht="15.75" customHeight="1">
      <c r="I605" s="108"/>
    </row>
    <row r="606" spans="9:9" ht="15.75" customHeight="1">
      <c r="I606" s="108"/>
    </row>
    <row r="607" spans="9:9" ht="15.75" customHeight="1">
      <c r="I607" s="108"/>
    </row>
    <row r="608" spans="9:9" ht="15.75" customHeight="1">
      <c r="I608" s="108"/>
    </row>
    <row r="609" spans="9:9" ht="15.75" customHeight="1">
      <c r="I609" s="108"/>
    </row>
    <row r="610" spans="9:9" ht="15.75" customHeight="1">
      <c r="I610" s="108"/>
    </row>
    <row r="611" spans="9:9" ht="15.75" customHeight="1">
      <c r="I611" s="108"/>
    </row>
    <row r="612" spans="9:9" ht="15.75" customHeight="1">
      <c r="I612" s="108"/>
    </row>
    <row r="613" spans="9:9" ht="15.75" customHeight="1">
      <c r="I613" s="108"/>
    </row>
    <row r="614" spans="9:9" ht="15.75" customHeight="1">
      <c r="I614" s="108"/>
    </row>
    <row r="615" spans="9:9" ht="15.75" customHeight="1">
      <c r="I615" s="108"/>
    </row>
    <row r="616" spans="9:9" ht="15.75" customHeight="1">
      <c r="I616" s="108"/>
    </row>
    <row r="617" spans="9:9" ht="15.75" customHeight="1">
      <c r="I617" s="108"/>
    </row>
    <row r="618" spans="9:9" ht="15.75" customHeight="1">
      <c r="I618" s="108"/>
    </row>
    <row r="619" spans="9:9" ht="15.75" customHeight="1">
      <c r="I619" s="108"/>
    </row>
    <row r="620" spans="9:9" ht="15.75" customHeight="1">
      <c r="I620" s="108"/>
    </row>
    <row r="621" spans="9:9" ht="15.75" customHeight="1">
      <c r="I621" s="108"/>
    </row>
    <row r="622" spans="9:9" ht="15.75" customHeight="1">
      <c r="I622" s="108"/>
    </row>
    <row r="623" spans="9:9" ht="15.75" customHeight="1">
      <c r="I623" s="108"/>
    </row>
    <row r="624" spans="9:9" ht="15.75" customHeight="1">
      <c r="I624" s="108"/>
    </row>
    <row r="625" spans="9:9" ht="15.75" customHeight="1">
      <c r="I625" s="108"/>
    </row>
    <row r="626" spans="9:9" ht="15.75" customHeight="1">
      <c r="I626" s="108"/>
    </row>
    <row r="627" spans="9:9" ht="15.75" customHeight="1">
      <c r="I627" s="108"/>
    </row>
    <row r="628" spans="9:9" ht="15.75" customHeight="1">
      <c r="I628" s="108"/>
    </row>
    <row r="629" spans="9:9" ht="15.75" customHeight="1">
      <c r="I629" s="108"/>
    </row>
    <row r="630" spans="9:9" ht="15.75" customHeight="1">
      <c r="I630" s="108"/>
    </row>
    <row r="631" spans="9:9" ht="15.75" customHeight="1">
      <c r="I631" s="108"/>
    </row>
    <row r="632" spans="9:9" ht="15.75" customHeight="1">
      <c r="I632" s="108"/>
    </row>
    <row r="633" spans="9:9" ht="15.75" customHeight="1">
      <c r="I633" s="108"/>
    </row>
    <row r="634" spans="9:9" ht="15.75" customHeight="1">
      <c r="I634" s="108"/>
    </row>
    <row r="635" spans="9:9" ht="15.75" customHeight="1">
      <c r="I635" s="108"/>
    </row>
    <row r="636" spans="9:9" ht="15.75" customHeight="1">
      <c r="I636" s="108"/>
    </row>
    <row r="637" spans="9:9" ht="15.75" customHeight="1">
      <c r="I637" s="108"/>
    </row>
    <row r="638" spans="9:9" ht="15.75" customHeight="1">
      <c r="I638" s="108"/>
    </row>
    <row r="639" spans="9:9" ht="15.75" customHeight="1">
      <c r="I639" s="108"/>
    </row>
    <row r="640" spans="9:9" ht="15.75" customHeight="1">
      <c r="I640" s="108"/>
    </row>
    <row r="641" spans="9:9" ht="15.75" customHeight="1">
      <c r="I641" s="108"/>
    </row>
    <row r="642" spans="9:9" ht="15.75" customHeight="1">
      <c r="I642" s="108"/>
    </row>
    <row r="643" spans="9:9" ht="15.75" customHeight="1">
      <c r="I643" s="108"/>
    </row>
    <row r="644" spans="9:9" ht="15.75" customHeight="1">
      <c r="I644" s="108"/>
    </row>
    <row r="645" spans="9:9" ht="15.75" customHeight="1">
      <c r="I645" s="108"/>
    </row>
    <row r="646" spans="9:9" ht="15.75" customHeight="1">
      <c r="I646" s="108"/>
    </row>
    <row r="647" spans="9:9" ht="15.75" customHeight="1">
      <c r="I647" s="108"/>
    </row>
    <row r="648" spans="9:9" ht="15.75" customHeight="1">
      <c r="I648" s="108"/>
    </row>
    <row r="649" spans="9:9" ht="15.75" customHeight="1">
      <c r="I649" s="108"/>
    </row>
    <row r="650" spans="9:9" ht="15.75" customHeight="1">
      <c r="I650" s="108"/>
    </row>
    <row r="651" spans="9:9" ht="15.75" customHeight="1">
      <c r="I651" s="108"/>
    </row>
    <row r="652" spans="9:9" ht="15.75" customHeight="1">
      <c r="I652" s="108"/>
    </row>
    <row r="653" spans="9:9" ht="15.75" customHeight="1">
      <c r="I653" s="108"/>
    </row>
    <row r="654" spans="9:9" ht="15.75" customHeight="1">
      <c r="I654" s="108"/>
    </row>
    <row r="655" spans="9:9" ht="15.75" customHeight="1">
      <c r="I655" s="108"/>
    </row>
    <row r="656" spans="9:9" ht="15.75" customHeight="1">
      <c r="I656" s="108"/>
    </row>
    <row r="657" spans="9:9" ht="15.75" customHeight="1">
      <c r="I657" s="108"/>
    </row>
    <row r="658" spans="9:9" ht="15.75" customHeight="1">
      <c r="I658" s="108"/>
    </row>
    <row r="659" spans="9:9" ht="15.75" customHeight="1">
      <c r="I659" s="108"/>
    </row>
    <row r="660" spans="9:9" ht="15.75" customHeight="1">
      <c r="I660" s="108"/>
    </row>
    <row r="661" spans="9:9" ht="15.75" customHeight="1">
      <c r="I661" s="108"/>
    </row>
    <row r="662" spans="9:9" ht="15.75" customHeight="1">
      <c r="I662" s="108"/>
    </row>
    <row r="663" spans="9:9" ht="15.75" customHeight="1">
      <c r="I663" s="108"/>
    </row>
    <row r="664" spans="9:9" ht="15.75" customHeight="1">
      <c r="I664" s="108"/>
    </row>
    <row r="665" spans="9:9" ht="15.75" customHeight="1">
      <c r="I665" s="108"/>
    </row>
    <row r="666" spans="9:9" ht="15.75" customHeight="1">
      <c r="I666" s="108"/>
    </row>
    <row r="667" spans="9:9" ht="15.75" customHeight="1">
      <c r="I667" s="108"/>
    </row>
    <row r="668" spans="9:9" ht="15.75" customHeight="1">
      <c r="I668" s="108"/>
    </row>
    <row r="669" spans="9:9" ht="15.75" customHeight="1">
      <c r="I669" s="108"/>
    </row>
    <row r="670" spans="9:9" ht="15.75" customHeight="1">
      <c r="I670" s="108"/>
    </row>
    <row r="671" spans="9:9" ht="15.75" customHeight="1">
      <c r="I671" s="108"/>
    </row>
    <row r="672" spans="9:9" ht="15.75" customHeight="1">
      <c r="I672" s="108"/>
    </row>
    <row r="673" spans="9:9" ht="15.75" customHeight="1">
      <c r="I673" s="108"/>
    </row>
    <row r="674" spans="9:9" ht="15.75" customHeight="1">
      <c r="I674" s="108"/>
    </row>
    <row r="675" spans="9:9" ht="15.75" customHeight="1">
      <c r="I675" s="108"/>
    </row>
    <row r="676" spans="9:9" ht="15.75" customHeight="1">
      <c r="I676" s="108"/>
    </row>
    <row r="677" spans="9:9" ht="15.75" customHeight="1">
      <c r="I677" s="108"/>
    </row>
    <row r="678" spans="9:9" ht="15.75" customHeight="1">
      <c r="I678" s="108"/>
    </row>
    <row r="679" spans="9:9" ht="15.75" customHeight="1">
      <c r="I679" s="108"/>
    </row>
    <row r="680" spans="9:9" ht="15.75" customHeight="1">
      <c r="I680" s="108"/>
    </row>
    <row r="681" spans="9:9" ht="15.75" customHeight="1">
      <c r="I681" s="108"/>
    </row>
    <row r="682" spans="9:9" ht="15.75" customHeight="1">
      <c r="I682" s="108"/>
    </row>
    <row r="683" spans="9:9" ht="15.75" customHeight="1">
      <c r="I683" s="108"/>
    </row>
    <row r="684" spans="9:9" ht="15.75" customHeight="1">
      <c r="I684" s="108"/>
    </row>
    <row r="685" spans="9:9" ht="15.75" customHeight="1">
      <c r="I685" s="108"/>
    </row>
    <row r="686" spans="9:9" ht="15.75" customHeight="1">
      <c r="I686" s="108"/>
    </row>
    <row r="687" spans="9:9" ht="15.75" customHeight="1">
      <c r="I687" s="108"/>
    </row>
    <row r="688" spans="9:9" ht="15.75" customHeight="1">
      <c r="I688" s="108"/>
    </row>
    <row r="689" spans="9:9" ht="15.75" customHeight="1">
      <c r="I689" s="108"/>
    </row>
    <row r="690" spans="9:9" ht="15.75" customHeight="1">
      <c r="I690" s="108"/>
    </row>
    <row r="691" spans="9:9" ht="15.75" customHeight="1">
      <c r="I691" s="108"/>
    </row>
    <row r="692" spans="9:9" ht="15.75" customHeight="1">
      <c r="I692" s="108"/>
    </row>
    <row r="693" spans="9:9" ht="15.75" customHeight="1">
      <c r="I693" s="108"/>
    </row>
    <row r="694" spans="9:9" ht="15.75" customHeight="1">
      <c r="I694" s="108"/>
    </row>
    <row r="695" spans="9:9" ht="15.75" customHeight="1">
      <c r="I695" s="108"/>
    </row>
    <row r="696" spans="9:9" ht="15.75" customHeight="1">
      <c r="I696" s="108"/>
    </row>
    <row r="697" spans="9:9" ht="15.75" customHeight="1">
      <c r="I697" s="108"/>
    </row>
    <row r="698" spans="9:9" ht="15.75" customHeight="1">
      <c r="I698" s="108"/>
    </row>
    <row r="699" spans="9:9" ht="15.75" customHeight="1">
      <c r="I699" s="108"/>
    </row>
    <row r="700" spans="9:9" ht="15.75" customHeight="1">
      <c r="I700" s="108"/>
    </row>
    <row r="701" spans="9:9" ht="15.75" customHeight="1">
      <c r="I701" s="108"/>
    </row>
    <row r="702" spans="9:9" ht="15.75" customHeight="1">
      <c r="I702" s="108"/>
    </row>
    <row r="703" spans="9:9" ht="15.75" customHeight="1">
      <c r="I703" s="108"/>
    </row>
    <row r="704" spans="9:9" ht="15.75" customHeight="1">
      <c r="I704" s="108"/>
    </row>
    <row r="705" spans="9:9" ht="15.75" customHeight="1">
      <c r="I705" s="108"/>
    </row>
    <row r="706" spans="9:9" ht="15.75" customHeight="1">
      <c r="I706" s="108"/>
    </row>
    <row r="707" spans="9:9" ht="15.75" customHeight="1">
      <c r="I707" s="108"/>
    </row>
    <row r="708" spans="9:9" ht="15.75" customHeight="1">
      <c r="I708" s="108"/>
    </row>
    <row r="709" spans="9:9" ht="15.75" customHeight="1">
      <c r="I709" s="108"/>
    </row>
    <row r="710" spans="9:9" ht="15.75" customHeight="1">
      <c r="I710" s="108"/>
    </row>
    <row r="711" spans="9:9" ht="15.75" customHeight="1">
      <c r="I711" s="108"/>
    </row>
    <row r="712" spans="9:9" ht="15.75" customHeight="1">
      <c r="I712" s="108"/>
    </row>
    <row r="713" spans="9:9" ht="15.75" customHeight="1">
      <c r="I713" s="108"/>
    </row>
    <row r="714" spans="9:9" ht="15.75" customHeight="1">
      <c r="I714" s="108"/>
    </row>
    <row r="715" spans="9:9" ht="15.75" customHeight="1">
      <c r="I715" s="108"/>
    </row>
    <row r="716" spans="9:9" ht="15.75" customHeight="1">
      <c r="I716" s="108"/>
    </row>
    <row r="717" spans="9:9" ht="15.75" customHeight="1">
      <c r="I717" s="108"/>
    </row>
    <row r="718" spans="9:9" ht="15.75" customHeight="1">
      <c r="I718" s="108"/>
    </row>
    <row r="719" spans="9:9" ht="15.75" customHeight="1">
      <c r="I719" s="108"/>
    </row>
    <row r="720" spans="9:9" ht="15.75" customHeight="1">
      <c r="I720" s="108"/>
    </row>
    <row r="721" spans="9:9" ht="15.75" customHeight="1">
      <c r="I721" s="108"/>
    </row>
    <row r="722" spans="9:9" ht="15.75" customHeight="1">
      <c r="I722" s="108"/>
    </row>
    <row r="723" spans="9:9" ht="15.75" customHeight="1">
      <c r="I723" s="108"/>
    </row>
    <row r="724" spans="9:9" ht="15.75" customHeight="1">
      <c r="I724" s="108"/>
    </row>
    <row r="725" spans="9:9" ht="15.75" customHeight="1">
      <c r="I725" s="108"/>
    </row>
    <row r="726" spans="9:9" ht="15.75" customHeight="1">
      <c r="I726" s="108"/>
    </row>
    <row r="727" spans="9:9" ht="15.75" customHeight="1">
      <c r="I727" s="108"/>
    </row>
    <row r="728" spans="9:9" ht="15.75" customHeight="1">
      <c r="I728" s="108"/>
    </row>
    <row r="729" spans="9:9" ht="15.75" customHeight="1">
      <c r="I729" s="108"/>
    </row>
    <row r="730" spans="9:9" ht="15.75" customHeight="1">
      <c r="I730" s="108"/>
    </row>
    <row r="731" spans="9:9" ht="15.75" customHeight="1">
      <c r="I731" s="108"/>
    </row>
    <row r="732" spans="9:9" ht="15.75" customHeight="1">
      <c r="I732" s="108"/>
    </row>
    <row r="733" spans="9:9" ht="15.75" customHeight="1">
      <c r="I733" s="108"/>
    </row>
    <row r="734" spans="9:9" ht="15.75" customHeight="1">
      <c r="I734" s="108"/>
    </row>
    <row r="735" spans="9:9" ht="15.75" customHeight="1">
      <c r="I735" s="108"/>
    </row>
    <row r="736" spans="9:9" ht="15.75" customHeight="1">
      <c r="I736" s="108"/>
    </row>
    <row r="737" spans="9:9" ht="15.75" customHeight="1">
      <c r="I737" s="108"/>
    </row>
    <row r="738" spans="9:9" ht="15.75" customHeight="1">
      <c r="I738" s="108"/>
    </row>
    <row r="739" spans="9:9" ht="15.75" customHeight="1">
      <c r="I739" s="108"/>
    </row>
    <row r="740" spans="9:9" ht="15.75" customHeight="1">
      <c r="I740" s="108"/>
    </row>
    <row r="741" spans="9:9" ht="15.75" customHeight="1">
      <c r="I741" s="108"/>
    </row>
    <row r="742" spans="9:9" ht="15.75" customHeight="1">
      <c r="I742" s="108"/>
    </row>
    <row r="743" spans="9:9" ht="15.75" customHeight="1">
      <c r="I743" s="108"/>
    </row>
    <row r="744" spans="9:9" ht="15.75" customHeight="1">
      <c r="I744" s="108"/>
    </row>
    <row r="745" spans="9:9" ht="15.75" customHeight="1">
      <c r="I745" s="108"/>
    </row>
    <row r="746" spans="9:9" ht="15.75" customHeight="1">
      <c r="I746" s="108"/>
    </row>
    <row r="747" spans="9:9" ht="15.75" customHeight="1">
      <c r="I747" s="108"/>
    </row>
    <row r="748" spans="9:9" ht="15.75" customHeight="1">
      <c r="I748" s="108"/>
    </row>
    <row r="749" spans="9:9" ht="15.75" customHeight="1">
      <c r="I749" s="108"/>
    </row>
    <row r="750" spans="9:9" ht="15.75" customHeight="1">
      <c r="I750" s="108"/>
    </row>
    <row r="751" spans="9:9" ht="15.75" customHeight="1">
      <c r="I751" s="108"/>
    </row>
    <row r="752" spans="9:9" ht="15.75" customHeight="1">
      <c r="I752" s="108"/>
    </row>
    <row r="753" spans="9:9" ht="15.75" customHeight="1">
      <c r="I753" s="108"/>
    </row>
    <row r="754" spans="9:9" ht="15.75" customHeight="1">
      <c r="I754" s="108"/>
    </row>
    <row r="755" spans="9:9" ht="15.75" customHeight="1">
      <c r="I755" s="108"/>
    </row>
    <row r="756" spans="9:9" ht="15.75" customHeight="1">
      <c r="I756" s="108"/>
    </row>
    <row r="757" spans="9:9" ht="15.75" customHeight="1">
      <c r="I757" s="108"/>
    </row>
    <row r="758" spans="9:9" ht="15.75" customHeight="1">
      <c r="I758" s="108"/>
    </row>
    <row r="759" spans="9:9" ht="15.75" customHeight="1">
      <c r="I759" s="108"/>
    </row>
    <row r="760" spans="9:9" ht="15.75" customHeight="1">
      <c r="I760" s="108"/>
    </row>
    <row r="761" spans="9:9" ht="15.75" customHeight="1">
      <c r="I761" s="108"/>
    </row>
    <row r="762" spans="9:9" ht="15.75" customHeight="1">
      <c r="I762" s="108"/>
    </row>
    <row r="763" spans="9:9" ht="15.75" customHeight="1">
      <c r="I763" s="108"/>
    </row>
    <row r="764" spans="9:9" ht="15.75" customHeight="1">
      <c r="I764" s="108"/>
    </row>
    <row r="765" spans="9:9" ht="15.75" customHeight="1">
      <c r="I765" s="108"/>
    </row>
    <row r="766" spans="9:9" ht="15.75" customHeight="1">
      <c r="I766" s="108"/>
    </row>
    <row r="767" spans="9:9" ht="15.75" customHeight="1">
      <c r="I767" s="108"/>
    </row>
    <row r="768" spans="9:9" ht="15.75" customHeight="1">
      <c r="I768" s="108"/>
    </row>
    <row r="769" spans="9:9" ht="15.75" customHeight="1">
      <c r="I769" s="108"/>
    </row>
    <row r="770" spans="9:9" ht="15.75" customHeight="1">
      <c r="I770" s="108"/>
    </row>
    <row r="771" spans="9:9" ht="15.75" customHeight="1">
      <c r="I771" s="108"/>
    </row>
    <row r="772" spans="9:9" ht="15.75" customHeight="1">
      <c r="I772" s="108"/>
    </row>
    <row r="773" spans="9:9" ht="15.75" customHeight="1">
      <c r="I773" s="108"/>
    </row>
    <row r="774" spans="9:9" ht="15.75" customHeight="1">
      <c r="I774" s="108"/>
    </row>
    <row r="775" spans="9:9" ht="15.75" customHeight="1">
      <c r="I775" s="108"/>
    </row>
    <row r="776" spans="9:9" ht="15.75" customHeight="1">
      <c r="I776" s="108"/>
    </row>
    <row r="777" spans="9:9" ht="15.75" customHeight="1">
      <c r="I777" s="108"/>
    </row>
    <row r="778" spans="9:9" ht="15.75" customHeight="1">
      <c r="I778" s="108"/>
    </row>
    <row r="779" spans="9:9" ht="15.75" customHeight="1">
      <c r="I779" s="108"/>
    </row>
    <row r="780" spans="9:9" ht="15.75" customHeight="1">
      <c r="I780" s="108"/>
    </row>
    <row r="781" spans="9:9" ht="15.75" customHeight="1">
      <c r="I781" s="108"/>
    </row>
    <row r="782" spans="9:9" ht="15.75" customHeight="1">
      <c r="I782" s="108"/>
    </row>
    <row r="783" spans="9:9" ht="15.75" customHeight="1">
      <c r="I783" s="108"/>
    </row>
    <row r="784" spans="9:9" ht="15.75" customHeight="1">
      <c r="I784" s="108"/>
    </row>
    <row r="785" spans="9:9" ht="15.75" customHeight="1">
      <c r="I785" s="108"/>
    </row>
    <row r="786" spans="9:9" ht="15.75" customHeight="1">
      <c r="I786" s="108"/>
    </row>
    <row r="787" spans="9:9" ht="15.75" customHeight="1">
      <c r="I787" s="108"/>
    </row>
    <row r="788" spans="9:9" ht="15.75" customHeight="1">
      <c r="I788" s="108"/>
    </row>
    <row r="789" spans="9:9" ht="15.75" customHeight="1">
      <c r="I789" s="108"/>
    </row>
    <row r="790" spans="9:9" ht="15.75" customHeight="1">
      <c r="I790" s="108"/>
    </row>
    <row r="791" spans="9:9" ht="15.75" customHeight="1">
      <c r="I791" s="108"/>
    </row>
    <row r="792" spans="9:9" ht="15.75" customHeight="1">
      <c r="I792" s="108"/>
    </row>
    <row r="793" spans="9:9" ht="15.75" customHeight="1">
      <c r="I793" s="108"/>
    </row>
    <row r="794" spans="9:9" ht="15.75" customHeight="1">
      <c r="I794" s="108"/>
    </row>
    <row r="795" spans="9:9" ht="15.75" customHeight="1">
      <c r="I795" s="108"/>
    </row>
    <row r="796" spans="9:9" ht="15.75" customHeight="1">
      <c r="I796" s="108"/>
    </row>
    <row r="797" spans="9:9" ht="15.75" customHeight="1">
      <c r="I797" s="108"/>
    </row>
    <row r="798" spans="9:9" ht="15.75" customHeight="1">
      <c r="I798" s="108"/>
    </row>
    <row r="799" spans="9:9" ht="15.75" customHeight="1">
      <c r="I799" s="108"/>
    </row>
    <row r="800" spans="9:9" ht="15.75" customHeight="1">
      <c r="I800" s="108"/>
    </row>
    <row r="801" spans="9:9" ht="15.75" customHeight="1">
      <c r="I801" s="108"/>
    </row>
    <row r="802" spans="9:9" ht="15.75" customHeight="1">
      <c r="I802" s="108"/>
    </row>
    <row r="803" spans="9:9" ht="15.75" customHeight="1">
      <c r="I803" s="108"/>
    </row>
    <row r="804" spans="9:9" ht="15.75" customHeight="1">
      <c r="I804" s="108"/>
    </row>
    <row r="805" spans="9:9" ht="15.75" customHeight="1">
      <c r="I805" s="108"/>
    </row>
    <row r="806" spans="9:9" ht="15.75" customHeight="1">
      <c r="I806" s="108"/>
    </row>
    <row r="807" spans="9:9" ht="15.75" customHeight="1">
      <c r="I807" s="108"/>
    </row>
    <row r="808" spans="9:9" ht="15.75" customHeight="1">
      <c r="I808" s="108"/>
    </row>
    <row r="809" spans="9:9" ht="15.75" customHeight="1">
      <c r="I809" s="108"/>
    </row>
    <row r="810" spans="9:9" ht="15.75" customHeight="1">
      <c r="I810" s="108"/>
    </row>
    <row r="811" spans="9:9" ht="15.75" customHeight="1">
      <c r="I811" s="108"/>
    </row>
    <row r="812" spans="9:9" ht="15.75" customHeight="1">
      <c r="I812" s="108"/>
    </row>
    <row r="813" spans="9:9" ht="15.75" customHeight="1">
      <c r="I813" s="108"/>
    </row>
    <row r="814" spans="9:9" ht="15.75" customHeight="1">
      <c r="I814" s="108"/>
    </row>
    <row r="815" spans="9:9" ht="15.75" customHeight="1">
      <c r="I815" s="108"/>
    </row>
    <row r="816" spans="9:9" ht="15.75" customHeight="1">
      <c r="I816" s="108"/>
    </row>
    <row r="817" spans="9:9" ht="15.75" customHeight="1">
      <c r="I817" s="108"/>
    </row>
    <row r="818" spans="9:9" ht="15.75" customHeight="1">
      <c r="I818" s="108"/>
    </row>
    <row r="819" spans="9:9" ht="15.75" customHeight="1">
      <c r="I819" s="108"/>
    </row>
    <row r="820" spans="9:9" ht="15.75" customHeight="1">
      <c r="I820" s="108"/>
    </row>
    <row r="821" spans="9:9" ht="15.75" customHeight="1">
      <c r="I821" s="108"/>
    </row>
    <row r="822" spans="9:9" ht="15.75" customHeight="1">
      <c r="I822" s="108"/>
    </row>
    <row r="823" spans="9:9" ht="15.75" customHeight="1">
      <c r="I823" s="108"/>
    </row>
    <row r="824" spans="9:9" ht="15.75" customHeight="1">
      <c r="I824" s="108"/>
    </row>
    <row r="825" spans="9:9" ht="15.75" customHeight="1">
      <c r="I825" s="108"/>
    </row>
    <row r="826" spans="9:9" ht="15.75" customHeight="1">
      <c r="I826" s="108"/>
    </row>
    <row r="827" spans="9:9" ht="15.75" customHeight="1">
      <c r="I827" s="108"/>
    </row>
    <row r="828" spans="9:9" ht="15.75" customHeight="1">
      <c r="I828" s="108"/>
    </row>
    <row r="829" spans="9:9" ht="15.75" customHeight="1">
      <c r="I829" s="108"/>
    </row>
    <row r="830" spans="9:9" ht="15.75" customHeight="1">
      <c r="I830" s="108"/>
    </row>
    <row r="831" spans="9:9" ht="15.75" customHeight="1">
      <c r="I831" s="108"/>
    </row>
    <row r="832" spans="9:9" ht="15.75" customHeight="1">
      <c r="I832" s="108"/>
    </row>
    <row r="833" spans="9:9" ht="15.75" customHeight="1">
      <c r="I833" s="108"/>
    </row>
    <row r="834" spans="9:9" ht="15.75" customHeight="1">
      <c r="I834" s="108"/>
    </row>
    <row r="835" spans="9:9" ht="15.75" customHeight="1">
      <c r="I835" s="108"/>
    </row>
    <row r="836" spans="9:9" ht="15.75" customHeight="1">
      <c r="I836" s="108"/>
    </row>
    <row r="837" spans="9:9" ht="15.75" customHeight="1">
      <c r="I837" s="108"/>
    </row>
    <row r="838" spans="9:9" ht="15.75" customHeight="1">
      <c r="I838" s="108"/>
    </row>
    <row r="839" spans="9:9" ht="15.75" customHeight="1">
      <c r="I839" s="108"/>
    </row>
    <row r="840" spans="9:9" ht="15.75" customHeight="1">
      <c r="I840" s="108"/>
    </row>
    <row r="841" spans="9:9" ht="15.75" customHeight="1">
      <c r="I841" s="108"/>
    </row>
    <row r="842" spans="9:9" ht="15.75" customHeight="1">
      <c r="I842" s="108"/>
    </row>
    <row r="843" spans="9:9" ht="15.75" customHeight="1">
      <c r="I843" s="108"/>
    </row>
    <row r="844" spans="9:9" ht="15.75" customHeight="1">
      <c r="I844" s="108"/>
    </row>
    <row r="845" spans="9:9" ht="15.75" customHeight="1">
      <c r="I845" s="108"/>
    </row>
    <row r="846" spans="9:9" ht="15.75" customHeight="1">
      <c r="I846" s="108"/>
    </row>
    <row r="847" spans="9:9" ht="15.75" customHeight="1">
      <c r="I847" s="108"/>
    </row>
    <row r="848" spans="9:9" ht="15.75" customHeight="1">
      <c r="I848" s="108"/>
    </row>
    <row r="849" spans="9:9" ht="15.75" customHeight="1">
      <c r="I849" s="108"/>
    </row>
    <row r="850" spans="9:9" ht="15.75" customHeight="1">
      <c r="I850" s="108"/>
    </row>
    <row r="851" spans="9:9" ht="15.75" customHeight="1">
      <c r="I851" s="108"/>
    </row>
    <row r="852" spans="9:9" ht="15.75" customHeight="1">
      <c r="I852" s="108"/>
    </row>
    <row r="853" spans="9:9" ht="15.75" customHeight="1">
      <c r="I853" s="108"/>
    </row>
    <row r="854" spans="9:9" ht="15.75" customHeight="1">
      <c r="I854" s="108"/>
    </row>
    <row r="855" spans="9:9" ht="15.75" customHeight="1">
      <c r="I855" s="108"/>
    </row>
    <row r="856" spans="9:9" ht="15.75" customHeight="1">
      <c r="I856" s="108"/>
    </row>
    <row r="857" spans="9:9" ht="15.75" customHeight="1">
      <c r="I857" s="108"/>
    </row>
    <row r="858" spans="9:9" ht="15.75" customHeight="1">
      <c r="I858" s="108"/>
    </row>
    <row r="859" spans="9:9" ht="15.75" customHeight="1">
      <c r="I859" s="108"/>
    </row>
    <row r="860" spans="9:9" ht="15.75" customHeight="1">
      <c r="I860" s="108"/>
    </row>
    <row r="861" spans="9:9" ht="15.75" customHeight="1">
      <c r="I861" s="108"/>
    </row>
    <row r="862" spans="9:9" ht="15.75" customHeight="1">
      <c r="I862" s="108"/>
    </row>
    <row r="863" spans="9:9" ht="15.75" customHeight="1">
      <c r="I863" s="108"/>
    </row>
    <row r="864" spans="9:9" ht="15.75" customHeight="1">
      <c r="I864" s="108"/>
    </row>
    <row r="865" spans="9:9" ht="15.75" customHeight="1">
      <c r="I865" s="108"/>
    </row>
    <row r="866" spans="9:9" ht="15.75" customHeight="1">
      <c r="I866" s="108"/>
    </row>
    <row r="867" spans="9:9" ht="15.75" customHeight="1">
      <c r="I867" s="108"/>
    </row>
    <row r="868" spans="9:9" ht="15.75" customHeight="1">
      <c r="I868" s="108"/>
    </row>
    <row r="869" spans="9:9" ht="15.75" customHeight="1">
      <c r="I869" s="108"/>
    </row>
    <row r="870" spans="9:9" ht="15.75" customHeight="1">
      <c r="I870" s="108"/>
    </row>
    <row r="871" spans="9:9" ht="15.75" customHeight="1">
      <c r="I871" s="108"/>
    </row>
    <row r="872" spans="9:9" ht="15.75" customHeight="1">
      <c r="I872" s="108"/>
    </row>
    <row r="873" spans="9:9" ht="15.75" customHeight="1">
      <c r="I873" s="108"/>
    </row>
    <row r="874" spans="9:9" ht="15.75" customHeight="1">
      <c r="I874" s="108"/>
    </row>
    <row r="875" spans="9:9" ht="15.75" customHeight="1">
      <c r="I875" s="108"/>
    </row>
    <row r="876" spans="9:9" ht="15.75" customHeight="1">
      <c r="I876" s="108"/>
    </row>
    <row r="877" spans="9:9" ht="15.75" customHeight="1">
      <c r="I877" s="108"/>
    </row>
    <row r="878" spans="9:9" ht="15.75" customHeight="1">
      <c r="I878" s="108"/>
    </row>
    <row r="879" spans="9:9" ht="15.75" customHeight="1">
      <c r="I879" s="108"/>
    </row>
    <row r="880" spans="9:9" ht="15.75" customHeight="1">
      <c r="I880" s="108"/>
    </row>
    <row r="881" spans="9:9" ht="15.75" customHeight="1">
      <c r="I881" s="108"/>
    </row>
    <row r="882" spans="9:9" ht="15.75" customHeight="1">
      <c r="I882" s="108"/>
    </row>
    <row r="883" spans="9:9" ht="15.75" customHeight="1">
      <c r="I883" s="108"/>
    </row>
    <row r="884" spans="9:9" ht="15.75" customHeight="1">
      <c r="I884" s="108"/>
    </row>
    <row r="885" spans="9:9" ht="15.75" customHeight="1">
      <c r="I885" s="108"/>
    </row>
    <row r="886" spans="9:9" ht="15.75" customHeight="1">
      <c r="I886" s="108"/>
    </row>
    <row r="887" spans="9:9" ht="15.75" customHeight="1">
      <c r="I887" s="108"/>
    </row>
    <row r="888" spans="9:9" ht="15.75" customHeight="1">
      <c r="I888" s="108"/>
    </row>
    <row r="889" spans="9:9" ht="15.75" customHeight="1">
      <c r="I889" s="108"/>
    </row>
    <row r="890" spans="9:9" ht="15.75" customHeight="1">
      <c r="I890" s="108"/>
    </row>
    <row r="891" spans="9:9" ht="15.75" customHeight="1">
      <c r="I891" s="108"/>
    </row>
    <row r="892" spans="9:9" ht="15.75" customHeight="1">
      <c r="I892" s="108"/>
    </row>
    <row r="893" spans="9:9" ht="15.75" customHeight="1">
      <c r="I893" s="108"/>
    </row>
    <row r="894" spans="9:9" ht="15.75" customHeight="1">
      <c r="I894" s="108"/>
    </row>
    <row r="895" spans="9:9" ht="15.75" customHeight="1">
      <c r="I895" s="108"/>
    </row>
    <row r="896" spans="9:9" ht="15.75" customHeight="1">
      <c r="I896" s="108"/>
    </row>
    <row r="897" spans="9:9" ht="15.75" customHeight="1">
      <c r="I897" s="108"/>
    </row>
    <row r="898" spans="9:9" ht="15.75" customHeight="1">
      <c r="I898" s="108"/>
    </row>
    <row r="899" spans="9:9" ht="15.75" customHeight="1">
      <c r="I899" s="108"/>
    </row>
    <row r="900" spans="9:9" ht="15.75" customHeight="1">
      <c r="I900" s="108"/>
    </row>
    <row r="901" spans="9:9" ht="15.75" customHeight="1">
      <c r="I901" s="108"/>
    </row>
    <row r="902" spans="9:9" ht="15.75" customHeight="1">
      <c r="I902" s="108"/>
    </row>
    <row r="903" spans="9:9" ht="15.75" customHeight="1">
      <c r="I903" s="108"/>
    </row>
    <row r="904" spans="9:9" ht="15.75" customHeight="1">
      <c r="I904" s="108"/>
    </row>
    <row r="905" spans="9:9" ht="15.75" customHeight="1">
      <c r="I905" s="108"/>
    </row>
    <row r="906" spans="9:9" ht="15.75" customHeight="1">
      <c r="I906" s="108"/>
    </row>
    <row r="907" spans="9:9" ht="15.75" customHeight="1">
      <c r="I907" s="108"/>
    </row>
    <row r="908" spans="9:9" ht="15.75" customHeight="1">
      <c r="I908" s="108"/>
    </row>
    <row r="909" spans="9:9" ht="15.75" customHeight="1">
      <c r="I909" s="108"/>
    </row>
    <row r="910" spans="9:9" ht="15.75" customHeight="1">
      <c r="I910" s="108"/>
    </row>
    <row r="911" spans="9:9" ht="15.75" customHeight="1">
      <c r="I911" s="108"/>
    </row>
    <row r="912" spans="9:9" ht="15.75" customHeight="1">
      <c r="I912" s="108"/>
    </row>
    <row r="913" spans="9:9" ht="15.75" customHeight="1">
      <c r="I913" s="108"/>
    </row>
    <row r="914" spans="9:9" ht="15.75" customHeight="1">
      <c r="I914" s="108"/>
    </row>
    <row r="915" spans="9:9" ht="15.75" customHeight="1">
      <c r="I915" s="108"/>
    </row>
    <row r="916" spans="9:9" ht="15.75" customHeight="1">
      <c r="I916" s="108"/>
    </row>
    <row r="917" spans="9:9" ht="15.75" customHeight="1">
      <c r="I917" s="108"/>
    </row>
    <row r="918" spans="9:9" ht="15.75" customHeight="1">
      <c r="I918" s="108"/>
    </row>
    <row r="919" spans="9:9" ht="15.75" customHeight="1">
      <c r="I919" s="108"/>
    </row>
    <row r="920" spans="9:9" ht="15.75" customHeight="1">
      <c r="I920" s="108"/>
    </row>
    <row r="921" spans="9:9" ht="15.75" customHeight="1">
      <c r="I921" s="108"/>
    </row>
    <row r="922" spans="9:9" ht="15.75" customHeight="1">
      <c r="I922" s="108"/>
    </row>
    <row r="923" spans="9:9" ht="15.75" customHeight="1">
      <c r="I923" s="108"/>
    </row>
    <row r="924" spans="9:9" ht="15.75" customHeight="1">
      <c r="I924" s="108"/>
    </row>
    <row r="925" spans="9:9" ht="15.75" customHeight="1">
      <c r="I925" s="108"/>
    </row>
    <row r="926" spans="9:9" ht="15.75" customHeight="1">
      <c r="I926" s="108"/>
    </row>
    <row r="927" spans="9:9" ht="15.75" customHeight="1">
      <c r="I927" s="108"/>
    </row>
    <row r="928" spans="9:9" ht="15.75" customHeight="1">
      <c r="I928" s="108"/>
    </row>
    <row r="929" spans="9:9" ht="15.75" customHeight="1">
      <c r="I929" s="108"/>
    </row>
    <row r="930" spans="9:9" ht="15.75" customHeight="1">
      <c r="I930" s="108"/>
    </row>
    <row r="931" spans="9:9" ht="15.75" customHeight="1">
      <c r="I931" s="108"/>
    </row>
    <row r="932" spans="9:9" ht="15.75" customHeight="1">
      <c r="I932" s="108"/>
    </row>
    <row r="933" spans="9:9" ht="15.75" customHeight="1">
      <c r="I933" s="108"/>
    </row>
    <row r="934" spans="9:9" ht="15.75" customHeight="1">
      <c r="I934" s="108"/>
    </row>
    <row r="935" spans="9:9" ht="15.75" customHeight="1">
      <c r="I935" s="108"/>
    </row>
    <row r="936" spans="9:9" ht="15.75" customHeight="1">
      <c r="I936" s="108"/>
    </row>
    <row r="937" spans="9:9" ht="15.75" customHeight="1">
      <c r="I937" s="108"/>
    </row>
    <row r="938" spans="9:9" ht="15.75" customHeight="1">
      <c r="I938" s="108"/>
    </row>
    <row r="939" spans="9:9" ht="15.75" customHeight="1">
      <c r="I939" s="108"/>
    </row>
    <row r="940" spans="9:9" ht="15.75" customHeight="1">
      <c r="I940" s="108"/>
    </row>
    <row r="941" spans="9:9" ht="15.75" customHeight="1">
      <c r="I941" s="108"/>
    </row>
    <row r="942" spans="9:9" ht="15.75" customHeight="1">
      <c r="I942" s="108"/>
    </row>
    <row r="943" spans="9:9" ht="15.75" customHeight="1">
      <c r="I943" s="108"/>
    </row>
    <row r="944" spans="9:9" ht="15.75" customHeight="1">
      <c r="I944" s="108"/>
    </row>
    <row r="945" spans="9:9" ht="15.75" customHeight="1">
      <c r="I945" s="108"/>
    </row>
    <row r="946" spans="9:9" ht="15.75" customHeight="1">
      <c r="I946" s="108"/>
    </row>
    <row r="947" spans="9:9" ht="15.75" customHeight="1">
      <c r="I947" s="108"/>
    </row>
    <row r="948" spans="9:9" ht="15.75" customHeight="1">
      <c r="I948" s="108"/>
    </row>
    <row r="949" spans="9:9" ht="15.75" customHeight="1">
      <c r="I949" s="108"/>
    </row>
    <row r="950" spans="9:9" ht="15.75" customHeight="1">
      <c r="I950" s="108"/>
    </row>
    <row r="951" spans="9:9" ht="15.75" customHeight="1">
      <c r="I951" s="108"/>
    </row>
    <row r="952" spans="9:9" ht="15.75" customHeight="1">
      <c r="I952" s="108"/>
    </row>
    <row r="953" spans="9:9" ht="15.75" customHeight="1">
      <c r="I953" s="108"/>
    </row>
    <row r="954" spans="9:9" ht="15.75" customHeight="1">
      <c r="I954" s="108"/>
    </row>
    <row r="955" spans="9:9" ht="15.75" customHeight="1">
      <c r="I955" s="108"/>
    </row>
    <row r="956" spans="9:9" ht="15.75" customHeight="1">
      <c r="I956" s="108"/>
    </row>
    <row r="957" spans="9:9" ht="15.75" customHeight="1">
      <c r="I957" s="108"/>
    </row>
    <row r="958" spans="9:9" ht="15.75" customHeight="1">
      <c r="I958" s="108"/>
    </row>
    <row r="959" spans="9:9" ht="15.75" customHeight="1">
      <c r="I959" s="108"/>
    </row>
    <row r="960" spans="9:9" ht="15.75" customHeight="1">
      <c r="I960" s="108"/>
    </row>
    <row r="961" spans="9:9" ht="15.75" customHeight="1">
      <c r="I961" s="108"/>
    </row>
    <row r="962" spans="9:9" ht="15.75" customHeight="1">
      <c r="I962" s="108"/>
    </row>
    <row r="963" spans="9:9" ht="15.75" customHeight="1">
      <c r="I963" s="108"/>
    </row>
    <row r="964" spans="9:9" ht="15.75" customHeight="1">
      <c r="I964" s="108"/>
    </row>
    <row r="965" spans="9:9" ht="15.75" customHeight="1">
      <c r="I965" s="108"/>
    </row>
    <row r="966" spans="9:9" ht="15.75" customHeight="1">
      <c r="I966" s="108"/>
    </row>
    <row r="967" spans="9:9" ht="15.75" customHeight="1">
      <c r="I967" s="108"/>
    </row>
    <row r="968" spans="9:9" ht="15.75" customHeight="1">
      <c r="I968" s="108"/>
    </row>
    <row r="969" spans="9:9" ht="15.75" customHeight="1">
      <c r="I969" s="108"/>
    </row>
    <row r="970" spans="9:9" ht="15.75" customHeight="1">
      <c r="I970" s="108"/>
    </row>
    <row r="971" spans="9:9" ht="15.75" customHeight="1">
      <c r="I971" s="108"/>
    </row>
    <row r="972" spans="9:9" ht="15.75" customHeight="1">
      <c r="I972" s="108"/>
    </row>
    <row r="973" spans="9:9" ht="15.75" customHeight="1">
      <c r="I973" s="108"/>
    </row>
    <row r="974" spans="9:9" ht="15.75" customHeight="1">
      <c r="I974" s="108"/>
    </row>
    <row r="975" spans="9:9" ht="15.75" customHeight="1">
      <c r="I975" s="108"/>
    </row>
    <row r="976" spans="9:9" ht="15.75" customHeight="1">
      <c r="I976" s="108"/>
    </row>
    <row r="977" spans="9:9" ht="15.75" customHeight="1">
      <c r="I977" s="108"/>
    </row>
    <row r="978" spans="9:9" ht="15.75" customHeight="1">
      <c r="I978" s="108"/>
    </row>
    <row r="979" spans="9:9" ht="15.75" customHeight="1">
      <c r="I979" s="108"/>
    </row>
    <row r="980" spans="9:9" ht="15.75" customHeight="1">
      <c r="I980" s="108"/>
    </row>
    <row r="981" spans="9:9" ht="15.75" customHeight="1">
      <c r="I981" s="108"/>
    </row>
    <row r="982" spans="9:9" ht="15.75" customHeight="1">
      <c r="I982" s="108"/>
    </row>
    <row r="983" spans="9:9" ht="15.75" customHeight="1">
      <c r="I983" s="108"/>
    </row>
    <row r="984" spans="9:9" ht="15.75" customHeight="1">
      <c r="I984" s="108"/>
    </row>
    <row r="985" spans="9:9" ht="15.75" customHeight="1">
      <c r="I985" s="108"/>
    </row>
    <row r="986" spans="9:9" ht="15.75" customHeight="1">
      <c r="I986" s="108"/>
    </row>
    <row r="987" spans="9:9" ht="15.75" customHeight="1">
      <c r="I987" s="108"/>
    </row>
    <row r="988" spans="9:9" ht="15.75" customHeight="1">
      <c r="I988" s="108"/>
    </row>
    <row r="989" spans="9:9" ht="15.75" customHeight="1">
      <c r="I989" s="108"/>
    </row>
    <row r="990" spans="9:9" ht="15.75" customHeight="1">
      <c r="I990" s="108"/>
    </row>
    <row r="991" spans="9:9" ht="15.75" customHeight="1">
      <c r="I991" s="108"/>
    </row>
    <row r="992" spans="9:9" ht="15.75" customHeight="1">
      <c r="I992" s="108"/>
    </row>
    <row r="993" spans="9:9" ht="15.75" customHeight="1">
      <c r="I993" s="108"/>
    </row>
    <row r="994" spans="9:9" ht="15.75" customHeight="1">
      <c r="I994" s="108"/>
    </row>
    <row r="995" spans="9:9" ht="15.75" customHeight="1">
      <c r="I995" s="108"/>
    </row>
    <row r="996" spans="9:9" ht="15.75" customHeight="1">
      <c r="I996" s="108"/>
    </row>
    <row r="997" spans="9:9" ht="15.75" customHeight="1">
      <c r="I997" s="108"/>
    </row>
    <row r="998" spans="9:9" ht="15.75" customHeight="1">
      <c r="I998" s="108"/>
    </row>
    <row r="999" spans="9:9" ht="15.75" customHeight="1">
      <c r="I999" s="108"/>
    </row>
    <row r="1000" spans="9:9" ht="15.75" customHeight="1">
      <c r="I1000" s="108"/>
    </row>
  </sheetData>
  <sheetProtection algorithmName="SHA-512" hashValue="gkIV7Hp4kSCqdWtbZZHUimMYeJPeLZeSosUQZPPERTyqwvjwdCyuGtmHXXO5RH+FuWKPFofUFJlxDQovBz+AXQ==" saltValue="RJiktL+GY7NSDERIQZ09lA==" spinCount="100000" sheet="1" objects="1" scenarios="1"/>
  <mergeCells count="1195">
    <mergeCell ref="BG135:BL135"/>
    <mergeCell ref="BM135:BR135"/>
    <mergeCell ref="BS135:BX135"/>
    <mergeCell ref="A135:V135"/>
    <mergeCell ref="W135:AB135"/>
    <mergeCell ref="AC135:AH135"/>
    <mergeCell ref="AI135:AN135"/>
    <mergeCell ref="AO135:AT135"/>
    <mergeCell ref="AU135:AZ135"/>
    <mergeCell ref="BA135:BF135"/>
    <mergeCell ref="BG136:BL136"/>
    <mergeCell ref="BM136:BR136"/>
    <mergeCell ref="BS136:BX136"/>
    <mergeCell ref="A136:V136"/>
    <mergeCell ref="W136:AB136"/>
    <mergeCell ref="AC136:AH136"/>
    <mergeCell ref="AI136:AN136"/>
    <mergeCell ref="AO136:AT136"/>
    <mergeCell ref="AU136:AZ136"/>
    <mergeCell ref="BA136:BF136"/>
    <mergeCell ref="A137:V137"/>
    <mergeCell ref="W137:AB137"/>
    <mergeCell ref="AC137:AH137"/>
    <mergeCell ref="AI137:AN137"/>
    <mergeCell ref="AO137:AT137"/>
    <mergeCell ref="AU137:AZ137"/>
    <mergeCell ref="BA137:BF137"/>
    <mergeCell ref="BG138:BL138"/>
    <mergeCell ref="BM138:BR138"/>
    <mergeCell ref="BS138:BX138"/>
    <mergeCell ref="A138:V138"/>
    <mergeCell ref="W138:AB138"/>
    <mergeCell ref="AC138:AH138"/>
    <mergeCell ref="AI138:AN138"/>
    <mergeCell ref="AO138:AT138"/>
    <mergeCell ref="AU138:AZ138"/>
    <mergeCell ref="BA138:BF138"/>
    <mergeCell ref="W139:AB139"/>
    <mergeCell ref="AC139:AH139"/>
    <mergeCell ref="AI139:AN139"/>
    <mergeCell ref="AO139:AT139"/>
    <mergeCell ref="AU139:AZ139"/>
    <mergeCell ref="BA139:BF139"/>
    <mergeCell ref="A141:CV141"/>
    <mergeCell ref="BG129:BL129"/>
    <mergeCell ref="BM129:BR129"/>
    <mergeCell ref="BS129:BX129"/>
    <mergeCell ref="BY129:CD129"/>
    <mergeCell ref="CE129:CJ129"/>
    <mergeCell ref="CK129:CP129"/>
    <mergeCell ref="A129:V129"/>
    <mergeCell ref="W129:AB129"/>
    <mergeCell ref="AC129:AH129"/>
    <mergeCell ref="AI129:AN129"/>
    <mergeCell ref="AO129:AT129"/>
    <mergeCell ref="AU129:AZ129"/>
    <mergeCell ref="BA129:BF129"/>
    <mergeCell ref="BG130:BL130"/>
    <mergeCell ref="BM130:BR130"/>
    <mergeCell ref="BS130:BX130"/>
    <mergeCell ref="BY130:CD130"/>
    <mergeCell ref="CE130:CJ130"/>
    <mergeCell ref="CK130:CP130"/>
    <mergeCell ref="A130:V130"/>
    <mergeCell ref="W130:AB130"/>
    <mergeCell ref="AC130:AH130"/>
    <mergeCell ref="BG137:BL137"/>
    <mergeCell ref="BM137:BR137"/>
    <mergeCell ref="BS137:BX137"/>
    <mergeCell ref="AI130:AN130"/>
    <mergeCell ref="AO130:AT130"/>
    <mergeCell ref="AU130:AZ130"/>
    <mergeCell ref="BA130:BF130"/>
    <mergeCell ref="BG133:BL133"/>
    <mergeCell ref="BM133:BR133"/>
    <mergeCell ref="BS133:BX133"/>
    <mergeCell ref="A133:V133"/>
    <mergeCell ref="W133:AB133"/>
    <mergeCell ref="AC133:AH133"/>
    <mergeCell ref="AI133:AN133"/>
    <mergeCell ref="AO133:AT133"/>
    <mergeCell ref="AU133:AZ133"/>
    <mergeCell ref="BA133:BF133"/>
    <mergeCell ref="A147:H147"/>
    <mergeCell ref="A148:H148"/>
    <mergeCell ref="I148:O148"/>
    <mergeCell ref="X148:AE148"/>
    <mergeCell ref="AF148:AL148"/>
    <mergeCell ref="BG134:BL134"/>
    <mergeCell ref="BM134:BR134"/>
    <mergeCell ref="BS134:BX134"/>
    <mergeCell ref="A134:V134"/>
    <mergeCell ref="W134:AB134"/>
    <mergeCell ref="AC134:AH134"/>
    <mergeCell ref="AI134:AN134"/>
    <mergeCell ref="AO134:AT134"/>
    <mergeCell ref="AU134:AZ134"/>
    <mergeCell ref="BA134:BF134"/>
    <mergeCell ref="BG139:BL139"/>
    <mergeCell ref="BM139:BR139"/>
    <mergeCell ref="BS139:BX139"/>
    <mergeCell ref="AU150:BO150"/>
    <mergeCell ref="AU151:BI151"/>
    <mergeCell ref="AV184:BD184"/>
    <mergeCell ref="AV185:BD185"/>
    <mergeCell ref="AV186:BD186"/>
    <mergeCell ref="AV187:BD187"/>
    <mergeCell ref="AV188:BD188"/>
    <mergeCell ref="A191:CV191"/>
    <mergeCell ref="K193:S193"/>
    <mergeCell ref="A197:J197"/>
    <mergeCell ref="K197:S197"/>
    <mergeCell ref="A198:J198"/>
    <mergeCell ref="K198:S198"/>
    <mergeCell ref="A199:J199"/>
    <mergeCell ref="K199:S199"/>
    <mergeCell ref="A193:J193"/>
    <mergeCell ref="A194:J194"/>
    <mergeCell ref="K194:S194"/>
    <mergeCell ref="A195:J195"/>
    <mergeCell ref="K195:S195"/>
    <mergeCell ref="A196:J196"/>
    <mergeCell ref="K196:S196"/>
    <mergeCell ref="AU152:BB152"/>
    <mergeCell ref="BC152:BI152"/>
    <mergeCell ref="AU153:BB153"/>
    <mergeCell ref="BC153:BI153"/>
    <mergeCell ref="AU154:BB154"/>
    <mergeCell ref="BC154:BI154"/>
    <mergeCell ref="AU155:BB155"/>
    <mergeCell ref="BC155:BI155"/>
    <mergeCell ref="BA158:BQ158"/>
    <mergeCell ref="BA159:BQ159"/>
    <mergeCell ref="BA160:BJ160"/>
    <mergeCell ref="BK160:BQ160"/>
    <mergeCell ref="BA161:BJ161"/>
    <mergeCell ref="BK161:BQ161"/>
    <mergeCell ref="BA162:BJ162"/>
    <mergeCell ref="BK162:BQ162"/>
    <mergeCell ref="BA163:BJ163"/>
    <mergeCell ref="BK163:BQ163"/>
    <mergeCell ref="BA164:BJ164"/>
    <mergeCell ref="BK164:BQ164"/>
    <mergeCell ref="BK165:BQ165"/>
    <mergeCell ref="BA165:BJ165"/>
    <mergeCell ref="BA166:BJ166"/>
    <mergeCell ref="BK166:BQ166"/>
    <mergeCell ref="BA167:BJ167"/>
    <mergeCell ref="BK167:BQ167"/>
    <mergeCell ref="BA168:BJ168"/>
    <mergeCell ref="BK168:BQ168"/>
    <mergeCell ref="BA172:BJ172"/>
    <mergeCell ref="BA173:BJ173"/>
    <mergeCell ref="BK173:BQ173"/>
    <mergeCell ref="A175:CV175"/>
    <mergeCell ref="BA169:BJ169"/>
    <mergeCell ref="BK169:BQ169"/>
    <mergeCell ref="BA170:BJ170"/>
    <mergeCell ref="BK170:BQ170"/>
    <mergeCell ref="BA171:BJ171"/>
    <mergeCell ref="BK171:BQ171"/>
    <mergeCell ref="BK172:BQ172"/>
    <mergeCell ref="AV177:BD177"/>
    <mergeCell ref="AV178:BD178"/>
    <mergeCell ref="AV179:BD179"/>
    <mergeCell ref="AV180:BD180"/>
    <mergeCell ref="AV181:BD181"/>
    <mergeCell ref="AV182:BD182"/>
    <mergeCell ref="A177:AC177"/>
    <mergeCell ref="AD177:AL177"/>
    <mergeCell ref="AM177:AU177"/>
    <mergeCell ref="A169:H169"/>
    <mergeCell ref="I169:L169"/>
    <mergeCell ref="M169:Q169"/>
    <mergeCell ref="R169:V169"/>
    <mergeCell ref="W169:AB169"/>
    <mergeCell ref="AG169:AP169"/>
    <mergeCell ref="AQ169:AW169"/>
    <mergeCell ref="A170:H170"/>
    <mergeCell ref="I170:L170"/>
    <mergeCell ref="M170:Q170"/>
    <mergeCell ref="R170:V170"/>
    <mergeCell ref="W170:AB170"/>
    <mergeCell ref="AV183:BD183"/>
    <mergeCell ref="A153:H153"/>
    <mergeCell ref="A154:H154"/>
    <mergeCell ref="I154:O154"/>
    <mergeCell ref="A155:H155"/>
    <mergeCell ref="I155:O155"/>
    <mergeCell ref="A158:AB158"/>
    <mergeCell ref="A159:H159"/>
    <mergeCell ref="I159:L159"/>
    <mergeCell ref="M159:Q159"/>
    <mergeCell ref="A160:H160"/>
    <mergeCell ref="I160:L160"/>
    <mergeCell ref="M160:Q160"/>
    <mergeCell ref="R160:V160"/>
    <mergeCell ref="W160:AB160"/>
    <mergeCell ref="A139:V139"/>
    <mergeCell ref="A143:U143"/>
    <mergeCell ref="X143:AR143"/>
    <mergeCell ref="A145:H145"/>
    <mergeCell ref="I145:O145"/>
    <mergeCell ref="X145:AE145"/>
    <mergeCell ref="AF145:AL145"/>
    <mergeCell ref="A146:H146"/>
    <mergeCell ref="I146:O146"/>
    <mergeCell ref="X146:AE146"/>
    <mergeCell ref="AF146:AL146"/>
    <mergeCell ref="I147:O147"/>
    <mergeCell ref="X147:AE147"/>
    <mergeCell ref="AF147:AL147"/>
    <mergeCell ref="X152:AE152"/>
    <mergeCell ref="X153:AE153"/>
    <mergeCell ref="X154:AE154"/>
    <mergeCell ref="AF154:AL154"/>
    <mergeCell ref="X155:AE155"/>
    <mergeCell ref="AF155:AL155"/>
    <mergeCell ref="AG158:AW158"/>
    <mergeCell ref="A150:U150"/>
    <mergeCell ref="X150:AR150"/>
    <mergeCell ref="A152:H152"/>
    <mergeCell ref="I152:O152"/>
    <mergeCell ref="AF152:AL152"/>
    <mergeCell ref="I153:O153"/>
    <mergeCell ref="AF153:AL153"/>
    <mergeCell ref="R159:V159"/>
    <mergeCell ref="W159:AB159"/>
    <mergeCell ref="AG159:AW159"/>
    <mergeCell ref="AG160:AP160"/>
    <mergeCell ref="AQ160:AW160"/>
    <mergeCell ref="A173:V173"/>
    <mergeCell ref="W173:AB173"/>
    <mergeCell ref="AG173:AP173"/>
    <mergeCell ref="AQ173:AW173"/>
    <mergeCell ref="A161:H161"/>
    <mergeCell ref="I161:L161"/>
    <mergeCell ref="M161:Q161"/>
    <mergeCell ref="R161:V161"/>
    <mergeCell ref="W161:AB161"/>
    <mergeCell ref="AG161:AP161"/>
    <mergeCell ref="AQ161:AW161"/>
    <mergeCell ref="A162:H162"/>
    <mergeCell ref="I162:L162"/>
    <mergeCell ref="M162:Q162"/>
    <mergeCell ref="R162:V162"/>
    <mergeCell ref="W162:AB162"/>
    <mergeCell ref="AG162:AP162"/>
    <mergeCell ref="AQ162:AW162"/>
    <mergeCell ref="A163:H163"/>
    <mergeCell ref="I163:L163"/>
    <mergeCell ref="M163:Q163"/>
    <mergeCell ref="R163:V163"/>
    <mergeCell ref="W163:AB163"/>
    <mergeCell ref="AG163:AP163"/>
    <mergeCell ref="AQ163:AW163"/>
    <mergeCell ref="A164:H164"/>
    <mergeCell ref="I164:L164"/>
    <mergeCell ref="M164:Q164"/>
    <mergeCell ref="R164:V164"/>
    <mergeCell ref="W164:AB164"/>
    <mergeCell ref="AG164:AP164"/>
    <mergeCell ref="AQ164:AW164"/>
    <mergeCell ref="A165:H165"/>
    <mergeCell ref="I165:L165"/>
    <mergeCell ref="M165:Q165"/>
    <mergeCell ref="R165:V165"/>
    <mergeCell ref="W165:AB165"/>
    <mergeCell ref="AG165:AP165"/>
    <mergeCell ref="AQ165:AW165"/>
    <mergeCell ref="A166:H166"/>
    <mergeCell ref="I166:L166"/>
    <mergeCell ref="M166:Q166"/>
    <mergeCell ref="R166:V166"/>
    <mergeCell ref="W166:AB166"/>
    <mergeCell ref="AG166:AP166"/>
    <mergeCell ref="AQ166:AW166"/>
    <mergeCell ref="A167:H167"/>
    <mergeCell ref="I167:L167"/>
    <mergeCell ref="M167:Q167"/>
    <mergeCell ref="R167:V167"/>
    <mergeCell ref="W167:AB167"/>
    <mergeCell ref="AG167:AP167"/>
    <mergeCell ref="AQ167:AW167"/>
    <mergeCell ref="A168:H168"/>
    <mergeCell ref="I168:L168"/>
    <mergeCell ref="M168:Q168"/>
    <mergeCell ref="R168:V168"/>
    <mergeCell ref="W168:AB168"/>
    <mergeCell ref="AG168:AP168"/>
    <mergeCell ref="AQ168:AW168"/>
    <mergeCell ref="AG170:AP170"/>
    <mergeCell ref="AQ170:AW170"/>
    <mergeCell ref="A171:H171"/>
    <mergeCell ref="I171:L171"/>
    <mergeCell ref="M171:Q171"/>
    <mergeCell ref="R171:V171"/>
    <mergeCell ref="W171:AB171"/>
    <mergeCell ref="AG171:AP171"/>
    <mergeCell ref="AQ171:AW171"/>
    <mergeCell ref="A172:H172"/>
    <mergeCell ref="I172:L172"/>
    <mergeCell ref="M172:Q172"/>
    <mergeCell ref="R172:V172"/>
    <mergeCell ref="W172:AB172"/>
    <mergeCell ref="AG172:AP172"/>
    <mergeCell ref="AQ172:AW172"/>
    <mergeCell ref="AD180:AL180"/>
    <mergeCell ref="AM180:AU180"/>
    <mergeCell ref="A178:AC178"/>
    <mergeCell ref="AD178:AL178"/>
    <mergeCell ref="AM178:AU178"/>
    <mergeCell ref="A179:AC179"/>
    <mergeCell ref="AD179:AL179"/>
    <mergeCell ref="AM179:AU179"/>
    <mergeCell ref="A180:AC180"/>
    <mergeCell ref="AD183:AL183"/>
    <mergeCell ref="AM183:AU183"/>
    <mergeCell ref="A181:AC181"/>
    <mergeCell ref="AD181:AL181"/>
    <mergeCell ref="AM181:AU181"/>
    <mergeCell ref="A182:AC182"/>
    <mergeCell ref="AD182:AL182"/>
    <mergeCell ref="AM182:AU182"/>
    <mergeCell ref="A183:AC183"/>
    <mergeCell ref="AD186:AL186"/>
    <mergeCell ref="AM186:AU186"/>
    <mergeCell ref="A187:AC187"/>
    <mergeCell ref="AD187:AL187"/>
    <mergeCell ref="AM187:AU187"/>
    <mergeCell ref="A188:AC188"/>
    <mergeCell ref="AD188:AL188"/>
    <mergeCell ref="AM188:AU188"/>
    <mergeCell ref="A184:AC184"/>
    <mergeCell ref="AD184:AL184"/>
    <mergeCell ref="AM184:AU184"/>
    <mergeCell ref="A185:AC185"/>
    <mergeCell ref="AD185:AL185"/>
    <mergeCell ref="AM185:AU185"/>
    <mergeCell ref="A186:AC186"/>
    <mergeCell ref="BF27:BG27"/>
    <mergeCell ref="AZ28:BA28"/>
    <mergeCell ref="BB28:BC28"/>
    <mergeCell ref="BD28:BE28"/>
    <mergeCell ref="BF28:BG28"/>
    <mergeCell ref="AR27:AS27"/>
    <mergeCell ref="AR28:AS28"/>
    <mergeCell ref="A28:J28"/>
    <mergeCell ref="K28:L28"/>
    <mergeCell ref="M28:N28"/>
    <mergeCell ref="O28:P28"/>
    <mergeCell ref="Q28:R28"/>
    <mergeCell ref="S28:T28"/>
    <mergeCell ref="U28:V28"/>
    <mergeCell ref="AX27:AY27"/>
    <mergeCell ref="AX28:AY28"/>
    <mergeCell ref="AZ26:BA26"/>
    <mergeCell ref="BB26:BC26"/>
    <mergeCell ref="BD26:BE26"/>
    <mergeCell ref="BF26:BG26"/>
    <mergeCell ref="AK26:AL26"/>
    <mergeCell ref="AM26:AN26"/>
    <mergeCell ref="AO26:AP26"/>
    <mergeCell ref="AR26:AS26"/>
    <mergeCell ref="AT26:AU26"/>
    <mergeCell ref="AV26:AW26"/>
    <mergeCell ref="AX26:AY26"/>
    <mergeCell ref="A26:J26"/>
    <mergeCell ref="K26:L26"/>
    <mergeCell ref="M26:N26"/>
    <mergeCell ref="O26:P26"/>
    <mergeCell ref="Q26:R26"/>
    <mergeCell ref="A30:J30"/>
    <mergeCell ref="K30:L30"/>
    <mergeCell ref="M30:N30"/>
    <mergeCell ref="O30:P30"/>
    <mergeCell ref="Q30:R30"/>
    <mergeCell ref="S30:T30"/>
    <mergeCell ref="U30:V30"/>
    <mergeCell ref="AT31:AU31"/>
    <mergeCell ref="AV31:AW31"/>
    <mergeCell ref="AK30:AL30"/>
    <mergeCell ref="AM30:AN30"/>
    <mergeCell ref="AO30:AP30"/>
    <mergeCell ref="AT30:AU30"/>
    <mergeCell ref="AV30:AW30"/>
    <mergeCell ref="AZ27:BA27"/>
    <mergeCell ref="BB27:BC27"/>
    <mergeCell ref="BD27:BE27"/>
    <mergeCell ref="W27:X27"/>
    <mergeCell ref="Y27:Z27"/>
    <mergeCell ref="AA27:AB27"/>
    <mergeCell ref="AC27:AD27"/>
    <mergeCell ref="AE27:AF27"/>
    <mergeCell ref="AG27:AH27"/>
    <mergeCell ref="AI27:AJ27"/>
    <mergeCell ref="A27:J27"/>
    <mergeCell ref="K27:L27"/>
    <mergeCell ref="M27:N27"/>
    <mergeCell ref="O27:P27"/>
    <mergeCell ref="Q27:R27"/>
    <mergeCell ref="S27:T27"/>
    <mergeCell ref="U27:V27"/>
    <mergeCell ref="AG29:AH29"/>
    <mergeCell ref="AI29:AJ29"/>
    <mergeCell ref="AZ29:BA29"/>
    <mergeCell ref="BB29:BC29"/>
    <mergeCell ref="BD29:BE29"/>
    <mergeCell ref="BF29:BG29"/>
    <mergeCell ref="AK29:AL29"/>
    <mergeCell ref="AM29:AN29"/>
    <mergeCell ref="AO29:AP29"/>
    <mergeCell ref="AR29:AS29"/>
    <mergeCell ref="AT29:AU29"/>
    <mergeCell ref="AV29:AW29"/>
    <mergeCell ref="AX29:AY29"/>
    <mergeCell ref="W30:X30"/>
    <mergeCell ref="Y30:Z30"/>
    <mergeCell ref="AA30:AB30"/>
    <mergeCell ref="AC30:AD30"/>
    <mergeCell ref="AE30:AF30"/>
    <mergeCell ref="AG30:AH30"/>
    <mergeCell ref="AI30:AJ30"/>
    <mergeCell ref="A29:J29"/>
    <mergeCell ref="K29:L29"/>
    <mergeCell ref="M29:N29"/>
    <mergeCell ref="O29:P29"/>
    <mergeCell ref="Q29:R29"/>
    <mergeCell ref="S29:T29"/>
    <mergeCell ref="U29:V29"/>
    <mergeCell ref="AZ30:BA30"/>
    <mergeCell ref="BB30:BC30"/>
    <mergeCell ref="BD30:BE30"/>
    <mergeCell ref="BF30:BG30"/>
    <mergeCell ref="AZ31:BA31"/>
    <mergeCell ref="BB31:BC31"/>
    <mergeCell ref="BD31:BE31"/>
    <mergeCell ref="BF31:BG31"/>
    <mergeCell ref="A31:J31"/>
    <mergeCell ref="K31:L31"/>
    <mergeCell ref="M31:N31"/>
    <mergeCell ref="O31:P31"/>
    <mergeCell ref="Q31:R31"/>
    <mergeCell ref="S31:T31"/>
    <mergeCell ref="U31:V31"/>
    <mergeCell ref="AR30:AS30"/>
    <mergeCell ref="AR31:AS31"/>
    <mergeCell ref="AX30:AY30"/>
    <mergeCell ref="AO31:AP31"/>
    <mergeCell ref="AX31:AY31"/>
    <mergeCell ref="W29:X29"/>
    <mergeCell ref="Y29:Z29"/>
    <mergeCell ref="AA29:AB29"/>
    <mergeCell ref="AC29:AD29"/>
    <mergeCell ref="AE29:AF29"/>
    <mergeCell ref="A1:AU1"/>
    <mergeCell ref="A2:AU2"/>
    <mergeCell ref="A3:AU3"/>
    <mergeCell ref="A4:J4"/>
    <mergeCell ref="K4:U4"/>
    <mergeCell ref="W4:AE4"/>
    <mergeCell ref="AF4:AU4"/>
    <mergeCell ref="W6:AE6"/>
    <mergeCell ref="W7:AE7"/>
    <mergeCell ref="W8:AE8"/>
    <mergeCell ref="A6:J7"/>
    <mergeCell ref="A8:J8"/>
    <mergeCell ref="K8:R8"/>
    <mergeCell ref="S8:U8"/>
    <mergeCell ref="A5:J5"/>
    <mergeCell ref="K5:U5"/>
    <mergeCell ref="W5:AE5"/>
    <mergeCell ref="AF5:AU5"/>
    <mergeCell ref="K6:U7"/>
    <mergeCell ref="AF6:AU6"/>
    <mergeCell ref="AF7:AU7"/>
    <mergeCell ref="AF8:AU8"/>
    <mergeCell ref="A9:AN9"/>
    <mergeCell ref="A10:BG10"/>
    <mergeCell ref="A11:BG11"/>
    <mergeCell ref="A12:W12"/>
    <mergeCell ref="X12:AE12"/>
    <mergeCell ref="X13:AE13"/>
    <mergeCell ref="A13:W13"/>
    <mergeCell ref="A14:W14"/>
    <mergeCell ref="X14:AE14"/>
    <mergeCell ref="A15:W15"/>
    <mergeCell ref="X15:AE15"/>
    <mergeCell ref="A16:W16"/>
    <mergeCell ref="X16:AE16"/>
    <mergeCell ref="A17:W17"/>
    <mergeCell ref="X17:AE17"/>
    <mergeCell ref="A18:W18"/>
    <mergeCell ref="X18:AE18"/>
    <mergeCell ref="A19:W19"/>
    <mergeCell ref="X19:AE19"/>
    <mergeCell ref="X20:AE20"/>
    <mergeCell ref="W23:Z23"/>
    <mergeCell ref="AA23:AD23"/>
    <mergeCell ref="AE23:AH23"/>
    <mergeCell ref="AI23:AL23"/>
    <mergeCell ref="AV23:AY23"/>
    <mergeCell ref="AZ23:BC23"/>
    <mergeCell ref="K23:N23"/>
    <mergeCell ref="K24:L24"/>
    <mergeCell ref="M24:N24"/>
    <mergeCell ref="O24:P24"/>
    <mergeCell ref="Q24:R24"/>
    <mergeCell ref="S24:T24"/>
    <mergeCell ref="U24:V24"/>
    <mergeCell ref="W24:X24"/>
    <mergeCell ref="Y24:Z24"/>
    <mergeCell ref="AA24:AB24"/>
    <mergeCell ref="AC24:AD24"/>
    <mergeCell ref="AE24:AF24"/>
    <mergeCell ref="AG24:AH24"/>
    <mergeCell ref="AI24:AJ24"/>
    <mergeCell ref="AK24:AL24"/>
    <mergeCell ref="AM24:AN24"/>
    <mergeCell ref="AO24:AP24"/>
    <mergeCell ref="AR24:AS24"/>
    <mergeCell ref="AT24:AU24"/>
    <mergeCell ref="AV24:AW24"/>
    <mergeCell ref="AX24:AY24"/>
    <mergeCell ref="AZ24:BA24"/>
    <mergeCell ref="BB24:BC24"/>
    <mergeCell ref="AM23:AP23"/>
    <mergeCell ref="AR23:AU23"/>
    <mergeCell ref="BD24:BE24"/>
    <mergeCell ref="BF24:BG24"/>
    <mergeCell ref="A20:W20"/>
    <mergeCell ref="A21:BG21"/>
    <mergeCell ref="A22:BG22"/>
    <mergeCell ref="A23:J24"/>
    <mergeCell ref="O23:R23"/>
    <mergeCell ref="S23:V23"/>
    <mergeCell ref="BD23:BG23"/>
    <mergeCell ref="W25:X25"/>
    <mergeCell ref="Y25:Z25"/>
    <mergeCell ref="AA25:AB25"/>
    <mergeCell ref="AC25:AD25"/>
    <mergeCell ref="AE25:AF25"/>
    <mergeCell ref="AG25:AH25"/>
    <mergeCell ref="AI25:AJ25"/>
    <mergeCell ref="AZ25:BA25"/>
    <mergeCell ref="BB25:BC25"/>
    <mergeCell ref="BD25:BE25"/>
    <mergeCell ref="BF25:BG25"/>
    <mergeCell ref="AK25:AL25"/>
    <mergeCell ref="AM25:AN25"/>
    <mergeCell ref="AO25:AP25"/>
    <mergeCell ref="AR25:AS25"/>
    <mergeCell ref="AT25:AU25"/>
    <mergeCell ref="AV25:AW25"/>
    <mergeCell ref="AX25:AY25"/>
    <mergeCell ref="A25:J25"/>
    <mergeCell ref="K25:L25"/>
    <mergeCell ref="M25:N25"/>
    <mergeCell ref="O25:P25"/>
    <mergeCell ref="Q25:R25"/>
    <mergeCell ref="S25:T25"/>
    <mergeCell ref="U25:V25"/>
    <mergeCell ref="AK28:AL28"/>
    <mergeCell ref="AM28:AN28"/>
    <mergeCell ref="W28:X28"/>
    <mergeCell ref="Y28:Z28"/>
    <mergeCell ref="AA28:AB28"/>
    <mergeCell ref="AC28:AD28"/>
    <mergeCell ref="AE28:AF28"/>
    <mergeCell ref="AG28:AH28"/>
    <mergeCell ref="AI28:AJ28"/>
    <mergeCell ref="AT28:AU28"/>
    <mergeCell ref="AV28:AW28"/>
    <mergeCell ref="AK27:AL27"/>
    <mergeCell ref="AM27:AN27"/>
    <mergeCell ref="AO27:AP27"/>
    <mergeCell ref="AT27:AU27"/>
    <mergeCell ref="AV27:AW27"/>
    <mergeCell ref="AO28:AP28"/>
    <mergeCell ref="S26:T26"/>
    <mergeCell ref="U26:V26"/>
    <mergeCell ref="W26:X26"/>
    <mergeCell ref="Y26:Z26"/>
    <mergeCell ref="AA26:AB26"/>
    <mergeCell ref="AC26:AD26"/>
    <mergeCell ref="AE26:AF26"/>
    <mergeCell ref="AG26:AH26"/>
    <mergeCell ref="AI26:AJ26"/>
    <mergeCell ref="BF33:BG33"/>
    <mergeCell ref="AK31:AL31"/>
    <mergeCell ref="AM31:AN31"/>
    <mergeCell ref="AO33:AP33"/>
    <mergeCell ref="AR33:AS33"/>
    <mergeCell ref="AT33:AU33"/>
    <mergeCell ref="AV33:AW33"/>
    <mergeCell ref="AX33:AY33"/>
    <mergeCell ref="AK33:AL33"/>
    <mergeCell ref="AM33:AN33"/>
    <mergeCell ref="W33:X33"/>
    <mergeCell ref="Y33:Z33"/>
    <mergeCell ref="AA33:AB33"/>
    <mergeCell ref="AC33:AD33"/>
    <mergeCell ref="AE33:AF33"/>
    <mergeCell ref="AG33:AH33"/>
    <mergeCell ref="AI33:AJ33"/>
    <mergeCell ref="W31:X31"/>
    <mergeCell ref="Y31:Z31"/>
    <mergeCell ref="AA31:AB31"/>
    <mergeCell ref="AC31:AD31"/>
    <mergeCell ref="AE31:AF31"/>
    <mergeCell ref="AG31:AH31"/>
    <mergeCell ref="AI31:AJ31"/>
    <mergeCell ref="W32:X32"/>
    <mergeCell ref="Y32:Z32"/>
    <mergeCell ref="AA32:AB32"/>
    <mergeCell ref="AC32:AD32"/>
    <mergeCell ref="AE32:AF32"/>
    <mergeCell ref="AG32:AH32"/>
    <mergeCell ref="AI32:AJ32"/>
    <mergeCell ref="A34:AL34"/>
    <mergeCell ref="AM34:AP34"/>
    <mergeCell ref="AR34:BC34"/>
    <mergeCell ref="BD34:BG34"/>
    <mergeCell ref="A32:J32"/>
    <mergeCell ref="K32:L32"/>
    <mergeCell ref="M32:N32"/>
    <mergeCell ref="O32:P32"/>
    <mergeCell ref="Q32:R32"/>
    <mergeCell ref="S32:T32"/>
    <mergeCell ref="U32:V32"/>
    <mergeCell ref="A33:J33"/>
    <mergeCell ref="K33:L33"/>
    <mergeCell ref="M33:N33"/>
    <mergeCell ref="O33:P33"/>
    <mergeCell ref="Q33:R33"/>
    <mergeCell ref="S33:T33"/>
    <mergeCell ref="U33:V33"/>
    <mergeCell ref="AZ32:BA32"/>
    <mergeCell ref="BB32:BC32"/>
    <mergeCell ref="BD32:BE32"/>
    <mergeCell ref="BF32:BG32"/>
    <mergeCell ref="AK32:AL32"/>
    <mergeCell ref="AM32:AN32"/>
    <mergeCell ref="AO32:AP32"/>
    <mergeCell ref="AR32:AS32"/>
    <mergeCell ref="AT32:AU32"/>
    <mergeCell ref="AV32:AW32"/>
    <mergeCell ref="AX32:AY32"/>
    <mergeCell ref="AZ33:BA33"/>
    <mergeCell ref="BB33:BC33"/>
    <mergeCell ref="BD33:BE33"/>
    <mergeCell ref="AI38:AJ38"/>
    <mergeCell ref="AZ38:BA38"/>
    <mergeCell ref="BB38:BC38"/>
    <mergeCell ref="BD38:BE38"/>
    <mergeCell ref="AI36:AL36"/>
    <mergeCell ref="AM36:AP36"/>
    <mergeCell ref="AR36:AU36"/>
    <mergeCell ref="AV36:AY36"/>
    <mergeCell ref="AZ36:BC36"/>
    <mergeCell ref="BD36:BG36"/>
    <mergeCell ref="K37:L37"/>
    <mergeCell ref="M37:N37"/>
    <mergeCell ref="O37:P37"/>
    <mergeCell ref="Q37:R37"/>
    <mergeCell ref="S37:T37"/>
    <mergeCell ref="U37:V37"/>
    <mergeCell ref="AT37:AU37"/>
    <mergeCell ref="AV37:AW37"/>
    <mergeCell ref="AX37:AY37"/>
    <mergeCell ref="AZ37:BA37"/>
    <mergeCell ref="BB37:BC37"/>
    <mergeCell ref="BD37:BE37"/>
    <mergeCell ref="BF37:BG37"/>
    <mergeCell ref="W37:X37"/>
    <mergeCell ref="Y37:Z37"/>
    <mergeCell ref="AI37:AJ37"/>
    <mergeCell ref="AK37:AL37"/>
    <mergeCell ref="AM37:AN37"/>
    <mergeCell ref="AO37:AP37"/>
    <mergeCell ref="AR37:AS37"/>
    <mergeCell ref="AA37:AB37"/>
    <mergeCell ref="AC37:AD37"/>
    <mergeCell ref="Q40:R40"/>
    <mergeCell ref="S40:T40"/>
    <mergeCell ref="U40:V40"/>
    <mergeCell ref="W39:X39"/>
    <mergeCell ref="Y39:Z39"/>
    <mergeCell ref="AA39:AB39"/>
    <mergeCell ref="A36:J37"/>
    <mergeCell ref="K36:N36"/>
    <mergeCell ref="O36:R36"/>
    <mergeCell ref="S36:V36"/>
    <mergeCell ref="W36:Z36"/>
    <mergeCell ref="AA36:AD36"/>
    <mergeCell ref="AE36:AH36"/>
    <mergeCell ref="W38:X38"/>
    <mergeCell ref="Y38:Z38"/>
    <mergeCell ref="AA38:AB38"/>
    <mergeCell ref="AC38:AD38"/>
    <mergeCell ref="AE38:AF38"/>
    <mergeCell ref="AG38:AH38"/>
    <mergeCell ref="AE37:AF37"/>
    <mergeCell ref="AG37:AH37"/>
    <mergeCell ref="AC39:AD39"/>
    <mergeCell ref="AE39:AF39"/>
    <mergeCell ref="AG39:AH39"/>
    <mergeCell ref="AO40:AP40"/>
    <mergeCell ref="AT40:AU40"/>
    <mergeCell ref="AV40:AW40"/>
    <mergeCell ref="AX40:AY40"/>
    <mergeCell ref="AO41:AP41"/>
    <mergeCell ref="AX41:AY41"/>
    <mergeCell ref="BF38:BG38"/>
    <mergeCell ref="AK38:AL38"/>
    <mergeCell ref="AM38:AN38"/>
    <mergeCell ref="AO38:AP38"/>
    <mergeCell ref="AR38:AS38"/>
    <mergeCell ref="AT38:AU38"/>
    <mergeCell ref="AV38:AW38"/>
    <mergeCell ref="AX38:AY38"/>
    <mergeCell ref="A38:J38"/>
    <mergeCell ref="K38:L38"/>
    <mergeCell ref="M38:N38"/>
    <mergeCell ref="O38:P38"/>
    <mergeCell ref="Q38:R38"/>
    <mergeCell ref="S38:T38"/>
    <mergeCell ref="U38:V38"/>
    <mergeCell ref="W40:X40"/>
    <mergeCell ref="Y40:Z40"/>
    <mergeCell ref="AA40:AB40"/>
    <mergeCell ref="AC40:AD40"/>
    <mergeCell ref="AE40:AF40"/>
    <mergeCell ref="AG40:AH40"/>
    <mergeCell ref="AI40:AJ40"/>
    <mergeCell ref="A40:J40"/>
    <mergeCell ref="K40:L40"/>
    <mergeCell ref="M40:N40"/>
    <mergeCell ref="O40:P40"/>
    <mergeCell ref="AI39:AJ39"/>
    <mergeCell ref="AZ39:BA39"/>
    <mergeCell ref="BB39:BC39"/>
    <mergeCell ref="BD39:BE39"/>
    <mergeCell ref="BF39:BG39"/>
    <mergeCell ref="AK39:AL39"/>
    <mergeCell ref="AM39:AN39"/>
    <mergeCell ref="AO39:AP39"/>
    <mergeCell ref="AR39:AS39"/>
    <mergeCell ref="AT39:AU39"/>
    <mergeCell ref="AV39:AW39"/>
    <mergeCell ref="AX39:AY39"/>
    <mergeCell ref="A39:J39"/>
    <mergeCell ref="K39:L39"/>
    <mergeCell ref="M39:N39"/>
    <mergeCell ref="O39:P39"/>
    <mergeCell ref="Q39:R39"/>
    <mergeCell ref="S39:T39"/>
    <mergeCell ref="U39:V39"/>
    <mergeCell ref="AG44:AH44"/>
    <mergeCell ref="AI44:AJ44"/>
    <mergeCell ref="AZ40:BA40"/>
    <mergeCell ref="BB40:BC40"/>
    <mergeCell ref="BD40:BE40"/>
    <mergeCell ref="BF40:BG40"/>
    <mergeCell ref="AZ41:BA41"/>
    <mergeCell ref="BB41:BC41"/>
    <mergeCell ref="BD41:BE41"/>
    <mergeCell ref="BF41:BG41"/>
    <mergeCell ref="AR40:AS40"/>
    <mergeCell ref="AR41:AS41"/>
    <mergeCell ref="A41:J41"/>
    <mergeCell ref="K41:L41"/>
    <mergeCell ref="M41:N41"/>
    <mergeCell ref="O41:P41"/>
    <mergeCell ref="Q41:R41"/>
    <mergeCell ref="S41:T41"/>
    <mergeCell ref="U41:V41"/>
    <mergeCell ref="AK41:AL41"/>
    <mergeCell ref="AM41:AN41"/>
    <mergeCell ref="W41:X41"/>
    <mergeCell ref="Y41:Z41"/>
    <mergeCell ref="AA41:AB41"/>
    <mergeCell ref="AC41:AD41"/>
    <mergeCell ref="AE41:AF41"/>
    <mergeCell ref="AG41:AH41"/>
    <mergeCell ref="AI41:AJ41"/>
    <mergeCell ref="AT41:AU41"/>
    <mergeCell ref="AV41:AW41"/>
    <mergeCell ref="AK40:AL40"/>
    <mergeCell ref="AM40:AN40"/>
    <mergeCell ref="W42:X42"/>
    <mergeCell ref="Y42:Z42"/>
    <mergeCell ref="AA42:AB42"/>
    <mergeCell ref="AC42:AD42"/>
    <mergeCell ref="AE42:AF42"/>
    <mergeCell ref="AG42:AH42"/>
    <mergeCell ref="AI42:AJ42"/>
    <mergeCell ref="W43:X43"/>
    <mergeCell ref="Y43:Z43"/>
    <mergeCell ref="AA43:AB43"/>
    <mergeCell ref="AC43:AD43"/>
    <mergeCell ref="AE43:AF43"/>
    <mergeCell ref="AG43:AH43"/>
    <mergeCell ref="AI43:AJ43"/>
    <mergeCell ref="A43:J43"/>
    <mergeCell ref="K43:L43"/>
    <mergeCell ref="M43:N43"/>
    <mergeCell ref="O43:P43"/>
    <mergeCell ref="Q43:R43"/>
    <mergeCell ref="S43:T43"/>
    <mergeCell ref="U43:V43"/>
    <mergeCell ref="A44:J44"/>
    <mergeCell ref="K44:L44"/>
    <mergeCell ref="M44:N44"/>
    <mergeCell ref="O44:P44"/>
    <mergeCell ref="Q44:R44"/>
    <mergeCell ref="S44:T44"/>
    <mergeCell ref="U44:V44"/>
    <mergeCell ref="AZ42:BA42"/>
    <mergeCell ref="BB42:BC42"/>
    <mergeCell ref="BD42:BE42"/>
    <mergeCell ref="BF42:BG42"/>
    <mergeCell ref="AK42:AL42"/>
    <mergeCell ref="AM42:AN42"/>
    <mergeCell ref="AO42:AP42"/>
    <mergeCell ref="AR42:AS42"/>
    <mergeCell ref="AT42:AU42"/>
    <mergeCell ref="AV42:AW42"/>
    <mergeCell ref="AX42:AY42"/>
    <mergeCell ref="A42:J42"/>
    <mergeCell ref="K42:L42"/>
    <mergeCell ref="M42:N42"/>
    <mergeCell ref="O42:P42"/>
    <mergeCell ref="Q42:R42"/>
    <mergeCell ref="S42:T42"/>
    <mergeCell ref="U42:V42"/>
    <mergeCell ref="AT44:AU44"/>
    <mergeCell ref="AV44:AW44"/>
    <mergeCell ref="AK43:AL43"/>
    <mergeCell ref="AM43:AN43"/>
    <mergeCell ref="AO43:AP43"/>
    <mergeCell ref="AT43:AU43"/>
    <mergeCell ref="AV43:AW43"/>
    <mergeCell ref="M46:N46"/>
    <mergeCell ref="O46:P46"/>
    <mergeCell ref="Q46:R46"/>
    <mergeCell ref="S46:T46"/>
    <mergeCell ref="U46:V46"/>
    <mergeCell ref="W45:X45"/>
    <mergeCell ref="Y45:Z45"/>
    <mergeCell ref="AA45:AB45"/>
    <mergeCell ref="AC45:AD45"/>
    <mergeCell ref="AE45:AF45"/>
    <mergeCell ref="AG45:AH45"/>
    <mergeCell ref="AI45:AJ45"/>
    <mergeCell ref="AZ43:BA43"/>
    <mergeCell ref="BB43:BC43"/>
    <mergeCell ref="BD43:BE43"/>
    <mergeCell ref="BF43:BG43"/>
    <mergeCell ref="AZ44:BA44"/>
    <mergeCell ref="BB44:BC44"/>
    <mergeCell ref="BD44:BE44"/>
    <mergeCell ref="BF44:BG44"/>
    <mergeCell ref="AR43:AS43"/>
    <mergeCell ref="AR44:AS44"/>
    <mergeCell ref="AX43:AY43"/>
    <mergeCell ref="AO44:AP44"/>
    <mergeCell ref="AX44:AY44"/>
    <mergeCell ref="AK44:AL44"/>
    <mergeCell ref="AM44:AN44"/>
    <mergeCell ref="W44:X44"/>
    <mergeCell ref="Y44:Z44"/>
    <mergeCell ref="AA44:AB44"/>
    <mergeCell ref="AC44:AD44"/>
    <mergeCell ref="AE44:AF44"/>
    <mergeCell ref="AZ45:BA45"/>
    <mergeCell ref="BB45:BC45"/>
    <mergeCell ref="BD45:BE45"/>
    <mergeCell ref="BF45:BG45"/>
    <mergeCell ref="AK45:AL45"/>
    <mergeCell ref="AM45:AN45"/>
    <mergeCell ref="AO45:AP45"/>
    <mergeCell ref="AR45:AS45"/>
    <mergeCell ref="AT45:AU45"/>
    <mergeCell ref="AV45:AW45"/>
    <mergeCell ref="AX45:AY45"/>
    <mergeCell ref="A45:J45"/>
    <mergeCell ref="K45:L45"/>
    <mergeCell ref="M45:N45"/>
    <mergeCell ref="O45:P45"/>
    <mergeCell ref="Q45:R45"/>
    <mergeCell ref="S45:T45"/>
    <mergeCell ref="U45:V45"/>
    <mergeCell ref="AF110:AR110"/>
    <mergeCell ref="AS110:BG110"/>
    <mergeCell ref="A111:V111"/>
    <mergeCell ref="W111:AE111"/>
    <mergeCell ref="AZ46:BA46"/>
    <mergeCell ref="BB46:BC46"/>
    <mergeCell ref="BD46:BE46"/>
    <mergeCell ref="BF46:BG46"/>
    <mergeCell ref="AK46:AL46"/>
    <mergeCell ref="AM46:AN46"/>
    <mergeCell ref="AO46:AP46"/>
    <mergeCell ref="AR46:AS46"/>
    <mergeCell ref="AT46:AU46"/>
    <mergeCell ref="AV46:AW46"/>
    <mergeCell ref="AX46:AY46"/>
    <mergeCell ref="A47:AL47"/>
    <mergeCell ref="AM47:AP47"/>
    <mergeCell ref="AR47:BC47"/>
    <mergeCell ref="BD47:BG47"/>
    <mergeCell ref="AM48:AP48"/>
    <mergeCell ref="AR48:BC48"/>
    <mergeCell ref="BD48:BG48"/>
    <mergeCell ref="A48:AL48"/>
    <mergeCell ref="W46:X46"/>
    <mergeCell ref="Y46:Z46"/>
    <mergeCell ref="AA46:AB46"/>
    <mergeCell ref="AC46:AD46"/>
    <mergeCell ref="AE46:AF46"/>
    <mergeCell ref="AG46:AH46"/>
    <mergeCell ref="AI46:AJ46"/>
    <mergeCell ref="A46:J46"/>
    <mergeCell ref="K46:L46"/>
    <mergeCell ref="AS116:BG116"/>
    <mergeCell ref="W117:AE117"/>
    <mergeCell ref="AF117:AR117"/>
    <mergeCell ref="AS117:BG117"/>
    <mergeCell ref="M91:P91"/>
    <mergeCell ref="Q91:T91"/>
    <mergeCell ref="A92:L92"/>
    <mergeCell ref="M92:P92"/>
    <mergeCell ref="Q92:T92"/>
    <mergeCell ref="M93:P93"/>
    <mergeCell ref="Q93:T93"/>
    <mergeCell ref="A93:L93"/>
    <mergeCell ref="A94:L94"/>
    <mergeCell ref="M94:P94"/>
    <mergeCell ref="Q94:T94"/>
    <mergeCell ref="A95:L95"/>
    <mergeCell ref="M95:P95"/>
    <mergeCell ref="Q95:T95"/>
    <mergeCell ref="A112:V112"/>
    <mergeCell ref="W112:AE112"/>
    <mergeCell ref="AF112:AR112"/>
    <mergeCell ref="A100:H100"/>
    <mergeCell ref="I103:N103"/>
    <mergeCell ref="O103:T103"/>
    <mergeCell ref="U103:Z103"/>
    <mergeCell ref="AA103:AF103"/>
    <mergeCell ref="AG103:AL103"/>
    <mergeCell ref="AM103:AR103"/>
    <mergeCell ref="A108:CV108"/>
    <mergeCell ref="A103:H103"/>
    <mergeCell ref="A110:V110"/>
    <mergeCell ref="W110:AE110"/>
    <mergeCell ref="BY124:CD124"/>
    <mergeCell ref="CE124:CJ124"/>
    <mergeCell ref="CK124:CP124"/>
    <mergeCell ref="A124:V124"/>
    <mergeCell ref="W124:AB124"/>
    <mergeCell ref="AF119:AR119"/>
    <mergeCell ref="AS119:BG119"/>
    <mergeCell ref="A117:V117"/>
    <mergeCell ref="A118:V118"/>
    <mergeCell ref="W118:AE118"/>
    <mergeCell ref="AF118:AR118"/>
    <mergeCell ref="AS118:BG118"/>
    <mergeCell ref="A119:V119"/>
    <mergeCell ref="W119:AE119"/>
    <mergeCell ref="BS125:BX125"/>
    <mergeCell ref="BY125:CD125"/>
    <mergeCell ref="CE125:CJ125"/>
    <mergeCell ref="CK125:CP125"/>
    <mergeCell ref="AO124:AT124"/>
    <mergeCell ref="AU124:AZ124"/>
    <mergeCell ref="AO125:AT125"/>
    <mergeCell ref="AU125:AZ125"/>
    <mergeCell ref="BA125:BF125"/>
    <mergeCell ref="BG125:BL125"/>
    <mergeCell ref="BM125:BR125"/>
    <mergeCell ref="A122:V122"/>
    <mergeCell ref="W122:AE122"/>
    <mergeCell ref="AF122:AR122"/>
    <mergeCell ref="AS122:BG122"/>
    <mergeCell ref="AC126:AH126"/>
    <mergeCell ref="AO126:AT126"/>
    <mergeCell ref="AU126:AZ126"/>
    <mergeCell ref="BA126:BF126"/>
    <mergeCell ref="BG126:BL126"/>
    <mergeCell ref="BM126:BR126"/>
    <mergeCell ref="AC124:AH124"/>
    <mergeCell ref="AI124:AN124"/>
    <mergeCell ref="A125:V125"/>
    <mergeCell ref="W125:AB125"/>
    <mergeCell ref="AC125:AH125"/>
    <mergeCell ref="AI125:AN125"/>
    <mergeCell ref="AI126:AN126"/>
    <mergeCell ref="BA124:BF124"/>
    <mergeCell ref="BG124:BL124"/>
    <mergeCell ref="BM124:BR124"/>
    <mergeCell ref="BS124:BX124"/>
    <mergeCell ref="BA127:BF127"/>
    <mergeCell ref="BG127:BL127"/>
    <mergeCell ref="BM127:BR127"/>
    <mergeCell ref="BS127:BX127"/>
    <mergeCell ref="BY127:CD127"/>
    <mergeCell ref="CE127:CJ127"/>
    <mergeCell ref="CK127:CP127"/>
    <mergeCell ref="A126:V126"/>
    <mergeCell ref="A127:V127"/>
    <mergeCell ref="W127:AB127"/>
    <mergeCell ref="AC127:AH127"/>
    <mergeCell ref="AI127:AN127"/>
    <mergeCell ref="AO127:AT127"/>
    <mergeCell ref="AU127:AZ127"/>
    <mergeCell ref="BG128:BL128"/>
    <mergeCell ref="BM128:BR128"/>
    <mergeCell ref="BS128:BX128"/>
    <mergeCell ref="BY128:CD128"/>
    <mergeCell ref="CE128:CJ128"/>
    <mergeCell ref="CK128:CP128"/>
    <mergeCell ref="A128:V128"/>
    <mergeCell ref="W128:AB128"/>
    <mergeCell ref="AC128:AH128"/>
    <mergeCell ref="AI128:AN128"/>
    <mergeCell ref="AO128:AT128"/>
    <mergeCell ref="AU128:AZ128"/>
    <mergeCell ref="BA128:BF128"/>
    <mergeCell ref="BS126:BX126"/>
    <mergeCell ref="BY126:CD126"/>
    <mergeCell ref="CE126:CJ126"/>
    <mergeCell ref="CK126:CP126"/>
    <mergeCell ref="W126:AB126"/>
    <mergeCell ref="A49:L49"/>
    <mergeCell ref="A50:J50"/>
    <mergeCell ref="K50:N50"/>
    <mergeCell ref="A52:T52"/>
    <mergeCell ref="G54:P54"/>
    <mergeCell ref="Q54:T54"/>
    <mergeCell ref="G55:P55"/>
    <mergeCell ref="Q55:T55"/>
    <mergeCell ref="G56:P56"/>
    <mergeCell ref="Q56:T56"/>
    <mergeCell ref="G57:P57"/>
    <mergeCell ref="Q57:T57"/>
    <mergeCell ref="AM61:BG61"/>
    <mergeCell ref="AM63:AT63"/>
    <mergeCell ref="AM64:AT64"/>
    <mergeCell ref="AM65:AT65"/>
    <mergeCell ref="AU65:BA65"/>
    <mergeCell ref="AM66:AT66"/>
    <mergeCell ref="AU66:BA66"/>
    <mergeCell ref="A61:AC61"/>
    <mergeCell ref="A62:U62"/>
    <mergeCell ref="A63:U63"/>
    <mergeCell ref="V63:Z63"/>
    <mergeCell ref="AU63:BA63"/>
    <mergeCell ref="V64:Z64"/>
    <mergeCell ref="AU64:BA64"/>
    <mergeCell ref="A64:U64"/>
    <mergeCell ref="A65:U65"/>
    <mergeCell ref="V65:Z65"/>
    <mergeCell ref="A66:U66"/>
    <mergeCell ref="V66:Z66"/>
    <mergeCell ref="A67:U67"/>
    <mergeCell ref="V67:Z67"/>
    <mergeCell ref="A68:U68"/>
    <mergeCell ref="V68:Z68"/>
    <mergeCell ref="A69:U69"/>
    <mergeCell ref="V69:Z69"/>
    <mergeCell ref="AM69:BG69"/>
    <mergeCell ref="A70:U70"/>
    <mergeCell ref="V70:Z70"/>
    <mergeCell ref="AM74:AT74"/>
    <mergeCell ref="AU74:BA74"/>
    <mergeCell ref="AY100:BD100"/>
    <mergeCell ref="BE100:BJ100"/>
    <mergeCell ref="BK100:BP100"/>
    <mergeCell ref="BQ100:BV100"/>
    <mergeCell ref="BW100:CB100"/>
    <mergeCell ref="I100:N100"/>
    <mergeCell ref="O100:T100"/>
    <mergeCell ref="U100:Z100"/>
    <mergeCell ref="AA100:AF100"/>
    <mergeCell ref="AG100:AL100"/>
    <mergeCell ref="AM100:AR100"/>
    <mergeCell ref="AS100:AX100"/>
    <mergeCell ref="A71:U71"/>
    <mergeCell ref="V71:Z71"/>
    <mergeCell ref="AM71:AT71"/>
    <mergeCell ref="AU71:BA71"/>
    <mergeCell ref="V72:Z72"/>
    <mergeCell ref="AM72:AT72"/>
    <mergeCell ref="AU72:BA72"/>
    <mergeCell ref="A72:U72"/>
    <mergeCell ref="A73:U73"/>
    <mergeCell ref="V73:Z73"/>
    <mergeCell ref="AM73:AT73"/>
    <mergeCell ref="AU73:BA73"/>
    <mergeCell ref="A74:U74"/>
    <mergeCell ref="V74:Z74"/>
    <mergeCell ref="A75:U75"/>
    <mergeCell ref="V75:Z75"/>
    <mergeCell ref="A76:U76"/>
    <mergeCell ref="V76:Z76"/>
    <mergeCell ref="V77:Z77"/>
    <mergeCell ref="A78:U78"/>
    <mergeCell ref="V78:Z78"/>
    <mergeCell ref="A79:U79"/>
    <mergeCell ref="V79:Z79"/>
    <mergeCell ref="A80:U80"/>
    <mergeCell ref="V80:Z80"/>
    <mergeCell ref="A81:BG81"/>
    <mergeCell ref="A82:O82"/>
    <mergeCell ref="K83:O83"/>
    <mergeCell ref="A83:J83"/>
    <mergeCell ref="A84:J84"/>
    <mergeCell ref="K84:O84"/>
    <mergeCell ref="A85:J85"/>
    <mergeCell ref="K85:O85"/>
    <mergeCell ref="A86:J86"/>
    <mergeCell ref="K86:O86"/>
    <mergeCell ref="A87:J87"/>
    <mergeCell ref="K87:O87"/>
    <mergeCell ref="A89:BG89"/>
    <mergeCell ref="A90:L90"/>
    <mergeCell ref="M90:P90"/>
    <mergeCell ref="Q90:T90"/>
    <mergeCell ref="A91:L91"/>
    <mergeCell ref="A96:L96"/>
    <mergeCell ref="M96:P96"/>
    <mergeCell ref="Q96:T96"/>
    <mergeCell ref="A97:L97"/>
    <mergeCell ref="M97:P97"/>
    <mergeCell ref="Q97:T97"/>
    <mergeCell ref="AS101:AX101"/>
    <mergeCell ref="AY101:BD101"/>
    <mergeCell ref="BE101:BJ101"/>
    <mergeCell ref="BK101:BP101"/>
    <mergeCell ref="BQ101:BV101"/>
    <mergeCell ref="BW101:CB101"/>
    <mergeCell ref="A101:H101"/>
    <mergeCell ref="I101:N101"/>
    <mergeCell ref="O101:T101"/>
    <mergeCell ref="U101:Z101"/>
    <mergeCell ref="AA101:AF101"/>
    <mergeCell ref="AG101:AL101"/>
    <mergeCell ref="AM101:AR101"/>
    <mergeCell ref="AS102:AX102"/>
    <mergeCell ref="AY102:BD102"/>
    <mergeCell ref="BE102:BJ102"/>
    <mergeCell ref="BK102:BP102"/>
    <mergeCell ref="BQ102:BV102"/>
    <mergeCell ref="BW102:CB102"/>
    <mergeCell ref="A102:H102"/>
    <mergeCell ref="I102:N102"/>
    <mergeCell ref="O102:T102"/>
    <mergeCell ref="U102:Z102"/>
    <mergeCell ref="AA102:AF102"/>
    <mergeCell ref="AG102:AL102"/>
    <mergeCell ref="AM102:AR102"/>
    <mergeCell ref="AS103:AX103"/>
    <mergeCell ref="AY103:BD103"/>
    <mergeCell ref="BE103:BJ103"/>
    <mergeCell ref="BK103:BP103"/>
    <mergeCell ref="BQ103:BV103"/>
    <mergeCell ref="BW103:CB103"/>
    <mergeCell ref="AF111:AR111"/>
    <mergeCell ref="AS111:BG111"/>
    <mergeCell ref="AF115:AR115"/>
    <mergeCell ref="AS115:BG115"/>
    <mergeCell ref="A120:V120"/>
    <mergeCell ref="W120:AE120"/>
    <mergeCell ref="AF120:AR120"/>
    <mergeCell ref="AS120:BG120"/>
    <mergeCell ref="W121:AE121"/>
    <mergeCell ref="AF121:AR121"/>
    <mergeCell ref="AS121:BG121"/>
    <mergeCell ref="A121:V121"/>
    <mergeCell ref="AS112:BG112"/>
    <mergeCell ref="W113:AE113"/>
    <mergeCell ref="AF113:AR113"/>
    <mergeCell ref="AS113:BG113"/>
    <mergeCell ref="A113:V113"/>
    <mergeCell ref="A114:V114"/>
    <mergeCell ref="W114:AE114"/>
    <mergeCell ref="AF114:AR114"/>
    <mergeCell ref="AS114:BG114"/>
    <mergeCell ref="A115:V115"/>
    <mergeCell ref="W115:AE115"/>
    <mergeCell ref="A116:V116"/>
    <mergeCell ref="W116:AE116"/>
    <mergeCell ref="AF116:AR116"/>
  </mergeCells>
  <pageMargins left="0.25" right="0.25" top="0.75" bottom="0.75" header="0" footer="0"/>
  <pageSetup paperSize="5"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'Drop-Down Boxes '!$D$3:$D$14</xm:f>
          </x14:formula1>
          <xm:sqref>K8</xm:sqref>
        </x14:dataValidation>
        <x14:dataValidation type="list" allowBlank="1" showErrorMessage="1" xr:uid="{00000000-0002-0000-0900-000001000000}">
          <x14:formula1>
            <xm:f>'Drop-Down Boxes '!$H$3:$H$5</xm:f>
          </x14:formula1>
          <xm:sqref>S8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BW1000"/>
  <sheetViews>
    <sheetView workbookViewId="0">
      <selection activeCell="A10" sqref="A10:H10"/>
    </sheetView>
  </sheetViews>
  <sheetFormatPr defaultColWidth="14.42578125" defaultRowHeight="15" customHeight="1"/>
  <cols>
    <col min="1" max="75" width="8.7109375" customWidth="1"/>
  </cols>
  <sheetData>
    <row r="2" spans="1:75">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row>
    <row r="3" spans="1:75" ht="18.75">
      <c r="A3" s="933" t="s">
        <v>711</v>
      </c>
      <c r="B3" s="350"/>
      <c r="C3" s="350"/>
      <c r="D3" s="350"/>
      <c r="E3" s="350"/>
      <c r="F3" s="350"/>
      <c r="G3" s="350"/>
      <c r="H3" s="350"/>
      <c r="I3" s="350"/>
      <c r="J3" s="350"/>
      <c r="K3" s="350"/>
      <c r="L3" s="350"/>
      <c r="M3" s="350"/>
      <c r="N3" s="350"/>
      <c r="O3" s="350"/>
      <c r="P3" s="350"/>
      <c r="Q3" s="350"/>
      <c r="R3" s="350"/>
      <c r="S3" s="350"/>
      <c r="T3" s="350"/>
      <c r="U3" s="350"/>
      <c r="V3" s="351"/>
      <c r="W3" s="934" t="s">
        <v>712</v>
      </c>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350"/>
      <c r="BK3" s="350"/>
      <c r="BL3" s="350"/>
      <c r="BM3" s="350"/>
      <c r="BN3" s="350"/>
      <c r="BO3" s="350"/>
      <c r="BP3" s="350"/>
      <c r="BQ3" s="350"/>
      <c r="BR3" s="350"/>
      <c r="BS3" s="350"/>
      <c r="BT3" s="350"/>
      <c r="BU3" s="350"/>
      <c r="BV3" s="351"/>
      <c r="BW3" s="174"/>
    </row>
    <row r="4" spans="1:75">
      <c r="A4" s="934"/>
      <c r="B4" s="350"/>
      <c r="C4" s="350"/>
      <c r="D4" s="350"/>
      <c r="E4" s="350"/>
      <c r="F4" s="350"/>
      <c r="G4" s="350"/>
      <c r="H4" s="351"/>
      <c r="I4" s="934" t="s">
        <v>674</v>
      </c>
      <c r="J4" s="350"/>
      <c r="K4" s="350"/>
      <c r="L4" s="351"/>
      <c r="M4" s="935" t="s">
        <v>675</v>
      </c>
      <c r="N4" s="350"/>
      <c r="O4" s="350"/>
      <c r="P4" s="350"/>
      <c r="Q4" s="351"/>
      <c r="R4" s="936" t="s">
        <v>676</v>
      </c>
      <c r="S4" s="350"/>
      <c r="T4" s="350"/>
      <c r="U4" s="350"/>
      <c r="V4" s="351"/>
      <c r="W4" s="937" t="s">
        <v>713</v>
      </c>
      <c r="X4" s="350"/>
      <c r="Y4" s="350"/>
      <c r="Z4" s="351"/>
      <c r="AA4" s="649" t="s">
        <v>714</v>
      </c>
      <c r="AB4" s="350"/>
      <c r="AC4" s="350"/>
      <c r="AD4" s="351"/>
      <c r="AE4" s="918" t="s">
        <v>715</v>
      </c>
      <c r="AF4" s="350"/>
      <c r="AG4" s="350"/>
      <c r="AH4" s="351"/>
      <c r="AI4" s="649" t="s">
        <v>716</v>
      </c>
      <c r="AJ4" s="350"/>
      <c r="AK4" s="350"/>
      <c r="AL4" s="351"/>
      <c r="AM4" s="918" t="s">
        <v>717</v>
      </c>
      <c r="AN4" s="350"/>
      <c r="AO4" s="350"/>
      <c r="AP4" s="351"/>
      <c r="AQ4" s="931" t="s">
        <v>718</v>
      </c>
      <c r="AR4" s="350"/>
      <c r="AS4" s="350"/>
      <c r="AT4" s="351"/>
      <c r="AU4" s="932" t="s">
        <v>719</v>
      </c>
      <c r="AV4" s="350"/>
      <c r="AW4" s="350"/>
      <c r="AX4" s="351"/>
      <c r="AY4" s="931" t="s">
        <v>720</v>
      </c>
      <c r="AZ4" s="350"/>
      <c r="BA4" s="350"/>
      <c r="BB4" s="351"/>
      <c r="BC4" s="932" t="s">
        <v>721</v>
      </c>
      <c r="BD4" s="350"/>
      <c r="BE4" s="350"/>
      <c r="BF4" s="351"/>
      <c r="BG4" s="929" t="s">
        <v>722</v>
      </c>
      <c r="BH4" s="350"/>
      <c r="BI4" s="350"/>
      <c r="BJ4" s="351"/>
      <c r="BK4" s="930" t="s">
        <v>723</v>
      </c>
      <c r="BL4" s="350"/>
      <c r="BM4" s="350"/>
      <c r="BN4" s="351"/>
      <c r="BO4" s="929" t="s">
        <v>724</v>
      </c>
      <c r="BP4" s="350"/>
      <c r="BQ4" s="350"/>
      <c r="BR4" s="351"/>
      <c r="BS4" s="930" t="s">
        <v>725</v>
      </c>
      <c r="BT4" s="350"/>
      <c r="BU4" s="350"/>
      <c r="BV4" s="351"/>
      <c r="BW4" s="173"/>
    </row>
    <row r="5" spans="1:75" ht="15.75">
      <c r="A5" s="413" t="s">
        <v>444</v>
      </c>
      <c r="B5" s="350"/>
      <c r="C5" s="350"/>
      <c r="D5" s="350"/>
      <c r="E5" s="350"/>
      <c r="F5" s="350"/>
      <c r="G5" s="350"/>
      <c r="H5" s="351"/>
      <c r="I5" s="755">
        <f>'GRANTEE SET UP INFO &amp; DATE '!C11</f>
        <v>0</v>
      </c>
      <c r="J5" s="350"/>
      <c r="K5" s="350"/>
      <c r="L5" s="351"/>
      <c r="M5" s="884">
        <f>'GRANTEE SET UP INFO &amp; DATE '!F11</f>
        <v>0</v>
      </c>
      <c r="N5" s="350"/>
      <c r="O5" s="350"/>
      <c r="P5" s="350"/>
      <c r="Q5" s="351"/>
      <c r="R5" s="885" t="e">
        <f>'GRANTEE SET UP INFO &amp; DATE '!#REF!</f>
        <v>#REF!</v>
      </c>
      <c r="S5" s="350"/>
      <c r="T5" s="350"/>
      <c r="U5" s="350"/>
      <c r="V5" s="351"/>
      <c r="W5" s="973">
        <f>COUNTIFS(TRAINING!B12:B5000,"&gt;=07/01/2000",TRAINING!B12:B5000,"&lt;=09/30/2019",TRAINING!D12:D5000,"Mandatory",TRAINING!AN12:AN5000,"YES")</f>
        <v>0</v>
      </c>
      <c r="X5" s="350"/>
      <c r="Y5" s="350"/>
      <c r="Z5" s="351"/>
      <c r="AA5" s="974">
        <f>COUNTIFS(TRAINING!B12:B5000,"&gt;=10/01/2019",TRAINING!B12:B5000,"&lt;=12/31/2019",TRAINING!D12:D5000,"Mandatory",TRAINING!AN12:AN5000,"YES")</f>
        <v>0</v>
      </c>
      <c r="AB5" s="350"/>
      <c r="AC5" s="350"/>
      <c r="AD5" s="351"/>
      <c r="AE5" s="755">
        <f>COUNTIFS(TRAINING!B12:B5000,"&gt;=01/01/2020",TRAINING!B12:B5000,"&lt;=03/31/2020",TRAINING!D12:D5000,"Mandatory",TRAINING!AN12:AN5000,"YES")</f>
        <v>0</v>
      </c>
      <c r="AF5" s="350"/>
      <c r="AG5" s="350"/>
      <c r="AH5" s="351"/>
      <c r="AI5" s="971">
        <f>COUNTIFS(TRAINING!B12:B5000,"&gt;=04/01/2020",TRAINING!B12:B5000,"&lt;=06/30/2020",TRAINING!D12:D5000,"Mandatory",TRAINING!AN12:AN5000,"YES")</f>
        <v>0</v>
      </c>
      <c r="AJ5" s="350"/>
      <c r="AK5" s="350"/>
      <c r="AL5" s="351"/>
      <c r="AM5" s="755">
        <f>COUNTIFS(TRAINING!B12:B5000,"&gt;=07/01/2020",TRAINING!B12:B5000,"&lt;=09/30/2020",TRAINING!D12:D5000,"Mandatory",TRAINING!AN12:AN5000,"YES")</f>
        <v>0</v>
      </c>
      <c r="AN5" s="350"/>
      <c r="AO5" s="350"/>
      <c r="AP5" s="351"/>
      <c r="AQ5" s="920">
        <f>COUNTIFS(TRAINING!B12:B5000,"&gt;=10/01/2020",TRAINING!B12:B5000,"&lt;=12/31/2020",TRAINING!D12:D5000,"Mandatory",TRAINING!AN12:AN5000,"YES")</f>
        <v>0</v>
      </c>
      <c r="AR5" s="350"/>
      <c r="AS5" s="350"/>
      <c r="AT5" s="351"/>
      <c r="AU5" s="917">
        <f>COUNTIFS(TRAINING!B12:B5000,"&gt;=01/01/2021",TRAINING!B12:B5000,"&lt;=03/31/2021",TRAINING!D12:D5000,"Mandatory",TRAINING!AN12:AN5000,"YES")</f>
        <v>0</v>
      </c>
      <c r="AV5" s="350"/>
      <c r="AW5" s="350"/>
      <c r="AX5" s="351"/>
      <c r="AY5" s="920">
        <f>COUNTIFS(TRAINING!B12:B5000,"&gt;=04/01/2020",TRAINING!B12:B5000,"&lt;=06/30/2020",TRAINING!D12:D5000,"Mandatory",TRAINING!AN12:AN5000,"YES")</f>
        <v>0</v>
      </c>
      <c r="AZ5" s="350"/>
      <c r="BA5" s="350"/>
      <c r="BB5" s="351"/>
      <c r="BC5" s="917">
        <f>COUNTIFS(TRAINING!B12:B5000,"&gt;=07/01/2021",TRAINING!B12:B5000,"&lt;=09/30/2021",TRAINING!D12:D5000,"Mandatory",TRAINING!AN12:AN5000,"YES")</f>
        <v>0</v>
      </c>
      <c r="BD5" s="350"/>
      <c r="BE5" s="350"/>
      <c r="BF5" s="351"/>
      <c r="BG5" s="914">
        <f>COUNTIFS(TRAINING!B12:B5000,"&gt;=10/01/2021",TRAINING!B12:B5000,"&lt;=12/31/2021",TRAINING!D12:D5000,"Mandatory",TRAINING!AN12:AN5000,"YES")</f>
        <v>0</v>
      </c>
      <c r="BH5" s="350"/>
      <c r="BI5" s="350"/>
      <c r="BJ5" s="351"/>
      <c r="BK5" s="788">
        <f>COUNTIFS(TRAINING!B12:B5000,"&gt;=01/01/2022",TRAINING!B12:B5000,"&lt;=03/31/2022",TRAINING!D12:D5000,"Mandatory",TRAINING!AN12:AN5000,"YES")</f>
        <v>0</v>
      </c>
      <c r="BL5" s="350"/>
      <c r="BM5" s="350"/>
      <c r="BN5" s="351"/>
      <c r="BO5" s="914">
        <f>COUNTIFS(TRAINING!B12:B5000,"&gt;=04/01/2022",TRAINING!B12:B5000,"&lt;=06/30/2022",TRAINING!D12:D5000,"Mandatory",TRAINING!AN12:AN5000,"YES")</f>
        <v>0</v>
      </c>
      <c r="BP5" s="350"/>
      <c r="BQ5" s="350"/>
      <c r="BR5" s="351"/>
      <c r="BS5" s="970">
        <f>COUNTIFS(TRAINING!B12:B5000,"&gt;=07/01/2022",TRAINING!B12:B5000,"&lt;=09/30/2022",TRAINING!D12:D5000,"Mandatory",TRAINING!AN12:AN5000,"YES")</f>
        <v>0</v>
      </c>
      <c r="BT5" s="350"/>
      <c r="BU5" s="350"/>
      <c r="BV5" s="351"/>
      <c r="BW5" s="175"/>
    </row>
    <row r="6" spans="1:75" ht="15.75">
      <c r="A6" s="413" t="s">
        <v>445</v>
      </c>
      <c r="B6" s="350"/>
      <c r="C6" s="350"/>
      <c r="D6" s="350"/>
      <c r="E6" s="350"/>
      <c r="F6" s="350"/>
      <c r="G6" s="350"/>
      <c r="H6" s="351"/>
      <c r="I6" s="755">
        <f>'GRANTEE SET UP INFO &amp; DATE '!C12</f>
        <v>0</v>
      </c>
      <c r="J6" s="350"/>
      <c r="K6" s="350"/>
      <c r="L6" s="351"/>
      <c r="M6" s="884">
        <f>'GRANTEE SET UP INFO &amp; DATE '!F12</f>
        <v>0</v>
      </c>
      <c r="N6" s="350"/>
      <c r="O6" s="350"/>
      <c r="P6" s="350"/>
      <c r="Q6" s="351"/>
      <c r="R6" s="885" t="e">
        <f>'GRANTEE SET UP INFO &amp; DATE '!#REF!</f>
        <v>#REF!</v>
      </c>
      <c r="S6" s="350"/>
      <c r="T6" s="350"/>
      <c r="U6" s="350"/>
      <c r="V6" s="351"/>
      <c r="W6" s="973">
        <f>COUNTIFS(TRAINING!B12:B5000,"&gt;=07/01/2000",TRAINING!B12:B5000,"&lt;=09/30/2019",TRAINING!D12:D5000,"Mandatory",TRAINING!AO12:AO5000,"YES")</f>
        <v>0</v>
      </c>
      <c r="X6" s="350"/>
      <c r="Y6" s="350"/>
      <c r="Z6" s="351"/>
      <c r="AA6" s="974">
        <f>COUNTIFS(TRAINING!B12:B5000,"&gt;=10/01/2019",TRAINING!B12:B5000,"&lt;=12/31/2019",TRAINING!D12:D5000,"Mandatory",TRAINING!AO12:AO5000,"YES")</f>
        <v>0</v>
      </c>
      <c r="AB6" s="350"/>
      <c r="AC6" s="350"/>
      <c r="AD6" s="351"/>
      <c r="AE6" s="755">
        <f>COUNTIFS(TRAINING!B12:B5000,"&gt;=01/01/2020",TRAINING!B12:B5000,"&lt;=03/31/2020",TRAINING!D12:D5000,"Mandatory",TRAINING!AO12:AO5000,"YES")</f>
        <v>0</v>
      </c>
      <c r="AF6" s="350"/>
      <c r="AG6" s="350"/>
      <c r="AH6" s="351"/>
      <c r="AI6" s="971">
        <f>COUNTIFS(TRAINING!B12:B5000,"&gt;=04/01/2020",TRAINING!B12:B5000,"&lt;=06/30/2020",TRAINING!D12:D5000,"Mandatory",TRAINING!AO12:AO5000,"YES")</f>
        <v>0</v>
      </c>
      <c r="AJ6" s="350"/>
      <c r="AK6" s="350"/>
      <c r="AL6" s="351"/>
      <c r="AM6" s="972">
        <f>COUNTIFS(TRAINING!B12:B5000,"&gt;=07/01/2020",TRAINING!B12:B5000,"&lt;=09/30/2020",TRAINING!D12:D5000,"Mandatory",TRAINING!AO12:AO5000,"YES")</f>
        <v>0</v>
      </c>
      <c r="AN6" s="350"/>
      <c r="AO6" s="350"/>
      <c r="AP6" s="351"/>
      <c r="AQ6" s="920">
        <f>COUNTIFS(TRAINING!B12:B5000,"&gt;=10/01/2020",TRAINING!B12:B5000,"&lt;=12/31/2020",TRAINING!D12:D5000,"Mandatory",TRAINING!AO12:AO5000,"YES")</f>
        <v>0</v>
      </c>
      <c r="AR6" s="350"/>
      <c r="AS6" s="350"/>
      <c r="AT6" s="351"/>
      <c r="AU6" s="917">
        <f>COUNTIFS(TRAINING!B12:B5000,"&gt;=01/01/2021",TRAINING!B12:B5000,"&lt;=03/31/2021",TRAINING!D12:D5000,"Mandatory",TRAINING!AO12:AO5000,"YES")</f>
        <v>0</v>
      </c>
      <c r="AV6" s="350"/>
      <c r="AW6" s="350"/>
      <c r="AX6" s="351"/>
      <c r="AY6" s="920">
        <f>COUNTIFS(TRAINING!B12:B5000,"&gt;=04/01/2020",TRAINING!B12:B5000,"&lt;=06/30/2020",TRAINING!D12:D5000,"Mandatory",TRAINING!AO12:AO5000,"YES")</f>
        <v>0</v>
      </c>
      <c r="AZ6" s="350"/>
      <c r="BA6" s="350"/>
      <c r="BB6" s="351"/>
      <c r="BC6" s="917">
        <f>COUNTIFS(TRAINING!B12:B5000,"&gt;=07/01/2021",TRAINING!B12:B5000,"&lt;=09/30/2021",TRAINING!D12:D5000,"Mandatory",TRAINING!AO12:AO5000,"YES")</f>
        <v>0</v>
      </c>
      <c r="BD6" s="350"/>
      <c r="BE6" s="350"/>
      <c r="BF6" s="351"/>
      <c r="BG6" s="914">
        <f>COUNTIFS(TRAINING!B12:B5000,"&gt;=10/01/2021",TRAINING!B12:B5000,"&lt;=12/31/2021",TRAINING!D12:D5000,"Mandatory",TRAINING!AO12:AO5000,"YES")</f>
        <v>0</v>
      </c>
      <c r="BH6" s="350"/>
      <c r="BI6" s="350"/>
      <c r="BJ6" s="351"/>
      <c r="BK6" s="788">
        <f>COUNTIFS(TRAINING!B12:B5000,"&gt;=01/01/2022",TRAINING!B12:B5000,"&lt;=03/31/2022",TRAINING!D12:D5000,"Mandatory",TRAINING!AO12:AO5000,"YES")</f>
        <v>0</v>
      </c>
      <c r="BL6" s="350"/>
      <c r="BM6" s="350"/>
      <c r="BN6" s="351"/>
      <c r="BO6" s="914">
        <f>COUNTIFS(TRAINING!B12:B5000,"&gt;=04/01/2022",TRAINING!B12:B5000,"&lt;=06/30/2022",TRAINING!D12:D5000,"Mandatory",TRAINING!AO12:AO5000,"YES")</f>
        <v>0</v>
      </c>
      <c r="BP6" s="350"/>
      <c r="BQ6" s="350"/>
      <c r="BR6" s="351"/>
      <c r="BS6" s="970">
        <f>COUNTIFS(TRAINING!B12:B5000,"&gt;=07/01/2022",TRAINING!B12:B5000,"&lt;=09/30/2022",TRAINING!D12:D5000,"Mandatory",TRAINING!AO12:AO5000,"YES")</f>
        <v>0</v>
      </c>
      <c r="BT6" s="350"/>
      <c r="BU6" s="350"/>
      <c r="BV6" s="351"/>
      <c r="BW6" s="173"/>
    </row>
    <row r="7" spans="1:75" ht="15.75">
      <c r="A7" s="413" t="s">
        <v>446</v>
      </c>
      <c r="B7" s="350"/>
      <c r="C7" s="350"/>
      <c r="D7" s="350"/>
      <c r="E7" s="350"/>
      <c r="F7" s="350"/>
      <c r="G7" s="350"/>
      <c r="H7" s="351"/>
      <c r="I7" s="755">
        <f>'GRANTEE SET UP INFO &amp; DATE '!C13</f>
        <v>0</v>
      </c>
      <c r="J7" s="350"/>
      <c r="K7" s="350"/>
      <c r="L7" s="351"/>
      <c r="M7" s="884">
        <f>'GRANTEE SET UP INFO &amp; DATE '!F13</f>
        <v>0</v>
      </c>
      <c r="N7" s="350"/>
      <c r="O7" s="350"/>
      <c r="P7" s="350"/>
      <c r="Q7" s="351"/>
      <c r="R7" s="885" t="e">
        <f>'GRANTEE SET UP INFO &amp; DATE '!#REF!</f>
        <v>#REF!</v>
      </c>
      <c r="S7" s="350"/>
      <c r="T7" s="350"/>
      <c r="U7" s="350"/>
      <c r="V7" s="351"/>
      <c r="W7" s="973">
        <f>COUNTIFS(TRAINING!B12:B5000,"&gt;=07/01/2000",TRAINING!B12:B5000,"&lt;=09/30/2019",TRAINING!D12:D5000,"Mandatory",TRAINING!AP12:AP5000,"YES")</f>
        <v>0</v>
      </c>
      <c r="X7" s="350"/>
      <c r="Y7" s="350"/>
      <c r="Z7" s="351"/>
      <c r="AA7" s="974">
        <f>COUNTIFS(TRAINING!B12:B5000,"&gt;=10/01/2019",TRAINING!B12:B5000,"&lt;=12/31/2019",TRAINING!D12:D5000,"Mandatory",TRAINING!AP12:AP5000,"YES")</f>
        <v>0</v>
      </c>
      <c r="AB7" s="350"/>
      <c r="AC7" s="350"/>
      <c r="AD7" s="351"/>
      <c r="AE7" s="755">
        <f>COUNTIFS(TRAINING!B12:B5000,"&gt;=01/01/2020",TRAINING!B12:B5000,"&lt;=03/31/2020",TRAINING!D12:D5000,"Mandatory",TRAINING!AP12:AP5000,"YES")</f>
        <v>0</v>
      </c>
      <c r="AF7" s="350"/>
      <c r="AG7" s="350"/>
      <c r="AH7" s="351"/>
      <c r="AI7" s="971">
        <f>COUNTIFS(TRAINING!B12:B5000,"&gt;=04/01/2020",TRAINING!B12:B5000,"&lt;=06/30/2020",TRAINING!D12:D5000,"Mandatory",TRAINING!AP12:AP5000,"YES")</f>
        <v>0</v>
      </c>
      <c r="AJ7" s="350"/>
      <c r="AK7" s="350"/>
      <c r="AL7" s="351"/>
      <c r="AM7" s="972">
        <f>COUNTIFS(TRAINING!B12:B5000,"&gt;=07/01/2020",TRAINING!B12:B5000,"&lt;=09/30/2020",TRAINING!D12:D5000,"Mandatory",TRAINING!AP12:AP5000,"YES")</f>
        <v>0</v>
      </c>
      <c r="AN7" s="350"/>
      <c r="AO7" s="350"/>
      <c r="AP7" s="351"/>
      <c r="AQ7" s="920">
        <f>COUNTIFS(TRAINING!B12:B5000,"&gt;=10/01/2020",TRAINING!B12:B5000,"&lt;=12/31/2020",TRAINING!D12:D5000,"Mandatory",TRAINING!AP12:AP5000,"YES")</f>
        <v>0</v>
      </c>
      <c r="AR7" s="350"/>
      <c r="AS7" s="350"/>
      <c r="AT7" s="351"/>
      <c r="AU7" s="917">
        <f>COUNTIFS(TRAINING!B12:B5000,"&gt;=01/01/2021",TRAINING!B12:B5000,"&lt;=03/31/2021",TRAINING!D12:D5000,"Mandatory",TRAINING!AP12:AP5000,"YES")</f>
        <v>0</v>
      </c>
      <c r="AV7" s="350"/>
      <c r="AW7" s="350"/>
      <c r="AX7" s="351"/>
      <c r="AY7" s="920">
        <f>COUNTIFS(TRAINING!B12:B5000,"&gt;=04/01/2020",TRAINING!B12:B5000,"&lt;=06/30/2020",TRAINING!D12:D5000,"Mandatory",TRAINING!AP12:AP5000,"YES")</f>
        <v>0</v>
      </c>
      <c r="AZ7" s="350"/>
      <c r="BA7" s="350"/>
      <c r="BB7" s="351"/>
      <c r="BC7" s="917">
        <f>COUNTIFS(TRAINING!B12:B5000,"&gt;=07/01/2021",TRAINING!B12:B5000,"&lt;=09/30/2021",TRAINING!D12:D5000,"Mandatory",TRAINING!AP12:AP5000,"YES")</f>
        <v>0</v>
      </c>
      <c r="BD7" s="350"/>
      <c r="BE7" s="350"/>
      <c r="BF7" s="351"/>
      <c r="BG7" s="914">
        <f>COUNTIFS(TRAINING!B12:B5000,"&gt;=10/01/2021",TRAINING!B12:B5000,"&lt;=12/31/2021",TRAINING!D12:D5000,"Mandatory",TRAINING!AP12:AP5000,"YES")</f>
        <v>0</v>
      </c>
      <c r="BH7" s="350"/>
      <c r="BI7" s="350"/>
      <c r="BJ7" s="351"/>
      <c r="BK7" s="788">
        <f>COUNTIFS(TRAINING!B12:B5000,"&gt;=01/01/2022",TRAINING!B12:B5000,"&lt;=03/31/2022",TRAINING!D12:D5000,"Mandatory",TRAINING!AP12:AP5000,"YES")</f>
        <v>0</v>
      </c>
      <c r="BL7" s="350"/>
      <c r="BM7" s="350"/>
      <c r="BN7" s="351"/>
      <c r="BO7" s="914">
        <f>COUNTIFS(TRAINING!B12:B5000,"&gt;=04/01/2022",TRAINING!B12:B5000,"&lt;=06/30/2022",TRAINING!D12:D5000,"Mandatory",TRAINING!AP12:AP5000,"YES")</f>
        <v>0</v>
      </c>
      <c r="BP7" s="350"/>
      <c r="BQ7" s="350"/>
      <c r="BR7" s="351"/>
      <c r="BS7" s="970">
        <f>COUNTIFS(TRAINING!B12:B5000,"&gt;=07/01/2022",TRAINING!B12:B5000,"&lt;=09/30/2022",TRAINING!D12:D5000,"Mandatory",TRAINING!AP12:AP5000,"YES")</f>
        <v>0</v>
      </c>
      <c r="BT7" s="350"/>
      <c r="BU7" s="350"/>
      <c r="BV7" s="351"/>
      <c r="BW7" s="173"/>
    </row>
    <row r="8" spans="1:75" ht="15.75">
      <c r="A8" s="413" t="s">
        <v>447</v>
      </c>
      <c r="B8" s="350"/>
      <c r="C8" s="350"/>
      <c r="D8" s="350"/>
      <c r="E8" s="350"/>
      <c r="F8" s="350"/>
      <c r="G8" s="350"/>
      <c r="H8" s="351"/>
      <c r="I8" s="755">
        <f>'GRANTEE SET UP INFO &amp; DATE '!C14</f>
        <v>0</v>
      </c>
      <c r="J8" s="350"/>
      <c r="K8" s="350"/>
      <c r="L8" s="351"/>
      <c r="M8" s="884">
        <f>'GRANTEE SET UP INFO &amp; DATE '!F14</f>
        <v>0</v>
      </c>
      <c r="N8" s="350"/>
      <c r="O8" s="350"/>
      <c r="P8" s="350"/>
      <c r="Q8" s="351"/>
      <c r="R8" s="885" t="e">
        <f>'GRANTEE SET UP INFO &amp; DATE '!#REF!</f>
        <v>#REF!</v>
      </c>
      <c r="S8" s="350"/>
      <c r="T8" s="350"/>
      <c r="U8" s="350"/>
      <c r="V8" s="351"/>
      <c r="W8" s="973">
        <f>COUNTIFS(TRAINING!B12:B5000,"&gt;=07/01/2000",TRAINING!B12:B5000,"&lt;=09/30/2019",TRAINING!D12:D5000,"Mandatory",TRAINING!AQ12:AQ5000,"YES")</f>
        <v>0</v>
      </c>
      <c r="X8" s="350"/>
      <c r="Y8" s="350"/>
      <c r="Z8" s="351"/>
      <c r="AA8" s="974">
        <f>COUNTIFS(TRAINING!B12:B5000,"&gt;=10/01/2019",TRAINING!B12:B5000,"&lt;=12/31/2019",TRAINING!D12:D5000,"Mandatory",TRAINING!AQ12:AQ5000,"YES")</f>
        <v>0</v>
      </c>
      <c r="AB8" s="350"/>
      <c r="AC8" s="350"/>
      <c r="AD8" s="351"/>
      <c r="AE8" s="755">
        <f>COUNTIFS(TRAINING!B12:B5000,"&gt;=01/01/2020",TRAINING!B12:B5000,"&lt;=03/31/2020",TRAINING!D12:D5000,"Mandatory",TRAINING!AQ12:AQ5000,"YES")</f>
        <v>0</v>
      </c>
      <c r="AF8" s="350"/>
      <c r="AG8" s="350"/>
      <c r="AH8" s="351"/>
      <c r="AI8" s="971">
        <f>COUNTIFS(TRAINING!B12:B5000,"&gt;=04/01/2020",TRAINING!B12:B5000,"&lt;=06/30/2020",TRAINING!D12:D5000,"Mandatory",TRAINING!AQ12:AQ5000,"YES")</f>
        <v>0</v>
      </c>
      <c r="AJ8" s="350"/>
      <c r="AK8" s="350"/>
      <c r="AL8" s="351"/>
      <c r="AM8" s="972">
        <f>COUNTIFS(TRAINING!B12:B5000,"&gt;=07/01/2020",TRAINING!B12:B5000,"&lt;=09/30/2020",TRAINING!D12:D5000,"Mandatory",TRAINING!AQ12:AQ5000,"YES")</f>
        <v>0</v>
      </c>
      <c r="AN8" s="350"/>
      <c r="AO8" s="350"/>
      <c r="AP8" s="351"/>
      <c r="AQ8" s="920">
        <f>COUNTIFS(TRAINING!B12:B5000,"&gt;=10/01/2020",TRAINING!B12:B5000,"&lt;=12/31/2020",TRAINING!D12:D5000,"Mandatory",TRAINING!AQ12:AQ5000,"YES")</f>
        <v>0</v>
      </c>
      <c r="AR8" s="350"/>
      <c r="AS8" s="350"/>
      <c r="AT8" s="351"/>
      <c r="AU8" s="917">
        <f>COUNTIFS(TRAINING!B12:B5000,"&gt;=01/01/2021",TRAINING!B12:B5000,"&lt;=03/31/2021",TRAINING!D12:D5000,"Mandatory",TRAINING!AQ12:AQ5000,"YES")</f>
        <v>0</v>
      </c>
      <c r="AV8" s="350"/>
      <c r="AW8" s="350"/>
      <c r="AX8" s="351"/>
      <c r="AY8" s="920">
        <f>COUNTIFS(TRAINING!B12:B5000,"&gt;=04/01/2020",TRAINING!B12:B5000,"&lt;=06/30/2020",TRAINING!D12:D5000,"Mandatory",TRAINING!AQ12:AQ5000,"YES")</f>
        <v>0</v>
      </c>
      <c r="AZ8" s="350"/>
      <c r="BA8" s="350"/>
      <c r="BB8" s="351"/>
      <c r="BC8" s="917">
        <f>COUNTIFS(TRAINING!B12:B5000,"&gt;=07/01/2021",TRAINING!B12:B5000,"&lt;=09/30/2021",TRAINING!D12:D5000,"Mandatory",TRAINING!AQ12:AQ5000,"YES")</f>
        <v>0</v>
      </c>
      <c r="BD8" s="350"/>
      <c r="BE8" s="350"/>
      <c r="BF8" s="351"/>
      <c r="BG8" s="914">
        <f>COUNTIFS(TRAINING!B12:B5000,"&gt;=10/01/2021",TRAINING!B12:B5000,"&lt;=12/31/2021",TRAINING!D12:D5000,"Mandatory",TRAINING!AQ12:AQ5000,"YES")</f>
        <v>0</v>
      </c>
      <c r="BH8" s="350"/>
      <c r="BI8" s="350"/>
      <c r="BJ8" s="351"/>
      <c r="BK8" s="788">
        <f>COUNTIFS(TRAINING!B12:B5000,"&gt;=01/01/2022",TRAINING!B12:B5000,"&lt;=03/31/2022",TRAINING!D12:D5000,"Mandatory",TRAINING!AQ12:AQ5000,"YES")</f>
        <v>0</v>
      </c>
      <c r="BL8" s="350"/>
      <c r="BM8" s="350"/>
      <c r="BN8" s="351"/>
      <c r="BO8" s="914">
        <f>COUNTIFS(TRAINING!B12:B5000,"&gt;=04/01/2022",TRAINING!B12:B5000,"&lt;=06/30/2022",TRAINING!D12:D5000,"Mandatory",TRAINING!AQ12:AQ5000,"YES")</f>
        <v>0</v>
      </c>
      <c r="BP8" s="350"/>
      <c r="BQ8" s="350"/>
      <c r="BR8" s="351"/>
      <c r="BS8" s="970">
        <f>COUNTIFS(TRAINING!B12:B5000,"&gt;=07/01/2022",TRAINING!B12:B5000,"&lt;=09/30/2022",TRAINING!D12:D5000,"Mandatory",TRAINING!AQ12:AQ5000,"YES")</f>
        <v>0</v>
      </c>
      <c r="BT8" s="350"/>
      <c r="BU8" s="350"/>
      <c r="BV8" s="351"/>
      <c r="BW8" s="173"/>
    </row>
    <row r="9" spans="1:75" ht="15.75">
      <c r="A9" s="413" t="s">
        <v>448</v>
      </c>
      <c r="B9" s="350"/>
      <c r="C9" s="350"/>
      <c r="D9" s="350"/>
      <c r="E9" s="350"/>
      <c r="F9" s="350"/>
      <c r="G9" s="350"/>
      <c r="H9" s="351"/>
      <c r="I9" s="755">
        <f>'GRANTEE SET UP INFO &amp; DATE '!C15</f>
        <v>0</v>
      </c>
      <c r="J9" s="350"/>
      <c r="K9" s="350"/>
      <c r="L9" s="351"/>
      <c r="M9" s="884">
        <f>'GRANTEE SET UP INFO &amp; DATE '!F15</f>
        <v>0</v>
      </c>
      <c r="N9" s="350"/>
      <c r="O9" s="350"/>
      <c r="P9" s="350"/>
      <c r="Q9" s="351"/>
      <c r="R9" s="885" t="e">
        <f>'GRANTEE SET UP INFO &amp; DATE '!#REF!</f>
        <v>#REF!</v>
      </c>
      <c r="S9" s="350"/>
      <c r="T9" s="350"/>
      <c r="U9" s="350"/>
      <c r="V9" s="351"/>
      <c r="W9" s="973">
        <f>COUNTIFS(TRAINING!B12:B5000,"&gt;=07/01/2000",TRAINING!B12:B5000,"&lt;=09/30/2019",TRAINING!D12:D5000,"Mandatory",TRAINING!AR12:AR5000,"YES")</f>
        <v>0</v>
      </c>
      <c r="X9" s="350"/>
      <c r="Y9" s="350"/>
      <c r="Z9" s="351"/>
      <c r="AA9" s="974">
        <f>COUNTIFS(TRAINING!B12:B5000,"&gt;=10/01/2019",TRAINING!B12:B5000,"&lt;=12/31/2019",TRAINING!D12:D5000,"Mandatory",TRAINING!AR12:AR5000,"YES")</f>
        <v>0</v>
      </c>
      <c r="AB9" s="350"/>
      <c r="AC9" s="350"/>
      <c r="AD9" s="351"/>
      <c r="AE9" s="755">
        <f>COUNTIFS(TRAINING!B12:B5000,"&gt;=01/01/2020",TRAINING!B12:B5000,"&lt;=03/31/2020",TRAINING!D12:D5000,"Mandatory",TRAINING!AR12:AR5000,"YES")</f>
        <v>0</v>
      </c>
      <c r="AF9" s="350"/>
      <c r="AG9" s="350"/>
      <c r="AH9" s="351"/>
      <c r="AI9" s="971">
        <f>COUNTIFS(TRAINING!B12:B5000,"&gt;=04/01/2020",TRAINING!B12:B5000,"&lt;=06/30/2020",TRAINING!D12:D5000,"Mandatory",TRAINING!AR12:AR5000,"YES")</f>
        <v>0</v>
      </c>
      <c r="AJ9" s="350"/>
      <c r="AK9" s="350"/>
      <c r="AL9" s="351"/>
      <c r="AM9" s="972">
        <f>COUNTIFS(TRAINING!B12:B5000,"&gt;=07/01/2020",TRAINING!B12:B5000,"&lt;=09/30/2020",TRAINING!D12:D5000,"Mandatory",TRAINING!AR12:AR5000,"YES")</f>
        <v>0</v>
      </c>
      <c r="AN9" s="350"/>
      <c r="AO9" s="350"/>
      <c r="AP9" s="351"/>
      <c r="AQ9" s="920">
        <f>COUNTIFS(TRAINING!B12:B5000,"&gt;=10/01/2020",TRAINING!B12:B5000,"&lt;=12/31/2020",TRAINING!D12:D5000,"Mandatory",TRAINING!AR12:AR5000,"YES")</f>
        <v>0</v>
      </c>
      <c r="AR9" s="350"/>
      <c r="AS9" s="350"/>
      <c r="AT9" s="351"/>
      <c r="AU9" s="917">
        <f>COUNTIFS(TRAINING!B12:B5000,"&gt;=01/01/2021",TRAINING!B12:B5000,"&lt;=03/31/2021",TRAINING!D12:D5000,"Mandatory",TRAINING!AR12:AR5000,"YES")</f>
        <v>0</v>
      </c>
      <c r="AV9" s="350"/>
      <c r="AW9" s="350"/>
      <c r="AX9" s="351"/>
      <c r="AY9" s="920">
        <f>COUNTIFS(TRAINING!B12:B5000,"&gt;=04/01/2020",TRAINING!B12:B5000,"&lt;=06/30/2020",TRAINING!D12:D5000,"Mandatory",TRAINING!AR12:AR5000,"YES")</f>
        <v>0</v>
      </c>
      <c r="AZ9" s="350"/>
      <c r="BA9" s="350"/>
      <c r="BB9" s="351"/>
      <c r="BC9" s="917">
        <f>COUNTIFS(TRAINING!B12:B5000,"&gt;=07/01/2021",TRAINING!B12:B5000,"&lt;=09/30/2021",TRAINING!D12:D5000,"Mandatory",TRAINING!AR12:AR5000,"YES")</f>
        <v>0</v>
      </c>
      <c r="BD9" s="350"/>
      <c r="BE9" s="350"/>
      <c r="BF9" s="351"/>
      <c r="BG9" s="914">
        <f>COUNTIFS(TRAINING!B12:B5000,"&gt;=10/01/2021",TRAINING!B12:B5000,"&lt;=12/31/2021",TRAINING!D12:D5000,"Mandatory",TRAINING!AR12:AR5000,"YES")</f>
        <v>0</v>
      </c>
      <c r="BH9" s="350"/>
      <c r="BI9" s="350"/>
      <c r="BJ9" s="351"/>
      <c r="BK9" s="788">
        <f>COUNTIFS(TRAINING!B12:B5000,"&gt;=01/01/2022",TRAINING!B12:B5000,"&lt;=03/31/2022",TRAINING!D12:D5000,"Mandatory",TRAINING!AR12:AR5000,"YES")</f>
        <v>0</v>
      </c>
      <c r="BL9" s="350"/>
      <c r="BM9" s="350"/>
      <c r="BN9" s="351"/>
      <c r="BO9" s="914">
        <f>COUNTIFS(TRAINING!B12:B5000,"&gt;=04/01/2022",TRAINING!B12:B5000,"&lt;=06/30/2022",TRAINING!D12:D5000,"Mandatory",TRAINING!AR12:AR5000,"YES")</f>
        <v>0</v>
      </c>
      <c r="BP9" s="350"/>
      <c r="BQ9" s="350"/>
      <c r="BR9" s="351"/>
      <c r="BS9" s="970">
        <f>COUNTIFS(TRAINING!B12:B5000,"&gt;=07/01/2022",TRAINING!B12:B5000,"&lt;=09/30/2022",TRAINING!D12:D5000,"Mandatory",TRAINING!AR12:AR5000,"YES")</f>
        <v>0</v>
      </c>
      <c r="BT9" s="350"/>
      <c r="BU9" s="350"/>
      <c r="BV9" s="351"/>
      <c r="BW9" s="173"/>
    </row>
    <row r="10" spans="1:75" ht="15.75">
      <c r="A10" s="413" t="s">
        <v>449</v>
      </c>
      <c r="B10" s="350"/>
      <c r="C10" s="350"/>
      <c r="D10" s="350"/>
      <c r="E10" s="350"/>
      <c r="F10" s="350"/>
      <c r="G10" s="350"/>
      <c r="H10" s="351"/>
      <c r="I10" s="755">
        <f>'GRANTEE SET UP INFO &amp; DATE '!C16</f>
        <v>0</v>
      </c>
      <c r="J10" s="350"/>
      <c r="K10" s="350"/>
      <c r="L10" s="351"/>
      <c r="M10" s="884">
        <f>'GRANTEE SET UP INFO &amp; DATE '!F16</f>
        <v>0</v>
      </c>
      <c r="N10" s="350"/>
      <c r="O10" s="350"/>
      <c r="P10" s="350"/>
      <c r="Q10" s="351"/>
      <c r="R10" s="885" t="e">
        <f>'GRANTEE SET UP INFO &amp; DATE '!#REF!</f>
        <v>#REF!</v>
      </c>
      <c r="S10" s="350"/>
      <c r="T10" s="350"/>
      <c r="U10" s="350"/>
      <c r="V10" s="351"/>
      <c r="W10" s="973">
        <f>COUNTIFS(TRAINING!B12:B5000,"&gt;=07/01/2000",TRAINING!B12:B5000,"&lt;=09/30/2019",TRAINING!D12:D5000,"Mandatory",TRAINING!AS12:AS5000,"YES")</f>
        <v>0</v>
      </c>
      <c r="X10" s="350"/>
      <c r="Y10" s="350"/>
      <c r="Z10" s="351"/>
      <c r="AA10" s="974">
        <f>COUNTIFS(TRAINING!B12:B5000,"&gt;=10/01/2019",TRAINING!B12:B5000,"&lt;=12/31/2019",TRAINING!D12:D5000,"Mandatory",TRAINING!AS12:AS5000,"YES")</f>
        <v>0</v>
      </c>
      <c r="AB10" s="350"/>
      <c r="AC10" s="350"/>
      <c r="AD10" s="351"/>
      <c r="AE10" s="755">
        <f>COUNTIFS(TRAINING!B12:B5000,"&gt;=01/01/2020",TRAINING!B12:B5000,"&lt;=03/31/2020",TRAINING!D12:D5000,"Mandatory",TRAINING!AS12:AS5000,"YES")</f>
        <v>0</v>
      </c>
      <c r="AF10" s="350"/>
      <c r="AG10" s="350"/>
      <c r="AH10" s="351"/>
      <c r="AI10" s="971">
        <f>COUNTIFS(TRAINING!B12:B5000,"&gt;=04/01/2020",TRAINING!B12:B5000,"&lt;=06/30/2020",TRAINING!D12:D5000,"Mandatory",TRAINING!AS12:AS5000,"YES")</f>
        <v>0</v>
      </c>
      <c r="AJ10" s="350"/>
      <c r="AK10" s="350"/>
      <c r="AL10" s="351"/>
      <c r="AM10" s="972">
        <f>COUNTIFS(TRAINING!B12:B5000,"&gt;=07/01/2020",TRAINING!B12:B5000,"&lt;=09/30/2020",TRAINING!D12:D5000,"Mandatory",TRAINING!AS12:AS5000,"YES")</f>
        <v>0</v>
      </c>
      <c r="AN10" s="350"/>
      <c r="AO10" s="350"/>
      <c r="AP10" s="351"/>
      <c r="AQ10" s="920">
        <f>COUNTIFS(TRAINING!B12:B5000,"&gt;=10/01/2020",TRAINING!B12:B5000,"&lt;=12/31/2020",TRAINING!D12:D5000,"Mandatory",TRAINING!AS12:AS5000,"YES")</f>
        <v>0</v>
      </c>
      <c r="AR10" s="350"/>
      <c r="AS10" s="350"/>
      <c r="AT10" s="351"/>
      <c r="AU10" s="917">
        <f>COUNTIFS(TRAINING!B12:B5000,"&gt;=01/01/2021",TRAINING!B12:B5000,"&lt;=03/31/2021",TRAINING!D12:D5000,"Mandatory",TRAINING!AS12:AS5000,"YES")</f>
        <v>0</v>
      </c>
      <c r="AV10" s="350"/>
      <c r="AW10" s="350"/>
      <c r="AX10" s="351"/>
      <c r="AY10" s="920">
        <f>COUNTIFS(TRAINING!B12:B5000,"&gt;=04/01/2020",TRAINING!B12:B5000,"&lt;=06/30/2020",TRAINING!D12:D5000,"Mandatory",TRAINING!AS12:AS5000,"YES")</f>
        <v>0</v>
      </c>
      <c r="AZ10" s="350"/>
      <c r="BA10" s="350"/>
      <c r="BB10" s="351"/>
      <c r="BC10" s="917">
        <f>COUNTIFS(TRAINING!B12:B5000,"&gt;=07/01/2021",TRAINING!B12:B5000,"&lt;=09/30/2021",TRAINING!D12:D5000,"Mandatory",TRAINING!AS12:AS5000,"YES")</f>
        <v>0</v>
      </c>
      <c r="BD10" s="350"/>
      <c r="BE10" s="350"/>
      <c r="BF10" s="351"/>
      <c r="BG10" s="914">
        <f>COUNTIFS(TRAINING!B12:B5000,"&gt;=10/01/2021",TRAINING!B12:B5000,"&lt;=12/31/2021",TRAINING!D12:D5000,"Mandatory",TRAINING!AS12:AS5000,"YES")</f>
        <v>0</v>
      </c>
      <c r="BH10" s="350"/>
      <c r="BI10" s="350"/>
      <c r="BJ10" s="351"/>
      <c r="BK10" s="788">
        <f>COUNTIFS(TRAINING!B12:B5000,"&gt;=01/01/2022",TRAINING!B12:B5000,"&lt;=03/31/2022",TRAINING!D12:D5000,"Mandatory",TRAINING!AS12:AS5000,"YES")</f>
        <v>0</v>
      </c>
      <c r="BL10" s="350"/>
      <c r="BM10" s="350"/>
      <c r="BN10" s="351"/>
      <c r="BO10" s="914">
        <f>COUNTIFS(TRAINING!B12:B5000,"&gt;=04/01/2022",TRAINING!B12:B5000,"&lt;=06/30/2022",TRAINING!D12:D5000,"Mandatory",TRAINING!AS12:AS5000,"YES")</f>
        <v>0</v>
      </c>
      <c r="BP10" s="350"/>
      <c r="BQ10" s="350"/>
      <c r="BR10" s="351"/>
      <c r="BS10" s="970">
        <f>COUNTIFS(TRAINING!B12:B5000,"&gt;=07/01/2022",TRAINING!B12:B5000,"&lt;=09/30/2022",TRAINING!D12:D5000,"Mandatory",TRAINING!AS12:AS5000,"YES")</f>
        <v>0</v>
      </c>
      <c r="BT10" s="350"/>
      <c r="BU10" s="350"/>
      <c r="BV10" s="351"/>
      <c r="BW10" s="173"/>
    </row>
    <row r="11" spans="1:75" ht="15.75">
      <c r="A11" s="413" t="s">
        <v>450</v>
      </c>
      <c r="B11" s="350"/>
      <c r="C11" s="350"/>
      <c r="D11" s="350"/>
      <c r="E11" s="350"/>
      <c r="F11" s="350"/>
      <c r="G11" s="350"/>
      <c r="H11" s="351"/>
      <c r="I11" s="755">
        <f>'GRANTEE SET UP INFO &amp; DATE '!C17</f>
        <v>0</v>
      </c>
      <c r="J11" s="350"/>
      <c r="K11" s="350"/>
      <c r="L11" s="351"/>
      <c r="M11" s="884">
        <f>'GRANTEE SET UP INFO &amp; DATE '!F17</f>
        <v>0</v>
      </c>
      <c r="N11" s="350"/>
      <c r="O11" s="350"/>
      <c r="P11" s="350"/>
      <c r="Q11" s="351"/>
      <c r="R11" s="885" t="e">
        <f>'GRANTEE SET UP INFO &amp; DATE '!#REF!</f>
        <v>#REF!</v>
      </c>
      <c r="S11" s="350"/>
      <c r="T11" s="350"/>
      <c r="U11" s="350"/>
      <c r="V11" s="351"/>
      <c r="W11" s="973">
        <f>COUNTIFS(TRAINING!B12:B5000,"&gt;=07/01/2000",TRAINING!B12:B5000,"&lt;=09/30/2019",TRAINING!D12:D5000,"Mandatory",TRAINING!AT12:AT5000,"YES")</f>
        <v>0</v>
      </c>
      <c r="X11" s="350"/>
      <c r="Y11" s="350"/>
      <c r="Z11" s="351"/>
      <c r="AA11" s="974">
        <f>COUNTIFS(TRAINING!B12:B5000,"&gt;=10/01/2019",TRAINING!B12:B5000,"&lt;=12/31/2019",TRAINING!D12:D5000,"Mandatory",TRAINING!AT12:AT5000,"YES")</f>
        <v>0</v>
      </c>
      <c r="AB11" s="350"/>
      <c r="AC11" s="350"/>
      <c r="AD11" s="351"/>
      <c r="AE11" s="755">
        <f>COUNTIFS(TRAINING!B12:B5000,"&gt;=01/01/2020",TRAINING!B12:B5000,"&lt;=03/31/2020",TRAINING!D12:D5000,"Mandatory",TRAINING!AT12:AT5000,"YES")</f>
        <v>0</v>
      </c>
      <c r="AF11" s="350"/>
      <c r="AG11" s="350"/>
      <c r="AH11" s="351"/>
      <c r="AI11" s="971">
        <f>COUNTIFS(TRAINING!B12:B5000,"&gt;=04/01/2020",TRAINING!B12:B5000,"&lt;=06/30/2020",TRAINING!D12:D5000,"Mandatory",TRAINING!AT12:AT5000,"YES")</f>
        <v>0</v>
      </c>
      <c r="AJ11" s="350"/>
      <c r="AK11" s="350"/>
      <c r="AL11" s="351"/>
      <c r="AM11" s="972">
        <f>COUNTIFS(TRAINING!B12:B5000,"&gt;=07/01/2020",TRAINING!B12:B5000,"&lt;=09/30/2020",TRAINING!D12:D5000,"Mandatory",TRAINING!AT12:AT5000,"YES")</f>
        <v>0</v>
      </c>
      <c r="AN11" s="350"/>
      <c r="AO11" s="350"/>
      <c r="AP11" s="351"/>
      <c r="AQ11" s="920">
        <f>COUNTIFS(TRAINING!B12:B5000,"&gt;=10/01/2020",TRAINING!B12:B5000,"&lt;=12/31/2020",TRAINING!D12:D5000,"Mandatory",TRAINING!AT12:AT5000,"YES")</f>
        <v>0</v>
      </c>
      <c r="AR11" s="350"/>
      <c r="AS11" s="350"/>
      <c r="AT11" s="351"/>
      <c r="AU11" s="917">
        <f>COUNTIFS(TRAINING!B12:B5000,"&gt;=01/01/2021",TRAINING!B12:B5000,"&lt;=03/31/2021",TRAINING!D12:D5000,"Mandatory",TRAINING!AT12:AT5000,"YES")</f>
        <v>0</v>
      </c>
      <c r="AV11" s="350"/>
      <c r="AW11" s="350"/>
      <c r="AX11" s="351"/>
      <c r="AY11" s="920">
        <f>COUNTIFS(TRAINING!B12:B5000,"&gt;=04/01/2020",TRAINING!B12:B5000,"&lt;=06/30/2020",TRAINING!D12:D5000,"Mandatory",TRAINING!AT12:AT5000,"YES")</f>
        <v>0</v>
      </c>
      <c r="AZ11" s="350"/>
      <c r="BA11" s="350"/>
      <c r="BB11" s="351"/>
      <c r="BC11" s="917">
        <f>COUNTIFS(TRAINING!B12:B5000,"&gt;=07/01/2021",TRAINING!B12:B5000,"&lt;=09/30/2021",TRAINING!D12:D5000,"Mandatory",TRAINING!AT12:AT5000,"YES")</f>
        <v>0</v>
      </c>
      <c r="BD11" s="350"/>
      <c r="BE11" s="350"/>
      <c r="BF11" s="351"/>
      <c r="BG11" s="914">
        <f>COUNTIFS(TRAINING!B12:B5000,"&gt;=10/01/2021",TRAINING!B12:B5000,"&lt;=12/31/2021",TRAINING!D12:D5000,"Mandatory",TRAINING!AT12:AT5000,"YES")</f>
        <v>0</v>
      </c>
      <c r="BH11" s="350"/>
      <c r="BI11" s="350"/>
      <c r="BJ11" s="351"/>
      <c r="BK11" s="788">
        <f>COUNTIFS(TRAINING!B12:B5000,"&gt;=01/01/2022",TRAINING!B12:B5000,"&lt;=03/31/2022",TRAINING!D12:D5000,"Mandatory",TRAINING!AT12:AT5000,"YES")</f>
        <v>0</v>
      </c>
      <c r="BL11" s="350"/>
      <c r="BM11" s="350"/>
      <c r="BN11" s="351"/>
      <c r="BO11" s="914">
        <f>COUNTIFS(TRAINING!B12:B5000,"&gt;=04/01/2022",TRAINING!B12:B5000,"&lt;=06/30/2022",TRAINING!D12:D5000,"Mandatory",TRAINING!AT12:AT5000,"YES")</f>
        <v>0</v>
      </c>
      <c r="BP11" s="350"/>
      <c r="BQ11" s="350"/>
      <c r="BR11" s="351"/>
      <c r="BS11" s="970">
        <f>COUNTIFS(TRAINING!B12:B5000,"&gt;=07/01/2022",TRAINING!B12:B5000,"&lt;=09/30/2022",TRAINING!D12:D5000,"Mandatory",TRAINING!AT12:AT5000,"YES")</f>
        <v>0</v>
      </c>
      <c r="BT11" s="350"/>
      <c r="BU11" s="350"/>
      <c r="BV11" s="351"/>
      <c r="BW11" s="173"/>
    </row>
    <row r="12" spans="1:75" ht="15.75">
      <c r="A12" s="413" t="s">
        <v>451</v>
      </c>
      <c r="B12" s="350"/>
      <c r="C12" s="350"/>
      <c r="D12" s="350"/>
      <c r="E12" s="350"/>
      <c r="F12" s="350"/>
      <c r="G12" s="350"/>
      <c r="H12" s="351"/>
      <c r="I12" s="755">
        <f>'GRANTEE SET UP INFO &amp; DATE '!C18</f>
        <v>0</v>
      </c>
      <c r="J12" s="350"/>
      <c r="K12" s="350"/>
      <c r="L12" s="351"/>
      <c r="M12" s="884">
        <f>'GRANTEE SET UP INFO &amp; DATE '!F18</f>
        <v>0</v>
      </c>
      <c r="N12" s="350"/>
      <c r="O12" s="350"/>
      <c r="P12" s="350"/>
      <c r="Q12" s="351"/>
      <c r="R12" s="885" t="e">
        <f>'GRANTEE SET UP INFO &amp; DATE '!#REF!</f>
        <v>#REF!</v>
      </c>
      <c r="S12" s="350"/>
      <c r="T12" s="350"/>
      <c r="U12" s="350"/>
      <c r="V12" s="351"/>
      <c r="W12" s="973">
        <f>COUNTIFS(TRAINING!B12:B5000,"&gt;=07/01/2000",TRAINING!B12:B5000,"&lt;=09/30/2019",TRAINING!D12:D5000,"Mandatory",TRAINING!AU12:AU5000,"YES")</f>
        <v>0</v>
      </c>
      <c r="X12" s="350"/>
      <c r="Y12" s="350"/>
      <c r="Z12" s="351"/>
      <c r="AA12" s="974">
        <f>COUNTIFS(TRAINING!B12:B5000,"&gt;=10/01/2019",TRAINING!B12:B5000,"&lt;=12/31/2019",TRAINING!D12:D5000,"Mandatory",TRAINING!AU12:AU5000,"YES")</f>
        <v>0</v>
      </c>
      <c r="AB12" s="350"/>
      <c r="AC12" s="350"/>
      <c r="AD12" s="351"/>
      <c r="AE12" s="755">
        <f>COUNTIFS(TRAINING!B12:B5000,"&gt;=01/01/2020",TRAINING!B12:B5000,"&lt;=03/31/2020",TRAINING!D12:D5000,"Mandatory",TRAINING!AU12:AU5000,"YES")</f>
        <v>0</v>
      </c>
      <c r="AF12" s="350"/>
      <c r="AG12" s="350"/>
      <c r="AH12" s="351"/>
      <c r="AI12" s="971">
        <f>COUNTIFS(TRAINING!B12:B5000,"&gt;=04/01/2020",TRAINING!B12:B5000,"&lt;=06/30/2020",TRAINING!D12:D5000,"Mandatory",TRAINING!AU12:AU5000,"YES")</f>
        <v>0</v>
      </c>
      <c r="AJ12" s="350"/>
      <c r="AK12" s="350"/>
      <c r="AL12" s="351"/>
      <c r="AM12" s="972">
        <f>COUNTIFS(TRAINING!B12:B5000,"&gt;=07/01/2020",TRAINING!B12:B5000,"&lt;=09/30/2020",TRAINING!D12:D5000,"Mandatory",TRAINING!AU12:AU5000,"YES")</f>
        <v>0</v>
      </c>
      <c r="AN12" s="350"/>
      <c r="AO12" s="350"/>
      <c r="AP12" s="351"/>
      <c r="AQ12" s="920">
        <f>COUNTIFS(TRAINING!B12:B5000,"&gt;=10/01/2020",TRAINING!B12:B5000,"&lt;=12/31/2020",TRAINING!D12:D5000,"Mandatory",TRAINING!AU12:AU5000,"YES")</f>
        <v>0</v>
      </c>
      <c r="AR12" s="350"/>
      <c r="AS12" s="350"/>
      <c r="AT12" s="351"/>
      <c r="AU12" s="917">
        <f>COUNTIFS(TRAINING!B12:B5000,"&gt;=01/01/2021",TRAINING!B12:B5000,"&lt;=03/31/2021",TRAINING!D12:D5000,"Mandatory",TRAINING!AU12:AU5000,"YES")</f>
        <v>0</v>
      </c>
      <c r="AV12" s="350"/>
      <c r="AW12" s="350"/>
      <c r="AX12" s="351"/>
      <c r="AY12" s="920">
        <f>COUNTIFS(TRAINING!B12:B5000,"&gt;=04/01/2020",TRAINING!B12:B5000,"&lt;=06/30/2020",TRAINING!D12:D5000,"Mandatory",TRAINING!AU12:AU5000,"YES")</f>
        <v>0</v>
      </c>
      <c r="AZ12" s="350"/>
      <c r="BA12" s="350"/>
      <c r="BB12" s="351"/>
      <c r="BC12" s="917">
        <f>COUNTIFS(TRAINING!B12:B5000,"&gt;=07/01/2021",TRAINING!B12:B5000,"&lt;=09/30/2021",TRAINING!D12:D5000,"Mandatory",TRAINING!AU12:AU5000,"YES")</f>
        <v>0</v>
      </c>
      <c r="BD12" s="350"/>
      <c r="BE12" s="350"/>
      <c r="BF12" s="351"/>
      <c r="BG12" s="914">
        <f>COUNTIFS(TRAINING!B12:B5000,"&gt;=10/01/2021",TRAINING!B12:B5000,"&lt;=12/31/2021",TRAINING!D12:D5000,"Mandatory",TRAINING!AU12:AU5000,"YES")</f>
        <v>0</v>
      </c>
      <c r="BH12" s="350"/>
      <c r="BI12" s="350"/>
      <c r="BJ12" s="351"/>
      <c r="BK12" s="788">
        <f>COUNTIFS(TRAINING!B12:B5000,"&gt;=01/01/2022",TRAINING!B12:B5000,"&lt;=03/31/2022",TRAINING!D12:D5000,"Mandatory",TRAINING!AU12:AU5000,"YES")</f>
        <v>0</v>
      </c>
      <c r="BL12" s="350"/>
      <c r="BM12" s="350"/>
      <c r="BN12" s="351"/>
      <c r="BO12" s="914">
        <f>COUNTIFS(TRAINING!B12:B5000,"&gt;=04/01/2022",TRAINING!B12:B5000,"&lt;=06/30/2022",TRAINING!D12:D5000,"Mandatory",TRAINING!AU12:AU5000,"YES")</f>
        <v>0</v>
      </c>
      <c r="BP12" s="350"/>
      <c r="BQ12" s="350"/>
      <c r="BR12" s="351"/>
      <c r="BS12" s="970">
        <f>COUNTIFS(TRAINING!B12:B5000,"&gt;=07/01/2022",TRAINING!B12:B5000,"&lt;=09/30/2022",TRAINING!D12:D5000,"Mandatory",TRAINING!AU12:AU5000,"YES")</f>
        <v>0</v>
      </c>
      <c r="BT12" s="350"/>
      <c r="BU12" s="350"/>
      <c r="BV12" s="351"/>
      <c r="BW12" s="173"/>
    </row>
    <row r="13" spans="1:75" ht="15.75">
      <c r="A13" s="413" t="s">
        <v>452</v>
      </c>
      <c r="B13" s="350"/>
      <c r="C13" s="350"/>
      <c r="D13" s="350"/>
      <c r="E13" s="350"/>
      <c r="F13" s="350"/>
      <c r="G13" s="350"/>
      <c r="H13" s="351"/>
      <c r="I13" s="755" t="e">
        <f>'GRANTEE SET UP INFO &amp; DATE '!#REF!</f>
        <v>#REF!</v>
      </c>
      <c r="J13" s="350"/>
      <c r="K13" s="350"/>
      <c r="L13" s="351"/>
      <c r="M13" s="887" t="e">
        <f>'GRANTEE SET UP INFO &amp; DATE '!#REF!</f>
        <v>#REF!</v>
      </c>
      <c r="N13" s="350"/>
      <c r="O13" s="350"/>
      <c r="P13" s="350"/>
      <c r="Q13" s="351"/>
      <c r="R13" s="888" t="e">
        <f>'GRANTEE SET UP INFO &amp; DATE '!#REF!</f>
        <v>#REF!</v>
      </c>
      <c r="S13" s="350"/>
      <c r="T13" s="350"/>
      <c r="U13" s="350"/>
      <c r="V13" s="351"/>
      <c r="W13" s="973">
        <f>COUNTIFS(TRAINING!B12:B5000,"&gt;=07/01/2000",TRAINING!B12:B5000,"&lt;=09/30/2019",TRAINING!D12:D5000,"Mandatory",TRAINING!AV12:AV5000,"YES")</f>
        <v>0</v>
      </c>
      <c r="X13" s="350"/>
      <c r="Y13" s="350"/>
      <c r="Z13" s="351"/>
      <c r="AA13" s="974">
        <f>COUNTIFS(TRAINING!B12:B5000,"&gt;=10/01/2019",TRAINING!B12:B5000,"&lt;=12/31/2019",TRAINING!D12:D5000,"Mandatory",TRAINING!AV12:AV5000,"YES")</f>
        <v>0</v>
      </c>
      <c r="AB13" s="350"/>
      <c r="AC13" s="350"/>
      <c r="AD13" s="351"/>
      <c r="AE13" s="755">
        <f>COUNTIFS(TRAINING!B12:B5000,"&gt;=01/01/2020",TRAINING!B12:B5000,"&lt;=03/31/2020",TRAINING!D12:D5000,"Mandatory",TRAINING!AV12:AV5000,"YES")</f>
        <v>0</v>
      </c>
      <c r="AF13" s="350"/>
      <c r="AG13" s="350"/>
      <c r="AH13" s="351"/>
      <c r="AI13" s="971">
        <f>COUNTIFS(TRAINING!B12:B5000,"&gt;=04/01/2020",TRAINING!B12:B5000,"&lt;=06/30/2020",TRAINING!D12:D5000,"Mandatory",TRAINING!AV12:AV5000,"YES")</f>
        <v>0</v>
      </c>
      <c r="AJ13" s="350"/>
      <c r="AK13" s="350"/>
      <c r="AL13" s="351"/>
      <c r="AM13" s="972">
        <f>COUNTIFS(TRAINING!B12:B5000,"&gt;=07/01/2020",TRAINING!B12:B5000,"&lt;=09/30/2020",TRAINING!D12:D5000,"Mandatory",TRAINING!AV12:AV5000,"YES")</f>
        <v>0</v>
      </c>
      <c r="AN13" s="350"/>
      <c r="AO13" s="350"/>
      <c r="AP13" s="351"/>
      <c r="AQ13" s="920">
        <f>COUNTIFS(TRAINING!B12:B5000,"&gt;=10/01/2020",TRAINING!B12:B5000,"&lt;=12/31/2020",TRAINING!D12:D5000,"Mandatory",TRAINING!AV12:AV5000,"YES")</f>
        <v>0</v>
      </c>
      <c r="AR13" s="350"/>
      <c r="AS13" s="350"/>
      <c r="AT13" s="351"/>
      <c r="AU13" s="917">
        <f>COUNTIFS(TRAINING!B12:B5000,"&gt;=01/01/2021",TRAINING!B12:B5000,"&lt;=03/31/2021",TRAINING!D12:D5000,"Mandatory",TRAINING!AV12:AV5000,"YES")</f>
        <v>0</v>
      </c>
      <c r="AV13" s="350"/>
      <c r="AW13" s="350"/>
      <c r="AX13" s="351"/>
      <c r="AY13" s="920">
        <f>COUNTIFS(TRAINING!B12:B5000,"&gt;=04/01/2020",TRAINING!B12:B5000,"&lt;=06/30/2020",TRAINING!D12:D5000,"Mandatory",TRAINING!AV12:AV5000,"YES")</f>
        <v>0</v>
      </c>
      <c r="AZ13" s="350"/>
      <c r="BA13" s="350"/>
      <c r="BB13" s="351"/>
      <c r="BC13" s="917">
        <f>COUNTIFS(TRAINING!B12:B5000,"&gt;=07/01/2021",TRAINING!B12:B5000,"&lt;=09/30/2021",TRAINING!D12:D5000,"Mandatory",TRAINING!AV12:AV5000,"YES")</f>
        <v>0</v>
      </c>
      <c r="BD13" s="350"/>
      <c r="BE13" s="350"/>
      <c r="BF13" s="351"/>
      <c r="BG13" s="914">
        <f>COUNTIFS(TRAINING!B12:B5000,"&gt;=10/01/2021",TRAINING!B12:B5000,"&lt;=12/31/2021",TRAINING!D12:D5000,"Mandatory",TRAINING!AV12:AV5000,"YES")</f>
        <v>0</v>
      </c>
      <c r="BH13" s="350"/>
      <c r="BI13" s="350"/>
      <c r="BJ13" s="351"/>
      <c r="BK13" s="788">
        <f>COUNTIFS(TRAINING!B12:B5000,"&gt;=01/01/2022",TRAINING!B12:B5000,"&lt;=03/31/2022",TRAINING!D12:D5000,"Mandatory",TRAINING!AV12:AV5000,"YES")</f>
        <v>0</v>
      </c>
      <c r="BL13" s="350"/>
      <c r="BM13" s="350"/>
      <c r="BN13" s="351"/>
      <c r="BO13" s="914">
        <f>COUNTIFS(TRAINING!B12:B5000,"&gt;=04/01/2022",TRAINING!B12:B5000,"&lt;=06/30/2022",TRAINING!D12:D5000,"Mandatory",TRAINING!AV12:AV5000,"YES")</f>
        <v>0</v>
      </c>
      <c r="BP13" s="350"/>
      <c r="BQ13" s="350"/>
      <c r="BR13" s="351"/>
      <c r="BS13" s="970">
        <f>COUNTIFS(TRAINING!B12:B5000,"&gt;=07/01/2022",TRAINING!B12:B5000,"&lt;=09/30/2022",TRAINING!D12:D5000,"Mandatory",TRAINING!AV12:AV5000,"YES")</f>
        <v>0</v>
      </c>
      <c r="BT13" s="350"/>
      <c r="BU13" s="350"/>
      <c r="BV13" s="351"/>
      <c r="BW13" s="173"/>
    </row>
    <row r="14" spans="1:75" ht="15.75">
      <c r="A14" s="413" t="s">
        <v>453</v>
      </c>
      <c r="B14" s="350"/>
      <c r="C14" s="350"/>
      <c r="D14" s="350"/>
      <c r="E14" s="350"/>
      <c r="F14" s="350"/>
      <c r="G14" s="350"/>
      <c r="H14" s="351"/>
      <c r="I14" s="755" t="e">
        <f>'GRANTEE SET UP INFO &amp; DATE '!#REF!</f>
        <v>#REF!</v>
      </c>
      <c r="J14" s="350"/>
      <c r="K14" s="350"/>
      <c r="L14" s="351"/>
      <c r="M14" s="887" t="e">
        <f>'GRANTEE SET UP INFO &amp; DATE '!#REF!</f>
        <v>#REF!</v>
      </c>
      <c r="N14" s="350"/>
      <c r="O14" s="350"/>
      <c r="P14" s="350"/>
      <c r="Q14" s="351"/>
      <c r="R14" s="888" t="e">
        <f>'GRANTEE SET UP INFO &amp; DATE '!#REF!</f>
        <v>#REF!</v>
      </c>
      <c r="S14" s="350"/>
      <c r="T14" s="350"/>
      <c r="U14" s="350"/>
      <c r="V14" s="351"/>
      <c r="W14" s="973">
        <f>COUNTIFS(TRAINING!B12:B5000,"&gt;=07/01/2000",TRAINING!B12:B5000,"&lt;=09/30/2019",TRAINING!D12:D5000,"Mandatory",TRAINING!AW12:AW5000,"YES")</f>
        <v>0</v>
      </c>
      <c r="X14" s="350"/>
      <c r="Y14" s="350"/>
      <c r="Z14" s="351"/>
      <c r="AA14" s="974">
        <f>COUNTIFS(TRAINING!B12:B5000,"&gt;=10/01/2019",TRAINING!B12:B5000,"&lt;=12/31/2019",TRAINING!D12:D5000,"Mandatory",TRAINING!AW12:AW5000,"YES")</f>
        <v>0</v>
      </c>
      <c r="AB14" s="350"/>
      <c r="AC14" s="350"/>
      <c r="AD14" s="351"/>
      <c r="AE14" s="755">
        <f>COUNTIFS(TRAINING!B12:B5000,"&gt;=01/01/2020",TRAINING!B12:B5000,"&lt;=03/31/2020",TRAINING!D12:D5000,"Mandatory",TRAINING!AW12:AW5000,"YES")</f>
        <v>0</v>
      </c>
      <c r="AF14" s="350"/>
      <c r="AG14" s="350"/>
      <c r="AH14" s="351"/>
      <c r="AI14" s="971">
        <f>COUNTIFS(TRAINING!B12:B5000,"&gt;=04/01/2020",TRAINING!B12:B5000,"&lt;=06/30/2020",TRAINING!D12:D5000,"Mandatory",TRAINING!AW12:AW5000,"YES")</f>
        <v>0</v>
      </c>
      <c r="AJ14" s="350"/>
      <c r="AK14" s="350"/>
      <c r="AL14" s="351"/>
      <c r="AM14" s="972">
        <f>COUNTIFS(TRAINING!B12:B5000,"&gt;=07/01/2020",TRAINING!B12:B5000,"&lt;=09/30/2020",TRAINING!D12:D5000,"Mandatory",TRAINING!AW12:AW5000,"YES")</f>
        <v>0</v>
      </c>
      <c r="AN14" s="350"/>
      <c r="AO14" s="350"/>
      <c r="AP14" s="351"/>
      <c r="AQ14" s="920">
        <f>COUNTIFS(TRAINING!B12:B5000,"&gt;=10/01/2020",TRAINING!B12:B5000,"&lt;=12/31/2020",TRAINING!D12:D5000,"Mandatory",TRAINING!AW12:AW5000,"YES")</f>
        <v>0</v>
      </c>
      <c r="AR14" s="350"/>
      <c r="AS14" s="350"/>
      <c r="AT14" s="351"/>
      <c r="AU14" s="917">
        <f>COUNTIFS(TRAINING!B12:B5000,"&gt;=01/01/2021",TRAINING!B12:B5000,"&lt;=03/31/2021",TRAINING!D12:D5000,"Mandatory",TRAINING!AW12:AW5000,"YES")</f>
        <v>0</v>
      </c>
      <c r="AV14" s="350"/>
      <c r="AW14" s="350"/>
      <c r="AX14" s="351"/>
      <c r="AY14" s="920">
        <f>COUNTIFS(TRAINING!B12:B5000,"&gt;=04/01/2020",TRAINING!B12:B5000,"&lt;=06/30/2020",TRAINING!D12:D5000,"Mandatory",TRAINING!AW12:AW5000,"YES")</f>
        <v>0</v>
      </c>
      <c r="AZ14" s="350"/>
      <c r="BA14" s="350"/>
      <c r="BB14" s="351"/>
      <c r="BC14" s="917">
        <f>COUNTIFS(TRAINING!B12:B5000,"&gt;=07/01/2021",TRAINING!B12:B5000,"&lt;=09/30/2021",TRAINING!D12:D5000,"Mandatory",TRAINING!AW12:AW5000,"YES")</f>
        <v>0</v>
      </c>
      <c r="BD14" s="350"/>
      <c r="BE14" s="350"/>
      <c r="BF14" s="351"/>
      <c r="BG14" s="914">
        <f>COUNTIFS(TRAINING!B12:B5000,"&gt;=10/01/2021",TRAINING!B12:B5000,"&lt;=12/31/2021",TRAINING!D12:D5000,"Mandatory",TRAINING!AW12:AW5000,"YES")</f>
        <v>0</v>
      </c>
      <c r="BH14" s="350"/>
      <c r="BI14" s="350"/>
      <c r="BJ14" s="351"/>
      <c r="BK14" s="788">
        <f>COUNTIFS(TRAINING!B12:B5000,"&gt;=01/01/2022",TRAINING!B12:B5000,"&lt;=03/31/2022",TRAINING!D12:D5000,"Mandatory",TRAINING!AW12:AW5000,"YES")</f>
        <v>0</v>
      </c>
      <c r="BL14" s="350"/>
      <c r="BM14" s="350"/>
      <c r="BN14" s="351"/>
      <c r="BO14" s="914">
        <f>COUNTIFS(TRAINING!B12:B5000,"&gt;=04/01/2022",TRAINING!B12:B5000,"&lt;=06/30/2022",TRAINING!D12:D5000,"Mandatory",TRAINING!AW12:AW5000,"YES")</f>
        <v>0</v>
      </c>
      <c r="BP14" s="350"/>
      <c r="BQ14" s="350"/>
      <c r="BR14" s="351"/>
      <c r="BS14" s="970">
        <f>COUNTIFS(TRAINING!B12:B5000,"&gt;=07/01/2022",TRAINING!B12:B5000,"&lt;=09/30/2022",TRAINING!D12:D5000,"Mandatory",TRAINING!AW12:AW5000,"YES")</f>
        <v>0</v>
      </c>
      <c r="BT14" s="350"/>
      <c r="BU14" s="350"/>
      <c r="BV14" s="351"/>
      <c r="BW14" s="173"/>
    </row>
    <row r="15" spans="1:75" ht="15.75">
      <c r="A15" s="413" t="s">
        <v>454</v>
      </c>
      <c r="B15" s="350"/>
      <c r="C15" s="350"/>
      <c r="D15" s="350"/>
      <c r="E15" s="350"/>
      <c r="F15" s="350"/>
      <c r="G15" s="350"/>
      <c r="H15" s="351"/>
      <c r="I15" s="755" t="e">
        <f>'GRANTEE SET UP INFO &amp; DATE '!#REF!</f>
        <v>#REF!</v>
      </c>
      <c r="J15" s="350"/>
      <c r="K15" s="350"/>
      <c r="L15" s="351"/>
      <c r="M15" s="887" t="e">
        <f>'GRANTEE SET UP INFO &amp; DATE '!#REF!</f>
        <v>#REF!</v>
      </c>
      <c r="N15" s="350"/>
      <c r="O15" s="350"/>
      <c r="P15" s="350"/>
      <c r="Q15" s="351"/>
      <c r="R15" s="888" t="e">
        <f>'GRANTEE SET UP INFO &amp; DATE '!#REF!</f>
        <v>#REF!</v>
      </c>
      <c r="S15" s="350"/>
      <c r="T15" s="350"/>
      <c r="U15" s="350"/>
      <c r="V15" s="351"/>
      <c r="W15" s="973">
        <f>COUNTIFS(TRAINING!B12:B5000,"&gt;=07/01/2000",TRAINING!B12:B5000,"&lt;=09/30/2019",TRAINING!D12:D5000,"Mandatory",TRAINING!AX12:AX5000,"YES")</f>
        <v>0</v>
      </c>
      <c r="X15" s="350"/>
      <c r="Y15" s="350"/>
      <c r="Z15" s="351"/>
      <c r="AA15" s="974">
        <f>COUNTIFS(TRAINING!B12:B5000,"&gt;=10/01/2019",TRAINING!B12:B5000,"&lt;=12/31/2019",TRAINING!D12:D5000,"Mandatory",TRAINING!AX12:AX5000,"YES")</f>
        <v>0</v>
      </c>
      <c r="AB15" s="350"/>
      <c r="AC15" s="350"/>
      <c r="AD15" s="351"/>
      <c r="AE15" s="755">
        <f>COUNTIFS(TRAINING!B12:B5000,"&gt;=01/01/2020",TRAINING!B12:B5000,"&lt;=03/31/2020",TRAINING!D12:D5000,"Mandatory",TRAINING!AX12:AX5000,"YES")</f>
        <v>0</v>
      </c>
      <c r="AF15" s="350"/>
      <c r="AG15" s="350"/>
      <c r="AH15" s="351"/>
      <c r="AI15" s="971">
        <f>COUNTIFS(TRAINING!B12:B5000,"&gt;=04/01/2020",TRAINING!B12:B5000,"&lt;=06/30/2020",TRAINING!D12:D5000,"Mandatory",TRAINING!AX12:AX5000,"YES")</f>
        <v>0</v>
      </c>
      <c r="AJ15" s="350"/>
      <c r="AK15" s="350"/>
      <c r="AL15" s="351"/>
      <c r="AM15" s="972">
        <f>COUNTIFS(TRAINING!B12:B5000,"&gt;=07/01/2020",TRAINING!B12:B5000,"&lt;=09/30/2020",TRAINING!D12:D5000,"Mandatory",TRAINING!AX12:AX5000,"YES")</f>
        <v>0</v>
      </c>
      <c r="AN15" s="350"/>
      <c r="AO15" s="350"/>
      <c r="AP15" s="351"/>
      <c r="AQ15" s="920">
        <f>COUNTIFS(TRAINING!B12:B5000,"&gt;=10/01/2020",TRAINING!B12:B5000,"&lt;=12/31/2020",TRAINING!D12:D5000,"Mandatory",TRAINING!AX12:AX5000,"YES")</f>
        <v>0</v>
      </c>
      <c r="AR15" s="350"/>
      <c r="AS15" s="350"/>
      <c r="AT15" s="351"/>
      <c r="AU15" s="917">
        <f>COUNTIFS(TRAINING!B12:B5000,"&gt;=01/01/2021",TRAINING!B12:B5000,"&lt;=03/31/2021",TRAINING!D12:D5000,"Mandatory",TRAINING!AX12:AX5000,"YES")</f>
        <v>0</v>
      </c>
      <c r="AV15" s="350"/>
      <c r="AW15" s="350"/>
      <c r="AX15" s="351"/>
      <c r="AY15" s="920">
        <f>COUNTIFS(TRAINING!B12:B5000,"&gt;=04/01/2020",TRAINING!B12:B5000,"&lt;=06/30/2020",TRAINING!D12:D5000,"Mandatory",TRAINING!AX12:AX5000,"YES")</f>
        <v>0</v>
      </c>
      <c r="AZ15" s="350"/>
      <c r="BA15" s="350"/>
      <c r="BB15" s="351"/>
      <c r="BC15" s="917">
        <f>COUNTIFS(TRAINING!B12:B5000,"&gt;=07/01/2021",TRAINING!B12:B5000,"&lt;=09/30/2021",TRAINING!D12:D5000,"Mandatory",TRAINING!AX12:AX5000,"YES")</f>
        <v>0</v>
      </c>
      <c r="BD15" s="350"/>
      <c r="BE15" s="350"/>
      <c r="BF15" s="351"/>
      <c r="BG15" s="914">
        <f>COUNTIFS(TRAINING!B12:B5000,"&gt;=10/01/2021",TRAINING!B12:B5000,"&lt;=12/31/2021",TRAINING!D12:D5000,"Mandatory",TRAINING!AX12:AX5000,"YES")</f>
        <v>0</v>
      </c>
      <c r="BH15" s="350"/>
      <c r="BI15" s="350"/>
      <c r="BJ15" s="351"/>
      <c r="BK15" s="788">
        <f>COUNTIFS(TRAINING!B12:B5000,"&gt;=01/01/2022",TRAINING!B12:B5000,"&lt;=03/31/2022",TRAINING!D12:D5000,"Mandatory",TRAINING!AX12:AX5000,"YES")</f>
        <v>0</v>
      </c>
      <c r="BL15" s="350"/>
      <c r="BM15" s="350"/>
      <c r="BN15" s="351"/>
      <c r="BO15" s="914">
        <f>COUNTIFS(TRAINING!B12:B5000,"&gt;=04/01/2022",TRAINING!B12:B5000,"&lt;=06/30/2022",TRAINING!D12:D5000,"Mandatory",TRAINING!AX12:AX5000,"YES")</f>
        <v>0</v>
      </c>
      <c r="BP15" s="350"/>
      <c r="BQ15" s="350"/>
      <c r="BR15" s="351"/>
      <c r="BS15" s="970">
        <f>COUNTIFS(TRAINING!B12:B5000,"&gt;=07/01/2022",TRAINING!B12:B5000,"&lt;=09/30/2022",TRAINING!D12:D5000,"Mandatory",TRAINING!AX12:AX5000,"YES")</f>
        <v>0</v>
      </c>
      <c r="BT15" s="350"/>
      <c r="BU15" s="350"/>
      <c r="BV15" s="351"/>
      <c r="BW15" s="173"/>
    </row>
    <row r="16" spans="1:75" ht="15.75">
      <c r="A16" s="413" t="s">
        <v>455</v>
      </c>
      <c r="B16" s="350"/>
      <c r="C16" s="350"/>
      <c r="D16" s="350"/>
      <c r="E16" s="350"/>
      <c r="F16" s="350"/>
      <c r="G16" s="350"/>
      <c r="H16" s="351"/>
      <c r="I16" s="755" t="e">
        <f>'GRANTEE SET UP INFO &amp; DATE '!#REF!</f>
        <v>#REF!</v>
      </c>
      <c r="J16" s="350"/>
      <c r="K16" s="350"/>
      <c r="L16" s="351"/>
      <c r="M16" s="887" t="e">
        <f>'GRANTEE SET UP INFO &amp; DATE '!#REF!</f>
        <v>#REF!</v>
      </c>
      <c r="N16" s="350"/>
      <c r="O16" s="350"/>
      <c r="P16" s="350"/>
      <c r="Q16" s="351"/>
      <c r="R16" s="888" t="e">
        <f>'GRANTEE SET UP INFO &amp; DATE '!#REF!</f>
        <v>#REF!</v>
      </c>
      <c r="S16" s="350"/>
      <c r="T16" s="350"/>
      <c r="U16" s="350"/>
      <c r="V16" s="351"/>
      <c r="W16" s="973">
        <f>COUNTIFS(TRAINING!B12:B5000,"&gt;=07/01/2000",TRAINING!B12:B5000,"&lt;=09/30/2019",TRAINING!D12:D5000,"Mandatory",TRAINING!AY12:AY5000,"YES")</f>
        <v>0</v>
      </c>
      <c r="X16" s="350"/>
      <c r="Y16" s="350"/>
      <c r="Z16" s="351"/>
      <c r="AA16" s="974">
        <f>COUNTIFS(TRAINING!B12:B5000,"&gt;=10/01/2019",TRAINING!B12:B5000,"&lt;=12/31/2019",TRAINING!D12:D5000,"Mandatory",TRAINING!AY12:AY5000,"YES")</f>
        <v>0</v>
      </c>
      <c r="AB16" s="350"/>
      <c r="AC16" s="350"/>
      <c r="AD16" s="351"/>
      <c r="AE16" s="755">
        <f>COUNTIFS(TRAINING!B12:B5000,"&gt;=01/01/2020",TRAINING!B12:B5000,"&lt;=03/31/2020",TRAINING!D12:D5000,"Mandatory",TRAINING!AY12:AY5000,"YES")</f>
        <v>0</v>
      </c>
      <c r="AF16" s="350"/>
      <c r="AG16" s="350"/>
      <c r="AH16" s="351"/>
      <c r="AI16" s="971">
        <f>COUNTIFS(TRAINING!B12:B5000,"&gt;=04/01/2020",TRAINING!B12:B5000,"&lt;=06/30/2020",TRAINING!D12:D5000,"Mandatory",TRAINING!AY12:AY5000,"YES")</f>
        <v>0</v>
      </c>
      <c r="AJ16" s="350"/>
      <c r="AK16" s="350"/>
      <c r="AL16" s="351"/>
      <c r="AM16" s="972">
        <f>COUNTIFS(TRAINING!B12:B5000,"&gt;=07/01/2020",TRAINING!B12:B5000,"&lt;=09/30/2020",TRAINING!D12:D5000,"Mandatory",TRAINING!AY12:AY5000,"YES")</f>
        <v>0</v>
      </c>
      <c r="AN16" s="350"/>
      <c r="AO16" s="350"/>
      <c r="AP16" s="351"/>
      <c r="AQ16" s="920">
        <f>COUNTIFS(TRAINING!B12:B5000,"&gt;=10/01/2020",TRAINING!B12:B5000,"&lt;=12/31/2020",TRAINING!D12:D5000,"Mandatory",TRAINING!AY12:AY5000,"YES")</f>
        <v>0</v>
      </c>
      <c r="AR16" s="350"/>
      <c r="AS16" s="350"/>
      <c r="AT16" s="351"/>
      <c r="AU16" s="917">
        <f>COUNTIFS(TRAINING!B12:B5000,"&gt;=01/01/2021",TRAINING!B12:B5000,"&lt;=03/31/2021",TRAINING!D12:D5000,"Mandatory",TRAINING!AY12:AY5000,"YES")</f>
        <v>0</v>
      </c>
      <c r="AV16" s="350"/>
      <c r="AW16" s="350"/>
      <c r="AX16" s="351"/>
      <c r="AY16" s="920">
        <f>COUNTIFS(TRAINING!B12:B5000,"&gt;=04/01/2020",TRAINING!B12:B5000,"&lt;=06/30/2020",TRAINING!D12:D5000,"Mandatory",TRAINING!AY12:AY5000,"YES")</f>
        <v>0</v>
      </c>
      <c r="AZ16" s="350"/>
      <c r="BA16" s="350"/>
      <c r="BB16" s="351"/>
      <c r="BC16" s="917">
        <f>COUNTIFS(TRAINING!B12:B5000,"&gt;=07/01/2021",TRAINING!B12:B5000,"&lt;=09/30/2021",TRAINING!D12:D5000,"Mandatory",TRAINING!AY12:AY5000,"YES")</f>
        <v>0</v>
      </c>
      <c r="BD16" s="350"/>
      <c r="BE16" s="350"/>
      <c r="BF16" s="351"/>
      <c r="BG16" s="914">
        <f>COUNTIFS(TRAINING!B12:B5000,"&gt;=10/01/2021",TRAINING!B12:B5000,"&lt;=12/31/2021",TRAINING!D12:D5000,"Mandatory",TRAINING!AY12:AY5000,"YES")</f>
        <v>0</v>
      </c>
      <c r="BH16" s="350"/>
      <c r="BI16" s="350"/>
      <c r="BJ16" s="351"/>
      <c r="BK16" s="788">
        <f>COUNTIFS(TRAINING!B12:B5000,"&gt;=01/01/2022",TRAINING!B12:B5000,"&lt;=03/31/2022",TRAINING!D12:D5000,"Mandatory",TRAINING!AY12:AY5000,"YES")</f>
        <v>0</v>
      </c>
      <c r="BL16" s="350"/>
      <c r="BM16" s="350"/>
      <c r="BN16" s="351"/>
      <c r="BO16" s="914">
        <f>COUNTIFS(TRAINING!B12:B5000,"&gt;=04/01/2022",TRAINING!B12:B5000,"&lt;=06/30/2022",TRAINING!D12:D5000,"Mandatory",TRAINING!AY12:AY5000,"YES")</f>
        <v>0</v>
      </c>
      <c r="BP16" s="350"/>
      <c r="BQ16" s="350"/>
      <c r="BR16" s="351"/>
      <c r="BS16" s="970">
        <f>COUNTIFS(TRAINING!B12:B5000,"&gt;=07/01/2022",TRAINING!B12:B5000,"&lt;=09/30/2022",TRAINING!D12:D5000,"Mandatory",TRAINING!AY12:AY5000,"YES")</f>
        <v>0</v>
      </c>
      <c r="BT16" s="350"/>
      <c r="BU16" s="350"/>
      <c r="BV16" s="351"/>
      <c r="BW16" s="173"/>
    </row>
    <row r="17" spans="1:75" ht="15.75">
      <c r="A17" s="413"/>
      <c r="B17" s="350"/>
      <c r="C17" s="350"/>
      <c r="D17" s="350"/>
      <c r="E17" s="350"/>
      <c r="F17" s="350"/>
      <c r="G17" s="350"/>
      <c r="H17" s="351"/>
      <c r="I17" s="754"/>
      <c r="J17" s="350"/>
      <c r="K17" s="350"/>
      <c r="L17" s="351"/>
      <c r="M17" s="887"/>
      <c r="N17" s="350"/>
      <c r="O17" s="350"/>
      <c r="P17" s="350"/>
      <c r="Q17" s="351"/>
      <c r="R17" s="888"/>
      <c r="S17" s="350"/>
      <c r="T17" s="350"/>
      <c r="U17" s="350"/>
      <c r="V17" s="351"/>
      <c r="W17" s="973"/>
      <c r="X17" s="350"/>
      <c r="Y17" s="350"/>
      <c r="Z17" s="351"/>
      <c r="AA17" s="511"/>
      <c r="AB17" s="350"/>
      <c r="AC17" s="350"/>
      <c r="AD17" s="351"/>
      <c r="AE17" s="755"/>
      <c r="AF17" s="350"/>
      <c r="AG17" s="350"/>
      <c r="AH17" s="351"/>
      <c r="AI17" s="978"/>
      <c r="AJ17" s="350"/>
      <c r="AK17" s="350"/>
      <c r="AL17" s="351"/>
      <c r="AM17" s="754"/>
      <c r="AN17" s="350"/>
      <c r="AO17" s="350"/>
      <c r="AP17" s="351"/>
      <c r="AQ17" s="353"/>
      <c r="AR17" s="350"/>
      <c r="AS17" s="350"/>
      <c r="AT17" s="351"/>
      <c r="AU17" s="917"/>
      <c r="AV17" s="350"/>
      <c r="AW17" s="350"/>
      <c r="AX17" s="351"/>
      <c r="AY17" s="353"/>
      <c r="AZ17" s="350"/>
      <c r="BA17" s="350"/>
      <c r="BB17" s="351"/>
      <c r="BC17" s="917"/>
      <c r="BD17" s="350"/>
      <c r="BE17" s="350"/>
      <c r="BF17" s="351"/>
      <c r="BG17" s="914"/>
      <c r="BH17" s="350"/>
      <c r="BI17" s="350"/>
      <c r="BJ17" s="351"/>
      <c r="BK17" s="788"/>
      <c r="BL17" s="350"/>
      <c r="BM17" s="350"/>
      <c r="BN17" s="351"/>
      <c r="BO17" s="919"/>
      <c r="BP17" s="350"/>
      <c r="BQ17" s="350"/>
      <c r="BR17" s="351"/>
      <c r="BS17" s="787"/>
      <c r="BT17" s="350"/>
      <c r="BU17" s="350"/>
      <c r="BV17" s="351"/>
      <c r="BW17" s="173"/>
    </row>
    <row r="18" spans="1:75" ht="15.75">
      <c r="A18" s="924" t="s">
        <v>561</v>
      </c>
      <c r="B18" s="350"/>
      <c r="C18" s="350"/>
      <c r="D18" s="350"/>
      <c r="E18" s="350"/>
      <c r="F18" s="350"/>
      <c r="G18" s="350"/>
      <c r="H18" s="350"/>
      <c r="I18" s="350"/>
      <c r="J18" s="350"/>
      <c r="K18" s="350"/>
      <c r="L18" s="350"/>
      <c r="M18" s="350"/>
      <c r="N18" s="350"/>
      <c r="O18" s="350"/>
      <c r="P18" s="350"/>
      <c r="Q18" s="350"/>
      <c r="R18" s="350"/>
      <c r="S18" s="350"/>
      <c r="T18" s="350"/>
      <c r="U18" s="350"/>
      <c r="V18" s="351"/>
      <c r="W18" s="925">
        <f>SUM(W5:W17)</f>
        <v>0</v>
      </c>
      <c r="X18" s="350"/>
      <c r="Y18" s="350"/>
      <c r="Z18" s="351"/>
      <c r="AA18" s="782">
        <f>SUM(AA5:AA17)</f>
        <v>0</v>
      </c>
      <c r="AB18" s="350"/>
      <c r="AC18" s="350"/>
      <c r="AD18" s="351"/>
      <c r="AE18" s="883">
        <f>SUM(AE5:AE17)</f>
        <v>0</v>
      </c>
      <c r="AF18" s="350"/>
      <c r="AG18" s="350"/>
      <c r="AH18" s="351"/>
      <c r="AI18" s="782">
        <f>SUM(AI5:AI17)</f>
        <v>0</v>
      </c>
      <c r="AJ18" s="350"/>
      <c r="AK18" s="350"/>
      <c r="AL18" s="351"/>
      <c r="AM18" s="883">
        <f>SUM(AM5:AM17)</f>
        <v>0</v>
      </c>
      <c r="AN18" s="350"/>
      <c r="AO18" s="350"/>
      <c r="AP18" s="351"/>
      <c r="AQ18" s="963">
        <f>SUM(AQ5:AQ17)</f>
        <v>0</v>
      </c>
      <c r="AR18" s="350"/>
      <c r="AS18" s="350"/>
      <c r="AT18" s="351"/>
      <c r="AU18" s="910">
        <f>SUM(AU5:AU17)</f>
        <v>0</v>
      </c>
      <c r="AV18" s="350"/>
      <c r="AW18" s="350"/>
      <c r="AX18" s="351"/>
      <c r="AY18" s="963">
        <f>SUM(AY5:BB17)</f>
        <v>0</v>
      </c>
      <c r="AZ18" s="350"/>
      <c r="BA18" s="350"/>
      <c r="BB18" s="351"/>
      <c r="BC18" s="910">
        <f>SUM(BC5:BC17)</f>
        <v>0</v>
      </c>
      <c r="BD18" s="350"/>
      <c r="BE18" s="350"/>
      <c r="BF18" s="351"/>
      <c r="BG18" s="976">
        <f>SUM(BG5:BG17)</f>
        <v>0</v>
      </c>
      <c r="BH18" s="350"/>
      <c r="BI18" s="350"/>
      <c r="BJ18" s="351"/>
      <c r="BK18" s="775">
        <f>SUM(BK5:BK17)</f>
        <v>0</v>
      </c>
      <c r="BL18" s="350"/>
      <c r="BM18" s="350"/>
      <c r="BN18" s="351"/>
      <c r="BO18" s="977">
        <f>SUM(BO5:BO17)</f>
        <v>0</v>
      </c>
      <c r="BP18" s="350"/>
      <c r="BQ18" s="350"/>
      <c r="BR18" s="351"/>
      <c r="BS18" s="969">
        <f>SUM(BS5:BS17)</f>
        <v>0</v>
      </c>
      <c r="BT18" s="350"/>
      <c r="BU18" s="350"/>
      <c r="BV18" s="351"/>
      <c r="BW18" s="173"/>
    </row>
    <row r="19" spans="1:75">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row>
    <row r="20" spans="1:75" ht="18.75">
      <c r="A20" s="933" t="s">
        <v>726</v>
      </c>
      <c r="B20" s="350"/>
      <c r="C20" s="350"/>
      <c r="D20" s="350"/>
      <c r="E20" s="350"/>
      <c r="F20" s="350"/>
      <c r="G20" s="350"/>
      <c r="H20" s="350"/>
      <c r="I20" s="350"/>
      <c r="J20" s="350"/>
      <c r="K20" s="350"/>
      <c r="L20" s="350"/>
      <c r="M20" s="350"/>
      <c r="N20" s="350"/>
      <c r="O20" s="350"/>
      <c r="P20" s="350"/>
      <c r="Q20" s="350"/>
      <c r="R20" s="350"/>
      <c r="S20" s="350"/>
      <c r="T20" s="350"/>
      <c r="U20" s="350"/>
      <c r="V20" s="351"/>
      <c r="W20" s="934" t="s">
        <v>727</v>
      </c>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0"/>
      <c r="BE20" s="350"/>
      <c r="BF20" s="350"/>
      <c r="BG20" s="350"/>
      <c r="BH20" s="350"/>
      <c r="BI20" s="350"/>
      <c r="BJ20" s="350"/>
      <c r="BK20" s="350"/>
      <c r="BL20" s="350"/>
      <c r="BM20" s="350"/>
      <c r="BN20" s="350"/>
      <c r="BO20" s="350"/>
      <c r="BP20" s="350"/>
      <c r="BQ20" s="350"/>
      <c r="BR20" s="350"/>
      <c r="BS20" s="350"/>
      <c r="BT20" s="350"/>
      <c r="BU20" s="350"/>
      <c r="BV20" s="351"/>
      <c r="BW20" s="173"/>
    </row>
    <row r="21" spans="1:75" ht="15.75" customHeight="1">
      <c r="A21" s="934"/>
      <c r="B21" s="350"/>
      <c r="C21" s="350"/>
      <c r="D21" s="350"/>
      <c r="E21" s="350"/>
      <c r="F21" s="350"/>
      <c r="G21" s="350"/>
      <c r="H21" s="351"/>
      <c r="I21" s="934" t="s">
        <v>674</v>
      </c>
      <c r="J21" s="350"/>
      <c r="K21" s="350"/>
      <c r="L21" s="351"/>
      <c r="M21" s="935" t="s">
        <v>675</v>
      </c>
      <c r="N21" s="350"/>
      <c r="O21" s="350"/>
      <c r="P21" s="350"/>
      <c r="Q21" s="351"/>
      <c r="R21" s="936" t="s">
        <v>676</v>
      </c>
      <c r="S21" s="350"/>
      <c r="T21" s="350"/>
      <c r="U21" s="350"/>
      <c r="V21" s="351"/>
      <c r="W21" s="937" t="s">
        <v>713</v>
      </c>
      <c r="X21" s="350"/>
      <c r="Y21" s="350"/>
      <c r="Z21" s="351"/>
      <c r="AA21" s="649" t="s">
        <v>714</v>
      </c>
      <c r="AB21" s="350"/>
      <c r="AC21" s="350"/>
      <c r="AD21" s="351"/>
      <c r="AE21" s="918" t="s">
        <v>715</v>
      </c>
      <c r="AF21" s="350"/>
      <c r="AG21" s="350"/>
      <c r="AH21" s="351"/>
      <c r="AI21" s="649" t="s">
        <v>716</v>
      </c>
      <c r="AJ21" s="350"/>
      <c r="AK21" s="350"/>
      <c r="AL21" s="351"/>
      <c r="AM21" s="918" t="s">
        <v>717</v>
      </c>
      <c r="AN21" s="350"/>
      <c r="AO21" s="350"/>
      <c r="AP21" s="351"/>
      <c r="AQ21" s="931" t="s">
        <v>718</v>
      </c>
      <c r="AR21" s="350"/>
      <c r="AS21" s="350"/>
      <c r="AT21" s="351"/>
      <c r="AU21" s="932" t="s">
        <v>719</v>
      </c>
      <c r="AV21" s="350"/>
      <c r="AW21" s="350"/>
      <c r="AX21" s="351"/>
      <c r="AY21" s="931" t="s">
        <v>720</v>
      </c>
      <c r="AZ21" s="350"/>
      <c r="BA21" s="350"/>
      <c r="BB21" s="351"/>
      <c r="BC21" s="932" t="s">
        <v>721</v>
      </c>
      <c r="BD21" s="350"/>
      <c r="BE21" s="350"/>
      <c r="BF21" s="351"/>
      <c r="BG21" s="929" t="s">
        <v>722</v>
      </c>
      <c r="BH21" s="350"/>
      <c r="BI21" s="350"/>
      <c r="BJ21" s="351"/>
      <c r="BK21" s="930" t="s">
        <v>723</v>
      </c>
      <c r="BL21" s="350"/>
      <c r="BM21" s="350"/>
      <c r="BN21" s="351"/>
      <c r="BO21" s="929" t="s">
        <v>724</v>
      </c>
      <c r="BP21" s="350"/>
      <c r="BQ21" s="350"/>
      <c r="BR21" s="351"/>
      <c r="BS21" s="930" t="s">
        <v>725</v>
      </c>
      <c r="BT21" s="350"/>
      <c r="BU21" s="350"/>
      <c r="BV21" s="351"/>
      <c r="BW21" s="173"/>
    </row>
    <row r="22" spans="1:75" ht="15.75" customHeight="1">
      <c r="A22" s="413" t="s">
        <v>444</v>
      </c>
      <c r="B22" s="350"/>
      <c r="C22" s="350"/>
      <c r="D22" s="350"/>
      <c r="E22" s="350"/>
      <c r="F22" s="350"/>
      <c r="G22" s="350"/>
      <c r="H22" s="351"/>
      <c r="I22" s="755">
        <f>'GRANTEE SET UP INFO &amp; DATE '!C11</f>
        <v>0</v>
      </c>
      <c r="J22" s="350"/>
      <c r="K22" s="350"/>
      <c r="L22" s="351"/>
      <c r="M22" s="885">
        <f>'GRANTEE SET UP INFO &amp; DATE '!F11</f>
        <v>0</v>
      </c>
      <c r="N22" s="350"/>
      <c r="O22" s="350"/>
      <c r="P22" s="350"/>
      <c r="Q22" s="351"/>
      <c r="R22" s="885" t="e">
        <f>'GRANTEE SET UP INFO &amp; DATE '!#REF!</f>
        <v>#REF!</v>
      </c>
      <c r="S22" s="350"/>
      <c r="T22" s="350"/>
      <c r="U22" s="350"/>
      <c r="V22" s="351"/>
      <c r="W22" s="973">
        <f>COUNTIFS(TRAINING!B12:B5000,"&gt;=07/01/2000",TRAINING!B12:B5000,"&lt;=09/30/2019",TRAINING!D12:D5000,"Evidence Based Training (EBT)",TRAINING!AN12:AN5000,"YES")</f>
        <v>0</v>
      </c>
      <c r="X22" s="350"/>
      <c r="Y22" s="350"/>
      <c r="Z22" s="351"/>
      <c r="AA22" s="753">
        <f>COUNTIFS(TRAINING!B12:B5000,"&gt;=10/01/2019",TRAINING!B12:B5000,"&lt;=12/31/2019",TRAINING!D12:D5000,"Evidence Based Training (EBT)",TRAINING!AN12:AN5000,"YES")</f>
        <v>0</v>
      </c>
      <c r="AB22" s="350"/>
      <c r="AC22" s="350"/>
      <c r="AD22" s="351"/>
      <c r="AE22" s="972">
        <f>COUNTIFS(TRAINING!B12:B5000,"&gt;=01/01/2020",TRAINING!B12:B5000,"&lt;=03/31/2020",TRAINING!D12:D5000,"Evidence Based Training (EBT)",TRAINING!AN12:AN5000,"YES")</f>
        <v>0</v>
      </c>
      <c r="AF22" s="350"/>
      <c r="AG22" s="350"/>
      <c r="AH22" s="351"/>
      <c r="AI22" s="905">
        <f>COUNTIFS(TRAINING!B12:B5000,"&gt;=04/01/2020",TRAINING!B12:B5000,"&lt;=06/30/2020",TRAINING!D12:D5000,"Evidence Based Training (EBT)",TRAINING!AN12:AN5000,"YES")</f>
        <v>0</v>
      </c>
      <c r="AJ22" s="350"/>
      <c r="AK22" s="350"/>
      <c r="AL22" s="351"/>
      <c r="AM22" s="754">
        <f>COUNTIFS(TRAINING!B12:B5000,"&gt;=07/01/2020",TRAINING!B12:B5000,"&lt;=09/30/2020",TRAINING!D12:D5000,"Evidence Based Training (EBT)",TRAINING!AN12:AN5000,"YES")</f>
        <v>0</v>
      </c>
      <c r="AN22" s="350"/>
      <c r="AO22" s="350"/>
      <c r="AP22" s="351"/>
      <c r="AQ22" s="353">
        <f>COUNTIFS(TRAINING!B12:B5000,"&gt;=10/01/2020",TRAINING!B12:B5000,"&lt;=12/31/2020",TRAINING!D12:D5000,"Evidence Based Training (EBT)",TRAINING!AN12:AN5000,"YES")</f>
        <v>0</v>
      </c>
      <c r="AR22" s="350"/>
      <c r="AS22" s="350"/>
      <c r="AT22" s="351"/>
      <c r="AU22" s="352">
        <f>COUNTIFS(TRAINING!B12:B5000,"&gt;=01/01/2021",TRAINING!B12:B5000,"&lt;=03/31/2021",TRAINING!D12:D5000,"Evidence Based Training (EBT)",TRAINING!AN12:AN5000,"YES")</f>
        <v>0</v>
      </c>
      <c r="AV22" s="350"/>
      <c r="AW22" s="350"/>
      <c r="AX22" s="351"/>
      <c r="AY22" s="353">
        <f>COUNTIFS(TRAINING!B12:B5000,"&gt;=04/01/2020",TRAINING!B12:B5000,"&lt;=06/30/2020",TRAINING!D12:D5000,"Evidence Based Training (EBT)",TRAINING!AN12:AN5000,"YES")</f>
        <v>0</v>
      </c>
      <c r="AZ22" s="350"/>
      <c r="BA22" s="350"/>
      <c r="BB22" s="351"/>
      <c r="BC22" s="352">
        <f>COUNTIFS(TRAINING!B12:B5000,"&gt;=07/01/2021",TRAINING!B12:B5000,"&lt;=09/30/2021",TRAINING!D12:D5000,"Evidence Based Training (EBT)",TRAINING!AN12:AN5000,"YES")</f>
        <v>0</v>
      </c>
      <c r="BD22" s="350"/>
      <c r="BE22" s="350"/>
      <c r="BF22" s="351"/>
      <c r="BG22" s="919">
        <f>COUNTIFS(TRAINING!B12:B5000,"&gt;=10/01/2021",TRAINING!B12:B5000,"&lt;=12/31/2021",TRAINING!D12:D5000,"Evidence Based Training (EBT)",TRAINING!AN12:AN5000,"YES")</f>
        <v>0</v>
      </c>
      <c r="BH22" s="350"/>
      <c r="BI22" s="350"/>
      <c r="BJ22" s="351"/>
      <c r="BK22" s="787">
        <f>COUNTIFS(TRAINING!B12:B5000,"&gt;=01/01/2022",TRAINING!B12:B5000,"&lt;=03/31/2022",TRAINING!D12:D5000,"Evidence Based Training (EBT)",TRAINING!AN12:AN5000,"YES")</f>
        <v>0</v>
      </c>
      <c r="BL22" s="350"/>
      <c r="BM22" s="350"/>
      <c r="BN22" s="351"/>
      <c r="BO22" s="919">
        <f>COUNTIFS(TRAINING!B12:B5000,"&gt;=04/01/2022",TRAINING!B12:B5000,"&lt;=06/30/2022",TRAINING!D12:D5000,"Evidence Based Training (EBT)",TRAINING!AN12:AN5000,"YES")</f>
        <v>0</v>
      </c>
      <c r="BP22" s="350"/>
      <c r="BQ22" s="350"/>
      <c r="BR22" s="351"/>
      <c r="BS22" s="787">
        <f>COUNTIFS(TRAINING!B12:B5000,"&gt;=07/01/2022",TRAINING!B12:B5000,"&lt;=09/30/2022",TRAINING!D12:D5000,"Evidence Based Training (EBT)",TRAINING!AN12:AN5000,"YES")</f>
        <v>0</v>
      </c>
      <c r="BT22" s="350"/>
      <c r="BU22" s="350"/>
      <c r="BV22" s="351"/>
      <c r="BW22" s="173"/>
    </row>
    <row r="23" spans="1:75" ht="15.75" customHeight="1">
      <c r="A23" s="413" t="s">
        <v>445</v>
      </c>
      <c r="B23" s="350"/>
      <c r="C23" s="350"/>
      <c r="D23" s="350"/>
      <c r="E23" s="350"/>
      <c r="F23" s="350"/>
      <c r="G23" s="350"/>
      <c r="H23" s="351"/>
      <c r="I23" s="755">
        <f>'GRANTEE SET UP INFO &amp; DATE '!C12</f>
        <v>0</v>
      </c>
      <c r="J23" s="350"/>
      <c r="K23" s="350"/>
      <c r="L23" s="351"/>
      <c r="M23" s="885">
        <f>'GRANTEE SET UP INFO &amp; DATE '!F12</f>
        <v>0</v>
      </c>
      <c r="N23" s="350"/>
      <c r="O23" s="350"/>
      <c r="P23" s="350"/>
      <c r="Q23" s="351"/>
      <c r="R23" s="885" t="e">
        <f>'GRANTEE SET UP INFO &amp; DATE '!#REF!</f>
        <v>#REF!</v>
      </c>
      <c r="S23" s="350"/>
      <c r="T23" s="350"/>
      <c r="U23" s="350"/>
      <c r="V23" s="351"/>
      <c r="W23" s="973">
        <f>COUNTIFS(TRAINING!B12:B5000,"&gt;=07/01/2000",TRAINING!B12:B5000,"&lt;=09/30/2019",TRAINING!D12:D5000,"Evidence Based Training (EBT)",TRAINING!AO12:AO5000,"YES")</f>
        <v>0</v>
      </c>
      <c r="X23" s="350"/>
      <c r="Y23" s="350"/>
      <c r="Z23" s="351"/>
      <c r="AA23" s="753">
        <f>COUNTIFS(TRAINING!B12:B5000,"&gt;=10/01/2019",TRAINING!B12:B5000,"&lt;=12/31/2019",TRAINING!D12:D5000,"Evidence Based Training (EBT)",TRAINING!AO12:AO5000,"YES")</f>
        <v>0</v>
      </c>
      <c r="AB23" s="350"/>
      <c r="AC23" s="350"/>
      <c r="AD23" s="351"/>
      <c r="AE23" s="972">
        <f>COUNTIFS(TRAINING!B12:B5000,"&gt;=01/01/2020",TRAINING!B12:B5000,"&lt;=03/31/2020",TRAINING!D12:D5000,"Evidence Based Training (EBT)",TRAINING!AO12:AO5000,"YES")</f>
        <v>0</v>
      </c>
      <c r="AF23" s="350"/>
      <c r="AG23" s="350"/>
      <c r="AH23" s="351"/>
      <c r="AI23" s="905">
        <f>COUNTIFS(TRAINING!B12:B5000,"&gt;=04/01/2020",TRAINING!B12:B5000,"&lt;=06/30/2020",TRAINING!D12:D5000,"Evidence Based Training (EBT)",TRAINING!AO12:AO5000,"YES")</f>
        <v>0</v>
      </c>
      <c r="AJ23" s="350"/>
      <c r="AK23" s="350"/>
      <c r="AL23" s="351"/>
      <c r="AM23" s="754">
        <f>COUNTIFS(TRAINING!B12:B5000,"&gt;=07/01/2020",TRAINING!B12:B5000,"&lt;=09/30/2020",TRAINING!D12:D5000,"Evidence Based Training (EBT)",TRAINING!AO12:AO5000,"YES")</f>
        <v>0</v>
      </c>
      <c r="AN23" s="350"/>
      <c r="AO23" s="350"/>
      <c r="AP23" s="351"/>
      <c r="AQ23" s="353">
        <f>COUNTIFS(TRAINING!B12:B5000,"&gt;=10/01/2020",TRAINING!B12:B5000,"&lt;=12/31/2020",TRAINING!D12:D5000,"Evidence Based Training (EBT)",TRAINING!AO12:AO5000,"YES")</f>
        <v>0</v>
      </c>
      <c r="AR23" s="350"/>
      <c r="AS23" s="350"/>
      <c r="AT23" s="351"/>
      <c r="AU23" s="352">
        <f>COUNTIFS(TRAINING!B12:B5000,"&gt;=01/01/2021",TRAINING!B12:B5000,"&lt;=03/31/2021",TRAINING!D12:D5000,"Evidence Based Training (EBT)",TRAINING!AO12:AO5000,"YES")</f>
        <v>0</v>
      </c>
      <c r="AV23" s="350"/>
      <c r="AW23" s="350"/>
      <c r="AX23" s="351"/>
      <c r="AY23" s="353">
        <f>COUNTIFS(TRAINING!B12:B5000,"&gt;=04/01/2020",TRAINING!B12:B5000,"&lt;=06/30/2020",TRAINING!D12:D5000,"Evidence Based Training (EBT)",TRAINING!AO12:AO5000,"YES")</f>
        <v>0</v>
      </c>
      <c r="AZ23" s="350"/>
      <c r="BA23" s="350"/>
      <c r="BB23" s="351"/>
      <c r="BC23" s="352">
        <f>COUNTIFS(TRAINING!B12:B5000,"&gt;=07/01/2021",TRAINING!B12:B5000,"&lt;=09/30/2021",TRAINING!D12:D5000,"Evidence Based Training (EBT)",TRAINING!AO12:AO5000,"YES")</f>
        <v>0</v>
      </c>
      <c r="BD23" s="350"/>
      <c r="BE23" s="350"/>
      <c r="BF23" s="351"/>
      <c r="BG23" s="919">
        <f>COUNTIFS(TRAINING!B12:B5000,"&gt;=10/01/2021",TRAINING!B12:B5000,"&lt;=12/31/2021",TRAINING!D12:D5000,"Evidence Based Training (EBT)",TRAINING!AO12:AO5000,"YES")</f>
        <v>0</v>
      </c>
      <c r="BH23" s="350"/>
      <c r="BI23" s="350"/>
      <c r="BJ23" s="351"/>
      <c r="BK23" s="787">
        <f>COUNTIFS(TRAINING!B12:B5000,"&gt;=01/01/2022",TRAINING!B12:B5000,"&lt;=03/31/2022",TRAINING!D12:D5000,"Evidence Based Training (EBT)",TRAINING!AO12:AO5000,"YES")</f>
        <v>0</v>
      </c>
      <c r="BL23" s="350"/>
      <c r="BM23" s="350"/>
      <c r="BN23" s="351"/>
      <c r="BO23" s="919">
        <f>COUNTIFS(TRAINING!B12:B5000,"&gt;=04/01/2022",TRAINING!B12:B5000,"&lt;=06/30/2022",TRAINING!D12:D5000,"Evidence Based Training (EBT)",TRAINING!AO12:AO5000,"YES")</f>
        <v>0</v>
      </c>
      <c r="BP23" s="350"/>
      <c r="BQ23" s="350"/>
      <c r="BR23" s="351"/>
      <c r="BS23" s="787">
        <f>COUNTIFS(TRAINING!B12:B5000,"&gt;=07/01/2022",TRAINING!B12:B5000,"&lt;=09/30/2022",TRAINING!D12:D5000,"Evidence Based Training (EBT)",TRAINING!AO12:AO5000,"YES")</f>
        <v>0</v>
      </c>
      <c r="BT23" s="350"/>
      <c r="BU23" s="350"/>
      <c r="BV23" s="351"/>
      <c r="BW23" s="173"/>
    </row>
    <row r="24" spans="1:75" ht="15.75" customHeight="1">
      <c r="A24" s="413" t="s">
        <v>446</v>
      </c>
      <c r="B24" s="350"/>
      <c r="C24" s="350"/>
      <c r="D24" s="350"/>
      <c r="E24" s="350"/>
      <c r="F24" s="350"/>
      <c r="G24" s="350"/>
      <c r="H24" s="351"/>
      <c r="I24" s="755">
        <f>'GRANTEE SET UP INFO &amp; DATE '!C13</f>
        <v>0</v>
      </c>
      <c r="J24" s="350"/>
      <c r="K24" s="350"/>
      <c r="L24" s="351"/>
      <c r="M24" s="885">
        <f>'GRANTEE SET UP INFO &amp; DATE '!F13</f>
        <v>0</v>
      </c>
      <c r="N24" s="350"/>
      <c r="O24" s="350"/>
      <c r="P24" s="350"/>
      <c r="Q24" s="351"/>
      <c r="R24" s="885" t="e">
        <f>'GRANTEE SET UP INFO &amp; DATE '!#REF!</f>
        <v>#REF!</v>
      </c>
      <c r="S24" s="350"/>
      <c r="T24" s="350"/>
      <c r="U24" s="350"/>
      <c r="V24" s="351"/>
      <c r="W24" s="973">
        <f>COUNTIFS(TRAINING!B12:B5000,"&gt;=07/01/2000",TRAINING!B12:B5000,"&lt;=09/30/2019",TRAINING!D12:D5000,"Evidence Based Training (EBT)",TRAINING!AP12:AP5000,"YES")</f>
        <v>0</v>
      </c>
      <c r="X24" s="350"/>
      <c r="Y24" s="350"/>
      <c r="Z24" s="351"/>
      <c r="AA24" s="753">
        <f>COUNTIFS(TRAINING!B12:B5000,"&gt;=10/01/2019",TRAINING!B12:B5000,"&lt;=12/31/2019",TRAINING!D12:D5000,"Evidence Based Training (EBT)",TRAINING!AP12:AP5000,"YES")</f>
        <v>0</v>
      </c>
      <c r="AB24" s="350"/>
      <c r="AC24" s="350"/>
      <c r="AD24" s="351"/>
      <c r="AE24" s="972">
        <f>COUNTIFS(TRAINING!B12:B5000,"&gt;=01/01/2020",TRAINING!B12:B5000,"&lt;=03/31/2020",TRAINING!D12:D5000,"Evidence Based Training (EBT)",TRAINING!AP12:AP5000,"YES")</f>
        <v>0</v>
      </c>
      <c r="AF24" s="350"/>
      <c r="AG24" s="350"/>
      <c r="AH24" s="351"/>
      <c r="AI24" s="905">
        <f>COUNTIFS(TRAINING!B12:B5000,"&gt;=04/01/2020",TRAINING!B12:B5000,"&lt;=06/30/2020",TRAINING!D12:D5000,"Evidence Based Training (EBT)",TRAINING!AP12:AP5000,"YES")</f>
        <v>0</v>
      </c>
      <c r="AJ24" s="350"/>
      <c r="AK24" s="350"/>
      <c r="AL24" s="351"/>
      <c r="AM24" s="754">
        <f>COUNTIFS(TRAINING!B12:B5000,"&gt;=07/01/2020",TRAINING!B12:B5000,"&lt;=09/30/2020",TRAINING!D12:D5000,"Evidence Based Training (EBT)",TRAINING!AP12:AP5000,"YES")</f>
        <v>0</v>
      </c>
      <c r="AN24" s="350"/>
      <c r="AO24" s="350"/>
      <c r="AP24" s="351"/>
      <c r="AQ24" s="353">
        <f>COUNTIFS(TRAINING!B12:B5000,"&gt;=10/01/2020",TRAINING!B12:B5000,"&lt;=12/31/2020",TRAINING!D12:D5000,"Evidence Based Training (EBT)",TRAINING!AP12:AP5000,"YES")</f>
        <v>0</v>
      </c>
      <c r="AR24" s="350"/>
      <c r="AS24" s="350"/>
      <c r="AT24" s="351"/>
      <c r="AU24" s="352">
        <f>COUNTIFS(TRAINING!B12:B5000,"&gt;=01/01/2021",TRAINING!B12:B5000,"&lt;=03/31/2021",TRAINING!D12:D5000,"Evidence Based Training (EBT)",TRAINING!AP12:AP5000,"YES")</f>
        <v>0</v>
      </c>
      <c r="AV24" s="350"/>
      <c r="AW24" s="350"/>
      <c r="AX24" s="351"/>
      <c r="AY24" s="353">
        <f>COUNTIFS(TRAINING!B12:B5000,"&gt;=04/01/2020",TRAINING!B12:B5000,"&lt;=06/30/2020",TRAINING!D12:D5000,"Evidence Based Training (EBT)",TRAINING!AP12:AP5000,"YES")</f>
        <v>0</v>
      </c>
      <c r="AZ24" s="350"/>
      <c r="BA24" s="350"/>
      <c r="BB24" s="351"/>
      <c r="BC24" s="352">
        <f>COUNTIFS(TRAINING!B12:B5000,"&gt;=07/01/2021",TRAINING!B12:B5000,"&lt;=09/30/2021",TRAINING!D12:D5000,"Evidence Based Training (EBT)",TRAINING!AP12:AP5000,"YES")</f>
        <v>0</v>
      </c>
      <c r="BD24" s="350"/>
      <c r="BE24" s="350"/>
      <c r="BF24" s="351"/>
      <c r="BG24" s="919">
        <f>COUNTIFS(TRAINING!B12:B5000,"&gt;=10/01/2021",TRAINING!B12:B5000,"&lt;=12/31/2021",TRAINING!D12:D5000,"Evidence Based Training (EBT)",TRAINING!AP12:AP5000,"YES")</f>
        <v>0</v>
      </c>
      <c r="BH24" s="350"/>
      <c r="BI24" s="350"/>
      <c r="BJ24" s="351"/>
      <c r="BK24" s="787">
        <f>COUNTIFS(TRAINING!B12:B5000,"&gt;=01/01/2022",TRAINING!B12:B5000,"&lt;=03/31/2022",TRAINING!D12:D5000,"Evidence Based Training (EBT)",TRAINING!AP12:AP5000,"YES")</f>
        <v>0</v>
      </c>
      <c r="BL24" s="350"/>
      <c r="BM24" s="350"/>
      <c r="BN24" s="351"/>
      <c r="BO24" s="919">
        <f>COUNTIFS(TRAINING!B12:B5000,"&gt;=04/01/2022",TRAINING!B12:B5000,"&lt;=06/30/2022",TRAINING!D12:D5000,"Evidence Based Training (EBT)",TRAINING!AP12:AP5000,"YES")</f>
        <v>0</v>
      </c>
      <c r="BP24" s="350"/>
      <c r="BQ24" s="350"/>
      <c r="BR24" s="351"/>
      <c r="BS24" s="787">
        <f>COUNTIFS(TRAINING!B12:B5000,"&gt;=07/01/2022",TRAINING!B12:B5000,"&lt;=09/30/2022",TRAINING!D12:D5000,"Evidence Based Training (EBT)",TRAINING!AP12:AP5000,"YES")</f>
        <v>0</v>
      </c>
      <c r="BT24" s="350"/>
      <c r="BU24" s="350"/>
      <c r="BV24" s="351"/>
      <c r="BW24" s="173"/>
    </row>
    <row r="25" spans="1:75" ht="15.75" customHeight="1">
      <c r="A25" s="413" t="s">
        <v>447</v>
      </c>
      <c r="B25" s="350"/>
      <c r="C25" s="350"/>
      <c r="D25" s="350"/>
      <c r="E25" s="350"/>
      <c r="F25" s="350"/>
      <c r="G25" s="350"/>
      <c r="H25" s="351"/>
      <c r="I25" s="755">
        <f>'GRANTEE SET UP INFO &amp; DATE '!C14</f>
        <v>0</v>
      </c>
      <c r="J25" s="350"/>
      <c r="K25" s="350"/>
      <c r="L25" s="351"/>
      <c r="M25" s="885">
        <f>'GRANTEE SET UP INFO &amp; DATE '!F14</f>
        <v>0</v>
      </c>
      <c r="N25" s="350"/>
      <c r="O25" s="350"/>
      <c r="P25" s="350"/>
      <c r="Q25" s="351"/>
      <c r="R25" s="885" t="e">
        <f>'GRANTEE SET UP INFO &amp; DATE '!#REF!</f>
        <v>#REF!</v>
      </c>
      <c r="S25" s="350"/>
      <c r="T25" s="350"/>
      <c r="U25" s="350"/>
      <c r="V25" s="351"/>
      <c r="W25" s="973">
        <f>COUNTIFS(TRAINING!B12:B5000,"&gt;=07/01/2000",TRAINING!B12:B5000,"&lt;=09/30/2019",TRAINING!D12:D5000,"Evidence Based Training (EBT)",TRAINING!AQ12:AQ5000,"YES")</f>
        <v>0</v>
      </c>
      <c r="X25" s="350"/>
      <c r="Y25" s="350"/>
      <c r="Z25" s="351"/>
      <c r="AA25" s="753">
        <f>COUNTIFS(TRAINING!B12:B5000,"&gt;=10/01/2019",TRAINING!B12:B5000,"&lt;=12/31/2019",TRAINING!D12:D5000,"Evidence Based Training (EBT)",TRAINING!AQ12:AQ5000,"YES")</f>
        <v>0</v>
      </c>
      <c r="AB25" s="350"/>
      <c r="AC25" s="350"/>
      <c r="AD25" s="351"/>
      <c r="AE25" s="972">
        <f>COUNTIFS(TRAINING!B12:B5000,"&gt;=01/01/2020",TRAINING!B12:B5000,"&lt;=03/31/2020",TRAINING!D12:D5000,"Evidence Based Training (EBT)",TRAINING!AQ12:AQ5000,"YES")</f>
        <v>0</v>
      </c>
      <c r="AF25" s="350"/>
      <c r="AG25" s="350"/>
      <c r="AH25" s="351"/>
      <c r="AI25" s="905">
        <f>COUNTIFS(TRAINING!B12:B5000,"&gt;=04/01/2020",TRAINING!B12:B5000,"&lt;=06/30/2020",TRAINING!D12:D5000,"Evidence Based Training (EBT)",TRAINING!AQ12:AQ5000,"YES")</f>
        <v>0</v>
      </c>
      <c r="AJ25" s="350"/>
      <c r="AK25" s="350"/>
      <c r="AL25" s="351"/>
      <c r="AM25" s="754">
        <f>COUNTIFS(TRAINING!B12:B5000,"&gt;=07/01/2020",TRAINING!B12:B5000,"&lt;=09/30/2020",TRAINING!D12:D5000,"Evidence Based Training (EBT)",TRAINING!AQ12:AQ5000,"YES")</f>
        <v>0</v>
      </c>
      <c r="AN25" s="350"/>
      <c r="AO25" s="350"/>
      <c r="AP25" s="351"/>
      <c r="AQ25" s="353">
        <f>COUNTIFS(TRAINING!B12:B5000,"&gt;=10/01/2020",TRAINING!B12:B5000,"&lt;=12/31/2020",TRAINING!D12:D5000,"Evidence Based Training (EBT)",TRAINING!AQ12:AQ5000,"YES")</f>
        <v>0</v>
      </c>
      <c r="AR25" s="350"/>
      <c r="AS25" s="350"/>
      <c r="AT25" s="351"/>
      <c r="AU25" s="352">
        <f>COUNTIFS(TRAINING!B12:B5000,"&gt;=01/01/2021",TRAINING!B12:B5000,"&lt;=03/31/2021",TRAINING!D12:D5000,"Evidence Based Training (EBT)",TRAINING!AQ12:AQ5000,"YES")</f>
        <v>0</v>
      </c>
      <c r="AV25" s="350"/>
      <c r="AW25" s="350"/>
      <c r="AX25" s="351"/>
      <c r="AY25" s="353">
        <f>COUNTIFS(TRAINING!B12:B5000,"&gt;=04/01/2020",TRAINING!B12:B5000,"&lt;=06/30/2020",TRAINING!D12:D5000,"Evidence Based Training (EBT)",TRAINING!AQ12:AQ5000,"YES")</f>
        <v>0</v>
      </c>
      <c r="AZ25" s="350"/>
      <c r="BA25" s="350"/>
      <c r="BB25" s="351"/>
      <c r="BC25" s="352">
        <f>COUNTIFS(TRAINING!B12:B5000,"&gt;=07/01/2021",TRAINING!B12:B5000,"&lt;=09/30/2021",TRAINING!D12:D5000,"Evidence Based Training (EBT)",TRAINING!AQ12:AQ5000,"YES")</f>
        <v>0</v>
      </c>
      <c r="BD25" s="350"/>
      <c r="BE25" s="350"/>
      <c r="BF25" s="351"/>
      <c r="BG25" s="919">
        <f>COUNTIFS(TRAINING!B12:B5000,"&gt;=10/01/2021",TRAINING!B12:B5000,"&lt;=12/31/2021",TRAINING!D12:D5000,"Evidence Based Training (EBT)",TRAINING!AQ12:AQ5000,"YES")</f>
        <v>0</v>
      </c>
      <c r="BH25" s="350"/>
      <c r="BI25" s="350"/>
      <c r="BJ25" s="351"/>
      <c r="BK25" s="787">
        <f>COUNTIFS(TRAINING!B12:B5000,"&gt;=01/01/2022",TRAINING!B12:B5000,"&lt;=03/31/2022",TRAINING!D12:D5000,"Evidence Based Training (EBT)",TRAINING!AQ12:AQ5000,"YES")</f>
        <v>0</v>
      </c>
      <c r="BL25" s="350"/>
      <c r="BM25" s="350"/>
      <c r="BN25" s="351"/>
      <c r="BO25" s="919">
        <f>COUNTIFS(TRAINING!B12:B5000,"&gt;=04/01/2022",TRAINING!B12:B5000,"&lt;=06/30/2022",TRAINING!D12:D5000,"Evidence Based Training (EBT)",TRAINING!AQ12:AQ5000,"YES")</f>
        <v>0</v>
      </c>
      <c r="BP25" s="350"/>
      <c r="BQ25" s="350"/>
      <c r="BR25" s="351"/>
      <c r="BS25" s="787">
        <f>COUNTIFS(TRAINING!B12:B5000,"&gt;=07/01/2022",TRAINING!B12:B5000,"&lt;=09/30/2022",TRAINING!D12:D5000,"Evidence Based Training (EBT)",TRAINING!AQ12:AQ5000,"YES")</f>
        <v>0</v>
      </c>
      <c r="BT25" s="350"/>
      <c r="BU25" s="350"/>
      <c r="BV25" s="351"/>
      <c r="BW25" s="173"/>
    </row>
    <row r="26" spans="1:75" ht="15.75" customHeight="1">
      <c r="A26" s="413" t="s">
        <v>448</v>
      </c>
      <c r="B26" s="350"/>
      <c r="C26" s="350"/>
      <c r="D26" s="350"/>
      <c r="E26" s="350"/>
      <c r="F26" s="350"/>
      <c r="G26" s="350"/>
      <c r="H26" s="351"/>
      <c r="I26" s="755">
        <f>'GRANTEE SET UP INFO &amp; DATE '!C15</f>
        <v>0</v>
      </c>
      <c r="J26" s="350"/>
      <c r="K26" s="350"/>
      <c r="L26" s="351"/>
      <c r="M26" s="885">
        <f>'GRANTEE SET UP INFO &amp; DATE '!F15</f>
        <v>0</v>
      </c>
      <c r="N26" s="350"/>
      <c r="O26" s="350"/>
      <c r="P26" s="350"/>
      <c r="Q26" s="351"/>
      <c r="R26" s="885" t="e">
        <f>'GRANTEE SET UP INFO &amp; DATE '!#REF!</f>
        <v>#REF!</v>
      </c>
      <c r="S26" s="350"/>
      <c r="T26" s="350"/>
      <c r="U26" s="350"/>
      <c r="V26" s="351"/>
      <c r="W26" s="973">
        <f>COUNTIFS(TRAINING!B12:B5000,"&gt;=07/01/2000",TRAINING!B12:B5000,"&lt;=09/30/2019",TRAINING!D12:D5000,"Evidence Based Training (EBT)",TRAINING!AR12:AR5000,"YES")</f>
        <v>0</v>
      </c>
      <c r="X26" s="350"/>
      <c r="Y26" s="350"/>
      <c r="Z26" s="351"/>
      <c r="AA26" s="753">
        <f>COUNTIFS(TRAINING!B12:B5000,"&gt;=10/01/2019",TRAINING!B12:B5000,"&lt;=12/31/2019",TRAINING!D12:D5000,"Evidence Based Training (EBT)",TRAINING!AR12:AR5000,"YES")</f>
        <v>0</v>
      </c>
      <c r="AB26" s="350"/>
      <c r="AC26" s="350"/>
      <c r="AD26" s="351"/>
      <c r="AE26" s="972">
        <f>COUNTIFS(TRAINING!B12:B5000,"&gt;=01/01/2020",TRAINING!B12:B5000,"&lt;=03/31/2020",TRAINING!D12:D5000,"Evidence Based Training (EBT)",TRAINING!AR12:AR5000,"YES")</f>
        <v>0</v>
      </c>
      <c r="AF26" s="350"/>
      <c r="AG26" s="350"/>
      <c r="AH26" s="351"/>
      <c r="AI26" s="905">
        <f>COUNTIFS(TRAINING!B12:B5000,"&gt;=04/01/2020",TRAINING!B12:B5000,"&lt;=06/30/2020",TRAINING!D12:D5000,"Evidence Based Training (EBT)",TRAINING!AR12:AR5000,"YES")</f>
        <v>0</v>
      </c>
      <c r="AJ26" s="350"/>
      <c r="AK26" s="350"/>
      <c r="AL26" s="351"/>
      <c r="AM26" s="754">
        <f>COUNTIFS(TRAINING!B12:B5000,"&gt;=07/01/2020",TRAINING!B12:B5000,"&lt;=09/30/2020",TRAINING!D12:D5000,"Evidence Based Training (EBT)",TRAINING!AR12:AR5000,"YES")</f>
        <v>0</v>
      </c>
      <c r="AN26" s="350"/>
      <c r="AO26" s="350"/>
      <c r="AP26" s="351"/>
      <c r="AQ26" s="353">
        <f>COUNTIFS(TRAINING!B12:B5000,"&gt;=10/01/2020",TRAINING!B12:B5000,"&lt;=12/31/2020",TRAINING!D12:D5000,"Evidence Based Training (EBT)",TRAINING!AR12:AR5000,"YES")</f>
        <v>0</v>
      </c>
      <c r="AR26" s="350"/>
      <c r="AS26" s="350"/>
      <c r="AT26" s="351"/>
      <c r="AU26" s="352">
        <f>COUNTIFS(TRAINING!B12:B5000,"&gt;=01/01/2021",TRAINING!B12:B5000,"&lt;=03/31/2021",TRAINING!D12:D5000,"Evidence Based Training (EBT)",TRAINING!AR12:AR5000,"YES")</f>
        <v>0</v>
      </c>
      <c r="AV26" s="350"/>
      <c r="AW26" s="350"/>
      <c r="AX26" s="351"/>
      <c r="AY26" s="353">
        <f>COUNTIFS(TRAINING!B12:B5000,"&gt;=04/01/2020",TRAINING!B12:B5000,"&lt;=06/30/2020",TRAINING!D12:D5000,"Evidence Based Training (EBT)",TRAINING!AR12:AR5000,"YES")</f>
        <v>0</v>
      </c>
      <c r="AZ26" s="350"/>
      <c r="BA26" s="350"/>
      <c r="BB26" s="351"/>
      <c r="BC26" s="352">
        <f>COUNTIFS(TRAINING!B12:B5000,"&gt;=07/01/2021",TRAINING!B12:B5000,"&lt;=09/30/2021",TRAINING!D12:D5000,"Evidence Based Training (EBT)",TRAINING!AR12:AR5000,"YES")</f>
        <v>0</v>
      </c>
      <c r="BD26" s="350"/>
      <c r="BE26" s="350"/>
      <c r="BF26" s="351"/>
      <c r="BG26" s="919">
        <f>COUNTIFS(TRAINING!B12:B5000,"&gt;=10/01/2021",TRAINING!B12:B5000,"&lt;=12/31/2021",TRAINING!D12:D5000,"Evidence Based Training (EBT)",TRAINING!AR12:AR5000,"YES")</f>
        <v>0</v>
      </c>
      <c r="BH26" s="350"/>
      <c r="BI26" s="350"/>
      <c r="BJ26" s="351"/>
      <c r="BK26" s="787">
        <f>COUNTIFS(TRAINING!B12:B5000,"&gt;=01/01/2022",TRAINING!B12:B5000,"&lt;=03/31/2022",TRAINING!D12:D5000,"Evidence Based Training (EBT)",TRAINING!AR12:AR5000,"YES")</f>
        <v>0</v>
      </c>
      <c r="BL26" s="350"/>
      <c r="BM26" s="350"/>
      <c r="BN26" s="351"/>
      <c r="BO26" s="919">
        <f>COUNTIFS(TRAINING!B12:B5000,"&gt;=04/01/2022",TRAINING!B12:B5000,"&lt;=06/30/2022",TRAINING!D12:D5000,"Evidence Based Training (EBT)",TRAINING!AR12:AR5000,"YES")</f>
        <v>0</v>
      </c>
      <c r="BP26" s="350"/>
      <c r="BQ26" s="350"/>
      <c r="BR26" s="351"/>
      <c r="BS26" s="787">
        <f>COUNTIFS(TRAINING!B12:B5000,"&gt;=07/01/2022",TRAINING!B12:B5000,"&lt;=09/30/2022",TRAINING!D12:D5000,"Evidence Based Training (EBT)",TRAINING!AR12:AR5000,"YES")</f>
        <v>0</v>
      </c>
      <c r="BT26" s="350"/>
      <c r="BU26" s="350"/>
      <c r="BV26" s="351"/>
      <c r="BW26" s="173"/>
    </row>
    <row r="27" spans="1:75" ht="15.75" customHeight="1">
      <c r="A27" s="413" t="s">
        <v>449</v>
      </c>
      <c r="B27" s="350"/>
      <c r="C27" s="350"/>
      <c r="D27" s="350"/>
      <c r="E27" s="350"/>
      <c r="F27" s="350"/>
      <c r="G27" s="350"/>
      <c r="H27" s="351"/>
      <c r="I27" s="755">
        <f>'GRANTEE SET UP INFO &amp; DATE '!C16</f>
        <v>0</v>
      </c>
      <c r="J27" s="350"/>
      <c r="K27" s="350"/>
      <c r="L27" s="351"/>
      <c r="M27" s="885">
        <f>'GRANTEE SET UP INFO &amp; DATE '!F16</f>
        <v>0</v>
      </c>
      <c r="N27" s="350"/>
      <c r="O27" s="350"/>
      <c r="P27" s="350"/>
      <c r="Q27" s="351"/>
      <c r="R27" s="885" t="e">
        <f>'GRANTEE SET UP INFO &amp; DATE '!#REF!</f>
        <v>#REF!</v>
      </c>
      <c r="S27" s="350"/>
      <c r="T27" s="350"/>
      <c r="U27" s="350"/>
      <c r="V27" s="351"/>
      <c r="W27" s="973">
        <f>COUNTIFS(TRAINING!B12:B5000,"&gt;=07/01/2000",TRAINING!B12:B5000,"&lt;=09/30/2019",TRAINING!D12:D5000,"Evidence Based Training (EBT)",TRAINING!AS12:AS5000,"YES")</f>
        <v>0</v>
      </c>
      <c r="X27" s="350"/>
      <c r="Y27" s="350"/>
      <c r="Z27" s="351"/>
      <c r="AA27" s="753">
        <f>COUNTIFS(TRAINING!B12:B5000,"&gt;=10/01/2019",TRAINING!B12:B5000,"&lt;=12/31/2019",TRAINING!D12:D5000,"Evidence Based Training (EBT)",TRAINING!AS12:AS5000,"YES")</f>
        <v>0</v>
      </c>
      <c r="AB27" s="350"/>
      <c r="AC27" s="350"/>
      <c r="AD27" s="351"/>
      <c r="AE27" s="972">
        <f>COUNTIFS(TRAINING!B12:B5000,"&gt;=01/01/2020",TRAINING!B12:B5000,"&lt;=03/31/2020",TRAINING!D12:D5000,"Evidence Based Training (EBT)",TRAINING!AS12:AS5000,"YES")</f>
        <v>0</v>
      </c>
      <c r="AF27" s="350"/>
      <c r="AG27" s="350"/>
      <c r="AH27" s="351"/>
      <c r="AI27" s="905">
        <f>COUNTIFS(TRAINING!B12:B5000,"&gt;=04/01/2020",TRAINING!B12:B5000,"&lt;=06/30/2020",TRAINING!D12:D5000,"Evidence Based Training (EBT)",TRAINING!AS12:AS5000,"YES")</f>
        <v>0</v>
      </c>
      <c r="AJ27" s="350"/>
      <c r="AK27" s="350"/>
      <c r="AL27" s="351"/>
      <c r="AM27" s="754">
        <f>COUNTIFS(TRAINING!B12:B5000,"&gt;=07/01/2020",TRAINING!B12:B5000,"&lt;=09/30/2020",TRAINING!D12:D5000,"Evidence Based Training (EBT)",TRAINING!AS12:AS5000,"YES")</f>
        <v>0</v>
      </c>
      <c r="AN27" s="350"/>
      <c r="AO27" s="350"/>
      <c r="AP27" s="351"/>
      <c r="AQ27" s="353">
        <f>COUNTIFS(TRAINING!B12:B5000,"&gt;=10/01/2020",TRAINING!B12:B5000,"&lt;=12/31/2020",TRAINING!D12:D5000,"Evidence Based Training (EBT)",TRAINING!AS12:AS5000,"YES")</f>
        <v>0</v>
      </c>
      <c r="AR27" s="350"/>
      <c r="AS27" s="350"/>
      <c r="AT27" s="351"/>
      <c r="AU27" s="352">
        <f>COUNTIFS(TRAINING!B12:B5000,"&gt;=01/01/2021",TRAINING!B12:B5000,"&lt;=03/31/2021",TRAINING!D12:D5000,"Evidence Based Training (EBT)",TRAINING!AS12:AS5000,"YES")</f>
        <v>0</v>
      </c>
      <c r="AV27" s="350"/>
      <c r="AW27" s="350"/>
      <c r="AX27" s="351"/>
      <c r="AY27" s="353">
        <f>COUNTIFS(TRAINING!B12:B5000,"&gt;=04/01/2020",TRAINING!B12:B5000,"&lt;=06/30/2020",TRAINING!D12:D5000,"Evidence Based Training (EBT)",TRAINING!AS12:AS5000,"YES")</f>
        <v>0</v>
      </c>
      <c r="AZ27" s="350"/>
      <c r="BA27" s="350"/>
      <c r="BB27" s="351"/>
      <c r="BC27" s="352">
        <f>COUNTIFS(TRAINING!B12:B5000,"&gt;=07/01/2021",TRAINING!B12:B5000,"&lt;=09/30/2021",TRAINING!D12:D5000,"Evidence Based Training (EBT)",TRAINING!AS12:AS5000,"YES")</f>
        <v>0</v>
      </c>
      <c r="BD27" s="350"/>
      <c r="BE27" s="350"/>
      <c r="BF27" s="351"/>
      <c r="BG27" s="919">
        <f>COUNTIFS(TRAINING!B12:B5000,"&gt;=10/01/2021",TRAINING!B12:B5000,"&lt;=12/31/2021",TRAINING!D12:D5000,"Evidence Based Training (EBT)",TRAINING!AS12:AS5000,"YES")</f>
        <v>0</v>
      </c>
      <c r="BH27" s="350"/>
      <c r="BI27" s="350"/>
      <c r="BJ27" s="351"/>
      <c r="BK27" s="787">
        <f>COUNTIFS(TRAINING!B12:B5000,"&gt;=01/01/2022",TRAINING!B12:B5000,"&lt;=03/31/2022",TRAINING!D12:D5000,"Evidence Based Training (EBT)",TRAINING!AS12:AS5000,"YES")</f>
        <v>0</v>
      </c>
      <c r="BL27" s="350"/>
      <c r="BM27" s="350"/>
      <c r="BN27" s="351"/>
      <c r="BO27" s="919">
        <f>COUNTIFS(TRAINING!B12:B5000,"&gt;=04/01/2022",TRAINING!B12:B5000,"&lt;=06/30/2022",TRAINING!D12:D5000,"Evidence Based Training (EBT)",TRAINING!AS12:AS5000,"YES")</f>
        <v>0</v>
      </c>
      <c r="BP27" s="350"/>
      <c r="BQ27" s="350"/>
      <c r="BR27" s="351"/>
      <c r="BS27" s="787">
        <f>COUNTIFS(TRAINING!B12:B5000,"&gt;=07/01/2022",TRAINING!B12:B5000,"&lt;=09/30/2022",TRAINING!D12:D5000,"Evidence Based Training (EBT)",TRAINING!AS12:AS5000,"YES")</f>
        <v>0</v>
      </c>
      <c r="BT27" s="350"/>
      <c r="BU27" s="350"/>
      <c r="BV27" s="351"/>
      <c r="BW27" s="173"/>
    </row>
    <row r="28" spans="1:75" ht="15.75" customHeight="1">
      <c r="A28" s="413" t="s">
        <v>450</v>
      </c>
      <c r="B28" s="350"/>
      <c r="C28" s="350"/>
      <c r="D28" s="350"/>
      <c r="E28" s="350"/>
      <c r="F28" s="350"/>
      <c r="G28" s="350"/>
      <c r="H28" s="351"/>
      <c r="I28" s="755">
        <f>'GRANTEE SET UP INFO &amp; DATE '!C17</f>
        <v>0</v>
      </c>
      <c r="J28" s="350"/>
      <c r="K28" s="350"/>
      <c r="L28" s="351"/>
      <c r="M28" s="885">
        <f>'GRANTEE SET UP INFO &amp; DATE '!F17</f>
        <v>0</v>
      </c>
      <c r="N28" s="350"/>
      <c r="O28" s="350"/>
      <c r="P28" s="350"/>
      <c r="Q28" s="351"/>
      <c r="R28" s="885" t="e">
        <f>'GRANTEE SET UP INFO &amp; DATE '!#REF!</f>
        <v>#REF!</v>
      </c>
      <c r="S28" s="350"/>
      <c r="T28" s="350"/>
      <c r="U28" s="350"/>
      <c r="V28" s="351"/>
      <c r="W28" s="973">
        <f>COUNTIFS(TRAINING!B12:B5000,"&gt;=07/01/2000",TRAINING!B12:B5000,"&lt;=09/30/2019",TRAINING!D12:D5000,"Evidence Based Training (EBT)",TRAINING!AT12:AT5000,"YES")</f>
        <v>0</v>
      </c>
      <c r="X28" s="350"/>
      <c r="Y28" s="350"/>
      <c r="Z28" s="351"/>
      <c r="AA28" s="753">
        <f>COUNTIFS(TRAINING!B12:B5000,"&gt;=10/01/2019",TRAINING!B12:B5000,"&lt;=12/31/2019",TRAINING!D12:D5000,"Evidence Based Training (EBT)",TRAINING!AT12:AT5000,"YES")</f>
        <v>0</v>
      </c>
      <c r="AB28" s="350"/>
      <c r="AC28" s="350"/>
      <c r="AD28" s="351"/>
      <c r="AE28" s="972">
        <f>COUNTIFS(TRAINING!B12:B5000,"&gt;=01/01/2020",TRAINING!B12:B5000,"&lt;=03/31/2020",TRAINING!D12:D5000,"Evidence Based Training (EBT)",TRAINING!AT12:AT5000,"YES")</f>
        <v>0</v>
      </c>
      <c r="AF28" s="350"/>
      <c r="AG28" s="350"/>
      <c r="AH28" s="351"/>
      <c r="AI28" s="905">
        <f>COUNTIFS(TRAINING!B12:B5000,"&gt;=04/01/2020",TRAINING!B12:B5000,"&lt;=06/30/2020",TRAINING!D12:D5000,"Evidence Based Training (EBT)",TRAINING!AT12:AT5000,"YES")</f>
        <v>0</v>
      </c>
      <c r="AJ28" s="350"/>
      <c r="AK28" s="350"/>
      <c r="AL28" s="351"/>
      <c r="AM28" s="754">
        <f>COUNTIFS(TRAINING!B12:B5000,"&gt;=07/01/2020",TRAINING!B12:B5000,"&lt;=09/30/2020",TRAINING!D12:D5000,"Evidence Based Training (EBT)",TRAINING!AT12:AT5000,"YES")</f>
        <v>0</v>
      </c>
      <c r="AN28" s="350"/>
      <c r="AO28" s="350"/>
      <c r="AP28" s="351"/>
      <c r="AQ28" s="353">
        <f>COUNTIFS(TRAINING!B12:B5000,"&gt;=10/01/2020",TRAINING!B12:B5000,"&lt;=12/31/2020",TRAINING!D12:D5000,"Evidence Based Training (EBT)",TRAINING!AT12:AT5000,"YES")</f>
        <v>0</v>
      </c>
      <c r="AR28" s="350"/>
      <c r="AS28" s="350"/>
      <c r="AT28" s="351"/>
      <c r="AU28" s="352">
        <f>COUNTIFS(TRAINING!B12:B5000,"&gt;=01/01/2021",TRAINING!B12:B5000,"&lt;=03/31/2021",TRAINING!D12:D5000,"Evidence Based Training (EBT)",TRAINING!AT12:AT5000,"YES")</f>
        <v>0</v>
      </c>
      <c r="AV28" s="350"/>
      <c r="AW28" s="350"/>
      <c r="AX28" s="351"/>
      <c r="AY28" s="353">
        <f>COUNTIFS(TRAINING!B12:B5000,"&gt;=04/01/2020",TRAINING!B12:B5000,"&lt;=06/30/2020",TRAINING!D12:D5000,"Evidence Based Training (EBT)",TRAINING!AT12:AT5000,"YES")</f>
        <v>0</v>
      </c>
      <c r="AZ28" s="350"/>
      <c r="BA28" s="350"/>
      <c r="BB28" s="351"/>
      <c r="BC28" s="352">
        <f>COUNTIFS(TRAINING!B12:B5000,"&gt;=07/01/2021",TRAINING!B12:B5000,"&lt;=09/30/2021",TRAINING!D12:D5000,"Evidence Based Training (EBT)",TRAINING!AT12:AT5000,"YES")</f>
        <v>0</v>
      </c>
      <c r="BD28" s="350"/>
      <c r="BE28" s="350"/>
      <c r="BF28" s="351"/>
      <c r="BG28" s="919">
        <f>COUNTIFS(TRAINING!B12:B5000,"&gt;=10/01/2021",TRAINING!B12:B5000,"&lt;=12/31/2021",TRAINING!D12:D5000,"Evidence Based Training (EBT)",TRAINING!AT12:AT5000,"YES")</f>
        <v>0</v>
      </c>
      <c r="BH28" s="350"/>
      <c r="BI28" s="350"/>
      <c r="BJ28" s="351"/>
      <c r="BK28" s="787">
        <f>COUNTIFS(TRAINING!B12:B5000,"&gt;=01/01/2022",TRAINING!B12:B5000,"&lt;=03/31/2022",TRAINING!D12:D5000,"Evidence Based Training (EBT)",TRAINING!AT12:AT5000,"YES")</f>
        <v>0</v>
      </c>
      <c r="BL28" s="350"/>
      <c r="BM28" s="350"/>
      <c r="BN28" s="351"/>
      <c r="BO28" s="919">
        <f>COUNTIFS(TRAINING!B12:B5000,"&gt;=04/01/2022",TRAINING!B12:B5000,"&lt;=06/30/2022",TRAINING!D12:D5000,"Evidence Based Training (EBT)",TRAINING!AT12:AT5000,"YES")</f>
        <v>0</v>
      </c>
      <c r="BP28" s="350"/>
      <c r="BQ28" s="350"/>
      <c r="BR28" s="351"/>
      <c r="BS28" s="787">
        <f>COUNTIFS(TRAINING!B12:B5000,"&gt;=07/01/2022",TRAINING!B12:B5000,"&lt;=09/30/2022",TRAINING!D12:D5000,"Evidence Based Training (EBT)",TRAINING!AT12:AT5000,"YES")</f>
        <v>0</v>
      </c>
      <c r="BT28" s="350"/>
      <c r="BU28" s="350"/>
      <c r="BV28" s="351"/>
      <c r="BW28" s="173"/>
    </row>
    <row r="29" spans="1:75" ht="15.75" customHeight="1">
      <c r="A29" s="413" t="s">
        <v>451</v>
      </c>
      <c r="B29" s="350"/>
      <c r="C29" s="350"/>
      <c r="D29" s="350"/>
      <c r="E29" s="350"/>
      <c r="F29" s="350"/>
      <c r="G29" s="350"/>
      <c r="H29" s="351"/>
      <c r="I29" s="755">
        <f>'GRANTEE SET UP INFO &amp; DATE '!C18</f>
        <v>0</v>
      </c>
      <c r="J29" s="350"/>
      <c r="K29" s="350"/>
      <c r="L29" s="351"/>
      <c r="M29" s="885">
        <f>'GRANTEE SET UP INFO &amp; DATE '!F18</f>
        <v>0</v>
      </c>
      <c r="N29" s="350"/>
      <c r="O29" s="350"/>
      <c r="P29" s="350"/>
      <c r="Q29" s="351"/>
      <c r="R29" s="885" t="e">
        <f>'GRANTEE SET UP INFO &amp; DATE '!#REF!</f>
        <v>#REF!</v>
      </c>
      <c r="S29" s="350"/>
      <c r="T29" s="350"/>
      <c r="U29" s="350"/>
      <c r="V29" s="351"/>
      <c r="W29" s="973">
        <f>COUNTIFS(TRAINING!B12:B5000,"&gt;=07/01/2000",TRAINING!B12:B5000,"&lt;=09/30/2019",TRAINING!D12:D5000,"Evidence Based Training (EBT)",TRAINING!AU12:AU5000,"YES")</f>
        <v>0</v>
      </c>
      <c r="X29" s="350"/>
      <c r="Y29" s="350"/>
      <c r="Z29" s="351"/>
      <c r="AA29" s="753">
        <f>COUNTIFS(TRAINING!B12:B5000,"&gt;=10/01/2019",TRAINING!B12:B5000,"&lt;=12/31/2019",TRAINING!D12:D5000,"Evidence Based Training (EBT)",TRAINING!AU12:AU5000,"YES")</f>
        <v>0</v>
      </c>
      <c r="AB29" s="350"/>
      <c r="AC29" s="350"/>
      <c r="AD29" s="351"/>
      <c r="AE29" s="972">
        <f>COUNTIFS(TRAINING!B12:B5000,"&gt;=01/01/2020",TRAINING!B12:B5000,"&lt;=03/31/2020",TRAINING!D12:D5000,"Evidence Based Training (EBT)",TRAINING!AU12:AU5000,"YES")</f>
        <v>0</v>
      </c>
      <c r="AF29" s="350"/>
      <c r="AG29" s="350"/>
      <c r="AH29" s="351"/>
      <c r="AI29" s="905">
        <f>COUNTIFS(TRAINING!B12:B5000,"&gt;=04/01/2020",TRAINING!B12:B5000,"&lt;=06/30/2020",TRAINING!D12:D5000,"Evidence Based Training (EBT)",TRAINING!AU12:AU5000,"YES")</f>
        <v>0</v>
      </c>
      <c r="AJ29" s="350"/>
      <c r="AK29" s="350"/>
      <c r="AL29" s="351"/>
      <c r="AM29" s="754">
        <f>COUNTIFS(TRAINING!B12:B5000,"&gt;=07/01/2020",TRAINING!B12:B5000,"&lt;=09/30/2020",TRAINING!D12:D5000,"Evidence Based Training (EBT)",TRAINING!AU12:AU5000,"YES")</f>
        <v>0</v>
      </c>
      <c r="AN29" s="350"/>
      <c r="AO29" s="350"/>
      <c r="AP29" s="351"/>
      <c r="AQ29" s="353">
        <f>COUNTIFS(TRAINING!B12:B5000,"&gt;=10/01/2020",TRAINING!B12:B5000,"&lt;=12/31/2020",TRAINING!D12:D5000,"Evidence Based Training (EBT)",TRAINING!AU12:AU5000,"YES")</f>
        <v>0</v>
      </c>
      <c r="AR29" s="350"/>
      <c r="AS29" s="350"/>
      <c r="AT29" s="351"/>
      <c r="AU29" s="352">
        <f>COUNTIFS(TRAINING!B12:B5000,"&gt;=01/01/2021",TRAINING!B12:B5000,"&lt;=03/31/2021",TRAINING!D12:D5000,"Evidence Based Training (EBT)",TRAINING!AU12:AU5000,"YES")</f>
        <v>0</v>
      </c>
      <c r="AV29" s="350"/>
      <c r="AW29" s="350"/>
      <c r="AX29" s="351"/>
      <c r="AY29" s="353">
        <f>COUNTIFS(TRAINING!B12:B5000,"&gt;=04/01/2020",TRAINING!B12:B5000,"&lt;=06/30/2020",TRAINING!D12:D5000,"Evidence Based Training (EBT)",TRAINING!AU12:AU5000,"YES")</f>
        <v>0</v>
      </c>
      <c r="AZ29" s="350"/>
      <c r="BA29" s="350"/>
      <c r="BB29" s="351"/>
      <c r="BC29" s="352">
        <f>COUNTIFS(TRAINING!B12:B5000,"&gt;=07/01/2021",TRAINING!B12:B5000,"&lt;=09/30/2021",TRAINING!D12:D5000,"Evidence Based Training (EBT)",TRAINING!AU12:AU5000,"YES")</f>
        <v>0</v>
      </c>
      <c r="BD29" s="350"/>
      <c r="BE29" s="350"/>
      <c r="BF29" s="351"/>
      <c r="BG29" s="919">
        <f>COUNTIFS(TRAINING!B12:B5000,"&gt;=10/01/2021",TRAINING!B12:B5000,"&lt;=12/31/2021",TRAINING!D12:D5000,"Evidence Based Training (EBT)",TRAINING!AU12:AU5000,"YES")</f>
        <v>0</v>
      </c>
      <c r="BH29" s="350"/>
      <c r="BI29" s="350"/>
      <c r="BJ29" s="351"/>
      <c r="BK29" s="787">
        <f>COUNTIFS(TRAINING!B12:B5000,"&gt;=01/01/2022",TRAINING!B12:B5000,"&lt;=03/31/2022",TRAINING!D12:D5000,"Evidence Based Training (EBT)",TRAINING!AU12:AU5000,"YES")</f>
        <v>0</v>
      </c>
      <c r="BL29" s="350"/>
      <c r="BM29" s="350"/>
      <c r="BN29" s="351"/>
      <c r="BO29" s="919">
        <f>COUNTIFS(TRAINING!B12:B5000,"&gt;=04/01/2022",TRAINING!B12:B5000,"&lt;=06/30/2022",TRAINING!D12:D5000,"Evidence Based Training (EBT)",TRAINING!AU12:AU5000,"YES")</f>
        <v>0</v>
      </c>
      <c r="BP29" s="350"/>
      <c r="BQ29" s="350"/>
      <c r="BR29" s="351"/>
      <c r="BS29" s="787">
        <f>COUNTIFS(TRAINING!B12:B5000,"&gt;=07/01/2022",TRAINING!B12:B5000,"&lt;=09/30/2022",TRAINING!D12:D5000,"Evidence Based Training (EBT)",TRAINING!AU12:AU5000,"YES")</f>
        <v>0</v>
      </c>
      <c r="BT29" s="350"/>
      <c r="BU29" s="350"/>
      <c r="BV29" s="351"/>
      <c r="BW29" s="173"/>
    </row>
    <row r="30" spans="1:75" ht="15.75" customHeight="1">
      <c r="A30" s="413" t="s">
        <v>452</v>
      </c>
      <c r="B30" s="350"/>
      <c r="C30" s="350"/>
      <c r="D30" s="350"/>
      <c r="E30" s="350"/>
      <c r="F30" s="350"/>
      <c r="G30" s="350"/>
      <c r="H30" s="351"/>
      <c r="I30" s="755" t="e">
        <f>'GRANTEE SET UP INFO &amp; DATE '!#REF!</f>
        <v>#REF!</v>
      </c>
      <c r="J30" s="350"/>
      <c r="K30" s="350"/>
      <c r="L30" s="351"/>
      <c r="M30" s="888" t="e">
        <f>'GRANTEE SET UP INFO &amp; DATE '!#REF!</f>
        <v>#REF!</v>
      </c>
      <c r="N30" s="350"/>
      <c r="O30" s="350"/>
      <c r="P30" s="350"/>
      <c r="Q30" s="351"/>
      <c r="R30" s="888" t="e">
        <f>'GRANTEE SET UP INFO &amp; DATE '!#REF!</f>
        <v>#REF!</v>
      </c>
      <c r="S30" s="350"/>
      <c r="T30" s="350"/>
      <c r="U30" s="350"/>
      <c r="V30" s="351"/>
      <c r="W30" s="973">
        <f>COUNTIFS(TRAINING!B12:B5000,"&gt;=07/01/2000",TRAINING!B12:B5000,"&lt;=09/30/2019",TRAINING!D12:D5000,"Evidence Based Training (EBT)",TRAINING!AV12:AV5000,"YES")</f>
        <v>0</v>
      </c>
      <c r="X30" s="350"/>
      <c r="Y30" s="350"/>
      <c r="Z30" s="351"/>
      <c r="AA30" s="753">
        <f>COUNTIFS(TRAINING!B12:B5000,"&gt;=10/01/2019",TRAINING!B12:B5000,"&lt;=12/31/2019",TRAINING!D12:D5000,"Evidence Based Training (EBT)",TRAINING!AV12:AV5000,"YES")</f>
        <v>0</v>
      </c>
      <c r="AB30" s="350"/>
      <c r="AC30" s="350"/>
      <c r="AD30" s="351"/>
      <c r="AE30" s="972">
        <f>COUNTIFS(TRAINING!B12:B5000,"&gt;=01/01/2020",TRAINING!B12:B5000,"&lt;=03/31/2020",TRAINING!D12:D5000,"Evidence Based Training (EBT)",TRAINING!AV12:AV5000,"YES")</f>
        <v>0</v>
      </c>
      <c r="AF30" s="350"/>
      <c r="AG30" s="350"/>
      <c r="AH30" s="351"/>
      <c r="AI30" s="905">
        <f>COUNTIFS(TRAINING!B12:B5000,"&gt;=04/01/2020",TRAINING!B12:B5000,"&lt;=06/30/2020",TRAINING!D12:D5000,"Evidence Based Training (EBT)",TRAINING!AV12:AV5000,"YES")</f>
        <v>0</v>
      </c>
      <c r="AJ30" s="350"/>
      <c r="AK30" s="350"/>
      <c r="AL30" s="351"/>
      <c r="AM30" s="754">
        <f>COUNTIFS(TRAINING!B12:B5000,"&gt;=07/01/2020",TRAINING!B12:B5000,"&lt;=09/30/2020",TRAINING!D12:D5000,"Evidence Based Training (EBT)",TRAINING!AV12:AV5000,"YES")</f>
        <v>0</v>
      </c>
      <c r="AN30" s="350"/>
      <c r="AO30" s="350"/>
      <c r="AP30" s="351"/>
      <c r="AQ30" s="353">
        <f>COUNTIFS(TRAINING!B12:B5000,"&gt;=10/01/2020",TRAINING!B12:B5000,"&lt;=12/31/2020",TRAINING!D12:D5000,"Evidence Based Training (EBT)",TRAINING!AV12:AV5000,"YES")</f>
        <v>0</v>
      </c>
      <c r="AR30" s="350"/>
      <c r="AS30" s="350"/>
      <c r="AT30" s="351"/>
      <c r="AU30" s="352">
        <f>COUNTIFS(TRAINING!B12:B5000,"&gt;=01/01/2021",TRAINING!B12:B5000,"&lt;=03/31/2021",TRAINING!D12:D5000,"Evidence Based Training (EBT)",TRAINING!AV12:AV5000,"YES")</f>
        <v>0</v>
      </c>
      <c r="AV30" s="350"/>
      <c r="AW30" s="350"/>
      <c r="AX30" s="351"/>
      <c r="AY30" s="353">
        <f>COUNTIFS(TRAINING!B12:B5000,"&gt;=04/01/2020",TRAINING!B12:B5000,"&lt;=06/30/2020",TRAINING!D12:D5000,"Evidence Based Training (EBT)",TRAINING!AV12:AV5000,"YES")</f>
        <v>0</v>
      </c>
      <c r="AZ30" s="350"/>
      <c r="BA30" s="350"/>
      <c r="BB30" s="351"/>
      <c r="BC30" s="352">
        <f>COUNTIFS(TRAINING!B12:B5000,"&gt;=07/01/2021",TRAINING!B12:B5000,"&lt;=09/30/2021",TRAINING!D12:D5000,"Evidence Based Training (EBT)",TRAINING!AV12:AV5000,"YES")</f>
        <v>0</v>
      </c>
      <c r="BD30" s="350"/>
      <c r="BE30" s="350"/>
      <c r="BF30" s="351"/>
      <c r="BG30" s="919">
        <f>COUNTIFS(TRAINING!B12:B5000,"&gt;=10/01/2021",TRAINING!B12:B5000,"&lt;=12/31/2021",TRAINING!D12:D5000,"Evidence Based Training (EBT)",TRAINING!AV12:AV5000,"YES")</f>
        <v>0</v>
      </c>
      <c r="BH30" s="350"/>
      <c r="BI30" s="350"/>
      <c r="BJ30" s="351"/>
      <c r="BK30" s="787">
        <f>COUNTIFS(TRAINING!B12:B5000,"&gt;=01/01/2022",TRAINING!B12:B5000,"&lt;=03/31/2022",TRAINING!D12:D5000,"Evidence Based Training (EBT)",TRAINING!AV12:AV5000,"YES")</f>
        <v>0</v>
      </c>
      <c r="BL30" s="350"/>
      <c r="BM30" s="350"/>
      <c r="BN30" s="351"/>
      <c r="BO30" s="919">
        <f>COUNTIFS(TRAINING!B12:B5000,"&gt;=04/01/2022",TRAINING!B12:B5000,"&lt;=06/30/2022",TRAINING!D12:D5000,"Evidence Based Training (EBT)",TRAINING!AV12:AV5000,"YES")</f>
        <v>0</v>
      </c>
      <c r="BP30" s="350"/>
      <c r="BQ30" s="350"/>
      <c r="BR30" s="351"/>
      <c r="BS30" s="787">
        <f>COUNTIFS(TRAINING!B12:B5000,"&gt;=07/01/2022",TRAINING!B12:B5000,"&lt;=09/30/2022",TRAINING!D12:D5000,"Evidence Based Training (EBT)",TRAINING!AV12:AV5000,"YES")</f>
        <v>0</v>
      </c>
      <c r="BT30" s="350"/>
      <c r="BU30" s="350"/>
      <c r="BV30" s="351"/>
      <c r="BW30" s="173"/>
    </row>
    <row r="31" spans="1:75" ht="15.75" customHeight="1">
      <c r="A31" s="413" t="s">
        <v>453</v>
      </c>
      <c r="B31" s="350"/>
      <c r="C31" s="350"/>
      <c r="D31" s="350"/>
      <c r="E31" s="350"/>
      <c r="F31" s="350"/>
      <c r="G31" s="350"/>
      <c r="H31" s="351"/>
      <c r="I31" s="755" t="e">
        <f>'GRANTEE SET UP INFO &amp; DATE '!#REF!</f>
        <v>#REF!</v>
      </c>
      <c r="J31" s="350"/>
      <c r="K31" s="350"/>
      <c r="L31" s="351"/>
      <c r="M31" s="887" t="e">
        <f>'GRANTEE SET UP INFO &amp; DATE '!#REF!</f>
        <v>#REF!</v>
      </c>
      <c r="N31" s="350"/>
      <c r="O31" s="350"/>
      <c r="P31" s="350"/>
      <c r="Q31" s="351"/>
      <c r="R31" s="888" t="e">
        <f>'GRANTEE SET UP INFO &amp; DATE '!#REF!</f>
        <v>#REF!</v>
      </c>
      <c r="S31" s="350"/>
      <c r="T31" s="350"/>
      <c r="U31" s="350"/>
      <c r="V31" s="351"/>
      <c r="W31" s="973">
        <f>COUNTIFS(TRAINING!B12:B5000,"&gt;=07/01/2000",TRAINING!B12:B5000,"&lt;=09/30/2019",TRAINING!D12:D5000,"Evidence Based Training (EBT)",TRAINING!AW12:AW5000,"YES")</f>
        <v>0</v>
      </c>
      <c r="X31" s="350"/>
      <c r="Y31" s="350"/>
      <c r="Z31" s="351"/>
      <c r="AA31" s="753">
        <f>COUNTIFS(TRAINING!B12:B5000,"&gt;=10/01/2019",TRAINING!B12:B5000,"&lt;=12/31/2019",TRAINING!D12:D5000,"Evidence Based Training (EBT)",TRAINING!AW12:AW5000,"YES")</f>
        <v>0</v>
      </c>
      <c r="AB31" s="350"/>
      <c r="AC31" s="350"/>
      <c r="AD31" s="351"/>
      <c r="AE31" s="972">
        <f>COUNTIFS(TRAINING!B12:B5000,"&gt;=01/01/2020",TRAINING!B12:B5000,"&lt;=03/31/2020",TRAINING!D12:D5000,"Evidence Based Training (EBT)",TRAINING!AW12:AW5000,"YES")</f>
        <v>0</v>
      </c>
      <c r="AF31" s="350"/>
      <c r="AG31" s="350"/>
      <c r="AH31" s="351"/>
      <c r="AI31" s="905">
        <f>COUNTIFS(TRAINING!B12:B5000,"&gt;=04/01/2020",TRAINING!B12:B5000,"&lt;=06/30/2020",TRAINING!D12:D5000,"Evidence Based Training (EBT)",TRAINING!AW12:AW5000,"YES")</f>
        <v>0</v>
      </c>
      <c r="AJ31" s="350"/>
      <c r="AK31" s="350"/>
      <c r="AL31" s="351"/>
      <c r="AM31" s="754">
        <f>COUNTIFS(TRAINING!B12:B5000,"&gt;=07/01/2020",TRAINING!B12:B5000,"&lt;=09/30/2020",TRAINING!D12:D5000,"Evidence Based Training (EBT)",TRAINING!AW12:AW5000,"YES")</f>
        <v>0</v>
      </c>
      <c r="AN31" s="350"/>
      <c r="AO31" s="350"/>
      <c r="AP31" s="351"/>
      <c r="AQ31" s="353">
        <f>COUNTIFS(TRAINING!B12:B5000,"&gt;=10/01/2020",TRAINING!B12:B5000,"&lt;=12/31/2020",TRAINING!D12:D5000,"Evidence Based Training (EBT)",TRAINING!AW12:AW5000,"YES")</f>
        <v>0</v>
      </c>
      <c r="AR31" s="350"/>
      <c r="AS31" s="350"/>
      <c r="AT31" s="351"/>
      <c r="AU31" s="352">
        <f>COUNTIFS(TRAINING!B12:B5000,"&gt;=01/01/2021",TRAINING!B12:B5000,"&lt;=03/31/2021",TRAINING!D12:D5000,"Evidence Based Training (EBT)",TRAINING!AW12:AW5000,"YES")</f>
        <v>0</v>
      </c>
      <c r="AV31" s="350"/>
      <c r="AW31" s="350"/>
      <c r="AX31" s="351"/>
      <c r="AY31" s="353">
        <f>COUNTIFS(TRAINING!B12:B5000,"&gt;=04/01/2020",TRAINING!B12:B5000,"&lt;=06/30/2020",TRAINING!D12:D5000,"Evidence Based Training (EBT)",TRAINING!AW12:AW5000,"YES")</f>
        <v>0</v>
      </c>
      <c r="AZ31" s="350"/>
      <c r="BA31" s="350"/>
      <c r="BB31" s="351"/>
      <c r="BC31" s="352">
        <f>COUNTIFS(TRAINING!B12:B5000,"&gt;=07/01/2021",TRAINING!B12:B5000,"&lt;=09/30/2021",TRAINING!D12:D5000,"Evidence Based Training (EBT)",TRAINING!AW12:AW5000,"YES")</f>
        <v>0</v>
      </c>
      <c r="BD31" s="350"/>
      <c r="BE31" s="350"/>
      <c r="BF31" s="351"/>
      <c r="BG31" s="919">
        <f>COUNTIFS(TRAINING!B12:B5000,"&gt;=10/01/2021",TRAINING!B12:B5000,"&lt;=12/31/2021",TRAINING!D12:D5000,"Evidence Based Training (EBT)",TRAINING!AW12:AW5000,"YES")</f>
        <v>0</v>
      </c>
      <c r="BH31" s="350"/>
      <c r="BI31" s="350"/>
      <c r="BJ31" s="351"/>
      <c r="BK31" s="787">
        <f>COUNTIFS(TRAINING!B12:B5000,"&gt;=01/01/2022",TRAINING!B12:B5000,"&lt;=03/31/2022",TRAINING!D12:D5000,"Evidence Based Training (EBT)",TRAINING!AW12:AW5000,"YES")</f>
        <v>0</v>
      </c>
      <c r="BL31" s="350"/>
      <c r="BM31" s="350"/>
      <c r="BN31" s="351"/>
      <c r="BO31" s="919">
        <f>COUNTIFS(TRAINING!B12:B5000,"&gt;=04/01/2022",TRAINING!B12:B5000,"&lt;=06/30/2022",TRAINING!D12:D5000,"Evidence Based Training (EBT)",TRAINING!AW12:AW5000,"YES")</f>
        <v>0</v>
      </c>
      <c r="BP31" s="350"/>
      <c r="BQ31" s="350"/>
      <c r="BR31" s="351"/>
      <c r="BS31" s="787">
        <f>COUNTIFS(TRAINING!B12:B5000,"&gt;=07/01/2022",TRAINING!B12:B5000,"&lt;=09/30/2022",TRAINING!D12:D5000,"Evidence Based Training (EBT)",TRAINING!AW12:AW5000,"YES")</f>
        <v>0</v>
      </c>
      <c r="BT31" s="350"/>
      <c r="BU31" s="350"/>
      <c r="BV31" s="351"/>
      <c r="BW31" s="173"/>
    </row>
    <row r="32" spans="1:75" ht="15.75" customHeight="1">
      <c r="A32" s="413" t="s">
        <v>454</v>
      </c>
      <c r="B32" s="350"/>
      <c r="C32" s="350"/>
      <c r="D32" s="350"/>
      <c r="E32" s="350"/>
      <c r="F32" s="350"/>
      <c r="G32" s="350"/>
      <c r="H32" s="351"/>
      <c r="I32" s="755" t="e">
        <f>'GRANTEE SET UP INFO &amp; DATE '!#REF!</f>
        <v>#REF!</v>
      </c>
      <c r="J32" s="350"/>
      <c r="K32" s="350"/>
      <c r="L32" s="351"/>
      <c r="M32" s="887" t="e">
        <f>'GRANTEE SET UP INFO &amp; DATE '!#REF!</f>
        <v>#REF!</v>
      </c>
      <c r="N32" s="350"/>
      <c r="O32" s="350"/>
      <c r="P32" s="350"/>
      <c r="Q32" s="351"/>
      <c r="R32" s="888" t="e">
        <f>'GRANTEE SET UP INFO &amp; DATE '!#REF!</f>
        <v>#REF!</v>
      </c>
      <c r="S32" s="350"/>
      <c r="T32" s="350"/>
      <c r="U32" s="350"/>
      <c r="V32" s="351"/>
      <c r="W32" s="973">
        <f>COUNTIFS(TRAINING!B12:B5000,"&gt;=07/01/2000",TRAINING!B12:B5000,"&lt;=09/30/2019",TRAINING!D12:D5000,"Evidence Based Training (EBT)",TRAINING!AX12:AX5000,"YES")</f>
        <v>0</v>
      </c>
      <c r="X32" s="350"/>
      <c r="Y32" s="350"/>
      <c r="Z32" s="351"/>
      <c r="AA32" s="753">
        <f>COUNTIFS(TRAINING!B12:B5000,"&gt;=10/01/2019",TRAINING!B12:B5000,"&lt;=12/31/2019",TRAINING!D12:D5000,"Evidence Based Training (EBT)",TRAINING!AX12:AX5000,"YES")</f>
        <v>0</v>
      </c>
      <c r="AB32" s="350"/>
      <c r="AC32" s="350"/>
      <c r="AD32" s="351"/>
      <c r="AE32" s="972">
        <f>COUNTIFS(TRAINING!B12:B5000,"&gt;=01/01/2020",TRAINING!B12:B5000,"&lt;=03/31/2020",TRAINING!D12:D5000,"Evidence Based Training (EBT)",TRAINING!AX12:AX5000,"YES")</f>
        <v>0</v>
      </c>
      <c r="AF32" s="350"/>
      <c r="AG32" s="350"/>
      <c r="AH32" s="351"/>
      <c r="AI32" s="905">
        <f>COUNTIFS(TRAINING!B12:B5000,"&gt;=04/01/2020",TRAINING!B12:B5000,"&lt;=06/30/2020",TRAINING!D12:D5000,"Evidence Based Training (EBT)",TRAINING!AX12:AX5000,"YES")</f>
        <v>0</v>
      </c>
      <c r="AJ32" s="350"/>
      <c r="AK32" s="350"/>
      <c r="AL32" s="351"/>
      <c r="AM32" s="754">
        <f>COUNTIFS(TRAINING!B12:B5000,"&gt;=07/01/2020",TRAINING!B12:B5000,"&lt;=09/30/2020",TRAINING!D12:D5000,"Evidence Based Training (EBT)",TRAINING!AX12:AX5000,"YES")</f>
        <v>0</v>
      </c>
      <c r="AN32" s="350"/>
      <c r="AO32" s="350"/>
      <c r="AP32" s="351"/>
      <c r="AQ32" s="353">
        <f>COUNTIFS(TRAINING!B12:B5000,"&gt;=10/01/2020",TRAINING!B12:B5000,"&lt;=12/31/2020",TRAINING!D12:D5000,"Evidence Based Training (EBT)",TRAINING!AX12:AX5000,"YES")</f>
        <v>0</v>
      </c>
      <c r="AR32" s="350"/>
      <c r="AS32" s="350"/>
      <c r="AT32" s="351"/>
      <c r="AU32" s="352">
        <f>COUNTIFS(TRAINING!B12:B5000,"&gt;=01/01/2021",TRAINING!B12:B5000,"&lt;=03/31/2021",TRAINING!D12:D5000,"Evidence Based Training (EBT)",TRAINING!AX12:AX5000,"YES")</f>
        <v>0</v>
      </c>
      <c r="AV32" s="350"/>
      <c r="AW32" s="350"/>
      <c r="AX32" s="351"/>
      <c r="AY32" s="353">
        <f>COUNTIFS(TRAINING!B12:B5000,"&gt;=04/01/2020",TRAINING!B12:B5000,"&lt;=06/30/2020",TRAINING!D12:D5000,"Evidence Based Training (EBT)",TRAINING!AX12:AX5000,"YES")</f>
        <v>0</v>
      </c>
      <c r="AZ32" s="350"/>
      <c r="BA32" s="350"/>
      <c r="BB32" s="351"/>
      <c r="BC32" s="352">
        <f>COUNTIFS(TRAINING!B12:B5000,"&gt;=07/01/2021",TRAINING!B12:B5000,"&lt;=09/30/2021",TRAINING!D12:D5000,"Evidence Based Training (EBT)",TRAINING!AX12:AX5000,"YES")</f>
        <v>0</v>
      </c>
      <c r="BD32" s="350"/>
      <c r="BE32" s="350"/>
      <c r="BF32" s="351"/>
      <c r="BG32" s="919">
        <f>COUNTIFS(TRAINING!B12:B5000,"&gt;=10/01/2021",TRAINING!B12:B5000,"&lt;=12/31/2021",TRAINING!D12:D5000,"Evidence Based Training (EBT)",TRAINING!AX12:AX5000,"YES")</f>
        <v>0</v>
      </c>
      <c r="BH32" s="350"/>
      <c r="BI32" s="350"/>
      <c r="BJ32" s="351"/>
      <c r="BK32" s="787">
        <f>COUNTIFS(TRAINING!B12:B5000,"&gt;=01/01/2022",TRAINING!B12:B5000,"&lt;=03/31/2022",TRAINING!D12:D5000,"Evidence Based Training (EBT)",TRAINING!AX12:AX5000,"YES")</f>
        <v>0</v>
      </c>
      <c r="BL32" s="350"/>
      <c r="BM32" s="350"/>
      <c r="BN32" s="351"/>
      <c r="BO32" s="919">
        <f>COUNTIFS(TRAINING!B12:B5000,"&gt;=04/01/2022",TRAINING!B12:B5000,"&lt;=06/30/2022",TRAINING!D12:D5000,"Evidence Based Training (EBT)",TRAINING!AX12:AX5000,"YES")</f>
        <v>0</v>
      </c>
      <c r="BP32" s="350"/>
      <c r="BQ32" s="350"/>
      <c r="BR32" s="351"/>
      <c r="BS32" s="787">
        <f>COUNTIFS(TRAINING!B12:B5000,"&gt;=07/01/2022",TRAINING!B12:B5000,"&lt;=09/30/2022",TRAINING!D12:D5000,"Evidence Based Training (EBT)",TRAINING!AX12:AX5000,"YES")</f>
        <v>0</v>
      </c>
      <c r="BT32" s="350"/>
      <c r="BU32" s="350"/>
      <c r="BV32" s="351"/>
      <c r="BW32" s="173"/>
    </row>
    <row r="33" spans="1:75" ht="15.75" customHeight="1">
      <c r="A33" s="413" t="s">
        <v>455</v>
      </c>
      <c r="B33" s="350"/>
      <c r="C33" s="350"/>
      <c r="D33" s="350"/>
      <c r="E33" s="350"/>
      <c r="F33" s="350"/>
      <c r="G33" s="350"/>
      <c r="H33" s="351"/>
      <c r="I33" s="755" t="e">
        <f>'GRANTEE SET UP INFO &amp; DATE '!#REF!</f>
        <v>#REF!</v>
      </c>
      <c r="J33" s="350"/>
      <c r="K33" s="350"/>
      <c r="L33" s="351"/>
      <c r="M33" s="887" t="e">
        <f>'GRANTEE SET UP INFO &amp; DATE '!#REF!</f>
        <v>#REF!</v>
      </c>
      <c r="N33" s="350"/>
      <c r="O33" s="350"/>
      <c r="P33" s="350"/>
      <c r="Q33" s="351"/>
      <c r="R33" s="888" t="e">
        <f>'GRANTEE SET UP INFO &amp; DATE '!#REF!</f>
        <v>#REF!</v>
      </c>
      <c r="S33" s="350"/>
      <c r="T33" s="350"/>
      <c r="U33" s="350"/>
      <c r="V33" s="351"/>
      <c r="W33" s="973">
        <f>COUNTIFS(TRAINING!B12:B5000,"&gt;=07/01/2000",TRAINING!B12:B5000,"&lt;=09/30/2019",TRAINING!D12:D5000,"Evidence Based Training (EBT)",TRAINING!AY12:AY5000,"YES")</f>
        <v>0</v>
      </c>
      <c r="X33" s="350"/>
      <c r="Y33" s="350"/>
      <c r="Z33" s="351"/>
      <c r="AA33" s="753">
        <f>COUNTIFS(TRAINING!B12:B5000,"&gt;=10/01/2019",TRAINING!B12:B5000,"&lt;=12/31/2019",TRAINING!D12:D5000,"Evidence Based Training (EBT)",TRAINING!AY12:AY5000,"YES")</f>
        <v>0</v>
      </c>
      <c r="AB33" s="350"/>
      <c r="AC33" s="350"/>
      <c r="AD33" s="351"/>
      <c r="AE33" s="972">
        <f>COUNTIFS(TRAINING!B12:B5000,"&gt;=01/01/2020",TRAINING!B12:B5000,"&lt;=03/31/2020",TRAINING!D12:D5000,"Evidence Based Training (EBT)",TRAINING!AY12:AY5000,"YES")</f>
        <v>0</v>
      </c>
      <c r="AF33" s="350"/>
      <c r="AG33" s="350"/>
      <c r="AH33" s="351"/>
      <c r="AI33" s="905">
        <f>COUNTIFS(TRAINING!B12:B5000,"&gt;=04/01/2020",TRAINING!B12:B5000,"&lt;=06/30/2020",TRAINING!D12:D5000,"Evidence Based Training (EBT)",TRAINING!AY12:AY5000,"YES")</f>
        <v>0</v>
      </c>
      <c r="AJ33" s="350"/>
      <c r="AK33" s="350"/>
      <c r="AL33" s="351"/>
      <c r="AM33" s="754">
        <f>COUNTIFS(TRAINING!B12:B5000,"&gt;=07/01/2020",TRAINING!B12:B5000,"&lt;=09/30/2020",TRAINING!D12:D5000,"Evidence Based Training (EBT)",TRAINING!AY12:AY5000,"YES")</f>
        <v>0</v>
      </c>
      <c r="AN33" s="350"/>
      <c r="AO33" s="350"/>
      <c r="AP33" s="351"/>
      <c r="AQ33" s="353">
        <f>COUNTIFS(TRAINING!B12:B5000,"&gt;=10/01/2020",TRAINING!B12:B5000,"&lt;=12/31/2020",TRAINING!D12:D5000,"Evidence Based Training (EBT)",TRAINING!AY12:AY5000,"YES")</f>
        <v>0</v>
      </c>
      <c r="AR33" s="350"/>
      <c r="AS33" s="350"/>
      <c r="AT33" s="351"/>
      <c r="AU33" s="352">
        <f>COUNTIFS(TRAINING!B12:B5000,"&gt;=01/01/2021",TRAINING!B12:B5000,"&lt;=03/31/2021",TRAINING!D12:D5000,"Evidence Based Training (EBT)",TRAINING!AY12:AY5000,"YES")</f>
        <v>0</v>
      </c>
      <c r="AV33" s="350"/>
      <c r="AW33" s="350"/>
      <c r="AX33" s="351"/>
      <c r="AY33" s="353">
        <f>COUNTIFS(TRAINING!B12:B5000,"&gt;=04/01/2020",TRAINING!B12:B5000,"&lt;=06/30/2020",TRAINING!D12:D5000,"Evidence Based Training (EBT)",TRAINING!AY12:AY5000,"YES")</f>
        <v>0</v>
      </c>
      <c r="AZ33" s="350"/>
      <c r="BA33" s="350"/>
      <c r="BB33" s="351"/>
      <c r="BC33" s="352">
        <f>COUNTIFS(TRAINING!B12:B5000,"&gt;=07/01/2021",TRAINING!B12:B5000,"&lt;=09/30/2021",TRAINING!D12:D5000,"Evidence Based Training (EBT)",TRAINING!AY12:AY5000,"YES")</f>
        <v>0</v>
      </c>
      <c r="BD33" s="350"/>
      <c r="BE33" s="350"/>
      <c r="BF33" s="351"/>
      <c r="BG33" s="919">
        <f>COUNTIFS(TRAINING!B12:B5000,"&gt;=10/01/2021",TRAINING!B12:B5000,"&lt;=12/31/2021",TRAINING!D12:D5000,"Evidence Based Training (EBT)",TRAINING!AY12:AY5000,"YES")</f>
        <v>0</v>
      </c>
      <c r="BH33" s="350"/>
      <c r="BI33" s="350"/>
      <c r="BJ33" s="351"/>
      <c r="BK33" s="787">
        <f>COUNTIFS(TRAINING!B12:B5000,"&gt;=01/01/2022",TRAINING!B12:B5000,"&lt;=03/31/2022",TRAINING!D12:D5000,"Evidence Based Training (EBT)",TRAINING!AY12:AY5000,"YES")</f>
        <v>0</v>
      </c>
      <c r="BL33" s="350"/>
      <c r="BM33" s="350"/>
      <c r="BN33" s="351"/>
      <c r="BO33" s="919">
        <f>COUNTIFS(TRAINING!B12:B5000,"&gt;=04/01/2022",TRAINING!B12:B5000,"&lt;=06/30/2022",TRAINING!D12:D5000,"Evidence Based Training (EBT)",TRAINING!AY12:AY5000,"YES")</f>
        <v>0</v>
      </c>
      <c r="BP33" s="350"/>
      <c r="BQ33" s="350"/>
      <c r="BR33" s="351"/>
      <c r="BS33" s="787">
        <f>COUNTIFS(TRAINING!B12:B5000,"&gt;=07/01/2022",TRAINING!B12:B5000,"&lt;=09/30/2022",TRAINING!D12:D5000,"Evidence Based Training (EBT)",TRAINING!AY12:AY5000,"YES")</f>
        <v>0</v>
      </c>
      <c r="BT33" s="350"/>
      <c r="BU33" s="350"/>
      <c r="BV33" s="351"/>
      <c r="BW33" s="173"/>
    </row>
    <row r="34" spans="1:75" ht="15.75" customHeight="1">
      <c r="A34" s="413"/>
      <c r="B34" s="350"/>
      <c r="C34" s="350"/>
      <c r="D34" s="350"/>
      <c r="E34" s="350"/>
      <c r="F34" s="350"/>
      <c r="G34" s="350"/>
      <c r="H34" s="351"/>
      <c r="I34" s="754"/>
      <c r="J34" s="350"/>
      <c r="K34" s="350"/>
      <c r="L34" s="351"/>
      <c r="M34" s="887"/>
      <c r="N34" s="350"/>
      <c r="O34" s="350"/>
      <c r="P34" s="350"/>
      <c r="Q34" s="351"/>
      <c r="R34" s="888"/>
      <c r="S34" s="350"/>
      <c r="T34" s="350"/>
      <c r="U34" s="350"/>
      <c r="V34" s="351"/>
      <c r="W34" s="973"/>
      <c r="X34" s="350"/>
      <c r="Y34" s="350"/>
      <c r="Z34" s="351"/>
      <c r="AA34" s="753"/>
      <c r="AB34" s="350"/>
      <c r="AC34" s="350"/>
      <c r="AD34" s="351"/>
      <c r="AE34" s="972"/>
      <c r="AF34" s="350"/>
      <c r="AG34" s="350"/>
      <c r="AH34" s="351"/>
      <c r="AI34" s="905"/>
      <c r="AJ34" s="350"/>
      <c r="AK34" s="350"/>
      <c r="AL34" s="351"/>
      <c r="AM34" s="754"/>
      <c r="AN34" s="350"/>
      <c r="AO34" s="350"/>
      <c r="AP34" s="351"/>
      <c r="AQ34" s="353"/>
      <c r="AR34" s="350"/>
      <c r="AS34" s="350"/>
      <c r="AT34" s="351"/>
      <c r="AU34" s="352"/>
      <c r="AV34" s="350"/>
      <c r="AW34" s="350"/>
      <c r="AX34" s="351"/>
      <c r="AY34" s="353"/>
      <c r="AZ34" s="350"/>
      <c r="BA34" s="350"/>
      <c r="BB34" s="351"/>
      <c r="BC34" s="352"/>
      <c r="BD34" s="350"/>
      <c r="BE34" s="350"/>
      <c r="BF34" s="351"/>
      <c r="BG34" s="919"/>
      <c r="BH34" s="350"/>
      <c r="BI34" s="350"/>
      <c r="BJ34" s="351"/>
      <c r="BK34" s="787"/>
      <c r="BL34" s="350"/>
      <c r="BM34" s="350"/>
      <c r="BN34" s="351"/>
      <c r="BO34" s="919"/>
      <c r="BP34" s="350"/>
      <c r="BQ34" s="350"/>
      <c r="BR34" s="351"/>
      <c r="BS34" s="787"/>
      <c r="BT34" s="350"/>
      <c r="BU34" s="350"/>
      <c r="BV34" s="351"/>
      <c r="BW34" s="173"/>
    </row>
    <row r="35" spans="1:75" ht="15.75" customHeight="1">
      <c r="A35" s="924" t="s">
        <v>561</v>
      </c>
      <c r="B35" s="350"/>
      <c r="C35" s="350"/>
      <c r="D35" s="350"/>
      <c r="E35" s="350"/>
      <c r="F35" s="350"/>
      <c r="G35" s="350"/>
      <c r="H35" s="350"/>
      <c r="I35" s="350"/>
      <c r="J35" s="350"/>
      <c r="K35" s="350"/>
      <c r="L35" s="350"/>
      <c r="M35" s="350"/>
      <c r="N35" s="350"/>
      <c r="O35" s="350"/>
      <c r="P35" s="350"/>
      <c r="Q35" s="350"/>
      <c r="R35" s="350"/>
      <c r="S35" s="350"/>
      <c r="T35" s="350"/>
      <c r="U35" s="350"/>
      <c r="V35" s="351"/>
      <c r="W35" s="925">
        <f>SUM(W22:W34)</f>
        <v>0</v>
      </c>
      <c r="X35" s="350"/>
      <c r="Y35" s="350"/>
      <c r="Z35" s="351"/>
      <c r="AA35" s="782">
        <f>SUM(AA22:AA34)</f>
        <v>0</v>
      </c>
      <c r="AB35" s="350"/>
      <c r="AC35" s="350"/>
      <c r="AD35" s="351"/>
      <c r="AE35" s="882">
        <f>SUM(AE22:AE34)</f>
        <v>0</v>
      </c>
      <c r="AF35" s="350"/>
      <c r="AG35" s="350"/>
      <c r="AH35" s="351"/>
      <c r="AI35" s="926">
        <f>SUM(AI22:AI34)</f>
        <v>0</v>
      </c>
      <c r="AJ35" s="350"/>
      <c r="AK35" s="350"/>
      <c r="AL35" s="351"/>
      <c r="AM35" s="927">
        <f>SUM(AM22:AM34)</f>
        <v>0</v>
      </c>
      <c r="AN35" s="350"/>
      <c r="AO35" s="350"/>
      <c r="AP35" s="351"/>
      <c r="AQ35" s="928">
        <f>SUM(AQ22:AQ34)</f>
        <v>0</v>
      </c>
      <c r="AR35" s="350"/>
      <c r="AS35" s="350"/>
      <c r="AT35" s="351"/>
      <c r="AU35" s="938">
        <f>SUM(AU22:AU34)</f>
        <v>0</v>
      </c>
      <c r="AV35" s="350"/>
      <c r="AW35" s="350"/>
      <c r="AX35" s="351"/>
      <c r="AY35" s="928">
        <f>SUM(AY22:AY34)</f>
        <v>0</v>
      </c>
      <c r="AZ35" s="350"/>
      <c r="BA35" s="350"/>
      <c r="BB35" s="351"/>
      <c r="BC35" s="938">
        <f>SUM(BC22:BC34)</f>
        <v>0</v>
      </c>
      <c r="BD35" s="350"/>
      <c r="BE35" s="350"/>
      <c r="BF35" s="351"/>
      <c r="BG35" s="939">
        <f>SUM(BG22:BG34)</f>
        <v>0</v>
      </c>
      <c r="BH35" s="350"/>
      <c r="BI35" s="350"/>
      <c r="BJ35" s="351"/>
      <c r="BK35" s="923">
        <f>SUM(BK22:BK34)</f>
        <v>0</v>
      </c>
      <c r="BL35" s="350"/>
      <c r="BM35" s="350"/>
      <c r="BN35" s="351"/>
      <c r="BO35" s="939">
        <f>SUM(BO22:BO34)</f>
        <v>0</v>
      </c>
      <c r="BP35" s="350"/>
      <c r="BQ35" s="350"/>
      <c r="BR35" s="351"/>
      <c r="BS35" s="923">
        <f>SUM(BS22:BS34)</f>
        <v>0</v>
      </c>
      <c r="BT35" s="350"/>
      <c r="BU35" s="350"/>
      <c r="BV35" s="351"/>
      <c r="BW35" s="173"/>
    </row>
    <row r="36" spans="1:75" ht="15.75" customHeight="1">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row>
    <row r="37" spans="1:75" ht="15.75" customHeight="1">
      <c r="A37" s="933" t="s">
        <v>728</v>
      </c>
      <c r="B37" s="350"/>
      <c r="C37" s="350"/>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70"/>
      <c r="AP37" s="176"/>
      <c r="AQ37" s="176"/>
      <c r="AR37" s="176"/>
      <c r="AS37" s="176"/>
      <c r="AT37" s="176"/>
      <c r="AU37" s="176"/>
      <c r="AV37" s="176"/>
      <c r="AW37" s="176"/>
      <c r="AX37" s="176"/>
      <c r="AY37" s="176"/>
      <c r="AZ37" s="176"/>
      <c r="BA37" s="176"/>
      <c r="BB37" s="176"/>
      <c r="BC37" s="177" t="s">
        <v>729</v>
      </c>
      <c r="BD37" s="177"/>
      <c r="BE37" s="177"/>
      <c r="BF37" s="177"/>
      <c r="BG37" s="177"/>
      <c r="BH37" s="177"/>
      <c r="BI37" s="177"/>
      <c r="BJ37" s="177"/>
      <c r="BK37" s="177"/>
      <c r="BL37" s="177"/>
      <c r="BM37" s="177"/>
      <c r="BN37" s="177"/>
      <c r="BO37" s="177"/>
      <c r="BP37" s="177"/>
      <c r="BQ37" s="177"/>
      <c r="BR37" s="177"/>
      <c r="BS37" s="177"/>
      <c r="BT37" s="177"/>
      <c r="BU37" s="177"/>
      <c r="BV37" s="178"/>
      <c r="BW37" s="173"/>
    </row>
    <row r="38" spans="1:75" ht="15.75" customHeight="1">
      <c r="A38" s="934"/>
      <c r="B38" s="350"/>
      <c r="C38" s="350"/>
      <c r="D38" s="350"/>
      <c r="E38" s="350"/>
      <c r="F38" s="350"/>
      <c r="G38" s="350"/>
      <c r="H38" s="351"/>
      <c r="I38" s="934" t="s">
        <v>674</v>
      </c>
      <c r="J38" s="350"/>
      <c r="K38" s="350"/>
      <c r="L38" s="351"/>
      <c r="M38" s="935" t="s">
        <v>675</v>
      </c>
      <c r="N38" s="350"/>
      <c r="O38" s="350"/>
      <c r="P38" s="350"/>
      <c r="Q38" s="351"/>
      <c r="R38" s="936" t="s">
        <v>676</v>
      </c>
      <c r="S38" s="350"/>
      <c r="T38" s="350"/>
      <c r="U38" s="350"/>
      <c r="V38" s="351"/>
      <c r="W38" s="937" t="s">
        <v>713</v>
      </c>
      <c r="X38" s="350"/>
      <c r="Y38" s="350"/>
      <c r="Z38" s="351"/>
      <c r="AA38" s="649" t="s">
        <v>714</v>
      </c>
      <c r="AB38" s="350"/>
      <c r="AC38" s="350"/>
      <c r="AD38" s="351"/>
      <c r="AE38" s="918" t="s">
        <v>715</v>
      </c>
      <c r="AF38" s="350"/>
      <c r="AG38" s="350"/>
      <c r="AH38" s="351"/>
      <c r="AI38" s="649" t="s">
        <v>716</v>
      </c>
      <c r="AJ38" s="350"/>
      <c r="AK38" s="350"/>
      <c r="AL38" s="351"/>
      <c r="AM38" s="918" t="s">
        <v>717</v>
      </c>
      <c r="AN38" s="350"/>
      <c r="AO38" s="350"/>
      <c r="AP38" s="351"/>
      <c r="AQ38" s="931" t="s">
        <v>718</v>
      </c>
      <c r="AR38" s="350"/>
      <c r="AS38" s="350"/>
      <c r="AT38" s="351"/>
      <c r="AU38" s="932" t="s">
        <v>719</v>
      </c>
      <c r="AV38" s="350"/>
      <c r="AW38" s="350"/>
      <c r="AX38" s="351"/>
      <c r="AY38" s="931" t="s">
        <v>720</v>
      </c>
      <c r="AZ38" s="350"/>
      <c r="BA38" s="350"/>
      <c r="BB38" s="351"/>
      <c r="BC38" s="932" t="s">
        <v>721</v>
      </c>
      <c r="BD38" s="350"/>
      <c r="BE38" s="350"/>
      <c r="BF38" s="351"/>
      <c r="BG38" s="929" t="s">
        <v>722</v>
      </c>
      <c r="BH38" s="350"/>
      <c r="BI38" s="350"/>
      <c r="BJ38" s="351"/>
      <c r="BK38" s="930" t="s">
        <v>723</v>
      </c>
      <c r="BL38" s="350"/>
      <c r="BM38" s="350"/>
      <c r="BN38" s="351"/>
      <c r="BO38" s="929" t="s">
        <v>724</v>
      </c>
      <c r="BP38" s="350"/>
      <c r="BQ38" s="350"/>
      <c r="BR38" s="351"/>
      <c r="BS38" s="930" t="s">
        <v>725</v>
      </c>
      <c r="BT38" s="350"/>
      <c r="BU38" s="350"/>
      <c r="BV38" s="351"/>
      <c r="BW38" s="173"/>
    </row>
    <row r="39" spans="1:75" ht="15.75" customHeight="1">
      <c r="A39" s="413" t="s">
        <v>444</v>
      </c>
      <c r="B39" s="350"/>
      <c r="C39" s="350"/>
      <c r="D39" s="350"/>
      <c r="E39" s="350"/>
      <c r="F39" s="350"/>
      <c r="G39" s="350"/>
      <c r="H39" s="351"/>
      <c r="I39" s="755">
        <f>'GRANTEE SET UP INFO &amp; DATE '!C11</f>
        <v>0</v>
      </c>
      <c r="J39" s="350"/>
      <c r="K39" s="350"/>
      <c r="L39" s="351"/>
      <c r="M39" s="885">
        <f>'GRANTEE SET UP INFO &amp; DATE '!F11</f>
        <v>0</v>
      </c>
      <c r="N39" s="350"/>
      <c r="O39" s="350"/>
      <c r="P39" s="350"/>
      <c r="Q39" s="351"/>
      <c r="R39" s="885" t="e">
        <f>'GRANTEE SET UP INFO &amp; DATE '!#REF!</f>
        <v>#REF!</v>
      </c>
      <c r="S39" s="350"/>
      <c r="T39" s="350"/>
      <c r="U39" s="350"/>
      <c r="V39" s="351"/>
      <c r="W39" s="913">
        <f>COUNTIFS(TRAINING!B12:B5000,"&gt;=07/01/2000",TRAINING!B12:B5000,"&lt;=09/30/2019",TRAINING!D12:D5000,"Both Mandatory and EBT",TRAINING!AN12:AN5000,"YES")</f>
        <v>0</v>
      </c>
      <c r="X39" s="350"/>
      <c r="Y39" s="350"/>
      <c r="Z39" s="351"/>
      <c r="AA39" s="511">
        <f>COUNTIFS(TRAINING!B12:B5000,"&gt;=10/01/2019",TRAINING!B12:B5000,"&lt;=12/31/2019",TRAINING!D12:D5000,"Both Mandatory and EBT",TRAINING!AN12:AN5000,"YES")</f>
        <v>0</v>
      </c>
      <c r="AB39" s="350"/>
      <c r="AC39" s="350"/>
      <c r="AD39" s="351"/>
      <c r="AE39" s="754">
        <f>COUNTIFS(TRAINING!B12:B5000,"&gt;=01/01/2020",TRAINING!B12:B5000,"&lt;=03/31/2020",TRAINING!D12:D5000,"Both Mandatory and EBT",TRAINING!AN12:AN5000,"YES")</f>
        <v>0</v>
      </c>
      <c r="AF39" s="350"/>
      <c r="AG39" s="350"/>
      <c r="AH39" s="351"/>
      <c r="AI39" s="511">
        <f>COUNTIFS(TRAINING!B12:B5000,"&gt;=04/01/2020",TRAINING!B12:B5000,"&lt;=06/30/2020",TRAINING!D12:D5000,"Both Mandatory and EBT",TRAINING!AN12:AN5000,"YES")</f>
        <v>0</v>
      </c>
      <c r="AJ39" s="350"/>
      <c r="AK39" s="350"/>
      <c r="AL39" s="351"/>
      <c r="AM39" s="754">
        <f>COUNTIFS(TRAINING!B12:B5000,"&gt;=07/01/2020",TRAINING!B12:B5000,"&lt;=09/30/2020",TRAINING!D12:D5000,"Both Mandatory and EBT",TRAINING!AN12:AN5000,"YES")</f>
        <v>0</v>
      </c>
      <c r="AN39" s="350"/>
      <c r="AO39" s="350"/>
      <c r="AP39" s="351"/>
      <c r="AQ39" s="353">
        <f>COUNTIFS(TRAINING!B12:B5000,"&gt;=10/01/2020",TRAINING!B12:B5000,"&lt;=12/31/2020",TRAINING!D12:D5000,"Both Mandatory and EBT",TRAINING!AN12:AN5000,"YES")</f>
        <v>0</v>
      </c>
      <c r="AR39" s="350"/>
      <c r="AS39" s="350"/>
      <c r="AT39" s="351"/>
      <c r="AU39" s="352">
        <f>COUNTIFS(TRAINING!B12:B5000,"&gt;=01/01/2021",TRAINING!B12:B5000,"&lt;=03/31/2021",TRAINING!D12:D5000,"Both Mandatory and EBT",TRAINING!AN12:AN5000,"YES")</f>
        <v>0</v>
      </c>
      <c r="AV39" s="350"/>
      <c r="AW39" s="350"/>
      <c r="AX39" s="351"/>
      <c r="AY39" s="353">
        <f>COUNTIFS(TRAINING!B12:B5000,"&gt;=04/01/2020",TRAINING!B12:B5000,"&lt;=06/30/2020",TRAINING!D12:D5000,"Both Mandatory and EBT",TRAINING!AN12:AN5000,"YES")</f>
        <v>0</v>
      </c>
      <c r="AZ39" s="350"/>
      <c r="BA39" s="350"/>
      <c r="BB39" s="351"/>
      <c r="BC39" s="352">
        <f>COUNTIFS(TRAINING!B12:B5000,"&gt;=07/01/2021",TRAINING!B12:B5000,"&lt;=09/30/2021",TRAINING!D12:D5000,"Both Mandatory and EBT",TRAINING!AN12:AN5000,"YES")</f>
        <v>0</v>
      </c>
      <c r="BD39" s="350"/>
      <c r="BE39" s="350"/>
      <c r="BF39" s="351"/>
      <c r="BG39" s="919">
        <f>COUNTIFS(TRAINING!B12:B5000,"&gt;=10/01/2021",TRAINING!B12:B5000,"&lt;=12/31/2021",TRAINING!D12:D5000,"Both Mandatory and EBT",TRAINING!AN12:AN5000,"YES")</f>
        <v>0</v>
      </c>
      <c r="BH39" s="350"/>
      <c r="BI39" s="350"/>
      <c r="BJ39" s="351"/>
      <c r="BK39" s="787">
        <f>COUNTIFS(TRAINING!B12:B5000,"&gt;=01/01/2022",TRAINING!B12:B5000,"&lt;=03/31/2022",TRAINING!D12:D5000,"Both Mandatory and EBT",TRAINING!AN12:AN5000,"YES")</f>
        <v>0</v>
      </c>
      <c r="BL39" s="350"/>
      <c r="BM39" s="350"/>
      <c r="BN39" s="351"/>
      <c r="BO39" s="919">
        <f>COUNTIFS(TRAINING!B12:B5000,"&gt;=04/01/2022",TRAINING!B12:B5000,"&lt;=06/30/2022",TRAINING!D12:D5000,"Both Mandatory and EBT",TRAINING!AN12:AN5000,"YES")</f>
        <v>0</v>
      </c>
      <c r="BP39" s="350"/>
      <c r="BQ39" s="350"/>
      <c r="BR39" s="351"/>
      <c r="BS39" s="787">
        <f>COUNTIFS(TRAINING!B12:B5000,"&gt;=07/01/2022",TRAINING!B12:B5000,"&lt;=09/30/2022",TRAINING!D12:D5000,"Both Mandatory and EBT",TRAINING!AN12:AN5000,"YES")</f>
        <v>0</v>
      </c>
      <c r="BT39" s="350"/>
      <c r="BU39" s="350"/>
      <c r="BV39" s="351"/>
      <c r="BW39" s="173"/>
    </row>
    <row r="40" spans="1:75" ht="15.75" customHeight="1">
      <c r="A40" s="413" t="s">
        <v>445</v>
      </c>
      <c r="B40" s="350"/>
      <c r="C40" s="350"/>
      <c r="D40" s="350"/>
      <c r="E40" s="350"/>
      <c r="F40" s="350"/>
      <c r="G40" s="350"/>
      <c r="H40" s="351"/>
      <c r="I40" s="755">
        <f>'GRANTEE SET UP INFO &amp; DATE '!C12</f>
        <v>0</v>
      </c>
      <c r="J40" s="350"/>
      <c r="K40" s="350"/>
      <c r="L40" s="351"/>
      <c r="M40" s="885">
        <f>'GRANTEE SET UP INFO &amp; DATE '!F12</f>
        <v>0</v>
      </c>
      <c r="N40" s="350"/>
      <c r="O40" s="350"/>
      <c r="P40" s="350"/>
      <c r="Q40" s="351"/>
      <c r="R40" s="885" t="e">
        <f>'GRANTEE SET UP INFO &amp; DATE '!#REF!</f>
        <v>#REF!</v>
      </c>
      <c r="S40" s="350"/>
      <c r="T40" s="350"/>
      <c r="U40" s="350"/>
      <c r="V40" s="351"/>
      <c r="W40" s="913">
        <f>COUNTIFS(TRAINING!B12:B5000,"&gt;=07/01/2000",TRAINING!B12:B5000,"&lt;=09/30/2019",TRAINING!D12:D5000,"Both Mandatory and EBT",TRAINING!AO12:AO5000,"YES")</f>
        <v>0</v>
      </c>
      <c r="X40" s="350"/>
      <c r="Y40" s="350"/>
      <c r="Z40" s="351"/>
      <c r="AA40" s="511">
        <f>COUNTIFS(TRAINING!B12:B5000,"&gt;=10/01/2019",TRAINING!B12:B5000,"&lt;=12/31/2019",TRAINING!D12:D5000,"Both Mandatory and EBT",TRAINING!AO12:AO5000,"YES")</f>
        <v>0</v>
      </c>
      <c r="AB40" s="350"/>
      <c r="AC40" s="350"/>
      <c r="AD40" s="351"/>
      <c r="AE40" s="754">
        <f>COUNTIFS(TRAINING!B12:B5000,"&gt;=01/01/2020",TRAINING!B12:B5000,"&lt;=03/31/2020",TRAINING!D12:D5000,"Both Mandatory and EBT",TRAINING!AO12:AO5000,"YES")</f>
        <v>0</v>
      </c>
      <c r="AF40" s="350"/>
      <c r="AG40" s="350"/>
      <c r="AH40" s="351"/>
      <c r="AI40" s="511">
        <f>COUNTIFS(TRAINING!B12:B5000,"&gt;=04/01/2020",TRAINING!B12:B5000,"&lt;=06/30/2020",TRAINING!D12:D5000,"Both Mandatory and EBT",TRAINING!AO12:AO5000,"YES")</f>
        <v>0</v>
      </c>
      <c r="AJ40" s="350"/>
      <c r="AK40" s="350"/>
      <c r="AL40" s="351"/>
      <c r="AM40" s="754">
        <f>COUNTIFS(TRAINING!B12:B5000,"&gt;=07/01/2020",TRAINING!B12:B5000,"&lt;=09/30/2020",TRAINING!D12:D5000,"Both Mandatory and EBT",TRAINING!AO12:AO5000,"YES")</f>
        <v>0</v>
      </c>
      <c r="AN40" s="350"/>
      <c r="AO40" s="350"/>
      <c r="AP40" s="351"/>
      <c r="AQ40" s="353">
        <f>COUNTIFS(TRAINING!B12:B5000,"&gt;=10/01/2020",TRAINING!B12:B5000,"&lt;=12/31/2020",TRAINING!D12:D5000,"Both Mandatory and EBT",TRAINING!AO12:AO5000,"YES")</f>
        <v>0</v>
      </c>
      <c r="AR40" s="350"/>
      <c r="AS40" s="350"/>
      <c r="AT40" s="351"/>
      <c r="AU40" s="352">
        <f>COUNTIFS(TRAINING!B12:B5000,"&gt;=01/01/2021",TRAINING!B12:B5000,"&lt;=03/31/2021",TRAINING!D12:D5000,"Both Mandatory and EBT",TRAINING!AO12:AO5000,"YES")</f>
        <v>0</v>
      </c>
      <c r="AV40" s="350"/>
      <c r="AW40" s="350"/>
      <c r="AX40" s="351"/>
      <c r="AY40" s="353">
        <f>COUNTIFS(TRAINING!B12:B5000,"&gt;=04/01/2020",TRAINING!B12:B5000,"&lt;=06/30/2020",TRAINING!D12:D5000,"Both Mandatory and EBT",TRAINING!AO12:AO5000,"YES")</f>
        <v>0</v>
      </c>
      <c r="AZ40" s="350"/>
      <c r="BA40" s="350"/>
      <c r="BB40" s="351"/>
      <c r="BC40" s="352">
        <f>COUNTIFS(TRAINING!B12:B5000,"&gt;=07/01/2021",TRAINING!B12:B5000,"&lt;=09/30/2021",TRAINING!D12:D5000,"Both Mandatory and EBT",TRAINING!AO12:AO5000,"YES")</f>
        <v>0</v>
      </c>
      <c r="BD40" s="350"/>
      <c r="BE40" s="350"/>
      <c r="BF40" s="351"/>
      <c r="BG40" s="919">
        <f>COUNTIFS(TRAINING!B12:B5000,"&gt;=10/01/2021",TRAINING!B12:B5000,"&lt;=12/31/2021",TRAINING!D12:D5000,"Both Mandatory and EBT",TRAINING!AO12:AO5000,"YES")</f>
        <v>0</v>
      </c>
      <c r="BH40" s="350"/>
      <c r="BI40" s="350"/>
      <c r="BJ40" s="351"/>
      <c r="BK40" s="787">
        <f>COUNTIFS(TRAINING!B12:B5000,"&gt;=01/01/2022",TRAINING!B12:B5000,"&lt;=03/31/2022",TRAINING!D12:D5000,"Both Mandatory and EBT",TRAINING!AO12:AO5000,"YES")</f>
        <v>0</v>
      </c>
      <c r="BL40" s="350"/>
      <c r="BM40" s="350"/>
      <c r="BN40" s="351"/>
      <c r="BO40" s="919">
        <f>COUNTIFS(TRAINING!B12:B5000,"&gt;=04/01/2022",TRAINING!B12:B5000,"&lt;=06/30/2022",TRAINING!D12:D5000,"Both Mandatory and EBT",TRAINING!AO12:AO5000,"YES")</f>
        <v>0</v>
      </c>
      <c r="BP40" s="350"/>
      <c r="BQ40" s="350"/>
      <c r="BR40" s="351"/>
      <c r="BS40" s="787">
        <f>COUNTIFS(TRAINING!B12:B5000,"&gt;=07/01/2022",TRAINING!B12:B5000,"&lt;=09/30/2022",TRAINING!D12:D5000,"Both Mandatory and EBT",TRAINING!AO12:AO5000,"YES")</f>
        <v>0</v>
      </c>
      <c r="BT40" s="350"/>
      <c r="BU40" s="350"/>
      <c r="BV40" s="351"/>
      <c r="BW40" s="173"/>
    </row>
    <row r="41" spans="1:75" ht="15.75" customHeight="1">
      <c r="A41" s="413" t="s">
        <v>446</v>
      </c>
      <c r="B41" s="350"/>
      <c r="C41" s="350"/>
      <c r="D41" s="350"/>
      <c r="E41" s="350"/>
      <c r="F41" s="350"/>
      <c r="G41" s="350"/>
      <c r="H41" s="351"/>
      <c r="I41" s="755">
        <f>'GRANTEE SET UP INFO &amp; DATE '!C13</f>
        <v>0</v>
      </c>
      <c r="J41" s="350"/>
      <c r="K41" s="350"/>
      <c r="L41" s="351"/>
      <c r="M41" s="885">
        <f>'GRANTEE SET UP INFO &amp; DATE '!F13</f>
        <v>0</v>
      </c>
      <c r="N41" s="350"/>
      <c r="O41" s="350"/>
      <c r="P41" s="350"/>
      <c r="Q41" s="351"/>
      <c r="R41" s="885" t="e">
        <f>'GRANTEE SET UP INFO &amp; DATE '!#REF!</f>
        <v>#REF!</v>
      </c>
      <c r="S41" s="350"/>
      <c r="T41" s="350"/>
      <c r="U41" s="350"/>
      <c r="V41" s="351"/>
      <c r="W41" s="913">
        <f>COUNTIFS(TRAINING!B12:B5000,"&gt;=07/01/2000",TRAINING!B12:B5000,"&lt;=09/30/2019",TRAINING!D12:D5000,"Both Mandatory and EBT",TRAINING!AP12:AP5000,"YES")</f>
        <v>0</v>
      </c>
      <c r="X41" s="350"/>
      <c r="Y41" s="350"/>
      <c r="Z41" s="351"/>
      <c r="AA41" s="511">
        <f>COUNTIFS(TRAINING!B12:B5000,"&gt;=10/01/2019",TRAINING!B12:B5000,"&lt;=12/31/2019",TRAINING!D12:D5000,"Both Mandatory and EBT",TRAINING!AP12:AP5000,"YES")</f>
        <v>0</v>
      </c>
      <c r="AB41" s="350"/>
      <c r="AC41" s="350"/>
      <c r="AD41" s="351"/>
      <c r="AE41" s="754">
        <f>COUNTIFS(TRAINING!B12:B5000,"&gt;=01/01/2020",TRAINING!B12:B5000,"&lt;=03/31/2020",TRAINING!D12:D5000,"Both Mandatory and EBT",TRAINING!AP12:AP5000,"YES")</f>
        <v>0</v>
      </c>
      <c r="AF41" s="350"/>
      <c r="AG41" s="350"/>
      <c r="AH41" s="351"/>
      <c r="AI41" s="511">
        <f>COUNTIFS(TRAINING!B12:B5000,"&gt;=04/01/2020",TRAINING!B12:B5000,"&lt;=06/30/2020",TRAINING!D12:D5000,"Both Mandatory and EBT",TRAINING!AP12:AP5000,"YES")</f>
        <v>0</v>
      </c>
      <c r="AJ41" s="350"/>
      <c r="AK41" s="350"/>
      <c r="AL41" s="351"/>
      <c r="AM41" s="754">
        <f>COUNTIFS(TRAINING!B12:B5000,"&gt;=07/01/2020",TRAINING!B12:B5000,"&lt;=09/30/2020",TRAINING!D12:D5000,"Both Mandatory and EBT",TRAINING!AP12:AP5000,"YES")</f>
        <v>0</v>
      </c>
      <c r="AN41" s="350"/>
      <c r="AO41" s="350"/>
      <c r="AP41" s="351"/>
      <c r="AQ41" s="353">
        <f>COUNTIFS(TRAINING!B12:B5000,"&gt;=10/01/2020",TRAINING!B12:B5000,"&lt;=12/31/2020",TRAINING!D12:D5000,"Both Mandatory and EBT",TRAINING!AP12:AP5000,"YES")</f>
        <v>0</v>
      </c>
      <c r="AR41" s="350"/>
      <c r="AS41" s="350"/>
      <c r="AT41" s="351"/>
      <c r="AU41" s="352">
        <f>COUNTIFS(TRAINING!B12:B5000,"&gt;=01/01/2021",TRAINING!B12:B5000,"&lt;=03/31/2021",TRAINING!D12:D5000,"Both Mandatory and EBT",TRAINING!AP12:AP5000,"YES")</f>
        <v>0</v>
      </c>
      <c r="AV41" s="350"/>
      <c r="AW41" s="350"/>
      <c r="AX41" s="351"/>
      <c r="AY41" s="353">
        <f>COUNTIFS(TRAINING!B12:B5000,"&gt;=04/01/2020",TRAINING!B12:B5000,"&lt;=06/30/2020",TRAINING!D12:D5000,"Both Mandatory and EBT",TRAINING!AP12:AP5000,"YES")</f>
        <v>0</v>
      </c>
      <c r="AZ41" s="350"/>
      <c r="BA41" s="350"/>
      <c r="BB41" s="351"/>
      <c r="BC41" s="352">
        <f>COUNTIFS(TRAINING!B12:B5000,"&gt;=07/01/2021",TRAINING!B12:B5000,"&lt;=09/30/2021",TRAINING!D12:D5000,"Both Mandatory and EBT",TRAINING!AP12:AP5000,"YES")</f>
        <v>0</v>
      </c>
      <c r="BD41" s="350"/>
      <c r="BE41" s="350"/>
      <c r="BF41" s="351"/>
      <c r="BG41" s="919">
        <f>COUNTIFS(TRAINING!B12:B5000,"&gt;=10/01/2021",TRAINING!B12:B5000,"&lt;=12/31/2021",TRAINING!D12:D5000,"Both Mandatory and EBT",TRAINING!AP12:AP5000,"YES")</f>
        <v>0</v>
      </c>
      <c r="BH41" s="350"/>
      <c r="BI41" s="350"/>
      <c r="BJ41" s="351"/>
      <c r="BK41" s="787">
        <f>COUNTIFS(TRAINING!B12:B5000,"&gt;=01/01/2022",TRAINING!B12:B5000,"&lt;=03/31/2022",TRAINING!D12:D5000,"Both Mandatory and EBT",TRAINING!AP12:AP5000,"YES")</f>
        <v>0</v>
      </c>
      <c r="BL41" s="350"/>
      <c r="BM41" s="350"/>
      <c r="BN41" s="351"/>
      <c r="BO41" s="919">
        <f>COUNTIFS(TRAINING!B12:B5000,"&gt;=04/01/2022",TRAINING!B12:B5000,"&lt;=06/30/2022",TRAINING!D12:D5000,"Both Mandatory and EBT",TRAINING!AP12:AP5000,"YES")</f>
        <v>0</v>
      </c>
      <c r="BP41" s="350"/>
      <c r="BQ41" s="350"/>
      <c r="BR41" s="351"/>
      <c r="BS41" s="787">
        <f>COUNTIFS(TRAINING!B12:B5000,"&gt;=07/01/2022",TRAINING!B12:B5000,"&lt;=09/30/2022",TRAINING!D12:D5000,"Both Mandatory and EBT",TRAINING!AP12:AP5000,"YES")</f>
        <v>0</v>
      </c>
      <c r="BT41" s="350"/>
      <c r="BU41" s="350"/>
      <c r="BV41" s="351"/>
      <c r="BW41" s="173"/>
    </row>
    <row r="42" spans="1:75" ht="15.75" customHeight="1">
      <c r="A42" s="413" t="s">
        <v>447</v>
      </c>
      <c r="B42" s="350"/>
      <c r="C42" s="350"/>
      <c r="D42" s="350"/>
      <c r="E42" s="350"/>
      <c r="F42" s="350"/>
      <c r="G42" s="350"/>
      <c r="H42" s="351"/>
      <c r="I42" s="755">
        <f>'GRANTEE SET UP INFO &amp; DATE '!C14</f>
        <v>0</v>
      </c>
      <c r="J42" s="350"/>
      <c r="K42" s="350"/>
      <c r="L42" s="351"/>
      <c r="M42" s="885">
        <f>'GRANTEE SET UP INFO &amp; DATE '!F14</f>
        <v>0</v>
      </c>
      <c r="N42" s="350"/>
      <c r="O42" s="350"/>
      <c r="P42" s="350"/>
      <c r="Q42" s="351"/>
      <c r="R42" s="885" t="e">
        <f>'GRANTEE SET UP INFO &amp; DATE '!#REF!</f>
        <v>#REF!</v>
      </c>
      <c r="S42" s="350"/>
      <c r="T42" s="350"/>
      <c r="U42" s="350"/>
      <c r="V42" s="351"/>
      <c r="W42" s="913">
        <f>COUNTIFS(TRAINING!B12:B5000,"&gt;=07/01/2000",TRAINING!B12:B5000,"&lt;=09/30/2019",TRAINING!D12:D5000,"Both Mandatory and EBT",TRAINING!AQ12:AQ5000,"YES")</f>
        <v>0</v>
      </c>
      <c r="X42" s="350"/>
      <c r="Y42" s="350"/>
      <c r="Z42" s="351"/>
      <c r="AA42" s="511">
        <f>COUNTIFS(TRAINING!B12:B5000,"&gt;=10/01/2019",TRAINING!B12:B5000,"&lt;=12/31/2019",TRAINING!D12:D5000,"Both Mandatory and EBT",TRAINING!AQ12:AQ5000,"YES")</f>
        <v>0</v>
      </c>
      <c r="AB42" s="350"/>
      <c r="AC42" s="350"/>
      <c r="AD42" s="351"/>
      <c r="AE42" s="754">
        <f>COUNTIFS(TRAINING!B12:B5000,"&gt;=01/01/2020",TRAINING!B12:B5000,"&lt;=03/31/2020",TRAINING!D12:D5000,"Both Mandatory and EBT",TRAINING!AQ12:AQ5000,"YES")</f>
        <v>0</v>
      </c>
      <c r="AF42" s="350"/>
      <c r="AG42" s="350"/>
      <c r="AH42" s="351"/>
      <c r="AI42" s="511">
        <f>COUNTIFS(TRAINING!B12:B5000,"&gt;=04/01/2020",TRAINING!B12:B5000,"&lt;=06/30/2020",TRAINING!D12:D5000,"Both Mandatory and EBT",TRAINING!AQ12:AQ5000,"YES")</f>
        <v>0</v>
      </c>
      <c r="AJ42" s="350"/>
      <c r="AK42" s="350"/>
      <c r="AL42" s="351"/>
      <c r="AM42" s="754">
        <f>COUNTIFS(TRAINING!B12:B5000,"&gt;=07/01/2020",TRAINING!B12:B5000,"&lt;=09/30/2020",TRAINING!D12:D5000,"Both Mandatory and EBT",TRAINING!AQ12:AQ5000,"YES")</f>
        <v>0</v>
      </c>
      <c r="AN42" s="350"/>
      <c r="AO42" s="350"/>
      <c r="AP42" s="351"/>
      <c r="AQ42" s="353">
        <f>COUNTIFS(TRAINING!B12:B5000,"&gt;=10/01/2020",TRAINING!B12:B5000,"&lt;=12/31/2020",TRAINING!D12:D5000,"Both Mandatory and EBT",TRAINING!AQ12:AQ5000,"YES")</f>
        <v>0</v>
      </c>
      <c r="AR42" s="350"/>
      <c r="AS42" s="350"/>
      <c r="AT42" s="351"/>
      <c r="AU42" s="352">
        <f>COUNTIFS(TRAINING!B12:B5000,"&gt;=01/01/2021",TRAINING!B12:B5000,"&lt;=03/31/2021",TRAINING!D12:D5000,"Both Mandatory and EBT",TRAINING!AQ12:AQ5000,"YES")</f>
        <v>0</v>
      </c>
      <c r="AV42" s="350"/>
      <c r="AW42" s="350"/>
      <c r="AX42" s="351"/>
      <c r="AY42" s="353">
        <f>COUNTIFS(TRAINING!B12:B5000,"&gt;=04/01/2020",TRAINING!B12:B5000,"&lt;=06/30/2020",TRAINING!D12:D5000,"Both Mandatory and EBT",TRAINING!AQ12:AQ5000,"YES")</f>
        <v>0</v>
      </c>
      <c r="AZ42" s="350"/>
      <c r="BA42" s="350"/>
      <c r="BB42" s="351"/>
      <c r="BC42" s="352">
        <f>COUNTIFS(TRAINING!B12:B5000,"&gt;=07/01/2021",TRAINING!B12:B5000,"&lt;=09/30/2021",TRAINING!D12:D5000,"Both Mandatory and EBT",TRAINING!AQ12:AQ5000,"YES")</f>
        <v>0</v>
      </c>
      <c r="BD42" s="350"/>
      <c r="BE42" s="350"/>
      <c r="BF42" s="351"/>
      <c r="BG42" s="919">
        <f>COUNTIFS(TRAINING!B12:B5000,"&gt;=10/01/2021",TRAINING!B12:B5000,"&lt;=12/31/2021",TRAINING!D12:D5000,"Both Mandatory and EBT",TRAINING!AQ12:AQ5000,"YES")</f>
        <v>0</v>
      </c>
      <c r="BH42" s="350"/>
      <c r="BI42" s="350"/>
      <c r="BJ42" s="351"/>
      <c r="BK42" s="787">
        <f>COUNTIFS(TRAINING!B12:B5000,"&gt;=01/01/2022",TRAINING!B12:B5000,"&lt;=03/31/2022",TRAINING!D12:D5000,"Both Mandatory and EBT",TRAINING!AQ12:AQ5000,"YES")</f>
        <v>0</v>
      </c>
      <c r="BL42" s="350"/>
      <c r="BM42" s="350"/>
      <c r="BN42" s="351"/>
      <c r="BO42" s="919">
        <f>COUNTIFS(TRAINING!B12:B5000,"&gt;=04/01/2022",TRAINING!B12:B5000,"&lt;=06/30/2022",TRAINING!D12:D5000,"Both Mandatory and EBT",TRAINING!AQ12:AQ5000,"YES")</f>
        <v>0</v>
      </c>
      <c r="BP42" s="350"/>
      <c r="BQ42" s="350"/>
      <c r="BR42" s="351"/>
      <c r="BS42" s="787">
        <f>COUNTIFS(TRAINING!B12:B5000,"&gt;=07/01/2022",TRAINING!B12:B5000,"&lt;=09/30/2022",TRAINING!D12:D5000,"Both Mandatory and EBT",TRAINING!AQ12:AQ5000,"YES")</f>
        <v>0</v>
      </c>
      <c r="BT42" s="350"/>
      <c r="BU42" s="350"/>
      <c r="BV42" s="351"/>
      <c r="BW42" s="173"/>
    </row>
    <row r="43" spans="1:75" ht="15.75" customHeight="1">
      <c r="A43" s="413" t="s">
        <v>448</v>
      </c>
      <c r="B43" s="350"/>
      <c r="C43" s="350"/>
      <c r="D43" s="350"/>
      <c r="E43" s="350"/>
      <c r="F43" s="350"/>
      <c r="G43" s="350"/>
      <c r="H43" s="351"/>
      <c r="I43" s="755">
        <f>'GRANTEE SET UP INFO &amp; DATE '!C15</f>
        <v>0</v>
      </c>
      <c r="J43" s="350"/>
      <c r="K43" s="350"/>
      <c r="L43" s="351"/>
      <c r="M43" s="885">
        <f>'GRANTEE SET UP INFO &amp; DATE '!F15</f>
        <v>0</v>
      </c>
      <c r="N43" s="350"/>
      <c r="O43" s="350"/>
      <c r="P43" s="350"/>
      <c r="Q43" s="351"/>
      <c r="R43" s="885" t="e">
        <f>'GRANTEE SET UP INFO &amp; DATE '!#REF!</f>
        <v>#REF!</v>
      </c>
      <c r="S43" s="350"/>
      <c r="T43" s="350"/>
      <c r="U43" s="350"/>
      <c r="V43" s="351"/>
      <c r="W43" s="913">
        <f>COUNTIFS(TRAINING!B12:B5000,"&gt;=07/01/2000",TRAINING!B12:B5000,"&lt;=09/30/2019",TRAINING!D12:D5000,"Both Mandatory and EBT",TRAINING!AR12:AR5000,"YES")</f>
        <v>0</v>
      </c>
      <c r="X43" s="350"/>
      <c r="Y43" s="350"/>
      <c r="Z43" s="351"/>
      <c r="AA43" s="511">
        <f>COUNTIFS(TRAINING!B12:B5000,"&gt;=10/01/2019",TRAINING!B12:B5000,"&lt;=12/31/2019",TRAINING!D12:D5000,"Both Mandatory and EBT",TRAINING!AR12:AR5000,"YES")</f>
        <v>0</v>
      </c>
      <c r="AB43" s="350"/>
      <c r="AC43" s="350"/>
      <c r="AD43" s="351"/>
      <c r="AE43" s="754">
        <f>COUNTIFS(TRAINING!B12:B5000,"&gt;=01/01/2020",TRAINING!B12:B5000,"&lt;=03/31/2020",TRAINING!D12:D5000,"Both Mandatory and EBT",TRAINING!AR12:AR5000,"YES")</f>
        <v>0</v>
      </c>
      <c r="AF43" s="350"/>
      <c r="AG43" s="350"/>
      <c r="AH43" s="351"/>
      <c r="AI43" s="511">
        <f>COUNTIFS(TRAINING!B12:B5000,"&gt;=04/01/2020",TRAINING!B12:B5000,"&lt;=06/30/2020",TRAINING!D12:D5000,"Both Mandatory and EBT",TRAINING!AR12:AR5000,"YES")</f>
        <v>0</v>
      </c>
      <c r="AJ43" s="350"/>
      <c r="AK43" s="350"/>
      <c r="AL43" s="351"/>
      <c r="AM43" s="754">
        <f>COUNTIFS(TRAINING!B12:B5000,"&gt;=07/01/2020",TRAINING!B12:B5000,"&lt;=09/30/2020",TRAINING!D12:D5000,"Both Mandatory and EBT",TRAINING!AR12:AR5000,"YES")</f>
        <v>0</v>
      </c>
      <c r="AN43" s="350"/>
      <c r="AO43" s="350"/>
      <c r="AP43" s="351"/>
      <c r="AQ43" s="353">
        <f>COUNTIFS(TRAINING!B12:B5000,"&gt;=10/01/2020",TRAINING!B12:B5000,"&lt;=12/31/2020",TRAINING!D12:D5000,"Both Mandatory and EBT",TRAINING!AR12:AR5000,"YES")</f>
        <v>0</v>
      </c>
      <c r="AR43" s="350"/>
      <c r="AS43" s="350"/>
      <c r="AT43" s="351"/>
      <c r="AU43" s="352">
        <f>COUNTIFS(TRAINING!B12:B5000,"&gt;=01/01/2021",TRAINING!B12:B5000,"&lt;=03/31/2021",TRAINING!D12:D5000,"Both Mandatory and EBT",TRAINING!AR12:AR5000,"YES")</f>
        <v>0</v>
      </c>
      <c r="AV43" s="350"/>
      <c r="AW43" s="350"/>
      <c r="AX43" s="351"/>
      <c r="AY43" s="353">
        <f>COUNTIFS(TRAINING!B12:B5000,"&gt;=04/01/2020",TRAINING!B12:B5000,"&lt;=06/30/2020",TRAINING!D12:D5000,"Both Mandatory and EBT",TRAINING!AR12:AR5000,"YES")</f>
        <v>0</v>
      </c>
      <c r="AZ43" s="350"/>
      <c r="BA43" s="350"/>
      <c r="BB43" s="351"/>
      <c r="BC43" s="352">
        <f>COUNTIFS(TRAINING!B12:B5000,"&gt;=07/01/2021",TRAINING!B12:B5000,"&lt;=09/30/2021",TRAINING!D12:D5000,"Both Mandatory and EBT",TRAINING!AR12:AR5000,"YES")</f>
        <v>0</v>
      </c>
      <c r="BD43" s="350"/>
      <c r="BE43" s="350"/>
      <c r="BF43" s="351"/>
      <c r="BG43" s="919">
        <f>COUNTIFS(TRAINING!B12:B5000,"&gt;=10/01/2021",TRAINING!B12:B5000,"&lt;=12/31/2021",TRAINING!D12:D5000,"Both Mandatory and EBT",TRAINING!AR12:AR5000,"YES")</f>
        <v>0</v>
      </c>
      <c r="BH43" s="350"/>
      <c r="BI43" s="350"/>
      <c r="BJ43" s="351"/>
      <c r="BK43" s="787">
        <f>COUNTIFS(TRAINING!B12:B5000,"&gt;=01/01/2022",TRAINING!B12:B5000,"&lt;=03/31/2022",TRAINING!D12:D5000,"Both Mandatory and EBT",TRAINING!AR12:AR5000,"YES")</f>
        <v>0</v>
      </c>
      <c r="BL43" s="350"/>
      <c r="BM43" s="350"/>
      <c r="BN43" s="351"/>
      <c r="BO43" s="919">
        <f>COUNTIFS(TRAINING!B12:B5000,"&gt;=04/01/2022",TRAINING!B12:B5000,"&lt;=06/30/2022",TRAINING!D12:D5000,"Both Mandatory and EBT",TRAINING!AR12:AR5000,"YES")</f>
        <v>0</v>
      </c>
      <c r="BP43" s="350"/>
      <c r="BQ43" s="350"/>
      <c r="BR43" s="351"/>
      <c r="BS43" s="787">
        <f>COUNTIFS(TRAINING!B12:B5000,"&gt;=07/01/2022",TRAINING!B12:B5000,"&lt;=09/30/2022",TRAINING!D12:D5000,"Both Mandatory and EBT",TRAINING!AR12:AR5000,"YES")</f>
        <v>0</v>
      </c>
      <c r="BT43" s="350"/>
      <c r="BU43" s="350"/>
      <c r="BV43" s="351"/>
      <c r="BW43" s="173"/>
    </row>
    <row r="44" spans="1:75" ht="15.75" customHeight="1">
      <c r="A44" s="413" t="s">
        <v>449</v>
      </c>
      <c r="B44" s="350"/>
      <c r="C44" s="350"/>
      <c r="D44" s="350"/>
      <c r="E44" s="350"/>
      <c r="F44" s="350"/>
      <c r="G44" s="350"/>
      <c r="H44" s="351"/>
      <c r="I44" s="755">
        <f>'GRANTEE SET UP INFO &amp; DATE '!C16</f>
        <v>0</v>
      </c>
      <c r="J44" s="350"/>
      <c r="K44" s="350"/>
      <c r="L44" s="351"/>
      <c r="M44" s="885">
        <f>'GRANTEE SET UP INFO &amp; DATE '!F16</f>
        <v>0</v>
      </c>
      <c r="N44" s="350"/>
      <c r="O44" s="350"/>
      <c r="P44" s="350"/>
      <c r="Q44" s="351"/>
      <c r="R44" s="885" t="e">
        <f>'GRANTEE SET UP INFO &amp; DATE '!#REF!</f>
        <v>#REF!</v>
      </c>
      <c r="S44" s="350"/>
      <c r="T44" s="350"/>
      <c r="U44" s="350"/>
      <c r="V44" s="351"/>
      <c r="W44" s="913">
        <f>COUNTIFS(TRAINING!B12:B5000,"&gt;=07/01/2000",TRAINING!B12:B5000,"&lt;=09/30/2019",TRAINING!D12:D5000,"Both Mandatory and EBT",TRAINING!AS12:AS5000,"YES")</f>
        <v>0</v>
      </c>
      <c r="X44" s="350"/>
      <c r="Y44" s="350"/>
      <c r="Z44" s="351"/>
      <c r="AA44" s="511">
        <f>COUNTIFS(TRAINING!B12:B5000,"&gt;=10/01/2019",TRAINING!B12:B5000,"&lt;=12/31/2019",TRAINING!D12:D5000,"Both Mandatory and EBT",TRAINING!AS12:AS5000,"YES")</f>
        <v>0</v>
      </c>
      <c r="AB44" s="350"/>
      <c r="AC44" s="350"/>
      <c r="AD44" s="351"/>
      <c r="AE44" s="754">
        <f>COUNTIFS(TRAINING!B12:B5000,"&gt;=01/01/2020",TRAINING!B12:B5000,"&lt;=03/31/2020",TRAINING!D12:D5000,"Both Mandatory and EBT",TRAINING!AS12:AS5000,"YES")</f>
        <v>0</v>
      </c>
      <c r="AF44" s="350"/>
      <c r="AG44" s="350"/>
      <c r="AH44" s="351"/>
      <c r="AI44" s="511">
        <f>COUNTIFS(TRAINING!B12:B5000,"&gt;=04/01/2020",TRAINING!B12:B5000,"&lt;=06/30/2020",TRAINING!D12:D5000,"Both Mandatory and EBT",TRAINING!AS12:AS5000,"YES")</f>
        <v>0</v>
      </c>
      <c r="AJ44" s="350"/>
      <c r="AK44" s="350"/>
      <c r="AL44" s="351"/>
      <c r="AM44" s="754">
        <f>COUNTIFS(TRAINING!B12:B5000,"&gt;=07/01/2020",TRAINING!B12:B5000,"&lt;=09/30/2020",TRAINING!D12:D5000,"Both Mandatory and EBT",TRAINING!AS12:AS5000,"YES")</f>
        <v>0</v>
      </c>
      <c r="AN44" s="350"/>
      <c r="AO44" s="350"/>
      <c r="AP44" s="351"/>
      <c r="AQ44" s="353">
        <f>COUNTIFS(TRAINING!B12:B5000,"&gt;=10/01/2020",TRAINING!B12:B5000,"&lt;=12/31/2020",TRAINING!D12:D5000,"Both Mandatory and EBT",TRAINING!AS12:AS5000,"YES")</f>
        <v>0</v>
      </c>
      <c r="AR44" s="350"/>
      <c r="AS44" s="350"/>
      <c r="AT44" s="351"/>
      <c r="AU44" s="352">
        <f>COUNTIFS(TRAINING!B12:B5000,"&gt;=01/01/2021",TRAINING!B12:B5000,"&lt;=03/31/2021",TRAINING!D12:D5000,"Both Mandatory and EBT",TRAINING!AS12:AS5000,"YES")</f>
        <v>0</v>
      </c>
      <c r="AV44" s="350"/>
      <c r="AW44" s="350"/>
      <c r="AX44" s="351"/>
      <c r="AY44" s="353">
        <f>COUNTIFS(TRAINING!B12:B5000,"&gt;=04/01/2020",TRAINING!B12:B5000,"&lt;=06/30/2020",TRAINING!D12:D5000,"Both Mandatory and EBT",TRAINING!AS12:AS5000,"YES")</f>
        <v>0</v>
      </c>
      <c r="AZ44" s="350"/>
      <c r="BA44" s="350"/>
      <c r="BB44" s="351"/>
      <c r="BC44" s="352">
        <f>COUNTIFS(TRAINING!B12:B5000,"&gt;=07/01/2021",TRAINING!B12:B5000,"&lt;=09/30/2021",TRAINING!D12:D5000,"Both Mandatory and EBT",TRAINING!AS12:AS5000,"YES")</f>
        <v>0</v>
      </c>
      <c r="BD44" s="350"/>
      <c r="BE44" s="350"/>
      <c r="BF44" s="351"/>
      <c r="BG44" s="919">
        <f>COUNTIFS(TRAINING!B12:B5000,"&gt;=10/01/2021",TRAINING!B12:B5000,"&lt;=12/31/2021",TRAINING!D12:D5000,"Both Mandatory and EBT",TRAINING!AS12:AS5000,"YES")</f>
        <v>0</v>
      </c>
      <c r="BH44" s="350"/>
      <c r="BI44" s="350"/>
      <c r="BJ44" s="351"/>
      <c r="BK44" s="787">
        <f>COUNTIFS(TRAINING!B12:B5000,"&gt;=01/01/2022",TRAINING!B12:B5000,"&lt;=03/31/2022",TRAINING!D12:D5000,"Both Mandatory and EBT",TRAINING!AS12:AS5000,"YES")</f>
        <v>0</v>
      </c>
      <c r="BL44" s="350"/>
      <c r="BM44" s="350"/>
      <c r="BN44" s="351"/>
      <c r="BO44" s="919">
        <f>COUNTIFS(TRAINING!B12:B5000,"&gt;=04/01/2022",TRAINING!B12:B5000,"&lt;=06/30/2022",TRAINING!D12:D5000,"Both Mandatory and EBT",TRAINING!AS12:AS5000,"YES")</f>
        <v>0</v>
      </c>
      <c r="BP44" s="350"/>
      <c r="BQ44" s="350"/>
      <c r="BR44" s="351"/>
      <c r="BS44" s="787">
        <f>COUNTIFS(TRAINING!B12:B5000,"&gt;=07/01/2022",TRAINING!B12:B5000,"&lt;=09/30/2022",TRAINING!D12:D5000,"Both Mandatory and EBT",TRAINING!AS12:AS5000,"YES")</f>
        <v>0</v>
      </c>
      <c r="BT44" s="350"/>
      <c r="BU44" s="350"/>
      <c r="BV44" s="351"/>
      <c r="BW44" s="173"/>
    </row>
    <row r="45" spans="1:75" ht="15.75" customHeight="1">
      <c r="A45" s="413" t="s">
        <v>450</v>
      </c>
      <c r="B45" s="350"/>
      <c r="C45" s="350"/>
      <c r="D45" s="350"/>
      <c r="E45" s="350"/>
      <c r="F45" s="350"/>
      <c r="G45" s="350"/>
      <c r="H45" s="351"/>
      <c r="I45" s="755">
        <f>'GRANTEE SET UP INFO &amp; DATE '!C17</f>
        <v>0</v>
      </c>
      <c r="J45" s="350"/>
      <c r="K45" s="350"/>
      <c r="L45" s="351"/>
      <c r="M45" s="885">
        <f>'GRANTEE SET UP INFO &amp; DATE '!F17</f>
        <v>0</v>
      </c>
      <c r="N45" s="350"/>
      <c r="O45" s="350"/>
      <c r="P45" s="350"/>
      <c r="Q45" s="351"/>
      <c r="R45" s="885" t="e">
        <f>'GRANTEE SET UP INFO &amp; DATE '!#REF!</f>
        <v>#REF!</v>
      </c>
      <c r="S45" s="350"/>
      <c r="T45" s="350"/>
      <c r="U45" s="350"/>
      <c r="V45" s="351"/>
      <c r="W45" s="913">
        <f>COUNTIFS(TRAINING!B12:B5000,"&gt;=07/01/2000",TRAINING!B12:B5000,"&lt;=09/30/2019",TRAINING!D12:D5000,"Both Mandatory and EBT",TRAINING!AT12:AT5000,"YES")</f>
        <v>0</v>
      </c>
      <c r="X45" s="350"/>
      <c r="Y45" s="350"/>
      <c r="Z45" s="351"/>
      <c r="AA45" s="511">
        <f>COUNTIFS(TRAINING!B12:B5000,"&gt;=10/01/2019",TRAINING!B12:B5000,"&lt;=12/31/2019",TRAINING!D12:D5000,"Both Mandatory and EBT",TRAINING!AT12:AT5000,"YES")</f>
        <v>0</v>
      </c>
      <c r="AB45" s="350"/>
      <c r="AC45" s="350"/>
      <c r="AD45" s="351"/>
      <c r="AE45" s="754">
        <f>COUNTIFS(TRAINING!B12:B5000,"&gt;=01/01/2020",TRAINING!B12:B5000,"&lt;=03/31/2020",TRAINING!D12:D5000,"Both Mandatory and EBT",TRAINING!AT12:AT5000,"YES")</f>
        <v>0</v>
      </c>
      <c r="AF45" s="350"/>
      <c r="AG45" s="350"/>
      <c r="AH45" s="351"/>
      <c r="AI45" s="511">
        <f>COUNTIFS(TRAINING!B12:B5000,"&gt;=04/01/2020",TRAINING!B12:B5000,"&lt;=06/30/2020",TRAINING!D12:D5000,"Both Mandatory and EBT",TRAINING!AT12:AT5000,"YES")</f>
        <v>0</v>
      </c>
      <c r="AJ45" s="350"/>
      <c r="AK45" s="350"/>
      <c r="AL45" s="351"/>
      <c r="AM45" s="754">
        <f>COUNTIFS(TRAINING!B12:B5000,"&gt;=07/01/2020",TRAINING!B12:B5000,"&lt;=09/30/2020",TRAINING!D12:D5000,"Both Mandatory and EBT",TRAINING!AT12:AT5000,"YES")</f>
        <v>0</v>
      </c>
      <c r="AN45" s="350"/>
      <c r="AO45" s="350"/>
      <c r="AP45" s="351"/>
      <c r="AQ45" s="353">
        <f>COUNTIFS(TRAINING!B12:B5000,"&gt;=10/01/2020",TRAINING!B12:B5000,"&lt;=12/31/2020",TRAINING!D12:D5000,"Both Mandatory and EBT",TRAINING!AT12:AT5000,"YES")</f>
        <v>0</v>
      </c>
      <c r="AR45" s="350"/>
      <c r="AS45" s="350"/>
      <c r="AT45" s="351"/>
      <c r="AU45" s="352">
        <f>COUNTIFS(TRAINING!B12:B5000,"&gt;=01/01/2021",TRAINING!B12:B5000,"&lt;=03/31/2021",TRAINING!D12:D5000,"Both Mandatory and EBT",TRAINING!AT12:AT5000,"YES")</f>
        <v>0</v>
      </c>
      <c r="AV45" s="350"/>
      <c r="AW45" s="350"/>
      <c r="AX45" s="351"/>
      <c r="AY45" s="353">
        <f>COUNTIFS(TRAINING!B12:B5000,"&gt;=04/01/2020",TRAINING!B12:B5000,"&lt;=06/30/2020",TRAINING!D12:D5000,"Both Mandatory and EBT",TRAINING!AT12:AT5000,"YES")</f>
        <v>0</v>
      </c>
      <c r="AZ45" s="350"/>
      <c r="BA45" s="350"/>
      <c r="BB45" s="351"/>
      <c r="BC45" s="352">
        <f>COUNTIFS(TRAINING!B12:B5000,"&gt;=07/01/2021",TRAINING!B12:B5000,"&lt;=09/30/2021",TRAINING!D12:D5000,"Both Mandatory and EBT",TRAINING!AT12:AT5000,"YES")</f>
        <v>0</v>
      </c>
      <c r="BD45" s="350"/>
      <c r="BE45" s="350"/>
      <c r="BF45" s="351"/>
      <c r="BG45" s="919">
        <f>COUNTIFS(TRAINING!B12:B5000,"&gt;=10/01/2021",TRAINING!B12:B5000,"&lt;=12/31/2021",TRAINING!D12:D5000,"Both Mandatory and EBT",TRAINING!AT12:AT5000,"YES")</f>
        <v>0</v>
      </c>
      <c r="BH45" s="350"/>
      <c r="BI45" s="350"/>
      <c r="BJ45" s="351"/>
      <c r="BK45" s="787">
        <f>COUNTIFS(TRAINING!B12:B5000,"&gt;=01/01/2022",TRAINING!B12:B5000,"&lt;=03/31/2022",TRAINING!D12:D5000,"Both Mandatory and EBT",TRAINING!AT12:AT5000,"YES")</f>
        <v>0</v>
      </c>
      <c r="BL45" s="350"/>
      <c r="BM45" s="350"/>
      <c r="BN45" s="351"/>
      <c r="BO45" s="919">
        <f>COUNTIFS(TRAINING!B12:B5000,"&gt;=04/01/2022",TRAINING!B12:B5000,"&lt;=06/30/2022",TRAINING!D12:D5000,"Both Mandatory and EBT",TRAINING!AT12:AT5000,"YES")</f>
        <v>0</v>
      </c>
      <c r="BP45" s="350"/>
      <c r="BQ45" s="350"/>
      <c r="BR45" s="351"/>
      <c r="BS45" s="787">
        <f>COUNTIFS(TRAINING!B12:B5000,"&gt;=07/01/2022",TRAINING!B12:B5000,"&lt;=09/30/2022",TRAINING!D12:D5000,"Both Mandatory and EBT",TRAINING!AT12:AT5000,"YES")</f>
        <v>0</v>
      </c>
      <c r="BT45" s="350"/>
      <c r="BU45" s="350"/>
      <c r="BV45" s="351"/>
      <c r="BW45" s="173"/>
    </row>
    <row r="46" spans="1:75" ht="15.75" customHeight="1">
      <c r="A46" s="413" t="s">
        <v>451</v>
      </c>
      <c r="B46" s="350"/>
      <c r="C46" s="350"/>
      <c r="D46" s="350"/>
      <c r="E46" s="350"/>
      <c r="F46" s="350"/>
      <c r="G46" s="350"/>
      <c r="H46" s="351"/>
      <c r="I46" s="755">
        <f>'GRANTEE SET UP INFO &amp; DATE '!C18</f>
        <v>0</v>
      </c>
      <c r="J46" s="350"/>
      <c r="K46" s="350"/>
      <c r="L46" s="351"/>
      <c r="M46" s="885">
        <f>'GRANTEE SET UP INFO &amp; DATE '!F18</f>
        <v>0</v>
      </c>
      <c r="N46" s="350"/>
      <c r="O46" s="350"/>
      <c r="P46" s="350"/>
      <c r="Q46" s="351"/>
      <c r="R46" s="885" t="e">
        <f>'GRANTEE SET UP INFO &amp; DATE '!#REF!</f>
        <v>#REF!</v>
      </c>
      <c r="S46" s="350"/>
      <c r="T46" s="350"/>
      <c r="U46" s="350"/>
      <c r="V46" s="351"/>
      <c r="W46" s="913">
        <f>COUNTIFS(TRAINING!B12:B5000,"&gt;=07/01/2000",TRAINING!B12:B5000,"&lt;=09/30/2019",TRAINING!D12:D5000,"Both Mandatory and EBT",TRAINING!AU12:AU5000,"YES")</f>
        <v>0</v>
      </c>
      <c r="X46" s="350"/>
      <c r="Y46" s="350"/>
      <c r="Z46" s="351"/>
      <c r="AA46" s="511">
        <f>COUNTIFS(TRAINING!B12:B5000,"&gt;=10/01/2019",TRAINING!B12:B5000,"&lt;=12/31/2019",TRAINING!D12:D5000,"Both Mandatory and EBT",TRAINING!AU12:AU5000,"YES")</f>
        <v>0</v>
      </c>
      <c r="AB46" s="350"/>
      <c r="AC46" s="350"/>
      <c r="AD46" s="351"/>
      <c r="AE46" s="754">
        <f>COUNTIFS(TRAINING!B12:B5000,"&gt;=01/01/2020",TRAINING!B12:B5000,"&lt;=03/31/2020",TRAINING!D12:D5000,"Both Mandatory and EBT",TRAINING!AU12:AU5000,"YES")</f>
        <v>0</v>
      </c>
      <c r="AF46" s="350"/>
      <c r="AG46" s="350"/>
      <c r="AH46" s="351"/>
      <c r="AI46" s="511">
        <f>COUNTIFS(TRAINING!B12:B5000,"&gt;=04/01/2020",TRAINING!B12:B5000,"&lt;=06/30/2020",TRAINING!D12:D5000,"Both Mandatory and EBT",TRAINING!AU12:AU5000,"YES")</f>
        <v>0</v>
      </c>
      <c r="AJ46" s="350"/>
      <c r="AK46" s="350"/>
      <c r="AL46" s="351"/>
      <c r="AM46" s="754">
        <f>COUNTIFS(TRAINING!B12:B5000,"&gt;=07/01/2020",TRAINING!B12:B5000,"&lt;=09/30/2020",TRAINING!D12:D5000,"Both Mandatory and EBT",TRAINING!AU12:AU5000,"YES")</f>
        <v>0</v>
      </c>
      <c r="AN46" s="350"/>
      <c r="AO46" s="350"/>
      <c r="AP46" s="351"/>
      <c r="AQ46" s="353">
        <f>COUNTIFS(TRAINING!B12:B5000,"&gt;=10/01/2020",TRAINING!B12:B5000,"&lt;=12/31/2020",TRAINING!D12:D5000,"Both Mandatory and EBT",TRAINING!AU12:AU5000,"YES")</f>
        <v>0</v>
      </c>
      <c r="AR46" s="350"/>
      <c r="AS46" s="350"/>
      <c r="AT46" s="351"/>
      <c r="AU46" s="352">
        <f>COUNTIFS(TRAINING!B12:B5000,"&gt;=01/01/2021",TRAINING!B12:B5000,"&lt;=03/31/2021",TRAINING!D12:D5000,"Both Mandatory and EBT",TRAINING!AU12:AU5000,"YES")</f>
        <v>0</v>
      </c>
      <c r="AV46" s="350"/>
      <c r="AW46" s="350"/>
      <c r="AX46" s="351"/>
      <c r="AY46" s="353">
        <f>COUNTIFS(TRAINING!B12:B5000,"&gt;=04/01/2020",TRAINING!B12:B5000,"&lt;=06/30/2020",TRAINING!D12:D5000,"Both Mandatory and EBT",TRAINING!AU12:AU5000,"YES")</f>
        <v>0</v>
      </c>
      <c r="AZ46" s="350"/>
      <c r="BA46" s="350"/>
      <c r="BB46" s="351"/>
      <c r="BC46" s="352">
        <f>COUNTIFS(TRAINING!B12:B5000,"&gt;=07/01/2021",TRAINING!B12:B5000,"&lt;=09/30/2021",TRAINING!D12:D5000,"Both Mandatory and EBT",TRAINING!AU12:AU5000,"YES")</f>
        <v>0</v>
      </c>
      <c r="BD46" s="350"/>
      <c r="BE46" s="350"/>
      <c r="BF46" s="351"/>
      <c r="BG46" s="919">
        <f>COUNTIFS(TRAINING!B12:B5000,"&gt;=10/01/2021",TRAINING!B12:B5000,"&lt;=12/31/2021",TRAINING!D12:D5000,"Both Mandatory and EBT",TRAINING!AU12:AU5000,"YES")</f>
        <v>0</v>
      </c>
      <c r="BH46" s="350"/>
      <c r="BI46" s="350"/>
      <c r="BJ46" s="351"/>
      <c r="BK46" s="787">
        <f>COUNTIFS(TRAINING!B12:B5000,"&gt;=01/01/2022",TRAINING!B12:B5000,"&lt;=03/31/2022",TRAINING!D12:D5000,"Both Mandatory and EBT",TRAINING!AU12:AU5000,"YES")</f>
        <v>0</v>
      </c>
      <c r="BL46" s="350"/>
      <c r="BM46" s="350"/>
      <c r="BN46" s="351"/>
      <c r="BO46" s="919">
        <f>COUNTIFS(TRAINING!B12:B5000,"&gt;=04/01/2022",TRAINING!B12:B5000,"&lt;=06/30/2022",TRAINING!D12:D5000,"Both Mandatory and EBT",TRAINING!AU12:AU5000,"YES")</f>
        <v>0</v>
      </c>
      <c r="BP46" s="350"/>
      <c r="BQ46" s="350"/>
      <c r="BR46" s="351"/>
      <c r="BS46" s="787">
        <f>COUNTIFS(TRAINING!B12:B5000,"&gt;=07/01/2022",TRAINING!B12:B5000,"&lt;=09/30/2022",TRAINING!D12:D5000,"Both Mandatory and EBT",TRAINING!AU12:AU5000,"YES")</f>
        <v>0</v>
      </c>
      <c r="BT46" s="350"/>
      <c r="BU46" s="350"/>
      <c r="BV46" s="351"/>
      <c r="BW46" s="173"/>
    </row>
    <row r="47" spans="1:75" ht="15.75" customHeight="1">
      <c r="A47" s="413" t="s">
        <v>452</v>
      </c>
      <c r="B47" s="350"/>
      <c r="C47" s="350"/>
      <c r="D47" s="350"/>
      <c r="E47" s="350"/>
      <c r="F47" s="350"/>
      <c r="G47" s="350"/>
      <c r="H47" s="351"/>
      <c r="I47" s="755" t="e">
        <f>'GRANTEE SET UP INFO &amp; DATE '!#REF!</f>
        <v>#REF!</v>
      </c>
      <c r="J47" s="350"/>
      <c r="K47" s="350"/>
      <c r="L47" s="351"/>
      <c r="M47" s="922" t="e">
        <f>'GRANTEE SET UP INFO &amp; DATE '!#REF!</f>
        <v>#REF!</v>
      </c>
      <c r="N47" s="350"/>
      <c r="O47" s="350"/>
      <c r="P47" s="350"/>
      <c r="Q47" s="351"/>
      <c r="R47" s="922" t="e">
        <f>'GRANTEE SET UP INFO &amp; DATE '!#REF!</f>
        <v>#REF!</v>
      </c>
      <c r="S47" s="350"/>
      <c r="T47" s="350"/>
      <c r="U47" s="350"/>
      <c r="V47" s="351"/>
      <c r="W47" s="913">
        <f>COUNTIFS(TRAINING!B12:B5000,"&gt;=07/01/2000",TRAINING!B12:B5000,"&lt;=09/30/2019",TRAINING!D12:D5000,"Both Mandatory and EBT",TRAINING!AV12:AV5000,"YES")</f>
        <v>0</v>
      </c>
      <c r="X47" s="350"/>
      <c r="Y47" s="350"/>
      <c r="Z47" s="351"/>
      <c r="AA47" s="511">
        <f>COUNTIFS(TRAINING!B12:B5000,"&gt;=10/01/2019",TRAINING!B12:B5000,"&lt;=12/31/2019",TRAINING!D12:D5000,"Both Mandatory and EBT",TRAINING!AV12:AV5000,"YES")</f>
        <v>0</v>
      </c>
      <c r="AB47" s="350"/>
      <c r="AC47" s="350"/>
      <c r="AD47" s="351"/>
      <c r="AE47" s="754">
        <f>COUNTIFS(TRAINING!B12:B5000,"&gt;=01/01/2020",TRAINING!B12:B5000,"&lt;=03/31/2020",TRAINING!D12:D5000,"Both Mandatory and EBT",TRAINING!AV12:AV5000,"YES")</f>
        <v>0</v>
      </c>
      <c r="AF47" s="350"/>
      <c r="AG47" s="350"/>
      <c r="AH47" s="351"/>
      <c r="AI47" s="511">
        <f>COUNTIFS(TRAINING!B12:B5000,"&gt;=04/01/2020",TRAINING!B12:B5000,"&lt;=06/30/2020",TRAINING!D12:D5000,"Both Mandatory and EBT",TRAINING!AV12:AV5000,"YES")</f>
        <v>0</v>
      </c>
      <c r="AJ47" s="350"/>
      <c r="AK47" s="350"/>
      <c r="AL47" s="351"/>
      <c r="AM47" s="754">
        <f>COUNTIFS(TRAINING!B12:B5000,"&gt;=07/01/2020",TRAINING!B12:B5000,"&lt;=09/30/2020",TRAINING!D12:D5000,"Both Mandatory and EBT",TRAINING!AV12:AV5000,"YES")</f>
        <v>0</v>
      </c>
      <c r="AN47" s="350"/>
      <c r="AO47" s="350"/>
      <c r="AP47" s="351"/>
      <c r="AQ47" s="353">
        <f>COUNTIFS(TRAINING!B12:B5000,"&gt;=10/01/2020",TRAINING!B12:B5000,"&lt;=12/31/2020",TRAINING!D12:D5000,"Both Mandatory and EBT",TRAINING!AV12:AV5000,"YES")</f>
        <v>0</v>
      </c>
      <c r="AR47" s="350"/>
      <c r="AS47" s="350"/>
      <c r="AT47" s="351"/>
      <c r="AU47" s="352">
        <f>COUNTIFS(TRAINING!B12:B5000,"&gt;=01/01/2021",TRAINING!B12:B5000,"&lt;=03/31/2021",TRAINING!D12:D5000,"Both Mandatory and EBT",TRAINING!AV12:AV5000,"YES")</f>
        <v>0</v>
      </c>
      <c r="AV47" s="350"/>
      <c r="AW47" s="350"/>
      <c r="AX47" s="351"/>
      <c r="AY47" s="353">
        <f>COUNTIFS(TRAINING!B12:B5000,"&gt;=04/01/2020",TRAINING!B12:B5000,"&lt;=06/30/2020",TRAINING!D12:D5000,"Both Mandatory and EBT",TRAINING!AV12:AV5000,"YES")</f>
        <v>0</v>
      </c>
      <c r="AZ47" s="350"/>
      <c r="BA47" s="350"/>
      <c r="BB47" s="351"/>
      <c r="BC47" s="352">
        <f>COUNTIFS(TRAINING!B12:B5000,"&gt;=07/01/2021",TRAINING!B12:B5000,"&lt;=09/30/2021",TRAINING!D12:D5000,"Both Mandatory and EBT",TRAINING!AV12:AV5000,"YES")</f>
        <v>0</v>
      </c>
      <c r="BD47" s="350"/>
      <c r="BE47" s="350"/>
      <c r="BF47" s="351"/>
      <c r="BG47" s="919">
        <f>COUNTIFS(TRAINING!B12:B5000,"&gt;=10/01/2021",TRAINING!B12:B5000,"&lt;=12/31/2021",TRAINING!D12:D5000,"Both Mandatory and EBT",TRAINING!AV12:AV5000,"YES")</f>
        <v>0</v>
      </c>
      <c r="BH47" s="350"/>
      <c r="BI47" s="350"/>
      <c r="BJ47" s="351"/>
      <c r="BK47" s="787">
        <f>COUNTIFS(TRAINING!B12:B5000,"&gt;=01/01/2022",TRAINING!B12:B5000,"&lt;=03/31/2022",TRAINING!D12:D5000,"Both Mandatory and EBT",TRAINING!AV12:AV5000,"YES")</f>
        <v>0</v>
      </c>
      <c r="BL47" s="350"/>
      <c r="BM47" s="350"/>
      <c r="BN47" s="351"/>
      <c r="BO47" s="919">
        <f>COUNTIFS(TRAINING!B12:B5000,"&gt;=04/01/2022",TRAINING!B12:B5000,"&lt;=06/30/2022",TRAINING!D12:D5000,"Both Mandatory and EBT",TRAINING!AV12:AV5000,"YES")</f>
        <v>0</v>
      </c>
      <c r="BP47" s="350"/>
      <c r="BQ47" s="350"/>
      <c r="BR47" s="351"/>
      <c r="BS47" s="787">
        <f>COUNTIFS(TRAINING!B12:B5000,"&gt;=07/01/2022",TRAINING!B12:B5000,"&lt;=09/30/2022",TRAINING!D12:D5000,"Both Mandatory and EBT",TRAINING!AV12:AV5000,"YES")</f>
        <v>0</v>
      </c>
      <c r="BT47" s="350"/>
      <c r="BU47" s="350"/>
      <c r="BV47" s="351"/>
      <c r="BW47" s="173"/>
    </row>
    <row r="48" spans="1:75" ht="15.75" customHeight="1">
      <c r="A48" s="413" t="s">
        <v>453</v>
      </c>
      <c r="B48" s="350"/>
      <c r="C48" s="350"/>
      <c r="D48" s="350"/>
      <c r="E48" s="350"/>
      <c r="F48" s="350"/>
      <c r="G48" s="350"/>
      <c r="H48" s="351"/>
      <c r="I48" s="755" t="e">
        <f>'GRANTEE SET UP INFO &amp; DATE '!#REF!</f>
        <v>#REF!</v>
      </c>
      <c r="J48" s="350"/>
      <c r="K48" s="350"/>
      <c r="L48" s="351"/>
      <c r="M48" s="884" t="e">
        <f>'GRANTEE SET UP INFO &amp; DATE '!#REF!</f>
        <v>#REF!</v>
      </c>
      <c r="N48" s="350"/>
      <c r="O48" s="350"/>
      <c r="P48" s="350"/>
      <c r="Q48" s="351"/>
      <c r="R48" s="922" t="e">
        <f>'GRANTEE SET UP INFO &amp; DATE '!#REF!</f>
        <v>#REF!</v>
      </c>
      <c r="S48" s="350"/>
      <c r="T48" s="350"/>
      <c r="U48" s="350"/>
      <c r="V48" s="351"/>
      <c r="W48" s="913">
        <f>COUNTIFS(TRAINING!B12:B5000,"&gt;=07/01/2000",TRAINING!B12:B5000,"&lt;=09/30/2019",TRAINING!D12:D5000,"Both Mandatory and EBT",TRAINING!AW12:AW5000,"YES")</f>
        <v>0</v>
      </c>
      <c r="X48" s="350"/>
      <c r="Y48" s="350"/>
      <c r="Z48" s="351"/>
      <c r="AA48" s="511">
        <f>COUNTIFS(TRAINING!B12:B5000,"&gt;=10/01/2019",TRAINING!B12:B5000,"&lt;=12/31/2019",TRAINING!D12:D5000,"Both Mandatory and EBT",TRAINING!AW12:AW5000,"YES")</f>
        <v>0</v>
      </c>
      <c r="AB48" s="350"/>
      <c r="AC48" s="350"/>
      <c r="AD48" s="351"/>
      <c r="AE48" s="754">
        <f>COUNTIFS(TRAINING!B12:B5000,"&gt;=01/01/2020",TRAINING!B12:B5000,"&lt;=03/31/2020",TRAINING!D12:D5000,"Both Mandatory and EBT",TRAINING!AW12:AW5000,"YES")</f>
        <v>0</v>
      </c>
      <c r="AF48" s="350"/>
      <c r="AG48" s="350"/>
      <c r="AH48" s="351"/>
      <c r="AI48" s="511">
        <f>COUNTIFS(TRAINING!B12:B5000,"&gt;=04/01/2020",TRAINING!B12:B5000,"&lt;=06/30/2020",TRAINING!D12:D5000,"Both Mandatory and EBT",TRAINING!AW12:AW5000,"YES")</f>
        <v>0</v>
      </c>
      <c r="AJ48" s="350"/>
      <c r="AK48" s="350"/>
      <c r="AL48" s="351"/>
      <c r="AM48" s="754">
        <f>COUNTIFS(TRAINING!B12:B5000,"&gt;=07/01/2020",TRAINING!B12:B5000,"&lt;=09/30/2020",TRAINING!D12:D5000,"Both Mandatory and EBT",TRAINING!AW12:AW5000,"YES")</f>
        <v>0</v>
      </c>
      <c r="AN48" s="350"/>
      <c r="AO48" s="350"/>
      <c r="AP48" s="351"/>
      <c r="AQ48" s="353">
        <f>COUNTIFS(TRAINING!B12:B5000,"&gt;=10/01/2020",TRAINING!B12:B5000,"&lt;=12/31/2020",TRAINING!D12:D5000,"Both Mandatory and EBT",TRAINING!AW12:AW5000,"YES")</f>
        <v>0</v>
      </c>
      <c r="AR48" s="350"/>
      <c r="AS48" s="350"/>
      <c r="AT48" s="351"/>
      <c r="AU48" s="352">
        <f>COUNTIFS(TRAINING!B12:B5000,"&gt;=01/01/2021",TRAINING!B12:B5000,"&lt;=03/31/2021",TRAINING!D12:D5000,"Both Mandatory and EBT",TRAINING!AW12:AW5000,"YES")</f>
        <v>0</v>
      </c>
      <c r="AV48" s="350"/>
      <c r="AW48" s="350"/>
      <c r="AX48" s="351"/>
      <c r="AY48" s="353">
        <f>COUNTIFS(TRAINING!B12:B5000,"&gt;=04/01/2020",TRAINING!B12:B5000,"&lt;=06/30/2020",TRAINING!D12:D5000,"Both Mandatory and EBT",TRAINING!AW12:AW5000,"YES")</f>
        <v>0</v>
      </c>
      <c r="AZ48" s="350"/>
      <c r="BA48" s="350"/>
      <c r="BB48" s="351"/>
      <c r="BC48" s="352">
        <f>COUNTIFS(TRAINING!B12:B5000,"&gt;=07/01/2021",TRAINING!B12:B5000,"&lt;=09/30/2021",TRAINING!D12:D5000,"Both Mandatory and EBT",TRAINING!AW12:AW5000,"YES")</f>
        <v>0</v>
      </c>
      <c r="BD48" s="350"/>
      <c r="BE48" s="350"/>
      <c r="BF48" s="351"/>
      <c r="BG48" s="919">
        <f>COUNTIFS(TRAINING!B12:B5000,"&gt;=10/01/2021",TRAINING!B12:B5000,"&lt;=12/31/2021",TRAINING!D12:D5000,"Both Mandatory and EBT",TRAINING!AW12:AW5000,"YES")</f>
        <v>0</v>
      </c>
      <c r="BH48" s="350"/>
      <c r="BI48" s="350"/>
      <c r="BJ48" s="351"/>
      <c r="BK48" s="787">
        <f>COUNTIFS(TRAINING!B12:B5000,"&gt;=01/01/2022",TRAINING!B12:B5000,"&lt;=03/31/2022",TRAINING!D12:D5000,"Both Mandatory and EBT",TRAINING!AW12:AW5000,"YES")</f>
        <v>0</v>
      </c>
      <c r="BL48" s="350"/>
      <c r="BM48" s="350"/>
      <c r="BN48" s="351"/>
      <c r="BO48" s="919">
        <f>COUNTIFS(TRAINING!B12:B5000,"&gt;=04/01/2022",TRAINING!B12:B5000,"&lt;=06/30/2022",TRAINING!D12:D5000,"Both Mandatory and EBT",TRAINING!AW12:AW5000,"YES")</f>
        <v>0</v>
      </c>
      <c r="BP48" s="350"/>
      <c r="BQ48" s="350"/>
      <c r="BR48" s="351"/>
      <c r="BS48" s="787">
        <f>COUNTIFS(TRAINING!B12:B5000,"&gt;=07/01/2022",TRAINING!B12:B5000,"&lt;=09/30/2022",TRAINING!D12:D5000,"Both Mandatory and EBT",TRAINING!AW12:AW5000,"YES")</f>
        <v>0</v>
      </c>
      <c r="BT48" s="350"/>
      <c r="BU48" s="350"/>
      <c r="BV48" s="351"/>
      <c r="BW48" s="173"/>
    </row>
    <row r="49" spans="1:75" ht="15.75" customHeight="1">
      <c r="A49" s="413" t="s">
        <v>454</v>
      </c>
      <c r="B49" s="350"/>
      <c r="C49" s="350"/>
      <c r="D49" s="350"/>
      <c r="E49" s="350"/>
      <c r="F49" s="350"/>
      <c r="G49" s="350"/>
      <c r="H49" s="351"/>
      <c r="I49" s="755" t="e">
        <f>'GRANTEE SET UP INFO &amp; DATE '!#REF!</f>
        <v>#REF!</v>
      </c>
      <c r="J49" s="350"/>
      <c r="K49" s="350"/>
      <c r="L49" s="351"/>
      <c r="M49" s="884" t="e">
        <f>'GRANTEE SET UP INFO &amp; DATE '!#REF!</f>
        <v>#REF!</v>
      </c>
      <c r="N49" s="350"/>
      <c r="O49" s="350"/>
      <c r="P49" s="350"/>
      <c r="Q49" s="351"/>
      <c r="R49" s="922" t="e">
        <f>'GRANTEE SET UP INFO &amp; DATE '!#REF!</f>
        <v>#REF!</v>
      </c>
      <c r="S49" s="350"/>
      <c r="T49" s="350"/>
      <c r="U49" s="350"/>
      <c r="V49" s="351"/>
      <c r="W49" s="913">
        <f>COUNTIFS(TRAINING!B12:B5000,"&gt;=07/01/2000",TRAINING!B12:B5000,"&lt;=09/30/2019",TRAINING!D12:D5000,"Both Mandatory and EBT",TRAINING!AX12:AX5000,"YES")</f>
        <v>0</v>
      </c>
      <c r="X49" s="350"/>
      <c r="Y49" s="350"/>
      <c r="Z49" s="351"/>
      <c r="AA49" s="511">
        <f>COUNTIFS(TRAINING!B12:B5000,"&gt;=10/01/2019",TRAINING!B12:B5000,"&lt;=12/31/2019",TRAINING!D12:D5000,"Both Mandatory and EBT",TRAINING!AX12:AX5000,"YES")</f>
        <v>0</v>
      </c>
      <c r="AB49" s="350"/>
      <c r="AC49" s="350"/>
      <c r="AD49" s="351"/>
      <c r="AE49" s="754">
        <f>COUNTIFS(TRAINING!B12:B5000,"&gt;=01/01/2020",TRAINING!B12:B5000,"&lt;=03/31/2020",TRAINING!D12:D5000,"Both Mandatory and EBT",TRAINING!AX12:AX5000,"YES")</f>
        <v>0</v>
      </c>
      <c r="AF49" s="350"/>
      <c r="AG49" s="350"/>
      <c r="AH49" s="351"/>
      <c r="AI49" s="511">
        <f>COUNTIFS(TRAINING!B12:B5000,"&gt;=04/01/2020",TRAINING!B12:B5000,"&lt;=06/30/2020",TRAINING!D12:D5000,"Both Mandatory and EBT",TRAINING!AX12:AX5000,"YES")</f>
        <v>0</v>
      </c>
      <c r="AJ49" s="350"/>
      <c r="AK49" s="350"/>
      <c r="AL49" s="351"/>
      <c r="AM49" s="754">
        <f>COUNTIFS(TRAINING!B12:B5000,"&gt;=07/01/2020",TRAINING!B12:B5000,"&lt;=09/30/2020",TRAINING!D12:D5000,"Both Mandatory and EBT",TRAINING!AX12:AX5000,"YES")</f>
        <v>0</v>
      </c>
      <c r="AN49" s="350"/>
      <c r="AO49" s="350"/>
      <c r="AP49" s="351"/>
      <c r="AQ49" s="353">
        <f>COUNTIFS(TRAINING!B12:B5000,"&gt;=10/01/2020",TRAINING!B12:B5000,"&lt;=12/31/2020",TRAINING!D12:D5000,"Both Mandatory and EBT",TRAINING!AX12:AX5000,"YES")</f>
        <v>0</v>
      </c>
      <c r="AR49" s="350"/>
      <c r="AS49" s="350"/>
      <c r="AT49" s="351"/>
      <c r="AU49" s="352">
        <f>COUNTIFS(TRAINING!B12:B5000,"&gt;=01/01/2021",TRAINING!B12:B5000,"&lt;=03/31/2021",TRAINING!D12:D5000,"Both Mandatory and EBT",TRAINING!AX12:AX5000,"YES")</f>
        <v>0</v>
      </c>
      <c r="AV49" s="350"/>
      <c r="AW49" s="350"/>
      <c r="AX49" s="351"/>
      <c r="AY49" s="353">
        <f>COUNTIFS(TRAINING!B12:B5000,"&gt;=04/01/2020",TRAINING!B12:B5000,"&lt;=06/30/2020",TRAINING!D12:D5000,"Both Mandatory and EBT",TRAINING!AX12:AX5000,"YES")</f>
        <v>0</v>
      </c>
      <c r="AZ49" s="350"/>
      <c r="BA49" s="350"/>
      <c r="BB49" s="351"/>
      <c r="BC49" s="352">
        <f>COUNTIFS(TRAINING!B12:B5000,"&gt;=07/01/2021",TRAINING!B12:B5000,"&lt;=09/30/2021",TRAINING!D12:D5000,"Both Mandatory and EBT",TRAINING!AX12:AX5000,"YES")</f>
        <v>0</v>
      </c>
      <c r="BD49" s="350"/>
      <c r="BE49" s="350"/>
      <c r="BF49" s="351"/>
      <c r="BG49" s="919">
        <f>COUNTIFS(TRAINING!B12:B5000,"&gt;=10/01/2021",TRAINING!B12:B5000,"&lt;=12/31/2021",TRAINING!D12:D5000,"Both Mandatory and EBT",TRAINING!AX12:AX5000,"YES")</f>
        <v>0</v>
      </c>
      <c r="BH49" s="350"/>
      <c r="BI49" s="350"/>
      <c r="BJ49" s="351"/>
      <c r="BK49" s="787">
        <f>COUNTIFS(TRAINING!B12:B5000,"&gt;=01/01/2022",TRAINING!B12:B5000,"&lt;=03/31/2022",TRAINING!D12:D5000,"Both Mandatory and EBT",TRAINING!AX12:AX5000,"YES")</f>
        <v>0</v>
      </c>
      <c r="BL49" s="350"/>
      <c r="BM49" s="350"/>
      <c r="BN49" s="351"/>
      <c r="BO49" s="919">
        <f>COUNTIFS(TRAINING!B12:B5000,"&gt;=04/01/2022",TRAINING!B12:B5000,"&lt;=06/30/2022",TRAINING!D12:D5000,"Both Mandatory and EBT",TRAINING!AX12:AX5000,"YES")</f>
        <v>0</v>
      </c>
      <c r="BP49" s="350"/>
      <c r="BQ49" s="350"/>
      <c r="BR49" s="351"/>
      <c r="BS49" s="787">
        <f>COUNTIFS(TRAINING!B12:B5000,"&gt;=07/01/2022",TRAINING!B12:B5000,"&lt;=09/30/2022",TRAINING!D12:D5000,"Both Mandatory and EBT",TRAINING!AX12:AX5000,"YES")</f>
        <v>0</v>
      </c>
      <c r="BT49" s="350"/>
      <c r="BU49" s="350"/>
      <c r="BV49" s="351"/>
      <c r="BW49" s="173"/>
    </row>
    <row r="50" spans="1:75" ht="15.75" customHeight="1">
      <c r="A50" s="413" t="s">
        <v>455</v>
      </c>
      <c r="B50" s="350"/>
      <c r="C50" s="350"/>
      <c r="D50" s="350"/>
      <c r="E50" s="350"/>
      <c r="F50" s="350"/>
      <c r="G50" s="350"/>
      <c r="H50" s="351"/>
      <c r="I50" s="755" t="e">
        <f>'GRANTEE SET UP INFO &amp; DATE '!#REF!</f>
        <v>#REF!</v>
      </c>
      <c r="J50" s="350"/>
      <c r="K50" s="350"/>
      <c r="L50" s="351"/>
      <c r="M50" s="884" t="e">
        <f>'GRANTEE SET UP INFO &amp; DATE '!#REF!</f>
        <v>#REF!</v>
      </c>
      <c r="N50" s="350"/>
      <c r="O50" s="350"/>
      <c r="P50" s="350"/>
      <c r="Q50" s="351"/>
      <c r="R50" s="922" t="e">
        <f>'GRANTEE SET UP INFO &amp; DATE '!#REF!</f>
        <v>#REF!</v>
      </c>
      <c r="S50" s="350"/>
      <c r="T50" s="350"/>
      <c r="U50" s="350"/>
      <c r="V50" s="351"/>
      <c r="W50" s="913">
        <f>COUNTIFS(TRAINING!B12:B5000,"&gt;=07/01/2000",TRAINING!B12:B5000,"&lt;=09/30/2019",TRAINING!D12:D5000,"Both Mandatory and EBT",TRAINING!AY12:AY5000,"YES")</f>
        <v>0</v>
      </c>
      <c r="X50" s="350"/>
      <c r="Y50" s="350"/>
      <c r="Z50" s="351"/>
      <c r="AA50" s="511">
        <f>COUNTIFS(TRAINING!B12:B5000,"&gt;=10/01/2019",TRAINING!B12:B5000,"&lt;=12/31/2019",TRAINING!D12:D5000,"Both Mandatory and EBT",TRAINING!AY12:AY5000,"YES")</f>
        <v>0</v>
      </c>
      <c r="AB50" s="350"/>
      <c r="AC50" s="350"/>
      <c r="AD50" s="351"/>
      <c r="AE50" s="754">
        <f>COUNTIFS(TRAINING!B12:B5000,"&gt;=01/01/2020",TRAINING!B12:B5000,"&lt;=03/31/2020",TRAINING!D12:D5000,"Both Mandatory and EBT",TRAINING!AY12:AY5000,"YES")</f>
        <v>0</v>
      </c>
      <c r="AF50" s="350"/>
      <c r="AG50" s="350"/>
      <c r="AH50" s="351"/>
      <c r="AI50" s="511">
        <f>COUNTIFS(TRAINING!B12:B5000,"&gt;=04/01/2020",TRAINING!B12:B5000,"&lt;=06/30/2020",TRAINING!D12:D5000,"Both Mandatory and EBT",TRAINING!AY12:AY5000,"YES")</f>
        <v>0</v>
      </c>
      <c r="AJ50" s="350"/>
      <c r="AK50" s="350"/>
      <c r="AL50" s="351"/>
      <c r="AM50" s="754">
        <f>COUNTIFS(TRAINING!B12:B5000,"&gt;=07/01/2020",TRAINING!B12:B5000,"&lt;=09/30/2020",TRAINING!D12:D5000,"Both Mandatory and EBT",TRAINING!AY12:AY5000,"YES")</f>
        <v>0</v>
      </c>
      <c r="AN50" s="350"/>
      <c r="AO50" s="350"/>
      <c r="AP50" s="351"/>
      <c r="AQ50" s="353">
        <f>COUNTIFS(TRAINING!B12:B5000,"&gt;=10/01/2020",TRAINING!B12:B5000,"&lt;=12/31/2020",TRAINING!D12:D5000,"Both Mandatory and EBT",TRAINING!AY12:AY5000,"YES")</f>
        <v>0</v>
      </c>
      <c r="AR50" s="350"/>
      <c r="AS50" s="350"/>
      <c r="AT50" s="351"/>
      <c r="AU50" s="352">
        <f>COUNTIFS(TRAINING!B12:B5000,"&gt;=01/01/2021",TRAINING!B12:B5000,"&lt;=03/31/2021",TRAINING!D12:D5000,"Both Mandatory and EBT",TRAINING!AY12:AY5000,"YES")</f>
        <v>0</v>
      </c>
      <c r="AV50" s="350"/>
      <c r="AW50" s="350"/>
      <c r="AX50" s="351"/>
      <c r="AY50" s="353">
        <f>COUNTIFS(TRAINING!B12:B5000,"&gt;=04/01/2020",TRAINING!B12:B5000,"&lt;=06/30/2020",TRAINING!D12:D5000,"Both Mandatory and EBT",TRAINING!AY12:AY5000,"YES")</f>
        <v>0</v>
      </c>
      <c r="AZ50" s="350"/>
      <c r="BA50" s="350"/>
      <c r="BB50" s="351"/>
      <c r="BC50" s="352">
        <f>COUNTIFS(TRAINING!B12:B5000,"&gt;=07/01/2021",TRAINING!B12:B5000,"&lt;=09/30/2021",TRAINING!D12:D5000,"Both Mandatory and EBT",TRAINING!AY12:AY5000,"YES")</f>
        <v>0</v>
      </c>
      <c r="BD50" s="350"/>
      <c r="BE50" s="350"/>
      <c r="BF50" s="351"/>
      <c r="BG50" s="919">
        <f>COUNTIFS(TRAINING!B12:B5000,"&gt;=10/01/2021",TRAINING!B12:B5000,"&lt;=12/31/2021",TRAINING!D12:D5000,"Both Mandatory and EBT",TRAINING!AY12:AY5000,"YES")</f>
        <v>0</v>
      </c>
      <c r="BH50" s="350"/>
      <c r="BI50" s="350"/>
      <c r="BJ50" s="351"/>
      <c r="BK50" s="787">
        <f>COUNTIFS(TRAINING!B12:B5000,"&gt;=01/01/2022",TRAINING!B12:B5000,"&lt;=03/31/2022",TRAINING!D12:D5000,"Both Mandatory and EBT",TRAINING!AY12:AY5000,"YES")</f>
        <v>0</v>
      </c>
      <c r="BL50" s="350"/>
      <c r="BM50" s="350"/>
      <c r="BN50" s="351"/>
      <c r="BO50" s="919">
        <f>COUNTIFS(TRAINING!B12:B5000,"&gt;=04/01/2022",TRAINING!B12:B5000,"&lt;=06/30/2022",TRAINING!D12:D5000,"Both Mandatory and EBT",TRAINING!AY12:AY5000,"YES")</f>
        <v>0</v>
      </c>
      <c r="BP50" s="350"/>
      <c r="BQ50" s="350"/>
      <c r="BR50" s="351"/>
      <c r="BS50" s="787">
        <f>COUNTIFS(TRAINING!B12:B5000,"&gt;=07/01/2022",TRAINING!B12:B5000,"&lt;=09/30/2022",TRAINING!D12:D5000,"Both Mandatory and EBT",TRAINING!AY12:AY5000,"YES")</f>
        <v>0</v>
      </c>
      <c r="BT50" s="350"/>
      <c r="BU50" s="350"/>
      <c r="BV50" s="351"/>
      <c r="BW50" s="173"/>
    </row>
    <row r="51" spans="1:75" ht="15.75" customHeight="1">
      <c r="A51" s="413"/>
      <c r="B51" s="350"/>
      <c r="C51" s="350"/>
      <c r="D51" s="350"/>
      <c r="E51" s="350"/>
      <c r="F51" s="350"/>
      <c r="G51" s="350"/>
      <c r="H51" s="351"/>
      <c r="I51" s="754"/>
      <c r="J51" s="350"/>
      <c r="K51" s="350"/>
      <c r="L51" s="351"/>
      <c r="M51" s="887"/>
      <c r="N51" s="350"/>
      <c r="O51" s="350"/>
      <c r="P51" s="350"/>
      <c r="Q51" s="351"/>
      <c r="R51" s="888"/>
      <c r="S51" s="350"/>
      <c r="T51" s="350"/>
      <c r="U51" s="350"/>
      <c r="V51" s="351"/>
      <c r="W51" s="975"/>
      <c r="X51" s="350"/>
      <c r="Y51" s="350"/>
      <c r="Z51" s="351"/>
      <c r="AA51" s="511"/>
      <c r="AB51" s="350"/>
      <c r="AC51" s="350"/>
      <c r="AD51" s="351"/>
      <c r="AE51" s="754"/>
      <c r="AF51" s="350"/>
      <c r="AG51" s="350"/>
      <c r="AH51" s="351"/>
      <c r="AI51" s="511"/>
      <c r="AJ51" s="350"/>
      <c r="AK51" s="350"/>
      <c r="AL51" s="351"/>
      <c r="AM51" s="754"/>
      <c r="AN51" s="350"/>
      <c r="AO51" s="350"/>
      <c r="AP51" s="351"/>
      <c r="AQ51" s="353"/>
      <c r="AR51" s="350"/>
      <c r="AS51" s="350"/>
      <c r="AT51" s="351"/>
      <c r="AU51" s="352"/>
      <c r="AV51" s="350"/>
      <c r="AW51" s="350"/>
      <c r="AX51" s="351"/>
      <c r="AY51" s="353"/>
      <c r="AZ51" s="350"/>
      <c r="BA51" s="350"/>
      <c r="BB51" s="351"/>
      <c r="BC51" s="352"/>
      <c r="BD51" s="350"/>
      <c r="BE51" s="350"/>
      <c r="BF51" s="351"/>
      <c r="BG51" s="919"/>
      <c r="BH51" s="350"/>
      <c r="BI51" s="350"/>
      <c r="BJ51" s="351"/>
      <c r="BK51" s="787"/>
      <c r="BL51" s="350"/>
      <c r="BM51" s="350"/>
      <c r="BN51" s="351"/>
      <c r="BO51" s="919"/>
      <c r="BP51" s="350"/>
      <c r="BQ51" s="350"/>
      <c r="BR51" s="351"/>
      <c r="BS51" s="787"/>
      <c r="BT51" s="350"/>
      <c r="BU51" s="350"/>
      <c r="BV51" s="351"/>
      <c r="BW51" s="173"/>
    </row>
    <row r="52" spans="1:75" ht="15.75" customHeight="1">
      <c r="A52" s="756" t="s">
        <v>561</v>
      </c>
      <c r="B52" s="350"/>
      <c r="C52" s="350"/>
      <c r="D52" s="350"/>
      <c r="E52" s="350"/>
      <c r="F52" s="350"/>
      <c r="G52" s="350"/>
      <c r="H52" s="350"/>
      <c r="I52" s="350"/>
      <c r="J52" s="350"/>
      <c r="K52" s="350"/>
      <c r="L52" s="350"/>
      <c r="M52" s="350"/>
      <c r="N52" s="350"/>
      <c r="O52" s="350"/>
      <c r="P52" s="350"/>
      <c r="Q52" s="350"/>
      <c r="R52" s="350"/>
      <c r="S52" s="350"/>
      <c r="T52" s="350"/>
      <c r="U52" s="350"/>
      <c r="V52" s="351"/>
      <c r="W52" s="925">
        <f>SUM(W39:W51)</f>
        <v>0</v>
      </c>
      <c r="X52" s="350"/>
      <c r="Y52" s="350"/>
      <c r="Z52" s="351"/>
      <c r="AA52" s="926">
        <f>SUM(AA39:AA51)</f>
        <v>0</v>
      </c>
      <c r="AB52" s="350"/>
      <c r="AC52" s="350"/>
      <c r="AD52" s="351"/>
      <c r="AE52" s="883">
        <f>SUM(AE39:AE51)</f>
        <v>0</v>
      </c>
      <c r="AF52" s="350"/>
      <c r="AG52" s="350"/>
      <c r="AH52" s="351"/>
      <c r="AI52" s="962">
        <f>SUM(AI39:AI51)</f>
        <v>0</v>
      </c>
      <c r="AJ52" s="350"/>
      <c r="AK52" s="350"/>
      <c r="AL52" s="351"/>
      <c r="AM52" s="883">
        <f>SUM(AM39:AM51)</f>
        <v>0</v>
      </c>
      <c r="AN52" s="350"/>
      <c r="AO52" s="350"/>
      <c r="AP52" s="351"/>
      <c r="AQ52" s="963">
        <f>SUM(AQ39:AQ51)</f>
        <v>0</v>
      </c>
      <c r="AR52" s="350"/>
      <c r="AS52" s="350"/>
      <c r="AT52" s="351"/>
      <c r="AU52" s="910">
        <f>SUM(AU39:AU51)</f>
        <v>0</v>
      </c>
      <c r="AV52" s="350"/>
      <c r="AW52" s="350"/>
      <c r="AX52" s="351"/>
      <c r="AY52" s="963">
        <f>SUM(AY39:AY51)</f>
        <v>0</v>
      </c>
      <c r="AZ52" s="350"/>
      <c r="BA52" s="350"/>
      <c r="BB52" s="351"/>
      <c r="BC52" s="910">
        <f>SUM(BC39:BC51)</f>
        <v>0</v>
      </c>
      <c r="BD52" s="350"/>
      <c r="BE52" s="350"/>
      <c r="BF52" s="351"/>
      <c r="BG52" s="968">
        <f>SUM(BG39:BG51)</f>
        <v>0</v>
      </c>
      <c r="BH52" s="350"/>
      <c r="BI52" s="350"/>
      <c r="BJ52" s="351"/>
      <c r="BK52" s="775">
        <f>SUM(BK39:BK51)</f>
        <v>0</v>
      </c>
      <c r="BL52" s="350"/>
      <c r="BM52" s="350"/>
      <c r="BN52" s="351"/>
      <c r="BO52" s="968">
        <f>SUM(BO39:BO51)</f>
        <v>0</v>
      </c>
      <c r="BP52" s="350"/>
      <c r="BQ52" s="350"/>
      <c r="BR52" s="351"/>
      <c r="BS52" s="969">
        <f>SUM(BS39:BS51)</f>
        <v>0</v>
      </c>
      <c r="BT52" s="350"/>
      <c r="BU52" s="350"/>
      <c r="BV52" s="351"/>
      <c r="BW52" s="173"/>
    </row>
    <row r="53" spans="1:75" ht="15.75" customHeight="1">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row>
    <row r="54" spans="1:75" ht="15.75" customHeight="1">
      <c r="A54" s="933" t="s">
        <v>730</v>
      </c>
      <c r="B54" s="350"/>
      <c r="C54" s="350"/>
      <c r="D54" s="350"/>
      <c r="E54" s="350"/>
      <c r="F54" s="350"/>
      <c r="G54" s="350"/>
      <c r="H54" s="350"/>
      <c r="I54" s="350"/>
      <c r="J54" s="350"/>
      <c r="K54" s="350"/>
      <c r="L54" s="350"/>
      <c r="M54" s="350"/>
      <c r="N54" s="350"/>
      <c r="O54" s="350"/>
      <c r="P54" s="350"/>
      <c r="Q54" s="350"/>
      <c r="R54" s="350"/>
      <c r="S54" s="350"/>
      <c r="T54" s="350"/>
      <c r="U54" s="350"/>
      <c r="V54" s="351"/>
      <c r="W54" s="934" t="s">
        <v>654</v>
      </c>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C54" s="350"/>
      <c r="BD54" s="350"/>
      <c r="BE54" s="350"/>
      <c r="BF54" s="350"/>
      <c r="BG54" s="350"/>
      <c r="BH54" s="350"/>
      <c r="BI54" s="350"/>
      <c r="BJ54" s="350"/>
      <c r="BK54" s="350"/>
      <c r="BL54" s="350"/>
      <c r="BM54" s="350"/>
      <c r="BN54" s="350"/>
      <c r="BO54" s="350"/>
      <c r="BP54" s="350"/>
      <c r="BQ54" s="350"/>
      <c r="BR54" s="350"/>
      <c r="BS54" s="350"/>
      <c r="BT54" s="350"/>
      <c r="BU54" s="350"/>
      <c r="BV54" s="351"/>
      <c r="BW54" s="173"/>
    </row>
    <row r="55" spans="1:75" ht="15.75" customHeight="1">
      <c r="A55" s="934"/>
      <c r="B55" s="350"/>
      <c r="C55" s="350"/>
      <c r="D55" s="350"/>
      <c r="E55" s="350"/>
      <c r="F55" s="350"/>
      <c r="G55" s="350"/>
      <c r="H55" s="351"/>
      <c r="I55" s="934" t="s">
        <v>674</v>
      </c>
      <c r="J55" s="350"/>
      <c r="K55" s="350"/>
      <c r="L55" s="351"/>
      <c r="M55" s="935" t="s">
        <v>675</v>
      </c>
      <c r="N55" s="350"/>
      <c r="O55" s="350"/>
      <c r="P55" s="350"/>
      <c r="Q55" s="351"/>
      <c r="R55" s="936" t="s">
        <v>676</v>
      </c>
      <c r="S55" s="350"/>
      <c r="T55" s="350"/>
      <c r="U55" s="350"/>
      <c r="V55" s="351"/>
      <c r="W55" s="937" t="s">
        <v>713</v>
      </c>
      <c r="X55" s="350"/>
      <c r="Y55" s="350"/>
      <c r="Z55" s="351"/>
      <c r="AA55" s="649" t="s">
        <v>714</v>
      </c>
      <c r="AB55" s="350"/>
      <c r="AC55" s="350"/>
      <c r="AD55" s="351"/>
      <c r="AE55" s="918" t="s">
        <v>715</v>
      </c>
      <c r="AF55" s="350"/>
      <c r="AG55" s="350"/>
      <c r="AH55" s="351"/>
      <c r="AI55" s="649" t="s">
        <v>716</v>
      </c>
      <c r="AJ55" s="350"/>
      <c r="AK55" s="350"/>
      <c r="AL55" s="351"/>
      <c r="AM55" s="918" t="s">
        <v>717</v>
      </c>
      <c r="AN55" s="350"/>
      <c r="AO55" s="350"/>
      <c r="AP55" s="351"/>
      <c r="AQ55" s="931" t="s">
        <v>718</v>
      </c>
      <c r="AR55" s="350"/>
      <c r="AS55" s="350"/>
      <c r="AT55" s="351"/>
      <c r="AU55" s="932" t="s">
        <v>719</v>
      </c>
      <c r="AV55" s="350"/>
      <c r="AW55" s="350"/>
      <c r="AX55" s="351"/>
      <c r="AY55" s="931" t="s">
        <v>720</v>
      </c>
      <c r="AZ55" s="350"/>
      <c r="BA55" s="350"/>
      <c r="BB55" s="351"/>
      <c r="BC55" s="932" t="s">
        <v>721</v>
      </c>
      <c r="BD55" s="350"/>
      <c r="BE55" s="350"/>
      <c r="BF55" s="351"/>
      <c r="BG55" s="929" t="s">
        <v>722</v>
      </c>
      <c r="BH55" s="350"/>
      <c r="BI55" s="350"/>
      <c r="BJ55" s="351"/>
      <c r="BK55" s="930" t="s">
        <v>723</v>
      </c>
      <c r="BL55" s="350"/>
      <c r="BM55" s="350"/>
      <c r="BN55" s="351"/>
      <c r="BO55" s="929" t="s">
        <v>724</v>
      </c>
      <c r="BP55" s="350"/>
      <c r="BQ55" s="350"/>
      <c r="BR55" s="351"/>
      <c r="BS55" s="930" t="s">
        <v>725</v>
      </c>
      <c r="BT55" s="350"/>
      <c r="BU55" s="350"/>
      <c r="BV55" s="351"/>
      <c r="BW55" s="173"/>
    </row>
    <row r="56" spans="1:75" ht="15.75" customHeight="1">
      <c r="A56" s="413" t="s">
        <v>444</v>
      </c>
      <c r="B56" s="350"/>
      <c r="C56" s="350"/>
      <c r="D56" s="350"/>
      <c r="E56" s="350"/>
      <c r="F56" s="350"/>
      <c r="G56" s="350"/>
      <c r="H56" s="351"/>
      <c r="I56" s="755">
        <f>'GRANTEE SET UP INFO &amp; DATE '!C11</f>
        <v>0</v>
      </c>
      <c r="J56" s="350"/>
      <c r="K56" s="350"/>
      <c r="L56" s="351"/>
      <c r="M56" s="885">
        <f>'GRANTEE SET UP INFO &amp; DATE '!F11</f>
        <v>0</v>
      </c>
      <c r="N56" s="350"/>
      <c r="O56" s="350"/>
      <c r="P56" s="350"/>
      <c r="Q56" s="351"/>
      <c r="R56" s="885" t="e">
        <f>'GRANTEE SET UP INFO &amp; DATE '!#REF!</f>
        <v>#REF!</v>
      </c>
      <c r="S56" s="350"/>
      <c r="T56" s="350"/>
      <c r="U56" s="350"/>
      <c r="V56" s="351"/>
      <c r="W56" s="913">
        <f>COUNTIFS(TRAINING!B12:B5000,"&gt;=07/01/2000",TRAINING!B12:B5000,"&lt;=09/30/2019",TRAINING!D12:D5000,"Other (Specify in Notes)",TRAINING!AN12:AN5000,"YES")</f>
        <v>0</v>
      </c>
      <c r="X56" s="350"/>
      <c r="Y56" s="350"/>
      <c r="Z56" s="351"/>
      <c r="AA56" s="511">
        <f>COUNTIFS(TRAINING!B12:B5000,"&gt;=10/01/2019",TRAINING!B12:B5000,"&lt;=12/31/2019",TRAINING!D12:D5000,"Other (Specify in Notes)",TRAINING!AN12:AN5000,"YES")</f>
        <v>0</v>
      </c>
      <c r="AB56" s="350"/>
      <c r="AC56" s="350"/>
      <c r="AD56" s="351"/>
      <c r="AE56" s="754">
        <f>COUNTIFS(TRAINING!B12:B5000,"&gt;=01/01/2020",TRAINING!B12:B5000,"&lt;=03/31/2020",TRAINING!D12:D5000,"Other (Specify in Notes)",TRAINING!AN12:AN5000,"YES")</f>
        <v>0</v>
      </c>
      <c r="AF56" s="350"/>
      <c r="AG56" s="350"/>
      <c r="AH56" s="351"/>
      <c r="AI56" s="511">
        <f>COUNTIFS(TRAINING!B12:B5000,"&gt;=04/01/2020",TRAINING!B12:B5000,"&lt;=06/30/2020",TRAINING!D12:D5000,"Other (Specify in Notes)",TRAINING!AN12:AN5000,"YES")</f>
        <v>0</v>
      </c>
      <c r="AJ56" s="350"/>
      <c r="AK56" s="350"/>
      <c r="AL56" s="351"/>
      <c r="AM56" s="754">
        <f>COUNTIFS(TRAINING!B12:B5000,"&gt;=07/01/2020",TRAINING!B12:B5000,"&lt;=09/30/2020",TRAINING!D12:D5000,"Other (Specify in Notes)",TRAINING!AN12:AN5000,"YES")</f>
        <v>0</v>
      </c>
      <c r="AN56" s="350"/>
      <c r="AO56" s="350"/>
      <c r="AP56" s="351"/>
      <c r="AQ56" s="353">
        <f>COUNTIFS(TRAINING!B12:B5000,"&gt;=10/01/2020",TRAINING!B12:B5000,"&lt;=12/31/2020",TRAINING!D12:D5000,"Other (Specify in Notes)",TRAINING!AN12:AN5000,"YES")</f>
        <v>0</v>
      </c>
      <c r="AR56" s="350"/>
      <c r="AS56" s="350"/>
      <c r="AT56" s="351"/>
      <c r="AU56" s="352">
        <f>COUNTIFS(TRAINING!B12:B5000,"&gt;=01/01/2021",TRAINING!B12:B5000,"&lt;=03/31/2021",TRAINING!D12:D5000,"Other (Specify in Notes)",TRAINING!AN12:AN5000,"YES")</f>
        <v>0</v>
      </c>
      <c r="AV56" s="350"/>
      <c r="AW56" s="350"/>
      <c r="AX56" s="351"/>
      <c r="AY56" s="353">
        <f>COUNTIFS(TRAINING!B12:B5000,"&gt;=04/01/2020",TRAINING!B12:B5000,"&lt;=06/30/2020",TRAINING!D12:D5000,"Other (Specify in Notes)",TRAINING!AN12:AN5000,"YES")</f>
        <v>0</v>
      </c>
      <c r="AZ56" s="350"/>
      <c r="BA56" s="350"/>
      <c r="BB56" s="351"/>
      <c r="BC56" s="352">
        <f>COUNTIFS(TRAINING!B12:B5000,"&gt;=07/01/2021",TRAINING!B12:B5000,"&lt;=09/30/2021",TRAINING!D12:D5000,"Other (Specify in Notes)",TRAINING!AN12:AN5000,"YES")</f>
        <v>0</v>
      </c>
      <c r="BD56" s="350"/>
      <c r="BE56" s="350"/>
      <c r="BF56" s="351"/>
      <c r="BG56" s="919">
        <f>COUNTIFS(TRAINING!B12:B5000,"&gt;=10/01/2021",TRAINING!B12:B5000,"&lt;=12/31/2021",TRAINING!D12:D5000,"Other (Specify in Notes)",TRAINING!AN12:AN5000,"YES")</f>
        <v>0</v>
      </c>
      <c r="BH56" s="350"/>
      <c r="BI56" s="350"/>
      <c r="BJ56" s="351"/>
      <c r="BK56" s="787">
        <f>COUNTIFS(TRAINING!B12:B5000,"&gt;=01/01/2022",TRAINING!B12:B5000,"&lt;=03/31/2022",TRAINING!D12:D5000,"Other (Specify in Notes)",TRAINING!AN12:AN5000,"YES")</f>
        <v>0</v>
      </c>
      <c r="BL56" s="350"/>
      <c r="BM56" s="350"/>
      <c r="BN56" s="351"/>
      <c r="BO56" s="919">
        <f>COUNTIFS(TRAINING!B12:B5000,"&gt;=04/01/2022",TRAINING!B12:B5000,"&lt;=06/30/2022",TRAINING!D12:D5000,"Other (Specify in Notes)",TRAINING!AN12:AN5000,"YES")</f>
        <v>0</v>
      </c>
      <c r="BP56" s="350"/>
      <c r="BQ56" s="350"/>
      <c r="BR56" s="351"/>
      <c r="BS56" s="787">
        <f>COUNTIFS(TRAINING!B12:B5000,"&gt;=07/01/2022",TRAINING!B12:B5000,"&lt;=09/30/2022",TRAINING!D12:D5000,"Other (Specify in Notes)",TRAINING!AN12:AN5000,"YES")</f>
        <v>0</v>
      </c>
      <c r="BT56" s="350"/>
      <c r="BU56" s="350"/>
      <c r="BV56" s="351"/>
      <c r="BW56" s="173"/>
    </row>
    <row r="57" spans="1:75" ht="15.75" customHeight="1">
      <c r="A57" s="413" t="s">
        <v>445</v>
      </c>
      <c r="B57" s="350"/>
      <c r="C57" s="350"/>
      <c r="D57" s="350"/>
      <c r="E57" s="350"/>
      <c r="F57" s="350"/>
      <c r="G57" s="350"/>
      <c r="H57" s="351"/>
      <c r="I57" s="755">
        <f>'GRANTEE SET UP INFO &amp; DATE '!C12</f>
        <v>0</v>
      </c>
      <c r="J57" s="350"/>
      <c r="K57" s="350"/>
      <c r="L57" s="351"/>
      <c r="M57" s="885">
        <f>'GRANTEE SET UP INFO &amp; DATE '!F12</f>
        <v>0</v>
      </c>
      <c r="N57" s="350"/>
      <c r="O57" s="350"/>
      <c r="P57" s="350"/>
      <c r="Q57" s="351"/>
      <c r="R57" s="885" t="e">
        <f>'GRANTEE SET UP INFO &amp; DATE '!#REF!</f>
        <v>#REF!</v>
      </c>
      <c r="S57" s="350"/>
      <c r="T57" s="350"/>
      <c r="U57" s="350"/>
      <c r="V57" s="351"/>
      <c r="W57" s="913">
        <f>COUNTIFS(TRAINING!B12:B5000,"&gt;=07/01/2000",TRAINING!B12:B5000,"&lt;=09/30/2019",TRAINING!D12:D5000,"Other (Specify in Notes)",TRAINING!AO12:AO5000,"YES")</f>
        <v>0</v>
      </c>
      <c r="X57" s="350"/>
      <c r="Y57" s="350"/>
      <c r="Z57" s="351"/>
      <c r="AA57" s="511">
        <f>COUNTIFS(TRAINING!B12:B5000,"&gt;=10/01/2019",TRAINING!B12:B5000,"&lt;=12/31/2019",TRAINING!D12:D5000,"Other (Specify in Notes)",TRAINING!AO12:AO5000,"YES")</f>
        <v>0</v>
      </c>
      <c r="AB57" s="350"/>
      <c r="AC57" s="350"/>
      <c r="AD57" s="351"/>
      <c r="AE57" s="754">
        <f>COUNTIFS(TRAINING!B12:B5000,"&gt;=01/01/2020",TRAINING!B12:B5000,"&lt;=03/31/2020",TRAINING!D12:D5000,"Other (Specify in Notes)",TRAINING!AO12:AO5000,"YES")</f>
        <v>0</v>
      </c>
      <c r="AF57" s="350"/>
      <c r="AG57" s="350"/>
      <c r="AH57" s="351"/>
      <c r="AI57" s="511">
        <f>COUNTIFS(TRAINING!B12:B5000,"&gt;=04/01/2020",TRAINING!B12:B5000,"&lt;=06/30/2020",TRAINING!D12:D5000,"Other (Specify in Notes)",TRAINING!AO12:AO5000,"YES")</f>
        <v>0</v>
      </c>
      <c r="AJ57" s="350"/>
      <c r="AK57" s="350"/>
      <c r="AL57" s="351"/>
      <c r="AM57" s="754">
        <f>COUNTIFS(TRAINING!B12:B5000,"&gt;=07/01/2020",TRAINING!B12:B5000,"&lt;=09/30/2020",TRAINING!D12:D5000,"Other (Specify in Notes)",TRAINING!AO12:AO5000,"YES")</f>
        <v>0</v>
      </c>
      <c r="AN57" s="350"/>
      <c r="AO57" s="350"/>
      <c r="AP57" s="351"/>
      <c r="AQ57" s="353">
        <f>COUNTIFS(TRAINING!B12:B5000,"&gt;=10/01/2020",TRAINING!B12:B5000,"&lt;=12/31/2020",TRAINING!D12:D5000,"Other (Specify in Notes)",TRAINING!AO12:AO5000,"YES")</f>
        <v>0</v>
      </c>
      <c r="AR57" s="350"/>
      <c r="AS57" s="350"/>
      <c r="AT57" s="351"/>
      <c r="AU57" s="352">
        <f>COUNTIFS(TRAINING!B12:B5000,"&gt;=01/01/2021",TRAINING!B12:B5000,"&lt;=03/31/2021",TRAINING!D12:D5000,"Other (Specify in Notes)",TRAINING!AO12:AO5000,"YES")</f>
        <v>0</v>
      </c>
      <c r="AV57" s="350"/>
      <c r="AW57" s="350"/>
      <c r="AX57" s="351"/>
      <c r="AY57" s="353">
        <f>COUNTIFS(TRAINING!B12:B5000,"&gt;=04/01/2020",TRAINING!B12:B5000,"&lt;=06/30/2020",TRAINING!D12:D5000,"Other (Specify in Notes)",TRAINING!AO12:AO5000,"YES")</f>
        <v>0</v>
      </c>
      <c r="AZ57" s="350"/>
      <c r="BA57" s="350"/>
      <c r="BB57" s="351"/>
      <c r="BC57" s="352">
        <f>COUNTIFS(TRAINING!B12:B5000,"&gt;=07/01/2021",TRAINING!B12:B5000,"&lt;=09/30/2021",TRAINING!D12:D5000,"Other (Specify in Notes)",TRAINING!AO12:AO5000,"YES")</f>
        <v>0</v>
      </c>
      <c r="BD57" s="350"/>
      <c r="BE57" s="350"/>
      <c r="BF57" s="351"/>
      <c r="BG57" s="919">
        <f>COUNTIFS(TRAINING!B12:B5000,"&gt;=10/01/2021",TRAINING!B12:B5000,"&lt;=12/31/2021",TRAINING!D12:D5000,"Other (Specify in Notes)",TRAINING!AO12:AO5000,"YES")</f>
        <v>0</v>
      </c>
      <c r="BH57" s="350"/>
      <c r="BI57" s="350"/>
      <c r="BJ57" s="351"/>
      <c r="BK57" s="787">
        <f>COUNTIFS(TRAINING!B12:B5000,"&gt;=01/01/2022",TRAINING!B12:B5000,"&lt;=03/31/2022",TRAINING!D12:D5000,"Other (Specify in Notes)",TRAINING!AO12:AO5000,"YES")</f>
        <v>0</v>
      </c>
      <c r="BL57" s="350"/>
      <c r="BM57" s="350"/>
      <c r="BN57" s="351"/>
      <c r="BO57" s="919">
        <f>COUNTIFS(TRAINING!B12:B5000,"&gt;=04/01/2022",TRAINING!B12:B5000,"&lt;=06/30/2022",TRAINING!D12:D5000,"Other (Specify in Notes)",TRAINING!AO12:AO5000,"YES")</f>
        <v>0</v>
      </c>
      <c r="BP57" s="350"/>
      <c r="BQ57" s="350"/>
      <c r="BR57" s="351"/>
      <c r="BS57" s="787">
        <f>COUNTIFS(TRAINING!B12:B5000,"&gt;=07/01/2022",TRAINING!B12:B5000,"&lt;=09/30/2022",TRAINING!D12:D5000,"Other (Specify in Notes)",TRAINING!AO12:AO5000,"YES")</f>
        <v>0</v>
      </c>
      <c r="BT57" s="350"/>
      <c r="BU57" s="350"/>
      <c r="BV57" s="351"/>
      <c r="BW57" s="173"/>
    </row>
    <row r="58" spans="1:75" ht="15.75" customHeight="1">
      <c r="A58" s="413" t="s">
        <v>446</v>
      </c>
      <c r="B58" s="350"/>
      <c r="C58" s="350"/>
      <c r="D58" s="350"/>
      <c r="E58" s="350"/>
      <c r="F58" s="350"/>
      <c r="G58" s="350"/>
      <c r="H58" s="351"/>
      <c r="I58" s="755">
        <f>'GRANTEE SET UP INFO &amp; DATE '!C13</f>
        <v>0</v>
      </c>
      <c r="J58" s="350"/>
      <c r="K58" s="350"/>
      <c r="L58" s="351"/>
      <c r="M58" s="885">
        <f>'GRANTEE SET UP INFO &amp; DATE '!F13</f>
        <v>0</v>
      </c>
      <c r="N58" s="350"/>
      <c r="O58" s="350"/>
      <c r="P58" s="350"/>
      <c r="Q58" s="351"/>
      <c r="R58" s="885" t="e">
        <f>'GRANTEE SET UP INFO &amp; DATE '!#REF!</f>
        <v>#REF!</v>
      </c>
      <c r="S58" s="350"/>
      <c r="T58" s="350"/>
      <c r="U58" s="350"/>
      <c r="V58" s="351"/>
      <c r="W58" s="913">
        <f>COUNTIFS(TRAINING!B12:B5000,"&gt;=07/01/2000",TRAINING!B12:B5000,"&lt;=09/30/2019",TRAINING!D12:D5000,"Other (Specify in Notes)",TRAINING!AP12:AP5000,"YES")</f>
        <v>0</v>
      </c>
      <c r="X58" s="350"/>
      <c r="Y58" s="350"/>
      <c r="Z58" s="351"/>
      <c r="AA58" s="511">
        <f>COUNTIFS(TRAINING!B12:B5000,"&gt;=10/01/2019",TRAINING!B12:B5000,"&lt;=12/31/2019",TRAINING!D12:D5000,"Other (Specify in Notes)",TRAINING!AP12:AP5000,"YES")</f>
        <v>0</v>
      </c>
      <c r="AB58" s="350"/>
      <c r="AC58" s="350"/>
      <c r="AD58" s="351"/>
      <c r="AE58" s="754">
        <f>COUNTIFS(TRAINING!B12:B5000,"&gt;=01/01/2020",TRAINING!B12:B5000,"&lt;=03/31/2020",TRAINING!D12:D5000,"Other (Specify in Notes)",TRAINING!AP12:AP5000,"YES")</f>
        <v>0</v>
      </c>
      <c r="AF58" s="350"/>
      <c r="AG58" s="350"/>
      <c r="AH58" s="351"/>
      <c r="AI58" s="511">
        <f>COUNTIFS(TRAINING!B12:B5000,"&gt;=04/01/2020",TRAINING!B12:B5000,"&lt;=06/30/2020",TRAINING!D12:D5000,"Other (Specify in Notes)",TRAINING!AP12:AP5000,"YES")</f>
        <v>0</v>
      </c>
      <c r="AJ58" s="350"/>
      <c r="AK58" s="350"/>
      <c r="AL58" s="351"/>
      <c r="AM58" s="754">
        <f>COUNTIFS(TRAINING!B12:B5000,"&gt;=07/01/2020",TRAINING!B12:B5000,"&lt;=09/30/2020",TRAINING!D12:D5000,"Other (Specify in Notes)",TRAINING!AP12:AP5000,"YES")</f>
        <v>0</v>
      </c>
      <c r="AN58" s="350"/>
      <c r="AO58" s="350"/>
      <c r="AP58" s="351"/>
      <c r="AQ58" s="353">
        <f>COUNTIFS(TRAINING!B12:B5000,"&gt;=10/01/2020",TRAINING!B12:B5000,"&lt;=12/31/2020",TRAINING!D12:D5000,"Other (Specify in Notes)",TRAINING!AP12:AP5000,"YES")</f>
        <v>0</v>
      </c>
      <c r="AR58" s="350"/>
      <c r="AS58" s="350"/>
      <c r="AT58" s="351"/>
      <c r="AU58" s="352">
        <f>COUNTIFS(TRAINING!B12:B5000,"&gt;=01/01/2021",TRAINING!B12:B5000,"&lt;=03/31/2021",TRAINING!D12:D5000,"Other (Specify in Notes)",TRAINING!AP12:AP5000,"YES")</f>
        <v>0</v>
      </c>
      <c r="AV58" s="350"/>
      <c r="AW58" s="350"/>
      <c r="AX58" s="351"/>
      <c r="AY58" s="353">
        <f>COUNTIFS(TRAINING!B12:B5000,"&gt;=04/01/2020",TRAINING!B12:B5000,"&lt;=06/30/2020",TRAINING!D12:D5000,"Other (Specify in Notes)",TRAINING!AP12:AP5000,"YES")</f>
        <v>0</v>
      </c>
      <c r="AZ58" s="350"/>
      <c r="BA58" s="350"/>
      <c r="BB58" s="351"/>
      <c r="BC58" s="352">
        <f>COUNTIFS(TRAINING!B12:B5000,"&gt;=07/01/2021",TRAINING!B12:B5000,"&lt;=09/30/2021",TRAINING!D12:D5000,"Other (Specify in Notes)",TRAINING!AP12:AP5000,"YES")</f>
        <v>0</v>
      </c>
      <c r="BD58" s="350"/>
      <c r="BE58" s="350"/>
      <c r="BF58" s="351"/>
      <c r="BG58" s="919">
        <f>COUNTIFS(TRAINING!B12:B5000,"&gt;=10/01/2021",TRAINING!B12:B5000,"&lt;=12/31/2021",TRAINING!D12:D5000,"Other (Specify in Notes)",TRAINING!AP12:AP5000,"YES")</f>
        <v>0</v>
      </c>
      <c r="BH58" s="350"/>
      <c r="BI58" s="350"/>
      <c r="BJ58" s="351"/>
      <c r="BK58" s="787">
        <f>COUNTIFS(TRAINING!B12:B5000,"&gt;=01/01/2022",TRAINING!B12:B5000,"&lt;=03/31/2022",TRAINING!D12:D5000,"Other (Specify in Notes)",TRAINING!AP12:AP5000,"YES")</f>
        <v>0</v>
      </c>
      <c r="BL58" s="350"/>
      <c r="BM58" s="350"/>
      <c r="BN58" s="351"/>
      <c r="BO58" s="919">
        <f>COUNTIFS(TRAINING!B12:B5000,"&gt;=04/01/2022",TRAINING!B12:B5000,"&lt;=06/30/2022",TRAINING!D12:D5000,"Other (Specify in Notes)",TRAINING!AP12:AP5000,"YES")</f>
        <v>0</v>
      </c>
      <c r="BP58" s="350"/>
      <c r="BQ58" s="350"/>
      <c r="BR58" s="351"/>
      <c r="BS58" s="787">
        <f>COUNTIFS(TRAINING!B12:B5000,"&gt;=07/01/2022",TRAINING!B12:B5000,"&lt;=09/30/2022",TRAINING!D12:D5000,"Other (Specify in Notes)",TRAINING!AP12:AP5000,"YES")</f>
        <v>0</v>
      </c>
      <c r="BT58" s="350"/>
      <c r="BU58" s="350"/>
      <c r="BV58" s="351"/>
      <c r="BW58" s="173"/>
    </row>
    <row r="59" spans="1:75" ht="15.75" customHeight="1">
      <c r="A59" s="413" t="s">
        <v>447</v>
      </c>
      <c r="B59" s="350"/>
      <c r="C59" s="350"/>
      <c r="D59" s="350"/>
      <c r="E59" s="350"/>
      <c r="F59" s="350"/>
      <c r="G59" s="350"/>
      <c r="H59" s="351"/>
      <c r="I59" s="755">
        <f>'GRANTEE SET UP INFO &amp; DATE '!C14</f>
        <v>0</v>
      </c>
      <c r="J59" s="350"/>
      <c r="K59" s="350"/>
      <c r="L59" s="351"/>
      <c r="M59" s="885">
        <f>'GRANTEE SET UP INFO &amp; DATE '!F14</f>
        <v>0</v>
      </c>
      <c r="N59" s="350"/>
      <c r="O59" s="350"/>
      <c r="P59" s="350"/>
      <c r="Q59" s="351"/>
      <c r="R59" s="885" t="e">
        <f>'GRANTEE SET UP INFO &amp; DATE '!#REF!</f>
        <v>#REF!</v>
      </c>
      <c r="S59" s="350"/>
      <c r="T59" s="350"/>
      <c r="U59" s="350"/>
      <c r="V59" s="351"/>
      <c r="W59" s="913">
        <f>COUNTIFS(TRAINING!B12:B5000,"&gt;=07/01/2000",TRAINING!B12:B5000,"&lt;=09/30/2019",TRAINING!D12:D5000,"Other (Specify in Notes)",TRAINING!AQ12:AQ5000,"YES")</f>
        <v>0</v>
      </c>
      <c r="X59" s="350"/>
      <c r="Y59" s="350"/>
      <c r="Z59" s="351"/>
      <c r="AA59" s="511">
        <f>COUNTIFS(TRAINING!B12:B5000,"&gt;=10/01/2019",TRAINING!B12:B5000,"&lt;=12/31/2019",TRAINING!D12:D5000,"Other (Specify in Notes)",TRAINING!AQ12:AQ5000,"YES")</f>
        <v>0</v>
      </c>
      <c r="AB59" s="350"/>
      <c r="AC59" s="350"/>
      <c r="AD59" s="351"/>
      <c r="AE59" s="754">
        <f>COUNTIFS(TRAINING!B12:B5000,"&gt;=01/01/2020",TRAINING!B12:B5000,"&lt;=03/31/2020",TRAINING!D12:D5000,"Other (Specify in Notes)",TRAINING!AQ12:AQ5000,"YES")</f>
        <v>0</v>
      </c>
      <c r="AF59" s="350"/>
      <c r="AG59" s="350"/>
      <c r="AH59" s="351"/>
      <c r="AI59" s="511">
        <f>COUNTIFS(TRAINING!B12:B5000,"&gt;=04/01/2020",TRAINING!B12:B5000,"&lt;=06/30/2020",TRAINING!D12:D5000,"Other (Specify in Notes)",TRAINING!AQ12:AQ5000,"YES")</f>
        <v>0</v>
      </c>
      <c r="AJ59" s="350"/>
      <c r="AK59" s="350"/>
      <c r="AL59" s="351"/>
      <c r="AM59" s="754">
        <f>COUNTIFS(TRAINING!B12:B5000,"&gt;=07/01/2020",TRAINING!B12:B5000,"&lt;=09/30/2020",TRAINING!D12:D5000,"Other (Specify in Notes)",TRAINING!AQ12:AQ5000,"YES")</f>
        <v>0</v>
      </c>
      <c r="AN59" s="350"/>
      <c r="AO59" s="350"/>
      <c r="AP59" s="351"/>
      <c r="AQ59" s="353">
        <f>COUNTIFS(TRAINING!B12:B5000,"&gt;=10/01/2020",TRAINING!B12:B5000,"&lt;=12/31/2020",TRAINING!D12:D5000,"Other (Specify in Notes)",TRAINING!AQ12:AQ5000,"YES")</f>
        <v>0</v>
      </c>
      <c r="AR59" s="350"/>
      <c r="AS59" s="350"/>
      <c r="AT59" s="351"/>
      <c r="AU59" s="352">
        <f>COUNTIFS(TRAINING!B12:B5000,"&gt;=01/01/2021",TRAINING!B12:B5000,"&lt;=03/31/2021",TRAINING!D12:D5000,"Other (Specify in Notes)",TRAINING!AQ12:AQ5000,"YES")</f>
        <v>0</v>
      </c>
      <c r="AV59" s="350"/>
      <c r="AW59" s="350"/>
      <c r="AX59" s="351"/>
      <c r="AY59" s="353">
        <f>COUNTIFS(TRAINING!B12:B5000,"&gt;=04/01/2020",TRAINING!B12:B5000,"&lt;=06/30/2020",TRAINING!D12:D5000,"Other (Specify in Notes)",TRAINING!AQ12:AQ5000,"YES")</f>
        <v>0</v>
      </c>
      <c r="AZ59" s="350"/>
      <c r="BA59" s="350"/>
      <c r="BB59" s="351"/>
      <c r="BC59" s="352">
        <f>COUNTIFS(TRAINING!B12:B5000,"&gt;=07/01/2021",TRAINING!B12:B5000,"&lt;=09/30/2021",TRAINING!D12:D5000,"Other (Specify in Notes)",TRAINING!AQ12:AQ5000,"YES")</f>
        <v>0</v>
      </c>
      <c r="BD59" s="350"/>
      <c r="BE59" s="350"/>
      <c r="BF59" s="351"/>
      <c r="BG59" s="919">
        <f>COUNTIFS(TRAINING!B12:B5000,"&gt;=10/01/2021",TRAINING!B12:B5000,"&lt;=12/31/2021",TRAINING!D12:D5000,"Other (Specify in Notes)",TRAINING!AQ12:AQ5000,"YES")</f>
        <v>0</v>
      </c>
      <c r="BH59" s="350"/>
      <c r="BI59" s="350"/>
      <c r="BJ59" s="351"/>
      <c r="BK59" s="787">
        <f>COUNTIFS(TRAINING!B12:B5000,"&gt;=01/01/2022",TRAINING!B12:B5000,"&lt;=03/31/2022",TRAINING!D12:D5000,"Other (Specify in Notes)",TRAINING!AQ12:AQ5000,"YES")</f>
        <v>0</v>
      </c>
      <c r="BL59" s="350"/>
      <c r="BM59" s="350"/>
      <c r="BN59" s="351"/>
      <c r="BO59" s="919">
        <f>COUNTIFS(TRAINING!B12:B5000,"&gt;=04/01/2022",TRAINING!B12:B5000,"&lt;=06/30/2022",TRAINING!D12:D5000,"Other (Specify in Notes)",TRAINING!AQ12:AQ5000,"YES")</f>
        <v>0</v>
      </c>
      <c r="BP59" s="350"/>
      <c r="BQ59" s="350"/>
      <c r="BR59" s="351"/>
      <c r="BS59" s="787">
        <f>COUNTIFS(TRAINING!B12:B5000,"&gt;=07/01/2022",TRAINING!B12:B5000,"&lt;=09/30/2022",TRAINING!D12:D5000,"Other (Specify in Notes)",TRAINING!AQ12:AQ5000,"YES")</f>
        <v>0</v>
      </c>
      <c r="BT59" s="350"/>
      <c r="BU59" s="350"/>
      <c r="BV59" s="351"/>
      <c r="BW59" s="173"/>
    </row>
    <row r="60" spans="1:75" ht="15.75" customHeight="1">
      <c r="A60" s="413" t="s">
        <v>448</v>
      </c>
      <c r="B60" s="350"/>
      <c r="C60" s="350"/>
      <c r="D60" s="350"/>
      <c r="E60" s="350"/>
      <c r="F60" s="350"/>
      <c r="G60" s="350"/>
      <c r="H60" s="351"/>
      <c r="I60" s="755">
        <f>'GRANTEE SET UP INFO &amp; DATE '!C15</f>
        <v>0</v>
      </c>
      <c r="J60" s="350"/>
      <c r="K60" s="350"/>
      <c r="L60" s="351"/>
      <c r="M60" s="885">
        <f>'GRANTEE SET UP INFO &amp; DATE '!F15</f>
        <v>0</v>
      </c>
      <c r="N60" s="350"/>
      <c r="O60" s="350"/>
      <c r="P60" s="350"/>
      <c r="Q60" s="351"/>
      <c r="R60" s="885" t="e">
        <f>'GRANTEE SET UP INFO &amp; DATE '!#REF!</f>
        <v>#REF!</v>
      </c>
      <c r="S60" s="350"/>
      <c r="T60" s="350"/>
      <c r="U60" s="350"/>
      <c r="V60" s="351"/>
      <c r="W60" s="913">
        <f>COUNTIFS(TRAINING!B12:B5000,"&gt;=07/01/2000",TRAINING!B12:B5000,"&lt;=09/30/2019",TRAINING!D12:D5000,"Other (Specify in Notes)",TRAINING!AR12:AR5000,"YES")</f>
        <v>0</v>
      </c>
      <c r="X60" s="350"/>
      <c r="Y60" s="350"/>
      <c r="Z60" s="351"/>
      <c r="AA60" s="511">
        <f>COUNTIFS(TRAINING!B12:B5000,"&gt;=10/01/2019",TRAINING!B12:B5000,"&lt;=12/31/2019",TRAINING!D12:D5000,"Other (Specify in Notes)",TRAINING!AR12:AR5000,"YES")</f>
        <v>0</v>
      </c>
      <c r="AB60" s="350"/>
      <c r="AC60" s="350"/>
      <c r="AD60" s="351"/>
      <c r="AE60" s="754">
        <f>COUNTIFS(TRAINING!B12:B5000,"&gt;=01/01/2020",TRAINING!B12:B5000,"&lt;=03/31/2020",TRAINING!D12:D5000,"Other (Specify in Notes)",TRAINING!AR12:AR5000,"YES")</f>
        <v>0</v>
      </c>
      <c r="AF60" s="350"/>
      <c r="AG60" s="350"/>
      <c r="AH60" s="351"/>
      <c r="AI60" s="511">
        <f>COUNTIFS(TRAINING!B12:B5000,"&gt;=04/01/2020",TRAINING!B12:B5000,"&lt;=06/30/2020",TRAINING!D12:D5000,"Other (Specify in Notes)",TRAINING!AR12:AR5000,"YES")</f>
        <v>0</v>
      </c>
      <c r="AJ60" s="350"/>
      <c r="AK60" s="350"/>
      <c r="AL60" s="351"/>
      <c r="AM60" s="754">
        <f>COUNTIFS(TRAINING!B12:B5000,"&gt;=07/01/2020",TRAINING!B12:B5000,"&lt;=09/30/2020",TRAINING!D12:D5000,"Other (Specify in Notes)",TRAINING!AR12:AR5000,"YES")</f>
        <v>0</v>
      </c>
      <c r="AN60" s="350"/>
      <c r="AO60" s="350"/>
      <c r="AP60" s="351"/>
      <c r="AQ60" s="353">
        <f>COUNTIFS(TRAINING!B12:B5000,"&gt;=10/01/2020",TRAINING!B12:B5000,"&lt;=12/31/2020",TRAINING!D12:D5000,"Other (Specify in Notes)",TRAINING!AR12:AR5000,"YES")</f>
        <v>0</v>
      </c>
      <c r="AR60" s="350"/>
      <c r="AS60" s="350"/>
      <c r="AT60" s="351"/>
      <c r="AU60" s="352">
        <f>COUNTIFS(TRAINING!B12:B5000,"&gt;=01/01/2021",TRAINING!B12:B5000,"&lt;=03/31/2021",TRAINING!D12:D5000,"Other (Specify in Notes)",TRAINING!AR12:AR5000,"YES")</f>
        <v>0</v>
      </c>
      <c r="AV60" s="350"/>
      <c r="AW60" s="350"/>
      <c r="AX60" s="351"/>
      <c r="AY60" s="353">
        <f>COUNTIFS(TRAINING!B12:B5000,"&gt;=04/01/2020",TRAINING!B12:B5000,"&lt;=06/30/2020",TRAINING!D12:D5000,"Other (Specify in Notes)",TRAINING!AR12:AR5000,"YES")</f>
        <v>0</v>
      </c>
      <c r="AZ60" s="350"/>
      <c r="BA60" s="350"/>
      <c r="BB60" s="351"/>
      <c r="BC60" s="352">
        <f>COUNTIFS(TRAINING!B12:B5000,"&gt;=07/01/2021",TRAINING!B12:B5000,"&lt;=09/30/2021",TRAINING!D12:D5000,"Other (Specify in Notes)",TRAINING!AR12:AR5000,"YES")</f>
        <v>0</v>
      </c>
      <c r="BD60" s="350"/>
      <c r="BE60" s="350"/>
      <c r="BF60" s="351"/>
      <c r="BG60" s="919">
        <f>COUNTIFS(TRAINING!B12:B5000,"&gt;=10/01/2021",TRAINING!B12:B5000,"&lt;=12/31/2021",TRAINING!D12:D5000,"Other (Specify in Notes)",TRAINING!AR12:AR5000,"YES")</f>
        <v>0</v>
      </c>
      <c r="BH60" s="350"/>
      <c r="BI60" s="350"/>
      <c r="BJ60" s="351"/>
      <c r="BK60" s="787">
        <f>COUNTIFS(TRAINING!B12:B5000,"&gt;=01/01/2022",TRAINING!B12:B5000,"&lt;=03/31/2022",TRAINING!D12:D5000,"Other (Specify in Notes)",TRAINING!AR12:AR5000,"YES")</f>
        <v>0</v>
      </c>
      <c r="BL60" s="350"/>
      <c r="BM60" s="350"/>
      <c r="BN60" s="351"/>
      <c r="BO60" s="919">
        <f>COUNTIFS(TRAINING!B12:B5000,"&gt;=04/01/2022",TRAINING!B12:B5000,"&lt;=06/30/2022",TRAINING!D12:D5000,"Other (Specify in Notes)",TRAINING!AR12:AR5000,"YES")</f>
        <v>0</v>
      </c>
      <c r="BP60" s="350"/>
      <c r="BQ60" s="350"/>
      <c r="BR60" s="351"/>
      <c r="BS60" s="787">
        <f>COUNTIFS(TRAINING!B12:B5000,"&gt;=07/01/2022",TRAINING!B12:B5000,"&lt;=09/30/2022",TRAINING!D12:D5000,"Other (Specify in Notes)",TRAINING!AR12:AR5000,"YES")</f>
        <v>0</v>
      </c>
      <c r="BT60" s="350"/>
      <c r="BU60" s="350"/>
      <c r="BV60" s="351"/>
      <c r="BW60" s="173"/>
    </row>
    <row r="61" spans="1:75" ht="15.75" customHeight="1">
      <c r="A61" s="413" t="s">
        <v>449</v>
      </c>
      <c r="B61" s="350"/>
      <c r="C61" s="350"/>
      <c r="D61" s="350"/>
      <c r="E61" s="350"/>
      <c r="F61" s="350"/>
      <c r="G61" s="350"/>
      <c r="H61" s="351"/>
      <c r="I61" s="755">
        <f>'GRANTEE SET UP INFO &amp; DATE '!C16</f>
        <v>0</v>
      </c>
      <c r="J61" s="350"/>
      <c r="K61" s="350"/>
      <c r="L61" s="351"/>
      <c r="M61" s="885">
        <f>'GRANTEE SET UP INFO &amp; DATE '!F16</f>
        <v>0</v>
      </c>
      <c r="N61" s="350"/>
      <c r="O61" s="350"/>
      <c r="P61" s="350"/>
      <c r="Q61" s="351"/>
      <c r="R61" s="885" t="e">
        <f>'GRANTEE SET UP INFO &amp; DATE '!#REF!</f>
        <v>#REF!</v>
      </c>
      <c r="S61" s="350"/>
      <c r="T61" s="350"/>
      <c r="U61" s="350"/>
      <c r="V61" s="351"/>
      <c r="W61" s="913">
        <f>COUNTIFS(TRAINING!B12:B5000,"&gt;=07/01/2000",TRAINING!B12:B5000,"&lt;=09/30/2019",TRAINING!D12:D5000,"Other (Specify in Notes)",TRAINING!AS12:AS5000,"YES")</f>
        <v>0</v>
      </c>
      <c r="X61" s="350"/>
      <c r="Y61" s="350"/>
      <c r="Z61" s="351"/>
      <c r="AA61" s="511">
        <f>COUNTIFS(TRAINING!B12:B5000,"&gt;=10/01/2019",TRAINING!B12:B5000,"&lt;=12/31/2019",TRAINING!D12:D5000,"Other (Specify in Notes)",TRAINING!AS12:AS5000,"YES")</f>
        <v>0</v>
      </c>
      <c r="AB61" s="350"/>
      <c r="AC61" s="350"/>
      <c r="AD61" s="351"/>
      <c r="AE61" s="754">
        <f>COUNTIFS(TRAINING!B12:B5000,"&gt;=01/01/2020",TRAINING!B12:B5000,"&lt;=03/31/2020",TRAINING!D12:D5000,"Other (Specify in Notes)",TRAINING!AS12:AS5000,"YES")</f>
        <v>0</v>
      </c>
      <c r="AF61" s="350"/>
      <c r="AG61" s="350"/>
      <c r="AH61" s="351"/>
      <c r="AI61" s="511">
        <f>COUNTIFS(TRAINING!B12:B5000,"&gt;=04/01/2020",TRAINING!B12:B5000,"&lt;=06/30/2020",TRAINING!D12:D5000,"Other (Specify in Notes)",TRAINING!AS12:AS5000,"YES")</f>
        <v>0</v>
      </c>
      <c r="AJ61" s="350"/>
      <c r="AK61" s="350"/>
      <c r="AL61" s="351"/>
      <c r="AM61" s="754">
        <f>COUNTIFS(TRAINING!B12:B5000,"&gt;=07/01/2020",TRAINING!B12:B5000,"&lt;=09/30/2020",TRAINING!D12:D5000,"Other (Specify in Notes)",TRAINING!AS12:AS5000,"YES")</f>
        <v>0</v>
      </c>
      <c r="AN61" s="350"/>
      <c r="AO61" s="350"/>
      <c r="AP61" s="351"/>
      <c r="AQ61" s="353">
        <f>COUNTIFS(TRAINING!B12:B5000,"&gt;=10/01/2020",TRAINING!B12:B5000,"&lt;=12/31/2020",TRAINING!D12:D5000,"Other (Specify in Notes)",TRAINING!AS12:AS5000,"YES")</f>
        <v>0</v>
      </c>
      <c r="AR61" s="350"/>
      <c r="AS61" s="350"/>
      <c r="AT61" s="351"/>
      <c r="AU61" s="352">
        <f>COUNTIFS(TRAINING!B12:B5000,"&gt;=01/01/2021",TRAINING!B12:B5000,"&lt;=03/31/2021",TRAINING!D12:D5000,"Other (Specify in Notes)",TRAINING!AS12:AS5000,"YES")</f>
        <v>0</v>
      </c>
      <c r="AV61" s="350"/>
      <c r="AW61" s="350"/>
      <c r="AX61" s="351"/>
      <c r="AY61" s="353">
        <f>COUNTIFS(TRAINING!B12:B5000,"&gt;=04/01/2020",TRAINING!B12:B5000,"&lt;=06/30/2020",TRAINING!D12:D5000,"Other (Specify in Notes)",TRAINING!AS12:AS5000,"YES")</f>
        <v>0</v>
      </c>
      <c r="AZ61" s="350"/>
      <c r="BA61" s="350"/>
      <c r="BB61" s="351"/>
      <c r="BC61" s="352">
        <f>COUNTIFS(TRAINING!B12:B5000,"&gt;=07/01/2021",TRAINING!B12:B5000,"&lt;=09/30/2021",TRAINING!D12:D5000,"Other (Specify in Notes)",TRAINING!AS12:AS5000,"YES")</f>
        <v>0</v>
      </c>
      <c r="BD61" s="350"/>
      <c r="BE61" s="350"/>
      <c r="BF61" s="351"/>
      <c r="BG61" s="919">
        <f>COUNTIFS(TRAINING!B12:B5000,"&gt;=10/01/2021",TRAINING!B12:B5000,"&lt;=12/31/2021",TRAINING!D12:D5000,"Other (Specify in Notes)",TRAINING!AS12:AS5000,"YES")</f>
        <v>0</v>
      </c>
      <c r="BH61" s="350"/>
      <c r="BI61" s="350"/>
      <c r="BJ61" s="351"/>
      <c r="BK61" s="787">
        <f>COUNTIFS(TRAINING!B12:B5000,"&gt;=01/01/2022",TRAINING!B12:B5000,"&lt;=03/31/2022",TRAINING!D12:D5000,"Other (Specify in Notes)",TRAINING!AS12:AS5000,"YES")</f>
        <v>0</v>
      </c>
      <c r="BL61" s="350"/>
      <c r="BM61" s="350"/>
      <c r="BN61" s="351"/>
      <c r="BO61" s="919">
        <f>COUNTIFS(TRAINING!B12:B5000,"&gt;=04/01/2022",TRAINING!B12:B5000,"&lt;=06/30/2022",TRAINING!D12:D5000,"Other (Specify in Notes)",TRAINING!AS12:AS5000,"YES")</f>
        <v>0</v>
      </c>
      <c r="BP61" s="350"/>
      <c r="BQ61" s="350"/>
      <c r="BR61" s="351"/>
      <c r="BS61" s="787">
        <f>COUNTIFS(TRAINING!B12:B5000,"&gt;=07/01/2022",TRAINING!B12:B5000,"&lt;=09/30/2022",TRAINING!D12:D5000,"Other (Specify in Notes)",TRAINING!AS12:AS5000,"YES")</f>
        <v>0</v>
      </c>
      <c r="BT61" s="350"/>
      <c r="BU61" s="350"/>
      <c r="BV61" s="351"/>
      <c r="BW61" s="173"/>
    </row>
    <row r="62" spans="1:75" ht="15.75" customHeight="1">
      <c r="A62" s="413" t="s">
        <v>450</v>
      </c>
      <c r="B62" s="350"/>
      <c r="C62" s="350"/>
      <c r="D62" s="350"/>
      <c r="E62" s="350"/>
      <c r="F62" s="350"/>
      <c r="G62" s="350"/>
      <c r="H62" s="351"/>
      <c r="I62" s="755">
        <f>'GRANTEE SET UP INFO &amp; DATE '!C17</f>
        <v>0</v>
      </c>
      <c r="J62" s="350"/>
      <c r="K62" s="350"/>
      <c r="L62" s="351"/>
      <c r="M62" s="885">
        <f>'GRANTEE SET UP INFO &amp; DATE '!F17</f>
        <v>0</v>
      </c>
      <c r="N62" s="350"/>
      <c r="O62" s="350"/>
      <c r="P62" s="350"/>
      <c r="Q62" s="351"/>
      <c r="R62" s="885" t="e">
        <f>'GRANTEE SET UP INFO &amp; DATE '!#REF!</f>
        <v>#REF!</v>
      </c>
      <c r="S62" s="350"/>
      <c r="T62" s="350"/>
      <c r="U62" s="350"/>
      <c r="V62" s="351"/>
      <c r="W62" s="913">
        <f>COUNTIFS(TRAINING!B12:B5000,"&gt;=07/01/2000",TRAINING!B12:B5000,"&lt;=09/30/2019",TRAINING!D12:D5000,"Other (Specify in Notes)",TRAINING!AT12:AT5000,"YES")</f>
        <v>0</v>
      </c>
      <c r="X62" s="350"/>
      <c r="Y62" s="350"/>
      <c r="Z62" s="351"/>
      <c r="AA62" s="511">
        <f>COUNTIFS(TRAINING!B12:B5000,"&gt;=10/01/2019",TRAINING!B12:B5000,"&lt;=12/31/2019",TRAINING!D12:D5000,"Other (Specify in Notes)",TRAINING!AT12:AT5000,"YES")</f>
        <v>0</v>
      </c>
      <c r="AB62" s="350"/>
      <c r="AC62" s="350"/>
      <c r="AD62" s="351"/>
      <c r="AE62" s="754">
        <f>COUNTIFS(TRAINING!B12:B5000,"&gt;=01/01/2020",TRAINING!B12:B5000,"&lt;=03/31/2020",TRAINING!D12:D5000,"Other (Specify in Notes)",TRAINING!AT12:AT5000,"YES")</f>
        <v>0</v>
      </c>
      <c r="AF62" s="350"/>
      <c r="AG62" s="350"/>
      <c r="AH62" s="351"/>
      <c r="AI62" s="511">
        <f>COUNTIFS(TRAINING!B12:B5000,"&gt;=04/01/2020",TRAINING!B12:B5000,"&lt;=06/30/2020",TRAINING!D12:D5000,"Other (Specify in Notes)",TRAINING!AT12:AT5000,"YES")</f>
        <v>0</v>
      </c>
      <c r="AJ62" s="350"/>
      <c r="AK62" s="350"/>
      <c r="AL62" s="351"/>
      <c r="AM62" s="754">
        <f>COUNTIFS(TRAINING!B12:B5000,"&gt;=07/01/2020",TRAINING!B12:B5000,"&lt;=09/30/2020",TRAINING!D12:D5000,"Other (Specify in Notes)",TRAINING!AT12:AT5000,"YES")</f>
        <v>0</v>
      </c>
      <c r="AN62" s="350"/>
      <c r="AO62" s="350"/>
      <c r="AP62" s="351"/>
      <c r="AQ62" s="353">
        <f>COUNTIFS(TRAINING!B12:B5000,"&gt;=10/01/2020",TRAINING!B12:B5000,"&lt;=12/31/2020",TRAINING!D12:D5000,"Other (Specify in Notes)",TRAINING!AT12:AT5000,"YES")</f>
        <v>0</v>
      </c>
      <c r="AR62" s="350"/>
      <c r="AS62" s="350"/>
      <c r="AT62" s="351"/>
      <c r="AU62" s="352">
        <f>COUNTIFS(TRAINING!B12:B5000,"&gt;=01/01/2021",TRAINING!B12:B5000,"&lt;=03/31/2021",TRAINING!D12:D5000,"Other (Specify in Notes)",TRAINING!AT12:AT5000,"YES")</f>
        <v>0</v>
      </c>
      <c r="AV62" s="350"/>
      <c r="AW62" s="350"/>
      <c r="AX62" s="351"/>
      <c r="AY62" s="353">
        <f>COUNTIFS(TRAINING!B12:B5000,"&gt;=04/01/2020",TRAINING!B12:B5000,"&lt;=06/30/2020",TRAINING!D12:D5000,"Other (Specify in Notes)",TRAINING!AT12:AT5000,"YES")</f>
        <v>0</v>
      </c>
      <c r="AZ62" s="350"/>
      <c r="BA62" s="350"/>
      <c r="BB62" s="351"/>
      <c r="BC62" s="352">
        <f>COUNTIFS(TRAINING!B12:B5000,"&gt;=07/01/2021",TRAINING!B12:B5000,"&lt;=09/30/2021",TRAINING!D12:D5000,"Other (Specify in Notes)",TRAINING!AT12:AT5000,"YES")</f>
        <v>0</v>
      </c>
      <c r="BD62" s="350"/>
      <c r="BE62" s="350"/>
      <c r="BF62" s="351"/>
      <c r="BG62" s="919">
        <f>COUNTIFS(TRAINING!B12:B5000,"&gt;=10/01/2021",TRAINING!B12:B5000,"&lt;=12/31/2021",TRAINING!D12:D5000,"Other (Specify in Notes)",TRAINING!AT12:AT5000,"YES")</f>
        <v>0</v>
      </c>
      <c r="BH62" s="350"/>
      <c r="BI62" s="350"/>
      <c r="BJ62" s="351"/>
      <c r="BK62" s="787">
        <f>COUNTIFS(TRAINING!B12:B5000,"&gt;=01/01/2022",TRAINING!B12:B5000,"&lt;=03/31/2022",TRAINING!D12:D5000,"Other (Specify in Notes)",TRAINING!AT12:AT5000,"YES")</f>
        <v>0</v>
      </c>
      <c r="BL62" s="350"/>
      <c r="BM62" s="350"/>
      <c r="BN62" s="351"/>
      <c r="BO62" s="919">
        <f>COUNTIFS(TRAINING!B12:B5000,"&gt;=04/01/2022",TRAINING!B12:B5000,"&lt;=06/30/2022",TRAINING!D12:D5000,"Other (Specify in Notes)",TRAINING!AT12:AT5000,"YES")</f>
        <v>0</v>
      </c>
      <c r="BP62" s="350"/>
      <c r="BQ62" s="350"/>
      <c r="BR62" s="351"/>
      <c r="BS62" s="787">
        <f>COUNTIFS(TRAINING!B12:B5000,"&gt;=07/01/2022",TRAINING!B12:B5000,"&lt;=09/30/2022",TRAINING!D12:D5000,"Other (Specify in Notes)",TRAINING!AT12:AT5000,"YES")</f>
        <v>0</v>
      </c>
      <c r="BT62" s="350"/>
      <c r="BU62" s="350"/>
      <c r="BV62" s="351"/>
      <c r="BW62" s="173"/>
    </row>
    <row r="63" spans="1:75" ht="15.75" customHeight="1">
      <c r="A63" s="413" t="s">
        <v>451</v>
      </c>
      <c r="B63" s="350"/>
      <c r="C63" s="350"/>
      <c r="D63" s="350"/>
      <c r="E63" s="350"/>
      <c r="F63" s="350"/>
      <c r="G63" s="350"/>
      <c r="H63" s="351"/>
      <c r="I63" s="755">
        <f>'GRANTEE SET UP INFO &amp; DATE '!C18</f>
        <v>0</v>
      </c>
      <c r="J63" s="350"/>
      <c r="K63" s="350"/>
      <c r="L63" s="351"/>
      <c r="M63" s="885">
        <f>'GRANTEE SET UP INFO &amp; DATE '!F18</f>
        <v>0</v>
      </c>
      <c r="N63" s="350"/>
      <c r="O63" s="350"/>
      <c r="P63" s="350"/>
      <c r="Q63" s="351"/>
      <c r="R63" s="885" t="e">
        <f>'GRANTEE SET UP INFO &amp; DATE '!#REF!</f>
        <v>#REF!</v>
      </c>
      <c r="S63" s="350"/>
      <c r="T63" s="350"/>
      <c r="U63" s="350"/>
      <c r="V63" s="351"/>
      <c r="W63" s="913">
        <f>COUNTIFS(TRAINING!B12:B5000,"&gt;=07/01/2000",TRAINING!B12:B5000,"&lt;=09/30/2019",TRAINING!D12:D5000,"Other (Specify in Notes)",TRAINING!AU12:AU5000,"YES")</f>
        <v>0</v>
      </c>
      <c r="X63" s="350"/>
      <c r="Y63" s="350"/>
      <c r="Z63" s="351"/>
      <c r="AA63" s="511">
        <f>COUNTIFS(TRAINING!B12:B5000,"&gt;=10/01/2019",TRAINING!B12:B5000,"&lt;=12/31/2019",TRAINING!D12:D5000,"Other (Specify in Notes)",TRAINING!AU12:AU5000,"YES")</f>
        <v>0</v>
      </c>
      <c r="AB63" s="350"/>
      <c r="AC63" s="350"/>
      <c r="AD63" s="351"/>
      <c r="AE63" s="754">
        <f>COUNTIFS(TRAINING!B12:B5000,"&gt;=01/01/2020",TRAINING!B12:B5000,"&lt;=03/31/2020",TRAINING!D12:D5000,"Other (Specify in Notes)",TRAINING!AU12:AU5000,"YES")</f>
        <v>0</v>
      </c>
      <c r="AF63" s="350"/>
      <c r="AG63" s="350"/>
      <c r="AH63" s="351"/>
      <c r="AI63" s="511">
        <f>COUNTIFS(TRAINING!B12:B5000,"&gt;=04/01/2020",TRAINING!B12:B5000,"&lt;=06/30/2020",TRAINING!D12:D5000,"Other (Specify in Notes)",TRAINING!AU12:AU5000,"YES")</f>
        <v>0</v>
      </c>
      <c r="AJ63" s="350"/>
      <c r="AK63" s="350"/>
      <c r="AL63" s="351"/>
      <c r="AM63" s="754">
        <f>COUNTIFS(TRAINING!B12:B5000,"&gt;=07/01/2020",TRAINING!B12:B5000,"&lt;=09/30/2020",TRAINING!D12:D5000,"Other (Specify in Notes)",TRAINING!AU12:AU5000,"YES")</f>
        <v>0</v>
      </c>
      <c r="AN63" s="350"/>
      <c r="AO63" s="350"/>
      <c r="AP63" s="351"/>
      <c r="AQ63" s="353">
        <f>COUNTIFS(TRAINING!B12:B5000,"&gt;=10/01/2020",TRAINING!B12:B5000,"&lt;=12/31/2020",TRAINING!D12:D5000,"Other (Specify in Notes)",TRAINING!AU12:AU5000,"YES")</f>
        <v>0</v>
      </c>
      <c r="AR63" s="350"/>
      <c r="AS63" s="350"/>
      <c r="AT63" s="351"/>
      <c r="AU63" s="352">
        <f>COUNTIFS(TRAINING!B12:B5000,"&gt;=01/01/2021",TRAINING!B12:B5000,"&lt;=03/31/2021",TRAINING!D12:D5000,"Other (Specify in Notes)",TRAINING!AU12:AU5000,"YES")</f>
        <v>0</v>
      </c>
      <c r="AV63" s="350"/>
      <c r="AW63" s="350"/>
      <c r="AX63" s="351"/>
      <c r="AY63" s="353">
        <f>COUNTIFS(TRAINING!B12:B5000,"&gt;=04/01/2020",TRAINING!B12:B5000,"&lt;=06/30/2020",TRAINING!D12:D5000,"Other (Specify in Notes)",TRAINING!AU12:AU5000,"YES")</f>
        <v>0</v>
      </c>
      <c r="AZ63" s="350"/>
      <c r="BA63" s="350"/>
      <c r="BB63" s="351"/>
      <c r="BC63" s="352">
        <f>COUNTIFS(TRAINING!B12:B5000,"&gt;=07/01/2021",TRAINING!B12:B5000,"&lt;=09/30/2021",TRAINING!D12:D5000,"Other (Specify in Notes)",TRAINING!AU12:AU5000,"YES")</f>
        <v>0</v>
      </c>
      <c r="BD63" s="350"/>
      <c r="BE63" s="350"/>
      <c r="BF63" s="351"/>
      <c r="BG63" s="919">
        <f>COUNTIFS(TRAINING!B12:B5000,"&gt;=10/01/2021",TRAINING!B12:B5000,"&lt;=12/31/2021",TRAINING!D12:D5000,"Other (Specify in Notes)",TRAINING!AU12:AU5000,"YES")</f>
        <v>0</v>
      </c>
      <c r="BH63" s="350"/>
      <c r="BI63" s="350"/>
      <c r="BJ63" s="351"/>
      <c r="BK63" s="787">
        <f>COUNTIFS(TRAINING!B12:B5000,"&gt;=01/01/2022",TRAINING!B12:B5000,"&lt;=03/31/2022",TRAINING!D12:D5000,"Other (Specify in Notes)",TRAINING!AU12:AU5000,"YES")</f>
        <v>0</v>
      </c>
      <c r="BL63" s="350"/>
      <c r="BM63" s="350"/>
      <c r="BN63" s="351"/>
      <c r="BO63" s="919">
        <f>COUNTIFS(TRAINING!B12:B5000,"&gt;=04/01/2022",TRAINING!B12:B5000,"&lt;=06/30/2022",TRAINING!D12:D5000,"Other (Specify in Notes)",TRAINING!AU12:AU5000,"YES")</f>
        <v>0</v>
      </c>
      <c r="BP63" s="350"/>
      <c r="BQ63" s="350"/>
      <c r="BR63" s="351"/>
      <c r="BS63" s="787">
        <f>COUNTIFS(TRAINING!B12:B5000,"&gt;=07/01/2022",TRAINING!B12:B5000,"&lt;=09/30/2022",TRAINING!D12:D5000,"Other (Specify in Notes)",TRAINING!AU12:AU5000,"YES")</f>
        <v>0</v>
      </c>
      <c r="BT63" s="350"/>
      <c r="BU63" s="350"/>
      <c r="BV63" s="351"/>
      <c r="BW63" s="173"/>
    </row>
    <row r="64" spans="1:75" ht="15.75" customHeight="1">
      <c r="A64" s="413" t="s">
        <v>452</v>
      </c>
      <c r="B64" s="350"/>
      <c r="C64" s="350"/>
      <c r="D64" s="350"/>
      <c r="E64" s="350"/>
      <c r="F64" s="350"/>
      <c r="G64" s="350"/>
      <c r="H64" s="351"/>
      <c r="I64" s="755" t="e">
        <f>'GRANTEE SET UP INFO &amp; DATE '!#REF!</f>
        <v>#REF!</v>
      </c>
      <c r="J64" s="350"/>
      <c r="K64" s="350"/>
      <c r="L64" s="351"/>
      <c r="M64" s="922" t="e">
        <f>'GRANTEE SET UP INFO &amp; DATE '!#REF!</f>
        <v>#REF!</v>
      </c>
      <c r="N64" s="350"/>
      <c r="O64" s="350"/>
      <c r="P64" s="350"/>
      <c r="Q64" s="351"/>
      <c r="R64" s="922" t="e">
        <f>'GRANTEE SET UP INFO &amp; DATE '!#REF!</f>
        <v>#REF!</v>
      </c>
      <c r="S64" s="350"/>
      <c r="T64" s="350"/>
      <c r="U64" s="350"/>
      <c r="V64" s="351"/>
      <c r="W64" s="913">
        <f>COUNTIFS(TRAINING!B12:B5000,"&gt;=07/01/2000",TRAINING!B12:B5000,"&lt;=09/30/2019",TRAINING!D12:D5000,"Other (Specify in Notes)",TRAINING!AV12:AV5000,"YES")</f>
        <v>0</v>
      </c>
      <c r="X64" s="350"/>
      <c r="Y64" s="350"/>
      <c r="Z64" s="351"/>
      <c r="AA64" s="511">
        <f>COUNTIFS(TRAINING!B12:B5000,"&gt;=10/01/2019",TRAINING!B12:B5000,"&lt;=12/31/2019",TRAINING!D12:D5000,"Other (Specify in Notes)",TRAINING!AV12:AV5000,"YES")</f>
        <v>0</v>
      </c>
      <c r="AB64" s="350"/>
      <c r="AC64" s="350"/>
      <c r="AD64" s="351"/>
      <c r="AE64" s="754">
        <f>COUNTIFS(TRAINING!B12:B5000,"&gt;=01/01/2020",TRAINING!B12:B5000,"&lt;=03/31/2020",TRAINING!D12:D5000,"Other (Specify in Notes)",TRAINING!AV12:AV5000,"YES")</f>
        <v>0</v>
      </c>
      <c r="AF64" s="350"/>
      <c r="AG64" s="350"/>
      <c r="AH64" s="351"/>
      <c r="AI64" s="511">
        <f>COUNTIFS(TRAINING!B12:B5000,"&gt;=04/01/2020",TRAINING!B12:B5000,"&lt;=06/30/2020",TRAINING!D12:D5000,"Other (Specify in Notes)",TRAINING!AV12:AV5000,"YES")</f>
        <v>0</v>
      </c>
      <c r="AJ64" s="350"/>
      <c r="AK64" s="350"/>
      <c r="AL64" s="351"/>
      <c r="AM64" s="754">
        <f>COUNTIFS(TRAINING!B12:B5000,"&gt;=07/01/2020",TRAINING!B12:B5000,"&lt;=09/30/2020",TRAINING!D12:D5000,"Other (Specify in Notes)",TRAINING!AV12:AV5000,"YES")</f>
        <v>0</v>
      </c>
      <c r="AN64" s="350"/>
      <c r="AO64" s="350"/>
      <c r="AP64" s="351"/>
      <c r="AQ64" s="353">
        <f>COUNTIFS(TRAINING!B12:B5000,"&gt;=10/01/2020",TRAINING!B12:B5000,"&lt;=12/31/2020",TRAINING!D12:D5000,"Other (Specify in Notes)",TRAINING!AV12:AV5000,"YES")</f>
        <v>0</v>
      </c>
      <c r="AR64" s="350"/>
      <c r="AS64" s="350"/>
      <c r="AT64" s="351"/>
      <c r="AU64" s="352">
        <f>COUNTIFS(TRAINING!B12:B5000,"&gt;=01/01/2021",TRAINING!B12:B5000,"&lt;=03/31/2021",TRAINING!D12:D5000,"Other (Specify in Notes)",TRAINING!AV12:AV5000,"YES")</f>
        <v>0</v>
      </c>
      <c r="AV64" s="350"/>
      <c r="AW64" s="350"/>
      <c r="AX64" s="351"/>
      <c r="AY64" s="353">
        <f>COUNTIFS(TRAINING!B12:B5000,"&gt;=04/01/2020",TRAINING!B12:B5000,"&lt;=06/30/2020",TRAINING!D12:D5000,"Other (Specify in Notes)",TRAINING!AV12:AV5000,"YES")</f>
        <v>0</v>
      </c>
      <c r="AZ64" s="350"/>
      <c r="BA64" s="350"/>
      <c r="BB64" s="351"/>
      <c r="BC64" s="352">
        <f>COUNTIFS(TRAINING!B12:B5000,"&gt;=07/01/2021",TRAINING!B12:B5000,"&lt;=09/30/2021",TRAINING!D12:D5000,"Other (Specify in Notes)",TRAINING!AV12:AV5000,"YES")</f>
        <v>0</v>
      </c>
      <c r="BD64" s="350"/>
      <c r="BE64" s="350"/>
      <c r="BF64" s="351"/>
      <c r="BG64" s="919">
        <f>COUNTIFS(TRAINING!B12:B5000,"&gt;=10/01/2021",TRAINING!B12:B5000,"&lt;=12/31/2021",TRAINING!D12:D5000,"Other (Specify in Notes)",TRAINING!AV12:AV5000,"YES")</f>
        <v>0</v>
      </c>
      <c r="BH64" s="350"/>
      <c r="BI64" s="350"/>
      <c r="BJ64" s="351"/>
      <c r="BK64" s="787">
        <f>COUNTIFS(TRAINING!B12:B5000,"&gt;=01/01/2022",TRAINING!B12:B5000,"&lt;=03/31/2022",TRAINING!D12:D5000,"Other (Specify in Notes)",TRAINING!AV12:AV5000,"YES")</f>
        <v>0</v>
      </c>
      <c r="BL64" s="350"/>
      <c r="BM64" s="350"/>
      <c r="BN64" s="351"/>
      <c r="BO64" s="919">
        <f>COUNTIFS(TRAINING!B12:B5000,"&gt;=04/01/2022",TRAINING!B12:B5000,"&lt;=06/30/2022",TRAINING!D12:D5000,"Other (Specify in Notes)",TRAINING!AV12:AV5000,"YES")</f>
        <v>0</v>
      </c>
      <c r="BP64" s="350"/>
      <c r="BQ64" s="350"/>
      <c r="BR64" s="351"/>
      <c r="BS64" s="787">
        <f>COUNTIFS(TRAINING!B12:B5000,"&gt;=07/01/2022",TRAINING!B12:B5000,"&lt;=09/30/2022",TRAINING!D12:D5000,"Other (Specify in Notes)",TRAINING!AV12:AV5000,"YES")</f>
        <v>0</v>
      </c>
      <c r="BT64" s="350"/>
      <c r="BU64" s="350"/>
      <c r="BV64" s="351"/>
      <c r="BW64" s="173"/>
    </row>
    <row r="65" spans="1:75" ht="15.75" customHeight="1">
      <c r="A65" s="413" t="s">
        <v>453</v>
      </c>
      <c r="B65" s="350"/>
      <c r="C65" s="350"/>
      <c r="D65" s="350"/>
      <c r="E65" s="350"/>
      <c r="F65" s="350"/>
      <c r="G65" s="350"/>
      <c r="H65" s="351"/>
      <c r="I65" s="755" t="e">
        <f>'GRANTEE SET UP INFO &amp; DATE '!#REF!</f>
        <v>#REF!</v>
      </c>
      <c r="J65" s="350"/>
      <c r="K65" s="350"/>
      <c r="L65" s="351"/>
      <c r="M65" s="884" t="e">
        <f>'GRANTEE SET UP INFO &amp; DATE '!#REF!</f>
        <v>#REF!</v>
      </c>
      <c r="N65" s="350"/>
      <c r="O65" s="350"/>
      <c r="P65" s="350"/>
      <c r="Q65" s="351"/>
      <c r="R65" s="884" t="e">
        <f>'GRANTEE SET UP INFO &amp; DATE '!#REF!</f>
        <v>#REF!</v>
      </c>
      <c r="S65" s="350"/>
      <c r="T65" s="350"/>
      <c r="U65" s="350"/>
      <c r="V65" s="351"/>
      <c r="W65" s="913">
        <f>COUNTIFS(TRAINING!B12:B5000,"&gt;=07/01/2000",TRAINING!B12:B5000,"&lt;=09/30/2019",TRAINING!D12:D5000,"Other (Specify in Notes)",TRAINING!AW12:AW5000,"YES")</f>
        <v>0</v>
      </c>
      <c r="X65" s="350"/>
      <c r="Y65" s="350"/>
      <c r="Z65" s="351"/>
      <c r="AA65" s="511">
        <f>COUNTIFS(TRAINING!B12:B5000,"&gt;=10/01/2019",TRAINING!B12:B5000,"&lt;=12/31/2019",TRAINING!D12:D5000,"Other (Specify in Notes)",TRAINING!AW12:AW5000,"YES")</f>
        <v>0</v>
      </c>
      <c r="AB65" s="350"/>
      <c r="AC65" s="350"/>
      <c r="AD65" s="351"/>
      <c r="AE65" s="754">
        <f>COUNTIFS(TRAINING!B12:B5000,"&gt;=01/01/2020",TRAINING!B12:B5000,"&lt;=03/31/2020",TRAINING!D12:D5000,"Other (Specify in Notes)",TRAINING!AW12:AW5000,"YES")</f>
        <v>0</v>
      </c>
      <c r="AF65" s="350"/>
      <c r="AG65" s="350"/>
      <c r="AH65" s="351"/>
      <c r="AI65" s="511">
        <f>COUNTIFS(TRAINING!B12:B5000,"&gt;=04/01/2020",TRAINING!B12:B5000,"&lt;=06/30/2020",TRAINING!D12:D5000,"Other (Specify in Notes)",TRAINING!AW12:AW5000,"YES")</f>
        <v>0</v>
      </c>
      <c r="AJ65" s="350"/>
      <c r="AK65" s="350"/>
      <c r="AL65" s="351"/>
      <c r="AM65" s="754">
        <f>COUNTIFS(TRAINING!B12:B5000,"&gt;=07/01/2020",TRAINING!B12:B5000,"&lt;=09/30/2020",TRAINING!D12:D5000,"Other (Specify in Notes)",TRAINING!AW12:AW5000,"YES")</f>
        <v>0</v>
      </c>
      <c r="AN65" s="350"/>
      <c r="AO65" s="350"/>
      <c r="AP65" s="351"/>
      <c r="AQ65" s="353">
        <f>COUNTIFS(TRAINING!B12:B5000,"&gt;=10/01/2020",TRAINING!B12:B5000,"&lt;=12/31/2020",TRAINING!D12:D5000,"Other (Specify in Notes)",TRAINING!AW12:AW5000,"YES")</f>
        <v>0</v>
      </c>
      <c r="AR65" s="350"/>
      <c r="AS65" s="350"/>
      <c r="AT65" s="351"/>
      <c r="AU65" s="352">
        <f>COUNTIFS(TRAINING!B12:B5000,"&gt;=01/01/2021",TRAINING!B12:B5000,"&lt;=03/31/2021",TRAINING!D12:D5000,"Other (Specify in Notes)",TRAINING!AW12:AW5000,"YES")</f>
        <v>0</v>
      </c>
      <c r="AV65" s="350"/>
      <c r="AW65" s="350"/>
      <c r="AX65" s="351"/>
      <c r="AY65" s="353">
        <f>COUNTIFS(TRAINING!B12:B5000,"&gt;=04/01/2020",TRAINING!B12:B5000,"&lt;=06/30/2020",TRAINING!D12:D5000,"Other (Specify in Notes)",TRAINING!AW12:AW5000,"YES")</f>
        <v>0</v>
      </c>
      <c r="AZ65" s="350"/>
      <c r="BA65" s="350"/>
      <c r="BB65" s="351"/>
      <c r="BC65" s="352">
        <f>COUNTIFS(TRAINING!B12:B5000,"&gt;=07/01/2021",TRAINING!B12:B5000,"&lt;=09/30/2021",TRAINING!D12:D5000,"Other (Specify in Notes)",TRAINING!AW12:AW5000,"YES")</f>
        <v>0</v>
      </c>
      <c r="BD65" s="350"/>
      <c r="BE65" s="350"/>
      <c r="BF65" s="351"/>
      <c r="BG65" s="919">
        <f>COUNTIFS(TRAINING!B12:B5000,"&gt;=10/01/2021",TRAINING!B12:B5000,"&lt;=12/31/2021",TRAINING!D12:D5000,"Other (Specify in Notes)",TRAINING!AW12:AW5000,"YES")</f>
        <v>0</v>
      </c>
      <c r="BH65" s="350"/>
      <c r="BI65" s="350"/>
      <c r="BJ65" s="351"/>
      <c r="BK65" s="787">
        <f>COUNTIFS(TRAINING!B12:B5000,"&gt;=01/01/2022",TRAINING!B12:B5000,"&lt;=03/31/2022",TRAINING!D12:D5000,"Other (Specify in Notes)",TRAINING!AW12:AW5000,"YES")</f>
        <v>0</v>
      </c>
      <c r="BL65" s="350"/>
      <c r="BM65" s="350"/>
      <c r="BN65" s="351"/>
      <c r="BO65" s="919">
        <f>COUNTIFS(TRAINING!B12:B5000,"&gt;=04/01/2022",TRAINING!B12:B5000,"&lt;=06/30/2022",TRAINING!D12:D5000,"Other (Specify in Notes)",TRAINING!AW12:AW5000,"YES")</f>
        <v>0</v>
      </c>
      <c r="BP65" s="350"/>
      <c r="BQ65" s="350"/>
      <c r="BR65" s="351"/>
      <c r="BS65" s="787">
        <f>COUNTIFS(TRAINING!B12:B5000,"&gt;=07/01/2022",TRAINING!B12:B5000,"&lt;=09/30/2022",TRAINING!D12:D5000,"Other (Specify in Notes)",TRAINING!AW12:AW5000,"YES")</f>
        <v>0</v>
      </c>
      <c r="BT65" s="350"/>
      <c r="BU65" s="350"/>
      <c r="BV65" s="351"/>
      <c r="BW65" s="173"/>
    </row>
    <row r="66" spans="1:75" ht="15.75" customHeight="1">
      <c r="A66" s="413" t="s">
        <v>454</v>
      </c>
      <c r="B66" s="350"/>
      <c r="C66" s="350"/>
      <c r="D66" s="350"/>
      <c r="E66" s="350"/>
      <c r="F66" s="350"/>
      <c r="G66" s="350"/>
      <c r="H66" s="351"/>
      <c r="I66" s="755" t="e">
        <f>'GRANTEE SET UP INFO &amp; DATE '!#REF!</f>
        <v>#REF!</v>
      </c>
      <c r="J66" s="350"/>
      <c r="K66" s="350"/>
      <c r="L66" s="351"/>
      <c r="M66" s="884" t="e">
        <f>'GRANTEE SET UP INFO &amp; DATE '!#REF!</f>
        <v>#REF!</v>
      </c>
      <c r="N66" s="350"/>
      <c r="O66" s="350"/>
      <c r="P66" s="350"/>
      <c r="Q66" s="351"/>
      <c r="R66" s="884" t="e">
        <f>'GRANTEE SET UP INFO &amp; DATE '!#REF!</f>
        <v>#REF!</v>
      </c>
      <c r="S66" s="350"/>
      <c r="T66" s="350"/>
      <c r="U66" s="350"/>
      <c r="V66" s="351"/>
      <c r="W66" s="913">
        <f>COUNTIFS(TRAINING!B12:B5000,"&gt;=07/01/2000",TRAINING!B12:B5000,"&lt;=09/30/2019",TRAINING!D12:D5000,"Other (Specify in Notes)",TRAINING!AX12:AX5000,"YES")</f>
        <v>0</v>
      </c>
      <c r="X66" s="350"/>
      <c r="Y66" s="350"/>
      <c r="Z66" s="351"/>
      <c r="AA66" s="511">
        <f>COUNTIFS(TRAINING!B12:B5000,"&gt;=10/01/2019",TRAINING!B12:B5000,"&lt;=12/31/2019",TRAINING!D12:D5000,"Other (Specify in Notes)",TRAINING!AX12:AX5000,"YES")</f>
        <v>0</v>
      </c>
      <c r="AB66" s="350"/>
      <c r="AC66" s="350"/>
      <c r="AD66" s="351"/>
      <c r="AE66" s="754">
        <f>COUNTIFS(TRAINING!B12:B5000,"&gt;=01/01/2020",TRAINING!B12:B5000,"&lt;=03/31/2020",TRAINING!D12:D5000,"Other (Specify in Notes)",TRAINING!AX12:AX5000,"YES")</f>
        <v>0</v>
      </c>
      <c r="AF66" s="350"/>
      <c r="AG66" s="350"/>
      <c r="AH66" s="351"/>
      <c r="AI66" s="511">
        <f>COUNTIFS(TRAINING!B12:B5000,"&gt;=04/01/2020",TRAINING!B12:B5000,"&lt;=06/30/2020",TRAINING!D12:D5000,"Other (Specify in Notes)",TRAINING!AX12:AX5000,"YES")</f>
        <v>0</v>
      </c>
      <c r="AJ66" s="350"/>
      <c r="AK66" s="350"/>
      <c r="AL66" s="351"/>
      <c r="AM66" s="754">
        <f>COUNTIFS(TRAINING!B12:B5000,"&gt;=07/01/2020",TRAINING!B12:B5000,"&lt;=09/30/2020",TRAINING!D12:D5000,"Other (Specify in Notes)",TRAINING!AX12:AX5000,"YES")</f>
        <v>0</v>
      </c>
      <c r="AN66" s="350"/>
      <c r="AO66" s="350"/>
      <c r="AP66" s="351"/>
      <c r="AQ66" s="353">
        <f>COUNTIFS(TRAINING!B12:B5000,"&gt;=10/01/2020",TRAINING!B12:B5000,"&lt;=12/31/2020",TRAINING!D12:D5000,"Other (Specify in Notes)",TRAINING!AX12:AX5000,"YES")</f>
        <v>0</v>
      </c>
      <c r="AR66" s="350"/>
      <c r="AS66" s="350"/>
      <c r="AT66" s="351"/>
      <c r="AU66" s="352">
        <f>COUNTIFS(TRAINING!B12:B5000,"&gt;=01/01/2021",TRAINING!B12:B5000,"&lt;=03/31/2021",TRAINING!D12:D5000,"Other (Specify in Notes)",TRAINING!AX12:AX5000,"YES")</f>
        <v>0</v>
      </c>
      <c r="AV66" s="350"/>
      <c r="AW66" s="350"/>
      <c r="AX66" s="351"/>
      <c r="AY66" s="353">
        <f>COUNTIFS(TRAINING!B12:B5000,"&gt;=04/01/2020",TRAINING!B12:B5000,"&lt;=06/30/2020",TRAINING!D12:D5000,"Other (Specify in Notes)",TRAINING!AX12:AX5000,"YES")</f>
        <v>0</v>
      </c>
      <c r="AZ66" s="350"/>
      <c r="BA66" s="350"/>
      <c r="BB66" s="351"/>
      <c r="BC66" s="352">
        <f>COUNTIFS(TRAINING!B12:B5000,"&gt;=07/01/2021",TRAINING!B12:B5000,"&lt;=09/30/2021",TRAINING!D12:D5000,"Other (Specify in Notes)",TRAINING!AX12:AX5000,"YES")</f>
        <v>0</v>
      </c>
      <c r="BD66" s="350"/>
      <c r="BE66" s="350"/>
      <c r="BF66" s="351"/>
      <c r="BG66" s="919">
        <f>COUNTIFS(TRAINING!B12:B5000,"&gt;=10/01/2021",TRAINING!B12:B5000,"&lt;=12/31/2021",TRAINING!D12:D5000,"Other (Specify in Notes)",TRAINING!AX12:AX5000,"YES")</f>
        <v>0</v>
      </c>
      <c r="BH66" s="350"/>
      <c r="BI66" s="350"/>
      <c r="BJ66" s="351"/>
      <c r="BK66" s="787">
        <f>COUNTIFS(TRAINING!B12:B5000,"&gt;=01/01/2022",TRAINING!B12:B5000,"&lt;=03/31/2022",TRAINING!D12:D5000,"Other (Specify in Notes)",TRAINING!AX12:AX5000,"YES")</f>
        <v>0</v>
      </c>
      <c r="BL66" s="350"/>
      <c r="BM66" s="350"/>
      <c r="BN66" s="351"/>
      <c r="BO66" s="919">
        <f>COUNTIFS(TRAINING!B12:B5000,"&gt;=04/01/2022",TRAINING!B12:B5000,"&lt;=06/30/2022",TRAINING!D12:D5000,"Other (Specify in Notes)",TRAINING!AX12:AX5000,"YES")</f>
        <v>0</v>
      </c>
      <c r="BP66" s="350"/>
      <c r="BQ66" s="350"/>
      <c r="BR66" s="351"/>
      <c r="BS66" s="787">
        <f>COUNTIFS(TRAINING!B12:B5000,"&gt;=07/01/2022",TRAINING!B12:B5000,"&lt;=09/30/2022",TRAINING!D12:D5000,"Other (Specify in Notes)",TRAINING!AX12:AX5000,"YES")</f>
        <v>0</v>
      </c>
      <c r="BT66" s="350"/>
      <c r="BU66" s="350"/>
      <c r="BV66" s="351"/>
      <c r="BW66" s="173"/>
    </row>
    <row r="67" spans="1:75" ht="15.75" customHeight="1">
      <c r="A67" s="413" t="s">
        <v>455</v>
      </c>
      <c r="B67" s="350"/>
      <c r="C67" s="350"/>
      <c r="D67" s="350"/>
      <c r="E67" s="350"/>
      <c r="F67" s="350"/>
      <c r="G67" s="350"/>
      <c r="H67" s="351"/>
      <c r="I67" s="755" t="e">
        <f>'GRANTEE SET UP INFO &amp; DATE '!#REF!</f>
        <v>#REF!</v>
      </c>
      <c r="J67" s="350"/>
      <c r="K67" s="350"/>
      <c r="L67" s="351"/>
      <c r="M67" s="884" t="e">
        <f>'GRANTEE SET UP INFO &amp; DATE '!#REF!</f>
        <v>#REF!</v>
      </c>
      <c r="N67" s="350"/>
      <c r="O67" s="350"/>
      <c r="P67" s="350"/>
      <c r="Q67" s="351"/>
      <c r="R67" s="884" t="e">
        <f>'GRANTEE SET UP INFO &amp; DATE '!#REF!</f>
        <v>#REF!</v>
      </c>
      <c r="S67" s="350"/>
      <c r="T67" s="350"/>
      <c r="U67" s="350"/>
      <c r="V67" s="351"/>
      <c r="W67" s="913">
        <f>COUNTIFS(TRAINING!B12:B5000,"&gt;=07/01/2000",TRAINING!B12:B5000,"&lt;=09/30/2019",TRAINING!D12:D5000,"Other (Specify in Notes)",TRAINING!AY12:AY5000,"YES")</f>
        <v>0</v>
      </c>
      <c r="X67" s="350"/>
      <c r="Y67" s="350"/>
      <c r="Z67" s="351"/>
      <c r="AA67" s="511">
        <f>COUNTIFS(TRAINING!B12:B5000,"&gt;=10/01/2019",TRAINING!B12:B5000,"&lt;=12/31/2019",TRAINING!D12:D5000,"Other (Specify in Notes)",TRAINING!AY12:AY5000,"YES")</f>
        <v>0</v>
      </c>
      <c r="AB67" s="350"/>
      <c r="AC67" s="350"/>
      <c r="AD67" s="351"/>
      <c r="AE67" s="754">
        <f>COUNTIFS(TRAINING!B12:B5000,"&gt;=01/01/2020",TRAINING!B12:B5000,"&lt;=03/31/2020",TRAINING!D12:D5000,"Other (Specify in Notes)",TRAINING!AY12:AY5000,"YES")</f>
        <v>0</v>
      </c>
      <c r="AF67" s="350"/>
      <c r="AG67" s="350"/>
      <c r="AH67" s="351"/>
      <c r="AI67" s="511">
        <f>COUNTIFS(TRAINING!B12:B5000,"&gt;=04/01/2020",TRAINING!B12:B5000,"&lt;=06/30/2020",TRAINING!D12:D5000,"Other (Specify in Notes)",TRAINING!AY12:AY5000,"YES")</f>
        <v>0</v>
      </c>
      <c r="AJ67" s="350"/>
      <c r="AK67" s="350"/>
      <c r="AL67" s="351"/>
      <c r="AM67" s="754">
        <f>COUNTIFS(TRAINING!B12:B5000,"&gt;=07/01/2020",TRAINING!B12:B5000,"&lt;=09/30/2020",TRAINING!D12:D5000,"Other (Specify in Notes)",TRAINING!AY12:AY5000,"YES")</f>
        <v>0</v>
      </c>
      <c r="AN67" s="350"/>
      <c r="AO67" s="350"/>
      <c r="AP67" s="351"/>
      <c r="AQ67" s="353">
        <f>COUNTIFS(TRAINING!B12:B5000,"&gt;=10/01/2020",TRAINING!B12:B5000,"&lt;=12/31/2020",TRAINING!D12:D5000,"Other (Specify in Notes)",TRAINING!AY12:AY5000,"YES")</f>
        <v>0</v>
      </c>
      <c r="AR67" s="350"/>
      <c r="AS67" s="350"/>
      <c r="AT67" s="351"/>
      <c r="AU67" s="352">
        <f>COUNTIFS(TRAINING!B12:B5000,"&gt;=01/01/2021",TRAINING!B12:B5000,"&lt;=03/31/2021",TRAINING!D12:D5000,"Other (Specify in Notes)",TRAINING!AY12:AY5000,"YES")</f>
        <v>0</v>
      </c>
      <c r="AV67" s="350"/>
      <c r="AW67" s="350"/>
      <c r="AX67" s="351"/>
      <c r="AY67" s="353">
        <f>COUNTIFS(TRAINING!B12:B5000,"&gt;=04/01/2020",TRAINING!B12:B5000,"&lt;=06/30/2020",TRAINING!D12:D5000,"Other (Specify in Notes)",TRAINING!AY12:AY5000,"YES")</f>
        <v>0</v>
      </c>
      <c r="AZ67" s="350"/>
      <c r="BA67" s="350"/>
      <c r="BB67" s="351"/>
      <c r="BC67" s="352">
        <f>COUNTIFS(TRAINING!B12:B5000,"&gt;=07/01/2021",TRAINING!B12:B5000,"&lt;=09/30/2021",TRAINING!D12:D5000,"Other (Specify in Notes)",TRAINING!AY12:AY5000,"YES")</f>
        <v>0</v>
      </c>
      <c r="BD67" s="350"/>
      <c r="BE67" s="350"/>
      <c r="BF67" s="351"/>
      <c r="BG67" s="919">
        <f>COUNTIFS(TRAINING!B12:B5000,"&gt;=10/01/2021",TRAINING!B12:B5000,"&lt;=12/31/2021",TRAINING!D12:D5000,"Other (Specify in Notes)",TRAINING!AY12:AY5000,"YES")</f>
        <v>0</v>
      </c>
      <c r="BH67" s="350"/>
      <c r="BI67" s="350"/>
      <c r="BJ67" s="351"/>
      <c r="BK67" s="787">
        <f>COUNTIFS(TRAINING!B12:B5000,"&gt;=01/01/2022",TRAINING!B12:B5000,"&lt;=03/31/2022",TRAINING!D12:D5000,"Other (Specify in Notes)",TRAINING!AY12:AY5000,"YES")</f>
        <v>0</v>
      </c>
      <c r="BL67" s="350"/>
      <c r="BM67" s="350"/>
      <c r="BN67" s="351"/>
      <c r="BO67" s="919">
        <f>COUNTIFS(TRAINING!B12:B5000,"&gt;=04/01/2022",TRAINING!B12:B5000,"&lt;=06/30/2022",TRAINING!D12:D5000,"Other (Specify in Notes)",TRAINING!AY12:AY5000,"YES")</f>
        <v>0</v>
      </c>
      <c r="BP67" s="350"/>
      <c r="BQ67" s="350"/>
      <c r="BR67" s="351"/>
      <c r="BS67" s="787">
        <f>COUNTIFS(TRAINING!B12:B5000,"&gt;=07/01/2022",TRAINING!B12:B5000,"&lt;=09/30/2022",TRAINING!D12:D5000,"Other (Specify in Notes)",TRAINING!AY12:AY5000,"YES")</f>
        <v>0</v>
      </c>
      <c r="BT67" s="350"/>
      <c r="BU67" s="350"/>
      <c r="BV67" s="351"/>
      <c r="BW67" s="173"/>
    </row>
    <row r="68" spans="1:75" ht="15.75" customHeight="1">
      <c r="A68" s="940"/>
      <c r="B68" s="378"/>
      <c r="C68" s="378"/>
      <c r="D68" s="378"/>
      <c r="E68" s="378"/>
      <c r="F68" s="378"/>
      <c r="G68" s="378"/>
      <c r="H68" s="379"/>
      <c r="I68" s="945"/>
      <c r="J68" s="378"/>
      <c r="K68" s="378"/>
      <c r="L68" s="379"/>
      <c r="M68" s="940"/>
      <c r="N68" s="378"/>
      <c r="O68" s="378"/>
      <c r="P68" s="378"/>
      <c r="Q68" s="379"/>
      <c r="R68" s="940"/>
      <c r="S68" s="378"/>
      <c r="T68" s="378"/>
      <c r="U68" s="378"/>
      <c r="V68" s="379"/>
      <c r="W68" s="913"/>
      <c r="X68" s="350"/>
      <c r="Y68" s="350"/>
      <c r="Z68" s="351"/>
      <c r="AA68" s="905"/>
      <c r="AB68" s="350"/>
      <c r="AC68" s="350"/>
      <c r="AD68" s="351"/>
      <c r="AE68" s="941"/>
      <c r="AF68" s="350"/>
      <c r="AG68" s="350"/>
      <c r="AH68" s="351"/>
      <c r="AI68" s="511"/>
      <c r="AJ68" s="350"/>
      <c r="AK68" s="350"/>
      <c r="AL68" s="351"/>
      <c r="AM68" s="754"/>
      <c r="AN68" s="350"/>
      <c r="AO68" s="350"/>
      <c r="AP68" s="351"/>
      <c r="AQ68" s="920"/>
      <c r="AR68" s="350"/>
      <c r="AS68" s="350"/>
      <c r="AT68" s="351"/>
      <c r="AU68" s="921"/>
      <c r="AV68" s="350"/>
      <c r="AW68" s="350"/>
      <c r="AX68" s="351"/>
      <c r="AY68" s="353"/>
      <c r="AZ68" s="350"/>
      <c r="BA68" s="350"/>
      <c r="BB68" s="351"/>
      <c r="BC68" s="352"/>
      <c r="BD68" s="350"/>
      <c r="BE68" s="350"/>
      <c r="BF68" s="351"/>
      <c r="BG68" s="919"/>
      <c r="BH68" s="350"/>
      <c r="BI68" s="350"/>
      <c r="BJ68" s="351"/>
      <c r="BK68" s="787"/>
      <c r="BL68" s="350"/>
      <c r="BM68" s="350"/>
      <c r="BN68" s="351"/>
      <c r="BO68" s="919"/>
      <c r="BP68" s="350"/>
      <c r="BQ68" s="350"/>
      <c r="BR68" s="351"/>
      <c r="BS68" s="787"/>
      <c r="BT68" s="350"/>
      <c r="BU68" s="350"/>
      <c r="BV68" s="351"/>
      <c r="BW68" s="173"/>
    </row>
    <row r="69" spans="1:75" ht="15.75" customHeight="1">
      <c r="A69" s="756" t="s">
        <v>561</v>
      </c>
      <c r="B69" s="350"/>
      <c r="C69" s="350"/>
      <c r="D69" s="350"/>
      <c r="E69" s="350"/>
      <c r="F69" s="350"/>
      <c r="G69" s="350"/>
      <c r="H69" s="350"/>
      <c r="I69" s="350"/>
      <c r="J69" s="350"/>
      <c r="K69" s="350"/>
      <c r="L69" s="350"/>
      <c r="M69" s="350"/>
      <c r="N69" s="350"/>
      <c r="O69" s="350"/>
      <c r="P69" s="350"/>
      <c r="Q69" s="350"/>
      <c r="R69" s="350"/>
      <c r="S69" s="350"/>
      <c r="T69" s="350"/>
      <c r="U69" s="350"/>
      <c r="V69" s="351"/>
      <c r="W69" s="925">
        <f>SUM(W56:W68)</f>
        <v>0</v>
      </c>
      <c r="X69" s="350"/>
      <c r="Y69" s="350"/>
      <c r="Z69" s="351"/>
      <c r="AA69" s="926">
        <f>SUM(AA56:AA68)</f>
        <v>0</v>
      </c>
      <c r="AB69" s="350"/>
      <c r="AC69" s="350"/>
      <c r="AD69" s="351"/>
      <c r="AE69" s="883">
        <f>SUM(AE56:AE68)</f>
        <v>0</v>
      </c>
      <c r="AF69" s="350"/>
      <c r="AG69" s="350"/>
      <c r="AH69" s="351"/>
      <c r="AI69" s="962">
        <f>SUM(AI56:AI68)</f>
        <v>0</v>
      </c>
      <c r="AJ69" s="350"/>
      <c r="AK69" s="350"/>
      <c r="AL69" s="351"/>
      <c r="AM69" s="883">
        <f>SUM(AM56:AM68)</f>
        <v>0</v>
      </c>
      <c r="AN69" s="350"/>
      <c r="AO69" s="350"/>
      <c r="AP69" s="351"/>
      <c r="AQ69" s="963">
        <f>SUM(AQ56:AQ68)</f>
        <v>0</v>
      </c>
      <c r="AR69" s="350"/>
      <c r="AS69" s="350"/>
      <c r="AT69" s="351"/>
      <c r="AU69" s="910">
        <f>SUM(AU56:AU68)</f>
        <v>0</v>
      </c>
      <c r="AV69" s="350"/>
      <c r="AW69" s="350"/>
      <c r="AX69" s="351"/>
      <c r="AY69" s="963">
        <f>SUM(AY56:AY68)</f>
        <v>0</v>
      </c>
      <c r="AZ69" s="350"/>
      <c r="BA69" s="350"/>
      <c r="BB69" s="351"/>
      <c r="BC69" s="910">
        <f>SUM(BC56:BC68)</f>
        <v>0</v>
      </c>
      <c r="BD69" s="350"/>
      <c r="BE69" s="350"/>
      <c r="BF69" s="351"/>
      <c r="BG69" s="968">
        <f>SUM(BG56:BG68)</f>
        <v>0</v>
      </c>
      <c r="BH69" s="350"/>
      <c r="BI69" s="350"/>
      <c r="BJ69" s="351"/>
      <c r="BK69" s="775">
        <f>SUM(BK56:BK68)</f>
        <v>0</v>
      </c>
      <c r="BL69" s="350"/>
      <c r="BM69" s="350"/>
      <c r="BN69" s="351"/>
      <c r="BO69" s="968">
        <f>SUM(BO56:BO68)</f>
        <v>0</v>
      </c>
      <c r="BP69" s="350"/>
      <c r="BQ69" s="350"/>
      <c r="BR69" s="351"/>
      <c r="BS69" s="969">
        <f>SUM(BS56:BS68)</f>
        <v>0</v>
      </c>
      <c r="BT69" s="350"/>
      <c r="BU69" s="350"/>
      <c r="BV69" s="351"/>
      <c r="BW69" s="173"/>
    </row>
    <row r="70" spans="1:75" ht="15.75" customHeight="1">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row>
    <row r="71" spans="1:75" ht="15.75" customHeight="1">
      <c r="A71" s="104" t="s">
        <v>731</v>
      </c>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row>
    <row r="72" spans="1:75" ht="15.75" customHeight="1">
      <c r="A72" s="964" t="s">
        <v>732</v>
      </c>
      <c r="B72" s="965"/>
      <c r="C72" s="965"/>
      <c r="D72" s="965"/>
      <c r="E72" s="965"/>
      <c r="F72" s="965"/>
      <c r="G72" s="965"/>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c r="AL72" s="965"/>
      <c r="AM72" s="965"/>
      <c r="AN72" s="965"/>
      <c r="AO72" s="965"/>
      <c r="AP72" s="965"/>
      <c r="AQ72" s="965"/>
      <c r="AR72" s="965"/>
      <c r="AS72" s="965"/>
      <c r="AT72" s="965"/>
      <c r="AU72" s="965"/>
      <c r="AV72" s="965"/>
      <c r="AW72" s="965"/>
      <c r="AX72" s="965"/>
      <c r="AY72" s="965"/>
      <c r="AZ72" s="965"/>
      <c r="BA72" s="965"/>
      <c r="BB72" s="965"/>
      <c r="BC72" s="965"/>
      <c r="BD72" s="965"/>
      <c r="BE72" s="965"/>
      <c r="BF72" s="965"/>
      <c r="BG72" s="965"/>
      <c r="BH72" s="965"/>
      <c r="BI72" s="965"/>
      <c r="BJ72" s="965"/>
      <c r="BK72" s="965"/>
      <c r="BL72" s="965"/>
      <c r="BM72" s="965"/>
      <c r="BN72" s="965"/>
      <c r="BO72" s="965"/>
      <c r="BP72" s="965"/>
      <c r="BQ72" s="965"/>
      <c r="BR72" s="965"/>
      <c r="BS72" s="965"/>
      <c r="BT72" s="965"/>
      <c r="BU72" s="965"/>
      <c r="BV72" s="966"/>
      <c r="BW72" s="9"/>
    </row>
    <row r="73" spans="1:75" ht="15.75" customHeight="1">
      <c r="A73" s="967"/>
      <c r="B73" s="350"/>
      <c r="C73" s="350"/>
      <c r="D73" s="350"/>
      <c r="E73" s="350"/>
      <c r="F73" s="350"/>
      <c r="G73" s="350"/>
      <c r="H73" s="351"/>
      <c r="I73" s="934" t="s">
        <v>674</v>
      </c>
      <c r="J73" s="350"/>
      <c r="K73" s="350"/>
      <c r="L73" s="351"/>
      <c r="M73" s="935" t="s">
        <v>675</v>
      </c>
      <c r="N73" s="350"/>
      <c r="O73" s="350"/>
      <c r="P73" s="350"/>
      <c r="Q73" s="351"/>
      <c r="R73" s="936" t="s">
        <v>676</v>
      </c>
      <c r="S73" s="350"/>
      <c r="T73" s="350"/>
      <c r="U73" s="350"/>
      <c r="V73" s="351"/>
      <c r="W73" s="937" t="s">
        <v>713</v>
      </c>
      <c r="X73" s="350"/>
      <c r="Y73" s="350"/>
      <c r="Z73" s="351"/>
      <c r="AA73" s="649" t="s">
        <v>714</v>
      </c>
      <c r="AB73" s="350"/>
      <c r="AC73" s="350"/>
      <c r="AD73" s="351"/>
      <c r="AE73" s="918" t="s">
        <v>715</v>
      </c>
      <c r="AF73" s="350"/>
      <c r="AG73" s="350"/>
      <c r="AH73" s="351"/>
      <c r="AI73" s="649" t="s">
        <v>716</v>
      </c>
      <c r="AJ73" s="350"/>
      <c r="AK73" s="350"/>
      <c r="AL73" s="351"/>
      <c r="AM73" s="918" t="s">
        <v>717</v>
      </c>
      <c r="AN73" s="350"/>
      <c r="AO73" s="350"/>
      <c r="AP73" s="351"/>
      <c r="AQ73" s="931" t="s">
        <v>718</v>
      </c>
      <c r="AR73" s="350"/>
      <c r="AS73" s="350"/>
      <c r="AT73" s="351"/>
      <c r="AU73" s="932" t="s">
        <v>719</v>
      </c>
      <c r="AV73" s="350"/>
      <c r="AW73" s="350"/>
      <c r="AX73" s="351"/>
      <c r="AY73" s="931" t="s">
        <v>720</v>
      </c>
      <c r="AZ73" s="350"/>
      <c r="BA73" s="350"/>
      <c r="BB73" s="351"/>
      <c r="BC73" s="932" t="s">
        <v>721</v>
      </c>
      <c r="BD73" s="350"/>
      <c r="BE73" s="350"/>
      <c r="BF73" s="351"/>
      <c r="BG73" s="929" t="s">
        <v>722</v>
      </c>
      <c r="BH73" s="350"/>
      <c r="BI73" s="350"/>
      <c r="BJ73" s="351"/>
      <c r="BK73" s="930" t="s">
        <v>723</v>
      </c>
      <c r="BL73" s="350"/>
      <c r="BM73" s="350"/>
      <c r="BN73" s="351"/>
      <c r="BO73" s="929" t="s">
        <v>724</v>
      </c>
      <c r="BP73" s="350"/>
      <c r="BQ73" s="350"/>
      <c r="BR73" s="351"/>
      <c r="BS73" s="930" t="s">
        <v>725</v>
      </c>
      <c r="BT73" s="350"/>
      <c r="BU73" s="350"/>
      <c r="BV73" s="370"/>
      <c r="BW73" s="179" t="s">
        <v>733</v>
      </c>
    </row>
    <row r="74" spans="1:75" ht="15.75" customHeight="1">
      <c r="A74" s="413" t="s">
        <v>444</v>
      </c>
      <c r="B74" s="350"/>
      <c r="C74" s="350"/>
      <c r="D74" s="350"/>
      <c r="E74" s="350"/>
      <c r="F74" s="350"/>
      <c r="G74" s="350"/>
      <c r="H74" s="351"/>
      <c r="I74" s="755">
        <f>'GRANTEE SET UP INFO &amp; DATE '!C11</f>
        <v>0</v>
      </c>
      <c r="J74" s="350"/>
      <c r="K74" s="350"/>
      <c r="L74" s="351"/>
      <c r="M74" s="885">
        <f>'GRANTEE SET UP INFO &amp; DATE '!F11</f>
        <v>0</v>
      </c>
      <c r="N74" s="350"/>
      <c r="O74" s="350"/>
      <c r="P74" s="350"/>
      <c r="Q74" s="351"/>
      <c r="R74" s="885" t="e">
        <f>'GRANTEE SET UP INFO &amp; DATE '!#REF!</f>
        <v>#REF!</v>
      </c>
      <c r="S74" s="350"/>
      <c r="T74" s="350"/>
      <c r="U74" s="350"/>
      <c r="V74" s="351"/>
      <c r="W74" s="913">
        <f t="shared" ref="W74:W85" si="0">W5+W22+W39+W56</f>
        <v>0</v>
      </c>
      <c r="X74" s="350"/>
      <c r="Y74" s="350"/>
      <c r="Z74" s="351"/>
      <c r="AA74" s="753">
        <f t="shared" ref="AA74:AA85" si="1">AA5+AA22+AA39+AA56</f>
        <v>0</v>
      </c>
      <c r="AB74" s="350"/>
      <c r="AC74" s="350"/>
      <c r="AD74" s="351"/>
      <c r="AE74" s="755">
        <f t="shared" ref="AE74:AE85" si="2">AE5+AE22+AE39+AE56</f>
        <v>0</v>
      </c>
      <c r="AF74" s="350"/>
      <c r="AG74" s="350"/>
      <c r="AH74" s="351"/>
      <c r="AI74" s="753">
        <f t="shared" ref="AI74:AI85" si="3">AI5+AI22+AI39+AI56</f>
        <v>0</v>
      </c>
      <c r="AJ74" s="350"/>
      <c r="AK74" s="350"/>
      <c r="AL74" s="351"/>
      <c r="AM74" s="755">
        <f t="shared" ref="AM74:AM85" si="4">AM5+AM22+AM39+AM56</f>
        <v>0</v>
      </c>
      <c r="AN74" s="350"/>
      <c r="AO74" s="350"/>
      <c r="AP74" s="351"/>
      <c r="AQ74" s="916">
        <f t="shared" ref="AQ74:AQ85" si="5">AQ5+AQ22+AQ39+AQ56</f>
        <v>0</v>
      </c>
      <c r="AR74" s="350"/>
      <c r="AS74" s="350"/>
      <c r="AT74" s="351"/>
      <c r="AU74" s="917">
        <f t="shared" ref="AU74:AU85" si="6">AU5+AU22+AU39+AU56</f>
        <v>0</v>
      </c>
      <c r="AV74" s="350"/>
      <c r="AW74" s="350"/>
      <c r="AX74" s="351"/>
      <c r="AY74" s="916">
        <f t="shared" ref="AY74:AY85" si="7">AY5+AY22+AY39+AY56</f>
        <v>0</v>
      </c>
      <c r="AZ74" s="350"/>
      <c r="BA74" s="350"/>
      <c r="BB74" s="351"/>
      <c r="BC74" s="917">
        <f t="shared" ref="BC74:BC85" si="8">BC5+BC22+BC39+BC56</f>
        <v>0</v>
      </c>
      <c r="BD74" s="350"/>
      <c r="BE74" s="350"/>
      <c r="BF74" s="351"/>
      <c r="BG74" s="914">
        <f t="shared" ref="BG74:BG85" si="9">BG5+BG22+BG39+BG56</f>
        <v>0</v>
      </c>
      <c r="BH74" s="350"/>
      <c r="BI74" s="350"/>
      <c r="BJ74" s="351"/>
      <c r="BK74" s="788">
        <f t="shared" ref="BK74:BK85" si="10">BK5+BK22+BK39+BK56</f>
        <v>0</v>
      </c>
      <c r="BL74" s="350"/>
      <c r="BM74" s="350"/>
      <c r="BN74" s="351"/>
      <c r="BO74" s="914">
        <f t="shared" ref="BO74:BO85" si="11">BO5+BO22+BO39+BO56</f>
        <v>0</v>
      </c>
      <c r="BP74" s="350"/>
      <c r="BQ74" s="350"/>
      <c r="BR74" s="351"/>
      <c r="BS74" s="788">
        <f t="shared" ref="BS74:BS85" si="12">BS5+BS22+BS39+BS56</f>
        <v>0</v>
      </c>
      <c r="BT74" s="350"/>
      <c r="BU74" s="350"/>
      <c r="BV74" s="915"/>
      <c r="BW74" s="942" t="s">
        <v>734</v>
      </c>
    </row>
    <row r="75" spans="1:75" ht="15.75" customHeight="1">
      <c r="A75" s="413" t="s">
        <v>445</v>
      </c>
      <c r="B75" s="350"/>
      <c r="C75" s="350"/>
      <c r="D75" s="350"/>
      <c r="E75" s="350"/>
      <c r="F75" s="350"/>
      <c r="G75" s="350"/>
      <c r="H75" s="351"/>
      <c r="I75" s="755">
        <f>'GRANTEE SET UP INFO &amp; DATE '!C12</f>
        <v>0</v>
      </c>
      <c r="J75" s="350"/>
      <c r="K75" s="350"/>
      <c r="L75" s="351"/>
      <c r="M75" s="885">
        <f>'GRANTEE SET UP INFO &amp; DATE '!F12</f>
        <v>0</v>
      </c>
      <c r="N75" s="350"/>
      <c r="O75" s="350"/>
      <c r="P75" s="350"/>
      <c r="Q75" s="351"/>
      <c r="R75" s="885" t="e">
        <f>'GRANTEE SET UP INFO &amp; DATE '!#REF!</f>
        <v>#REF!</v>
      </c>
      <c r="S75" s="350"/>
      <c r="T75" s="350"/>
      <c r="U75" s="350"/>
      <c r="V75" s="351"/>
      <c r="W75" s="913">
        <f t="shared" si="0"/>
        <v>0</v>
      </c>
      <c r="X75" s="350"/>
      <c r="Y75" s="350"/>
      <c r="Z75" s="351"/>
      <c r="AA75" s="753">
        <f t="shared" si="1"/>
        <v>0</v>
      </c>
      <c r="AB75" s="350"/>
      <c r="AC75" s="350"/>
      <c r="AD75" s="351"/>
      <c r="AE75" s="755">
        <f t="shared" si="2"/>
        <v>0</v>
      </c>
      <c r="AF75" s="350"/>
      <c r="AG75" s="350"/>
      <c r="AH75" s="351"/>
      <c r="AI75" s="753">
        <f t="shared" si="3"/>
        <v>0</v>
      </c>
      <c r="AJ75" s="350"/>
      <c r="AK75" s="350"/>
      <c r="AL75" s="351"/>
      <c r="AM75" s="755">
        <f t="shared" si="4"/>
        <v>0</v>
      </c>
      <c r="AN75" s="350"/>
      <c r="AO75" s="350"/>
      <c r="AP75" s="351"/>
      <c r="AQ75" s="916">
        <f t="shared" si="5"/>
        <v>0</v>
      </c>
      <c r="AR75" s="350"/>
      <c r="AS75" s="350"/>
      <c r="AT75" s="351"/>
      <c r="AU75" s="917">
        <f t="shared" si="6"/>
        <v>0</v>
      </c>
      <c r="AV75" s="350"/>
      <c r="AW75" s="350"/>
      <c r="AX75" s="351"/>
      <c r="AY75" s="916">
        <f t="shared" si="7"/>
        <v>0</v>
      </c>
      <c r="AZ75" s="350"/>
      <c r="BA75" s="350"/>
      <c r="BB75" s="351"/>
      <c r="BC75" s="917">
        <f t="shared" si="8"/>
        <v>0</v>
      </c>
      <c r="BD75" s="350"/>
      <c r="BE75" s="350"/>
      <c r="BF75" s="351"/>
      <c r="BG75" s="914">
        <f t="shared" si="9"/>
        <v>0</v>
      </c>
      <c r="BH75" s="350"/>
      <c r="BI75" s="350"/>
      <c r="BJ75" s="351"/>
      <c r="BK75" s="788">
        <f t="shared" si="10"/>
        <v>0</v>
      </c>
      <c r="BL75" s="350"/>
      <c r="BM75" s="350"/>
      <c r="BN75" s="351"/>
      <c r="BO75" s="914">
        <f t="shared" si="11"/>
        <v>0</v>
      </c>
      <c r="BP75" s="350"/>
      <c r="BQ75" s="350"/>
      <c r="BR75" s="351"/>
      <c r="BS75" s="788">
        <f t="shared" si="12"/>
        <v>0</v>
      </c>
      <c r="BT75" s="350"/>
      <c r="BU75" s="350"/>
      <c r="BV75" s="915"/>
      <c r="BW75" s="943"/>
    </row>
    <row r="76" spans="1:75" ht="15.75" customHeight="1">
      <c r="A76" s="413" t="s">
        <v>446</v>
      </c>
      <c r="B76" s="350"/>
      <c r="C76" s="350"/>
      <c r="D76" s="350"/>
      <c r="E76" s="350"/>
      <c r="F76" s="350"/>
      <c r="G76" s="350"/>
      <c r="H76" s="351"/>
      <c r="I76" s="755">
        <f>'GRANTEE SET UP INFO &amp; DATE '!C13</f>
        <v>0</v>
      </c>
      <c r="J76" s="350"/>
      <c r="K76" s="350"/>
      <c r="L76" s="351"/>
      <c r="M76" s="885">
        <f>'GRANTEE SET UP INFO &amp; DATE '!F13</f>
        <v>0</v>
      </c>
      <c r="N76" s="350"/>
      <c r="O76" s="350"/>
      <c r="P76" s="350"/>
      <c r="Q76" s="351"/>
      <c r="R76" s="885" t="e">
        <f>'GRANTEE SET UP INFO &amp; DATE '!#REF!</f>
        <v>#REF!</v>
      </c>
      <c r="S76" s="350"/>
      <c r="T76" s="350"/>
      <c r="U76" s="350"/>
      <c r="V76" s="351"/>
      <c r="W76" s="913">
        <f t="shared" si="0"/>
        <v>0</v>
      </c>
      <c r="X76" s="350"/>
      <c r="Y76" s="350"/>
      <c r="Z76" s="351"/>
      <c r="AA76" s="753">
        <f t="shared" si="1"/>
        <v>0</v>
      </c>
      <c r="AB76" s="350"/>
      <c r="AC76" s="350"/>
      <c r="AD76" s="351"/>
      <c r="AE76" s="755">
        <f t="shared" si="2"/>
        <v>0</v>
      </c>
      <c r="AF76" s="350"/>
      <c r="AG76" s="350"/>
      <c r="AH76" s="351"/>
      <c r="AI76" s="753">
        <f t="shared" si="3"/>
        <v>0</v>
      </c>
      <c r="AJ76" s="350"/>
      <c r="AK76" s="350"/>
      <c r="AL76" s="351"/>
      <c r="AM76" s="755">
        <f t="shared" si="4"/>
        <v>0</v>
      </c>
      <c r="AN76" s="350"/>
      <c r="AO76" s="350"/>
      <c r="AP76" s="351"/>
      <c r="AQ76" s="916">
        <f t="shared" si="5"/>
        <v>0</v>
      </c>
      <c r="AR76" s="350"/>
      <c r="AS76" s="350"/>
      <c r="AT76" s="351"/>
      <c r="AU76" s="917">
        <f t="shared" si="6"/>
        <v>0</v>
      </c>
      <c r="AV76" s="350"/>
      <c r="AW76" s="350"/>
      <c r="AX76" s="351"/>
      <c r="AY76" s="916">
        <f t="shared" si="7"/>
        <v>0</v>
      </c>
      <c r="AZ76" s="350"/>
      <c r="BA76" s="350"/>
      <c r="BB76" s="351"/>
      <c r="BC76" s="917">
        <f t="shared" si="8"/>
        <v>0</v>
      </c>
      <c r="BD76" s="350"/>
      <c r="BE76" s="350"/>
      <c r="BF76" s="351"/>
      <c r="BG76" s="914">
        <f t="shared" si="9"/>
        <v>0</v>
      </c>
      <c r="BH76" s="350"/>
      <c r="BI76" s="350"/>
      <c r="BJ76" s="351"/>
      <c r="BK76" s="788">
        <f t="shared" si="10"/>
        <v>0</v>
      </c>
      <c r="BL76" s="350"/>
      <c r="BM76" s="350"/>
      <c r="BN76" s="351"/>
      <c r="BO76" s="914">
        <f t="shared" si="11"/>
        <v>0</v>
      </c>
      <c r="BP76" s="350"/>
      <c r="BQ76" s="350"/>
      <c r="BR76" s="351"/>
      <c r="BS76" s="788">
        <f t="shared" si="12"/>
        <v>0</v>
      </c>
      <c r="BT76" s="350"/>
      <c r="BU76" s="350"/>
      <c r="BV76" s="915"/>
      <c r="BW76" s="943"/>
    </row>
    <row r="77" spans="1:75" ht="15.75" customHeight="1">
      <c r="A77" s="413" t="s">
        <v>447</v>
      </c>
      <c r="B77" s="350"/>
      <c r="C77" s="350"/>
      <c r="D77" s="350"/>
      <c r="E77" s="350"/>
      <c r="F77" s="350"/>
      <c r="G77" s="350"/>
      <c r="H77" s="351"/>
      <c r="I77" s="755">
        <f>'GRANTEE SET UP INFO &amp; DATE '!C14</f>
        <v>0</v>
      </c>
      <c r="J77" s="350"/>
      <c r="K77" s="350"/>
      <c r="L77" s="351"/>
      <c r="M77" s="885">
        <f>'GRANTEE SET UP INFO &amp; DATE '!F14</f>
        <v>0</v>
      </c>
      <c r="N77" s="350"/>
      <c r="O77" s="350"/>
      <c r="P77" s="350"/>
      <c r="Q77" s="351"/>
      <c r="R77" s="885" t="e">
        <f>'GRANTEE SET UP INFO &amp; DATE '!#REF!</f>
        <v>#REF!</v>
      </c>
      <c r="S77" s="350"/>
      <c r="T77" s="350"/>
      <c r="U77" s="350"/>
      <c r="V77" s="351"/>
      <c r="W77" s="913">
        <f t="shared" si="0"/>
        <v>0</v>
      </c>
      <c r="X77" s="350"/>
      <c r="Y77" s="350"/>
      <c r="Z77" s="351"/>
      <c r="AA77" s="753">
        <f t="shared" si="1"/>
        <v>0</v>
      </c>
      <c r="AB77" s="350"/>
      <c r="AC77" s="350"/>
      <c r="AD77" s="351"/>
      <c r="AE77" s="755">
        <f t="shared" si="2"/>
        <v>0</v>
      </c>
      <c r="AF77" s="350"/>
      <c r="AG77" s="350"/>
      <c r="AH77" s="351"/>
      <c r="AI77" s="753">
        <f t="shared" si="3"/>
        <v>0</v>
      </c>
      <c r="AJ77" s="350"/>
      <c r="AK77" s="350"/>
      <c r="AL77" s="351"/>
      <c r="AM77" s="755">
        <f t="shared" si="4"/>
        <v>0</v>
      </c>
      <c r="AN77" s="350"/>
      <c r="AO77" s="350"/>
      <c r="AP77" s="351"/>
      <c r="AQ77" s="916">
        <f t="shared" si="5"/>
        <v>0</v>
      </c>
      <c r="AR77" s="350"/>
      <c r="AS77" s="350"/>
      <c r="AT77" s="351"/>
      <c r="AU77" s="917">
        <f t="shared" si="6"/>
        <v>0</v>
      </c>
      <c r="AV77" s="350"/>
      <c r="AW77" s="350"/>
      <c r="AX77" s="351"/>
      <c r="AY77" s="916">
        <f t="shared" si="7"/>
        <v>0</v>
      </c>
      <c r="AZ77" s="350"/>
      <c r="BA77" s="350"/>
      <c r="BB77" s="351"/>
      <c r="BC77" s="917">
        <f t="shared" si="8"/>
        <v>0</v>
      </c>
      <c r="BD77" s="350"/>
      <c r="BE77" s="350"/>
      <c r="BF77" s="351"/>
      <c r="BG77" s="914">
        <f t="shared" si="9"/>
        <v>0</v>
      </c>
      <c r="BH77" s="350"/>
      <c r="BI77" s="350"/>
      <c r="BJ77" s="351"/>
      <c r="BK77" s="788">
        <f t="shared" si="10"/>
        <v>0</v>
      </c>
      <c r="BL77" s="350"/>
      <c r="BM77" s="350"/>
      <c r="BN77" s="351"/>
      <c r="BO77" s="914">
        <f t="shared" si="11"/>
        <v>0</v>
      </c>
      <c r="BP77" s="350"/>
      <c r="BQ77" s="350"/>
      <c r="BR77" s="351"/>
      <c r="BS77" s="788">
        <f t="shared" si="12"/>
        <v>0</v>
      </c>
      <c r="BT77" s="350"/>
      <c r="BU77" s="350"/>
      <c r="BV77" s="915"/>
      <c r="BW77" s="943"/>
    </row>
    <row r="78" spans="1:75" ht="15.75" customHeight="1">
      <c r="A78" s="413" t="s">
        <v>448</v>
      </c>
      <c r="B78" s="350"/>
      <c r="C78" s="350"/>
      <c r="D78" s="350"/>
      <c r="E78" s="350"/>
      <c r="F78" s="350"/>
      <c r="G78" s="350"/>
      <c r="H78" s="351"/>
      <c r="I78" s="755">
        <f>'GRANTEE SET UP INFO &amp; DATE '!C15</f>
        <v>0</v>
      </c>
      <c r="J78" s="350"/>
      <c r="K78" s="350"/>
      <c r="L78" s="351"/>
      <c r="M78" s="885">
        <f>'GRANTEE SET UP INFO &amp; DATE '!F15</f>
        <v>0</v>
      </c>
      <c r="N78" s="350"/>
      <c r="O78" s="350"/>
      <c r="P78" s="350"/>
      <c r="Q78" s="351"/>
      <c r="R78" s="885" t="e">
        <f>'GRANTEE SET UP INFO &amp; DATE '!#REF!</f>
        <v>#REF!</v>
      </c>
      <c r="S78" s="350"/>
      <c r="T78" s="350"/>
      <c r="U78" s="350"/>
      <c r="V78" s="351"/>
      <c r="W78" s="913">
        <f t="shared" si="0"/>
        <v>0</v>
      </c>
      <c r="X78" s="350"/>
      <c r="Y78" s="350"/>
      <c r="Z78" s="351"/>
      <c r="AA78" s="753">
        <f t="shared" si="1"/>
        <v>0</v>
      </c>
      <c r="AB78" s="350"/>
      <c r="AC78" s="350"/>
      <c r="AD78" s="351"/>
      <c r="AE78" s="755">
        <f t="shared" si="2"/>
        <v>0</v>
      </c>
      <c r="AF78" s="350"/>
      <c r="AG78" s="350"/>
      <c r="AH78" s="351"/>
      <c r="AI78" s="753">
        <f t="shared" si="3"/>
        <v>0</v>
      </c>
      <c r="AJ78" s="350"/>
      <c r="AK78" s="350"/>
      <c r="AL78" s="351"/>
      <c r="AM78" s="755">
        <f t="shared" si="4"/>
        <v>0</v>
      </c>
      <c r="AN78" s="350"/>
      <c r="AO78" s="350"/>
      <c r="AP78" s="351"/>
      <c r="AQ78" s="916">
        <f t="shared" si="5"/>
        <v>0</v>
      </c>
      <c r="AR78" s="350"/>
      <c r="AS78" s="350"/>
      <c r="AT78" s="351"/>
      <c r="AU78" s="917">
        <f t="shared" si="6"/>
        <v>0</v>
      </c>
      <c r="AV78" s="350"/>
      <c r="AW78" s="350"/>
      <c r="AX78" s="351"/>
      <c r="AY78" s="916">
        <f t="shared" si="7"/>
        <v>0</v>
      </c>
      <c r="AZ78" s="350"/>
      <c r="BA78" s="350"/>
      <c r="BB78" s="351"/>
      <c r="BC78" s="917">
        <f t="shared" si="8"/>
        <v>0</v>
      </c>
      <c r="BD78" s="350"/>
      <c r="BE78" s="350"/>
      <c r="BF78" s="351"/>
      <c r="BG78" s="914">
        <f t="shared" si="9"/>
        <v>0</v>
      </c>
      <c r="BH78" s="350"/>
      <c r="BI78" s="350"/>
      <c r="BJ78" s="351"/>
      <c r="BK78" s="788">
        <f t="shared" si="10"/>
        <v>0</v>
      </c>
      <c r="BL78" s="350"/>
      <c r="BM78" s="350"/>
      <c r="BN78" s="351"/>
      <c r="BO78" s="914">
        <f t="shared" si="11"/>
        <v>0</v>
      </c>
      <c r="BP78" s="350"/>
      <c r="BQ78" s="350"/>
      <c r="BR78" s="351"/>
      <c r="BS78" s="788">
        <f t="shared" si="12"/>
        <v>0</v>
      </c>
      <c r="BT78" s="350"/>
      <c r="BU78" s="350"/>
      <c r="BV78" s="915"/>
      <c r="BW78" s="943"/>
    </row>
    <row r="79" spans="1:75" ht="15.75" customHeight="1">
      <c r="A79" s="413" t="s">
        <v>449</v>
      </c>
      <c r="B79" s="350"/>
      <c r="C79" s="350"/>
      <c r="D79" s="350"/>
      <c r="E79" s="350"/>
      <c r="F79" s="350"/>
      <c r="G79" s="350"/>
      <c r="H79" s="351"/>
      <c r="I79" s="755">
        <f>'GRANTEE SET UP INFO &amp; DATE '!C16</f>
        <v>0</v>
      </c>
      <c r="J79" s="350"/>
      <c r="K79" s="350"/>
      <c r="L79" s="351"/>
      <c r="M79" s="885">
        <f>'GRANTEE SET UP INFO &amp; DATE '!F16</f>
        <v>0</v>
      </c>
      <c r="N79" s="350"/>
      <c r="O79" s="350"/>
      <c r="P79" s="350"/>
      <c r="Q79" s="351"/>
      <c r="R79" s="885" t="e">
        <f>'GRANTEE SET UP INFO &amp; DATE '!#REF!</f>
        <v>#REF!</v>
      </c>
      <c r="S79" s="350"/>
      <c r="T79" s="350"/>
      <c r="U79" s="350"/>
      <c r="V79" s="351"/>
      <c r="W79" s="913">
        <f t="shared" si="0"/>
        <v>0</v>
      </c>
      <c r="X79" s="350"/>
      <c r="Y79" s="350"/>
      <c r="Z79" s="351"/>
      <c r="AA79" s="753">
        <f t="shared" si="1"/>
        <v>0</v>
      </c>
      <c r="AB79" s="350"/>
      <c r="AC79" s="350"/>
      <c r="AD79" s="351"/>
      <c r="AE79" s="755">
        <f t="shared" si="2"/>
        <v>0</v>
      </c>
      <c r="AF79" s="350"/>
      <c r="AG79" s="350"/>
      <c r="AH79" s="351"/>
      <c r="AI79" s="753">
        <f t="shared" si="3"/>
        <v>0</v>
      </c>
      <c r="AJ79" s="350"/>
      <c r="AK79" s="350"/>
      <c r="AL79" s="351"/>
      <c r="AM79" s="755">
        <f t="shared" si="4"/>
        <v>0</v>
      </c>
      <c r="AN79" s="350"/>
      <c r="AO79" s="350"/>
      <c r="AP79" s="351"/>
      <c r="AQ79" s="916">
        <f t="shared" si="5"/>
        <v>0</v>
      </c>
      <c r="AR79" s="350"/>
      <c r="AS79" s="350"/>
      <c r="AT79" s="351"/>
      <c r="AU79" s="917">
        <f t="shared" si="6"/>
        <v>0</v>
      </c>
      <c r="AV79" s="350"/>
      <c r="AW79" s="350"/>
      <c r="AX79" s="351"/>
      <c r="AY79" s="916">
        <f t="shared" si="7"/>
        <v>0</v>
      </c>
      <c r="AZ79" s="350"/>
      <c r="BA79" s="350"/>
      <c r="BB79" s="351"/>
      <c r="BC79" s="917">
        <f t="shared" si="8"/>
        <v>0</v>
      </c>
      <c r="BD79" s="350"/>
      <c r="BE79" s="350"/>
      <c r="BF79" s="351"/>
      <c r="BG79" s="914">
        <f t="shared" si="9"/>
        <v>0</v>
      </c>
      <c r="BH79" s="350"/>
      <c r="BI79" s="350"/>
      <c r="BJ79" s="351"/>
      <c r="BK79" s="788">
        <f t="shared" si="10"/>
        <v>0</v>
      </c>
      <c r="BL79" s="350"/>
      <c r="BM79" s="350"/>
      <c r="BN79" s="351"/>
      <c r="BO79" s="914">
        <f t="shared" si="11"/>
        <v>0</v>
      </c>
      <c r="BP79" s="350"/>
      <c r="BQ79" s="350"/>
      <c r="BR79" s="351"/>
      <c r="BS79" s="788">
        <f t="shared" si="12"/>
        <v>0</v>
      </c>
      <c r="BT79" s="350"/>
      <c r="BU79" s="350"/>
      <c r="BV79" s="915"/>
      <c r="BW79" s="943"/>
    </row>
    <row r="80" spans="1:75" ht="15.75" customHeight="1">
      <c r="A80" s="413" t="s">
        <v>450</v>
      </c>
      <c r="B80" s="350"/>
      <c r="C80" s="350"/>
      <c r="D80" s="350"/>
      <c r="E80" s="350"/>
      <c r="F80" s="350"/>
      <c r="G80" s="350"/>
      <c r="H80" s="351"/>
      <c r="I80" s="755">
        <f>'GRANTEE SET UP INFO &amp; DATE '!C17</f>
        <v>0</v>
      </c>
      <c r="J80" s="350"/>
      <c r="K80" s="350"/>
      <c r="L80" s="351"/>
      <c r="M80" s="885">
        <f>'GRANTEE SET UP INFO &amp; DATE '!F17</f>
        <v>0</v>
      </c>
      <c r="N80" s="350"/>
      <c r="O80" s="350"/>
      <c r="P80" s="350"/>
      <c r="Q80" s="351"/>
      <c r="R80" s="885" t="e">
        <f>'GRANTEE SET UP INFO &amp; DATE '!#REF!</f>
        <v>#REF!</v>
      </c>
      <c r="S80" s="350"/>
      <c r="T80" s="350"/>
      <c r="U80" s="350"/>
      <c r="V80" s="351"/>
      <c r="W80" s="913">
        <f t="shared" si="0"/>
        <v>0</v>
      </c>
      <c r="X80" s="350"/>
      <c r="Y80" s="350"/>
      <c r="Z80" s="351"/>
      <c r="AA80" s="753">
        <f t="shared" si="1"/>
        <v>0</v>
      </c>
      <c r="AB80" s="350"/>
      <c r="AC80" s="350"/>
      <c r="AD80" s="351"/>
      <c r="AE80" s="755">
        <f t="shared" si="2"/>
        <v>0</v>
      </c>
      <c r="AF80" s="350"/>
      <c r="AG80" s="350"/>
      <c r="AH80" s="351"/>
      <c r="AI80" s="753">
        <f t="shared" si="3"/>
        <v>0</v>
      </c>
      <c r="AJ80" s="350"/>
      <c r="AK80" s="350"/>
      <c r="AL80" s="351"/>
      <c r="AM80" s="755">
        <f t="shared" si="4"/>
        <v>0</v>
      </c>
      <c r="AN80" s="350"/>
      <c r="AO80" s="350"/>
      <c r="AP80" s="351"/>
      <c r="AQ80" s="916">
        <f t="shared" si="5"/>
        <v>0</v>
      </c>
      <c r="AR80" s="350"/>
      <c r="AS80" s="350"/>
      <c r="AT80" s="351"/>
      <c r="AU80" s="917">
        <f t="shared" si="6"/>
        <v>0</v>
      </c>
      <c r="AV80" s="350"/>
      <c r="AW80" s="350"/>
      <c r="AX80" s="351"/>
      <c r="AY80" s="916">
        <f t="shared" si="7"/>
        <v>0</v>
      </c>
      <c r="AZ80" s="350"/>
      <c r="BA80" s="350"/>
      <c r="BB80" s="351"/>
      <c r="BC80" s="917">
        <f t="shared" si="8"/>
        <v>0</v>
      </c>
      <c r="BD80" s="350"/>
      <c r="BE80" s="350"/>
      <c r="BF80" s="351"/>
      <c r="BG80" s="914">
        <f t="shared" si="9"/>
        <v>0</v>
      </c>
      <c r="BH80" s="350"/>
      <c r="BI80" s="350"/>
      <c r="BJ80" s="351"/>
      <c r="BK80" s="788">
        <f t="shared" si="10"/>
        <v>0</v>
      </c>
      <c r="BL80" s="350"/>
      <c r="BM80" s="350"/>
      <c r="BN80" s="351"/>
      <c r="BO80" s="914">
        <f t="shared" si="11"/>
        <v>0</v>
      </c>
      <c r="BP80" s="350"/>
      <c r="BQ80" s="350"/>
      <c r="BR80" s="351"/>
      <c r="BS80" s="788">
        <f t="shared" si="12"/>
        <v>0</v>
      </c>
      <c r="BT80" s="350"/>
      <c r="BU80" s="350"/>
      <c r="BV80" s="915"/>
      <c r="BW80" s="943"/>
    </row>
    <row r="81" spans="1:75" ht="15.75" customHeight="1">
      <c r="A81" s="413" t="s">
        <v>451</v>
      </c>
      <c r="B81" s="350"/>
      <c r="C81" s="350"/>
      <c r="D81" s="350"/>
      <c r="E81" s="350"/>
      <c r="F81" s="350"/>
      <c r="G81" s="350"/>
      <c r="H81" s="351"/>
      <c r="I81" s="755">
        <f>'GRANTEE SET UP INFO &amp; DATE '!C18</f>
        <v>0</v>
      </c>
      <c r="J81" s="350"/>
      <c r="K81" s="350"/>
      <c r="L81" s="351"/>
      <c r="M81" s="885">
        <f>'GRANTEE SET UP INFO &amp; DATE '!F18</f>
        <v>0</v>
      </c>
      <c r="N81" s="350"/>
      <c r="O81" s="350"/>
      <c r="P81" s="350"/>
      <c r="Q81" s="351"/>
      <c r="R81" s="885" t="e">
        <f>'GRANTEE SET UP INFO &amp; DATE '!#REF!</f>
        <v>#REF!</v>
      </c>
      <c r="S81" s="350"/>
      <c r="T81" s="350"/>
      <c r="U81" s="350"/>
      <c r="V81" s="351"/>
      <c r="W81" s="913">
        <f t="shared" si="0"/>
        <v>0</v>
      </c>
      <c r="X81" s="350"/>
      <c r="Y81" s="350"/>
      <c r="Z81" s="351"/>
      <c r="AA81" s="753">
        <f t="shared" si="1"/>
        <v>0</v>
      </c>
      <c r="AB81" s="350"/>
      <c r="AC81" s="350"/>
      <c r="AD81" s="351"/>
      <c r="AE81" s="755">
        <f t="shared" si="2"/>
        <v>0</v>
      </c>
      <c r="AF81" s="350"/>
      <c r="AG81" s="350"/>
      <c r="AH81" s="351"/>
      <c r="AI81" s="753">
        <f t="shared" si="3"/>
        <v>0</v>
      </c>
      <c r="AJ81" s="350"/>
      <c r="AK81" s="350"/>
      <c r="AL81" s="351"/>
      <c r="AM81" s="755">
        <f t="shared" si="4"/>
        <v>0</v>
      </c>
      <c r="AN81" s="350"/>
      <c r="AO81" s="350"/>
      <c r="AP81" s="351"/>
      <c r="AQ81" s="916">
        <f t="shared" si="5"/>
        <v>0</v>
      </c>
      <c r="AR81" s="350"/>
      <c r="AS81" s="350"/>
      <c r="AT81" s="351"/>
      <c r="AU81" s="917">
        <f t="shared" si="6"/>
        <v>0</v>
      </c>
      <c r="AV81" s="350"/>
      <c r="AW81" s="350"/>
      <c r="AX81" s="351"/>
      <c r="AY81" s="916">
        <f t="shared" si="7"/>
        <v>0</v>
      </c>
      <c r="AZ81" s="350"/>
      <c r="BA81" s="350"/>
      <c r="BB81" s="351"/>
      <c r="BC81" s="917">
        <f t="shared" si="8"/>
        <v>0</v>
      </c>
      <c r="BD81" s="350"/>
      <c r="BE81" s="350"/>
      <c r="BF81" s="351"/>
      <c r="BG81" s="914">
        <f t="shared" si="9"/>
        <v>0</v>
      </c>
      <c r="BH81" s="350"/>
      <c r="BI81" s="350"/>
      <c r="BJ81" s="351"/>
      <c r="BK81" s="788">
        <f t="shared" si="10"/>
        <v>0</v>
      </c>
      <c r="BL81" s="350"/>
      <c r="BM81" s="350"/>
      <c r="BN81" s="351"/>
      <c r="BO81" s="914">
        <f t="shared" si="11"/>
        <v>0</v>
      </c>
      <c r="BP81" s="350"/>
      <c r="BQ81" s="350"/>
      <c r="BR81" s="351"/>
      <c r="BS81" s="788">
        <f t="shared" si="12"/>
        <v>0</v>
      </c>
      <c r="BT81" s="350"/>
      <c r="BU81" s="350"/>
      <c r="BV81" s="915"/>
      <c r="BW81" s="943"/>
    </row>
    <row r="82" spans="1:75" ht="15.75" customHeight="1">
      <c r="A82" s="413" t="s">
        <v>452</v>
      </c>
      <c r="B82" s="350"/>
      <c r="C82" s="350"/>
      <c r="D82" s="350"/>
      <c r="E82" s="350"/>
      <c r="F82" s="350"/>
      <c r="G82" s="350"/>
      <c r="H82" s="351"/>
      <c r="I82" s="755" t="e">
        <f>'GRANTEE SET UP INFO &amp; DATE '!#REF!</f>
        <v>#REF!</v>
      </c>
      <c r="J82" s="350"/>
      <c r="K82" s="350"/>
      <c r="L82" s="351"/>
      <c r="M82" s="922" t="e">
        <f>'GRANTEE SET UP INFO &amp; DATE '!#REF!</f>
        <v>#REF!</v>
      </c>
      <c r="N82" s="350"/>
      <c r="O82" s="350"/>
      <c r="P82" s="350"/>
      <c r="Q82" s="351"/>
      <c r="R82" s="922" t="e">
        <f>'GRANTEE SET UP INFO &amp; DATE '!#REF!</f>
        <v>#REF!</v>
      </c>
      <c r="S82" s="350"/>
      <c r="T82" s="350"/>
      <c r="U82" s="350"/>
      <c r="V82" s="351"/>
      <c r="W82" s="913">
        <f t="shared" si="0"/>
        <v>0</v>
      </c>
      <c r="X82" s="350"/>
      <c r="Y82" s="350"/>
      <c r="Z82" s="351"/>
      <c r="AA82" s="753">
        <f t="shared" si="1"/>
        <v>0</v>
      </c>
      <c r="AB82" s="350"/>
      <c r="AC82" s="350"/>
      <c r="AD82" s="351"/>
      <c r="AE82" s="755">
        <f t="shared" si="2"/>
        <v>0</v>
      </c>
      <c r="AF82" s="350"/>
      <c r="AG82" s="350"/>
      <c r="AH82" s="351"/>
      <c r="AI82" s="753">
        <f t="shared" si="3"/>
        <v>0</v>
      </c>
      <c r="AJ82" s="350"/>
      <c r="AK82" s="350"/>
      <c r="AL82" s="351"/>
      <c r="AM82" s="755">
        <f t="shared" si="4"/>
        <v>0</v>
      </c>
      <c r="AN82" s="350"/>
      <c r="AO82" s="350"/>
      <c r="AP82" s="351"/>
      <c r="AQ82" s="916">
        <f t="shared" si="5"/>
        <v>0</v>
      </c>
      <c r="AR82" s="350"/>
      <c r="AS82" s="350"/>
      <c r="AT82" s="351"/>
      <c r="AU82" s="917">
        <f t="shared" si="6"/>
        <v>0</v>
      </c>
      <c r="AV82" s="350"/>
      <c r="AW82" s="350"/>
      <c r="AX82" s="351"/>
      <c r="AY82" s="916">
        <f t="shared" si="7"/>
        <v>0</v>
      </c>
      <c r="AZ82" s="350"/>
      <c r="BA82" s="350"/>
      <c r="BB82" s="351"/>
      <c r="BC82" s="917">
        <f t="shared" si="8"/>
        <v>0</v>
      </c>
      <c r="BD82" s="350"/>
      <c r="BE82" s="350"/>
      <c r="BF82" s="351"/>
      <c r="BG82" s="914">
        <f t="shared" si="9"/>
        <v>0</v>
      </c>
      <c r="BH82" s="350"/>
      <c r="BI82" s="350"/>
      <c r="BJ82" s="351"/>
      <c r="BK82" s="788">
        <f t="shared" si="10"/>
        <v>0</v>
      </c>
      <c r="BL82" s="350"/>
      <c r="BM82" s="350"/>
      <c r="BN82" s="351"/>
      <c r="BO82" s="914">
        <f t="shared" si="11"/>
        <v>0</v>
      </c>
      <c r="BP82" s="350"/>
      <c r="BQ82" s="350"/>
      <c r="BR82" s="351"/>
      <c r="BS82" s="788">
        <f t="shared" si="12"/>
        <v>0</v>
      </c>
      <c r="BT82" s="350"/>
      <c r="BU82" s="350"/>
      <c r="BV82" s="915"/>
      <c r="BW82" s="943"/>
    </row>
    <row r="83" spans="1:75" ht="15.75" customHeight="1">
      <c r="A83" s="413" t="s">
        <v>453</v>
      </c>
      <c r="B83" s="350"/>
      <c r="C83" s="350"/>
      <c r="D83" s="350"/>
      <c r="E83" s="350"/>
      <c r="F83" s="350"/>
      <c r="G83" s="350"/>
      <c r="H83" s="351"/>
      <c r="I83" s="755" t="e">
        <f>'GRANTEE SET UP INFO &amp; DATE '!#REF!</f>
        <v>#REF!</v>
      </c>
      <c r="J83" s="350"/>
      <c r="K83" s="350"/>
      <c r="L83" s="351"/>
      <c r="M83" s="884" t="e">
        <f>'GRANTEE SET UP INFO &amp; DATE '!#REF!</f>
        <v>#REF!</v>
      </c>
      <c r="N83" s="350"/>
      <c r="O83" s="350"/>
      <c r="P83" s="350"/>
      <c r="Q83" s="351"/>
      <c r="R83" s="884" t="e">
        <f>'GRANTEE SET UP INFO &amp; DATE '!#REF!</f>
        <v>#REF!</v>
      </c>
      <c r="S83" s="350"/>
      <c r="T83" s="350"/>
      <c r="U83" s="350"/>
      <c r="V83" s="351"/>
      <c r="W83" s="913">
        <f t="shared" si="0"/>
        <v>0</v>
      </c>
      <c r="X83" s="350"/>
      <c r="Y83" s="350"/>
      <c r="Z83" s="351"/>
      <c r="AA83" s="753">
        <f t="shared" si="1"/>
        <v>0</v>
      </c>
      <c r="AB83" s="350"/>
      <c r="AC83" s="350"/>
      <c r="AD83" s="351"/>
      <c r="AE83" s="755">
        <f t="shared" si="2"/>
        <v>0</v>
      </c>
      <c r="AF83" s="350"/>
      <c r="AG83" s="350"/>
      <c r="AH83" s="351"/>
      <c r="AI83" s="753">
        <f t="shared" si="3"/>
        <v>0</v>
      </c>
      <c r="AJ83" s="350"/>
      <c r="AK83" s="350"/>
      <c r="AL83" s="351"/>
      <c r="AM83" s="755">
        <f t="shared" si="4"/>
        <v>0</v>
      </c>
      <c r="AN83" s="350"/>
      <c r="AO83" s="350"/>
      <c r="AP83" s="351"/>
      <c r="AQ83" s="916">
        <f t="shared" si="5"/>
        <v>0</v>
      </c>
      <c r="AR83" s="350"/>
      <c r="AS83" s="350"/>
      <c r="AT83" s="351"/>
      <c r="AU83" s="917">
        <f t="shared" si="6"/>
        <v>0</v>
      </c>
      <c r="AV83" s="350"/>
      <c r="AW83" s="350"/>
      <c r="AX83" s="351"/>
      <c r="AY83" s="916">
        <f t="shared" si="7"/>
        <v>0</v>
      </c>
      <c r="AZ83" s="350"/>
      <c r="BA83" s="350"/>
      <c r="BB83" s="351"/>
      <c r="BC83" s="917">
        <f t="shared" si="8"/>
        <v>0</v>
      </c>
      <c r="BD83" s="350"/>
      <c r="BE83" s="350"/>
      <c r="BF83" s="351"/>
      <c r="BG83" s="914">
        <f t="shared" si="9"/>
        <v>0</v>
      </c>
      <c r="BH83" s="350"/>
      <c r="BI83" s="350"/>
      <c r="BJ83" s="351"/>
      <c r="BK83" s="788">
        <f t="shared" si="10"/>
        <v>0</v>
      </c>
      <c r="BL83" s="350"/>
      <c r="BM83" s="350"/>
      <c r="BN83" s="351"/>
      <c r="BO83" s="914">
        <f t="shared" si="11"/>
        <v>0</v>
      </c>
      <c r="BP83" s="350"/>
      <c r="BQ83" s="350"/>
      <c r="BR83" s="351"/>
      <c r="BS83" s="788">
        <f t="shared" si="12"/>
        <v>0</v>
      </c>
      <c r="BT83" s="350"/>
      <c r="BU83" s="350"/>
      <c r="BV83" s="915"/>
      <c r="BW83" s="943"/>
    </row>
    <row r="84" spans="1:75" ht="15.75" customHeight="1">
      <c r="A84" s="413" t="s">
        <v>454</v>
      </c>
      <c r="B84" s="350"/>
      <c r="C84" s="350"/>
      <c r="D84" s="350"/>
      <c r="E84" s="350"/>
      <c r="F84" s="350"/>
      <c r="G84" s="350"/>
      <c r="H84" s="351"/>
      <c r="I84" s="755" t="e">
        <f>'GRANTEE SET UP INFO &amp; DATE '!#REF!</f>
        <v>#REF!</v>
      </c>
      <c r="J84" s="350"/>
      <c r="K84" s="350"/>
      <c r="L84" s="351"/>
      <c r="M84" s="884" t="e">
        <f>'GRANTEE SET UP INFO &amp; DATE '!#REF!</f>
        <v>#REF!</v>
      </c>
      <c r="N84" s="350"/>
      <c r="O84" s="350"/>
      <c r="P84" s="350"/>
      <c r="Q84" s="351"/>
      <c r="R84" s="884" t="e">
        <f>'GRANTEE SET UP INFO &amp; DATE '!#REF!</f>
        <v>#REF!</v>
      </c>
      <c r="S84" s="350"/>
      <c r="T84" s="350"/>
      <c r="U84" s="350"/>
      <c r="V84" s="351"/>
      <c r="W84" s="913">
        <f t="shared" si="0"/>
        <v>0</v>
      </c>
      <c r="X84" s="350"/>
      <c r="Y84" s="350"/>
      <c r="Z84" s="351"/>
      <c r="AA84" s="753">
        <f t="shared" si="1"/>
        <v>0</v>
      </c>
      <c r="AB84" s="350"/>
      <c r="AC84" s="350"/>
      <c r="AD84" s="351"/>
      <c r="AE84" s="755">
        <f t="shared" si="2"/>
        <v>0</v>
      </c>
      <c r="AF84" s="350"/>
      <c r="AG84" s="350"/>
      <c r="AH84" s="351"/>
      <c r="AI84" s="753">
        <f t="shared" si="3"/>
        <v>0</v>
      </c>
      <c r="AJ84" s="350"/>
      <c r="AK84" s="350"/>
      <c r="AL84" s="351"/>
      <c r="AM84" s="755">
        <f t="shared" si="4"/>
        <v>0</v>
      </c>
      <c r="AN84" s="350"/>
      <c r="AO84" s="350"/>
      <c r="AP84" s="351"/>
      <c r="AQ84" s="916">
        <f t="shared" si="5"/>
        <v>0</v>
      </c>
      <c r="AR84" s="350"/>
      <c r="AS84" s="350"/>
      <c r="AT84" s="351"/>
      <c r="AU84" s="917">
        <f t="shared" si="6"/>
        <v>0</v>
      </c>
      <c r="AV84" s="350"/>
      <c r="AW84" s="350"/>
      <c r="AX84" s="351"/>
      <c r="AY84" s="916">
        <f t="shared" si="7"/>
        <v>0</v>
      </c>
      <c r="AZ84" s="350"/>
      <c r="BA84" s="350"/>
      <c r="BB84" s="351"/>
      <c r="BC84" s="917">
        <f t="shared" si="8"/>
        <v>0</v>
      </c>
      <c r="BD84" s="350"/>
      <c r="BE84" s="350"/>
      <c r="BF84" s="351"/>
      <c r="BG84" s="914">
        <f t="shared" si="9"/>
        <v>0</v>
      </c>
      <c r="BH84" s="350"/>
      <c r="BI84" s="350"/>
      <c r="BJ84" s="351"/>
      <c r="BK84" s="788">
        <f t="shared" si="10"/>
        <v>0</v>
      </c>
      <c r="BL84" s="350"/>
      <c r="BM84" s="350"/>
      <c r="BN84" s="351"/>
      <c r="BO84" s="914">
        <f t="shared" si="11"/>
        <v>0</v>
      </c>
      <c r="BP84" s="350"/>
      <c r="BQ84" s="350"/>
      <c r="BR84" s="351"/>
      <c r="BS84" s="788">
        <f t="shared" si="12"/>
        <v>0</v>
      </c>
      <c r="BT84" s="350"/>
      <c r="BU84" s="350"/>
      <c r="BV84" s="915"/>
      <c r="BW84" s="943"/>
    </row>
    <row r="85" spans="1:75" ht="15.75" customHeight="1">
      <c r="A85" s="413" t="s">
        <v>455</v>
      </c>
      <c r="B85" s="350"/>
      <c r="C85" s="350"/>
      <c r="D85" s="350"/>
      <c r="E85" s="350"/>
      <c r="F85" s="350"/>
      <c r="G85" s="350"/>
      <c r="H85" s="351"/>
      <c r="I85" s="755" t="e">
        <f>'GRANTEE SET UP INFO &amp; DATE '!#REF!</f>
        <v>#REF!</v>
      </c>
      <c r="J85" s="350"/>
      <c r="K85" s="350"/>
      <c r="L85" s="351"/>
      <c r="M85" s="884" t="e">
        <f>'GRANTEE SET UP INFO &amp; DATE '!#REF!</f>
        <v>#REF!</v>
      </c>
      <c r="N85" s="350"/>
      <c r="O85" s="350"/>
      <c r="P85" s="350"/>
      <c r="Q85" s="351"/>
      <c r="R85" s="884" t="e">
        <f>'GRANTEE SET UP INFO &amp; DATE '!#REF!</f>
        <v>#REF!</v>
      </c>
      <c r="S85" s="350"/>
      <c r="T85" s="350"/>
      <c r="U85" s="350"/>
      <c r="V85" s="351"/>
      <c r="W85" s="913">
        <f t="shared" si="0"/>
        <v>0</v>
      </c>
      <c r="X85" s="350"/>
      <c r="Y85" s="350"/>
      <c r="Z85" s="351"/>
      <c r="AA85" s="753">
        <f t="shared" si="1"/>
        <v>0</v>
      </c>
      <c r="AB85" s="350"/>
      <c r="AC85" s="350"/>
      <c r="AD85" s="351"/>
      <c r="AE85" s="755">
        <f t="shared" si="2"/>
        <v>0</v>
      </c>
      <c r="AF85" s="350"/>
      <c r="AG85" s="350"/>
      <c r="AH85" s="351"/>
      <c r="AI85" s="753">
        <f t="shared" si="3"/>
        <v>0</v>
      </c>
      <c r="AJ85" s="350"/>
      <c r="AK85" s="350"/>
      <c r="AL85" s="351"/>
      <c r="AM85" s="755">
        <f t="shared" si="4"/>
        <v>0</v>
      </c>
      <c r="AN85" s="350"/>
      <c r="AO85" s="350"/>
      <c r="AP85" s="351"/>
      <c r="AQ85" s="916">
        <f t="shared" si="5"/>
        <v>0</v>
      </c>
      <c r="AR85" s="350"/>
      <c r="AS85" s="350"/>
      <c r="AT85" s="351"/>
      <c r="AU85" s="917">
        <f t="shared" si="6"/>
        <v>0</v>
      </c>
      <c r="AV85" s="350"/>
      <c r="AW85" s="350"/>
      <c r="AX85" s="351"/>
      <c r="AY85" s="916">
        <f t="shared" si="7"/>
        <v>0</v>
      </c>
      <c r="AZ85" s="350"/>
      <c r="BA85" s="350"/>
      <c r="BB85" s="351"/>
      <c r="BC85" s="917">
        <f t="shared" si="8"/>
        <v>0</v>
      </c>
      <c r="BD85" s="350"/>
      <c r="BE85" s="350"/>
      <c r="BF85" s="351"/>
      <c r="BG85" s="914">
        <f t="shared" si="9"/>
        <v>0</v>
      </c>
      <c r="BH85" s="350"/>
      <c r="BI85" s="350"/>
      <c r="BJ85" s="351"/>
      <c r="BK85" s="788">
        <f t="shared" si="10"/>
        <v>0</v>
      </c>
      <c r="BL85" s="350"/>
      <c r="BM85" s="350"/>
      <c r="BN85" s="351"/>
      <c r="BO85" s="914">
        <f t="shared" si="11"/>
        <v>0</v>
      </c>
      <c r="BP85" s="350"/>
      <c r="BQ85" s="350"/>
      <c r="BR85" s="351"/>
      <c r="BS85" s="788">
        <f t="shared" si="12"/>
        <v>0</v>
      </c>
      <c r="BT85" s="350"/>
      <c r="BU85" s="350"/>
      <c r="BV85" s="915"/>
      <c r="BW85" s="943"/>
    </row>
    <row r="86" spans="1:75" ht="15.75" customHeight="1">
      <c r="A86" s="960"/>
      <c r="B86" s="378"/>
      <c r="C86" s="378"/>
      <c r="D86" s="378"/>
      <c r="E86" s="378"/>
      <c r="F86" s="378"/>
      <c r="G86" s="378"/>
      <c r="H86" s="379"/>
      <c r="I86" s="945"/>
      <c r="J86" s="378"/>
      <c r="K86" s="378"/>
      <c r="L86" s="379"/>
      <c r="M86" s="940"/>
      <c r="N86" s="378"/>
      <c r="O86" s="378"/>
      <c r="P86" s="378"/>
      <c r="Q86" s="379"/>
      <c r="R86" s="940"/>
      <c r="S86" s="378"/>
      <c r="T86" s="378"/>
      <c r="U86" s="378"/>
      <c r="V86" s="379"/>
      <c r="W86" s="913"/>
      <c r="X86" s="350"/>
      <c r="Y86" s="350"/>
      <c r="Z86" s="351"/>
      <c r="AA86" s="961"/>
      <c r="AB86" s="350"/>
      <c r="AC86" s="350"/>
      <c r="AD86" s="351"/>
      <c r="AE86" s="941"/>
      <c r="AF86" s="350"/>
      <c r="AG86" s="350"/>
      <c r="AH86" s="351"/>
      <c r="AI86" s="753"/>
      <c r="AJ86" s="350"/>
      <c r="AK86" s="350"/>
      <c r="AL86" s="351"/>
      <c r="AM86" s="754"/>
      <c r="AN86" s="350"/>
      <c r="AO86" s="350"/>
      <c r="AP86" s="351"/>
      <c r="AQ86" s="916"/>
      <c r="AR86" s="350"/>
      <c r="AS86" s="350"/>
      <c r="AT86" s="351"/>
      <c r="AU86" s="921"/>
      <c r="AV86" s="350"/>
      <c r="AW86" s="350"/>
      <c r="AX86" s="351"/>
      <c r="AY86" s="353"/>
      <c r="AZ86" s="350"/>
      <c r="BA86" s="350"/>
      <c r="BB86" s="351"/>
      <c r="BC86" s="352"/>
      <c r="BD86" s="350"/>
      <c r="BE86" s="350"/>
      <c r="BF86" s="351"/>
      <c r="BG86" s="919"/>
      <c r="BH86" s="350"/>
      <c r="BI86" s="350"/>
      <c r="BJ86" s="351"/>
      <c r="BK86" s="788"/>
      <c r="BL86" s="350"/>
      <c r="BM86" s="350"/>
      <c r="BN86" s="351"/>
      <c r="BO86" s="919"/>
      <c r="BP86" s="350"/>
      <c r="BQ86" s="350"/>
      <c r="BR86" s="351"/>
      <c r="BS86" s="787"/>
      <c r="BT86" s="350"/>
      <c r="BU86" s="350"/>
      <c r="BV86" s="915"/>
      <c r="BW86" s="944"/>
    </row>
    <row r="87" spans="1:75" ht="15.75" customHeight="1">
      <c r="A87" s="949" t="s">
        <v>561</v>
      </c>
      <c r="B87" s="947"/>
      <c r="C87" s="947"/>
      <c r="D87" s="947"/>
      <c r="E87" s="947"/>
      <c r="F87" s="947"/>
      <c r="G87" s="947"/>
      <c r="H87" s="947"/>
      <c r="I87" s="947"/>
      <c r="J87" s="947"/>
      <c r="K87" s="947"/>
      <c r="L87" s="947"/>
      <c r="M87" s="947"/>
      <c r="N87" s="947"/>
      <c r="O87" s="947"/>
      <c r="P87" s="947"/>
      <c r="Q87" s="947"/>
      <c r="R87" s="947"/>
      <c r="S87" s="947"/>
      <c r="T87" s="947"/>
      <c r="U87" s="947"/>
      <c r="V87" s="950"/>
      <c r="W87" s="951">
        <f>SUM(W74:W86)</f>
        <v>0</v>
      </c>
      <c r="X87" s="947"/>
      <c r="Y87" s="947"/>
      <c r="Z87" s="950"/>
      <c r="AA87" s="952">
        <f>SUM(AA74:AA86)</f>
        <v>0</v>
      </c>
      <c r="AB87" s="947"/>
      <c r="AC87" s="947"/>
      <c r="AD87" s="950"/>
      <c r="AE87" s="953">
        <f>SUM(AE74:AE86)</f>
        <v>0</v>
      </c>
      <c r="AF87" s="947"/>
      <c r="AG87" s="947"/>
      <c r="AH87" s="950"/>
      <c r="AI87" s="954">
        <f>SUM(AI74:AI86)</f>
        <v>0</v>
      </c>
      <c r="AJ87" s="947"/>
      <c r="AK87" s="947"/>
      <c r="AL87" s="950"/>
      <c r="AM87" s="953">
        <f>SUM(AM74:AM86)</f>
        <v>0</v>
      </c>
      <c r="AN87" s="947"/>
      <c r="AO87" s="947"/>
      <c r="AP87" s="950"/>
      <c r="AQ87" s="955">
        <f>SUM(AQ74:AQ86)</f>
        <v>0</v>
      </c>
      <c r="AR87" s="947"/>
      <c r="AS87" s="947"/>
      <c r="AT87" s="950"/>
      <c r="AU87" s="957">
        <f>SUM(AU74:AU86)</f>
        <v>0</v>
      </c>
      <c r="AV87" s="947"/>
      <c r="AW87" s="947"/>
      <c r="AX87" s="950"/>
      <c r="AY87" s="955">
        <f>SUM(AY74:AY86)</f>
        <v>0</v>
      </c>
      <c r="AZ87" s="947"/>
      <c r="BA87" s="947"/>
      <c r="BB87" s="950"/>
      <c r="BC87" s="957">
        <f>SUM(BC74:BC86)</f>
        <v>0</v>
      </c>
      <c r="BD87" s="947"/>
      <c r="BE87" s="947"/>
      <c r="BF87" s="950"/>
      <c r="BG87" s="958">
        <f>SUM(BG74:BG86)</f>
        <v>0</v>
      </c>
      <c r="BH87" s="947"/>
      <c r="BI87" s="947"/>
      <c r="BJ87" s="950"/>
      <c r="BK87" s="959">
        <f>SUM(BK74:BK86)</f>
        <v>0</v>
      </c>
      <c r="BL87" s="947"/>
      <c r="BM87" s="947"/>
      <c r="BN87" s="950"/>
      <c r="BO87" s="958">
        <f>SUM(BO74:BO86)</f>
        <v>0</v>
      </c>
      <c r="BP87" s="947"/>
      <c r="BQ87" s="947"/>
      <c r="BR87" s="950"/>
      <c r="BS87" s="946">
        <f>SUM(BS74:BS86)</f>
        <v>0</v>
      </c>
      <c r="BT87" s="947"/>
      <c r="BU87" s="947"/>
      <c r="BV87" s="948"/>
      <c r="BW87" s="179"/>
    </row>
    <row r="88" spans="1:75" ht="15.75" customHeight="1">
      <c r="A88" s="956" t="s">
        <v>735</v>
      </c>
      <c r="B88" s="381"/>
      <c r="C88" s="381"/>
      <c r="D88" s="381"/>
      <c r="E88" s="381"/>
      <c r="F88" s="381"/>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c r="AP88" s="381"/>
      <c r="AQ88" s="381"/>
      <c r="AR88" s="381"/>
      <c r="AS88" s="381"/>
      <c r="AT88" s="381"/>
      <c r="AU88" s="381"/>
      <c r="AV88" s="381"/>
      <c r="AW88" s="381"/>
      <c r="AX88" s="381"/>
      <c r="AY88" s="381"/>
      <c r="AZ88" s="381"/>
      <c r="BA88" s="381"/>
      <c r="BB88" s="381"/>
      <c r="BC88" s="381"/>
      <c r="BD88" s="381"/>
      <c r="BE88" s="381"/>
      <c r="BF88" s="381"/>
      <c r="BG88" s="381"/>
      <c r="BH88" s="381"/>
      <c r="BI88" s="381"/>
      <c r="BJ88" s="381"/>
      <c r="BK88" s="381"/>
      <c r="BL88" s="381"/>
      <c r="BM88" s="381"/>
      <c r="BN88" s="381"/>
      <c r="BO88" s="381"/>
      <c r="BP88" s="381"/>
      <c r="BQ88" s="381"/>
      <c r="BR88" s="381"/>
      <c r="BS88" s="381"/>
      <c r="BT88" s="381"/>
      <c r="BU88" s="381"/>
      <c r="BV88" s="381"/>
      <c r="BW88" s="428"/>
    </row>
    <row r="89" spans="1:75" ht="15.75" customHeight="1">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row>
    <row r="90" spans="1:75" ht="15.75" customHeight="1"/>
    <row r="91" spans="1:75" ht="15.75" customHeight="1"/>
    <row r="92" spans="1:75" ht="15.75" customHeight="1"/>
    <row r="93" spans="1:75" ht="15.75" customHeight="1"/>
    <row r="94" spans="1:75" ht="15.75" customHeight="1"/>
    <row r="95" spans="1:75" ht="15.75" customHeight="1"/>
    <row r="96" spans="1:7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0">
    <mergeCell ref="BK14:BN14"/>
    <mergeCell ref="BO14:BR14"/>
    <mergeCell ref="AI14:AL14"/>
    <mergeCell ref="AM14:AP14"/>
    <mergeCell ref="AQ14:AT14"/>
    <mergeCell ref="AU14:AX14"/>
    <mergeCell ref="AY14:BB14"/>
    <mergeCell ref="BC14:BF14"/>
    <mergeCell ref="BG14:BJ14"/>
    <mergeCell ref="BK12:BN12"/>
    <mergeCell ref="BO12:BR12"/>
    <mergeCell ref="BS12:BV12"/>
    <mergeCell ref="AI12:AL12"/>
    <mergeCell ref="AM12:AP12"/>
    <mergeCell ref="AQ12:AT12"/>
    <mergeCell ref="AU12:AX12"/>
    <mergeCell ref="AY12:BB12"/>
    <mergeCell ref="BC12:BF12"/>
    <mergeCell ref="BG12:BJ12"/>
    <mergeCell ref="A12:H12"/>
    <mergeCell ref="I12:L12"/>
    <mergeCell ref="M12:Q12"/>
    <mergeCell ref="R12:V12"/>
    <mergeCell ref="W12:Z12"/>
    <mergeCell ref="AA12:AD12"/>
    <mergeCell ref="AE12:AH12"/>
    <mergeCell ref="BK13:BN13"/>
    <mergeCell ref="BO13:BR13"/>
    <mergeCell ref="BS13:BV13"/>
    <mergeCell ref="BS14:BV14"/>
    <mergeCell ref="AI13:AL13"/>
    <mergeCell ref="AM13:AP13"/>
    <mergeCell ref="AQ13:AT13"/>
    <mergeCell ref="AU13:AX13"/>
    <mergeCell ref="AY13:BB13"/>
    <mergeCell ref="BC13:BF13"/>
    <mergeCell ref="BG13:BJ13"/>
    <mergeCell ref="A13:H13"/>
    <mergeCell ref="I13:L13"/>
    <mergeCell ref="M13:Q13"/>
    <mergeCell ref="R13:V13"/>
    <mergeCell ref="W13:Z13"/>
    <mergeCell ref="AA13:AD13"/>
    <mergeCell ref="AE13:AH13"/>
    <mergeCell ref="A14:H14"/>
    <mergeCell ref="I14:L14"/>
    <mergeCell ref="M14:Q14"/>
    <mergeCell ref="R14:V14"/>
    <mergeCell ref="W14:Z14"/>
    <mergeCell ref="AA14:AD14"/>
    <mergeCell ref="AE14:AH14"/>
    <mergeCell ref="BK17:BN17"/>
    <mergeCell ref="BO17:BR17"/>
    <mergeCell ref="AI17:AL17"/>
    <mergeCell ref="AM17:AP17"/>
    <mergeCell ref="AQ17:AT17"/>
    <mergeCell ref="AU17:AX17"/>
    <mergeCell ref="AY17:BB17"/>
    <mergeCell ref="BC17:BF17"/>
    <mergeCell ref="BG17:BJ17"/>
    <mergeCell ref="BK15:BN15"/>
    <mergeCell ref="BO15:BR15"/>
    <mergeCell ref="BS15:BV15"/>
    <mergeCell ref="AI15:AL15"/>
    <mergeCell ref="AM15:AP15"/>
    <mergeCell ref="AQ15:AT15"/>
    <mergeCell ref="AU15:AX15"/>
    <mergeCell ref="AY15:BB15"/>
    <mergeCell ref="BC15:BF15"/>
    <mergeCell ref="BG15:BJ15"/>
    <mergeCell ref="A15:H15"/>
    <mergeCell ref="I15:L15"/>
    <mergeCell ref="M15:Q15"/>
    <mergeCell ref="R15:V15"/>
    <mergeCell ref="W15:Z15"/>
    <mergeCell ref="AA15:AD15"/>
    <mergeCell ref="AE15:AH15"/>
    <mergeCell ref="BK16:BN16"/>
    <mergeCell ref="BO16:BR16"/>
    <mergeCell ref="BS16:BV16"/>
    <mergeCell ref="BS17:BV17"/>
    <mergeCell ref="AI16:AL16"/>
    <mergeCell ref="AM16:AP16"/>
    <mergeCell ref="AQ16:AT16"/>
    <mergeCell ref="AU16:AX16"/>
    <mergeCell ref="AY16:BB16"/>
    <mergeCell ref="BC16:BF16"/>
    <mergeCell ref="BG16:BJ16"/>
    <mergeCell ref="A16:H16"/>
    <mergeCell ref="I16:L16"/>
    <mergeCell ref="M16:Q16"/>
    <mergeCell ref="R16:V16"/>
    <mergeCell ref="W16:Z16"/>
    <mergeCell ref="AA16:AD16"/>
    <mergeCell ref="AE16:AH16"/>
    <mergeCell ref="A17:H17"/>
    <mergeCell ref="I17:L17"/>
    <mergeCell ref="M17:Q17"/>
    <mergeCell ref="R17:V17"/>
    <mergeCell ref="W17:Z17"/>
    <mergeCell ref="AA17:AD17"/>
    <mergeCell ref="AE17:AH17"/>
    <mergeCell ref="BO21:BR21"/>
    <mergeCell ref="BS21:BV21"/>
    <mergeCell ref="A20:V20"/>
    <mergeCell ref="W20:BV20"/>
    <mergeCell ref="A21:H21"/>
    <mergeCell ref="I21:L21"/>
    <mergeCell ref="M21:Q21"/>
    <mergeCell ref="R21:V21"/>
    <mergeCell ref="W21:Z21"/>
    <mergeCell ref="AU18:AX18"/>
    <mergeCell ref="AY18:BB18"/>
    <mergeCell ref="BC18:BF18"/>
    <mergeCell ref="BG18:BJ18"/>
    <mergeCell ref="BK18:BN18"/>
    <mergeCell ref="BO18:BR18"/>
    <mergeCell ref="BS18:BV18"/>
    <mergeCell ref="A18:V18"/>
    <mergeCell ref="W18:Z18"/>
    <mergeCell ref="AA18:AD18"/>
    <mergeCell ref="AE18:AH18"/>
    <mergeCell ref="AI18:AL18"/>
    <mergeCell ref="AM18:AP18"/>
    <mergeCell ref="AQ18:AT18"/>
    <mergeCell ref="AI21:AL21"/>
    <mergeCell ref="AM21:AP21"/>
    <mergeCell ref="AQ21:AT21"/>
    <mergeCell ref="AU21:AX21"/>
    <mergeCell ref="AY21:BB21"/>
    <mergeCell ref="BC21:BF21"/>
    <mergeCell ref="BG21:BJ21"/>
    <mergeCell ref="BK21:BN21"/>
    <mergeCell ref="AA21:AD21"/>
    <mergeCell ref="AE21:AH21"/>
    <mergeCell ref="A22:H22"/>
    <mergeCell ref="I22:L22"/>
    <mergeCell ref="M22:Q22"/>
    <mergeCell ref="R22:V22"/>
    <mergeCell ref="W22:Z22"/>
    <mergeCell ref="AI24:AL24"/>
    <mergeCell ref="AM24:AP24"/>
    <mergeCell ref="AQ24:AT24"/>
    <mergeCell ref="AU24:AX24"/>
    <mergeCell ref="AY24:BB24"/>
    <mergeCell ref="BC24:BF24"/>
    <mergeCell ref="BG24:BJ24"/>
    <mergeCell ref="A24:H24"/>
    <mergeCell ref="I24:L24"/>
    <mergeCell ref="M24:Q24"/>
    <mergeCell ref="R24:V24"/>
    <mergeCell ref="W24:Z24"/>
    <mergeCell ref="AA24:AD24"/>
    <mergeCell ref="AE24:AH24"/>
    <mergeCell ref="BC22:BF22"/>
    <mergeCell ref="BG22:BJ22"/>
    <mergeCell ref="AA22:AD22"/>
    <mergeCell ref="AE22:AH22"/>
    <mergeCell ref="AI22:AL22"/>
    <mergeCell ref="AM22:AP22"/>
    <mergeCell ref="AQ22:AT22"/>
    <mergeCell ref="AU22:AX22"/>
    <mergeCell ref="AY22:BB22"/>
    <mergeCell ref="BK23:BN23"/>
    <mergeCell ref="BO23:BR23"/>
    <mergeCell ref="BS23:BV23"/>
    <mergeCell ref="AI23:AL23"/>
    <mergeCell ref="AM23:AP23"/>
    <mergeCell ref="AQ23:AT23"/>
    <mergeCell ref="AU23:AX23"/>
    <mergeCell ref="AY23:BB23"/>
    <mergeCell ref="BC23:BF23"/>
    <mergeCell ref="BG23:BJ23"/>
    <mergeCell ref="A23:H23"/>
    <mergeCell ref="I23:L23"/>
    <mergeCell ref="M23:Q23"/>
    <mergeCell ref="R23:V23"/>
    <mergeCell ref="W23:Z23"/>
    <mergeCell ref="AA23:AD23"/>
    <mergeCell ref="AE23:AH23"/>
    <mergeCell ref="BK22:BN22"/>
    <mergeCell ref="BO22:BR22"/>
    <mergeCell ref="BS22:BV22"/>
    <mergeCell ref="BK24:BN24"/>
    <mergeCell ref="BO24:BR24"/>
    <mergeCell ref="BS24:BV24"/>
    <mergeCell ref="BS25:BV25"/>
    <mergeCell ref="A25:H25"/>
    <mergeCell ref="I25:L25"/>
    <mergeCell ref="M25:Q25"/>
    <mergeCell ref="R25:V25"/>
    <mergeCell ref="W25:Z25"/>
    <mergeCell ref="AA25:AD25"/>
    <mergeCell ref="AE25:AH25"/>
    <mergeCell ref="AI27:AL27"/>
    <mergeCell ref="AM27:AP27"/>
    <mergeCell ref="AQ27:AT27"/>
    <mergeCell ref="AU27:AX27"/>
    <mergeCell ref="AY27:BB27"/>
    <mergeCell ref="BC27:BF27"/>
    <mergeCell ref="BG27:BJ27"/>
    <mergeCell ref="A27:H27"/>
    <mergeCell ref="I27:L27"/>
    <mergeCell ref="M27:Q27"/>
    <mergeCell ref="R27:V27"/>
    <mergeCell ref="W27:Z27"/>
    <mergeCell ref="AA27:AD27"/>
    <mergeCell ref="AE27:AH27"/>
    <mergeCell ref="BK25:BN25"/>
    <mergeCell ref="BO25:BR25"/>
    <mergeCell ref="AI25:AL25"/>
    <mergeCell ref="AM25:AP25"/>
    <mergeCell ref="AQ25:AT25"/>
    <mergeCell ref="AU25:AX25"/>
    <mergeCell ref="AY25:BB25"/>
    <mergeCell ref="BC25:BF25"/>
    <mergeCell ref="BG25:BJ25"/>
    <mergeCell ref="BK26:BN26"/>
    <mergeCell ref="BO26:BR26"/>
    <mergeCell ref="BS26:BV26"/>
    <mergeCell ref="AI26:AL26"/>
    <mergeCell ref="AM26:AP26"/>
    <mergeCell ref="AQ26:AT26"/>
    <mergeCell ref="AU26:AX26"/>
    <mergeCell ref="AY26:BB26"/>
    <mergeCell ref="BC26:BF26"/>
    <mergeCell ref="BG26:BJ26"/>
    <mergeCell ref="A26:H26"/>
    <mergeCell ref="I26:L26"/>
    <mergeCell ref="M26:Q26"/>
    <mergeCell ref="R26:V26"/>
    <mergeCell ref="W26:Z26"/>
    <mergeCell ref="AA26:AD26"/>
    <mergeCell ref="AE26:AH26"/>
    <mergeCell ref="BK27:BN27"/>
    <mergeCell ref="BO27:BR27"/>
    <mergeCell ref="BS27:BV27"/>
    <mergeCell ref="BS28:BV28"/>
    <mergeCell ref="A28:H28"/>
    <mergeCell ref="I28:L28"/>
    <mergeCell ref="M28:Q28"/>
    <mergeCell ref="R28:V28"/>
    <mergeCell ref="W28:Z28"/>
    <mergeCell ref="AA28:AD28"/>
    <mergeCell ref="AE28:AH28"/>
    <mergeCell ref="AI30:AL30"/>
    <mergeCell ref="AM30:AP30"/>
    <mergeCell ref="AQ30:AT30"/>
    <mergeCell ref="AU30:AX30"/>
    <mergeCell ref="AY30:BB30"/>
    <mergeCell ref="BC30:BF30"/>
    <mergeCell ref="BG30:BJ30"/>
    <mergeCell ref="A30:H30"/>
    <mergeCell ref="I30:L30"/>
    <mergeCell ref="M30:Q30"/>
    <mergeCell ref="R30:V30"/>
    <mergeCell ref="W30:Z30"/>
    <mergeCell ref="AA30:AD30"/>
    <mergeCell ref="AE30:AH30"/>
    <mergeCell ref="BK28:BN28"/>
    <mergeCell ref="BO28:BR28"/>
    <mergeCell ref="AI28:AL28"/>
    <mergeCell ref="AM28:AP28"/>
    <mergeCell ref="AQ28:AT28"/>
    <mergeCell ref="AU28:AX28"/>
    <mergeCell ref="AY28:BB28"/>
    <mergeCell ref="BK29:BN29"/>
    <mergeCell ref="BO29:BR29"/>
    <mergeCell ref="BS29:BV29"/>
    <mergeCell ref="AI29:AL29"/>
    <mergeCell ref="AM29:AP29"/>
    <mergeCell ref="AQ29:AT29"/>
    <mergeCell ref="AU29:AX29"/>
    <mergeCell ref="AY29:BB29"/>
    <mergeCell ref="BC29:BF29"/>
    <mergeCell ref="BG29:BJ29"/>
    <mergeCell ref="A29:H29"/>
    <mergeCell ref="I29:L29"/>
    <mergeCell ref="M29:Q29"/>
    <mergeCell ref="R29:V29"/>
    <mergeCell ref="W29:Z29"/>
    <mergeCell ref="AA29:AD29"/>
    <mergeCell ref="AE29:AH29"/>
    <mergeCell ref="A33:H33"/>
    <mergeCell ref="I33:L33"/>
    <mergeCell ref="M33:Q33"/>
    <mergeCell ref="R33:V33"/>
    <mergeCell ref="W33:Z33"/>
    <mergeCell ref="AA33:AD33"/>
    <mergeCell ref="AE33:AH33"/>
    <mergeCell ref="BK31:BN31"/>
    <mergeCell ref="BO31:BR31"/>
    <mergeCell ref="AI31:AL31"/>
    <mergeCell ref="AM31:AP31"/>
    <mergeCell ref="AQ31:AT31"/>
    <mergeCell ref="AU31:AX31"/>
    <mergeCell ref="AY31:BB31"/>
    <mergeCell ref="AM32:AP32"/>
    <mergeCell ref="AQ32:AT32"/>
    <mergeCell ref="AU32:AX32"/>
    <mergeCell ref="AY32:BB32"/>
    <mergeCell ref="BC32:BF32"/>
    <mergeCell ref="BG32:BJ32"/>
    <mergeCell ref="A32:H32"/>
    <mergeCell ref="I32:L32"/>
    <mergeCell ref="M32:Q32"/>
    <mergeCell ref="R32:V32"/>
    <mergeCell ref="W32:Z32"/>
    <mergeCell ref="BS30:BV30"/>
    <mergeCell ref="BS31:BV31"/>
    <mergeCell ref="A31:H31"/>
    <mergeCell ref="I31:L31"/>
    <mergeCell ref="M31:Q31"/>
    <mergeCell ref="R31:V31"/>
    <mergeCell ref="W31:Z31"/>
    <mergeCell ref="AA31:AD31"/>
    <mergeCell ref="AE31:AH31"/>
    <mergeCell ref="AE34:AH34"/>
    <mergeCell ref="AY55:BB55"/>
    <mergeCell ref="BC55:BF55"/>
    <mergeCell ref="BG55:BJ55"/>
    <mergeCell ref="BK55:BN55"/>
    <mergeCell ref="BO55:BR55"/>
    <mergeCell ref="BS55:BV55"/>
    <mergeCell ref="A54:V54"/>
    <mergeCell ref="W54:BV54"/>
    <mergeCell ref="A55:H55"/>
    <mergeCell ref="I55:L55"/>
    <mergeCell ref="M55:Q55"/>
    <mergeCell ref="R55:V55"/>
    <mergeCell ref="W55:Z55"/>
    <mergeCell ref="BK51:BN51"/>
    <mergeCell ref="BO51:BR51"/>
    <mergeCell ref="AI51:AL51"/>
    <mergeCell ref="AM51:AP51"/>
    <mergeCell ref="AQ51:AT51"/>
    <mergeCell ref="AI33:AL33"/>
    <mergeCell ref="AM33:AP33"/>
    <mergeCell ref="AQ33:AT33"/>
    <mergeCell ref="AU33:AX33"/>
    <mergeCell ref="BS6:BV6"/>
    <mergeCell ref="AI6:AL6"/>
    <mergeCell ref="BG51:BJ51"/>
    <mergeCell ref="AU52:AX52"/>
    <mergeCell ref="AY52:BB52"/>
    <mergeCell ref="BC52:BF52"/>
    <mergeCell ref="BG52:BJ52"/>
    <mergeCell ref="BK52:BN52"/>
    <mergeCell ref="BO52:BR52"/>
    <mergeCell ref="BS52:BV52"/>
    <mergeCell ref="A52:V52"/>
    <mergeCell ref="W52:Z52"/>
    <mergeCell ref="AA52:AD52"/>
    <mergeCell ref="AE52:AH52"/>
    <mergeCell ref="AI52:AL52"/>
    <mergeCell ref="AM52:AP52"/>
    <mergeCell ref="AQ52:AT52"/>
    <mergeCell ref="BS51:BV51"/>
    <mergeCell ref="A51:H51"/>
    <mergeCell ref="I51:L51"/>
    <mergeCell ref="M51:Q51"/>
    <mergeCell ref="R51:V51"/>
    <mergeCell ref="W51:Z51"/>
    <mergeCell ref="AA51:AD51"/>
    <mergeCell ref="AE51:AH51"/>
    <mergeCell ref="BK33:BN33"/>
    <mergeCell ref="BO33:BR33"/>
    <mergeCell ref="BS33:BV33"/>
    <mergeCell ref="BS34:BV34"/>
    <mergeCell ref="AA32:AD32"/>
    <mergeCell ref="AE32:AH32"/>
    <mergeCell ref="BK30:BN30"/>
    <mergeCell ref="A34:H34"/>
    <mergeCell ref="I34:L34"/>
    <mergeCell ref="M34:Q34"/>
    <mergeCell ref="A56:H56"/>
    <mergeCell ref="I56:L56"/>
    <mergeCell ref="M56:Q56"/>
    <mergeCell ref="R56:V56"/>
    <mergeCell ref="W56:Z56"/>
    <mergeCell ref="BC5:BF5"/>
    <mergeCell ref="BG5:BJ5"/>
    <mergeCell ref="AA5:AD5"/>
    <mergeCell ref="AE5:AH5"/>
    <mergeCell ref="AI5:AL5"/>
    <mergeCell ref="AM5:AP5"/>
    <mergeCell ref="AQ5:AT5"/>
    <mergeCell ref="AU5:AX5"/>
    <mergeCell ref="AY5:BB5"/>
    <mergeCell ref="A6:H6"/>
    <mergeCell ref="I6:L6"/>
    <mergeCell ref="M6:Q6"/>
    <mergeCell ref="AI11:AL11"/>
    <mergeCell ref="AM11:AP11"/>
    <mergeCell ref="AQ11:AT11"/>
    <mergeCell ref="AU11:AX11"/>
    <mergeCell ref="AY11:BB11"/>
    <mergeCell ref="BC11:BF11"/>
    <mergeCell ref="BG11:BJ11"/>
    <mergeCell ref="R39:V39"/>
    <mergeCell ref="W39:Z39"/>
    <mergeCell ref="AA39:AD39"/>
    <mergeCell ref="AE39:AH39"/>
    <mergeCell ref="AQ39:AT39"/>
    <mergeCell ref="BK6:BN6"/>
    <mergeCell ref="BO6:BR6"/>
    <mergeCell ref="AI55:AL55"/>
    <mergeCell ref="AM55:AP55"/>
    <mergeCell ref="AQ55:AT55"/>
    <mergeCell ref="AU55:AX55"/>
    <mergeCell ref="R34:V34"/>
    <mergeCell ref="W34:Z34"/>
    <mergeCell ref="AA34:AD34"/>
    <mergeCell ref="AM6:AP6"/>
    <mergeCell ref="AQ6:AT6"/>
    <mergeCell ref="AU6:AX6"/>
    <mergeCell ref="AY6:BB6"/>
    <mergeCell ref="BC6:BF6"/>
    <mergeCell ref="BG6:BJ6"/>
    <mergeCell ref="R6:V6"/>
    <mergeCell ref="W6:Z6"/>
    <mergeCell ref="AA6:AD6"/>
    <mergeCell ref="AE6:AH6"/>
    <mergeCell ref="BK7:BN7"/>
    <mergeCell ref="BO7:BR7"/>
    <mergeCell ref="BK11:BN11"/>
    <mergeCell ref="BO11:BR11"/>
    <mergeCell ref="AU51:AX51"/>
    <mergeCell ref="AY51:BB51"/>
    <mergeCell ref="BC51:BF51"/>
    <mergeCell ref="BO30:BR30"/>
    <mergeCell ref="AY33:BB33"/>
    <mergeCell ref="BC33:BF33"/>
    <mergeCell ref="BG33:BJ33"/>
    <mergeCell ref="BC28:BF28"/>
    <mergeCell ref="BG28:BJ28"/>
    <mergeCell ref="AI4:AL4"/>
    <mergeCell ref="AM4:AP4"/>
    <mergeCell ref="AQ4:AT4"/>
    <mergeCell ref="AU4:AX4"/>
    <mergeCell ref="AY4:BB4"/>
    <mergeCell ref="BC4:BF4"/>
    <mergeCell ref="BG4:BJ4"/>
    <mergeCell ref="BK4:BN4"/>
    <mergeCell ref="BK5:BN5"/>
    <mergeCell ref="BO4:BR4"/>
    <mergeCell ref="BS4:BV4"/>
    <mergeCell ref="BO5:BR5"/>
    <mergeCell ref="BS5:BV5"/>
    <mergeCell ref="A3:V3"/>
    <mergeCell ref="W3:BV3"/>
    <mergeCell ref="A4:H4"/>
    <mergeCell ref="I4:L4"/>
    <mergeCell ref="M4:Q4"/>
    <mergeCell ref="R4:V4"/>
    <mergeCell ref="W4:Z4"/>
    <mergeCell ref="AA4:AD4"/>
    <mergeCell ref="AE4:AH4"/>
    <mergeCell ref="A5:H5"/>
    <mergeCell ref="I5:L5"/>
    <mergeCell ref="M5:Q5"/>
    <mergeCell ref="R5:V5"/>
    <mergeCell ref="W5:Z5"/>
    <mergeCell ref="BS7:BV7"/>
    <mergeCell ref="BS8:BV8"/>
    <mergeCell ref="AI7:AL7"/>
    <mergeCell ref="AM7:AP7"/>
    <mergeCell ref="AQ7:AT7"/>
    <mergeCell ref="AU7:AX7"/>
    <mergeCell ref="AY7:BB7"/>
    <mergeCell ref="BC7:BF7"/>
    <mergeCell ref="BG7:BJ7"/>
    <mergeCell ref="A7:H7"/>
    <mergeCell ref="I7:L7"/>
    <mergeCell ref="M7:Q7"/>
    <mergeCell ref="R7:V7"/>
    <mergeCell ref="W7:Z7"/>
    <mergeCell ref="AA7:AD7"/>
    <mergeCell ref="AE7:AH7"/>
    <mergeCell ref="A8:H8"/>
    <mergeCell ref="I8:L8"/>
    <mergeCell ref="M8:Q8"/>
    <mergeCell ref="R8:V8"/>
    <mergeCell ref="W8:Z8"/>
    <mergeCell ref="AA8:AD8"/>
    <mergeCell ref="AE8:AH8"/>
    <mergeCell ref="BK8:BN8"/>
    <mergeCell ref="BO8:BR8"/>
    <mergeCell ref="AI8:AL8"/>
    <mergeCell ref="AM8:AP8"/>
    <mergeCell ref="AQ8:AT8"/>
    <mergeCell ref="AU8:AX8"/>
    <mergeCell ref="AY8:BB8"/>
    <mergeCell ref="BC8:BF8"/>
    <mergeCell ref="BG8:BJ8"/>
    <mergeCell ref="BK9:BN9"/>
    <mergeCell ref="BO9:BR9"/>
    <mergeCell ref="A10:H10"/>
    <mergeCell ref="I10:L10"/>
    <mergeCell ref="M10:Q10"/>
    <mergeCell ref="R10:V10"/>
    <mergeCell ref="W10:Z10"/>
    <mergeCell ref="AA10:AD10"/>
    <mergeCell ref="AE10:AH10"/>
    <mergeCell ref="A11:H11"/>
    <mergeCell ref="I11:L11"/>
    <mergeCell ref="M11:Q11"/>
    <mergeCell ref="R11:V11"/>
    <mergeCell ref="W11:Z11"/>
    <mergeCell ref="AA11:AD11"/>
    <mergeCell ref="AE11:AH11"/>
    <mergeCell ref="BS9:BV9"/>
    <mergeCell ref="AI9:AL9"/>
    <mergeCell ref="AM9:AP9"/>
    <mergeCell ref="AQ9:AT9"/>
    <mergeCell ref="AU9:AX9"/>
    <mergeCell ref="AY9:BB9"/>
    <mergeCell ref="BC9:BF9"/>
    <mergeCell ref="BG9:BJ9"/>
    <mergeCell ref="A9:H9"/>
    <mergeCell ref="I9:L9"/>
    <mergeCell ref="M9:Q9"/>
    <mergeCell ref="R9:V9"/>
    <mergeCell ref="W9:Z9"/>
    <mergeCell ref="AA9:AD9"/>
    <mergeCell ref="AE9:AH9"/>
    <mergeCell ref="BK10:BN10"/>
    <mergeCell ref="BO10:BR10"/>
    <mergeCell ref="BS10:BV10"/>
    <mergeCell ref="BK63:BN63"/>
    <mergeCell ref="BO63:BR63"/>
    <mergeCell ref="BS63:BV63"/>
    <mergeCell ref="AI63:AL63"/>
    <mergeCell ref="AM63:AP63"/>
    <mergeCell ref="AQ63:AT63"/>
    <mergeCell ref="AU63:AX63"/>
    <mergeCell ref="AY63:BB63"/>
    <mergeCell ref="BC63:BF63"/>
    <mergeCell ref="BG63:BJ63"/>
    <mergeCell ref="BK66:BN66"/>
    <mergeCell ref="BO66:BR66"/>
    <mergeCell ref="BS66:BV66"/>
    <mergeCell ref="AI66:AL66"/>
    <mergeCell ref="AM66:AP66"/>
    <mergeCell ref="BS11:BV11"/>
    <mergeCell ref="AI10:AL10"/>
    <mergeCell ref="AM10:AP10"/>
    <mergeCell ref="AQ10:AT10"/>
    <mergeCell ref="AU10:AX10"/>
    <mergeCell ref="AY10:BB10"/>
    <mergeCell ref="BC10:BF10"/>
    <mergeCell ref="BG10:BJ10"/>
    <mergeCell ref="BK56:BN56"/>
    <mergeCell ref="BO56:BR56"/>
    <mergeCell ref="BS56:BV56"/>
    <mergeCell ref="BC31:BF31"/>
    <mergeCell ref="BG31:BJ31"/>
    <mergeCell ref="BK32:BN32"/>
    <mergeCell ref="BO32:BR32"/>
    <mergeCell ref="BS32:BV32"/>
    <mergeCell ref="AI32:AL32"/>
    <mergeCell ref="A69:V69"/>
    <mergeCell ref="W69:Z69"/>
    <mergeCell ref="AA69:AD69"/>
    <mergeCell ref="AE69:AH69"/>
    <mergeCell ref="AI69:AL69"/>
    <mergeCell ref="AM69:AP69"/>
    <mergeCell ref="AQ69:AT69"/>
    <mergeCell ref="AU73:AX73"/>
    <mergeCell ref="AY73:BB73"/>
    <mergeCell ref="BC73:BF73"/>
    <mergeCell ref="BG73:BJ73"/>
    <mergeCell ref="BK73:BN73"/>
    <mergeCell ref="BO73:BR73"/>
    <mergeCell ref="A72:BV72"/>
    <mergeCell ref="A73:H73"/>
    <mergeCell ref="I73:L73"/>
    <mergeCell ref="M73:Q73"/>
    <mergeCell ref="R73:V73"/>
    <mergeCell ref="W73:Z73"/>
    <mergeCell ref="AA73:AD73"/>
    <mergeCell ref="BS73:BV73"/>
    <mergeCell ref="AM73:AP73"/>
    <mergeCell ref="AQ73:AT73"/>
    <mergeCell ref="AU69:AX69"/>
    <mergeCell ref="AY69:BB69"/>
    <mergeCell ref="BC69:BF69"/>
    <mergeCell ref="BG69:BJ69"/>
    <mergeCell ref="BK69:BN69"/>
    <mergeCell ref="BO69:BR69"/>
    <mergeCell ref="BS69:BV69"/>
    <mergeCell ref="BK83:BN83"/>
    <mergeCell ref="BO83:BR83"/>
    <mergeCell ref="BS83:BV83"/>
    <mergeCell ref="AI83:AL83"/>
    <mergeCell ref="AM83:AP83"/>
    <mergeCell ref="AQ83:AT83"/>
    <mergeCell ref="AU83:AX83"/>
    <mergeCell ref="AY83:BB83"/>
    <mergeCell ref="BC83:BF83"/>
    <mergeCell ref="BG83:BJ83"/>
    <mergeCell ref="AI79:AL79"/>
    <mergeCell ref="AM79:AP79"/>
    <mergeCell ref="AI81:AL81"/>
    <mergeCell ref="AM81:AP81"/>
    <mergeCell ref="AQ81:AT81"/>
    <mergeCell ref="AU81:AX81"/>
    <mergeCell ref="AY81:BB81"/>
    <mergeCell ref="BC81:BF81"/>
    <mergeCell ref="BG81:BJ81"/>
    <mergeCell ref="AU82:AX82"/>
    <mergeCell ref="AY82:BB82"/>
    <mergeCell ref="BC82:BF82"/>
    <mergeCell ref="BG82:BJ82"/>
    <mergeCell ref="I79:L79"/>
    <mergeCell ref="M79:Q79"/>
    <mergeCell ref="R79:V79"/>
    <mergeCell ref="W79:Z79"/>
    <mergeCell ref="AQ79:AT79"/>
    <mergeCell ref="AE80:AH80"/>
    <mergeCell ref="AI80:AL80"/>
    <mergeCell ref="AM80:AP80"/>
    <mergeCell ref="AQ80:AT80"/>
    <mergeCell ref="AU80:AX80"/>
    <mergeCell ref="AY80:BB80"/>
    <mergeCell ref="BC80:BF80"/>
    <mergeCell ref="BG80:BJ80"/>
    <mergeCell ref="A79:H79"/>
    <mergeCell ref="A80:H80"/>
    <mergeCell ref="I80:L80"/>
    <mergeCell ref="M80:Q80"/>
    <mergeCell ref="R80:V80"/>
    <mergeCell ref="W80:Z80"/>
    <mergeCell ref="AA80:AD80"/>
    <mergeCell ref="AA79:AD79"/>
    <mergeCell ref="AE79:AH79"/>
    <mergeCell ref="AU79:AX79"/>
    <mergeCell ref="AY79:BB79"/>
    <mergeCell ref="BC79:BF79"/>
    <mergeCell ref="BG79:BJ79"/>
    <mergeCell ref="A81:H81"/>
    <mergeCell ref="I81:L81"/>
    <mergeCell ref="M81:Q81"/>
    <mergeCell ref="R81:V81"/>
    <mergeCell ref="W81:Z81"/>
    <mergeCell ref="AA81:AD81"/>
    <mergeCell ref="AE81:AH81"/>
    <mergeCell ref="A83:H83"/>
    <mergeCell ref="I83:L83"/>
    <mergeCell ref="M83:Q83"/>
    <mergeCell ref="R83:V83"/>
    <mergeCell ref="W83:Z83"/>
    <mergeCell ref="AA83:AD83"/>
    <mergeCell ref="AE83:AH83"/>
    <mergeCell ref="AI86:AL86"/>
    <mergeCell ref="AM86:AP86"/>
    <mergeCell ref="AQ86:AT86"/>
    <mergeCell ref="A84:H84"/>
    <mergeCell ref="I84:L84"/>
    <mergeCell ref="M84:Q84"/>
    <mergeCell ref="R84:V84"/>
    <mergeCell ref="W84:Z84"/>
    <mergeCell ref="AA84:AD84"/>
    <mergeCell ref="AE84:AH84"/>
    <mergeCell ref="AI85:AL85"/>
    <mergeCell ref="AM85:AP85"/>
    <mergeCell ref="AQ85:AT85"/>
    <mergeCell ref="AI82:AL82"/>
    <mergeCell ref="AM82:AP82"/>
    <mergeCell ref="AQ82:AT82"/>
    <mergeCell ref="A82:H82"/>
    <mergeCell ref="I82:L82"/>
    <mergeCell ref="M82:Q82"/>
    <mergeCell ref="R82:V82"/>
    <mergeCell ref="W82:Z82"/>
    <mergeCell ref="AA82:AD82"/>
    <mergeCell ref="AE82:AH82"/>
    <mergeCell ref="AI84:AL84"/>
    <mergeCell ref="AM84:AP84"/>
    <mergeCell ref="AQ84:AT84"/>
    <mergeCell ref="AU84:AX84"/>
    <mergeCell ref="AY84:BB84"/>
    <mergeCell ref="BC84:BF84"/>
    <mergeCell ref="BG84:BJ84"/>
    <mergeCell ref="AU85:AX85"/>
    <mergeCell ref="AY85:BB85"/>
    <mergeCell ref="BC85:BF85"/>
    <mergeCell ref="BG85:BJ85"/>
    <mergeCell ref="A85:H85"/>
    <mergeCell ref="I85:L85"/>
    <mergeCell ref="M85:Q85"/>
    <mergeCell ref="R85:V85"/>
    <mergeCell ref="W85:Z85"/>
    <mergeCell ref="AA85:AD85"/>
    <mergeCell ref="AE85:AH85"/>
    <mergeCell ref="AU87:AX87"/>
    <mergeCell ref="AY87:BB87"/>
    <mergeCell ref="BC87:BF87"/>
    <mergeCell ref="BG87:BJ87"/>
    <mergeCell ref="BK87:BN87"/>
    <mergeCell ref="BO87:BR87"/>
    <mergeCell ref="AU86:AX86"/>
    <mergeCell ref="AY86:BB86"/>
    <mergeCell ref="BC86:BF86"/>
    <mergeCell ref="BG86:BJ86"/>
    <mergeCell ref="A86:H86"/>
    <mergeCell ref="I86:L86"/>
    <mergeCell ref="M86:Q86"/>
    <mergeCell ref="R86:V86"/>
    <mergeCell ref="W86:Z86"/>
    <mergeCell ref="AA86:AD86"/>
    <mergeCell ref="AE86:AH86"/>
    <mergeCell ref="BS87:BV87"/>
    <mergeCell ref="A87:V87"/>
    <mergeCell ref="W87:Z87"/>
    <mergeCell ref="AA87:AD87"/>
    <mergeCell ref="AE87:AH87"/>
    <mergeCell ref="AI87:AL87"/>
    <mergeCell ref="AM87:AP87"/>
    <mergeCell ref="AQ87:AT87"/>
    <mergeCell ref="A88:BW88"/>
    <mergeCell ref="AI61:AL61"/>
    <mergeCell ref="AM61:AP61"/>
    <mergeCell ref="AQ61:AT61"/>
    <mergeCell ref="AU61:AX61"/>
    <mergeCell ref="AY61:BB61"/>
    <mergeCell ref="BC61:BF61"/>
    <mergeCell ref="BG61:BJ61"/>
    <mergeCell ref="A61:H61"/>
    <mergeCell ref="I61:L61"/>
    <mergeCell ref="M61:Q61"/>
    <mergeCell ref="R61:V61"/>
    <mergeCell ref="W61:Z61"/>
    <mergeCell ref="AA61:AD61"/>
    <mergeCell ref="AE61:AH61"/>
    <mergeCell ref="BK65:BN65"/>
    <mergeCell ref="BO65:BR65"/>
    <mergeCell ref="AI65:AL65"/>
    <mergeCell ref="AM65:AP65"/>
    <mergeCell ref="AQ65:AT65"/>
    <mergeCell ref="AU65:AX65"/>
    <mergeCell ref="AY65:BB65"/>
    <mergeCell ref="BC65:BF65"/>
    <mergeCell ref="BG65:BJ65"/>
    <mergeCell ref="BK59:BN59"/>
    <mergeCell ref="BO59:BR59"/>
    <mergeCell ref="AI59:AL59"/>
    <mergeCell ref="AM59:AP59"/>
    <mergeCell ref="AQ59:AT59"/>
    <mergeCell ref="AU59:AX59"/>
    <mergeCell ref="AY59:BB59"/>
    <mergeCell ref="BC59:BF59"/>
    <mergeCell ref="BG59:BJ59"/>
    <mergeCell ref="BK60:BN60"/>
    <mergeCell ref="BO60:BR60"/>
    <mergeCell ref="BS60:BV60"/>
    <mergeCell ref="AI60:AL60"/>
    <mergeCell ref="AM60:AP60"/>
    <mergeCell ref="AQ60:AT60"/>
    <mergeCell ref="AU60:AX60"/>
    <mergeCell ref="AY60:BB60"/>
    <mergeCell ref="BC60:BF60"/>
    <mergeCell ref="BG60:BJ60"/>
    <mergeCell ref="A60:H60"/>
    <mergeCell ref="I60:L60"/>
    <mergeCell ref="M60:Q60"/>
    <mergeCell ref="R60:V60"/>
    <mergeCell ref="W60:Z60"/>
    <mergeCell ref="AA60:AD60"/>
    <mergeCell ref="AE60:AH60"/>
    <mergeCell ref="BK61:BN61"/>
    <mergeCell ref="BO61:BR61"/>
    <mergeCell ref="BS61:BV61"/>
    <mergeCell ref="A62:H62"/>
    <mergeCell ref="I62:L62"/>
    <mergeCell ref="M62:Q62"/>
    <mergeCell ref="R62:V62"/>
    <mergeCell ref="W62:Z62"/>
    <mergeCell ref="AA62:AD62"/>
    <mergeCell ref="AE62:AH62"/>
    <mergeCell ref="BK62:BN62"/>
    <mergeCell ref="BO62:BR62"/>
    <mergeCell ref="BS62:BV62"/>
    <mergeCell ref="AI62:AL62"/>
    <mergeCell ref="AM62:AP62"/>
    <mergeCell ref="AQ62:AT62"/>
    <mergeCell ref="AU62:AX62"/>
    <mergeCell ref="AY62:BB62"/>
    <mergeCell ref="BC62:BF62"/>
    <mergeCell ref="BG62:BJ62"/>
    <mergeCell ref="A63:H63"/>
    <mergeCell ref="I63:L63"/>
    <mergeCell ref="M63:Q63"/>
    <mergeCell ref="R63:V63"/>
    <mergeCell ref="W63:Z63"/>
    <mergeCell ref="AA63:AD63"/>
    <mergeCell ref="AE63:AH63"/>
    <mergeCell ref="BK64:BN64"/>
    <mergeCell ref="BO64:BR64"/>
    <mergeCell ref="BS64:BV64"/>
    <mergeCell ref="BS65:BV65"/>
    <mergeCell ref="AI64:AL64"/>
    <mergeCell ref="AM64:AP64"/>
    <mergeCell ref="AQ64:AT64"/>
    <mergeCell ref="AU64:AX64"/>
    <mergeCell ref="AY64:BB64"/>
    <mergeCell ref="BC64:BF64"/>
    <mergeCell ref="BG64:BJ64"/>
    <mergeCell ref="A64:H64"/>
    <mergeCell ref="I64:L64"/>
    <mergeCell ref="M64:Q64"/>
    <mergeCell ref="R64:V64"/>
    <mergeCell ref="W64:Z64"/>
    <mergeCell ref="AA64:AD64"/>
    <mergeCell ref="AE64:AH64"/>
    <mergeCell ref="A65:H65"/>
    <mergeCell ref="I65:L65"/>
    <mergeCell ref="M65:Q65"/>
    <mergeCell ref="R65:V65"/>
    <mergeCell ref="W65:Z65"/>
    <mergeCell ref="AA65:AD65"/>
    <mergeCell ref="AE65:AH65"/>
    <mergeCell ref="AQ66:AT66"/>
    <mergeCell ref="AU66:AX66"/>
    <mergeCell ref="AY66:BB66"/>
    <mergeCell ref="BC66:BF66"/>
    <mergeCell ref="BG66:BJ66"/>
    <mergeCell ref="A66:H66"/>
    <mergeCell ref="I66:L66"/>
    <mergeCell ref="M66:Q66"/>
    <mergeCell ref="R66:V66"/>
    <mergeCell ref="W66:Z66"/>
    <mergeCell ref="AA66:AD66"/>
    <mergeCell ref="AE66:AH66"/>
    <mergeCell ref="BK67:BN67"/>
    <mergeCell ref="BO67:BR67"/>
    <mergeCell ref="BS67:BV67"/>
    <mergeCell ref="BS68:BV68"/>
    <mergeCell ref="AI67:AL67"/>
    <mergeCell ref="AM67:AP67"/>
    <mergeCell ref="AQ67:AT67"/>
    <mergeCell ref="AU67:AX67"/>
    <mergeCell ref="AY67:BB67"/>
    <mergeCell ref="BC67:BF67"/>
    <mergeCell ref="BG67:BJ67"/>
    <mergeCell ref="A67:H67"/>
    <mergeCell ref="I67:L67"/>
    <mergeCell ref="M67:Q67"/>
    <mergeCell ref="R67:V67"/>
    <mergeCell ref="W67:Z67"/>
    <mergeCell ref="AA67:AD67"/>
    <mergeCell ref="AE67:AH67"/>
    <mergeCell ref="A68:H68"/>
    <mergeCell ref="I68:L68"/>
    <mergeCell ref="M68:Q68"/>
    <mergeCell ref="R68:V68"/>
    <mergeCell ref="W68:Z68"/>
    <mergeCell ref="AA68:AD68"/>
    <mergeCell ref="AE68:AH68"/>
    <mergeCell ref="BS84:BV84"/>
    <mergeCell ref="BK85:BN85"/>
    <mergeCell ref="BO85:BR85"/>
    <mergeCell ref="BS85:BV85"/>
    <mergeCell ref="BK68:BN68"/>
    <mergeCell ref="BO68:BR68"/>
    <mergeCell ref="BW74:BW86"/>
    <mergeCell ref="BK75:BN75"/>
    <mergeCell ref="BO75:BR75"/>
    <mergeCell ref="BS75:BV75"/>
    <mergeCell ref="BS77:BV77"/>
    <mergeCell ref="BS86:BV86"/>
    <mergeCell ref="BK76:BN76"/>
    <mergeCell ref="BK78:BN78"/>
    <mergeCell ref="BK79:BN79"/>
    <mergeCell ref="BO79:BR79"/>
    <mergeCell ref="BS79:BV79"/>
    <mergeCell ref="BK80:BN80"/>
    <mergeCell ref="BO80:BR80"/>
    <mergeCell ref="BS80:BV80"/>
    <mergeCell ref="BK81:BN81"/>
    <mergeCell ref="BO81:BR81"/>
    <mergeCell ref="BS81:BV81"/>
    <mergeCell ref="BK82:BN82"/>
    <mergeCell ref="BO82:BR82"/>
    <mergeCell ref="BS82:BV82"/>
    <mergeCell ref="BK84:BN84"/>
    <mergeCell ref="BO84:BR84"/>
    <mergeCell ref="BK86:BN86"/>
    <mergeCell ref="BO86:BR86"/>
    <mergeCell ref="AE38:AH38"/>
    <mergeCell ref="AI38:AL38"/>
    <mergeCell ref="A37:AO37"/>
    <mergeCell ref="A38:H38"/>
    <mergeCell ref="I38:L38"/>
    <mergeCell ref="M38:Q38"/>
    <mergeCell ref="R38:V38"/>
    <mergeCell ref="W38:Z38"/>
    <mergeCell ref="AA38:AD38"/>
    <mergeCell ref="BK34:BN34"/>
    <mergeCell ref="BO34:BR34"/>
    <mergeCell ref="AI34:AL34"/>
    <mergeCell ref="AM34:AP34"/>
    <mergeCell ref="AQ34:AT34"/>
    <mergeCell ref="AU34:AX34"/>
    <mergeCell ref="AY34:BB34"/>
    <mergeCell ref="BC34:BF34"/>
    <mergeCell ref="BG34:BJ34"/>
    <mergeCell ref="AU35:AX35"/>
    <mergeCell ref="AY35:BB35"/>
    <mergeCell ref="BC35:BF35"/>
    <mergeCell ref="BG35:BJ35"/>
    <mergeCell ref="BK35:BN35"/>
    <mergeCell ref="BO35:BR35"/>
    <mergeCell ref="AI41:AL41"/>
    <mergeCell ref="BK39:BN39"/>
    <mergeCell ref="BO39:BR39"/>
    <mergeCell ref="AI39:AL39"/>
    <mergeCell ref="AM39:AP39"/>
    <mergeCell ref="AU39:AX39"/>
    <mergeCell ref="AY39:BB39"/>
    <mergeCell ref="BC39:BF39"/>
    <mergeCell ref="BG39:BJ39"/>
    <mergeCell ref="BK40:BN40"/>
    <mergeCell ref="BO40:BR40"/>
    <mergeCell ref="BS35:BV35"/>
    <mergeCell ref="A35:V35"/>
    <mergeCell ref="W35:Z35"/>
    <mergeCell ref="AA35:AD35"/>
    <mergeCell ref="AE35:AH35"/>
    <mergeCell ref="AI35:AL35"/>
    <mergeCell ref="AM35:AP35"/>
    <mergeCell ref="AQ35:AT35"/>
    <mergeCell ref="BO38:BR38"/>
    <mergeCell ref="BS38:BV38"/>
    <mergeCell ref="BS39:BV39"/>
    <mergeCell ref="AM38:AP38"/>
    <mergeCell ref="AQ38:AT38"/>
    <mergeCell ref="AU38:AX38"/>
    <mergeCell ref="AY38:BB38"/>
    <mergeCell ref="BC38:BF38"/>
    <mergeCell ref="BG38:BJ38"/>
    <mergeCell ref="BK38:BN38"/>
    <mergeCell ref="A39:H39"/>
    <mergeCell ref="I39:L39"/>
    <mergeCell ref="M39:Q39"/>
    <mergeCell ref="A40:H40"/>
    <mergeCell ref="I40:L40"/>
    <mergeCell ref="M40:Q40"/>
    <mergeCell ref="R40:V40"/>
    <mergeCell ref="W40:Z40"/>
    <mergeCell ref="AA40:AD40"/>
    <mergeCell ref="AE40:AH40"/>
    <mergeCell ref="BK41:BN41"/>
    <mergeCell ref="BO41:BR41"/>
    <mergeCell ref="BS41:BV41"/>
    <mergeCell ref="BC41:BF41"/>
    <mergeCell ref="BG41:BJ41"/>
    <mergeCell ref="A41:H41"/>
    <mergeCell ref="I41:L41"/>
    <mergeCell ref="M41:Q41"/>
    <mergeCell ref="R41:V41"/>
    <mergeCell ref="W41:Z41"/>
    <mergeCell ref="AA41:AD41"/>
    <mergeCell ref="AE41:AH41"/>
    <mergeCell ref="AM41:AP41"/>
    <mergeCell ref="AQ41:AT41"/>
    <mergeCell ref="AU41:AX41"/>
    <mergeCell ref="AY41:BB41"/>
    <mergeCell ref="BK42:BN42"/>
    <mergeCell ref="BO42:BR42"/>
    <mergeCell ref="AI42:AL42"/>
    <mergeCell ref="AM42:AP42"/>
    <mergeCell ref="AQ42:AT42"/>
    <mergeCell ref="AU42:AX42"/>
    <mergeCell ref="AY42:BB42"/>
    <mergeCell ref="BC42:BF42"/>
    <mergeCell ref="BG42:BJ42"/>
    <mergeCell ref="BK43:BN43"/>
    <mergeCell ref="BS40:BV40"/>
    <mergeCell ref="AI40:AL40"/>
    <mergeCell ref="AM40:AP40"/>
    <mergeCell ref="AQ40:AT40"/>
    <mergeCell ref="AU40:AX40"/>
    <mergeCell ref="AY40:BB40"/>
    <mergeCell ref="BC40:BF40"/>
    <mergeCell ref="BG40:BJ40"/>
    <mergeCell ref="A43:H43"/>
    <mergeCell ref="I43:L43"/>
    <mergeCell ref="M43:Q43"/>
    <mergeCell ref="R43:V43"/>
    <mergeCell ref="W43:Z43"/>
    <mergeCell ref="AA43:AD43"/>
    <mergeCell ref="AE43:AH43"/>
    <mergeCell ref="BK44:BN44"/>
    <mergeCell ref="BO44:BR44"/>
    <mergeCell ref="BS44:BV44"/>
    <mergeCell ref="BS42:BV42"/>
    <mergeCell ref="A42:H42"/>
    <mergeCell ref="I42:L42"/>
    <mergeCell ref="M42:Q42"/>
    <mergeCell ref="R42:V42"/>
    <mergeCell ref="W42:Z42"/>
    <mergeCell ref="AA42:AD42"/>
    <mergeCell ref="AE42:AH42"/>
    <mergeCell ref="AI44:AL44"/>
    <mergeCell ref="AM44:AP44"/>
    <mergeCell ref="AQ44:AT44"/>
    <mergeCell ref="AU44:AX44"/>
    <mergeCell ref="AY44:BB44"/>
    <mergeCell ref="BC44:BF44"/>
    <mergeCell ref="BG44:BJ44"/>
    <mergeCell ref="A44:H44"/>
    <mergeCell ref="I44:L44"/>
    <mergeCell ref="M44:Q44"/>
    <mergeCell ref="R44:V44"/>
    <mergeCell ref="W44:Z44"/>
    <mergeCell ref="AA44:AD44"/>
    <mergeCell ref="AE44:AH44"/>
    <mergeCell ref="BK45:BN45"/>
    <mergeCell ref="BO45:BR45"/>
    <mergeCell ref="AI45:AL45"/>
    <mergeCell ref="AM45:AP45"/>
    <mergeCell ref="AQ45:AT45"/>
    <mergeCell ref="AU45:AX45"/>
    <mergeCell ref="AY45:BB45"/>
    <mergeCell ref="BC45:BF45"/>
    <mergeCell ref="BG45:BJ45"/>
    <mergeCell ref="BK46:BN46"/>
    <mergeCell ref="BO43:BR43"/>
    <mergeCell ref="BS43:BV43"/>
    <mergeCell ref="AI43:AL43"/>
    <mergeCell ref="AM43:AP43"/>
    <mergeCell ref="AQ43:AT43"/>
    <mergeCell ref="AU43:AX43"/>
    <mergeCell ref="AY43:BB43"/>
    <mergeCell ref="BC43:BF43"/>
    <mergeCell ref="BG43:BJ43"/>
    <mergeCell ref="A46:H46"/>
    <mergeCell ref="I46:L46"/>
    <mergeCell ref="M46:Q46"/>
    <mergeCell ref="R46:V46"/>
    <mergeCell ref="W46:Z46"/>
    <mergeCell ref="AA46:AD46"/>
    <mergeCell ref="AE46:AH46"/>
    <mergeCell ref="BK47:BN47"/>
    <mergeCell ref="BO47:BR47"/>
    <mergeCell ref="BS47:BV47"/>
    <mergeCell ref="BS45:BV45"/>
    <mergeCell ref="A45:H45"/>
    <mergeCell ref="I45:L45"/>
    <mergeCell ref="M45:Q45"/>
    <mergeCell ref="R45:V45"/>
    <mergeCell ref="W45:Z45"/>
    <mergeCell ref="AA45:AD45"/>
    <mergeCell ref="AE45:AH45"/>
    <mergeCell ref="AI47:AL47"/>
    <mergeCell ref="AM47:AP47"/>
    <mergeCell ref="AQ47:AT47"/>
    <mergeCell ref="AU47:AX47"/>
    <mergeCell ref="AY47:BB47"/>
    <mergeCell ref="BC47:BF47"/>
    <mergeCell ref="BG47:BJ47"/>
    <mergeCell ref="A47:H47"/>
    <mergeCell ref="I47:L47"/>
    <mergeCell ref="M47:Q47"/>
    <mergeCell ref="R47:V47"/>
    <mergeCell ref="W47:Z47"/>
    <mergeCell ref="AA47:AD47"/>
    <mergeCell ref="AE47:AH47"/>
    <mergeCell ref="BK48:BN48"/>
    <mergeCell ref="BO48:BR48"/>
    <mergeCell ref="AI48:AL48"/>
    <mergeCell ref="AM48:AP48"/>
    <mergeCell ref="AQ48:AT48"/>
    <mergeCell ref="AU48:AX48"/>
    <mergeCell ref="AY48:BB48"/>
    <mergeCell ref="BC48:BF48"/>
    <mergeCell ref="BG48:BJ48"/>
    <mergeCell ref="BK49:BN49"/>
    <mergeCell ref="BO46:BR46"/>
    <mergeCell ref="BS46:BV46"/>
    <mergeCell ref="AI46:AL46"/>
    <mergeCell ref="AM46:AP46"/>
    <mergeCell ref="AQ46:AT46"/>
    <mergeCell ref="AU46:AX46"/>
    <mergeCell ref="AY46:BB46"/>
    <mergeCell ref="BC46:BF46"/>
    <mergeCell ref="BG46:BJ46"/>
    <mergeCell ref="A49:H49"/>
    <mergeCell ref="I49:L49"/>
    <mergeCell ref="M49:Q49"/>
    <mergeCell ref="R49:V49"/>
    <mergeCell ref="W49:Z49"/>
    <mergeCell ref="AA49:AD49"/>
    <mergeCell ref="AE49:AH49"/>
    <mergeCell ref="BK50:BN50"/>
    <mergeCell ref="BO50:BR50"/>
    <mergeCell ref="BS50:BV50"/>
    <mergeCell ref="BS48:BV48"/>
    <mergeCell ref="A48:H48"/>
    <mergeCell ref="I48:L48"/>
    <mergeCell ref="M48:Q48"/>
    <mergeCell ref="R48:V48"/>
    <mergeCell ref="W48:Z48"/>
    <mergeCell ref="AA48:AD48"/>
    <mergeCell ref="AE48:AH48"/>
    <mergeCell ref="AI50:AL50"/>
    <mergeCell ref="AM50:AP50"/>
    <mergeCell ref="AQ50:AT50"/>
    <mergeCell ref="AU50:AX50"/>
    <mergeCell ref="AY50:BB50"/>
    <mergeCell ref="BC50:BF50"/>
    <mergeCell ref="BG50:BJ50"/>
    <mergeCell ref="A50:H50"/>
    <mergeCell ref="I50:L50"/>
    <mergeCell ref="M50:Q50"/>
    <mergeCell ref="R50:V50"/>
    <mergeCell ref="W50:Z50"/>
    <mergeCell ref="AA50:AD50"/>
    <mergeCell ref="AE50:AH50"/>
    <mergeCell ref="BC56:BF56"/>
    <mergeCell ref="BG56:BJ56"/>
    <mergeCell ref="AA56:AD56"/>
    <mergeCell ref="AE56:AH56"/>
    <mergeCell ref="AI56:AL56"/>
    <mergeCell ref="AM56:AP56"/>
    <mergeCell ref="AQ56:AT56"/>
    <mergeCell ref="AU56:AX56"/>
    <mergeCell ref="AY56:BB56"/>
    <mergeCell ref="BO49:BR49"/>
    <mergeCell ref="BS49:BV49"/>
    <mergeCell ref="AI49:AL49"/>
    <mergeCell ref="AM49:AP49"/>
    <mergeCell ref="AQ49:AT49"/>
    <mergeCell ref="AU49:AX49"/>
    <mergeCell ref="AY49:BB49"/>
    <mergeCell ref="BC49:BF49"/>
    <mergeCell ref="BG49:BJ49"/>
    <mergeCell ref="AA55:AD55"/>
    <mergeCell ref="AE55:AH55"/>
    <mergeCell ref="BK57:BN57"/>
    <mergeCell ref="BO57:BR57"/>
    <mergeCell ref="BS57:BV57"/>
    <mergeCell ref="AI57:AL57"/>
    <mergeCell ref="AM57:AP57"/>
    <mergeCell ref="AQ57:AT57"/>
    <mergeCell ref="AU57:AX57"/>
    <mergeCell ref="AY57:BB57"/>
    <mergeCell ref="BC57:BF57"/>
    <mergeCell ref="BG57:BJ57"/>
    <mergeCell ref="A57:H57"/>
    <mergeCell ref="I57:L57"/>
    <mergeCell ref="M57:Q57"/>
    <mergeCell ref="R57:V57"/>
    <mergeCell ref="W57:Z57"/>
    <mergeCell ref="AA57:AD57"/>
    <mergeCell ref="AE57:AH57"/>
    <mergeCell ref="BK58:BN58"/>
    <mergeCell ref="BO58:BR58"/>
    <mergeCell ref="BS58:BV58"/>
    <mergeCell ref="BS59:BV59"/>
    <mergeCell ref="A59:H59"/>
    <mergeCell ref="I59:L59"/>
    <mergeCell ref="M59:Q59"/>
    <mergeCell ref="R59:V59"/>
    <mergeCell ref="W59:Z59"/>
    <mergeCell ref="AA59:AD59"/>
    <mergeCell ref="AE59:AH59"/>
    <mergeCell ref="AI68:AL68"/>
    <mergeCell ref="AM68:AP68"/>
    <mergeCell ref="AQ68:AT68"/>
    <mergeCell ref="AU68:AX68"/>
    <mergeCell ref="AY68:BB68"/>
    <mergeCell ref="BC68:BF68"/>
    <mergeCell ref="BG68:BJ68"/>
    <mergeCell ref="AI58:AL58"/>
    <mergeCell ref="AM58:AP58"/>
    <mergeCell ref="AQ58:AT58"/>
    <mergeCell ref="AU58:AX58"/>
    <mergeCell ref="AY58:BB58"/>
    <mergeCell ref="BC58:BF58"/>
    <mergeCell ref="BG58:BJ58"/>
    <mergeCell ref="A58:H58"/>
    <mergeCell ref="I58:L58"/>
    <mergeCell ref="M58:Q58"/>
    <mergeCell ref="R58:V58"/>
    <mergeCell ref="W58:Z58"/>
    <mergeCell ref="AA58:AD58"/>
    <mergeCell ref="AE58:AH58"/>
    <mergeCell ref="AM75:AP75"/>
    <mergeCell ref="AQ75:AT75"/>
    <mergeCell ref="AU75:AX75"/>
    <mergeCell ref="AY75:BB75"/>
    <mergeCell ref="BC75:BF75"/>
    <mergeCell ref="BG75:BJ75"/>
    <mergeCell ref="BO76:BR76"/>
    <mergeCell ref="BS76:BV76"/>
    <mergeCell ref="AI76:AL76"/>
    <mergeCell ref="AM76:AP76"/>
    <mergeCell ref="AQ76:AT76"/>
    <mergeCell ref="AU76:AX76"/>
    <mergeCell ref="AY76:BB76"/>
    <mergeCell ref="BC76:BF76"/>
    <mergeCell ref="BG76:BJ76"/>
    <mergeCell ref="BK77:BN77"/>
    <mergeCell ref="BO77:BR77"/>
    <mergeCell ref="AE73:AH73"/>
    <mergeCell ref="AI73:AL73"/>
    <mergeCell ref="A74:H74"/>
    <mergeCell ref="I74:L74"/>
    <mergeCell ref="M74:Q74"/>
    <mergeCell ref="R74:V74"/>
    <mergeCell ref="W74:Z74"/>
    <mergeCell ref="AI78:AL78"/>
    <mergeCell ref="AM78:AP78"/>
    <mergeCell ref="AQ78:AT78"/>
    <mergeCell ref="AU78:AX78"/>
    <mergeCell ref="AY78:BB78"/>
    <mergeCell ref="BC78:BF78"/>
    <mergeCell ref="BG78:BJ78"/>
    <mergeCell ref="AI77:AL77"/>
    <mergeCell ref="AM77:AP77"/>
    <mergeCell ref="AQ77:AT77"/>
    <mergeCell ref="AU77:AX77"/>
    <mergeCell ref="AY77:BB77"/>
    <mergeCell ref="BC77:BF77"/>
    <mergeCell ref="BG77:BJ77"/>
    <mergeCell ref="A77:H77"/>
    <mergeCell ref="I77:L77"/>
    <mergeCell ref="M77:Q77"/>
    <mergeCell ref="R77:V77"/>
    <mergeCell ref="W77:Z77"/>
    <mergeCell ref="AA77:AD77"/>
    <mergeCell ref="AE77:AH77"/>
    <mergeCell ref="A78:H78"/>
    <mergeCell ref="I78:L78"/>
    <mergeCell ref="M78:Q78"/>
    <mergeCell ref="R78:V78"/>
    <mergeCell ref="A75:H75"/>
    <mergeCell ref="I75:L75"/>
    <mergeCell ref="M75:Q75"/>
    <mergeCell ref="R75:V75"/>
    <mergeCell ref="W75:Z75"/>
    <mergeCell ref="AA75:AD75"/>
    <mergeCell ref="AE75:AH75"/>
    <mergeCell ref="A76:H76"/>
    <mergeCell ref="I76:L76"/>
    <mergeCell ref="M76:Q76"/>
    <mergeCell ref="R76:V76"/>
    <mergeCell ref="W76:Z76"/>
    <mergeCell ref="AA76:AD76"/>
    <mergeCell ref="AE76:AH76"/>
    <mergeCell ref="BO78:BR78"/>
    <mergeCell ref="BS78:BV78"/>
    <mergeCell ref="AA74:AD74"/>
    <mergeCell ref="AE74:AH74"/>
    <mergeCell ref="BK74:BN74"/>
    <mergeCell ref="BO74:BR74"/>
    <mergeCell ref="BS74:BV74"/>
    <mergeCell ref="AI74:AL74"/>
    <mergeCell ref="AM74:AP74"/>
    <mergeCell ref="AQ74:AT74"/>
    <mergeCell ref="AU74:AX74"/>
    <mergeCell ref="AY74:BB74"/>
    <mergeCell ref="BC74:BF74"/>
    <mergeCell ref="BG74:BJ74"/>
    <mergeCell ref="W78:Z78"/>
    <mergeCell ref="AA78:AD78"/>
    <mergeCell ref="AE78:AH78"/>
    <mergeCell ref="AI75:AL75"/>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D538-F3CD-4F94-ABD3-CBC84B7F5BD6}">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BC1000"/>
  <sheetViews>
    <sheetView showFormulas="1" topLeftCell="J90" workbookViewId="0">
      <selection activeCell="O103" sqref="O103"/>
    </sheetView>
  </sheetViews>
  <sheetFormatPr defaultColWidth="14.42578125" defaultRowHeight="15" customHeight="1"/>
  <cols>
    <col min="1" max="1" width="26.5703125" customWidth="1"/>
    <col min="2" max="11" width="8.85546875" customWidth="1"/>
    <col min="12" max="55" width="8.7109375" customWidth="1"/>
  </cols>
  <sheetData>
    <row r="2" spans="1:15">
      <c r="A2" s="180" t="s">
        <v>736</v>
      </c>
      <c r="D2" s="180" t="s">
        <v>737</v>
      </c>
    </row>
    <row r="3" spans="1:15">
      <c r="A3" s="157" t="s">
        <v>738</v>
      </c>
      <c r="D3" s="157" t="s">
        <v>2</v>
      </c>
      <c r="F3" s="157" t="s">
        <v>306</v>
      </c>
      <c r="H3" s="157">
        <v>2017</v>
      </c>
      <c r="K3" s="181" t="s">
        <v>739</v>
      </c>
    </row>
    <row r="4" spans="1:15">
      <c r="A4" s="157" t="s">
        <v>558</v>
      </c>
      <c r="D4" s="157" t="s">
        <v>10</v>
      </c>
      <c r="F4" s="157" t="s">
        <v>307</v>
      </c>
      <c r="H4" s="157">
        <v>2018</v>
      </c>
      <c r="K4" s="181" t="s">
        <v>740</v>
      </c>
    </row>
    <row r="5" spans="1:15">
      <c r="A5" s="157" t="s">
        <v>557</v>
      </c>
      <c r="D5" s="157" t="s">
        <v>741</v>
      </c>
      <c r="F5" s="157" t="s">
        <v>308</v>
      </c>
      <c r="H5" s="157">
        <v>2019</v>
      </c>
      <c r="K5" s="181" t="s">
        <v>742</v>
      </c>
    </row>
    <row r="6" spans="1:15">
      <c r="A6" s="157" t="s">
        <v>554</v>
      </c>
      <c r="D6" s="157" t="s">
        <v>45</v>
      </c>
      <c r="F6" s="157" t="s">
        <v>743</v>
      </c>
      <c r="H6" s="157">
        <v>2020</v>
      </c>
    </row>
    <row r="7" spans="1:15">
      <c r="A7" s="157" t="s">
        <v>744</v>
      </c>
      <c r="D7" s="157" t="s">
        <v>745</v>
      </c>
      <c r="F7" s="157" t="s">
        <v>296</v>
      </c>
      <c r="H7" s="157">
        <v>2021</v>
      </c>
    </row>
    <row r="8" spans="1:15">
      <c r="A8" s="157" t="s">
        <v>556</v>
      </c>
      <c r="D8" s="157" t="s">
        <v>746</v>
      </c>
      <c r="F8" s="157" t="s">
        <v>297</v>
      </c>
      <c r="H8" s="157">
        <v>2022</v>
      </c>
      <c r="K8" s="157"/>
    </row>
    <row r="9" spans="1:15">
      <c r="A9" s="157" t="s">
        <v>747</v>
      </c>
      <c r="D9" s="157" t="s">
        <v>748</v>
      </c>
      <c r="F9" s="157" t="s">
        <v>300</v>
      </c>
      <c r="H9" s="157">
        <v>2023</v>
      </c>
    </row>
    <row r="10" spans="1:15">
      <c r="D10" s="157" t="s">
        <v>749</v>
      </c>
      <c r="F10" s="157" t="s">
        <v>301</v>
      </c>
      <c r="H10" s="157">
        <v>2024</v>
      </c>
    </row>
    <row r="11" spans="1:15">
      <c r="A11" s="180" t="s">
        <v>343</v>
      </c>
      <c r="D11" s="157" t="s">
        <v>22</v>
      </c>
      <c r="F11" s="157" t="s">
        <v>302</v>
      </c>
      <c r="H11" s="157">
        <v>2025</v>
      </c>
      <c r="J11" s="157"/>
      <c r="O11" s="181" t="s">
        <v>750</v>
      </c>
    </row>
    <row r="12" spans="1:15">
      <c r="A12" s="157" t="s">
        <v>562</v>
      </c>
      <c r="D12" s="157" t="s">
        <v>8</v>
      </c>
      <c r="F12" s="157" t="s">
        <v>303</v>
      </c>
    </row>
    <row r="13" spans="1:15">
      <c r="A13" s="157" t="s">
        <v>751</v>
      </c>
      <c r="D13" s="157" t="s">
        <v>16</v>
      </c>
      <c r="F13" s="157" t="s">
        <v>752</v>
      </c>
      <c r="J13" s="157" t="s">
        <v>751</v>
      </c>
    </row>
    <row r="14" spans="1:15">
      <c r="A14" s="157" t="s">
        <v>747</v>
      </c>
      <c r="D14" s="157" t="s">
        <v>753</v>
      </c>
      <c r="F14" s="157" t="s">
        <v>305</v>
      </c>
    </row>
    <row r="16" spans="1:15">
      <c r="A16" s="180" t="s">
        <v>754</v>
      </c>
      <c r="O16" s="181" t="s">
        <v>755</v>
      </c>
    </row>
    <row r="17" spans="1:55">
      <c r="A17" s="157" t="s">
        <v>564</v>
      </c>
      <c r="D17" s="157" t="s">
        <v>756</v>
      </c>
      <c r="G17" s="157" t="s">
        <v>498</v>
      </c>
      <c r="J17" s="181" t="s">
        <v>757</v>
      </c>
      <c r="O17" s="181" t="s">
        <v>758</v>
      </c>
    </row>
    <row r="18" spans="1:55">
      <c r="A18" s="157" t="s">
        <v>565</v>
      </c>
      <c r="D18" s="157" t="s">
        <v>759</v>
      </c>
      <c r="J18" s="181" t="s">
        <v>760</v>
      </c>
      <c r="O18" s="181" t="s">
        <v>761</v>
      </c>
    </row>
    <row r="19" spans="1:55">
      <c r="D19" s="157" t="s">
        <v>762</v>
      </c>
      <c r="G19" s="157" t="s">
        <v>589</v>
      </c>
      <c r="J19" s="181" t="s">
        <v>763</v>
      </c>
      <c r="O19" s="181" t="s">
        <v>764</v>
      </c>
    </row>
    <row r="20" spans="1:55">
      <c r="A20" s="180" t="s">
        <v>765</v>
      </c>
      <c r="B20" s="180" t="s">
        <v>766</v>
      </c>
      <c r="D20" s="157" t="s">
        <v>767</v>
      </c>
      <c r="J20" s="181" t="s">
        <v>768</v>
      </c>
      <c r="O20" s="181" t="s">
        <v>769</v>
      </c>
    </row>
    <row r="21" spans="1:55" ht="15.75" customHeight="1">
      <c r="A21" s="182" t="s">
        <v>770</v>
      </c>
      <c r="B21" s="183">
        <v>4</v>
      </c>
      <c r="D21" s="157" t="s">
        <v>771</v>
      </c>
      <c r="J21" s="181" t="s">
        <v>772</v>
      </c>
    </row>
    <row r="22" spans="1:55" ht="15.75" customHeight="1">
      <c r="A22" s="182" t="s">
        <v>773</v>
      </c>
      <c r="B22" s="183">
        <v>2</v>
      </c>
      <c r="D22" s="157" t="s">
        <v>774</v>
      </c>
      <c r="J22" s="181" t="s">
        <v>775</v>
      </c>
    </row>
    <row r="23" spans="1:55" ht="15.75" customHeight="1">
      <c r="A23" s="182" t="s">
        <v>776</v>
      </c>
      <c r="B23" s="183">
        <v>5</v>
      </c>
      <c r="D23" s="157" t="s">
        <v>777</v>
      </c>
    </row>
    <row r="24" spans="1:55" ht="15.75" customHeight="1">
      <c r="A24" s="182" t="s">
        <v>778</v>
      </c>
      <c r="B24" s="183">
        <v>4</v>
      </c>
      <c r="D24" s="157" t="s">
        <v>779</v>
      </c>
    </row>
    <row r="25" spans="1:55" ht="15.75" customHeight="1">
      <c r="A25" s="184" t="s">
        <v>780</v>
      </c>
      <c r="B25" s="183">
        <v>1</v>
      </c>
      <c r="G25" s="157" t="s">
        <v>588</v>
      </c>
    </row>
    <row r="26" spans="1:55" ht="15.75" customHeight="1">
      <c r="A26" s="182" t="s">
        <v>781</v>
      </c>
      <c r="B26" s="183">
        <v>5</v>
      </c>
      <c r="D26" s="157"/>
    </row>
    <row r="27" spans="1:55" ht="15.75" customHeight="1">
      <c r="A27" s="182" t="s">
        <v>782</v>
      </c>
      <c r="B27" s="183">
        <v>3</v>
      </c>
      <c r="D27" s="157"/>
    </row>
    <row r="28" spans="1:55" ht="15.75" customHeight="1">
      <c r="A28" s="182" t="s">
        <v>783</v>
      </c>
      <c r="B28" s="183">
        <v>5</v>
      </c>
      <c r="D28" s="157"/>
      <c r="R28" s="979"/>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c r="BA28" s="378"/>
      <c r="BB28" s="378"/>
      <c r="BC28" s="379"/>
    </row>
    <row r="29" spans="1:55" ht="15.75" customHeight="1">
      <c r="A29" s="182" t="s">
        <v>784</v>
      </c>
      <c r="B29" s="183">
        <v>4</v>
      </c>
      <c r="D29" s="157"/>
      <c r="R29" s="980"/>
      <c r="S29" s="381"/>
      <c r="T29" s="381"/>
      <c r="U29" s="381"/>
      <c r="V29" s="381"/>
      <c r="W29" s="381"/>
      <c r="X29" s="381"/>
      <c r="Y29" s="381"/>
      <c r="Z29" s="381"/>
      <c r="AA29" s="381"/>
      <c r="AB29" s="381"/>
      <c r="AC29" s="381"/>
      <c r="AD29" s="381"/>
      <c r="AE29" s="381"/>
      <c r="AF29" s="381"/>
      <c r="AG29" s="381"/>
      <c r="AH29" s="381"/>
      <c r="AI29" s="381"/>
      <c r="AJ29" s="381"/>
      <c r="AK29" s="381"/>
      <c r="AL29" s="381"/>
      <c r="AM29" s="381"/>
      <c r="AN29" s="381"/>
      <c r="AO29" s="381"/>
      <c r="AP29" s="381"/>
      <c r="AQ29" s="381"/>
      <c r="AR29" s="381"/>
      <c r="AS29" s="381"/>
      <c r="AT29" s="381"/>
      <c r="AU29" s="381"/>
      <c r="AV29" s="381"/>
      <c r="AW29" s="381"/>
      <c r="AX29" s="381"/>
      <c r="AY29" s="381"/>
      <c r="AZ29" s="381"/>
      <c r="BA29" s="381"/>
      <c r="BB29" s="381"/>
      <c r="BC29" s="382"/>
    </row>
    <row r="30" spans="1:55" ht="15.75" customHeight="1">
      <c r="A30" s="182" t="s">
        <v>785</v>
      </c>
      <c r="B30" s="183">
        <v>6</v>
      </c>
      <c r="R30" s="980"/>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c r="BA30" s="381"/>
      <c r="BB30" s="381"/>
      <c r="BC30" s="382"/>
    </row>
    <row r="31" spans="1:55" ht="15.75" customHeight="1">
      <c r="A31" s="182" t="s">
        <v>786</v>
      </c>
      <c r="B31" s="183">
        <v>4</v>
      </c>
      <c r="R31" s="980"/>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c r="BA31" s="381"/>
      <c r="BB31" s="381"/>
      <c r="BC31" s="382"/>
    </row>
    <row r="32" spans="1:55" ht="15.75" customHeight="1">
      <c r="A32" s="182" t="s">
        <v>787</v>
      </c>
      <c r="B32" s="183">
        <v>2</v>
      </c>
      <c r="D32" s="157" t="s">
        <v>788</v>
      </c>
      <c r="J32" s="645" t="s">
        <v>789</v>
      </c>
      <c r="K32" s="350"/>
      <c r="L32" s="351"/>
      <c r="R32" s="980"/>
      <c r="S32" s="381"/>
      <c r="T32" s="381"/>
      <c r="U32" s="381"/>
      <c r="V32" s="381"/>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2"/>
    </row>
    <row r="33" spans="1:55" ht="15.75" customHeight="1">
      <c r="A33" s="182" t="s">
        <v>790</v>
      </c>
      <c r="B33" s="183">
        <v>6</v>
      </c>
      <c r="D33" s="157" t="s">
        <v>791</v>
      </c>
      <c r="J33" s="645" t="s">
        <v>792</v>
      </c>
      <c r="K33" s="350"/>
      <c r="L33" s="351"/>
      <c r="R33" s="980"/>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2"/>
    </row>
    <row r="34" spans="1:55" ht="15.75" customHeight="1">
      <c r="A34" s="182" t="s">
        <v>793</v>
      </c>
      <c r="B34" s="183">
        <v>2</v>
      </c>
      <c r="D34" s="157" t="s">
        <v>794</v>
      </c>
      <c r="J34" s="645" t="s">
        <v>795</v>
      </c>
      <c r="K34" s="350"/>
      <c r="L34" s="351"/>
      <c r="R34" s="980"/>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2"/>
    </row>
    <row r="35" spans="1:55" ht="15.75" customHeight="1">
      <c r="A35" s="184" t="s">
        <v>796</v>
      </c>
      <c r="B35" s="183">
        <v>1</v>
      </c>
      <c r="D35" s="157" t="s">
        <v>797</v>
      </c>
      <c r="J35" s="645" t="s">
        <v>798</v>
      </c>
      <c r="K35" s="350"/>
      <c r="L35" s="351"/>
      <c r="R35" s="438"/>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5"/>
    </row>
    <row r="36" spans="1:55" ht="15.75" customHeight="1">
      <c r="A36" s="182" t="s">
        <v>799</v>
      </c>
      <c r="B36" s="183">
        <v>2</v>
      </c>
    </row>
    <row r="37" spans="1:55" ht="15.75" customHeight="1">
      <c r="A37" s="182" t="s">
        <v>800</v>
      </c>
      <c r="B37" s="183">
        <v>4</v>
      </c>
    </row>
    <row r="38" spans="1:55" ht="15.75" customHeight="1">
      <c r="A38" s="182" t="s">
        <v>801</v>
      </c>
      <c r="B38" s="183">
        <v>3</v>
      </c>
    </row>
    <row r="39" spans="1:55" ht="15.75" customHeight="1">
      <c r="A39" s="182" t="s">
        <v>802</v>
      </c>
      <c r="B39" s="183">
        <v>2</v>
      </c>
    </row>
    <row r="40" spans="1:55" ht="15.75" customHeight="1">
      <c r="A40" s="182" t="s">
        <v>803</v>
      </c>
      <c r="B40" s="183">
        <v>5</v>
      </c>
    </row>
    <row r="41" spans="1:55" ht="15.75" customHeight="1">
      <c r="A41" s="182" t="s">
        <v>804</v>
      </c>
      <c r="B41" s="183">
        <v>4</v>
      </c>
    </row>
    <row r="42" spans="1:55" ht="15.75" customHeight="1">
      <c r="A42" s="182" t="s">
        <v>805</v>
      </c>
      <c r="B42" s="183">
        <v>5</v>
      </c>
      <c r="AS42" s="157" t="s">
        <v>806</v>
      </c>
      <c r="AT42" s="157"/>
      <c r="AU42" s="157"/>
      <c r="AV42" s="157"/>
      <c r="AW42" s="157"/>
      <c r="AX42" s="157"/>
      <c r="AY42" s="157"/>
    </row>
    <row r="43" spans="1:55" ht="15.75" customHeight="1">
      <c r="A43" s="182" t="s">
        <v>807</v>
      </c>
      <c r="B43" s="183">
        <v>5</v>
      </c>
      <c r="I43" s="181" t="s">
        <v>808</v>
      </c>
      <c r="O43" s="181" t="s">
        <v>605</v>
      </c>
      <c r="T43" s="181" t="s">
        <v>809</v>
      </c>
      <c r="AL43" s="181" t="s">
        <v>605</v>
      </c>
      <c r="AS43" s="157" t="s">
        <v>810</v>
      </c>
      <c r="AT43" s="157"/>
      <c r="AU43" s="157"/>
      <c r="AV43" s="157"/>
      <c r="AW43" s="157"/>
      <c r="AX43" s="157"/>
      <c r="AY43" s="157"/>
    </row>
    <row r="44" spans="1:55" ht="15.75" customHeight="1">
      <c r="A44" s="182" t="s">
        <v>811</v>
      </c>
      <c r="B44" s="183">
        <v>4</v>
      </c>
      <c r="I44" s="181" t="s">
        <v>812</v>
      </c>
      <c r="O44" s="181" t="s">
        <v>606</v>
      </c>
      <c r="T44" s="181" t="s">
        <v>623</v>
      </c>
      <c r="AL44" s="181" t="s">
        <v>606</v>
      </c>
      <c r="AS44" s="157" t="s">
        <v>813</v>
      </c>
      <c r="AT44" s="157"/>
      <c r="AU44" s="157"/>
      <c r="AV44" s="157"/>
      <c r="AW44" s="157"/>
      <c r="AX44" s="157"/>
      <c r="AY44" s="157"/>
    </row>
    <row r="45" spans="1:55" ht="15.75" customHeight="1">
      <c r="A45" s="184" t="s">
        <v>814</v>
      </c>
      <c r="B45" s="183">
        <v>1</v>
      </c>
      <c r="I45" s="181" t="s">
        <v>815</v>
      </c>
      <c r="O45" s="181" t="s">
        <v>607</v>
      </c>
      <c r="T45" s="181" t="s">
        <v>816</v>
      </c>
      <c r="AL45" s="181" t="s">
        <v>607</v>
      </c>
      <c r="AS45" s="157" t="s">
        <v>817</v>
      </c>
      <c r="AT45" s="157"/>
      <c r="AU45" s="157"/>
      <c r="AV45" s="157"/>
      <c r="AW45" s="157"/>
      <c r="AX45" s="157"/>
      <c r="AY45" s="157"/>
    </row>
    <row r="46" spans="1:55" ht="15.75" customHeight="1">
      <c r="A46" s="182" t="s">
        <v>818</v>
      </c>
      <c r="B46" s="183">
        <v>5</v>
      </c>
      <c r="I46" s="181" t="s">
        <v>819</v>
      </c>
      <c r="O46" s="181" t="s">
        <v>608</v>
      </c>
      <c r="T46" s="181" t="s">
        <v>820</v>
      </c>
      <c r="AL46" s="181" t="s">
        <v>608</v>
      </c>
      <c r="AS46" s="157" t="s">
        <v>821</v>
      </c>
      <c r="AT46" s="157"/>
      <c r="AU46" s="157"/>
      <c r="AV46" s="157"/>
      <c r="AW46" s="157"/>
      <c r="AX46" s="157"/>
      <c r="AY46" s="157"/>
    </row>
    <row r="47" spans="1:55" ht="15.75" customHeight="1">
      <c r="A47" s="182" t="s">
        <v>822</v>
      </c>
      <c r="B47" s="183">
        <v>6</v>
      </c>
      <c r="I47" s="181" t="s">
        <v>823</v>
      </c>
      <c r="O47" s="181" t="s">
        <v>609</v>
      </c>
      <c r="T47" s="181" t="s">
        <v>824</v>
      </c>
      <c r="AL47" s="181" t="s">
        <v>609</v>
      </c>
      <c r="AS47" s="157" t="s">
        <v>825</v>
      </c>
      <c r="AT47" s="157"/>
      <c r="AU47" s="157"/>
      <c r="AV47" s="157"/>
      <c r="AW47" s="157"/>
      <c r="AX47" s="157"/>
      <c r="AY47" s="157"/>
    </row>
    <row r="48" spans="1:55" ht="15.75" customHeight="1">
      <c r="A48" s="182" t="s">
        <v>826</v>
      </c>
      <c r="B48" s="183">
        <v>6</v>
      </c>
      <c r="I48" s="181" t="s">
        <v>827</v>
      </c>
      <c r="O48" s="181" t="s">
        <v>610</v>
      </c>
      <c r="T48" s="181" t="s">
        <v>828</v>
      </c>
      <c r="AL48" s="181" t="s">
        <v>610</v>
      </c>
      <c r="AS48" s="157" t="s">
        <v>829</v>
      </c>
      <c r="AT48" s="157"/>
      <c r="AU48" s="157"/>
      <c r="AV48" s="157"/>
      <c r="AW48" s="157"/>
      <c r="AX48" s="157"/>
      <c r="AY48" s="157"/>
    </row>
    <row r="49" spans="1:52" ht="15.75" customHeight="1">
      <c r="A49" s="182" t="s">
        <v>830</v>
      </c>
      <c r="B49" s="183">
        <v>2</v>
      </c>
      <c r="I49" s="181" t="s">
        <v>831</v>
      </c>
      <c r="O49" s="181" t="s">
        <v>832</v>
      </c>
      <c r="T49" s="181" t="s">
        <v>833</v>
      </c>
      <c r="AS49" s="157" t="s">
        <v>618</v>
      </c>
      <c r="AT49" s="157"/>
      <c r="AU49" s="157"/>
      <c r="AV49" s="157"/>
      <c r="AW49" s="157"/>
      <c r="AX49" s="157"/>
      <c r="AY49" s="157"/>
      <c r="AZ49" s="157"/>
    </row>
    <row r="50" spans="1:52" ht="15.75" customHeight="1">
      <c r="A50" s="182" t="s">
        <v>834</v>
      </c>
      <c r="B50" s="183">
        <v>5</v>
      </c>
      <c r="I50" s="181" t="s">
        <v>835</v>
      </c>
      <c r="O50" s="181" t="s">
        <v>836</v>
      </c>
      <c r="T50" s="181" t="s">
        <v>837</v>
      </c>
    </row>
    <row r="51" spans="1:52" ht="15.75" customHeight="1">
      <c r="A51" s="182" t="s">
        <v>838</v>
      </c>
      <c r="B51" s="183">
        <v>4</v>
      </c>
      <c r="I51" s="181" t="s">
        <v>839</v>
      </c>
      <c r="T51" s="181" t="s">
        <v>840</v>
      </c>
    </row>
    <row r="52" spans="1:52" ht="15.75" customHeight="1">
      <c r="A52" s="182" t="s">
        <v>841</v>
      </c>
      <c r="B52" s="183">
        <v>6</v>
      </c>
      <c r="M52" s="181" t="s">
        <v>788</v>
      </c>
      <c r="T52" s="181" t="s">
        <v>842</v>
      </c>
      <c r="AQ52" s="181" t="s">
        <v>843</v>
      </c>
    </row>
    <row r="53" spans="1:52" ht="15.75" customHeight="1">
      <c r="A53" s="182" t="s">
        <v>844</v>
      </c>
      <c r="B53" s="183">
        <v>2</v>
      </c>
      <c r="M53" s="181" t="s">
        <v>845</v>
      </c>
      <c r="T53" s="181" t="s">
        <v>846</v>
      </c>
    </row>
    <row r="54" spans="1:52" ht="15.75" customHeight="1">
      <c r="A54" s="182" t="s">
        <v>847</v>
      </c>
      <c r="B54" s="183">
        <v>6</v>
      </c>
      <c r="M54" s="181" t="s">
        <v>848</v>
      </c>
      <c r="T54" s="181" t="s">
        <v>849</v>
      </c>
    </row>
    <row r="55" spans="1:52" ht="15.75" customHeight="1">
      <c r="A55" s="184" t="s">
        <v>850</v>
      </c>
      <c r="B55" s="183">
        <v>1</v>
      </c>
      <c r="M55" s="181" t="s">
        <v>851</v>
      </c>
    </row>
    <row r="56" spans="1:52" ht="15.75" customHeight="1">
      <c r="A56" s="182" t="s">
        <v>852</v>
      </c>
      <c r="B56" s="183">
        <v>2</v>
      </c>
      <c r="M56" s="181" t="s">
        <v>853</v>
      </c>
    </row>
    <row r="57" spans="1:52" ht="15.75" customHeight="1">
      <c r="A57" s="182" t="s">
        <v>854</v>
      </c>
      <c r="B57" s="183">
        <v>3</v>
      </c>
      <c r="M57" s="181" t="s">
        <v>855</v>
      </c>
    </row>
    <row r="58" spans="1:52" ht="15.75" customHeight="1">
      <c r="A58" s="182" t="s">
        <v>856</v>
      </c>
      <c r="B58" s="183">
        <v>6</v>
      </c>
      <c r="M58" s="181" t="s">
        <v>747</v>
      </c>
    </row>
    <row r="59" spans="1:52" ht="15.75" customHeight="1">
      <c r="A59" s="182" t="s">
        <v>857</v>
      </c>
      <c r="B59" s="183">
        <v>4</v>
      </c>
    </row>
    <row r="60" spans="1:52" ht="15.75" customHeight="1">
      <c r="A60" s="182" t="s">
        <v>858</v>
      </c>
      <c r="B60" s="183">
        <v>5</v>
      </c>
    </row>
    <row r="61" spans="1:52" ht="15.75" customHeight="1">
      <c r="A61" s="182" t="s">
        <v>859</v>
      </c>
      <c r="B61" s="183">
        <v>6</v>
      </c>
    </row>
    <row r="62" spans="1:52" ht="15.75" customHeight="1">
      <c r="A62" s="182" t="s">
        <v>860</v>
      </c>
      <c r="B62" s="183">
        <v>4</v>
      </c>
    </row>
    <row r="63" spans="1:52" ht="15.75" customHeight="1">
      <c r="A63" s="182" t="s">
        <v>861</v>
      </c>
      <c r="B63" s="183">
        <v>3</v>
      </c>
    </row>
    <row r="64" spans="1:52" ht="15.75" customHeight="1">
      <c r="A64" s="182" t="s">
        <v>862</v>
      </c>
      <c r="B64" s="183">
        <v>3</v>
      </c>
      <c r="I64" s="181" t="s">
        <v>863</v>
      </c>
      <c r="L64" s="181" t="s">
        <v>864</v>
      </c>
    </row>
    <row r="65" spans="1:15" ht="15.75" customHeight="1">
      <c r="A65" s="182" t="s">
        <v>865</v>
      </c>
      <c r="B65" s="183">
        <v>6</v>
      </c>
      <c r="I65" s="181" t="s">
        <v>866</v>
      </c>
      <c r="L65" s="181" t="s">
        <v>867</v>
      </c>
    </row>
    <row r="66" spans="1:15" ht="15.75" customHeight="1">
      <c r="A66" s="182" t="s">
        <v>868</v>
      </c>
      <c r="B66" s="183">
        <v>4</v>
      </c>
      <c r="I66" s="181" t="s">
        <v>869</v>
      </c>
      <c r="L66" s="181" t="s">
        <v>704</v>
      </c>
    </row>
    <row r="67" spans="1:15" ht="15.75" customHeight="1">
      <c r="A67" s="182" t="s">
        <v>870</v>
      </c>
      <c r="B67" s="183">
        <v>4</v>
      </c>
      <c r="I67" s="181" t="s">
        <v>871</v>
      </c>
    </row>
    <row r="68" spans="1:15" ht="15.75" customHeight="1">
      <c r="A68" s="182" t="s">
        <v>872</v>
      </c>
      <c r="B68" s="183">
        <v>3</v>
      </c>
      <c r="I68" s="181" t="s">
        <v>873</v>
      </c>
      <c r="O68" s="181" t="s">
        <v>739</v>
      </c>
    </row>
    <row r="69" spans="1:15" ht="15.75" customHeight="1">
      <c r="A69" s="182" t="s">
        <v>874</v>
      </c>
      <c r="B69" s="183">
        <v>4</v>
      </c>
      <c r="I69" s="181" t="s">
        <v>875</v>
      </c>
      <c r="O69" s="181" t="s">
        <v>740</v>
      </c>
    </row>
    <row r="70" spans="1:15" ht="15.75" customHeight="1">
      <c r="A70" s="182" t="s">
        <v>876</v>
      </c>
      <c r="B70" s="183">
        <v>5</v>
      </c>
      <c r="O70" s="181" t="s">
        <v>742</v>
      </c>
    </row>
    <row r="71" spans="1:15" ht="15.75" customHeight="1">
      <c r="A71" s="182" t="s">
        <v>877</v>
      </c>
      <c r="B71" s="183">
        <v>6</v>
      </c>
    </row>
    <row r="72" spans="1:15" ht="15.75" customHeight="1">
      <c r="A72" s="184" t="s">
        <v>878</v>
      </c>
      <c r="B72" s="183">
        <v>1</v>
      </c>
    </row>
    <row r="73" spans="1:15" ht="15.75" customHeight="1">
      <c r="A73" s="182" t="s">
        <v>879</v>
      </c>
      <c r="B73" s="183">
        <v>3</v>
      </c>
    </row>
    <row r="74" spans="1:15" ht="15.75" customHeight="1">
      <c r="A74" s="182" t="s">
        <v>880</v>
      </c>
      <c r="B74" s="183">
        <v>3</v>
      </c>
    </row>
    <row r="75" spans="1:15" ht="15.75" customHeight="1">
      <c r="A75" s="182" t="s">
        <v>881</v>
      </c>
      <c r="B75" s="183">
        <v>6</v>
      </c>
    </row>
    <row r="76" spans="1:15" ht="15.75" customHeight="1">
      <c r="O76" s="181" t="s">
        <v>864</v>
      </c>
    </row>
    <row r="77" spans="1:15" ht="15.75" customHeight="1">
      <c r="O77" s="181" t="s">
        <v>867</v>
      </c>
    </row>
    <row r="78" spans="1:15" ht="15.75" customHeight="1">
      <c r="A78" s="185" t="s">
        <v>882</v>
      </c>
      <c r="D78" s="157" t="s">
        <v>883</v>
      </c>
      <c r="O78" s="181" t="s">
        <v>704</v>
      </c>
    </row>
    <row r="79" spans="1:15" ht="15.75" customHeight="1">
      <c r="A79" s="157" t="s">
        <v>498</v>
      </c>
      <c r="D79" s="157" t="s">
        <v>884</v>
      </c>
    </row>
    <row r="80" spans="1:15" ht="15.75" customHeight="1">
      <c r="A80" s="157" t="s">
        <v>588</v>
      </c>
      <c r="D80" s="157" t="s">
        <v>885</v>
      </c>
      <c r="J80" s="157" t="s">
        <v>886</v>
      </c>
      <c r="K80" s="157"/>
      <c r="L80" s="157"/>
    </row>
    <row r="81" spans="1:15" ht="15.75" customHeight="1">
      <c r="D81" s="157" t="s">
        <v>887</v>
      </c>
      <c r="J81" s="157" t="s">
        <v>616</v>
      </c>
      <c r="K81" s="157"/>
      <c r="L81" s="157"/>
      <c r="M81" s="157"/>
    </row>
    <row r="82" spans="1:15" ht="15.75" customHeight="1">
      <c r="J82" s="157" t="s">
        <v>617</v>
      </c>
      <c r="M82" s="157"/>
    </row>
    <row r="83" spans="1:15" ht="15.75" customHeight="1">
      <c r="A83" s="185" t="s">
        <v>888</v>
      </c>
      <c r="J83" s="157" t="s">
        <v>704</v>
      </c>
      <c r="K83" s="157"/>
      <c r="L83" s="157"/>
      <c r="M83" s="157"/>
    </row>
    <row r="84" spans="1:15" ht="15.75" customHeight="1">
      <c r="A84" s="157" t="s">
        <v>498</v>
      </c>
      <c r="J84" s="157"/>
      <c r="K84" s="157"/>
      <c r="L84" s="157"/>
      <c r="M84" s="157"/>
      <c r="O84" s="181" t="s">
        <v>739</v>
      </c>
    </row>
    <row r="85" spans="1:15" ht="15.75" customHeight="1">
      <c r="A85" s="157" t="s">
        <v>588</v>
      </c>
      <c r="K85" s="157"/>
      <c r="L85" s="157"/>
      <c r="M85" s="157"/>
      <c r="O85" s="181" t="s">
        <v>889</v>
      </c>
    </row>
    <row r="86" spans="1:15" ht="15.75" customHeight="1">
      <c r="D86" s="181" t="s">
        <v>498</v>
      </c>
      <c r="J86" s="157"/>
      <c r="K86" s="157"/>
      <c r="L86" s="157"/>
      <c r="M86" s="157"/>
      <c r="O86" s="181" t="s">
        <v>742</v>
      </c>
    </row>
    <row r="87" spans="1:15" ht="15.75" customHeight="1">
      <c r="D87" s="181" t="s">
        <v>588</v>
      </c>
      <c r="J87" s="157"/>
      <c r="K87" s="157"/>
      <c r="L87" s="157"/>
      <c r="M87" s="157"/>
    </row>
    <row r="88" spans="1:15" ht="15.75" customHeight="1">
      <c r="A88" s="185" t="s">
        <v>890</v>
      </c>
      <c r="D88" s="181" t="s">
        <v>589</v>
      </c>
      <c r="J88" s="157"/>
      <c r="K88" s="157"/>
      <c r="L88" s="157"/>
      <c r="M88" s="157"/>
    </row>
    <row r="89" spans="1:15" ht="15.75" customHeight="1">
      <c r="A89" s="157" t="s">
        <v>498</v>
      </c>
      <c r="H89" s="181" t="s">
        <v>498</v>
      </c>
    </row>
    <row r="90" spans="1:15" ht="15.75" customHeight="1">
      <c r="A90" s="157" t="s">
        <v>588</v>
      </c>
      <c r="H90" s="181" t="s">
        <v>588</v>
      </c>
    </row>
    <row r="91" spans="1:15" ht="15.75" customHeight="1">
      <c r="K91" s="181" t="s">
        <v>498</v>
      </c>
      <c r="O91" s="181" t="s">
        <v>498</v>
      </c>
    </row>
    <row r="92" spans="1:15" ht="15.75" customHeight="1">
      <c r="K92" s="181" t="s">
        <v>588</v>
      </c>
      <c r="O92" s="181" t="s">
        <v>588</v>
      </c>
    </row>
    <row r="93" spans="1:15" ht="15.75" customHeight="1">
      <c r="K93" s="181" t="s">
        <v>891</v>
      </c>
      <c r="O93" s="181" t="s">
        <v>892</v>
      </c>
    </row>
    <row r="94" spans="1:15" ht="15.75" customHeight="1">
      <c r="D94" s="181" t="s">
        <v>696</v>
      </c>
    </row>
    <row r="95" spans="1:15" ht="15.75" customHeight="1">
      <c r="D95" s="181" t="s">
        <v>697</v>
      </c>
    </row>
    <row r="96" spans="1:15" ht="15.75" customHeight="1">
      <c r="D96" s="181" t="s">
        <v>698</v>
      </c>
    </row>
    <row r="97" spans="4:15" ht="15.75" customHeight="1">
      <c r="D97" s="181" t="s">
        <v>699</v>
      </c>
    </row>
    <row r="98" spans="4:15" s="340" customFormat="1" ht="15.75" customHeight="1">
      <c r="D98" s="339" t="s">
        <v>700</v>
      </c>
      <c r="O98" s="342" t="s">
        <v>1085</v>
      </c>
    </row>
    <row r="99" spans="4:15" ht="15.75" customHeight="1">
      <c r="D99" s="181" t="s">
        <v>701</v>
      </c>
      <c r="O99" s="341" t="s">
        <v>1087</v>
      </c>
    </row>
    <row r="100" spans="4:15" ht="15.75" customHeight="1">
      <c r="D100" s="181" t="s">
        <v>702</v>
      </c>
      <c r="O100" s="341" t="s">
        <v>1086</v>
      </c>
    </row>
    <row r="101" spans="4:15" ht="15.75" customHeight="1">
      <c r="D101" s="181" t="s">
        <v>703</v>
      </c>
      <c r="O101" s="341" t="s">
        <v>1080</v>
      </c>
    </row>
    <row r="102" spans="4:15" ht="15.75" customHeight="1">
      <c r="D102" s="181" t="s">
        <v>704</v>
      </c>
      <c r="O102" s="341"/>
    </row>
    <row r="103" spans="4:15" ht="15.75" customHeight="1">
      <c r="O103" s="341"/>
    </row>
    <row r="104" spans="4:15" ht="15.75" customHeight="1">
      <c r="O104" s="341"/>
    </row>
    <row r="105" spans="4:15" ht="15.75" customHeight="1">
      <c r="D105" s="181" t="s">
        <v>707</v>
      </c>
      <c r="O105" s="341"/>
    </row>
    <row r="106" spans="4:15" ht="15.75" customHeight="1">
      <c r="D106" s="181" t="s">
        <v>708</v>
      </c>
      <c r="O106" s="341"/>
    </row>
    <row r="107" spans="4:15" ht="15.75" customHeight="1">
      <c r="D107" s="181" t="s">
        <v>709</v>
      </c>
      <c r="O107" s="341"/>
    </row>
    <row r="108" spans="4:15" ht="15.75" customHeight="1">
      <c r="D108" s="181" t="s">
        <v>710</v>
      </c>
      <c r="O108" s="341"/>
    </row>
    <row r="109" spans="4:15" ht="15.75" customHeight="1"/>
    <row r="110" spans="4:15" ht="15.75" customHeight="1"/>
    <row r="111" spans="4:15" ht="15.75" customHeight="1"/>
    <row r="112" spans="4: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J33:L33"/>
    <mergeCell ref="J34:L34"/>
    <mergeCell ref="J35:L35"/>
    <mergeCell ref="R34:BC34"/>
    <mergeCell ref="R35:BC35"/>
    <mergeCell ref="R33:BC33"/>
    <mergeCell ref="R28:BC28"/>
    <mergeCell ref="R29:BC29"/>
    <mergeCell ref="R30:BC30"/>
    <mergeCell ref="R31:BC31"/>
    <mergeCell ref="J32:L32"/>
    <mergeCell ref="R32:BC3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5F497A"/>
  </sheetPr>
  <dimension ref="A1:AW1000"/>
  <sheetViews>
    <sheetView workbookViewId="0">
      <selection sqref="A1:AK1"/>
    </sheetView>
  </sheetViews>
  <sheetFormatPr defaultColWidth="14.42578125" defaultRowHeight="15" customHeight="1"/>
  <cols>
    <col min="1" max="17" width="5.7109375" customWidth="1"/>
    <col min="18" max="18" width="6.85546875" customWidth="1"/>
    <col min="19" max="26" width="5.7109375" customWidth="1"/>
    <col min="27" max="27" width="6.5703125" customWidth="1"/>
    <col min="28" max="28" width="6.140625" customWidth="1"/>
    <col min="29" max="29" width="6.5703125" customWidth="1"/>
    <col min="30" max="30" width="10" customWidth="1"/>
    <col min="31" max="31" width="5.7109375" customWidth="1"/>
    <col min="32" max="32" width="12.28515625" customWidth="1"/>
    <col min="33" max="39" width="5.7109375" customWidth="1"/>
    <col min="40" max="49" width="4.7109375" customWidth="1"/>
  </cols>
  <sheetData>
    <row r="1" spans="1:37" ht="18.75">
      <c r="A1" s="748" t="s">
        <v>893</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8"/>
    </row>
    <row r="2" spans="1:37">
      <c r="A2" s="638" t="s">
        <v>894</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1"/>
    </row>
    <row r="3" spans="1:37">
      <c r="A3" s="468" t="s">
        <v>895</v>
      </c>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9"/>
    </row>
    <row r="4" spans="1:37">
      <c r="A4" s="412" t="s">
        <v>896</v>
      </c>
      <c r="B4" s="350"/>
      <c r="C4" s="350"/>
      <c r="D4" s="350"/>
      <c r="E4" s="351"/>
      <c r="F4" s="368"/>
      <c r="G4" s="350"/>
      <c r="H4" s="350"/>
      <c r="I4" s="350"/>
      <c r="J4" s="350"/>
      <c r="K4" s="350"/>
      <c r="L4" s="350"/>
      <c r="M4" s="350"/>
      <c r="N4" s="350"/>
      <c r="O4" s="350"/>
      <c r="P4" s="351"/>
      <c r="Q4" s="9"/>
      <c r="R4" s="98" t="s">
        <v>529</v>
      </c>
      <c r="S4" s="98"/>
      <c r="T4" s="98"/>
      <c r="U4" s="368">
        <f>'GRANTEE SET UP INFO &amp; DATE '!Z4</f>
        <v>0</v>
      </c>
      <c r="V4" s="350"/>
      <c r="W4" s="350"/>
      <c r="X4" s="350"/>
      <c r="Y4" s="350"/>
      <c r="Z4" s="350"/>
      <c r="AA4" s="350"/>
      <c r="AB4" s="350"/>
      <c r="AC4" s="351"/>
    </row>
    <row r="5" spans="1:37">
      <c r="A5" s="412" t="s">
        <v>897</v>
      </c>
      <c r="B5" s="350"/>
      <c r="C5" s="350"/>
      <c r="D5" s="350"/>
      <c r="E5" s="351"/>
      <c r="F5" s="368">
        <f>'GRANTEE SET UP INFO &amp; DATE '!H5</f>
        <v>0</v>
      </c>
      <c r="G5" s="350"/>
      <c r="H5" s="350"/>
      <c r="I5" s="350"/>
      <c r="J5" s="350"/>
      <c r="K5" s="350"/>
      <c r="L5" s="350"/>
      <c r="M5" s="350"/>
      <c r="N5" s="350"/>
      <c r="O5" s="350"/>
      <c r="P5" s="351"/>
      <c r="Q5" s="9"/>
      <c r="R5" s="98" t="s">
        <v>36</v>
      </c>
      <c r="S5" s="98"/>
      <c r="T5" s="98"/>
      <c r="U5" s="479" t="str">
        <f>'GRANTEE SET UP INFO &amp; DATE '!Z5</f>
        <v xml:space="preserve">Names of Contact(s): </v>
      </c>
      <c r="V5" s="350"/>
      <c r="W5" s="350"/>
      <c r="X5" s="350"/>
      <c r="Y5" s="350"/>
      <c r="Z5" s="350"/>
      <c r="AA5" s="350"/>
      <c r="AB5" s="350"/>
      <c r="AC5" s="351"/>
    </row>
    <row r="6" spans="1:37" ht="14.25" customHeight="1">
      <c r="A6" s="1074" t="s">
        <v>38</v>
      </c>
      <c r="B6" s="355"/>
      <c r="C6" s="355"/>
      <c r="D6" s="355"/>
      <c r="E6" s="356"/>
      <c r="F6" s="738">
        <f>'GRANTEE SET UP INFO &amp; DATE '!H6</f>
        <v>0</v>
      </c>
      <c r="G6" s="355"/>
      <c r="H6" s="355"/>
      <c r="I6" s="355"/>
      <c r="J6" s="355"/>
      <c r="K6" s="355"/>
      <c r="L6" s="355"/>
      <c r="M6" s="355"/>
      <c r="N6" s="355"/>
      <c r="O6" s="355"/>
      <c r="P6" s="356"/>
      <c r="Q6" s="9"/>
      <c r="R6" s="98" t="s">
        <v>531</v>
      </c>
      <c r="S6" s="98"/>
      <c r="T6" s="98"/>
      <c r="U6" s="368">
        <f>'GRANTEE SET UP INFO &amp; DATE '!Z6</f>
        <v>0</v>
      </c>
      <c r="V6" s="350"/>
      <c r="W6" s="350"/>
      <c r="X6" s="350"/>
      <c r="Y6" s="350"/>
      <c r="Z6" s="350"/>
      <c r="AA6" s="350"/>
      <c r="AB6" s="350"/>
      <c r="AC6" s="351"/>
    </row>
    <row r="7" spans="1:37">
      <c r="A7" s="360"/>
      <c r="B7" s="361"/>
      <c r="C7" s="361"/>
      <c r="D7" s="361"/>
      <c r="E7" s="362"/>
      <c r="F7" s="360"/>
      <c r="G7" s="361"/>
      <c r="H7" s="361"/>
      <c r="I7" s="361"/>
      <c r="J7" s="361"/>
      <c r="K7" s="361"/>
      <c r="L7" s="361"/>
      <c r="M7" s="361"/>
      <c r="N7" s="361"/>
      <c r="O7" s="361"/>
      <c r="P7" s="362"/>
      <c r="Q7" s="9"/>
      <c r="R7" s="412" t="s">
        <v>42</v>
      </c>
      <c r="S7" s="350"/>
      <c r="T7" s="351"/>
      <c r="U7" s="368">
        <f>'GRANTEE SET UP INFO &amp; DATE '!Z7</f>
        <v>0</v>
      </c>
      <c r="V7" s="350"/>
      <c r="W7" s="350"/>
      <c r="X7" s="350"/>
      <c r="Y7" s="350"/>
      <c r="Z7" s="350"/>
      <c r="AA7" s="350"/>
      <c r="AB7" s="350"/>
      <c r="AC7" s="351"/>
    </row>
    <row r="8" spans="1:37" ht="15" customHeight="1">
      <c r="A8" s="1063" t="s">
        <v>898</v>
      </c>
      <c r="B8" s="350"/>
      <c r="C8" s="350"/>
      <c r="D8" s="350"/>
      <c r="E8" s="351"/>
      <c r="F8" s="1064" t="str">
        <f>'GRANTEE SET UP INFO &amp; DATE '!H8</f>
        <v>June 1 - 30</v>
      </c>
      <c r="G8" s="350"/>
      <c r="H8" s="350"/>
      <c r="I8" s="350"/>
      <c r="J8" s="350"/>
      <c r="K8" s="350"/>
      <c r="L8" s="350"/>
      <c r="M8" s="351"/>
      <c r="N8" s="1064">
        <f>'GRANTEE SET UP INFO &amp; DATE '!P8</f>
        <v>2022</v>
      </c>
      <c r="O8" s="350"/>
      <c r="P8" s="351"/>
      <c r="Q8" s="104"/>
      <c r="R8" s="98" t="s">
        <v>533</v>
      </c>
      <c r="S8" s="98"/>
      <c r="T8" s="98"/>
      <c r="U8" s="1076">
        <f>'GRANTEE SET UP INFO &amp; DATE '!Z8</f>
        <v>0</v>
      </c>
      <c r="V8" s="350"/>
      <c r="W8" s="350"/>
      <c r="X8" s="350"/>
      <c r="Y8" s="350"/>
      <c r="Z8" s="350"/>
      <c r="AA8" s="350"/>
      <c r="AB8" s="350"/>
      <c r="AC8" s="351"/>
    </row>
    <row r="9" spans="1:37" ht="24.75" customHeight="1">
      <c r="A9" s="741" t="s">
        <v>899</v>
      </c>
      <c r="B9" s="378"/>
      <c r="C9" s="378"/>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495"/>
    </row>
    <row r="10" spans="1:37" ht="21" customHeight="1">
      <c r="A10" s="1066" t="s">
        <v>900</v>
      </c>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1"/>
    </row>
    <row r="11" spans="1:37">
      <c r="A11" s="394"/>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396"/>
    </row>
    <row r="12" spans="1:37" ht="30" customHeight="1">
      <c r="A12" s="1067" t="s">
        <v>901</v>
      </c>
      <c r="B12" s="381"/>
      <c r="C12" s="381"/>
      <c r="D12" s="381"/>
      <c r="E12" s="381"/>
      <c r="F12" s="381"/>
      <c r="G12" s="381"/>
      <c r="H12" s="381"/>
      <c r="I12" s="381"/>
      <c r="J12" s="381"/>
      <c r="K12" s="381"/>
      <c r="L12" s="381"/>
      <c r="M12" s="381"/>
      <c r="N12" s="382"/>
      <c r="O12" s="5"/>
      <c r="P12" s="989" t="s">
        <v>574</v>
      </c>
      <c r="Q12" s="351"/>
      <c r="AB12" s="1015"/>
      <c r="AC12" s="358"/>
    </row>
    <row r="13" spans="1:37" ht="30" customHeight="1">
      <c r="A13" s="1068" t="s">
        <v>902</v>
      </c>
      <c r="B13" s="381"/>
      <c r="C13" s="381"/>
      <c r="D13" s="381"/>
      <c r="E13" s="381"/>
      <c r="F13" s="381"/>
      <c r="G13" s="381"/>
      <c r="H13" s="381"/>
      <c r="I13" s="381"/>
      <c r="J13" s="381"/>
      <c r="K13" s="381"/>
      <c r="L13" s="381"/>
      <c r="M13" s="381"/>
      <c r="N13" s="382"/>
      <c r="O13" s="187"/>
      <c r="P13" s="1072" t="s">
        <v>903</v>
      </c>
      <c r="Q13" s="351"/>
      <c r="R13" s="109"/>
      <c r="S13" s="109"/>
      <c r="T13" s="109"/>
      <c r="U13" s="109"/>
      <c r="V13" s="109"/>
      <c r="W13" s="109"/>
      <c r="X13" s="108"/>
      <c r="Y13" s="108"/>
      <c r="Z13" s="108"/>
      <c r="AA13" s="108"/>
      <c r="AB13" s="1069"/>
      <c r="AC13" s="358"/>
    </row>
    <row r="14" spans="1:37" ht="16.5" customHeight="1">
      <c r="A14" s="1058" t="s">
        <v>904</v>
      </c>
      <c r="B14" s="381"/>
      <c r="C14" s="381"/>
      <c r="D14" s="381"/>
      <c r="E14" s="381"/>
      <c r="F14" s="381"/>
      <c r="G14" s="381"/>
      <c r="H14" s="381"/>
      <c r="I14" s="381"/>
      <c r="J14" s="381"/>
      <c r="K14" s="381"/>
      <c r="L14" s="381"/>
      <c r="M14" s="381"/>
      <c r="N14" s="428"/>
      <c r="O14" s="187"/>
      <c r="P14" s="1071">
        <f>COUNTIFS('refer admin discharge'!H20:H1020,"&gt;=01/01/2000",'refer admin discharge'!H20:H1020,"&lt;=06/30/2018")</f>
        <v>0</v>
      </c>
      <c r="Q14" s="351"/>
      <c r="R14" s="109"/>
      <c r="S14" s="109"/>
      <c r="T14" s="109"/>
      <c r="U14" s="109"/>
      <c r="V14" s="109"/>
      <c r="W14" s="109"/>
      <c r="X14" s="108"/>
      <c r="Y14" s="108"/>
      <c r="Z14" s="108"/>
      <c r="AA14" s="108"/>
      <c r="AB14" s="1070"/>
      <c r="AC14" s="358"/>
    </row>
    <row r="15" spans="1:37" ht="16.5" customHeight="1">
      <c r="A15" s="1054" t="s">
        <v>905</v>
      </c>
      <c r="B15" s="381"/>
      <c r="C15" s="381"/>
      <c r="D15" s="381"/>
      <c r="E15" s="381"/>
      <c r="F15" s="381"/>
      <c r="G15" s="381"/>
      <c r="H15" s="381"/>
      <c r="I15" s="381"/>
      <c r="J15" s="381"/>
      <c r="K15" s="381"/>
      <c r="L15" s="381"/>
      <c r="M15" s="381"/>
      <c r="N15" s="428"/>
      <c r="O15" s="189"/>
      <c r="P15" s="1071">
        <f>COUNTIFS('refer admin discharge'!H20:H1020,"&gt;=07/01/2018",'refer admin discharge'!H20:H1020,"&lt;=06/30/2019")</f>
        <v>0</v>
      </c>
      <c r="Q15" s="351"/>
      <c r="R15" s="109"/>
      <c r="S15" s="109"/>
      <c r="T15" s="109"/>
      <c r="U15" s="109"/>
      <c r="V15" s="109"/>
      <c r="W15" s="109"/>
      <c r="X15" s="108"/>
      <c r="Y15" s="108"/>
      <c r="Z15" s="108"/>
      <c r="AA15" s="108"/>
      <c r="AB15" s="1065"/>
      <c r="AC15" s="358"/>
    </row>
    <row r="16" spans="1:37" ht="16.5" customHeight="1">
      <c r="A16" s="1059" t="s">
        <v>546</v>
      </c>
      <c r="B16" s="381"/>
      <c r="C16" s="381"/>
      <c r="D16" s="381"/>
      <c r="E16" s="381"/>
      <c r="F16" s="381"/>
      <c r="G16" s="381"/>
      <c r="H16" s="381"/>
      <c r="I16" s="381"/>
      <c r="J16" s="381"/>
      <c r="K16" s="381"/>
      <c r="L16" s="381"/>
      <c r="M16" s="381"/>
      <c r="N16" s="382"/>
      <c r="O16" s="189"/>
      <c r="P16" s="1073">
        <f>COUNTIFS('refer admin discharge'!L30:L1020,"YES")</f>
        <v>0</v>
      </c>
      <c r="Q16" s="351"/>
      <c r="R16" s="164"/>
      <c r="S16" s="109"/>
      <c r="T16" s="109"/>
      <c r="U16" s="109"/>
      <c r="V16" s="109"/>
      <c r="W16" s="109"/>
      <c r="X16" s="109"/>
      <c r="Y16" s="108"/>
      <c r="Z16" s="108"/>
      <c r="AA16" s="108"/>
      <c r="AB16" s="190"/>
      <c r="AC16" s="190"/>
    </row>
    <row r="17" spans="1:36" ht="16.5" customHeight="1">
      <c r="A17" s="1060" t="s">
        <v>906</v>
      </c>
      <c r="B17" s="381"/>
      <c r="C17" s="381"/>
      <c r="D17" s="381"/>
      <c r="E17" s="381"/>
      <c r="F17" s="381"/>
      <c r="G17" s="381"/>
      <c r="H17" s="381"/>
      <c r="I17" s="381"/>
      <c r="J17" s="381"/>
      <c r="K17" s="381"/>
      <c r="L17" s="381"/>
      <c r="M17" s="381"/>
      <c r="N17" s="428"/>
      <c r="O17" s="189"/>
      <c r="P17" s="1071" t="e">
        <f>COUNTIFS(#REF!,"&gt;=07/01/2018",#REF!,"&lt;=06/30/2019")</f>
        <v>#REF!</v>
      </c>
      <c r="Q17" s="351"/>
      <c r="R17" s="109"/>
      <c r="S17" s="109"/>
      <c r="T17" s="109"/>
      <c r="U17" s="109"/>
      <c r="V17" s="109"/>
      <c r="W17" s="109"/>
      <c r="X17" s="108"/>
      <c r="Y17" s="108"/>
      <c r="Z17" s="108"/>
      <c r="AA17" s="108"/>
      <c r="AB17" s="1065"/>
      <c r="AC17" s="358"/>
    </row>
    <row r="18" spans="1:36" ht="16.5" customHeight="1">
      <c r="A18" s="1054" t="s">
        <v>548</v>
      </c>
      <c r="B18" s="381"/>
      <c r="C18" s="381"/>
      <c r="D18" s="381"/>
      <c r="E18" s="381"/>
      <c r="F18" s="381"/>
      <c r="G18" s="381"/>
      <c r="H18" s="381"/>
      <c r="I18" s="381"/>
      <c r="J18" s="381"/>
      <c r="K18" s="381"/>
      <c r="L18" s="381"/>
      <c r="M18" s="381"/>
      <c r="N18" s="428"/>
      <c r="O18" s="189"/>
      <c r="P18" s="1071" t="e">
        <f>P15-P17</f>
        <v>#REF!</v>
      </c>
      <c r="Q18" s="351"/>
      <c r="R18" s="109"/>
      <c r="S18" s="109"/>
      <c r="T18" s="109"/>
      <c r="U18" s="109"/>
      <c r="V18" s="109"/>
      <c r="W18" s="109"/>
      <c r="X18" s="108"/>
      <c r="Y18" s="108"/>
      <c r="Z18" s="108"/>
      <c r="AA18" s="108"/>
      <c r="AB18" s="1065"/>
      <c r="AC18" s="358"/>
    </row>
    <row r="19" spans="1:36" ht="16.5" customHeight="1">
      <c r="A19" s="1061" t="s">
        <v>549</v>
      </c>
      <c r="B19" s="381"/>
      <c r="C19" s="381"/>
      <c r="D19" s="381"/>
      <c r="E19" s="381"/>
      <c r="F19" s="381"/>
      <c r="G19" s="381"/>
      <c r="H19" s="381"/>
      <c r="I19" s="381"/>
      <c r="J19" s="381"/>
      <c r="K19" s="381"/>
      <c r="L19" s="381"/>
      <c r="M19" s="381"/>
      <c r="N19" s="428"/>
      <c r="O19" s="189"/>
      <c r="P19" s="1071">
        <f>P14+P15</f>
        <v>0</v>
      </c>
      <c r="Q19" s="351"/>
      <c r="R19" s="1078" t="s">
        <v>907</v>
      </c>
      <c r="S19" s="358"/>
      <c r="T19" s="191"/>
      <c r="U19" s="191"/>
      <c r="V19" s="191"/>
      <c r="W19" s="191"/>
      <c r="X19" s="191"/>
      <c r="Y19" s="108"/>
      <c r="Z19" s="108"/>
      <c r="AA19" s="108"/>
      <c r="AB19" s="1065"/>
      <c r="AC19" s="358"/>
    </row>
    <row r="20" spans="1:36" ht="16.5" customHeight="1">
      <c r="A20" s="1062" t="s">
        <v>908</v>
      </c>
      <c r="B20" s="381"/>
      <c r="C20" s="381"/>
      <c r="D20" s="381"/>
      <c r="E20" s="381"/>
      <c r="F20" s="381"/>
      <c r="G20" s="381"/>
      <c r="H20" s="381"/>
      <c r="I20" s="381"/>
      <c r="J20" s="381"/>
      <c r="K20" s="381"/>
      <c r="L20" s="381"/>
      <c r="M20" s="381"/>
      <c r="N20" s="428"/>
      <c r="O20" s="189"/>
      <c r="P20" s="1071" t="e">
        <f>SUM(#REF!)</f>
        <v>#REF!</v>
      </c>
      <c r="Q20" s="351"/>
      <c r="R20" s="109"/>
      <c r="S20" s="109"/>
      <c r="T20" s="109"/>
      <c r="U20" s="109"/>
      <c r="V20" s="109"/>
      <c r="W20" s="109"/>
      <c r="X20" s="108"/>
      <c r="Y20" s="108"/>
      <c r="Z20" s="108"/>
      <c r="AA20" s="108"/>
      <c r="AB20" s="1065"/>
      <c r="AC20" s="358"/>
    </row>
    <row r="21" spans="1:36" ht="16.5" customHeight="1">
      <c r="A21" s="1054" t="s">
        <v>909</v>
      </c>
      <c r="B21" s="381"/>
      <c r="C21" s="381"/>
      <c r="D21" s="381"/>
      <c r="E21" s="381"/>
      <c r="F21" s="381"/>
      <c r="G21" s="381"/>
      <c r="H21" s="381"/>
      <c r="I21" s="381"/>
      <c r="J21" s="381"/>
      <c r="K21" s="381"/>
      <c r="L21" s="381"/>
      <c r="M21" s="381"/>
      <c r="N21" s="428"/>
      <c r="O21" s="189"/>
      <c r="P21" s="1077" t="e">
        <f>P20/P19</f>
        <v>#REF!</v>
      </c>
      <c r="Q21" s="351"/>
      <c r="R21" s="109"/>
      <c r="S21" s="109"/>
      <c r="T21" s="109"/>
      <c r="U21" s="109"/>
      <c r="V21" s="109"/>
      <c r="W21" s="109"/>
      <c r="X21" s="108"/>
      <c r="Y21" s="108"/>
      <c r="Z21" s="108"/>
      <c r="AA21" s="108"/>
      <c r="AB21" s="1065"/>
      <c r="AC21" s="358"/>
    </row>
    <row r="22" spans="1:36" ht="30" customHeight="1">
      <c r="A22" s="192" t="s">
        <v>910</v>
      </c>
      <c r="B22" s="192"/>
      <c r="C22" s="192"/>
      <c r="D22" s="192"/>
      <c r="E22" s="192"/>
      <c r="F22" s="192"/>
      <c r="G22" s="192"/>
      <c r="H22" s="192"/>
      <c r="I22" s="192"/>
      <c r="J22" s="192"/>
      <c r="K22" s="192"/>
      <c r="L22" s="192"/>
      <c r="M22" s="193"/>
      <c r="N22" s="193"/>
      <c r="O22" s="194"/>
      <c r="P22" s="1072" t="s">
        <v>903</v>
      </c>
      <c r="Q22" s="351"/>
      <c r="R22" s="108"/>
      <c r="S22" s="108"/>
      <c r="T22" s="107"/>
      <c r="U22" s="195"/>
      <c r="V22" s="195"/>
      <c r="W22" s="196"/>
      <c r="X22" s="195"/>
      <c r="Y22" s="195"/>
      <c r="Z22" s="195"/>
      <c r="AA22" s="195"/>
      <c r="AB22" s="195"/>
      <c r="AC22" s="195"/>
      <c r="AD22" s="195"/>
      <c r="AE22" s="195"/>
      <c r="AF22" s="197"/>
      <c r="AG22" s="197"/>
      <c r="AH22" s="198"/>
      <c r="AI22" s="188"/>
      <c r="AJ22" s="188"/>
    </row>
    <row r="23" spans="1:36" ht="15.75" customHeight="1">
      <c r="A23" s="1049" t="s">
        <v>911</v>
      </c>
      <c r="B23" s="381"/>
      <c r="C23" s="381"/>
      <c r="D23" s="381"/>
      <c r="E23" s="381"/>
      <c r="F23" s="381"/>
      <c r="G23" s="381"/>
      <c r="H23" s="381"/>
      <c r="I23" s="381"/>
      <c r="J23" s="381"/>
      <c r="K23" s="381"/>
      <c r="L23" s="428"/>
      <c r="M23" s="104"/>
      <c r="N23" s="104"/>
      <c r="O23" s="194"/>
      <c r="P23" s="1048"/>
      <c r="Q23" s="351"/>
      <c r="R23" s="199"/>
      <c r="S23" s="199"/>
      <c r="T23" s="200"/>
      <c r="U23" s="200"/>
      <c r="V23" s="200"/>
      <c r="W23" s="200"/>
      <c r="X23" s="200"/>
      <c r="Y23" s="200"/>
      <c r="Z23" s="200"/>
      <c r="AA23" s="200"/>
      <c r="AB23" s="200"/>
      <c r="AC23" s="200"/>
      <c r="AD23" s="200"/>
      <c r="AE23" s="200"/>
      <c r="AF23" s="198"/>
      <c r="AG23" s="198"/>
      <c r="AH23" s="198"/>
      <c r="AI23" s="198"/>
      <c r="AJ23" s="198"/>
    </row>
    <row r="24" spans="1:36" ht="19.5" customHeight="1">
      <c r="A24" s="984" t="s">
        <v>912</v>
      </c>
      <c r="B24" s="350"/>
      <c r="C24" s="350"/>
      <c r="D24" s="350"/>
      <c r="E24" s="350"/>
      <c r="F24" s="350"/>
      <c r="G24" s="350"/>
      <c r="H24" s="350"/>
      <c r="I24" s="350"/>
      <c r="J24" s="350"/>
      <c r="K24" s="350"/>
      <c r="L24" s="350"/>
      <c r="M24" s="350"/>
      <c r="N24" s="351"/>
      <c r="O24" s="194" t="s">
        <v>913</v>
      </c>
      <c r="P24" s="1055" t="e">
        <f>COUNTIFS('refer admin discharge'!N30:N1020,"employed",#REF!, "employed")</f>
        <v>#REF!</v>
      </c>
      <c r="Q24" s="351"/>
      <c r="R24" s="108"/>
      <c r="S24" s="108"/>
      <c r="T24" s="93"/>
      <c r="U24" s="93"/>
      <c r="V24" s="93"/>
      <c r="W24" s="93"/>
      <c r="X24" s="93"/>
      <c r="Y24" s="93"/>
      <c r="Z24" s="93"/>
      <c r="AA24" s="93"/>
      <c r="AB24" s="93"/>
      <c r="AC24" s="93"/>
      <c r="AD24" s="93"/>
      <c r="AE24" s="93"/>
      <c r="AF24" s="93"/>
      <c r="AG24" s="93"/>
      <c r="AH24" s="198"/>
      <c r="AI24" s="201"/>
      <c r="AJ24" s="201"/>
    </row>
    <row r="25" spans="1:36" ht="19.5" customHeight="1">
      <c r="A25" s="506" t="s">
        <v>914</v>
      </c>
      <c r="B25" s="350"/>
      <c r="C25" s="350"/>
      <c r="D25" s="350"/>
      <c r="E25" s="350"/>
      <c r="F25" s="350"/>
      <c r="G25" s="350"/>
      <c r="H25" s="350"/>
      <c r="I25" s="350"/>
      <c r="J25" s="350"/>
      <c r="K25" s="350"/>
      <c r="L25" s="350"/>
      <c r="M25" s="350"/>
      <c r="N25" s="351"/>
      <c r="O25" s="194" t="s">
        <v>915</v>
      </c>
      <c r="P25" s="1042">
        <f>COUNTIFS('refer admin discharge'!N30:N1020,"employed")</f>
        <v>0</v>
      </c>
      <c r="Q25" s="351"/>
      <c r="R25" s="108"/>
      <c r="S25" s="108"/>
      <c r="T25" s="93"/>
      <c r="U25" s="93"/>
      <c r="V25" s="93"/>
      <c r="W25" s="93"/>
      <c r="X25" s="93"/>
      <c r="Y25" s="93"/>
      <c r="Z25" s="93"/>
      <c r="AA25" s="93"/>
      <c r="AB25" s="93"/>
      <c r="AC25" s="93"/>
      <c r="AD25" s="93"/>
      <c r="AE25" s="93"/>
      <c r="AF25" s="93"/>
      <c r="AG25" s="93"/>
      <c r="AH25" s="198"/>
      <c r="AI25" s="201"/>
      <c r="AJ25" s="201"/>
    </row>
    <row r="26" spans="1:36" ht="19.5" customHeight="1">
      <c r="A26" s="1044" t="s">
        <v>916</v>
      </c>
      <c r="B26" s="350"/>
      <c r="C26" s="350"/>
      <c r="D26" s="350"/>
      <c r="E26" s="350"/>
      <c r="F26" s="350"/>
      <c r="G26" s="350"/>
      <c r="H26" s="350"/>
      <c r="I26" s="350"/>
      <c r="J26" s="350"/>
      <c r="K26" s="350"/>
      <c r="L26" s="350"/>
      <c r="M26" s="350"/>
      <c r="N26" s="351"/>
      <c r="O26" s="194" t="s">
        <v>917</v>
      </c>
      <c r="P26" s="1045" t="e">
        <f t="shared" ref="P26:P27" si="0">COUNTIFS(#REF!,"employed")</f>
        <v>#REF!</v>
      </c>
      <c r="Q26" s="351"/>
      <c r="R26" s="108"/>
      <c r="S26" s="108"/>
      <c r="T26" s="93"/>
      <c r="U26" s="93"/>
      <c r="V26" s="93"/>
      <c r="W26" s="93"/>
      <c r="X26" s="93"/>
      <c r="Y26" s="93"/>
      <c r="Z26" s="93"/>
      <c r="AA26" s="93"/>
      <c r="AB26" s="93"/>
      <c r="AC26" s="93"/>
      <c r="AD26" s="93"/>
      <c r="AE26" s="93"/>
      <c r="AF26" s="93"/>
      <c r="AG26" s="93"/>
      <c r="AH26" s="198"/>
      <c r="AI26" s="201"/>
      <c r="AJ26" s="201"/>
    </row>
    <row r="27" spans="1:36" ht="19.5" customHeight="1">
      <c r="A27" s="1046" t="s">
        <v>918</v>
      </c>
      <c r="B27" s="350"/>
      <c r="C27" s="350"/>
      <c r="D27" s="350"/>
      <c r="E27" s="350"/>
      <c r="F27" s="350"/>
      <c r="G27" s="350"/>
      <c r="H27" s="350"/>
      <c r="I27" s="350"/>
      <c r="J27" s="350"/>
      <c r="K27" s="350"/>
      <c r="L27" s="350"/>
      <c r="M27" s="350"/>
      <c r="N27" s="351"/>
      <c r="O27" s="194" t="s">
        <v>919</v>
      </c>
      <c r="P27" s="1047" t="e">
        <f t="shared" si="0"/>
        <v>#REF!</v>
      </c>
      <c r="Q27" s="351"/>
      <c r="R27" s="108"/>
      <c r="S27" s="108"/>
      <c r="T27" s="93"/>
      <c r="U27" s="93"/>
      <c r="V27" s="93"/>
      <c r="W27" s="93"/>
      <c r="X27" s="93"/>
      <c r="Y27" s="93"/>
      <c r="Z27" s="93"/>
      <c r="AA27" s="93"/>
      <c r="AB27" s="93"/>
      <c r="AC27" s="93"/>
      <c r="AD27" s="93"/>
      <c r="AE27" s="93"/>
      <c r="AF27" s="93"/>
      <c r="AG27" s="93"/>
      <c r="AH27" s="198"/>
      <c r="AI27" s="201"/>
      <c r="AJ27" s="201"/>
    </row>
    <row r="28" spans="1:36" ht="19.5" customHeight="1">
      <c r="A28" s="1049" t="s">
        <v>920</v>
      </c>
      <c r="B28" s="381"/>
      <c r="C28" s="381"/>
      <c r="D28" s="381"/>
      <c r="E28" s="381"/>
      <c r="F28" s="381"/>
      <c r="G28" s="381"/>
      <c r="H28" s="381"/>
      <c r="I28" s="381"/>
      <c r="J28" s="381"/>
      <c r="K28" s="381"/>
      <c r="L28" s="428"/>
      <c r="M28" s="104"/>
      <c r="N28" s="104"/>
      <c r="O28" s="202"/>
      <c r="P28" s="1056"/>
      <c r="Q28" s="385"/>
      <c r="R28" s="108"/>
      <c r="S28" s="108"/>
      <c r="T28" s="93"/>
      <c r="U28" s="93"/>
      <c r="V28" s="93"/>
      <c r="W28" s="93"/>
      <c r="X28" s="93"/>
      <c r="Y28" s="93"/>
      <c r="Z28" s="93"/>
      <c r="AA28" s="93"/>
      <c r="AB28" s="93"/>
      <c r="AC28" s="93"/>
      <c r="AD28" s="93"/>
      <c r="AE28" s="93"/>
      <c r="AF28" s="93"/>
      <c r="AG28" s="93"/>
      <c r="AH28" s="198"/>
      <c r="AI28" s="201"/>
      <c r="AJ28" s="201"/>
    </row>
    <row r="29" spans="1:36" ht="19.5" customHeight="1">
      <c r="A29" s="984" t="s">
        <v>921</v>
      </c>
      <c r="B29" s="350"/>
      <c r="C29" s="350"/>
      <c r="D29" s="350"/>
      <c r="E29" s="350"/>
      <c r="F29" s="350"/>
      <c r="G29" s="350"/>
      <c r="H29" s="350"/>
      <c r="I29" s="350"/>
      <c r="J29" s="350"/>
      <c r="K29" s="350"/>
      <c r="L29" s="350"/>
      <c r="M29" s="350"/>
      <c r="N29" s="351"/>
      <c r="O29" s="194" t="s">
        <v>922</v>
      </c>
      <c r="P29" s="1055" t="e">
        <f>COUNTIFS('refer admin discharge'!P30:P1020,"YES",#REF!, "YES")</f>
        <v>#REF!</v>
      </c>
      <c r="Q29" s="351"/>
      <c r="R29" s="108"/>
      <c r="S29" s="108"/>
      <c r="T29" s="93"/>
      <c r="U29" s="93"/>
      <c r="V29" s="93"/>
      <c r="W29" s="93"/>
      <c r="X29" s="93"/>
      <c r="Y29" s="93"/>
      <c r="Z29" s="93"/>
      <c r="AA29" s="93"/>
      <c r="AB29" s="93"/>
      <c r="AC29" s="93"/>
      <c r="AD29" s="93"/>
      <c r="AE29" s="93"/>
      <c r="AF29" s="93"/>
      <c r="AG29" s="93"/>
      <c r="AH29" s="198"/>
      <c r="AI29" s="201"/>
      <c r="AJ29" s="201"/>
    </row>
    <row r="30" spans="1:36" ht="19.5" customHeight="1">
      <c r="A30" s="506" t="s">
        <v>923</v>
      </c>
      <c r="B30" s="350"/>
      <c r="C30" s="350"/>
      <c r="D30" s="350"/>
      <c r="E30" s="350"/>
      <c r="F30" s="350"/>
      <c r="G30" s="350"/>
      <c r="H30" s="350"/>
      <c r="I30" s="350"/>
      <c r="J30" s="350"/>
      <c r="K30" s="350"/>
      <c r="L30" s="350"/>
      <c r="M30" s="350"/>
      <c r="N30" s="351"/>
      <c r="O30" s="194" t="s">
        <v>924</v>
      </c>
      <c r="P30" s="1057">
        <f>COUNTIFS('refer admin discharge'!P30:P1020,"YES")</f>
        <v>0</v>
      </c>
      <c r="Q30" s="351"/>
      <c r="R30" s="108"/>
      <c r="S30" s="108"/>
      <c r="T30" s="93"/>
      <c r="U30" s="93"/>
      <c r="V30" s="93"/>
      <c r="W30" s="93"/>
      <c r="X30" s="93"/>
      <c r="Y30" s="93"/>
      <c r="Z30" s="93"/>
      <c r="AA30" s="93"/>
      <c r="AB30" s="93"/>
      <c r="AC30" s="93"/>
      <c r="AD30" s="93"/>
      <c r="AE30" s="93"/>
      <c r="AF30" s="93"/>
      <c r="AG30" s="93"/>
      <c r="AH30" s="198"/>
      <c r="AI30" s="201"/>
      <c r="AJ30" s="201"/>
    </row>
    <row r="31" spans="1:36" ht="19.5" customHeight="1">
      <c r="A31" s="1044" t="s">
        <v>925</v>
      </c>
      <c r="B31" s="350"/>
      <c r="C31" s="350"/>
      <c r="D31" s="350"/>
      <c r="E31" s="350"/>
      <c r="F31" s="350"/>
      <c r="G31" s="350"/>
      <c r="H31" s="350"/>
      <c r="I31" s="350"/>
      <c r="J31" s="350"/>
      <c r="K31" s="350"/>
      <c r="L31" s="350"/>
      <c r="M31" s="350"/>
      <c r="N31" s="351"/>
      <c r="O31" s="194" t="s">
        <v>926</v>
      </c>
      <c r="P31" s="1045" t="e">
        <f t="shared" ref="P31:P32" si="1">COUNTIFS(#REF!,"YES")</f>
        <v>#REF!</v>
      </c>
      <c r="Q31" s="351"/>
      <c r="R31" s="108"/>
      <c r="S31" s="108"/>
      <c r="T31" s="93"/>
      <c r="U31" s="93"/>
      <c r="V31" s="93"/>
      <c r="W31" s="93"/>
      <c r="X31" s="93"/>
      <c r="Y31" s="93"/>
      <c r="Z31" s="93"/>
      <c r="AA31" s="93"/>
      <c r="AB31" s="93"/>
      <c r="AC31" s="93"/>
      <c r="AD31" s="93"/>
      <c r="AE31" s="93"/>
      <c r="AF31" s="93"/>
      <c r="AG31" s="93"/>
      <c r="AH31" s="198"/>
      <c r="AI31" s="201"/>
      <c r="AJ31" s="201"/>
    </row>
    <row r="32" spans="1:36" ht="19.5" customHeight="1">
      <c r="A32" s="1046" t="s">
        <v>927</v>
      </c>
      <c r="B32" s="350"/>
      <c r="C32" s="350"/>
      <c r="D32" s="350"/>
      <c r="E32" s="350"/>
      <c r="F32" s="350"/>
      <c r="G32" s="350"/>
      <c r="H32" s="350"/>
      <c r="I32" s="350"/>
      <c r="J32" s="350"/>
      <c r="K32" s="350"/>
      <c r="L32" s="350"/>
      <c r="M32" s="350"/>
      <c r="N32" s="351"/>
      <c r="O32" s="194" t="s">
        <v>928</v>
      </c>
      <c r="P32" s="1047" t="e">
        <f t="shared" si="1"/>
        <v>#REF!</v>
      </c>
      <c r="Q32" s="351"/>
      <c r="R32" s="108"/>
      <c r="S32" s="108"/>
      <c r="T32" s="93"/>
      <c r="U32" s="93"/>
      <c r="V32" s="93"/>
      <c r="W32" s="93"/>
      <c r="X32" s="93"/>
      <c r="Y32" s="93"/>
      <c r="Z32" s="93"/>
      <c r="AA32" s="93"/>
      <c r="AB32" s="93"/>
      <c r="AC32" s="93"/>
      <c r="AD32" s="93"/>
      <c r="AE32" s="93"/>
      <c r="AF32" s="93"/>
      <c r="AG32" s="93"/>
      <c r="AH32" s="198"/>
      <c r="AI32" s="201"/>
      <c r="AJ32" s="201"/>
    </row>
    <row r="33" spans="1:36" ht="15" customHeight="1">
      <c r="A33" s="104"/>
      <c r="B33" s="104"/>
      <c r="C33" s="104"/>
      <c r="D33" s="104"/>
      <c r="E33" s="104"/>
      <c r="F33" s="104"/>
      <c r="G33" s="104"/>
      <c r="H33" s="9"/>
      <c r="I33" s="104"/>
      <c r="J33" s="104"/>
      <c r="K33" s="104"/>
      <c r="L33" s="104"/>
      <c r="M33" s="104"/>
      <c r="N33" s="104"/>
      <c r="O33" s="194"/>
      <c r="P33" s="1053"/>
      <c r="Q33" s="351"/>
      <c r="R33" s="199"/>
      <c r="S33" s="199"/>
      <c r="T33" s="198"/>
      <c r="U33" s="198"/>
      <c r="V33" s="198"/>
      <c r="W33" s="198"/>
      <c r="X33" s="198"/>
      <c r="Y33" s="198"/>
      <c r="Z33" s="198"/>
      <c r="AB33" s="198"/>
      <c r="AC33" s="198"/>
      <c r="AD33" s="198"/>
      <c r="AE33" s="198"/>
      <c r="AF33" s="198"/>
      <c r="AG33" s="198"/>
      <c r="AH33" s="198"/>
      <c r="AI33" s="203"/>
      <c r="AJ33" s="203"/>
    </row>
    <row r="34" spans="1:36" ht="15.75" customHeight="1">
      <c r="A34" s="1049" t="s">
        <v>929</v>
      </c>
      <c r="B34" s="381"/>
      <c r="C34" s="381"/>
      <c r="D34" s="381"/>
      <c r="E34" s="381"/>
      <c r="F34" s="381"/>
      <c r="G34" s="381"/>
      <c r="H34" s="381"/>
      <c r="I34" s="381"/>
      <c r="J34" s="381"/>
      <c r="K34" s="381"/>
      <c r="L34" s="428"/>
      <c r="M34" s="104"/>
      <c r="N34" s="104"/>
      <c r="O34" s="194"/>
      <c r="P34" s="1048"/>
      <c r="Q34" s="351"/>
      <c r="R34" s="199"/>
      <c r="S34" s="199"/>
      <c r="T34" s="200"/>
      <c r="U34" s="200"/>
      <c r="V34" s="200"/>
      <c r="W34" s="200"/>
      <c r="X34" s="200"/>
      <c r="Y34" s="200"/>
      <c r="Z34" s="200"/>
      <c r="AA34" s="200"/>
      <c r="AB34" s="200"/>
      <c r="AC34" s="200"/>
      <c r="AD34" s="200"/>
      <c r="AE34" s="200"/>
      <c r="AF34" s="198"/>
      <c r="AG34" s="198"/>
      <c r="AH34" s="198"/>
      <c r="AI34" s="198"/>
      <c r="AJ34" s="198"/>
    </row>
    <row r="35" spans="1:36" ht="19.5" customHeight="1">
      <c r="A35" s="1050" t="s">
        <v>930</v>
      </c>
      <c r="B35" s="350"/>
      <c r="C35" s="350"/>
      <c r="D35" s="350"/>
      <c r="E35" s="350"/>
      <c r="F35" s="350"/>
      <c r="G35" s="350"/>
      <c r="H35" s="350"/>
      <c r="I35" s="350"/>
      <c r="J35" s="350"/>
      <c r="K35" s="350"/>
      <c r="L35" s="350"/>
      <c r="M35" s="350"/>
      <c r="N35" s="351"/>
      <c r="O35" s="194" t="s">
        <v>931</v>
      </c>
      <c r="P35" s="1079" t="e">
        <f>COUNTIFS('refer admin discharge'!Q30:Q1020,"YES",#REF!, "YES")</f>
        <v>#REF!</v>
      </c>
      <c r="Q35" s="351"/>
      <c r="R35" s="108"/>
      <c r="S35" s="108"/>
      <c r="T35" s="157"/>
      <c r="U35" s="157"/>
      <c r="V35" s="157"/>
      <c r="W35" s="157"/>
      <c r="X35" s="157"/>
      <c r="Y35" s="157"/>
      <c r="Z35" s="157"/>
      <c r="AA35" s="157"/>
      <c r="AB35" s="157"/>
      <c r="AC35" s="157"/>
      <c r="AD35" s="157"/>
      <c r="AE35" s="157"/>
      <c r="AF35" s="157"/>
      <c r="AG35" s="157"/>
      <c r="AH35" s="198"/>
      <c r="AI35" s="201"/>
      <c r="AJ35" s="201"/>
    </row>
    <row r="36" spans="1:36" ht="19.5" customHeight="1">
      <c r="A36" s="1051" t="s">
        <v>932</v>
      </c>
      <c r="B36" s="350"/>
      <c r="C36" s="350"/>
      <c r="D36" s="350"/>
      <c r="E36" s="350"/>
      <c r="F36" s="350"/>
      <c r="G36" s="350"/>
      <c r="H36" s="350"/>
      <c r="I36" s="350"/>
      <c r="J36" s="350"/>
      <c r="K36" s="350"/>
      <c r="L36" s="350"/>
      <c r="M36" s="350"/>
      <c r="N36" s="351"/>
      <c r="O36" s="194" t="s">
        <v>933</v>
      </c>
      <c r="P36" s="1043">
        <f>COUNTIFS('refer admin discharge'!Q30:Q1020,"YES")</f>
        <v>0</v>
      </c>
      <c r="Q36" s="351"/>
      <c r="R36" s="204"/>
      <c r="S36" s="204"/>
      <c r="T36" s="157"/>
      <c r="U36" s="157"/>
      <c r="V36" s="157"/>
      <c r="W36" s="157"/>
      <c r="X36" s="157"/>
      <c r="Y36" s="157"/>
      <c r="Z36" s="157"/>
      <c r="AA36" s="157"/>
      <c r="AB36" s="157"/>
      <c r="AC36" s="157"/>
      <c r="AD36" s="157"/>
      <c r="AE36" s="157"/>
      <c r="AF36" s="157"/>
      <c r="AG36" s="157"/>
      <c r="AH36" s="198"/>
      <c r="AI36" s="205"/>
      <c r="AJ36" s="205"/>
    </row>
    <row r="37" spans="1:36" ht="19.5" customHeight="1">
      <c r="A37" s="1052" t="s">
        <v>934</v>
      </c>
      <c r="B37" s="350"/>
      <c r="C37" s="350"/>
      <c r="D37" s="350"/>
      <c r="E37" s="350"/>
      <c r="F37" s="350"/>
      <c r="G37" s="350"/>
      <c r="H37" s="350"/>
      <c r="I37" s="350"/>
      <c r="J37" s="350"/>
      <c r="K37" s="350"/>
      <c r="L37" s="350"/>
      <c r="M37" s="350"/>
      <c r="N37" s="351"/>
      <c r="O37" s="194" t="s">
        <v>935</v>
      </c>
      <c r="P37" s="1045" t="e">
        <f t="shared" ref="P37:P38" si="2">COUNTIFS(#REF!,"YES")</f>
        <v>#REF!</v>
      </c>
      <c r="Q37" s="351"/>
      <c r="R37" s="108"/>
      <c r="S37" s="108"/>
      <c r="T37" s="157"/>
      <c r="U37" s="157"/>
      <c r="V37" s="157"/>
      <c r="W37" s="157"/>
      <c r="X37" s="157"/>
      <c r="Y37" s="157"/>
      <c r="Z37" s="157"/>
      <c r="AA37" s="157"/>
      <c r="AB37" s="157"/>
      <c r="AC37" s="157"/>
      <c r="AD37" s="157"/>
      <c r="AE37" s="157"/>
      <c r="AF37" s="157"/>
      <c r="AG37" s="157"/>
      <c r="AH37" s="198"/>
      <c r="AI37" s="201"/>
      <c r="AJ37" s="201"/>
    </row>
    <row r="38" spans="1:36" ht="19.5" customHeight="1">
      <c r="A38" s="1046" t="s">
        <v>936</v>
      </c>
      <c r="B38" s="350"/>
      <c r="C38" s="350"/>
      <c r="D38" s="350"/>
      <c r="E38" s="350"/>
      <c r="F38" s="350"/>
      <c r="G38" s="350"/>
      <c r="H38" s="350"/>
      <c r="I38" s="350"/>
      <c r="J38" s="350"/>
      <c r="K38" s="350"/>
      <c r="L38" s="350"/>
      <c r="M38" s="350"/>
      <c r="N38" s="351"/>
      <c r="O38" s="194" t="s">
        <v>937</v>
      </c>
      <c r="P38" s="1047" t="e">
        <f t="shared" si="2"/>
        <v>#REF!</v>
      </c>
      <c r="Q38" s="351"/>
      <c r="R38" s="108"/>
      <c r="S38" s="108"/>
      <c r="T38" s="157"/>
      <c r="U38" s="157"/>
      <c r="V38" s="157"/>
      <c r="W38" s="157"/>
      <c r="X38" s="157"/>
      <c r="Y38" s="157"/>
      <c r="Z38" s="157"/>
      <c r="AA38" s="157"/>
      <c r="AB38" s="157"/>
      <c r="AC38" s="157"/>
      <c r="AD38" s="157"/>
      <c r="AE38" s="157"/>
      <c r="AF38" s="157"/>
      <c r="AG38" s="157"/>
      <c r="AH38" s="198"/>
      <c r="AI38" s="201"/>
      <c r="AJ38" s="201"/>
    </row>
    <row r="39" spans="1:36" ht="15" customHeight="1">
      <c r="A39" s="104"/>
      <c r="B39" s="104"/>
      <c r="C39" s="104"/>
      <c r="D39" s="104"/>
      <c r="E39" s="104"/>
      <c r="F39" s="104"/>
      <c r="G39" s="104"/>
      <c r="H39" s="9"/>
      <c r="I39" s="104"/>
      <c r="J39" s="104"/>
      <c r="K39" s="104"/>
      <c r="L39" s="104"/>
      <c r="M39" s="104"/>
      <c r="N39" s="104"/>
      <c r="O39" s="194"/>
      <c r="P39" s="1053"/>
      <c r="Q39" s="351"/>
      <c r="R39" s="199"/>
      <c r="S39" s="199"/>
      <c r="T39" s="198"/>
      <c r="U39" s="198"/>
      <c r="V39" s="198"/>
      <c r="W39" s="198"/>
      <c r="X39" s="198"/>
      <c r="Y39" s="198"/>
      <c r="Z39" s="198"/>
      <c r="AB39" s="198"/>
      <c r="AC39" s="198"/>
      <c r="AD39" s="198"/>
      <c r="AE39" s="198"/>
      <c r="AF39" s="198"/>
      <c r="AG39" s="198"/>
      <c r="AH39" s="198"/>
      <c r="AI39" s="203"/>
      <c r="AJ39" s="203"/>
    </row>
    <row r="40" spans="1:36" ht="15.75" customHeight="1">
      <c r="A40" s="1049" t="s">
        <v>938</v>
      </c>
      <c r="B40" s="381"/>
      <c r="C40" s="381"/>
      <c r="D40" s="381"/>
      <c r="E40" s="381"/>
      <c r="F40" s="381"/>
      <c r="G40" s="381"/>
      <c r="H40" s="381"/>
      <c r="I40" s="381"/>
      <c r="J40" s="381"/>
      <c r="K40" s="381"/>
      <c r="L40" s="428"/>
      <c r="M40" s="104"/>
      <c r="N40" s="104"/>
      <c r="O40" s="194"/>
      <c r="P40" s="1048"/>
      <c r="Q40" s="351"/>
      <c r="R40" s="199"/>
      <c r="S40" s="199"/>
      <c r="T40" s="200"/>
      <c r="U40" s="200"/>
      <c r="V40" s="200"/>
      <c r="W40" s="200"/>
      <c r="X40" s="200"/>
      <c r="Y40" s="200"/>
      <c r="Z40" s="200"/>
      <c r="AA40" s="200"/>
      <c r="AB40" s="200"/>
      <c r="AC40" s="200"/>
      <c r="AD40" s="200"/>
      <c r="AE40" s="200"/>
      <c r="AF40" s="198"/>
      <c r="AG40" s="198"/>
      <c r="AH40" s="198"/>
      <c r="AI40" s="198"/>
      <c r="AJ40" s="198"/>
    </row>
    <row r="41" spans="1:36" ht="19.5" customHeight="1">
      <c r="A41" s="984" t="s">
        <v>939</v>
      </c>
      <c r="B41" s="350"/>
      <c r="C41" s="350"/>
      <c r="D41" s="350"/>
      <c r="E41" s="350"/>
      <c r="F41" s="350"/>
      <c r="G41" s="350"/>
      <c r="H41" s="350"/>
      <c r="I41" s="350"/>
      <c r="J41" s="350"/>
      <c r="K41" s="350"/>
      <c r="L41" s="350"/>
      <c r="M41" s="350"/>
      <c r="N41" s="351"/>
      <c r="O41" s="194" t="s">
        <v>940</v>
      </c>
      <c r="P41" s="1055" t="e">
        <f>COUNTIFS('refer admin discharge'!R30:R1020,"YES",#REF!, "YES")</f>
        <v>#REF!</v>
      </c>
      <c r="Q41" s="351"/>
      <c r="R41" s="108"/>
      <c r="S41" s="108"/>
      <c r="T41" s="93"/>
      <c r="U41" s="93"/>
      <c r="V41" s="93"/>
      <c r="W41" s="93"/>
      <c r="X41" s="93"/>
      <c r="Y41" s="93"/>
      <c r="Z41" s="93"/>
      <c r="AA41" s="93"/>
      <c r="AB41" s="93"/>
      <c r="AC41" s="93"/>
      <c r="AD41" s="93"/>
      <c r="AE41" s="93"/>
      <c r="AF41" s="93"/>
      <c r="AG41" s="93"/>
      <c r="AH41" s="198"/>
      <c r="AI41" s="201"/>
      <c r="AJ41" s="201"/>
    </row>
    <row r="42" spans="1:36" ht="19.5" customHeight="1">
      <c r="A42" s="506" t="s">
        <v>941</v>
      </c>
      <c r="B42" s="350"/>
      <c r="C42" s="350"/>
      <c r="D42" s="350"/>
      <c r="E42" s="350"/>
      <c r="F42" s="350"/>
      <c r="G42" s="350"/>
      <c r="H42" s="350"/>
      <c r="I42" s="350"/>
      <c r="J42" s="350"/>
      <c r="K42" s="350"/>
      <c r="L42" s="350"/>
      <c r="M42" s="350"/>
      <c r="N42" s="351"/>
      <c r="O42" s="194" t="s">
        <v>942</v>
      </c>
      <c r="P42" s="1043">
        <f>COUNTIFS('refer admin discharge'!R30:R1020,"NO")</f>
        <v>0</v>
      </c>
      <c r="Q42" s="351"/>
      <c r="R42" s="204"/>
      <c r="S42" s="204"/>
      <c r="T42" s="93"/>
      <c r="U42" s="93"/>
      <c r="V42" s="93"/>
      <c r="W42" s="93"/>
      <c r="X42" s="93"/>
      <c r="Y42" s="93"/>
      <c r="Z42" s="93"/>
      <c r="AA42" s="93"/>
      <c r="AB42" s="93"/>
      <c r="AC42" s="93"/>
      <c r="AD42" s="93"/>
      <c r="AE42" s="93"/>
      <c r="AF42" s="93"/>
      <c r="AG42" s="93"/>
      <c r="AH42" s="198"/>
      <c r="AI42" s="205"/>
      <c r="AJ42" s="205"/>
    </row>
    <row r="43" spans="1:36" ht="19.5" customHeight="1">
      <c r="A43" s="1044" t="s">
        <v>943</v>
      </c>
      <c r="B43" s="350"/>
      <c r="C43" s="350"/>
      <c r="D43" s="350"/>
      <c r="E43" s="350"/>
      <c r="F43" s="350"/>
      <c r="G43" s="350"/>
      <c r="H43" s="350"/>
      <c r="I43" s="350"/>
      <c r="J43" s="350"/>
      <c r="K43" s="350"/>
      <c r="L43" s="350"/>
      <c r="M43" s="350"/>
      <c r="N43" s="351"/>
      <c r="O43" s="194" t="s">
        <v>944</v>
      </c>
      <c r="P43" s="1045" t="e">
        <f t="shared" ref="P43:P44" si="3">COUNTIFS(#REF!,"NO")</f>
        <v>#REF!</v>
      </c>
      <c r="Q43" s="351"/>
      <c r="R43" s="108"/>
      <c r="S43" s="108"/>
      <c r="T43" s="93"/>
      <c r="U43" s="93"/>
      <c r="V43" s="93"/>
      <c r="W43" s="93"/>
      <c r="X43" s="93"/>
      <c r="Y43" s="93"/>
      <c r="Z43" s="93"/>
      <c r="AA43" s="93"/>
      <c r="AB43" s="93"/>
      <c r="AC43" s="93"/>
      <c r="AD43" s="93"/>
      <c r="AE43" s="93"/>
      <c r="AF43" s="93"/>
      <c r="AG43" s="93"/>
      <c r="AH43" s="198"/>
      <c r="AI43" s="201"/>
      <c r="AJ43" s="201"/>
    </row>
    <row r="44" spans="1:36" ht="19.5" customHeight="1">
      <c r="A44" s="1046" t="s">
        <v>945</v>
      </c>
      <c r="B44" s="350"/>
      <c r="C44" s="350"/>
      <c r="D44" s="350"/>
      <c r="E44" s="350"/>
      <c r="F44" s="350"/>
      <c r="G44" s="350"/>
      <c r="H44" s="350"/>
      <c r="I44" s="350"/>
      <c r="J44" s="350"/>
      <c r="K44" s="350"/>
      <c r="L44" s="350"/>
      <c r="M44" s="350"/>
      <c r="N44" s="351"/>
      <c r="O44" s="194" t="s">
        <v>946</v>
      </c>
      <c r="P44" s="1047" t="e">
        <f t="shared" si="3"/>
        <v>#REF!</v>
      </c>
      <c r="Q44" s="351"/>
      <c r="R44" s="108"/>
      <c r="S44" s="108"/>
      <c r="T44" s="93"/>
      <c r="U44" s="93"/>
      <c r="V44" s="93"/>
      <c r="W44" s="93"/>
      <c r="X44" s="93"/>
      <c r="Y44" s="93"/>
      <c r="Z44" s="93"/>
      <c r="AA44" s="93"/>
      <c r="AB44" s="93"/>
      <c r="AC44" s="93"/>
      <c r="AD44" s="93"/>
      <c r="AE44" s="93"/>
      <c r="AF44" s="93"/>
      <c r="AG44" s="93"/>
      <c r="AH44" s="198"/>
      <c r="AI44" s="201"/>
      <c r="AJ44" s="201"/>
    </row>
    <row r="45" spans="1:36" ht="15" customHeight="1">
      <c r="A45" s="104"/>
      <c r="B45" s="104"/>
      <c r="C45" s="104"/>
      <c r="D45" s="104"/>
      <c r="E45" s="104"/>
      <c r="F45" s="104"/>
      <c r="G45" s="104"/>
      <c r="H45" s="9"/>
      <c r="I45" s="104"/>
      <c r="J45" s="104"/>
      <c r="K45" s="104"/>
      <c r="L45" s="104"/>
      <c r="M45" s="104"/>
      <c r="N45" s="104"/>
      <c r="O45" s="194"/>
      <c r="P45" s="1053"/>
      <c r="Q45" s="351"/>
      <c r="R45" s="199"/>
      <c r="S45" s="199"/>
      <c r="T45" s="198"/>
      <c r="U45" s="198"/>
      <c r="V45" s="198"/>
      <c r="W45" s="198"/>
      <c r="X45" s="198"/>
      <c r="Y45" s="198"/>
      <c r="Z45" s="198"/>
      <c r="AB45" s="198"/>
      <c r="AC45" s="198"/>
      <c r="AD45" s="198"/>
      <c r="AE45" s="198"/>
      <c r="AF45" s="198"/>
      <c r="AG45" s="198"/>
      <c r="AH45" s="198"/>
      <c r="AI45" s="203"/>
      <c r="AJ45" s="203"/>
    </row>
    <row r="46" spans="1:36" ht="15.75" customHeight="1">
      <c r="A46" s="1049" t="s">
        <v>947</v>
      </c>
      <c r="B46" s="381"/>
      <c r="C46" s="381"/>
      <c r="D46" s="381"/>
      <c r="E46" s="381"/>
      <c r="F46" s="381"/>
      <c r="G46" s="381"/>
      <c r="H46" s="381"/>
      <c r="I46" s="381"/>
      <c r="J46" s="381"/>
      <c r="K46" s="381"/>
      <c r="L46" s="428"/>
      <c r="M46" s="104"/>
      <c r="N46" s="104"/>
      <c r="O46" s="194"/>
      <c r="P46" s="1048"/>
      <c r="Q46" s="351"/>
      <c r="R46" s="199"/>
      <c r="S46" s="199"/>
      <c r="T46" s="200"/>
      <c r="U46" s="200"/>
      <c r="V46" s="200"/>
      <c r="W46" s="200"/>
      <c r="X46" s="200"/>
      <c r="Y46" s="200"/>
      <c r="Z46" s="200"/>
      <c r="AA46" s="200"/>
      <c r="AB46" s="200"/>
      <c r="AC46" s="200"/>
      <c r="AD46" s="200"/>
      <c r="AE46" s="200"/>
      <c r="AF46" s="198"/>
      <c r="AG46" s="198"/>
      <c r="AH46" s="198"/>
      <c r="AI46" s="198"/>
      <c r="AJ46" s="198"/>
    </row>
    <row r="47" spans="1:36" ht="19.5" customHeight="1">
      <c r="A47" s="984" t="s">
        <v>948</v>
      </c>
      <c r="B47" s="350"/>
      <c r="C47" s="350"/>
      <c r="D47" s="350"/>
      <c r="E47" s="350"/>
      <c r="F47" s="350"/>
      <c r="G47" s="350"/>
      <c r="H47" s="350"/>
      <c r="I47" s="350"/>
      <c r="J47" s="350"/>
      <c r="K47" s="350"/>
      <c r="L47" s="350"/>
      <c r="M47" s="350"/>
      <c r="N47" s="351"/>
      <c r="O47" s="194" t="s">
        <v>949</v>
      </c>
      <c r="P47" s="1055" t="e">
        <f>COUNTIFS('refer admin discharge'!S30:S1020,"NO",#REF!, "NO")</f>
        <v>#REF!</v>
      </c>
      <c r="Q47" s="351"/>
      <c r="R47" s="108"/>
      <c r="S47" s="108"/>
      <c r="T47" s="93"/>
      <c r="U47" s="93"/>
      <c r="V47" s="93"/>
      <c r="W47" s="93"/>
      <c r="X47" s="93"/>
      <c r="Y47" s="93"/>
      <c r="Z47" s="93"/>
      <c r="AA47" s="93"/>
      <c r="AB47" s="93"/>
      <c r="AC47" s="93"/>
      <c r="AD47" s="93"/>
      <c r="AE47" s="93"/>
      <c r="AF47" s="93"/>
      <c r="AG47" s="93"/>
      <c r="AH47" s="198"/>
      <c r="AI47" s="201"/>
      <c r="AJ47" s="201"/>
    </row>
    <row r="48" spans="1:36" ht="19.5" customHeight="1">
      <c r="A48" s="506" t="s">
        <v>950</v>
      </c>
      <c r="B48" s="350"/>
      <c r="C48" s="350"/>
      <c r="D48" s="350"/>
      <c r="E48" s="350"/>
      <c r="F48" s="350"/>
      <c r="G48" s="350"/>
      <c r="H48" s="350"/>
      <c r="I48" s="350"/>
      <c r="J48" s="350"/>
      <c r="K48" s="350"/>
      <c r="L48" s="350"/>
      <c r="M48" s="350"/>
      <c r="N48" s="351"/>
      <c r="O48" s="194" t="s">
        <v>951</v>
      </c>
      <c r="P48" s="1043">
        <f>COUNTIFS('refer admin discharge'!S30:S1020,"NO")</f>
        <v>0</v>
      </c>
      <c r="Q48" s="351"/>
      <c r="R48" s="204"/>
      <c r="S48" s="204"/>
      <c r="T48" s="93"/>
      <c r="U48" s="93"/>
      <c r="V48" s="93"/>
      <c r="W48" s="93"/>
      <c r="X48" s="93"/>
      <c r="Y48" s="93"/>
      <c r="Z48" s="93"/>
      <c r="AA48" s="93"/>
      <c r="AB48" s="93"/>
      <c r="AC48" s="93"/>
      <c r="AD48" s="93"/>
      <c r="AE48" s="93"/>
      <c r="AF48" s="93"/>
      <c r="AG48" s="93"/>
      <c r="AH48" s="198"/>
      <c r="AI48" s="205"/>
      <c r="AJ48" s="205"/>
    </row>
    <row r="49" spans="1:36" ht="19.5" customHeight="1">
      <c r="A49" s="1044" t="s">
        <v>952</v>
      </c>
      <c r="B49" s="350"/>
      <c r="C49" s="350"/>
      <c r="D49" s="350"/>
      <c r="E49" s="350"/>
      <c r="F49" s="350"/>
      <c r="G49" s="350"/>
      <c r="H49" s="350"/>
      <c r="I49" s="350"/>
      <c r="J49" s="350"/>
      <c r="K49" s="350"/>
      <c r="L49" s="350"/>
      <c r="M49" s="350"/>
      <c r="N49" s="351"/>
      <c r="O49" s="194" t="s">
        <v>953</v>
      </c>
      <c r="P49" s="1045" t="e">
        <f t="shared" ref="P49:P50" si="4">COUNTIFS(#REF!,"NO")</f>
        <v>#REF!</v>
      </c>
      <c r="Q49" s="351"/>
      <c r="R49" s="108"/>
      <c r="S49" s="108"/>
      <c r="T49" s="93"/>
      <c r="U49" s="93"/>
      <c r="V49" s="93"/>
      <c r="W49" s="93"/>
      <c r="X49" s="93"/>
      <c r="Y49" s="93"/>
      <c r="Z49" s="93"/>
      <c r="AA49" s="93"/>
      <c r="AB49" s="93"/>
      <c r="AC49" s="93"/>
      <c r="AD49" s="93"/>
      <c r="AE49" s="93"/>
      <c r="AF49" s="93"/>
      <c r="AG49" s="93"/>
      <c r="AH49" s="198"/>
      <c r="AI49" s="201"/>
      <c r="AJ49" s="201"/>
    </row>
    <row r="50" spans="1:36" ht="19.5" customHeight="1">
      <c r="A50" s="1046" t="s">
        <v>954</v>
      </c>
      <c r="B50" s="350"/>
      <c r="C50" s="350"/>
      <c r="D50" s="350"/>
      <c r="E50" s="350"/>
      <c r="F50" s="350"/>
      <c r="G50" s="350"/>
      <c r="H50" s="350"/>
      <c r="I50" s="350"/>
      <c r="J50" s="350"/>
      <c r="K50" s="350"/>
      <c r="L50" s="350"/>
      <c r="M50" s="350"/>
      <c r="N50" s="351"/>
      <c r="O50" s="194" t="s">
        <v>955</v>
      </c>
      <c r="P50" s="1047" t="e">
        <f t="shared" si="4"/>
        <v>#REF!</v>
      </c>
      <c r="Q50" s="351"/>
      <c r="R50" s="108"/>
      <c r="S50" s="108"/>
      <c r="T50" s="93"/>
      <c r="U50" s="93"/>
      <c r="V50" s="93"/>
      <c r="W50" s="93"/>
      <c r="X50" s="93"/>
      <c r="Y50" s="93"/>
      <c r="Z50" s="93"/>
      <c r="AA50" s="93"/>
      <c r="AB50" s="93"/>
      <c r="AC50" s="93"/>
      <c r="AD50" s="93"/>
      <c r="AE50" s="93"/>
      <c r="AF50" s="93"/>
      <c r="AG50" s="93"/>
      <c r="AH50" s="198"/>
      <c r="AI50" s="201"/>
      <c r="AJ50" s="201"/>
    </row>
    <row r="51" spans="1:36" ht="15" customHeight="1">
      <c r="A51" s="104"/>
      <c r="B51" s="104"/>
      <c r="C51" s="104"/>
      <c r="D51" s="104"/>
      <c r="E51" s="104"/>
      <c r="F51" s="104"/>
      <c r="G51" s="104"/>
      <c r="H51" s="9"/>
      <c r="I51" s="104"/>
      <c r="J51" s="104"/>
      <c r="K51" s="104"/>
      <c r="L51" s="104"/>
      <c r="M51" s="104"/>
      <c r="N51" s="104"/>
      <c r="O51" s="194"/>
      <c r="P51" s="1053"/>
      <c r="Q51" s="351"/>
      <c r="R51" s="199"/>
      <c r="S51" s="199"/>
      <c r="T51" s="198"/>
      <c r="U51" s="198"/>
      <c r="V51" s="198"/>
      <c r="W51" s="198"/>
      <c r="X51" s="198"/>
      <c r="Y51" s="198"/>
      <c r="Z51" s="198"/>
      <c r="AB51" s="198"/>
      <c r="AC51" s="198"/>
      <c r="AD51" s="198"/>
      <c r="AE51" s="198"/>
      <c r="AF51" s="198"/>
      <c r="AG51" s="198"/>
      <c r="AH51" s="198"/>
      <c r="AI51" s="203"/>
      <c r="AJ51" s="203"/>
    </row>
    <row r="52" spans="1:36" ht="15.75" customHeight="1">
      <c r="A52" s="1049" t="s">
        <v>956</v>
      </c>
      <c r="B52" s="381"/>
      <c r="C52" s="381"/>
      <c r="D52" s="381"/>
      <c r="E52" s="381"/>
      <c r="F52" s="381"/>
      <c r="G52" s="381"/>
      <c r="H52" s="381"/>
      <c r="I52" s="381"/>
      <c r="J52" s="381"/>
      <c r="K52" s="381"/>
      <c r="L52" s="428"/>
      <c r="M52" s="104"/>
      <c r="N52" s="104"/>
      <c r="O52" s="194"/>
      <c r="P52" s="1048"/>
      <c r="Q52" s="351"/>
      <c r="R52" s="199"/>
      <c r="S52" s="199"/>
      <c r="T52" s="200"/>
      <c r="U52" s="200"/>
      <c r="V52" s="200"/>
      <c r="W52" s="200"/>
      <c r="X52" s="200"/>
      <c r="Y52" s="200"/>
      <c r="Z52" s="200"/>
      <c r="AA52" s="200"/>
      <c r="AB52" s="200"/>
      <c r="AC52" s="200"/>
      <c r="AD52" s="200"/>
      <c r="AE52" s="200"/>
      <c r="AF52" s="198"/>
      <c r="AG52" s="198"/>
      <c r="AH52" s="198"/>
      <c r="AI52" s="198"/>
      <c r="AJ52" s="198"/>
    </row>
    <row r="53" spans="1:36" ht="19.5" customHeight="1">
      <c r="A53" s="984" t="s">
        <v>957</v>
      </c>
      <c r="B53" s="350"/>
      <c r="C53" s="350"/>
      <c r="D53" s="350"/>
      <c r="E53" s="350"/>
      <c r="F53" s="350"/>
      <c r="G53" s="350"/>
      <c r="H53" s="350"/>
      <c r="I53" s="350"/>
      <c r="J53" s="350"/>
      <c r="K53" s="350"/>
      <c r="L53" s="350"/>
      <c r="M53" s="350"/>
      <c r="N53" s="351"/>
      <c r="O53" s="194" t="s">
        <v>958</v>
      </c>
      <c r="P53" s="1042" t="e">
        <f>COUNTIFS('refer admin discharge'!T30:T1020,"YES",#REF!, "YES")</f>
        <v>#REF!</v>
      </c>
      <c r="Q53" s="351"/>
      <c r="R53" s="108"/>
      <c r="S53" s="108"/>
      <c r="T53" s="93"/>
      <c r="U53" s="93"/>
      <c r="V53" s="93"/>
      <c r="W53" s="93"/>
      <c r="X53" s="93"/>
      <c r="Y53" s="93"/>
      <c r="Z53" s="93"/>
      <c r="AA53" s="93"/>
      <c r="AB53" s="93"/>
      <c r="AC53" s="93"/>
      <c r="AD53" s="93"/>
      <c r="AE53" s="93"/>
      <c r="AF53" s="93"/>
      <c r="AG53" s="93"/>
      <c r="AH53" s="198"/>
      <c r="AI53" s="201"/>
      <c r="AJ53" s="201"/>
    </row>
    <row r="54" spans="1:36" ht="19.5" customHeight="1">
      <c r="A54" s="506" t="s">
        <v>959</v>
      </c>
      <c r="B54" s="350"/>
      <c r="C54" s="350"/>
      <c r="D54" s="350"/>
      <c r="E54" s="350"/>
      <c r="F54" s="350"/>
      <c r="G54" s="350"/>
      <c r="H54" s="350"/>
      <c r="I54" s="350"/>
      <c r="J54" s="350"/>
      <c r="K54" s="350"/>
      <c r="L54" s="350"/>
      <c r="M54" s="350"/>
      <c r="N54" s="351"/>
      <c r="O54" s="194" t="s">
        <v>960</v>
      </c>
      <c r="P54" s="1043">
        <f>COUNTIFS('refer admin discharge'!T30:T1020,"NO")</f>
        <v>0</v>
      </c>
      <c r="Q54" s="351"/>
      <c r="R54" s="204"/>
      <c r="S54" s="204"/>
      <c r="T54" s="93"/>
      <c r="U54" s="93"/>
      <c r="V54" s="93"/>
      <c r="W54" s="93"/>
      <c r="X54" s="93"/>
      <c r="Y54" s="93"/>
      <c r="Z54" s="93"/>
      <c r="AA54" s="93"/>
      <c r="AB54" s="93"/>
      <c r="AC54" s="93"/>
      <c r="AD54" s="93"/>
      <c r="AE54" s="93"/>
      <c r="AF54" s="93"/>
      <c r="AG54" s="93"/>
      <c r="AH54" s="198"/>
      <c r="AI54" s="205"/>
      <c r="AJ54" s="205"/>
    </row>
    <row r="55" spans="1:36" ht="19.5" customHeight="1">
      <c r="A55" s="1044" t="s">
        <v>961</v>
      </c>
      <c r="B55" s="350"/>
      <c r="C55" s="350"/>
      <c r="D55" s="350"/>
      <c r="E55" s="350"/>
      <c r="F55" s="350"/>
      <c r="G55" s="350"/>
      <c r="H55" s="350"/>
      <c r="I55" s="350"/>
      <c r="J55" s="350"/>
      <c r="K55" s="350"/>
      <c r="L55" s="350"/>
      <c r="M55" s="350"/>
      <c r="N55" s="351"/>
      <c r="O55" s="194" t="s">
        <v>962</v>
      </c>
      <c r="P55" s="1045" t="e">
        <f t="shared" ref="P55:P56" si="5">COUNTIFS(#REF!,"NO")</f>
        <v>#REF!</v>
      </c>
      <c r="Q55" s="351"/>
      <c r="R55" s="108"/>
      <c r="S55" s="108"/>
      <c r="T55" s="93"/>
      <c r="U55" s="93"/>
      <c r="V55" s="93"/>
      <c r="W55" s="93"/>
      <c r="X55" s="93"/>
      <c r="Y55" s="93"/>
      <c r="Z55" s="93"/>
      <c r="AA55" s="93"/>
      <c r="AB55" s="93"/>
      <c r="AC55" s="93"/>
      <c r="AD55" s="93"/>
      <c r="AE55" s="93"/>
      <c r="AF55" s="93"/>
      <c r="AG55" s="93"/>
      <c r="AH55" s="198"/>
      <c r="AI55" s="201"/>
      <c r="AJ55" s="201"/>
    </row>
    <row r="56" spans="1:36" ht="19.5" customHeight="1">
      <c r="A56" s="1046" t="s">
        <v>963</v>
      </c>
      <c r="B56" s="350"/>
      <c r="C56" s="350"/>
      <c r="D56" s="350"/>
      <c r="E56" s="350"/>
      <c r="F56" s="350"/>
      <c r="G56" s="350"/>
      <c r="H56" s="350"/>
      <c r="I56" s="350"/>
      <c r="J56" s="350"/>
      <c r="K56" s="350"/>
      <c r="L56" s="350"/>
      <c r="M56" s="350"/>
      <c r="N56" s="351"/>
      <c r="O56" s="194" t="s">
        <v>964</v>
      </c>
      <c r="P56" s="1047" t="e">
        <f t="shared" si="5"/>
        <v>#REF!</v>
      </c>
      <c r="Q56" s="351"/>
      <c r="R56" s="108"/>
      <c r="S56" s="108"/>
      <c r="T56" s="93"/>
      <c r="U56" s="93"/>
      <c r="V56" s="93"/>
      <c r="W56" s="93"/>
      <c r="X56" s="93"/>
      <c r="Y56" s="93"/>
      <c r="Z56" s="93"/>
      <c r="AA56" s="93"/>
      <c r="AB56" s="93"/>
      <c r="AC56" s="93"/>
      <c r="AD56" s="93"/>
      <c r="AE56" s="93"/>
      <c r="AF56" s="93"/>
      <c r="AG56" s="93"/>
      <c r="AH56" s="198"/>
      <c r="AI56" s="201"/>
      <c r="AJ56" s="201"/>
    </row>
    <row r="57" spans="1:36" ht="15.75" customHeight="1">
      <c r="A57" s="104"/>
      <c r="B57" s="104"/>
      <c r="C57" s="104"/>
      <c r="D57" s="104"/>
      <c r="E57" s="104"/>
      <c r="F57" s="104"/>
      <c r="G57" s="104"/>
      <c r="H57" s="9"/>
      <c r="I57" s="104"/>
      <c r="J57" s="104"/>
      <c r="K57" s="104"/>
      <c r="L57" s="104"/>
      <c r="M57" s="104"/>
      <c r="N57" s="104"/>
      <c r="O57" s="194"/>
      <c r="P57" s="1053"/>
      <c r="Q57" s="351"/>
      <c r="R57" s="199"/>
      <c r="S57" s="199"/>
      <c r="T57" s="198"/>
      <c r="U57" s="198"/>
      <c r="V57" s="198"/>
      <c r="W57" s="198"/>
      <c r="X57" s="198"/>
      <c r="Y57" s="198"/>
      <c r="Z57" s="198"/>
      <c r="AB57" s="198"/>
      <c r="AC57" s="198"/>
      <c r="AD57" s="198"/>
      <c r="AE57" s="198"/>
      <c r="AF57" s="198"/>
      <c r="AG57" s="198"/>
      <c r="AH57" s="198"/>
      <c r="AI57" s="203"/>
      <c r="AJ57" s="203"/>
    </row>
    <row r="58" spans="1:36" ht="15.75" customHeight="1">
      <c r="A58" s="1049" t="s">
        <v>965</v>
      </c>
      <c r="B58" s="381"/>
      <c r="C58" s="381"/>
      <c r="D58" s="381"/>
      <c r="E58" s="381"/>
      <c r="F58" s="381"/>
      <c r="G58" s="381"/>
      <c r="H58" s="381"/>
      <c r="I58" s="381"/>
      <c r="J58" s="381"/>
      <c r="K58" s="381"/>
      <c r="L58" s="428"/>
      <c r="M58" s="104"/>
      <c r="N58" s="104"/>
      <c r="O58" s="194"/>
      <c r="P58" s="1048"/>
      <c r="Q58" s="351"/>
      <c r="R58" s="199"/>
      <c r="S58" s="199"/>
      <c r="T58" s="200"/>
      <c r="U58" s="200"/>
      <c r="V58" s="200"/>
      <c r="W58" s="200"/>
      <c r="X58" s="200"/>
      <c r="Y58" s="200"/>
      <c r="Z58" s="200"/>
      <c r="AA58" s="200"/>
      <c r="AB58" s="200"/>
      <c r="AC58" s="200"/>
      <c r="AD58" s="200"/>
      <c r="AE58" s="200"/>
      <c r="AF58" s="198"/>
      <c r="AG58" s="198"/>
      <c r="AH58" s="198"/>
      <c r="AI58" s="198"/>
      <c r="AJ58" s="198"/>
    </row>
    <row r="59" spans="1:36" ht="19.5" customHeight="1">
      <c r="A59" s="984" t="s">
        <v>966</v>
      </c>
      <c r="B59" s="350"/>
      <c r="C59" s="350"/>
      <c r="D59" s="350"/>
      <c r="E59" s="350"/>
      <c r="F59" s="350"/>
      <c r="G59" s="350"/>
      <c r="H59" s="350"/>
      <c r="I59" s="350"/>
      <c r="J59" s="350"/>
      <c r="K59" s="350"/>
      <c r="L59" s="350"/>
      <c r="M59" s="350"/>
      <c r="N59" s="351"/>
      <c r="O59" s="194" t="s">
        <v>967</v>
      </c>
      <c r="P59" s="1042" t="e">
        <f>COUNTIFS('refer admin discharge'!U30:U1020,"YES",#REF!, "YES")</f>
        <v>#REF!</v>
      </c>
      <c r="Q59" s="351"/>
      <c r="R59" s="108"/>
      <c r="S59" s="108"/>
      <c r="T59" s="93"/>
      <c r="U59" s="93"/>
      <c r="V59" s="93"/>
      <c r="W59" s="93"/>
      <c r="X59" s="93"/>
      <c r="Y59" s="93"/>
      <c r="Z59" s="93"/>
      <c r="AA59" s="93"/>
      <c r="AB59" s="93"/>
      <c r="AC59" s="93"/>
      <c r="AD59" s="93"/>
      <c r="AE59" s="93"/>
      <c r="AF59" s="93"/>
      <c r="AG59" s="93"/>
      <c r="AH59" s="198"/>
      <c r="AI59" s="201"/>
      <c r="AJ59" s="201"/>
    </row>
    <row r="60" spans="1:36" ht="19.5" customHeight="1">
      <c r="A60" s="506" t="s">
        <v>968</v>
      </c>
      <c r="B60" s="350"/>
      <c r="C60" s="350"/>
      <c r="D60" s="350"/>
      <c r="E60" s="350"/>
      <c r="F60" s="350"/>
      <c r="G60" s="350"/>
      <c r="H60" s="350"/>
      <c r="I60" s="350"/>
      <c r="J60" s="350"/>
      <c r="K60" s="350"/>
      <c r="L60" s="350"/>
      <c r="M60" s="350"/>
      <c r="N60" s="351"/>
      <c r="O60" s="194" t="s">
        <v>969</v>
      </c>
      <c r="P60" s="1043">
        <f>COUNTIFS('refer admin discharge'!U30:U1020,"YES")</f>
        <v>0</v>
      </c>
      <c r="Q60" s="351"/>
      <c r="R60" s="204"/>
      <c r="S60" s="204"/>
      <c r="T60" s="93"/>
      <c r="U60" s="93"/>
      <c r="V60" s="93"/>
      <c r="W60" s="93"/>
      <c r="X60" s="93"/>
      <c r="Y60" s="93"/>
      <c r="Z60" s="93"/>
      <c r="AA60" s="93"/>
      <c r="AB60" s="93"/>
      <c r="AC60" s="93"/>
      <c r="AD60" s="93"/>
      <c r="AE60" s="93"/>
      <c r="AF60" s="93"/>
      <c r="AG60" s="93"/>
      <c r="AH60" s="198"/>
      <c r="AI60" s="205"/>
      <c r="AJ60" s="205"/>
    </row>
    <row r="61" spans="1:36" ht="19.5" customHeight="1">
      <c r="A61" s="1044" t="s">
        <v>970</v>
      </c>
      <c r="B61" s="350"/>
      <c r="C61" s="350"/>
      <c r="D61" s="350"/>
      <c r="E61" s="350"/>
      <c r="F61" s="350"/>
      <c r="G61" s="350"/>
      <c r="H61" s="350"/>
      <c r="I61" s="350"/>
      <c r="J61" s="350"/>
      <c r="K61" s="350"/>
      <c r="L61" s="350"/>
      <c r="M61" s="350"/>
      <c r="N61" s="351"/>
      <c r="O61" s="194" t="s">
        <v>971</v>
      </c>
      <c r="P61" s="1045" t="e">
        <f t="shared" ref="P61:P62" si="6">COUNTIFS(#REF!,"YES")</f>
        <v>#REF!</v>
      </c>
      <c r="Q61" s="351"/>
      <c r="R61" s="108"/>
      <c r="S61" s="108"/>
      <c r="T61" s="93"/>
      <c r="U61" s="93"/>
      <c r="V61" s="93"/>
      <c r="W61" s="93"/>
      <c r="X61" s="93"/>
      <c r="Y61" s="93"/>
      <c r="Z61" s="93"/>
      <c r="AA61" s="93"/>
      <c r="AB61" s="93"/>
      <c r="AC61" s="93"/>
      <c r="AD61" s="93"/>
      <c r="AE61" s="93"/>
      <c r="AF61" s="93"/>
      <c r="AG61" s="93"/>
      <c r="AH61" s="198"/>
      <c r="AI61" s="201"/>
      <c r="AJ61" s="201"/>
    </row>
    <row r="62" spans="1:36" ht="19.5" customHeight="1">
      <c r="A62" s="1046" t="s">
        <v>972</v>
      </c>
      <c r="B62" s="350"/>
      <c r="C62" s="350"/>
      <c r="D62" s="350"/>
      <c r="E62" s="350"/>
      <c r="F62" s="350"/>
      <c r="G62" s="350"/>
      <c r="H62" s="350"/>
      <c r="I62" s="350"/>
      <c r="J62" s="350"/>
      <c r="K62" s="350"/>
      <c r="L62" s="350"/>
      <c r="M62" s="350"/>
      <c r="N62" s="351"/>
      <c r="O62" s="194" t="s">
        <v>973</v>
      </c>
      <c r="P62" s="1047" t="e">
        <f t="shared" si="6"/>
        <v>#REF!</v>
      </c>
      <c r="Q62" s="351"/>
      <c r="R62" s="108"/>
      <c r="S62" s="108"/>
      <c r="T62" s="93"/>
      <c r="U62" s="93"/>
      <c r="V62" s="93"/>
      <c r="W62" s="93"/>
      <c r="X62" s="93"/>
      <c r="Y62" s="93"/>
      <c r="Z62" s="93"/>
      <c r="AA62" s="93"/>
      <c r="AB62" s="93"/>
      <c r="AC62" s="93"/>
      <c r="AD62" s="93"/>
      <c r="AE62" s="93"/>
      <c r="AF62" s="93"/>
      <c r="AG62" s="93"/>
      <c r="AH62" s="198"/>
      <c r="AI62" s="201"/>
      <c r="AJ62" s="201"/>
    </row>
    <row r="63" spans="1:36" ht="15" customHeight="1">
      <c r="A63" s="1010" t="s">
        <v>974</v>
      </c>
      <c r="B63" s="381"/>
      <c r="C63" s="381"/>
      <c r="D63" s="381"/>
      <c r="E63" s="381"/>
      <c r="F63" s="381"/>
      <c r="G63" s="381"/>
      <c r="H63" s="381"/>
      <c r="I63" s="381"/>
      <c r="J63" s="381"/>
      <c r="K63" s="381"/>
      <c r="L63" s="381"/>
      <c r="M63" s="381"/>
      <c r="N63" s="381"/>
      <c r="O63" s="381"/>
      <c r="P63" s="381"/>
      <c r="Q63" s="381"/>
      <c r="R63" s="381"/>
      <c r="S63" s="428"/>
      <c r="T63" s="206"/>
      <c r="U63" s="206"/>
      <c r="V63" s="206"/>
      <c r="W63" s="206"/>
      <c r="X63" s="206"/>
      <c r="Y63" s="206"/>
      <c r="Z63" s="206"/>
      <c r="AA63" s="206"/>
      <c r="AB63" s="206"/>
      <c r="AC63" s="206"/>
      <c r="AD63" s="206"/>
      <c r="AE63" s="206"/>
      <c r="AF63" s="206"/>
    </row>
    <row r="64" spans="1:36" ht="15.75" customHeight="1">
      <c r="A64" s="1040" t="s">
        <v>975</v>
      </c>
      <c r="B64" s="381"/>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428"/>
      <c r="AD64" s="207" t="s">
        <v>736</v>
      </c>
      <c r="AF64" s="207" t="s">
        <v>976</v>
      </c>
    </row>
    <row r="65" spans="1:36" ht="15.75" customHeight="1">
      <c r="A65" s="208"/>
      <c r="B65" s="208"/>
      <c r="C65" s="208"/>
      <c r="D65" s="208"/>
      <c r="E65" s="208"/>
      <c r="F65" s="1007" t="s">
        <v>736</v>
      </c>
      <c r="G65" s="350"/>
      <c r="H65" s="350"/>
      <c r="I65" s="350"/>
      <c r="J65" s="350"/>
      <c r="K65" s="350"/>
      <c r="L65" s="350"/>
      <c r="M65" s="350"/>
      <c r="N65" s="350"/>
      <c r="O65" s="350"/>
      <c r="P65" s="350"/>
      <c r="Q65" s="350"/>
      <c r="R65" s="350"/>
      <c r="S65" s="370"/>
      <c r="T65" s="209"/>
      <c r="U65" s="1041" t="s">
        <v>977</v>
      </c>
      <c r="V65" s="350"/>
      <c r="W65" s="350"/>
      <c r="X65" s="350"/>
      <c r="Y65" s="350"/>
      <c r="Z65" s="351"/>
      <c r="AA65" s="210"/>
      <c r="AB65" s="210"/>
      <c r="AC65" s="210"/>
      <c r="AD65" s="211"/>
      <c r="AF65" s="211"/>
    </row>
    <row r="66" spans="1:36" ht="39.75" customHeight="1">
      <c r="A66" s="1008" t="s">
        <v>978</v>
      </c>
      <c r="B66" s="350"/>
      <c r="C66" s="350"/>
      <c r="D66" s="350"/>
      <c r="E66" s="351"/>
      <c r="F66" s="1003" t="s">
        <v>554</v>
      </c>
      <c r="G66" s="351"/>
      <c r="H66" s="993" t="s">
        <v>738</v>
      </c>
      <c r="I66" s="351"/>
      <c r="J66" s="993" t="s">
        <v>979</v>
      </c>
      <c r="K66" s="351"/>
      <c r="L66" s="993" t="s">
        <v>557</v>
      </c>
      <c r="M66" s="351"/>
      <c r="N66" s="993" t="s">
        <v>980</v>
      </c>
      <c r="O66" s="351"/>
      <c r="P66" s="993" t="s">
        <v>981</v>
      </c>
      <c r="Q66" s="351"/>
      <c r="R66" s="993" t="s">
        <v>747</v>
      </c>
      <c r="S66" s="351"/>
      <c r="T66" s="212"/>
      <c r="U66" s="1039" t="s">
        <v>562</v>
      </c>
      <c r="V66" s="351"/>
      <c r="W66" s="1039" t="s">
        <v>563</v>
      </c>
      <c r="X66" s="351"/>
      <c r="Y66" s="1039" t="s">
        <v>982</v>
      </c>
      <c r="Z66" s="351"/>
      <c r="AA66" s="152"/>
      <c r="AB66" s="152"/>
      <c r="AC66" s="152"/>
      <c r="AD66" s="211"/>
      <c r="AF66" s="211"/>
    </row>
    <row r="67" spans="1:36" ht="15" customHeight="1">
      <c r="A67" s="997" t="s">
        <v>983</v>
      </c>
      <c r="B67" s="384"/>
      <c r="C67" s="384"/>
      <c r="D67" s="384"/>
      <c r="E67" s="385"/>
      <c r="F67" s="213" t="s">
        <v>984</v>
      </c>
      <c r="G67" s="214" t="s">
        <v>985</v>
      </c>
      <c r="H67" s="213" t="s">
        <v>984</v>
      </c>
      <c r="I67" s="214" t="s">
        <v>985</v>
      </c>
      <c r="J67" s="213" t="s">
        <v>984</v>
      </c>
      <c r="K67" s="214" t="s">
        <v>985</v>
      </c>
      <c r="L67" s="213" t="s">
        <v>984</v>
      </c>
      <c r="M67" s="214" t="s">
        <v>985</v>
      </c>
      <c r="N67" s="213" t="s">
        <v>984</v>
      </c>
      <c r="O67" s="214" t="s">
        <v>985</v>
      </c>
      <c r="P67" s="213" t="s">
        <v>984</v>
      </c>
      <c r="Q67" s="214" t="s">
        <v>985</v>
      </c>
      <c r="R67" s="213" t="s">
        <v>984</v>
      </c>
      <c r="S67" s="214" t="s">
        <v>985</v>
      </c>
      <c r="T67" s="5"/>
      <c r="U67" s="215" t="s">
        <v>984</v>
      </c>
      <c r="V67" s="216" t="s">
        <v>985</v>
      </c>
      <c r="W67" s="215" t="s">
        <v>984</v>
      </c>
      <c r="X67" s="216" t="s">
        <v>985</v>
      </c>
      <c r="Y67" s="215" t="s">
        <v>984</v>
      </c>
      <c r="Z67" s="216" t="s">
        <v>985</v>
      </c>
      <c r="AA67" s="152"/>
      <c r="AB67" s="152"/>
      <c r="AC67" s="152"/>
      <c r="AD67" s="211"/>
      <c r="AF67" s="211"/>
    </row>
    <row r="68" spans="1:36" ht="15.75" customHeight="1">
      <c r="A68" s="998" t="s">
        <v>986</v>
      </c>
      <c r="B68" s="350"/>
      <c r="C68" s="351"/>
      <c r="D68" s="755" t="e">
        <f>COUNTIFS('refer admin discharge'!#REF!,"&gt;=0",'refer admin discharge'!#REF!,"&lt;=12")</f>
        <v>#REF!</v>
      </c>
      <c r="E68" s="351"/>
      <c r="F68" s="217" t="e">
        <f>COUNTIFS('refer admin discharge'!#REF!,"&gt;=0",'refer admin discharge'!#REF!,"&lt;=12",'refer admin discharge'!#REF!,"White",'refer admin discharge'!#REF!,"Male")</f>
        <v>#REF!</v>
      </c>
      <c r="G68" s="218" t="e">
        <f>COUNTIFS('refer admin discharge'!#REF!,"&gt;=0",'refer admin discharge'!#REF!,"&lt;=12",'refer admin discharge'!#REF!,"White",'refer admin discharge'!#REF!,"Female")</f>
        <v>#REF!</v>
      </c>
      <c r="H68" s="217" t="e">
        <f>COUNTIFS('refer admin discharge'!#REF!,"&gt;=0",'refer admin discharge'!#REF!,"&lt;=12",'refer admin discharge'!#REF!,"African American /Black",'refer admin discharge'!#REF!,"Male")</f>
        <v>#REF!</v>
      </c>
      <c r="I68" s="218" t="e">
        <f>COUNTIFS('refer admin discharge'!#REF!,"&gt;=0",'refer admin discharge'!#REF!,"&lt;=12",'refer admin discharge'!#REF!,"African American /Black",'refer admin discharge'!#REF!,"Female")</f>
        <v>#REF!</v>
      </c>
      <c r="J68" s="217" t="e">
        <f>COUNTIFS('refer admin discharge'!#REF!,"&gt;=0",'refer admin discharge'!#REF!,"&lt;=12",'refer admin discharge'!#REF!,"Native Hawaiian/Pacific",'refer admin discharge'!#REF!,"Male")</f>
        <v>#REF!</v>
      </c>
      <c r="K68" s="218" t="e">
        <f>COUNTIFS('refer admin discharge'!#REF!,"&gt;=0",'refer admin discharge'!#REF!,"&lt;=12",'refer admin discharge'!#REF!,"Native Hawaiian/Pacific",'refer admin discharge'!#REF!,"Female")</f>
        <v>#REF!</v>
      </c>
      <c r="L68" s="217" t="e">
        <f>COUNTIFS('refer admin discharge'!#REF!,"&gt;=0",'refer admin discharge'!#REF!,"&lt;=12",'refer admin discharge'!#REF!,"Asian",'refer admin discharge'!#REF!,"Male")</f>
        <v>#REF!</v>
      </c>
      <c r="M68" s="218" t="e">
        <f>COUNTIFS('refer admin discharge'!#REF!,"&gt;=0",'refer admin discharge'!#REF!,"&lt;=12",'refer admin discharge'!#REF!,"Asian",'refer admin discharge'!#REF!,"Female")</f>
        <v>#REF!</v>
      </c>
      <c r="N68" s="217" t="e">
        <f>COUNTIFS('refer admin discharge'!#REF!,"&gt;=0",'refer admin discharge'!#REF!,"&lt;=12",'refer admin discharge'!#REF!,"American Indian Alaskan Native",'refer admin discharge'!#REF!,"Male")</f>
        <v>#REF!</v>
      </c>
      <c r="O68" s="218" t="e">
        <f>COUNTIFS('refer admin discharge'!#REF!,"&gt;=0",'refer admin discharge'!#REF!,"&lt;=12",'refer admin discharge'!#REF!,"American Indian Alaskan Native",'refer admin discharge'!#REF!,"Female")</f>
        <v>#REF!</v>
      </c>
      <c r="P68" s="217" t="e">
        <f>COUNTIFS('refer admin discharge'!#REF!,"&gt;=0",'refer admin discharge'!#REF!,"&lt;=12",'refer admin discharge'!#REF!,"More than one race reported",'refer admin discharge'!#REF!,"Male")</f>
        <v>#REF!</v>
      </c>
      <c r="Q68" s="218" t="e">
        <f>COUNTIFS('refer admin discharge'!#REF!,"&gt;=0",'refer admin discharge'!#REF!,"&lt;=12",'refer admin discharge'!#REF!,"More than one race reported",'refer admin discharge'!#REF!,"Female")</f>
        <v>#REF!</v>
      </c>
      <c r="R68" s="217" t="e">
        <f>COUNTIFS('refer admin discharge'!#REF!,"&gt;=0",'refer admin discharge'!#REF!,"&lt;=12",'refer admin discharge'!#REF!,"Unknown",'refer admin discharge'!#REF!,"Male")</f>
        <v>#REF!</v>
      </c>
      <c r="S68" s="218" t="e">
        <f>COUNTIFS('refer admin discharge'!#REF!,"&gt;=0",'refer admin discharge'!#REF!,"&lt;=12",'refer admin discharge'!#REF!,"Unknown",'refer admin discharge'!#REF!,"Female")</f>
        <v>#REF!</v>
      </c>
      <c r="T68" s="5"/>
      <c r="U68" s="219" t="e">
        <f>COUNTIFS('refer admin discharge'!#REF!,"&gt;=0",'refer admin discharge'!#REF!,"&lt;=12",'refer admin discharge'!#REF!,"Not Hispanic or Latino",'refer admin discharge'!#REF!,"Male")</f>
        <v>#REF!</v>
      </c>
      <c r="V68" s="220" t="e">
        <f>COUNTIFS('refer admin discharge'!#REF!,"&gt;=0",'refer admin discharge'!#REF!,"&lt;=12",'refer admin discharge'!#REF!,"Not Hispanic or Latino",'refer admin discharge'!#REF!,"Female")</f>
        <v>#REF!</v>
      </c>
      <c r="W68" s="219" t="e">
        <f>COUNTIFS('refer admin discharge'!#REF!,"&gt;=0",'refer admin discharge'!#REF!,"&lt;=12",'refer admin discharge'!#REF!,"Hispanic-Latino ",'refer admin discharge'!#REF!,"Male")</f>
        <v>#REF!</v>
      </c>
      <c r="X68" s="220" t="e">
        <f>COUNTIFS('refer admin discharge'!#REF!,"&gt;=0",'refer admin discharge'!#REF!,"&lt;=12",'refer admin discharge'!#REF!,"Hispanic-Latino ",'refer admin discharge'!#REF!,"Female")</f>
        <v>#REF!</v>
      </c>
      <c r="Y68" s="219" t="e">
        <f>COUNTIFS('refer admin discharge'!#REF!,"&gt;=0",'refer admin discharge'!#REF!,"&lt;=12",'refer admin discharge'!#REF!,"Unknown",'refer admin discharge'!#REF!,"Male")</f>
        <v>#REF!</v>
      </c>
      <c r="Z68" s="220" t="e">
        <f>COUNTIFS('refer admin discharge'!#REF!,"&gt;=0",'refer admin discharge'!#REF!,"&lt;=12",'refer admin discharge'!#REF!,"Unknown",'refer admin discharge'!#REF!,"Female")</f>
        <v>#REF!</v>
      </c>
      <c r="AA68" s="152"/>
      <c r="AB68" s="152"/>
      <c r="AC68" s="152"/>
      <c r="AD68" s="221" t="e">
        <f t="shared" ref="AD68:AD76" si="7">SUM(F68:S68)</f>
        <v>#REF!</v>
      </c>
      <c r="AF68" s="222" t="e">
        <f t="shared" ref="AF68:AF76" si="8">SUM(U68:Z68)</f>
        <v>#REF!</v>
      </c>
      <c r="AH68" s="223">
        <v>7</v>
      </c>
    </row>
    <row r="69" spans="1:36" ht="15" customHeight="1">
      <c r="A69" s="996" t="s">
        <v>987</v>
      </c>
      <c r="B69" s="350"/>
      <c r="C69" s="351"/>
      <c r="D69" s="1038" t="e">
        <f>COUNTIFS('refer admin discharge'!#REF!,"&gt;=13",'refer admin discharge'!#REF!,"&lt;=17")</f>
        <v>#REF!</v>
      </c>
      <c r="E69" s="351"/>
      <c r="F69" s="224" t="e">
        <f>COUNTIFS('refer admin discharge'!#REF!,"&gt;=13",'refer admin discharge'!#REF!,"&lt;=17",'refer admin discharge'!#REF!,"White",'refer admin discharge'!#REF!,"Male")</f>
        <v>#REF!</v>
      </c>
      <c r="G69" s="225" t="e">
        <f>COUNTIFS('refer admin discharge'!#REF!,"&gt;=13",'refer admin discharge'!#REF!,"&lt;=17",'refer admin discharge'!#REF!,"White",'refer admin discharge'!#REF!,"Female")</f>
        <v>#REF!</v>
      </c>
      <c r="H69" s="224" t="e">
        <f>COUNTIFS('refer admin discharge'!#REF!,"&gt;=13",'refer admin discharge'!#REF!,"&lt;=17",'refer admin discharge'!#REF!,"African American /Black",'refer admin discharge'!#REF!,"Male")</f>
        <v>#REF!</v>
      </c>
      <c r="I69" s="225" t="e">
        <f>COUNTIFS('refer admin discharge'!#REF!,"&gt;=13",'refer admin discharge'!#REF!,"&lt;=17",'refer admin discharge'!#REF!,"African American /Black",'refer admin discharge'!#REF!,"Female")</f>
        <v>#REF!</v>
      </c>
      <c r="J69" s="224" t="e">
        <f>COUNTIFS('refer admin discharge'!#REF!,"&gt;=13",'refer admin discharge'!#REF!,"&lt;=17",'refer admin discharge'!#REF!,"Native Hawaiian/Pacific",'refer admin discharge'!#REF!,"Male")</f>
        <v>#REF!</v>
      </c>
      <c r="K69" s="225" t="e">
        <f>COUNTIFS('refer admin discharge'!#REF!,"&gt;=13",'refer admin discharge'!#REF!,"&lt;=17",'refer admin discharge'!#REF!,"Native Hawaiian/Pacific",'refer admin discharge'!#REF!,"Female")</f>
        <v>#REF!</v>
      </c>
      <c r="L69" s="224" t="e">
        <f>COUNTIFS('refer admin discharge'!#REF!,"&gt;=13",'refer admin discharge'!#REF!,"&lt;=17",'refer admin discharge'!#REF!,"Asian",'refer admin discharge'!#REF!,"Male")</f>
        <v>#REF!</v>
      </c>
      <c r="M69" s="225" t="e">
        <f>COUNTIFS('refer admin discharge'!#REF!,"&gt;=13",'refer admin discharge'!#REF!,"&lt;=17",'refer admin discharge'!#REF!,"Asian",'refer admin discharge'!#REF!,"Female")</f>
        <v>#REF!</v>
      </c>
      <c r="N69" s="224" t="e">
        <f>COUNTIFS('refer admin discharge'!#REF!,"&gt;=13",'refer admin discharge'!#REF!,"&lt;=17",'refer admin discharge'!#REF!,"American Indian Alaskan Native",'refer admin discharge'!#REF!,"Male")</f>
        <v>#REF!</v>
      </c>
      <c r="O69" s="225" t="e">
        <f>COUNTIFS('refer admin discharge'!#REF!,"&gt;=13",'refer admin discharge'!#REF!,"&lt;=17",'refer admin discharge'!#REF!,"American Indian Alaskan Native",'refer admin discharge'!#REF!,"Female")</f>
        <v>#REF!</v>
      </c>
      <c r="P69" s="224" t="e">
        <f>COUNTIFS('refer admin discharge'!#REF!,"&gt;=13",'refer admin discharge'!#REF!,"&lt;=17",'refer admin discharge'!#REF!,"More than one race reported",'refer admin discharge'!#REF!,"Male")</f>
        <v>#REF!</v>
      </c>
      <c r="Q69" s="225" t="e">
        <f>COUNTIFS('refer admin discharge'!#REF!,"&gt;=13",'refer admin discharge'!#REF!,"&lt;=17",'refer admin discharge'!#REF!,"More than one race reported",'refer admin discharge'!#REF!,"Female")</f>
        <v>#REF!</v>
      </c>
      <c r="R69" s="224" t="e">
        <f>COUNTIFS('refer admin discharge'!#REF!,"&gt;=13",'refer admin discharge'!#REF!,"&lt;=17",'refer admin discharge'!#REF!,"Unknown",'refer admin discharge'!#REF!,"Male")</f>
        <v>#REF!</v>
      </c>
      <c r="S69" s="225" t="e">
        <f>COUNTIFS('refer admin discharge'!#REF!,"&gt;=13",'refer admin discharge'!#REF!,"&lt;=17",'refer admin discharge'!#REF!,"Unknown",'refer admin discharge'!#REF!,"Female")</f>
        <v>#REF!</v>
      </c>
      <c r="T69" s="5"/>
      <c r="U69" s="220" t="e">
        <f>COUNTIFS('refer admin discharge'!#REF!,"&gt;=13",'refer admin discharge'!#REF!,"&lt;=17",'refer admin discharge'!#REF!,"Not Hispanic or Latino",'refer admin discharge'!#REF!,"Male")</f>
        <v>#REF!</v>
      </c>
      <c r="V69" s="226" t="e">
        <f>COUNTIFS('refer admin discharge'!#REF!,"&gt;=13",'refer admin discharge'!#REF!,"&lt;=17",'refer admin discharge'!#REF!,"Not Hispanic or Latino",'refer admin discharge'!#REF!,"Female")</f>
        <v>#REF!</v>
      </c>
      <c r="W69" s="220" t="e">
        <f>COUNTIFS('refer admin discharge'!#REF!,"&gt;=13",'refer admin discharge'!#REF!,"&lt;=17",'refer admin discharge'!#REF!,"Hispanic-Latino ",'refer admin discharge'!#REF!,"Male")</f>
        <v>#REF!</v>
      </c>
      <c r="X69" s="226" t="e">
        <f>COUNTIFS('refer admin discharge'!#REF!,"&gt;=13",'refer admin discharge'!#REF!,"&lt;=17",'refer admin discharge'!#REF!,"Hispanic-Latino ",'refer admin discharge'!#REF!,"Female")</f>
        <v>#REF!</v>
      </c>
      <c r="Y69" s="220" t="e">
        <f>COUNTIFS('refer admin discharge'!#REF!,"&gt;=13",'refer admin discharge'!#REF!,"&lt;=17",'refer admin discharge'!#REF!,"Unknown",'refer admin discharge'!#REF!,"Male")</f>
        <v>#REF!</v>
      </c>
      <c r="Z69" s="226" t="e">
        <f>COUNTIFS('refer admin discharge'!#REF!,"&gt;=13",'refer admin discharge'!#REF!,"&lt;=17",'refer admin discharge'!#REF!,"Unknown",'refer admin discharge'!#REF!,"Female")</f>
        <v>#REF!</v>
      </c>
      <c r="AA69" s="152"/>
      <c r="AB69" s="152"/>
      <c r="AC69" s="152"/>
      <c r="AD69" s="221" t="e">
        <f t="shared" si="7"/>
        <v>#REF!</v>
      </c>
      <c r="AF69" s="222" t="e">
        <f t="shared" si="8"/>
        <v>#REF!</v>
      </c>
      <c r="AH69" s="223">
        <v>7</v>
      </c>
    </row>
    <row r="70" spans="1:36" ht="15.75" customHeight="1">
      <c r="A70" s="994" t="s">
        <v>988</v>
      </c>
      <c r="B70" s="350"/>
      <c r="C70" s="351"/>
      <c r="D70" s="755" t="e">
        <f>COUNTIFS('refer admin discharge'!#REF!,"&gt;=18",'refer admin discharge'!#REF!,"&lt;=20")</f>
        <v>#REF!</v>
      </c>
      <c r="E70" s="351"/>
      <c r="F70" s="217" t="e">
        <f>COUNTIFS('refer admin discharge'!#REF!,"&gt;=18",'refer admin discharge'!#REF!,"&lt;=20",'refer admin discharge'!#REF!,"White",'refer admin discharge'!#REF!,"Male")</f>
        <v>#REF!</v>
      </c>
      <c r="G70" s="218" t="e">
        <f>COUNTIFS('refer admin discharge'!#REF!,"&gt;=18",'refer admin discharge'!#REF!,"&lt;=20",'refer admin discharge'!#REF!,"White",'refer admin discharge'!#REF!,"Female")</f>
        <v>#REF!</v>
      </c>
      <c r="H70" s="217" t="e">
        <f>COUNTIFS('refer admin discharge'!#REF!,"&gt;=18",'refer admin discharge'!#REF!,"&lt;=20",'refer admin discharge'!#REF!,"African American /Black",'refer admin discharge'!#REF!,"Male")</f>
        <v>#REF!</v>
      </c>
      <c r="I70" s="218" t="e">
        <f>COUNTIFS('refer admin discharge'!#REF!,"&gt;=18",'refer admin discharge'!#REF!,"&lt;=20",'refer admin discharge'!#REF!,"African American /Black",'refer admin discharge'!#REF!,"Female")</f>
        <v>#REF!</v>
      </c>
      <c r="J70" s="217" t="e">
        <f>COUNTIFS('refer admin discharge'!#REF!,"&gt;=18",'refer admin discharge'!#REF!,"&lt;=20",'refer admin discharge'!#REF!,"Native Hawaiian/Pacific",'refer admin discharge'!#REF!,"Male")</f>
        <v>#REF!</v>
      </c>
      <c r="K70" s="218" t="e">
        <f>COUNTIFS('refer admin discharge'!#REF!,"&gt;=18",'refer admin discharge'!#REF!,"&lt;=20",'refer admin discharge'!#REF!,"Native Hawaiian/Pacific",'refer admin discharge'!#REF!,"Female")</f>
        <v>#REF!</v>
      </c>
      <c r="L70" s="217" t="e">
        <f>COUNTIFS('refer admin discharge'!#REF!,"&gt;=18",'refer admin discharge'!#REF!,"&lt;=20",'refer admin discharge'!#REF!,"Asian",'refer admin discharge'!#REF!,"Male")</f>
        <v>#REF!</v>
      </c>
      <c r="M70" s="218" t="e">
        <f>COUNTIFS('refer admin discharge'!#REF!,"&gt;=18",'refer admin discharge'!#REF!,"&lt;=20",'refer admin discharge'!#REF!,"Asian",'refer admin discharge'!#REF!,"Female")</f>
        <v>#REF!</v>
      </c>
      <c r="N70" s="217" t="e">
        <f>COUNTIFS('refer admin discharge'!#REF!,"&gt;=18",'refer admin discharge'!#REF!,"&lt;=20",'refer admin discharge'!#REF!,"American Indian Alaskan Native",'refer admin discharge'!#REF!,"Male")</f>
        <v>#REF!</v>
      </c>
      <c r="O70" s="218" t="e">
        <f>COUNTIFS('refer admin discharge'!#REF!,"&gt;=18",'refer admin discharge'!#REF!,"&lt;=20",'refer admin discharge'!#REF!,"American Indian Alaskan Native",'refer admin discharge'!#REF!,"Female")</f>
        <v>#REF!</v>
      </c>
      <c r="P70" s="217" t="e">
        <f>COUNTIFS('refer admin discharge'!#REF!,"&gt;=18",'refer admin discharge'!#REF!,"&lt;=20",'refer admin discharge'!#REF!,"More than one race reported",'refer admin discharge'!#REF!,"Male")</f>
        <v>#REF!</v>
      </c>
      <c r="Q70" s="218" t="e">
        <f>COUNTIFS('refer admin discharge'!#REF!,"&gt;=18",'refer admin discharge'!#REF!,"&lt;=20",'refer admin discharge'!#REF!,"More than one race reported",'refer admin discharge'!#REF!,"Female")</f>
        <v>#REF!</v>
      </c>
      <c r="R70" s="217" t="e">
        <f>COUNTIFS('refer admin discharge'!#REF!,"&gt;=18",'refer admin discharge'!#REF!,"&lt;=20",'refer admin discharge'!#REF!,"Unknown",'refer admin discharge'!#REF!,"Male")</f>
        <v>#REF!</v>
      </c>
      <c r="S70" s="218" t="e">
        <f>COUNTIFS('refer admin discharge'!#REF!,"&gt;=18",'refer admin discharge'!#REF!,"&lt;=20",'refer admin discharge'!#REF!,"Unknown",'refer admin discharge'!#REF!,"Female")</f>
        <v>#REF!</v>
      </c>
      <c r="T70" s="5"/>
      <c r="U70" s="219" t="e">
        <f>COUNTIFS('refer admin discharge'!#REF!,"&gt;=18",'refer admin discharge'!#REF!,"&lt;=20",'refer admin discharge'!#REF!,"Not Hispanic or Latino",'refer admin discharge'!#REF!,"Male")</f>
        <v>#REF!</v>
      </c>
      <c r="V70" s="220" t="e">
        <f>COUNTIFS('refer admin discharge'!#REF!,"&gt;=18",'refer admin discharge'!#REF!,"&lt;=20",'refer admin discharge'!#REF!,"Not Hispanic or Latino",'refer admin discharge'!#REF!,"Female")</f>
        <v>#REF!</v>
      </c>
      <c r="W70" s="219" t="e">
        <f>COUNTIFS('refer admin discharge'!#REF!,"&gt;=18",'refer admin discharge'!#REF!,"&lt;=20",'refer admin discharge'!#REF!,"Hispanic-Latino ",'refer admin discharge'!#REF!,"Male")</f>
        <v>#REF!</v>
      </c>
      <c r="X70" s="220" t="e">
        <f>COUNTIFS('refer admin discharge'!#REF!,"&gt;=18",'refer admin discharge'!#REF!,"&lt;=20",'refer admin discharge'!#REF!,"Hispanic-Latino ",'refer admin discharge'!#REF!,"Female")</f>
        <v>#REF!</v>
      </c>
      <c r="Y70" s="219" t="e">
        <f>COUNTIFS('refer admin discharge'!#REF!,"&gt;=18",'refer admin discharge'!#REF!,"&lt;=20",'refer admin discharge'!#REF!,"Unknown",'refer admin discharge'!#REF!,"Male")</f>
        <v>#REF!</v>
      </c>
      <c r="Z70" s="220" t="e">
        <f>COUNTIFS('refer admin discharge'!#REF!,"&gt;=18",'refer admin discharge'!#REF!,"&lt;=20",'refer admin discharge'!#REF!,"Unknown",'refer admin discharge'!#REF!,"Female")</f>
        <v>#REF!</v>
      </c>
      <c r="AA70" s="152"/>
      <c r="AB70" s="152"/>
      <c r="AC70" s="152"/>
      <c r="AD70" s="221" t="e">
        <f t="shared" si="7"/>
        <v>#REF!</v>
      </c>
      <c r="AF70" s="222" t="e">
        <f t="shared" si="8"/>
        <v>#REF!</v>
      </c>
      <c r="AH70" s="223">
        <v>7</v>
      </c>
    </row>
    <row r="71" spans="1:36" ht="15.75" customHeight="1">
      <c r="A71" s="996" t="s">
        <v>989</v>
      </c>
      <c r="B71" s="350"/>
      <c r="C71" s="351"/>
      <c r="D71" s="1038" t="e">
        <f>COUNTIFS('refer admin discharge'!#REF!,"&gt;=21",'refer admin discharge'!#REF!,"&lt;=24")</f>
        <v>#REF!</v>
      </c>
      <c r="E71" s="351"/>
      <c r="F71" s="224" t="e">
        <f>COUNTIFS('refer admin discharge'!#REF!,"&gt;=21",'refer admin discharge'!#REF!,"&lt;=24",'refer admin discharge'!#REF!,"White",'refer admin discharge'!#REF!,"Male")</f>
        <v>#REF!</v>
      </c>
      <c r="G71" s="225" t="e">
        <f>COUNTIFS('refer admin discharge'!#REF!,"&gt;=21",'refer admin discharge'!#REF!,"&lt;=24",'refer admin discharge'!#REF!,"White",'refer admin discharge'!#REF!,"Female")</f>
        <v>#REF!</v>
      </c>
      <c r="H71" s="224" t="e">
        <f>COUNTIFS('refer admin discharge'!#REF!,"&gt;=21",'refer admin discharge'!#REF!,"&lt;=24",'refer admin discharge'!#REF!,"African American /Black",'refer admin discharge'!#REF!,"Male")</f>
        <v>#REF!</v>
      </c>
      <c r="I71" s="225" t="e">
        <f>COUNTIFS('refer admin discharge'!#REF!,"&gt;=21",'refer admin discharge'!#REF!,"&lt;=24",'refer admin discharge'!#REF!,"African American /Black",'refer admin discharge'!#REF!,"Female")</f>
        <v>#REF!</v>
      </c>
      <c r="J71" s="224" t="e">
        <f>COUNTIFS('refer admin discharge'!#REF!,"&gt;=21",'refer admin discharge'!#REF!,"&lt;=24",'refer admin discharge'!#REF!,"Native Hawaiian/Pacific",'refer admin discharge'!#REF!,"Male")</f>
        <v>#REF!</v>
      </c>
      <c r="K71" s="225" t="e">
        <f>COUNTIFS('refer admin discharge'!#REF!,"&gt;=21",'refer admin discharge'!#REF!,"&lt;=24",'refer admin discharge'!#REF!,"Native Hawaiian/Pacific",'refer admin discharge'!#REF!,"Female")</f>
        <v>#REF!</v>
      </c>
      <c r="L71" s="224" t="e">
        <f>COUNTIFS('refer admin discharge'!#REF!,"&gt;=21",'refer admin discharge'!#REF!,"&lt;=24",'refer admin discharge'!#REF!,"Asian",'refer admin discharge'!#REF!,"Male")</f>
        <v>#REF!</v>
      </c>
      <c r="M71" s="225" t="e">
        <f>COUNTIFS('refer admin discharge'!#REF!,"&gt;=21",'refer admin discharge'!#REF!,"&lt;=24",'refer admin discharge'!#REF!,"Asian",'refer admin discharge'!#REF!,"Female")</f>
        <v>#REF!</v>
      </c>
      <c r="N71" s="224" t="e">
        <f>COUNTIFS('refer admin discharge'!#REF!,"&gt;=21",'refer admin discharge'!#REF!,"&lt;=24",'refer admin discharge'!#REF!,"American Indian Alaskan Native",'refer admin discharge'!#REF!,"Male")</f>
        <v>#REF!</v>
      </c>
      <c r="O71" s="225" t="e">
        <f>COUNTIFS('refer admin discharge'!#REF!,"&gt;=21",'refer admin discharge'!#REF!,"&lt;=24",'refer admin discharge'!#REF!,"American Indian Alaskan Native",'refer admin discharge'!#REF!,"Female")</f>
        <v>#REF!</v>
      </c>
      <c r="P71" s="224" t="e">
        <f>COUNTIFS('refer admin discharge'!#REF!,"&gt;=21",'refer admin discharge'!#REF!,"&lt;=24",'refer admin discharge'!#REF!,"More than one race reported",'refer admin discharge'!#REF!,"Male")</f>
        <v>#REF!</v>
      </c>
      <c r="Q71" s="225" t="e">
        <f>COUNTIFS('refer admin discharge'!#REF!,"&gt;=21",'refer admin discharge'!#REF!,"&lt;=24",'refer admin discharge'!#REF!,"More than one race reported",'refer admin discharge'!#REF!,"Female")</f>
        <v>#REF!</v>
      </c>
      <c r="R71" s="224" t="e">
        <f>COUNTIFS('refer admin discharge'!#REF!,"&gt;=21",'refer admin discharge'!#REF!,"&lt;=24",'refer admin discharge'!#REF!,"Unknown",'refer admin discharge'!#REF!,"Male")</f>
        <v>#REF!</v>
      </c>
      <c r="S71" s="225" t="e">
        <f>COUNTIFS('refer admin discharge'!#REF!,"&gt;=21",'refer admin discharge'!#REF!,"&lt;=24",'refer admin discharge'!#REF!,"Unknown",'refer admin discharge'!#REF!,"Female")</f>
        <v>#REF!</v>
      </c>
      <c r="T71" s="5"/>
      <c r="U71" s="220" t="e">
        <f>COUNTIFS('refer admin discharge'!#REF!,"&gt;=21",'refer admin discharge'!#REF!,"&lt;=24",'refer admin discharge'!#REF!,"Not Hispanic or Latino",'refer admin discharge'!#REF!,"Male")</f>
        <v>#REF!</v>
      </c>
      <c r="V71" s="226" t="e">
        <f>COUNTIFS('refer admin discharge'!#REF!,"&gt;=21",'refer admin discharge'!#REF!,"&lt;=24",'refer admin discharge'!#REF!,"Not Hispanic or Latino",'refer admin discharge'!#REF!,"Female")</f>
        <v>#REF!</v>
      </c>
      <c r="W71" s="220" t="e">
        <f>COUNTIFS('refer admin discharge'!#REF!,"&gt;=21",'refer admin discharge'!#REF!,"&lt;=24",'refer admin discharge'!#REF!,"Hispanic-Latino ",'refer admin discharge'!#REF!,"Male")</f>
        <v>#REF!</v>
      </c>
      <c r="X71" s="226" t="e">
        <f>COUNTIFS('refer admin discharge'!#REF!,"&gt;=21",'refer admin discharge'!#REF!,"&lt;=24",'refer admin discharge'!#REF!,"Hispanic-Latino ",'refer admin discharge'!#REF!,"Female")</f>
        <v>#REF!</v>
      </c>
      <c r="Y71" s="220" t="e">
        <f>COUNTIFS('refer admin discharge'!#REF!,"&gt;=21",'refer admin discharge'!#REF!,"&lt;=24",'refer admin discharge'!#REF!,"Unknown",'refer admin discharge'!#REF!,"Male")</f>
        <v>#REF!</v>
      </c>
      <c r="Z71" s="226" t="e">
        <f>COUNTIFS('refer admin discharge'!#REF!,"&gt;=21",'refer admin discharge'!#REF!,"&lt;=24",'refer admin discharge'!#REF!,"Unknown",'refer admin discharge'!#REF!,"Female")</f>
        <v>#REF!</v>
      </c>
      <c r="AA71" s="152"/>
      <c r="AB71" s="152"/>
      <c r="AC71" s="152"/>
      <c r="AD71" s="221" t="e">
        <f t="shared" si="7"/>
        <v>#REF!</v>
      </c>
      <c r="AF71" s="222" t="e">
        <f t="shared" si="8"/>
        <v>#REF!</v>
      </c>
      <c r="AH71" s="223">
        <v>7</v>
      </c>
    </row>
    <row r="72" spans="1:36" ht="15.75" customHeight="1">
      <c r="A72" s="994" t="s">
        <v>990</v>
      </c>
      <c r="B72" s="350"/>
      <c r="C72" s="351"/>
      <c r="D72" s="755" t="e">
        <f>COUNTIFS('refer admin discharge'!#REF!,"&gt;=25",'refer admin discharge'!#REF!,"&lt;=44")</f>
        <v>#REF!</v>
      </c>
      <c r="E72" s="351"/>
      <c r="F72" s="217" t="e">
        <f>COUNTIFS('refer admin discharge'!#REF!,"&gt;=25",'refer admin discharge'!#REF!,"&lt;=44",'refer admin discharge'!#REF!,"White",'refer admin discharge'!#REF!,"Male")</f>
        <v>#REF!</v>
      </c>
      <c r="G72" s="218" t="e">
        <f>COUNTIFS('refer admin discharge'!#REF!,"&gt;=25",'refer admin discharge'!#REF!,"&lt;=44",'refer admin discharge'!#REF!,"White",'refer admin discharge'!#REF!,"Female")</f>
        <v>#REF!</v>
      </c>
      <c r="H72" s="217" t="e">
        <f>COUNTIFS('refer admin discharge'!#REF!,"&gt;=25",'refer admin discharge'!#REF!,"&lt;=44",'refer admin discharge'!#REF!,"African American /Black",'refer admin discharge'!#REF!,"Male")</f>
        <v>#REF!</v>
      </c>
      <c r="I72" s="218" t="e">
        <f>COUNTIFS('refer admin discharge'!#REF!,"&gt;=25",'refer admin discharge'!#REF!,"&lt;=44",'refer admin discharge'!#REF!,"African American /Black",'refer admin discharge'!#REF!,"Female")</f>
        <v>#REF!</v>
      </c>
      <c r="J72" s="217" t="e">
        <f>COUNTIFS('refer admin discharge'!#REF!,"&gt;=25",'refer admin discharge'!#REF!,"&lt;=44",'refer admin discharge'!#REF!,"Native Hawaiian/Pacific",'refer admin discharge'!#REF!,"Male")</f>
        <v>#REF!</v>
      </c>
      <c r="K72" s="218" t="e">
        <f>COUNTIFS('refer admin discharge'!#REF!,"&gt;=25",'refer admin discharge'!#REF!,"&lt;=44",'refer admin discharge'!#REF!,"Native Hawaiian/Pacific",'refer admin discharge'!#REF!,"Female")</f>
        <v>#REF!</v>
      </c>
      <c r="L72" s="217" t="e">
        <f>COUNTIFS('refer admin discharge'!#REF!,"&gt;=25",'refer admin discharge'!#REF!,"&lt;=44",'refer admin discharge'!#REF!,"Asian",'refer admin discharge'!#REF!,"Male")</f>
        <v>#REF!</v>
      </c>
      <c r="M72" s="218" t="e">
        <f>COUNTIFS('refer admin discharge'!#REF!,"&gt;=25",'refer admin discharge'!#REF!,"&lt;=44",'refer admin discharge'!#REF!,"Asian",'refer admin discharge'!#REF!,"Female")</f>
        <v>#REF!</v>
      </c>
      <c r="N72" s="217" t="e">
        <f>COUNTIFS('refer admin discharge'!#REF!,"&gt;=25",'refer admin discharge'!#REF!,"&lt;=44",'refer admin discharge'!#REF!,"American Indian Alaskan Native",'refer admin discharge'!#REF!,"Male")</f>
        <v>#REF!</v>
      </c>
      <c r="O72" s="218" t="e">
        <f>COUNTIFS('refer admin discharge'!#REF!,"&gt;=25",'refer admin discharge'!#REF!,"&lt;=44",'refer admin discharge'!#REF!,"American Indian Alaskan Native",'refer admin discharge'!#REF!,"Female")</f>
        <v>#REF!</v>
      </c>
      <c r="P72" s="217" t="e">
        <f>COUNTIFS('refer admin discharge'!#REF!,"&gt;=25",'refer admin discharge'!#REF!,"&lt;=44",'refer admin discharge'!#REF!,"More than one race reported",'refer admin discharge'!#REF!,"Male")</f>
        <v>#REF!</v>
      </c>
      <c r="Q72" s="218" t="e">
        <f>COUNTIFS('refer admin discharge'!#REF!,"&gt;=25",'refer admin discharge'!#REF!,"&lt;=44",'refer admin discharge'!#REF!,"More than one race reported",'refer admin discharge'!#REF!,"Female")</f>
        <v>#REF!</v>
      </c>
      <c r="R72" s="217" t="e">
        <f>COUNTIFS('refer admin discharge'!#REF!,"&gt;=25",'refer admin discharge'!#REF!,"&lt;=44",'refer admin discharge'!#REF!,"Unknown",'refer admin discharge'!#REF!,"Male")</f>
        <v>#REF!</v>
      </c>
      <c r="S72" s="218" t="e">
        <f>COUNTIFS('refer admin discharge'!#REF!,"&gt;=25",'refer admin discharge'!#REF!,"&lt;=44",'refer admin discharge'!#REF!,"Unknown",'refer admin discharge'!#REF!,"Female")</f>
        <v>#REF!</v>
      </c>
      <c r="T72" s="5"/>
      <c r="U72" s="219" t="e">
        <f>COUNTIFS('refer admin discharge'!#REF!,"&gt;=25",'refer admin discharge'!#REF!,"&lt;=44",'refer admin discharge'!#REF!,"Not Hispanic or Latino",'refer admin discharge'!#REF!,"Male")</f>
        <v>#REF!</v>
      </c>
      <c r="V72" s="220" t="e">
        <f>COUNTIFS('refer admin discharge'!#REF!,"&gt;=25",'refer admin discharge'!#REF!,"&lt;=44",'refer admin discharge'!#REF!,"Not Hispanic or Latino",'refer admin discharge'!#REF!,"Female")</f>
        <v>#REF!</v>
      </c>
      <c r="W72" s="219" t="e">
        <f>COUNTIFS('refer admin discharge'!#REF!,"&gt;=25",'refer admin discharge'!#REF!,"&lt;=44",'refer admin discharge'!#REF!,"Hispanic-Latino ",'refer admin discharge'!#REF!,"Male")</f>
        <v>#REF!</v>
      </c>
      <c r="X72" s="220" t="e">
        <f>COUNTIFS('refer admin discharge'!#REF!,"&gt;=25",'refer admin discharge'!#REF!,"&lt;=44",'refer admin discharge'!#REF!,"Hispanic-Latino ",'refer admin discharge'!#REF!,"Female")</f>
        <v>#REF!</v>
      </c>
      <c r="Y72" s="219" t="e">
        <f>COUNTIFS('refer admin discharge'!#REF!,"&gt;=25",'refer admin discharge'!#REF!,"&lt;=44",'refer admin discharge'!#REF!,"Unknown",'refer admin discharge'!#REF!,"Male")</f>
        <v>#REF!</v>
      </c>
      <c r="Z72" s="220" t="e">
        <f>COUNTIFS('refer admin discharge'!#REF!,"&gt;=25",'refer admin discharge'!#REF!,"&lt;=44",'refer admin discharge'!#REF!,"Unknown",'refer admin discharge'!#REF!,"Female")</f>
        <v>#REF!</v>
      </c>
      <c r="AA72" s="152"/>
      <c r="AB72" s="152"/>
      <c r="AC72" s="152"/>
      <c r="AD72" s="221" t="e">
        <f t="shared" si="7"/>
        <v>#REF!</v>
      </c>
      <c r="AF72" s="222" t="e">
        <f t="shared" si="8"/>
        <v>#REF!</v>
      </c>
      <c r="AH72" s="223">
        <v>28</v>
      </c>
    </row>
    <row r="73" spans="1:36" ht="15.75" customHeight="1">
      <c r="A73" s="996" t="s">
        <v>991</v>
      </c>
      <c r="B73" s="350"/>
      <c r="C73" s="351"/>
      <c r="D73" s="1038" t="e">
        <f>COUNTIFS('refer admin discharge'!#REF!,"&gt;=45",'refer admin discharge'!#REF!,"&lt;=64")</f>
        <v>#REF!</v>
      </c>
      <c r="E73" s="351"/>
      <c r="F73" s="227" t="e">
        <f>COUNTIFS('refer admin discharge'!#REF!,"&gt;=45",'refer admin discharge'!#REF!,"&lt;=64",'refer admin discharge'!#REF!,"White",'refer admin discharge'!#REF!,"Male")</f>
        <v>#REF!</v>
      </c>
      <c r="G73" s="228" t="e">
        <f>COUNTIFS('refer admin discharge'!#REF!,"&gt;=45",'refer admin discharge'!#REF!,"&lt;=64",'refer admin discharge'!#REF!,"White",'refer admin discharge'!#REF!,"Female")</f>
        <v>#REF!</v>
      </c>
      <c r="H73" s="227" t="e">
        <f>COUNTIFS('refer admin discharge'!#REF!,"&gt;=45",'refer admin discharge'!#REF!,"&lt;=64",'refer admin discharge'!#REF!,"African American /Black",'refer admin discharge'!#REF!,"Male")</f>
        <v>#REF!</v>
      </c>
      <c r="I73" s="228" t="e">
        <f>COUNTIFS('refer admin discharge'!#REF!,"&gt;=45",'refer admin discharge'!#REF!,"&lt;=64",'refer admin discharge'!#REF!,"African American /Black",'refer admin discharge'!#REF!,"Female")</f>
        <v>#REF!</v>
      </c>
      <c r="J73" s="227" t="e">
        <f>COUNTIFS('refer admin discharge'!#REF!,"&gt;=45",'refer admin discharge'!#REF!,"&lt;=64",'refer admin discharge'!#REF!,"Native Hawaiian/Pacific",'refer admin discharge'!#REF!,"Male")</f>
        <v>#REF!</v>
      </c>
      <c r="K73" s="228" t="e">
        <f>COUNTIFS('refer admin discharge'!#REF!,"&gt;=45",'refer admin discharge'!#REF!,"&lt;=64",'refer admin discharge'!#REF!,"Native Hawaiian/Pacific",'refer admin discharge'!#REF!,"Female")</f>
        <v>#REF!</v>
      </c>
      <c r="L73" s="227" t="e">
        <f>COUNTIFS('refer admin discharge'!#REF!,"&gt;=45",'refer admin discharge'!#REF!,"&lt;=64",'refer admin discharge'!#REF!,"Asian",'refer admin discharge'!#REF!,"Male")</f>
        <v>#REF!</v>
      </c>
      <c r="M73" s="228" t="e">
        <f>COUNTIFS('refer admin discharge'!#REF!,"&gt;=45",'refer admin discharge'!#REF!,"&lt;=64",'refer admin discharge'!#REF!,"Asian",'refer admin discharge'!#REF!,"Female")</f>
        <v>#REF!</v>
      </c>
      <c r="N73" s="227" t="e">
        <f>COUNTIFS('refer admin discharge'!#REF!,"&gt;=45",'refer admin discharge'!#REF!,"&lt;=64",'refer admin discharge'!#REF!,"American Indian Alaskan Native",'refer admin discharge'!#REF!,"Male")</f>
        <v>#REF!</v>
      </c>
      <c r="O73" s="228" t="e">
        <f>COUNTIFS('refer admin discharge'!#REF!,"&gt;=45",'refer admin discharge'!#REF!,"&lt;=64",'refer admin discharge'!#REF!,"American Indian Alaskan Native",'refer admin discharge'!#REF!,"Female")</f>
        <v>#REF!</v>
      </c>
      <c r="P73" s="227" t="e">
        <f>COUNTIFS('refer admin discharge'!#REF!,"&gt;=45",'refer admin discharge'!#REF!,"&lt;=64",'refer admin discharge'!#REF!,"More than one race reported",'refer admin discharge'!#REF!,"Male")</f>
        <v>#REF!</v>
      </c>
      <c r="Q73" s="228" t="e">
        <f>COUNTIFS('refer admin discharge'!#REF!,"&gt;=45",'refer admin discharge'!#REF!,"&lt;=64",'refer admin discharge'!#REF!,"More than one race reported",'refer admin discharge'!#REF!,"Female")</f>
        <v>#REF!</v>
      </c>
      <c r="R73" s="227" t="e">
        <f>COUNTIFS('refer admin discharge'!#REF!,"&gt;=45",'refer admin discharge'!#REF!,"&lt;=64",'refer admin discharge'!#REF!,"Unknown",'refer admin discharge'!#REF!,"Male")</f>
        <v>#REF!</v>
      </c>
      <c r="S73" s="228" t="e">
        <f>COUNTIFS('refer admin discharge'!#REF!,"&gt;=45",'refer admin discharge'!#REF!,"&lt;=64",'refer admin discharge'!#REF!,"Unknown",'refer admin discharge'!#REF!,"Female")</f>
        <v>#REF!</v>
      </c>
      <c r="T73" s="5"/>
      <c r="U73" s="229" t="e">
        <f>COUNTIFS('refer admin discharge'!#REF!,"&gt;=45",'refer admin discharge'!#REF!,"&lt;=64",'refer admin discharge'!#REF!,"Not Hispanic or Latino",'refer admin discharge'!#REF!,"Male")</f>
        <v>#REF!</v>
      </c>
      <c r="V73" s="230" t="e">
        <f>COUNTIFS('refer admin discharge'!#REF!,"&gt;=45",'refer admin discharge'!#REF!,"&lt;=64",'refer admin discharge'!#REF!,"Not Hispanic or Latino",'refer admin discharge'!#REF!,"Female")</f>
        <v>#REF!</v>
      </c>
      <c r="W73" s="229" t="e">
        <f>COUNTIFS('refer admin discharge'!#REF!,"&gt;=45",'refer admin discharge'!#REF!,"&lt;=64",'refer admin discharge'!#REF!,"Hispanic-Latino ",'refer admin discharge'!#REF!,"Male")</f>
        <v>#REF!</v>
      </c>
      <c r="X73" s="230" t="e">
        <f>COUNTIFS('refer admin discharge'!#REF!,"&gt;=45",'refer admin discharge'!#REF!,"&lt;=64",'refer admin discharge'!#REF!,"Hispanic-Latino ",'refer admin discharge'!#REF!,"Female")</f>
        <v>#REF!</v>
      </c>
      <c r="Y73" s="229" t="e">
        <f>COUNTIFS('refer admin discharge'!#REF!,"&gt;=45",'refer admin discharge'!#REF!,"&lt;=64",'refer admin discharge'!#REF!,"Unknown",'refer admin discharge'!#REF!,"Male")</f>
        <v>#REF!</v>
      </c>
      <c r="Z73" s="230" t="e">
        <f>COUNTIFS('refer admin discharge'!#REF!,"&gt;=45",'refer admin discharge'!#REF!,"&lt;=64",'refer admin discharge'!#REF!,"Unknown",'refer admin discharge'!#REF!,"Female")</f>
        <v>#REF!</v>
      </c>
      <c r="AA73" s="152"/>
      <c r="AB73" s="152"/>
      <c r="AC73" s="152"/>
      <c r="AD73" s="221" t="e">
        <f t="shared" si="7"/>
        <v>#REF!</v>
      </c>
      <c r="AF73" s="222" t="e">
        <f t="shared" si="8"/>
        <v>#REF!</v>
      </c>
      <c r="AH73" s="223">
        <v>28</v>
      </c>
    </row>
    <row r="74" spans="1:36" ht="15.75" customHeight="1">
      <c r="A74" s="994" t="s">
        <v>992</v>
      </c>
      <c r="B74" s="350"/>
      <c r="C74" s="351"/>
      <c r="D74" s="755" t="e">
        <f>COUNTIFS('refer admin discharge'!#REF!,"&gt;=65",'refer admin discharge'!#REF!,"&lt;=74")</f>
        <v>#REF!</v>
      </c>
      <c r="E74" s="351"/>
      <c r="F74" s="55" t="e">
        <f>COUNTIFS('refer admin discharge'!#REF!,"&gt;=65",'refer admin discharge'!#REF!,"&lt;=74",'refer admin discharge'!#REF!,"White",'refer admin discharge'!#REF!,"Male")</f>
        <v>#REF!</v>
      </c>
      <c r="G74" s="231" t="e">
        <f>COUNTIFS('refer admin discharge'!#REF!,"&gt;=65",'refer admin discharge'!#REF!,"&lt;=74",'refer admin discharge'!#REF!,"White",'refer admin discharge'!#REF!,"Female")</f>
        <v>#REF!</v>
      </c>
      <c r="H74" s="55" t="e">
        <f>COUNTIFS('refer admin discharge'!#REF!,"&gt;=65",'refer admin discharge'!#REF!,"&lt;=74",'refer admin discharge'!#REF!,"African American /Black",'refer admin discharge'!#REF!,"Male")</f>
        <v>#REF!</v>
      </c>
      <c r="I74" s="231" t="e">
        <f>COUNTIFS('refer admin discharge'!#REF!,"&gt;=65",'refer admin discharge'!#REF!,"&lt;=74",'refer admin discharge'!#REF!,"African American /Black",'refer admin discharge'!#REF!,"Female")</f>
        <v>#REF!</v>
      </c>
      <c r="J74" s="55" t="e">
        <f>COUNTIFS('refer admin discharge'!#REF!,"&gt;=65",'refer admin discharge'!#REF!,"&lt;=74",'refer admin discharge'!#REF!,"Native Hawaiian/Pacific",'refer admin discharge'!#REF!,"Male")</f>
        <v>#REF!</v>
      </c>
      <c r="K74" s="231" t="e">
        <f>COUNTIFS('refer admin discharge'!#REF!,"&gt;=65",'refer admin discharge'!#REF!,"&lt;=74",'refer admin discharge'!#REF!,"Native Hawaiian/Pacific",'refer admin discharge'!#REF!,"Female")</f>
        <v>#REF!</v>
      </c>
      <c r="L74" s="55" t="e">
        <f>COUNTIFS('refer admin discharge'!#REF!,"&gt;=65",'refer admin discharge'!#REF!,"&lt;=74",'refer admin discharge'!#REF!,"Asian",'refer admin discharge'!#REF!,"Male")</f>
        <v>#REF!</v>
      </c>
      <c r="M74" s="231" t="e">
        <f>COUNTIFS('refer admin discharge'!#REF!,"&gt;=65",'refer admin discharge'!#REF!,"&lt;=74",'refer admin discharge'!#REF!,"Asian",'refer admin discharge'!#REF!,"Female")</f>
        <v>#REF!</v>
      </c>
      <c r="N74" s="55" t="e">
        <f>COUNTIFS('refer admin discharge'!#REF!,"&gt;=65",'refer admin discharge'!#REF!,"&lt;=74",'refer admin discharge'!#REF!,"American Indian Alaskan Native",'refer admin discharge'!#REF!,"Male")</f>
        <v>#REF!</v>
      </c>
      <c r="O74" s="231" t="e">
        <f>COUNTIFS('refer admin discharge'!#REF!,"&gt;=65",'refer admin discharge'!#REF!,"&lt;=74",'refer admin discharge'!#REF!,"American Indian Alaskan Native",'refer admin discharge'!#REF!,"Female")</f>
        <v>#REF!</v>
      </c>
      <c r="P74" s="55" t="e">
        <f>COUNTIFS('refer admin discharge'!#REF!,"&gt;=65",'refer admin discharge'!#REF!,"&lt;=74",'refer admin discharge'!#REF!,"More than one race reported",'refer admin discharge'!#REF!,"Male")</f>
        <v>#REF!</v>
      </c>
      <c r="Q74" s="231" t="e">
        <f>COUNTIFS('refer admin discharge'!#REF!,"&gt;=65",'refer admin discharge'!#REF!,"&lt;=74",'refer admin discharge'!#REF!,"More than one race reported",'refer admin discharge'!#REF!,"Female")</f>
        <v>#REF!</v>
      </c>
      <c r="R74" s="55" t="e">
        <f>COUNTIFS('refer admin discharge'!#REF!,"&gt;=65",'refer admin discharge'!#REF!,"&lt;=74",'refer admin discharge'!#REF!,"Unknown",'refer admin discharge'!#REF!,"Male")</f>
        <v>#REF!</v>
      </c>
      <c r="S74" s="231" t="e">
        <f>COUNTIFS('refer admin discharge'!#REF!,"&gt;=65",'refer admin discharge'!#REF!,"&lt;=74",'refer admin discharge'!#REF!,"Unknown",'refer admin discharge'!#REF!,"Female")</f>
        <v>#REF!</v>
      </c>
      <c r="T74" s="5"/>
      <c r="U74" s="232" t="e">
        <f>COUNTIFS('refer admin discharge'!#REF!,"&gt;=65",'refer admin discharge'!#REF!,"&lt;=74",'refer admin discharge'!#REF!,"Not Hispanic or Latino",'refer admin discharge'!#REF!,"Male")</f>
        <v>#REF!</v>
      </c>
      <c r="V74" s="229" t="e">
        <f>COUNTIFS('refer admin discharge'!#REF!,"&gt;=65",'refer admin discharge'!#REF!,"&lt;=74",'refer admin discharge'!#REF!,"Not Hispanic or Latino",'refer admin discharge'!#REF!,"Female")</f>
        <v>#REF!</v>
      </c>
      <c r="W74" s="232" t="e">
        <f>COUNTIFS('refer admin discharge'!#REF!,"&gt;=65",'refer admin discharge'!#REF!,"&lt;=74",'refer admin discharge'!#REF!,"Hispanic-Latino ",'refer admin discharge'!#REF!,"Male")</f>
        <v>#REF!</v>
      </c>
      <c r="X74" s="229" t="e">
        <f>COUNTIFS('refer admin discharge'!#REF!,"&gt;=65",'refer admin discharge'!#REF!,"&lt;=74",'refer admin discharge'!#REF!,"Hispanic-Latino ",'refer admin discharge'!#REF!,"Female")</f>
        <v>#REF!</v>
      </c>
      <c r="Y74" s="232" t="e">
        <f>COUNTIFS('refer admin discharge'!#REF!,"&gt;=65",'refer admin discharge'!#REF!,"&lt;=74",'refer admin discharge'!#REF!,"Unknown",'refer admin discharge'!#REF!,"Male")</f>
        <v>#REF!</v>
      </c>
      <c r="Z74" s="229" t="e">
        <f>COUNTIFS('refer admin discharge'!#REF!,"&gt;=65",'refer admin discharge'!#REF!,"&lt;=74",'refer admin discharge'!#REF!,"Unknown",'refer admin discharge'!#REF!,"Female")</f>
        <v>#REF!</v>
      </c>
      <c r="AA74" s="152"/>
      <c r="AB74" s="152"/>
      <c r="AC74" s="152"/>
      <c r="AD74" s="221" t="e">
        <f t="shared" si="7"/>
        <v>#REF!</v>
      </c>
      <c r="AF74" s="222" t="e">
        <f t="shared" si="8"/>
        <v>#REF!</v>
      </c>
      <c r="AH74" s="223">
        <v>14</v>
      </c>
    </row>
    <row r="75" spans="1:36" ht="15.75" customHeight="1">
      <c r="A75" s="996" t="s">
        <v>993</v>
      </c>
      <c r="B75" s="350"/>
      <c r="C75" s="351"/>
      <c r="D75" s="1038" t="e">
        <f>COUNTIFS('refer admin discharge'!#REF!,"&gt;=75",'refer admin discharge'!#REF!,"&lt;=150")</f>
        <v>#REF!</v>
      </c>
      <c r="E75" s="351"/>
      <c r="F75" s="227" t="e">
        <f>COUNTIFS('refer admin discharge'!#REF!,"&gt;=75",'refer admin discharge'!#REF!,"&lt;=150",'refer admin discharge'!#REF!,"White",'refer admin discharge'!#REF!,"Male")</f>
        <v>#REF!</v>
      </c>
      <c r="G75" s="228" t="e">
        <f>COUNTIFS('refer admin discharge'!#REF!,"&gt;=75",'refer admin discharge'!#REF!,"&lt;=150",'refer admin discharge'!#REF!,"White",'refer admin discharge'!#REF!,"Female")</f>
        <v>#REF!</v>
      </c>
      <c r="H75" s="227" t="e">
        <f>COUNTIFS('refer admin discharge'!#REF!,"&gt;=75",'refer admin discharge'!#REF!,"&lt;=150",'refer admin discharge'!#REF!,"African American /Black",'refer admin discharge'!#REF!,"Male")</f>
        <v>#REF!</v>
      </c>
      <c r="I75" s="228" t="e">
        <f>COUNTIFS('refer admin discharge'!#REF!,"&gt;=75",'refer admin discharge'!#REF!,"&lt;=150",'refer admin discharge'!#REF!,"African American /Black",'refer admin discharge'!#REF!,"Female")</f>
        <v>#REF!</v>
      </c>
      <c r="J75" s="227" t="e">
        <f>COUNTIFS('refer admin discharge'!#REF!,"&gt;=75",'refer admin discharge'!#REF!,"&lt;=150",'refer admin discharge'!#REF!,"Native Hawaiian/Pacific",'refer admin discharge'!#REF!,"Male")</f>
        <v>#REF!</v>
      </c>
      <c r="K75" s="228" t="e">
        <f>COUNTIFS('refer admin discharge'!#REF!,"&gt;=75",'refer admin discharge'!#REF!,"&lt;=150",'refer admin discharge'!#REF!,"Native Hawaiian/Pacific",'refer admin discharge'!#REF!,"Female")</f>
        <v>#REF!</v>
      </c>
      <c r="L75" s="227" t="e">
        <f>COUNTIFS('refer admin discharge'!#REF!,"&gt;=75",'refer admin discharge'!#REF!,"&lt;=150",'refer admin discharge'!#REF!,"Asian",'refer admin discharge'!#REF!,"Male")</f>
        <v>#REF!</v>
      </c>
      <c r="M75" s="228" t="e">
        <f>COUNTIFS('refer admin discharge'!#REF!,"&gt;=75",'refer admin discharge'!#REF!,"&lt;=150",'refer admin discharge'!#REF!,"Asian",'refer admin discharge'!#REF!,"Female")</f>
        <v>#REF!</v>
      </c>
      <c r="N75" s="227" t="e">
        <f>COUNTIFS('refer admin discharge'!#REF!,"&gt;=75",'refer admin discharge'!#REF!,"&lt;=150",'refer admin discharge'!#REF!,"American Indian Alaskan Native",'refer admin discharge'!#REF!,"Male")</f>
        <v>#REF!</v>
      </c>
      <c r="O75" s="228" t="e">
        <f>COUNTIFS('refer admin discharge'!#REF!,"&gt;=75",'refer admin discharge'!#REF!,"&lt;=150",'refer admin discharge'!#REF!,"American Indian Alaskan Native",'refer admin discharge'!#REF!,"Female")</f>
        <v>#REF!</v>
      </c>
      <c r="P75" s="227" t="e">
        <f>COUNTIFS('refer admin discharge'!#REF!,"&gt;=75",'refer admin discharge'!#REF!,"&lt;=150",'refer admin discharge'!#REF!,"More than one race reported",'refer admin discharge'!#REF!,"Male")</f>
        <v>#REF!</v>
      </c>
      <c r="Q75" s="228" t="e">
        <f>COUNTIFS('refer admin discharge'!#REF!,"&gt;=75",'refer admin discharge'!#REF!,"&lt;=150",'refer admin discharge'!#REF!,"More than one race reported",'refer admin discharge'!#REF!,"Female")</f>
        <v>#REF!</v>
      </c>
      <c r="R75" s="227" t="e">
        <f>COUNTIFS('refer admin discharge'!#REF!,"&gt;=75",'refer admin discharge'!#REF!,"&lt;=150",'refer admin discharge'!#REF!,"Unknown",'refer admin discharge'!#REF!,"Male")</f>
        <v>#REF!</v>
      </c>
      <c r="S75" s="228" t="e">
        <f>COUNTIFS('refer admin discharge'!#REF!,"&gt;=75",'refer admin discharge'!#REF!,"&lt;=150",'refer admin discharge'!#REF!,"Unknown",'refer admin discharge'!#REF!,"Female")</f>
        <v>#REF!</v>
      </c>
      <c r="T75" s="5"/>
      <c r="U75" s="229" t="e">
        <f>COUNTIFS('refer admin discharge'!#REF!,"&gt;=75",'refer admin discharge'!#REF!,"&lt;=150",'refer admin discharge'!#REF!,"Not Hispanic or Latino",'refer admin discharge'!#REF!,"Male")</f>
        <v>#REF!</v>
      </c>
      <c r="V75" s="230" t="e">
        <f>COUNTIFS('refer admin discharge'!#REF!,"&gt;=75",'refer admin discharge'!#REF!,"&lt;=150",'refer admin discharge'!#REF!,"Not Hispanic or Latino",'refer admin discharge'!#REF!,"Female")</f>
        <v>#REF!</v>
      </c>
      <c r="W75" s="229" t="e">
        <f>COUNTIFS('refer admin discharge'!#REF!,"&gt;=75",'refer admin discharge'!#REF!,"&lt;=150",'refer admin discharge'!#REF!,"Hispanic-Latino ",'refer admin discharge'!#REF!,"Male")</f>
        <v>#REF!</v>
      </c>
      <c r="X75" s="230" t="e">
        <f>COUNTIFS('refer admin discharge'!#REF!,"&gt;=75",'refer admin discharge'!#REF!,"&lt;=150",'refer admin discharge'!#REF!,"Hispanic-Latino ",'refer admin discharge'!#REF!,"Female")</f>
        <v>#REF!</v>
      </c>
      <c r="Y75" s="229" t="e">
        <f>COUNTIFS('refer admin discharge'!#REF!,"&gt;=75",'refer admin discharge'!#REF!,"&lt;=150",'refer admin discharge'!#REF!,"Unknown",'refer admin discharge'!#REF!,"Male")</f>
        <v>#REF!</v>
      </c>
      <c r="Z75" s="230" t="e">
        <f>COUNTIFS('refer admin discharge'!#REF!,"&gt;=75",'refer admin discharge'!#REF!,"&lt;=150",'refer admin discharge'!#REF!,"Unknown",'refer admin discharge'!#REF!,"Female")</f>
        <v>#REF!</v>
      </c>
      <c r="AA75" s="152"/>
      <c r="AB75" s="152"/>
      <c r="AC75" s="152"/>
      <c r="AD75" s="221" t="e">
        <f t="shared" si="7"/>
        <v>#REF!</v>
      </c>
      <c r="AF75" s="222" t="e">
        <f t="shared" si="8"/>
        <v>#REF!</v>
      </c>
      <c r="AH75" s="223">
        <v>14</v>
      </c>
    </row>
    <row r="76" spans="1:36" ht="15.75" customHeight="1">
      <c r="A76" s="1020" t="s">
        <v>994</v>
      </c>
      <c r="B76" s="350"/>
      <c r="C76" s="351"/>
      <c r="D76" s="1021" t="e">
        <f>SUM(D68:D75)</f>
        <v>#REF!</v>
      </c>
      <c r="E76" s="351"/>
      <c r="F76" s="233" t="e">
        <f t="shared" ref="F76:S76" si="9">SUM(F68:F75)</f>
        <v>#REF!</v>
      </c>
      <c r="G76" s="234" t="e">
        <f t="shared" si="9"/>
        <v>#REF!</v>
      </c>
      <c r="H76" s="233" t="e">
        <f t="shared" si="9"/>
        <v>#REF!</v>
      </c>
      <c r="I76" s="234" t="e">
        <f t="shared" si="9"/>
        <v>#REF!</v>
      </c>
      <c r="J76" s="233" t="e">
        <f t="shared" si="9"/>
        <v>#REF!</v>
      </c>
      <c r="K76" s="234" t="e">
        <f t="shared" si="9"/>
        <v>#REF!</v>
      </c>
      <c r="L76" s="233" t="e">
        <f t="shared" si="9"/>
        <v>#REF!</v>
      </c>
      <c r="M76" s="234" t="e">
        <f t="shared" si="9"/>
        <v>#REF!</v>
      </c>
      <c r="N76" s="233" t="e">
        <f t="shared" si="9"/>
        <v>#REF!</v>
      </c>
      <c r="O76" s="234" t="e">
        <f t="shared" si="9"/>
        <v>#REF!</v>
      </c>
      <c r="P76" s="233" t="e">
        <f t="shared" si="9"/>
        <v>#REF!</v>
      </c>
      <c r="Q76" s="234" t="e">
        <f t="shared" si="9"/>
        <v>#REF!</v>
      </c>
      <c r="R76" s="233" t="e">
        <f t="shared" si="9"/>
        <v>#REF!</v>
      </c>
      <c r="S76" s="234" t="e">
        <f t="shared" si="9"/>
        <v>#REF!</v>
      </c>
      <c r="T76" s="235"/>
      <c r="U76" s="236" t="e">
        <f t="shared" ref="U76:Z76" si="10">SUM(U68:U75)</f>
        <v>#REF!</v>
      </c>
      <c r="V76" s="237" t="e">
        <f t="shared" si="10"/>
        <v>#REF!</v>
      </c>
      <c r="W76" s="236" t="e">
        <f t="shared" si="10"/>
        <v>#REF!</v>
      </c>
      <c r="X76" s="237" t="e">
        <f t="shared" si="10"/>
        <v>#REF!</v>
      </c>
      <c r="Y76" s="236" t="e">
        <f t="shared" si="10"/>
        <v>#REF!</v>
      </c>
      <c r="Z76" s="237" t="e">
        <f t="shared" si="10"/>
        <v>#REF!</v>
      </c>
      <c r="AA76" s="152"/>
      <c r="AB76" s="152"/>
      <c r="AC76" s="152"/>
      <c r="AD76" s="207" t="e">
        <f t="shared" si="7"/>
        <v>#REF!</v>
      </c>
      <c r="AF76" s="238" t="e">
        <f t="shared" si="8"/>
        <v>#REF!</v>
      </c>
      <c r="AH76" s="223"/>
    </row>
    <row r="77" spans="1:36" ht="15.75" customHeight="1">
      <c r="A77" s="1029" t="s">
        <v>995</v>
      </c>
      <c r="B77" s="350"/>
      <c r="C77" s="350"/>
      <c r="D77" s="350"/>
      <c r="E77" s="350"/>
      <c r="F77" s="350"/>
      <c r="G77" s="350"/>
      <c r="H77" s="350"/>
      <c r="I77" s="350"/>
      <c r="J77" s="350"/>
      <c r="K77" s="350"/>
      <c r="L77" s="350"/>
      <c r="M77" s="350"/>
      <c r="N77" s="350"/>
      <c r="O77" s="350"/>
      <c r="P77" s="350"/>
      <c r="Q77" s="350"/>
      <c r="R77" s="350"/>
      <c r="S77" s="351"/>
      <c r="T77" s="235"/>
      <c r="U77" s="239"/>
      <c r="V77" s="239"/>
      <c r="W77" s="239"/>
      <c r="X77" s="239"/>
      <c r="Y77" s="239"/>
      <c r="Z77" s="239"/>
      <c r="AA77" s="9"/>
      <c r="AB77" s="9"/>
      <c r="AC77" s="9"/>
      <c r="AD77" s="240"/>
      <c r="AE77" s="9"/>
      <c r="AF77" s="240"/>
      <c r="AH77" s="223"/>
    </row>
    <row r="78" spans="1:36" ht="39.75" customHeight="1">
      <c r="A78" s="1011" t="s">
        <v>978</v>
      </c>
      <c r="B78" s="384"/>
      <c r="C78" s="384"/>
      <c r="D78" s="384"/>
      <c r="E78" s="385"/>
      <c r="F78" s="993" t="s">
        <v>554</v>
      </c>
      <c r="G78" s="351"/>
      <c r="H78" s="993" t="s">
        <v>738</v>
      </c>
      <c r="I78" s="351"/>
      <c r="J78" s="993" t="s">
        <v>979</v>
      </c>
      <c r="K78" s="351"/>
      <c r="L78" s="993" t="s">
        <v>557</v>
      </c>
      <c r="M78" s="351"/>
      <c r="N78" s="993" t="s">
        <v>980</v>
      </c>
      <c r="O78" s="351"/>
      <c r="P78" s="993" t="s">
        <v>981</v>
      </c>
      <c r="Q78" s="351"/>
      <c r="R78" s="993" t="s">
        <v>747</v>
      </c>
      <c r="S78" s="351"/>
      <c r="T78" s="212"/>
      <c r="U78" s="993" t="s">
        <v>562</v>
      </c>
      <c r="V78" s="351"/>
      <c r="W78" s="993" t="s">
        <v>563</v>
      </c>
      <c r="X78" s="351"/>
      <c r="Y78" s="993" t="s">
        <v>982</v>
      </c>
      <c r="Z78" s="351"/>
      <c r="AA78" s="152"/>
      <c r="AB78" s="152"/>
      <c r="AC78" s="152"/>
      <c r="AD78" s="207" t="s">
        <v>736</v>
      </c>
      <c r="AF78" s="207" t="s">
        <v>976</v>
      </c>
      <c r="AH78" s="223">
        <f>SUM(AH67:AH76)</f>
        <v>112</v>
      </c>
    </row>
    <row r="79" spans="1:36" ht="15" customHeight="1">
      <c r="A79" s="241"/>
      <c r="B79" s="241"/>
      <c r="C79" s="241"/>
      <c r="D79" s="241"/>
      <c r="E79" s="242"/>
      <c r="F79" s="213" t="s">
        <v>984</v>
      </c>
      <c r="G79" s="214" t="s">
        <v>985</v>
      </c>
      <c r="H79" s="213" t="s">
        <v>984</v>
      </c>
      <c r="I79" s="214" t="s">
        <v>985</v>
      </c>
      <c r="J79" s="213" t="s">
        <v>984</v>
      </c>
      <c r="K79" s="214" t="s">
        <v>985</v>
      </c>
      <c r="L79" s="213" t="s">
        <v>984</v>
      </c>
      <c r="M79" s="214" t="s">
        <v>985</v>
      </c>
      <c r="N79" s="213" t="s">
        <v>984</v>
      </c>
      <c r="O79" s="214" t="s">
        <v>985</v>
      </c>
      <c r="P79" s="213" t="s">
        <v>984</v>
      </c>
      <c r="Q79" s="214" t="s">
        <v>985</v>
      </c>
      <c r="R79" s="213" t="s">
        <v>984</v>
      </c>
      <c r="S79" s="214" t="s">
        <v>985</v>
      </c>
      <c r="T79" s="5"/>
      <c r="U79" s="213" t="s">
        <v>984</v>
      </c>
      <c r="V79" s="214" t="s">
        <v>985</v>
      </c>
      <c r="W79" s="213" t="s">
        <v>984</v>
      </c>
      <c r="X79" s="214" t="s">
        <v>985</v>
      </c>
      <c r="Y79" s="213" t="s">
        <v>984</v>
      </c>
      <c r="Z79" s="214" t="s">
        <v>985</v>
      </c>
      <c r="AA79" s="152"/>
      <c r="AB79" s="152"/>
      <c r="AC79" s="152"/>
      <c r="AD79" s="207"/>
      <c r="AF79" s="207"/>
    </row>
    <row r="80" spans="1:36" ht="30" customHeight="1">
      <c r="A80" s="1085" t="s">
        <v>996</v>
      </c>
      <c r="B80" s="350"/>
      <c r="C80" s="351"/>
      <c r="D80" s="1023" t="s">
        <v>997</v>
      </c>
      <c r="E80" s="351"/>
      <c r="F80" s="235"/>
      <c r="G80" s="243" t="e">
        <f>COUNTIFS('refer admin discharge'!#REF!,"White",'refer admin discharge'!#REF!,"Female",'refer admin discharge'!#REF!,"Yes")</f>
        <v>#REF!</v>
      </c>
      <c r="H80" s="239"/>
      <c r="I80" s="243" t="e">
        <f>COUNTIFS('refer admin discharge'!#REF!,"African American /Black",'refer admin discharge'!#REF!,"Female",'refer admin discharge'!#REF!,"Yes")</f>
        <v>#REF!</v>
      </c>
      <c r="J80" s="239"/>
      <c r="K80" s="243" t="e">
        <f>COUNTIFS('refer admin discharge'!#REF!,"Native Hawaiian/Pacific",'refer admin discharge'!#REF!,"Female",'refer admin discharge'!#REF!,"Yes")</f>
        <v>#REF!</v>
      </c>
      <c r="L80" s="239"/>
      <c r="M80" s="243" t="e">
        <f>COUNTIFS('refer admin discharge'!#REF!,"Asian",'refer admin discharge'!#REF!,"Female",'refer admin discharge'!#REF!,"Yes")</f>
        <v>#REF!</v>
      </c>
      <c r="N80" s="239"/>
      <c r="O80" s="243" t="e">
        <f>COUNTIFS('refer admin discharge'!#REF!,"American Indian Alaskan Native",'refer admin discharge'!#REF!,"Female",'refer admin discharge'!#REF!,"Yes")</f>
        <v>#REF!</v>
      </c>
      <c r="P80" s="239"/>
      <c r="Q80" s="243" t="e">
        <f>COUNTIFS('refer admin discharge'!#REF!,"More than one race reported",'refer admin discharge'!#REF!,"Female",'refer admin discharge'!#REF!,"Yes")</f>
        <v>#REF!</v>
      </c>
      <c r="R80" s="239"/>
      <c r="S80" s="243" t="e">
        <f>COUNTIFS('refer admin discharge'!#REF!,"Unknown",'refer admin discharge'!#REF!,"Female",'refer admin discharge'!#REF!,"Yes")</f>
        <v>#REF!</v>
      </c>
      <c r="T80" s="239"/>
      <c r="U80" s="239"/>
      <c r="V80" s="243" t="e">
        <f>COUNTIFS('refer admin discharge'!#REF!,"Not Hispanic or Latino",'refer admin discharge'!#REF!,"Female",'refer admin discharge'!#REF!,"YES")</f>
        <v>#REF!</v>
      </c>
      <c r="W80" s="239"/>
      <c r="X80" s="243" t="e">
        <f>COUNTIFS('refer admin discharge'!#REF!,"Hispanic-Latino ",'refer admin discharge'!#REF!,"Female",'refer admin discharge'!#REF!,"YES")</f>
        <v>#REF!</v>
      </c>
      <c r="Y80" s="239"/>
      <c r="Z80" s="244" t="e">
        <f>COUNTIFS('refer admin discharge'!#REF!,"Unknown",'refer admin discharge'!#REF!,"Female",'refer admin discharge'!#REF!,"YES")</f>
        <v>#REF!</v>
      </c>
      <c r="AA80" s="1082" t="s">
        <v>998</v>
      </c>
      <c r="AB80" s="1083"/>
      <c r="AC80" s="1084"/>
      <c r="AD80" s="245" t="e">
        <f t="shared" ref="AD80:AD81" si="11">SUM(G80+I80+K80+M80+O80+Q80+S80)</f>
        <v>#REF!</v>
      </c>
      <c r="AE80" s="108"/>
      <c r="AF80" s="245" t="e">
        <f t="shared" ref="AF80:AF81" si="12">SUM(V80+X80+Z80)</f>
        <v>#REF!</v>
      </c>
      <c r="AH80" s="246" t="s">
        <v>999</v>
      </c>
      <c r="AI80" s="246"/>
      <c r="AJ80" s="246"/>
    </row>
    <row r="81" spans="1:37" ht="30" customHeight="1">
      <c r="A81" s="1086" t="s">
        <v>1000</v>
      </c>
      <c r="B81" s="350"/>
      <c r="C81" s="351"/>
      <c r="D81" s="1023" t="s">
        <v>1001</v>
      </c>
      <c r="E81" s="351"/>
      <c r="F81" s="235"/>
      <c r="G81" s="247" t="e">
        <f>COUNTIFS('refer admin discharge'!#REF!,"White",'refer admin discharge'!#REF!,"Female",'refer admin discharge'!#REF!,"Yes",'refer admin discharge'!#REF!,"Yes")</f>
        <v>#REF!</v>
      </c>
      <c r="H81" s="239"/>
      <c r="I81" s="247" t="e">
        <f>COUNTIFS('refer admin discharge'!#REF!,"African American /Black",'refer admin discharge'!#REF!,"Female",'refer admin discharge'!#REF!,"Yes",'refer admin discharge'!#REF!,"Yes")</f>
        <v>#REF!</v>
      </c>
      <c r="J81" s="239"/>
      <c r="K81" s="247" t="e">
        <f>COUNTIFS('refer admin discharge'!#REF!,"Native Hawaiian/Pacific",'refer admin discharge'!#REF!,"Female",'refer admin discharge'!#REF!,"Yes",'refer admin discharge'!#REF!,"Yes")</f>
        <v>#REF!</v>
      </c>
      <c r="L81" s="239"/>
      <c r="M81" s="247" t="e">
        <f>COUNTIFS('refer admin discharge'!#REF!,"Asian",'refer admin discharge'!#REF!,"Female",'refer admin discharge'!#REF!,"Yes",'refer admin discharge'!#REF!,"Yes")</f>
        <v>#REF!</v>
      </c>
      <c r="N81" s="239"/>
      <c r="O81" s="247" t="e">
        <f>COUNTIFS('refer admin discharge'!#REF!,"American Indian Alaskan Native",'refer admin discharge'!#REF!,"Female",'refer admin discharge'!#REF!,"Yes",'refer admin discharge'!#REF!,"Yes")</f>
        <v>#REF!</v>
      </c>
      <c r="P81" s="239"/>
      <c r="Q81" s="247" t="e">
        <f>COUNTIFS('refer admin discharge'!#REF!,"More than one race reported",'refer admin discharge'!#REF!,"Female",'refer admin discharge'!#REF!,"Yes",'refer admin discharge'!#REF!,"Yes")</f>
        <v>#REF!</v>
      </c>
      <c r="R81" s="239"/>
      <c r="S81" s="247" t="e">
        <f>COUNTIFS('refer admin discharge'!#REF!,"Unknown",'refer admin discharge'!#REF!,"Female",'refer admin discharge'!#REF!,"Yes",'refer admin discharge'!#REF!,"Yes")</f>
        <v>#REF!</v>
      </c>
      <c r="T81" s="239"/>
      <c r="U81" s="239"/>
      <c r="V81" s="247" t="e">
        <f>COUNTIFS('refer admin discharge'!#REF!,"Not Hispanic or Latino",'refer admin discharge'!#REF!,"Female",'refer admin discharge'!#REF!,"YES",'refer admin discharge'!#REF!,"Yes")</f>
        <v>#REF!</v>
      </c>
      <c r="W81" s="239"/>
      <c r="X81" s="247" t="e">
        <f>COUNTIFS('refer admin discharge'!#REF!,"Hispanic-Latino ",'refer admin discharge'!#REF!,"Female",'refer admin discharge'!#REF!,"YES",'refer admin discharge'!#REF!,"Yes")</f>
        <v>#REF!</v>
      </c>
      <c r="Y81" s="239"/>
      <c r="Z81" s="248" t="e">
        <f>COUNTIFS('refer admin discharge'!#REF!,"Unknown",'refer admin discharge'!#REF!,"Female",'refer admin discharge'!#REF!,"YES",'refer admin discharge'!#REF!,"Yes")</f>
        <v>#REF!</v>
      </c>
      <c r="AA81" s="1081" t="s">
        <v>1000</v>
      </c>
      <c r="AB81" s="350"/>
      <c r="AC81" s="351"/>
      <c r="AD81" s="249" t="e">
        <f t="shared" si="11"/>
        <v>#REF!</v>
      </c>
      <c r="AE81" s="108"/>
      <c r="AF81" s="249" t="e">
        <f t="shared" si="12"/>
        <v>#REF!</v>
      </c>
      <c r="AH81" s="246" t="s">
        <v>1002</v>
      </c>
      <c r="AI81" s="246"/>
      <c r="AJ81" s="246"/>
    </row>
    <row r="82" spans="1:37" ht="30" customHeight="1">
      <c r="A82" s="1024" t="s">
        <v>1003</v>
      </c>
      <c r="B82" s="350"/>
      <c r="C82" s="351"/>
      <c r="D82" s="1023" t="s">
        <v>1001</v>
      </c>
      <c r="E82" s="351"/>
      <c r="F82" s="250" t="e">
        <f>COUNTIFS('refer admin discharge'!#REF!,"White",'refer admin discharge'!#REF!,"Male",'refer admin discharge'!#REF!,"Yes")</f>
        <v>#REF!</v>
      </c>
      <c r="G82" s="251" t="e">
        <f>COUNTIFS('refer admin discharge'!#REF!,"White",'refer admin discharge'!#REF!,"Female",'refer admin discharge'!#REF!,"Yes")</f>
        <v>#REF!</v>
      </c>
      <c r="H82" s="250" t="e">
        <f>COUNTIFS('refer admin discharge'!#REF!,"African American /Black",'refer admin discharge'!#REF!,"Male",'refer admin discharge'!#REF!,"Yes")</f>
        <v>#REF!</v>
      </c>
      <c r="I82" s="251" t="e">
        <f>COUNTIFS('refer admin discharge'!#REF!,"African American /Black",'refer admin discharge'!#REF!,"Female",'refer admin discharge'!#REF!,"Yes")</f>
        <v>#REF!</v>
      </c>
      <c r="J82" s="250" t="e">
        <f>COUNTIFS('refer admin discharge'!#REF!,"Native Hawaiian/Pacific",'refer admin discharge'!#REF!,"Male",'refer admin discharge'!#REF!,"Yes")</f>
        <v>#REF!</v>
      </c>
      <c r="K82" s="251" t="e">
        <f>COUNTIFS('refer admin discharge'!#REF!,"Native Hawaiian/Pacific",'refer admin discharge'!#REF!,"Female",'refer admin discharge'!#REF!,"Yes")</f>
        <v>#REF!</v>
      </c>
      <c r="L82" s="250" t="e">
        <f>COUNTIFS('refer admin discharge'!#REF!,"Asian",'refer admin discharge'!#REF!,"Male",'refer admin discharge'!#REF!,"Yes")</f>
        <v>#REF!</v>
      </c>
      <c r="M82" s="251" t="e">
        <f>COUNTIFS('refer admin discharge'!#REF!,"Asian",'refer admin discharge'!#REF!,"Female",'refer admin discharge'!#REF!,"Yes")</f>
        <v>#REF!</v>
      </c>
      <c r="N82" s="250" t="e">
        <f>COUNTIFS('refer admin discharge'!#REF!,"American Indian Alaskan Native",'refer admin discharge'!#REF!,"Male",'refer admin discharge'!#REF!,"Yes")</f>
        <v>#REF!</v>
      </c>
      <c r="O82" s="251" t="e">
        <f>COUNTIFS('refer admin discharge'!#REF!,"American Indian Alaskan Native",'refer admin discharge'!#REF!,"Female",'refer admin discharge'!#REF!,"Yes")</f>
        <v>#REF!</v>
      </c>
      <c r="P82" s="250" t="e">
        <f>COUNTIFS('refer admin discharge'!#REF!,"More than one race reported",'refer admin discharge'!#REF!,"Male",'refer admin discharge'!#REF!,"Yes")</f>
        <v>#REF!</v>
      </c>
      <c r="Q82" s="251" t="e">
        <f>COUNTIFS('refer admin discharge'!#REF!,"More than one race reported",'refer admin discharge'!#REF!,"Female",'refer admin discharge'!#REF!,"Yes")</f>
        <v>#REF!</v>
      </c>
      <c r="R82" s="250" t="e">
        <f>COUNTIFS('refer admin discharge'!#REF!,"Unknown",'refer admin discharge'!#REF!,"Male",'refer admin discharge'!#REF!,"Yes")</f>
        <v>#REF!</v>
      </c>
      <c r="S82" s="251" t="e">
        <f>COUNTIFS('refer admin discharge'!#REF!,"Unknown",'refer admin discharge'!#REF!,"Female",'refer admin discharge'!#REF!,"Yes")</f>
        <v>#REF!</v>
      </c>
      <c r="T82" s="235"/>
      <c r="U82" s="250" t="e">
        <f>COUNTIFS('refer admin discharge'!#REF!,"Not Hispanic or Latino",'refer admin discharge'!#REF!,"Male",'refer admin discharge'!#REF!,"YES")</f>
        <v>#REF!</v>
      </c>
      <c r="V82" s="251" t="e">
        <f>COUNTIFS('refer admin discharge'!#REF!,"Not Hispanic or Latino",'refer admin discharge'!#REF!,"Female",'refer admin discharge'!#REF!,"YES")</f>
        <v>#REF!</v>
      </c>
      <c r="W82" s="250" t="e">
        <f>COUNTIFS('refer admin discharge'!#REF!,"Hispanic-Latino ",'refer admin discharge'!#REF!,"Male",'refer admin discharge'!#REF!,"YES")</f>
        <v>#REF!</v>
      </c>
      <c r="X82" s="251" t="e">
        <f>COUNTIFS('refer admin discharge'!#REF!,"Hispanic-Latino ",'refer admin discharge'!#REF!,"Female",'refer admin discharge'!#REF!,"YES")</f>
        <v>#REF!</v>
      </c>
      <c r="Y82" s="250" t="e">
        <f>COUNTIFS('refer admin discharge'!#REF!,"Unknown",'refer admin discharge'!#REF!,"Male",'refer admin discharge'!#REF!,"YES")</f>
        <v>#REF!</v>
      </c>
      <c r="Z82" s="252" t="e">
        <f>COUNTIFS('refer admin discharge'!#REF!,"Unknown",'refer admin discharge'!#REF!,"Female",'refer admin discharge'!#REF!,"YES")</f>
        <v>#REF!</v>
      </c>
      <c r="AA82" s="1082" t="s">
        <v>1004</v>
      </c>
      <c r="AB82" s="1083"/>
      <c r="AC82" s="1084"/>
      <c r="AD82" s="253" t="e">
        <f t="shared" ref="AD82:AD87" si="13">SUM(F82:S82)</f>
        <v>#REF!</v>
      </c>
      <c r="AE82" s="108"/>
      <c r="AF82" s="253" t="e">
        <f t="shared" ref="AF82:AF87" si="14">SUM(U82:Z82)</f>
        <v>#REF!</v>
      </c>
    </row>
    <row r="83" spans="1:37" ht="30" customHeight="1">
      <c r="A83" s="1089" t="s">
        <v>1005</v>
      </c>
      <c r="B83" s="350"/>
      <c r="C83" s="351"/>
      <c r="D83" s="1023" t="s">
        <v>1006</v>
      </c>
      <c r="E83" s="351"/>
      <c r="F83" s="254" t="e">
        <f>COUNTIFS('refer admin discharge'!#REF!,"White",'refer admin discharge'!#REF!,"Male",'refer admin discharge'!#REF!,"Yes")</f>
        <v>#REF!</v>
      </c>
      <c r="G83" s="255" t="e">
        <f>COUNTIFS('refer admin discharge'!#REF!,"White",'refer admin discharge'!#REF!,"Female",'refer admin discharge'!#REF!,"Yes")</f>
        <v>#REF!</v>
      </c>
      <c r="H83" s="254" t="e">
        <f>COUNTIFS('refer admin discharge'!#REF!,"African American /Black",'refer admin discharge'!#REF!,"Male",'refer admin discharge'!#REF!,"Yes")</f>
        <v>#REF!</v>
      </c>
      <c r="I83" s="255" t="e">
        <f>COUNTIFS('refer admin discharge'!#REF!,"African American /Black",'refer admin discharge'!#REF!,"Female",'refer admin discharge'!#REF!,"Yes")</f>
        <v>#REF!</v>
      </c>
      <c r="J83" s="254" t="e">
        <f>COUNTIFS('refer admin discharge'!#REF!,"Native Hawaiian/Pacific",'refer admin discharge'!#REF!,"Male",'refer admin discharge'!#REF!,"Yes")</f>
        <v>#REF!</v>
      </c>
      <c r="K83" s="255" t="e">
        <f>COUNTIFS('refer admin discharge'!#REF!,"Native Hawaiian/Pacific",'refer admin discharge'!#REF!,"Female",'refer admin discharge'!#REF!,"Yes")</f>
        <v>#REF!</v>
      </c>
      <c r="L83" s="254" t="e">
        <f>COUNTIFS('refer admin discharge'!#REF!,"Asian",'refer admin discharge'!#REF!,"Male",'refer admin discharge'!#REF!,"Yes")</f>
        <v>#REF!</v>
      </c>
      <c r="M83" s="255" t="e">
        <f>COUNTIFS('refer admin discharge'!#REF!,"Asian",'refer admin discharge'!#REF!,"Female",'refer admin discharge'!#REF!,"Yes")</f>
        <v>#REF!</v>
      </c>
      <c r="N83" s="254" t="e">
        <f>COUNTIFS('refer admin discharge'!#REF!,"American Indian Alaskan Native",'refer admin discharge'!#REF!,"Male",'refer admin discharge'!#REF!,"Yes")</f>
        <v>#REF!</v>
      </c>
      <c r="O83" s="255" t="e">
        <f>COUNTIFS('refer admin discharge'!#REF!,"American Indian Alaskan Native",'refer admin discharge'!#REF!,"Female",'refer admin discharge'!#REF!,"Yes")</f>
        <v>#REF!</v>
      </c>
      <c r="P83" s="254" t="e">
        <f>COUNTIFS('refer admin discharge'!#REF!,"More than one race reported",'refer admin discharge'!#REF!,"Male",'refer admin discharge'!#REF!,"Yes")</f>
        <v>#REF!</v>
      </c>
      <c r="Q83" s="255" t="e">
        <f>COUNTIFS('refer admin discharge'!#REF!,"More than one race reported",'refer admin discharge'!#REF!,"Female",'refer admin discharge'!#REF!,"Yes")</f>
        <v>#REF!</v>
      </c>
      <c r="R83" s="254" t="e">
        <f>COUNTIFS('refer admin discharge'!#REF!,"Unknown",'refer admin discharge'!#REF!,"Male",'refer admin discharge'!#REF!,"Yes")</f>
        <v>#REF!</v>
      </c>
      <c r="S83" s="255" t="e">
        <f>COUNTIFS('refer admin discharge'!#REF!,"Unknown",'refer admin discharge'!#REF!,"Female",'refer admin discharge'!#REF!,"Yes")</f>
        <v>#REF!</v>
      </c>
      <c r="T83" s="235"/>
      <c r="U83" s="254" t="e">
        <f>COUNTIFS('refer admin discharge'!#REF!,"Not Hispanic or Latino",'refer admin discharge'!#REF!,"Male",'refer admin discharge'!#REF!,"YES")</f>
        <v>#REF!</v>
      </c>
      <c r="V83" s="255" t="e">
        <f>COUNTIFS('refer admin discharge'!#REF!,"Not Hispanic or Latino",'refer admin discharge'!#REF!,"Female",'refer admin discharge'!#REF!,"YES")</f>
        <v>#REF!</v>
      </c>
      <c r="W83" s="254" t="e">
        <f>COUNTIFS('refer admin discharge'!#REF!,"Hispanic-Latino ",'refer admin discharge'!#REF!,"Male",'refer admin discharge'!#REF!,"YES")</f>
        <v>#REF!</v>
      </c>
      <c r="X83" s="255" t="e">
        <f>COUNTIFS('refer admin discharge'!#REF!,"Hispanic-Latino ",'refer admin discharge'!#REF!,"Female",'refer admin discharge'!#REF!,"YES")</f>
        <v>#REF!</v>
      </c>
      <c r="Y83" s="254" t="e">
        <f>COUNTIFS('refer admin discharge'!#REF!,"Unknown",'refer admin discharge'!#REF!,"Male",'refer admin discharge'!#REF!,"YES")</f>
        <v>#REF!</v>
      </c>
      <c r="Z83" s="256" t="e">
        <f>COUNTIFS('refer admin discharge'!#REF!,"Unknown",'refer admin discharge'!#REF!,"Female",'refer admin discharge'!#REF!,"YES")</f>
        <v>#REF!</v>
      </c>
      <c r="AA83" s="1082" t="s">
        <v>1007</v>
      </c>
      <c r="AB83" s="1083"/>
      <c r="AC83" s="1084"/>
      <c r="AD83" s="257" t="e">
        <f t="shared" si="13"/>
        <v>#REF!</v>
      </c>
      <c r="AE83" s="108"/>
      <c r="AF83" s="257" t="e">
        <f t="shared" si="14"/>
        <v>#REF!</v>
      </c>
    </row>
    <row r="84" spans="1:37" ht="30" customHeight="1">
      <c r="A84" s="1090" t="s">
        <v>1008</v>
      </c>
      <c r="B84" s="350"/>
      <c r="C84" s="351"/>
      <c r="D84" s="1023" t="s">
        <v>928</v>
      </c>
      <c r="E84" s="351"/>
      <c r="F84" s="258" t="e">
        <f>COUNTIFS('refer admin discharge'!#REF!,"White",'refer admin discharge'!#REF!,"Male",'refer admin discharge'!#REF!,"Yes")</f>
        <v>#REF!</v>
      </c>
      <c r="G84" s="259" t="e">
        <f>COUNTIFS('refer admin discharge'!#REF!,"White",'refer admin discharge'!#REF!,"Female",'refer admin discharge'!#REF!,"Yes")</f>
        <v>#REF!</v>
      </c>
      <c r="H84" s="258" t="e">
        <f>COUNTIFS('refer admin discharge'!#REF!,"African American /Black",'refer admin discharge'!#REF!,"Male",'refer admin discharge'!#REF!,"Yes")</f>
        <v>#REF!</v>
      </c>
      <c r="I84" s="259" t="e">
        <f>COUNTIFS('refer admin discharge'!#REF!,"African American /Black",'refer admin discharge'!#REF!,"Female",'refer admin discharge'!#REF!,"Yes")</f>
        <v>#REF!</v>
      </c>
      <c r="J84" s="258" t="e">
        <f>COUNTIFS('refer admin discharge'!#REF!,"Native Hawaiian/Pacific",'refer admin discharge'!#REF!,"Male",'refer admin discharge'!#REF!,"Yes")</f>
        <v>#REF!</v>
      </c>
      <c r="K84" s="259" t="e">
        <f>COUNTIFS('refer admin discharge'!#REF!,"Native Hawaiian/Pacific",'refer admin discharge'!#REF!,"Female",'refer admin discharge'!#REF!,"Yes")</f>
        <v>#REF!</v>
      </c>
      <c r="L84" s="258" t="e">
        <f>COUNTIFS('refer admin discharge'!#REF!,"Asian",'refer admin discharge'!#REF!,"Male",'refer admin discharge'!#REF!,"Yes")</f>
        <v>#REF!</v>
      </c>
      <c r="M84" s="259" t="e">
        <f>COUNTIFS('refer admin discharge'!#REF!,"Asian",'refer admin discharge'!#REF!,"Female",'refer admin discharge'!#REF!,"Yes")</f>
        <v>#REF!</v>
      </c>
      <c r="N84" s="258" t="e">
        <f>COUNTIFS('refer admin discharge'!#REF!,"American Indian Alaskan Native",'refer admin discharge'!#REF!,"Male",'refer admin discharge'!#REF!,"Yes")</f>
        <v>#REF!</v>
      </c>
      <c r="O84" s="259" t="e">
        <f>COUNTIFS('refer admin discharge'!#REF!,"American Indian Alaskan Native",'refer admin discharge'!#REF!,"Female",'refer admin discharge'!#REF!,"Yes")</f>
        <v>#REF!</v>
      </c>
      <c r="P84" s="258" t="e">
        <f>COUNTIFS('refer admin discharge'!#REF!,"More than one race reported",'refer admin discharge'!#REF!,"Male",'refer admin discharge'!#REF!,"Yes")</f>
        <v>#REF!</v>
      </c>
      <c r="Q84" s="259" t="e">
        <f>COUNTIFS('refer admin discharge'!#REF!,"More than one race reported",'refer admin discharge'!#REF!,"Female",'refer admin discharge'!#REF!,"Yes")</f>
        <v>#REF!</v>
      </c>
      <c r="R84" s="258" t="e">
        <f>COUNTIFS('refer admin discharge'!#REF!,"Unknown",'refer admin discharge'!#REF!,"Male",'refer admin discharge'!#REF!,"Yes")</f>
        <v>#REF!</v>
      </c>
      <c r="S84" s="259" t="e">
        <f>COUNTIFS('refer admin discharge'!#REF!,"Unknown",'refer admin discharge'!#REF!,"Female",'refer admin discharge'!#REF!,"Yes")</f>
        <v>#REF!</v>
      </c>
      <c r="T84" s="235"/>
      <c r="U84" s="258" t="e">
        <f>COUNTIFS('refer admin discharge'!#REF!,"Not Hispanic or Latino",'refer admin discharge'!#REF!,"Male",'refer admin discharge'!#REF!,"YES")</f>
        <v>#REF!</v>
      </c>
      <c r="V84" s="259" t="e">
        <f>COUNTIFS('refer admin discharge'!#REF!,"Not Hispanic or Latino",'refer admin discharge'!#REF!,"Female",'refer admin discharge'!#REF!,"YES")</f>
        <v>#REF!</v>
      </c>
      <c r="W84" s="258" t="e">
        <f>COUNTIFS('refer admin discharge'!#REF!,"Hispanic-Latino ",'refer admin discharge'!#REF!,"Male",'refer admin discharge'!#REF!,"YES")</f>
        <v>#REF!</v>
      </c>
      <c r="X84" s="259" t="e">
        <f>COUNTIFS('refer admin discharge'!#REF!,"Hispanic-Latino ",'refer admin discharge'!#REF!,"Female",'refer admin discharge'!#REF!,"YES")</f>
        <v>#REF!</v>
      </c>
      <c r="Y84" s="258" t="e">
        <f>COUNTIFS('refer admin discharge'!#REF!,"Unknown",'refer admin discharge'!#REF!,"Male",'refer admin discharge'!#REF!,"YES")</f>
        <v>#REF!</v>
      </c>
      <c r="Z84" s="260" t="e">
        <f>COUNTIFS('refer admin discharge'!#REF!,"Unknown",'refer admin discharge'!#REF!,"Female",'refer admin discharge'!#REF!,"YES")</f>
        <v>#REF!</v>
      </c>
      <c r="AA84" s="1082" t="s">
        <v>1009</v>
      </c>
      <c r="AB84" s="1083"/>
      <c r="AC84" s="1084"/>
      <c r="AD84" s="261" t="e">
        <f t="shared" si="13"/>
        <v>#REF!</v>
      </c>
      <c r="AE84" s="108"/>
      <c r="AF84" s="261" t="e">
        <f t="shared" si="14"/>
        <v>#REF!</v>
      </c>
    </row>
    <row r="85" spans="1:37" ht="30" customHeight="1">
      <c r="A85" s="1091" t="s">
        <v>1010</v>
      </c>
      <c r="B85" s="350"/>
      <c r="C85" s="351"/>
      <c r="D85" s="1023" t="s">
        <v>971</v>
      </c>
      <c r="E85" s="351"/>
      <c r="F85" s="262" t="e">
        <f>COUNTIFS('refer admin discharge'!#REF!,"White",'refer admin discharge'!#REF!,"Male",'refer admin discharge'!AD30:AD1020,"Yes")</f>
        <v>#REF!</v>
      </c>
      <c r="G85" s="263" t="e">
        <f>COUNTIFS('refer admin discharge'!#REF!,"White",'refer admin discharge'!#REF!,"Female",'refer admin discharge'!AD30:AD1020,"Yes")</f>
        <v>#REF!</v>
      </c>
      <c r="H85" s="262" t="e">
        <f>COUNTIFS('refer admin discharge'!#REF!,"African American /Black",'refer admin discharge'!#REF!,"Male",'refer admin discharge'!AD30:AD1020,"Yes")</f>
        <v>#REF!</v>
      </c>
      <c r="I85" s="263" t="e">
        <f>COUNTIFS('refer admin discharge'!#REF!,"African American /Black",'refer admin discharge'!#REF!,"Female",'refer admin discharge'!AD30:AD1020,"Yes")</f>
        <v>#REF!</v>
      </c>
      <c r="J85" s="262" t="e">
        <f>COUNTIFS('refer admin discharge'!#REF!,"Native Hawaiian/Pacific",'refer admin discharge'!#REF!,"Male",'refer admin discharge'!AD30:AD1020,"Yes")</f>
        <v>#REF!</v>
      </c>
      <c r="K85" s="263" t="e">
        <f>COUNTIFS('refer admin discharge'!#REF!,"Native Hawaiian/Pacific",'refer admin discharge'!#REF!,"Female",'refer admin discharge'!AD30:AD1020,"Yes")</f>
        <v>#REF!</v>
      </c>
      <c r="L85" s="262" t="e">
        <f>COUNTIFS('refer admin discharge'!#REF!,"Asian",'refer admin discharge'!#REF!,"Male",'refer admin discharge'!AD30:AD1020,"Yes")</f>
        <v>#REF!</v>
      </c>
      <c r="M85" s="263" t="e">
        <f>COUNTIFS('refer admin discharge'!#REF!,"Asian",'refer admin discharge'!#REF!,"Female",'refer admin discharge'!AD30:AD1020,"Yes")</f>
        <v>#REF!</v>
      </c>
      <c r="N85" s="262" t="e">
        <f>COUNTIFS('refer admin discharge'!#REF!,"American Indian Alaskan Native",'refer admin discharge'!#REF!,"Male",'refer admin discharge'!AD30:AD1020,"Yes")</f>
        <v>#REF!</v>
      </c>
      <c r="O85" s="263" t="e">
        <f>COUNTIFS('refer admin discharge'!#REF!,"American Indian Alaskan Native",'refer admin discharge'!#REF!,"Female",'refer admin discharge'!AD30:AD1020,"Yes")</f>
        <v>#REF!</v>
      </c>
      <c r="P85" s="262" t="e">
        <f>COUNTIFS('refer admin discharge'!#REF!,"More than one race reported",'refer admin discharge'!#REF!,"Male",'refer admin discharge'!AD30:AD1020,"Yes")</f>
        <v>#REF!</v>
      </c>
      <c r="Q85" s="263" t="e">
        <f>COUNTIFS('refer admin discharge'!#REF!,"More than one race reported",'refer admin discharge'!#REF!,"Female",'refer admin discharge'!AD30:AD1020,"Yes")</f>
        <v>#REF!</v>
      </c>
      <c r="R85" s="262" t="e">
        <f>COUNTIFS('refer admin discharge'!#REF!,"Unknown",'refer admin discharge'!#REF!,"Male",'refer admin discharge'!AD30:AD1020,"Yes")</f>
        <v>#REF!</v>
      </c>
      <c r="S85" s="263" t="e">
        <f>COUNTIFS('refer admin discharge'!#REF!,"Unknown",'refer admin discharge'!#REF!,"Female",'refer admin discharge'!AD30:AD1020,"Yes")</f>
        <v>#REF!</v>
      </c>
      <c r="T85" s="235"/>
      <c r="U85" s="262" t="e">
        <f>COUNTIFS('refer admin discharge'!#REF!,"Not Hispanic or Latino",'refer admin discharge'!#REF!,"Male",'refer admin discharge'!AD30:AD1020,"YES")</f>
        <v>#REF!</v>
      </c>
      <c r="V85" s="263" t="e">
        <f>COUNTIFS('refer admin discharge'!#REF!,"Not Hispanic or Latino",'refer admin discharge'!#REF!,"Female",'refer admin discharge'!AD30:AD1020,"YES")</f>
        <v>#REF!</v>
      </c>
      <c r="W85" s="262" t="e">
        <f>COUNTIFS('refer admin discharge'!#REF!,"Hispanic-Latino ",'refer admin discharge'!#REF!,"Male",'refer admin discharge'!AD30:AD1020,"YES")</f>
        <v>#REF!</v>
      </c>
      <c r="X85" s="263" t="e">
        <f>COUNTIFS('refer admin discharge'!#REF!,"Hispanic-Latino ",'refer admin discharge'!#REF!,"Female",'refer admin discharge'!AD30:AD1020,"YES")</f>
        <v>#REF!</v>
      </c>
      <c r="Y85" s="262" t="e">
        <f>COUNTIFS('refer admin discharge'!#REF!,"Unknown",'refer admin discharge'!#REF!,"Male",'refer admin discharge'!AD30:AD1020,"YES")</f>
        <v>#REF!</v>
      </c>
      <c r="Z85" s="264" t="e">
        <f>COUNTIFS('refer admin discharge'!#REF!,"Unknown",'refer admin discharge'!#REF!,"Female",'refer admin discharge'!AD30:AD1020,"YES")</f>
        <v>#REF!</v>
      </c>
      <c r="AA85" s="1082" t="s">
        <v>1011</v>
      </c>
      <c r="AB85" s="1083"/>
      <c r="AC85" s="1084"/>
      <c r="AD85" s="265" t="e">
        <f t="shared" si="13"/>
        <v>#REF!</v>
      </c>
      <c r="AE85" s="108"/>
      <c r="AF85" s="265" t="e">
        <f t="shared" si="14"/>
        <v>#REF!</v>
      </c>
    </row>
    <row r="86" spans="1:37" ht="30" customHeight="1">
      <c r="A86" s="1087" t="s">
        <v>1012</v>
      </c>
      <c r="B86" s="350"/>
      <c r="C86" s="351"/>
      <c r="D86" s="1023" t="s">
        <v>919</v>
      </c>
      <c r="E86" s="351"/>
      <c r="F86" s="266" t="e">
        <f>COUNTIFS('refer admin discharge'!#REF!,"White",'refer admin discharge'!#REF!,"Male",'refer admin discharge'!AE30:AE1020,"Yes")</f>
        <v>#REF!</v>
      </c>
      <c r="G86" s="234" t="e">
        <f>COUNTIFS('refer admin discharge'!#REF!,"White",'refer admin discharge'!#REF!,"Female",'refer admin discharge'!AE30:AE1020,"Yes")</f>
        <v>#REF!</v>
      </c>
      <c r="H86" s="266" t="e">
        <f>COUNTIFS('refer admin discharge'!#REF!,"African American /Black",'refer admin discharge'!#REF!,"Male",'refer admin discharge'!AE30:AE1020,"Yes")</f>
        <v>#REF!</v>
      </c>
      <c r="I86" s="234" t="e">
        <f>COUNTIFS('refer admin discharge'!#REF!,"African American /Black",'refer admin discharge'!#REF!,"Female",'refer admin discharge'!AE30:AE1020,"Yes")</f>
        <v>#REF!</v>
      </c>
      <c r="J86" s="266" t="e">
        <f>COUNTIFS('refer admin discharge'!#REF!,"Native Hawaiian/Pacific",'refer admin discharge'!#REF!,"Male",'refer admin discharge'!AE30:AE1020,"Yes")</f>
        <v>#REF!</v>
      </c>
      <c r="K86" s="234" t="e">
        <f>COUNTIFS('refer admin discharge'!#REF!,"Native Hawaiian/Pacific",'refer admin discharge'!#REF!,"Female",'refer admin discharge'!AE30:AE1020,"Yes")</f>
        <v>#REF!</v>
      </c>
      <c r="L86" s="266" t="e">
        <f>COUNTIFS('refer admin discharge'!#REF!,"Asian",'refer admin discharge'!#REF!,"Male",'refer admin discharge'!AE30:AE1020,"Yes")</f>
        <v>#REF!</v>
      </c>
      <c r="M86" s="234" t="e">
        <f>COUNTIFS('refer admin discharge'!#REF!,"Asian",'refer admin discharge'!#REF!,"Female",'refer admin discharge'!AE30:AE1020,"Yes")</f>
        <v>#REF!</v>
      </c>
      <c r="N86" s="266" t="e">
        <f>COUNTIFS('refer admin discharge'!#REF!,"American Indian Alaskan Native",'refer admin discharge'!#REF!,"Male",'refer admin discharge'!AE30:AE1020,"Yes")</f>
        <v>#REF!</v>
      </c>
      <c r="O86" s="234" t="e">
        <f>COUNTIFS('refer admin discharge'!#REF!,"American Indian Alaskan Native",'refer admin discharge'!#REF!,"Female",'refer admin discharge'!AE30:AE1020,"Yes")</f>
        <v>#REF!</v>
      </c>
      <c r="P86" s="266" t="e">
        <f>COUNTIFS('refer admin discharge'!#REF!,"More than one race reported",'refer admin discharge'!#REF!,"Male",'refer admin discharge'!AE30:AE1020,"Yes")</f>
        <v>#REF!</v>
      </c>
      <c r="Q86" s="234" t="e">
        <f>COUNTIFS('refer admin discharge'!#REF!,"More than one race reported",'refer admin discharge'!#REF!,"Female",'refer admin discharge'!AE30:AE1020,"Yes")</f>
        <v>#REF!</v>
      </c>
      <c r="R86" s="266" t="e">
        <f>COUNTIFS('refer admin discharge'!#REF!,"Unknown",'refer admin discharge'!#REF!,"Male",'refer admin discharge'!AE30:AE1020,"Yes")</f>
        <v>#REF!</v>
      </c>
      <c r="S86" s="234" t="e">
        <f>COUNTIFS('refer admin discharge'!#REF!,"Unknown",'refer admin discharge'!#REF!,"Female",'refer admin discharge'!AE30:AE1020,"Yes")</f>
        <v>#REF!</v>
      </c>
      <c r="T86" s="235"/>
      <c r="U86" s="266" t="e">
        <f>COUNTIFS('refer admin discharge'!#REF!,"Not Hispanic or Latino",'refer admin discharge'!#REF!,"Male",'refer admin discharge'!AE30:AE1020,"YES")</f>
        <v>#REF!</v>
      </c>
      <c r="V86" s="234" t="e">
        <f>COUNTIFS('refer admin discharge'!#REF!,"Not Hispanic or Latino",'refer admin discharge'!#REF!,"Female",'refer admin discharge'!AE30:AE1020,"YES")</f>
        <v>#REF!</v>
      </c>
      <c r="W86" s="266" t="e">
        <f>COUNTIFS('refer admin discharge'!#REF!,"Hispanic-Latino ",'refer admin discharge'!#REF!,"Male",'refer admin discharge'!AE30:AE1020,"YES")</f>
        <v>#REF!</v>
      </c>
      <c r="X86" s="234" t="e">
        <f>COUNTIFS('refer admin discharge'!#REF!,"Hispanic-Latino ",'refer admin discharge'!#REF!,"Female",'refer admin discharge'!AE30:AE1020,"YES")</f>
        <v>#REF!</v>
      </c>
      <c r="Y86" s="266" t="e">
        <f>COUNTIFS('refer admin discharge'!#REF!,"Unknown",'refer admin discharge'!#REF!,"Male",'refer admin discharge'!AE30:AE1020,"YES")</f>
        <v>#REF!</v>
      </c>
      <c r="Z86" s="267" t="e">
        <f>COUNTIFS('refer admin discharge'!#REF!,"Unknown",'refer admin discharge'!#REF!,"Female",'refer admin discharge'!AE30:AE1020,"YES")</f>
        <v>#REF!</v>
      </c>
      <c r="AA86" s="1082" t="s">
        <v>1013</v>
      </c>
      <c r="AB86" s="1083"/>
      <c r="AC86" s="1084"/>
      <c r="AD86" s="268" t="e">
        <f t="shared" si="13"/>
        <v>#REF!</v>
      </c>
      <c r="AE86" s="108"/>
      <c r="AF86" s="268" t="e">
        <f t="shared" si="14"/>
        <v>#REF!</v>
      </c>
    </row>
    <row r="87" spans="1:37" ht="30" customHeight="1">
      <c r="A87" s="1088" t="s">
        <v>1014</v>
      </c>
      <c r="B87" s="350"/>
      <c r="C87" s="351"/>
      <c r="D87" s="1023" t="s">
        <v>953</v>
      </c>
      <c r="E87" s="351"/>
      <c r="F87" s="269" t="e">
        <f>COUNTIFS('refer admin discharge'!#REF!,"White",'refer admin discharge'!#REF!,"Male",'refer admin discharge'!#REF!,"Yes")</f>
        <v>#REF!</v>
      </c>
      <c r="G87" s="270" t="e">
        <f>COUNTIFS('refer admin discharge'!#REF!,"White",'refer admin discharge'!#REF!,"Female",'refer admin discharge'!#REF!,"Yes")</f>
        <v>#REF!</v>
      </c>
      <c r="H87" s="269" t="e">
        <f>COUNTIFS('refer admin discharge'!#REF!,"African American /Black",'refer admin discharge'!#REF!,"Male",'refer admin discharge'!#REF!,"Yes")</f>
        <v>#REF!</v>
      </c>
      <c r="I87" s="270" t="e">
        <f>COUNTIFS('refer admin discharge'!#REF!,"African American /Black",'refer admin discharge'!#REF!,"Female",'refer admin discharge'!#REF!,"Yes")</f>
        <v>#REF!</v>
      </c>
      <c r="J87" s="269" t="e">
        <f>COUNTIFS('refer admin discharge'!#REF!,"Native Hawaiian/Pacific",'refer admin discharge'!#REF!,"Male",'refer admin discharge'!#REF!,"Yes")</f>
        <v>#REF!</v>
      </c>
      <c r="K87" s="270" t="e">
        <f>COUNTIFS('refer admin discharge'!#REF!,"Native Hawaiian/Pacific",'refer admin discharge'!#REF!,"Female",'refer admin discharge'!#REF!,"Yes")</f>
        <v>#REF!</v>
      </c>
      <c r="L87" s="269" t="e">
        <f>COUNTIFS('refer admin discharge'!#REF!,"Asian",'refer admin discharge'!#REF!,"Male",'refer admin discharge'!#REF!,"Yes")</f>
        <v>#REF!</v>
      </c>
      <c r="M87" s="270" t="e">
        <f>COUNTIFS('refer admin discharge'!#REF!,"Asian",'refer admin discharge'!#REF!,"Female",'refer admin discharge'!#REF!,"Yes")</f>
        <v>#REF!</v>
      </c>
      <c r="N87" s="269" t="e">
        <f>COUNTIFS('refer admin discharge'!#REF!,"American Indian Alaskan Native",'refer admin discharge'!#REF!,"Male",'refer admin discharge'!#REF!,"Yes")</f>
        <v>#REF!</v>
      </c>
      <c r="O87" s="270" t="e">
        <f>COUNTIFS('refer admin discharge'!#REF!,"American Indian Alaskan Native",'refer admin discharge'!#REF!,"Female",'refer admin discharge'!#REF!,"Yes")</f>
        <v>#REF!</v>
      </c>
      <c r="P87" s="269" t="e">
        <f>COUNTIFS('refer admin discharge'!#REF!,"More than one race reported",'refer admin discharge'!#REF!,"Male",'refer admin discharge'!#REF!,"Yes")</f>
        <v>#REF!</v>
      </c>
      <c r="Q87" s="270" t="e">
        <f>COUNTIFS('refer admin discharge'!#REF!,"More than one race reported",'refer admin discharge'!#REF!,"Female",'refer admin discharge'!#REF!,"Yes")</f>
        <v>#REF!</v>
      </c>
      <c r="R87" s="269" t="e">
        <f>COUNTIFS('refer admin discharge'!#REF!,"Unknown",'refer admin discharge'!#REF!,"Male",'refer admin discharge'!#REF!,"Yes")</f>
        <v>#REF!</v>
      </c>
      <c r="S87" s="270" t="e">
        <f>COUNTIFS('refer admin discharge'!#REF!,"Unknown",'refer admin discharge'!#REF!,"Female",'refer admin discharge'!#REF!,"Yes")</f>
        <v>#REF!</v>
      </c>
      <c r="T87" s="235"/>
      <c r="U87" s="269" t="e">
        <f>COUNTIFS('refer admin discharge'!#REF!,"Not Hispanic or Latino",'refer admin discharge'!#REF!,"Male",'refer admin discharge'!#REF!,"YES")</f>
        <v>#REF!</v>
      </c>
      <c r="V87" s="270" t="e">
        <f>COUNTIFS('refer admin discharge'!#REF!,"Not Hispanic or Latino",'refer admin discharge'!#REF!,"Female",'refer admin discharge'!#REF!,"YES")</f>
        <v>#REF!</v>
      </c>
      <c r="W87" s="269" t="e">
        <f>COUNTIFS('refer admin discharge'!#REF!,"Hispanic-Latino ",'refer admin discharge'!#REF!,"Male",'refer admin discharge'!#REF!,"YES")</f>
        <v>#REF!</v>
      </c>
      <c r="X87" s="270" t="e">
        <f>COUNTIFS('refer admin discharge'!#REF!,"Hispanic-Latino ",'refer admin discharge'!#REF!,"Female",'refer admin discharge'!#REF!,"YES")</f>
        <v>#REF!</v>
      </c>
      <c r="Y87" s="269" t="e">
        <f>COUNTIFS('refer admin discharge'!#REF!,"Unknown",'refer admin discharge'!#REF!,"Male",'refer admin discharge'!#REF!,"YES")</f>
        <v>#REF!</v>
      </c>
      <c r="Z87" s="271" t="e">
        <f>COUNTIFS('refer admin discharge'!#REF!,"Unknown",'refer admin discharge'!#REF!,"Female",'refer admin discharge'!#REF!,"YES")</f>
        <v>#REF!</v>
      </c>
      <c r="AA87" s="1082" t="s">
        <v>1015</v>
      </c>
      <c r="AB87" s="1083"/>
      <c r="AC87" s="1084"/>
      <c r="AD87" s="272" t="e">
        <f t="shared" si="13"/>
        <v>#REF!</v>
      </c>
      <c r="AE87" s="108"/>
      <c r="AF87" s="272" t="e">
        <f t="shared" si="14"/>
        <v>#REF!</v>
      </c>
    </row>
    <row r="88" spans="1:37" ht="15" customHeight="1">
      <c r="A88" s="273"/>
      <c r="B88" s="273"/>
      <c r="C88" s="273"/>
      <c r="D88" s="274"/>
      <c r="E88" s="274"/>
      <c r="F88" s="1025" t="s">
        <v>1016</v>
      </c>
      <c r="G88" s="378"/>
      <c r="H88" s="378"/>
      <c r="I88" s="378"/>
      <c r="J88" s="378"/>
      <c r="K88" s="378"/>
      <c r="L88" s="378"/>
      <c r="M88" s="378"/>
      <c r="N88" s="378"/>
      <c r="O88" s="378"/>
      <c r="P88" s="378"/>
      <c r="Q88" s="378"/>
      <c r="R88" s="378"/>
      <c r="S88" s="495"/>
      <c r="T88" s="206"/>
      <c r="U88" s="1080" t="s">
        <v>1017</v>
      </c>
      <c r="V88" s="384"/>
      <c r="W88" s="384"/>
      <c r="X88" s="384"/>
      <c r="Y88" s="384"/>
      <c r="Z88" s="384"/>
      <c r="AA88" s="384"/>
      <c r="AB88" s="384"/>
      <c r="AC88" s="384"/>
      <c r="AD88" s="436"/>
      <c r="AE88" s="108"/>
      <c r="AF88" s="275"/>
    </row>
    <row r="89" spans="1:37" ht="39.75" customHeight="1">
      <c r="A89" s="1011" t="s">
        <v>978</v>
      </c>
      <c r="B89" s="384"/>
      <c r="C89" s="384"/>
      <c r="D89" s="384"/>
      <c r="E89" s="385"/>
      <c r="F89" s="993" t="s">
        <v>554</v>
      </c>
      <c r="G89" s="351"/>
      <c r="H89" s="993" t="s">
        <v>738</v>
      </c>
      <c r="I89" s="351"/>
      <c r="J89" s="993" t="s">
        <v>979</v>
      </c>
      <c r="K89" s="351"/>
      <c r="L89" s="993" t="s">
        <v>557</v>
      </c>
      <c r="M89" s="351"/>
      <c r="N89" s="993" t="s">
        <v>980</v>
      </c>
      <c r="O89" s="351"/>
      <c r="P89" s="993" t="s">
        <v>981</v>
      </c>
      <c r="Q89" s="351"/>
      <c r="R89" s="993" t="s">
        <v>747</v>
      </c>
      <c r="S89" s="351"/>
      <c r="T89" s="212"/>
      <c r="U89" s="1039" t="s">
        <v>562</v>
      </c>
      <c r="V89" s="351"/>
      <c r="W89" s="1039" t="s">
        <v>563</v>
      </c>
      <c r="X89" s="351"/>
      <c r="Y89" s="1039" t="s">
        <v>982</v>
      </c>
      <c r="Z89" s="351"/>
      <c r="AA89" s="152"/>
      <c r="AB89" s="152"/>
      <c r="AC89" s="152"/>
      <c r="AD89" s="207" t="s">
        <v>736</v>
      </c>
      <c r="AF89" s="207" t="s">
        <v>976</v>
      </c>
    </row>
    <row r="90" spans="1:37" ht="30" customHeight="1">
      <c r="A90" s="276"/>
      <c r="B90" s="276"/>
      <c r="C90" s="276"/>
      <c r="D90" s="276"/>
      <c r="E90" s="277"/>
      <c r="F90" s="213" t="s">
        <v>984</v>
      </c>
      <c r="G90" s="214" t="s">
        <v>985</v>
      </c>
      <c r="H90" s="213" t="s">
        <v>984</v>
      </c>
      <c r="I90" s="214" t="s">
        <v>985</v>
      </c>
      <c r="J90" s="213" t="s">
        <v>984</v>
      </c>
      <c r="K90" s="214" t="s">
        <v>985</v>
      </c>
      <c r="L90" s="213" t="s">
        <v>984</v>
      </c>
      <c r="M90" s="214" t="s">
        <v>985</v>
      </c>
      <c r="N90" s="213" t="s">
        <v>984</v>
      </c>
      <c r="O90" s="214" t="s">
        <v>985</v>
      </c>
      <c r="P90" s="213" t="s">
        <v>984</v>
      </c>
      <c r="Q90" s="214" t="s">
        <v>985</v>
      </c>
      <c r="R90" s="213" t="s">
        <v>984</v>
      </c>
      <c r="S90" s="214" t="s">
        <v>985</v>
      </c>
      <c r="T90" s="5"/>
      <c r="U90" s="215" t="s">
        <v>984</v>
      </c>
      <c r="V90" s="278" t="s">
        <v>985</v>
      </c>
      <c r="W90" s="215" t="s">
        <v>984</v>
      </c>
      <c r="X90" s="278" t="s">
        <v>985</v>
      </c>
      <c r="Y90" s="215" t="s">
        <v>984</v>
      </c>
      <c r="Z90" s="278" t="s">
        <v>985</v>
      </c>
      <c r="AA90" s="152"/>
      <c r="AB90" s="152"/>
      <c r="AC90" s="152"/>
      <c r="AD90" s="207"/>
      <c r="AF90" s="207"/>
    </row>
    <row r="91" spans="1:37" ht="24.75" customHeight="1">
      <c r="A91" s="984" t="s">
        <v>788</v>
      </c>
      <c r="B91" s="350"/>
      <c r="C91" s="351"/>
      <c r="D91" s="1026" t="s">
        <v>926</v>
      </c>
      <c r="E91" s="351"/>
      <c r="F91" s="55" t="e">
        <f>COUNTIFS('refer admin discharge'!#REF!,"White",'refer admin discharge'!#REF!,"Male",'refer admin discharge'!AA30:AA1020,"Medicaid Only")</f>
        <v>#REF!</v>
      </c>
      <c r="G91" s="55" t="e">
        <f>COUNTIFS('refer admin discharge'!#REF!,"White",'refer admin discharge'!#REF!,"Female",'refer admin discharge'!AA30:AA1020,"Medicaid Only")</f>
        <v>#REF!</v>
      </c>
      <c r="H91" s="55" t="e">
        <f>COUNTIFS('refer admin discharge'!#REF!,"African American /Black",'refer admin discharge'!#REF!,"Male",'refer admin discharge'!AA30:AA1020,"Medicaid Only")</f>
        <v>#REF!</v>
      </c>
      <c r="I91" s="55" t="e">
        <f>COUNTIFS('refer admin discharge'!#REF!,"African American /Black",'refer admin discharge'!#REF!,"Female",'refer admin discharge'!AA30:AA1020,"Medicaid Only")</f>
        <v>#REF!</v>
      </c>
      <c r="J91" s="55" t="e">
        <f>COUNTIFS('refer admin discharge'!#REF!,"Native Hawaiian/Pacific",'refer admin discharge'!#REF!,"Male",'refer admin discharge'!AA30:AA1020,"Medicaid Only")</f>
        <v>#REF!</v>
      </c>
      <c r="K91" s="55" t="e">
        <f>COUNTIFS('refer admin discharge'!#REF!,"Native Hawaiian/Pacific",'refer admin discharge'!#REF!,"Female",'refer admin discharge'!AA30:AA1020,"Medicaid Only")</f>
        <v>#REF!</v>
      </c>
      <c r="L91" s="55" t="e">
        <f>COUNTIFS('refer admin discharge'!#REF!,"Asian",'refer admin discharge'!#REF!,"Male",'refer admin discharge'!AA30:AA1020,"Medicaid Only")</f>
        <v>#REF!</v>
      </c>
      <c r="M91" s="55" t="e">
        <f>COUNTIFS('refer admin discharge'!#REF!,"Asian",'refer admin discharge'!#REF!,"Female",'refer admin discharge'!AA30:AA1020,"Medicaid Only")</f>
        <v>#REF!</v>
      </c>
      <c r="N91" s="55" t="e">
        <f>COUNTIFS('refer admin discharge'!#REF!,"American Indian Alaskan Native",'refer admin discharge'!#REF!,"Male",'refer admin discharge'!AA30:AA1020,"Medicaid Only")</f>
        <v>#REF!</v>
      </c>
      <c r="O91" s="55" t="e">
        <f>COUNTIFS('refer admin discharge'!#REF!,"American Indian Alaskan Native",'refer admin discharge'!#REF!,"Female",'refer admin discharge'!AA30:AA1020,"Medicaid Only")</f>
        <v>#REF!</v>
      </c>
      <c r="P91" s="55" t="e">
        <f>COUNTIFS('refer admin discharge'!#REF!,"More than one race reported",'refer admin discharge'!#REF!,"Male",'refer admin discharge'!AA30:AA1020,"Medicaid Only")</f>
        <v>#REF!</v>
      </c>
      <c r="Q91" s="55" t="e">
        <f>COUNTIFS('refer admin discharge'!#REF!,"More than one race reported",'refer admin discharge'!#REF!,"Female",'refer admin discharge'!AA30:AA1020,"Medicaid Only")</f>
        <v>#REF!</v>
      </c>
      <c r="R91" s="55" t="e">
        <f>COUNTIFS('refer admin discharge'!#REF!,"Unknown",'refer admin discharge'!#REF!,"Male",'refer admin discharge'!AA30:AA1020,"Medicaid Only")</f>
        <v>#REF!</v>
      </c>
      <c r="S91" s="55" t="e">
        <f>COUNTIFS('refer admin discharge'!#REF!,"Unknown",'refer admin discharge'!#REF!,"Female",'refer admin discharge'!AA30:AA1020,"Medicaid Only")</f>
        <v>#REF!</v>
      </c>
      <c r="T91" s="279"/>
      <c r="U91" s="232" t="e">
        <f>COUNTIFS('refer admin discharge'!#REF!,"Not Hispanic or Latino",'refer admin discharge'!#REF!,"Male",'refer admin discharge'!AA30:AA1020,"Medicaid Only")</f>
        <v>#REF!</v>
      </c>
      <c r="V91" s="232" t="e">
        <f>COUNTIFS('refer admin discharge'!#REF!,"Not Hispanic or Latino",'refer admin discharge'!#REF!,"Female",'refer admin discharge'!AA30:AA1020,"Medicaid Only")</f>
        <v>#REF!</v>
      </c>
      <c r="W91" s="232" t="e">
        <f>COUNTIFS('refer admin discharge'!#REF!,"Hispanic-Latino ",'refer admin discharge'!#REF!,"Male",'refer admin discharge'!AA30:AA1020,"Medicaid Only")</f>
        <v>#REF!</v>
      </c>
      <c r="X91" s="232" t="e">
        <f>COUNTIFS('refer admin discharge'!#REF!,"Hispanic-Latino ",'refer admin discharge'!#REF!,"Female",'refer admin discharge'!AA30:AA1020,"Medicaid Only")</f>
        <v>#REF!</v>
      </c>
      <c r="Y91" s="232" t="e">
        <f>COUNTIFS('refer admin discharge'!#REF!,"Unknown",'refer admin discharge'!#REF!,"Male",'refer admin discharge'!AA30:AA1020,"Medicaid Only")</f>
        <v>#REF!</v>
      </c>
      <c r="Z91" s="232" t="e">
        <f>COUNTIFS('refer admin discharge'!#REF!,"Unknown",'refer admin discharge'!#REF!,"Female",'refer admin discharge'!AA30:AA1020,"Medicaid Only")</f>
        <v>#REF!</v>
      </c>
      <c r="AA91" s="984" t="s">
        <v>788</v>
      </c>
      <c r="AB91" s="350"/>
      <c r="AC91" s="351"/>
      <c r="AD91" s="50" t="e">
        <f t="shared" ref="AD91:AD95" si="15">SUM(F91:S91)</f>
        <v>#REF!</v>
      </c>
      <c r="AF91" s="280" t="e">
        <f t="shared" ref="AF91:AF95" si="16">SUM(U91:Z91)</f>
        <v>#REF!</v>
      </c>
      <c r="AI91" s="246"/>
      <c r="AJ91" s="246"/>
      <c r="AK91" s="246" t="e">
        <f t="shared" ref="AK91:AK94" si="17">AF91</f>
        <v>#REF!</v>
      </c>
    </row>
    <row r="92" spans="1:37" ht="24.75" customHeight="1">
      <c r="A92" s="571" t="s">
        <v>791</v>
      </c>
      <c r="B92" s="350"/>
      <c r="C92" s="351"/>
      <c r="D92" s="1027" t="s">
        <v>926</v>
      </c>
      <c r="E92" s="351"/>
      <c r="F92" s="76" t="e">
        <f>COUNTIFS('refer admin discharge'!#REF!,"White",'refer admin discharge'!#REF!,"Male",'refer admin discharge'!AA30:AA1020,"Non-Medicaid Sources only")</f>
        <v>#REF!</v>
      </c>
      <c r="G92" s="76" t="e">
        <f>COUNTIFS('refer admin discharge'!#REF!,"White",'refer admin discharge'!#REF!,"Female",'refer admin discharge'!AA30:AA1020,"Non-Medicaid Sources only")</f>
        <v>#REF!</v>
      </c>
      <c r="H92" s="76" t="e">
        <f>COUNTIFS('refer admin discharge'!#REF!,"African American /Black",'refer admin discharge'!#REF!,"Male",'refer admin discharge'!AA30:AA1020,"Non-Medicaid Sources only")</f>
        <v>#REF!</v>
      </c>
      <c r="I92" s="76" t="e">
        <f>COUNTIFS('refer admin discharge'!#REF!,"African American /Black",'refer admin discharge'!#REF!,"Female",'refer admin discharge'!AA30:AA1020,"Non-Medicaid Sources only")</f>
        <v>#REF!</v>
      </c>
      <c r="J92" s="76" t="e">
        <f>COUNTIFS('refer admin discharge'!#REF!,"Native Hawaiian/Pacific",'refer admin discharge'!#REF!,"Male",'refer admin discharge'!AA30:AA1020,"Non-Medicaid Sources only")</f>
        <v>#REF!</v>
      </c>
      <c r="K92" s="76" t="e">
        <f>COUNTIFS('refer admin discharge'!#REF!,"Native Hawaiian/Pacific",'refer admin discharge'!#REF!,"Female",'refer admin discharge'!AA30:AA1020,"Non-Medicaid Sources only")</f>
        <v>#REF!</v>
      </c>
      <c r="L92" s="76" t="e">
        <f>COUNTIFS('refer admin discharge'!#REF!,"Asian",'refer admin discharge'!#REF!,"Male",'refer admin discharge'!AA30:AA1020,"Non-Medicaid Sources only")</f>
        <v>#REF!</v>
      </c>
      <c r="M92" s="76" t="e">
        <f>COUNTIFS('refer admin discharge'!#REF!,"Asian",'refer admin discharge'!#REF!,"Female",'refer admin discharge'!AA30:AA1020,"Non-Medicaid Sources only")</f>
        <v>#REF!</v>
      </c>
      <c r="N92" s="76" t="e">
        <f>COUNTIFS('refer admin discharge'!#REF!,"American Indian Alaskan Native",'refer admin discharge'!#REF!,"Male",'refer admin discharge'!AA30:AA1020,"Non-Medicaid Sources only")</f>
        <v>#REF!</v>
      </c>
      <c r="O92" s="76" t="e">
        <f>COUNTIFS('refer admin discharge'!#REF!,"American Indian Alaskan Native",'refer admin discharge'!#REF!,"Female",'refer admin discharge'!AA30:AA1020,"Non-Medicaid Sources only")</f>
        <v>#REF!</v>
      </c>
      <c r="P92" s="76" t="e">
        <f>COUNTIFS('refer admin discharge'!#REF!,"More than one race reported",'refer admin discharge'!#REF!,"Male",'refer admin discharge'!AA30:AA1020,"Non-Medicaid Sources only")</f>
        <v>#REF!</v>
      </c>
      <c r="Q92" s="76" t="e">
        <f>COUNTIFS('refer admin discharge'!#REF!,"More than one race reported",'refer admin discharge'!#REF!,"Female",'refer admin discharge'!AA30:AA1020,"Non-Medicaid Sources only")</f>
        <v>#REF!</v>
      </c>
      <c r="R92" s="76" t="e">
        <f>COUNTIFS('refer admin discharge'!#REF!,"Unknown",'refer admin discharge'!#REF!,"Male",'refer admin discharge'!AA30:AA1020,"Non-Medicaid Sources only")</f>
        <v>#REF!</v>
      </c>
      <c r="S92" s="76" t="e">
        <f>COUNTIFS('refer admin discharge'!#REF!,"Unknown",'refer admin discharge'!#REF!,"Female",'refer admin discharge'!AA30:AA1020,"Non-Medicaid Sources only")</f>
        <v>#REF!</v>
      </c>
      <c r="T92" s="279"/>
      <c r="U92" s="229" t="e">
        <f>COUNTIFS('refer admin discharge'!#REF!,"Not Hispanic or Latino",'refer admin discharge'!#REF!,"Male",'refer admin discharge'!AA30:AA1020,"Non-Medicaid Sources only")</f>
        <v>#REF!</v>
      </c>
      <c r="V92" s="229" t="e">
        <f>COUNTIFS('refer admin discharge'!#REF!,"Not Hispanic or Latino",'refer admin discharge'!#REF!,"Female",'refer admin discharge'!AA30:AA1020,"Non-Medicaid Sources only")</f>
        <v>#REF!</v>
      </c>
      <c r="W92" s="229" t="e">
        <f>COUNTIFS('refer admin discharge'!#REF!,"Hispanic-Latino ",'refer admin discharge'!#REF!,"Male",'refer admin discharge'!AA30:AA1020,"Non-Medicaid Sources only")</f>
        <v>#REF!</v>
      </c>
      <c r="X92" s="229" t="e">
        <f>COUNTIFS('refer admin discharge'!#REF!,"Hispanic-Latino ",'refer admin discharge'!#REF!,"Female",'refer admin discharge'!AA30:AA1020,"Non-Medicaid Sources only")</f>
        <v>#REF!</v>
      </c>
      <c r="Y92" s="229" t="e">
        <f>COUNTIFS('refer admin discharge'!#REF!,"Unknown",'refer admin discharge'!#REF!,"Male",'refer admin discharge'!AA30:AA1020,"Non-Medicaid Sources only")</f>
        <v>#REF!</v>
      </c>
      <c r="Z92" s="229" t="e">
        <f>COUNTIFS('refer admin discharge'!#REF!,"Unknown",'refer admin discharge'!#REF!,"Female",'refer admin discharge'!AA30:AA1020,"Non-Medicaid Sources only")</f>
        <v>#REF!</v>
      </c>
      <c r="AA92" s="571" t="s">
        <v>791</v>
      </c>
      <c r="AB92" s="350"/>
      <c r="AC92" s="351"/>
      <c r="AD92" s="70" t="e">
        <f t="shared" si="15"/>
        <v>#REF!</v>
      </c>
      <c r="AF92" s="281" t="e">
        <f t="shared" si="16"/>
        <v>#REF!</v>
      </c>
      <c r="AI92" s="246"/>
      <c r="AJ92" s="246"/>
      <c r="AK92" s="246" t="e">
        <f t="shared" si="17"/>
        <v>#REF!</v>
      </c>
    </row>
    <row r="93" spans="1:37" ht="24.75" customHeight="1">
      <c r="A93" s="984" t="s">
        <v>794</v>
      </c>
      <c r="B93" s="350"/>
      <c r="C93" s="351"/>
      <c r="D93" s="1026" t="s">
        <v>926</v>
      </c>
      <c r="E93" s="351"/>
      <c r="F93" s="55" t="e">
        <f>COUNTIFS('refer admin discharge'!#REF!,"White",'refer admin discharge'!#REF!,"Male",'refer admin discharge'!AA30:AA1020,"Both Medicaid and Non-Medicaid ")</f>
        <v>#REF!</v>
      </c>
      <c r="G93" s="55" t="e">
        <f>COUNTIFS('refer admin discharge'!#REF!,"White",'refer admin discharge'!#REF!,"Female",'refer admin discharge'!AA30:AA1020,"Both Medicaid and Non-Medicaid ")</f>
        <v>#REF!</v>
      </c>
      <c r="H93" s="55" t="e">
        <f>COUNTIFS('refer admin discharge'!#REF!,"African American /Black",'refer admin discharge'!#REF!,"Male",'refer admin discharge'!AA30:AA1020,"Both Medicaid and Non-Medicaid ")</f>
        <v>#REF!</v>
      </c>
      <c r="I93" s="55" t="e">
        <f>COUNTIFS('refer admin discharge'!#REF!,"African American /Black",'refer admin discharge'!#REF!,"Female",'refer admin discharge'!AA30:AA1020,"Both Medicaid and Non-Medicaid ")</f>
        <v>#REF!</v>
      </c>
      <c r="J93" s="55" t="e">
        <f>COUNTIFS('refer admin discharge'!#REF!,"Native Hawaiian/Pacific",'refer admin discharge'!#REF!,"Male",'refer admin discharge'!AA30:AA1020,"Both Medicaid and Non-Medicaid ")</f>
        <v>#REF!</v>
      </c>
      <c r="K93" s="55" t="e">
        <f>COUNTIFS('refer admin discharge'!#REF!,"Native Hawaiian/Pacific",'refer admin discharge'!#REF!,"Female",'refer admin discharge'!AA30:AA1020,"Both Medicaid and Non-Medicaid ")</f>
        <v>#REF!</v>
      </c>
      <c r="L93" s="55" t="e">
        <f>COUNTIFS('refer admin discharge'!#REF!,"Asian",'refer admin discharge'!#REF!,"Male",'refer admin discharge'!AA30:AA1020,"Both Medicaid and Non-Medicaid ")</f>
        <v>#REF!</v>
      </c>
      <c r="M93" s="55" t="e">
        <f>COUNTIFS('refer admin discharge'!#REF!,"Asian",'refer admin discharge'!#REF!,"Female",'refer admin discharge'!AA30:AA1020,"Both Medicaid and Non-Medicaid ")</f>
        <v>#REF!</v>
      </c>
      <c r="N93" s="55" t="e">
        <f>COUNTIFS('refer admin discharge'!#REF!,"American Indian Alaskan Native",'refer admin discharge'!#REF!,"Male",'refer admin discharge'!AA30:AA1020,"Both Medicaid and Non-Medicaid ")</f>
        <v>#REF!</v>
      </c>
      <c r="O93" s="55" t="e">
        <f>COUNTIFS('refer admin discharge'!#REF!,"American Indian Alaskan Native",'refer admin discharge'!#REF!,"Female",'refer admin discharge'!AA30:AA1020,"Both Medicaid and Non-Medicaid ")</f>
        <v>#REF!</v>
      </c>
      <c r="P93" s="55" t="e">
        <f>COUNTIFS('refer admin discharge'!#REF!,"More than one race reported",'refer admin discharge'!#REF!,"Male",'refer admin discharge'!AA30:AA1020,"Both Medicaid and Non-Medicaid ")</f>
        <v>#REF!</v>
      </c>
      <c r="Q93" s="55" t="e">
        <f>COUNTIFS('refer admin discharge'!#REF!,"More than one race reported",'refer admin discharge'!#REF!,"Female",'refer admin discharge'!AA30:AA1020,"Both Medicaid and Non-Medicaid ")</f>
        <v>#REF!</v>
      </c>
      <c r="R93" s="55" t="e">
        <f>COUNTIFS('refer admin discharge'!#REF!,"Unknown",'refer admin discharge'!#REF!,"Male",'refer admin discharge'!AA30:AA1020,"Both Medicaid and Non-Medicaid ")</f>
        <v>#REF!</v>
      </c>
      <c r="S93" s="55" t="e">
        <f>COUNTIFS('refer admin discharge'!#REF!,"Unknown",'refer admin discharge'!#REF!,"Female",'refer admin discharge'!AA30:AA1020,"Both Medicaid and Non-Medicaid ")</f>
        <v>#REF!</v>
      </c>
      <c r="T93" s="279"/>
      <c r="U93" s="232" t="e">
        <f>COUNTIFS('refer admin discharge'!#REF!,"Not Hispanic or Latino",'refer admin discharge'!#REF!,"Male",'refer admin discharge'!AA30:AA1020,"Both Medicaid and Non-Medicaid ")</f>
        <v>#REF!</v>
      </c>
      <c r="V93" s="232" t="e">
        <f>COUNTIFS('refer admin discharge'!#REF!,"Not Hispanic or Latino",'refer admin discharge'!#REF!,"Female",'refer admin discharge'!AA30:AA1020,"Both Medicaid and Non-Medicaid ")</f>
        <v>#REF!</v>
      </c>
      <c r="W93" s="232" t="e">
        <f>COUNTIFS('refer admin discharge'!#REF!,"Hispanic-Latino ",'refer admin discharge'!#REF!,"Male",'refer admin discharge'!AA30:AA1020,"Both Medicaid and Non-Medicaid ")</f>
        <v>#REF!</v>
      </c>
      <c r="X93" s="232" t="e">
        <f>COUNTIFS('refer admin discharge'!#REF!,"Hispanic-Latino ",'refer admin discharge'!#REF!,"Female",'refer admin discharge'!AA30:AA1020,"Both Medicaid and Non-Medicaid ")</f>
        <v>#REF!</v>
      </c>
      <c r="Y93" s="232" t="e">
        <f>COUNTIFS('refer admin discharge'!#REF!,"Unknown",'refer admin discharge'!#REF!,"Male",'refer admin discharge'!AA30:AA1020,"Both Medicaid and Non-Medicaid ")</f>
        <v>#REF!</v>
      </c>
      <c r="Z93" s="232" t="e">
        <f>COUNTIFS('refer admin discharge'!#REF!,"Unknown",'refer admin discharge'!#REF!,"Female",'refer admin discharge'!AA30:AA1020,"Both Medicaid and Non-Medicaid ")</f>
        <v>#REF!</v>
      </c>
      <c r="AA93" s="984" t="s">
        <v>794</v>
      </c>
      <c r="AB93" s="350"/>
      <c r="AC93" s="351"/>
      <c r="AD93" s="50" t="e">
        <f t="shared" si="15"/>
        <v>#REF!</v>
      </c>
      <c r="AF93" s="280" t="e">
        <f t="shared" si="16"/>
        <v>#REF!</v>
      </c>
      <c r="AI93" s="246"/>
      <c r="AJ93" s="246"/>
      <c r="AK93" s="246" t="e">
        <f t="shared" si="17"/>
        <v>#REF!</v>
      </c>
    </row>
    <row r="94" spans="1:37" ht="24.75" customHeight="1">
      <c r="A94" s="571" t="s">
        <v>797</v>
      </c>
      <c r="B94" s="350"/>
      <c r="C94" s="351"/>
      <c r="D94" s="1027" t="s">
        <v>926</v>
      </c>
      <c r="E94" s="351"/>
      <c r="F94" s="76" t="e">
        <f>COUNTIFS('refer admin discharge'!#REF!,"White",'refer admin discharge'!#REF!,"Male",'refer admin discharge'!AA30:AA1020,"Not known ")</f>
        <v>#REF!</v>
      </c>
      <c r="G94" s="76" t="e">
        <f>COUNTIFS('refer admin discharge'!#REF!,"White",'refer admin discharge'!#REF!,"Female",'refer admin discharge'!AA30:AA1020,"Not known ")</f>
        <v>#REF!</v>
      </c>
      <c r="H94" s="76" t="e">
        <f>COUNTIFS('refer admin discharge'!#REF!,"African American /Black",'refer admin discharge'!#REF!,"Male",'refer admin discharge'!AA30:AA1020,"Not known ")</f>
        <v>#REF!</v>
      </c>
      <c r="I94" s="76" t="e">
        <f>COUNTIFS('refer admin discharge'!#REF!,"African American /Black",'refer admin discharge'!#REF!,"Female",'refer admin discharge'!AA30:AA1020,"Not known ")</f>
        <v>#REF!</v>
      </c>
      <c r="J94" s="76" t="e">
        <f>COUNTIFS('refer admin discharge'!#REF!,"Native Hawaiian/Pacific",'refer admin discharge'!#REF!,"Male",'refer admin discharge'!AA30:AA1020,"Not known ")</f>
        <v>#REF!</v>
      </c>
      <c r="K94" s="76" t="e">
        <f>COUNTIFS('refer admin discharge'!#REF!,"Native Hawaiian/Pacific",'refer admin discharge'!#REF!,"Female",'refer admin discharge'!AA30:AA1020,"Not known ")</f>
        <v>#REF!</v>
      </c>
      <c r="L94" s="76" t="e">
        <f>COUNTIFS('refer admin discharge'!#REF!,"Asian",'refer admin discharge'!#REF!,"Male",'refer admin discharge'!AA30:AA1020,"Not known ")</f>
        <v>#REF!</v>
      </c>
      <c r="M94" s="76" t="e">
        <f>COUNTIFS('refer admin discharge'!#REF!,"Asian",'refer admin discharge'!#REF!,"Female",'refer admin discharge'!AA30:AA1020,"Not known ")</f>
        <v>#REF!</v>
      </c>
      <c r="N94" s="76" t="e">
        <f>COUNTIFS('refer admin discharge'!#REF!,"American Indian Alaskan Native",'refer admin discharge'!#REF!,"Male",'refer admin discharge'!AA30:AA1020,"Not known ")</f>
        <v>#REF!</v>
      </c>
      <c r="O94" s="76" t="e">
        <f>COUNTIFS('refer admin discharge'!#REF!,"American Indian Alaskan Native",'refer admin discharge'!#REF!,"Female",'refer admin discharge'!AA30:AA1020,"Not known ")</f>
        <v>#REF!</v>
      </c>
      <c r="P94" s="76" t="e">
        <f>COUNTIFS('refer admin discharge'!#REF!,"More than one race reported",'refer admin discharge'!#REF!,"Male",'refer admin discharge'!AA30:AA1020,"Not known ")</f>
        <v>#REF!</v>
      </c>
      <c r="Q94" s="76" t="e">
        <f>COUNTIFS('refer admin discharge'!#REF!,"More than one race reported",'refer admin discharge'!#REF!,"Female",'refer admin discharge'!AA30:AA1020,"Not known ")</f>
        <v>#REF!</v>
      </c>
      <c r="R94" s="76" t="e">
        <f>COUNTIFS('refer admin discharge'!#REF!,"Unknown",'refer admin discharge'!#REF!,"Male",'refer admin discharge'!AA30:AA1020,"Not known ")</f>
        <v>#REF!</v>
      </c>
      <c r="S94" s="76" t="e">
        <f>COUNTIFS('refer admin discharge'!#REF!,"Unknown",'refer admin discharge'!#REF!,"Female",'refer admin discharge'!AA30:AA1020,"Not known ")</f>
        <v>#REF!</v>
      </c>
      <c r="T94" s="279"/>
      <c r="U94" s="229" t="e">
        <f>COUNTIFS('refer admin discharge'!#REF!,"Not Hispanic or Latino",'refer admin discharge'!#REF!,"Male",'refer admin discharge'!AA30:AA1020,"Not known ")</f>
        <v>#REF!</v>
      </c>
      <c r="V94" s="229" t="e">
        <f>COUNTIFS('refer admin discharge'!#REF!,"Not Hispanic or Latino",'refer admin discharge'!#REF!,"Female",'refer admin discharge'!AA30:AA1020,"Not known ")</f>
        <v>#REF!</v>
      </c>
      <c r="W94" s="229" t="e">
        <f>COUNTIFS('refer admin discharge'!#REF!,"Hispanic-Latino ",'refer admin discharge'!#REF!,"Male",'refer admin discharge'!AA30:AA1020,"Not known ")</f>
        <v>#REF!</v>
      </c>
      <c r="X94" s="229" t="e">
        <f>COUNTIFS('refer admin discharge'!#REF!,"Hispanic-Latino ",'refer admin discharge'!#REF!,"Female",'refer admin discharge'!AA30:AA1020,"Not known ")</f>
        <v>#REF!</v>
      </c>
      <c r="Y94" s="229" t="e">
        <f>COUNTIFS('refer admin discharge'!#REF!,"Unknown",'refer admin discharge'!#REF!,"Male",'refer admin discharge'!AA30:AA1020,"Not known ")</f>
        <v>#REF!</v>
      </c>
      <c r="Z94" s="229" t="e">
        <f>COUNTIFS('refer admin discharge'!#REF!,"Unknown",'refer admin discharge'!#REF!,"Female",'refer admin discharge'!AA30:AA1020,"Not known ")</f>
        <v>#REF!</v>
      </c>
      <c r="AA94" s="571" t="s">
        <v>797</v>
      </c>
      <c r="AB94" s="350"/>
      <c r="AC94" s="351"/>
      <c r="AD94" s="70" t="e">
        <f t="shared" si="15"/>
        <v>#REF!</v>
      </c>
      <c r="AF94" s="281" t="e">
        <f t="shared" si="16"/>
        <v>#REF!</v>
      </c>
      <c r="AI94" s="246"/>
      <c r="AJ94" s="246"/>
      <c r="AK94" s="246" t="e">
        <f t="shared" si="17"/>
        <v>#REF!</v>
      </c>
    </row>
    <row r="95" spans="1:37" ht="19.5" customHeight="1">
      <c r="A95" s="282"/>
      <c r="B95" s="282"/>
      <c r="C95" s="282"/>
      <c r="D95" s="283"/>
      <c r="E95" s="283"/>
      <c r="F95" s="284" t="e">
        <f t="shared" ref="F95:S95" si="18">SUM(F91:F94)</f>
        <v>#REF!</v>
      </c>
      <c r="G95" s="284" t="e">
        <f t="shared" si="18"/>
        <v>#REF!</v>
      </c>
      <c r="H95" s="284" t="e">
        <f t="shared" si="18"/>
        <v>#REF!</v>
      </c>
      <c r="I95" s="284" t="e">
        <f t="shared" si="18"/>
        <v>#REF!</v>
      </c>
      <c r="J95" s="284" t="e">
        <f t="shared" si="18"/>
        <v>#REF!</v>
      </c>
      <c r="K95" s="284" t="e">
        <f t="shared" si="18"/>
        <v>#REF!</v>
      </c>
      <c r="L95" s="284" t="e">
        <f t="shared" si="18"/>
        <v>#REF!</v>
      </c>
      <c r="M95" s="284" t="e">
        <f t="shared" si="18"/>
        <v>#REF!</v>
      </c>
      <c r="N95" s="284" t="e">
        <f t="shared" si="18"/>
        <v>#REF!</v>
      </c>
      <c r="O95" s="284" t="e">
        <f t="shared" si="18"/>
        <v>#REF!</v>
      </c>
      <c r="P95" s="284" t="e">
        <f t="shared" si="18"/>
        <v>#REF!</v>
      </c>
      <c r="Q95" s="284" t="e">
        <f t="shared" si="18"/>
        <v>#REF!</v>
      </c>
      <c r="R95" s="284" t="e">
        <f t="shared" si="18"/>
        <v>#REF!</v>
      </c>
      <c r="S95" s="284" t="e">
        <f t="shared" si="18"/>
        <v>#REF!</v>
      </c>
      <c r="T95" s="279"/>
      <c r="U95" s="284" t="e">
        <f t="shared" ref="U95:Z95" si="19">SUM(U91:U94)</f>
        <v>#REF!</v>
      </c>
      <c r="V95" s="284" t="e">
        <f t="shared" si="19"/>
        <v>#REF!</v>
      </c>
      <c r="W95" s="284" t="e">
        <f t="shared" si="19"/>
        <v>#REF!</v>
      </c>
      <c r="X95" s="284" t="e">
        <f t="shared" si="19"/>
        <v>#REF!</v>
      </c>
      <c r="Y95" s="284" t="e">
        <f t="shared" si="19"/>
        <v>#REF!</v>
      </c>
      <c r="Z95" s="284" t="e">
        <f t="shared" si="19"/>
        <v>#REF!</v>
      </c>
      <c r="AA95" s="1028" t="s">
        <v>574</v>
      </c>
      <c r="AB95" s="378"/>
      <c r="AC95" s="495"/>
      <c r="AD95" s="170" t="e">
        <f t="shared" si="15"/>
        <v>#REF!</v>
      </c>
      <c r="AE95" s="198"/>
      <c r="AF95" s="170" t="e">
        <f t="shared" si="16"/>
        <v>#REF!</v>
      </c>
      <c r="AI95" s="246"/>
      <c r="AJ95" s="246"/>
      <c r="AK95" s="246"/>
    </row>
    <row r="96" spans="1:37" ht="19.5" customHeight="1">
      <c r="A96" s="273"/>
      <c r="B96" s="273"/>
      <c r="C96" s="273"/>
      <c r="D96" s="274"/>
      <c r="E96" s="274"/>
      <c r="F96" s="1025" t="s">
        <v>1018</v>
      </c>
      <c r="G96" s="378"/>
      <c r="H96" s="378"/>
      <c r="I96" s="378"/>
      <c r="J96" s="378"/>
      <c r="K96" s="378"/>
      <c r="L96" s="378"/>
      <c r="M96" s="378"/>
      <c r="N96" s="378"/>
      <c r="O96" s="378"/>
      <c r="P96" s="378"/>
      <c r="Q96" s="378"/>
      <c r="R96" s="378"/>
      <c r="S96" s="495"/>
      <c r="T96" s="206"/>
      <c r="U96" s="1025" t="s">
        <v>1019</v>
      </c>
      <c r="V96" s="378"/>
      <c r="W96" s="378"/>
      <c r="X96" s="378"/>
      <c r="Y96" s="378"/>
      <c r="Z96" s="495"/>
      <c r="AA96" s="285"/>
      <c r="AB96" s="285"/>
      <c r="AC96" s="285"/>
      <c r="AD96" s="275"/>
      <c r="AE96" s="108"/>
      <c r="AF96" s="275"/>
      <c r="AI96" s="246"/>
      <c r="AJ96" s="246"/>
      <c r="AK96" s="246"/>
    </row>
    <row r="97" spans="1:37" ht="19.5" customHeight="1">
      <c r="A97" s="1031" t="s">
        <v>756</v>
      </c>
      <c r="B97" s="350"/>
      <c r="C97" s="351"/>
      <c r="D97" s="1032" t="s">
        <v>917</v>
      </c>
      <c r="E97" s="351"/>
      <c r="F97" s="286" t="e">
        <f>COUNTIFS('refer admin discharge'!#REF!,"White",'refer admin discharge'!#REF!,"Male",'refer admin discharge'!Y30:Y1020,"Private Residence")</f>
        <v>#REF!</v>
      </c>
      <c r="G97" s="286" t="e">
        <f>COUNTIFS('refer admin discharge'!#REF!,"White",'refer admin discharge'!#REF!,"Female",'refer admin discharge'!Y30:Y1020,"Private Residence")</f>
        <v>#REF!</v>
      </c>
      <c r="H97" s="286" t="e">
        <f>COUNTIFS('refer admin discharge'!#REF!,"African American /Black",'refer admin discharge'!#REF!,"Male",'refer admin discharge'!Y30:Y1020,"Private Residence")</f>
        <v>#REF!</v>
      </c>
      <c r="I97" s="286" t="e">
        <f>COUNTIFS('refer admin discharge'!#REF!,"African American /Black",'refer admin discharge'!#REF!,"Female",'refer admin discharge'!Y30:Y1020,"Private Residence")</f>
        <v>#REF!</v>
      </c>
      <c r="J97" s="286" t="e">
        <f>COUNTIFS('refer admin discharge'!#REF!,"Native Hawaiian/Pacific",'refer admin discharge'!#REF!,"Male",'refer admin discharge'!Y30:Y1020,"Private Residence")</f>
        <v>#REF!</v>
      </c>
      <c r="K97" s="286" t="e">
        <f>COUNTIFS('refer admin discharge'!#REF!,"Native Hawaiian/Pacific",'refer admin discharge'!#REF!,"Female",'refer admin discharge'!Y30:Y1020,"Private Residence")</f>
        <v>#REF!</v>
      </c>
      <c r="L97" s="286" t="e">
        <f>COUNTIFS('refer admin discharge'!#REF!,"Asian",'refer admin discharge'!#REF!,"Male",'refer admin discharge'!Y30:Y1020,"Private Residence")</f>
        <v>#REF!</v>
      </c>
      <c r="M97" s="286" t="e">
        <f>COUNTIFS('refer admin discharge'!#REF!,"Asian",'refer admin discharge'!#REF!,"Female",'refer admin discharge'!Y30:Y1020,"Private Residence")</f>
        <v>#REF!</v>
      </c>
      <c r="N97" s="286" t="e">
        <f>COUNTIFS('refer admin discharge'!#REF!,"American Indian Alaskan Native",'refer admin discharge'!#REF!,"Male",'refer admin discharge'!Y30:Y1020,"Private Residence")</f>
        <v>#REF!</v>
      </c>
      <c r="O97" s="286" t="e">
        <f>COUNTIFS('refer admin discharge'!#REF!,"American Indian Alaskan Native",'refer admin discharge'!#REF!,"Female",'refer admin discharge'!Y30:Y1020,"Private Residence")</f>
        <v>#REF!</v>
      </c>
      <c r="P97" s="286" t="e">
        <f>COUNTIFS('refer admin discharge'!#REF!,"More than one race reported",'refer admin discharge'!#REF!,"Male",'refer admin discharge'!Y30:Y1020,"Private Residence")</f>
        <v>#REF!</v>
      </c>
      <c r="Q97" s="286" t="e">
        <f>COUNTIFS('refer admin discharge'!#REF!,"More than one race reported",'refer admin discharge'!#REF!,"Female",'refer admin discharge'!Y30:Y1020,"Private Residence")</f>
        <v>#REF!</v>
      </c>
      <c r="R97" s="286" t="e">
        <f>COUNTIFS('refer admin discharge'!#REF!,"Unknown",'refer admin discharge'!#REF!,"Male",'refer admin discharge'!Y30:Y1020,"Private Residence")</f>
        <v>#REF!</v>
      </c>
      <c r="S97" s="286" t="e">
        <f>COUNTIFS('refer admin discharge'!#REF!,"Unknown",'refer admin discharge'!#REF!,"Female",'refer admin discharge'!Y30:Y1020,"Private Residence")</f>
        <v>#REF!</v>
      </c>
      <c r="T97" s="279"/>
      <c r="U97" s="286" t="e">
        <f>COUNTIFS('refer admin discharge'!#REF!,"Not Hispanic or Latino",'refer admin discharge'!#REF!,"Male",'refer admin discharge'!Y30:Y1020,"Private Residence")</f>
        <v>#REF!</v>
      </c>
      <c r="V97" s="286" t="e">
        <f>COUNTIFS('refer admin discharge'!#REF!,"Not Hispanic or Latino",'refer admin discharge'!#REF!,"Female",'refer admin discharge'!Y30:Y1020,"Private Residence")</f>
        <v>#REF!</v>
      </c>
      <c r="W97" s="286" t="e">
        <f>COUNTIFS('refer admin discharge'!#REF!,"Hispanic-Latino ",'refer admin discharge'!#REF!,"Male",'refer admin discharge'!Y30:Y1020,"Private Residence")</f>
        <v>#REF!</v>
      </c>
      <c r="X97" s="286" t="e">
        <f>COUNTIFS('refer admin discharge'!#REF!,"Hispanic-Latino ",'refer admin discharge'!#REF!,"Female",'refer admin discharge'!Y30:Y1020,"Private Residence")</f>
        <v>#REF!</v>
      </c>
      <c r="Y97" s="286" t="e">
        <f>COUNTIFS('refer admin discharge'!#REF!,"Unknown",'refer admin discharge'!#REF!,"Male",'refer admin discharge'!Y30:Y1020,"Private Residence")</f>
        <v>#REF!</v>
      </c>
      <c r="Z97" s="286" t="e">
        <f>COUNTIFS('refer admin discharge'!#REF!,"Unknown",'refer admin discharge'!#REF!,"Female",'refer admin discharge'!Y30:Y1020,"Private Residence")</f>
        <v>#REF!</v>
      </c>
      <c r="AA97" s="615" t="s">
        <v>756</v>
      </c>
      <c r="AB97" s="350"/>
      <c r="AC97" s="351"/>
      <c r="AD97" s="287" t="e">
        <f t="shared" ref="AD97:AD105" si="20">SUM(F97:S97)</f>
        <v>#REF!</v>
      </c>
      <c r="AE97" s="186"/>
      <c r="AF97" s="287" t="e">
        <f t="shared" ref="AF97:AF105" si="21">SUM(U97:Z97)</f>
        <v>#REF!</v>
      </c>
      <c r="AI97" s="246"/>
      <c r="AJ97" s="246"/>
      <c r="AK97" s="246"/>
    </row>
    <row r="98" spans="1:37" ht="19.5" customHeight="1">
      <c r="A98" s="1036" t="s">
        <v>759</v>
      </c>
      <c r="B98" s="350"/>
      <c r="C98" s="351"/>
      <c r="D98" s="1037" t="s">
        <v>1020</v>
      </c>
      <c r="E98" s="351"/>
      <c r="F98" s="288" t="e">
        <f>COUNTIFS('refer admin discharge'!#REF!,"White",'refer admin discharge'!#REF!,"Male",'refer admin discharge'!Y30:Y1020,"Homeless ")</f>
        <v>#REF!</v>
      </c>
      <c r="G98" s="288" t="e">
        <f>COUNTIFS('refer admin discharge'!#REF!,"White",'refer admin discharge'!#REF!,"Female",'refer admin discharge'!Y30:Y1020,"Homeless ")</f>
        <v>#REF!</v>
      </c>
      <c r="H98" s="288" t="e">
        <f>COUNTIFS('refer admin discharge'!#REF!,"African American /Black",'refer admin discharge'!#REF!,"Male",'refer admin discharge'!Y30:Y1020,"Homeless ")</f>
        <v>#REF!</v>
      </c>
      <c r="I98" s="288" t="e">
        <f>COUNTIFS('refer admin discharge'!#REF!,"African American /Black",'refer admin discharge'!#REF!,"Female",'refer admin discharge'!Y30:Y1020,"Homeless ")</f>
        <v>#REF!</v>
      </c>
      <c r="J98" s="288" t="e">
        <f>COUNTIFS('refer admin discharge'!#REF!,"Native Hawaiian/Pacific",'refer admin discharge'!#REF!,"Male",'refer admin discharge'!Y30:Y1020,"Homeless ")</f>
        <v>#REF!</v>
      </c>
      <c r="K98" s="288" t="e">
        <f>COUNTIFS('refer admin discharge'!#REF!,"Native Hawaiian/Pacific",'refer admin discharge'!#REF!,"Female",'refer admin discharge'!Y30:Y1020,"Homeless ")</f>
        <v>#REF!</v>
      </c>
      <c r="L98" s="288" t="e">
        <f>COUNTIFS('refer admin discharge'!#REF!,"Asian",'refer admin discharge'!#REF!,"Male",'refer admin discharge'!Y30:Y1020,"Homeless ")</f>
        <v>#REF!</v>
      </c>
      <c r="M98" s="288" t="e">
        <f>COUNTIFS('refer admin discharge'!#REF!,"Asian",'refer admin discharge'!#REF!,"Female",'refer admin discharge'!Y30:Y1020,"Homeless ")</f>
        <v>#REF!</v>
      </c>
      <c r="N98" s="288" t="e">
        <f>COUNTIFS('refer admin discharge'!#REF!,"American Indian Alaskan Native",'refer admin discharge'!#REF!,"Male",'refer admin discharge'!Y30:Y1020,"Homeless ")</f>
        <v>#REF!</v>
      </c>
      <c r="O98" s="288" t="e">
        <f>COUNTIFS('refer admin discharge'!#REF!,"American Indian Alaskan Native",'refer admin discharge'!#REF!,"Female",'refer admin discharge'!Y30:Y1020,"Homeless ")</f>
        <v>#REF!</v>
      </c>
      <c r="P98" s="288" t="e">
        <f>COUNTIFS('refer admin discharge'!#REF!,"More than one race reported",'refer admin discharge'!#REF!,"Male",'refer admin discharge'!Y30:Y1020,"Homeless ")</f>
        <v>#REF!</v>
      </c>
      <c r="Q98" s="288" t="e">
        <f>COUNTIFS('refer admin discharge'!#REF!,"More than one race reported",'refer admin discharge'!#REF!,"Female",'refer admin discharge'!Y30:Y1020,"Homeless ")</f>
        <v>#REF!</v>
      </c>
      <c r="R98" s="288" t="e">
        <f>COUNTIFS('refer admin discharge'!#REF!,"Unknown",'refer admin discharge'!#REF!,"Male",'refer admin discharge'!Y30:Y1020,"Homeless ")</f>
        <v>#REF!</v>
      </c>
      <c r="S98" s="288" t="e">
        <f>COUNTIFS('refer admin discharge'!#REF!,"Unknown",'refer admin discharge'!#REF!,"Female",'refer admin discharge'!Y30:Y1020,"Homeless ")</f>
        <v>#REF!</v>
      </c>
      <c r="T98" s="279"/>
      <c r="U98" s="288" t="e">
        <f>COUNTIFS('refer admin discharge'!#REF!,"Not Hispanic or Latino",'refer admin discharge'!#REF!,"Male",'refer admin discharge'!Y30:Y1020,"Homeless ")</f>
        <v>#REF!</v>
      </c>
      <c r="V98" s="288" t="e">
        <f>COUNTIFS('refer admin discharge'!#REF!,"Not Hispanic or Latino",'refer admin discharge'!#REF!,"Female",'refer admin discharge'!Y30:Y1020,"Homeless ")</f>
        <v>#REF!</v>
      </c>
      <c r="W98" s="288" t="e">
        <f>COUNTIFS('refer admin discharge'!#REF!,"Hispanic-Latino ",'refer admin discharge'!#REF!,"Male",'refer admin discharge'!Y30:Y1020,"Homeless ")</f>
        <v>#REF!</v>
      </c>
      <c r="X98" s="288" t="e">
        <f>COUNTIFS('refer admin discharge'!#REF!,"Hispanic-Latino ",'refer admin discharge'!#REF!,"Female",'refer admin discharge'!Y30:Y1020,"Homeless ")</f>
        <v>#REF!</v>
      </c>
      <c r="Y98" s="288" t="e">
        <f>COUNTIFS('refer admin discharge'!#REF!,"Unknown",'refer admin discharge'!#REF!,"Male",'refer admin discharge'!Y30:Y1020,"Homeless ")</f>
        <v>#REF!</v>
      </c>
      <c r="Z98" s="288" t="e">
        <f>COUNTIFS('refer admin discharge'!#REF!,"Unknown",'refer admin discharge'!#REF!,"Female",'refer admin discharge'!Y30:Y1020,"Homeless ")</f>
        <v>#REF!</v>
      </c>
      <c r="AA98" s="610" t="s">
        <v>759</v>
      </c>
      <c r="AB98" s="350"/>
      <c r="AC98" s="351"/>
      <c r="AD98" s="289" t="e">
        <f t="shared" si="20"/>
        <v>#REF!</v>
      </c>
      <c r="AE98" s="186"/>
      <c r="AF98" s="289" t="e">
        <f t="shared" si="21"/>
        <v>#REF!</v>
      </c>
      <c r="AI98" s="246"/>
      <c r="AJ98" s="246"/>
      <c r="AK98" s="246"/>
    </row>
    <row r="99" spans="1:37" ht="19.5" customHeight="1">
      <c r="A99" s="1031" t="s">
        <v>762</v>
      </c>
      <c r="B99" s="350"/>
      <c r="C99" s="351"/>
      <c r="D99" s="1032" t="s">
        <v>917</v>
      </c>
      <c r="E99" s="351"/>
      <c r="F99" s="286" t="e">
        <f>COUNTIFS('refer admin discharge'!#REF!,"White",'refer admin discharge'!#REF!,"Male",'refer admin discharge'!Y30:Y1020,"Residential Care")</f>
        <v>#REF!</v>
      </c>
      <c r="G99" s="286" t="e">
        <f>COUNTIFS('refer admin discharge'!#REF!,"White",'refer admin discharge'!#REF!,"Female",'refer admin discharge'!Y30:Y1020,"Residential Care")</f>
        <v>#REF!</v>
      </c>
      <c r="H99" s="286" t="e">
        <f>COUNTIFS('refer admin discharge'!#REF!,"African American /Black",'refer admin discharge'!#REF!,"Male",'refer admin discharge'!Y30:Y1020,"Residential Care")</f>
        <v>#REF!</v>
      </c>
      <c r="I99" s="286" t="e">
        <f>COUNTIFS('refer admin discharge'!#REF!,"African American /Black",'refer admin discharge'!#REF!,"Female",'refer admin discharge'!Y30:Y1020,"Residential Care")</f>
        <v>#REF!</v>
      </c>
      <c r="J99" s="286" t="e">
        <f>COUNTIFS('refer admin discharge'!#REF!,"Native Hawaiian/Pacific",'refer admin discharge'!#REF!,"Male",'refer admin discharge'!Y30:Y1020,"Residential Care")</f>
        <v>#REF!</v>
      </c>
      <c r="K99" s="286" t="e">
        <f>COUNTIFS('refer admin discharge'!#REF!,"Native Hawaiian/Pacific",'refer admin discharge'!#REF!,"Female",'refer admin discharge'!Y30:Y1020,"Residential Care")</f>
        <v>#REF!</v>
      </c>
      <c r="L99" s="286" t="e">
        <f>COUNTIFS('refer admin discharge'!#REF!,"Asian",'refer admin discharge'!#REF!,"Male",'refer admin discharge'!Y30:Y1020,"Residential Care")</f>
        <v>#REF!</v>
      </c>
      <c r="M99" s="286" t="e">
        <f>COUNTIFS('refer admin discharge'!#REF!,"Asian",'refer admin discharge'!#REF!,"Female",'refer admin discharge'!Y30:Y1020,"Residential Care")</f>
        <v>#REF!</v>
      </c>
      <c r="N99" s="286" t="e">
        <f>COUNTIFS('refer admin discharge'!#REF!,"American Indian Alaskan Native",'refer admin discharge'!#REF!,"Male",'refer admin discharge'!Y30:Y1020,"Residential Care")</f>
        <v>#REF!</v>
      </c>
      <c r="O99" s="286" t="e">
        <f>COUNTIFS('refer admin discharge'!#REF!,"American Indian Alaskan Native",'refer admin discharge'!#REF!,"Female",'refer admin discharge'!Y30:Y1020,"Residential Care")</f>
        <v>#REF!</v>
      </c>
      <c r="P99" s="286" t="e">
        <f>COUNTIFS('refer admin discharge'!#REF!,"More than one race reported",'refer admin discharge'!#REF!,"Male",'refer admin discharge'!Y30:Y1020,"Residential Care")</f>
        <v>#REF!</v>
      </c>
      <c r="Q99" s="286" t="e">
        <f>COUNTIFS('refer admin discharge'!#REF!,"More than one race reported",'refer admin discharge'!#REF!,"Female",'refer admin discharge'!Y30:Y1020,"Residential Care")</f>
        <v>#REF!</v>
      </c>
      <c r="R99" s="286" t="e">
        <f>COUNTIFS('refer admin discharge'!#REF!,"Unknown",'refer admin discharge'!#REF!,"Male",'refer admin discharge'!Y30:Y1020,"Residential Care")</f>
        <v>#REF!</v>
      </c>
      <c r="S99" s="286" t="e">
        <f>COUNTIFS('refer admin discharge'!#REF!,"Unknown",'refer admin discharge'!#REF!,"Female",'refer admin discharge'!Y30:Y1020,"Residential Care")</f>
        <v>#REF!</v>
      </c>
      <c r="T99" s="279"/>
      <c r="U99" s="286" t="e">
        <f>COUNTIFS('refer admin discharge'!#REF!,"Not Hispanic or Latino",'refer admin discharge'!#REF!,"Male",'refer admin discharge'!Y30:Y1020,"Residential Care")</f>
        <v>#REF!</v>
      </c>
      <c r="V99" s="286" t="e">
        <f>COUNTIFS('refer admin discharge'!#REF!,"Not Hispanic or Latino",'refer admin discharge'!#REF!,"Female",'refer admin discharge'!Y30:Y1020,"Residential Care")</f>
        <v>#REF!</v>
      </c>
      <c r="W99" s="286" t="e">
        <f>COUNTIFS('refer admin discharge'!#REF!,"Hispanic-Latino ",'refer admin discharge'!#REF!,"Male",'refer admin discharge'!Y30:Y1020,"Residential Care")</f>
        <v>#REF!</v>
      </c>
      <c r="X99" s="286" t="e">
        <f>COUNTIFS('refer admin discharge'!#REF!,"Hispanic-Latino ",'refer admin discharge'!#REF!,"Female",'refer admin discharge'!Y30:Y1020,"Residential Care")</f>
        <v>#REF!</v>
      </c>
      <c r="Y99" s="286" t="e">
        <f>COUNTIFS('refer admin discharge'!#REF!,"Unknown",'refer admin discharge'!#REF!,"Male",'refer admin discharge'!Y30:Y1020,"Residential Care")</f>
        <v>#REF!</v>
      </c>
      <c r="Z99" s="286" t="e">
        <f>COUNTIFS('refer admin discharge'!#REF!,"Unknown",'refer admin discharge'!#REF!,"Female",'refer admin discharge'!Y30:Y1020,"Residential Care")</f>
        <v>#REF!</v>
      </c>
      <c r="AA99" s="615" t="s">
        <v>762</v>
      </c>
      <c r="AB99" s="350"/>
      <c r="AC99" s="351"/>
      <c r="AD99" s="287" t="e">
        <f t="shared" si="20"/>
        <v>#REF!</v>
      </c>
      <c r="AE99" s="186"/>
      <c r="AF99" s="287" t="e">
        <f t="shared" si="21"/>
        <v>#REF!</v>
      </c>
      <c r="AI99" s="246"/>
      <c r="AJ99" s="246"/>
      <c r="AK99" s="246"/>
    </row>
    <row r="100" spans="1:37" ht="19.5" customHeight="1">
      <c r="A100" s="1036" t="s">
        <v>767</v>
      </c>
      <c r="B100" s="350"/>
      <c r="C100" s="351"/>
      <c r="D100" s="1037" t="s">
        <v>1020</v>
      </c>
      <c r="E100" s="351"/>
      <c r="F100" s="288" t="e">
        <f>COUNTIFS('refer admin discharge'!#REF!,"White",'refer admin discharge'!#REF!,"Male",'refer admin discharge'!Y30:Y1020,"Crisis Residence")</f>
        <v>#REF!</v>
      </c>
      <c r="G100" s="288" t="e">
        <f>COUNTIFS('refer admin discharge'!#REF!,"White",'refer admin discharge'!#REF!,"Female",'refer admin discharge'!Y30:Y1020,"Crisis Residence")</f>
        <v>#REF!</v>
      </c>
      <c r="H100" s="288" t="e">
        <f>COUNTIFS('refer admin discharge'!#REF!,"African American /Black",'refer admin discharge'!#REF!,"Male",'refer admin discharge'!Y30:Y1020,"Crisis Residence")</f>
        <v>#REF!</v>
      </c>
      <c r="I100" s="288" t="e">
        <f>COUNTIFS('refer admin discharge'!#REF!,"African American /Black",'refer admin discharge'!#REF!,"Female",'refer admin discharge'!Y30:Y1020,"Crisis Residence")</f>
        <v>#REF!</v>
      </c>
      <c r="J100" s="288" t="e">
        <f>COUNTIFS('refer admin discharge'!#REF!,"Native Hawaiian/Pacific",'refer admin discharge'!#REF!,"Male",'refer admin discharge'!Y30:Y1020,"Crisis Residence")</f>
        <v>#REF!</v>
      </c>
      <c r="K100" s="288" t="e">
        <f>COUNTIFS('refer admin discharge'!#REF!,"Native Hawaiian/Pacific",'refer admin discharge'!#REF!,"Female",'refer admin discharge'!Y30:Y1020,"Crisis Residence")</f>
        <v>#REF!</v>
      </c>
      <c r="L100" s="288" t="e">
        <f>COUNTIFS('refer admin discharge'!#REF!,"Asian",'refer admin discharge'!#REF!,"Male",'refer admin discharge'!Y30:Y1020,"Crisis Residence")</f>
        <v>#REF!</v>
      </c>
      <c r="M100" s="288" t="e">
        <f>COUNTIFS('refer admin discharge'!#REF!,"Asian",'refer admin discharge'!#REF!,"Female",'refer admin discharge'!Y30:Y1020,"Crisis Residence")</f>
        <v>#REF!</v>
      </c>
      <c r="N100" s="288" t="e">
        <f>COUNTIFS('refer admin discharge'!#REF!,"American Indian Alaskan Native",'refer admin discharge'!#REF!,"Male",'refer admin discharge'!Y30:Y1020,"Crisis Residence")</f>
        <v>#REF!</v>
      </c>
      <c r="O100" s="288" t="e">
        <f>COUNTIFS('refer admin discharge'!#REF!,"American Indian Alaskan Native",'refer admin discharge'!#REF!,"Female",'refer admin discharge'!Y30:Y1020,"Crisis Residence")</f>
        <v>#REF!</v>
      </c>
      <c r="P100" s="288" t="e">
        <f>COUNTIFS('refer admin discharge'!#REF!,"More than one race reported",'refer admin discharge'!#REF!,"Male",'refer admin discharge'!Y30:Y1020,"Crisis Residence")</f>
        <v>#REF!</v>
      </c>
      <c r="Q100" s="288" t="e">
        <f>COUNTIFS('refer admin discharge'!#REF!,"More than one race reported",'refer admin discharge'!#REF!,"Female",'refer admin discharge'!Y30:Y1020,"Crisis Residence")</f>
        <v>#REF!</v>
      </c>
      <c r="R100" s="288" t="e">
        <f>COUNTIFS('refer admin discharge'!#REF!,"Unknown",'refer admin discharge'!#REF!,"Male",'refer admin discharge'!Y30:Y1020,"Crisis Residence")</f>
        <v>#REF!</v>
      </c>
      <c r="S100" s="288" t="e">
        <f>COUNTIFS('refer admin discharge'!#REF!,"Unknown",'refer admin discharge'!#REF!,"Female",'refer admin discharge'!Y30:Y1020,"Crisis Residence")</f>
        <v>#REF!</v>
      </c>
      <c r="T100" s="279"/>
      <c r="U100" s="288" t="e">
        <f>COUNTIFS('refer admin discharge'!#REF!,"Not Hispanic or Latino",'refer admin discharge'!#REF!,"Male",'refer admin discharge'!Y30:Y1020,"Crisis Residence")</f>
        <v>#REF!</v>
      </c>
      <c r="V100" s="288" t="e">
        <f>COUNTIFS('refer admin discharge'!#REF!,"Not Hispanic or Latino",'refer admin discharge'!#REF!,"Female",'refer admin discharge'!Y30:Y1020,"Crisis Residence")</f>
        <v>#REF!</v>
      </c>
      <c r="W100" s="288" t="e">
        <f>COUNTIFS('refer admin discharge'!#REF!,"Hispanic-Latino ",'refer admin discharge'!#REF!,"Male",'refer admin discharge'!Y30:Y1020,"Crisis Residence")</f>
        <v>#REF!</v>
      </c>
      <c r="X100" s="288" t="e">
        <f>COUNTIFS('refer admin discharge'!#REF!,"Hispanic-Latino ",'refer admin discharge'!#REF!,"Female",'refer admin discharge'!Y30:Y1020,"Crisis Residence")</f>
        <v>#REF!</v>
      </c>
      <c r="Y100" s="288" t="e">
        <f>COUNTIFS('refer admin discharge'!#REF!,"Unknown",'refer admin discharge'!#REF!,"Male",'refer admin discharge'!Y30:Y1020,"Crisis Residence")</f>
        <v>#REF!</v>
      </c>
      <c r="Z100" s="288" t="e">
        <f>COUNTIFS('refer admin discharge'!#REF!,"Unknown",'refer admin discharge'!#REF!,"Female",'refer admin discharge'!Y30:Y1020,"Crisis Residence")</f>
        <v>#REF!</v>
      </c>
      <c r="AA100" s="610" t="s">
        <v>767</v>
      </c>
      <c r="AB100" s="350"/>
      <c r="AC100" s="351"/>
      <c r="AD100" s="289" t="e">
        <f t="shared" si="20"/>
        <v>#REF!</v>
      </c>
      <c r="AE100" s="186"/>
      <c r="AF100" s="289" t="e">
        <f t="shared" si="21"/>
        <v>#REF!</v>
      </c>
      <c r="AI100" s="246"/>
      <c r="AJ100" s="246"/>
      <c r="AK100" s="246"/>
    </row>
    <row r="101" spans="1:37" ht="19.5" customHeight="1">
      <c r="A101" s="1031" t="s">
        <v>771</v>
      </c>
      <c r="B101" s="350"/>
      <c r="C101" s="351"/>
      <c r="D101" s="1032" t="s">
        <v>917</v>
      </c>
      <c r="E101" s="351"/>
      <c r="F101" s="286" t="e">
        <f>COUNTIFS('refer admin discharge'!#REF!,"White",'refer admin discharge'!#REF!,"Male",'refer admin discharge'!Y30:Y1020,"Institutional Setting")</f>
        <v>#REF!</v>
      </c>
      <c r="G101" s="286" t="e">
        <f>COUNTIFS('refer admin discharge'!#REF!,"White",'refer admin discharge'!#REF!,"Female",'refer admin discharge'!Y30:Y1020,"Institutional Setting")</f>
        <v>#REF!</v>
      </c>
      <c r="H101" s="286" t="e">
        <f>COUNTIFS('refer admin discharge'!#REF!,"African American /Black",'refer admin discharge'!#REF!,"Male",'refer admin discharge'!Y30:Y1020,"Institutional Setting")</f>
        <v>#REF!</v>
      </c>
      <c r="I101" s="286" t="e">
        <f>COUNTIFS('refer admin discharge'!#REF!,"African American /Black",'refer admin discharge'!#REF!,"Female",'refer admin discharge'!Y30:Y1020,"Institutional Setting")</f>
        <v>#REF!</v>
      </c>
      <c r="J101" s="286" t="e">
        <f>COUNTIFS('refer admin discharge'!#REF!,"Native Hawaiian/Pacific",'refer admin discharge'!#REF!,"Male",'refer admin discharge'!Y30:Y1020,"Institutional Setting")</f>
        <v>#REF!</v>
      </c>
      <c r="K101" s="286" t="e">
        <f>COUNTIFS('refer admin discharge'!#REF!,"Native Hawaiian/Pacific",'refer admin discharge'!#REF!,"Female",'refer admin discharge'!Y30:Y1020,"Institutional Setting")</f>
        <v>#REF!</v>
      </c>
      <c r="L101" s="286" t="e">
        <f>COUNTIFS('refer admin discharge'!#REF!,"Asian",'refer admin discharge'!#REF!,"Male",'refer admin discharge'!Y30:Y1020,"Institutional Setting")</f>
        <v>#REF!</v>
      </c>
      <c r="M101" s="286" t="e">
        <f>COUNTIFS('refer admin discharge'!#REF!,"Asian",'refer admin discharge'!#REF!,"Female",'refer admin discharge'!Y30:Y1020,"Institutional Setting")</f>
        <v>#REF!</v>
      </c>
      <c r="N101" s="286" t="e">
        <f>COUNTIFS('refer admin discharge'!#REF!,"American Indian Alaskan Native",'refer admin discharge'!#REF!,"Male",'refer admin discharge'!Y30:Y1020,"Institutional Setting")</f>
        <v>#REF!</v>
      </c>
      <c r="O101" s="286" t="e">
        <f>COUNTIFS('refer admin discharge'!#REF!,"American Indian Alaskan Native",'refer admin discharge'!#REF!,"Female",'refer admin discharge'!Y30:Y1020,"Institutional Setting")</f>
        <v>#REF!</v>
      </c>
      <c r="P101" s="286" t="e">
        <f>COUNTIFS('refer admin discharge'!#REF!,"More than one race reported",'refer admin discharge'!#REF!,"Male",'refer admin discharge'!Y30:Y1020,"Institutional Setting")</f>
        <v>#REF!</v>
      </c>
      <c r="Q101" s="286" t="e">
        <f>COUNTIFS('refer admin discharge'!#REF!,"More than one race reported",'refer admin discharge'!#REF!,"Female",'refer admin discharge'!Y30:Y1020,"Institutional Setting")</f>
        <v>#REF!</v>
      </c>
      <c r="R101" s="286" t="e">
        <f>COUNTIFS('refer admin discharge'!#REF!,"Unknown",'refer admin discharge'!#REF!,"Male",'refer admin discharge'!Y30:Y1020,"Institutional Setting")</f>
        <v>#REF!</v>
      </c>
      <c r="S101" s="286" t="e">
        <f>COUNTIFS('refer admin discharge'!#REF!,"Unknown",'refer admin discharge'!#REF!,"Female",'refer admin discharge'!Y30:Y1020,"Institutional Setting")</f>
        <v>#REF!</v>
      </c>
      <c r="T101" s="279"/>
      <c r="U101" s="286" t="e">
        <f>COUNTIFS('refer admin discharge'!#REF!,"Not Hispanic or Latino",'refer admin discharge'!#REF!,"Male",'refer admin discharge'!Y30:Y1020,"Institutional Setting")</f>
        <v>#REF!</v>
      </c>
      <c r="V101" s="286" t="e">
        <f>COUNTIFS('refer admin discharge'!#REF!,"Not Hispanic or Latino",'refer admin discharge'!#REF!,"Female",'refer admin discharge'!Y30:Y1020,"Institutional Setting")</f>
        <v>#REF!</v>
      </c>
      <c r="W101" s="286" t="e">
        <f>COUNTIFS('refer admin discharge'!#REF!,"Hispanic-Latino ",'refer admin discharge'!#REF!,"Male",'refer admin discharge'!Y30:Y1020,"Institutional Setting")</f>
        <v>#REF!</v>
      </c>
      <c r="X101" s="286" t="e">
        <f>COUNTIFS('refer admin discharge'!#REF!,"Hispanic-Latino ",'refer admin discharge'!#REF!,"Female",'refer admin discharge'!Y30:Y1020,"Institutional Setting")</f>
        <v>#REF!</v>
      </c>
      <c r="Y101" s="286" t="e">
        <f>COUNTIFS('refer admin discharge'!#REF!,"Unknown",'refer admin discharge'!#REF!,"Male",'refer admin discharge'!Y30:Y1020,"Institutional Setting")</f>
        <v>#REF!</v>
      </c>
      <c r="Z101" s="286" t="e">
        <f>COUNTIFS('refer admin discharge'!#REF!,"Unknown",'refer admin discharge'!#REF!,"Female",'refer admin discharge'!Y30:Y1020,"Institutional Setting")</f>
        <v>#REF!</v>
      </c>
      <c r="AA101" s="615" t="s">
        <v>771</v>
      </c>
      <c r="AB101" s="350"/>
      <c r="AC101" s="351"/>
      <c r="AD101" s="287" t="e">
        <f t="shared" si="20"/>
        <v>#REF!</v>
      </c>
      <c r="AE101" s="186"/>
      <c r="AF101" s="287" t="e">
        <f t="shared" si="21"/>
        <v>#REF!</v>
      </c>
      <c r="AI101" s="246"/>
      <c r="AJ101" s="246"/>
      <c r="AK101" s="246"/>
    </row>
    <row r="102" spans="1:37" ht="19.5" customHeight="1">
      <c r="A102" s="1036" t="s">
        <v>774</v>
      </c>
      <c r="B102" s="350"/>
      <c r="C102" s="351"/>
      <c r="D102" s="1037" t="s">
        <v>1020</v>
      </c>
      <c r="E102" s="351"/>
      <c r="F102" s="288" t="e">
        <f>COUNTIFS('refer admin discharge'!#REF!,"White",'refer admin discharge'!#REF!,"Male",'refer admin discharge'!Y30:Y1020,"Jail/Correction Facility")</f>
        <v>#REF!</v>
      </c>
      <c r="G102" s="288" t="e">
        <f>COUNTIFS('refer admin discharge'!#REF!,"White",'refer admin discharge'!#REF!,"Female",'refer admin discharge'!Y30:Y1020,"Jail/Correction Facility")</f>
        <v>#REF!</v>
      </c>
      <c r="H102" s="288" t="e">
        <f>COUNTIFS('refer admin discharge'!#REF!,"African American /Black",'refer admin discharge'!#REF!,"Male",'refer admin discharge'!Y30:Y1020,"Jail/Correction Facility")</f>
        <v>#REF!</v>
      </c>
      <c r="I102" s="288" t="e">
        <f>COUNTIFS('refer admin discharge'!#REF!,"African American /Black",'refer admin discharge'!#REF!,"Female",'refer admin discharge'!Y30:Y1020,"Jail/Correction Facility")</f>
        <v>#REF!</v>
      </c>
      <c r="J102" s="288" t="e">
        <f>COUNTIFS('refer admin discharge'!#REF!,"Native Hawaiian/Pacific",'refer admin discharge'!#REF!,"Male",'refer admin discharge'!Y30:Y1020,"Jail/Correction Facility")</f>
        <v>#REF!</v>
      </c>
      <c r="K102" s="288" t="e">
        <f>COUNTIFS('refer admin discharge'!#REF!,"Native Hawaiian/Pacific",'refer admin discharge'!#REF!,"Female",'refer admin discharge'!Y30:Y1020,"Jail/Correction Facility")</f>
        <v>#REF!</v>
      </c>
      <c r="L102" s="288" t="e">
        <f>COUNTIFS('refer admin discharge'!#REF!,"Asian",'refer admin discharge'!#REF!,"Male",'refer admin discharge'!Y30:Y1020,"Jail/Correction Facility")</f>
        <v>#REF!</v>
      </c>
      <c r="M102" s="288" t="e">
        <f>COUNTIFS('refer admin discharge'!#REF!,"Asian",'refer admin discharge'!#REF!,"Female",'refer admin discharge'!Y30:Y1020,"Jail/Correction Facility")</f>
        <v>#REF!</v>
      </c>
      <c r="N102" s="288" t="e">
        <f>COUNTIFS('refer admin discharge'!#REF!,"American Indian Alaskan Native",'refer admin discharge'!#REF!,"Male",'refer admin discharge'!Y30:Y1020,"Jail/Correction Facility")</f>
        <v>#REF!</v>
      </c>
      <c r="O102" s="288" t="e">
        <f>COUNTIFS('refer admin discharge'!#REF!,"American Indian Alaskan Native",'refer admin discharge'!#REF!,"Female",'refer admin discharge'!Y30:Y1020,"Jail/Correction Facility")</f>
        <v>#REF!</v>
      </c>
      <c r="P102" s="288" t="e">
        <f>COUNTIFS('refer admin discharge'!#REF!,"More than one race reported",'refer admin discharge'!#REF!,"Male",'refer admin discharge'!Y30:Y1020,"Jail/Correction Facility")</f>
        <v>#REF!</v>
      </c>
      <c r="Q102" s="288" t="e">
        <f>COUNTIFS('refer admin discharge'!#REF!,"More than one race reported",'refer admin discharge'!#REF!,"Female",'refer admin discharge'!Y30:Y1020,"Jail/Correction Facility")</f>
        <v>#REF!</v>
      </c>
      <c r="R102" s="288" t="e">
        <f>COUNTIFS('refer admin discharge'!#REF!,"Unknown",'refer admin discharge'!#REF!,"Male",'refer admin discharge'!Y30:Y1020,"Jail/Correction Facility")</f>
        <v>#REF!</v>
      </c>
      <c r="S102" s="288" t="e">
        <f>COUNTIFS('refer admin discharge'!#REF!,"Unknown",'refer admin discharge'!#REF!,"Female",'refer admin discharge'!Y30:Y1020,"Jail/Correction Facility")</f>
        <v>#REF!</v>
      </c>
      <c r="T102" s="279"/>
      <c r="U102" s="288" t="e">
        <f>COUNTIFS('refer admin discharge'!#REF!,"Not Hispanic or Latino",'refer admin discharge'!#REF!,"Male",'refer admin discharge'!Y30:Y1020,"Jail/Correction Facility")</f>
        <v>#REF!</v>
      </c>
      <c r="V102" s="288" t="e">
        <f>COUNTIFS('refer admin discharge'!#REF!,"Not Hispanic or Latino",'refer admin discharge'!#REF!,"Female",'refer admin discharge'!Y30:Y1020,"Jail/Correction Facility")</f>
        <v>#REF!</v>
      </c>
      <c r="W102" s="288" t="e">
        <f>COUNTIFS('refer admin discharge'!#REF!,"Hispanic-Latino ",'refer admin discharge'!#REF!,"Male",'refer admin discharge'!Y30:Y1020,"Jail/Correction Facility")</f>
        <v>#REF!</v>
      </c>
      <c r="X102" s="288" t="e">
        <f>COUNTIFS('refer admin discharge'!#REF!,"Hispanic-Latino ",'refer admin discharge'!#REF!,"Female",'refer admin discharge'!Y30:Y1020,"Jail/Correction Facility")</f>
        <v>#REF!</v>
      </c>
      <c r="Y102" s="288" t="e">
        <f>COUNTIFS('refer admin discharge'!#REF!,"Unknown",'refer admin discharge'!#REF!,"Male",'refer admin discharge'!Y30:Y1020,"Jail/Correction Facility")</f>
        <v>#REF!</v>
      </c>
      <c r="Z102" s="288" t="e">
        <f>COUNTIFS('refer admin discharge'!#REF!,"Unknown",'refer admin discharge'!#REF!,"Female",'refer admin discharge'!Y30:Y1020,"Jail/Correction Facility")</f>
        <v>#REF!</v>
      </c>
      <c r="AA102" s="610" t="s">
        <v>774</v>
      </c>
      <c r="AB102" s="350"/>
      <c r="AC102" s="351"/>
      <c r="AD102" s="289" t="e">
        <f t="shared" si="20"/>
        <v>#REF!</v>
      </c>
      <c r="AE102" s="186"/>
      <c r="AF102" s="289" t="e">
        <f t="shared" si="21"/>
        <v>#REF!</v>
      </c>
      <c r="AI102" s="246"/>
      <c r="AJ102" s="246"/>
      <c r="AK102" s="246"/>
    </row>
    <row r="103" spans="1:37" ht="19.5" customHeight="1">
      <c r="A103" s="1031" t="s">
        <v>777</v>
      </c>
      <c r="B103" s="350"/>
      <c r="C103" s="351"/>
      <c r="D103" s="1032" t="s">
        <v>917</v>
      </c>
      <c r="E103" s="351"/>
      <c r="F103" s="286" t="e">
        <f>COUNTIFS('refer admin discharge'!#REF!,"White",'refer admin discharge'!#REF!,"Male",'refer admin discharge'!Y30:Y1020,"Foster Home/Foster Care (under 18)")</f>
        <v>#REF!</v>
      </c>
      <c r="G103" s="286" t="e">
        <f>COUNTIFS('refer admin discharge'!#REF!,"White",'refer admin discharge'!#REF!,"Female",'refer admin discharge'!Y30:Y1020,"Foster Home/Foster Care (under 18)")</f>
        <v>#REF!</v>
      </c>
      <c r="H103" s="286" t="e">
        <f>COUNTIFS('refer admin discharge'!#REF!,"African American /Black",'refer admin discharge'!#REF!,"Male",'refer admin discharge'!Y30:Y1020,"Foster Home/Foster Care (under 18)")</f>
        <v>#REF!</v>
      </c>
      <c r="I103" s="286" t="e">
        <f>COUNTIFS('refer admin discharge'!#REF!,"African American /Black",'refer admin discharge'!#REF!,"Female",'refer admin discharge'!Y30:Y1020,"Foster Home/Foster Care (under 18)")</f>
        <v>#REF!</v>
      </c>
      <c r="J103" s="286" t="e">
        <f>COUNTIFS('refer admin discharge'!#REF!,"Native Hawaiian/Pacific",'refer admin discharge'!#REF!,"Male",'refer admin discharge'!Y30:Y1020,"Foster Home/Foster Care (under 18)")</f>
        <v>#REF!</v>
      </c>
      <c r="K103" s="286" t="e">
        <f>COUNTIFS('refer admin discharge'!#REF!,"Native Hawaiian/Pacific",'refer admin discharge'!#REF!,"Female",'refer admin discharge'!Y30:Y1020,"Foster Home/Foster Care (under 18)")</f>
        <v>#REF!</v>
      </c>
      <c r="L103" s="286" t="e">
        <f>COUNTIFS('refer admin discharge'!#REF!,"Asian",'refer admin discharge'!#REF!,"Male",'refer admin discharge'!Y30:Y1020,"Foster Home/Foster Care (under 18)")</f>
        <v>#REF!</v>
      </c>
      <c r="M103" s="286" t="e">
        <f>COUNTIFS('refer admin discharge'!#REF!,"Asian",'refer admin discharge'!#REF!,"Female",'refer admin discharge'!Y30:Y1020,"Foster Home/Foster Care (under 18)")</f>
        <v>#REF!</v>
      </c>
      <c r="N103" s="286" t="e">
        <f>COUNTIFS('refer admin discharge'!#REF!,"American Indian Alaskan Native",'refer admin discharge'!#REF!,"Male",'refer admin discharge'!Y30:Y1020,"Foster Home/Foster Care (under 18)")</f>
        <v>#REF!</v>
      </c>
      <c r="O103" s="286" t="e">
        <f>COUNTIFS('refer admin discharge'!#REF!,"American Indian Alaskan Native",'refer admin discharge'!#REF!,"Female",'refer admin discharge'!Y30:Y1020,"Foster Home/Foster Care (under 18)")</f>
        <v>#REF!</v>
      </c>
      <c r="P103" s="286" t="e">
        <f>COUNTIFS('refer admin discharge'!#REF!,"More than one race reported",'refer admin discharge'!#REF!,"Male",'refer admin discharge'!Y30:Y1020,"Foster Home/Foster Care (under 18)")</f>
        <v>#REF!</v>
      </c>
      <c r="Q103" s="286" t="e">
        <f>COUNTIFS('refer admin discharge'!#REF!,"More than one race reported",'refer admin discharge'!#REF!,"Female",'refer admin discharge'!Y30:Y1020,"Foster Home/Foster Care (under 18)")</f>
        <v>#REF!</v>
      </c>
      <c r="R103" s="286" t="e">
        <f>COUNTIFS('refer admin discharge'!#REF!,"Unknown",'refer admin discharge'!#REF!,"Male",'refer admin discharge'!Y30:Y1020,"Foster Home/Foster Care (under 18)")</f>
        <v>#REF!</v>
      </c>
      <c r="S103" s="286" t="e">
        <f>COUNTIFS('refer admin discharge'!#REF!,"Unknown",'refer admin discharge'!#REF!,"Female",'refer admin discharge'!Y30:Y1020,"Foster Home/Foster Care (under 18)")</f>
        <v>#REF!</v>
      </c>
      <c r="T103" s="279"/>
      <c r="U103" s="286" t="e">
        <f>COUNTIFS('refer admin discharge'!#REF!,"Not Hispanic or Latino",'refer admin discharge'!#REF!,"Male",'refer admin discharge'!Y30:Y1020,"Foster Home/Foster Care (under 18)")</f>
        <v>#REF!</v>
      </c>
      <c r="V103" s="286" t="e">
        <f>COUNTIFS('refer admin discharge'!#REF!,"Not Hispanic or Latino",'refer admin discharge'!#REF!,"Female",'refer admin discharge'!Y30:Y1020,"Foster Home/Foster Care (under 18)")</f>
        <v>#REF!</v>
      </c>
      <c r="W103" s="286" t="e">
        <f>COUNTIFS('refer admin discharge'!#REF!,"Hispanic-Latino ",'refer admin discharge'!#REF!,"Male",'refer admin discharge'!Y30:Y1020,"Foster Home/Foster Care (under 18)")</f>
        <v>#REF!</v>
      </c>
      <c r="X103" s="286" t="e">
        <f>COUNTIFS('refer admin discharge'!#REF!,"Hispanic-Latino ",'refer admin discharge'!#REF!,"Female",'refer admin discharge'!Y30:Y1020,"Foster Home/Foster Care (under 18)")</f>
        <v>#REF!</v>
      </c>
      <c r="Y103" s="286" t="e">
        <f>COUNTIFS('refer admin discharge'!#REF!,"Unknown",'refer admin discharge'!#REF!,"Male",'refer admin discharge'!Y30:Y1020,"Foster Home/Foster Care (under 18)")</f>
        <v>#REF!</v>
      </c>
      <c r="Z103" s="286" t="e">
        <f>COUNTIFS('refer admin discharge'!#REF!,"Unknown",'refer admin discharge'!#REF!,"Female",'refer admin discharge'!Y30:Y1020,"Foster Home/Foster Care (under 18)")</f>
        <v>#REF!</v>
      </c>
      <c r="AA103" s="615" t="s">
        <v>777</v>
      </c>
      <c r="AB103" s="350"/>
      <c r="AC103" s="351"/>
      <c r="AD103" s="287" t="e">
        <f t="shared" si="20"/>
        <v>#REF!</v>
      </c>
      <c r="AE103" s="186"/>
      <c r="AF103" s="287" t="e">
        <f t="shared" si="21"/>
        <v>#REF!</v>
      </c>
      <c r="AI103" s="246"/>
      <c r="AJ103" s="246"/>
      <c r="AK103" s="246"/>
    </row>
    <row r="104" spans="1:37" ht="19.5" customHeight="1">
      <c r="A104" s="1036" t="s">
        <v>779</v>
      </c>
      <c r="B104" s="350"/>
      <c r="C104" s="351"/>
      <c r="D104" s="1037" t="s">
        <v>1020</v>
      </c>
      <c r="E104" s="351"/>
      <c r="F104" s="288" t="e">
        <f>COUNTIFS('refer admin discharge'!#REF!,"White",'refer admin discharge'!#REF!,"Male",'refer admin discharge'!Y30:Y1020,"Other (Detail in Notes) ")</f>
        <v>#REF!</v>
      </c>
      <c r="G104" s="288" t="e">
        <f>COUNTIFS('refer admin discharge'!#REF!,"White",'refer admin discharge'!#REF!,"Female",'refer admin discharge'!Y30:Y1020,"Other (Detail in Notes) ")</f>
        <v>#REF!</v>
      </c>
      <c r="H104" s="288" t="e">
        <f>COUNTIFS('refer admin discharge'!#REF!,"African American /Black",'refer admin discharge'!#REF!,"Male",'refer admin discharge'!Y30:Y1020,"Other (Detail in Notes) ")</f>
        <v>#REF!</v>
      </c>
      <c r="I104" s="288" t="e">
        <f>COUNTIFS('refer admin discharge'!#REF!,"African American /Black",'refer admin discharge'!#REF!,"Female",'refer admin discharge'!Y30:Y1020,"Other (Detail in Notes) ")</f>
        <v>#REF!</v>
      </c>
      <c r="J104" s="288" t="e">
        <f>COUNTIFS('refer admin discharge'!#REF!,"Native Hawaiian/Pacific",'refer admin discharge'!#REF!,"Male",'refer admin discharge'!Y30:Y1020,"Other (Detail in Notes) ")</f>
        <v>#REF!</v>
      </c>
      <c r="K104" s="288" t="e">
        <f>COUNTIFS('refer admin discharge'!#REF!,"Native Hawaiian/Pacific",'refer admin discharge'!#REF!,"Female",'refer admin discharge'!Y30:Y1020,"Other (Detail in Notes) ")</f>
        <v>#REF!</v>
      </c>
      <c r="L104" s="288" t="e">
        <f>COUNTIFS('refer admin discharge'!#REF!,"Asian",'refer admin discharge'!#REF!,"Male",'refer admin discharge'!Y30:Y1020,"Other (Detail in Notes) ")</f>
        <v>#REF!</v>
      </c>
      <c r="M104" s="288" t="e">
        <f>COUNTIFS('refer admin discharge'!#REF!,"Asian",'refer admin discharge'!#REF!,"Female",'refer admin discharge'!Y30:Y1020,"Other (Detail in Notes) ")</f>
        <v>#REF!</v>
      </c>
      <c r="N104" s="288" t="e">
        <f>COUNTIFS('refer admin discharge'!#REF!,"American Indian Alaskan Native",'refer admin discharge'!#REF!,"Male",'refer admin discharge'!Y30:Y1020,"Other (Detail in Notes) ")</f>
        <v>#REF!</v>
      </c>
      <c r="O104" s="288" t="e">
        <f>COUNTIFS('refer admin discharge'!#REF!,"American Indian Alaskan Native",'refer admin discharge'!#REF!,"Female",'refer admin discharge'!Y30:Y1020,"Other (Detail in Notes) ")</f>
        <v>#REF!</v>
      </c>
      <c r="P104" s="288" t="e">
        <f>COUNTIFS('refer admin discharge'!#REF!,"More than one race reported",'refer admin discharge'!#REF!,"Male",'refer admin discharge'!Y30:Y1020,"Other (Detail in Notes) ")</f>
        <v>#REF!</v>
      </c>
      <c r="Q104" s="288" t="e">
        <f>COUNTIFS('refer admin discharge'!#REF!,"More than one race reported",'refer admin discharge'!#REF!,"Female",'refer admin discharge'!Y30:Y1020,"Other (Detail in Notes) ")</f>
        <v>#REF!</v>
      </c>
      <c r="R104" s="288" t="e">
        <f>COUNTIFS('refer admin discharge'!#REF!,"Unknown",'refer admin discharge'!#REF!,"Male",'refer admin discharge'!Y30:Y1020,"Other (Detail in Notes) ")</f>
        <v>#REF!</v>
      </c>
      <c r="S104" s="288" t="e">
        <f>COUNTIFS('refer admin discharge'!#REF!,"Unknown",'refer admin discharge'!#REF!,"Female",'refer admin discharge'!Y30:Y1020,"Other (Detail in Notes) ")</f>
        <v>#REF!</v>
      </c>
      <c r="T104" s="279"/>
      <c r="U104" s="288" t="e">
        <f>COUNTIFS('refer admin discharge'!#REF!,"Not Hispanic or Latino",'refer admin discharge'!#REF!,"Male",'refer admin discharge'!Y30:Y1020,"Other (Detail in Notes) ")</f>
        <v>#REF!</v>
      </c>
      <c r="V104" s="288" t="e">
        <f>COUNTIFS('refer admin discharge'!#REF!,"Not Hispanic or Latino",'refer admin discharge'!#REF!,"Female",'refer admin discharge'!Y30:Y1020,"Other (Detail in Notes) ")</f>
        <v>#REF!</v>
      </c>
      <c r="W104" s="288" t="e">
        <f>COUNTIFS('refer admin discharge'!#REF!,"Hispanic-Latino ",'refer admin discharge'!#REF!,"Male",'refer admin discharge'!Y30:Y1020,"Other (Detail in Notes) ")</f>
        <v>#REF!</v>
      </c>
      <c r="X104" s="288" t="e">
        <f>COUNTIFS('refer admin discharge'!#REF!,"Hispanic-Latino ",'refer admin discharge'!#REF!,"Female",'refer admin discharge'!Y30:Y1020,"Other (Detail in Notes) ")</f>
        <v>#REF!</v>
      </c>
      <c r="Y104" s="288" t="e">
        <f>COUNTIFS('refer admin discharge'!#REF!,"Unknown",'refer admin discharge'!#REF!,"Male",'refer admin discharge'!Y30:Y1020,"Other (Detail in Notes) ")</f>
        <v>#REF!</v>
      </c>
      <c r="Z104" s="288" t="e">
        <f>COUNTIFS('refer admin discharge'!#REF!,"Unknown",'refer admin discharge'!#REF!,"Female",'refer admin discharge'!Y30:Y1020,"Other (Detail in Notes) ")</f>
        <v>#REF!</v>
      </c>
      <c r="AA104" s="610" t="s">
        <v>779</v>
      </c>
      <c r="AB104" s="350"/>
      <c r="AC104" s="351"/>
      <c r="AD104" s="289" t="e">
        <f t="shared" si="20"/>
        <v>#REF!</v>
      </c>
      <c r="AE104" s="186"/>
      <c r="AF104" s="289" t="e">
        <f t="shared" si="21"/>
        <v>#REF!</v>
      </c>
      <c r="AI104" s="246"/>
      <c r="AJ104" s="246"/>
      <c r="AK104" s="246"/>
    </row>
    <row r="105" spans="1:37" ht="19.5" customHeight="1">
      <c r="A105" s="290"/>
      <c r="B105" s="290"/>
      <c r="C105" s="290"/>
      <c r="D105" s="291"/>
      <c r="E105" s="291"/>
      <c r="F105" s="292" t="e">
        <f t="shared" ref="F105:S105" si="22">SUM(F97:F104)</f>
        <v>#REF!</v>
      </c>
      <c r="G105" s="292" t="e">
        <f t="shared" si="22"/>
        <v>#REF!</v>
      </c>
      <c r="H105" s="292" t="e">
        <f t="shared" si="22"/>
        <v>#REF!</v>
      </c>
      <c r="I105" s="292" t="e">
        <f t="shared" si="22"/>
        <v>#REF!</v>
      </c>
      <c r="J105" s="292" t="e">
        <f t="shared" si="22"/>
        <v>#REF!</v>
      </c>
      <c r="K105" s="292" t="e">
        <f t="shared" si="22"/>
        <v>#REF!</v>
      </c>
      <c r="L105" s="292" t="e">
        <f t="shared" si="22"/>
        <v>#REF!</v>
      </c>
      <c r="M105" s="292" t="e">
        <f t="shared" si="22"/>
        <v>#REF!</v>
      </c>
      <c r="N105" s="292" t="e">
        <f t="shared" si="22"/>
        <v>#REF!</v>
      </c>
      <c r="O105" s="292" t="e">
        <f t="shared" si="22"/>
        <v>#REF!</v>
      </c>
      <c r="P105" s="292" t="e">
        <f t="shared" si="22"/>
        <v>#REF!</v>
      </c>
      <c r="Q105" s="292" t="e">
        <f t="shared" si="22"/>
        <v>#REF!</v>
      </c>
      <c r="R105" s="292" t="e">
        <f t="shared" si="22"/>
        <v>#REF!</v>
      </c>
      <c r="S105" s="292" t="e">
        <f t="shared" si="22"/>
        <v>#REF!</v>
      </c>
      <c r="T105" s="279"/>
      <c r="U105" s="292" t="e">
        <f t="shared" ref="U105:Z105" si="23">SUM(U97:U104)</f>
        <v>#REF!</v>
      </c>
      <c r="V105" s="292" t="e">
        <f t="shared" si="23"/>
        <v>#REF!</v>
      </c>
      <c r="W105" s="292" t="e">
        <f t="shared" si="23"/>
        <v>#REF!</v>
      </c>
      <c r="X105" s="292" t="e">
        <f t="shared" si="23"/>
        <v>#REF!</v>
      </c>
      <c r="Y105" s="292" t="e">
        <f t="shared" si="23"/>
        <v>#REF!</v>
      </c>
      <c r="Z105" s="292" t="e">
        <f t="shared" si="23"/>
        <v>#REF!</v>
      </c>
      <c r="AA105" s="1075" t="s">
        <v>574</v>
      </c>
      <c r="AB105" s="378"/>
      <c r="AC105" s="495"/>
      <c r="AD105" s="293" t="e">
        <f t="shared" si="20"/>
        <v>#REF!</v>
      </c>
      <c r="AE105" s="198"/>
      <c r="AF105" s="293" t="e">
        <f t="shared" si="21"/>
        <v>#REF!</v>
      </c>
      <c r="AI105" s="246"/>
      <c r="AJ105" s="246"/>
      <c r="AK105" s="246"/>
    </row>
    <row r="106" spans="1:37" ht="19.5" customHeight="1">
      <c r="A106" s="93"/>
      <c r="B106" s="93"/>
      <c r="C106" s="93"/>
      <c r="D106" s="294"/>
      <c r="E106" s="294"/>
      <c r="F106" s="199"/>
      <c r="G106" s="199"/>
      <c r="H106" s="199"/>
      <c r="I106" s="199"/>
      <c r="J106" s="199"/>
      <c r="K106" s="199"/>
      <c r="L106" s="199"/>
      <c r="M106" s="199"/>
      <c r="N106" s="199"/>
      <c r="O106" s="199"/>
      <c r="P106" s="199"/>
      <c r="Q106" s="199"/>
      <c r="R106" s="199"/>
      <c r="S106" s="199"/>
      <c r="T106" s="108"/>
      <c r="U106" s="199"/>
      <c r="V106" s="199"/>
      <c r="W106" s="199"/>
      <c r="X106" s="199"/>
      <c r="Y106" s="199"/>
      <c r="Z106" s="199"/>
      <c r="AA106" s="295"/>
      <c r="AB106" s="295"/>
      <c r="AC106" s="295"/>
      <c r="AD106" s="198"/>
      <c r="AE106" s="198"/>
      <c r="AF106" s="198"/>
      <c r="AI106" s="246"/>
      <c r="AJ106" s="246"/>
      <c r="AK106" s="246"/>
    </row>
    <row r="107" spans="1:37" ht="15.75" customHeight="1">
      <c r="AI107" s="246">
        <f>SUM(AI91:AI95)</f>
        <v>0</v>
      </c>
      <c r="AJ107" s="246"/>
      <c r="AK107" s="246" t="e">
        <f>SUM(AK91:AK95)</f>
        <v>#REF!</v>
      </c>
    </row>
    <row r="108" spans="1:37" ht="15.75" customHeight="1">
      <c r="A108" s="995" t="s">
        <v>754</v>
      </c>
      <c r="B108" s="350"/>
      <c r="C108" s="350"/>
      <c r="D108" s="350"/>
      <c r="E108" s="350"/>
      <c r="F108" s="350"/>
      <c r="G108" s="351"/>
      <c r="J108" s="995" t="s">
        <v>736</v>
      </c>
      <c r="K108" s="350"/>
      <c r="L108" s="350"/>
      <c r="M108" s="350"/>
      <c r="N108" s="350"/>
      <c r="O108" s="350"/>
      <c r="P108" s="351"/>
    </row>
    <row r="109" spans="1:37" ht="15.75" customHeight="1">
      <c r="A109" s="754" t="s">
        <v>565</v>
      </c>
      <c r="B109" s="350"/>
      <c r="C109" s="351"/>
      <c r="D109" s="754" t="e">
        <f>COUNTIFS('refer admin discharge'!#REF!,"Female")</f>
        <v>#REF!</v>
      </c>
      <c r="E109" s="350"/>
      <c r="F109" s="350"/>
      <c r="G109" s="351"/>
      <c r="J109" s="987" t="s">
        <v>1021</v>
      </c>
      <c r="K109" s="350"/>
      <c r="L109" s="350"/>
      <c r="M109" s="351"/>
      <c r="N109" s="972" t="e">
        <f>COUNTIFS('refer admin discharge'!#REF!,"African American /Black")</f>
        <v>#REF!</v>
      </c>
      <c r="O109" s="350"/>
      <c r="P109" s="351"/>
    </row>
    <row r="110" spans="1:37" ht="15.75" customHeight="1">
      <c r="A110" s="754" t="s">
        <v>564</v>
      </c>
      <c r="B110" s="350"/>
      <c r="C110" s="351"/>
      <c r="D110" s="754" t="e">
        <f>COUNTIFS('refer admin discharge'!#REF!,"Male")</f>
        <v>#REF!</v>
      </c>
      <c r="E110" s="350"/>
      <c r="F110" s="350"/>
      <c r="G110" s="351"/>
      <c r="J110" s="987" t="s">
        <v>1022</v>
      </c>
      <c r="K110" s="350"/>
      <c r="L110" s="350"/>
      <c r="M110" s="351"/>
      <c r="N110" s="972" t="e">
        <f>COUNTIFS('refer admin discharge'!#REF!,"American Indian Alaskan Native")</f>
        <v>#REF!</v>
      </c>
      <c r="O110" s="350"/>
      <c r="P110" s="351"/>
    </row>
    <row r="111" spans="1:37" ht="15.75" customHeight="1">
      <c r="A111" s="1033" t="s">
        <v>574</v>
      </c>
      <c r="B111" s="378"/>
      <c r="C111" s="495"/>
      <c r="D111" s="1034" t="e">
        <f>SUM(D109:D110)</f>
        <v>#REF!</v>
      </c>
      <c r="E111" s="378"/>
      <c r="F111" s="378"/>
      <c r="G111" s="495"/>
      <c r="J111" s="987" t="s">
        <v>1023</v>
      </c>
      <c r="K111" s="350"/>
      <c r="L111" s="350"/>
      <c r="M111" s="351"/>
      <c r="N111" s="972" t="e">
        <f>COUNTIFS('refer admin discharge'!#REF!,"Asian")</f>
        <v>#REF!</v>
      </c>
      <c r="O111" s="350"/>
      <c r="P111" s="351"/>
    </row>
    <row r="112" spans="1:37" ht="15.75" customHeight="1">
      <c r="A112" s="1035"/>
      <c r="B112" s="381"/>
      <c r="C112" s="428"/>
      <c r="D112" s="1035"/>
      <c r="E112" s="381"/>
      <c r="F112" s="381"/>
      <c r="G112" s="428"/>
      <c r="J112" s="987" t="s">
        <v>744</v>
      </c>
      <c r="K112" s="350"/>
      <c r="L112" s="350"/>
      <c r="M112" s="351"/>
      <c r="N112" s="972" t="e">
        <f>COUNTIFS('refer admin discharge'!#REF!,"More than one race reported")</f>
        <v>#REF!</v>
      </c>
      <c r="O112" s="350"/>
      <c r="P112" s="351"/>
      <c r="V112" s="157"/>
    </row>
    <row r="113" spans="1:32" ht="15.75" customHeight="1">
      <c r="J113" s="987" t="s">
        <v>1024</v>
      </c>
      <c r="K113" s="350"/>
      <c r="L113" s="350"/>
      <c r="M113" s="351"/>
      <c r="N113" s="972" t="e">
        <f>COUNTIFS('refer admin discharge'!#REF!,"Native Hawaiian/Pacific")</f>
        <v>#REF!</v>
      </c>
      <c r="O113" s="350"/>
      <c r="P113" s="351"/>
      <c r="V113" s="157"/>
    </row>
    <row r="114" spans="1:32" ht="15.75" customHeight="1">
      <c r="J114" s="987" t="s">
        <v>1025</v>
      </c>
      <c r="K114" s="350"/>
      <c r="L114" s="350"/>
      <c r="M114" s="351"/>
      <c r="N114" s="972" t="e">
        <f>COUNTIFS('refer admin discharge'!#REF!,"White")</f>
        <v>#REF!</v>
      </c>
      <c r="O114" s="350"/>
      <c r="P114" s="351"/>
      <c r="V114" s="157"/>
    </row>
    <row r="115" spans="1:32" ht="15.75" customHeight="1">
      <c r="J115" s="987" t="s">
        <v>560</v>
      </c>
      <c r="K115" s="350"/>
      <c r="L115" s="350"/>
      <c r="M115" s="351"/>
      <c r="N115" s="972" t="e">
        <f>COUNTIFS('refer admin discharge'!#REF!,"Unknown")</f>
        <v>#REF!</v>
      </c>
      <c r="O115" s="350"/>
      <c r="P115" s="351"/>
      <c r="V115" s="157"/>
    </row>
    <row r="116" spans="1:32" ht="15.75" customHeight="1">
      <c r="J116" s="988" t="s">
        <v>574</v>
      </c>
      <c r="K116" s="350"/>
      <c r="L116" s="350"/>
      <c r="M116" s="351"/>
      <c r="N116" s="989" t="e">
        <f>SUM(N109:N115)</f>
        <v>#REF!</v>
      </c>
      <c r="O116" s="350"/>
      <c r="P116" s="351"/>
      <c r="V116" s="157"/>
    </row>
    <row r="117" spans="1:32" ht="15.75" customHeight="1">
      <c r="J117" s="991"/>
      <c r="K117" s="350"/>
      <c r="L117" s="350"/>
      <c r="M117" s="351"/>
      <c r="N117" s="990"/>
      <c r="O117" s="350"/>
      <c r="P117" s="351"/>
      <c r="V117" s="157"/>
    </row>
    <row r="118" spans="1:32" ht="15.75" customHeight="1">
      <c r="J118" s="995" t="s">
        <v>1026</v>
      </c>
      <c r="K118" s="350"/>
      <c r="L118" s="350"/>
      <c r="M118" s="350"/>
      <c r="N118" s="350"/>
      <c r="O118" s="350"/>
      <c r="P118" s="351"/>
      <c r="V118" s="157"/>
    </row>
    <row r="119" spans="1:32" ht="15.75" customHeight="1">
      <c r="J119" s="987" t="s">
        <v>562</v>
      </c>
      <c r="K119" s="350"/>
      <c r="L119" s="350"/>
      <c r="M119" s="351"/>
      <c r="N119" s="972" t="e">
        <f>COUNTIFS('refer admin discharge'!#REF!,"Not Hispanic or Latino")</f>
        <v>#REF!</v>
      </c>
      <c r="O119" s="350"/>
      <c r="P119" s="351"/>
      <c r="V119" s="157"/>
    </row>
    <row r="120" spans="1:32" ht="15.75" customHeight="1">
      <c r="J120" s="987" t="s">
        <v>751</v>
      </c>
      <c r="K120" s="350"/>
      <c r="L120" s="350"/>
      <c r="M120" s="351"/>
      <c r="N120" s="972" t="e">
        <f>COUNTIFS('refer admin discharge'!#REF!,"Hispanic-Latino ")</f>
        <v>#REF!</v>
      </c>
      <c r="O120" s="350"/>
      <c r="P120" s="351"/>
    </row>
    <row r="121" spans="1:32" ht="15.75" customHeight="1">
      <c r="A121" s="167"/>
      <c r="B121" s="167"/>
      <c r="C121" s="167"/>
      <c r="J121" s="987" t="s">
        <v>560</v>
      </c>
      <c r="K121" s="350"/>
      <c r="L121" s="350"/>
      <c r="M121" s="351"/>
      <c r="N121" s="972" t="e">
        <f>COUNTIFS('refer admin discharge'!#REF!,"Unknown")</f>
        <v>#REF!</v>
      </c>
      <c r="O121" s="350"/>
      <c r="P121" s="351"/>
    </row>
    <row r="122" spans="1:32" ht="15.75" customHeight="1">
      <c r="J122" s="988" t="s">
        <v>574</v>
      </c>
      <c r="K122" s="350"/>
      <c r="L122" s="350"/>
      <c r="M122" s="351"/>
      <c r="N122" s="989" t="e">
        <f>SUM(N119:N121)</f>
        <v>#REF!</v>
      </c>
      <c r="O122" s="350"/>
      <c r="P122" s="351"/>
    </row>
    <row r="123" spans="1:32" ht="15.75" customHeight="1">
      <c r="J123" s="991"/>
      <c r="K123" s="350"/>
      <c r="L123" s="350"/>
      <c r="M123" s="351"/>
      <c r="N123" s="990"/>
      <c r="O123" s="350"/>
      <c r="P123" s="351"/>
    </row>
    <row r="124" spans="1:32" ht="15.75" customHeight="1"/>
    <row r="125" spans="1:32" ht="15.75" customHeight="1">
      <c r="A125" s="992" t="s">
        <v>1027</v>
      </c>
      <c r="B125" s="350"/>
      <c r="C125" s="350"/>
      <c r="D125" s="350"/>
      <c r="E125" s="350"/>
      <c r="F125" s="350"/>
      <c r="G125" s="350"/>
      <c r="H125" s="350"/>
      <c r="I125" s="350"/>
      <c r="J125" s="350"/>
      <c r="K125" s="350"/>
      <c r="L125" s="350"/>
      <c r="M125" s="350"/>
      <c r="N125" s="350"/>
      <c r="O125" s="350"/>
      <c r="P125" s="350"/>
      <c r="Q125" s="350"/>
      <c r="R125" s="350"/>
      <c r="S125" s="351"/>
      <c r="T125" s="235"/>
      <c r="U125" s="239"/>
      <c r="V125" s="239"/>
      <c r="W125" s="239"/>
      <c r="X125" s="239"/>
      <c r="Y125" s="239"/>
      <c r="Z125" s="296"/>
      <c r="AA125" s="285"/>
      <c r="AB125" s="285"/>
      <c r="AC125" s="285"/>
      <c r="AD125" s="275"/>
      <c r="AE125" s="108"/>
      <c r="AF125" s="275"/>
    </row>
    <row r="126" spans="1:32" ht="45" customHeight="1">
      <c r="A126" s="1011" t="s">
        <v>978</v>
      </c>
      <c r="B126" s="384"/>
      <c r="C126" s="384"/>
      <c r="D126" s="384"/>
      <c r="E126" s="385"/>
      <c r="F126" s="993" t="s">
        <v>554</v>
      </c>
      <c r="G126" s="351"/>
      <c r="H126" s="993" t="s">
        <v>738</v>
      </c>
      <c r="I126" s="351"/>
      <c r="J126" s="993" t="s">
        <v>979</v>
      </c>
      <c r="K126" s="351"/>
      <c r="L126" s="993" t="s">
        <v>557</v>
      </c>
      <c r="M126" s="351"/>
      <c r="N126" s="993" t="s">
        <v>980</v>
      </c>
      <c r="O126" s="351"/>
      <c r="P126" s="993" t="s">
        <v>981</v>
      </c>
      <c r="Q126" s="351"/>
      <c r="R126" s="993" t="s">
        <v>747</v>
      </c>
      <c r="S126" s="351"/>
      <c r="T126" s="212"/>
      <c r="U126" s="993" t="s">
        <v>562</v>
      </c>
      <c r="V126" s="351"/>
      <c r="W126" s="993" t="s">
        <v>563</v>
      </c>
      <c r="X126" s="351"/>
      <c r="Y126" s="993" t="s">
        <v>982</v>
      </c>
      <c r="Z126" s="351"/>
      <c r="AA126" s="297"/>
      <c r="AB126" s="297"/>
      <c r="AC126" s="297"/>
      <c r="AD126" s="298" t="s">
        <v>736</v>
      </c>
      <c r="AF126" s="298" t="s">
        <v>976</v>
      </c>
    </row>
    <row r="127" spans="1:32" ht="15" customHeight="1">
      <c r="A127" s="241"/>
      <c r="B127" s="241"/>
      <c r="C127" s="241"/>
      <c r="D127" s="241"/>
      <c r="E127" s="242"/>
      <c r="F127" s="299" t="s">
        <v>984</v>
      </c>
      <c r="G127" s="300" t="s">
        <v>985</v>
      </c>
      <c r="H127" s="299" t="s">
        <v>984</v>
      </c>
      <c r="I127" s="300" t="s">
        <v>985</v>
      </c>
      <c r="J127" s="299" t="s">
        <v>984</v>
      </c>
      <c r="K127" s="300" t="s">
        <v>985</v>
      </c>
      <c r="L127" s="299" t="s">
        <v>984</v>
      </c>
      <c r="M127" s="300" t="s">
        <v>985</v>
      </c>
      <c r="N127" s="299" t="s">
        <v>984</v>
      </c>
      <c r="O127" s="300" t="s">
        <v>985</v>
      </c>
      <c r="P127" s="299" t="s">
        <v>984</v>
      </c>
      <c r="Q127" s="300" t="s">
        <v>985</v>
      </c>
      <c r="R127" s="299" t="s">
        <v>984</v>
      </c>
      <c r="S127" s="300" t="s">
        <v>985</v>
      </c>
      <c r="T127" s="5"/>
      <c r="U127" s="299" t="s">
        <v>984</v>
      </c>
      <c r="V127" s="300" t="s">
        <v>985</v>
      </c>
      <c r="W127" s="299" t="s">
        <v>984</v>
      </c>
      <c r="X127" s="300" t="s">
        <v>985</v>
      </c>
      <c r="Y127" s="299" t="s">
        <v>984</v>
      </c>
      <c r="Z127" s="300" t="s">
        <v>985</v>
      </c>
      <c r="AA127" s="297"/>
      <c r="AB127" s="297"/>
      <c r="AC127" s="297"/>
      <c r="AD127" s="298"/>
      <c r="AF127" s="298"/>
    </row>
    <row r="128" spans="1:32" ht="15.75" customHeight="1">
      <c r="A128" s="1012" t="s">
        <v>1028</v>
      </c>
      <c r="B128" s="350"/>
      <c r="C128" s="350"/>
      <c r="D128" s="350"/>
      <c r="E128" s="350"/>
      <c r="F128" s="350"/>
      <c r="G128" s="350"/>
      <c r="H128" s="350"/>
      <c r="I128" s="350"/>
      <c r="J128" s="350"/>
      <c r="K128" s="350"/>
      <c r="L128" s="350"/>
      <c r="M128" s="350"/>
      <c r="N128" s="350"/>
      <c r="O128" s="350"/>
      <c r="P128" s="350"/>
      <c r="Q128" s="350"/>
      <c r="R128" s="350"/>
      <c r="S128" s="370"/>
      <c r="T128" s="301"/>
      <c r="U128" s="1000" t="s">
        <v>1029</v>
      </c>
      <c r="V128" s="384"/>
      <c r="W128" s="384"/>
      <c r="X128" s="384"/>
      <c r="Y128" s="384"/>
      <c r="Z128" s="384"/>
      <c r="AA128" s="384"/>
      <c r="AB128" s="384"/>
      <c r="AC128" s="436"/>
      <c r="AD128" s="302"/>
      <c r="AE128" s="108"/>
      <c r="AF128" s="302"/>
    </row>
    <row r="129" spans="1:39" ht="24.75" customHeight="1">
      <c r="A129" s="616" t="s">
        <v>1030</v>
      </c>
      <c r="B129" s="350"/>
      <c r="C129" s="351"/>
      <c r="D129" s="1006" t="s">
        <v>1031</v>
      </c>
      <c r="E129" s="351"/>
      <c r="F129" s="303" t="e">
        <f>COUNTIFS('refer admin discharge'!#REF!,"White",'refer admin discharge'!#REF!,"Male",#REF!,"Yes")</f>
        <v>#REF!</v>
      </c>
      <c r="G129" s="303" t="e">
        <f>COUNTIFS('refer admin discharge'!#REF!,"White",'refer admin discharge'!#REF!,"Female",#REF!,"Yes")</f>
        <v>#REF!</v>
      </c>
      <c r="H129" s="303" t="e">
        <f>COUNTIFS('refer admin discharge'!#REF!,"African American /Black",'refer admin discharge'!#REF!,"Male",#REF!,"Yes")</f>
        <v>#REF!</v>
      </c>
      <c r="I129" s="303" t="e">
        <f>COUNTIFS('refer admin discharge'!#REF!,"African American /Black",'refer admin discharge'!#REF!,"Female",#REF!,"Yes")</f>
        <v>#REF!</v>
      </c>
      <c r="J129" s="303" t="e">
        <f>COUNTIFS('refer admin discharge'!#REF!,"Native Hawaiian/Pacific",'refer admin discharge'!#REF!,"Male",#REF!,"Yes")</f>
        <v>#REF!</v>
      </c>
      <c r="K129" s="303" t="e">
        <f>COUNTIFS('refer admin discharge'!#REF!,"Native Hawaiian/Pacific",'refer admin discharge'!#REF!,"Female",#REF!,"Yes")</f>
        <v>#REF!</v>
      </c>
      <c r="L129" s="303" t="e">
        <f>COUNTIFS('refer admin discharge'!#REF!,"Asian",'refer admin discharge'!#REF!,"Male",#REF!,"Yes")</f>
        <v>#REF!</v>
      </c>
      <c r="M129" s="303" t="e">
        <f>COUNTIFS('refer admin discharge'!#REF!,"Asian",'refer admin discharge'!#REF!,"Female",#REF!,"Yes")</f>
        <v>#REF!</v>
      </c>
      <c r="N129" s="303" t="e">
        <f>COUNTIFS('refer admin discharge'!#REF!,"American Indian Alaskan Native",'refer admin discharge'!#REF!,"Male",#REF!,"Yes")</f>
        <v>#REF!</v>
      </c>
      <c r="O129" s="303" t="e">
        <f>COUNTIFS('refer admin discharge'!#REF!,"American Indian Alaskan Native",'refer admin discharge'!#REF!,"Female",#REF!,"Yes")</f>
        <v>#REF!</v>
      </c>
      <c r="P129" s="303" t="e">
        <f>COUNTIFS('refer admin discharge'!#REF!,"More than one race reported",'refer admin discharge'!#REF!,"Male",#REF!,"Yes")</f>
        <v>#REF!</v>
      </c>
      <c r="Q129" s="303" t="e">
        <f>COUNTIFS('refer admin discharge'!#REF!,"More than one race reported",'refer admin discharge'!#REF!,"Female",#REF!,"Yes")</f>
        <v>#REF!</v>
      </c>
      <c r="R129" s="303" t="e">
        <f>COUNTIFS('refer admin discharge'!#REF!,"Unknown",'refer admin discharge'!#REF!,"Male",#REF!,"Yes")</f>
        <v>#REF!</v>
      </c>
      <c r="S129" s="303" t="e">
        <f>COUNTIFS('refer admin discharge'!#REF!,"Unknown",'refer admin discharge'!#REF!,"Female",#REF!,"Yes")</f>
        <v>#REF!</v>
      </c>
      <c r="T129" s="279"/>
      <c r="U129" s="303" t="e">
        <f>COUNTIFS('refer admin discharge'!#REF!,"Not Hispanic or Latino",'refer admin discharge'!#REF!,"Male",#REF!,"Yes")</f>
        <v>#REF!</v>
      </c>
      <c r="V129" s="303" t="e">
        <f>COUNTIFS('refer admin discharge'!#REF!,"Not Hispanic or Latino",'refer admin discharge'!#REF!,"Female",#REF!,"Yes")</f>
        <v>#REF!</v>
      </c>
      <c r="W129" s="303" t="e">
        <f>COUNTIFS('refer admin discharge'!#REF!,"Hispanic-Latino ",'refer admin discharge'!#REF!,"Male",#REF!,"Yes")</f>
        <v>#REF!</v>
      </c>
      <c r="X129" s="303" t="e">
        <f>COUNTIFS('refer admin discharge'!#REF!,"Hispanic-Latino ",'refer admin discharge'!#REF!,"Female",#REF!,"Yes")</f>
        <v>#REF!</v>
      </c>
      <c r="Y129" s="303" t="e">
        <f>COUNTIFS('refer admin discharge'!#REF!,"Unknown",'refer admin discharge'!#REF!,"Male",#REF!,"Yes")</f>
        <v>#REF!</v>
      </c>
      <c r="Z129" s="303" t="e">
        <f>COUNTIFS('refer admin discharge'!#REF!,"Unknown",'refer admin discharge'!#REF!,"Female",#REF!,"Yes")</f>
        <v>#REF!</v>
      </c>
      <c r="AA129" s="616" t="s">
        <v>788</v>
      </c>
      <c r="AB129" s="350"/>
      <c r="AC129" s="351"/>
      <c r="AD129" s="304" t="e">
        <f t="shared" ref="AD129:AD131" si="24">SUM(F129:S129)</f>
        <v>#REF!</v>
      </c>
      <c r="AF129" s="50" t="e">
        <f t="shared" ref="AF129:AF131" si="25">SUM(U129:Z129)</f>
        <v>#REF!</v>
      </c>
    </row>
    <row r="130" spans="1:39" ht="24.75" customHeight="1">
      <c r="A130" s="607" t="s">
        <v>1032</v>
      </c>
      <c r="B130" s="350"/>
      <c r="C130" s="351"/>
      <c r="D130" s="1002" t="s">
        <v>1033</v>
      </c>
      <c r="E130" s="351"/>
      <c r="F130" s="305" t="e">
        <f>COUNTIFS('refer admin discharge'!#REF!,"White",'refer admin discharge'!#REF!,"Male",#REF!,"Yes")</f>
        <v>#REF!</v>
      </c>
      <c r="G130" s="305" t="e">
        <f>COUNTIFS('refer admin discharge'!#REF!,"White",'refer admin discharge'!#REF!,"Female",#REF!,"Yes")</f>
        <v>#REF!</v>
      </c>
      <c r="H130" s="305" t="e">
        <f>COUNTIFS('refer admin discharge'!#REF!,"African American /Black",'refer admin discharge'!#REF!,"Male",#REF!,"Yes")</f>
        <v>#REF!</v>
      </c>
      <c r="I130" s="305" t="e">
        <f>COUNTIFS('refer admin discharge'!#REF!,"African American /Black",'refer admin discharge'!#REF!,"Female",#REF!,"Yes")</f>
        <v>#REF!</v>
      </c>
      <c r="J130" s="305" t="e">
        <f>COUNTIFS('refer admin discharge'!#REF!,"Native Hawaiian/Pacific",'refer admin discharge'!#REF!,"Male",#REF!,"Yes")</f>
        <v>#REF!</v>
      </c>
      <c r="K130" s="305" t="e">
        <f>COUNTIFS('refer admin discharge'!#REF!,"Native Hawaiian/Pacific",'refer admin discharge'!#REF!,"Female",#REF!,"Yes")</f>
        <v>#REF!</v>
      </c>
      <c r="L130" s="305" t="e">
        <f>COUNTIFS('refer admin discharge'!#REF!,"Asian",'refer admin discharge'!#REF!,"Male",#REF!,"Yes")</f>
        <v>#REF!</v>
      </c>
      <c r="M130" s="305" t="e">
        <f>COUNTIFS('refer admin discharge'!#REF!,"Asian",'refer admin discharge'!#REF!,"Female",#REF!,"Yes")</f>
        <v>#REF!</v>
      </c>
      <c r="N130" s="305" t="e">
        <f>COUNTIFS('refer admin discharge'!#REF!,"American Indian Alaskan Native",'refer admin discharge'!#REF!,"Male",#REF!,"Yes")</f>
        <v>#REF!</v>
      </c>
      <c r="O130" s="305" t="e">
        <f>COUNTIFS('refer admin discharge'!#REF!,"American Indian Alaskan Native",'refer admin discharge'!#REF!,"Female",#REF!,"Yes")</f>
        <v>#REF!</v>
      </c>
      <c r="P130" s="305" t="e">
        <f>COUNTIFS('refer admin discharge'!#REF!,"More than one race reported",'refer admin discharge'!#REF!,"Male",#REF!,"Yes")</f>
        <v>#REF!</v>
      </c>
      <c r="Q130" s="305" t="e">
        <f>COUNTIFS('refer admin discharge'!#REF!,"More than one race reported",'refer admin discharge'!#REF!,"Female",#REF!,"Yes")</f>
        <v>#REF!</v>
      </c>
      <c r="R130" s="305" t="e">
        <f>COUNTIFS('refer admin discharge'!#REF!,"Unknown",'refer admin discharge'!#REF!,"Male",#REF!,"Yes")</f>
        <v>#REF!</v>
      </c>
      <c r="S130" s="305" t="e">
        <f>COUNTIFS('refer admin discharge'!#REF!,"Unknown",'refer admin discharge'!#REF!,"Female",#REF!,"Yes")</f>
        <v>#REF!</v>
      </c>
      <c r="T130" s="279"/>
      <c r="U130" s="305" t="e">
        <f>COUNTIFS('refer admin discharge'!#REF!,"Not Hispanic or Latino",'refer admin discharge'!#REF!,"Male",#REF!,"Yes")</f>
        <v>#REF!</v>
      </c>
      <c r="V130" s="305" t="e">
        <f>COUNTIFS('refer admin discharge'!#REF!,"Not Hispanic or Latino",'refer admin discharge'!#REF!,"Female",#REF!,"Yes")</f>
        <v>#REF!</v>
      </c>
      <c r="W130" s="305" t="e">
        <f>COUNTIFS('refer admin discharge'!#REF!,"Hispanic-Latino ",'refer admin discharge'!#REF!,"Male",#REF!,"Yes")</f>
        <v>#REF!</v>
      </c>
      <c r="X130" s="305" t="e">
        <f>COUNTIFS('refer admin discharge'!#REF!,"Hispanic-Latino ",'refer admin discharge'!#REF!,"Female",#REF!,"Yes")</f>
        <v>#REF!</v>
      </c>
      <c r="Y130" s="305" t="e">
        <f>COUNTIFS('refer admin discharge'!#REF!,"Unknown",'refer admin discharge'!#REF!,"Male",#REF!,"Yes")</f>
        <v>#REF!</v>
      </c>
      <c r="Z130" s="305" t="e">
        <f>COUNTIFS('refer admin discharge'!#REF!,"Unknown",'refer admin discharge'!#REF!,"Female",#REF!,"Yes")</f>
        <v>#REF!</v>
      </c>
      <c r="AA130" s="607" t="s">
        <v>791</v>
      </c>
      <c r="AB130" s="350"/>
      <c r="AC130" s="351"/>
      <c r="AD130" s="306" t="e">
        <f t="shared" si="24"/>
        <v>#REF!</v>
      </c>
      <c r="AF130" s="306" t="e">
        <f t="shared" si="25"/>
        <v>#REF!</v>
      </c>
    </row>
    <row r="131" spans="1:39" ht="24.75" customHeight="1">
      <c r="A131" s="616" t="s">
        <v>1034</v>
      </c>
      <c r="B131" s="350"/>
      <c r="C131" s="351"/>
      <c r="D131" s="1004" t="s">
        <v>1035</v>
      </c>
      <c r="E131" s="351"/>
      <c r="F131" s="303" t="e">
        <f>COUNTIFS('refer admin discharge'!#REF!,"White",'refer admin discharge'!#REF!,"Male",#REF!,"Yes")</f>
        <v>#REF!</v>
      </c>
      <c r="G131" s="303" t="e">
        <f>COUNTIFS('refer admin discharge'!#REF!,"White",'refer admin discharge'!#REF!,"Female",#REF!,"Yes")</f>
        <v>#REF!</v>
      </c>
      <c r="H131" s="303" t="e">
        <f>COUNTIFS('refer admin discharge'!#REF!,"African American /Black",'refer admin discharge'!#REF!,"Male",#REF!,"Yes")</f>
        <v>#REF!</v>
      </c>
      <c r="I131" s="303" t="e">
        <f>COUNTIFS('refer admin discharge'!#REF!,"African American /Black",'refer admin discharge'!#REF!,"Female",#REF!,"Yes")</f>
        <v>#REF!</v>
      </c>
      <c r="J131" s="303" t="e">
        <f>COUNTIFS('refer admin discharge'!#REF!,"Native Hawaiian/Pacific",'refer admin discharge'!#REF!,"Male",#REF!,"Yes")</f>
        <v>#REF!</v>
      </c>
      <c r="K131" s="303" t="e">
        <f>COUNTIFS('refer admin discharge'!#REF!,"Native Hawaiian/Pacific",'refer admin discharge'!#REF!,"Female",#REF!,"Yes")</f>
        <v>#REF!</v>
      </c>
      <c r="L131" s="303" t="e">
        <f>COUNTIFS('refer admin discharge'!#REF!,"Asian",'refer admin discharge'!#REF!,"Male",#REF!,"Yes")</f>
        <v>#REF!</v>
      </c>
      <c r="M131" s="303" t="e">
        <f>COUNTIFS('refer admin discharge'!#REF!,"Asian",'refer admin discharge'!#REF!,"Female",#REF!,"Yes")</f>
        <v>#REF!</v>
      </c>
      <c r="N131" s="303" t="e">
        <f>COUNTIFS('refer admin discharge'!#REF!,"American Indian Alaskan Native",'refer admin discharge'!#REF!,"Male",#REF!,"Yes")</f>
        <v>#REF!</v>
      </c>
      <c r="O131" s="303" t="e">
        <f>COUNTIFS('refer admin discharge'!#REF!,"American Indian Alaskan Native",'refer admin discharge'!#REF!,"Female",#REF!,"Yes")</f>
        <v>#REF!</v>
      </c>
      <c r="P131" s="303" t="e">
        <f>COUNTIFS('refer admin discharge'!#REF!,"More than one race reported",'refer admin discharge'!#REF!,"Male",#REF!,"Yes")</f>
        <v>#REF!</v>
      </c>
      <c r="Q131" s="303" t="e">
        <f>COUNTIFS('refer admin discharge'!#REF!,"More than one race reported",'refer admin discharge'!#REF!,"Female",#REF!,"Yes")</f>
        <v>#REF!</v>
      </c>
      <c r="R131" s="303" t="e">
        <f>COUNTIFS('refer admin discharge'!#REF!,"Unknown",'refer admin discharge'!#REF!,"Male",#REF!,"Yes")</f>
        <v>#REF!</v>
      </c>
      <c r="S131" s="303" t="e">
        <f>COUNTIFS('refer admin discharge'!#REF!,"Unknown",'refer admin discharge'!#REF!,"Female",#REF!,"Yes")</f>
        <v>#REF!</v>
      </c>
      <c r="T131" s="279"/>
      <c r="U131" s="303" t="e">
        <f>COUNTIFS('refer admin discharge'!#REF!,"Not Hispanic or Latino",'refer admin discharge'!#REF!,"Male",#REF!,"Yes")</f>
        <v>#REF!</v>
      </c>
      <c r="V131" s="303" t="e">
        <f>COUNTIFS('refer admin discharge'!#REF!,"Not Hispanic or Latino",'refer admin discharge'!#REF!,"Female",#REF!,"Yes")</f>
        <v>#REF!</v>
      </c>
      <c r="W131" s="303" t="e">
        <f>COUNTIFS('refer admin discharge'!#REF!,"Hispanic-Latino ",'refer admin discharge'!#REF!,"Male",#REF!,"Yes")</f>
        <v>#REF!</v>
      </c>
      <c r="X131" s="303" t="e">
        <f>COUNTIFS('refer admin discharge'!#REF!,"Hispanic-Latino ",'refer admin discharge'!#REF!,"Female",#REF!,"Yes")</f>
        <v>#REF!</v>
      </c>
      <c r="Y131" s="303" t="e">
        <f>COUNTIFS('refer admin discharge'!#REF!,"Unknown",'refer admin discharge'!#REF!,"Male",#REF!,"Yes")</f>
        <v>#REF!</v>
      </c>
      <c r="Z131" s="303" t="e">
        <f>COUNTIFS('refer admin discharge'!#REF!,"Unknown",'refer admin discharge'!#REF!,"Female",#REF!,"Yes")</f>
        <v>#REF!</v>
      </c>
      <c r="AA131" s="616" t="s">
        <v>794</v>
      </c>
      <c r="AB131" s="350"/>
      <c r="AC131" s="351"/>
      <c r="AD131" s="304" t="e">
        <f t="shared" si="24"/>
        <v>#REF!</v>
      </c>
      <c r="AF131" s="304" t="e">
        <f t="shared" si="25"/>
        <v>#REF!</v>
      </c>
    </row>
    <row r="132" spans="1:39" ht="15" customHeight="1">
      <c r="A132" s="1005" t="s">
        <v>1036</v>
      </c>
      <c r="B132" s="350"/>
      <c r="C132" s="350"/>
      <c r="D132" s="350"/>
      <c r="E132" s="350"/>
      <c r="F132" s="350"/>
      <c r="G132" s="350"/>
      <c r="H132" s="350"/>
      <c r="I132" s="350"/>
      <c r="J132" s="350"/>
      <c r="K132" s="350"/>
      <c r="L132" s="350"/>
      <c r="M132" s="350"/>
      <c r="N132" s="350"/>
      <c r="O132" s="350"/>
      <c r="P132" s="350"/>
      <c r="Q132" s="350"/>
      <c r="R132" s="350"/>
      <c r="S132" s="370"/>
      <c r="T132" s="307"/>
      <c r="U132" s="1000" t="s">
        <v>1037</v>
      </c>
      <c r="V132" s="384"/>
      <c r="W132" s="384"/>
      <c r="X132" s="384"/>
      <c r="Y132" s="384"/>
      <c r="Z132" s="384"/>
      <c r="AA132" s="384"/>
      <c r="AB132" s="384"/>
      <c r="AC132" s="436"/>
      <c r="AD132" s="308"/>
      <c r="AE132" s="108"/>
      <c r="AF132" s="308"/>
    </row>
    <row r="133" spans="1:39" ht="24.75" customHeight="1">
      <c r="A133" s="616" t="s">
        <v>1030</v>
      </c>
      <c r="B133" s="350"/>
      <c r="C133" s="351"/>
      <c r="D133" s="1006" t="s">
        <v>1031</v>
      </c>
      <c r="E133" s="351"/>
      <c r="F133" s="279"/>
      <c r="G133" s="303" t="e">
        <f>COUNTIFS('refer admin discharge'!#REF!,"White",'refer admin discharge'!#REF!,"Female",#REF!,"Yes",#REF!,"Yes")</f>
        <v>#REF!</v>
      </c>
      <c r="H133" s="279"/>
      <c r="I133" s="303" t="e">
        <f>COUNTIFS('refer admin discharge'!#REF!,"African American /Black",'refer admin discharge'!#REF!,"Female",#REF!,"Yes",#REF!,"Yes")</f>
        <v>#REF!</v>
      </c>
      <c r="J133" s="279"/>
      <c r="K133" s="303" t="e">
        <f>COUNTIFS('refer admin discharge'!#REF!,"Native Hawaiian/Pacific",'refer admin discharge'!#REF!,"Female",#REF!,"Yes",#REF!,"Yes")</f>
        <v>#REF!</v>
      </c>
      <c r="L133" s="279"/>
      <c r="M133" s="303" t="e">
        <f>COUNTIFS('refer admin discharge'!#REF!,"Asian",'refer admin discharge'!#REF!,"Female",#REF!,"Yes",#REF!,"Yes")</f>
        <v>#REF!</v>
      </c>
      <c r="N133" s="279"/>
      <c r="O133" s="303" t="e">
        <f>COUNTIFS('refer admin discharge'!#REF!,"American Indian Alaskan Native",'refer admin discharge'!#REF!,"Female",#REF!,"Yes",#REF!,"Yes")</f>
        <v>#REF!</v>
      </c>
      <c r="P133" s="279"/>
      <c r="Q133" s="303" t="e">
        <f>COUNTIFS('refer admin discharge'!#REF!,"More than one race reported",'refer admin discharge'!#REF!,"Female",#REF!,"Yes",#REF!,"Yes")</f>
        <v>#REF!</v>
      </c>
      <c r="R133" s="279"/>
      <c r="S133" s="303" t="e">
        <f>COUNTIFS('refer admin discharge'!#REF!,"Unknown",'refer admin discharge'!#REF!,"Female",#REF!,"Yes",#REF!,"Yes")</f>
        <v>#REF!</v>
      </c>
      <c r="T133" s="279"/>
      <c r="U133" s="279"/>
      <c r="V133" s="303" t="e">
        <f>COUNTIFS('refer admin discharge'!#REF!,"Not Hispanic or Latino",'refer admin discharge'!#REF!,"Female",#REF!,"Yes",#REF!,"Yes")</f>
        <v>#REF!</v>
      </c>
      <c r="W133" s="279"/>
      <c r="X133" s="303" t="e">
        <f>COUNTIFS('refer admin discharge'!#REF!,"Hispanic-Latino ",'refer admin discharge'!#REF!,"Female",#REF!,"Yes",#REF!,"Yes")</f>
        <v>#REF!</v>
      </c>
      <c r="Y133" s="279"/>
      <c r="Z133" s="303" t="e">
        <f>COUNTIFS('refer admin discharge'!#REF!,"Unknown",'refer admin discharge'!#REF!,"Female",#REF!,"Yes",#REF!,"Yes")</f>
        <v>#REF!</v>
      </c>
      <c r="AA133" s="616" t="s">
        <v>788</v>
      </c>
      <c r="AB133" s="350"/>
      <c r="AC133" s="351"/>
      <c r="AD133" s="304" t="e">
        <f t="shared" ref="AD133:AD135" si="26">SUM(F133:S133)</f>
        <v>#REF!</v>
      </c>
      <c r="AF133" s="304" t="e">
        <f t="shared" ref="AF133:AF135" si="27">SUM(U133:Z133)</f>
        <v>#REF!</v>
      </c>
    </row>
    <row r="134" spans="1:39" ht="24.75" customHeight="1">
      <c r="A134" s="607" t="s">
        <v>1032</v>
      </c>
      <c r="B134" s="350"/>
      <c r="C134" s="351"/>
      <c r="D134" s="1002" t="s">
        <v>1033</v>
      </c>
      <c r="E134" s="351"/>
      <c r="F134" s="279"/>
      <c r="G134" s="305" t="e">
        <f>COUNTIFS('refer admin discharge'!#REF!,"White",'refer admin discharge'!#REF!,"Female",#REF!,"Yes",#REF!,"Yes")</f>
        <v>#REF!</v>
      </c>
      <c r="H134" s="279"/>
      <c r="I134" s="305" t="e">
        <f>COUNTIFS('refer admin discharge'!#REF!,"African American /Black",'refer admin discharge'!#REF!,"Female",#REF!,"Yes",#REF!,"Yes")</f>
        <v>#REF!</v>
      </c>
      <c r="J134" s="279"/>
      <c r="K134" s="305" t="e">
        <f>COUNTIFS('refer admin discharge'!#REF!,"Native Hawaiian/Pacific",'refer admin discharge'!#REF!,"Female",#REF!,"Yes",#REF!,"Yes")</f>
        <v>#REF!</v>
      </c>
      <c r="L134" s="279"/>
      <c r="M134" s="305" t="e">
        <f>COUNTIFS('refer admin discharge'!#REF!,"Asian",'refer admin discharge'!#REF!,"Female",#REF!,"Yes",#REF!,"Yes")</f>
        <v>#REF!</v>
      </c>
      <c r="N134" s="279"/>
      <c r="O134" s="305" t="e">
        <f>COUNTIFS('refer admin discharge'!#REF!,"American Indian Alaskan Native",'refer admin discharge'!#REF!,"Female",#REF!,"Yes",#REF!,"Yes")</f>
        <v>#REF!</v>
      </c>
      <c r="P134" s="279"/>
      <c r="Q134" s="305" t="e">
        <f>COUNTIFS('refer admin discharge'!#REF!,"More than one race reported",'refer admin discharge'!#REF!,"Female",#REF!,"Yes",#REF!,"Yes")</f>
        <v>#REF!</v>
      </c>
      <c r="R134" s="279"/>
      <c r="S134" s="305" t="e">
        <f>COUNTIFS('refer admin discharge'!#REF!,"Unknown",'refer admin discharge'!#REF!,"Female",#REF!,"Yes",#REF!,"Yes")</f>
        <v>#REF!</v>
      </c>
      <c r="T134" s="279"/>
      <c r="U134" s="279"/>
      <c r="V134" s="305" t="e">
        <f>COUNTIFS('refer admin discharge'!#REF!,"Not Hispanic or Latino",'refer admin discharge'!#REF!,"Female",#REF!,"Yes",#REF!,"Yes")</f>
        <v>#REF!</v>
      </c>
      <c r="W134" s="279"/>
      <c r="X134" s="305" t="e">
        <f>COUNTIFS('refer admin discharge'!#REF!,"Hispanic-Latino ",'refer admin discharge'!#REF!,"Female",#REF!,"Yes",#REF!,"Yes")</f>
        <v>#REF!</v>
      </c>
      <c r="Y134" s="279"/>
      <c r="Z134" s="305" t="e">
        <f>COUNTIFS('refer admin discharge'!#REF!,"Unknown",'refer admin discharge'!#REF!,"Female",#REF!,"Yes",#REF!,"Yes")</f>
        <v>#REF!</v>
      </c>
      <c r="AA134" s="607" t="s">
        <v>791</v>
      </c>
      <c r="AB134" s="350"/>
      <c r="AC134" s="351"/>
      <c r="AD134" s="304" t="e">
        <f t="shared" si="26"/>
        <v>#REF!</v>
      </c>
      <c r="AF134" s="306" t="e">
        <f t="shared" si="27"/>
        <v>#REF!</v>
      </c>
    </row>
    <row r="135" spans="1:39" ht="24.75" customHeight="1">
      <c r="A135" s="616" t="s">
        <v>1034</v>
      </c>
      <c r="B135" s="350"/>
      <c r="C135" s="351"/>
      <c r="D135" s="1004" t="s">
        <v>1035</v>
      </c>
      <c r="E135" s="351"/>
      <c r="F135" s="279"/>
      <c r="G135" s="303" t="e">
        <f>COUNTIFS('refer admin discharge'!#REF!,"White",'refer admin discharge'!#REF!,"Female",#REF!,"Yes",#REF!,"Yes")</f>
        <v>#REF!</v>
      </c>
      <c r="H135" s="279"/>
      <c r="I135" s="303" t="e">
        <f>COUNTIFS('refer admin discharge'!#REF!,"African American /Black",'refer admin discharge'!#REF!,"Female",#REF!,"Yes",#REF!,"Yes")</f>
        <v>#REF!</v>
      </c>
      <c r="J135" s="279"/>
      <c r="K135" s="303" t="e">
        <f>COUNTIFS('refer admin discharge'!#REF!,"Native Hawaiian/Pacific",'refer admin discharge'!#REF!,"Female",#REF!,"Yes",#REF!,"Yes")</f>
        <v>#REF!</v>
      </c>
      <c r="L135" s="279"/>
      <c r="M135" s="303" t="e">
        <f>COUNTIFS('refer admin discharge'!#REF!,"Asian",'refer admin discharge'!#REF!,"Female",#REF!,"Yes",#REF!,"Yes")</f>
        <v>#REF!</v>
      </c>
      <c r="N135" s="279"/>
      <c r="O135" s="303" t="e">
        <f>COUNTIFS('refer admin discharge'!#REF!,"American Indian Alaskan Native",'refer admin discharge'!#REF!,"Female",#REF!,"Yes",#REF!,"Yes")</f>
        <v>#REF!</v>
      </c>
      <c r="P135" s="279"/>
      <c r="Q135" s="303" t="e">
        <f>COUNTIFS('refer admin discharge'!#REF!,"More than one race reported",'refer admin discharge'!#REF!,"Female",#REF!,"Yes",#REF!,"Yes")</f>
        <v>#REF!</v>
      </c>
      <c r="R135" s="279"/>
      <c r="S135" s="303" t="e">
        <f>COUNTIFS('refer admin discharge'!#REF!,"Unknown",'refer admin discharge'!#REF!,"Female",#REF!,"Yes",#REF!,"Yes")</f>
        <v>#REF!</v>
      </c>
      <c r="T135" s="279"/>
      <c r="U135" s="279"/>
      <c r="V135" s="303" t="e">
        <f>COUNTIFS('refer admin discharge'!#REF!,"Not Hispanic or Latino",'refer admin discharge'!#REF!,"Female",#REF!,"Yes",#REF!,"Yes")</f>
        <v>#REF!</v>
      </c>
      <c r="W135" s="279"/>
      <c r="X135" s="303" t="e">
        <f>COUNTIFS('refer admin discharge'!#REF!,"Hispanic-Latino ",'refer admin discharge'!#REF!,"Female",#REF!,"Yes",#REF!,"Yes")</f>
        <v>#REF!</v>
      </c>
      <c r="Y135" s="279"/>
      <c r="Z135" s="303" t="e">
        <f>COUNTIFS('refer admin discharge'!#REF!,"Unknown",'refer admin discharge'!#REF!,"Female",#REF!,"Yes",#REF!,"Yes")</f>
        <v>#REF!</v>
      </c>
      <c r="AA135" s="616" t="s">
        <v>794</v>
      </c>
      <c r="AB135" s="350"/>
      <c r="AC135" s="351"/>
      <c r="AD135" s="304" t="e">
        <f t="shared" si="26"/>
        <v>#REF!</v>
      </c>
      <c r="AF135" s="304" t="e">
        <f t="shared" si="27"/>
        <v>#REF!</v>
      </c>
    </row>
    <row r="137" spans="1:39" ht="30" customHeight="1">
      <c r="A137" s="1009" t="s">
        <v>1038</v>
      </c>
      <c r="B137" s="381"/>
      <c r="C137" s="381"/>
      <c r="D137" s="381"/>
      <c r="E137" s="381"/>
      <c r="F137" s="381"/>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428"/>
    </row>
    <row r="138" spans="1:39" ht="15" customHeight="1">
      <c r="A138" s="1010" t="s">
        <v>1039</v>
      </c>
      <c r="B138" s="381"/>
      <c r="C138" s="381"/>
      <c r="D138" s="381"/>
      <c r="E138" s="381"/>
      <c r="F138" s="381"/>
      <c r="G138" s="381"/>
      <c r="H138" s="381"/>
      <c r="I138" s="381"/>
      <c r="J138" s="381"/>
      <c r="K138" s="381"/>
      <c r="L138" s="381"/>
      <c r="M138" s="381"/>
      <c r="N138" s="381"/>
      <c r="O138" s="381"/>
      <c r="P138" s="381"/>
      <c r="Q138" s="381"/>
      <c r="R138" s="381"/>
      <c r="S138" s="428"/>
      <c r="AB138" s="157"/>
    </row>
    <row r="139" spans="1:39" ht="30" customHeight="1">
      <c r="A139" s="309"/>
      <c r="B139" s="310"/>
      <c r="C139" s="310"/>
      <c r="D139" s="310"/>
      <c r="E139" s="311"/>
      <c r="F139" s="1007" t="s">
        <v>736</v>
      </c>
      <c r="G139" s="350"/>
      <c r="H139" s="350"/>
      <c r="I139" s="350"/>
      <c r="J139" s="350"/>
      <c r="K139" s="350"/>
      <c r="L139" s="350"/>
      <c r="M139" s="350"/>
      <c r="N139" s="350"/>
      <c r="O139" s="350"/>
      <c r="P139" s="350"/>
      <c r="Q139" s="350"/>
      <c r="R139" s="350"/>
      <c r="S139" s="370"/>
      <c r="T139" s="209"/>
      <c r="U139" s="1001" t="s">
        <v>977</v>
      </c>
      <c r="V139" s="350"/>
      <c r="W139" s="350"/>
      <c r="X139" s="350"/>
      <c r="Y139" s="350"/>
      <c r="Z139" s="351"/>
      <c r="AA139" s="999" t="s">
        <v>1040</v>
      </c>
      <c r="AB139" s="355"/>
      <c r="AC139" s="356"/>
      <c r="AD139" s="207" t="s">
        <v>736</v>
      </c>
      <c r="AF139" s="207" t="s">
        <v>976</v>
      </c>
      <c r="AG139" s="312"/>
      <c r="AH139" s="313"/>
      <c r="AJ139" s="313"/>
    </row>
    <row r="140" spans="1:39" ht="30" customHeight="1">
      <c r="A140" s="1008" t="s">
        <v>978</v>
      </c>
      <c r="B140" s="350"/>
      <c r="C140" s="350"/>
      <c r="D140" s="350"/>
      <c r="E140" s="351"/>
      <c r="F140" s="1003" t="s">
        <v>554</v>
      </c>
      <c r="G140" s="351"/>
      <c r="H140" s="993" t="s">
        <v>738</v>
      </c>
      <c r="I140" s="351"/>
      <c r="J140" s="993" t="s">
        <v>979</v>
      </c>
      <c r="K140" s="351"/>
      <c r="L140" s="993" t="s">
        <v>557</v>
      </c>
      <c r="M140" s="351"/>
      <c r="N140" s="993" t="s">
        <v>980</v>
      </c>
      <c r="O140" s="351"/>
      <c r="P140" s="993" t="s">
        <v>981</v>
      </c>
      <c r="Q140" s="351"/>
      <c r="R140" s="993" t="s">
        <v>747</v>
      </c>
      <c r="S140" s="351"/>
      <c r="T140" s="212"/>
      <c r="U140" s="993" t="s">
        <v>562</v>
      </c>
      <c r="V140" s="351"/>
      <c r="W140" s="993" t="s">
        <v>563</v>
      </c>
      <c r="X140" s="351"/>
      <c r="Y140" s="993" t="s">
        <v>982</v>
      </c>
      <c r="Z140" s="351"/>
      <c r="AA140" s="357"/>
      <c r="AB140" s="358"/>
      <c r="AC140" s="359"/>
      <c r="AD140" s="240"/>
      <c r="AF140" s="240"/>
      <c r="AH140" s="313"/>
      <c r="AJ140" s="313"/>
    </row>
    <row r="141" spans="1:39" ht="30" customHeight="1">
      <c r="A141" s="997" t="s">
        <v>983</v>
      </c>
      <c r="B141" s="384"/>
      <c r="C141" s="384"/>
      <c r="D141" s="384"/>
      <c r="E141" s="385"/>
      <c r="F141" s="213" t="s">
        <v>984</v>
      </c>
      <c r="G141" s="214" t="s">
        <v>985</v>
      </c>
      <c r="H141" s="213" t="s">
        <v>984</v>
      </c>
      <c r="I141" s="214" t="s">
        <v>985</v>
      </c>
      <c r="J141" s="213" t="s">
        <v>984</v>
      </c>
      <c r="K141" s="214" t="s">
        <v>985</v>
      </c>
      <c r="L141" s="213" t="s">
        <v>984</v>
      </c>
      <c r="M141" s="214" t="s">
        <v>985</v>
      </c>
      <c r="N141" s="213" t="s">
        <v>984</v>
      </c>
      <c r="O141" s="214" t="s">
        <v>985</v>
      </c>
      <c r="P141" s="213" t="s">
        <v>984</v>
      </c>
      <c r="Q141" s="214" t="s">
        <v>985</v>
      </c>
      <c r="R141" s="213" t="s">
        <v>984</v>
      </c>
      <c r="S141" s="214" t="s">
        <v>985</v>
      </c>
      <c r="T141" s="5"/>
      <c r="U141" s="215" t="s">
        <v>984</v>
      </c>
      <c r="V141" s="216" t="s">
        <v>985</v>
      </c>
      <c r="W141" s="215" t="s">
        <v>984</v>
      </c>
      <c r="X141" s="216" t="s">
        <v>985</v>
      </c>
      <c r="Y141" s="213" t="s">
        <v>984</v>
      </c>
      <c r="Z141" s="216" t="s">
        <v>985</v>
      </c>
      <c r="AA141" s="360"/>
      <c r="AB141" s="361"/>
      <c r="AC141" s="362"/>
      <c r="AD141" s="240"/>
      <c r="AF141" s="240"/>
      <c r="AH141" s="313"/>
      <c r="AJ141" s="313"/>
    </row>
    <row r="142" spans="1:39" ht="24.75" customHeight="1">
      <c r="A142" s="998" t="s">
        <v>986</v>
      </c>
      <c r="B142" s="350"/>
      <c r="C142" s="351"/>
      <c r="D142" s="755" t="e">
        <f>COUNTIFS(#REF!,"&gt;=1",#REF!,"&lt;=12")</f>
        <v>#REF!</v>
      </c>
      <c r="E142" s="351"/>
      <c r="F142" s="217" t="e">
        <f>COUNTIFS(#REF!,"&gt;=1",#REF!,"&lt;=12",#REF!,"White",#REF!,"Male")</f>
        <v>#REF!</v>
      </c>
      <c r="G142" s="218" t="e">
        <f>COUNTIFS(#REF!,"&gt;=1",#REF!,"&lt;=12",#REF!,"White",#REF!,"Female")</f>
        <v>#REF!</v>
      </c>
      <c r="H142" s="217" t="e">
        <f>COUNTIFS(#REF!,"&gt;=1",#REF!,"&lt;=12",#REF!,"African American /Black",#REF!,"Male")</f>
        <v>#REF!</v>
      </c>
      <c r="I142" s="218" t="e">
        <f>COUNTIFS(#REF!,"&gt;=1",#REF!,"&lt;=12",#REF!,"African American /Black",#REF!,"Female")</f>
        <v>#REF!</v>
      </c>
      <c r="J142" s="217" t="e">
        <f>COUNTIFS(#REF!,"&gt;=1",#REF!,"&lt;=12",#REF!,"Native Hawaiian/Pacific",#REF!,"Male")</f>
        <v>#REF!</v>
      </c>
      <c r="K142" s="218" t="e">
        <f>COUNTIFS(#REF!,"&gt;=1",#REF!,"&lt;=12",#REF!,"Native Hawaiian/Pacific",#REF!,"Female")</f>
        <v>#REF!</v>
      </c>
      <c r="L142" s="217" t="e">
        <f>COUNTIFS(#REF!,"&gt;=1",#REF!,"&lt;=12",#REF!,"Asian",#REF!,"Male")</f>
        <v>#REF!</v>
      </c>
      <c r="M142" s="218" t="e">
        <f>COUNTIFS(#REF!,"&gt;=1",#REF!,"&lt;=12",#REF!,"Asian",#REF!,"Female")</f>
        <v>#REF!</v>
      </c>
      <c r="N142" s="217" t="e">
        <f>COUNTIFS(#REF!,"&gt;=1",#REF!,"&lt;=12",#REF!,"American Indian Alaskan Native",#REF!,"Male")</f>
        <v>#REF!</v>
      </c>
      <c r="O142" s="218" t="e">
        <f>COUNTIFS(#REF!,"&gt;=1",#REF!,"&lt;=12",#REF!,"American Indian Alaskan Native",#REF!,"Female")</f>
        <v>#REF!</v>
      </c>
      <c r="P142" s="217" t="e">
        <f>COUNTIFS(#REF!,"&gt;=1",#REF!,"&lt;=12",#REF!,"More than One Race Reported",#REF!,"Male")</f>
        <v>#REF!</v>
      </c>
      <c r="Q142" s="218" t="e">
        <f>COUNTIFS(#REF!,"&gt;=1",#REF!,"&lt;=12",#REF!,"More than One Race Reported",#REF!,"Female")</f>
        <v>#REF!</v>
      </c>
      <c r="R142" s="217" t="e">
        <f>COUNTIFS(#REF!,"&gt;=1",#REF!,"&lt;=12",#REF!,"Unknown",#REF!,"Male")</f>
        <v>#REF!</v>
      </c>
      <c r="S142" s="218" t="e">
        <f>COUNTIFS(#REF!,"&gt;=1",#REF!,"&lt;=12",#REF!,"Unknown",#REF!,"Female")</f>
        <v>#REF!</v>
      </c>
      <c r="T142" s="5"/>
      <c r="U142" s="219" t="e">
        <f>COUNTIFS(#REF!,"&gt;=1",#REF!,"&lt;=12",#REF!,"Not Hispanic or Latino",#REF!,"Male")</f>
        <v>#REF!</v>
      </c>
      <c r="V142" s="226" t="e">
        <f>COUNTIFS(#REF!,"&gt;=1",#REF!,"&lt;=12",#REF!,"Not Hispanic or Latino",#REF!,"Female")</f>
        <v>#REF!</v>
      </c>
      <c r="W142" s="219" t="e">
        <f>COUNTIFS(#REF!,"&gt;=1",#REF!,"&lt;=12",#REF!,"Hispanic-Latino ",#REF!,"Male")</f>
        <v>#REF!</v>
      </c>
      <c r="X142" s="226" t="e">
        <f>COUNTIFS(#REF!,"&gt;=1",#REF!,"&lt;=12",#REF!,"Hispanic-Latino ",#REF!,"Female")</f>
        <v>#REF!</v>
      </c>
      <c r="Y142" s="219" t="e">
        <f>COUNTIFS(#REF!,"&gt;=1",#REF!,"&lt;=12",#REF!,"Unknown",#REF!,"Male")</f>
        <v>#REF!</v>
      </c>
      <c r="Z142" s="226" t="e">
        <f>COUNTIFS(#REF!,"&gt;=1",#REF!,"&lt;=12",#REF!,"Unknown",#REF!,"Female")</f>
        <v>#REF!</v>
      </c>
      <c r="AA142" s="998" t="s">
        <v>986</v>
      </c>
      <c r="AB142" s="350"/>
      <c r="AC142" s="351"/>
      <c r="AD142" s="314" t="e">
        <f t="shared" ref="AD142:AD150" si="28">SUM(F142:S142)</f>
        <v>#REF!</v>
      </c>
      <c r="AE142" s="186"/>
      <c r="AF142" s="315" t="e">
        <f t="shared" ref="AF142:AF150" si="29">SUM(U142:Z142)</f>
        <v>#REF!</v>
      </c>
      <c r="AH142" s="313"/>
      <c r="AJ142" s="313"/>
      <c r="AM142" s="181">
        <v>12</v>
      </c>
    </row>
    <row r="143" spans="1:39" ht="24.75" customHeight="1">
      <c r="A143" s="996" t="s">
        <v>987</v>
      </c>
      <c r="B143" s="350"/>
      <c r="C143" s="351"/>
      <c r="D143" s="755" t="e">
        <f>COUNTIFS(#REF!,"&gt;=13",#REF!,"&lt;=17")</f>
        <v>#REF!</v>
      </c>
      <c r="E143" s="351"/>
      <c r="F143" s="224" t="e">
        <f>COUNTIFS(#REF!,"&gt;=13",#REF!,"&lt;=17",#REF!,"White",#REF!,"Male")</f>
        <v>#REF!</v>
      </c>
      <c r="G143" s="225" t="e">
        <f>COUNTIFS(#REF!,"&gt;=13",#REF!,"&lt;=17",#REF!,"White",#REF!,"Female")</f>
        <v>#REF!</v>
      </c>
      <c r="H143" s="224" t="e">
        <f>COUNTIFS(#REF!,"&gt;=13",#REF!,"&lt;=17",#REF!,"African American /Black",#REF!,"Male")</f>
        <v>#REF!</v>
      </c>
      <c r="I143" s="225" t="e">
        <f>COUNTIFS(#REF!,"&gt;=13",#REF!,"&lt;=17",#REF!,"African American /Black",#REF!,"Female")</f>
        <v>#REF!</v>
      </c>
      <c r="J143" s="224" t="e">
        <f>COUNTIFS(#REF!,"&gt;=13",#REF!,"&lt;=17",#REF!,"Native Hawaiian/Pacific",#REF!,"Male")</f>
        <v>#REF!</v>
      </c>
      <c r="K143" s="225" t="e">
        <f>COUNTIFS(#REF!,"&gt;=13",#REF!,"&lt;=17",#REF!,"Native Hawaiian/Pacific",#REF!,"Female")</f>
        <v>#REF!</v>
      </c>
      <c r="L143" s="224" t="e">
        <f>COUNTIFS(#REF!,"&gt;=13",#REF!,"&lt;=17",#REF!,"Asian",#REF!,"Male")</f>
        <v>#REF!</v>
      </c>
      <c r="M143" s="225" t="e">
        <f>COUNTIFS(#REF!,"&gt;=13",#REF!,"&lt;=17",#REF!,"Asian",#REF!,"Female")</f>
        <v>#REF!</v>
      </c>
      <c r="N143" s="224" t="e">
        <f>COUNTIFS(#REF!,"&gt;=13",#REF!,"&lt;=17",#REF!,"American Indian Alaskan Native",#REF!,"Male")</f>
        <v>#REF!</v>
      </c>
      <c r="O143" s="225" t="e">
        <f>COUNTIFS(#REF!,"&gt;=13",#REF!,"&lt;=17",#REF!,"American Indian Alaskan Native",#REF!,"Female")</f>
        <v>#REF!</v>
      </c>
      <c r="P143" s="224" t="e">
        <f>COUNTIFS(#REF!,"&gt;=13",#REF!,"&lt;=17",#REF!,"More than One Race Reported",#REF!,"Male")</f>
        <v>#REF!</v>
      </c>
      <c r="Q143" s="225" t="e">
        <f>COUNTIFS(#REF!,"&gt;=13",#REF!,"&lt;=17",#REF!,"More than One Race Reported",#REF!,"Female")</f>
        <v>#REF!</v>
      </c>
      <c r="R143" s="224" t="e">
        <f>COUNTIFS(#REF!,"&gt;=13",#REF!,"&lt;=17",#REF!,"Unknown",#REF!,"Male")</f>
        <v>#REF!</v>
      </c>
      <c r="S143" s="225" t="e">
        <f>COUNTIFS(#REF!,"&gt;=13",#REF!,"&lt;=17",#REF!,"Unknown",#REF!,"Female")</f>
        <v>#REF!</v>
      </c>
      <c r="T143" s="5"/>
      <c r="U143" s="226" t="e">
        <f>COUNTIFS(#REF!,"&gt;=13",#REF!,"&lt;=17",#REF!,"Not Hispanic or Latino",#REF!,"Male")</f>
        <v>#REF!</v>
      </c>
      <c r="V143" s="220" t="e">
        <f>COUNTIFS(#REF!,"&gt;=13",#REF!,"&lt;=17",#REF!,"Not Hispanic or Latino",#REF!,"Female")</f>
        <v>#REF!</v>
      </c>
      <c r="W143" s="226" t="e">
        <f>COUNTIFS(#REF!,"&gt;=13",#REF!,"&lt;=17",#REF!,"Hispanic-Latino ",#REF!,"Male")</f>
        <v>#REF!</v>
      </c>
      <c r="X143" s="220" t="e">
        <f>COUNTIFS(#REF!,"&gt;=13",#REF!,"&lt;=17",#REF!,"Hispanic-Latino ",#REF!,"Female")</f>
        <v>#REF!</v>
      </c>
      <c r="Y143" s="226" t="e">
        <f>COUNTIFS(#REF!,"&gt;=13",#REF!,"&lt;=17",#REF!,"Unknown",#REF!,"Male")</f>
        <v>#REF!</v>
      </c>
      <c r="Z143" s="220" t="e">
        <f>COUNTIFS(#REF!,"&gt;=13",#REF!,"&lt;=17",#REF!,"Unknown",#REF!,"Female")</f>
        <v>#REF!</v>
      </c>
      <c r="AA143" s="996" t="s">
        <v>987</v>
      </c>
      <c r="AB143" s="350"/>
      <c r="AC143" s="351"/>
      <c r="AD143" s="316" t="e">
        <f t="shared" si="28"/>
        <v>#REF!</v>
      </c>
      <c r="AE143" s="186"/>
      <c r="AF143" s="317" t="e">
        <f t="shared" si="29"/>
        <v>#REF!</v>
      </c>
      <c r="AH143" s="313"/>
      <c r="AI143" s="181" t="s">
        <v>1041</v>
      </c>
      <c r="AM143" s="181">
        <v>6</v>
      </c>
    </row>
    <row r="144" spans="1:39" ht="24.75" customHeight="1">
      <c r="A144" s="994" t="s">
        <v>988</v>
      </c>
      <c r="B144" s="350"/>
      <c r="C144" s="351"/>
      <c r="D144" s="755" t="e">
        <f>COUNTIFS(#REF!,"&gt;=18",#REF!,"&lt;=20")</f>
        <v>#REF!</v>
      </c>
      <c r="E144" s="351"/>
      <c r="F144" s="217" t="e">
        <f>COUNTIFS(#REF!,"&gt;=18",#REF!,"&lt;=20",#REF!,"White",#REF!,"Male")</f>
        <v>#REF!</v>
      </c>
      <c r="G144" s="218" t="e">
        <f>COUNTIFS(#REF!,"&gt;=18",#REF!,"&lt;=20",#REF!,"White",#REF!,"Female")</f>
        <v>#REF!</v>
      </c>
      <c r="H144" s="217" t="e">
        <f>COUNTIFS(#REF!,"&gt;=18",#REF!,"&lt;=20",#REF!,"African American /Black",#REF!,"Male")</f>
        <v>#REF!</v>
      </c>
      <c r="I144" s="218" t="e">
        <f>COUNTIFS(#REF!,"&gt;=18",#REF!,"&lt;=20",#REF!,"African American /Black",#REF!,"Female")</f>
        <v>#REF!</v>
      </c>
      <c r="J144" s="217" t="e">
        <f>COUNTIFS(#REF!,"&gt;=18",#REF!,"&lt;=20",#REF!,"Native Hawaiian/Pacific",#REF!,"Male")</f>
        <v>#REF!</v>
      </c>
      <c r="K144" s="218" t="e">
        <f>COUNTIFS(#REF!,"&gt;=18",#REF!,"&lt;=20",#REF!,"Native Hawaiian/Pacific",#REF!,"Female")</f>
        <v>#REF!</v>
      </c>
      <c r="L144" s="217" t="e">
        <f>COUNTIFS(#REF!,"&gt;=18",#REF!,"&lt;=20",#REF!,"Asian",#REF!,"Male")</f>
        <v>#REF!</v>
      </c>
      <c r="M144" s="218" t="e">
        <f>COUNTIFS(#REF!,"&gt;=18",#REF!,"&lt;=20",#REF!,"Asian",#REF!,"Female")</f>
        <v>#REF!</v>
      </c>
      <c r="N144" s="217" t="e">
        <f>COUNTIFS(#REF!,"&gt;=18",#REF!,"&lt;=20",#REF!,"American Indian Alaskan Native",#REF!,"Male")</f>
        <v>#REF!</v>
      </c>
      <c r="O144" s="218" t="e">
        <f>COUNTIFS(#REF!,"&gt;=18",#REF!,"&lt;=20",#REF!,"American Indian Alaskan Native",#REF!,"Female")</f>
        <v>#REF!</v>
      </c>
      <c r="P144" s="217" t="e">
        <f>COUNTIFS(#REF!,"&gt;=18",#REF!,"&lt;=20",#REF!,"More than One Race Reported",#REF!,"Male")</f>
        <v>#REF!</v>
      </c>
      <c r="Q144" s="218" t="e">
        <f>COUNTIFS(#REF!,"&gt;=18",#REF!,"&lt;=20",#REF!,"More than One Race Reported",#REF!,"Female")</f>
        <v>#REF!</v>
      </c>
      <c r="R144" s="217" t="e">
        <f>COUNTIFS(#REF!,"&gt;=18",#REF!,"&lt;=20",#REF!,"Unknown",#REF!,"Male")</f>
        <v>#REF!</v>
      </c>
      <c r="S144" s="218" t="e">
        <f>COUNTIFS(#REF!,"&gt;=18",#REF!,"&lt;=20",#REF!,"Unknown",#REF!,"Female")</f>
        <v>#REF!</v>
      </c>
      <c r="T144" s="5"/>
      <c r="U144" s="219" t="e">
        <f>COUNTIFS(#REF!,"&gt;=18",#REF!,"&lt;=20",#REF!,"Not Hispanic or Latino",#REF!,"Male")</f>
        <v>#REF!</v>
      </c>
      <c r="V144" s="226" t="e">
        <f>COUNTIFS(#REF!,"&gt;=18",#REF!,"&lt;=20",#REF!,"Not Hispanic or Latino",#REF!,"Female")</f>
        <v>#REF!</v>
      </c>
      <c r="W144" s="219" t="e">
        <f>COUNTIFS(#REF!,"&gt;=18",#REF!,"&lt;=20",#REF!,"Hispanic-Latino ",#REF!,"Male")</f>
        <v>#REF!</v>
      </c>
      <c r="X144" s="226" t="e">
        <f>COUNTIFS(#REF!,"&gt;=18",#REF!,"&lt;=20",#REF!,"Hispanic-Latino ",#REF!,"Female")</f>
        <v>#REF!</v>
      </c>
      <c r="Y144" s="219" t="e">
        <f>COUNTIFS(#REF!,"&gt;=18",#REF!,"&lt;=20",#REF!,"Unknown",#REF!,"Male")</f>
        <v>#REF!</v>
      </c>
      <c r="Z144" s="226" t="e">
        <f>COUNTIFS(#REF!,"&gt;=18",#REF!,"&lt;=20",#REF!,"Unknown",#REF!,"Female")</f>
        <v>#REF!</v>
      </c>
      <c r="AA144" s="994" t="s">
        <v>988</v>
      </c>
      <c r="AB144" s="350"/>
      <c r="AC144" s="351"/>
      <c r="AD144" s="314" t="e">
        <f t="shared" si="28"/>
        <v>#REF!</v>
      </c>
      <c r="AE144" s="186"/>
      <c r="AF144" s="315" t="e">
        <f t="shared" si="29"/>
        <v>#REF!</v>
      </c>
      <c r="AH144" s="313"/>
      <c r="AI144" s="181" t="s">
        <v>1042</v>
      </c>
      <c r="AM144" s="181">
        <v>6</v>
      </c>
    </row>
    <row r="145" spans="1:39" ht="24.75" customHeight="1">
      <c r="A145" s="996" t="s">
        <v>989</v>
      </c>
      <c r="B145" s="350"/>
      <c r="C145" s="351"/>
      <c r="D145" s="755" t="e">
        <f>COUNTIFS(#REF!,"&gt;=21",#REF!,"&lt;=24")</f>
        <v>#REF!</v>
      </c>
      <c r="E145" s="351"/>
      <c r="F145" s="224" t="e">
        <f>COUNTIFS(#REF!,"&gt;=21",#REF!,"&lt;=24",#REF!,"White",#REF!,"Male")</f>
        <v>#REF!</v>
      </c>
      <c r="G145" s="225" t="e">
        <f>COUNTIFS(#REF!,"&gt;=21",#REF!,"&lt;=24",#REF!,"White",#REF!,"Female")</f>
        <v>#REF!</v>
      </c>
      <c r="H145" s="224" t="e">
        <f>COUNTIFS(#REF!,"&gt;=21",#REF!,"&lt;=24",#REF!,"African American /Black",#REF!,"Male")</f>
        <v>#REF!</v>
      </c>
      <c r="I145" s="225" t="e">
        <f>COUNTIFS(#REF!,"&gt;=21",#REF!,"&lt;=24",#REF!,"African American /Black",#REF!,"Female")</f>
        <v>#REF!</v>
      </c>
      <c r="J145" s="224" t="e">
        <f>COUNTIFS(#REF!,"&gt;=21",#REF!,"&lt;=24",#REF!,"Native Hawaiian/Pacific",#REF!,"Male")</f>
        <v>#REF!</v>
      </c>
      <c r="K145" s="225" t="e">
        <f>COUNTIFS(#REF!,"&gt;=21",#REF!,"&lt;=24",#REF!,"Native Hawaiian/Pacific",#REF!,"Female")</f>
        <v>#REF!</v>
      </c>
      <c r="L145" s="224" t="e">
        <f>COUNTIFS(#REF!,"&gt;=21",#REF!,"&lt;=24",#REF!,"Asian",#REF!,"Male")</f>
        <v>#REF!</v>
      </c>
      <c r="M145" s="225" t="e">
        <f>COUNTIFS(#REF!,"&gt;=21",#REF!,"&lt;=24",#REF!,"Asian",#REF!,"Female")</f>
        <v>#REF!</v>
      </c>
      <c r="N145" s="224" t="e">
        <f>COUNTIFS(#REF!,"&gt;=21",#REF!,"&lt;=24",#REF!,"American Indian Alaskan Native",#REF!,"Male")</f>
        <v>#REF!</v>
      </c>
      <c r="O145" s="225" t="e">
        <f>COUNTIFS(#REF!,"&gt;=21",#REF!,"&lt;=24",#REF!,"American Indian Alaskan Native",#REF!,"Female")</f>
        <v>#REF!</v>
      </c>
      <c r="P145" s="224" t="e">
        <f>COUNTIFS(#REF!,"&gt;=21",#REF!,"&lt;=24",#REF!,"More than One Race Reported",#REF!,"Male")</f>
        <v>#REF!</v>
      </c>
      <c r="Q145" s="225" t="e">
        <f>COUNTIFS(#REF!,"&gt;=21",#REF!,"&lt;=24",#REF!,"More than One Race Reported",#REF!,"Female")</f>
        <v>#REF!</v>
      </c>
      <c r="R145" s="224" t="e">
        <f>COUNTIFS(#REF!,"&gt;=21",#REF!,"&lt;=24",#REF!,"Unknown",#REF!,"Male")</f>
        <v>#REF!</v>
      </c>
      <c r="S145" s="225" t="e">
        <f>COUNTIFS(#REF!,"&gt;=21",#REF!,"&lt;=24",#REF!,"Unknown",#REF!,"Female")</f>
        <v>#REF!</v>
      </c>
      <c r="T145" s="5"/>
      <c r="U145" s="226" t="e">
        <f>COUNTIFS(#REF!,"&gt;=21",#REF!,"&lt;=24",#REF!,"Not Hispanic or Latino",#REF!,"Male")</f>
        <v>#REF!</v>
      </c>
      <c r="V145" s="220" t="e">
        <f>COUNTIFS(#REF!,"&gt;=21",#REF!,"&lt;=24",#REF!,"Not Hispanic or Latino",#REF!,"Female")</f>
        <v>#REF!</v>
      </c>
      <c r="W145" s="226" t="e">
        <f>COUNTIFS(#REF!,"&gt;=21",#REF!,"&lt;=24",#REF!,"Hispanic-Latino ",#REF!,"Male")</f>
        <v>#REF!</v>
      </c>
      <c r="X145" s="220" t="e">
        <f>COUNTIFS(#REF!,"&gt;=21",#REF!,"&lt;=24",#REF!,"Hispanic-Latino ",#REF!,"Female")</f>
        <v>#REF!</v>
      </c>
      <c r="Y145" s="226" t="e">
        <f>COUNTIFS(#REF!,"&gt;=21",#REF!,"&lt;=24",#REF!,"Unknown",#REF!,"Male")</f>
        <v>#REF!</v>
      </c>
      <c r="Z145" s="220" t="e">
        <f>COUNTIFS(#REF!,"&gt;=21",#REF!,"&lt;=24",#REF!,"Unknown",#REF!,"Female")</f>
        <v>#REF!</v>
      </c>
      <c r="AA145" s="996" t="s">
        <v>989</v>
      </c>
      <c r="AB145" s="350"/>
      <c r="AC145" s="351"/>
      <c r="AD145" s="316" t="e">
        <f t="shared" si="28"/>
        <v>#REF!</v>
      </c>
      <c r="AE145" s="186"/>
      <c r="AF145" s="317" t="e">
        <f t="shared" si="29"/>
        <v>#REF!</v>
      </c>
      <c r="AH145" s="313"/>
      <c r="AI145" s="181" t="s">
        <v>1043</v>
      </c>
      <c r="AM145" s="181">
        <v>12</v>
      </c>
    </row>
    <row r="146" spans="1:39" ht="24.75" customHeight="1">
      <c r="A146" s="994" t="s">
        <v>990</v>
      </c>
      <c r="B146" s="350"/>
      <c r="C146" s="351"/>
      <c r="D146" s="755" t="e">
        <f>COUNTIFS(#REF!,"&gt;=25",#REF!,"&lt;=44")</f>
        <v>#REF!</v>
      </c>
      <c r="E146" s="351"/>
      <c r="F146" s="217" t="e">
        <f>COUNTIFS(#REF!,"&gt;=25",#REF!,"&lt;=44",#REF!,"White",#REF!,"Male")</f>
        <v>#REF!</v>
      </c>
      <c r="G146" s="218" t="e">
        <f>COUNTIFS(#REF!,"&gt;=25",#REF!,"&lt;=44",#REF!,"White",#REF!,"Female")</f>
        <v>#REF!</v>
      </c>
      <c r="H146" s="217" t="e">
        <f>COUNTIFS(#REF!,"&gt;=25",#REF!,"&lt;=44",#REF!,"African American /Black",#REF!,"Male")</f>
        <v>#REF!</v>
      </c>
      <c r="I146" s="218" t="e">
        <f>COUNTIFS(#REF!,"&gt;=25",#REF!,"&lt;=44",#REF!,"African American /Black",#REF!,"Female")</f>
        <v>#REF!</v>
      </c>
      <c r="J146" s="217" t="e">
        <f>COUNTIFS(#REF!,"&gt;=25",#REF!,"&lt;=44",#REF!,"Native Hawaiian/Pacific",#REF!,"Male")</f>
        <v>#REF!</v>
      </c>
      <c r="K146" s="218" t="e">
        <f>COUNTIFS(#REF!,"&gt;=25",#REF!,"&lt;=44",#REF!,"Native Hawaiian/Pacific",#REF!,"Female")</f>
        <v>#REF!</v>
      </c>
      <c r="L146" s="217" t="e">
        <f>COUNTIFS(#REF!,"&gt;=25",#REF!,"&lt;=44",#REF!,"Asian",#REF!,"Male")</f>
        <v>#REF!</v>
      </c>
      <c r="M146" s="218" t="e">
        <f>COUNTIFS(#REF!,"&gt;=25",#REF!,"&lt;=44",#REF!,"Asian",#REF!,"Female")</f>
        <v>#REF!</v>
      </c>
      <c r="N146" s="217" t="e">
        <f>COUNTIFS(#REF!,"&gt;=25",#REF!,"&lt;=44",#REF!,"American Indian Alaskan Native",#REF!,"Male")</f>
        <v>#REF!</v>
      </c>
      <c r="O146" s="218" t="e">
        <f>COUNTIFS(#REF!,"&gt;=25",#REF!,"&lt;=44",#REF!,"American Indian Alaskan Native",#REF!,"Female")</f>
        <v>#REF!</v>
      </c>
      <c r="P146" s="217" t="e">
        <f>COUNTIFS(#REF!,"&gt;=25",#REF!,"&lt;=44",#REF!,"More than One Race Reported",#REF!,"Male")</f>
        <v>#REF!</v>
      </c>
      <c r="Q146" s="218" t="e">
        <f>COUNTIFS(#REF!,"&gt;=25",#REF!,"&lt;=44",#REF!,"More than One Race Reported",#REF!,"Female")</f>
        <v>#REF!</v>
      </c>
      <c r="R146" s="217" t="e">
        <f>COUNTIFS(#REF!,"&gt;=25",#REF!,"&lt;=44",#REF!,"Unknown",#REF!,"Male")</f>
        <v>#REF!</v>
      </c>
      <c r="S146" s="218" t="e">
        <f>COUNTIFS(#REF!,"&gt;=25",#REF!,"&lt;=44",#REF!,"Unknown",#REF!,"Female")</f>
        <v>#REF!</v>
      </c>
      <c r="T146" s="5"/>
      <c r="U146" s="219" t="e">
        <f>COUNTIFS(#REF!,"&gt;=25",#REF!,"&lt;=44",#REF!,"Not Hispanic or Latino",#REF!,"Male")</f>
        <v>#REF!</v>
      </c>
      <c r="V146" s="226" t="e">
        <f>COUNTIFS(#REF!,"&gt;=25",#REF!,"&lt;=44",#REF!,"Not Hispanic or Latino",#REF!,"Female")</f>
        <v>#REF!</v>
      </c>
      <c r="W146" s="219" t="e">
        <f>COUNTIFS(#REF!,"&gt;=25",#REF!,"&lt;=44",#REF!,"Hispanic-Latino ",#REF!,"Male")</f>
        <v>#REF!</v>
      </c>
      <c r="X146" s="226" t="e">
        <f>COUNTIFS(#REF!,"&gt;=25",#REF!,"&lt;=44",#REF!,"Hispanic-Latino ",#REF!,"Female")</f>
        <v>#REF!</v>
      </c>
      <c r="Y146" s="219" t="e">
        <f>COUNTIFS(#REF!,"&gt;=25",#REF!,"&lt;=44",#REF!,"Unknown",#REF!,"Male")</f>
        <v>#REF!</v>
      </c>
      <c r="Z146" s="226" t="e">
        <f>COUNTIFS(#REF!,"&gt;=25",#REF!,"&lt;=44",#REF!,"Unknown",#REF!,"Female")</f>
        <v>#REF!</v>
      </c>
      <c r="AA146" s="994" t="s">
        <v>990</v>
      </c>
      <c r="AB146" s="350"/>
      <c r="AC146" s="351"/>
      <c r="AD146" s="314" t="e">
        <f t="shared" si="28"/>
        <v>#REF!</v>
      </c>
      <c r="AE146" s="186"/>
      <c r="AF146" s="315" t="e">
        <f t="shared" si="29"/>
        <v>#REF!</v>
      </c>
      <c r="AH146" s="313"/>
      <c r="AI146" s="181" t="s">
        <v>1044</v>
      </c>
      <c r="AM146" s="181">
        <v>31</v>
      </c>
    </row>
    <row r="147" spans="1:39" ht="24.75" customHeight="1">
      <c r="A147" s="996" t="s">
        <v>991</v>
      </c>
      <c r="B147" s="350"/>
      <c r="C147" s="351"/>
      <c r="D147" s="755" t="e">
        <f>COUNTIFS(#REF!,"&gt;=45",#REF!,"&lt;=64")</f>
        <v>#REF!</v>
      </c>
      <c r="E147" s="351"/>
      <c r="F147" s="227" t="e">
        <f>COUNTIFS(#REF!,"&gt;=45",#REF!,"&lt;=64",#REF!,"White",#REF!,"Male")</f>
        <v>#REF!</v>
      </c>
      <c r="G147" s="228" t="e">
        <f>COUNTIFS(#REF!,"&gt;=45",#REF!,"&lt;=64",#REF!,"White",#REF!,"Female")</f>
        <v>#REF!</v>
      </c>
      <c r="H147" s="227" t="e">
        <f>COUNTIFS(#REF!,"&gt;=45",#REF!,"&lt;=64",#REF!,"African American /Black",#REF!,"Male")</f>
        <v>#REF!</v>
      </c>
      <c r="I147" s="228" t="e">
        <f>COUNTIFS(#REF!,"&gt;=45",#REF!,"&lt;=64",#REF!,"African American /Black",#REF!,"Female")</f>
        <v>#REF!</v>
      </c>
      <c r="J147" s="227" t="e">
        <f>COUNTIFS(#REF!,"&gt;=45",#REF!,"&lt;=64",#REF!,"Native Hawaiian/Pacific",#REF!,"Male")</f>
        <v>#REF!</v>
      </c>
      <c r="K147" s="228" t="e">
        <f>COUNTIFS(#REF!,"&gt;=45",#REF!,"&lt;=64",#REF!,"Native Hawaiian/Pacific",#REF!,"Female")</f>
        <v>#REF!</v>
      </c>
      <c r="L147" s="227" t="e">
        <f>COUNTIFS(#REF!,"&gt;=45",#REF!,"&lt;=64",#REF!,"Asian",#REF!,"Male")</f>
        <v>#REF!</v>
      </c>
      <c r="M147" s="228" t="e">
        <f>COUNTIFS(#REF!,"&gt;=45",#REF!,"&lt;=64",#REF!,"Asian",#REF!,"Female")</f>
        <v>#REF!</v>
      </c>
      <c r="N147" s="227" t="e">
        <f>COUNTIFS(#REF!,"&gt;=45",#REF!,"&lt;=64",#REF!,"American Indian Alaskan Native",#REF!,"Male")</f>
        <v>#REF!</v>
      </c>
      <c r="O147" s="228" t="e">
        <f>COUNTIFS(#REF!,"&gt;=45",#REF!,"&lt;=64",#REF!,"American Indian Alaskan Native",#REF!,"Female")</f>
        <v>#REF!</v>
      </c>
      <c r="P147" s="227" t="e">
        <f>COUNTIFS(#REF!,"&gt;=45",#REF!,"&lt;=64",#REF!,"More than One Race Reported",#REF!,"Male")</f>
        <v>#REF!</v>
      </c>
      <c r="Q147" s="228" t="e">
        <f>COUNTIFS(#REF!,"&gt;=45",#REF!,"&lt;=64",#REF!,"More than One Race Reported",#REF!,"Female")</f>
        <v>#REF!</v>
      </c>
      <c r="R147" s="227" t="e">
        <f>COUNTIFS(#REF!,"&gt;=45",#REF!,"&lt;=64",#REF!,"Unknown",#REF!,"Male")</f>
        <v>#REF!</v>
      </c>
      <c r="S147" s="228" t="e">
        <f>COUNTIFS(#REF!,"&gt;=45",#REF!,"&lt;=64",#REF!,"Unknown",#REF!,"Female")</f>
        <v>#REF!</v>
      </c>
      <c r="T147" s="5"/>
      <c r="U147" s="230" t="e">
        <f>COUNTIFS(#REF!,"&gt;=45",#REF!,"&lt;=64",#REF!,"Not Hispanic or Latino",#REF!,"Male")</f>
        <v>#REF!</v>
      </c>
      <c r="V147" s="229" t="e">
        <f>COUNTIFS(#REF!,"&gt;=45",#REF!,"&lt;=64",#REF!,"Not Hispanic or Latino",#REF!,"Female")</f>
        <v>#REF!</v>
      </c>
      <c r="W147" s="226" t="e">
        <f>COUNTIFS(#REF!,"&gt;=45",#REF!,"&lt;=64",#REF!,"Hispanic-Latino ",#REF!,"Male")</f>
        <v>#REF!</v>
      </c>
      <c r="X147" s="229" t="e">
        <f>COUNTIFS(#REF!,"&gt;=45",#REF!,"&lt;=64",#REF!,"Hispanic-Latino ",#REF!,"Female")</f>
        <v>#REF!</v>
      </c>
      <c r="Y147" s="230" t="e">
        <f>COUNTIFS(#REF!,"&gt;=45",#REF!,"&lt;=64",#REF!,"Unknown",#REF!,"Male")</f>
        <v>#REF!</v>
      </c>
      <c r="Z147" s="229" t="e">
        <f>COUNTIFS(#REF!,"&gt;=45",#REF!,"&lt;=64",#REF!,"Unknown",#REF!,"Female")</f>
        <v>#REF!</v>
      </c>
      <c r="AA147" s="996" t="s">
        <v>991</v>
      </c>
      <c r="AB147" s="350"/>
      <c r="AC147" s="351"/>
      <c r="AD147" s="316" t="e">
        <f t="shared" si="28"/>
        <v>#REF!</v>
      </c>
      <c r="AE147" s="186"/>
      <c r="AF147" s="317" t="e">
        <f t="shared" si="29"/>
        <v>#REF!</v>
      </c>
      <c r="AH147" s="313"/>
      <c r="AI147" s="181" t="s">
        <v>1045</v>
      </c>
      <c r="AM147" s="181">
        <v>24</v>
      </c>
    </row>
    <row r="148" spans="1:39" ht="24.75" customHeight="1">
      <c r="A148" s="994" t="s">
        <v>992</v>
      </c>
      <c r="B148" s="350"/>
      <c r="C148" s="351"/>
      <c r="D148" s="755" t="e">
        <f>COUNTIFS(#REF!,"&gt;=65",#REF!,"&lt;=74")</f>
        <v>#REF!</v>
      </c>
      <c r="E148" s="351"/>
      <c r="F148" s="55" t="e">
        <f>COUNTIFS(#REF!,"&gt;=65",#REF!,"&lt;=74",#REF!,"White",#REF!,"Male")</f>
        <v>#REF!</v>
      </c>
      <c r="G148" s="231" t="e">
        <f>COUNTIFS(#REF!,"&gt;=65",#REF!,"&lt;=74",#REF!,"White",#REF!,"Female")</f>
        <v>#REF!</v>
      </c>
      <c r="H148" s="55" t="e">
        <f>COUNTIFS(#REF!,"&gt;=65",#REF!,"&lt;=74",#REF!,"African American /Black",#REF!,"Male")</f>
        <v>#REF!</v>
      </c>
      <c r="I148" s="231" t="e">
        <f>COUNTIFS(#REF!,"&gt;=65",#REF!,"&lt;=74",#REF!,"African American /Black",#REF!,"Female")</f>
        <v>#REF!</v>
      </c>
      <c r="J148" s="55" t="e">
        <f>COUNTIFS(#REF!,"&gt;=65",#REF!,"&lt;=74",#REF!,"Native Hawaiian/Pacific",#REF!,"Male")</f>
        <v>#REF!</v>
      </c>
      <c r="K148" s="231" t="e">
        <f>COUNTIFS(#REF!,"&gt;=65",#REF!,"&lt;=74",#REF!,"Native Hawaiian/Pacific",#REF!,"Female")</f>
        <v>#REF!</v>
      </c>
      <c r="L148" s="55" t="e">
        <f>COUNTIFS(#REF!,"&gt;=65",#REF!,"&lt;=74",#REF!,"Asian",#REF!,"Male")</f>
        <v>#REF!</v>
      </c>
      <c r="M148" s="231" t="e">
        <f>COUNTIFS(#REF!,"&gt;=65",#REF!,"&lt;=74",#REF!,"Asian",#REF!,"Female")</f>
        <v>#REF!</v>
      </c>
      <c r="N148" s="55" t="e">
        <f>COUNTIFS(#REF!,"&gt;=65",#REF!,"&lt;=74",#REF!,"American Indian Alaskan Native",#REF!,"Male")</f>
        <v>#REF!</v>
      </c>
      <c r="O148" s="231" t="e">
        <f>COUNTIFS(#REF!,"&gt;=65",#REF!,"&lt;=74",#REF!,"American Indian Alaskan Native",#REF!,"Female")</f>
        <v>#REF!</v>
      </c>
      <c r="P148" s="55" t="e">
        <f>COUNTIFS(#REF!,"&gt;=65",#REF!,"&lt;=74",#REF!,"More than One Race Reported",#REF!,"Male")</f>
        <v>#REF!</v>
      </c>
      <c r="Q148" s="231" t="e">
        <f>COUNTIFS(#REF!,"&gt;=65",#REF!,"&lt;=74",#REF!,"More than One Race Reported",#REF!,"Female")</f>
        <v>#REF!</v>
      </c>
      <c r="R148" s="55" t="e">
        <f>COUNTIFS(#REF!,"&gt;=65",#REF!,"&lt;=74",#REF!,"Unknown",#REF!,"Male")</f>
        <v>#REF!</v>
      </c>
      <c r="S148" s="231" t="e">
        <f>COUNTIFS(#REF!,"&gt;=65",#REF!,"&lt;=74",#REF!,"Unknown",#REF!,"Female")</f>
        <v>#REF!</v>
      </c>
      <c r="T148" s="5"/>
      <c r="U148" s="232" t="e">
        <f>COUNTIFS(#REF!,"&gt;=65",#REF!,"&lt;=74",#REF!,"Not Hispanic or Latino",#REF!,"Male")</f>
        <v>#REF!</v>
      </c>
      <c r="V148" s="230" t="e">
        <f>COUNTIFS(#REF!,"&gt;=65",#REF!,"&lt;=74",#REF!,"Not Hispanic or Latino",#REF!,"Female")</f>
        <v>#REF!</v>
      </c>
      <c r="W148" s="219" t="e">
        <f>COUNTIFS(#REF!,"&gt;=65",#REF!,"&lt;=74",#REF!,"Hispanic-Latino ",#REF!,"Male")</f>
        <v>#REF!</v>
      </c>
      <c r="X148" s="230" t="e">
        <f>COUNTIFS(#REF!,"&gt;=65",#REF!,"&lt;=74",#REF!,"Hispanic-Latino ",#REF!,"Female")</f>
        <v>#REF!</v>
      </c>
      <c r="Y148" s="232" t="e">
        <f>COUNTIFS(#REF!,"&gt;=65",#REF!,"&lt;=74",#REF!,"Unknown",#REF!,"Male")</f>
        <v>#REF!</v>
      </c>
      <c r="Z148" s="230" t="e">
        <f>COUNTIFS(#REF!,"&gt;=65",#REF!,"&lt;=74",#REF!,"Unknown",#REF!,"Female")</f>
        <v>#REF!</v>
      </c>
      <c r="AA148" s="994" t="s">
        <v>992</v>
      </c>
      <c r="AB148" s="350"/>
      <c r="AC148" s="351"/>
      <c r="AD148" s="314" t="e">
        <f t="shared" si="28"/>
        <v>#REF!</v>
      </c>
      <c r="AE148" s="186"/>
      <c r="AF148" s="315" t="e">
        <f t="shared" si="29"/>
        <v>#REF!</v>
      </c>
      <c r="AH148" s="313"/>
      <c r="AI148" s="181" t="s">
        <v>1046</v>
      </c>
      <c r="AM148" s="181">
        <v>6</v>
      </c>
    </row>
    <row r="149" spans="1:39" ht="24.75" customHeight="1">
      <c r="A149" s="996" t="s">
        <v>993</v>
      </c>
      <c r="B149" s="350"/>
      <c r="C149" s="351"/>
      <c r="D149" s="755" t="e">
        <f>COUNTIFS(#REF!,"&gt;=75",#REF!,"&lt;=150")</f>
        <v>#REF!</v>
      </c>
      <c r="E149" s="351"/>
      <c r="F149" s="227" t="e">
        <f>COUNTIFS(#REF!,"&gt;=75",#REF!,"&lt;=150",#REF!,"White",#REF!,"Male")</f>
        <v>#REF!</v>
      </c>
      <c r="G149" s="228" t="e">
        <f>COUNTIFS(#REF!,"&gt;=75",#REF!,"&lt;=150",#REF!,"White",#REF!,"Female")</f>
        <v>#REF!</v>
      </c>
      <c r="H149" s="227" t="e">
        <f>COUNTIFS(#REF!,"&gt;=75",#REF!,"&lt;=150",#REF!,"African American /Black",#REF!,"Male")</f>
        <v>#REF!</v>
      </c>
      <c r="I149" s="228" t="e">
        <f>COUNTIFS(#REF!,"&gt;=75",#REF!,"&lt;=150",#REF!,"African American /Black",#REF!,"Female")</f>
        <v>#REF!</v>
      </c>
      <c r="J149" s="227" t="e">
        <f>COUNTIFS(#REF!,"&gt;=75",#REF!,"&lt;=150",#REF!,"Native Hawaiian/Pacific",#REF!,"Male")</f>
        <v>#REF!</v>
      </c>
      <c r="K149" s="228" t="e">
        <f>COUNTIFS(#REF!,"&gt;=75",#REF!,"&lt;=150",#REF!,"Native Hawaiian/Pacific",#REF!,"Female")</f>
        <v>#REF!</v>
      </c>
      <c r="L149" s="227" t="e">
        <f>COUNTIFS(#REF!,"&gt;=75",#REF!,"&lt;=150",#REF!,"Asian",#REF!,"Male")</f>
        <v>#REF!</v>
      </c>
      <c r="M149" s="228" t="e">
        <f>COUNTIFS(#REF!,"&gt;=75",#REF!,"&lt;=150",#REF!,"Asian",#REF!,"Female")</f>
        <v>#REF!</v>
      </c>
      <c r="N149" s="227" t="e">
        <f>COUNTIFS(#REF!,"&gt;=75",#REF!,"&lt;=150",#REF!,"American Indian Alaskan Native",#REF!,"Male")</f>
        <v>#REF!</v>
      </c>
      <c r="O149" s="228" t="e">
        <f>COUNTIFS(#REF!,"&gt;=75",#REF!,"&lt;=150",#REF!,"American Indian Alaskan Native",#REF!,"Female")</f>
        <v>#REF!</v>
      </c>
      <c r="P149" s="227" t="e">
        <f>COUNTIFS(#REF!,"&gt;=75",#REF!,"&lt;=150",#REF!,"More than One Race Reported",#REF!,"Male")</f>
        <v>#REF!</v>
      </c>
      <c r="Q149" s="228" t="e">
        <f>COUNTIFS(#REF!,"&gt;=75",#REF!,"&lt;=150",#REF!,"More than One Race Reported",#REF!,"Female")</f>
        <v>#REF!</v>
      </c>
      <c r="R149" s="227" t="e">
        <f>COUNTIFS(#REF!,"&gt;=75",#REF!,"&lt;=150",#REF!,"Unknown",#REF!,"Male")</f>
        <v>#REF!</v>
      </c>
      <c r="S149" s="228" t="e">
        <f>COUNTIFS(#REF!,"&gt;=75",#REF!,"&lt;=150",#REF!,"Unknown",#REF!,"Female")</f>
        <v>#REF!</v>
      </c>
      <c r="T149" s="5"/>
      <c r="U149" s="230" t="e">
        <f>COUNTIFS(#REF!,"&gt;=75",#REF!,"&lt;=150",#REF!,"Not Hispanic or Latino",#REF!,"Male")</f>
        <v>#REF!</v>
      </c>
      <c r="V149" s="229" t="e">
        <f>COUNTIFS(#REF!,"&gt;=75",#REF!,"&lt;=150",#REF!,"Not Hispanic or Latino",#REF!,"Female")</f>
        <v>#REF!</v>
      </c>
      <c r="W149" s="226" t="e">
        <f>COUNTIFS(#REF!,"&gt;=75",#REF!,"&lt;=150",#REF!,"Hispanic-Latino ",#REF!,"Male")</f>
        <v>#REF!</v>
      </c>
      <c r="X149" s="229" t="e">
        <f>COUNTIFS(#REF!,"&gt;=75",#REF!,"&lt;=150",#REF!,"Hispanic-Latino ",#REF!,"Female")</f>
        <v>#REF!</v>
      </c>
      <c r="Y149" s="230" t="e">
        <f>COUNTIFS(#REF!,"&gt;=75",#REF!,"&lt;=150",#REF!,"Unknown",#REF!,"Male")</f>
        <v>#REF!</v>
      </c>
      <c r="Z149" s="229" t="e">
        <f>COUNTIFS(#REF!,"&gt;=75",#REF!,"&lt;=150",#REF!,"Unknown",#REF!,"Female")</f>
        <v>#REF!</v>
      </c>
      <c r="AA149" s="996" t="s">
        <v>993</v>
      </c>
      <c r="AB149" s="350"/>
      <c r="AC149" s="351"/>
      <c r="AD149" s="314" t="e">
        <f t="shared" si="28"/>
        <v>#REF!</v>
      </c>
      <c r="AF149" s="315" t="e">
        <f t="shared" si="29"/>
        <v>#REF!</v>
      </c>
      <c r="AH149" s="313"/>
      <c r="AJ149" s="313"/>
      <c r="AM149" s="181">
        <v>15</v>
      </c>
    </row>
    <row r="150" spans="1:39" ht="24.75" customHeight="1">
      <c r="A150" s="1020" t="s">
        <v>994</v>
      </c>
      <c r="B150" s="350"/>
      <c r="C150" s="351"/>
      <c r="D150" s="1021" t="e">
        <f>SUM(D142:D149)</f>
        <v>#REF!</v>
      </c>
      <c r="E150" s="351"/>
      <c r="F150" s="318" t="e">
        <f t="shared" ref="F150:S150" si="30">SUM(F142:F149)</f>
        <v>#REF!</v>
      </c>
      <c r="G150" s="234" t="e">
        <f t="shared" si="30"/>
        <v>#REF!</v>
      </c>
      <c r="H150" s="233" t="e">
        <f t="shared" si="30"/>
        <v>#REF!</v>
      </c>
      <c r="I150" s="234" t="e">
        <f t="shared" si="30"/>
        <v>#REF!</v>
      </c>
      <c r="J150" s="233" t="e">
        <f t="shared" si="30"/>
        <v>#REF!</v>
      </c>
      <c r="K150" s="234" t="e">
        <f t="shared" si="30"/>
        <v>#REF!</v>
      </c>
      <c r="L150" s="233" t="e">
        <f t="shared" si="30"/>
        <v>#REF!</v>
      </c>
      <c r="M150" s="234" t="e">
        <f t="shared" si="30"/>
        <v>#REF!</v>
      </c>
      <c r="N150" s="233" t="e">
        <f t="shared" si="30"/>
        <v>#REF!</v>
      </c>
      <c r="O150" s="234" t="e">
        <f t="shared" si="30"/>
        <v>#REF!</v>
      </c>
      <c r="P150" s="233" t="e">
        <f t="shared" si="30"/>
        <v>#REF!</v>
      </c>
      <c r="Q150" s="234" t="e">
        <f t="shared" si="30"/>
        <v>#REF!</v>
      </c>
      <c r="R150" s="233" t="e">
        <f t="shared" si="30"/>
        <v>#REF!</v>
      </c>
      <c r="S150" s="234" t="e">
        <f t="shared" si="30"/>
        <v>#REF!</v>
      </c>
      <c r="T150" s="235"/>
      <c r="U150" s="233" t="e">
        <f t="shared" ref="U150:Z150" si="31">SUM(U142:U149)</f>
        <v>#REF!</v>
      </c>
      <c r="V150" s="234" t="e">
        <f t="shared" si="31"/>
        <v>#REF!</v>
      </c>
      <c r="W150" s="233" t="e">
        <f t="shared" si="31"/>
        <v>#REF!</v>
      </c>
      <c r="X150" s="234" t="e">
        <f t="shared" si="31"/>
        <v>#REF!</v>
      </c>
      <c r="Y150" s="233" t="e">
        <f t="shared" si="31"/>
        <v>#REF!</v>
      </c>
      <c r="Z150" s="234" t="e">
        <f t="shared" si="31"/>
        <v>#REF!</v>
      </c>
      <c r="AA150" s="319"/>
      <c r="AB150" s="319"/>
      <c r="AC150" s="319"/>
      <c r="AD150" s="320" t="e">
        <f t="shared" si="28"/>
        <v>#REF!</v>
      </c>
      <c r="AF150" s="320" t="e">
        <f t="shared" si="29"/>
        <v>#REF!</v>
      </c>
      <c r="AH150" s="313"/>
      <c r="AJ150" s="313"/>
      <c r="AM150" s="181">
        <f>SUM(AM142:AM149)</f>
        <v>112</v>
      </c>
    </row>
    <row r="151" spans="1:39" ht="15" customHeight="1">
      <c r="A151" s="1029" t="s">
        <v>1047</v>
      </c>
      <c r="B151" s="350"/>
      <c r="C151" s="350"/>
      <c r="D151" s="350"/>
      <c r="E151" s="350"/>
      <c r="F151" s="350"/>
      <c r="G151" s="350"/>
      <c r="H151" s="350"/>
      <c r="I151" s="350"/>
      <c r="J151" s="350"/>
      <c r="K151" s="350"/>
      <c r="L151" s="350"/>
      <c r="M151" s="350"/>
      <c r="N151" s="350"/>
      <c r="O151" s="350"/>
      <c r="P151" s="350"/>
      <c r="Q151" s="350"/>
      <c r="R151" s="350"/>
      <c r="S151" s="351"/>
      <c r="T151" s="235"/>
      <c r="U151" s="239"/>
      <c r="V151" s="239"/>
      <c r="W151" s="239"/>
      <c r="X151" s="239"/>
      <c r="Y151" s="239"/>
      <c r="Z151" s="239"/>
      <c r="AA151" s="9"/>
      <c r="AB151" s="9"/>
      <c r="AC151" s="9"/>
      <c r="AD151" s="240"/>
      <c r="AF151" s="240"/>
      <c r="AH151" s="313"/>
      <c r="AJ151" s="313"/>
    </row>
    <row r="152" spans="1:39" ht="30" customHeight="1">
      <c r="A152" s="1011" t="s">
        <v>978</v>
      </c>
      <c r="B152" s="384"/>
      <c r="C152" s="384"/>
      <c r="D152" s="384"/>
      <c r="E152" s="385"/>
      <c r="F152" s="993" t="s">
        <v>554</v>
      </c>
      <c r="G152" s="351"/>
      <c r="H152" s="993" t="s">
        <v>738</v>
      </c>
      <c r="I152" s="351"/>
      <c r="J152" s="993" t="s">
        <v>979</v>
      </c>
      <c r="K152" s="351"/>
      <c r="L152" s="993" t="s">
        <v>557</v>
      </c>
      <c r="M152" s="351"/>
      <c r="N152" s="993" t="s">
        <v>980</v>
      </c>
      <c r="O152" s="351"/>
      <c r="P152" s="993" t="s">
        <v>981</v>
      </c>
      <c r="Q152" s="351"/>
      <c r="R152" s="993" t="s">
        <v>747</v>
      </c>
      <c r="S152" s="351"/>
      <c r="T152" s="212"/>
      <c r="U152" s="993" t="s">
        <v>562</v>
      </c>
      <c r="V152" s="351"/>
      <c r="W152" s="993" t="s">
        <v>563</v>
      </c>
      <c r="X152" s="351"/>
      <c r="Y152" s="993" t="s">
        <v>982</v>
      </c>
      <c r="Z152" s="351"/>
      <c r="AA152" s="647" t="s">
        <v>1040</v>
      </c>
      <c r="AB152" s="390"/>
      <c r="AC152" s="391"/>
      <c r="AD152" s="207" t="s">
        <v>736</v>
      </c>
      <c r="AF152" s="207" t="s">
        <v>976</v>
      </c>
      <c r="AI152" s="181" t="s">
        <v>739</v>
      </c>
    </row>
    <row r="153" spans="1:39" ht="24.75" customHeight="1">
      <c r="A153" s="321"/>
      <c r="B153" s="321"/>
      <c r="C153" s="321"/>
      <c r="D153" s="321"/>
      <c r="E153" s="322"/>
      <c r="F153" s="213" t="s">
        <v>984</v>
      </c>
      <c r="G153" s="214" t="s">
        <v>985</v>
      </c>
      <c r="H153" s="213" t="s">
        <v>984</v>
      </c>
      <c r="I153" s="214" t="s">
        <v>985</v>
      </c>
      <c r="J153" s="213" t="s">
        <v>984</v>
      </c>
      <c r="K153" s="214" t="s">
        <v>985</v>
      </c>
      <c r="L153" s="213" t="s">
        <v>984</v>
      </c>
      <c r="M153" s="214" t="s">
        <v>985</v>
      </c>
      <c r="N153" s="213" t="s">
        <v>984</v>
      </c>
      <c r="O153" s="214" t="s">
        <v>985</v>
      </c>
      <c r="P153" s="213" t="s">
        <v>984</v>
      </c>
      <c r="Q153" s="214" t="s">
        <v>985</v>
      </c>
      <c r="R153" s="213" t="s">
        <v>984</v>
      </c>
      <c r="S153" s="214" t="s">
        <v>985</v>
      </c>
      <c r="T153" s="5"/>
      <c r="U153" s="213" t="s">
        <v>984</v>
      </c>
      <c r="V153" s="214" t="s">
        <v>985</v>
      </c>
      <c r="W153" s="213" t="s">
        <v>984</v>
      </c>
      <c r="X153" s="214" t="s">
        <v>985</v>
      </c>
      <c r="Y153" s="213" t="s">
        <v>984</v>
      </c>
      <c r="Z153" s="323" t="s">
        <v>985</v>
      </c>
      <c r="AA153" s="1018"/>
      <c r="AB153" s="395"/>
      <c r="AC153" s="396"/>
      <c r="AD153" s="207"/>
      <c r="AF153" s="207"/>
      <c r="AI153" s="181" t="s">
        <v>740</v>
      </c>
    </row>
    <row r="154" spans="1:39" ht="24.75" customHeight="1">
      <c r="A154" s="1030" t="s">
        <v>1048</v>
      </c>
      <c r="B154" s="350"/>
      <c r="C154" s="351"/>
      <c r="D154" s="1023" t="s">
        <v>997</v>
      </c>
      <c r="E154" s="351"/>
      <c r="F154" s="235"/>
      <c r="G154" s="324" t="e">
        <f>COUNTIFS(#REF!,"YES",#REF!,"White",#REF!,"Female")</f>
        <v>#REF!</v>
      </c>
      <c r="H154" s="239"/>
      <c r="I154" s="243" t="e">
        <f>COUNTIFS(#REF!,"YES",#REF!,"African American /Black",#REF!,"Female")</f>
        <v>#REF!</v>
      </c>
      <c r="J154" s="239"/>
      <c r="K154" s="243" t="e">
        <f>COUNTIFS(#REF!,"YES",#REF!,"Native Hawaiian/Pacific",#REF!,"Female")</f>
        <v>#REF!</v>
      </c>
      <c r="L154" s="239"/>
      <c r="M154" s="243" t="e">
        <f>COUNTIFS(#REF!,"YES",#REF!,"Asian",#REF!,"Female")</f>
        <v>#REF!</v>
      </c>
      <c r="N154" s="239"/>
      <c r="O154" s="243" t="e">
        <f>COUNTIFS(#REF!,"YES",#REF!,"American Indian Alaskan Native",#REF!,"Female")</f>
        <v>#REF!</v>
      </c>
      <c r="P154" s="239"/>
      <c r="Q154" s="243" t="e">
        <f>COUNTIFS(#REF!,"YES",#REF!,"More than One Race Reported",#REF!,"Female")</f>
        <v>#REF!</v>
      </c>
      <c r="R154" s="239"/>
      <c r="S154" s="243" t="e">
        <f>COUNTIFS(#REF!,"YES",#REF!,"Unknown",#REF!,"Female")</f>
        <v>#REF!</v>
      </c>
      <c r="T154" s="239"/>
      <c r="U154" s="239"/>
      <c r="V154" s="243" t="e">
        <f>COUNTIFS(#REF!,"YES",#REF!,"Not Hispanic or Latino",#REF!,"Female")</f>
        <v>#REF!</v>
      </c>
      <c r="W154" s="239"/>
      <c r="X154" s="243" t="e">
        <f>COUNTIFS(#REF!,"YES",#REF!,"Hispanic-Latino ",#REF!,"Female")</f>
        <v>#REF!</v>
      </c>
      <c r="Y154" s="239"/>
      <c r="Z154" s="243" t="e">
        <f>COUNTIFS(#REF!,"YES",#REF!,"Unknown",#REF!,"Female")</f>
        <v>#REF!</v>
      </c>
      <c r="AA154" s="1019" t="s">
        <v>1049</v>
      </c>
      <c r="AB154" s="350"/>
      <c r="AC154" s="351"/>
      <c r="AD154" s="325" t="e">
        <f t="shared" ref="AD154:AD156" si="32">SUM(F154:S154)</f>
        <v>#REF!</v>
      </c>
      <c r="AF154" s="326" t="e">
        <f t="shared" ref="AF154:AF156" si="33">SUM(U154:Z154)</f>
        <v>#REF!</v>
      </c>
      <c r="AI154" s="181" t="s">
        <v>742</v>
      </c>
    </row>
    <row r="155" spans="1:39" ht="24.75" customHeight="1">
      <c r="A155" s="1022" t="s">
        <v>1050</v>
      </c>
      <c r="B155" s="350"/>
      <c r="C155" s="351"/>
      <c r="D155" s="1023"/>
      <c r="E155" s="351"/>
      <c r="F155" s="235"/>
      <c r="G155" s="327" t="e">
        <f>COUNTIFS(#REF!,"YES",#REF!,"White",#REF!,"Female",#REF!,"YES")</f>
        <v>#REF!</v>
      </c>
      <c r="H155" s="239"/>
      <c r="I155" s="247" t="e">
        <f>COUNTIFS(#REF!,"YES",#REF!,"African American /Black",#REF!,"Female",#REF!,"YES")</f>
        <v>#REF!</v>
      </c>
      <c r="J155" s="239"/>
      <c r="K155" s="247" t="e">
        <f>COUNTIFS(#REF!,"YES",#REF!,"Native Hawaiian/Pacific",#REF!,"Female",#REF!,"YES")</f>
        <v>#REF!</v>
      </c>
      <c r="L155" s="239"/>
      <c r="M155" s="247" t="e">
        <f>COUNTIFS(#REF!,"YES",#REF!,"Asian",#REF!,"Female",#REF!,"YES")</f>
        <v>#REF!</v>
      </c>
      <c r="N155" s="239"/>
      <c r="O155" s="247" t="e">
        <f>COUNTIFS(#REF!,"YES",#REF!,"American Indian Alaskan Native",#REF!,"Female",#REF!,"YES")</f>
        <v>#REF!</v>
      </c>
      <c r="P155" s="239"/>
      <c r="Q155" s="247" t="e">
        <f>COUNTIFS(#REF!,"YES",#REF!,"More than One Race Reported",#REF!,"Female",#REF!,"YES")</f>
        <v>#REF!</v>
      </c>
      <c r="R155" s="239"/>
      <c r="S155" s="247" t="e">
        <f>COUNTIFS(#REF!,"YES",#REF!,"Unknown",#REF!,"Female",#REF!,"YES")</f>
        <v>#REF!</v>
      </c>
      <c r="T155" s="239"/>
      <c r="U155" s="239"/>
      <c r="V155" s="247" t="e">
        <f>COUNTIFS(#REF!,"YES",#REF!,"Not Hispanic or Latino",#REF!,"Female",#REF!,"YES")</f>
        <v>#REF!</v>
      </c>
      <c r="W155" s="239"/>
      <c r="X155" s="247" t="e">
        <f>COUNTIFS(#REF!,"YES",#REF!,"Hispanic-Latino ",#REF!,"Female",#REF!,"YES")</f>
        <v>#REF!</v>
      </c>
      <c r="Y155" s="239"/>
      <c r="Z155" s="247" t="e">
        <f>COUNTIFS(#REF!,"YES",#REF!,"Unknown",#REF!,"Female",#REF!,"YES")</f>
        <v>#REF!</v>
      </c>
      <c r="AA155" s="1016" t="s">
        <v>1051</v>
      </c>
      <c r="AB155" s="350"/>
      <c r="AC155" s="351"/>
      <c r="AD155" s="328" t="e">
        <f t="shared" si="32"/>
        <v>#REF!</v>
      </c>
      <c r="AF155" s="329" t="e">
        <f t="shared" si="33"/>
        <v>#REF!</v>
      </c>
    </row>
    <row r="156" spans="1:39" ht="24.75" customHeight="1">
      <c r="A156" s="1024" t="s">
        <v>1052</v>
      </c>
      <c r="B156" s="350"/>
      <c r="C156" s="351"/>
      <c r="D156" s="1023" t="s">
        <v>1001</v>
      </c>
      <c r="E156" s="351"/>
      <c r="F156" s="250" t="e">
        <f>COUNTIFS(#REF!,"&gt;=YES",#REF!,"White",#REF!,"Male")</f>
        <v>#REF!</v>
      </c>
      <c r="G156" s="330" t="e">
        <f>COUNTIFS(#REF!,"&gt;=YES",#REF!,"White",#REF!,"Female")</f>
        <v>#REF!</v>
      </c>
      <c r="H156" s="250" t="e">
        <f>COUNTIFS(#REF!,"&gt;=YES",#REF!,"African American /Black",#REF!,"Male")</f>
        <v>#REF!</v>
      </c>
      <c r="I156" s="251" t="e">
        <f>COUNTIFS(#REF!,"&gt;=YES",#REF!,"African American /Black",#REF!,"Female")</f>
        <v>#REF!</v>
      </c>
      <c r="J156" s="250" t="e">
        <f>COUNTIFS(#REF!,"&gt;=YES",#REF!,"Native Hawaiian/Pacific",#REF!,"Male")</f>
        <v>#REF!</v>
      </c>
      <c r="K156" s="251" t="e">
        <f>COUNTIFS(#REF!,"&gt;=YES",#REF!,"Native Hawaiian/Pacific",#REF!,"Female")</f>
        <v>#REF!</v>
      </c>
      <c r="L156" s="250" t="e">
        <f>COUNTIFS(#REF!,"&gt;=YES",#REF!,"Asian",#REF!,"Male")</f>
        <v>#REF!</v>
      </c>
      <c r="M156" s="251" t="e">
        <f>COUNTIFS(#REF!,"&gt;=YES",#REF!,"Asian",#REF!,"Female")</f>
        <v>#REF!</v>
      </c>
      <c r="N156" s="250" t="e">
        <f>COUNTIFS(#REF!,"&gt;=YES",#REF!,"American Indian Alaskan Native",#REF!,"Male")</f>
        <v>#REF!</v>
      </c>
      <c r="O156" s="251" t="e">
        <f>COUNTIFS(#REF!,"&gt;=YES",#REF!,"American Indian Alaskan Native",#REF!,"Female")</f>
        <v>#REF!</v>
      </c>
      <c r="P156" s="250" t="e">
        <f>COUNTIFS(#REF!,"&gt;=YES",#REF!,"More than One Race Reported",#REF!,"Male")</f>
        <v>#REF!</v>
      </c>
      <c r="Q156" s="251" t="e">
        <f>COUNTIFS(#REF!,"&gt;=YES",#REF!,"More than One Race Reported",#REF!,"Female")</f>
        <v>#REF!</v>
      </c>
      <c r="R156" s="250" t="e">
        <f>COUNTIFS(#REF!,"&gt;=YES",#REF!,"Unknown",#REF!,"Male")</f>
        <v>#REF!</v>
      </c>
      <c r="S156" s="251" t="e">
        <f>COUNTIFS(#REF!,"&gt;=YES",#REF!,"Unknown",#REF!,"Female")</f>
        <v>#REF!</v>
      </c>
      <c r="T156" s="235"/>
      <c r="U156" s="250" t="e">
        <f>COUNTIFS(#REF!,"YES",#REF!,"Not Hispanic or Latino",#REF!,"Male")</f>
        <v>#REF!</v>
      </c>
      <c r="V156" s="251" t="e">
        <f>COUNTIFS(#REF!,"YES",#REF!,"Not Hispanic or Latino",#REF!,"Female")</f>
        <v>#REF!</v>
      </c>
      <c r="W156" s="250" t="e">
        <f>COUNTIFS(#REF!,"YES",#REF!,"Hispanic-Latino ",#REF!,"Male")</f>
        <v>#REF!</v>
      </c>
      <c r="X156" s="251" t="e">
        <f>COUNTIFS(#REF!,"YES",#REF!,"Hispanic-Latino ",#REF!,"Female")</f>
        <v>#REF!</v>
      </c>
      <c r="Y156" s="250" t="e">
        <f>COUNTIFS(#REF!,"YES",#REF!,"Unknown",#REF!,"Male")</f>
        <v>#REF!</v>
      </c>
      <c r="Z156" s="251" t="e">
        <f>COUNTIFS(#REF!,"YES",#REF!,"Unknown",#REF!,"Female")</f>
        <v>#REF!</v>
      </c>
      <c r="AA156" s="1017" t="s">
        <v>1053</v>
      </c>
      <c r="AB156" s="350"/>
      <c r="AC156" s="351"/>
      <c r="AD156" s="331" t="e">
        <f t="shared" si="32"/>
        <v>#REF!</v>
      </c>
      <c r="AF156" s="332" t="e">
        <f t="shared" si="33"/>
        <v>#REF!</v>
      </c>
    </row>
    <row r="157" spans="1:39" ht="15.75" customHeight="1">
      <c r="A157" s="273"/>
      <c r="B157" s="273"/>
      <c r="C157" s="273"/>
      <c r="D157" s="274"/>
      <c r="E157" s="274"/>
      <c r="F157" s="1025" t="s">
        <v>1054</v>
      </c>
      <c r="G157" s="378"/>
      <c r="H157" s="378"/>
      <c r="I157" s="378"/>
      <c r="J157" s="378"/>
      <c r="K157" s="378"/>
      <c r="L157" s="378"/>
      <c r="M157" s="378"/>
      <c r="N157" s="378"/>
      <c r="O157" s="378"/>
      <c r="P157" s="378"/>
      <c r="Q157" s="378"/>
      <c r="R157" s="378"/>
      <c r="S157" s="495"/>
      <c r="T157" s="206"/>
      <c r="U157" s="1025" t="s">
        <v>1054</v>
      </c>
      <c r="V157" s="378"/>
      <c r="W157" s="378"/>
      <c r="X157" s="378"/>
      <c r="Y157" s="378"/>
      <c r="Z157" s="495"/>
      <c r="AA157" s="285"/>
      <c r="AB157" s="285"/>
      <c r="AC157" s="285"/>
      <c r="AD157" s="275"/>
      <c r="AE157" s="108"/>
      <c r="AF157" s="275"/>
    </row>
    <row r="158" spans="1:39" ht="24.75" customHeight="1">
      <c r="A158" s="984" t="s">
        <v>739</v>
      </c>
      <c r="B158" s="350"/>
      <c r="C158" s="351"/>
      <c r="D158" s="1026" t="s">
        <v>1055</v>
      </c>
      <c r="E158" s="351"/>
      <c r="F158" s="55" t="e">
        <f>COUNTIFS(#REF!,"accepted",#REF!,"White",#REF!,"Male")</f>
        <v>#REF!</v>
      </c>
      <c r="G158" s="55" t="e">
        <f>COUNTIFS(#REF!,"accepted",#REF!,"White",#REF!,"Female")</f>
        <v>#REF!</v>
      </c>
      <c r="H158" s="55" t="e">
        <f>COUNTIFS(#REF!,"accepted",#REF!,"African American /Black",#REF!,"Male")</f>
        <v>#REF!</v>
      </c>
      <c r="I158" s="55" t="e">
        <f>COUNTIFS(#REF!,"accepted",#REF!,"African American /Black",#REF!,"Female")</f>
        <v>#REF!</v>
      </c>
      <c r="J158" s="55" t="e">
        <f>COUNTIFS(#REF!,"accepted",#REF!,"Native Hawaiian/Pacific",#REF!,"Male")</f>
        <v>#REF!</v>
      </c>
      <c r="K158" s="55" t="e">
        <f>COUNTIFS(#REF!,"accepted",#REF!,"Native Hawaiian/Pacific",#REF!,"Female")</f>
        <v>#REF!</v>
      </c>
      <c r="L158" s="55" t="e">
        <f>COUNTIFS(#REF!,"accepted",#REF!,"Asian",#REF!,"Male")</f>
        <v>#REF!</v>
      </c>
      <c r="M158" s="55" t="e">
        <f>COUNTIFS(#REF!,"accepted",#REF!,"Asian",#REF!,"Female")</f>
        <v>#REF!</v>
      </c>
      <c r="N158" s="55" t="e">
        <f>COUNTIFS(#REF!,"accepted",#REF!,"American Indian Alaskan Native",#REF!,"Male")</f>
        <v>#REF!</v>
      </c>
      <c r="O158" s="55" t="e">
        <f>COUNTIFS(#REF!,"accepted",#REF!,"American Indian Alaskan Native",#REF!,"Female")</f>
        <v>#REF!</v>
      </c>
      <c r="P158" s="55" t="e">
        <f>COUNTIFS(#REF!,"accepted",#REF!,"More than One Race Reported",#REF!,"Male")</f>
        <v>#REF!</v>
      </c>
      <c r="Q158" s="55" t="e">
        <f>COUNTIFS(#REF!,"accepted",#REF!,"More than One Race Reported",#REF!,"Female")</f>
        <v>#REF!</v>
      </c>
      <c r="R158" s="55" t="e">
        <f>COUNTIFS(#REF!,"accepted",#REF!,"Unknown",#REF!,"Male")</f>
        <v>#REF!</v>
      </c>
      <c r="S158" s="55" t="e">
        <f>COUNTIFS(#REF!,"accepted",#REF!,"Unknown",#REF!,"Female")</f>
        <v>#REF!</v>
      </c>
      <c r="T158" s="279"/>
      <c r="U158" s="55" t="e">
        <f>COUNTIFS(#REF!,"accepted",#REF!,"Not Hispanic or Latino",#REF!,"Male")</f>
        <v>#REF!</v>
      </c>
      <c r="V158" s="55" t="e">
        <f>COUNTIFS(#REF!,"accepted",#REF!,"Not Hispanic or Latino",#REF!,"Female")</f>
        <v>#REF!</v>
      </c>
      <c r="W158" s="55" t="e">
        <f>COUNTIFS(#REF!,"accepted",#REF!,"Hispanic-Latino ",#REF!,"Male")</f>
        <v>#REF!</v>
      </c>
      <c r="X158" s="55" t="e">
        <f>COUNTIFS(#REF!,"accepted",#REF!,"Hispanic-Latino ",#REF!,"Female")</f>
        <v>#REF!</v>
      </c>
      <c r="Y158" s="55" t="e">
        <f>COUNTIFS(#REF!,"accepted",#REF!,"Unknown",#REF!,"Male")</f>
        <v>#REF!</v>
      </c>
      <c r="Z158" s="55" t="e">
        <f>COUNTIFS(#REF!,"accepted",#REF!,"Unknown",#REF!,"Female")</f>
        <v>#REF!</v>
      </c>
      <c r="AA158" s="984" t="s">
        <v>1056</v>
      </c>
      <c r="AB158" s="350"/>
      <c r="AC158" s="351"/>
      <c r="AD158" s="50" t="e">
        <f t="shared" ref="AD158:AD161" si="34">SUM(F158:S158)</f>
        <v>#REF!</v>
      </c>
      <c r="AF158" s="50" t="e">
        <f t="shared" ref="AF158:AF161" si="35">SUM(U158:Z158)</f>
        <v>#REF!</v>
      </c>
    </row>
    <row r="159" spans="1:39" ht="24.75" customHeight="1">
      <c r="A159" s="571" t="s">
        <v>740</v>
      </c>
      <c r="B159" s="350"/>
      <c r="C159" s="351"/>
      <c r="D159" s="1027" t="s">
        <v>1055</v>
      </c>
      <c r="E159" s="351"/>
      <c r="F159" s="76" t="e">
        <f>COUNTIFS(#REF!,"wait list (give anticpated time)",#REF!,"White",#REF!,"Male")</f>
        <v>#REF!</v>
      </c>
      <c r="G159" s="76" t="e">
        <f>COUNTIFS(#REF!,"wait list (give anticpated time)",#REF!,"White",#REF!,"Female")</f>
        <v>#REF!</v>
      </c>
      <c r="H159" s="76" t="e">
        <f>COUNTIFS(#REF!,"wait list (give anticpated time)",#REF!,"African American /Black",#REF!,"Male")</f>
        <v>#REF!</v>
      </c>
      <c r="I159" s="76" t="e">
        <f>COUNTIFS(#REF!,"wait list (give anticpated time)",#REF!,"African American /Black",#REF!,"Female")</f>
        <v>#REF!</v>
      </c>
      <c r="J159" s="76" t="e">
        <f>COUNTIFS(#REF!,"wait list (give anticpated time)",#REF!,"Native Hawaiian/Pacific",#REF!,"Male")</f>
        <v>#REF!</v>
      </c>
      <c r="K159" s="76" t="e">
        <f>COUNTIFS(#REF!,"wait list (give anticpated time)",#REF!,"Native Hawaiian/Pacific",#REF!,"Female")</f>
        <v>#REF!</v>
      </c>
      <c r="L159" s="76" t="e">
        <f>COUNTIFS(#REF!,"wait list (give anticpated time)",#REF!,"Asian",#REF!,"Male")</f>
        <v>#REF!</v>
      </c>
      <c r="M159" s="76" t="e">
        <f>COUNTIFS(#REF!,"wait list (give anticpated time)",#REF!,"Asian",#REF!,"Female")</f>
        <v>#REF!</v>
      </c>
      <c r="N159" s="76" t="e">
        <f>COUNTIFS(#REF!,"wait list (give anticpated time)",#REF!,"American Indian Alaskan Native",#REF!,"Male")</f>
        <v>#REF!</v>
      </c>
      <c r="O159" s="76" t="e">
        <f>COUNTIFS(#REF!,"wait list (give anticpated time)",#REF!,"American Indian Alaskan Native",#REF!,"Female")</f>
        <v>#REF!</v>
      </c>
      <c r="P159" s="76" t="e">
        <f>COUNTIFS(#REF!,"wait list (give anticpated time)",#REF!,"More than One Race Reported",#REF!,"Male")</f>
        <v>#REF!</v>
      </c>
      <c r="Q159" s="76" t="e">
        <f>COUNTIFS(#REF!,"wait list (give anticpated time)",#REF!,"More than One Race Reported",#REF!,"Female")</f>
        <v>#REF!</v>
      </c>
      <c r="R159" s="76" t="e">
        <f>COUNTIFS(#REF!,"wait list (give anticpated time)",#REF!,"Unknown",#REF!,"Male")</f>
        <v>#REF!</v>
      </c>
      <c r="S159" s="76" t="e">
        <f>COUNTIFS(#REF!,"wait list (give anticpated time)",#REF!,"Unknown",#REF!,"Female")</f>
        <v>#REF!</v>
      </c>
      <c r="T159" s="279"/>
      <c r="U159" s="76" t="e">
        <f>COUNTIFS(#REF!,"wait list (give anticpated time)",#REF!,"Not Hispanic or Latino",#REF!,"Male")</f>
        <v>#REF!</v>
      </c>
      <c r="V159" s="76" t="e">
        <f>COUNTIFS(#REF!,"wait list (give anticpated time)",#REF!,"Not Hispanic or Latino",#REF!,"Female")</f>
        <v>#REF!</v>
      </c>
      <c r="W159" s="76" t="e">
        <f>COUNTIFS(#REF!,"wait list (give anticpated time)",#REF!,"Hispanic-Latino ",#REF!,"Male")</f>
        <v>#REF!</v>
      </c>
      <c r="X159" s="76" t="e">
        <f>COUNTIFS(#REF!,"wait list (give anticpated time)",#REF!,"Hispanic-Latino ",#REF!,"Female")</f>
        <v>#REF!</v>
      </c>
      <c r="Y159" s="76" t="e">
        <f>COUNTIFS(#REF!,"wait list (give anticpated time)",#REF!,"Unknown",#REF!,"Male")</f>
        <v>#REF!</v>
      </c>
      <c r="Z159" s="76" t="e">
        <f>COUNTIFS(#REF!,"wait list (give anticpated time)",#REF!,"Unknown",#REF!,"Female")</f>
        <v>#REF!</v>
      </c>
      <c r="AA159" s="571" t="s">
        <v>1057</v>
      </c>
      <c r="AB159" s="350"/>
      <c r="AC159" s="351"/>
      <c r="AD159" s="70" t="e">
        <f t="shared" si="34"/>
        <v>#REF!</v>
      </c>
      <c r="AF159" s="70" t="e">
        <f t="shared" si="35"/>
        <v>#REF!</v>
      </c>
    </row>
    <row r="160" spans="1:39" ht="24.75" customHeight="1">
      <c r="A160" s="984" t="s">
        <v>742</v>
      </c>
      <c r="B160" s="350"/>
      <c r="C160" s="351"/>
      <c r="D160" s="1026" t="s">
        <v>1055</v>
      </c>
      <c r="E160" s="351"/>
      <c r="F160" s="55" t="e">
        <f>COUNTIFS(#REF!,"denied (give reason) ",#REF!,"White",#REF!,"Male")</f>
        <v>#REF!</v>
      </c>
      <c r="G160" s="55" t="e">
        <f>COUNTIFS(#REF!,"denied (give reason) ",#REF!,"White",#REF!,"Female")</f>
        <v>#REF!</v>
      </c>
      <c r="H160" s="55" t="e">
        <f>COUNTIFS(#REF!,"denied (give reason) ",#REF!,"African American /Black",#REF!,"Male")</f>
        <v>#REF!</v>
      </c>
      <c r="I160" s="55" t="e">
        <f>COUNTIFS(#REF!,"denied (give reason) ",#REF!,"African American /Black",#REF!,"Female")</f>
        <v>#REF!</v>
      </c>
      <c r="J160" s="55" t="e">
        <f>COUNTIFS(#REF!,"denied (give reason) ",#REF!,"Native Hawaiian/Pacific",#REF!,"Male")</f>
        <v>#REF!</v>
      </c>
      <c r="K160" s="55" t="e">
        <f>COUNTIFS(#REF!,"denied (give reason) ",#REF!,"Native Hawaiian/Pacific",#REF!,"Female")</f>
        <v>#REF!</v>
      </c>
      <c r="L160" s="55" t="e">
        <f>COUNTIFS(#REF!,"denied (give reason) ",#REF!,"Asian",#REF!,"Male")</f>
        <v>#REF!</v>
      </c>
      <c r="M160" s="55" t="e">
        <f>COUNTIFS(#REF!,"denied (give reason) ",#REF!,"Asian",#REF!,"Female")</f>
        <v>#REF!</v>
      </c>
      <c r="N160" s="55" t="e">
        <f>COUNTIFS(#REF!,"denied (give reason) ",#REF!,"American Indian Alaskan Native",#REF!,"Male")</f>
        <v>#REF!</v>
      </c>
      <c r="O160" s="55" t="e">
        <f>COUNTIFS(#REF!,"denied (give reason) ",#REF!,"American Indian Alaskan Native",#REF!,"Female")</f>
        <v>#REF!</v>
      </c>
      <c r="P160" s="55" t="e">
        <f>COUNTIFS(#REF!,"denied (give reason) ",#REF!,"More than One Race Reported",#REF!,"Male")</f>
        <v>#REF!</v>
      </c>
      <c r="Q160" s="55" t="e">
        <f>COUNTIFS(#REF!,"denied (give reason) ",#REF!,"More than One Race Reported",#REF!,"Female")</f>
        <v>#REF!</v>
      </c>
      <c r="R160" s="55" t="e">
        <f>COUNTIFS(#REF!,"denied (give reason) ",#REF!,"Unknown",#REF!,"Male")</f>
        <v>#REF!</v>
      </c>
      <c r="S160" s="55" t="e">
        <f>COUNTIFS(#REF!,"denied (give reason) ",#REF!,"Unknown",#REF!,"Female")</f>
        <v>#REF!</v>
      </c>
      <c r="T160" s="279"/>
      <c r="U160" s="55" t="e">
        <f>COUNTIFS(#REF!,"denied (give reason) ",#REF!,"Not Hispanic or Latino",#REF!,"Male")</f>
        <v>#REF!</v>
      </c>
      <c r="V160" s="55" t="e">
        <f>COUNTIFS(#REF!,"denied (give reason) ",#REF!,"Not Hispanic or Latino",#REF!,"Female")</f>
        <v>#REF!</v>
      </c>
      <c r="W160" s="55" t="e">
        <f>COUNTIFS(#REF!,"denied (give reason) ",#REF!,"Hispanic-Latino ",#REF!,"Male")</f>
        <v>#REF!</v>
      </c>
      <c r="X160" s="55" t="e">
        <f>COUNTIFS(#REF!,"denied (give reason) ",#REF!,"Hispanic-Latino ",#REF!,"Female")</f>
        <v>#REF!</v>
      </c>
      <c r="Y160" s="55" t="e">
        <f>COUNTIFS(#REF!,"denied (give reason) ",#REF!,"Unknown",#REF!,"Male")</f>
        <v>#REF!</v>
      </c>
      <c r="Z160" s="55" t="e">
        <f>COUNTIFS(#REF!,"denied (give reason) ",#REF!,"Unknown",#REF!,"Female")</f>
        <v>#REF!</v>
      </c>
      <c r="AA160" s="984" t="s">
        <v>1058</v>
      </c>
      <c r="AB160" s="350"/>
      <c r="AC160" s="351"/>
      <c r="AD160" s="50" t="e">
        <f t="shared" si="34"/>
        <v>#REF!</v>
      </c>
      <c r="AF160" s="50" t="e">
        <f t="shared" si="35"/>
        <v>#REF!</v>
      </c>
    </row>
    <row r="161" spans="1:49" ht="15.75" customHeight="1">
      <c r="A161" s="282"/>
      <c r="B161" s="282"/>
      <c r="C161" s="282"/>
      <c r="D161" s="283"/>
      <c r="E161" s="283"/>
      <c r="F161" s="284" t="e">
        <f t="shared" ref="F161:S161" si="36">SUM(F158:F160)</f>
        <v>#REF!</v>
      </c>
      <c r="G161" s="284" t="e">
        <f t="shared" si="36"/>
        <v>#REF!</v>
      </c>
      <c r="H161" s="284" t="e">
        <f t="shared" si="36"/>
        <v>#REF!</v>
      </c>
      <c r="I161" s="284" t="e">
        <f t="shared" si="36"/>
        <v>#REF!</v>
      </c>
      <c r="J161" s="284" t="e">
        <f t="shared" si="36"/>
        <v>#REF!</v>
      </c>
      <c r="K161" s="284" t="e">
        <f t="shared" si="36"/>
        <v>#REF!</v>
      </c>
      <c r="L161" s="284" t="e">
        <f t="shared" si="36"/>
        <v>#REF!</v>
      </c>
      <c r="M161" s="284" t="e">
        <f t="shared" si="36"/>
        <v>#REF!</v>
      </c>
      <c r="N161" s="284" t="e">
        <f t="shared" si="36"/>
        <v>#REF!</v>
      </c>
      <c r="O161" s="284" t="e">
        <f t="shared" si="36"/>
        <v>#REF!</v>
      </c>
      <c r="P161" s="284" t="e">
        <f t="shared" si="36"/>
        <v>#REF!</v>
      </c>
      <c r="Q161" s="284" t="e">
        <f t="shared" si="36"/>
        <v>#REF!</v>
      </c>
      <c r="R161" s="284" t="e">
        <f t="shared" si="36"/>
        <v>#REF!</v>
      </c>
      <c r="S161" s="284" t="e">
        <f t="shared" si="36"/>
        <v>#REF!</v>
      </c>
      <c r="T161" s="279"/>
      <c r="U161" s="284" t="e">
        <f t="shared" ref="U161:Z161" si="37">SUM(U158:U160)</f>
        <v>#REF!</v>
      </c>
      <c r="V161" s="284" t="e">
        <f t="shared" si="37"/>
        <v>#REF!</v>
      </c>
      <c r="W161" s="284" t="e">
        <f t="shared" si="37"/>
        <v>#REF!</v>
      </c>
      <c r="X161" s="284" t="e">
        <f t="shared" si="37"/>
        <v>#REF!</v>
      </c>
      <c r="Y161" s="284" t="e">
        <f t="shared" si="37"/>
        <v>#REF!</v>
      </c>
      <c r="Z161" s="284" t="e">
        <f t="shared" si="37"/>
        <v>#REF!</v>
      </c>
      <c r="AA161" s="1028" t="s">
        <v>574</v>
      </c>
      <c r="AB161" s="378"/>
      <c r="AC161" s="495"/>
      <c r="AD161" s="170" t="e">
        <f t="shared" si="34"/>
        <v>#REF!</v>
      </c>
      <c r="AE161" s="198"/>
      <c r="AF161" s="170" t="e">
        <f t="shared" si="35"/>
        <v>#REF!</v>
      </c>
    </row>
    <row r="162" spans="1:49" ht="15.75" customHeight="1"/>
    <row r="163" spans="1:49" ht="15.75" customHeight="1"/>
    <row r="164" spans="1:49" ht="15.75" customHeight="1"/>
    <row r="165" spans="1:49" ht="15.75" customHeight="1"/>
    <row r="166" spans="1:49" ht="15.75" customHeight="1"/>
    <row r="167" spans="1:49" ht="15.75" customHeight="1">
      <c r="A167" s="1009" t="s">
        <v>1059</v>
      </c>
      <c r="B167" s="381"/>
      <c r="C167" s="381"/>
      <c r="D167" s="381"/>
      <c r="E167" s="381"/>
      <c r="F167" s="381"/>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428"/>
    </row>
    <row r="168" spans="1:49" ht="15.75" customHeight="1"/>
    <row r="169" spans="1:49" ht="15.75" customHeight="1">
      <c r="A169" s="1013" t="s">
        <v>1060</v>
      </c>
      <c r="B169" s="381"/>
      <c r="C169" s="381"/>
      <c r="D169" s="381"/>
      <c r="E169" s="381"/>
      <c r="F169" s="381"/>
      <c r="G169" s="381"/>
      <c r="H169" s="381"/>
      <c r="I169" s="381"/>
      <c r="J169" s="381"/>
      <c r="K169" s="381"/>
      <c r="L169" s="381"/>
      <c r="M169" s="381"/>
      <c r="N169" s="381"/>
      <c r="O169" s="381"/>
      <c r="P169" s="381"/>
      <c r="Q169" s="381"/>
      <c r="R169" s="381"/>
      <c r="S169" s="381"/>
      <c r="T169" s="381"/>
      <c r="U169" s="381"/>
      <c r="V169" s="381"/>
      <c r="W169" s="428"/>
      <c r="AA169" s="1014" t="s">
        <v>1061</v>
      </c>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428"/>
    </row>
    <row r="170" spans="1:49" ht="15.75" customHeight="1">
      <c r="F170" s="246" t="s">
        <v>997</v>
      </c>
      <c r="G170" s="246"/>
      <c r="H170" s="246" t="s">
        <v>1001</v>
      </c>
      <c r="I170" s="246"/>
      <c r="J170" s="246" t="s">
        <v>1062</v>
      </c>
      <c r="K170" s="246"/>
      <c r="L170" s="246" t="s">
        <v>1063</v>
      </c>
      <c r="M170" s="246"/>
      <c r="N170" s="246" t="s">
        <v>1064</v>
      </c>
      <c r="O170" s="246"/>
      <c r="P170" s="246" t="s">
        <v>1065</v>
      </c>
      <c r="Q170" s="246"/>
      <c r="R170" s="246" t="s">
        <v>917</v>
      </c>
      <c r="S170" s="246"/>
      <c r="T170" s="246" t="s">
        <v>1066</v>
      </c>
      <c r="U170" s="246"/>
      <c r="V170" s="246" t="s">
        <v>926</v>
      </c>
      <c r="AF170" s="333" t="s">
        <v>935</v>
      </c>
      <c r="AG170" s="333"/>
      <c r="AH170" s="333" t="s">
        <v>944</v>
      </c>
      <c r="AI170" s="333"/>
      <c r="AJ170" s="333" t="s">
        <v>953</v>
      </c>
      <c r="AK170" s="333"/>
      <c r="AL170" s="333" t="s">
        <v>962</v>
      </c>
      <c r="AM170" s="333"/>
      <c r="AN170" s="333" t="s">
        <v>971</v>
      </c>
      <c r="AO170" s="333"/>
      <c r="AP170" s="333" t="s">
        <v>919</v>
      </c>
      <c r="AQ170" s="333"/>
      <c r="AR170" s="333" t="s">
        <v>1006</v>
      </c>
      <c r="AS170" s="333"/>
      <c r="AT170" s="333" t="s">
        <v>928</v>
      </c>
      <c r="AU170" s="333"/>
      <c r="AV170" s="333" t="s">
        <v>937</v>
      </c>
      <c r="AW170" s="333"/>
    </row>
    <row r="171" spans="1:49" ht="67.5" customHeight="1">
      <c r="A171" s="934" t="s">
        <v>1059</v>
      </c>
      <c r="B171" s="350"/>
      <c r="C171" s="350"/>
      <c r="D171" s="350"/>
      <c r="E171" s="351"/>
      <c r="F171" s="984" t="s">
        <v>456</v>
      </c>
      <c r="G171" s="351"/>
      <c r="H171" s="506" t="s">
        <v>457</v>
      </c>
      <c r="I171" s="351"/>
      <c r="J171" s="984" t="s">
        <v>458</v>
      </c>
      <c r="K171" s="351"/>
      <c r="L171" s="571" t="s">
        <v>459</v>
      </c>
      <c r="M171" s="351"/>
      <c r="N171" s="984" t="s">
        <v>460</v>
      </c>
      <c r="O171" s="351"/>
      <c r="P171" s="571" t="s">
        <v>461</v>
      </c>
      <c r="Q171" s="351"/>
      <c r="R171" s="984" t="s">
        <v>462</v>
      </c>
      <c r="S171" s="351"/>
      <c r="T171" s="571" t="s">
        <v>463</v>
      </c>
      <c r="U171" s="351"/>
      <c r="V171" s="984" t="s">
        <v>464</v>
      </c>
      <c r="W171" s="351"/>
      <c r="AA171" s="983"/>
      <c r="AB171" s="350"/>
      <c r="AC171" s="350"/>
      <c r="AD171" s="350"/>
      <c r="AE171" s="351"/>
      <c r="AF171" s="986" t="s">
        <v>456</v>
      </c>
      <c r="AG171" s="351"/>
      <c r="AH171" s="985" t="s">
        <v>457</v>
      </c>
      <c r="AI171" s="351"/>
      <c r="AJ171" s="986" t="s">
        <v>458</v>
      </c>
      <c r="AK171" s="351"/>
      <c r="AL171" s="985" t="s">
        <v>459</v>
      </c>
      <c r="AM171" s="351"/>
      <c r="AN171" s="986" t="s">
        <v>460</v>
      </c>
      <c r="AO171" s="351"/>
      <c r="AP171" s="985" t="s">
        <v>461</v>
      </c>
      <c r="AQ171" s="351"/>
      <c r="AR171" s="986" t="s">
        <v>462</v>
      </c>
      <c r="AS171" s="351"/>
      <c r="AT171" s="985" t="s">
        <v>463</v>
      </c>
      <c r="AU171" s="351"/>
      <c r="AV171" s="986" t="s">
        <v>464</v>
      </c>
      <c r="AW171" s="351"/>
    </row>
    <row r="172" spans="1:49" ht="39.75" customHeight="1">
      <c r="A172" s="861" t="s">
        <v>755</v>
      </c>
      <c r="B172" s="350"/>
      <c r="C172" s="351"/>
      <c r="D172" s="511"/>
      <c r="E172" s="351"/>
      <c r="F172" s="755">
        <f>SUMIFS(TRAINING!Z22:Z891,TRAINING!C22:C891,"Training Received Through Employer")</f>
        <v>0</v>
      </c>
      <c r="G172" s="351"/>
      <c r="H172" s="753">
        <f>SUMIFS(TRAINING!AA22:AA891,TRAINING!C22:C891,"Training Received Through Employer")</f>
        <v>0</v>
      </c>
      <c r="I172" s="351"/>
      <c r="J172" s="755">
        <f>SUMIFS(TRAINING!AB22:AB891,TRAINING!C22:C891,"Training Received Through Employer")</f>
        <v>0</v>
      </c>
      <c r="K172" s="351"/>
      <c r="L172" s="753">
        <f>SUMIFS(TRAINING!AC22:AC891,TRAINING!C22:C891,"Training Received Through Employer")</f>
        <v>0</v>
      </c>
      <c r="M172" s="351"/>
      <c r="N172" s="755">
        <f>SUMIFS(TRAINING!AD22:AD891,TRAINING!C22:C891,"Training Received Through Employer")</f>
        <v>0</v>
      </c>
      <c r="O172" s="351"/>
      <c r="P172" s="753">
        <f>SUMIFS(TRAINING!AE22:AE891,TRAINING!C22:C891,"Training Received Through Employer")</f>
        <v>0</v>
      </c>
      <c r="Q172" s="351"/>
      <c r="R172" s="755">
        <f>SUMIFS(TRAINING!AF22:AF891,TRAINING!C22:C891,"Training Received Through Employer")</f>
        <v>0</v>
      </c>
      <c r="S172" s="351"/>
      <c r="T172" s="753">
        <f>SUMIFS(TRAINING!AG22:AG891,TRAINING!C22:C891,"Training Received Through Employer")</f>
        <v>0</v>
      </c>
      <c r="U172" s="351"/>
      <c r="V172" s="755">
        <f>SUMIFS(TRAINING!AK22:AK891,TRAINING!C22:C891,"Training Received Through Employer")</f>
        <v>0</v>
      </c>
      <c r="W172" s="351"/>
      <c r="AA172" s="982" t="s">
        <v>755</v>
      </c>
      <c r="AB172" s="350"/>
      <c r="AC172" s="351"/>
      <c r="AD172" s="983"/>
      <c r="AE172" s="351"/>
      <c r="AF172" s="917">
        <f>SUMIFS(TRAINING!AL22:AL891,TRAINING!C22:C891,"Training Received Through Employer")</f>
        <v>0</v>
      </c>
      <c r="AG172" s="351"/>
      <c r="AH172" s="981">
        <f>SUMIFS(TRAINING!AM22:AM891,TRAINING!C22:C891,"Training Received Through Employer")</f>
        <v>0</v>
      </c>
      <c r="AI172" s="351"/>
      <c r="AJ172" s="917">
        <f>SUMIFS(TRAINING!AN22:AN891,TRAINING!C22:C891,"Training Received Through Employer")</f>
        <v>0</v>
      </c>
      <c r="AK172" s="351"/>
      <c r="AL172" s="981">
        <f>SUMIFS(TRAINING!AO22:AO891,TRAINING!C22:C891,"Training Received Through Employer")</f>
        <v>0</v>
      </c>
      <c r="AM172" s="351"/>
      <c r="AN172" s="917">
        <f>SUMIFS(TRAINING!AP22:AP891,TRAINING!C22:C891,"Training Received Through Employer")</f>
        <v>0</v>
      </c>
      <c r="AO172" s="351"/>
      <c r="AP172" s="981">
        <f>SUMIFS(TRAINING!AQ22:AQ891,TRAINING!C22:C891,"Training Received Through Employer")</f>
        <v>0</v>
      </c>
      <c r="AQ172" s="351"/>
      <c r="AR172" s="917">
        <f>SUMIFS(TRAINING!AR22:AR891,TRAINING!C22:C891,"Training Received Through Employer")</f>
        <v>0</v>
      </c>
      <c r="AS172" s="351"/>
      <c r="AT172" s="981">
        <f>SUMIFS(TRAINING!AS22:AS891,TRAINING!C22:C891,"Training Received Through Employer")</f>
        <v>0</v>
      </c>
      <c r="AU172" s="351"/>
      <c r="AV172" s="917">
        <f>SUMIFS(TRAINING!AT22:AT891,TRAINING!C22:C891,"Training Received Through Employer")</f>
        <v>0</v>
      </c>
      <c r="AW172" s="351"/>
    </row>
    <row r="173" spans="1:49" ht="39.75" customHeight="1">
      <c r="A173" s="861" t="s">
        <v>1067</v>
      </c>
      <c r="B173" s="350"/>
      <c r="C173" s="351"/>
      <c r="D173" s="511"/>
      <c r="E173" s="351"/>
      <c r="F173" s="755">
        <f>SUMIFS(TRAINING!Z22:Z891,TRAINING!C22:C891,"Training Received externally (not through employer) ")</f>
        <v>0</v>
      </c>
      <c r="G173" s="351"/>
      <c r="H173" s="753">
        <f>SUMIFS(TRAINING!AA22:AA891,TRAINING!C22:C891,"Training Received externally (not through employer) ")</f>
        <v>0</v>
      </c>
      <c r="I173" s="351"/>
      <c r="J173" s="755">
        <f>SUMIFS(TRAINING!AB22:AB891,TRAINING!C22:C891,"Training Received externally (not through employer) ")</f>
        <v>0</v>
      </c>
      <c r="K173" s="351"/>
      <c r="L173" s="753">
        <f>SUMIFS(TRAINING!AC22:AC891,TRAINING!C22:C891,"Training Received externally (not through employer) ")</f>
        <v>0</v>
      </c>
      <c r="M173" s="351"/>
      <c r="N173" s="755">
        <f>SUMIFS(TRAINING!AD22:AD891,TRAINING!C22:C891,"Training Received externally (not through employer) ")</f>
        <v>0</v>
      </c>
      <c r="O173" s="351"/>
      <c r="P173" s="753">
        <f>SUMIFS(TRAINING!AE22:AE891,TRAINING!C22:C891,"Training Received externally (not through employer) ")</f>
        <v>0</v>
      </c>
      <c r="Q173" s="351"/>
      <c r="R173" s="755">
        <f>SUMIFS(TRAINING!AF22:AF891,TRAINING!C22:C891,"Training Received externally (not through employer) ")</f>
        <v>0</v>
      </c>
      <c r="S173" s="351"/>
      <c r="T173" s="753">
        <f>SUMIFS(TRAINING!AG22:AG891,TRAINING!C22:C891,"Training Received externally (not through employer) ")</f>
        <v>0</v>
      </c>
      <c r="U173" s="351"/>
      <c r="V173" s="755">
        <f>SUMIFS(TRAINING!AK22:AK891,TRAINING!C22:C891,"Training Received externally (not through employer) ")</f>
        <v>0</v>
      </c>
      <c r="W173" s="351"/>
      <c r="AA173" s="982" t="s">
        <v>1068</v>
      </c>
      <c r="AB173" s="350"/>
      <c r="AC173" s="351"/>
      <c r="AD173" s="983"/>
      <c r="AE173" s="351"/>
      <c r="AF173" s="917">
        <f>SUMIFS(TRAINING!AL22:AL891,TRAINING!C22:C891,"Training Received externally (not through employer) ")</f>
        <v>0</v>
      </c>
      <c r="AG173" s="351"/>
      <c r="AH173" s="981">
        <f>SUMIFS(TRAINING!AM22:AM891,TRAINING!C22:C891,"Training Received externally (not through employer) ")</f>
        <v>0</v>
      </c>
      <c r="AI173" s="351"/>
      <c r="AJ173" s="917">
        <f>SUMIFS(TRAINING!AN22:AN891,TRAINING!C22:C891,"Training Received externally (not through employer) ")</f>
        <v>0</v>
      </c>
      <c r="AK173" s="351"/>
      <c r="AL173" s="981">
        <f>SUMIFS(TRAINING!AO22:AO891,TRAINING!C22:C891,"Training Received externally (not through employer) ")</f>
        <v>0</v>
      </c>
      <c r="AM173" s="351"/>
      <c r="AN173" s="917">
        <f>SUMIFS(TRAINING!AP22:AP891,TRAINING!C22:C891,"Training Received externally (not through employer) ")</f>
        <v>0</v>
      </c>
      <c r="AO173" s="351"/>
      <c r="AP173" s="981">
        <f>SUMIFS(TRAINING!AQ22:AQ891,TRAINING!C22:C891,"Training Received externally (not through employer) ")</f>
        <v>0</v>
      </c>
      <c r="AQ173" s="351"/>
      <c r="AR173" s="917">
        <f>SUMIFS(TRAINING!AR22:AR891,TRAINING!C22:C891,"Training Received externally (not through employer) ")</f>
        <v>0</v>
      </c>
      <c r="AS173" s="351"/>
      <c r="AT173" s="981">
        <f>SUMIFS(TRAINING!AS22:AS891,TRAINING!C22:C891,"Training Received externally (not through employer) ")</f>
        <v>0</v>
      </c>
      <c r="AU173" s="351"/>
      <c r="AV173" s="917">
        <f>SUMIFS(TRAINING!AT22:AT891,TRAINING!C22:C891,"Training Received externally (not through employer) ")</f>
        <v>0</v>
      </c>
      <c r="AW173" s="351"/>
    </row>
    <row r="174" spans="1:49" ht="39.75" customHeight="1">
      <c r="A174" s="861" t="s">
        <v>761</v>
      </c>
      <c r="B174" s="350"/>
      <c r="C174" s="351"/>
      <c r="D174" s="511"/>
      <c r="E174" s="351"/>
      <c r="F174" s="755">
        <f>SUMIFS(TRAINING!Z22:Z891,TRAINING!C22:C891,"Cross Planning Initiative")</f>
        <v>0</v>
      </c>
      <c r="G174" s="351"/>
      <c r="H174" s="753">
        <f>SUMIFS(TRAINING!AA22:AA891,TRAINING!C22:C891,"Cross Planning Initiative")</f>
        <v>0</v>
      </c>
      <c r="I174" s="351"/>
      <c r="J174" s="755">
        <f>SUMIFS(TRAINING!AB22:AB891,TRAINING!C22:C891,"Cross Planning Initiative")</f>
        <v>0</v>
      </c>
      <c r="K174" s="351"/>
      <c r="L174" s="753">
        <f>SUMIFS(TRAINING!AC22:AC891,TRAINING!C22:C891,"Cross Planning Initiative")</f>
        <v>0</v>
      </c>
      <c r="M174" s="351"/>
      <c r="N174" s="755">
        <f>SUMIFS(TRAINING!AD22:AD891,TRAINING!C22:C891,"Cross Planning Initiative")</f>
        <v>0</v>
      </c>
      <c r="O174" s="351"/>
      <c r="P174" s="753">
        <f>SUMIFS(TRAINING!AE22:AE891,TRAINING!C22:C891,"Cross Planning Initiative")</f>
        <v>0</v>
      </c>
      <c r="Q174" s="351"/>
      <c r="R174" s="755">
        <f>SUMIFS(TRAINING!AF22:AF891,TRAINING!C22:C891,"Cross Planning Initiative")</f>
        <v>0</v>
      </c>
      <c r="S174" s="351"/>
      <c r="T174" s="753">
        <f>SUMIFS(TRAINING!AG22:AG891,TRAINING!C22:C891,"Cross Planning Initiative")</f>
        <v>0</v>
      </c>
      <c r="U174" s="351"/>
      <c r="V174" s="755">
        <f>SUMIFS(TRAINING!AK22:AK891,TRAINING!C22:C891,"Cross Planning Initiative")</f>
        <v>0</v>
      </c>
      <c r="W174" s="351"/>
      <c r="AA174" s="982" t="s">
        <v>761</v>
      </c>
      <c r="AB174" s="350"/>
      <c r="AC174" s="351"/>
      <c r="AD174" s="983"/>
      <c r="AE174" s="351"/>
      <c r="AF174" s="917">
        <f>SUMIFS(TRAINING!AL22:AL891,TRAINING!C22:C891,"Cross Planning Initiative")</f>
        <v>0</v>
      </c>
      <c r="AG174" s="351"/>
      <c r="AH174" s="981">
        <f>SUMIFS(TRAINING!AM22:AM891,TRAINING!C22:C891,"Cross Planning Initiative")</f>
        <v>0</v>
      </c>
      <c r="AI174" s="351"/>
      <c r="AJ174" s="917">
        <f>SUMIFS(TRAINING!AN22:AN891,TRAINING!C22:C891,"Cross Planning Initiative")</f>
        <v>0</v>
      </c>
      <c r="AK174" s="351"/>
      <c r="AL174" s="981">
        <f>SUMIFS(TRAINING!AO22:AO891,TRAINING!C22:C891,"Cross Planning Initiative")</f>
        <v>0</v>
      </c>
      <c r="AM174" s="351"/>
      <c r="AN174" s="917">
        <f>SUMIFS(TRAINING!AP22:AP891,TRAINING!C22:C891,"Cross Planning Initiative")</f>
        <v>0</v>
      </c>
      <c r="AO174" s="351"/>
      <c r="AP174" s="981">
        <f>SUMIFS(TRAINING!AQ22:AQ891,TRAINING!C22:C891,"Cross Planning Initiative")</f>
        <v>0</v>
      </c>
      <c r="AQ174" s="351"/>
      <c r="AR174" s="917">
        <f>SUMIFS(TRAINING!AR22:AR891,TRAINING!C22:C891,"Cross Planning Initiative")</f>
        <v>0</v>
      </c>
      <c r="AS174" s="351"/>
      <c r="AT174" s="981">
        <f>SUMIFS(TRAINING!AS22:AS891,TRAINING!C22:C891,"Cross Planning Initiative")</f>
        <v>0</v>
      </c>
      <c r="AU174" s="351"/>
      <c r="AV174" s="917">
        <f>SUMIFS(TRAINING!AT22:AT891,TRAINING!C22:C891,"Cross Planning Initiative")</f>
        <v>0</v>
      </c>
      <c r="AW174" s="351"/>
    </row>
    <row r="175" spans="1:49" ht="39.75" customHeight="1">
      <c r="A175" s="861" t="s">
        <v>764</v>
      </c>
      <c r="B175" s="350"/>
      <c r="C175" s="351"/>
      <c r="D175" s="511"/>
      <c r="E175" s="351"/>
      <c r="F175" s="755">
        <f>SUMIFS(TRAINING!Z22:Z891,TRAINING!C22:C891,"Outreach Activity")</f>
        <v>0</v>
      </c>
      <c r="G175" s="351"/>
      <c r="H175" s="753">
        <f>SUMIFS(TRAINING!AA22:AA891,TRAINING!C22:C891,"Outreach Activity")</f>
        <v>0</v>
      </c>
      <c r="I175" s="351"/>
      <c r="J175" s="755">
        <f>SUMIFS(TRAINING!AB22:AB891,TRAINING!C22:C891,"Outreach Activity")</f>
        <v>0</v>
      </c>
      <c r="K175" s="351"/>
      <c r="L175" s="753">
        <f>SUMIFS(TRAINING!AC22:AC891,TRAINING!C22:C891,"Outreach Activity")</f>
        <v>0</v>
      </c>
      <c r="M175" s="351"/>
      <c r="N175" s="755">
        <f>SUMIFS(TRAINING!AD22:AD891,TRAINING!C22:C891,"Outreach Activity")</f>
        <v>0</v>
      </c>
      <c r="O175" s="351"/>
      <c r="P175" s="753">
        <f>SUMIFS(TRAINING!AE22:AE891,TRAINING!C22:C891,"Outreach Activity")</f>
        <v>0</v>
      </c>
      <c r="Q175" s="351"/>
      <c r="R175" s="755">
        <f>SUMIFS(TRAINING!AF22:AF891,TRAINING!C22:C891,"Outreach Activity")</f>
        <v>0</v>
      </c>
      <c r="S175" s="351"/>
      <c r="T175" s="753">
        <f>SUMIFS(TRAINING!AG22:AG891,TRAINING!C22:C891,"Outreach Activity")</f>
        <v>0</v>
      </c>
      <c r="U175" s="351"/>
      <c r="V175" s="755">
        <f>SUMIFS(TRAINING!AK22:AK891,TRAINING!C22:C891,"Outreach Activity")</f>
        <v>0</v>
      </c>
      <c r="W175" s="351"/>
      <c r="AA175" s="982" t="s">
        <v>764</v>
      </c>
      <c r="AB175" s="350"/>
      <c r="AC175" s="351"/>
      <c r="AD175" s="983"/>
      <c r="AE175" s="351"/>
      <c r="AF175" s="917">
        <f>SUMIFS(TRAINING!AL22:AL891,TRAINING!C22:C891,"Outreach Activity")</f>
        <v>0</v>
      </c>
      <c r="AG175" s="351"/>
      <c r="AH175" s="981">
        <f>SUMIFS(TRAINING!AM22:AM891,TRAINING!C22:C891,"Outreach Activity")</f>
        <v>0</v>
      </c>
      <c r="AI175" s="351"/>
      <c r="AJ175" s="917">
        <f>SUMIFS(TRAINING!AN22:AN891,TRAINING!C22:C891,"Outreach Activity")</f>
        <v>0</v>
      </c>
      <c r="AK175" s="351"/>
      <c r="AL175" s="981">
        <f>SUMIFS(TRAINING!AO22:AO891,TRAINING!C22:C891,"Outreach Activity")</f>
        <v>0</v>
      </c>
      <c r="AM175" s="351"/>
      <c r="AN175" s="917">
        <f>SUMIFS(TRAINING!AP22:AP891,TRAINING!C22:C891,"Outreach Activity")</f>
        <v>0</v>
      </c>
      <c r="AO175" s="351"/>
      <c r="AP175" s="981">
        <f>SUMIFS(TRAINING!AQ22:AQ891,TRAINING!C22:C891,"Outreach Activity")</f>
        <v>0</v>
      </c>
      <c r="AQ175" s="351"/>
      <c r="AR175" s="917">
        <f>SUMIFS(TRAINING!AR22:AR891,TRAINING!C22:C891,"Outreach Activity")</f>
        <v>0</v>
      </c>
      <c r="AS175" s="351"/>
      <c r="AT175" s="981">
        <f>SUMIFS(TRAINING!AS22:AS891,TRAINING!C22:C891,"Outreach Activity")</f>
        <v>0</v>
      </c>
      <c r="AU175" s="351"/>
      <c r="AV175" s="917">
        <f>SUMIFS(TRAINING!AT22:AT891,TRAINING!C22:C891,"Outreach Activity")</f>
        <v>0</v>
      </c>
      <c r="AW175" s="351"/>
    </row>
    <row r="176" spans="1:49" ht="39.75" customHeight="1">
      <c r="A176" s="861" t="s">
        <v>769</v>
      </c>
      <c r="B176" s="350"/>
      <c r="C176" s="351"/>
      <c r="D176" s="511"/>
      <c r="E176" s="351"/>
      <c r="F176" s="755">
        <f>SUMIFS(TRAINING!Z22:Z891,TRAINING!C22:C891,"Other (List) ")</f>
        <v>0</v>
      </c>
      <c r="G176" s="351"/>
      <c r="H176" s="753">
        <f>SUMIFS(TRAINING!AA22:AA891,TRAINING!C22:C891,"Other (List) ")</f>
        <v>0</v>
      </c>
      <c r="I176" s="351"/>
      <c r="J176" s="755">
        <f>SUMIFS(TRAINING!AB22:AB891,TRAINING!C22:C891,"Other (List) ")</f>
        <v>0</v>
      </c>
      <c r="K176" s="351"/>
      <c r="L176" s="753">
        <f>SUMIFS(TRAINING!AC22:AC891,TRAINING!C22:C891,"Other (List) ")</f>
        <v>0</v>
      </c>
      <c r="M176" s="351"/>
      <c r="N176" s="755">
        <f>SUMIFS(TRAINING!AD22:AD891,TRAINING!C22:C891,"Other (List) ")</f>
        <v>0</v>
      </c>
      <c r="O176" s="351"/>
      <c r="P176" s="753">
        <f>SUMIFS(TRAINING!AE22:AE891,TRAINING!C22:C891,"Other (List) ")</f>
        <v>0</v>
      </c>
      <c r="Q176" s="351"/>
      <c r="R176" s="755">
        <f>SUMIFS(TRAINING!AF22:AF891,TRAINING!C22:C891,"Other (List) ")</f>
        <v>0</v>
      </c>
      <c r="S176" s="351"/>
      <c r="T176" s="753">
        <f>SUMIFS(TRAINING!AG22:AG891,TRAINING!C22:C891,"Other (List) ")</f>
        <v>0</v>
      </c>
      <c r="U176" s="351"/>
      <c r="V176" s="755">
        <f>SUMIFS(TRAINING!AK22:AK891,TRAINING!C22:C891,"Other (List) ")</f>
        <v>0</v>
      </c>
      <c r="W176" s="351"/>
      <c r="AA176" s="982" t="s">
        <v>769</v>
      </c>
      <c r="AB176" s="350"/>
      <c r="AC176" s="351"/>
      <c r="AD176" s="983"/>
      <c r="AE176" s="351"/>
      <c r="AF176" s="917">
        <f>SUMIFS(TRAINING!AL22:AL891,TRAINING!C22:C891,"Other (List) ")</f>
        <v>0</v>
      </c>
      <c r="AG176" s="351"/>
      <c r="AH176" s="981">
        <f>SUMIFS(TRAINING!AM22:AM891,TRAINING!C22:C891,"Other (List) ")</f>
        <v>0</v>
      </c>
      <c r="AI176" s="351"/>
      <c r="AJ176" s="917">
        <f>SUMIFS(TRAINING!AN22:AN891,TRAINING!C22:C891,"Other (List) ")</f>
        <v>0</v>
      </c>
      <c r="AK176" s="351"/>
      <c r="AL176" s="981">
        <f>SUMIFS(TRAINING!AO22:AO891,TRAINING!C22:C891,"Other (List) ")</f>
        <v>0</v>
      </c>
      <c r="AM176" s="351"/>
      <c r="AN176" s="917">
        <f>SUMIFS(TRAINING!AP22:AP891,TRAINING!C22:C891,"Other (List) ")</f>
        <v>0</v>
      </c>
      <c r="AO176" s="351"/>
      <c r="AP176" s="981">
        <f>SUMIFS(TRAINING!AQ22:AQ891,TRAINING!C22:C891,"Other (List) ")</f>
        <v>0</v>
      </c>
      <c r="AQ176" s="351"/>
      <c r="AR176" s="917">
        <f>SUMIFS(TRAINING!AR22:AR891,TRAINING!C22:C891,"Other (List) ")</f>
        <v>0</v>
      </c>
      <c r="AS176" s="351"/>
      <c r="AT176" s="981">
        <f>SUMIFS(TRAINING!AS22:AS891,TRAINING!C22:C891,"Other (List) ")</f>
        <v>0</v>
      </c>
      <c r="AU176" s="351"/>
      <c r="AV176" s="917">
        <f>SUMIFS(TRAINING!AT22:AT891,TRAINING!C22:C891,"Other (List) ")</f>
        <v>0</v>
      </c>
      <c r="AW176" s="351"/>
    </row>
    <row r="177" spans="1:39" ht="24.75" customHeight="1">
      <c r="A177" s="334"/>
      <c r="B177" s="334"/>
      <c r="C177" s="334"/>
      <c r="P177" s="1015"/>
      <c r="Q177" s="358"/>
    </row>
    <row r="178" spans="1:39" ht="15.75" customHeight="1"/>
    <row r="179" spans="1:39" ht="15.75" customHeight="1"/>
    <row r="180" spans="1:39" ht="15.75" customHeight="1"/>
    <row r="181" spans="1:39" ht="15.75" customHeight="1"/>
    <row r="182" spans="1:39" ht="15.75" customHeight="1"/>
    <row r="183" spans="1:39" ht="15.75" customHeight="1">
      <c r="AD183" s="335"/>
      <c r="AE183" s="335"/>
      <c r="AF183" s="335"/>
      <c r="AG183" s="335"/>
      <c r="AH183" s="335"/>
      <c r="AI183" s="335"/>
      <c r="AJ183" s="335"/>
      <c r="AK183" s="335"/>
      <c r="AL183" s="335"/>
      <c r="AM183" s="335"/>
    </row>
    <row r="184" spans="1:39" ht="15.75" customHeight="1">
      <c r="AD184" s="335"/>
      <c r="AE184" s="335"/>
      <c r="AF184" s="335"/>
      <c r="AG184" s="335"/>
      <c r="AH184" s="335"/>
      <c r="AI184" s="335"/>
      <c r="AJ184" s="335"/>
      <c r="AK184" s="335"/>
      <c r="AL184" s="335"/>
      <c r="AM184" s="335"/>
    </row>
    <row r="185" spans="1:39" ht="15.75" customHeight="1">
      <c r="AD185" s="335"/>
      <c r="AE185" s="335"/>
      <c r="AF185" s="335"/>
      <c r="AG185" s="335"/>
      <c r="AH185" s="335"/>
      <c r="AI185" s="335"/>
      <c r="AJ185" s="335"/>
      <c r="AK185" s="335"/>
      <c r="AL185" s="335"/>
      <c r="AM185" s="335"/>
    </row>
    <row r="186" spans="1:39" ht="15.75" customHeight="1">
      <c r="AD186" s="335"/>
      <c r="AE186" s="335"/>
      <c r="AF186" s="335"/>
      <c r="AG186" s="335"/>
      <c r="AH186" s="335"/>
      <c r="AI186" s="335"/>
      <c r="AJ186" s="335"/>
      <c r="AK186" s="335"/>
      <c r="AL186" s="335"/>
      <c r="AM186" s="335"/>
    </row>
    <row r="187" spans="1:39" ht="15.75" customHeight="1">
      <c r="AD187" s="335"/>
      <c r="AE187" s="335"/>
      <c r="AF187" s="335"/>
      <c r="AG187" s="335"/>
      <c r="AH187" s="335"/>
      <c r="AI187" s="335"/>
      <c r="AJ187" s="335"/>
      <c r="AK187" s="335"/>
      <c r="AL187" s="335"/>
      <c r="AM187" s="335"/>
    </row>
    <row r="188" spans="1:39" ht="15.75" customHeight="1"/>
    <row r="189" spans="1:39" ht="15.75" customHeight="1"/>
    <row r="190" spans="1:39" ht="15.75" customHeight="1"/>
    <row r="191" spans="1:39" ht="15.75" customHeight="1"/>
    <row r="192" spans="1:3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33">
    <mergeCell ref="D73:E73"/>
    <mergeCell ref="A73:C73"/>
    <mergeCell ref="A74:C74"/>
    <mergeCell ref="D74:E74"/>
    <mergeCell ref="U78:V78"/>
    <mergeCell ref="W78:X78"/>
    <mergeCell ref="Y78:Z78"/>
    <mergeCell ref="A76:C76"/>
    <mergeCell ref="A78:E78"/>
    <mergeCell ref="F78:G78"/>
    <mergeCell ref="H78:I78"/>
    <mergeCell ref="J78:K78"/>
    <mergeCell ref="L78:M78"/>
    <mergeCell ref="N78:O78"/>
    <mergeCell ref="AA81:AC81"/>
    <mergeCell ref="AA82:AC82"/>
    <mergeCell ref="AA83:AC83"/>
    <mergeCell ref="AA84:AC84"/>
    <mergeCell ref="AA85:AC85"/>
    <mergeCell ref="AA86:AC86"/>
    <mergeCell ref="AA87:AC87"/>
    <mergeCell ref="A80:C80"/>
    <mergeCell ref="D80:E80"/>
    <mergeCell ref="AA80:AC80"/>
    <mergeCell ref="A81:C81"/>
    <mergeCell ref="D81:E81"/>
    <mergeCell ref="A82:C82"/>
    <mergeCell ref="D82:E82"/>
    <mergeCell ref="A86:C86"/>
    <mergeCell ref="A87:C87"/>
    <mergeCell ref="D87:E87"/>
    <mergeCell ref="A83:C83"/>
    <mergeCell ref="D83:E83"/>
    <mergeCell ref="A84:C84"/>
    <mergeCell ref="D84:E84"/>
    <mergeCell ref="A85:C85"/>
    <mergeCell ref="D85:E85"/>
    <mergeCell ref="D86:E86"/>
    <mergeCell ref="AA91:AC91"/>
    <mergeCell ref="A92:C92"/>
    <mergeCell ref="D92:E92"/>
    <mergeCell ref="A93:C93"/>
    <mergeCell ref="D93:E93"/>
    <mergeCell ref="A94:C94"/>
    <mergeCell ref="D94:E94"/>
    <mergeCell ref="F88:S88"/>
    <mergeCell ref="U88:AD88"/>
    <mergeCell ref="R89:S89"/>
    <mergeCell ref="U89:V89"/>
    <mergeCell ref="W89:X89"/>
    <mergeCell ref="Y89:Z89"/>
    <mergeCell ref="A89:E89"/>
    <mergeCell ref="F89:G89"/>
    <mergeCell ref="H89:I89"/>
    <mergeCell ref="J89:K89"/>
    <mergeCell ref="L89:M89"/>
    <mergeCell ref="N89:O89"/>
    <mergeCell ref="P89:Q89"/>
    <mergeCell ref="F96:S96"/>
    <mergeCell ref="U96:Z96"/>
    <mergeCell ref="A97:C97"/>
    <mergeCell ref="D97:E97"/>
    <mergeCell ref="D98:E98"/>
    <mergeCell ref="AA92:AC92"/>
    <mergeCell ref="AA93:AC93"/>
    <mergeCell ref="AA94:AC94"/>
    <mergeCell ref="AA95:AC95"/>
    <mergeCell ref="AA97:AC97"/>
    <mergeCell ref="AA98:AC98"/>
    <mergeCell ref="AA99:AC99"/>
    <mergeCell ref="AA100:AC100"/>
    <mergeCell ref="AA101:AC101"/>
    <mergeCell ref="AA102:AC102"/>
    <mergeCell ref="AA103:AC103"/>
    <mergeCell ref="AA104:AC104"/>
    <mergeCell ref="AA105:AC105"/>
    <mergeCell ref="J108:P108"/>
    <mergeCell ref="U4:AC4"/>
    <mergeCell ref="U5:AC5"/>
    <mergeCell ref="U6:AC6"/>
    <mergeCell ref="U7:AC7"/>
    <mergeCell ref="U8:AC8"/>
    <mergeCell ref="AB21:AC21"/>
    <mergeCell ref="P21:Q21"/>
    <mergeCell ref="P22:Q22"/>
    <mergeCell ref="R19:S19"/>
    <mergeCell ref="P45:Q45"/>
    <mergeCell ref="P46:Q46"/>
    <mergeCell ref="P51:Q51"/>
    <mergeCell ref="P57:Q57"/>
    <mergeCell ref="P34:Q34"/>
    <mergeCell ref="P35:Q35"/>
    <mergeCell ref="P39:Q39"/>
    <mergeCell ref="A1:AK1"/>
    <mergeCell ref="A2:AK2"/>
    <mergeCell ref="A3:AK3"/>
    <mergeCell ref="A4:E4"/>
    <mergeCell ref="F4:P4"/>
    <mergeCell ref="A5:E5"/>
    <mergeCell ref="F5:P5"/>
    <mergeCell ref="A6:E7"/>
    <mergeCell ref="F6:P7"/>
    <mergeCell ref="R7:T7"/>
    <mergeCell ref="A8:E8"/>
    <mergeCell ref="F8:M8"/>
    <mergeCell ref="N8:P8"/>
    <mergeCell ref="A9:AC9"/>
    <mergeCell ref="AB15:AC15"/>
    <mergeCell ref="AB17:AC17"/>
    <mergeCell ref="AB18:AC18"/>
    <mergeCell ref="AB19:AC19"/>
    <mergeCell ref="AB20:AC20"/>
    <mergeCell ref="A10:AC11"/>
    <mergeCell ref="A12:N12"/>
    <mergeCell ref="P12:Q12"/>
    <mergeCell ref="AB12:AC12"/>
    <mergeCell ref="A13:N13"/>
    <mergeCell ref="AB13:AC13"/>
    <mergeCell ref="AB14:AC14"/>
    <mergeCell ref="P19:Q19"/>
    <mergeCell ref="P20:Q20"/>
    <mergeCell ref="P13:Q13"/>
    <mergeCell ref="P14:Q14"/>
    <mergeCell ref="P15:Q15"/>
    <mergeCell ref="P16:Q16"/>
    <mergeCell ref="P17:Q17"/>
    <mergeCell ref="P18:Q18"/>
    <mergeCell ref="P41:Q41"/>
    <mergeCell ref="P42:Q42"/>
    <mergeCell ref="P43:Q43"/>
    <mergeCell ref="P44:Q44"/>
    <mergeCell ref="A40:L40"/>
    <mergeCell ref="A41:N41"/>
    <mergeCell ref="A42:N42"/>
    <mergeCell ref="A43:N43"/>
    <mergeCell ref="A44:N44"/>
    <mergeCell ref="A46:L46"/>
    <mergeCell ref="P47:Q47"/>
    <mergeCell ref="A47:N47"/>
    <mergeCell ref="A48:N48"/>
    <mergeCell ref="P48:Q48"/>
    <mergeCell ref="A49:N49"/>
    <mergeCell ref="P49:Q49"/>
    <mergeCell ref="A50:N50"/>
    <mergeCell ref="A52:L52"/>
    <mergeCell ref="A14:N14"/>
    <mergeCell ref="A15:N15"/>
    <mergeCell ref="A16:N16"/>
    <mergeCell ref="A17:N17"/>
    <mergeCell ref="A18:N18"/>
    <mergeCell ref="A19:N19"/>
    <mergeCell ref="A20:N20"/>
    <mergeCell ref="P25:Q25"/>
    <mergeCell ref="P26:Q26"/>
    <mergeCell ref="P33:Q33"/>
    <mergeCell ref="A21:N21"/>
    <mergeCell ref="A23:L23"/>
    <mergeCell ref="P23:Q23"/>
    <mergeCell ref="A24:N24"/>
    <mergeCell ref="P24:Q24"/>
    <mergeCell ref="A25:N25"/>
    <mergeCell ref="A26:N26"/>
    <mergeCell ref="A27:N27"/>
    <mergeCell ref="P27:Q27"/>
    <mergeCell ref="A28:L28"/>
    <mergeCell ref="P28:Q28"/>
    <mergeCell ref="A29:N29"/>
    <mergeCell ref="P29:Q29"/>
    <mergeCell ref="P30:Q30"/>
    <mergeCell ref="A30:N30"/>
    <mergeCell ref="A31:N31"/>
    <mergeCell ref="P31:Q31"/>
    <mergeCell ref="A32:N32"/>
    <mergeCell ref="P32:Q32"/>
    <mergeCell ref="A34:L34"/>
    <mergeCell ref="A35:N35"/>
    <mergeCell ref="A36:N36"/>
    <mergeCell ref="P36:Q36"/>
    <mergeCell ref="A37:N37"/>
    <mergeCell ref="P37:Q37"/>
    <mergeCell ref="A38:N38"/>
    <mergeCell ref="P38:Q38"/>
    <mergeCell ref="P40:Q40"/>
    <mergeCell ref="P59:Q59"/>
    <mergeCell ref="P60:Q60"/>
    <mergeCell ref="A61:N61"/>
    <mergeCell ref="P61:Q61"/>
    <mergeCell ref="A62:N62"/>
    <mergeCell ref="P62:Q62"/>
    <mergeCell ref="P50:Q50"/>
    <mergeCell ref="P52:Q52"/>
    <mergeCell ref="A53:N53"/>
    <mergeCell ref="P53:Q53"/>
    <mergeCell ref="A54:N54"/>
    <mergeCell ref="P54:Q54"/>
    <mergeCell ref="P55:Q55"/>
    <mergeCell ref="A55:N55"/>
    <mergeCell ref="A56:N56"/>
    <mergeCell ref="P56:Q56"/>
    <mergeCell ref="A58:L58"/>
    <mergeCell ref="P58:Q58"/>
    <mergeCell ref="A59:N59"/>
    <mergeCell ref="A60:N60"/>
    <mergeCell ref="N66:O66"/>
    <mergeCell ref="P66:Q66"/>
    <mergeCell ref="R66:S66"/>
    <mergeCell ref="U66:V66"/>
    <mergeCell ref="W66:X66"/>
    <mergeCell ref="Y66:Z66"/>
    <mergeCell ref="A63:S63"/>
    <mergeCell ref="A64:AC64"/>
    <mergeCell ref="F65:S65"/>
    <mergeCell ref="U65:Z65"/>
    <mergeCell ref="A66:E66"/>
    <mergeCell ref="F66:G66"/>
    <mergeCell ref="H66:I66"/>
    <mergeCell ref="J66:K66"/>
    <mergeCell ref="L66:M66"/>
    <mergeCell ref="A67:E67"/>
    <mergeCell ref="A68:C68"/>
    <mergeCell ref="D68:E68"/>
    <mergeCell ref="A69:C69"/>
    <mergeCell ref="D69:E69"/>
    <mergeCell ref="A98:C98"/>
    <mergeCell ref="A99:C99"/>
    <mergeCell ref="D99:E99"/>
    <mergeCell ref="A100:C100"/>
    <mergeCell ref="D100:E100"/>
    <mergeCell ref="A91:C91"/>
    <mergeCell ref="D91:E91"/>
    <mergeCell ref="A75:C75"/>
    <mergeCell ref="D75:E75"/>
    <mergeCell ref="D76:E76"/>
    <mergeCell ref="A77:S77"/>
    <mergeCell ref="P78:Q78"/>
    <mergeCell ref="R78:S78"/>
    <mergeCell ref="A70:C70"/>
    <mergeCell ref="D70:E70"/>
    <mergeCell ref="A71:C71"/>
    <mergeCell ref="D71:E71"/>
    <mergeCell ref="A72:C72"/>
    <mergeCell ref="D72:E72"/>
    <mergeCell ref="A101:C101"/>
    <mergeCell ref="D101:E101"/>
    <mergeCell ref="A109:C109"/>
    <mergeCell ref="D109:G109"/>
    <mergeCell ref="A110:C110"/>
    <mergeCell ref="D110:G110"/>
    <mergeCell ref="A111:C111"/>
    <mergeCell ref="D111:G111"/>
    <mergeCell ref="A112:C112"/>
    <mergeCell ref="D112:G112"/>
    <mergeCell ref="A102:C102"/>
    <mergeCell ref="D102:E102"/>
    <mergeCell ref="A103:C103"/>
    <mergeCell ref="D103:E103"/>
    <mergeCell ref="A104:C104"/>
    <mergeCell ref="D104:E104"/>
    <mergeCell ref="A108:G108"/>
    <mergeCell ref="D159:E159"/>
    <mergeCell ref="AA159:AC159"/>
    <mergeCell ref="A160:C160"/>
    <mergeCell ref="D160:E160"/>
    <mergeCell ref="AA160:AC160"/>
    <mergeCell ref="AA161:AC161"/>
    <mergeCell ref="A167:AI167"/>
    <mergeCell ref="D148:E148"/>
    <mergeCell ref="A151:S151"/>
    <mergeCell ref="F152:G152"/>
    <mergeCell ref="H152:I152"/>
    <mergeCell ref="J152:K152"/>
    <mergeCell ref="L152:M152"/>
    <mergeCell ref="R152:S152"/>
    <mergeCell ref="A152:E152"/>
    <mergeCell ref="A154:C154"/>
    <mergeCell ref="D154:E154"/>
    <mergeCell ref="AP172:AQ172"/>
    <mergeCell ref="AP173:AQ173"/>
    <mergeCell ref="AR173:AS173"/>
    <mergeCell ref="AT173:AU173"/>
    <mergeCell ref="AV173:AW173"/>
    <mergeCell ref="AP174:AQ174"/>
    <mergeCell ref="AR174:AS174"/>
    <mergeCell ref="A155:C155"/>
    <mergeCell ref="D155:E155"/>
    <mergeCell ref="A156:C156"/>
    <mergeCell ref="D156:E156"/>
    <mergeCell ref="AP171:AQ171"/>
    <mergeCell ref="AR171:AS171"/>
    <mergeCell ref="AT171:AU171"/>
    <mergeCell ref="AV171:AW171"/>
    <mergeCell ref="AR172:AS172"/>
    <mergeCell ref="AT172:AU172"/>
    <mergeCell ref="AV172:AW172"/>
    <mergeCell ref="F157:S157"/>
    <mergeCell ref="U157:Z157"/>
    <mergeCell ref="A158:C158"/>
    <mergeCell ref="D158:E158"/>
    <mergeCell ref="AA158:AC158"/>
    <mergeCell ref="A159:C159"/>
    <mergeCell ref="AA145:AC145"/>
    <mergeCell ref="AA146:AC146"/>
    <mergeCell ref="A147:C147"/>
    <mergeCell ref="D147:E147"/>
    <mergeCell ref="AA147:AC147"/>
    <mergeCell ref="AA148:AC148"/>
    <mergeCell ref="AA149:AC149"/>
    <mergeCell ref="AA155:AC155"/>
    <mergeCell ref="AA156:AC156"/>
    <mergeCell ref="N152:O152"/>
    <mergeCell ref="P152:Q152"/>
    <mergeCell ref="U152:V152"/>
    <mergeCell ref="W152:X152"/>
    <mergeCell ref="Y152:Z152"/>
    <mergeCell ref="AA152:AC153"/>
    <mergeCell ref="AA154:AC154"/>
    <mergeCell ref="A148:C148"/>
    <mergeCell ref="A149:C149"/>
    <mergeCell ref="D149:E149"/>
    <mergeCell ref="A150:C150"/>
    <mergeCell ref="D150:E150"/>
    <mergeCell ref="AA176:AC176"/>
    <mergeCell ref="AD176:AE176"/>
    <mergeCell ref="AF176:AG176"/>
    <mergeCell ref="A174:C174"/>
    <mergeCell ref="D174:E174"/>
    <mergeCell ref="F174:G174"/>
    <mergeCell ref="H174:I174"/>
    <mergeCell ref="J174:K174"/>
    <mergeCell ref="L174:M174"/>
    <mergeCell ref="N174:O174"/>
    <mergeCell ref="A175:C175"/>
    <mergeCell ref="D175:E175"/>
    <mergeCell ref="F175:G175"/>
    <mergeCell ref="H175:I175"/>
    <mergeCell ref="P177:Q177"/>
    <mergeCell ref="AH174:AI174"/>
    <mergeCell ref="AJ174:AK174"/>
    <mergeCell ref="AL174:AM174"/>
    <mergeCell ref="AN174:AO174"/>
    <mergeCell ref="P174:Q174"/>
    <mergeCell ref="R174:S174"/>
    <mergeCell ref="T174:U174"/>
    <mergeCell ref="V174:W174"/>
    <mergeCell ref="AA174:AC174"/>
    <mergeCell ref="AD174:AE174"/>
    <mergeCell ref="AF174:AG174"/>
    <mergeCell ref="P175:Q175"/>
    <mergeCell ref="R175:S175"/>
    <mergeCell ref="T175:U175"/>
    <mergeCell ref="V175:W175"/>
    <mergeCell ref="AA175:AC175"/>
    <mergeCell ref="AD175:AE175"/>
    <mergeCell ref="AF175:AG175"/>
    <mergeCell ref="AH176:AI176"/>
    <mergeCell ref="AJ176:AK176"/>
    <mergeCell ref="P176:Q176"/>
    <mergeCell ref="R176:S176"/>
    <mergeCell ref="T176:U176"/>
    <mergeCell ref="AT176:AU176"/>
    <mergeCell ref="AV176:AW176"/>
    <mergeCell ref="AH175:AI175"/>
    <mergeCell ref="AJ175:AK175"/>
    <mergeCell ref="AL175:AM175"/>
    <mergeCell ref="AN175:AO175"/>
    <mergeCell ref="AL176:AM176"/>
    <mergeCell ref="AN176:AO176"/>
    <mergeCell ref="AP176:AQ176"/>
    <mergeCell ref="AP175:AQ175"/>
    <mergeCell ref="AR175:AS175"/>
    <mergeCell ref="AT175:AU175"/>
    <mergeCell ref="AV175:AW175"/>
    <mergeCell ref="U126:V126"/>
    <mergeCell ref="W126:X126"/>
    <mergeCell ref="Y126:Z126"/>
    <mergeCell ref="A126:E126"/>
    <mergeCell ref="A128:S128"/>
    <mergeCell ref="U128:AC128"/>
    <mergeCell ref="A129:C129"/>
    <mergeCell ref="D129:E129"/>
    <mergeCell ref="AR176:AS176"/>
    <mergeCell ref="J175:K175"/>
    <mergeCell ref="L175:M175"/>
    <mergeCell ref="N175:O175"/>
    <mergeCell ref="A176:C176"/>
    <mergeCell ref="D176:E176"/>
    <mergeCell ref="F176:G176"/>
    <mergeCell ref="H176:I176"/>
    <mergeCell ref="J176:K176"/>
    <mergeCell ref="L176:M176"/>
    <mergeCell ref="N176:O176"/>
    <mergeCell ref="A169:W169"/>
    <mergeCell ref="AA169:AW169"/>
    <mergeCell ref="AT174:AU174"/>
    <mergeCell ref="AV174:AW174"/>
    <mergeCell ref="V176:W176"/>
    <mergeCell ref="A130:C130"/>
    <mergeCell ref="D130:E130"/>
    <mergeCell ref="U140:V140"/>
    <mergeCell ref="W140:X140"/>
    <mergeCell ref="F140:G140"/>
    <mergeCell ref="H140:I140"/>
    <mergeCell ref="J140:K140"/>
    <mergeCell ref="L140:M140"/>
    <mergeCell ref="N140:O140"/>
    <mergeCell ref="P140:Q140"/>
    <mergeCell ref="R140:S140"/>
    <mergeCell ref="A131:C131"/>
    <mergeCell ref="D131:E131"/>
    <mergeCell ref="A132:S132"/>
    <mergeCell ref="A133:C133"/>
    <mergeCell ref="D133:E133"/>
    <mergeCell ref="F139:S139"/>
    <mergeCell ref="A140:E140"/>
    <mergeCell ref="A134:C134"/>
    <mergeCell ref="D134:E134"/>
    <mergeCell ref="A135:C135"/>
    <mergeCell ref="D135:E135"/>
    <mergeCell ref="A137:AI137"/>
    <mergeCell ref="A138:S138"/>
    <mergeCell ref="AA142:AC142"/>
    <mergeCell ref="AA143:AC143"/>
    <mergeCell ref="AA129:AC129"/>
    <mergeCell ref="AA130:AC130"/>
    <mergeCell ref="AA131:AC131"/>
    <mergeCell ref="AA134:AC134"/>
    <mergeCell ref="AA135:AC135"/>
    <mergeCell ref="AA139:AC141"/>
    <mergeCell ref="Y140:Z140"/>
    <mergeCell ref="U132:AC132"/>
    <mergeCell ref="AA133:AC133"/>
    <mergeCell ref="U139:Z139"/>
    <mergeCell ref="A144:C144"/>
    <mergeCell ref="A145:C145"/>
    <mergeCell ref="D145:E145"/>
    <mergeCell ref="A146:C146"/>
    <mergeCell ref="D146:E146"/>
    <mergeCell ref="A141:E141"/>
    <mergeCell ref="A142:C142"/>
    <mergeCell ref="D142:E142"/>
    <mergeCell ref="A143:C143"/>
    <mergeCell ref="D143:E143"/>
    <mergeCell ref="D144:E144"/>
    <mergeCell ref="AA144:AC144"/>
    <mergeCell ref="J109:M109"/>
    <mergeCell ref="N109:P109"/>
    <mergeCell ref="J110:M110"/>
    <mergeCell ref="N110:P110"/>
    <mergeCell ref="J111:M111"/>
    <mergeCell ref="N111:P111"/>
    <mergeCell ref="N112:P112"/>
    <mergeCell ref="J112:M112"/>
    <mergeCell ref="J113:M113"/>
    <mergeCell ref="N113:P113"/>
    <mergeCell ref="J114:M114"/>
    <mergeCell ref="N114:P114"/>
    <mergeCell ref="J115:M115"/>
    <mergeCell ref="N115:P115"/>
    <mergeCell ref="J116:M116"/>
    <mergeCell ref="N116:P116"/>
    <mergeCell ref="J117:M117"/>
    <mergeCell ref="N117:P117"/>
    <mergeCell ref="J118:P118"/>
    <mergeCell ref="J119:M119"/>
    <mergeCell ref="N119:P119"/>
    <mergeCell ref="J120:M120"/>
    <mergeCell ref="N120:P120"/>
    <mergeCell ref="J121:M121"/>
    <mergeCell ref="N121:P121"/>
    <mergeCell ref="J122:M122"/>
    <mergeCell ref="N122:P122"/>
    <mergeCell ref="N123:P123"/>
    <mergeCell ref="J123:M123"/>
    <mergeCell ref="A125:S125"/>
    <mergeCell ref="F126:G126"/>
    <mergeCell ref="H126:I126"/>
    <mergeCell ref="J126:K126"/>
    <mergeCell ref="L126:M126"/>
    <mergeCell ref="R126:S126"/>
    <mergeCell ref="N126:O126"/>
    <mergeCell ref="P126:Q126"/>
    <mergeCell ref="AL171:AM171"/>
    <mergeCell ref="AN171:AO171"/>
    <mergeCell ref="R171:S171"/>
    <mergeCell ref="T171:U171"/>
    <mergeCell ref="V171:W171"/>
    <mergeCell ref="AA171:AE171"/>
    <mergeCell ref="AF171:AG171"/>
    <mergeCell ref="AH171:AI171"/>
    <mergeCell ref="AJ171:AK171"/>
    <mergeCell ref="A171:E171"/>
    <mergeCell ref="F171:G171"/>
    <mergeCell ref="H171:I171"/>
    <mergeCell ref="J171:K171"/>
    <mergeCell ref="L171:M171"/>
    <mergeCell ref="N171:O171"/>
    <mergeCell ref="P171:Q171"/>
    <mergeCell ref="AH172:AI172"/>
    <mergeCell ref="AJ172:AK172"/>
    <mergeCell ref="A172:C172"/>
    <mergeCell ref="D172:E172"/>
    <mergeCell ref="F172:G172"/>
    <mergeCell ref="H172:I172"/>
    <mergeCell ref="J172:K172"/>
    <mergeCell ref="L172:M172"/>
    <mergeCell ref="N172:O172"/>
    <mergeCell ref="AL172:AM172"/>
    <mergeCell ref="AN172:AO172"/>
    <mergeCell ref="P172:Q172"/>
    <mergeCell ref="R172:S172"/>
    <mergeCell ref="T172:U172"/>
    <mergeCell ref="V172:W172"/>
    <mergeCell ref="AA172:AC172"/>
    <mergeCell ref="AD172:AE172"/>
    <mergeCell ref="AF172:AG172"/>
    <mergeCell ref="AL173:AM173"/>
    <mergeCell ref="AN173:AO173"/>
    <mergeCell ref="P173:Q173"/>
    <mergeCell ref="R173:S173"/>
    <mergeCell ref="T173:U173"/>
    <mergeCell ref="V173:W173"/>
    <mergeCell ref="AA173:AC173"/>
    <mergeCell ref="AD173:AE173"/>
    <mergeCell ref="AF173:AG173"/>
    <mergeCell ref="A173:C173"/>
    <mergeCell ref="D173:E173"/>
    <mergeCell ref="F173:G173"/>
    <mergeCell ref="H173:I173"/>
    <mergeCell ref="J173:K173"/>
    <mergeCell ref="L173:M173"/>
    <mergeCell ref="N173:O173"/>
    <mergeCell ref="AH173:AI173"/>
    <mergeCell ref="AJ173:AK173"/>
  </mergeCells>
  <pageMargins left="0.25" right="0.25" top="0.75" bottom="0.75" header="0" footer="0"/>
  <pageSetup paperSize="5"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C00-000000000000}">
          <x14:formula1>
            <xm:f>'Drop-Down Boxes '!$O$16:$O$20</xm:f>
          </x14:formula1>
          <xm:sqref>AD183:AM187</xm:sqref>
        </x14:dataValidation>
        <x14:dataValidation type="list" allowBlank="1" showErrorMessage="1" xr:uid="{00000000-0002-0000-0C00-000001000000}">
          <x14:formula1>
            <xm:f>'Drop-Down Boxes '!$D$3:$D$14</xm:f>
          </x14:formula1>
          <xm:sqref>F8</xm:sqref>
        </x14:dataValidation>
        <x14:dataValidation type="list" allowBlank="1" showErrorMessage="1" xr:uid="{00000000-0002-0000-0C00-000002000000}">
          <x14:formula1>
            <xm:f>'Drop-Down Boxes '!$H$3:$H$5</xm:f>
          </x14:formula1>
          <xm:sqref>N8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N1000"/>
  <sheetViews>
    <sheetView tabSelected="1" workbookViewId="0">
      <selection activeCell="Z7" sqref="Z7:AN7"/>
    </sheetView>
  </sheetViews>
  <sheetFormatPr defaultColWidth="14.42578125" defaultRowHeight="15" customHeight="1"/>
  <cols>
    <col min="1" max="40" width="5.7109375" customWidth="1"/>
  </cols>
  <sheetData>
    <row r="1" spans="1:40" ht="18.75">
      <c r="A1" s="466" t="s">
        <v>279</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428"/>
    </row>
    <row r="2" spans="1:40" ht="16.5" customHeight="1">
      <c r="A2" s="467" t="s">
        <v>280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428"/>
    </row>
    <row r="3" spans="1:40" ht="16.5" customHeight="1">
      <c r="A3" s="468" t="s">
        <v>281</v>
      </c>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9"/>
      <c r="AL3" s="8"/>
      <c r="AM3" s="8"/>
      <c r="AN3" s="8"/>
    </row>
    <row r="4" spans="1:40" ht="15.75" customHeight="1">
      <c r="A4" s="469" t="s">
        <v>282</v>
      </c>
      <c r="B4" s="384"/>
      <c r="C4" s="384"/>
      <c r="D4" s="384"/>
      <c r="E4" s="384"/>
      <c r="F4" s="384"/>
      <c r="G4" s="385"/>
      <c r="H4" s="470" t="s">
        <v>1072</v>
      </c>
      <c r="I4" s="470"/>
      <c r="J4" s="470"/>
      <c r="K4" s="470"/>
      <c r="L4" s="470"/>
      <c r="M4" s="470"/>
      <c r="N4" s="470"/>
      <c r="O4" s="470"/>
      <c r="P4" s="470"/>
      <c r="Q4" s="470"/>
      <c r="R4" s="470"/>
      <c r="S4" s="470"/>
      <c r="T4" s="4"/>
      <c r="U4" s="469" t="s">
        <v>32</v>
      </c>
      <c r="V4" s="384"/>
      <c r="W4" s="384"/>
      <c r="X4" s="384"/>
      <c r="Y4" s="385"/>
      <c r="Z4" s="460"/>
      <c r="AA4" s="461"/>
      <c r="AB4" s="461"/>
      <c r="AC4" s="461"/>
      <c r="AD4" s="461"/>
      <c r="AE4" s="461"/>
      <c r="AF4" s="461"/>
      <c r="AG4" s="461"/>
      <c r="AH4" s="461"/>
      <c r="AI4" s="461"/>
      <c r="AJ4" s="461"/>
      <c r="AK4" s="461"/>
      <c r="AL4" s="461"/>
      <c r="AM4" s="461"/>
      <c r="AN4" s="462"/>
    </row>
    <row r="5" spans="1:40">
      <c r="A5" s="368" t="s">
        <v>283</v>
      </c>
      <c r="B5" s="350"/>
      <c r="C5" s="350"/>
      <c r="D5" s="350"/>
      <c r="E5" s="350"/>
      <c r="F5" s="350"/>
      <c r="G5" s="351"/>
      <c r="H5" s="478"/>
      <c r="I5" s="478"/>
      <c r="J5" s="478"/>
      <c r="K5" s="478"/>
      <c r="L5" s="478"/>
      <c r="M5" s="478"/>
      <c r="N5" s="478"/>
      <c r="O5" s="478"/>
      <c r="P5" s="478"/>
      <c r="Q5" s="478"/>
      <c r="R5" s="478"/>
      <c r="S5" s="478"/>
      <c r="T5" s="5"/>
      <c r="U5" s="479" t="s">
        <v>284</v>
      </c>
      <c r="V5" s="350"/>
      <c r="W5" s="350"/>
      <c r="X5" s="350"/>
      <c r="Y5" s="351"/>
      <c r="Z5" s="480" t="s">
        <v>1088</v>
      </c>
      <c r="AA5" s="481"/>
      <c r="AB5" s="481"/>
      <c r="AC5" s="481"/>
      <c r="AD5" s="481"/>
      <c r="AE5" s="481"/>
      <c r="AF5" s="481"/>
      <c r="AG5" s="481"/>
      <c r="AH5" s="481"/>
      <c r="AI5" s="481"/>
      <c r="AJ5" s="481"/>
      <c r="AK5" s="481"/>
      <c r="AL5" s="481"/>
      <c r="AM5" s="481"/>
      <c r="AN5" s="482"/>
    </row>
    <row r="6" spans="1:40" ht="15" customHeight="1">
      <c r="A6" s="453" t="s">
        <v>38</v>
      </c>
      <c r="B6" s="355"/>
      <c r="C6" s="355"/>
      <c r="D6" s="355"/>
      <c r="E6" s="355"/>
      <c r="F6" s="355"/>
      <c r="G6" s="356"/>
      <c r="H6" s="459"/>
      <c r="I6" s="459"/>
      <c r="J6" s="459"/>
      <c r="K6" s="459"/>
      <c r="L6" s="459"/>
      <c r="M6" s="459"/>
      <c r="N6" s="459"/>
      <c r="O6" s="459"/>
      <c r="P6" s="459"/>
      <c r="Q6" s="459"/>
      <c r="R6" s="459"/>
      <c r="S6" s="459"/>
      <c r="T6" s="5"/>
      <c r="U6" s="368" t="s">
        <v>40</v>
      </c>
      <c r="V6" s="350"/>
      <c r="W6" s="350"/>
      <c r="X6" s="350"/>
      <c r="Y6" s="351"/>
      <c r="Z6" s="460"/>
      <c r="AA6" s="461"/>
      <c r="AB6" s="461"/>
      <c r="AC6" s="461"/>
      <c r="AD6" s="461"/>
      <c r="AE6" s="461"/>
      <c r="AF6" s="461"/>
      <c r="AG6" s="461"/>
      <c r="AH6" s="461"/>
      <c r="AI6" s="461"/>
      <c r="AJ6" s="461"/>
      <c r="AK6" s="461"/>
      <c r="AL6" s="461"/>
      <c r="AM6" s="461"/>
      <c r="AN6" s="462"/>
    </row>
    <row r="7" spans="1:40" ht="15" customHeight="1">
      <c r="A7" s="360"/>
      <c r="B7" s="361"/>
      <c r="C7" s="361"/>
      <c r="D7" s="361"/>
      <c r="E7" s="361"/>
      <c r="F7" s="361"/>
      <c r="G7" s="362"/>
      <c r="H7" s="459"/>
      <c r="I7" s="459"/>
      <c r="J7" s="459"/>
      <c r="K7" s="459"/>
      <c r="L7" s="459"/>
      <c r="M7" s="459"/>
      <c r="N7" s="459"/>
      <c r="O7" s="459"/>
      <c r="P7" s="459"/>
      <c r="Q7" s="459"/>
      <c r="R7" s="459"/>
      <c r="S7" s="459"/>
      <c r="T7" s="5"/>
      <c r="U7" s="368" t="s">
        <v>42</v>
      </c>
      <c r="V7" s="350"/>
      <c r="W7" s="350"/>
      <c r="X7" s="350"/>
      <c r="Y7" s="351"/>
      <c r="Z7" s="463"/>
      <c r="AA7" s="461"/>
      <c r="AB7" s="461"/>
      <c r="AC7" s="461"/>
      <c r="AD7" s="461"/>
      <c r="AE7" s="461"/>
      <c r="AF7" s="461"/>
      <c r="AG7" s="461"/>
      <c r="AH7" s="461"/>
      <c r="AI7" s="461"/>
      <c r="AJ7" s="461"/>
      <c r="AK7" s="461"/>
      <c r="AL7" s="461"/>
      <c r="AM7" s="461"/>
      <c r="AN7" s="462"/>
    </row>
    <row r="8" spans="1:40" ht="15.75" customHeight="1">
      <c r="A8" s="374" t="s">
        <v>285</v>
      </c>
      <c r="B8" s="350"/>
      <c r="C8" s="350"/>
      <c r="D8" s="350"/>
      <c r="E8" s="350"/>
      <c r="F8" s="350"/>
      <c r="G8" s="351"/>
      <c r="H8" s="454" t="s">
        <v>753</v>
      </c>
      <c r="I8" s="350"/>
      <c r="J8" s="350"/>
      <c r="K8" s="350"/>
      <c r="L8" s="350"/>
      <c r="M8" s="350"/>
      <c r="N8" s="350"/>
      <c r="O8" s="351"/>
      <c r="P8" s="454">
        <v>2022</v>
      </c>
      <c r="Q8" s="350"/>
      <c r="R8" s="350"/>
      <c r="S8" s="351"/>
      <c r="T8" s="5"/>
      <c r="U8" s="471" t="s">
        <v>46</v>
      </c>
      <c r="V8" s="350"/>
      <c r="W8" s="350"/>
      <c r="X8" s="350"/>
      <c r="Y8" s="351"/>
      <c r="Z8" s="472"/>
      <c r="AA8" s="473"/>
      <c r="AB8" s="473"/>
      <c r="AC8" s="473"/>
      <c r="AD8" s="473"/>
      <c r="AE8" s="473"/>
      <c r="AF8" s="473"/>
      <c r="AG8" s="473"/>
      <c r="AH8" s="473"/>
      <c r="AI8" s="473"/>
      <c r="AJ8" s="473"/>
      <c r="AK8" s="473"/>
      <c r="AL8" s="473"/>
      <c r="AM8" s="473"/>
      <c r="AN8" s="474"/>
    </row>
    <row r="9" spans="1:40" ht="15.75" customHeight="1">
      <c r="A9" s="475" t="s">
        <v>286</v>
      </c>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c r="AH9" s="476"/>
      <c r="AI9" s="476"/>
      <c r="AJ9" s="476"/>
      <c r="AK9" s="477"/>
      <c r="AL9" s="337"/>
      <c r="AM9" s="337"/>
      <c r="AN9" s="337"/>
    </row>
    <row r="10" spans="1:40" ht="39.75" customHeight="1">
      <c r="A10" s="455" t="s">
        <v>287</v>
      </c>
      <c r="B10" s="442"/>
      <c r="C10" s="456" t="s">
        <v>1076</v>
      </c>
      <c r="D10" s="441"/>
      <c r="E10" s="441"/>
      <c r="F10" s="457" t="s">
        <v>288</v>
      </c>
      <c r="G10" s="441"/>
      <c r="H10" s="441"/>
      <c r="I10" s="442"/>
      <c r="J10" s="457" t="s">
        <v>289</v>
      </c>
      <c r="K10" s="441"/>
      <c r="L10" s="441"/>
      <c r="M10" s="442"/>
      <c r="N10" s="457" t="s">
        <v>1077</v>
      </c>
      <c r="O10" s="441"/>
      <c r="P10" s="441"/>
      <c r="Q10" s="441"/>
      <c r="R10" s="441"/>
      <c r="S10" s="442"/>
      <c r="T10" s="338"/>
      <c r="U10" s="455" t="s">
        <v>287</v>
      </c>
      <c r="V10" s="442"/>
      <c r="W10" s="456" t="s">
        <v>1078</v>
      </c>
      <c r="X10" s="441"/>
      <c r="Y10" s="441"/>
      <c r="Z10" s="457" t="s">
        <v>1073</v>
      </c>
      <c r="AA10" s="441"/>
      <c r="AB10" s="441"/>
      <c r="AC10" s="442"/>
      <c r="AD10" s="457" t="s">
        <v>1074</v>
      </c>
      <c r="AE10" s="441"/>
      <c r="AF10" s="441"/>
      <c r="AG10" s="442"/>
      <c r="AH10" s="464" t="s">
        <v>1075</v>
      </c>
      <c r="AI10" s="441"/>
      <c r="AJ10" s="441"/>
      <c r="AK10" s="441"/>
      <c r="AL10" s="441"/>
      <c r="AM10" s="441"/>
      <c r="AN10" s="442"/>
    </row>
    <row r="11" spans="1:40" ht="15.75" customHeight="1">
      <c r="A11" s="443">
        <v>1</v>
      </c>
      <c r="B11" s="442"/>
      <c r="C11" s="444"/>
      <c r="D11" s="441"/>
      <c r="E11" s="441"/>
      <c r="F11" s="445"/>
      <c r="G11" s="441"/>
      <c r="H11" s="441"/>
      <c r="I11" s="442"/>
      <c r="J11" s="445"/>
      <c r="K11" s="441"/>
      <c r="L11" s="441"/>
      <c r="M11" s="442"/>
      <c r="N11" s="440"/>
      <c r="O11" s="441"/>
      <c r="P11" s="441"/>
      <c r="Q11" s="441"/>
      <c r="R11" s="441"/>
      <c r="S11" s="442"/>
      <c r="T11" s="338"/>
      <c r="U11" s="443">
        <v>9</v>
      </c>
      <c r="V11" s="442"/>
      <c r="W11" s="444"/>
      <c r="X11" s="441"/>
      <c r="Y11" s="441"/>
      <c r="Z11" s="445"/>
      <c r="AA11" s="441"/>
      <c r="AB11" s="441"/>
      <c r="AC11" s="442"/>
      <c r="AD11" s="445"/>
      <c r="AE11" s="441"/>
      <c r="AF11" s="441"/>
      <c r="AG11" s="442"/>
      <c r="AH11" s="440"/>
      <c r="AI11" s="441"/>
      <c r="AJ11" s="441"/>
      <c r="AK11" s="441"/>
      <c r="AL11" s="441"/>
      <c r="AM11" s="441"/>
      <c r="AN11" s="442"/>
    </row>
    <row r="12" spans="1:40" ht="15.75" customHeight="1">
      <c r="A12" s="443">
        <v>2</v>
      </c>
      <c r="B12" s="442"/>
      <c r="C12" s="444"/>
      <c r="D12" s="441"/>
      <c r="E12" s="441"/>
      <c r="F12" s="445"/>
      <c r="G12" s="441"/>
      <c r="H12" s="441"/>
      <c r="I12" s="442"/>
      <c r="J12" s="445"/>
      <c r="K12" s="441"/>
      <c r="L12" s="441"/>
      <c r="M12" s="442"/>
      <c r="N12" s="440"/>
      <c r="O12" s="441"/>
      <c r="P12" s="441"/>
      <c r="Q12" s="441"/>
      <c r="R12" s="441"/>
      <c r="S12" s="442"/>
      <c r="T12" s="338"/>
      <c r="U12" s="443">
        <v>10</v>
      </c>
      <c r="V12" s="442"/>
      <c r="W12" s="444"/>
      <c r="X12" s="441"/>
      <c r="Y12" s="441"/>
      <c r="Z12" s="445"/>
      <c r="AA12" s="441"/>
      <c r="AB12" s="441"/>
      <c r="AC12" s="442"/>
      <c r="AD12" s="445"/>
      <c r="AE12" s="441"/>
      <c r="AF12" s="441"/>
      <c r="AG12" s="442"/>
      <c r="AH12" s="440"/>
      <c r="AI12" s="441"/>
      <c r="AJ12" s="441"/>
      <c r="AK12" s="441"/>
      <c r="AL12" s="441"/>
      <c r="AM12" s="441"/>
      <c r="AN12" s="442"/>
    </row>
    <row r="13" spans="1:40" ht="15.75" customHeight="1">
      <c r="A13" s="443">
        <v>3</v>
      </c>
      <c r="B13" s="442"/>
      <c r="C13" s="444"/>
      <c r="D13" s="441"/>
      <c r="E13" s="441"/>
      <c r="F13" s="445"/>
      <c r="G13" s="441"/>
      <c r="H13" s="441"/>
      <c r="I13" s="442"/>
      <c r="J13" s="445"/>
      <c r="K13" s="441"/>
      <c r="L13" s="441"/>
      <c r="M13" s="442"/>
      <c r="N13" s="440"/>
      <c r="O13" s="441"/>
      <c r="P13" s="441"/>
      <c r="Q13" s="441"/>
      <c r="R13" s="441"/>
      <c r="S13" s="442"/>
      <c r="T13" s="338"/>
      <c r="U13" s="443">
        <v>11</v>
      </c>
      <c r="V13" s="442"/>
      <c r="W13" s="444"/>
      <c r="X13" s="441"/>
      <c r="Y13" s="441"/>
      <c r="Z13" s="445"/>
      <c r="AA13" s="441"/>
      <c r="AB13" s="441"/>
      <c r="AC13" s="442"/>
      <c r="AD13" s="445"/>
      <c r="AE13" s="441"/>
      <c r="AF13" s="441"/>
      <c r="AG13" s="442"/>
      <c r="AH13" s="440"/>
      <c r="AI13" s="441"/>
      <c r="AJ13" s="441"/>
      <c r="AK13" s="441"/>
      <c r="AL13" s="441"/>
      <c r="AM13" s="441"/>
      <c r="AN13" s="442"/>
    </row>
    <row r="14" spans="1:40" ht="15.75" customHeight="1">
      <c r="A14" s="443">
        <v>4</v>
      </c>
      <c r="B14" s="442"/>
      <c r="C14" s="444"/>
      <c r="D14" s="441"/>
      <c r="E14" s="441"/>
      <c r="F14" s="445"/>
      <c r="G14" s="441"/>
      <c r="H14" s="441"/>
      <c r="I14" s="442"/>
      <c r="J14" s="445"/>
      <c r="K14" s="441"/>
      <c r="L14" s="441"/>
      <c r="M14" s="442"/>
      <c r="N14" s="440"/>
      <c r="O14" s="441"/>
      <c r="P14" s="441"/>
      <c r="Q14" s="441"/>
      <c r="R14" s="441"/>
      <c r="S14" s="442"/>
      <c r="T14" s="338"/>
      <c r="U14" s="443">
        <v>12</v>
      </c>
      <c r="V14" s="442"/>
      <c r="W14" s="444"/>
      <c r="X14" s="441"/>
      <c r="Y14" s="441"/>
      <c r="Z14" s="445"/>
      <c r="AA14" s="441"/>
      <c r="AB14" s="441"/>
      <c r="AC14" s="442"/>
      <c r="AD14" s="445"/>
      <c r="AE14" s="441"/>
      <c r="AF14" s="441"/>
      <c r="AG14" s="442"/>
      <c r="AH14" s="440"/>
      <c r="AI14" s="441"/>
      <c r="AJ14" s="441"/>
      <c r="AK14" s="441"/>
      <c r="AL14" s="441"/>
      <c r="AM14" s="441"/>
      <c r="AN14" s="442"/>
    </row>
    <row r="15" spans="1:40" ht="15.75" customHeight="1">
      <c r="A15" s="443">
        <v>5</v>
      </c>
      <c r="B15" s="442"/>
      <c r="C15" s="444"/>
      <c r="D15" s="441"/>
      <c r="E15" s="441"/>
      <c r="F15" s="445"/>
      <c r="G15" s="441"/>
      <c r="H15" s="441"/>
      <c r="I15" s="442"/>
      <c r="J15" s="445"/>
      <c r="K15" s="441"/>
      <c r="L15" s="441"/>
      <c r="M15" s="442"/>
      <c r="N15" s="440"/>
      <c r="O15" s="441"/>
      <c r="P15" s="441"/>
      <c r="Q15" s="441"/>
      <c r="R15" s="441"/>
      <c r="S15" s="442"/>
      <c r="T15" s="338"/>
      <c r="U15" s="443">
        <v>13</v>
      </c>
      <c r="V15" s="442"/>
      <c r="W15" s="444"/>
      <c r="X15" s="441"/>
      <c r="Y15" s="441"/>
      <c r="Z15" s="445"/>
      <c r="AA15" s="441"/>
      <c r="AB15" s="441"/>
      <c r="AC15" s="442"/>
      <c r="AD15" s="445"/>
      <c r="AE15" s="441"/>
      <c r="AF15" s="441"/>
      <c r="AG15" s="442"/>
      <c r="AH15" s="440"/>
      <c r="AI15" s="441"/>
      <c r="AJ15" s="441"/>
      <c r="AK15" s="441"/>
      <c r="AL15" s="441"/>
      <c r="AM15" s="441"/>
      <c r="AN15" s="442"/>
    </row>
    <row r="16" spans="1:40" ht="15.75" customHeight="1">
      <c r="A16" s="443">
        <v>6</v>
      </c>
      <c r="B16" s="442"/>
      <c r="C16" s="444"/>
      <c r="D16" s="441"/>
      <c r="E16" s="441"/>
      <c r="F16" s="445"/>
      <c r="G16" s="441"/>
      <c r="H16" s="441"/>
      <c r="I16" s="442"/>
      <c r="J16" s="445"/>
      <c r="K16" s="441"/>
      <c r="L16" s="441"/>
      <c r="M16" s="442"/>
      <c r="N16" s="440"/>
      <c r="O16" s="441"/>
      <c r="P16" s="441"/>
      <c r="Q16" s="441"/>
      <c r="R16" s="441"/>
      <c r="S16" s="442"/>
      <c r="T16" s="338"/>
      <c r="U16" s="443">
        <v>14</v>
      </c>
      <c r="V16" s="442"/>
      <c r="W16" s="444"/>
      <c r="X16" s="441"/>
      <c r="Y16" s="441"/>
      <c r="Z16" s="445"/>
      <c r="AA16" s="441"/>
      <c r="AB16" s="441"/>
      <c r="AC16" s="442"/>
      <c r="AD16" s="445"/>
      <c r="AE16" s="441"/>
      <c r="AF16" s="441"/>
      <c r="AG16" s="442"/>
      <c r="AH16" s="440"/>
      <c r="AI16" s="441"/>
      <c r="AJ16" s="441"/>
      <c r="AK16" s="441"/>
      <c r="AL16" s="441"/>
      <c r="AM16" s="441"/>
      <c r="AN16" s="442"/>
    </row>
    <row r="17" spans="1:40" ht="15.75" customHeight="1">
      <c r="A17" s="443">
        <v>7</v>
      </c>
      <c r="B17" s="442"/>
      <c r="C17" s="444"/>
      <c r="D17" s="441"/>
      <c r="E17" s="441"/>
      <c r="F17" s="445"/>
      <c r="G17" s="441"/>
      <c r="H17" s="441"/>
      <c r="I17" s="442"/>
      <c r="J17" s="445"/>
      <c r="K17" s="441"/>
      <c r="L17" s="441"/>
      <c r="M17" s="442"/>
      <c r="N17" s="440"/>
      <c r="O17" s="441"/>
      <c r="P17" s="441"/>
      <c r="Q17" s="441"/>
      <c r="R17" s="441"/>
      <c r="S17" s="442"/>
      <c r="T17" s="338"/>
      <c r="U17" s="443">
        <v>15</v>
      </c>
      <c r="V17" s="442"/>
      <c r="W17" s="444"/>
      <c r="X17" s="441"/>
      <c r="Y17" s="441"/>
      <c r="Z17" s="445"/>
      <c r="AA17" s="441"/>
      <c r="AB17" s="441"/>
      <c r="AC17" s="442"/>
      <c r="AD17" s="445"/>
      <c r="AE17" s="441"/>
      <c r="AF17" s="441"/>
      <c r="AG17" s="442"/>
      <c r="AH17" s="440"/>
      <c r="AI17" s="441"/>
      <c r="AJ17" s="441"/>
      <c r="AK17" s="441"/>
      <c r="AL17" s="441"/>
      <c r="AM17" s="441"/>
      <c r="AN17" s="442"/>
    </row>
    <row r="18" spans="1:40" ht="15.75" customHeight="1">
      <c r="A18" s="443">
        <v>8</v>
      </c>
      <c r="B18" s="442"/>
      <c r="C18" s="444"/>
      <c r="D18" s="441"/>
      <c r="E18" s="441"/>
      <c r="F18" s="445"/>
      <c r="G18" s="441"/>
      <c r="H18" s="441"/>
      <c r="I18" s="442"/>
      <c r="J18" s="445"/>
      <c r="K18" s="441"/>
      <c r="L18" s="441"/>
      <c r="M18" s="442"/>
      <c r="N18" s="440"/>
      <c r="O18" s="441"/>
      <c r="P18" s="441"/>
      <c r="Q18" s="441"/>
      <c r="R18" s="441"/>
      <c r="S18" s="442"/>
      <c r="T18" s="338"/>
      <c r="U18" s="443">
        <v>16</v>
      </c>
      <c r="V18" s="442"/>
      <c r="W18" s="444"/>
      <c r="X18" s="441"/>
      <c r="Y18" s="441"/>
      <c r="Z18" s="445"/>
      <c r="AA18" s="441"/>
      <c r="AB18" s="441"/>
      <c r="AC18" s="442"/>
      <c r="AD18" s="445"/>
      <c r="AE18" s="441"/>
      <c r="AF18" s="441"/>
      <c r="AG18" s="442"/>
      <c r="AH18" s="440"/>
      <c r="AI18" s="441"/>
      <c r="AJ18" s="441"/>
      <c r="AK18" s="441"/>
      <c r="AL18" s="441"/>
      <c r="AM18" s="441"/>
      <c r="AN18" s="442"/>
    </row>
    <row r="19" spans="1:40" ht="15.75" customHeight="1">
      <c r="A19" s="458" t="s">
        <v>290</v>
      </c>
      <c r="B19" s="381"/>
      <c r="C19" s="381"/>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428"/>
    </row>
    <row r="20" spans="1:40" ht="15.75" customHeight="1">
      <c r="A20" s="10" t="s">
        <v>291</v>
      </c>
      <c r="B20" s="11"/>
      <c r="C20" s="450" t="s">
        <v>292</v>
      </c>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428"/>
    </row>
    <row r="21" spans="1:40" ht="15.75" customHeight="1">
      <c r="A21" s="12" t="s">
        <v>293</v>
      </c>
      <c r="B21" s="13"/>
      <c r="C21" s="446" t="s">
        <v>294</v>
      </c>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1"/>
    </row>
    <row r="22" spans="1:40" ht="15.75" customHeight="1">
      <c r="A22" s="12"/>
      <c r="B22" s="13"/>
      <c r="C22" s="392"/>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93"/>
    </row>
    <row r="23" spans="1:40" ht="15.75" customHeight="1">
      <c r="A23" s="12"/>
      <c r="B23" s="13"/>
      <c r="C23" s="392"/>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93"/>
    </row>
    <row r="24" spans="1:40" ht="15.75" customHeight="1">
      <c r="A24" s="12"/>
      <c r="B24" s="13"/>
      <c r="C24" s="392"/>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93"/>
    </row>
    <row r="25" spans="1:40" ht="15.75" customHeight="1">
      <c r="A25" s="12"/>
      <c r="B25" s="13"/>
      <c r="C25" s="447"/>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8"/>
      <c r="AK25" s="448"/>
      <c r="AL25" s="448"/>
      <c r="AM25" s="448"/>
      <c r="AN25" s="449"/>
    </row>
    <row r="26" spans="1:40" ht="30" customHeight="1">
      <c r="A26" s="14" t="s">
        <v>291</v>
      </c>
      <c r="B26" s="15"/>
      <c r="C26" s="450" t="s">
        <v>292</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81"/>
      <c r="AM26" s="381"/>
      <c r="AN26" s="428"/>
    </row>
    <row r="27" spans="1:40" ht="15.75" customHeight="1">
      <c r="A27" s="16" t="s">
        <v>295</v>
      </c>
      <c r="B27" s="17"/>
      <c r="C27" s="451" t="s">
        <v>294</v>
      </c>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1"/>
    </row>
    <row r="28" spans="1:40" ht="15.75" customHeight="1">
      <c r="A28" s="16"/>
      <c r="B28" s="17"/>
      <c r="C28" s="392"/>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93"/>
    </row>
    <row r="29" spans="1:40" ht="15.75" customHeight="1">
      <c r="A29" s="16"/>
      <c r="B29" s="17"/>
      <c r="C29" s="392"/>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93"/>
    </row>
    <row r="30" spans="1:40" ht="15.75" customHeight="1">
      <c r="A30" s="16"/>
      <c r="B30" s="17"/>
      <c r="C30" s="392"/>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93"/>
    </row>
    <row r="31" spans="1:40" ht="15.75" customHeight="1">
      <c r="A31" s="16"/>
      <c r="B31" s="17"/>
      <c r="C31" s="447"/>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c r="AL31" s="448"/>
      <c r="AM31" s="448"/>
      <c r="AN31" s="449"/>
    </row>
    <row r="32" spans="1:40" ht="30" customHeight="1">
      <c r="A32" s="18" t="s">
        <v>291</v>
      </c>
      <c r="B32" s="19"/>
      <c r="C32" s="450" t="s">
        <v>292</v>
      </c>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1"/>
      <c r="AN32" s="428"/>
    </row>
    <row r="33" spans="1:40" ht="15.75" customHeight="1">
      <c r="A33" s="20" t="s">
        <v>296</v>
      </c>
      <c r="B33" s="21"/>
      <c r="C33" s="452" t="s">
        <v>294</v>
      </c>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0"/>
      <c r="AL33" s="390"/>
      <c r="AM33" s="390"/>
      <c r="AN33" s="391"/>
    </row>
    <row r="34" spans="1:40" ht="15.75" customHeight="1">
      <c r="A34" s="20"/>
      <c r="B34" s="21"/>
      <c r="C34" s="392"/>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93"/>
    </row>
    <row r="35" spans="1:40" ht="15.75" customHeight="1">
      <c r="A35" s="20"/>
      <c r="B35" s="21"/>
      <c r="C35" s="392"/>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93"/>
    </row>
    <row r="36" spans="1:40" ht="15.75" customHeight="1">
      <c r="A36" s="20"/>
      <c r="B36" s="21"/>
      <c r="C36" s="392"/>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93"/>
    </row>
    <row r="37" spans="1:40" ht="15.75" customHeight="1">
      <c r="A37" s="20"/>
      <c r="B37" s="21"/>
      <c r="C37" s="447"/>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9"/>
    </row>
    <row r="38" spans="1:40" ht="30" customHeight="1">
      <c r="A38" s="14" t="s">
        <v>291</v>
      </c>
      <c r="B38" s="15"/>
      <c r="C38" s="450" t="s">
        <v>292</v>
      </c>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428"/>
    </row>
    <row r="39" spans="1:40" ht="15.75" customHeight="1">
      <c r="A39" s="16" t="s">
        <v>297</v>
      </c>
      <c r="B39" s="17"/>
      <c r="C39" s="451" t="s">
        <v>298</v>
      </c>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1"/>
    </row>
    <row r="40" spans="1:40" ht="15.75" customHeight="1">
      <c r="A40" s="16"/>
      <c r="B40" s="17"/>
      <c r="C40" s="392"/>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93"/>
    </row>
    <row r="41" spans="1:40" ht="15.75" customHeight="1">
      <c r="A41" s="16"/>
      <c r="B41" s="17"/>
      <c r="C41" s="392"/>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93"/>
    </row>
    <row r="42" spans="1:40" ht="15.75" customHeight="1">
      <c r="A42" s="16"/>
      <c r="B42" s="17"/>
      <c r="C42" s="392"/>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93"/>
    </row>
    <row r="43" spans="1:40" ht="15.75" customHeight="1">
      <c r="A43" s="16"/>
      <c r="B43" s="17"/>
      <c r="C43" s="447"/>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9"/>
    </row>
    <row r="44" spans="1:40" ht="30" customHeight="1">
      <c r="A44" s="18" t="s">
        <v>299</v>
      </c>
      <c r="B44" s="19"/>
      <c r="C44" s="450" t="s">
        <v>292</v>
      </c>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428"/>
    </row>
    <row r="45" spans="1:40" ht="15.75" customHeight="1">
      <c r="A45" s="20" t="s">
        <v>300</v>
      </c>
      <c r="B45" s="21"/>
      <c r="C45" s="452" t="s">
        <v>298</v>
      </c>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91"/>
    </row>
    <row r="46" spans="1:40" ht="15.75" customHeight="1">
      <c r="A46" s="20"/>
      <c r="B46" s="21"/>
      <c r="C46" s="392"/>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93"/>
    </row>
    <row r="47" spans="1:40" ht="15.75" customHeight="1">
      <c r="A47" s="20"/>
      <c r="B47" s="21"/>
      <c r="C47" s="392"/>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93"/>
    </row>
    <row r="48" spans="1:40" ht="15.75" customHeight="1">
      <c r="A48" s="20"/>
      <c r="B48" s="21"/>
      <c r="C48" s="392"/>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93"/>
    </row>
    <row r="49" spans="1:40" ht="15.75" customHeight="1">
      <c r="A49" s="20"/>
      <c r="B49" s="21"/>
      <c r="C49" s="447"/>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9"/>
    </row>
    <row r="50" spans="1:40" ht="30" customHeight="1">
      <c r="A50" s="14" t="s">
        <v>299</v>
      </c>
      <c r="B50" s="15"/>
      <c r="C50" s="450" t="s">
        <v>292</v>
      </c>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428"/>
    </row>
    <row r="51" spans="1:40" ht="15.75" customHeight="1">
      <c r="A51" s="16" t="s">
        <v>301</v>
      </c>
      <c r="B51" s="17"/>
      <c r="C51" s="451" t="s">
        <v>298</v>
      </c>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91"/>
    </row>
    <row r="52" spans="1:40" ht="15.75" customHeight="1">
      <c r="A52" s="16"/>
      <c r="B52" s="17"/>
      <c r="C52" s="392"/>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93"/>
    </row>
    <row r="53" spans="1:40" ht="15.75" customHeight="1">
      <c r="A53" s="16"/>
      <c r="B53" s="17"/>
      <c r="C53" s="392"/>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93"/>
    </row>
    <row r="54" spans="1:40" ht="15.75" customHeight="1">
      <c r="A54" s="16"/>
      <c r="B54" s="17"/>
      <c r="C54" s="392"/>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93"/>
    </row>
    <row r="55" spans="1:40" ht="15.75" customHeight="1">
      <c r="A55" s="16"/>
      <c r="B55" s="17"/>
      <c r="C55" s="447"/>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9"/>
    </row>
    <row r="56" spans="1:40" ht="30" customHeight="1">
      <c r="A56" s="18" t="s">
        <v>299</v>
      </c>
      <c r="B56" s="19"/>
      <c r="C56" s="450" t="s">
        <v>292</v>
      </c>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428"/>
    </row>
    <row r="57" spans="1:40" ht="15.75" customHeight="1">
      <c r="A57" s="20" t="s">
        <v>302</v>
      </c>
      <c r="B57" s="21"/>
      <c r="C57" s="452" t="s">
        <v>294</v>
      </c>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1"/>
    </row>
    <row r="58" spans="1:40" ht="15.75" customHeight="1">
      <c r="A58" s="20"/>
      <c r="B58" s="21"/>
      <c r="C58" s="392"/>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93"/>
    </row>
    <row r="59" spans="1:40" ht="15.75" customHeight="1">
      <c r="A59" s="20"/>
      <c r="B59" s="21"/>
      <c r="C59" s="392"/>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93"/>
    </row>
    <row r="60" spans="1:40" ht="15.75" customHeight="1">
      <c r="A60" s="20"/>
      <c r="B60" s="21"/>
      <c r="C60" s="392"/>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93"/>
    </row>
    <row r="61" spans="1:40" ht="15.75" customHeight="1">
      <c r="A61" s="20"/>
      <c r="B61" s="21"/>
      <c r="C61" s="447"/>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449"/>
    </row>
    <row r="62" spans="1:40" ht="30" customHeight="1">
      <c r="A62" s="14" t="s">
        <v>299</v>
      </c>
      <c r="B62" s="15"/>
      <c r="C62" s="450" t="s">
        <v>292</v>
      </c>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428"/>
    </row>
    <row r="63" spans="1:40" ht="15.75" customHeight="1">
      <c r="A63" s="16" t="s">
        <v>303</v>
      </c>
      <c r="B63" s="17"/>
      <c r="C63" s="451" t="s">
        <v>294</v>
      </c>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c r="AH63" s="390"/>
      <c r="AI63" s="390"/>
      <c r="AJ63" s="390"/>
      <c r="AK63" s="390"/>
      <c r="AL63" s="390"/>
      <c r="AM63" s="390"/>
      <c r="AN63" s="391"/>
    </row>
    <row r="64" spans="1:40" ht="15.75" customHeight="1">
      <c r="A64" s="16"/>
      <c r="B64" s="17"/>
      <c r="C64" s="392"/>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93"/>
    </row>
    <row r="65" spans="1:40" ht="15.75" customHeight="1">
      <c r="A65" s="16"/>
      <c r="B65" s="17"/>
      <c r="C65" s="392"/>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93"/>
    </row>
    <row r="66" spans="1:40" ht="15.75" customHeight="1">
      <c r="A66" s="16"/>
      <c r="B66" s="17"/>
      <c r="C66" s="392"/>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93"/>
    </row>
    <row r="67" spans="1:40" ht="15.75" customHeight="1">
      <c r="A67" s="16"/>
      <c r="B67" s="17"/>
      <c r="C67" s="447"/>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c r="AN67" s="449"/>
    </row>
    <row r="68" spans="1:40" ht="30" customHeight="1">
      <c r="A68" s="18" t="s">
        <v>299</v>
      </c>
      <c r="B68" s="19"/>
      <c r="C68" s="450" t="s">
        <v>292</v>
      </c>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428"/>
    </row>
    <row r="69" spans="1:40" ht="15.75" customHeight="1">
      <c r="A69" s="20" t="s">
        <v>304</v>
      </c>
      <c r="B69" s="21"/>
      <c r="C69" s="452" t="s">
        <v>294</v>
      </c>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c r="AF69" s="390"/>
      <c r="AG69" s="390"/>
      <c r="AH69" s="390"/>
      <c r="AI69" s="390"/>
      <c r="AJ69" s="390"/>
      <c r="AK69" s="390"/>
      <c r="AL69" s="390"/>
      <c r="AM69" s="390"/>
      <c r="AN69" s="391"/>
    </row>
    <row r="70" spans="1:40" ht="15.75" customHeight="1">
      <c r="A70" s="20"/>
      <c r="B70" s="21"/>
      <c r="C70" s="392"/>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93"/>
    </row>
    <row r="71" spans="1:40" ht="15.75" customHeight="1">
      <c r="A71" s="20"/>
      <c r="B71" s="21"/>
      <c r="C71" s="392"/>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93"/>
    </row>
    <row r="72" spans="1:40" ht="15.75" customHeight="1">
      <c r="A72" s="20"/>
      <c r="B72" s="21"/>
      <c r="C72" s="392"/>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93"/>
    </row>
    <row r="73" spans="1:40" ht="15.75" customHeight="1">
      <c r="A73" s="20"/>
      <c r="B73" s="21"/>
      <c r="C73" s="447"/>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c r="AK73" s="448"/>
      <c r="AL73" s="448"/>
      <c r="AM73" s="448"/>
      <c r="AN73" s="449"/>
    </row>
    <row r="74" spans="1:40" ht="30" customHeight="1">
      <c r="A74" s="14" t="s">
        <v>299</v>
      </c>
      <c r="B74" s="15"/>
      <c r="C74" s="450" t="s">
        <v>292</v>
      </c>
      <c r="D74" s="381"/>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428"/>
    </row>
    <row r="75" spans="1:40" ht="15.75" customHeight="1">
      <c r="A75" s="16" t="s">
        <v>305</v>
      </c>
      <c r="B75" s="17"/>
      <c r="C75" s="451" t="s">
        <v>294</v>
      </c>
      <c r="D75" s="390"/>
      <c r="E75" s="390"/>
      <c r="F75" s="390"/>
      <c r="G75" s="390"/>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c r="AG75" s="390"/>
      <c r="AH75" s="390"/>
      <c r="AI75" s="390"/>
      <c r="AJ75" s="390"/>
      <c r="AK75" s="390"/>
      <c r="AL75" s="390"/>
      <c r="AM75" s="390"/>
      <c r="AN75" s="391"/>
    </row>
    <row r="76" spans="1:40" ht="15.75" customHeight="1">
      <c r="A76" s="16"/>
      <c r="B76" s="17"/>
      <c r="C76" s="392"/>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93"/>
    </row>
    <row r="77" spans="1:40" ht="15.75" customHeight="1">
      <c r="A77" s="16"/>
      <c r="B77" s="17"/>
      <c r="C77" s="392"/>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93"/>
    </row>
    <row r="78" spans="1:40" ht="15.75" customHeight="1">
      <c r="A78" s="16"/>
      <c r="B78" s="17"/>
      <c r="C78" s="392"/>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93"/>
    </row>
    <row r="79" spans="1:40" ht="15.75" customHeight="1">
      <c r="A79" s="16"/>
      <c r="B79" s="17"/>
      <c r="C79" s="447"/>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c r="AN79" s="449"/>
    </row>
    <row r="80" spans="1:40" ht="30" customHeight="1">
      <c r="A80" s="18" t="s">
        <v>299</v>
      </c>
      <c r="B80" s="19"/>
      <c r="C80" s="450" t="s">
        <v>292</v>
      </c>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428"/>
    </row>
    <row r="81" spans="1:40" ht="15.75" customHeight="1">
      <c r="A81" s="20" t="s">
        <v>306</v>
      </c>
      <c r="B81" s="21"/>
      <c r="C81" s="452" t="s">
        <v>294</v>
      </c>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c r="AH81" s="390"/>
      <c r="AI81" s="390"/>
      <c r="AJ81" s="390"/>
      <c r="AK81" s="390"/>
      <c r="AL81" s="390"/>
      <c r="AM81" s="390"/>
      <c r="AN81" s="391"/>
    </row>
    <row r="82" spans="1:40" ht="15.75" customHeight="1">
      <c r="A82" s="20"/>
      <c r="B82" s="21"/>
      <c r="C82" s="392"/>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93"/>
    </row>
    <row r="83" spans="1:40" ht="15.75" customHeight="1">
      <c r="A83" s="20"/>
      <c r="B83" s="21"/>
      <c r="C83" s="392"/>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93"/>
    </row>
    <row r="84" spans="1:40" ht="15.75" customHeight="1">
      <c r="A84" s="20"/>
      <c r="B84" s="21"/>
      <c r="C84" s="392"/>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93"/>
    </row>
    <row r="85" spans="1:40" ht="15.75" customHeight="1">
      <c r="A85" s="20"/>
      <c r="B85" s="21"/>
      <c r="C85" s="447"/>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9"/>
    </row>
    <row r="86" spans="1:40" ht="30" customHeight="1">
      <c r="A86" s="14" t="s">
        <v>299</v>
      </c>
      <c r="B86" s="15"/>
      <c r="C86" s="450" t="s">
        <v>292</v>
      </c>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428"/>
    </row>
    <row r="87" spans="1:40" ht="15.75" customHeight="1">
      <c r="A87" s="16" t="s">
        <v>307</v>
      </c>
      <c r="B87" s="17"/>
      <c r="C87" s="451" t="s">
        <v>294</v>
      </c>
      <c r="D87" s="390"/>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c r="AG87" s="390"/>
      <c r="AH87" s="390"/>
      <c r="AI87" s="390"/>
      <c r="AJ87" s="390"/>
      <c r="AK87" s="390"/>
      <c r="AL87" s="390"/>
      <c r="AM87" s="390"/>
      <c r="AN87" s="391"/>
    </row>
    <row r="88" spans="1:40" ht="15.75" customHeight="1">
      <c r="A88" s="16"/>
      <c r="B88" s="17"/>
      <c r="C88" s="392"/>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93"/>
    </row>
    <row r="89" spans="1:40" ht="15.75" customHeight="1">
      <c r="A89" s="16"/>
      <c r="B89" s="17"/>
      <c r="C89" s="392"/>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93"/>
    </row>
    <row r="90" spans="1:40" ht="15.75" customHeight="1">
      <c r="A90" s="16"/>
      <c r="B90" s="17"/>
      <c r="C90" s="392"/>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93"/>
    </row>
    <row r="91" spans="1:40" ht="15.75" customHeight="1">
      <c r="A91" s="16"/>
      <c r="B91" s="17"/>
      <c r="C91" s="447"/>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c r="AN91" s="449"/>
    </row>
    <row r="92" spans="1:40" ht="30" customHeight="1">
      <c r="A92" s="18" t="s">
        <v>299</v>
      </c>
      <c r="B92" s="19"/>
      <c r="C92" s="450" t="s">
        <v>292</v>
      </c>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428"/>
    </row>
    <row r="93" spans="1:40" ht="15.75" customHeight="1">
      <c r="A93" s="20" t="s">
        <v>308</v>
      </c>
      <c r="B93" s="21"/>
      <c r="C93" s="452" t="s">
        <v>294</v>
      </c>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c r="AG93" s="390"/>
      <c r="AH93" s="390"/>
      <c r="AI93" s="390"/>
      <c r="AJ93" s="390"/>
      <c r="AK93" s="390"/>
      <c r="AL93" s="390"/>
      <c r="AM93" s="390"/>
      <c r="AN93" s="391"/>
    </row>
    <row r="94" spans="1:40" ht="15.75" customHeight="1">
      <c r="A94" s="20"/>
      <c r="B94" s="21"/>
      <c r="C94" s="392"/>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93"/>
    </row>
    <row r="95" spans="1:40" ht="15.75" customHeight="1">
      <c r="A95" s="20"/>
      <c r="B95" s="21"/>
      <c r="C95" s="392"/>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93"/>
    </row>
    <row r="96" spans="1:40" ht="15.75" customHeight="1">
      <c r="A96" s="20"/>
      <c r="B96" s="21"/>
      <c r="C96" s="392"/>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93"/>
    </row>
    <row r="97" spans="1:40" ht="15.75" customHeight="1">
      <c r="A97" s="20"/>
      <c r="B97" s="21"/>
      <c r="C97" s="447"/>
      <c r="D97" s="448"/>
      <c r="E97" s="448"/>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9"/>
    </row>
    <row r="98" spans="1:40" ht="30" customHeight="1">
      <c r="A98" s="14" t="s">
        <v>299</v>
      </c>
      <c r="B98" s="15"/>
      <c r="C98" s="450" t="s">
        <v>292</v>
      </c>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428"/>
    </row>
    <row r="99" spans="1:40" ht="15.75" customHeight="1">
      <c r="A99" s="16" t="s">
        <v>295</v>
      </c>
      <c r="B99" s="17"/>
      <c r="C99" s="451" t="s">
        <v>294</v>
      </c>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1"/>
    </row>
    <row r="100" spans="1:40" ht="15.75" customHeight="1">
      <c r="A100" s="16"/>
      <c r="B100" s="17"/>
      <c r="C100" s="392"/>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93"/>
    </row>
    <row r="101" spans="1:40" ht="15.75" customHeight="1">
      <c r="A101" s="16"/>
      <c r="B101" s="17"/>
      <c r="C101" s="392"/>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93"/>
    </row>
    <row r="102" spans="1:40" ht="15.75" customHeight="1">
      <c r="A102" s="16"/>
      <c r="B102" s="17"/>
      <c r="C102" s="392"/>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93"/>
    </row>
    <row r="103" spans="1:40" ht="15.75" customHeight="1">
      <c r="A103" s="16"/>
      <c r="B103" s="17"/>
      <c r="C103" s="447"/>
      <c r="D103" s="448"/>
      <c r="E103" s="448"/>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9"/>
    </row>
    <row r="104" spans="1:40" ht="30" customHeight="1">
      <c r="A104" s="18" t="s">
        <v>299</v>
      </c>
      <c r="B104" s="19"/>
      <c r="C104" s="450" t="s">
        <v>292</v>
      </c>
      <c r="D104" s="381"/>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381"/>
      <c r="AL104" s="381"/>
      <c r="AM104" s="381"/>
      <c r="AN104" s="428"/>
    </row>
    <row r="105" spans="1:40" ht="15.75" customHeight="1">
      <c r="A105" s="20" t="s">
        <v>296</v>
      </c>
      <c r="B105" s="21"/>
      <c r="C105" s="452" t="s">
        <v>298</v>
      </c>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c r="AG105" s="390"/>
      <c r="AH105" s="390"/>
      <c r="AI105" s="390"/>
      <c r="AJ105" s="390"/>
      <c r="AK105" s="390"/>
      <c r="AL105" s="390"/>
      <c r="AM105" s="390"/>
      <c r="AN105" s="391"/>
    </row>
    <row r="106" spans="1:40" ht="15.75" customHeight="1">
      <c r="A106" s="20"/>
      <c r="B106" s="21"/>
      <c r="C106" s="392"/>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93"/>
    </row>
    <row r="107" spans="1:40" ht="15.75" customHeight="1">
      <c r="A107" s="20"/>
      <c r="B107" s="21"/>
      <c r="C107" s="392"/>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93"/>
    </row>
    <row r="108" spans="1:40" ht="15.75" customHeight="1">
      <c r="A108" s="20"/>
      <c r="B108" s="21"/>
      <c r="C108" s="392"/>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93"/>
    </row>
    <row r="109" spans="1:40" ht="15.75" customHeight="1">
      <c r="A109" s="20"/>
      <c r="B109" s="21"/>
      <c r="C109" s="447"/>
      <c r="D109" s="448"/>
      <c r="E109" s="448"/>
      <c r="F109" s="448"/>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9"/>
    </row>
    <row r="110" spans="1:40" ht="30" customHeight="1">
      <c r="A110" s="14" t="s">
        <v>299</v>
      </c>
      <c r="B110" s="15"/>
      <c r="C110" s="450" t="s">
        <v>292</v>
      </c>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428"/>
    </row>
    <row r="111" spans="1:40" ht="15.75" customHeight="1">
      <c r="A111" s="16" t="s">
        <v>297</v>
      </c>
      <c r="B111" s="17"/>
      <c r="C111" s="451" t="s">
        <v>298</v>
      </c>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390"/>
      <c r="AM111" s="390"/>
      <c r="AN111" s="391"/>
    </row>
    <row r="112" spans="1:40" ht="15.75" customHeight="1">
      <c r="A112" s="16"/>
      <c r="B112" s="17"/>
      <c r="C112" s="392"/>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93"/>
    </row>
    <row r="113" spans="1:40" ht="15.75" customHeight="1">
      <c r="A113" s="16"/>
      <c r="B113" s="17"/>
      <c r="C113" s="392"/>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93"/>
    </row>
    <row r="114" spans="1:40" ht="15.75" customHeight="1">
      <c r="A114" s="16"/>
      <c r="B114" s="17"/>
      <c r="C114" s="392"/>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93"/>
    </row>
    <row r="115" spans="1:40" ht="15.75" customHeight="1">
      <c r="A115" s="16"/>
      <c r="B115" s="17"/>
      <c r="C115" s="447"/>
      <c r="D115" s="448"/>
      <c r="E115" s="448"/>
      <c r="F115" s="448"/>
      <c r="G115" s="448"/>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9"/>
    </row>
    <row r="116" spans="1:40" ht="30" customHeight="1">
      <c r="A116" s="18" t="s">
        <v>309</v>
      </c>
      <c r="B116" s="19"/>
      <c r="C116" s="450" t="s">
        <v>292</v>
      </c>
      <c r="D116" s="381"/>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428"/>
    </row>
    <row r="117" spans="1:40" ht="15.75" customHeight="1">
      <c r="A117" s="20" t="s">
        <v>300</v>
      </c>
      <c r="B117" s="21"/>
      <c r="C117" s="452" t="s">
        <v>298</v>
      </c>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390"/>
      <c r="AM117" s="390"/>
      <c r="AN117" s="391"/>
    </row>
    <row r="118" spans="1:40" ht="15.75" customHeight="1">
      <c r="A118" s="20"/>
      <c r="B118" s="21"/>
      <c r="C118" s="392"/>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93"/>
    </row>
    <row r="119" spans="1:40" ht="15.75" customHeight="1">
      <c r="A119" s="20"/>
      <c r="B119" s="21"/>
      <c r="C119" s="392"/>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93"/>
    </row>
    <row r="120" spans="1:40" ht="15.75" customHeight="1">
      <c r="A120" s="20"/>
      <c r="B120" s="21"/>
      <c r="C120" s="392"/>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58"/>
      <c r="AN120" s="393"/>
    </row>
    <row r="121" spans="1:40" ht="15.75" customHeight="1">
      <c r="A121" s="20"/>
      <c r="B121" s="21"/>
      <c r="C121" s="447"/>
      <c r="D121" s="448"/>
      <c r="E121" s="448"/>
      <c r="F121" s="448"/>
      <c r="G121" s="448"/>
      <c r="H121" s="448"/>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9"/>
    </row>
    <row r="122" spans="1:40" ht="30" customHeight="1">
      <c r="A122" s="14" t="s">
        <v>309</v>
      </c>
      <c r="B122" s="15"/>
      <c r="C122" s="450" t="s">
        <v>292</v>
      </c>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428"/>
    </row>
    <row r="123" spans="1:40" ht="15.75" customHeight="1">
      <c r="A123" s="16" t="s">
        <v>301</v>
      </c>
      <c r="B123" s="17"/>
      <c r="C123" s="465" t="s">
        <v>294</v>
      </c>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c r="AG123" s="390"/>
      <c r="AH123" s="390"/>
      <c r="AI123" s="390"/>
      <c r="AJ123" s="390"/>
      <c r="AK123" s="390"/>
      <c r="AL123" s="390"/>
      <c r="AM123" s="390"/>
      <c r="AN123" s="391"/>
    </row>
    <row r="124" spans="1:40" ht="15.75" customHeight="1">
      <c r="A124" s="16"/>
      <c r="B124" s="17"/>
      <c r="C124" s="392"/>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93"/>
    </row>
    <row r="125" spans="1:40" ht="15.75" customHeight="1">
      <c r="A125" s="16"/>
      <c r="B125" s="17"/>
      <c r="C125" s="392"/>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93"/>
    </row>
    <row r="126" spans="1:40" ht="15.75" customHeight="1">
      <c r="A126" s="16"/>
      <c r="B126" s="17"/>
      <c r="C126" s="392"/>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93"/>
    </row>
    <row r="127" spans="1:40" ht="15.75" customHeight="1">
      <c r="A127" s="16"/>
      <c r="B127" s="17"/>
      <c r="C127" s="447"/>
      <c r="D127" s="448"/>
      <c r="E127" s="448"/>
      <c r="F127" s="448"/>
      <c r="G127" s="448"/>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9"/>
    </row>
    <row r="128" spans="1:40" ht="30" customHeight="1">
      <c r="A128" s="18" t="s">
        <v>309</v>
      </c>
      <c r="B128" s="19"/>
      <c r="C128" s="450" t="s">
        <v>292</v>
      </c>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428"/>
    </row>
    <row r="129" spans="1:40" ht="15.75" customHeight="1">
      <c r="A129" s="20" t="s">
        <v>302</v>
      </c>
      <c r="B129" s="21"/>
      <c r="C129" s="452" t="s">
        <v>294</v>
      </c>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390"/>
      <c r="AM129" s="390"/>
      <c r="AN129" s="391"/>
    </row>
    <row r="130" spans="1:40" ht="15.75" customHeight="1">
      <c r="A130" s="20"/>
      <c r="B130" s="21"/>
      <c r="C130" s="392"/>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93"/>
    </row>
    <row r="131" spans="1:40" ht="15.75" customHeight="1">
      <c r="A131" s="20"/>
      <c r="B131" s="21"/>
      <c r="C131" s="392"/>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93"/>
    </row>
    <row r="132" spans="1:40" ht="15.75" customHeight="1">
      <c r="A132" s="20"/>
      <c r="B132" s="21"/>
      <c r="C132" s="392"/>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93"/>
    </row>
    <row r="133" spans="1:40" ht="15.75" customHeight="1">
      <c r="A133" s="20"/>
      <c r="B133" s="21"/>
      <c r="C133" s="447"/>
      <c r="D133" s="448"/>
      <c r="E133" s="448"/>
      <c r="F133" s="448"/>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48"/>
      <c r="AK133" s="448"/>
      <c r="AL133" s="448"/>
      <c r="AM133" s="448"/>
      <c r="AN133" s="449"/>
    </row>
    <row r="134" spans="1:40" ht="30" customHeight="1">
      <c r="A134" s="14" t="s">
        <v>309</v>
      </c>
      <c r="B134" s="15"/>
      <c r="C134" s="450" t="s">
        <v>292</v>
      </c>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428"/>
    </row>
    <row r="135" spans="1:40" ht="15.75" customHeight="1">
      <c r="A135" s="16" t="s">
        <v>303</v>
      </c>
      <c r="B135" s="17"/>
      <c r="C135" s="451" t="s">
        <v>294</v>
      </c>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c r="AL135" s="390"/>
      <c r="AM135" s="390"/>
      <c r="AN135" s="391"/>
    </row>
    <row r="136" spans="1:40" ht="15.75" customHeight="1">
      <c r="A136" s="16"/>
      <c r="B136" s="17"/>
      <c r="C136" s="392"/>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93"/>
    </row>
    <row r="137" spans="1:40" ht="15.75" customHeight="1">
      <c r="A137" s="16"/>
      <c r="B137" s="17"/>
      <c r="C137" s="392"/>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93"/>
    </row>
    <row r="138" spans="1:40" ht="15.75" customHeight="1">
      <c r="A138" s="16"/>
      <c r="B138" s="17"/>
      <c r="C138" s="392"/>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93"/>
    </row>
    <row r="139" spans="1:40" ht="15.75" customHeight="1">
      <c r="A139" s="16"/>
      <c r="B139" s="17"/>
      <c r="C139" s="447"/>
      <c r="D139" s="448"/>
      <c r="E139" s="448"/>
      <c r="F139" s="448"/>
      <c r="G139" s="448"/>
      <c r="H139" s="448"/>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8"/>
      <c r="AF139" s="448"/>
      <c r="AG139" s="448"/>
      <c r="AH139" s="448"/>
      <c r="AI139" s="448"/>
      <c r="AJ139" s="448"/>
      <c r="AK139" s="448"/>
      <c r="AL139" s="448"/>
      <c r="AM139" s="448"/>
      <c r="AN139" s="449"/>
    </row>
    <row r="140" spans="1:40" ht="30" customHeight="1">
      <c r="A140" s="18" t="s">
        <v>309</v>
      </c>
      <c r="B140" s="19"/>
      <c r="C140" s="450" t="s">
        <v>292</v>
      </c>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81"/>
      <c r="AL140" s="381"/>
      <c r="AM140" s="381"/>
      <c r="AN140" s="428"/>
    </row>
    <row r="141" spans="1:40" ht="15.75" customHeight="1">
      <c r="A141" s="20" t="s">
        <v>304</v>
      </c>
      <c r="B141" s="21"/>
      <c r="C141" s="452" t="s">
        <v>294</v>
      </c>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91"/>
    </row>
    <row r="142" spans="1:40" ht="15.75" customHeight="1">
      <c r="A142" s="20"/>
      <c r="B142" s="21"/>
      <c r="C142" s="392"/>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93"/>
    </row>
    <row r="143" spans="1:40" ht="15.75" customHeight="1">
      <c r="A143" s="20"/>
      <c r="B143" s="21"/>
      <c r="C143" s="392"/>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93"/>
    </row>
    <row r="144" spans="1:40" ht="15.75" customHeight="1">
      <c r="A144" s="20"/>
      <c r="B144" s="21"/>
      <c r="C144" s="392"/>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93"/>
    </row>
    <row r="145" spans="1:40" ht="15.75" customHeight="1">
      <c r="A145" s="20"/>
      <c r="B145" s="21"/>
      <c r="C145" s="447"/>
      <c r="D145" s="448"/>
      <c r="E145" s="448"/>
      <c r="F145" s="448"/>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8"/>
      <c r="AF145" s="448"/>
      <c r="AG145" s="448"/>
      <c r="AH145" s="448"/>
      <c r="AI145" s="448"/>
      <c r="AJ145" s="448"/>
      <c r="AK145" s="448"/>
      <c r="AL145" s="448"/>
      <c r="AM145" s="448"/>
      <c r="AN145" s="449"/>
    </row>
    <row r="146" spans="1:40" ht="30" customHeight="1">
      <c r="A146" s="14" t="s">
        <v>309</v>
      </c>
      <c r="B146" s="15"/>
      <c r="C146" s="450" t="s">
        <v>292</v>
      </c>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428"/>
    </row>
    <row r="147" spans="1:40" ht="15.75" customHeight="1">
      <c r="A147" s="16" t="s">
        <v>305</v>
      </c>
      <c r="B147" s="17"/>
      <c r="C147" s="465" t="s">
        <v>294</v>
      </c>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390"/>
      <c r="AM147" s="390"/>
      <c r="AN147" s="391"/>
    </row>
    <row r="148" spans="1:40" ht="15.75" customHeight="1">
      <c r="A148" s="16"/>
      <c r="B148" s="17"/>
      <c r="C148" s="392"/>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93"/>
    </row>
    <row r="149" spans="1:40" ht="15.75" customHeight="1">
      <c r="A149" s="16"/>
      <c r="B149" s="17"/>
      <c r="C149" s="392"/>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93"/>
    </row>
    <row r="150" spans="1:40" ht="15.75" customHeight="1">
      <c r="A150" s="16"/>
      <c r="B150" s="17"/>
      <c r="C150" s="392"/>
      <c r="D150" s="358"/>
      <c r="E150" s="358"/>
      <c r="F150" s="358"/>
      <c r="G150" s="358"/>
      <c r="H150" s="358"/>
      <c r="I150" s="358"/>
      <c r="J150" s="358"/>
      <c r="K150" s="358"/>
      <c r="L150" s="358"/>
      <c r="M150" s="358"/>
      <c r="N150" s="358"/>
      <c r="O150" s="358"/>
      <c r="P150" s="358"/>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c r="AL150" s="358"/>
      <c r="AM150" s="358"/>
      <c r="AN150" s="393"/>
    </row>
    <row r="151" spans="1:40" ht="15.75" customHeight="1">
      <c r="A151" s="16"/>
      <c r="B151" s="17"/>
      <c r="C151" s="447"/>
      <c r="D151" s="448"/>
      <c r="E151" s="448"/>
      <c r="F151" s="448"/>
      <c r="G151" s="448"/>
      <c r="H151" s="448"/>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9"/>
    </row>
    <row r="152" spans="1:40" ht="30" customHeight="1">
      <c r="A152" s="18" t="s">
        <v>309</v>
      </c>
      <c r="B152" s="19"/>
      <c r="C152" s="450" t="s">
        <v>292</v>
      </c>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c r="AG152" s="381"/>
      <c r="AH152" s="381"/>
      <c r="AI152" s="381"/>
      <c r="AJ152" s="381"/>
      <c r="AK152" s="381"/>
      <c r="AL152" s="381"/>
      <c r="AM152" s="381"/>
      <c r="AN152" s="428"/>
    </row>
    <row r="153" spans="1:40" ht="15.75" customHeight="1">
      <c r="A153" s="20" t="s">
        <v>306</v>
      </c>
      <c r="B153" s="21"/>
      <c r="C153" s="452" t="s">
        <v>294</v>
      </c>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c r="Z153" s="390"/>
      <c r="AA153" s="390"/>
      <c r="AB153" s="390"/>
      <c r="AC153" s="390"/>
      <c r="AD153" s="390"/>
      <c r="AE153" s="390"/>
      <c r="AF153" s="390"/>
      <c r="AG153" s="390"/>
      <c r="AH153" s="390"/>
      <c r="AI153" s="390"/>
      <c r="AJ153" s="390"/>
      <c r="AK153" s="390"/>
      <c r="AL153" s="390"/>
      <c r="AM153" s="390"/>
      <c r="AN153" s="391"/>
    </row>
    <row r="154" spans="1:40" ht="15.75" customHeight="1">
      <c r="A154" s="20"/>
      <c r="B154" s="21"/>
      <c r="C154" s="392"/>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c r="AL154" s="358"/>
      <c r="AM154" s="358"/>
      <c r="AN154" s="393"/>
    </row>
    <row r="155" spans="1:40" ht="15.75" customHeight="1">
      <c r="A155" s="20"/>
      <c r="B155" s="21"/>
      <c r="C155" s="392"/>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93"/>
    </row>
    <row r="156" spans="1:40" ht="15.75" customHeight="1">
      <c r="A156" s="20"/>
      <c r="B156" s="21"/>
      <c r="C156" s="392"/>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93"/>
    </row>
    <row r="157" spans="1:40" ht="15.75" customHeight="1">
      <c r="A157" s="20"/>
      <c r="B157" s="21"/>
      <c r="C157" s="447"/>
      <c r="D157" s="448"/>
      <c r="E157" s="448"/>
      <c r="F157" s="448"/>
      <c r="G157" s="448"/>
      <c r="H157" s="448"/>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8"/>
      <c r="AF157" s="448"/>
      <c r="AG157" s="448"/>
      <c r="AH157" s="448"/>
      <c r="AI157" s="448"/>
      <c r="AJ157" s="448"/>
      <c r="AK157" s="448"/>
      <c r="AL157" s="448"/>
      <c r="AM157" s="448"/>
      <c r="AN157" s="449"/>
    </row>
    <row r="158" spans="1:40" ht="30" customHeight="1">
      <c r="A158" s="14" t="s">
        <v>309</v>
      </c>
      <c r="B158" s="15"/>
      <c r="C158" s="450" t="s">
        <v>292</v>
      </c>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428"/>
    </row>
    <row r="159" spans="1:40" ht="15.75" customHeight="1">
      <c r="A159" s="22" t="s">
        <v>307</v>
      </c>
      <c r="B159" s="23"/>
      <c r="C159" s="465" t="s">
        <v>294</v>
      </c>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390"/>
      <c r="AE159" s="390"/>
      <c r="AF159" s="390"/>
      <c r="AG159" s="390"/>
      <c r="AH159" s="390"/>
      <c r="AI159" s="390"/>
      <c r="AJ159" s="390"/>
      <c r="AK159" s="390"/>
      <c r="AL159" s="390"/>
      <c r="AM159" s="390"/>
      <c r="AN159" s="391"/>
    </row>
    <row r="160" spans="1:40" ht="15.75" customHeight="1">
      <c r="A160" s="22"/>
      <c r="B160" s="23"/>
      <c r="C160" s="392"/>
      <c r="D160" s="358"/>
      <c r="E160" s="358"/>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c r="AC160" s="358"/>
      <c r="AD160" s="358"/>
      <c r="AE160" s="358"/>
      <c r="AF160" s="358"/>
      <c r="AG160" s="358"/>
      <c r="AH160" s="358"/>
      <c r="AI160" s="358"/>
      <c r="AJ160" s="358"/>
      <c r="AK160" s="358"/>
      <c r="AL160" s="358"/>
      <c r="AM160" s="358"/>
      <c r="AN160" s="393"/>
    </row>
    <row r="161" spans="1:40" ht="15.75" customHeight="1">
      <c r="A161" s="22"/>
      <c r="B161" s="23"/>
      <c r="C161" s="392"/>
      <c r="D161" s="358"/>
      <c r="E161" s="358"/>
      <c r="F161" s="358"/>
      <c r="G161" s="358"/>
      <c r="H161" s="358"/>
      <c r="I161" s="358"/>
      <c r="J161" s="358"/>
      <c r="K161" s="358"/>
      <c r="L161" s="358"/>
      <c r="M161" s="358"/>
      <c r="N161" s="358"/>
      <c r="O161" s="358"/>
      <c r="P161" s="358"/>
      <c r="Q161" s="358"/>
      <c r="R161" s="358"/>
      <c r="S161" s="358"/>
      <c r="T161" s="358"/>
      <c r="U161" s="358"/>
      <c r="V161" s="358"/>
      <c r="W161" s="358"/>
      <c r="X161" s="358"/>
      <c r="Y161" s="358"/>
      <c r="Z161" s="358"/>
      <c r="AA161" s="358"/>
      <c r="AB161" s="358"/>
      <c r="AC161" s="358"/>
      <c r="AD161" s="358"/>
      <c r="AE161" s="358"/>
      <c r="AF161" s="358"/>
      <c r="AG161" s="358"/>
      <c r="AH161" s="358"/>
      <c r="AI161" s="358"/>
      <c r="AJ161" s="358"/>
      <c r="AK161" s="358"/>
      <c r="AL161" s="358"/>
      <c r="AM161" s="358"/>
      <c r="AN161" s="393"/>
    </row>
    <row r="162" spans="1:40" ht="15.75" customHeight="1">
      <c r="A162" s="22"/>
      <c r="B162" s="23"/>
      <c r="C162" s="392"/>
      <c r="D162" s="358"/>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93"/>
    </row>
    <row r="163" spans="1:40" ht="15.75" customHeight="1">
      <c r="A163" s="22"/>
      <c r="B163" s="23"/>
      <c r="C163" s="447"/>
      <c r="D163" s="448"/>
      <c r="E163" s="448"/>
      <c r="F163" s="448"/>
      <c r="G163" s="448"/>
      <c r="H163" s="448"/>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8"/>
      <c r="AF163" s="448"/>
      <c r="AG163" s="448"/>
      <c r="AH163" s="448"/>
      <c r="AI163" s="448"/>
      <c r="AJ163" s="448"/>
      <c r="AK163" s="448"/>
      <c r="AL163" s="448"/>
      <c r="AM163" s="448"/>
      <c r="AN163" s="449"/>
    </row>
    <row r="164" spans="1:40" ht="30" customHeight="1">
      <c r="A164" s="18" t="s">
        <v>309</v>
      </c>
      <c r="B164" s="19"/>
      <c r="C164" s="450" t="s">
        <v>292</v>
      </c>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428"/>
    </row>
    <row r="165" spans="1:40" ht="15.75" customHeight="1">
      <c r="A165" s="20" t="s">
        <v>308</v>
      </c>
      <c r="B165" s="21"/>
      <c r="C165" s="452" t="s">
        <v>294</v>
      </c>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c r="AA165" s="390"/>
      <c r="AB165" s="390"/>
      <c r="AC165" s="390"/>
      <c r="AD165" s="390"/>
      <c r="AE165" s="390"/>
      <c r="AF165" s="390"/>
      <c r="AG165" s="390"/>
      <c r="AH165" s="390"/>
      <c r="AI165" s="390"/>
      <c r="AJ165" s="390"/>
      <c r="AK165" s="390"/>
      <c r="AL165" s="390"/>
      <c r="AM165" s="390"/>
      <c r="AN165" s="391"/>
    </row>
    <row r="166" spans="1:40" ht="15.75" customHeight="1">
      <c r="A166" s="20"/>
      <c r="B166" s="21"/>
      <c r="C166" s="392"/>
      <c r="D166" s="358"/>
      <c r="E166" s="358"/>
      <c r="F166" s="358"/>
      <c r="G166" s="358"/>
      <c r="H166" s="358"/>
      <c r="I166" s="358"/>
      <c r="J166" s="358"/>
      <c r="K166" s="358"/>
      <c r="L166" s="358"/>
      <c r="M166" s="358"/>
      <c r="N166" s="358"/>
      <c r="O166" s="358"/>
      <c r="P166" s="358"/>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c r="AL166" s="358"/>
      <c r="AM166" s="358"/>
      <c r="AN166" s="393"/>
    </row>
    <row r="167" spans="1:40" ht="15.75" customHeight="1">
      <c r="A167" s="20"/>
      <c r="B167" s="21"/>
      <c r="C167" s="392"/>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93"/>
    </row>
    <row r="168" spans="1:40" ht="15.75" customHeight="1">
      <c r="A168" s="20"/>
      <c r="B168" s="21"/>
      <c r="C168" s="392"/>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c r="AL168" s="358"/>
      <c r="AM168" s="358"/>
      <c r="AN168" s="393"/>
    </row>
    <row r="169" spans="1:40" ht="15.75" customHeight="1">
      <c r="A169" s="20"/>
      <c r="B169" s="21"/>
      <c r="C169" s="447"/>
      <c r="D169" s="448"/>
      <c r="E169" s="448"/>
      <c r="F169" s="448"/>
      <c r="G169" s="448"/>
      <c r="H169" s="448"/>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c r="AK169" s="448"/>
      <c r="AL169" s="448"/>
      <c r="AM169" s="448"/>
      <c r="AN169" s="449"/>
    </row>
    <row r="170" spans="1:40" ht="15.75" customHeight="1"/>
    <row r="171" spans="1:40" ht="15.75" customHeight="1"/>
    <row r="172" spans="1:40" ht="15.75" customHeight="1"/>
    <row r="173" spans="1:40" ht="15.75" customHeight="1"/>
    <row r="174" spans="1:40" ht="15.75" customHeight="1"/>
    <row r="175" spans="1:40" ht="15.75" customHeight="1"/>
    <row r="176" spans="1:40"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Z18:AC18"/>
    <mergeCell ref="AD18:AG18"/>
    <mergeCell ref="AH18:AN18"/>
    <mergeCell ref="A18:B18"/>
    <mergeCell ref="C18:E18"/>
    <mergeCell ref="F18:I18"/>
    <mergeCell ref="J18:M18"/>
    <mergeCell ref="N18:S18"/>
    <mergeCell ref="U18:V18"/>
    <mergeCell ref="W18:Y18"/>
    <mergeCell ref="C38:AN38"/>
    <mergeCell ref="C39:AN43"/>
    <mergeCell ref="C44:AN44"/>
    <mergeCell ref="C45:AN49"/>
    <mergeCell ref="C50:AN50"/>
    <mergeCell ref="C51:AN55"/>
    <mergeCell ref="C56:AN56"/>
    <mergeCell ref="C57:AN61"/>
    <mergeCell ref="C62:AN62"/>
    <mergeCell ref="C63:AN67"/>
    <mergeCell ref="C68:AN68"/>
    <mergeCell ref="C69:AN73"/>
    <mergeCell ref="C74:AN74"/>
    <mergeCell ref="C75:AN79"/>
    <mergeCell ref="C80:AN80"/>
    <mergeCell ref="C81:AN85"/>
    <mergeCell ref="C86:AN86"/>
    <mergeCell ref="C87:AN91"/>
    <mergeCell ref="C92:AN92"/>
    <mergeCell ref="C93:AN97"/>
    <mergeCell ref="C98:AN98"/>
    <mergeCell ref="C99:AN103"/>
    <mergeCell ref="C104:AN104"/>
    <mergeCell ref="C105:AN109"/>
    <mergeCell ref="C110:AN110"/>
    <mergeCell ref="C111:AN115"/>
    <mergeCell ref="C116:AN116"/>
    <mergeCell ref="C117:AN121"/>
    <mergeCell ref="C122:AN122"/>
    <mergeCell ref="C123:AN127"/>
    <mergeCell ref="C128:AN128"/>
    <mergeCell ref="C129:AN133"/>
    <mergeCell ref="C134:AN134"/>
    <mergeCell ref="C135:AN139"/>
    <mergeCell ref="C140:AN140"/>
    <mergeCell ref="C164:AN164"/>
    <mergeCell ref="C165:AN169"/>
    <mergeCell ref="C141:AN145"/>
    <mergeCell ref="C146:AN146"/>
    <mergeCell ref="C147:AN151"/>
    <mergeCell ref="C152:AN152"/>
    <mergeCell ref="C153:AN157"/>
    <mergeCell ref="C158:AN158"/>
    <mergeCell ref="C159:AN163"/>
    <mergeCell ref="A1:AN1"/>
    <mergeCell ref="A2:AN2"/>
    <mergeCell ref="A3:AK3"/>
    <mergeCell ref="A4:G4"/>
    <mergeCell ref="H4:S4"/>
    <mergeCell ref="U4:Y4"/>
    <mergeCell ref="Z4:AN4"/>
    <mergeCell ref="U6:Y6"/>
    <mergeCell ref="U7:Y7"/>
    <mergeCell ref="U8:Y8"/>
    <mergeCell ref="Z8:AN8"/>
    <mergeCell ref="A9:AK9"/>
    <mergeCell ref="A5:G5"/>
    <mergeCell ref="H5:S5"/>
    <mergeCell ref="U5:Y5"/>
    <mergeCell ref="Z5:AN5"/>
    <mergeCell ref="H6:S7"/>
    <mergeCell ref="Z6:AN6"/>
    <mergeCell ref="Z7:AN7"/>
    <mergeCell ref="J10:M10"/>
    <mergeCell ref="N10:S10"/>
    <mergeCell ref="U10:V10"/>
    <mergeCell ref="W10:Y10"/>
    <mergeCell ref="Z10:AC10"/>
    <mergeCell ref="AD10:AG10"/>
    <mergeCell ref="AH10:AN10"/>
    <mergeCell ref="A6:G7"/>
    <mergeCell ref="A8:G8"/>
    <mergeCell ref="H8:O8"/>
    <mergeCell ref="P8:S8"/>
    <mergeCell ref="A10:B10"/>
    <mergeCell ref="C10:E10"/>
    <mergeCell ref="F10:I10"/>
    <mergeCell ref="A19:AN19"/>
    <mergeCell ref="C20:AN20"/>
    <mergeCell ref="W12:Y12"/>
    <mergeCell ref="Z13:AC13"/>
    <mergeCell ref="AD13:AG13"/>
    <mergeCell ref="AH13:AN13"/>
    <mergeCell ref="A13:B13"/>
    <mergeCell ref="C13:E13"/>
    <mergeCell ref="F13:I13"/>
    <mergeCell ref="J13:M13"/>
    <mergeCell ref="N13:S13"/>
    <mergeCell ref="U13:V13"/>
    <mergeCell ref="W13:Y13"/>
    <mergeCell ref="Z14:AC14"/>
    <mergeCell ref="AD14:AG14"/>
    <mergeCell ref="AH14:AN14"/>
    <mergeCell ref="A14:B14"/>
    <mergeCell ref="C21:AN25"/>
    <mergeCell ref="C26:AN26"/>
    <mergeCell ref="C27:AN31"/>
    <mergeCell ref="C32:AN32"/>
    <mergeCell ref="C33:AN37"/>
    <mergeCell ref="Z11:AC11"/>
    <mergeCell ref="AD11:AG11"/>
    <mergeCell ref="AH11:AN11"/>
    <mergeCell ref="A11:B11"/>
    <mergeCell ref="C11:E11"/>
    <mergeCell ref="F11:I11"/>
    <mergeCell ref="J11:M11"/>
    <mergeCell ref="N11:S11"/>
    <mergeCell ref="U11:V11"/>
    <mergeCell ref="W11:Y11"/>
    <mergeCell ref="Z12:AC12"/>
    <mergeCell ref="AD12:AG12"/>
    <mergeCell ref="AH12:AN12"/>
    <mergeCell ref="A12:B12"/>
    <mergeCell ref="C12:E12"/>
    <mergeCell ref="F12:I12"/>
    <mergeCell ref="J12:M12"/>
    <mergeCell ref="N12:S12"/>
    <mergeCell ref="U12:V12"/>
    <mergeCell ref="C14:E14"/>
    <mergeCell ref="F14:I14"/>
    <mergeCell ref="J14:M14"/>
    <mergeCell ref="N14:S14"/>
    <mergeCell ref="U14:V14"/>
    <mergeCell ref="W14:Y14"/>
    <mergeCell ref="Z15:AC15"/>
    <mergeCell ref="AD15:AG15"/>
    <mergeCell ref="AH15:AN15"/>
    <mergeCell ref="A15:B15"/>
    <mergeCell ref="C15:E15"/>
    <mergeCell ref="F15:I15"/>
    <mergeCell ref="J15:M15"/>
    <mergeCell ref="N15:S15"/>
    <mergeCell ref="U15:V15"/>
    <mergeCell ref="W15:Y15"/>
    <mergeCell ref="Z16:AC16"/>
    <mergeCell ref="AD16:AG16"/>
    <mergeCell ref="AH16:AN16"/>
    <mergeCell ref="A16:B16"/>
    <mergeCell ref="C16:E16"/>
    <mergeCell ref="F16:I16"/>
    <mergeCell ref="J16:M16"/>
    <mergeCell ref="N16:S16"/>
    <mergeCell ref="U16:V16"/>
    <mergeCell ref="W16:Y16"/>
    <mergeCell ref="Z17:AC17"/>
    <mergeCell ref="AD17:AG17"/>
    <mergeCell ref="AH17:AN17"/>
    <mergeCell ref="A17:B17"/>
    <mergeCell ref="C17:E17"/>
    <mergeCell ref="F17:I17"/>
    <mergeCell ref="J17:M17"/>
    <mergeCell ref="N17:S17"/>
    <mergeCell ref="U17:V17"/>
    <mergeCell ref="W17:Y17"/>
  </mergeCells>
  <pageMargins left="0.25" right="0.25" top="0.75" bottom="0.75" header="0" footer="0"/>
  <pageSetup paperSize="5" orientation="landscape"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'Drop-Down Boxes '!$H$3:$H$11</xm:f>
          </x14:formula1>
          <xm:sqref>P8</xm:sqref>
        </x14:dataValidation>
        <x14:dataValidation type="list" allowBlank="1" showErrorMessage="1" xr:uid="{00000000-0002-0000-0100-000001000000}">
          <x14:formula1>
            <xm:f>'Drop-Down Boxes '!$D$3:$D$14</xm:f>
          </x14:formula1>
          <xm:sqref>H8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74806"/>
  </sheetPr>
  <dimension ref="A1:AU1514"/>
  <sheetViews>
    <sheetView workbookViewId="0">
      <pane ySplit="1" topLeftCell="A2" activePane="bottomLeft" state="frozen"/>
      <selection pane="bottomLeft" activeCell="A3" sqref="A3:AU3"/>
    </sheetView>
  </sheetViews>
  <sheetFormatPr defaultColWidth="14.42578125" defaultRowHeight="15" customHeight="1"/>
  <cols>
    <col min="1" max="1" width="7" customWidth="1"/>
    <col min="2" max="6" width="5.7109375" customWidth="1"/>
    <col min="7" max="7" width="6.5703125" customWidth="1"/>
    <col min="8" max="10" width="4.85546875" customWidth="1"/>
    <col min="11" max="12" width="5.7109375" customWidth="1"/>
    <col min="13" max="28" width="4.7109375" customWidth="1"/>
    <col min="29" max="47" width="8.85546875" customWidth="1"/>
  </cols>
  <sheetData>
    <row r="1" spans="1:47" ht="60" customHeight="1">
      <c r="A1" s="24" t="s">
        <v>287</v>
      </c>
      <c r="B1" s="504" t="s">
        <v>310</v>
      </c>
      <c r="C1" s="351"/>
      <c r="D1" s="505" t="s">
        <v>311</v>
      </c>
      <c r="E1" s="351"/>
      <c r="F1" s="506" t="s">
        <v>312</v>
      </c>
      <c r="G1" s="351"/>
      <c r="H1" s="507" t="s">
        <v>313</v>
      </c>
      <c r="I1" s="350"/>
      <c r="J1" s="351"/>
      <c r="K1" s="506" t="s">
        <v>314</v>
      </c>
      <c r="L1" s="350"/>
      <c r="M1" s="351"/>
      <c r="N1" s="508" t="s">
        <v>315</v>
      </c>
      <c r="O1" s="381"/>
      <c r="P1" s="381"/>
      <c r="Q1" s="381"/>
      <c r="R1" s="381"/>
      <c r="S1" s="381"/>
      <c r="T1" s="381"/>
      <c r="U1" s="428"/>
    </row>
    <row r="2" spans="1:47" ht="19.5" customHeight="1">
      <c r="A2" s="466" t="str">
        <f>'GRANTEE SET UP INFO &amp; DATE '!A1</f>
        <v>WV Bureau for Behavioral Health  - Peer Recovery Support Services  V 20200110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428"/>
    </row>
    <row r="3" spans="1:47" ht="19.5" customHeight="1">
      <c r="A3" s="467" t="str">
        <f>'GRANTEE SET UP INFO &amp; DATE '!A2</f>
        <v xml:space="preserve">Program reports need to be submitted electronically, via e-mail to DHHRBBHReporting@wv.gov  within 25 calendar days of the end of each month </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428"/>
    </row>
    <row r="4" spans="1:47" ht="27.75" customHeight="1">
      <c r="A4" s="514" t="s">
        <v>316</v>
      </c>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428"/>
    </row>
    <row r="5" spans="1:47" ht="30" customHeight="1">
      <c r="A5" s="515" t="s">
        <v>317</v>
      </c>
      <c r="B5" s="384"/>
      <c r="C5" s="384"/>
      <c r="D5" s="384"/>
      <c r="E5" s="384"/>
      <c r="F5" s="384"/>
      <c r="G5" s="384"/>
      <c r="H5" s="384"/>
      <c r="I5" s="384"/>
      <c r="J5" s="384"/>
      <c r="K5" s="384"/>
      <c r="L5" s="384"/>
      <c r="M5" s="384"/>
      <c r="N5" s="384"/>
      <c r="O5" s="385"/>
      <c r="P5" s="516" t="str">
        <f>'GRANTEE SET UP INFO &amp; DATE '!H4</f>
        <v>Recovery Community Organization (RCO)</v>
      </c>
      <c r="Q5" s="361"/>
      <c r="R5" s="361"/>
      <c r="S5" s="361"/>
      <c r="T5" s="361"/>
      <c r="U5" s="361"/>
      <c r="V5" s="361"/>
      <c r="W5" s="361"/>
      <c r="X5" s="361"/>
      <c r="Y5" s="361"/>
      <c r="Z5" s="361"/>
      <c r="AA5" s="361"/>
      <c r="AB5" s="361"/>
      <c r="AC5" s="362"/>
      <c r="AD5" s="5"/>
      <c r="AE5" s="509" t="s">
        <v>32</v>
      </c>
      <c r="AF5" s="350"/>
      <c r="AG5" s="350"/>
      <c r="AH5" s="350"/>
      <c r="AI5" s="350"/>
      <c r="AJ5" s="351"/>
      <c r="AK5" s="517">
        <f>'GRANTEE SET UP INFO &amp; DATE '!Z4</f>
        <v>0</v>
      </c>
      <c r="AL5" s="350"/>
      <c r="AM5" s="350"/>
      <c r="AN5" s="350"/>
      <c r="AO5" s="350"/>
      <c r="AP5" s="350"/>
      <c r="AQ5" s="350"/>
      <c r="AR5" s="350"/>
      <c r="AS5" s="350"/>
      <c r="AT5" s="350"/>
      <c r="AU5" s="351"/>
    </row>
    <row r="6" spans="1:47">
      <c r="A6" s="511" t="s">
        <v>318</v>
      </c>
      <c r="B6" s="350"/>
      <c r="C6" s="350"/>
      <c r="D6" s="350"/>
      <c r="E6" s="350"/>
      <c r="F6" s="350"/>
      <c r="G6" s="350"/>
      <c r="H6" s="350"/>
      <c r="I6" s="350"/>
      <c r="J6" s="350"/>
      <c r="K6" s="350"/>
      <c r="L6" s="350"/>
      <c r="M6" s="350"/>
      <c r="N6" s="350"/>
      <c r="O6" s="351"/>
      <c r="P6" s="412">
        <f>'GRANTEE SET UP INFO &amp; DATE '!H5</f>
        <v>0</v>
      </c>
      <c r="Q6" s="350"/>
      <c r="R6" s="350"/>
      <c r="S6" s="350"/>
      <c r="T6" s="350"/>
      <c r="U6" s="350"/>
      <c r="V6" s="350"/>
      <c r="W6" s="350"/>
      <c r="X6" s="350"/>
      <c r="Y6" s="350"/>
      <c r="Z6" s="350"/>
      <c r="AA6" s="350"/>
      <c r="AB6" s="350"/>
      <c r="AC6" s="351"/>
      <c r="AD6" s="5"/>
      <c r="AE6" s="510" t="s">
        <v>319</v>
      </c>
      <c r="AF6" s="350"/>
      <c r="AG6" s="350"/>
      <c r="AH6" s="350"/>
      <c r="AI6" s="350"/>
      <c r="AJ6" s="351"/>
      <c r="AK6" s="413" t="str">
        <f>'GRANTEE SET UP INFO &amp; DATE '!Z5</f>
        <v xml:space="preserve">Names of Contact(s): </v>
      </c>
      <c r="AL6" s="350"/>
      <c r="AM6" s="350"/>
      <c r="AN6" s="350"/>
      <c r="AO6" s="350"/>
      <c r="AP6" s="350"/>
      <c r="AQ6" s="350"/>
      <c r="AR6" s="350"/>
      <c r="AS6" s="350"/>
      <c r="AT6" s="350"/>
      <c r="AU6" s="351"/>
    </row>
    <row r="7" spans="1:47" ht="14.25" customHeight="1">
      <c r="A7" s="518" t="s">
        <v>38</v>
      </c>
      <c r="B7" s="378"/>
      <c r="C7" s="378"/>
      <c r="D7" s="378"/>
      <c r="E7" s="378"/>
      <c r="F7" s="378"/>
      <c r="G7" s="378"/>
      <c r="H7" s="378"/>
      <c r="I7" s="378"/>
      <c r="J7" s="378"/>
      <c r="K7" s="378"/>
      <c r="L7" s="378"/>
      <c r="M7" s="378"/>
      <c r="N7" s="378"/>
      <c r="O7" s="379"/>
      <c r="P7" s="519">
        <f>'GRANTEE SET UP INFO &amp; DATE '!H6</f>
        <v>0</v>
      </c>
      <c r="Q7" s="355"/>
      <c r="R7" s="355"/>
      <c r="S7" s="355"/>
      <c r="T7" s="355"/>
      <c r="U7" s="355"/>
      <c r="V7" s="355"/>
      <c r="W7" s="355"/>
      <c r="X7" s="355"/>
      <c r="Y7" s="355"/>
      <c r="Z7" s="355"/>
      <c r="AA7" s="355"/>
      <c r="AB7" s="355"/>
      <c r="AC7" s="356"/>
      <c r="AD7" s="5"/>
      <c r="AE7" s="511" t="s">
        <v>40</v>
      </c>
      <c r="AF7" s="350"/>
      <c r="AG7" s="350"/>
      <c r="AH7" s="350"/>
      <c r="AI7" s="350"/>
      <c r="AJ7" s="351"/>
      <c r="AK7" s="412">
        <f>'GRANTEE SET UP INFO &amp; DATE '!Z6</f>
        <v>0</v>
      </c>
      <c r="AL7" s="350"/>
      <c r="AM7" s="350"/>
      <c r="AN7" s="350"/>
      <c r="AO7" s="350"/>
      <c r="AP7" s="350"/>
      <c r="AQ7" s="350"/>
      <c r="AR7" s="350"/>
      <c r="AS7" s="350"/>
      <c r="AT7" s="350"/>
      <c r="AU7" s="351"/>
    </row>
    <row r="8" spans="1:47">
      <c r="A8" s="520"/>
      <c r="B8" s="384"/>
      <c r="C8" s="384"/>
      <c r="D8" s="384"/>
      <c r="E8" s="384"/>
      <c r="F8" s="384"/>
      <c r="G8" s="384"/>
      <c r="H8" s="384"/>
      <c r="I8" s="384"/>
      <c r="J8" s="384"/>
      <c r="K8" s="384"/>
      <c r="L8" s="384"/>
      <c r="M8" s="384"/>
      <c r="N8" s="384"/>
      <c r="O8" s="385"/>
      <c r="P8" s="360"/>
      <c r="Q8" s="361"/>
      <c r="R8" s="361"/>
      <c r="S8" s="361"/>
      <c r="T8" s="361"/>
      <c r="U8" s="361"/>
      <c r="V8" s="361"/>
      <c r="W8" s="361"/>
      <c r="X8" s="361"/>
      <c r="Y8" s="361"/>
      <c r="Z8" s="361"/>
      <c r="AA8" s="361"/>
      <c r="AB8" s="361"/>
      <c r="AC8" s="362"/>
      <c r="AD8" s="5"/>
      <c r="AE8" s="511" t="s">
        <v>42</v>
      </c>
      <c r="AF8" s="350"/>
      <c r="AG8" s="350"/>
      <c r="AH8" s="350"/>
      <c r="AI8" s="350"/>
      <c r="AJ8" s="351"/>
      <c r="AK8" s="412">
        <f>'GRANTEE SET UP INFO &amp; DATE '!Z7</f>
        <v>0</v>
      </c>
      <c r="AL8" s="350"/>
      <c r="AM8" s="350"/>
      <c r="AN8" s="350"/>
      <c r="AO8" s="350"/>
      <c r="AP8" s="350"/>
      <c r="AQ8" s="350"/>
      <c r="AR8" s="350"/>
      <c r="AS8" s="350"/>
      <c r="AT8" s="350"/>
      <c r="AU8" s="351"/>
    </row>
    <row r="9" spans="1:47" ht="19.5" customHeight="1">
      <c r="A9" s="521" t="s">
        <v>320</v>
      </c>
      <c r="B9" s="350"/>
      <c r="C9" s="350"/>
      <c r="D9" s="350"/>
      <c r="E9" s="350"/>
      <c r="F9" s="350"/>
      <c r="G9" s="350"/>
      <c r="H9" s="350"/>
      <c r="I9" s="350"/>
      <c r="J9" s="350"/>
      <c r="K9" s="350"/>
      <c r="L9" s="350"/>
      <c r="M9" s="350"/>
      <c r="N9" s="350"/>
      <c r="O9" s="351"/>
      <c r="P9" s="454" t="str">
        <f>'GRANTEE SET UP INFO &amp; DATE '!H8</f>
        <v>June 1 - 30</v>
      </c>
      <c r="Q9" s="350"/>
      <c r="R9" s="350"/>
      <c r="S9" s="350"/>
      <c r="T9" s="350"/>
      <c r="U9" s="350"/>
      <c r="V9" s="350"/>
      <c r="W9" s="350"/>
      <c r="X9" s="350"/>
      <c r="Y9" s="351"/>
      <c r="Z9" s="454">
        <f>'GRANTEE SET UP INFO &amp; DATE '!P8</f>
        <v>2022</v>
      </c>
      <c r="AA9" s="350"/>
      <c r="AB9" s="350"/>
      <c r="AC9" s="351"/>
      <c r="AD9" s="5"/>
      <c r="AE9" s="512" t="s">
        <v>46</v>
      </c>
      <c r="AF9" s="350"/>
      <c r="AG9" s="350"/>
      <c r="AH9" s="350"/>
      <c r="AI9" s="350"/>
      <c r="AJ9" s="351"/>
      <c r="AK9" s="513">
        <f>'GRANTEE SET UP INFO &amp; DATE '!Z8</f>
        <v>0</v>
      </c>
      <c r="AL9" s="350"/>
      <c r="AM9" s="350"/>
      <c r="AN9" s="350"/>
      <c r="AO9" s="350"/>
      <c r="AP9" s="350"/>
      <c r="AQ9" s="350"/>
      <c r="AR9" s="350"/>
      <c r="AS9" s="350"/>
      <c r="AT9" s="350"/>
      <c r="AU9" s="351"/>
    </row>
    <row r="10" spans="1:47" ht="34.5" customHeight="1">
      <c r="A10" s="494" t="s">
        <v>321</v>
      </c>
      <c r="B10" s="378"/>
      <c r="C10" s="378"/>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495"/>
    </row>
    <row r="11" spans="1:47" ht="39.75" customHeight="1">
      <c r="A11" s="496" t="s">
        <v>322</v>
      </c>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c r="AT11" s="381"/>
      <c r="AU11" s="428"/>
    </row>
    <row r="12" spans="1:47" ht="24.75" customHeight="1">
      <c r="A12" s="497" t="s">
        <v>323</v>
      </c>
      <c r="B12" s="355"/>
      <c r="C12" s="355"/>
      <c r="D12" s="355"/>
      <c r="E12" s="356"/>
      <c r="F12" s="498" t="s">
        <v>324</v>
      </c>
      <c r="G12" s="355"/>
      <c r="H12" s="355"/>
      <c r="I12" s="355"/>
      <c r="J12" s="355"/>
      <c r="K12" s="355"/>
      <c r="L12" s="355"/>
      <c r="M12" s="356"/>
      <c r="N12" s="499" t="s">
        <v>315</v>
      </c>
      <c r="O12" s="355"/>
      <c r="P12" s="355"/>
      <c r="Q12" s="355"/>
      <c r="R12" s="355"/>
      <c r="S12" s="355"/>
      <c r="T12" s="355"/>
      <c r="U12" s="356"/>
    </row>
    <row r="13" spans="1:47" ht="49.5" customHeight="1">
      <c r="A13" s="360"/>
      <c r="B13" s="361"/>
      <c r="C13" s="361"/>
      <c r="D13" s="361"/>
      <c r="E13" s="362"/>
      <c r="F13" s="360"/>
      <c r="G13" s="361"/>
      <c r="H13" s="361"/>
      <c r="I13" s="361"/>
      <c r="J13" s="361"/>
      <c r="K13" s="361"/>
      <c r="L13" s="361"/>
      <c r="M13" s="362"/>
      <c r="N13" s="360"/>
      <c r="O13" s="361"/>
      <c r="P13" s="361"/>
      <c r="Q13" s="361"/>
      <c r="R13" s="361"/>
      <c r="S13" s="361"/>
      <c r="T13" s="361"/>
      <c r="U13" s="362"/>
    </row>
    <row r="14" spans="1:47" ht="69.75" customHeight="1">
      <c r="A14" s="25" t="s">
        <v>287</v>
      </c>
      <c r="B14" s="500" t="s">
        <v>310</v>
      </c>
      <c r="C14" s="351"/>
      <c r="D14" s="501" t="s">
        <v>311</v>
      </c>
      <c r="E14" s="351"/>
      <c r="F14" s="502" t="s">
        <v>312</v>
      </c>
      <c r="G14" s="351"/>
      <c r="H14" s="503" t="s">
        <v>313</v>
      </c>
      <c r="I14" s="350"/>
      <c r="J14" s="351"/>
      <c r="K14" s="492" t="s">
        <v>314</v>
      </c>
      <c r="L14" s="350"/>
      <c r="M14" s="351"/>
      <c r="N14" s="493" t="s">
        <v>315</v>
      </c>
      <c r="O14" s="350"/>
      <c r="P14" s="350"/>
      <c r="Q14" s="350"/>
      <c r="R14" s="350"/>
      <c r="S14" s="350"/>
      <c r="T14" s="350"/>
      <c r="U14" s="351"/>
    </row>
    <row r="15" spans="1:47" ht="34.5" customHeight="1">
      <c r="A15" s="24">
        <f t="shared" ref="A15:A269" si="0">ROW(A1)</f>
        <v>1</v>
      </c>
      <c r="B15" s="488" t="s">
        <v>294</v>
      </c>
      <c r="C15" s="351"/>
      <c r="D15" s="489" t="s">
        <v>294</v>
      </c>
      <c r="E15" s="351"/>
      <c r="F15" s="485" t="s">
        <v>325</v>
      </c>
      <c r="G15" s="351"/>
      <c r="H15" s="487"/>
      <c r="I15" s="350"/>
      <c r="J15" s="351"/>
      <c r="K15" s="485" t="s">
        <v>325</v>
      </c>
      <c r="L15" s="350"/>
      <c r="M15" s="351"/>
      <c r="N15" s="490" t="s">
        <v>294</v>
      </c>
      <c r="O15" s="350"/>
      <c r="P15" s="350"/>
      <c r="Q15" s="350"/>
      <c r="R15" s="350"/>
      <c r="S15" s="350"/>
      <c r="T15" s="350"/>
      <c r="U15" s="351"/>
    </row>
    <row r="16" spans="1:47" ht="34.5" customHeight="1">
      <c r="A16" s="24">
        <f t="shared" si="0"/>
        <v>2</v>
      </c>
      <c r="B16" s="483" t="s">
        <v>294</v>
      </c>
      <c r="C16" s="351"/>
      <c r="D16" s="484" t="s">
        <v>294</v>
      </c>
      <c r="E16" s="351"/>
      <c r="F16" s="485" t="s">
        <v>325</v>
      </c>
      <c r="G16" s="351"/>
      <c r="H16" s="486"/>
      <c r="I16" s="350"/>
      <c r="J16" s="351"/>
      <c r="K16" s="485" t="s">
        <v>325</v>
      </c>
      <c r="L16" s="350"/>
      <c r="M16" s="351"/>
      <c r="N16" s="491"/>
      <c r="O16" s="350"/>
      <c r="P16" s="350"/>
      <c r="Q16" s="350"/>
      <c r="R16" s="350"/>
      <c r="S16" s="350"/>
      <c r="T16" s="350"/>
      <c r="U16" s="351"/>
    </row>
    <row r="17" spans="1:21" ht="34.5" customHeight="1">
      <c r="A17" s="24">
        <f t="shared" si="0"/>
        <v>3</v>
      </c>
      <c r="B17" s="488" t="s">
        <v>294</v>
      </c>
      <c r="C17" s="351"/>
      <c r="D17" s="489" t="s">
        <v>294</v>
      </c>
      <c r="E17" s="351"/>
      <c r="F17" s="485" t="s">
        <v>325</v>
      </c>
      <c r="G17" s="351"/>
      <c r="H17" s="487"/>
      <c r="I17" s="350"/>
      <c r="J17" s="351"/>
      <c r="K17" s="485" t="s">
        <v>325</v>
      </c>
      <c r="L17" s="350"/>
      <c r="M17" s="351"/>
      <c r="N17" s="490" t="s">
        <v>294</v>
      </c>
      <c r="O17" s="350"/>
      <c r="P17" s="350"/>
      <c r="Q17" s="350"/>
      <c r="R17" s="350"/>
      <c r="S17" s="350"/>
      <c r="T17" s="350"/>
      <c r="U17" s="351"/>
    </row>
    <row r="18" spans="1:21" ht="34.5" customHeight="1">
      <c r="A18" s="24">
        <f t="shared" si="0"/>
        <v>4</v>
      </c>
      <c r="B18" s="483" t="s">
        <v>294</v>
      </c>
      <c r="C18" s="351"/>
      <c r="D18" s="484" t="s">
        <v>294</v>
      </c>
      <c r="E18" s="351"/>
      <c r="F18" s="485" t="s">
        <v>325</v>
      </c>
      <c r="G18" s="351"/>
      <c r="H18" s="487"/>
      <c r="I18" s="350"/>
      <c r="J18" s="351"/>
      <c r="K18" s="485" t="s">
        <v>325</v>
      </c>
      <c r="L18" s="350"/>
      <c r="M18" s="351"/>
      <c r="N18" s="491" t="s">
        <v>294</v>
      </c>
      <c r="O18" s="350"/>
      <c r="P18" s="350"/>
      <c r="Q18" s="350"/>
      <c r="R18" s="350"/>
      <c r="S18" s="350"/>
      <c r="T18" s="350"/>
      <c r="U18" s="351"/>
    </row>
    <row r="19" spans="1:21" ht="34.5" customHeight="1">
      <c r="A19" s="24">
        <f t="shared" si="0"/>
        <v>5</v>
      </c>
      <c r="B19" s="488" t="s">
        <v>294</v>
      </c>
      <c r="C19" s="351"/>
      <c r="D19" s="489" t="s">
        <v>294</v>
      </c>
      <c r="E19" s="351"/>
      <c r="F19" s="485" t="s">
        <v>325</v>
      </c>
      <c r="G19" s="351"/>
      <c r="H19" s="486"/>
      <c r="I19" s="350"/>
      <c r="J19" s="351"/>
      <c r="K19" s="485" t="s">
        <v>325</v>
      </c>
      <c r="L19" s="350"/>
      <c r="M19" s="351"/>
      <c r="N19" s="490" t="s">
        <v>294</v>
      </c>
      <c r="O19" s="350"/>
      <c r="P19" s="350"/>
      <c r="Q19" s="350"/>
      <c r="R19" s="350"/>
      <c r="S19" s="350"/>
      <c r="T19" s="350"/>
      <c r="U19" s="351"/>
    </row>
    <row r="20" spans="1:21" ht="34.5" customHeight="1">
      <c r="A20" s="24">
        <f t="shared" si="0"/>
        <v>6</v>
      </c>
      <c r="B20" s="483" t="s">
        <v>294</v>
      </c>
      <c r="C20" s="351"/>
      <c r="D20" s="484" t="s">
        <v>294</v>
      </c>
      <c r="E20" s="351"/>
      <c r="F20" s="485" t="s">
        <v>325</v>
      </c>
      <c r="G20" s="351"/>
      <c r="H20" s="487"/>
      <c r="I20" s="350"/>
      <c r="J20" s="351"/>
      <c r="K20" s="485" t="s">
        <v>325</v>
      </c>
      <c r="L20" s="350"/>
      <c r="M20" s="351"/>
      <c r="N20" s="491" t="s">
        <v>294</v>
      </c>
      <c r="O20" s="350"/>
      <c r="P20" s="350"/>
      <c r="Q20" s="350"/>
      <c r="R20" s="350"/>
      <c r="S20" s="350"/>
      <c r="T20" s="350"/>
      <c r="U20" s="351"/>
    </row>
    <row r="21" spans="1:21" ht="34.5" customHeight="1">
      <c r="A21" s="24">
        <f t="shared" si="0"/>
        <v>7</v>
      </c>
      <c r="B21" s="488" t="s">
        <v>294</v>
      </c>
      <c r="C21" s="351"/>
      <c r="D21" s="489" t="s">
        <v>294</v>
      </c>
      <c r="E21" s="351"/>
      <c r="F21" s="485" t="s">
        <v>325</v>
      </c>
      <c r="G21" s="351"/>
      <c r="H21" s="487"/>
      <c r="I21" s="350"/>
      <c r="J21" s="351"/>
      <c r="K21" s="485" t="s">
        <v>325</v>
      </c>
      <c r="L21" s="350"/>
      <c r="M21" s="351"/>
      <c r="N21" s="490" t="s">
        <v>294</v>
      </c>
      <c r="O21" s="350"/>
      <c r="P21" s="350"/>
      <c r="Q21" s="350"/>
      <c r="R21" s="350"/>
      <c r="S21" s="350"/>
      <c r="T21" s="350"/>
      <c r="U21" s="351"/>
    </row>
    <row r="22" spans="1:21" ht="34.5" customHeight="1">
      <c r="A22" s="24">
        <f t="shared" si="0"/>
        <v>8</v>
      </c>
      <c r="B22" s="483" t="s">
        <v>294</v>
      </c>
      <c r="C22" s="351"/>
      <c r="D22" s="484" t="s">
        <v>294</v>
      </c>
      <c r="E22" s="351"/>
      <c r="F22" s="485" t="s">
        <v>325</v>
      </c>
      <c r="G22" s="351"/>
      <c r="H22" s="486"/>
      <c r="I22" s="350"/>
      <c r="J22" s="351"/>
      <c r="K22" s="485" t="s">
        <v>325</v>
      </c>
      <c r="L22" s="350"/>
      <c r="M22" s="351"/>
      <c r="N22" s="491" t="s">
        <v>294</v>
      </c>
      <c r="O22" s="350"/>
      <c r="P22" s="350"/>
      <c r="Q22" s="350"/>
      <c r="R22" s="350"/>
      <c r="S22" s="350"/>
      <c r="T22" s="350"/>
      <c r="U22" s="351"/>
    </row>
    <row r="23" spans="1:21" ht="34.5" customHeight="1">
      <c r="A23" s="24">
        <f t="shared" si="0"/>
        <v>9</v>
      </c>
      <c r="B23" s="488" t="s">
        <v>294</v>
      </c>
      <c r="C23" s="351"/>
      <c r="D23" s="489" t="s">
        <v>294</v>
      </c>
      <c r="E23" s="351"/>
      <c r="F23" s="485" t="s">
        <v>325</v>
      </c>
      <c r="G23" s="351"/>
      <c r="H23" s="487"/>
      <c r="I23" s="350"/>
      <c r="J23" s="351"/>
      <c r="K23" s="485" t="s">
        <v>325</v>
      </c>
      <c r="L23" s="350"/>
      <c r="M23" s="351"/>
      <c r="N23" s="490" t="s">
        <v>294</v>
      </c>
      <c r="O23" s="350"/>
      <c r="P23" s="350"/>
      <c r="Q23" s="350"/>
      <c r="R23" s="350"/>
      <c r="S23" s="350"/>
      <c r="T23" s="350"/>
      <c r="U23" s="351"/>
    </row>
    <row r="24" spans="1:21" ht="34.5" customHeight="1">
      <c r="A24" s="24">
        <f t="shared" si="0"/>
        <v>10</v>
      </c>
      <c r="B24" s="483" t="s">
        <v>294</v>
      </c>
      <c r="C24" s="351"/>
      <c r="D24" s="484" t="s">
        <v>294</v>
      </c>
      <c r="E24" s="351"/>
      <c r="F24" s="485" t="s">
        <v>325</v>
      </c>
      <c r="G24" s="351"/>
      <c r="H24" s="487"/>
      <c r="I24" s="350"/>
      <c r="J24" s="351"/>
      <c r="K24" s="485" t="s">
        <v>325</v>
      </c>
      <c r="L24" s="350"/>
      <c r="M24" s="351"/>
      <c r="N24" s="491" t="s">
        <v>294</v>
      </c>
      <c r="O24" s="350"/>
      <c r="P24" s="350"/>
      <c r="Q24" s="350"/>
      <c r="R24" s="350"/>
      <c r="S24" s="350"/>
      <c r="T24" s="350"/>
      <c r="U24" s="351"/>
    </row>
    <row r="25" spans="1:21" ht="34.5" customHeight="1">
      <c r="A25" s="24">
        <f t="shared" si="0"/>
        <v>11</v>
      </c>
      <c r="B25" s="488" t="s">
        <v>294</v>
      </c>
      <c r="C25" s="351"/>
      <c r="D25" s="489" t="s">
        <v>294</v>
      </c>
      <c r="E25" s="351"/>
      <c r="F25" s="485" t="s">
        <v>325</v>
      </c>
      <c r="G25" s="351"/>
      <c r="H25" s="486"/>
      <c r="I25" s="350"/>
      <c r="J25" s="351"/>
      <c r="K25" s="485" t="s">
        <v>325</v>
      </c>
      <c r="L25" s="350"/>
      <c r="M25" s="351"/>
      <c r="N25" s="490" t="s">
        <v>294</v>
      </c>
      <c r="O25" s="350"/>
      <c r="P25" s="350"/>
      <c r="Q25" s="350"/>
      <c r="R25" s="350"/>
      <c r="S25" s="350"/>
      <c r="T25" s="350"/>
      <c r="U25" s="351"/>
    </row>
    <row r="26" spans="1:21" ht="34.5" customHeight="1">
      <c r="A26" s="24">
        <f t="shared" si="0"/>
        <v>12</v>
      </c>
      <c r="B26" s="483" t="s">
        <v>294</v>
      </c>
      <c r="C26" s="351"/>
      <c r="D26" s="484" t="s">
        <v>294</v>
      </c>
      <c r="E26" s="351"/>
      <c r="F26" s="485" t="s">
        <v>325</v>
      </c>
      <c r="G26" s="351"/>
      <c r="H26" s="487"/>
      <c r="I26" s="350"/>
      <c r="J26" s="351"/>
      <c r="K26" s="485" t="s">
        <v>325</v>
      </c>
      <c r="L26" s="350"/>
      <c r="M26" s="351"/>
      <c r="N26" s="491" t="s">
        <v>294</v>
      </c>
      <c r="O26" s="350"/>
      <c r="P26" s="350"/>
      <c r="Q26" s="350"/>
      <c r="R26" s="350"/>
      <c r="S26" s="350"/>
      <c r="T26" s="350"/>
      <c r="U26" s="351"/>
    </row>
    <row r="27" spans="1:21" ht="34.5" customHeight="1">
      <c r="A27" s="24">
        <f t="shared" si="0"/>
        <v>13</v>
      </c>
      <c r="B27" s="488" t="s">
        <v>294</v>
      </c>
      <c r="C27" s="351"/>
      <c r="D27" s="489" t="s">
        <v>294</v>
      </c>
      <c r="E27" s="351"/>
      <c r="F27" s="485" t="s">
        <v>325</v>
      </c>
      <c r="G27" s="351"/>
      <c r="H27" s="487"/>
      <c r="I27" s="350"/>
      <c r="J27" s="351"/>
      <c r="K27" s="485" t="s">
        <v>325</v>
      </c>
      <c r="L27" s="350"/>
      <c r="M27" s="351"/>
      <c r="N27" s="490" t="s">
        <v>294</v>
      </c>
      <c r="O27" s="350"/>
      <c r="P27" s="350"/>
      <c r="Q27" s="350"/>
      <c r="R27" s="350"/>
      <c r="S27" s="350"/>
      <c r="T27" s="350"/>
      <c r="U27" s="351"/>
    </row>
    <row r="28" spans="1:21" ht="34.5" customHeight="1">
      <c r="A28" s="24">
        <f t="shared" si="0"/>
        <v>14</v>
      </c>
      <c r="B28" s="483" t="s">
        <v>294</v>
      </c>
      <c r="C28" s="351"/>
      <c r="D28" s="484" t="s">
        <v>294</v>
      </c>
      <c r="E28" s="351"/>
      <c r="F28" s="485" t="s">
        <v>325</v>
      </c>
      <c r="G28" s="351"/>
      <c r="H28" s="486"/>
      <c r="I28" s="350"/>
      <c r="J28" s="351"/>
      <c r="K28" s="485" t="s">
        <v>325</v>
      </c>
      <c r="L28" s="350"/>
      <c r="M28" s="351"/>
      <c r="N28" s="491" t="s">
        <v>294</v>
      </c>
      <c r="O28" s="350"/>
      <c r="P28" s="350"/>
      <c r="Q28" s="350"/>
      <c r="R28" s="350"/>
      <c r="S28" s="350"/>
      <c r="T28" s="350"/>
      <c r="U28" s="351"/>
    </row>
    <row r="29" spans="1:21" ht="34.5" customHeight="1">
      <c r="A29" s="24">
        <f t="shared" si="0"/>
        <v>15</v>
      </c>
      <c r="B29" s="488" t="s">
        <v>294</v>
      </c>
      <c r="C29" s="351"/>
      <c r="D29" s="489" t="s">
        <v>294</v>
      </c>
      <c r="E29" s="351"/>
      <c r="F29" s="485" t="s">
        <v>325</v>
      </c>
      <c r="G29" s="351"/>
      <c r="H29" s="487"/>
      <c r="I29" s="350"/>
      <c r="J29" s="351"/>
      <c r="K29" s="485" t="s">
        <v>325</v>
      </c>
      <c r="L29" s="350"/>
      <c r="M29" s="351"/>
      <c r="N29" s="490" t="s">
        <v>294</v>
      </c>
      <c r="O29" s="350"/>
      <c r="P29" s="350"/>
      <c r="Q29" s="350"/>
      <c r="R29" s="350"/>
      <c r="S29" s="350"/>
      <c r="T29" s="350"/>
      <c r="U29" s="351"/>
    </row>
    <row r="30" spans="1:21" ht="34.5" customHeight="1">
      <c r="A30" s="24">
        <f t="shared" si="0"/>
        <v>16</v>
      </c>
      <c r="B30" s="483" t="s">
        <v>294</v>
      </c>
      <c r="C30" s="351"/>
      <c r="D30" s="484" t="s">
        <v>294</v>
      </c>
      <c r="E30" s="351"/>
      <c r="F30" s="485" t="s">
        <v>325</v>
      </c>
      <c r="G30" s="351"/>
      <c r="H30" s="486"/>
      <c r="I30" s="350"/>
      <c r="J30" s="351"/>
      <c r="K30" s="485" t="s">
        <v>325</v>
      </c>
      <c r="L30" s="350"/>
      <c r="M30" s="351"/>
      <c r="N30" s="491" t="s">
        <v>294</v>
      </c>
      <c r="O30" s="350"/>
      <c r="P30" s="350"/>
      <c r="Q30" s="350"/>
      <c r="R30" s="350"/>
      <c r="S30" s="350"/>
      <c r="T30" s="350"/>
      <c r="U30" s="351"/>
    </row>
    <row r="31" spans="1:21" ht="34.5" customHeight="1">
      <c r="A31" s="24">
        <f t="shared" si="0"/>
        <v>17</v>
      </c>
      <c r="B31" s="488" t="s">
        <v>294</v>
      </c>
      <c r="C31" s="351"/>
      <c r="D31" s="489" t="s">
        <v>294</v>
      </c>
      <c r="E31" s="351"/>
      <c r="F31" s="485" t="s">
        <v>325</v>
      </c>
      <c r="G31" s="351"/>
      <c r="H31" s="487"/>
      <c r="I31" s="350"/>
      <c r="J31" s="351"/>
      <c r="K31" s="485" t="s">
        <v>325</v>
      </c>
      <c r="L31" s="350"/>
      <c r="M31" s="351"/>
      <c r="N31" s="490" t="s">
        <v>294</v>
      </c>
      <c r="O31" s="350"/>
      <c r="P31" s="350"/>
      <c r="Q31" s="350"/>
      <c r="R31" s="350"/>
      <c r="S31" s="350"/>
      <c r="T31" s="350"/>
      <c r="U31" s="351"/>
    </row>
    <row r="32" spans="1:21" ht="34.5" customHeight="1">
      <c r="A32" s="24">
        <f t="shared" si="0"/>
        <v>18</v>
      </c>
      <c r="B32" s="483" t="s">
        <v>294</v>
      </c>
      <c r="C32" s="351"/>
      <c r="D32" s="484" t="s">
        <v>294</v>
      </c>
      <c r="E32" s="351"/>
      <c r="F32" s="485" t="s">
        <v>325</v>
      </c>
      <c r="G32" s="351"/>
      <c r="H32" s="486"/>
      <c r="I32" s="350"/>
      <c r="J32" s="351"/>
      <c r="K32" s="485" t="s">
        <v>325</v>
      </c>
      <c r="L32" s="350"/>
      <c r="M32" s="351"/>
      <c r="N32" s="491" t="s">
        <v>294</v>
      </c>
      <c r="O32" s="350"/>
      <c r="P32" s="350"/>
      <c r="Q32" s="350"/>
      <c r="R32" s="350"/>
      <c r="S32" s="350"/>
      <c r="T32" s="350"/>
      <c r="U32" s="351"/>
    </row>
    <row r="33" spans="1:21" ht="34.5" customHeight="1">
      <c r="A33" s="24">
        <f t="shared" si="0"/>
        <v>19</v>
      </c>
      <c r="B33" s="488" t="s">
        <v>294</v>
      </c>
      <c r="C33" s="351"/>
      <c r="D33" s="489" t="s">
        <v>294</v>
      </c>
      <c r="E33" s="351"/>
      <c r="F33" s="485" t="s">
        <v>325</v>
      </c>
      <c r="G33" s="351"/>
      <c r="H33" s="487"/>
      <c r="I33" s="350"/>
      <c r="J33" s="351"/>
      <c r="K33" s="485" t="s">
        <v>325</v>
      </c>
      <c r="L33" s="350"/>
      <c r="M33" s="351"/>
      <c r="N33" s="490" t="s">
        <v>294</v>
      </c>
      <c r="O33" s="350"/>
      <c r="P33" s="350"/>
      <c r="Q33" s="350"/>
      <c r="R33" s="350"/>
      <c r="S33" s="350"/>
      <c r="T33" s="350"/>
      <c r="U33" s="351"/>
    </row>
    <row r="34" spans="1:21" ht="34.5" customHeight="1">
      <c r="A34" s="24">
        <f t="shared" si="0"/>
        <v>20</v>
      </c>
      <c r="B34" s="483" t="s">
        <v>294</v>
      </c>
      <c r="C34" s="351"/>
      <c r="D34" s="484" t="s">
        <v>294</v>
      </c>
      <c r="E34" s="351"/>
      <c r="F34" s="485" t="s">
        <v>325</v>
      </c>
      <c r="G34" s="351"/>
      <c r="H34" s="486"/>
      <c r="I34" s="350"/>
      <c r="J34" s="351"/>
      <c r="K34" s="485" t="s">
        <v>325</v>
      </c>
      <c r="L34" s="350"/>
      <c r="M34" s="351"/>
      <c r="N34" s="491" t="s">
        <v>294</v>
      </c>
      <c r="O34" s="350"/>
      <c r="P34" s="350"/>
      <c r="Q34" s="350"/>
      <c r="R34" s="350"/>
      <c r="S34" s="350"/>
      <c r="T34" s="350"/>
      <c r="U34" s="351"/>
    </row>
    <row r="35" spans="1:21" ht="34.5" customHeight="1">
      <c r="A35" s="24">
        <f t="shared" si="0"/>
        <v>21</v>
      </c>
      <c r="B35" s="488" t="s">
        <v>294</v>
      </c>
      <c r="C35" s="351"/>
      <c r="D35" s="489" t="s">
        <v>294</v>
      </c>
      <c r="E35" s="351"/>
      <c r="F35" s="485" t="s">
        <v>325</v>
      </c>
      <c r="G35" s="351"/>
      <c r="H35" s="487"/>
      <c r="I35" s="350"/>
      <c r="J35" s="351"/>
      <c r="K35" s="485" t="s">
        <v>325</v>
      </c>
      <c r="L35" s="350"/>
      <c r="M35" s="351"/>
      <c r="N35" s="490" t="s">
        <v>294</v>
      </c>
      <c r="O35" s="350"/>
      <c r="P35" s="350"/>
      <c r="Q35" s="350"/>
      <c r="R35" s="350"/>
      <c r="S35" s="350"/>
      <c r="T35" s="350"/>
      <c r="U35" s="351"/>
    </row>
    <row r="36" spans="1:21" ht="34.5" customHeight="1">
      <c r="A36" s="24">
        <f t="shared" si="0"/>
        <v>22</v>
      </c>
      <c r="B36" s="483" t="s">
        <v>294</v>
      </c>
      <c r="C36" s="351"/>
      <c r="D36" s="484" t="s">
        <v>294</v>
      </c>
      <c r="E36" s="351"/>
      <c r="F36" s="485" t="s">
        <v>325</v>
      </c>
      <c r="G36" s="351"/>
      <c r="H36" s="486"/>
      <c r="I36" s="350"/>
      <c r="J36" s="351"/>
      <c r="K36" s="485" t="s">
        <v>325</v>
      </c>
      <c r="L36" s="350"/>
      <c r="M36" s="351"/>
      <c r="N36" s="491" t="s">
        <v>294</v>
      </c>
      <c r="O36" s="350"/>
      <c r="P36" s="350"/>
      <c r="Q36" s="350"/>
      <c r="R36" s="350"/>
      <c r="S36" s="350"/>
      <c r="T36" s="350"/>
      <c r="U36" s="351"/>
    </row>
    <row r="37" spans="1:21" ht="34.5" customHeight="1">
      <c r="A37" s="24">
        <f t="shared" si="0"/>
        <v>23</v>
      </c>
      <c r="B37" s="488" t="s">
        <v>294</v>
      </c>
      <c r="C37" s="351"/>
      <c r="D37" s="489" t="s">
        <v>294</v>
      </c>
      <c r="E37" s="351"/>
      <c r="F37" s="485" t="s">
        <v>325</v>
      </c>
      <c r="G37" s="351"/>
      <c r="H37" s="487"/>
      <c r="I37" s="350"/>
      <c r="J37" s="351"/>
      <c r="K37" s="485" t="s">
        <v>325</v>
      </c>
      <c r="L37" s="350"/>
      <c r="M37" s="351"/>
      <c r="N37" s="490" t="s">
        <v>294</v>
      </c>
      <c r="O37" s="350"/>
      <c r="P37" s="350"/>
      <c r="Q37" s="350"/>
      <c r="R37" s="350"/>
      <c r="S37" s="350"/>
      <c r="T37" s="350"/>
      <c r="U37" s="351"/>
    </row>
    <row r="38" spans="1:21" ht="34.5" customHeight="1">
      <c r="A38" s="24">
        <f t="shared" si="0"/>
        <v>24</v>
      </c>
      <c r="B38" s="483" t="s">
        <v>294</v>
      </c>
      <c r="C38" s="351"/>
      <c r="D38" s="484" t="s">
        <v>294</v>
      </c>
      <c r="E38" s="351"/>
      <c r="F38" s="485" t="s">
        <v>325</v>
      </c>
      <c r="G38" s="351"/>
      <c r="H38" s="486"/>
      <c r="I38" s="350"/>
      <c r="J38" s="351"/>
      <c r="K38" s="485" t="s">
        <v>325</v>
      </c>
      <c r="L38" s="350"/>
      <c r="M38" s="351"/>
      <c r="N38" s="491" t="s">
        <v>294</v>
      </c>
      <c r="O38" s="350"/>
      <c r="P38" s="350"/>
      <c r="Q38" s="350"/>
      <c r="R38" s="350"/>
      <c r="S38" s="350"/>
      <c r="T38" s="350"/>
      <c r="U38" s="351"/>
    </row>
    <row r="39" spans="1:21" ht="34.5" customHeight="1">
      <c r="A39" s="24">
        <f t="shared" si="0"/>
        <v>25</v>
      </c>
      <c r="B39" s="488" t="s">
        <v>294</v>
      </c>
      <c r="C39" s="351"/>
      <c r="D39" s="489" t="s">
        <v>294</v>
      </c>
      <c r="E39" s="351"/>
      <c r="F39" s="485" t="s">
        <v>325</v>
      </c>
      <c r="G39" s="351"/>
      <c r="H39" s="487"/>
      <c r="I39" s="350"/>
      <c r="J39" s="351"/>
      <c r="K39" s="485" t="s">
        <v>325</v>
      </c>
      <c r="L39" s="350"/>
      <c r="M39" s="351"/>
      <c r="N39" s="490" t="s">
        <v>294</v>
      </c>
      <c r="O39" s="350"/>
      <c r="P39" s="350"/>
      <c r="Q39" s="350"/>
      <c r="R39" s="350"/>
      <c r="S39" s="350"/>
      <c r="T39" s="350"/>
      <c r="U39" s="351"/>
    </row>
    <row r="40" spans="1:21" ht="34.5" customHeight="1">
      <c r="A40" s="24">
        <f t="shared" si="0"/>
        <v>26</v>
      </c>
      <c r="B40" s="483" t="s">
        <v>294</v>
      </c>
      <c r="C40" s="351"/>
      <c r="D40" s="484" t="s">
        <v>294</v>
      </c>
      <c r="E40" s="351"/>
      <c r="F40" s="485" t="s">
        <v>325</v>
      </c>
      <c r="G40" s="351"/>
      <c r="H40" s="486"/>
      <c r="I40" s="350"/>
      <c r="J40" s="351"/>
      <c r="K40" s="485" t="s">
        <v>325</v>
      </c>
      <c r="L40" s="350"/>
      <c r="M40" s="351"/>
      <c r="N40" s="491" t="s">
        <v>294</v>
      </c>
      <c r="O40" s="350"/>
      <c r="P40" s="350"/>
      <c r="Q40" s="350"/>
      <c r="R40" s="350"/>
      <c r="S40" s="350"/>
      <c r="T40" s="350"/>
      <c r="U40" s="351"/>
    </row>
    <row r="41" spans="1:21" ht="34.5" customHeight="1">
      <c r="A41" s="24">
        <f t="shared" si="0"/>
        <v>27</v>
      </c>
      <c r="B41" s="488" t="s">
        <v>294</v>
      </c>
      <c r="C41" s="351"/>
      <c r="D41" s="489" t="s">
        <v>294</v>
      </c>
      <c r="E41" s="351"/>
      <c r="F41" s="485" t="s">
        <v>325</v>
      </c>
      <c r="G41" s="351"/>
      <c r="H41" s="487"/>
      <c r="I41" s="350"/>
      <c r="J41" s="351"/>
      <c r="K41" s="485" t="s">
        <v>325</v>
      </c>
      <c r="L41" s="350"/>
      <c r="M41" s="351"/>
      <c r="N41" s="490" t="s">
        <v>294</v>
      </c>
      <c r="O41" s="350"/>
      <c r="P41" s="350"/>
      <c r="Q41" s="350"/>
      <c r="R41" s="350"/>
      <c r="S41" s="350"/>
      <c r="T41" s="350"/>
      <c r="U41" s="351"/>
    </row>
    <row r="42" spans="1:21" ht="34.5" customHeight="1">
      <c r="A42" s="24">
        <f t="shared" si="0"/>
        <v>28</v>
      </c>
      <c r="B42" s="483" t="s">
        <v>294</v>
      </c>
      <c r="C42" s="351"/>
      <c r="D42" s="484" t="s">
        <v>294</v>
      </c>
      <c r="E42" s="351"/>
      <c r="F42" s="485" t="s">
        <v>325</v>
      </c>
      <c r="G42" s="351"/>
      <c r="H42" s="486"/>
      <c r="I42" s="350"/>
      <c r="J42" s="351"/>
      <c r="K42" s="485" t="s">
        <v>325</v>
      </c>
      <c r="L42" s="350"/>
      <c r="M42" s="351"/>
      <c r="N42" s="491" t="s">
        <v>294</v>
      </c>
      <c r="O42" s="350"/>
      <c r="P42" s="350"/>
      <c r="Q42" s="350"/>
      <c r="R42" s="350"/>
      <c r="S42" s="350"/>
      <c r="T42" s="350"/>
      <c r="U42" s="351"/>
    </row>
    <row r="43" spans="1:21" ht="34.5" customHeight="1">
      <c r="A43" s="24">
        <f t="shared" si="0"/>
        <v>29</v>
      </c>
      <c r="B43" s="488" t="s">
        <v>294</v>
      </c>
      <c r="C43" s="351"/>
      <c r="D43" s="489" t="s">
        <v>294</v>
      </c>
      <c r="E43" s="351"/>
      <c r="F43" s="485" t="s">
        <v>325</v>
      </c>
      <c r="G43" s="351"/>
      <c r="H43" s="487"/>
      <c r="I43" s="350"/>
      <c r="J43" s="351"/>
      <c r="K43" s="485" t="s">
        <v>325</v>
      </c>
      <c r="L43" s="350"/>
      <c r="M43" s="351"/>
      <c r="N43" s="490" t="s">
        <v>294</v>
      </c>
      <c r="O43" s="350"/>
      <c r="P43" s="350"/>
      <c r="Q43" s="350"/>
      <c r="R43" s="350"/>
      <c r="S43" s="350"/>
      <c r="T43" s="350"/>
      <c r="U43" s="351"/>
    </row>
    <row r="44" spans="1:21" ht="34.5" customHeight="1">
      <c r="A44" s="24">
        <f t="shared" si="0"/>
        <v>30</v>
      </c>
      <c r="B44" s="483" t="s">
        <v>294</v>
      </c>
      <c r="C44" s="351"/>
      <c r="D44" s="484" t="s">
        <v>294</v>
      </c>
      <c r="E44" s="351"/>
      <c r="F44" s="485" t="s">
        <v>325</v>
      </c>
      <c r="G44" s="351"/>
      <c r="H44" s="486"/>
      <c r="I44" s="350"/>
      <c r="J44" s="351"/>
      <c r="K44" s="485" t="s">
        <v>325</v>
      </c>
      <c r="L44" s="350"/>
      <c r="M44" s="351"/>
      <c r="N44" s="491" t="s">
        <v>294</v>
      </c>
      <c r="O44" s="350"/>
      <c r="P44" s="350"/>
      <c r="Q44" s="350"/>
      <c r="R44" s="350"/>
      <c r="S44" s="350"/>
      <c r="T44" s="350"/>
      <c r="U44" s="351"/>
    </row>
    <row r="45" spans="1:21" ht="34.5" customHeight="1">
      <c r="A45" s="24">
        <f t="shared" si="0"/>
        <v>31</v>
      </c>
      <c r="B45" s="488" t="s">
        <v>294</v>
      </c>
      <c r="C45" s="351"/>
      <c r="D45" s="489" t="s">
        <v>294</v>
      </c>
      <c r="E45" s="351"/>
      <c r="F45" s="485" t="s">
        <v>325</v>
      </c>
      <c r="G45" s="351"/>
      <c r="H45" s="487"/>
      <c r="I45" s="350"/>
      <c r="J45" s="351"/>
      <c r="K45" s="485" t="s">
        <v>325</v>
      </c>
      <c r="L45" s="350"/>
      <c r="M45" s="351"/>
      <c r="N45" s="490" t="s">
        <v>294</v>
      </c>
      <c r="O45" s="350"/>
      <c r="P45" s="350"/>
      <c r="Q45" s="350"/>
      <c r="R45" s="350"/>
      <c r="S45" s="350"/>
      <c r="T45" s="350"/>
      <c r="U45" s="351"/>
    </row>
    <row r="46" spans="1:21" ht="34.5" customHeight="1">
      <c r="A46" s="24">
        <f t="shared" si="0"/>
        <v>32</v>
      </c>
      <c r="B46" s="483" t="s">
        <v>294</v>
      </c>
      <c r="C46" s="351"/>
      <c r="D46" s="484" t="s">
        <v>294</v>
      </c>
      <c r="E46" s="351"/>
      <c r="F46" s="485" t="s">
        <v>325</v>
      </c>
      <c r="G46" s="351"/>
      <c r="H46" s="486"/>
      <c r="I46" s="350"/>
      <c r="J46" s="351"/>
      <c r="K46" s="485" t="s">
        <v>325</v>
      </c>
      <c r="L46" s="350"/>
      <c r="M46" s="351"/>
      <c r="N46" s="491" t="s">
        <v>294</v>
      </c>
      <c r="O46" s="350"/>
      <c r="P46" s="350"/>
      <c r="Q46" s="350"/>
      <c r="R46" s="350"/>
      <c r="S46" s="350"/>
      <c r="T46" s="350"/>
      <c r="U46" s="351"/>
    </row>
    <row r="47" spans="1:21" ht="34.5" customHeight="1">
      <c r="A47" s="24">
        <f t="shared" si="0"/>
        <v>33</v>
      </c>
      <c r="B47" s="488" t="s">
        <v>294</v>
      </c>
      <c r="C47" s="351"/>
      <c r="D47" s="489" t="s">
        <v>294</v>
      </c>
      <c r="E47" s="351"/>
      <c r="F47" s="485" t="s">
        <v>325</v>
      </c>
      <c r="G47" s="351"/>
      <c r="H47" s="487"/>
      <c r="I47" s="350"/>
      <c r="J47" s="351"/>
      <c r="K47" s="485" t="s">
        <v>325</v>
      </c>
      <c r="L47" s="350"/>
      <c r="M47" s="351"/>
      <c r="N47" s="490" t="s">
        <v>294</v>
      </c>
      <c r="O47" s="350"/>
      <c r="P47" s="350"/>
      <c r="Q47" s="350"/>
      <c r="R47" s="350"/>
      <c r="S47" s="350"/>
      <c r="T47" s="350"/>
      <c r="U47" s="351"/>
    </row>
    <row r="48" spans="1:21" ht="34.5" customHeight="1">
      <c r="A48" s="24">
        <f t="shared" si="0"/>
        <v>34</v>
      </c>
      <c r="B48" s="483" t="s">
        <v>294</v>
      </c>
      <c r="C48" s="351"/>
      <c r="D48" s="484" t="s">
        <v>294</v>
      </c>
      <c r="E48" s="351"/>
      <c r="F48" s="485" t="s">
        <v>325</v>
      </c>
      <c r="G48" s="351"/>
      <c r="H48" s="486"/>
      <c r="I48" s="350"/>
      <c r="J48" s="351"/>
      <c r="K48" s="485" t="s">
        <v>325</v>
      </c>
      <c r="L48" s="350"/>
      <c r="M48" s="351"/>
      <c r="N48" s="491" t="s">
        <v>294</v>
      </c>
      <c r="O48" s="350"/>
      <c r="P48" s="350"/>
      <c r="Q48" s="350"/>
      <c r="R48" s="350"/>
      <c r="S48" s="350"/>
      <c r="T48" s="350"/>
      <c r="U48" s="351"/>
    </row>
    <row r="49" spans="1:21" ht="34.5" customHeight="1">
      <c r="A49" s="24">
        <f t="shared" si="0"/>
        <v>35</v>
      </c>
      <c r="B49" s="488" t="s">
        <v>294</v>
      </c>
      <c r="C49" s="351"/>
      <c r="D49" s="489" t="s">
        <v>294</v>
      </c>
      <c r="E49" s="351"/>
      <c r="F49" s="485" t="s">
        <v>325</v>
      </c>
      <c r="G49" s="351"/>
      <c r="H49" s="487"/>
      <c r="I49" s="350"/>
      <c r="J49" s="351"/>
      <c r="K49" s="485" t="s">
        <v>325</v>
      </c>
      <c r="L49" s="350"/>
      <c r="M49" s="351"/>
      <c r="N49" s="490" t="s">
        <v>294</v>
      </c>
      <c r="O49" s="350"/>
      <c r="P49" s="350"/>
      <c r="Q49" s="350"/>
      <c r="R49" s="350"/>
      <c r="S49" s="350"/>
      <c r="T49" s="350"/>
      <c r="U49" s="351"/>
    </row>
    <row r="50" spans="1:21" ht="34.5" customHeight="1">
      <c r="A50" s="24">
        <f t="shared" si="0"/>
        <v>36</v>
      </c>
      <c r="B50" s="483" t="s">
        <v>294</v>
      </c>
      <c r="C50" s="351"/>
      <c r="D50" s="484" t="s">
        <v>294</v>
      </c>
      <c r="E50" s="351"/>
      <c r="F50" s="485" t="s">
        <v>325</v>
      </c>
      <c r="G50" s="351"/>
      <c r="H50" s="486"/>
      <c r="I50" s="350"/>
      <c r="J50" s="351"/>
      <c r="K50" s="485" t="s">
        <v>325</v>
      </c>
      <c r="L50" s="350"/>
      <c r="M50" s="351"/>
      <c r="N50" s="491" t="s">
        <v>294</v>
      </c>
      <c r="O50" s="350"/>
      <c r="P50" s="350"/>
      <c r="Q50" s="350"/>
      <c r="R50" s="350"/>
      <c r="S50" s="350"/>
      <c r="T50" s="350"/>
      <c r="U50" s="351"/>
    </row>
    <row r="51" spans="1:21" ht="34.5" customHeight="1">
      <c r="A51" s="24">
        <f t="shared" si="0"/>
        <v>37</v>
      </c>
      <c r="B51" s="488" t="s">
        <v>294</v>
      </c>
      <c r="C51" s="351"/>
      <c r="D51" s="489" t="s">
        <v>294</v>
      </c>
      <c r="E51" s="351"/>
      <c r="F51" s="485" t="s">
        <v>325</v>
      </c>
      <c r="G51" s="351"/>
      <c r="H51" s="487"/>
      <c r="I51" s="350"/>
      <c r="J51" s="351"/>
      <c r="K51" s="485" t="s">
        <v>325</v>
      </c>
      <c r="L51" s="350"/>
      <c r="M51" s="351"/>
      <c r="N51" s="490" t="s">
        <v>294</v>
      </c>
      <c r="O51" s="350"/>
      <c r="P51" s="350"/>
      <c r="Q51" s="350"/>
      <c r="R51" s="350"/>
      <c r="S51" s="350"/>
      <c r="T51" s="350"/>
      <c r="U51" s="351"/>
    </row>
    <row r="52" spans="1:21" ht="34.5" customHeight="1">
      <c r="A52" s="24">
        <f t="shared" si="0"/>
        <v>38</v>
      </c>
      <c r="B52" s="483" t="s">
        <v>294</v>
      </c>
      <c r="C52" s="351"/>
      <c r="D52" s="484" t="s">
        <v>294</v>
      </c>
      <c r="E52" s="351"/>
      <c r="F52" s="485" t="s">
        <v>325</v>
      </c>
      <c r="G52" s="351"/>
      <c r="H52" s="486"/>
      <c r="I52" s="350"/>
      <c r="J52" s="351"/>
      <c r="K52" s="485" t="s">
        <v>325</v>
      </c>
      <c r="L52" s="350"/>
      <c r="M52" s="351"/>
      <c r="N52" s="491" t="s">
        <v>294</v>
      </c>
      <c r="O52" s="350"/>
      <c r="P52" s="350"/>
      <c r="Q52" s="350"/>
      <c r="R52" s="350"/>
      <c r="S52" s="350"/>
      <c r="T52" s="350"/>
      <c r="U52" s="351"/>
    </row>
    <row r="53" spans="1:21" ht="34.5" customHeight="1">
      <c r="A53" s="24">
        <f t="shared" si="0"/>
        <v>39</v>
      </c>
      <c r="B53" s="488" t="s">
        <v>294</v>
      </c>
      <c r="C53" s="351"/>
      <c r="D53" s="489" t="s">
        <v>294</v>
      </c>
      <c r="E53" s="351"/>
      <c r="F53" s="485" t="s">
        <v>325</v>
      </c>
      <c r="G53" s="351"/>
      <c r="H53" s="487"/>
      <c r="I53" s="350"/>
      <c r="J53" s="351"/>
      <c r="K53" s="485" t="s">
        <v>325</v>
      </c>
      <c r="L53" s="350"/>
      <c r="M53" s="351"/>
      <c r="N53" s="490" t="s">
        <v>294</v>
      </c>
      <c r="O53" s="350"/>
      <c r="P53" s="350"/>
      <c r="Q53" s="350"/>
      <c r="R53" s="350"/>
      <c r="S53" s="350"/>
      <c r="T53" s="350"/>
      <c r="U53" s="351"/>
    </row>
    <row r="54" spans="1:21" ht="34.5" customHeight="1">
      <c r="A54" s="24">
        <f t="shared" si="0"/>
        <v>40</v>
      </c>
      <c r="B54" s="483" t="s">
        <v>294</v>
      </c>
      <c r="C54" s="351"/>
      <c r="D54" s="484" t="s">
        <v>294</v>
      </c>
      <c r="E54" s="351"/>
      <c r="F54" s="485" t="s">
        <v>325</v>
      </c>
      <c r="G54" s="351"/>
      <c r="H54" s="486"/>
      <c r="I54" s="350"/>
      <c r="J54" s="351"/>
      <c r="K54" s="485" t="s">
        <v>325</v>
      </c>
      <c r="L54" s="350"/>
      <c r="M54" s="351"/>
      <c r="N54" s="491" t="s">
        <v>294</v>
      </c>
      <c r="O54" s="350"/>
      <c r="P54" s="350"/>
      <c r="Q54" s="350"/>
      <c r="R54" s="350"/>
      <c r="S54" s="350"/>
      <c r="T54" s="350"/>
      <c r="U54" s="351"/>
    </row>
    <row r="55" spans="1:21" ht="34.5" customHeight="1">
      <c r="A55" s="24">
        <f t="shared" si="0"/>
        <v>41</v>
      </c>
      <c r="B55" s="488" t="s">
        <v>294</v>
      </c>
      <c r="C55" s="351"/>
      <c r="D55" s="489" t="s">
        <v>294</v>
      </c>
      <c r="E55" s="351"/>
      <c r="F55" s="485" t="s">
        <v>325</v>
      </c>
      <c r="G55" s="351"/>
      <c r="H55" s="487"/>
      <c r="I55" s="350"/>
      <c r="J55" s="351"/>
      <c r="K55" s="485" t="s">
        <v>325</v>
      </c>
      <c r="L55" s="350"/>
      <c r="M55" s="351"/>
      <c r="N55" s="490" t="s">
        <v>294</v>
      </c>
      <c r="O55" s="350"/>
      <c r="P55" s="350"/>
      <c r="Q55" s="350"/>
      <c r="R55" s="350"/>
      <c r="S55" s="350"/>
      <c r="T55" s="350"/>
      <c r="U55" s="351"/>
    </row>
    <row r="56" spans="1:21" ht="34.5" customHeight="1">
      <c r="A56" s="24">
        <f t="shared" si="0"/>
        <v>42</v>
      </c>
      <c r="B56" s="483" t="s">
        <v>294</v>
      </c>
      <c r="C56" s="351"/>
      <c r="D56" s="484" t="s">
        <v>294</v>
      </c>
      <c r="E56" s="351"/>
      <c r="F56" s="485" t="s">
        <v>325</v>
      </c>
      <c r="G56" s="351"/>
      <c r="H56" s="486"/>
      <c r="I56" s="350"/>
      <c r="J56" s="351"/>
      <c r="K56" s="485" t="s">
        <v>325</v>
      </c>
      <c r="L56" s="350"/>
      <c r="M56" s="351"/>
      <c r="N56" s="491" t="s">
        <v>294</v>
      </c>
      <c r="O56" s="350"/>
      <c r="P56" s="350"/>
      <c r="Q56" s="350"/>
      <c r="R56" s="350"/>
      <c r="S56" s="350"/>
      <c r="T56" s="350"/>
      <c r="U56" s="351"/>
    </row>
    <row r="57" spans="1:21" ht="34.5" customHeight="1">
      <c r="A57" s="24">
        <f t="shared" si="0"/>
        <v>43</v>
      </c>
      <c r="B57" s="488" t="s">
        <v>294</v>
      </c>
      <c r="C57" s="351"/>
      <c r="D57" s="489" t="s">
        <v>294</v>
      </c>
      <c r="E57" s="351"/>
      <c r="F57" s="485" t="s">
        <v>325</v>
      </c>
      <c r="G57" s="351"/>
      <c r="H57" s="487"/>
      <c r="I57" s="350"/>
      <c r="J57" s="351"/>
      <c r="K57" s="485" t="s">
        <v>325</v>
      </c>
      <c r="L57" s="350"/>
      <c r="M57" s="351"/>
      <c r="N57" s="490" t="s">
        <v>294</v>
      </c>
      <c r="O57" s="350"/>
      <c r="P57" s="350"/>
      <c r="Q57" s="350"/>
      <c r="R57" s="350"/>
      <c r="S57" s="350"/>
      <c r="T57" s="350"/>
      <c r="U57" s="351"/>
    </row>
    <row r="58" spans="1:21" ht="34.5" customHeight="1">
      <c r="A58" s="24">
        <f t="shared" si="0"/>
        <v>44</v>
      </c>
      <c r="B58" s="483" t="s">
        <v>294</v>
      </c>
      <c r="C58" s="351"/>
      <c r="D58" s="484" t="s">
        <v>294</v>
      </c>
      <c r="E58" s="351"/>
      <c r="F58" s="485" t="s">
        <v>325</v>
      </c>
      <c r="G58" s="351"/>
      <c r="H58" s="486"/>
      <c r="I58" s="350"/>
      <c r="J58" s="351"/>
      <c r="K58" s="485" t="s">
        <v>325</v>
      </c>
      <c r="L58" s="350"/>
      <c r="M58" s="351"/>
      <c r="N58" s="491" t="s">
        <v>294</v>
      </c>
      <c r="O58" s="350"/>
      <c r="P58" s="350"/>
      <c r="Q58" s="350"/>
      <c r="R58" s="350"/>
      <c r="S58" s="350"/>
      <c r="T58" s="350"/>
      <c r="U58" s="351"/>
    </row>
    <row r="59" spans="1:21" ht="34.5" customHeight="1">
      <c r="A59" s="24">
        <f t="shared" si="0"/>
        <v>45</v>
      </c>
      <c r="B59" s="488" t="s">
        <v>294</v>
      </c>
      <c r="C59" s="351"/>
      <c r="D59" s="489" t="s">
        <v>294</v>
      </c>
      <c r="E59" s="351"/>
      <c r="F59" s="485" t="s">
        <v>325</v>
      </c>
      <c r="G59" s="351"/>
      <c r="H59" s="487"/>
      <c r="I59" s="350"/>
      <c r="J59" s="351"/>
      <c r="K59" s="485" t="s">
        <v>325</v>
      </c>
      <c r="L59" s="350"/>
      <c r="M59" s="351"/>
      <c r="N59" s="490" t="s">
        <v>294</v>
      </c>
      <c r="O59" s="350"/>
      <c r="P59" s="350"/>
      <c r="Q59" s="350"/>
      <c r="R59" s="350"/>
      <c r="S59" s="350"/>
      <c r="T59" s="350"/>
      <c r="U59" s="351"/>
    </row>
    <row r="60" spans="1:21" ht="34.5" customHeight="1">
      <c r="A60" s="24">
        <f t="shared" si="0"/>
        <v>46</v>
      </c>
      <c r="B60" s="483" t="s">
        <v>294</v>
      </c>
      <c r="C60" s="351"/>
      <c r="D60" s="484" t="s">
        <v>294</v>
      </c>
      <c r="E60" s="351"/>
      <c r="F60" s="485" t="s">
        <v>325</v>
      </c>
      <c r="G60" s="351"/>
      <c r="H60" s="486"/>
      <c r="I60" s="350"/>
      <c r="J60" s="351"/>
      <c r="K60" s="485" t="s">
        <v>325</v>
      </c>
      <c r="L60" s="350"/>
      <c r="M60" s="351"/>
      <c r="N60" s="491" t="s">
        <v>294</v>
      </c>
      <c r="O60" s="350"/>
      <c r="P60" s="350"/>
      <c r="Q60" s="350"/>
      <c r="R60" s="350"/>
      <c r="S60" s="350"/>
      <c r="T60" s="350"/>
      <c r="U60" s="351"/>
    </row>
    <row r="61" spans="1:21" ht="34.5" customHeight="1">
      <c r="A61" s="24">
        <f t="shared" si="0"/>
        <v>47</v>
      </c>
      <c r="B61" s="488" t="s">
        <v>294</v>
      </c>
      <c r="C61" s="351"/>
      <c r="D61" s="489" t="s">
        <v>294</v>
      </c>
      <c r="E61" s="351"/>
      <c r="F61" s="485" t="s">
        <v>325</v>
      </c>
      <c r="G61" s="351"/>
      <c r="H61" s="487"/>
      <c r="I61" s="350"/>
      <c r="J61" s="351"/>
      <c r="K61" s="485" t="s">
        <v>325</v>
      </c>
      <c r="L61" s="350"/>
      <c r="M61" s="351"/>
      <c r="N61" s="490" t="s">
        <v>294</v>
      </c>
      <c r="O61" s="350"/>
      <c r="P61" s="350"/>
      <c r="Q61" s="350"/>
      <c r="R61" s="350"/>
      <c r="S61" s="350"/>
      <c r="T61" s="350"/>
      <c r="U61" s="351"/>
    </row>
    <row r="62" spans="1:21" ht="34.5" customHeight="1">
      <c r="A62" s="24">
        <f t="shared" si="0"/>
        <v>48</v>
      </c>
      <c r="B62" s="483" t="s">
        <v>294</v>
      </c>
      <c r="C62" s="351"/>
      <c r="D62" s="484" t="s">
        <v>294</v>
      </c>
      <c r="E62" s="351"/>
      <c r="F62" s="485" t="s">
        <v>325</v>
      </c>
      <c r="G62" s="351"/>
      <c r="H62" s="486"/>
      <c r="I62" s="350"/>
      <c r="J62" s="351"/>
      <c r="K62" s="485" t="s">
        <v>325</v>
      </c>
      <c r="L62" s="350"/>
      <c r="M62" s="351"/>
      <c r="N62" s="491" t="s">
        <v>294</v>
      </c>
      <c r="O62" s="350"/>
      <c r="P62" s="350"/>
      <c r="Q62" s="350"/>
      <c r="R62" s="350"/>
      <c r="S62" s="350"/>
      <c r="T62" s="350"/>
      <c r="U62" s="351"/>
    </row>
    <row r="63" spans="1:21" ht="34.5" customHeight="1">
      <c r="A63" s="24">
        <f t="shared" si="0"/>
        <v>49</v>
      </c>
      <c r="B63" s="488" t="s">
        <v>294</v>
      </c>
      <c r="C63" s="351"/>
      <c r="D63" s="489" t="s">
        <v>294</v>
      </c>
      <c r="E63" s="351"/>
      <c r="F63" s="485" t="s">
        <v>325</v>
      </c>
      <c r="G63" s="351"/>
      <c r="H63" s="487"/>
      <c r="I63" s="350"/>
      <c r="J63" s="351"/>
      <c r="K63" s="485" t="s">
        <v>325</v>
      </c>
      <c r="L63" s="350"/>
      <c r="M63" s="351"/>
      <c r="N63" s="490" t="s">
        <v>294</v>
      </c>
      <c r="O63" s="350"/>
      <c r="P63" s="350"/>
      <c r="Q63" s="350"/>
      <c r="R63" s="350"/>
      <c r="S63" s="350"/>
      <c r="T63" s="350"/>
      <c r="U63" s="351"/>
    </row>
    <row r="64" spans="1:21" ht="34.5" customHeight="1">
      <c r="A64" s="24">
        <f t="shared" si="0"/>
        <v>50</v>
      </c>
      <c r="B64" s="483" t="s">
        <v>294</v>
      </c>
      <c r="C64" s="351"/>
      <c r="D64" s="484" t="s">
        <v>294</v>
      </c>
      <c r="E64" s="351"/>
      <c r="F64" s="485" t="s">
        <v>325</v>
      </c>
      <c r="G64" s="351"/>
      <c r="H64" s="486"/>
      <c r="I64" s="350"/>
      <c r="J64" s="351"/>
      <c r="K64" s="485" t="s">
        <v>325</v>
      </c>
      <c r="L64" s="350"/>
      <c r="M64" s="351"/>
      <c r="N64" s="491" t="s">
        <v>294</v>
      </c>
      <c r="O64" s="350"/>
      <c r="P64" s="350"/>
      <c r="Q64" s="350"/>
      <c r="R64" s="350"/>
      <c r="S64" s="350"/>
      <c r="T64" s="350"/>
      <c r="U64" s="351"/>
    </row>
    <row r="65" spans="1:21" ht="34.5" customHeight="1">
      <c r="A65" s="24">
        <f t="shared" si="0"/>
        <v>51</v>
      </c>
      <c r="B65" s="488" t="s">
        <v>294</v>
      </c>
      <c r="C65" s="351"/>
      <c r="D65" s="489" t="s">
        <v>294</v>
      </c>
      <c r="E65" s="351"/>
      <c r="F65" s="485" t="s">
        <v>325</v>
      </c>
      <c r="G65" s="351"/>
      <c r="H65" s="487"/>
      <c r="I65" s="350"/>
      <c r="J65" s="351"/>
      <c r="K65" s="485" t="s">
        <v>325</v>
      </c>
      <c r="L65" s="350"/>
      <c r="M65" s="351"/>
      <c r="N65" s="490" t="s">
        <v>294</v>
      </c>
      <c r="O65" s="350"/>
      <c r="P65" s="350"/>
      <c r="Q65" s="350"/>
      <c r="R65" s="350"/>
      <c r="S65" s="350"/>
      <c r="T65" s="350"/>
      <c r="U65" s="351"/>
    </row>
    <row r="66" spans="1:21" ht="34.5" customHeight="1">
      <c r="A66" s="24">
        <f t="shared" si="0"/>
        <v>52</v>
      </c>
      <c r="B66" s="483" t="s">
        <v>294</v>
      </c>
      <c r="C66" s="351"/>
      <c r="D66" s="484" t="s">
        <v>294</v>
      </c>
      <c r="E66" s="351"/>
      <c r="F66" s="485" t="s">
        <v>325</v>
      </c>
      <c r="G66" s="351"/>
      <c r="H66" s="486"/>
      <c r="I66" s="350"/>
      <c r="J66" s="351"/>
      <c r="K66" s="485" t="s">
        <v>325</v>
      </c>
      <c r="L66" s="350"/>
      <c r="M66" s="351"/>
      <c r="N66" s="491" t="s">
        <v>294</v>
      </c>
      <c r="O66" s="350"/>
      <c r="P66" s="350"/>
      <c r="Q66" s="350"/>
      <c r="R66" s="350"/>
      <c r="S66" s="350"/>
      <c r="T66" s="350"/>
      <c r="U66" s="351"/>
    </row>
    <row r="67" spans="1:21" ht="34.5" customHeight="1">
      <c r="A67" s="24">
        <f t="shared" si="0"/>
        <v>53</v>
      </c>
      <c r="B67" s="488" t="s">
        <v>294</v>
      </c>
      <c r="C67" s="351"/>
      <c r="D67" s="489" t="s">
        <v>294</v>
      </c>
      <c r="E67" s="351"/>
      <c r="F67" s="485" t="s">
        <v>325</v>
      </c>
      <c r="G67" s="351"/>
      <c r="H67" s="487"/>
      <c r="I67" s="350"/>
      <c r="J67" s="351"/>
      <c r="K67" s="485" t="s">
        <v>325</v>
      </c>
      <c r="L67" s="350"/>
      <c r="M67" s="351"/>
      <c r="N67" s="490" t="s">
        <v>294</v>
      </c>
      <c r="O67" s="350"/>
      <c r="P67" s="350"/>
      <c r="Q67" s="350"/>
      <c r="R67" s="350"/>
      <c r="S67" s="350"/>
      <c r="T67" s="350"/>
      <c r="U67" s="351"/>
    </row>
    <row r="68" spans="1:21" ht="34.5" customHeight="1">
      <c r="A68" s="24">
        <f t="shared" si="0"/>
        <v>54</v>
      </c>
      <c r="B68" s="483" t="s">
        <v>294</v>
      </c>
      <c r="C68" s="351"/>
      <c r="D68" s="484" t="s">
        <v>294</v>
      </c>
      <c r="E68" s="351"/>
      <c r="F68" s="485" t="s">
        <v>325</v>
      </c>
      <c r="G68" s="351"/>
      <c r="H68" s="486"/>
      <c r="I68" s="350"/>
      <c r="J68" s="351"/>
      <c r="K68" s="485" t="s">
        <v>325</v>
      </c>
      <c r="L68" s="350"/>
      <c r="M68" s="351"/>
      <c r="N68" s="491" t="s">
        <v>294</v>
      </c>
      <c r="O68" s="350"/>
      <c r="P68" s="350"/>
      <c r="Q68" s="350"/>
      <c r="R68" s="350"/>
      <c r="S68" s="350"/>
      <c r="T68" s="350"/>
      <c r="U68" s="351"/>
    </row>
    <row r="69" spans="1:21" ht="34.5" customHeight="1">
      <c r="A69" s="24">
        <f t="shared" si="0"/>
        <v>55</v>
      </c>
      <c r="B69" s="488" t="s">
        <v>294</v>
      </c>
      <c r="C69" s="351"/>
      <c r="D69" s="489" t="s">
        <v>294</v>
      </c>
      <c r="E69" s="351"/>
      <c r="F69" s="485" t="s">
        <v>325</v>
      </c>
      <c r="G69" s="351"/>
      <c r="H69" s="487"/>
      <c r="I69" s="350"/>
      <c r="J69" s="351"/>
      <c r="K69" s="485" t="s">
        <v>325</v>
      </c>
      <c r="L69" s="350"/>
      <c r="M69" s="351"/>
      <c r="N69" s="490" t="s">
        <v>294</v>
      </c>
      <c r="O69" s="350"/>
      <c r="P69" s="350"/>
      <c r="Q69" s="350"/>
      <c r="R69" s="350"/>
      <c r="S69" s="350"/>
      <c r="T69" s="350"/>
      <c r="U69" s="351"/>
    </row>
    <row r="70" spans="1:21" ht="34.5" customHeight="1">
      <c r="A70" s="24">
        <f t="shared" si="0"/>
        <v>56</v>
      </c>
      <c r="B70" s="483" t="s">
        <v>294</v>
      </c>
      <c r="C70" s="351"/>
      <c r="D70" s="484" t="s">
        <v>294</v>
      </c>
      <c r="E70" s="351"/>
      <c r="F70" s="485" t="s">
        <v>325</v>
      </c>
      <c r="G70" s="351"/>
      <c r="H70" s="486"/>
      <c r="I70" s="350"/>
      <c r="J70" s="351"/>
      <c r="K70" s="485" t="s">
        <v>325</v>
      </c>
      <c r="L70" s="350"/>
      <c r="M70" s="351"/>
      <c r="N70" s="491" t="s">
        <v>294</v>
      </c>
      <c r="O70" s="350"/>
      <c r="P70" s="350"/>
      <c r="Q70" s="350"/>
      <c r="R70" s="350"/>
      <c r="S70" s="350"/>
      <c r="T70" s="350"/>
      <c r="U70" s="351"/>
    </row>
    <row r="71" spans="1:21" ht="34.5" customHeight="1">
      <c r="A71" s="24">
        <f t="shared" si="0"/>
        <v>57</v>
      </c>
      <c r="B71" s="488" t="s">
        <v>294</v>
      </c>
      <c r="C71" s="351"/>
      <c r="D71" s="489" t="s">
        <v>294</v>
      </c>
      <c r="E71" s="351"/>
      <c r="F71" s="485" t="s">
        <v>325</v>
      </c>
      <c r="G71" s="351"/>
      <c r="H71" s="487"/>
      <c r="I71" s="350"/>
      <c r="J71" s="351"/>
      <c r="K71" s="485" t="s">
        <v>325</v>
      </c>
      <c r="L71" s="350"/>
      <c r="M71" s="351"/>
      <c r="N71" s="490" t="s">
        <v>294</v>
      </c>
      <c r="O71" s="350"/>
      <c r="P71" s="350"/>
      <c r="Q71" s="350"/>
      <c r="R71" s="350"/>
      <c r="S71" s="350"/>
      <c r="T71" s="350"/>
      <c r="U71" s="351"/>
    </row>
    <row r="72" spans="1:21" ht="34.5" customHeight="1">
      <c r="A72" s="24">
        <f t="shared" si="0"/>
        <v>58</v>
      </c>
      <c r="B72" s="483" t="s">
        <v>294</v>
      </c>
      <c r="C72" s="351"/>
      <c r="D72" s="484" t="s">
        <v>294</v>
      </c>
      <c r="E72" s="351"/>
      <c r="F72" s="485" t="s">
        <v>325</v>
      </c>
      <c r="G72" s="351"/>
      <c r="H72" s="486"/>
      <c r="I72" s="350"/>
      <c r="J72" s="351"/>
      <c r="K72" s="485" t="s">
        <v>325</v>
      </c>
      <c r="L72" s="350"/>
      <c r="M72" s="351"/>
      <c r="N72" s="491" t="s">
        <v>294</v>
      </c>
      <c r="O72" s="350"/>
      <c r="P72" s="350"/>
      <c r="Q72" s="350"/>
      <c r="R72" s="350"/>
      <c r="S72" s="350"/>
      <c r="T72" s="350"/>
      <c r="U72" s="351"/>
    </row>
    <row r="73" spans="1:21" ht="34.5" customHeight="1">
      <c r="A73" s="24">
        <f t="shared" si="0"/>
        <v>59</v>
      </c>
      <c r="B73" s="488" t="s">
        <v>294</v>
      </c>
      <c r="C73" s="351"/>
      <c r="D73" s="489" t="s">
        <v>294</v>
      </c>
      <c r="E73" s="351"/>
      <c r="F73" s="485" t="s">
        <v>325</v>
      </c>
      <c r="G73" s="351"/>
      <c r="H73" s="487"/>
      <c r="I73" s="350"/>
      <c r="J73" s="351"/>
      <c r="K73" s="485" t="s">
        <v>325</v>
      </c>
      <c r="L73" s="350"/>
      <c r="M73" s="351"/>
      <c r="N73" s="490" t="s">
        <v>294</v>
      </c>
      <c r="O73" s="350"/>
      <c r="P73" s="350"/>
      <c r="Q73" s="350"/>
      <c r="R73" s="350"/>
      <c r="S73" s="350"/>
      <c r="T73" s="350"/>
      <c r="U73" s="351"/>
    </row>
    <row r="74" spans="1:21" ht="34.5" customHeight="1">
      <c r="A74" s="24">
        <f t="shared" si="0"/>
        <v>60</v>
      </c>
      <c r="B74" s="483" t="s">
        <v>294</v>
      </c>
      <c r="C74" s="351"/>
      <c r="D74" s="484" t="s">
        <v>294</v>
      </c>
      <c r="E74" s="351"/>
      <c r="F74" s="485" t="s">
        <v>325</v>
      </c>
      <c r="G74" s="351"/>
      <c r="H74" s="486"/>
      <c r="I74" s="350"/>
      <c r="J74" s="351"/>
      <c r="K74" s="485" t="s">
        <v>325</v>
      </c>
      <c r="L74" s="350"/>
      <c r="M74" s="351"/>
      <c r="N74" s="491" t="s">
        <v>294</v>
      </c>
      <c r="O74" s="350"/>
      <c r="P74" s="350"/>
      <c r="Q74" s="350"/>
      <c r="R74" s="350"/>
      <c r="S74" s="350"/>
      <c r="T74" s="350"/>
      <c r="U74" s="351"/>
    </row>
    <row r="75" spans="1:21" ht="34.5" customHeight="1">
      <c r="A75" s="24">
        <f t="shared" si="0"/>
        <v>61</v>
      </c>
      <c r="B75" s="488" t="s">
        <v>326</v>
      </c>
      <c r="C75" s="351"/>
      <c r="D75" s="489" t="s">
        <v>294</v>
      </c>
      <c r="E75" s="351"/>
      <c r="F75" s="485" t="s">
        <v>325</v>
      </c>
      <c r="G75" s="351"/>
      <c r="H75" s="487"/>
      <c r="I75" s="350"/>
      <c r="J75" s="351"/>
      <c r="K75" s="485" t="s">
        <v>325</v>
      </c>
      <c r="L75" s="350"/>
      <c r="M75" s="351"/>
      <c r="N75" s="490" t="s">
        <v>294</v>
      </c>
      <c r="O75" s="350"/>
      <c r="P75" s="350"/>
      <c r="Q75" s="350"/>
      <c r="R75" s="350"/>
      <c r="S75" s="350"/>
      <c r="T75" s="350"/>
      <c r="U75" s="351"/>
    </row>
    <row r="76" spans="1:21" ht="34.5" customHeight="1">
      <c r="A76" s="24">
        <f t="shared" si="0"/>
        <v>62</v>
      </c>
      <c r="B76" s="483" t="s">
        <v>294</v>
      </c>
      <c r="C76" s="351"/>
      <c r="D76" s="484" t="s">
        <v>294</v>
      </c>
      <c r="E76" s="351"/>
      <c r="F76" s="485" t="s">
        <v>325</v>
      </c>
      <c r="G76" s="351"/>
      <c r="H76" s="486"/>
      <c r="I76" s="350"/>
      <c r="J76" s="351"/>
      <c r="K76" s="485" t="s">
        <v>325</v>
      </c>
      <c r="L76" s="350"/>
      <c r="M76" s="351"/>
      <c r="N76" s="491" t="s">
        <v>294</v>
      </c>
      <c r="O76" s="350"/>
      <c r="P76" s="350"/>
      <c r="Q76" s="350"/>
      <c r="R76" s="350"/>
      <c r="S76" s="350"/>
      <c r="T76" s="350"/>
      <c r="U76" s="351"/>
    </row>
    <row r="77" spans="1:21" ht="34.5" customHeight="1">
      <c r="A77" s="24">
        <f t="shared" si="0"/>
        <v>63</v>
      </c>
      <c r="B77" s="488" t="s">
        <v>294</v>
      </c>
      <c r="C77" s="351"/>
      <c r="D77" s="489" t="s">
        <v>294</v>
      </c>
      <c r="E77" s="351"/>
      <c r="F77" s="485" t="s">
        <v>325</v>
      </c>
      <c r="G77" s="351"/>
      <c r="H77" s="487"/>
      <c r="I77" s="350"/>
      <c r="J77" s="351"/>
      <c r="K77" s="485" t="s">
        <v>325</v>
      </c>
      <c r="L77" s="350"/>
      <c r="M77" s="351"/>
      <c r="N77" s="490" t="s">
        <v>294</v>
      </c>
      <c r="O77" s="350"/>
      <c r="P77" s="350"/>
      <c r="Q77" s="350"/>
      <c r="R77" s="350"/>
      <c r="S77" s="350"/>
      <c r="T77" s="350"/>
      <c r="U77" s="351"/>
    </row>
    <row r="78" spans="1:21" ht="34.5" customHeight="1">
      <c r="A78" s="24">
        <f t="shared" si="0"/>
        <v>64</v>
      </c>
      <c r="B78" s="483" t="s">
        <v>294</v>
      </c>
      <c r="C78" s="351"/>
      <c r="D78" s="484" t="s">
        <v>294</v>
      </c>
      <c r="E78" s="351"/>
      <c r="F78" s="485" t="s">
        <v>325</v>
      </c>
      <c r="G78" s="351"/>
      <c r="H78" s="486"/>
      <c r="I78" s="350"/>
      <c r="J78" s="351"/>
      <c r="K78" s="485" t="s">
        <v>325</v>
      </c>
      <c r="L78" s="350"/>
      <c r="M78" s="351"/>
      <c r="N78" s="491" t="s">
        <v>294</v>
      </c>
      <c r="O78" s="350"/>
      <c r="P78" s="350"/>
      <c r="Q78" s="350"/>
      <c r="R78" s="350"/>
      <c r="S78" s="350"/>
      <c r="T78" s="350"/>
      <c r="U78" s="351"/>
    </row>
    <row r="79" spans="1:21" ht="34.5" customHeight="1">
      <c r="A79" s="24">
        <f t="shared" si="0"/>
        <v>65</v>
      </c>
      <c r="B79" s="488" t="s">
        <v>294</v>
      </c>
      <c r="C79" s="351"/>
      <c r="D79" s="489" t="s">
        <v>294</v>
      </c>
      <c r="E79" s="351"/>
      <c r="F79" s="485" t="s">
        <v>325</v>
      </c>
      <c r="G79" s="351"/>
      <c r="H79" s="487"/>
      <c r="I79" s="350"/>
      <c r="J79" s="351"/>
      <c r="K79" s="485" t="s">
        <v>325</v>
      </c>
      <c r="L79" s="350"/>
      <c r="M79" s="351"/>
      <c r="N79" s="490" t="s">
        <v>294</v>
      </c>
      <c r="O79" s="350"/>
      <c r="P79" s="350"/>
      <c r="Q79" s="350"/>
      <c r="R79" s="350"/>
      <c r="S79" s="350"/>
      <c r="T79" s="350"/>
      <c r="U79" s="351"/>
    </row>
    <row r="80" spans="1:21" ht="34.5" customHeight="1">
      <c r="A80" s="24">
        <f t="shared" si="0"/>
        <v>66</v>
      </c>
      <c r="B80" s="483" t="s">
        <v>294</v>
      </c>
      <c r="C80" s="351"/>
      <c r="D80" s="484" t="s">
        <v>294</v>
      </c>
      <c r="E80" s="351"/>
      <c r="F80" s="485" t="s">
        <v>325</v>
      </c>
      <c r="G80" s="351"/>
      <c r="H80" s="486"/>
      <c r="I80" s="350"/>
      <c r="J80" s="351"/>
      <c r="K80" s="485" t="s">
        <v>325</v>
      </c>
      <c r="L80" s="350"/>
      <c r="M80" s="351"/>
      <c r="N80" s="491" t="s">
        <v>294</v>
      </c>
      <c r="O80" s="350"/>
      <c r="P80" s="350"/>
      <c r="Q80" s="350"/>
      <c r="R80" s="350"/>
      <c r="S80" s="350"/>
      <c r="T80" s="350"/>
      <c r="U80" s="351"/>
    </row>
    <row r="81" spans="1:21" ht="34.5" customHeight="1">
      <c r="A81" s="24">
        <f t="shared" si="0"/>
        <v>67</v>
      </c>
      <c r="B81" s="488" t="s">
        <v>327</v>
      </c>
      <c r="C81" s="351"/>
      <c r="D81" s="489" t="s">
        <v>294</v>
      </c>
      <c r="E81" s="351"/>
      <c r="F81" s="485" t="s">
        <v>325</v>
      </c>
      <c r="G81" s="351"/>
      <c r="H81" s="487"/>
      <c r="I81" s="350"/>
      <c r="J81" s="351"/>
      <c r="K81" s="485" t="s">
        <v>325</v>
      </c>
      <c r="L81" s="350"/>
      <c r="M81" s="351"/>
      <c r="N81" s="490" t="s">
        <v>294</v>
      </c>
      <c r="O81" s="350"/>
      <c r="P81" s="350"/>
      <c r="Q81" s="350"/>
      <c r="R81" s="350"/>
      <c r="S81" s="350"/>
      <c r="T81" s="350"/>
      <c r="U81" s="351"/>
    </row>
    <row r="82" spans="1:21" ht="34.5" customHeight="1">
      <c r="A82" s="24">
        <f t="shared" si="0"/>
        <v>68</v>
      </c>
      <c r="B82" s="483" t="s">
        <v>294</v>
      </c>
      <c r="C82" s="351"/>
      <c r="D82" s="484" t="s">
        <v>294</v>
      </c>
      <c r="E82" s="351"/>
      <c r="F82" s="485" t="s">
        <v>325</v>
      </c>
      <c r="G82" s="351"/>
      <c r="H82" s="486"/>
      <c r="I82" s="350"/>
      <c r="J82" s="351"/>
      <c r="K82" s="485" t="s">
        <v>325</v>
      </c>
      <c r="L82" s="350"/>
      <c r="M82" s="351"/>
      <c r="N82" s="491" t="s">
        <v>294</v>
      </c>
      <c r="O82" s="350"/>
      <c r="P82" s="350"/>
      <c r="Q82" s="350"/>
      <c r="R82" s="350"/>
      <c r="S82" s="350"/>
      <c r="T82" s="350"/>
      <c r="U82" s="351"/>
    </row>
    <row r="83" spans="1:21" ht="34.5" customHeight="1">
      <c r="A83" s="24">
        <f t="shared" si="0"/>
        <v>69</v>
      </c>
      <c r="B83" s="488" t="s">
        <v>294</v>
      </c>
      <c r="C83" s="351"/>
      <c r="D83" s="489" t="s">
        <v>294</v>
      </c>
      <c r="E83" s="351"/>
      <c r="F83" s="485" t="s">
        <v>325</v>
      </c>
      <c r="G83" s="351"/>
      <c r="H83" s="487"/>
      <c r="I83" s="350"/>
      <c r="J83" s="351"/>
      <c r="K83" s="485" t="s">
        <v>325</v>
      </c>
      <c r="L83" s="350"/>
      <c r="M83" s="351"/>
      <c r="N83" s="490" t="s">
        <v>294</v>
      </c>
      <c r="O83" s="350"/>
      <c r="P83" s="350"/>
      <c r="Q83" s="350"/>
      <c r="R83" s="350"/>
      <c r="S83" s="350"/>
      <c r="T83" s="350"/>
      <c r="U83" s="351"/>
    </row>
    <row r="84" spans="1:21" ht="34.5" customHeight="1">
      <c r="A84" s="24">
        <f t="shared" si="0"/>
        <v>70</v>
      </c>
      <c r="B84" s="483" t="s">
        <v>294</v>
      </c>
      <c r="C84" s="351"/>
      <c r="D84" s="484" t="s">
        <v>294</v>
      </c>
      <c r="E84" s="351"/>
      <c r="F84" s="485" t="s">
        <v>325</v>
      </c>
      <c r="G84" s="351"/>
      <c r="H84" s="486"/>
      <c r="I84" s="350"/>
      <c r="J84" s="351"/>
      <c r="K84" s="485" t="s">
        <v>325</v>
      </c>
      <c r="L84" s="350"/>
      <c r="M84" s="351"/>
      <c r="N84" s="491" t="s">
        <v>294</v>
      </c>
      <c r="O84" s="350"/>
      <c r="P84" s="350"/>
      <c r="Q84" s="350"/>
      <c r="R84" s="350"/>
      <c r="S84" s="350"/>
      <c r="T84" s="350"/>
      <c r="U84" s="351"/>
    </row>
    <row r="85" spans="1:21" ht="34.5" customHeight="1">
      <c r="A85" s="24">
        <f t="shared" si="0"/>
        <v>71</v>
      </c>
      <c r="B85" s="488" t="s">
        <v>294</v>
      </c>
      <c r="C85" s="351"/>
      <c r="D85" s="489" t="s">
        <v>294</v>
      </c>
      <c r="E85" s="351"/>
      <c r="F85" s="485" t="s">
        <v>325</v>
      </c>
      <c r="G85" s="351"/>
      <c r="H85" s="487"/>
      <c r="I85" s="350"/>
      <c r="J85" s="351"/>
      <c r="K85" s="485" t="s">
        <v>325</v>
      </c>
      <c r="L85" s="350"/>
      <c r="M85" s="351"/>
      <c r="N85" s="490" t="s">
        <v>294</v>
      </c>
      <c r="O85" s="350"/>
      <c r="P85" s="350"/>
      <c r="Q85" s="350"/>
      <c r="R85" s="350"/>
      <c r="S85" s="350"/>
      <c r="T85" s="350"/>
      <c r="U85" s="351"/>
    </row>
    <row r="86" spans="1:21" ht="34.5" customHeight="1">
      <c r="A86" s="24">
        <f t="shared" si="0"/>
        <v>72</v>
      </c>
      <c r="B86" s="483" t="s">
        <v>294</v>
      </c>
      <c r="C86" s="351"/>
      <c r="D86" s="484" t="s">
        <v>294</v>
      </c>
      <c r="E86" s="351"/>
      <c r="F86" s="485" t="s">
        <v>325</v>
      </c>
      <c r="G86" s="351"/>
      <c r="H86" s="486"/>
      <c r="I86" s="350"/>
      <c r="J86" s="351"/>
      <c r="K86" s="485" t="s">
        <v>325</v>
      </c>
      <c r="L86" s="350"/>
      <c r="M86" s="351"/>
      <c r="N86" s="491" t="s">
        <v>294</v>
      </c>
      <c r="O86" s="350"/>
      <c r="P86" s="350"/>
      <c r="Q86" s="350"/>
      <c r="R86" s="350"/>
      <c r="S86" s="350"/>
      <c r="T86" s="350"/>
      <c r="U86" s="351"/>
    </row>
    <row r="87" spans="1:21" ht="34.5" customHeight="1">
      <c r="A87" s="24">
        <f t="shared" si="0"/>
        <v>73</v>
      </c>
      <c r="B87" s="488" t="s">
        <v>294</v>
      </c>
      <c r="C87" s="351"/>
      <c r="D87" s="489" t="s">
        <v>294</v>
      </c>
      <c r="E87" s="351"/>
      <c r="F87" s="485" t="s">
        <v>325</v>
      </c>
      <c r="G87" s="351"/>
      <c r="H87" s="487"/>
      <c r="I87" s="350"/>
      <c r="J87" s="351"/>
      <c r="K87" s="485" t="s">
        <v>325</v>
      </c>
      <c r="L87" s="350"/>
      <c r="M87" s="351"/>
      <c r="N87" s="490" t="s">
        <v>294</v>
      </c>
      <c r="O87" s="350"/>
      <c r="P87" s="350"/>
      <c r="Q87" s="350"/>
      <c r="R87" s="350"/>
      <c r="S87" s="350"/>
      <c r="T87" s="350"/>
      <c r="U87" s="351"/>
    </row>
    <row r="88" spans="1:21" ht="34.5" customHeight="1">
      <c r="A88" s="24">
        <f t="shared" si="0"/>
        <v>74</v>
      </c>
      <c r="B88" s="483" t="s">
        <v>294</v>
      </c>
      <c r="C88" s="351"/>
      <c r="D88" s="484" t="s">
        <v>294</v>
      </c>
      <c r="E88" s="351"/>
      <c r="F88" s="485" t="s">
        <v>325</v>
      </c>
      <c r="G88" s="351"/>
      <c r="H88" s="486"/>
      <c r="I88" s="350"/>
      <c r="J88" s="351"/>
      <c r="K88" s="485" t="s">
        <v>325</v>
      </c>
      <c r="L88" s="350"/>
      <c r="M88" s="351"/>
      <c r="N88" s="491" t="s">
        <v>294</v>
      </c>
      <c r="O88" s="350"/>
      <c r="P88" s="350"/>
      <c r="Q88" s="350"/>
      <c r="R88" s="350"/>
      <c r="S88" s="350"/>
      <c r="T88" s="350"/>
      <c r="U88" s="351"/>
    </row>
    <row r="89" spans="1:21" ht="34.5" customHeight="1">
      <c r="A89" s="24">
        <f t="shared" si="0"/>
        <v>75</v>
      </c>
      <c r="B89" s="488" t="s">
        <v>294</v>
      </c>
      <c r="C89" s="351"/>
      <c r="D89" s="489" t="s">
        <v>294</v>
      </c>
      <c r="E89" s="351"/>
      <c r="F89" s="485" t="s">
        <v>325</v>
      </c>
      <c r="G89" s="351"/>
      <c r="H89" s="487"/>
      <c r="I89" s="350"/>
      <c r="J89" s="351"/>
      <c r="K89" s="485" t="s">
        <v>325</v>
      </c>
      <c r="L89" s="350"/>
      <c r="M89" s="351"/>
      <c r="N89" s="490" t="s">
        <v>294</v>
      </c>
      <c r="O89" s="350"/>
      <c r="P89" s="350"/>
      <c r="Q89" s="350"/>
      <c r="R89" s="350"/>
      <c r="S89" s="350"/>
      <c r="T89" s="350"/>
      <c r="U89" s="351"/>
    </row>
    <row r="90" spans="1:21" ht="34.5" customHeight="1">
      <c r="A90" s="24">
        <f t="shared" si="0"/>
        <v>76</v>
      </c>
      <c r="B90" s="483" t="s">
        <v>294</v>
      </c>
      <c r="C90" s="351"/>
      <c r="D90" s="484" t="s">
        <v>294</v>
      </c>
      <c r="E90" s="351"/>
      <c r="F90" s="485" t="s">
        <v>325</v>
      </c>
      <c r="G90" s="351"/>
      <c r="H90" s="486"/>
      <c r="I90" s="350"/>
      <c r="J90" s="351"/>
      <c r="K90" s="485" t="s">
        <v>325</v>
      </c>
      <c r="L90" s="350"/>
      <c r="M90" s="351"/>
      <c r="N90" s="491" t="s">
        <v>294</v>
      </c>
      <c r="O90" s="350"/>
      <c r="P90" s="350"/>
      <c r="Q90" s="350"/>
      <c r="R90" s="350"/>
      <c r="S90" s="350"/>
      <c r="T90" s="350"/>
      <c r="U90" s="351"/>
    </row>
    <row r="91" spans="1:21" ht="34.5" customHeight="1">
      <c r="A91" s="24">
        <f t="shared" si="0"/>
        <v>77</v>
      </c>
      <c r="B91" s="488" t="s">
        <v>294</v>
      </c>
      <c r="C91" s="351"/>
      <c r="D91" s="489" t="s">
        <v>294</v>
      </c>
      <c r="E91" s="351"/>
      <c r="F91" s="485" t="s">
        <v>325</v>
      </c>
      <c r="G91" s="351"/>
      <c r="H91" s="487"/>
      <c r="I91" s="350"/>
      <c r="J91" s="351"/>
      <c r="K91" s="485" t="s">
        <v>325</v>
      </c>
      <c r="L91" s="350"/>
      <c r="M91" s="351"/>
      <c r="N91" s="490" t="s">
        <v>294</v>
      </c>
      <c r="O91" s="350"/>
      <c r="P91" s="350"/>
      <c r="Q91" s="350"/>
      <c r="R91" s="350"/>
      <c r="S91" s="350"/>
      <c r="T91" s="350"/>
      <c r="U91" s="351"/>
    </row>
    <row r="92" spans="1:21" ht="34.5" customHeight="1">
      <c r="A92" s="24">
        <f t="shared" si="0"/>
        <v>78</v>
      </c>
      <c r="B92" s="483" t="s">
        <v>294</v>
      </c>
      <c r="C92" s="351"/>
      <c r="D92" s="484" t="s">
        <v>294</v>
      </c>
      <c r="E92" s="351"/>
      <c r="F92" s="485" t="s">
        <v>325</v>
      </c>
      <c r="G92" s="351"/>
      <c r="H92" s="486"/>
      <c r="I92" s="350"/>
      <c r="J92" s="351"/>
      <c r="K92" s="485" t="s">
        <v>325</v>
      </c>
      <c r="L92" s="350"/>
      <c r="M92" s="351"/>
      <c r="N92" s="491" t="s">
        <v>294</v>
      </c>
      <c r="O92" s="350"/>
      <c r="P92" s="350"/>
      <c r="Q92" s="350"/>
      <c r="R92" s="350"/>
      <c r="S92" s="350"/>
      <c r="T92" s="350"/>
      <c r="U92" s="351"/>
    </row>
    <row r="93" spans="1:21" ht="34.5" customHeight="1">
      <c r="A93" s="24">
        <f t="shared" si="0"/>
        <v>79</v>
      </c>
      <c r="B93" s="488" t="s">
        <v>294</v>
      </c>
      <c r="C93" s="351"/>
      <c r="D93" s="489" t="s">
        <v>294</v>
      </c>
      <c r="E93" s="351"/>
      <c r="F93" s="485" t="s">
        <v>325</v>
      </c>
      <c r="G93" s="351"/>
      <c r="H93" s="487"/>
      <c r="I93" s="350"/>
      <c r="J93" s="351"/>
      <c r="K93" s="485" t="s">
        <v>325</v>
      </c>
      <c r="L93" s="350"/>
      <c r="M93" s="351"/>
      <c r="N93" s="490" t="s">
        <v>294</v>
      </c>
      <c r="O93" s="350"/>
      <c r="P93" s="350"/>
      <c r="Q93" s="350"/>
      <c r="R93" s="350"/>
      <c r="S93" s="350"/>
      <c r="T93" s="350"/>
      <c r="U93" s="351"/>
    </row>
    <row r="94" spans="1:21" ht="34.5" customHeight="1">
      <c r="A94" s="24">
        <f t="shared" si="0"/>
        <v>80</v>
      </c>
      <c r="B94" s="483" t="s">
        <v>328</v>
      </c>
      <c r="C94" s="351"/>
      <c r="D94" s="484" t="s">
        <v>294</v>
      </c>
      <c r="E94" s="351"/>
      <c r="F94" s="485" t="s">
        <v>325</v>
      </c>
      <c r="G94" s="351"/>
      <c r="H94" s="486"/>
      <c r="I94" s="350"/>
      <c r="J94" s="351"/>
      <c r="K94" s="485" t="s">
        <v>325</v>
      </c>
      <c r="L94" s="350"/>
      <c r="M94" s="351"/>
      <c r="N94" s="491" t="s">
        <v>294</v>
      </c>
      <c r="O94" s="350"/>
      <c r="P94" s="350"/>
      <c r="Q94" s="350"/>
      <c r="R94" s="350"/>
      <c r="S94" s="350"/>
      <c r="T94" s="350"/>
      <c r="U94" s="351"/>
    </row>
    <row r="95" spans="1:21" ht="34.5" customHeight="1">
      <c r="A95" s="24">
        <f t="shared" si="0"/>
        <v>81</v>
      </c>
      <c r="B95" s="488" t="s">
        <v>294</v>
      </c>
      <c r="C95" s="351"/>
      <c r="D95" s="489" t="s">
        <v>294</v>
      </c>
      <c r="E95" s="351"/>
      <c r="F95" s="485" t="s">
        <v>325</v>
      </c>
      <c r="G95" s="351"/>
      <c r="H95" s="487"/>
      <c r="I95" s="350"/>
      <c r="J95" s="351"/>
      <c r="K95" s="485" t="s">
        <v>325</v>
      </c>
      <c r="L95" s="350"/>
      <c r="M95" s="351"/>
      <c r="N95" s="490" t="s">
        <v>294</v>
      </c>
      <c r="O95" s="350"/>
      <c r="P95" s="350"/>
      <c r="Q95" s="350"/>
      <c r="R95" s="350"/>
      <c r="S95" s="350"/>
      <c r="T95" s="350"/>
      <c r="U95" s="351"/>
    </row>
    <row r="96" spans="1:21" ht="34.5" customHeight="1">
      <c r="A96" s="24">
        <f t="shared" si="0"/>
        <v>82</v>
      </c>
      <c r="B96" s="483" t="s">
        <v>294</v>
      </c>
      <c r="C96" s="351"/>
      <c r="D96" s="484" t="s">
        <v>294</v>
      </c>
      <c r="E96" s="351"/>
      <c r="F96" s="485" t="s">
        <v>325</v>
      </c>
      <c r="G96" s="351"/>
      <c r="H96" s="486"/>
      <c r="I96" s="350"/>
      <c r="J96" s="351"/>
      <c r="K96" s="485" t="s">
        <v>325</v>
      </c>
      <c r="L96" s="350"/>
      <c r="M96" s="351"/>
      <c r="N96" s="491" t="s">
        <v>294</v>
      </c>
      <c r="O96" s="350"/>
      <c r="P96" s="350"/>
      <c r="Q96" s="350"/>
      <c r="R96" s="350"/>
      <c r="S96" s="350"/>
      <c r="T96" s="350"/>
      <c r="U96" s="351"/>
    </row>
    <row r="97" spans="1:21" ht="34.5" customHeight="1">
      <c r="A97" s="24">
        <f t="shared" si="0"/>
        <v>83</v>
      </c>
      <c r="B97" s="488" t="s">
        <v>294</v>
      </c>
      <c r="C97" s="351"/>
      <c r="D97" s="489" t="s">
        <v>294</v>
      </c>
      <c r="E97" s="351"/>
      <c r="F97" s="485" t="s">
        <v>325</v>
      </c>
      <c r="G97" s="351"/>
      <c r="H97" s="487"/>
      <c r="I97" s="350"/>
      <c r="J97" s="351"/>
      <c r="K97" s="485" t="s">
        <v>325</v>
      </c>
      <c r="L97" s="350"/>
      <c r="M97" s="351"/>
      <c r="N97" s="490" t="s">
        <v>294</v>
      </c>
      <c r="O97" s="350"/>
      <c r="P97" s="350"/>
      <c r="Q97" s="350"/>
      <c r="R97" s="350"/>
      <c r="S97" s="350"/>
      <c r="T97" s="350"/>
      <c r="U97" s="351"/>
    </row>
    <row r="98" spans="1:21" ht="34.5" customHeight="1">
      <c r="A98" s="24">
        <f t="shared" si="0"/>
        <v>84</v>
      </c>
      <c r="B98" s="483" t="s">
        <v>294</v>
      </c>
      <c r="C98" s="351"/>
      <c r="D98" s="484" t="s">
        <v>294</v>
      </c>
      <c r="E98" s="351"/>
      <c r="F98" s="485" t="s">
        <v>325</v>
      </c>
      <c r="G98" s="351"/>
      <c r="H98" s="486"/>
      <c r="I98" s="350"/>
      <c r="J98" s="351"/>
      <c r="K98" s="485" t="s">
        <v>325</v>
      </c>
      <c r="L98" s="350"/>
      <c r="M98" s="351"/>
      <c r="N98" s="491" t="s">
        <v>294</v>
      </c>
      <c r="O98" s="350"/>
      <c r="P98" s="350"/>
      <c r="Q98" s="350"/>
      <c r="R98" s="350"/>
      <c r="S98" s="350"/>
      <c r="T98" s="350"/>
      <c r="U98" s="351"/>
    </row>
    <row r="99" spans="1:21" ht="34.5" customHeight="1">
      <c r="A99" s="24">
        <f t="shared" si="0"/>
        <v>85</v>
      </c>
      <c r="B99" s="488" t="s">
        <v>294</v>
      </c>
      <c r="C99" s="351"/>
      <c r="D99" s="489" t="s">
        <v>294</v>
      </c>
      <c r="E99" s="351"/>
      <c r="F99" s="485" t="s">
        <v>325</v>
      </c>
      <c r="G99" s="351"/>
      <c r="H99" s="487"/>
      <c r="I99" s="350"/>
      <c r="J99" s="351"/>
      <c r="K99" s="485" t="s">
        <v>325</v>
      </c>
      <c r="L99" s="350"/>
      <c r="M99" s="351"/>
      <c r="N99" s="490" t="s">
        <v>294</v>
      </c>
      <c r="O99" s="350"/>
      <c r="P99" s="350"/>
      <c r="Q99" s="350"/>
      <c r="R99" s="350"/>
      <c r="S99" s="350"/>
      <c r="T99" s="350"/>
      <c r="U99" s="351"/>
    </row>
    <row r="100" spans="1:21" ht="34.5" customHeight="1">
      <c r="A100" s="24">
        <f t="shared" si="0"/>
        <v>86</v>
      </c>
      <c r="B100" s="483" t="s">
        <v>294</v>
      </c>
      <c r="C100" s="351"/>
      <c r="D100" s="484" t="s">
        <v>294</v>
      </c>
      <c r="E100" s="351"/>
      <c r="F100" s="485" t="s">
        <v>325</v>
      </c>
      <c r="G100" s="351"/>
      <c r="H100" s="486"/>
      <c r="I100" s="350"/>
      <c r="J100" s="351"/>
      <c r="K100" s="485" t="s">
        <v>325</v>
      </c>
      <c r="L100" s="350"/>
      <c r="M100" s="351"/>
      <c r="N100" s="491" t="s">
        <v>294</v>
      </c>
      <c r="O100" s="350"/>
      <c r="P100" s="350"/>
      <c r="Q100" s="350"/>
      <c r="R100" s="350"/>
      <c r="S100" s="350"/>
      <c r="T100" s="350"/>
      <c r="U100" s="351"/>
    </row>
    <row r="101" spans="1:21" ht="34.5" customHeight="1">
      <c r="A101" s="24">
        <f t="shared" si="0"/>
        <v>87</v>
      </c>
      <c r="B101" s="488" t="s">
        <v>294</v>
      </c>
      <c r="C101" s="351"/>
      <c r="D101" s="489" t="s">
        <v>294</v>
      </c>
      <c r="E101" s="351"/>
      <c r="F101" s="485" t="s">
        <v>325</v>
      </c>
      <c r="G101" s="351"/>
      <c r="H101" s="487"/>
      <c r="I101" s="350"/>
      <c r="J101" s="351"/>
      <c r="K101" s="485" t="s">
        <v>325</v>
      </c>
      <c r="L101" s="350"/>
      <c r="M101" s="351"/>
      <c r="N101" s="490" t="s">
        <v>294</v>
      </c>
      <c r="O101" s="350"/>
      <c r="P101" s="350"/>
      <c r="Q101" s="350"/>
      <c r="R101" s="350"/>
      <c r="S101" s="350"/>
      <c r="T101" s="350"/>
      <c r="U101" s="351"/>
    </row>
    <row r="102" spans="1:21" ht="34.5" customHeight="1">
      <c r="A102" s="24">
        <f t="shared" si="0"/>
        <v>88</v>
      </c>
      <c r="B102" s="483" t="s">
        <v>294</v>
      </c>
      <c r="C102" s="351"/>
      <c r="D102" s="484" t="s">
        <v>294</v>
      </c>
      <c r="E102" s="351"/>
      <c r="F102" s="485" t="s">
        <v>325</v>
      </c>
      <c r="G102" s="351"/>
      <c r="H102" s="486"/>
      <c r="I102" s="350"/>
      <c r="J102" s="351"/>
      <c r="K102" s="485" t="s">
        <v>325</v>
      </c>
      <c r="L102" s="350"/>
      <c r="M102" s="351"/>
      <c r="N102" s="491" t="s">
        <v>294</v>
      </c>
      <c r="O102" s="350"/>
      <c r="P102" s="350"/>
      <c r="Q102" s="350"/>
      <c r="R102" s="350"/>
      <c r="S102" s="350"/>
      <c r="T102" s="350"/>
      <c r="U102" s="351"/>
    </row>
    <row r="103" spans="1:21" ht="34.5" customHeight="1">
      <c r="A103" s="24">
        <f t="shared" si="0"/>
        <v>89</v>
      </c>
      <c r="B103" s="488" t="s">
        <v>326</v>
      </c>
      <c r="C103" s="351"/>
      <c r="D103" s="489" t="s">
        <v>294</v>
      </c>
      <c r="E103" s="351"/>
      <c r="F103" s="485" t="s">
        <v>325</v>
      </c>
      <c r="G103" s="351"/>
      <c r="H103" s="487"/>
      <c r="I103" s="350"/>
      <c r="J103" s="351"/>
      <c r="K103" s="485" t="s">
        <v>325</v>
      </c>
      <c r="L103" s="350"/>
      <c r="M103" s="351"/>
      <c r="N103" s="490" t="s">
        <v>294</v>
      </c>
      <c r="O103" s="350"/>
      <c r="P103" s="350"/>
      <c r="Q103" s="350"/>
      <c r="R103" s="350"/>
      <c r="S103" s="350"/>
      <c r="T103" s="350"/>
      <c r="U103" s="351"/>
    </row>
    <row r="104" spans="1:21" ht="34.5" customHeight="1">
      <c r="A104" s="24">
        <f t="shared" si="0"/>
        <v>90</v>
      </c>
      <c r="B104" s="483" t="s">
        <v>294</v>
      </c>
      <c r="C104" s="351"/>
      <c r="D104" s="484" t="s">
        <v>294</v>
      </c>
      <c r="E104" s="351"/>
      <c r="F104" s="485" t="s">
        <v>325</v>
      </c>
      <c r="G104" s="351"/>
      <c r="H104" s="486"/>
      <c r="I104" s="350"/>
      <c r="J104" s="351"/>
      <c r="K104" s="485" t="s">
        <v>325</v>
      </c>
      <c r="L104" s="350"/>
      <c r="M104" s="351"/>
      <c r="N104" s="491" t="s">
        <v>294</v>
      </c>
      <c r="O104" s="350"/>
      <c r="P104" s="350"/>
      <c r="Q104" s="350"/>
      <c r="R104" s="350"/>
      <c r="S104" s="350"/>
      <c r="T104" s="350"/>
      <c r="U104" s="351"/>
    </row>
    <row r="105" spans="1:21" ht="34.5" customHeight="1">
      <c r="A105" s="24">
        <f t="shared" si="0"/>
        <v>91</v>
      </c>
      <c r="B105" s="488" t="s">
        <v>294</v>
      </c>
      <c r="C105" s="351"/>
      <c r="D105" s="489" t="s">
        <v>294</v>
      </c>
      <c r="E105" s="351"/>
      <c r="F105" s="485" t="s">
        <v>325</v>
      </c>
      <c r="G105" s="351"/>
      <c r="H105" s="487"/>
      <c r="I105" s="350"/>
      <c r="J105" s="351"/>
      <c r="K105" s="485" t="s">
        <v>325</v>
      </c>
      <c r="L105" s="350"/>
      <c r="M105" s="351"/>
      <c r="N105" s="490" t="s">
        <v>294</v>
      </c>
      <c r="O105" s="350"/>
      <c r="P105" s="350"/>
      <c r="Q105" s="350"/>
      <c r="R105" s="350"/>
      <c r="S105" s="350"/>
      <c r="T105" s="350"/>
      <c r="U105" s="351"/>
    </row>
    <row r="106" spans="1:21" ht="34.5" customHeight="1">
      <c r="A106" s="24">
        <f t="shared" si="0"/>
        <v>92</v>
      </c>
      <c r="B106" s="483" t="s">
        <v>294</v>
      </c>
      <c r="C106" s="351"/>
      <c r="D106" s="484" t="s">
        <v>294</v>
      </c>
      <c r="E106" s="351"/>
      <c r="F106" s="485" t="s">
        <v>325</v>
      </c>
      <c r="G106" s="351"/>
      <c r="H106" s="486"/>
      <c r="I106" s="350"/>
      <c r="J106" s="351"/>
      <c r="K106" s="485" t="s">
        <v>325</v>
      </c>
      <c r="L106" s="350"/>
      <c r="M106" s="351"/>
      <c r="N106" s="491" t="s">
        <v>294</v>
      </c>
      <c r="O106" s="350"/>
      <c r="P106" s="350"/>
      <c r="Q106" s="350"/>
      <c r="R106" s="350"/>
      <c r="S106" s="350"/>
      <c r="T106" s="350"/>
      <c r="U106" s="351"/>
    </row>
    <row r="107" spans="1:21" ht="34.5" customHeight="1">
      <c r="A107" s="24">
        <f t="shared" si="0"/>
        <v>93</v>
      </c>
      <c r="B107" s="488" t="s">
        <v>294</v>
      </c>
      <c r="C107" s="351"/>
      <c r="D107" s="489" t="s">
        <v>294</v>
      </c>
      <c r="E107" s="351"/>
      <c r="F107" s="485" t="s">
        <v>325</v>
      </c>
      <c r="G107" s="351"/>
      <c r="H107" s="487"/>
      <c r="I107" s="350"/>
      <c r="J107" s="351"/>
      <c r="K107" s="485" t="s">
        <v>325</v>
      </c>
      <c r="L107" s="350"/>
      <c r="M107" s="351"/>
      <c r="N107" s="490" t="s">
        <v>294</v>
      </c>
      <c r="O107" s="350"/>
      <c r="P107" s="350"/>
      <c r="Q107" s="350"/>
      <c r="R107" s="350"/>
      <c r="S107" s="350"/>
      <c r="T107" s="350"/>
      <c r="U107" s="351"/>
    </row>
    <row r="108" spans="1:21" ht="34.5" customHeight="1">
      <c r="A108" s="24">
        <f t="shared" si="0"/>
        <v>94</v>
      </c>
      <c r="B108" s="483" t="s">
        <v>294</v>
      </c>
      <c r="C108" s="351"/>
      <c r="D108" s="484" t="s">
        <v>294</v>
      </c>
      <c r="E108" s="351"/>
      <c r="F108" s="485" t="s">
        <v>325</v>
      </c>
      <c r="G108" s="351"/>
      <c r="H108" s="486"/>
      <c r="I108" s="350"/>
      <c r="J108" s="351"/>
      <c r="K108" s="485" t="s">
        <v>325</v>
      </c>
      <c r="L108" s="350"/>
      <c r="M108" s="351"/>
      <c r="N108" s="491" t="s">
        <v>294</v>
      </c>
      <c r="O108" s="350"/>
      <c r="P108" s="350"/>
      <c r="Q108" s="350"/>
      <c r="R108" s="350"/>
      <c r="S108" s="350"/>
      <c r="T108" s="350"/>
      <c r="U108" s="351"/>
    </row>
    <row r="109" spans="1:21" ht="34.5" customHeight="1">
      <c r="A109" s="24">
        <f t="shared" si="0"/>
        <v>95</v>
      </c>
      <c r="B109" s="488" t="s">
        <v>294</v>
      </c>
      <c r="C109" s="351"/>
      <c r="D109" s="489" t="s">
        <v>294</v>
      </c>
      <c r="E109" s="351"/>
      <c r="F109" s="485" t="s">
        <v>325</v>
      </c>
      <c r="G109" s="351"/>
      <c r="H109" s="487"/>
      <c r="I109" s="350"/>
      <c r="J109" s="351"/>
      <c r="K109" s="485" t="s">
        <v>325</v>
      </c>
      <c r="L109" s="350"/>
      <c r="M109" s="351"/>
      <c r="N109" s="490" t="s">
        <v>294</v>
      </c>
      <c r="O109" s="350"/>
      <c r="P109" s="350"/>
      <c r="Q109" s="350"/>
      <c r="R109" s="350"/>
      <c r="S109" s="350"/>
      <c r="T109" s="350"/>
      <c r="U109" s="351"/>
    </row>
    <row r="110" spans="1:21" ht="34.5" customHeight="1">
      <c r="A110" s="24">
        <f t="shared" si="0"/>
        <v>96</v>
      </c>
      <c r="B110" s="483" t="s">
        <v>294</v>
      </c>
      <c r="C110" s="351"/>
      <c r="D110" s="484" t="s">
        <v>294</v>
      </c>
      <c r="E110" s="351"/>
      <c r="F110" s="485" t="s">
        <v>325</v>
      </c>
      <c r="G110" s="351"/>
      <c r="H110" s="486"/>
      <c r="I110" s="350"/>
      <c r="J110" s="351"/>
      <c r="K110" s="485" t="s">
        <v>325</v>
      </c>
      <c r="L110" s="350"/>
      <c r="M110" s="351"/>
      <c r="N110" s="491" t="s">
        <v>294</v>
      </c>
      <c r="O110" s="350"/>
      <c r="P110" s="350"/>
      <c r="Q110" s="350"/>
      <c r="R110" s="350"/>
      <c r="S110" s="350"/>
      <c r="T110" s="350"/>
      <c r="U110" s="351"/>
    </row>
    <row r="111" spans="1:21" ht="34.5" customHeight="1">
      <c r="A111" s="24">
        <f t="shared" si="0"/>
        <v>97</v>
      </c>
      <c r="B111" s="488" t="s">
        <v>329</v>
      </c>
      <c r="C111" s="351"/>
      <c r="D111" s="489" t="s">
        <v>294</v>
      </c>
      <c r="E111" s="351"/>
      <c r="F111" s="485" t="s">
        <v>325</v>
      </c>
      <c r="G111" s="351"/>
      <c r="H111" s="487"/>
      <c r="I111" s="350"/>
      <c r="J111" s="351"/>
      <c r="K111" s="485" t="s">
        <v>325</v>
      </c>
      <c r="L111" s="350"/>
      <c r="M111" s="351"/>
      <c r="N111" s="490" t="s">
        <v>294</v>
      </c>
      <c r="O111" s="350"/>
      <c r="P111" s="350"/>
      <c r="Q111" s="350"/>
      <c r="R111" s="350"/>
      <c r="S111" s="350"/>
      <c r="T111" s="350"/>
      <c r="U111" s="351"/>
    </row>
    <row r="112" spans="1:21" ht="34.5" customHeight="1">
      <c r="A112" s="24">
        <f t="shared" si="0"/>
        <v>98</v>
      </c>
      <c r="B112" s="483" t="s">
        <v>294</v>
      </c>
      <c r="C112" s="351"/>
      <c r="D112" s="484" t="s">
        <v>294</v>
      </c>
      <c r="E112" s="351"/>
      <c r="F112" s="485" t="s">
        <v>325</v>
      </c>
      <c r="G112" s="351"/>
      <c r="H112" s="486"/>
      <c r="I112" s="350"/>
      <c r="J112" s="351"/>
      <c r="K112" s="485" t="s">
        <v>325</v>
      </c>
      <c r="L112" s="350"/>
      <c r="M112" s="351"/>
      <c r="N112" s="491" t="s">
        <v>294</v>
      </c>
      <c r="O112" s="350"/>
      <c r="P112" s="350"/>
      <c r="Q112" s="350"/>
      <c r="R112" s="350"/>
      <c r="S112" s="350"/>
      <c r="T112" s="350"/>
      <c r="U112" s="351"/>
    </row>
    <row r="113" spans="1:21" ht="34.5" customHeight="1">
      <c r="A113" s="24">
        <f t="shared" si="0"/>
        <v>99</v>
      </c>
      <c r="B113" s="488" t="s">
        <v>294</v>
      </c>
      <c r="C113" s="351"/>
      <c r="D113" s="489" t="s">
        <v>294</v>
      </c>
      <c r="E113" s="351"/>
      <c r="F113" s="485" t="s">
        <v>325</v>
      </c>
      <c r="G113" s="351"/>
      <c r="H113" s="487"/>
      <c r="I113" s="350"/>
      <c r="J113" s="351"/>
      <c r="K113" s="485" t="s">
        <v>325</v>
      </c>
      <c r="L113" s="350"/>
      <c r="M113" s="351"/>
      <c r="N113" s="490" t="s">
        <v>294</v>
      </c>
      <c r="O113" s="350"/>
      <c r="P113" s="350"/>
      <c r="Q113" s="350"/>
      <c r="R113" s="350"/>
      <c r="S113" s="350"/>
      <c r="T113" s="350"/>
      <c r="U113" s="351"/>
    </row>
    <row r="114" spans="1:21" ht="34.5" customHeight="1">
      <c r="A114" s="24">
        <f t="shared" si="0"/>
        <v>100</v>
      </c>
      <c r="B114" s="483" t="s">
        <v>294</v>
      </c>
      <c r="C114" s="351"/>
      <c r="D114" s="484" t="s">
        <v>294</v>
      </c>
      <c r="E114" s="351"/>
      <c r="F114" s="485" t="s">
        <v>325</v>
      </c>
      <c r="G114" s="351"/>
      <c r="H114" s="486"/>
      <c r="I114" s="350"/>
      <c r="J114" s="351"/>
      <c r="K114" s="485" t="s">
        <v>325</v>
      </c>
      <c r="L114" s="350"/>
      <c r="M114" s="351"/>
      <c r="N114" s="491" t="s">
        <v>294</v>
      </c>
      <c r="O114" s="350"/>
      <c r="P114" s="350"/>
      <c r="Q114" s="350"/>
      <c r="R114" s="350"/>
      <c r="S114" s="350"/>
      <c r="T114" s="350"/>
      <c r="U114" s="351"/>
    </row>
    <row r="115" spans="1:21" ht="34.5" customHeight="1">
      <c r="A115" s="24">
        <f t="shared" si="0"/>
        <v>101</v>
      </c>
      <c r="B115" s="488" t="s">
        <v>294</v>
      </c>
      <c r="C115" s="351"/>
      <c r="D115" s="489" t="s">
        <v>294</v>
      </c>
      <c r="E115" s="351"/>
      <c r="F115" s="485" t="s">
        <v>325</v>
      </c>
      <c r="G115" s="351"/>
      <c r="H115" s="487"/>
      <c r="I115" s="350"/>
      <c r="J115" s="351"/>
      <c r="K115" s="485" t="s">
        <v>325</v>
      </c>
      <c r="L115" s="350"/>
      <c r="M115" s="351"/>
      <c r="N115" s="490" t="s">
        <v>294</v>
      </c>
      <c r="O115" s="350"/>
      <c r="P115" s="350"/>
      <c r="Q115" s="350"/>
      <c r="R115" s="350"/>
      <c r="S115" s="350"/>
      <c r="T115" s="350"/>
      <c r="U115" s="351"/>
    </row>
    <row r="116" spans="1:21" ht="34.5" customHeight="1">
      <c r="A116" s="24">
        <f t="shared" si="0"/>
        <v>102</v>
      </c>
      <c r="B116" s="483" t="s">
        <v>294</v>
      </c>
      <c r="C116" s="351"/>
      <c r="D116" s="484" t="s">
        <v>294</v>
      </c>
      <c r="E116" s="351"/>
      <c r="F116" s="485" t="s">
        <v>325</v>
      </c>
      <c r="G116" s="351"/>
      <c r="H116" s="486"/>
      <c r="I116" s="350"/>
      <c r="J116" s="351"/>
      <c r="K116" s="485" t="s">
        <v>325</v>
      </c>
      <c r="L116" s="350"/>
      <c r="M116" s="351"/>
      <c r="N116" s="491" t="s">
        <v>294</v>
      </c>
      <c r="O116" s="350"/>
      <c r="P116" s="350"/>
      <c r="Q116" s="350"/>
      <c r="R116" s="350"/>
      <c r="S116" s="350"/>
      <c r="T116" s="350"/>
      <c r="U116" s="351"/>
    </row>
    <row r="117" spans="1:21" ht="34.5" customHeight="1">
      <c r="A117" s="24">
        <f t="shared" si="0"/>
        <v>103</v>
      </c>
      <c r="B117" s="488" t="s">
        <v>294</v>
      </c>
      <c r="C117" s="351"/>
      <c r="D117" s="489" t="s">
        <v>294</v>
      </c>
      <c r="E117" s="351"/>
      <c r="F117" s="485" t="s">
        <v>325</v>
      </c>
      <c r="G117" s="351"/>
      <c r="H117" s="487"/>
      <c r="I117" s="350"/>
      <c r="J117" s="351"/>
      <c r="K117" s="485" t="s">
        <v>325</v>
      </c>
      <c r="L117" s="350"/>
      <c r="M117" s="351"/>
      <c r="N117" s="490" t="s">
        <v>294</v>
      </c>
      <c r="O117" s="350"/>
      <c r="P117" s="350"/>
      <c r="Q117" s="350"/>
      <c r="R117" s="350"/>
      <c r="S117" s="350"/>
      <c r="T117" s="350"/>
      <c r="U117" s="351"/>
    </row>
    <row r="118" spans="1:21" ht="34.5" customHeight="1">
      <c r="A118" s="24">
        <f t="shared" si="0"/>
        <v>104</v>
      </c>
      <c r="B118" s="483" t="s">
        <v>294</v>
      </c>
      <c r="C118" s="351"/>
      <c r="D118" s="484" t="s">
        <v>294</v>
      </c>
      <c r="E118" s="351"/>
      <c r="F118" s="485" t="s">
        <v>325</v>
      </c>
      <c r="G118" s="351"/>
      <c r="H118" s="486"/>
      <c r="I118" s="350"/>
      <c r="J118" s="351"/>
      <c r="K118" s="485" t="s">
        <v>325</v>
      </c>
      <c r="L118" s="350"/>
      <c r="M118" s="351"/>
      <c r="N118" s="491" t="s">
        <v>294</v>
      </c>
      <c r="O118" s="350"/>
      <c r="P118" s="350"/>
      <c r="Q118" s="350"/>
      <c r="R118" s="350"/>
      <c r="S118" s="350"/>
      <c r="T118" s="350"/>
      <c r="U118" s="351"/>
    </row>
    <row r="119" spans="1:21" ht="34.5" customHeight="1">
      <c r="A119" s="24">
        <f t="shared" si="0"/>
        <v>105</v>
      </c>
      <c r="B119" s="488" t="s">
        <v>294</v>
      </c>
      <c r="C119" s="351"/>
      <c r="D119" s="489" t="s">
        <v>294</v>
      </c>
      <c r="E119" s="351"/>
      <c r="F119" s="485" t="s">
        <v>325</v>
      </c>
      <c r="G119" s="351"/>
      <c r="H119" s="487"/>
      <c r="I119" s="350"/>
      <c r="J119" s="351"/>
      <c r="K119" s="485" t="s">
        <v>325</v>
      </c>
      <c r="L119" s="350"/>
      <c r="M119" s="351"/>
      <c r="N119" s="490" t="s">
        <v>294</v>
      </c>
      <c r="O119" s="350"/>
      <c r="P119" s="350"/>
      <c r="Q119" s="350"/>
      <c r="R119" s="350"/>
      <c r="S119" s="350"/>
      <c r="T119" s="350"/>
      <c r="U119" s="351"/>
    </row>
    <row r="120" spans="1:21" ht="34.5" customHeight="1">
      <c r="A120" s="24">
        <f t="shared" si="0"/>
        <v>106</v>
      </c>
      <c r="B120" s="483" t="s">
        <v>294</v>
      </c>
      <c r="C120" s="351"/>
      <c r="D120" s="484" t="s">
        <v>294</v>
      </c>
      <c r="E120" s="351"/>
      <c r="F120" s="485" t="s">
        <v>325</v>
      </c>
      <c r="G120" s="351"/>
      <c r="H120" s="486"/>
      <c r="I120" s="350"/>
      <c r="J120" s="351"/>
      <c r="K120" s="485" t="s">
        <v>325</v>
      </c>
      <c r="L120" s="350"/>
      <c r="M120" s="351"/>
      <c r="N120" s="491" t="s">
        <v>294</v>
      </c>
      <c r="O120" s="350"/>
      <c r="P120" s="350"/>
      <c r="Q120" s="350"/>
      <c r="R120" s="350"/>
      <c r="S120" s="350"/>
      <c r="T120" s="350"/>
      <c r="U120" s="351"/>
    </row>
    <row r="121" spans="1:21" ht="34.5" customHeight="1">
      <c r="A121" s="24">
        <f t="shared" si="0"/>
        <v>107</v>
      </c>
      <c r="B121" s="488" t="s">
        <v>294</v>
      </c>
      <c r="C121" s="351"/>
      <c r="D121" s="489" t="s">
        <v>294</v>
      </c>
      <c r="E121" s="351"/>
      <c r="F121" s="485" t="s">
        <v>325</v>
      </c>
      <c r="G121" s="351"/>
      <c r="H121" s="487"/>
      <c r="I121" s="350"/>
      <c r="J121" s="351"/>
      <c r="K121" s="485" t="s">
        <v>325</v>
      </c>
      <c r="L121" s="350"/>
      <c r="M121" s="351"/>
      <c r="N121" s="490" t="s">
        <v>294</v>
      </c>
      <c r="O121" s="350"/>
      <c r="P121" s="350"/>
      <c r="Q121" s="350"/>
      <c r="R121" s="350"/>
      <c r="S121" s="350"/>
      <c r="T121" s="350"/>
      <c r="U121" s="351"/>
    </row>
    <row r="122" spans="1:21" ht="34.5" customHeight="1">
      <c r="A122" s="24">
        <f t="shared" si="0"/>
        <v>108</v>
      </c>
      <c r="B122" s="483" t="s">
        <v>294</v>
      </c>
      <c r="C122" s="351"/>
      <c r="D122" s="484" t="s">
        <v>294</v>
      </c>
      <c r="E122" s="351"/>
      <c r="F122" s="485" t="s">
        <v>325</v>
      </c>
      <c r="G122" s="351"/>
      <c r="H122" s="486"/>
      <c r="I122" s="350"/>
      <c r="J122" s="351"/>
      <c r="K122" s="485" t="s">
        <v>325</v>
      </c>
      <c r="L122" s="350"/>
      <c r="M122" s="351"/>
      <c r="N122" s="491" t="s">
        <v>294</v>
      </c>
      <c r="O122" s="350"/>
      <c r="P122" s="350"/>
      <c r="Q122" s="350"/>
      <c r="R122" s="350"/>
      <c r="S122" s="350"/>
      <c r="T122" s="350"/>
      <c r="U122" s="351"/>
    </row>
    <row r="123" spans="1:21" ht="34.5" customHeight="1">
      <c r="A123" s="24">
        <f t="shared" si="0"/>
        <v>109</v>
      </c>
      <c r="B123" s="488" t="s">
        <v>327</v>
      </c>
      <c r="C123" s="351"/>
      <c r="D123" s="489" t="s">
        <v>294</v>
      </c>
      <c r="E123" s="351"/>
      <c r="F123" s="485" t="s">
        <v>325</v>
      </c>
      <c r="G123" s="351"/>
      <c r="H123" s="487"/>
      <c r="I123" s="350"/>
      <c r="J123" s="351"/>
      <c r="K123" s="485" t="s">
        <v>325</v>
      </c>
      <c r="L123" s="350"/>
      <c r="M123" s="351"/>
      <c r="N123" s="490" t="s">
        <v>294</v>
      </c>
      <c r="O123" s="350"/>
      <c r="P123" s="350"/>
      <c r="Q123" s="350"/>
      <c r="R123" s="350"/>
      <c r="S123" s="350"/>
      <c r="T123" s="350"/>
      <c r="U123" s="351"/>
    </row>
    <row r="124" spans="1:21" ht="34.5" customHeight="1">
      <c r="A124" s="24">
        <f t="shared" si="0"/>
        <v>110</v>
      </c>
      <c r="B124" s="483" t="s">
        <v>294</v>
      </c>
      <c r="C124" s="351"/>
      <c r="D124" s="484" t="s">
        <v>294</v>
      </c>
      <c r="E124" s="351"/>
      <c r="F124" s="485" t="s">
        <v>325</v>
      </c>
      <c r="G124" s="351"/>
      <c r="H124" s="486"/>
      <c r="I124" s="350"/>
      <c r="J124" s="351"/>
      <c r="K124" s="485" t="s">
        <v>325</v>
      </c>
      <c r="L124" s="350"/>
      <c r="M124" s="351"/>
      <c r="N124" s="491" t="s">
        <v>294</v>
      </c>
      <c r="O124" s="350"/>
      <c r="P124" s="350"/>
      <c r="Q124" s="350"/>
      <c r="R124" s="350"/>
      <c r="S124" s="350"/>
      <c r="T124" s="350"/>
      <c r="U124" s="351"/>
    </row>
    <row r="125" spans="1:21" ht="34.5" customHeight="1">
      <c r="A125" s="24">
        <f t="shared" si="0"/>
        <v>111</v>
      </c>
      <c r="B125" s="488" t="s">
        <v>294</v>
      </c>
      <c r="C125" s="351"/>
      <c r="D125" s="489" t="s">
        <v>294</v>
      </c>
      <c r="E125" s="351"/>
      <c r="F125" s="485" t="s">
        <v>325</v>
      </c>
      <c r="G125" s="351"/>
      <c r="H125" s="487"/>
      <c r="I125" s="350"/>
      <c r="J125" s="351"/>
      <c r="K125" s="485" t="s">
        <v>325</v>
      </c>
      <c r="L125" s="350"/>
      <c r="M125" s="351"/>
      <c r="N125" s="490" t="s">
        <v>294</v>
      </c>
      <c r="O125" s="350"/>
      <c r="P125" s="350"/>
      <c r="Q125" s="350"/>
      <c r="R125" s="350"/>
      <c r="S125" s="350"/>
      <c r="T125" s="350"/>
      <c r="U125" s="351"/>
    </row>
    <row r="126" spans="1:21" ht="34.5" customHeight="1">
      <c r="A126" s="24">
        <f t="shared" si="0"/>
        <v>112</v>
      </c>
      <c r="B126" s="483" t="s">
        <v>294</v>
      </c>
      <c r="C126" s="351"/>
      <c r="D126" s="484" t="s">
        <v>294</v>
      </c>
      <c r="E126" s="351"/>
      <c r="F126" s="485" t="s">
        <v>325</v>
      </c>
      <c r="G126" s="351"/>
      <c r="H126" s="486"/>
      <c r="I126" s="350"/>
      <c r="J126" s="351"/>
      <c r="K126" s="485" t="s">
        <v>325</v>
      </c>
      <c r="L126" s="350"/>
      <c r="M126" s="351"/>
      <c r="N126" s="491" t="s">
        <v>294</v>
      </c>
      <c r="O126" s="350"/>
      <c r="P126" s="350"/>
      <c r="Q126" s="350"/>
      <c r="R126" s="350"/>
      <c r="S126" s="350"/>
      <c r="T126" s="350"/>
      <c r="U126" s="351"/>
    </row>
    <row r="127" spans="1:21" ht="34.5" customHeight="1">
      <c r="A127" s="24">
        <f t="shared" si="0"/>
        <v>113</v>
      </c>
      <c r="B127" s="488" t="s">
        <v>294</v>
      </c>
      <c r="C127" s="351"/>
      <c r="D127" s="489" t="s">
        <v>294</v>
      </c>
      <c r="E127" s="351"/>
      <c r="F127" s="485" t="s">
        <v>325</v>
      </c>
      <c r="G127" s="351"/>
      <c r="H127" s="487"/>
      <c r="I127" s="350"/>
      <c r="J127" s="351"/>
      <c r="K127" s="485" t="s">
        <v>325</v>
      </c>
      <c r="L127" s="350"/>
      <c r="M127" s="351"/>
      <c r="N127" s="490" t="s">
        <v>294</v>
      </c>
      <c r="O127" s="350"/>
      <c r="P127" s="350"/>
      <c r="Q127" s="350"/>
      <c r="R127" s="350"/>
      <c r="S127" s="350"/>
      <c r="T127" s="350"/>
      <c r="U127" s="351"/>
    </row>
    <row r="128" spans="1:21" ht="34.5" customHeight="1">
      <c r="A128" s="24">
        <f t="shared" si="0"/>
        <v>114</v>
      </c>
      <c r="B128" s="483" t="s">
        <v>294</v>
      </c>
      <c r="C128" s="351"/>
      <c r="D128" s="484" t="s">
        <v>294</v>
      </c>
      <c r="E128" s="351"/>
      <c r="F128" s="485" t="s">
        <v>325</v>
      </c>
      <c r="G128" s="351"/>
      <c r="H128" s="486"/>
      <c r="I128" s="350"/>
      <c r="J128" s="351"/>
      <c r="K128" s="485" t="s">
        <v>325</v>
      </c>
      <c r="L128" s="350"/>
      <c r="M128" s="351"/>
      <c r="N128" s="491" t="s">
        <v>294</v>
      </c>
      <c r="O128" s="350"/>
      <c r="P128" s="350"/>
      <c r="Q128" s="350"/>
      <c r="R128" s="350"/>
      <c r="S128" s="350"/>
      <c r="T128" s="350"/>
      <c r="U128" s="351"/>
    </row>
    <row r="129" spans="1:21" ht="34.5" customHeight="1">
      <c r="A129" s="24">
        <f t="shared" si="0"/>
        <v>115</v>
      </c>
      <c r="B129" s="488" t="s">
        <v>294</v>
      </c>
      <c r="C129" s="351"/>
      <c r="D129" s="489" t="s">
        <v>294</v>
      </c>
      <c r="E129" s="351"/>
      <c r="F129" s="485" t="s">
        <v>325</v>
      </c>
      <c r="G129" s="351"/>
      <c r="H129" s="487"/>
      <c r="I129" s="350"/>
      <c r="J129" s="351"/>
      <c r="K129" s="485" t="s">
        <v>325</v>
      </c>
      <c r="L129" s="350"/>
      <c r="M129" s="351"/>
      <c r="N129" s="490" t="s">
        <v>294</v>
      </c>
      <c r="O129" s="350"/>
      <c r="P129" s="350"/>
      <c r="Q129" s="350"/>
      <c r="R129" s="350"/>
      <c r="S129" s="350"/>
      <c r="T129" s="350"/>
      <c r="U129" s="351"/>
    </row>
    <row r="130" spans="1:21" ht="34.5" customHeight="1">
      <c r="A130" s="24">
        <f t="shared" si="0"/>
        <v>116</v>
      </c>
      <c r="B130" s="483" t="s">
        <v>294</v>
      </c>
      <c r="C130" s="351"/>
      <c r="D130" s="484" t="s">
        <v>294</v>
      </c>
      <c r="E130" s="351"/>
      <c r="F130" s="485" t="s">
        <v>325</v>
      </c>
      <c r="G130" s="351"/>
      <c r="H130" s="486"/>
      <c r="I130" s="350"/>
      <c r="J130" s="351"/>
      <c r="K130" s="485" t="s">
        <v>325</v>
      </c>
      <c r="L130" s="350"/>
      <c r="M130" s="351"/>
      <c r="N130" s="491" t="s">
        <v>294</v>
      </c>
      <c r="O130" s="350"/>
      <c r="P130" s="350"/>
      <c r="Q130" s="350"/>
      <c r="R130" s="350"/>
      <c r="S130" s="350"/>
      <c r="T130" s="350"/>
      <c r="U130" s="351"/>
    </row>
    <row r="131" spans="1:21" ht="34.5" customHeight="1">
      <c r="A131" s="24">
        <f t="shared" si="0"/>
        <v>117</v>
      </c>
      <c r="B131" s="488" t="s">
        <v>326</v>
      </c>
      <c r="C131" s="351"/>
      <c r="D131" s="489" t="s">
        <v>294</v>
      </c>
      <c r="E131" s="351"/>
      <c r="F131" s="485" t="s">
        <v>325</v>
      </c>
      <c r="G131" s="351"/>
      <c r="H131" s="487"/>
      <c r="I131" s="350"/>
      <c r="J131" s="351"/>
      <c r="K131" s="485" t="s">
        <v>325</v>
      </c>
      <c r="L131" s="350"/>
      <c r="M131" s="351"/>
      <c r="N131" s="490" t="s">
        <v>294</v>
      </c>
      <c r="O131" s="350"/>
      <c r="P131" s="350"/>
      <c r="Q131" s="350"/>
      <c r="R131" s="350"/>
      <c r="S131" s="350"/>
      <c r="T131" s="350"/>
      <c r="U131" s="351"/>
    </row>
    <row r="132" spans="1:21" ht="34.5" customHeight="1">
      <c r="A132" s="24">
        <f t="shared" si="0"/>
        <v>118</v>
      </c>
      <c r="B132" s="483" t="s">
        <v>294</v>
      </c>
      <c r="C132" s="351"/>
      <c r="D132" s="484" t="s">
        <v>294</v>
      </c>
      <c r="E132" s="351"/>
      <c r="F132" s="485" t="s">
        <v>325</v>
      </c>
      <c r="G132" s="351"/>
      <c r="H132" s="486"/>
      <c r="I132" s="350"/>
      <c r="J132" s="351"/>
      <c r="K132" s="485" t="s">
        <v>325</v>
      </c>
      <c r="L132" s="350"/>
      <c r="M132" s="351"/>
      <c r="N132" s="491" t="s">
        <v>294</v>
      </c>
      <c r="O132" s="350"/>
      <c r="P132" s="350"/>
      <c r="Q132" s="350"/>
      <c r="R132" s="350"/>
      <c r="S132" s="350"/>
      <c r="T132" s="350"/>
      <c r="U132" s="351"/>
    </row>
    <row r="133" spans="1:21" ht="34.5" customHeight="1">
      <c r="A133" s="24">
        <f t="shared" si="0"/>
        <v>119</v>
      </c>
      <c r="B133" s="488" t="s">
        <v>294</v>
      </c>
      <c r="C133" s="351"/>
      <c r="D133" s="489" t="s">
        <v>294</v>
      </c>
      <c r="E133" s="351"/>
      <c r="F133" s="485" t="s">
        <v>325</v>
      </c>
      <c r="G133" s="351"/>
      <c r="H133" s="487"/>
      <c r="I133" s="350"/>
      <c r="J133" s="351"/>
      <c r="K133" s="485" t="s">
        <v>325</v>
      </c>
      <c r="L133" s="350"/>
      <c r="M133" s="351"/>
      <c r="N133" s="490" t="s">
        <v>294</v>
      </c>
      <c r="O133" s="350"/>
      <c r="P133" s="350"/>
      <c r="Q133" s="350"/>
      <c r="R133" s="350"/>
      <c r="S133" s="350"/>
      <c r="T133" s="350"/>
      <c r="U133" s="351"/>
    </row>
    <row r="134" spans="1:21" ht="34.5" customHeight="1">
      <c r="A134" s="24">
        <f t="shared" si="0"/>
        <v>120</v>
      </c>
      <c r="B134" s="483" t="s">
        <v>294</v>
      </c>
      <c r="C134" s="351"/>
      <c r="D134" s="484" t="s">
        <v>294</v>
      </c>
      <c r="E134" s="351"/>
      <c r="F134" s="485" t="s">
        <v>325</v>
      </c>
      <c r="G134" s="351"/>
      <c r="H134" s="486"/>
      <c r="I134" s="350"/>
      <c r="J134" s="351"/>
      <c r="K134" s="485" t="s">
        <v>325</v>
      </c>
      <c r="L134" s="350"/>
      <c r="M134" s="351"/>
      <c r="N134" s="491" t="s">
        <v>294</v>
      </c>
      <c r="O134" s="350"/>
      <c r="P134" s="350"/>
      <c r="Q134" s="350"/>
      <c r="R134" s="350"/>
      <c r="S134" s="350"/>
      <c r="T134" s="350"/>
      <c r="U134" s="351"/>
    </row>
    <row r="135" spans="1:21" ht="34.5" customHeight="1">
      <c r="A135" s="24">
        <f t="shared" si="0"/>
        <v>121</v>
      </c>
      <c r="B135" s="488" t="s">
        <v>294</v>
      </c>
      <c r="C135" s="351"/>
      <c r="D135" s="489" t="s">
        <v>294</v>
      </c>
      <c r="E135" s="351"/>
      <c r="F135" s="485" t="s">
        <v>325</v>
      </c>
      <c r="G135" s="351"/>
      <c r="H135" s="487"/>
      <c r="I135" s="350"/>
      <c r="J135" s="351"/>
      <c r="K135" s="485" t="s">
        <v>325</v>
      </c>
      <c r="L135" s="350"/>
      <c r="M135" s="351"/>
      <c r="N135" s="490" t="s">
        <v>294</v>
      </c>
      <c r="O135" s="350"/>
      <c r="P135" s="350"/>
      <c r="Q135" s="350"/>
      <c r="R135" s="350"/>
      <c r="S135" s="350"/>
      <c r="T135" s="350"/>
      <c r="U135" s="351"/>
    </row>
    <row r="136" spans="1:21" ht="34.5" customHeight="1">
      <c r="A136" s="24">
        <f t="shared" si="0"/>
        <v>122</v>
      </c>
      <c r="B136" s="483" t="s">
        <v>294</v>
      </c>
      <c r="C136" s="351"/>
      <c r="D136" s="484" t="s">
        <v>294</v>
      </c>
      <c r="E136" s="351"/>
      <c r="F136" s="485" t="s">
        <v>325</v>
      </c>
      <c r="G136" s="351"/>
      <c r="H136" s="486"/>
      <c r="I136" s="350"/>
      <c r="J136" s="351"/>
      <c r="K136" s="485" t="s">
        <v>325</v>
      </c>
      <c r="L136" s="350"/>
      <c r="M136" s="351"/>
      <c r="N136" s="491" t="s">
        <v>294</v>
      </c>
      <c r="O136" s="350"/>
      <c r="P136" s="350"/>
      <c r="Q136" s="350"/>
      <c r="R136" s="350"/>
      <c r="S136" s="350"/>
      <c r="T136" s="350"/>
      <c r="U136" s="351"/>
    </row>
    <row r="137" spans="1:21" ht="34.5" customHeight="1">
      <c r="A137" s="24">
        <f t="shared" si="0"/>
        <v>123</v>
      </c>
      <c r="B137" s="488" t="s">
        <v>294</v>
      </c>
      <c r="C137" s="351"/>
      <c r="D137" s="489" t="s">
        <v>294</v>
      </c>
      <c r="E137" s="351"/>
      <c r="F137" s="485" t="s">
        <v>325</v>
      </c>
      <c r="G137" s="351"/>
      <c r="H137" s="487"/>
      <c r="I137" s="350"/>
      <c r="J137" s="351"/>
      <c r="K137" s="485" t="s">
        <v>325</v>
      </c>
      <c r="L137" s="350"/>
      <c r="M137" s="351"/>
      <c r="N137" s="490" t="s">
        <v>294</v>
      </c>
      <c r="O137" s="350"/>
      <c r="P137" s="350"/>
      <c r="Q137" s="350"/>
      <c r="R137" s="350"/>
      <c r="S137" s="350"/>
      <c r="T137" s="350"/>
      <c r="U137" s="351"/>
    </row>
    <row r="138" spans="1:21" ht="34.5" customHeight="1">
      <c r="A138" s="24">
        <f t="shared" si="0"/>
        <v>124</v>
      </c>
      <c r="B138" s="483" t="s">
        <v>330</v>
      </c>
      <c r="C138" s="351"/>
      <c r="D138" s="484" t="s">
        <v>294</v>
      </c>
      <c r="E138" s="351"/>
      <c r="F138" s="485" t="s">
        <v>325</v>
      </c>
      <c r="G138" s="351"/>
      <c r="H138" s="486"/>
      <c r="I138" s="350"/>
      <c r="J138" s="351"/>
      <c r="K138" s="485" t="s">
        <v>325</v>
      </c>
      <c r="L138" s="350"/>
      <c r="M138" s="351"/>
      <c r="N138" s="491" t="s">
        <v>294</v>
      </c>
      <c r="O138" s="350"/>
      <c r="P138" s="350"/>
      <c r="Q138" s="350"/>
      <c r="R138" s="350"/>
      <c r="S138" s="350"/>
      <c r="T138" s="350"/>
      <c r="U138" s="351"/>
    </row>
    <row r="139" spans="1:21" ht="34.5" customHeight="1">
      <c r="A139" s="24">
        <f t="shared" si="0"/>
        <v>125</v>
      </c>
      <c r="B139" s="488" t="s">
        <v>294</v>
      </c>
      <c r="C139" s="351"/>
      <c r="D139" s="489" t="s">
        <v>294</v>
      </c>
      <c r="E139" s="351"/>
      <c r="F139" s="485" t="s">
        <v>325</v>
      </c>
      <c r="G139" s="351"/>
      <c r="H139" s="487"/>
      <c r="I139" s="350"/>
      <c r="J139" s="351"/>
      <c r="K139" s="485" t="s">
        <v>325</v>
      </c>
      <c r="L139" s="350"/>
      <c r="M139" s="351"/>
      <c r="N139" s="490" t="s">
        <v>294</v>
      </c>
      <c r="O139" s="350"/>
      <c r="P139" s="350"/>
      <c r="Q139" s="350"/>
      <c r="R139" s="350"/>
      <c r="S139" s="350"/>
      <c r="T139" s="350"/>
      <c r="U139" s="351"/>
    </row>
    <row r="140" spans="1:21" ht="34.5" customHeight="1">
      <c r="A140" s="24">
        <f t="shared" si="0"/>
        <v>126</v>
      </c>
      <c r="B140" s="483" t="s">
        <v>294</v>
      </c>
      <c r="C140" s="351"/>
      <c r="D140" s="484" t="s">
        <v>294</v>
      </c>
      <c r="E140" s="351"/>
      <c r="F140" s="485" t="s">
        <v>325</v>
      </c>
      <c r="G140" s="351"/>
      <c r="H140" s="486"/>
      <c r="I140" s="350"/>
      <c r="J140" s="351"/>
      <c r="K140" s="485" t="s">
        <v>325</v>
      </c>
      <c r="L140" s="350"/>
      <c r="M140" s="351"/>
      <c r="N140" s="491" t="s">
        <v>294</v>
      </c>
      <c r="O140" s="350"/>
      <c r="P140" s="350"/>
      <c r="Q140" s="350"/>
      <c r="R140" s="350"/>
      <c r="S140" s="350"/>
      <c r="T140" s="350"/>
      <c r="U140" s="351"/>
    </row>
    <row r="141" spans="1:21" ht="34.5" customHeight="1">
      <c r="A141" s="24">
        <f t="shared" si="0"/>
        <v>127</v>
      </c>
      <c r="B141" s="488" t="s">
        <v>294</v>
      </c>
      <c r="C141" s="351"/>
      <c r="D141" s="489" t="s">
        <v>294</v>
      </c>
      <c r="E141" s="351"/>
      <c r="F141" s="485" t="s">
        <v>325</v>
      </c>
      <c r="G141" s="351"/>
      <c r="H141" s="487"/>
      <c r="I141" s="350"/>
      <c r="J141" s="351"/>
      <c r="K141" s="485" t="s">
        <v>325</v>
      </c>
      <c r="L141" s="350"/>
      <c r="M141" s="351"/>
      <c r="N141" s="490" t="s">
        <v>294</v>
      </c>
      <c r="O141" s="350"/>
      <c r="P141" s="350"/>
      <c r="Q141" s="350"/>
      <c r="R141" s="350"/>
      <c r="S141" s="350"/>
      <c r="T141" s="350"/>
      <c r="U141" s="351"/>
    </row>
    <row r="142" spans="1:21" ht="34.5" customHeight="1">
      <c r="A142" s="24">
        <f t="shared" si="0"/>
        <v>128</v>
      </c>
      <c r="B142" s="483" t="s">
        <v>294</v>
      </c>
      <c r="C142" s="351"/>
      <c r="D142" s="484" t="s">
        <v>294</v>
      </c>
      <c r="E142" s="351"/>
      <c r="F142" s="485" t="s">
        <v>325</v>
      </c>
      <c r="G142" s="351"/>
      <c r="H142" s="486"/>
      <c r="I142" s="350"/>
      <c r="J142" s="351"/>
      <c r="K142" s="485" t="s">
        <v>325</v>
      </c>
      <c r="L142" s="350"/>
      <c r="M142" s="351"/>
      <c r="N142" s="491" t="s">
        <v>294</v>
      </c>
      <c r="O142" s="350"/>
      <c r="P142" s="350"/>
      <c r="Q142" s="350"/>
      <c r="R142" s="350"/>
      <c r="S142" s="350"/>
      <c r="T142" s="350"/>
      <c r="U142" s="351"/>
    </row>
    <row r="143" spans="1:21" ht="34.5" customHeight="1">
      <c r="A143" s="24">
        <f t="shared" si="0"/>
        <v>129</v>
      </c>
      <c r="B143" s="488" t="s">
        <v>294</v>
      </c>
      <c r="C143" s="351"/>
      <c r="D143" s="489" t="s">
        <v>294</v>
      </c>
      <c r="E143" s="351"/>
      <c r="F143" s="485" t="s">
        <v>325</v>
      </c>
      <c r="G143" s="351"/>
      <c r="H143" s="487"/>
      <c r="I143" s="350"/>
      <c r="J143" s="351"/>
      <c r="K143" s="485" t="s">
        <v>325</v>
      </c>
      <c r="L143" s="350"/>
      <c r="M143" s="351"/>
      <c r="N143" s="490" t="s">
        <v>294</v>
      </c>
      <c r="O143" s="350"/>
      <c r="P143" s="350"/>
      <c r="Q143" s="350"/>
      <c r="R143" s="350"/>
      <c r="S143" s="350"/>
      <c r="T143" s="350"/>
      <c r="U143" s="351"/>
    </row>
    <row r="144" spans="1:21" ht="34.5" customHeight="1">
      <c r="A144" s="24">
        <f t="shared" si="0"/>
        <v>130</v>
      </c>
      <c r="B144" s="483" t="s">
        <v>294</v>
      </c>
      <c r="C144" s="351"/>
      <c r="D144" s="484" t="s">
        <v>294</v>
      </c>
      <c r="E144" s="351"/>
      <c r="F144" s="485" t="s">
        <v>325</v>
      </c>
      <c r="G144" s="351"/>
      <c r="H144" s="486"/>
      <c r="I144" s="350"/>
      <c r="J144" s="351"/>
      <c r="K144" s="485" t="s">
        <v>325</v>
      </c>
      <c r="L144" s="350"/>
      <c r="M144" s="351"/>
      <c r="N144" s="491" t="s">
        <v>294</v>
      </c>
      <c r="O144" s="350"/>
      <c r="P144" s="350"/>
      <c r="Q144" s="350"/>
      <c r="R144" s="350"/>
      <c r="S144" s="350"/>
      <c r="T144" s="350"/>
      <c r="U144" s="351"/>
    </row>
    <row r="145" spans="1:21" ht="34.5" customHeight="1">
      <c r="A145" s="24">
        <f t="shared" si="0"/>
        <v>131</v>
      </c>
      <c r="B145" s="488" t="s">
        <v>326</v>
      </c>
      <c r="C145" s="351"/>
      <c r="D145" s="489" t="s">
        <v>294</v>
      </c>
      <c r="E145" s="351"/>
      <c r="F145" s="485" t="s">
        <v>325</v>
      </c>
      <c r="G145" s="351"/>
      <c r="H145" s="487"/>
      <c r="I145" s="350"/>
      <c r="J145" s="351"/>
      <c r="K145" s="485" t="s">
        <v>325</v>
      </c>
      <c r="L145" s="350"/>
      <c r="M145" s="351"/>
      <c r="N145" s="490" t="s">
        <v>294</v>
      </c>
      <c r="O145" s="350"/>
      <c r="P145" s="350"/>
      <c r="Q145" s="350"/>
      <c r="R145" s="350"/>
      <c r="S145" s="350"/>
      <c r="T145" s="350"/>
      <c r="U145" s="351"/>
    </row>
    <row r="146" spans="1:21" ht="34.5" customHeight="1">
      <c r="A146" s="24">
        <f t="shared" si="0"/>
        <v>132</v>
      </c>
      <c r="B146" s="483" t="s">
        <v>294</v>
      </c>
      <c r="C146" s="351"/>
      <c r="D146" s="484" t="s">
        <v>294</v>
      </c>
      <c r="E146" s="351"/>
      <c r="F146" s="485" t="s">
        <v>325</v>
      </c>
      <c r="G146" s="351"/>
      <c r="H146" s="486"/>
      <c r="I146" s="350"/>
      <c r="J146" s="351"/>
      <c r="K146" s="485" t="s">
        <v>325</v>
      </c>
      <c r="L146" s="350"/>
      <c r="M146" s="351"/>
      <c r="N146" s="491" t="s">
        <v>294</v>
      </c>
      <c r="O146" s="350"/>
      <c r="P146" s="350"/>
      <c r="Q146" s="350"/>
      <c r="R146" s="350"/>
      <c r="S146" s="350"/>
      <c r="T146" s="350"/>
      <c r="U146" s="351"/>
    </row>
    <row r="147" spans="1:21" ht="34.5" customHeight="1">
      <c r="A147" s="24">
        <f t="shared" si="0"/>
        <v>133</v>
      </c>
      <c r="B147" s="488" t="s">
        <v>294</v>
      </c>
      <c r="C147" s="351"/>
      <c r="D147" s="489" t="s">
        <v>294</v>
      </c>
      <c r="E147" s="351"/>
      <c r="F147" s="485" t="s">
        <v>325</v>
      </c>
      <c r="G147" s="351"/>
      <c r="H147" s="487"/>
      <c r="I147" s="350"/>
      <c r="J147" s="351"/>
      <c r="K147" s="485" t="s">
        <v>325</v>
      </c>
      <c r="L147" s="350"/>
      <c r="M147" s="351"/>
      <c r="N147" s="490" t="s">
        <v>294</v>
      </c>
      <c r="O147" s="350"/>
      <c r="P147" s="350"/>
      <c r="Q147" s="350"/>
      <c r="R147" s="350"/>
      <c r="S147" s="350"/>
      <c r="T147" s="350"/>
      <c r="U147" s="351"/>
    </row>
    <row r="148" spans="1:21" ht="34.5" customHeight="1">
      <c r="A148" s="24">
        <f t="shared" si="0"/>
        <v>134</v>
      </c>
      <c r="B148" s="483" t="s">
        <v>294</v>
      </c>
      <c r="C148" s="351"/>
      <c r="D148" s="484" t="s">
        <v>294</v>
      </c>
      <c r="E148" s="351"/>
      <c r="F148" s="485" t="s">
        <v>325</v>
      </c>
      <c r="G148" s="351"/>
      <c r="H148" s="486"/>
      <c r="I148" s="350"/>
      <c r="J148" s="351"/>
      <c r="K148" s="485" t="s">
        <v>325</v>
      </c>
      <c r="L148" s="350"/>
      <c r="M148" s="351"/>
      <c r="N148" s="491" t="s">
        <v>294</v>
      </c>
      <c r="O148" s="350"/>
      <c r="P148" s="350"/>
      <c r="Q148" s="350"/>
      <c r="R148" s="350"/>
      <c r="S148" s="350"/>
      <c r="T148" s="350"/>
      <c r="U148" s="351"/>
    </row>
    <row r="149" spans="1:21" ht="34.5" customHeight="1">
      <c r="A149" s="24">
        <f t="shared" si="0"/>
        <v>135</v>
      </c>
      <c r="B149" s="488" t="s">
        <v>294</v>
      </c>
      <c r="C149" s="351"/>
      <c r="D149" s="489" t="s">
        <v>294</v>
      </c>
      <c r="E149" s="351"/>
      <c r="F149" s="485" t="s">
        <v>325</v>
      </c>
      <c r="G149" s="351"/>
      <c r="H149" s="487"/>
      <c r="I149" s="350"/>
      <c r="J149" s="351"/>
      <c r="K149" s="485" t="s">
        <v>325</v>
      </c>
      <c r="L149" s="350"/>
      <c r="M149" s="351"/>
      <c r="N149" s="490" t="s">
        <v>294</v>
      </c>
      <c r="O149" s="350"/>
      <c r="P149" s="350"/>
      <c r="Q149" s="350"/>
      <c r="R149" s="350"/>
      <c r="S149" s="350"/>
      <c r="T149" s="350"/>
      <c r="U149" s="351"/>
    </row>
    <row r="150" spans="1:21" ht="34.5" customHeight="1">
      <c r="A150" s="24">
        <f t="shared" si="0"/>
        <v>136</v>
      </c>
      <c r="B150" s="483" t="s">
        <v>294</v>
      </c>
      <c r="C150" s="351"/>
      <c r="D150" s="484" t="s">
        <v>294</v>
      </c>
      <c r="E150" s="351"/>
      <c r="F150" s="485" t="s">
        <v>325</v>
      </c>
      <c r="G150" s="351"/>
      <c r="H150" s="486"/>
      <c r="I150" s="350"/>
      <c r="J150" s="351"/>
      <c r="K150" s="485" t="s">
        <v>325</v>
      </c>
      <c r="L150" s="350"/>
      <c r="M150" s="351"/>
      <c r="N150" s="491" t="s">
        <v>294</v>
      </c>
      <c r="O150" s="350"/>
      <c r="P150" s="350"/>
      <c r="Q150" s="350"/>
      <c r="R150" s="350"/>
      <c r="S150" s="350"/>
      <c r="T150" s="350"/>
      <c r="U150" s="351"/>
    </row>
    <row r="151" spans="1:21" ht="34.5" customHeight="1">
      <c r="A151" s="24">
        <f t="shared" si="0"/>
        <v>137</v>
      </c>
      <c r="B151" s="488" t="s">
        <v>294</v>
      </c>
      <c r="C151" s="351"/>
      <c r="D151" s="489" t="s">
        <v>294</v>
      </c>
      <c r="E151" s="351"/>
      <c r="F151" s="485" t="s">
        <v>325</v>
      </c>
      <c r="G151" s="351"/>
      <c r="H151" s="487"/>
      <c r="I151" s="350"/>
      <c r="J151" s="351"/>
      <c r="K151" s="485" t="s">
        <v>325</v>
      </c>
      <c r="L151" s="350"/>
      <c r="M151" s="351"/>
      <c r="N151" s="490" t="s">
        <v>294</v>
      </c>
      <c r="O151" s="350"/>
      <c r="P151" s="350"/>
      <c r="Q151" s="350"/>
      <c r="R151" s="350"/>
      <c r="S151" s="350"/>
      <c r="T151" s="350"/>
      <c r="U151" s="351"/>
    </row>
    <row r="152" spans="1:21" ht="34.5" customHeight="1">
      <c r="A152" s="24">
        <f t="shared" si="0"/>
        <v>138</v>
      </c>
      <c r="B152" s="483" t="s">
        <v>294</v>
      </c>
      <c r="C152" s="351"/>
      <c r="D152" s="484" t="s">
        <v>294</v>
      </c>
      <c r="E152" s="351"/>
      <c r="F152" s="485" t="s">
        <v>325</v>
      </c>
      <c r="G152" s="351"/>
      <c r="H152" s="486"/>
      <c r="I152" s="350"/>
      <c r="J152" s="351"/>
      <c r="K152" s="485" t="s">
        <v>325</v>
      </c>
      <c r="L152" s="350"/>
      <c r="M152" s="351"/>
      <c r="N152" s="491" t="s">
        <v>294</v>
      </c>
      <c r="O152" s="350"/>
      <c r="P152" s="350"/>
      <c r="Q152" s="350"/>
      <c r="R152" s="350"/>
      <c r="S152" s="350"/>
      <c r="T152" s="350"/>
      <c r="U152" s="351"/>
    </row>
    <row r="153" spans="1:21" ht="34.5" customHeight="1">
      <c r="A153" s="24">
        <f t="shared" si="0"/>
        <v>139</v>
      </c>
      <c r="B153" s="488" t="s">
        <v>329</v>
      </c>
      <c r="C153" s="351"/>
      <c r="D153" s="489" t="s">
        <v>294</v>
      </c>
      <c r="E153" s="351"/>
      <c r="F153" s="485" t="s">
        <v>325</v>
      </c>
      <c r="G153" s="351"/>
      <c r="H153" s="487"/>
      <c r="I153" s="350"/>
      <c r="J153" s="351"/>
      <c r="K153" s="485" t="s">
        <v>325</v>
      </c>
      <c r="L153" s="350"/>
      <c r="M153" s="351"/>
      <c r="N153" s="490" t="s">
        <v>294</v>
      </c>
      <c r="O153" s="350"/>
      <c r="P153" s="350"/>
      <c r="Q153" s="350"/>
      <c r="R153" s="350"/>
      <c r="S153" s="350"/>
      <c r="T153" s="350"/>
      <c r="U153" s="351"/>
    </row>
    <row r="154" spans="1:21" ht="34.5" customHeight="1">
      <c r="A154" s="24">
        <f t="shared" si="0"/>
        <v>140</v>
      </c>
      <c r="B154" s="483" t="s">
        <v>294</v>
      </c>
      <c r="C154" s="351"/>
      <c r="D154" s="484" t="s">
        <v>294</v>
      </c>
      <c r="E154" s="351"/>
      <c r="F154" s="485" t="s">
        <v>325</v>
      </c>
      <c r="G154" s="351"/>
      <c r="H154" s="486"/>
      <c r="I154" s="350"/>
      <c r="J154" s="351"/>
      <c r="K154" s="485" t="s">
        <v>325</v>
      </c>
      <c r="L154" s="350"/>
      <c r="M154" s="351"/>
      <c r="N154" s="491" t="s">
        <v>294</v>
      </c>
      <c r="O154" s="350"/>
      <c r="P154" s="350"/>
      <c r="Q154" s="350"/>
      <c r="R154" s="350"/>
      <c r="S154" s="350"/>
      <c r="T154" s="350"/>
      <c r="U154" s="351"/>
    </row>
    <row r="155" spans="1:21" ht="34.5" customHeight="1">
      <c r="A155" s="24">
        <f t="shared" si="0"/>
        <v>141</v>
      </c>
      <c r="B155" s="488" t="s">
        <v>294</v>
      </c>
      <c r="C155" s="351"/>
      <c r="D155" s="489" t="s">
        <v>294</v>
      </c>
      <c r="E155" s="351"/>
      <c r="F155" s="485" t="s">
        <v>325</v>
      </c>
      <c r="G155" s="351"/>
      <c r="H155" s="487"/>
      <c r="I155" s="350"/>
      <c r="J155" s="351"/>
      <c r="K155" s="485" t="s">
        <v>325</v>
      </c>
      <c r="L155" s="350"/>
      <c r="M155" s="351"/>
      <c r="N155" s="490" t="s">
        <v>294</v>
      </c>
      <c r="O155" s="350"/>
      <c r="P155" s="350"/>
      <c r="Q155" s="350"/>
      <c r="R155" s="350"/>
      <c r="S155" s="350"/>
      <c r="T155" s="350"/>
      <c r="U155" s="351"/>
    </row>
    <row r="156" spans="1:21" ht="34.5" customHeight="1">
      <c r="A156" s="24">
        <f t="shared" si="0"/>
        <v>142</v>
      </c>
      <c r="B156" s="483" t="s">
        <v>331</v>
      </c>
      <c r="C156" s="351"/>
      <c r="D156" s="484" t="s">
        <v>294</v>
      </c>
      <c r="E156" s="351"/>
      <c r="F156" s="485" t="s">
        <v>325</v>
      </c>
      <c r="G156" s="351"/>
      <c r="H156" s="486"/>
      <c r="I156" s="350"/>
      <c r="J156" s="351"/>
      <c r="K156" s="485" t="s">
        <v>325</v>
      </c>
      <c r="L156" s="350"/>
      <c r="M156" s="351"/>
      <c r="N156" s="491" t="s">
        <v>294</v>
      </c>
      <c r="O156" s="350"/>
      <c r="P156" s="350"/>
      <c r="Q156" s="350"/>
      <c r="R156" s="350"/>
      <c r="S156" s="350"/>
      <c r="T156" s="350"/>
      <c r="U156" s="351"/>
    </row>
    <row r="157" spans="1:21" ht="34.5" customHeight="1">
      <c r="A157" s="24">
        <f t="shared" si="0"/>
        <v>143</v>
      </c>
      <c r="B157" s="488" t="s">
        <v>294</v>
      </c>
      <c r="C157" s="351"/>
      <c r="D157" s="489" t="s">
        <v>294</v>
      </c>
      <c r="E157" s="351"/>
      <c r="F157" s="485" t="s">
        <v>325</v>
      </c>
      <c r="G157" s="351"/>
      <c r="H157" s="487"/>
      <c r="I157" s="350"/>
      <c r="J157" s="351"/>
      <c r="K157" s="485" t="s">
        <v>325</v>
      </c>
      <c r="L157" s="350"/>
      <c r="M157" s="351"/>
      <c r="N157" s="490" t="s">
        <v>294</v>
      </c>
      <c r="O157" s="350"/>
      <c r="P157" s="350"/>
      <c r="Q157" s="350"/>
      <c r="R157" s="350"/>
      <c r="S157" s="350"/>
      <c r="T157" s="350"/>
      <c r="U157" s="351"/>
    </row>
    <row r="158" spans="1:21" ht="34.5" customHeight="1">
      <c r="A158" s="24">
        <f t="shared" si="0"/>
        <v>144</v>
      </c>
      <c r="B158" s="483" t="s">
        <v>294</v>
      </c>
      <c r="C158" s="351"/>
      <c r="D158" s="484" t="s">
        <v>294</v>
      </c>
      <c r="E158" s="351"/>
      <c r="F158" s="485" t="s">
        <v>325</v>
      </c>
      <c r="G158" s="351"/>
      <c r="H158" s="486"/>
      <c r="I158" s="350"/>
      <c r="J158" s="351"/>
      <c r="K158" s="485" t="s">
        <v>325</v>
      </c>
      <c r="L158" s="350"/>
      <c r="M158" s="351"/>
      <c r="N158" s="491" t="s">
        <v>294</v>
      </c>
      <c r="O158" s="350"/>
      <c r="P158" s="350"/>
      <c r="Q158" s="350"/>
      <c r="R158" s="350"/>
      <c r="S158" s="350"/>
      <c r="T158" s="350"/>
      <c r="U158" s="351"/>
    </row>
    <row r="159" spans="1:21" ht="34.5" customHeight="1">
      <c r="A159" s="24">
        <f t="shared" si="0"/>
        <v>145</v>
      </c>
      <c r="B159" s="488" t="s">
        <v>294</v>
      </c>
      <c r="C159" s="351"/>
      <c r="D159" s="489" t="s">
        <v>294</v>
      </c>
      <c r="E159" s="351"/>
      <c r="F159" s="485" t="s">
        <v>325</v>
      </c>
      <c r="G159" s="351"/>
      <c r="H159" s="487"/>
      <c r="I159" s="350"/>
      <c r="J159" s="351"/>
      <c r="K159" s="485" t="s">
        <v>325</v>
      </c>
      <c r="L159" s="350"/>
      <c r="M159" s="351"/>
      <c r="N159" s="490" t="s">
        <v>294</v>
      </c>
      <c r="O159" s="350"/>
      <c r="P159" s="350"/>
      <c r="Q159" s="350"/>
      <c r="R159" s="350"/>
      <c r="S159" s="350"/>
      <c r="T159" s="350"/>
      <c r="U159" s="351"/>
    </row>
    <row r="160" spans="1:21" ht="34.5" customHeight="1">
      <c r="A160" s="24">
        <f t="shared" si="0"/>
        <v>146</v>
      </c>
      <c r="B160" s="483" t="s">
        <v>294</v>
      </c>
      <c r="C160" s="351"/>
      <c r="D160" s="484" t="s">
        <v>294</v>
      </c>
      <c r="E160" s="351"/>
      <c r="F160" s="485" t="s">
        <v>325</v>
      </c>
      <c r="G160" s="351"/>
      <c r="H160" s="486"/>
      <c r="I160" s="350"/>
      <c r="J160" s="351"/>
      <c r="K160" s="485" t="s">
        <v>325</v>
      </c>
      <c r="L160" s="350"/>
      <c r="M160" s="351"/>
      <c r="N160" s="491" t="s">
        <v>294</v>
      </c>
      <c r="O160" s="350"/>
      <c r="P160" s="350"/>
      <c r="Q160" s="350"/>
      <c r="R160" s="350"/>
      <c r="S160" s="350"/>
      <c r="T160" s="350"/>
      <c r="U160" s="351"/>
    </row>
    <row r="161" spans="1:21" ht="34.5" customHeight="1">
      <c r="A161" s="24">
        <f t="shared" si="0"/>
        <v>147</v>
      </c>
      <c r="B161" s="488" t="s">
        <v>294</v>
      </c>
      <c r="C161" s="351"/>
      <c r="D161" s="489" t="s">
        <v>294</v>
      </c>
      <c r="E161" s="351"/>
      <c r="F161" s="485" t="s">
        <v>325</v>
      </c>
      <c r="G161" s="351"/>
      <c r="H161" s="487"/>
      <c r="I161" s="350"/>
      <c r="J161" s="351"/>
      <c r="K161" s="485" t="s">
        <v>325</v>
      </c>
      <c r="L161" s="350"/>
      <c r="M161" s="351"/>
      <c r="N161" s="490" t="s">
        <v>294</v>
      </c>
      <c r="O161" s="350"/>
      <c r="P161" s="350"/>
      <c r="Q161" s="350"/>
      <c r="R161" s="350"/>
      <c r="S161" s="350"/>
      <c r="T161" s="350"/>
      <c r="U161" s="351"/>
    </row>
    <row r="162" spans="1:21" ht="34.5" customHeight="1">
      <c r="A162" s="24">
        <f t="shared" si="0"/>
        <v>148</v>
      </c>
      <c r="B162" s="483" t="s">
        <v>332</v>
      </c>
      <c r="C162" s="351"/>
      <c r="D162" s="484" t="s">
        <v>294</v>
      </c>
      <c r="E162" s="351"/>
      <c r="F162" s="485" t="s">
        <v>325</v>
      </c>
      <c r="G162" s="351"/>
      <c r="H162" s="486"/>
      <c r="I162" s="350"/>
      <c r="J162" s="351"/>
      <c r="K162" s="485" t="s">
        <v>325</v>
      </c>
      <c r="L162" s="350"/>
      <c r="M162" s="351"/>
      <c r="N162" s="491" t="s">
        <v>294</v>
      </c>
      <c r="O162" s="350"/>
      <c r="P162" s="350"/>
      <c r="Q162" s="350"/>
      <c r="R162" s="350"/>
      <c r="S162" s="350"/>
      <c r="T162" s="350"/>
      <c r="U162" s="351"/>
    </row>
    <row r="163" spans="1:21" ht="34.5" customHeight="1">
      <c r="A163" s="24">
        <f t="shared" si="0"/>
        <v>149</v>
      </c>
      <c r="B163" s="488" t="s">
        <v>294</v>
      </c>
      <c r="C163" s="351"/>
      <c r="D163" s="489" t="s">
        <v>294</v>
      </c>
      <c r="E163" s="351"/>
      <c r="F163" s="485" t="s">
        <v>325</v>
      </c>
      <c r="G163" s="351"/>
      <c r="H163" s="487"/>
      <c r="I163" s="350"/>
      <c r="J163" s="351"/>
      <c r="K163" s="485" t="s">
        <v>325</v>
      </c>
      <c r="L163" s="350"/>
      <c r="M163" s="351"/>
      <c r="N163" s="490" t="s">
        <v>294</v>
      </c>
      <c r="O163" s="350"/>
      <c r="P163" s="350"/>
      <c r="Q163" s="350"/>
      <c r="R163" s="350"/>
      <c r="S163" s="350"/>
      <c r="T163" s="350"/>
      <c r="U163" s="351"/>
    </row>
    <row r="164" spans="1:21" ht="34.5" customHeight="1">
      <c r="A164" s="24">
        <f t="shared" si="0"/>
        <v>150</v>
      </c>
      <c r="B164" s="483" t="s">
        <v>294</v>
      </c>
      <c r="C164" s="351"/>
      <c r="D164" s="484" t="s">
        <v>294</v>
      </c>
      <c r="E164" s="351"/>
      <c r="F164" s="485" t="s">
        <v>325</v>
      </c>
      <c r="G164" s="351"/>
      <c r="H164" s="486"/>
      <c r="I164" s="350"/>
      <c r="J164" s="351"/>
      <c r="K164" s="485" t="s">
        <v>325</v>
      </c>
      <c r="L164" s="350"/>
      <c r="M164" s="351"/>
      <c r="N164" s="491" t="s">
        <v>294</v>
      </c>
      <c r="O164" s="350"/>
      <c r="P164" s="350"/>
      <c r="Q164" s="350"/>
      <c r="R164" s="350"/>
      <c r="S164" s="350"/>
      <c r="T164" s="350"/>
      <c r="U164" s="351"/>
    </row>
    <row r="165" spans="1:21" ht="34.5" customHeight="1">
      <c r="A165" s="24">
        <f t="shared" si="0"/>
        <v>151</v>
      </c>
      <c r="B165" s="488" t="s">
        <v>294</v>
      </c>
      <c r="C165" s="351"/>
      <c r="D165" s="489" t="s">
        <v>294</v>
      </c>
      <c r="E165" s="351"/>
      <c r="F165" s="485" t="s">
        <v>325</v>
      </c>
      <c r="G165" s="351"/>
      <c r="H165" s="487"/>
      <c r="I165" s="350"/>
      <c r="J165" s="351"/>
      <c r="K165" s="485" t="s">
        <v>325</v>
      </c>
      <c r="L165" s="350"/>
      <c r="M165" s="351"/>
      <c r="N165" s="490" t="s">
        <v>294</v>
      </c>
      <c r="O165" s="350"/>
      <c r="P165" s="350"/>
      <c r="Q165" s="350"/>
      <c r="R165" s="350"/>
      <c r="S165" s="350"/>
      <c r="T165" s="350"/>
      <c r="U165" s="351"/>
    </row>
    <row r="166" spans="1:21" ht="34.5" customHeight="1">
      <c r="A166" s="24">
        <f t="shared" si="0"/>
        <v>152</v>
      </c>
      <c r="B166" s="483" t="s">
        <v>294</v>
      </c>
      <c r="C166" s="351"/>
      <c r="D166" s="484" t="s">
        <v>294</v>
      </c>
      <c r="E166" s="351"/>
      <c r="F166" s="485" t="s">
        <v>325</v>
      </c>
      <c r="G166" s="351"/>
      <c r="H166" s="486"/>
      <c r="I166" s="350"/>
      <c r="J166" s="351"/>
      <c r="K166" s="485" t="s">
        <v>325</v>
      </c>
      <c r="L166" s="350"/>
      <c r="M166" s="351"/>
      <c r="N166" s="491" t="s">
        <v>294</v>
      </c>
      <c r="O166" s="350"/>
      <c r="P166" s="350"/>
      <c r="Q166" s="350"/>
      <c r="R166" s="350"/>
      <c r="S166" s="350"/>
      <c r="T166" s="350"/>
      <c r="U166" s="351"/>
    </row>
    <row r="167" spans="1:21" ht="34.5" customHeight="1">
      <c r="A167" s="24">
        <f t="shared" si="0"/>
        <v>153</v>
      </c>
      <c r="B167" s="488" t="s">
        <v>294</v>
      </c>
      <c r="C167" s="351"/>
      <c r="D167" s="489" t="s">
        <v>294</v>
      </c>
      <c r="E167" s="351"/>
      <c r="F167" s="485" t="s">
        <v>325</v>
      </c>
      <c r="G167" s="351"/>
      <c r="H167" s="487"/>
      <c r="I167" s="350"/>
      <c r="J167" s="351"/>
      <c r="K167" s="485" t="s">
        <v>325</v>
      </c>
      <c r="L167" s="350"/>
      <c r="M167" s="351"/>
      <c r="N167" s="490" t="s">
        <v>294</v>
      </c>
      <c r="O167" s="350"/>
      <c r="P167" s="350"/>
      <c r="Q167" s="350"/>
      <c r="R167" s="350"/>
      <c r="S167" s="350"/>
      <c r="T167" s="350"/>
      <c r="U167" s="351"/>
    </row>
    <row r="168" spans="1:21" ht="34.5" customHeight="1">
      <c r="A168" s="24">
        <f t="shared" si="0"/>
        <v>154</v>
      </c>
      <c r="B168" s="483" t="s">
        <v>294</v>
      </c>
      <c r="C168" s="351"/>
      <c r="D168" s="484" t="s">
        <v>294</v>
      </c>
      <c r="E168" s="351"/>
      <c r="F168" s="485" t="s">
        <v>325</v>
      </c>
      <c r="G168" s="351"/>
      <c r="H168" s="486"/>
      <c r="I168" s="350"/>
      <c r="J168" s="351"/>
      <c r="K168" s="485" t="s">
        <v>325</v>
      </c>
      <c r="L168" s="350"/>
      <c r="M168" s="351"/>
      <c r="N168" s="491" t="s">
        <v>294</v>
      </c>
      <c r="O168" s="350"/>
      <c r="P168" s="350"/>
      <c r="Q168" s="350"/>
      <c r="R168" s="350"/>
      <c r="S168" s="350"/>
      <c r="T168" s="350"/>
      <c r="U168" s="351"/>
    </row>
    <row r="169" spans="1:21" ht="34.5" customHeight="1">
      <c r="A169" s="24">
        <f t="shared" si="0"/>
        <v>155</v>
      </c>
      <c r="B169" s="488" t="s">
        <v>294</v>
      </c>
      <c r="C169" s="351"/>
      <c r="D169" s="489" t="s">
        <v>294</v>
      </c>
      <c r="E169" s="351"/>
      <c r="F169" s="485" t="s">
        <v>325</v>
      </c>
      <c r="G169" s="351"/>
      <c r="H169" s="487"/>
      <c r="I169" s="350"/>
      <c r="J169" s="351"/>
      <c r="K169" s="485" t="s">
        <v>325</v>
      </c>
      <c r="L169" s="350"/>
      <c r="M169" s="351"/>
      <c r="N169" s="490" t="s">
        <v>294</v>
      </c>
      <c r="O169" s="350"/>
      <c r="P169" s="350"/>
      <c r="Q169" s="350"/>
      <c r="R169" s="350"/>
      <c r="S169" s="350"/>
      <c r="T169" s="350"/>
      <c r="U169" s="351"/>
    </row>
    <row r="170" spans="1:21" ht="34.5" customHeight="1">
      <c r="A170" s="24">
        <f t="shared" si="0"/>
        <v>156</v>
      </c>
      <c r="B170" s="483" t="s">
        <v>294</v>
      </c>
      <c r="C170" s="351"/>
      <c r="D170" s="484" t="s">
        <v>294</v>
      </c>
      <c r="E170" s="351"/>
      <c r="F170" s="485" t="s">
        <v>325</v>
      </c>
      <c r="G170" s="351"/>
      <c r="H170" s="486"/>
      <c r="I170" s="350"/>
      <c r="J170" s="351"/>
      <c r="K170" s="485" t="s">
        <v>325</v>
      </c>
      <c r="L170" s="350"/>
      <c r="M170" s="351"/>
      <c r="N170" s="491" t="s">
        <v>294</v>
      </c>
      <c r="O170" s="350"/>
      <c r="P170" s="350"/>
      <c r="Q170" s="350"/>
      <c r="R170" s="350"/>
      <c r="S170" s="350"/>
      <c r="T170" s="350"/>
      <c r="U170" s="351"/>
    </row>
    <row r="171" spans="1:21" ht="34.5" customHeight="1">
      <c r="A171" s="24">
        <f t="shared" si="0"/>
        <v>157</v>
      </c>
      <c r="B171" s="488" t="s">
        <v>294</v>
      </c>
      <c r="C171" s="351"/>
      <c r="D171" s="489" t="s">
        <v>294</v>
      </c>
      <c r="E171" s="351"/>
      <c r="F171" s="485" t="s">
        <v>325</v>
      </c>
      <c r="G171" s="351"/>
      <c r="H171" s="487"/>
      <c r="I171" s="350"/>
      <c r="J171" s="351"/>
      <c r="K171" s="485" t="s">
        <v>325</v>
      </c>
      <c r="L171" s="350"/>
      <c r="M171" s="351"/>
      <c r="N171" s="490" t="s">
        <v>294</v>
      </c>
      <c r="O171" s="350"/>
      <c r="P171" s="350"/>
      <c r="Q171" s="350"/>
      <c r="R171" s="350"/>
      <c r="S171" s="350"/>
      <c r="T171" s="350"/>
      <c r="U171" s="351"/>
    </row>
    <row r="172" spans="1:21" ht="34.5" customHeight="1">
      <c r="A172" s="24">
        <f t="shared" si="0"/>
        <v>158</v>
      </c>
      <c r="B172" s="483" t="s">
        <v>294</v>
      </c>
      <c r="C172" s="351"/>
      <c r="D172" s="484" t="s">
        <v>294</v>
      </c>
      <c r="E172" s="351"/>
      <c r="F172" s="485" t="s">
        <v>325</v>
      </c>
      <c r="G172" s="351"/>
      <c r="H172" s="486"/>
      <c r="I172" s="350"/>
      <c r="J172" s="351"/>
      <c r="K172" s="485" t="s">
        <v>325</v>
      </c>
      <c r="L172" s="350"/>
      <c r="M172" s="351"/>
      <c r="N172" s="491" t="s">
        <v>294</v>
      </c>
      <c r="O172" s="350"/>
      <c r="P172" s="350"/>
      <c r="Q172" s="350"/>
      <c r="R172" s="350"/>
      <c r="S172" s="350"/>
      <c r="T172" s="350"/>
      <c r="U172" s="351"/>
    </row>
    <row r="173" spans="1:21" ht="34.5" customHeight="1">
      <c r="A173" s="24">
        <f t="shared" si="0"/>
        <v>159</v>
      </c>
      <c r="B173" s="488" t="s">
        <v>294</v>
      </c>
      <c r="C173" s="351"/>
      <c r="D173" s="489" t="s">
        <v>294</v>
      </c>
      <c r="E173" s="351"/>
      <c r="F173" s="485" t="s">
        <v>325</v>
      </c>
      <c r="G173" s="351"/>
      <c r="H173" s="487"/>
      <c r="I173" s="350"/>
      <c r="J173" s="351"/>
      <c r="K173" s="485" t="s">
        <v>325</v>
      </c>
      <c r="L173" s="350"/>
      <c r="M173" s="351"/>
      <c r="N173" s="490" t="s">
        <v>294</v>
      </c>
      <c r="O173" s="350"/>
      <c r="P173" s="350"/>
      <c r="Q173" s="350"/>
      <c r="R173" s="350"/>
      <c r="S173" s="350"/>
      <c r="T173" s="350"/>
      <c r="U173" s="351"/>
    </row>
    <row r="174" spans="1:21" ht="34.5" customHeight="1">
      <c r="A174" s="24">
        <f t="shared" si="0"/>
        <v>160</v>
      </c>
      <c r="B174" s="483" t="s">
        <v>333</v>
      </c>
      <c r="C174" s="351"/>
      <c r="D174" s="484" t="s">
        <v>294</v>
      </c>
      <c r="E174" s="351"/>
      <c r="F174" s="485" t="s">
        <v>325</v>
      </c>
      <c r="G174" s="351"/>
      <c r="H174" s="486"/>
      <c r="I174" s="350"/>
      <c r="J174" s="351"/>
      <c r="K174" s="485" t="s">
        <v>325</v>
      </c>
      <c r="L174" s="350"/>
      <c r="M174" s="351"/>
      <c r="N174" s="491" t="s">
        <v>294</v>
      </c>
      <c r="O174" s="350"/>
      <c r="P174" s="350"/>
      <c r="Q174" s="350"/>
      <c r="R174" s="350"/>
      <c r="S174" s="350"/>
      <c r="T174" s="350"/>
      <c r="U174" s="351"/>
    </row>
    <row r="175" spans="1:21" ht="34.5" customHeight="1">
      <c r="A175" s="24">
        <f t="shared" si="0"/>
        <v>161</v>
      </c>
      <c r="B175" s="488" t="s">
        <v>294</v>
      </c>
      <c r="C175" s="351"/>
      <c r="D175" s="489" t="s">
        <v>294</v>
      </c>
      <c r="E175" s="351"/>
      <c r="F175" s="485" t="s">
        <v>325</v>
      </c>
      <c r="G175" s="351"/>
      <c r="H175" s="487"/>
      <c r="I175" s="350"/>
      <c r="J175" s="351"/>
      <c r="K175" s="485" t="s">
        <v>325</v>
      </c>
      <c r="L175" s="350"/>
      <c r="M175" s="351"/>
      <c r="N175" s="490" t="s">
        <v>294</v>
      </c>
      <c r="O175" s="350"/>
      <c r="P175" s="350"/>
      <c r="Q175" s="350"/>
      <c r="R175" s="350"/>
      <c r="S175" s="350"/>
      <c r="T175" s="350"/>
      <c r="U175" s="351"/>
    </row>
    <row r="176" spans="1:21" ht="34.5" customHeight="1">
      <c r="A176" s="24">
        <f t="shared" si="0"/>
        <v>162</v>
      </c>
      <c r="B176" s="483" t="s">
        <v>294</v>
      </c>
      <c r="C176" s="351"/>
      <c r="D176" s="484" t="s">
        <v>294</v>
      </c>
      <c r="E176" s="351"/>
      <c r="F176" s="485" t="s">
        <v>325</v>
      </c>
      <c r="G176" s="351"/>
      <c r="H176" s="486"/>
      <c r="I176" s="350"/>
      <c r="J176" s="351"/>
      <c r="K176" s="485" t="s">
        <v>325</v>
      </c>
      <c r="L176" s="350"/>
      <c r="M176" s="351"/>
      <c r="N176" s="491" t="s">
        <v>294</v>
      </c>
      <c r="O176" s="350"/>
      <c r="P176" s="350"/>
      <c r="Q176" s="350"/>
      <c r="R176" s="350"/>
      <c r="S176" s="350"/>
      <c r="T176" s="350"/>
      <c r="U176" s="351"/>
    </row>
    <row r="177" spans="1:21" ht="34.5" customHeight="1">
      <c r="A177" s="24">
        <f t="shared" si="0"/>
        <v>163</v>
      </c>
      <c r="B177" s="488" t="s">
        <v>294</v>
      </c>
      <c r="C177" s="351"/>
      <c r="D177" s="489" t="s">
        <v>294</v>
      </c>
      <c r="E177" s="351"/>
      <c r="F177" s="485" t="s">
        <v>325</v>
      </c>
      <c r="G177" s="351"/>
      <c r="H177" s="487"/>
      <c r="I177" s="350"/>
      <c r="J177" s="351"/>
      <c r="K177" s="485" t="s">
        <v>325</v>
      </c>
      <c r="L177" s="350"/>
      <c r="M177" s="351"/>
      <c r="N177" s="490" t="s">
        <v>294</v>
      </c>
      <c r="O177" s="350"/>
      <c r="P177" s="350"/>
      <c r="Q177" s="350"/>
      <c r="R177" s="350"/>
      <c r="S177" s="350"/>
      <c r="T177" s="350"/>
      <c r="U177" s="351"/>
    </row>
    <row r="178" spans="1:21" ht="34.5" customHeight="1">
      <c r="A178" s="24">
        <f t="shared" si="0"/>
        <v>164</v>
      </c>
      <c r="B178" s="483" t="s">
        <v>294</v>
      </c>
      <c r="C178" s="351"/>
      <c r="D178" s="484" t="s">
        <v>294</v>
      </c>
      <c r="E178" s="351"/>
      <c r="F178" s="485" t="s">
        <v>325</v>
      </c>
      <c r="G178" s="351"/>
      <c r="H178" s="486"/>
      <c r="I178" s="350"/>
      <c r="J178" s="351"/>
      <c r="K178" s="485" t="s">
        <v>325</v>
      </c>
      <c r="L178" s="350"/>
      <c r="M178" s="351"/>
      <c r="N178" s="491" t="s">
        <v>294</v>
      </c>
      <c r="O178" s="350"/>
      <c r="P178" s="350"/>
      <c r="Q178" s="350"/>
      <c r="R178" s="350"/>
      <c r="S178" s="350"/>
      <c r="T178" s="350"/>
      <c r="U178" s="351"/>
    </row>
    <row r="179" spans="1:21" ht="34.5" customHeight="1">
      <c r="A179" s="24">
        <f t="shared" si="0"/>
        <v>165</v>
      </c>
      <c r="B179" s="488" t="s">
        <v>294</v>
      </c>
      <c r="C179" s="351"/>
      <c r="D179" s="489" t="s">
        <v>294</v>
      </c>
      <c r="E179" s="351"/>
      <c r="F179" s="485" t="s">
        <v>325</v>
      </c>
      <c r="G179" s="351"/>
      <c r="H179" s="487"/>
      <c r="I179" s="350"/>
      <c r="J179" s="351"/>
      <c r="K179" s="485" t="s">
        <v>325</v>
      </c>
      <c r="L179" s="350"/>
      <c r="M179" s="351"/>
      <c r="N179" s="490" t="s">
        <v>294</v>
      </c>
      <c r="O179" s="350"/>
      <c r="P179" s="350"/>
      <c r="Q179" s="350"/>
      <c r="R179" s="350"/>
      <c r="S179" s="350"/>
      <c r="T179" s="350"/>
      <c r="U179" s="351"/>
    </row>
    <row r="180" spans="1:21" ht="34.5" customHeight="1">
      <c r="A180" s="24">
        <f t="shared" si="0"/>
        <v>166</v>
      </c>
      <c r="B180" s="483" t="s">
        <v>330</v>
      </c>
      <c r="C180" s="351"/>
      <c r="D180" s="484" t="s">
        <v>294</v>
      </c>
      <c r="E180" s="351"/>
      <c r="F180" s="485" t="s">
        <v>325</v>
      </c>
      <c r="G180" s="351"/>
      <c r="H180" s="486"/>
      <c r="I180" s="350"/>
      <c r="J180" s="351"/>
      <c r="K180" s="485" t="s">
        <v>325</v>
      </c>
      <c r="L180" s="350"/>
      <c r="M180" s="351"/>
      <c r="N180" s="491" t="s">
        <v>294</v>
      </c>
      <c r="O180" s="350"/>
      <c r="P180" s="350"/>
      <c r="Q180" s="350"/>
      <c r="R180" s="350"/>
      <c r="S180" s="350"/>
      <c r="T180" s="350"/>
      <c r="U180" s="351"/>
    </row>
    <row r="181" spans="1:21" ht="34.5" customHeight="1">
      <c r="A181" s="24">
        <f t="shared" si="0"/>
        <v>167</v>
      </c>
      <c r="B181" s="488" t="s">
        <v>294</v>
      </c>
      <c r="C181" s="351"/>
      <c r="D181" s="489" t="s">
        <v>294</v>
      </c>
      <c r="E181" s="351"/>
      <c r="F181" s="485" t="s">
        <v>325</v>
      </c>
      <c r="G181" s="351"/>
      <c r="H181" s="487"/>
      <c r="I181" s="350"/>
      <c r="J181" s="351"/>
      <c r="K181" s="485" t="s">
        <v>325</v>
      </c>
      <c r="L181" s="350"/>
      <c r="M181" s="351"/>
      <c r="N181" s="490" t="s">
        <v>294</v>
      </c>
      <c r="O181" s="350"/>
      <c r="P181" s="350"/>
      <c r="Q181" s="350"/>
      <c r="R181" s="350"/>
      <c r="S181" s="350"/>
      <c r="T181" s="350"/>
      <c r="U181" s="351"/>
    </row>
    <row r="182" spans="1:21" ht="34.5" customHeight="1">
      <c r="A182" s="24">
        <f t="shared" si="0"/>
        <v>168</v>
      </c>
      <c r="B182" s="483" t="s">
        <v>294</v>
      </c>
      <c r="C182" s="351"/>
      <c r="D182" s="484" t="s">
        <v>294</v>
      </c>
      <c r="E182" s="351"/>
      <c r="F182" s="485" t="s">
        <v>325</v>
      </c>
      <c r="G182" s="351"/>
      <c r="H182" s="486"/>
      <c r="I182" s="350"/>
      <c r="J182" s="351"/>
      <c r="K182" s="485" t="s">
        <v>325</v>
      </c>
      <c r="L182" s="350"/>
      <c r="M182" s="351"/>
      <c r="N182" s="491" t="s">
        <v>294</v>
      </c>
      <c r="O182" s="350"/>
      <c r="P182" s="350"/>
      <c r="Q182" s="350"/>
      <c r="R182" s="350"/>
      <c r="S182" s="350"/>
      <c r="T182" s="350"/>
      <c r="U182" s="351"/>
    </row>
    <row r="183" spans="1:21" ht="34.5" customHeight="1">
      <c r="A183" s="24">
        <f t="shared" si="0"/>
        <v>169</v>
      </c>
      <c r="B183" s="488" t="s">
        <v>294</v>
      </c>
      <c r="C183" s="351"/>
      <c r="D183" s="489" t="s">
        <v>294</v>
      </c>
      <c r="E183" s="351"/>
      <c r="F183" s="485" t="s">
        <v>325</v>
      </c>
      <c r="G183" s="351"/>
      <c r="H183" s="487"/>
      <c r="I183" s="350"/>
      <c r="J183" s="351"/>
      <c r="K183" s="485" t="s">
        <v>325</v>
      </c>
      <c r="L183" s="350"/>
      <c r="M183" s="351"/>
      <c r="N183" s="490" t="s">
        <v>294</v>
      </c>
      <c r="O183" s="350"/>
      <c r="P183" s="350"/>
      <c r="Q183" s="350"/>
      <c r="R183" s="350"/>
      <c r="S183" s="350"/>
      <c r="T183" s="350"/>
      <c r="U183" s="351"/>
    </row>
    <row r="184" spans="1:21" ht="34.5" customHeight="1">
      <c r="A184" s="24">
        <f t="shared" si="0"/>
        <v>170</v>
      </c>
      <c r="B184" s="483" t="s">
        <v>294</v>
      </c>
      <c r="C184" s="351"/>
      <c r="D184" s="484" t="s">
        <v>294</v>
      </c>
      <c r="E184" s="351"/>
      <c r="F184" s="485" t="s">
        <v>325</v>
      </c>
      <c r="G184" s="351"/>
      <c r="H184" s="486"/>
      <c r="I184" s="350"/>
      <c r="J184" s="351"/>
      <c r="K184" s="485" t="s">
        <v>325</v>
      </c>
      <c r="L184" s="350"/>
      <c r="M184" s="351"/>
      <c r="N184" s="491" t="s">
        <v>294</v>
      </c>
      <c r="O184" s="350"/>
      <c r="P184" s="350"/>
      <c r="Q184" s="350"/>
      <c r="R184" s="350"/>
      <c r="S184" s="350"/>
      <c r="T184" s="350"/>
      <c r="U184" s="351"/>
    </row>
    <row r="185" spans="1:21" ht="34.5" customHeight="1">
      <c r="A185" s="24">
        <f t="shared" si="0"/>
        <v>171</v>
      </c>
      <c r="B185" s="488" t="s">
        <v>334</v>
      </c>
      <c r="C185" s="351"/>
      <c r="D185" s="489" t="s">
        <v>294</v>
      </c>
      <c r="E185" s="351"/>
      <c r="F185" s="485" t="s">
        <v>325</v>
      </c>
      <c r="G185" s="351"/>
      <c r="H185" s="487"/>
      <c r="I185" s="350"/>
      <c r="J185" s="351"/>
      <c r="K185" s="485" t="s">
        <v>325</v>
      </c>
      <c r="L185" s="350"/>
      <c r="M185" s="351"/>
      <c r="N185" s="490" t="s">
        <v>294</v>
      </c>
      <c r="O185" s="350"/>
      <c r="P185" s="350"/>
      <c r="Q185" s="350"/>
      <c r="R185" s="350"/>
      <c r="S185" s="350"/>
      <c r="T185" s="350"/>
      <c r="U185" s="351"/>
    </row>
    <row r="186" spans="1:21" ht="34.5" customHeight="1">
      <c r="A186" s="24">
        <f t="shared" si="0"/>
        <v>172</v>
      </c>
      <c r="B186" s="483" t="s">
        <v>294</v>
      </c>
      <c r="C186" s="351"/>
      <c r="D186" s="484" t="s">
        <v>294</v>
      </c>
      <c r="E186" s="351"/>
      <c r="F186" s="485" t="s">
        <v>325</v>
      </c>
      <c r="G186" s="351"/>
      <c r="H186" s="486"/>
      <c r="I186" s="350"/>
      <c r="J186" s="351"/>
      <c r="K186" s="485" t="s">
        <v>325</v>
      </c>
      <c r="L186" s="350"/>
      <c r="M186" s="351"/>
      <c r="N186" s="491" t="s">
        <v>294</v>
      </c>
      <c r="O186" s="350"/>
      <c r="P186" s="350"/>
      <c r="Q186" s="350"/>
      <c r="R186" s="350"/>
      <c r="S186" s="350"/>
      <c r="T186" s="350"/>
      <c r="U186" s="351"/>
    </row>
    <row r="187" spans="1:21" ht="34.5" customHeight="1">
      <c r="A187" s="24">
        <f t="shared" si="0"/>
        <v>173</v>
      </c>
      <c r="B187" s="488" t="s">
        <v>294</v>
      </c>
      <c r="C187" s="351"/>
      <c r="D187" s="489" t="s">
        <v>294</v>
      </c>
      <c r="E187" s="351"/>
      <c r="F187" s="485" t="s">
        <v>325</v>
      </c>
      <c r="G187" s="351"/>
      <c r="H187" s="487"/>
      <c r="I187" s="350"/>
      <c r="J187" s="351"/>
      <c r="K187" s="485" t="s">
        <v>325</v>
      </c>
      <c r="L187" s="350"/>
      <c r="M187" s="351"/>
      <c r="N187" s="490" t="s">
        <v>294</v>
      </c>
      <c r="O187" s="350"/>
      <c r="P187" s="350"/>
      <c r="Q187" s="350"/>
      <c r="R187" s="350"/>
      <c r="S187" s="350"/>
      <c r="T187" s="350"/>
      <c r="U187" s="351"/>
    </row>
    <row r="188" spans="1:21" ht="34.5" customHeight="1">
      <c r="A188" s="24">
        <f t="shared" si="0"/>
        <v>174</v>
      </c>
      <c r="B188" s="483" t="s">
        <v>294</v>
      </c>
      <c r="C188" s="351"/>
      <c r="D188" s="484" t="s">
        <v>294</v>
      </c>
      <c r="E188" s="351"/>
      <c r="F188" s="485" t="s">
        <v>325</v>
      </c>
      <c r="G188" s="351"/>
      <c r="H188" s="486"/>
      <c r="I188" s="350"/>
      <c r="J188" s="351"/>
      <c r="K188" s="485" t="s">
        <v>325</v>
      </c>
      <c r="L188" s="350"/>
      <c r="M188" s="351"/>
      <c r="N188" s="491" t="s">
        <v>294</v>
      </c>
      <c r="O188" s="350"/>
      <c r="P188" s="350"/>
      <c r="Q188" s="350"/>
      <c r="R188" s="350"/>
      <c r="S188" s="350"/>
      <c r="T188" s="350"/>
      <c r="U188" s="351"/>
    </row>
    <row r="189" spans="1:21" ht="34.5" customHeight="1">
      <c r="A189" s="24">
        <f t="shared" si="0"/>
        <v>175</v>
      </c>
      <c r="B189" s="488" t="s">
        <v>294</v>
      </c>
      <c r="C189" s="351"/>
      <c r="D189" s="489" t="s">
        <v>294</v>
      </c>
      <c r="E189" s="351"/>
      <c r="F189" s="485" t="s">
        <v>325</v>
      </c>
      <c r="G189" s="351"/>
      <c r="H189" s="487"/>
      <c r="I189" s="350"/>
      <c r="J189" s="351"/>
      <c r="K189" s="485" t="s">
        <v>325</v>
      </c>
      <c r="L189" s="350"/>
      <c r="M189" s="351"/>
      <c r="N189" s="490" t="s">
        <v>294</v>
      </c>
      <c r="O189" s="350"/>
      <c r="P189" s="350"/>
      <c r="Q189" s="350"/>
      <c r="R189" s="350"/>
      <c r="S189" s="350"/>
      <c r="T189" s="350"/>
      <c r="U189" s="351"/>
    </row>
    <row r="190" spans="1:21" ht="34.5" customHeight="1">
      <c r="A190" s="24">
        <f t="shared" si="0"/>
        <v>176</v>
      </c>
      <c r="B190" s="483" t="s">
        <v>332</v>
      </c>
      <c r="C190" s="351"/>
      <c r="D190" s="484" t="s">
        <v>294</v>
      </c>
      <c r="E190" s="351"/>
      <c r="F190" s="485" t="s">
        <v>325</v>
      </c>
      <c r="G190" s="351"/>
      <c r="H190" s="486"/>
      <c r="I190" s="350"/>
      <c r="J190" s="351"/>
      <c r="K190" s="485" t="s">
        <v>325</v>
      </c>
      <c r="L190" s="350"/>
      <c r="M190" s="351"/>
      <c r="N190" s="491" t="s">
        <v>294</v>
      </c>
      <c r="O190" s="350"/>
      <c r="P190" s="350"/>
      <c r="Q190" s="350"/>
      <c r="R190" s="350"/>
      <c r="S190" s="350"/>
      <c r="T190" s="350"/>
      <c r="U190" s="351"/>
    </row>
    <row r="191" spans="1:21" ht="34.5" customHeight="1">
      <c r="A191" s="24">
        <f t="shared" si="0"/>
        <v>177</v>
      </c>
      <c r="B191" s="488" t="s">
        <v>294</v>
      </c>
      <c r="C191" s="351"/>
      <c r="D191" s="489" t="s">
        <v>294</v>
      </c>
      <c r="E191" s="351"/>
      <c r="F191" s="485" t="s">
        <v>325</v>
      </c>
      <c r="G191" s="351"/>
      <c r="H191" s="487"/>
      <c r="I191" s="350"/>
      <c r="J191" s="351"/>
      <c r="K191" s="485" t="s">
        <v>325</v>
      </c>
      <c r="L191" s="350"/>
      <c r="M191" s="351"/>
      <c r="N191" s="490" t="s">
        <v>294</v>
      </c>
      <c r="O191" s="350"/>
      <c r="P191" s="350"/>
      <c r="Q191" s="350"/>
      <c r="R191" s="350"/>
      <c r="S191" s="350"/>
      <c r="T191" s="350"/>
      <c r="U191" s="351"/>
    </row>
    <row r="192" spans="1:21" ht="34.5" customHeight="1">
      <c r="A192" s="24">
        <f t="shared" si="0"/>
        <v>178</v>
      </c>
      <c r="B192" s="483" t="s">
        <v>294</v>
      </c>
      <c r="C192" s="351"/>
      <c r="D192" s="484" t="s">
        <v>294</v>
      </c>
      <c r="E192" s="351"/>
      <c r="F192" s="485" t="s">
        <v>325</v>
      </c>
      <c r="G192" s="351"/>
      <c r="H192" s="486"/>
      <c r="I192" s="350"/>
      <c r="J192" s="351"/>
      <c r="K192" s="485" t="s">
        <v>325</v>
      </c>
      <c r="L192" s="350"/>
      <c r="M192" s="351"/>
      <c r="N192" s="491" t="s">
        <v>294</v>
      </c>
      <c r="O192" s="350"/>
      <c r="P192" s="350"/>
      <c r="Q192" s="350"/>
      <c r="R192" s="350"/>
      <c r="S192" s="350"/>
      <c r="T192" s="350"/>
      <c r="U192" s="351"/>
    </row>
    <row r="193" spans="1:21" ht="34.5" customHeight="1">
      <c r="A193" s="24">
        <f t="shared" si="0"/>
        <v>179</v>
      </c>
      <c r="B193" s="488" t="s">
        <v>294</v>
      </c>
      <c r="C193" s="351"/>
      <c r="D193" s="489" t="s">
        <v>294</v>
      </c>
      <c r="E193" s="351"/>
      <c r="F193" s="485" t="s">
        <v>325</v>
      </c>
      <c r="G193" s="351"/>
      <c r="H193" s="487"/>
      <c r="I193" s="350"/>
      <c r="J193" s="351"/>
      <c r="K193" s="485" t="s">
        <v>325</v>
      </c>
      <c r="L193" s="350"/>
      <c r="M193" s="351"/>
      <c r="N193" s="490" t="s">
        <v>294</v>
      </c>
      <c r="O193" s="350"/>
      <c r="P193" s="350"/>
      <c r="Q193" s="350"/>
      <c r="R193" s="350"/>
      <c r="S193" s="350"/>
      <c r="T193" s="350"/>
      <c r="U193" s="351"/>
    </row>
    <row r="194" spans="1:21" ht="34.5" customHeight="1">
      <c r="A194" s="24">
        <f t="shared" si="0"/>
        <v>180</v>
      </c>
      <c r="B194" s="483" t="s">
        <v>294</v>
      </c>
      <c r="C194" s="351"/>
      <c r="D194" s="484" t="s">
        <v>294</v>
      </c>
      <c r="E194" s="351"/>
      <c r="F194" s="485" t="s">
        <v>325</v>
      </c>
      <c r="G194" s="351"/>
      <c r="H194" s="486"/>
      <c r="I194" s="350"/>
      <c r="J194" s="351"/>
      <c r="K194" s="485" t="s">
        <v>325</v>
      </c>
      <c r="L194" s="350"/>
      <c r="M194" s="351"/>
      <c r="N194" s="491" t="s">
        <v>294</v>
      </c>
      <c r="O194" s="350"/>
      <c r="P194" s="350"/>
      <c r="Q194" s="350"/>
      <c r="R194" s="350"/>
      <c r="S194" s="350"/>
      <c r="T194" s="350"/>
      <c r="U194" s="351"/>
    </row>
    <row r="195" spans="1:21" ht="34.5" customHeight="1">
      <c r="A195" s="24">
        <f t="shared" si="0"/>
        <v>181</v>
      </c>
      <c r="B195" s="488" t="s">
        <v>329</v>
      </c>
      <c r="C195" s="351"/>
      <c r="D195" s="489" t="s">
        <v>294</v>
      </c>
      <c r="E195" s="351"/>
      <c r="F195" s="485" t="s">
        <v>325</v>
      </c>
      <c r="G195" s="351"/>
      <c r="H195" s="487"/>
      <c r="I195" s="350"/>
      <c r="J195" s="351"/>
      <c r="K195" s="485" t="s">
        <v>325</v>
      </c>
      <c r="L195" s="350"/>
      <c r="M195" s="351"/>
      <c r="N195" s="490" t="s">
        <v>294</v>
      </c>
      <c r="O195" s="350"/>
      <c r="P195" s="350"/>
      <c r="Q195" s="350"/>
      <c r="R195" s="350"/>
      <c r="S195" s="350"/>
      <c r="T195" s="350"/>
      <c r="U195" s="351"/>
    </row>
    <row r="196" spans="1:21" ht="34.5" customHeight="1">
      <c r="A196" s="24">
        <f t="shared" si="0"/>
        <v>182</v>
      </c>
      <c r="B196" s="483" t="s">
        <v>294</v>
      </c>
      <c r="C196" s="351"/>
      <c r="D196" s="484" t="s">
        <v>294</v>
      </c>
      <c r="E196" s="351"/>
      <c r="F196" s="485" t="s">
        <v>325</v>
      </c>
      <c r="G196" s="351"/>
      <c r="H196" s="486"/>
      <c r="I196" s="350"/>
      <c r="J196" s="351"/>
      <c r="K196" s="485" t="s">
        <v>325</v>
      </c>
      <c r="L196" s="350"/>
      <c r="M196" s="351"/>
      <c r="N196" s="491" t="s">
        <v>294</v>
      </c>
      <c r="O196" s="350"/>
      <c r="P196" s="350"/>
      <c r="Q196" s="350"/>
      <c r="R196" s="350"/>
      <c r="S196" s="350"/>
      <c r="T196" s="350"/>
      <c r="U196" s="351"/>
    </row>
    <row r="197" spans="1:21" ht="34.5" customHeight="1">
      <c r="A197" s="24">
        <f t="shared" si="0"/>
        <v>183</v>
      </c>
      <c r="B197" s="488" t="s">
        <v>294</v>
      </c>
      <c r="C197" s="351"/>
      <c r="D197" s="489" t="s">
        <v>294</v>
      </c>
      <c r="E197" s="351"/>
      <c r="F197" s="485" t="s">
        <v>325</v>
      </c>
      <c r="G197" s="351"/>
      <c r="H197" s="487"/>
      <c r="I197" s="350"/>
      <c r="J197" s="351"/>
      <c r="K197" s="485" t="s">
        <v>325</v>
      </c>
      <c r="L197" s="350"/>
      <c r="M197" s="351"/>
      <c r="N197" s="490" t="s">
        <v>294</v>
      </c>
      <c r="O197" s="350"/>
      <c r="P197" s="350"/>
      <c r="Q197" s="350"/>
      <c r="R197" s="350"/>
      <c r="S197" s="350"/>
      <c r="T197" s="350"/>
      <c r="U197" s="351"/>
    </row>
    <row r="198" spans="1:21" ht="34.5" customHeight="1">
      <c r="A198" s="24">
        <f t="shared" si="0"/>
        <v>184</v>
      </c>
      <c r="B198" s="483" t="s">
        <v>294</v>
      </c>
      <c r="C198" s="351"/>
      <c r="D198" s="484" t="s">
        <v>294</v>
      </c>
      <c r="E198" s="351"/>
      <c r="F198" s="485" t="s">
        <v>325</v>
      </c>
      <c r="G198" s="351"/>
      <c r="H198" s="486"/>
      <c r="I198" s="350"/>
      <c r="J198" s="351"/>
      <c r="K198" s="485" t="s">
        <v>325</v>
      </c>
      <c r="L198" s="350"/>
      <c r="M198" s="351"/>
      <c r="N198" s="491" t="s">
        <v>294</v>
      </c>
      <c r="O198" s="350"/>
      <c r="P198" s="350"/>
      <c r="Q198" s="350"/>
      <c r="R198" s="350"/>
      <c r="S198" s="350"/>
      <c r="T198" s="350"/>
      <c r="U198" s="351"/>
    </row>
    <row r="199" spans="1:21" ht="34.5" customHeight="1">
      <c r="A199" s="24">
        <f t="shared" si="0"/>
        <v>185</v>
      </c>
      <c r="B199" s="488" t="s">
        <v>334</v>
      </c>
      <c r="C199" s="351"/>
      <c r="D199" s="489" t="s">
        <v>294</v>
      </c>
      <c r="E199" s="351"/>
      <c r="F199" s="485" t="s">
        <v>325</v>
      </c>
      <c r="G199" s="351"/>
      <c r="H199" s="487"/>
      <c r="I199" s="350"/>
      <c r="J199" s="351"/>
      <c r="K199" s="485" t="s">
        <v>325</v>
      </c>
      <c r="L199" s="350"/>
      <c r="M199" s="351"/>
      <c r="N199" s="490" t="s">
        <v>294</v>
      </c>
      <c r="O199" s="350"/>
      <c r="P199" s="350"/>
      <c r="Q199" s="350"/>
      <c r="R199" s="350"/>
      <c r="S199" s="350"/>
      <c r="T199" s="350"/>
      <c r="U199" s="351"/>
    </row>
    <row r="200" spans="1:21" ht="34.5" customHeight="1">
      <c r="A200" s="24">
        <f t="shared" si="0"/>
        <v>186</v>
      </c>
      <c r="B200" s="483" t="s">
        <v>294</v>
      </c>
      <c r="C200" s="351"/>
      <c r="D200" s="484" t="s">
        <v>294</v>
      </c>
      <c r="E200" s="351"/>
      <c r="F200" s="485" t="s">
        <v>325</v>
      </c>
      <c r="G200" s="351"/>
      <c r="H200" s="486"/>
      <c r="I200" s="350"/>
      <c r="J200" s="351"/>
      <c r="K200" s="485" t="s">
        <v>325</v>
      </c>
      <c r="L200" s="350"/>
      <c r="M200" s="351"/>
      <c r="N200" s="491" t="s">
        <v>294</v>
      </c>
      <c r="O200" s="350"/>
      <c r="P200" s="350"/>
      <c r="Q200" s="350"/>
      <c r="R200" s="350"/>
      <c r="S200" s="350"/>
      <c r="T200" s="350"/>
      <c r="U200" s="351"/>
    </row>
    <row r="201" spans="1:21" ht="34.5" customHeight="1">
      <c r="A201" s="24">
        <f t="shared" si="0"/>
        <v>187</v>
      </c>
      <c r="B201" s="488" t="s">
        <v>294</v>
      </c>
      <c r="C201" s="351"/>
      <c r="D201" s="489" t="s">
        <v>294</v>
      </c>
      <c r="E201" s="351"/>
      <c r="F201" s="485" t="s">
        <v>325</v>
      </c>
      <c r="G201" s="351"/>
      <c r="H201" s="487"/>
      <c r="I201" s="350"/>
      <c r="J201" s="351"/>
      <c r="K201" s="485" t="s">
        <v>325</v>
      </c>
      <c r="L201" s="350"/>
      <c r="M201" s="351"/>
      <c r="N201" s="490" t="s">
        <v>294</v>
      </c>
      <c r="O201" s="350"/>
      <c r="P201" s="350"/>
      <c r="Q201" s="350"/>
      <c r="R201" s="350"/>
      <c r="S201" s="350"/>
      <c r="T201" s="350"/>
      <c r="U201" s="351"/>
    </row>
    <row r="202" spans="1:21" ht="34.5" customHeight="1">
      <c r="A202" s="24">
        <f t="shared" si="0"/>
        <v>188</v>
      </c>
      <c r="B202" s="483" t="s">
        <v>294</v>
      </c>
      <c r="C202" s="351"/>
      <c r="D202" s="484" t="s">
        <v>294</v>
      </c>
      <c r="E202" s="351"/>
      <c r="F202" s="485" t="s">
        <v>325</v>
      </c>
      <c r="G202" s="351"/>
      <c r="H202" s="486"/>
      <c r="I202" s="350"/>
      <c r="J202" s="351"/>
      <c r="K202" s="485" t="s">
        <v>325</v>
      </c>
      <c r="L202" s="350"/>
      <c r="M202" s="351"/>
      <c r="N202" s="491" t="s">
        <v>294</v>
      </c>
      <c r="O202" s="350"/>
      <c r="P202" s="350"/>
      <c r="Q202" s="350"/>
      <c r="R202" s="350"/>
      <c r="S202" s="350"/>
      <c r="T202" s="350"/>
      <c r="U202" s="351"/>
    </row>
    <row r="203" spans="1:21" ht="34.5" customHeight="1">
      <c r="A203" s="24">
        <f t="shared" si="0"/>
        <v>189</v>
      </c>
      <c r="B203" s="488" t="s">
        <v>294</v>
      </c>
      <c r="C203" s="351"/>
      <c r="D203" s="489" t="s">
        <v>294</v>
      </c>
      <c r="E203" s="351"/>
      <c r="F203" s="485" t="s">
        <v>325</v>
      </c>
      <c r="G203" s="351"/>
      <c r="H203" s="487"/>
      <c r="I203" s="350"/>
      <c r="J203" s="351"/>
      <c r="K203" s="485" t="s">
        <v>325</v>
      </c>
      <c r="L203" s="350"/>
      <c r="M203" s="351"/>
      <c r="N203" s="490" t="s">
        <v>294</v>
      </c>
      <c r="O203" s="350"/>
      <c r="P203" s="350"/>
      <c r="Q203" s="350"/>
      <c r="R203" s="350"/>
      <c r="S203" s="350"/>
      <c r="T203" s="350"/>
      <c r="U203" s="351"/>
    </row>
    <row r="204" spans="1:21" ht="34.5" customHeight="1">
      <c r="A204" s="24">
        <f t="shared" si="0"/>
        <v>190</v>
      </c>
      <c r="B204" s="483" t="s">
        <v>294</v>
      </c>
      <c r="C204" s="351"/>
      <c r="D204" s="484" t="s">
        <v>294</v>
      </c>
      <c r="E204" s="351"/>
      <c r="F204" s="485" t="s">
        <v>325</v>
      </c>
      <c r="G204" s="351"/>
      <c r="H204" s="486"/>
      <c r="I204" s="350"/>
      <c r="J204" s="351"/>
      <c r="K204" s="485" t="s">
        <v>325</v>
      </c>
      <c r="L204" s="350"/>
      <c r="M204" s="351"/>
      <c r="N204" s="491" t="s">
        <v>294</v>
      </c>
      <c r="O204" s="350"/>
      <c r="P204" s="350"/>
      <c r="Q204" s="350"/>
      <c r="R204" s="350"/>
      <c r="S204" s="350"/>
      <c r="T204" s="350"/>
      <c r="U204" s="351"/>
    </row>
    <row r="205" spans="1:21" ht="34.5" customHeight="1">
      <c r="A205" s="24">
        <f t="shared" si="0"/>
        <v>191</v>
      </c>
      <c r="B205" s="488" t="s">
        <v>335</v>
      </c>
      <c r="C205" s="351"/>
      <c r="D205" s="489" t="s">
        <v>294</v>
      </c>
      <c r="E205" s="351"/>
      <c r="F205" s="485" t="s">
        <v>325</v>
      </c>
      <c r="G205" s="351"/>
      <c r="H205" s="487"/>
      <c r="I205" s="350"/>
      <c r="J205" s="351"/>
      <c r="K205" s="485" t="s">
        <v>325</v>
      </c>
      <c r="L205" s="350"/>
      <c r="M205" s="351"/>
      <c r="N205" s="490" t="s">
        <v>294</v>
      </c>
      <c r="O205" s="350"/>
      <c r="P205" s="350"/>
      <c r="Q205" s="350"/>
      <c r="R205" s="350"/>
      <c r="S205" s="350"/>
      <c r="T205" s="350"/>
      <c r="U205" s="351"/>
    </row>
    <row r="206" spans="1:21" ht="34.5" customHeight="1">
      <c r="A206" s="24">
        <f t="shared" si="0"/>
        <v>192</v>
      </c>
      <c r="B206" s="483" t="s">
        <v>294</v>
      </c>
      <c r="C206" s="351"/>
      <c r="D206" s="484" t="s">
        <v>294</v>
      </c>
      <c r="E206" s="351"/>
      <c r="F206" s="485" t="s">
        <v>325</v>
      </c>
      <c r="G206" s="351"/>
      <c r="H206" s="486"/>
      <c r="I206" s="350"/>
      <c r="J206" s="351"/>
      <c r="K206" s="485" t="s">
        <v>325</v>
      </c>
      <c r="L206" s="350"/>
      <c r="M206" s="351"/>
      <c r="N206" s="491" t="s">
        <v>294</v>
      </c>
      <c r="O206" s="350"/>
      <c r="P206" s="350"/>
      <c r="Q206" s="350"/>
      <c r="R206" s="350"/>
      <c r="S206" s="350"/>
      <c r="T206" s="350"/>
      <c r="U206" s="351"/>
    </row>
    <row r="207" spans="1:21" ht="34.5" customHeight="1">
      <c r="A207" s="24">
        <f t="shared" si="0"/>
        <v>193</v>
      </c>
      <c r="B207" s="488" t="s">
        <v>294</v>
      </c>
      <c r="C207" s="351"/>
      <c r="D207" s="489" t="s">
        <v>294</v>
      </c>
      <c r="E207" s="351"/>
      <c r="F207" s="485" t="s">
        <v>325</v>
      </c>
      <c r="G207" s="351"/>
      <c r="H207" s="487"/>
      <c r="I207" s="350"/>
      <c r="J207" s="351"/>
      <c r="K207" s="485" t="s">
        <v>325</v>
      </c>
      <c r="L207" s="350"/>
      <c r="M207" s="351"/>
      <c r="N207" s="490" t="s">
        <v>294</v>
      </c>
      <c r="O207" s="350"/>
      <c r="P207" s="350"/>
      <c r="Q207" s="350"/>
      <c r="R207" s="350"/>
      <c r="S207" s="350"/>
      <c r="T207" s="350"/>
      <c r="U207" s="351"/>
    </row>
    <row r="208" spans="1:21" ht="34.5" customHeight="1">
      <c r="A208" s="24">
        <f t="shared" si="0"/>
        <v>194</v>
      </c>
      <c r="B208" s="483" t="s">
        <v>294</v>
      </c>
      <c r="C208" s="351"/>
      <c r="D208" s="484" t="s">
        <v>294</v>
      </c>
      <c r="E208" s="351"/>
      <c r="F208" s="485" t="s">
        <v>325</v>
      </c>
      <c r="G208" s="351"/>
      <c r="H208" s="486"/>
      <c r="I208" s="350"/>
      <c r="J208" s="351"/>
      <c r="K208" s="485" t="s">
        <v>325</v>
      </c>
      <c r="L208" s="350"/>
      <c r="M208" s="351"/>
      <c r="N208" s="491" t="s">
        <v>294</v>
      </c>
      <c r="O208" s="350"/>
      <c r="P208" s="350"/>
      <c r="Q208" s="350"/>
      <c r="R208" s="350"/>
      <c r="S208" s="350"/>
      <c r="T208" s="350"/>
      <c r="U208" s="351"/>
    </row>
    <row r="209" spans="1:21" ht="34.5" customHeight="1">
      <c r="A209" s="24">
        <f t="shared" si="0"/>
        <v>195</v>
      </c>
      <c r="B209" s="488" t="s">
        <v>294</v>
      </c>
      <c r="C209" s="351"/>
      <c r="D209" s="489" t="s">
        <v>294</v>
      </c>
      <c r="E209" s="351"/>
      <c r="F209" s="485" t="s">
        <v>325</v>
      </c>
      <c r="G209" s="351"/>
      <c r="H209" s="487"/>
      <c r="I209" s="350"/>
      <c r="J209" s="351"/>
      <c r="K209" s="485" t="s">
        <v>325</v>
      </c>
      <c r="L209" s="350"/>
      <c r="M209" s="351"/>
      <c r="N209" s="490" t="s">
        <v>294</v>
      </c>
      <c r="O209" s="350"/>
      <c r="P209" s="350"/>
      <c r="Q209" s="350"/>
      <c r="R209" s="350"/>
      <c r="S209" s="350"/>
      <c r="T209" s="350"/>
      <c r="U209" s="351"/>
    </row>
    <row r="210" spans="1:21" ht="34.5" customHeight="1">
      <c r="A210" s="24">
        <f t="shared" si="0"/>
        <v>196</v>
      </c>
      <c r="B210" s="483" t="s">
        <v>294</v>
      </c>
      <c r="C210" s="351"/>
      <c r="D210" s="484" t="s">
        <v>294</v>
      </c>
      <c r="E210" s="351"/>
      <c r="F210" s="485" t="s">
        <v>325</v>
      </c>
      <c r="G210" s="351"/>
      <c r="H210" s="486"/>
      <c r="I210" s="350"/>
      <c r="J210" s="351"/>
      <c r="K210" s="485" t="s">
        <v>325</v>
      </c>
      <c r="L210" s="350"/>
      <c r="M210" s="351"/>
      <c r="N210" s="491" t="s">
        <v>294</v>
      </c>
      <c r="O210" s="350"/>
      <c r="P210" s="350"/>
      <c r="Q210" s="350"/>
      <c r="R210" s="350"/>
      <c r="S210" s="350"/>
      <c r="T210" s="350"/>
      <c r="U210" s="351"/>
    </row>
    <row r="211" spans="1:21" ht="34.5" customHeight="1">
      <c r="A211" s="24">
        <f t="shared" si="0"/>
        <v>197</v>
      </c>
      <c r="B211" s="488" t="s">
        <v>294</v>
      </c>
      <c r="C211" s="351"/>
      <c r="D211" s="489" t="s">
        <v>294</v>
      </c>
      <c r="E211" s="351"/>
      <c r="F211" s="485" t="s">
        <v>325</v>
      </c>
      <c r="G211" s="351"/>
      <c r="H211" s="487"/>
      <c r="I211" s="350"/>
      <c r="J211" s="351"/>
      <c r="K211" s="485" t="s">
        <v>325</v>
      </c>
      <c r="L211" s="350"/>
      <c r="M211" s="351"/>
      <c r="N211" s="490" t="s">
        <v>294</v>
      </c>
      <c r="O211" s="350"/>
      <c r="P211" s="350"/>
      <c r="Q211" s="350"/>
      <c r="R211" s="350"/>
      <c r="S211" s="350"/>
      <c r="T211" s="350"/>
      <c r="U211" s="351"/>
    </row>
    <row r="212" spans="1:21" ht="34.5" customHeight="1">
      <c r="A212" s="24">
        <f t="shared" si="0"/>
        <v>198</v>
      </c>
      <c r="B212" s="488" t="s">
        <v>294</v>
      </c>
      <c r="C212" s="351"/>
      <c r="D212" s="489" t="s">
        <v>294</v>
      </c>
      <c r="E212" s="351"/>
      <c r="F212" s="485" t="s">
        <v>325</v>
      </c>
      <c r="G212" s="351"/>
      <c r="H212" s="487"/>
      <c r="I212" s="350"/>
      <c r="J212" s="351"/>
      <c r="K212" s="485" t="s">
        <v>325</v>
      </c>
      <c r="L212" s="350"/>
      <c r="M212" s="351"/>
      <c r="N212" s="490" t="s">
        <v>294</v>
      </c>
      <c r="O212" s="350"/>
      <c r="P212" s="350"/>
      <c r="Q212" s="350"/>
      <c r="R212" s="350"/>
      <c r="S212" s="350"/>
      <c r="T212" s="350"/>
      <c r="U212" s="351"/>
    </row>
    <row r="213" spans="1:21" ht="34.5" customHeight="1">
      <c r="A213" s="24">
        <f t="shared" si="0"/>
        <v>199</v>
      </c>
      <c r="B213" s="483" t="s">
        <v>294</v>
      </c>
      <c r="C213" s="351"/>
      <c r="D213" s="484" t="s">
        <v>294</v>
      </c>
      <c r="E213" s="351"/>
      <c r="F213" s="485" t="s">
        <v>325</v>
      </c>
      <c r="G213" s="351"/>
      <c r="H213" s="486"/>
      <c r="I213" s="350"/>
      <c r="J213" s="351"/>
      <c r="K213" s="485" t="s">
        <v>325</v>
      </c>
      <c r="L213" s="350"/>
      <c r="M213" s="351"/>
      <c r="N213" s="491"/>
      <c r="O213" s="350"/>
      <c r="P213" s="350"/>
      <c r="Q213" s="350"/>
      <c r="R213" s="350"/>
      <c r="S213" s="350"/>
      <c r="T213" s="350"/>
      <c r="U213" s="351"/>
    </row>
    <row r="214" spans="1:21" ht="34.5" customHeight="1">
      <c r="A214" s="24">
        <f t="shared" si="0"/>
        <v>200</v>
      </c>
      <c r="B214" s="488" t="s">
        <v>294</v>
      </c>
      <c r="C214" s="351"/>
      <c r="D214" s="489" t="s">
        <v>294</v>
      </c>
      <c r="E214" s="351"/>
      <c r="F214" s="485" t="s">
        <v>325</v>
      </c>
      <c r="G214" s="351"/>
      <c r="H214" s="487"/>
      <c r="I214" s="350"/>
      <c r="J214" s="351"/>
      <c r="K214" s="485" t="s">
        <v>325</v>
      </c>
      <c r="L214" s="350"/>
      <c r="M214" s="351"/>
      <c r="N214" s="490" t="s">
        <v>294</v>
      </c>
      <c r="O214" s="350"/>
      <c r="P214" s="350"/>
      <c r="Q214" s="350"/>
      <c r="R214" s="350"/>
      <c r="S214" s="350"/>
      <c r="T214" s="350"/>
      <c r="U214" s="351"/>
    </row>
    <row r="215" spans="1:21" ht="34.5" customHeight="1">
      <c r="A215" s="24">
        <f t="shared" si="0"/>
        <v>201</v>
      </c>
      <c r="B215" s="483" t="s">
        <v>294</v>
      </c>
      <c r="C215" s="351"/>
      <c r="D215" s="484" t="s">
        <v>294</v>
      </c>
      <c r="E215" s="351"/>
      <c r="F215" s="485" t="s">
        <v>325</v>
      </c>
      <c r="G215" s="351"/>
      <c r="H215" s="486"/>
      <c r="I215" s="350"/>
      <c r="J215" s="351"/>
      <c r="K215" s="485" t="s">
        <v>325</v>
      </c>
      <c r="L215" s="350"/>
      <c r="M215" s="351"/>
      <c r="N215" s="491" t="s">
        <v>294</v>
      </c>
      <c r="O215" s="350"/>
      <c r="P215" s="350"/>
      <c r="Q215" s="350"/>
      <c r="R215" s="350"/>
      <c r="S215" s="350"/>
      <c r="T215" s="350"/>
      <c r="U215" s="351"/>
    </row>
    <row r="216" spans="1:21" ht="34.5" customHeight="1">
      <c r="A216" s="24">
        <f t="shared" si="0"/>
        <v>202</v>
      </c>
      <c r="B216" s="488" t="s">
        <v>294</v>
      </c>
      <c r="C216" s="351"/>
      <c r="D216" s="489" t="s">
        <v>294</v>
      </c>
      <c r="E216" s="351"/>
      <c r="F216" s="485" t="s">
        <v>325</v>
      </c>
      <c r="G216" s="351"/>
      <c r="H216" s="487"/>
      <c r="I216" s="350"/>
      <c r="J216" s="351"/>
      <c r="K216" s="485" t="s">
        <v>325</v>
      </c>
      <c r="L216" s="350"/>
      <c r="M216" s="351"/>
      <c r="N216" s="490" t="s">
        <v>294</v>
      </c>
      <c r="O216" s="350"/>
      <c r="P216" s="350"/>
      <c r="Q216" s="350"/>
      <c r="R216" s="350"/>
      <c r="S216" s="350"/>
      <c r="T216" s="350"/>
      <c r="U216" s="351"/>
    </row>
    <row r="217" spans="1:21" ht="34.5" customHeight="1">
      <c r="A217" s="24">
        <f t="shared" si="0"/>
        <v>203</v>
      </c>
      <c r="B217" s="483" t="s">
        <v>294</v>
      </c>
      <c r="C217" s="351"/>
      <c r="D217" s="484" t="s">
        <v>294</v>
      </c>
      <c r="E217" s="351"/>
      <c r="F217" s="485" t="s">
        <v>325</v>
      </c>
      <c r="G217" s="351"/>
      <c r="H217" s="486"/>
      <c r="I217" s="350"/>
      <c r="J217" s="351"/>
      <c r="K217" s="485" t="s">
        <v>325</v>
      </c>
      <c r="L217" s="350"/>
      <c r="M217" s="351"/>
      <c r="N217" s="491" t="s">
        <v>294</v>
      </c>
      <c r="O217" s="350"/>
      <c r="P217" s="350"/>
      <c r="Q217" s="350"/>
      <c r="R217" s="350"/>
      <c r="S217" s="350"/>
      <c r="T217" s="350"/>
      <c r="U217" s="351"/>
    </row>
    <row r="218" spans="1:21" ht="34.5" customHeight="1">
      <c r="A218" s="24">
        <f t="shared" si="0"/>
        <v>204</v>
      </c>
      <c r="B218" s="488" t="s">
        <v>294</v>
      </c>
      <c r="C218" s="351"/>
      <c r="D218" s="489" t="s">
        <v>294</v>
      </c>
      <c r="E218" s="351"/>
      <c r="F218" s="485" t="s">
        <v>325</v>
      </c>
      <c r="G218" s="351"/>
      <c r="H218" s="487"/>
      <c r="I218" s="350"/>
      <c r="J218" s="351"/>
      <c r="K218" s="485" t="s">
        <v>325</v>
      </c>
      <c r="L218" s="350"/>
      <c r="M218" s="351"/>
      <c r="N218" s="490" t="s">
        <v>294</v>
      </c>
      <c r="O218" s="350"/>
      <c r="P218" s="350"/>
      <c r="Q218" s="350"/>
      <c r="R218" s="350"/>
      <c r="S218" s="350"/>
      <c r="T218" s="350"/>
      <c r="U218" s="351"/>
    </row>
    <row r="219" spans="1:21" ht="34.5" customHeight="1">
      <c r="A219" s="24">
        <f t="shared" si="0"/>
        <v>205</v>
      </c>
      <c r="B219" s="483" t="s">
        <v>294</v>
      </c>
      <c r="C219" s="351"/>
      <c r="D219" s="484" t="s">
        <v>294</v>
      </c>
      <c r="E219" s="351"/>
      <c r="F219" s="485" t="s">
        <v>325</v>
      </c>
      <c r="G219" s="351"/>
      <c r="H219" s="486"/>
      <c r="I219" s="350"/>
      <c r="J219" s="351"/>
      <c r="K219" s="485" t="s">
        <v>325</v>
      </c>
      <c r="L219" s="350"/>
      <c r="M219" s="351"/>
      <c r="N219" s="491" t="s">
        <v>294</v>
      </c>
      <c r="O219" s="350"/>
      <c r="P219" s="350"/>
      <c r="Q219" s="350"/>
      <c r="R219" s="350"/>
      <c r="S219" s="350"/>
      <c r="T219" s="350"/>
      <c r="U219" s="351"/>
    </row>
    <row r="220" spans="1:21" ht="34.5" customHeight="1">
      <c r="A220" s="24">
        <f t="shared" si="0"/>
        <v>206</v>
      </c>
      <c r="B220" s="488" t="s">
        <v>294</v>
      </c>
      <c r="C220" s="351"/>
      <c r="D220" s="489" t="s">
        <v>294</v>
      </c>
      <c r="E220" s="351"/>
      <c r="F220" s="485" t="s">
        <v>325</v>
      </c>
      <c r="G220" s="351"/>
      <c r="H220" s="487"/>
      <c r="I220" s="350"/>
      <c r="J220" s="351"/>
      <c r="K220" s="485" t="s">
        <v>325</v>
      </c>
      <c r="L220" s="350"/>
      <c r="M220" s="351"/>
      <c r="N220" s="490" t="s">
        <v>294</v>
      </c>
      <c r="O220" s="350"/>
      <c r="P220" s="350"/>
      <c r="Q220" s="350"/>
      <c r="R220" s="350"/>
      <c r="S220" s="350"/>
      <c r="T220" s="350"/>
      <c r="U220" s="351"/>
    </row>
    <row r="221" spans="1:21" ht="34.5" customHeight="1">
      <c r="A221" s="24">
        <f t="shared" si="0"/>
        <v>207</v>
      </c>
      <c r="B221" s="483" t="s">
        <v>294</v>
      </c>
      <c r="C221" s="351"/>
      <c r="D221" s="484" t="s">
        <v>294</v>
      </c>
      <c r="E221" s="351"/>
      <c r="F221" s="485" t="s">
        <v>325</v>
      </c>
      <c r="G221" s="351"/>
      <c r="H221" s="486"/>
      <c r="I221" s="350"/>
      <c r="J221" s="351"/>
      <c r="K221" s="485" t="s">
        <v>325</v>
      </c>
      <c r="L221" s="350"/>
      <c r="M221" s="351"/>
      <c r="N221" s="491" t="s">
        <v>294</v>
      </c>
      <c r="O221" s="350"/>
      <c r="P221" s="350"/>
      <c r="Q221" s="350"/>
      <c r="R221" s="350"/>
      <c r="S221" s="350"/>
      <c r="T221" s="350"/>
      <c r="U221" s="351"/>
    </row>
    <row r="222" spans="1:21" ht="34.5" customHeight="1">
      <c r="A222" s="24">
        <f t="shared" si="0"/>
        <v>208</v>
      </c>
      <c r="B222" s="488" t="s">
        <v>294</v>
      </c>
      <c r="C222" s="351"/>
      <c r="D222" s="489" t="s">
        <v>294</v>
      </c>
      <c r="E222" s="351"/>
      <c r="F222" s="485" t="s">
        <v>325</v>
      </c>
      <c r="G222" s="351"/>
      <c r="H222" s="487"/>
      <c r="I222" s="350"/>
      <c r="J222" s="351"/>
      <c r="K222" s="485" t="s">
        <v>325</v>
      </c>
      <c r="L222" s="350"/>
      <c r="M222" s="351"/>
      <c r="N222" s="490" t="s">
        <v>294</v>
      </c>
      <c r="O222" s="350"/>
      <c r="P222" s="350"/>
      <c r="Q222" s="350"/>
      <c r="R222" s="350"/>
      <c r="S222" s="350"/>
      <c r="T222" s="350"/>
      <c r="U222" s="351"/>
    </row>
    <row r="223" spans="1:21" ht="34.5" customHeight="1">
      <c r="A223" s="24">
        <f t="shared" si="0"/>
        <v>209</v>
      </c>
      <c r="B223" s="483" t="s">
        <v>294</v>
      </c>
      <c r="C223" s="351"/>
      <c r="D223" s="484" t="s">
        <v>294</v>
      </c>
      <c r="E223" s="351"/>
      <c r="F223" s="485" t="s">
        <v>325</v>
      </c>
      <c r="G223" s="351"/>
      <c r="H223" s="486"/>
      <c r="I223" s="350"/>
      <c r="J223" s="351"/>
      <c r="K223" s="485" t="s">
        <v>325</v>
      </c>
      <c r="L223" s="350"/>
      <c r="M223" s="351"/>
      <c r="N223" s="491" t="s">
        <v>294</v>
      </c>
      <c r="O223" s="350"/>
      <c r="P223" s="350"/>
      <c r="Q223" s="350"/>
      <c r="R223" s="350"/>
      <c r="S223" s="350"/>
      <c r="T223" s="350"/>
      <c r="U223" s="351"/>
    </row>
    <row r="224" spans="1:21" ht="34.5" customHeight="1">
      <c r="A224" s="24">
        <f t="shared" si="0"/>
        <v>210</v>
      </c>
      <c r="B224" s="488" t="s">
        <v>294</v>
      </c>
      <c r="C224" s="351"/>
      <c r="D224" s="489" t="s">
        <v>294</v>
      </c>
      <c r="E224" s="351"/>
      <c r="F224" s="485" t="s">
        <v>325</v>
      </c>
      <c r="G224" s="351"/>
      <c r="H224" s="487"/>
      <c r="I224" s="350"/>
      <c r="J224" s="351"/>
      <c r="K224" s="485" t="s">
        <v>325</v>
      </c>
      <c r="L224" s="350"/>
      <c r="M224" s="351"/>
      <c r="N224" s="490" t="s">
        <v>294</v>
      </c>
      <c r="O224" s="350"/>
      <c r="P224" s="350"/>
      <c r="Q224" s="350"/>
      <c r="R224" s="350"/>
      <c r="S224" s="350"/>
      <c r="T224" s="350"/>
      <c r="U224" s="351"/>
    </row>
    <row r="225" spans="1:21" ht="34.5" customHeight="1">
      <c r="A225" s="24">
        <f t="shared" si="0"/>
        <v>211</v>
      </c>
      <c r="B225" s="483" t="s">
        <v>294</v>
      </c>
      <c r="C225" s="351"/>
      <c r="D225" s="484" t="s">
        <v>294</v>
      </c>
      <c r="E225" s="351"/>
      <c r="F225" s="485" t="s">
        <v>325</v>
      </c>
      <c r="G225" s="351"/>
      <c r="H225" s="486"/>
      <c r="I225" s="350"/>
      <c r="J225" s="351"/>
      <c r="K225" s="485" t="s">
        <v>325</v>
      </c>
      <c r="L225" s="350"/>
      <c r="M225" s="351"/>
      <c r="N225" s="491" t="s">
        <v>294</v>
      </c>
      <c r="O225" s="350"/>
      <c r="P225" s="350"/>
      <c r="Q225" s="350"/>
      <c r="R225" s="350"/>
      <c r="S225" s="350"/>
      <c r="T225" s="350"/>
      <c r="U225" s="351"/>
    </row>
    <row r="226" spans="1:21" ht="34.5" customHeight="1">
      <c r="A226" s="24">
        <f t="shared" si="0"/>
        <v>212</v>
      </c>
      <c r="B226" s="488" t="s">
        <v>294</v>
      </c>
      <c r="C226" s="351"/>
      <c r="D226" s="489" t="s">
        <v>294</v>
      </c>
      <c r="E226" s="351"/>
      <c r="F226" s="485" t="s">
        <v>325</v>
      </c>
      <c r="G226" s="351"/>
      <c r="H226" s="487"/>
      <c r="I226" s="350"/>
      <c r="J226" s="351"/>
      <c r="K226" s="485" t="s">
        <v>325</v>
      </c>
      <c r="L226" s="350"/>
      <c r="M226" s="351"/>
      <c r="N226" s="490" t="s">
        <v>294</v>
      </c>
      <c r="O226" s="350"/>
      <c r="P226" s="350"/>
      <c r="Q226" s="350"/>
      <c r="R226" s="350"/>
      <c r="S226" s="350"/>
      <c r="T226" s="350"/>
      <c r="U226" s="351"/>
    </row>
    <row r="227" spans="1:21" ht="34.5" customHeight="1">
      <c r="A227" s="24">
        <f t="shared" si="0"/>
        <v>213</v>
      </c>
      <c r="B227" s="483" t="s">
        <v>294</v>
      </c>
      <c r="C227" s="351"/>
      <c r="D227" s="484" t="s">
        <v>294</v>
      </c>
      <c r="E227" s="351"/>
      <c r="F227" s="485" t="s">
        <v>325</v>
      </c>
      <c r="G227" s="351"/>
      <c r="H227" s="486"/>
      <c r="I227" s="350"/>
      <c r="J227" s="351"/>
      <c r="K227" s="485" t="s">
        <v>325</v>
      </c>
      <c r="L227" s="350"/>
      <c r="M227" s="351"/>
      <c r="N227" s="491" t="s">
        <v>294</v>
      </c>
      <c r="O227" s="350"/>
      <c r="P227" s="350"/>
      <c r="Q227" s="350"/>
      <c r="R227" s="350"/>
      <c r="S227" s="350"/>
      <c r="T227" s="350"/>
      <c r="U227" s="351"/>
    </row>
    <row r="228" spans="1:21" ht="34.5" customHeight="1">
      <c r="A228" s="24">
        <f t="shared" si="0"/>
        <v>214</v>
      </c>
      <c r="B228" s="488" t="s">
        <v>294</v>
      </c>
      <c r="C228" s="351"/>
      <c r="D228" s="489" t="s">
        <v>294</v>
      </c>
      <c r="E228" s="351"/>
      <c r="F228" s="485" t="s">
        <v>325</v>
      </c>
      <c r="G228" s="351"/>
      <c r="H228" s="487"/>
      <c r="I228" s="350"/>
      <c r="J228" s="351"/>
      <c r="K228" s="485" t="s">
        <v>325</v>
      </c>
      <c r="L228" s="350"/>
      <c r="M228" s="351"/>
      <c r="N228" s="490" t="s">
        <v>294</v>
      </c>
      <c r="O228" s="350"/>
      <c r="P228" s="350"/>
      <c r="Q228" s="350"/>
      <c r="R228" s="350"/>
      <c r="S228" s="350"/>
      <c r="T228" s="350"/>
      <c r="U228" s="351"/>
    </row>
    <row r="229" spans="1:21" ht="34.5" customHeight="1">
      <c r="A229" s="24">
        <f t="shared" si="0"/>
        <v>215</v>
      </c>
      <c r="B229" s="483" t="s">
        <v>294</v>
      </c>
      <c r="C229" s="351"/>
      <c r="D229" s="484" t="s">
        <v>294</v>
      </c>
      <c r="E229" s="351"/>
      <c r="F229" s="485" t="s">
        <v>325</v>
      </c>
      <c r="G229" s="351"/>
      <c r="H229" s="486"/>
      <c r="I229" s="350"/>
      <c r="J229" s="351"/>
      <c r="K229" s="485" t="s">
        <v>325</v>
      </c>
      <c r="L229" s="350"/>
      <c r="M229" s="351"/>
      <c r="N229" s="491" t="s">
        <v>294</v>
      </c>
      <c r="O229" s="350"/>
      <c r="P229" s="350"/>
      <c r="Q229" s="350"/>
      <c r="R229" s="350"/>
      <c r="S229" s="350"/>
      <c r="T229" s="350"/>
      <c r="U229" s="351"/>
    </row>
    <row r="230" spans="1:21" ht="34.5" customHeight="1">
      <c r="A230" s="24">
        <f t="shared" si="0"/>
        <v>216</v>
      </c>
      <c r="B230" s="488" t="s">
        <v>294</v>
      </c>
      <c r="C230" s="351"/>
      <c r="D230" s="489" t="s">
        <v>294</v>
      </c>
      <c r="E230" s="351"/>
      <c r="F230" s="485" t="s">
        <v>325</v>
      </c>
      <c r="G230" s="351"/>
      <c r="H230" s="487"/>
      <c r="I230" s="350"/>
      <c r="J230" s="351"/>
      <c r="K230" s="485" t="s">
        <v>325</v>
      </c>
      <c r="L230" s="350"/>
      <c r="M230" s="351"/>
      <c r="N230" s="490" t="s">
        <v>294</v>
      </c>
      <c r="O230" s="350"/>
      <c r="P230" s="350"/>
      <c r="Q230" s="350"/>
      <c r="R230" s="350"/>
      <c r="S230" s="350"/>
      <c r="T230" s="350"/>
      <c r="U230" s="351"/>
    </row>
    <row r="231" spans="1:21" ht="34.5" customHeight="1">
      <c r="A231" s="24">
        <f t="shared" si="0"/>
        <v>217</v>
      </c>
      <c r="B231" s="483" t="s">
        <v>294</v>
      </c>
      <c r="C231" s="351"/>
      <c r="D231" s="484" t="s">
        <v>294</v>
      </c>
      <c r="E231" s="351"/>
      <c r="F231" s="485" t="s">
        <v>325</v>
      </c>
      <c r="G231" s="351"/>
      <c r="H231" s="486"/>
      <c r="I231" s="350"/>
      <c r="J231" s="351"/>
      <c r="K231" s="485" t="s">
        <v>325</v>
      </c>
      <c r="L231" s="350"/>
      <c r="M231" s="351"/>
      <c r="N231" s="491" t="s">
        <v>294</v>
      </c>
      <c r="O231" s="350"/>
      <c r="P231" s="350"/>
      <c r="Q231" s="350"/>
      <c r="R231" s="350"/>
      <c r="S231" s="350"/>
      <c r="T231" s="350"/>
      <c r="U231" s="351"/>
    </row>
    <row r="232" spans="1:21" ht="34.5" customHeight="1">
      <c r="A232" s="24">
        <f t="shared" si="0"/>
        <v>218</v>
      </c>
      <c r="B232" s="488" t="s">
        <v>294</v>
      </c>
      <c r="C232" s="351"/>
      <c r="D232" s="489" t="s">
        <v>294</v>
      </c>
      <c r="E232" s="351"/>
      <c r="F232" s="485" t="s">
        <v>325</v>
      </c>
      <c r="G232" s="351"/>
      <c r="H232" s="487"/>
      <c r="I232" s="350"/>
      <c r="J232" s="351"/>
      <c r="K232" s="485" t="s">
        <v>325</v>
      </c>
      <c r="L232" s="350"/>
      <c r="M232" s="351"/>
      <c r="N232" s="490" t="s">
        <v>294</v>
      </c>
      <c r="O232" s="350"/>
      <c r="P232" s="350"/>
      <c r="Q232" s="350"/>
      <c r="R232" s="350"/>
      <c r="S232" s="350"/>
      <c r="T232" s="350"/>
      <c r="U232" s="351"/>
    </row>
    <row r="233" spans="1:21" ht="34.5" customHeight="1">
      <c r="A233" s="24">
        <f t="shared" si="0"/>
        <v>219</v>
      </c>
      <c r="B233" s="483" t="s">
        <v>294</v>
      </c>
      <c r="C233" s="351"/>
      <c r="D233" s="484" t="s">
        <v>294</v>
      </c>
      <c r="E233" s="351"/>
      <c r="F233" s="485" t="s">
        <v>325</v>
      </c>
      <c r="G233" s="351"/>
      <c r="H233" s="486"/>
      <c r="I233" s="350"/>
      <c r="J233" s="351"/>
      <c r="K233" s="485" t="s">
        <v>325</v>
      </c>
      <c r="L233" s="350"/>
      <c r="M233" s="351"/>
      <c r="N233" s="491" t="s">
        <v>294</v>
      </c>
      <c r="O233" s="350"/>
      <c r="P233" s="350"/>
      <c r="Q233" s="350"/>
      <c r="R233" s="350"/>
      <c r="S233" s="350"/>
      <c r="T233" s="350"/>
      <c r="U233" s="351"/>
    </row>
    <row r="234" spans="1:21" ht="34.5" customHeight="1">
      <c r="A234" s="24">
        <f t="shared" si="0"/>
        <v>220</v>
      </c>
      <c r="B234" s="488" t="s">
        <v>294</v>
      </c>
      <c r="C234" s="351"/>
      <c r="D234" s="489" t="s">
        <v>294</v>
      </c>
      <c r="E234" s="351"/>
      <c r="F234" s="485" t="s">
        <v>325</v>
      </c>
      <c r="G234" s="351"/>
      <c r="H234" s="487"/>
      <c r="I234" s="350"/>
      <c r="J234" s="351"/>
      <c r="K234" s="485" t="s">
        <v>325</v>
      </c>
      <c r="L234" s="350"/>
      <c r="M234" s="351"/>
      <c r="N234" s="490" t="s">
        <v>294</v>
      </c>
      <c r="O234" s="350"/>
      <c r="P234" s="350"/>
      <c r="Q234" s="350"/>
      <c r="R234" s="350"/>
      <c r="S234" s="350"/>
      <c r="T234" s="350"/>
      <c r="U234" s="351"/>
    </row>
    <row r="235" spans="1:21" ht="34.5" customHeight="1">
      <c r="A235" s="24">
        <f t="shared" si="0"/>
        <v>221</v>
      </c>
      <c r="B235" s="483" t="s">
        <v>294</v>
      </c>
      <c r="C235" s="351"/>
      <c r="D235" s="484" t="s">
        <v>294</v>
      </c>
      <c r="E235" s="351"/>
      <c r="F235" s="485" t="s">
        <v>325</v>
      </c>
      <c r="G235" s="351"/>
      <c r="H235" s="486"/>
      <c r="I235" s="350"/>
      <c r="J235" s="351"/>
      <c r="K235" s="485" t="s">
        <v>325</v>
      </c>
      <c r="L235" s="350"/>
      <c r="M235" s="351"/>
      <c r="N235" s="491" t="s">
        <v>294</v>
      </c>
      <c r="O235" s="350"/>
      <c r="P235" s="350"/>
      <c r="Q235" s="350"/>
      <c r="R235" s="350"/>
      <c r="S235" s="350"/>
      <c r="T235" s="350"/>
      <c r="U235" s="351"/>
    </row>
    <row r="236" spans="1:21" ht="34.5" customHeight="1">
      <c r="A236" s="24">
        <f t="shared" si="0"/>
        <v>222</v>
      </c>
      <c r="B236" s="488" t="s">
        <v>294</v>
      </c>
      <c r="C236" s="351"/>
      <c r="D236" s="489" t="s">
        <v>294</v>
      </c>
      <c r="E236" s="351"/>
      <c r="F236" s="485" t="s">
        <v>325</v>
      </c>
      <c r="G236" s="351"/>
      <c r="H236" s="487"/>
      <c r="I236" s="350"/>
      <c r="J236" s="351"/>
      <c r="K236" s="485" t="s">
        <v>325</v>
      </c>
      <c r="L236" s="350"/>
      <c r="M236" s="351"/>
      <c r="N236" s="490" t="s">
        <v>294</v>
      </c>
      <c r="O236" s="350"/>
      <c r="P236" s="350"/>
      <c r="Q236" s="350"/>
      <c r="R236" s="350"/>
      <c r="S236" s="350"/>
      <c r="T236" s="350"/>
      <c r="U236" s="351"/>
    </row>
    <row r="237" spans="1:21" ht="34.5" customHeight="1">
      <c r="A237" s="24">
        <f t="shared" si="0"/>
        <v>223</v>
      </c>
      <c r="B237" s="483" t="s">
        <v>294</v>
      </c>
      <c r="C237" s="351"/>
      <c r="D237" s="484" t="s">
        <v>294</v>
      </c>
      <c r="E237" s="351"/>
      <c r="F237" s="485" t="s">
        <v>325</v>
      </c>
      <c r="G237" s="351"/>
      <c r="H237" s="486"/>
      <c r="I237" s="350"/>
      <c r="J237" s="351"/>
      <c r="K237" s="485" t="s">
        <v>325</v>
      </c>
      <c r="L237" s="350"/>
      <c r="M237" s="351"/>
      <c r="N237" s="491" t="s">
        <v>294</v>
      </c>
      <c r="O237" s="350"/>
      <c r="P237" s="350"/>
      <c r="Q237" s="350"/>
      <c r="R237" s="350"/>
      <c r="S237" s="350"/>
      <c r="T237" s="350"/>
      <c r="U237" s="351"/>
    </row>
    <row r="238" spans="1:21" ht="34.5" customHeight="1">
      <c r="A238" s="24">
        <f t="shared" si="0"/>
        <v>224</v>
      </c>
      <c r="B238" s="488" t="s">
        <v>294</v>
      </c>
      <c r="C238" s="351"/>
      <c r="D238" s="489" t="s">
        <v>294</v>
      </c>
      <c r="E238" s="351"/>
      <c r="F238" s="485" t="s">
        <v>325</v>
      </c>
      <c r="G238" s="351"/>
      <c r="H238" s="487"/>
      <c r="I238" s="350"/>
      <c r="J238" s="351"/>
      <c r="K238" s="485" t="s">
        <v>325</v>
      </c>
      <c r="L238" s="350"/>
      <c r="M238" s="351"/>
      <c r="N238" s="490" t="s">
        <v>294</v>
      </c>
      <c r="O238" s="350"/>
      <c r="P238" s="350"/>
      <c r="Q238" s="350"/>
      <c r="R238" s="350"/>
      <c r="S238" s="350"/>
      <c r="T238" s="350"/>
      <c r="U238" s="351"/>
    </row>
    <row r="239" spans="1:21" ht="34.5" customHeight="1">
      <c r="A239" s="24">
        <f t="shared" si="0"/>
        <v>225</v>
      </c>
      <c r="B239" s="483" t="s">
        <v>294</v>
      </c>
      <c r="C239" s="351"/>
      <c r="D239" s="484" t="s">
        <v>294</v>
      </c>
      <c r="E239" s="351"/>
      <c r="F239" s="485" t="s">
        <v>325</v>
      </c>
      <c r="G239" s="351"/>
      <c r="H239" s="486"/>
      <c r="I239" s="350"/>
      <c r="J239" s="351"/>
      <c r="K239" s="485" t="s">
        <v>325</v>
      </c>
      <c r="L239" s="350"/>
      <c r="M239" s="351"/>
      <c r="N239" s="491" t="s">
        <v>294</v>
      </c>
      <c r="O239" s="350"/>
      <c r="P239" s="350"/>
      <c r="Q239" s="350"/>
      <c r="R239" s="350"/>
      <c r="S239" s="350"/>
      <c r="T239" s="350"/>
      <c r="U239" s="351"/>
    </row>
    <row r="240" spans="1:21" ht="34.5" customHeight="1">
      <c r="A240" s="24">
        <f t="shared" si="0"/>
        <v>226</v>
      </c>
      <c r="B240" s="488" t="s">
        <v>294</v>
      </c>
      <c r="C240" s="351"/>
      <c r="D240" s="489" t="s">
        <v>294</v>
      </c>
      <c r="E240" s="351"/>
      <c r="F240" s="485" t="s">
        <v>325</v>
      </c>
      <c r="G240" s="351"/>
      <c r="H240" s="487"/>
      <c r="I240" s="350"/>
      <c r="J240" s="351"/>
      <c r="K240" s="485" t="s">
        <v>325</v>
      </c>
      <c r="L240" s="350"/>
      <c r="M240" s="351"/>
      <c r="N240" s="490" t="s">
        <v>294</v>
      </c>
      <c r="O240" s="350"/>
      <c r="P240" s="350"/>
      <c r="Q240" s="350"/>
      <c r="R240" s="350"/>
      <c r="S240" s="350"/>
      <c r="T240" s="350"/>
      <c r="U240" s="351"/>
    </row>
    <row r="241" spans="1:21" ht="34.5" customHeight="1">
      <c r="A241" s="24">
        <f t="shared" si="0"/>
        <v>227</v>
      </c>
      <c r="B241" s="483" t="s">
        <v>294</v>
      </c>
      <c r="C241" s="351"/>
      <c r="D241" s="484" t="s">
        <v>294</v>
      </c>
      <c r="E241" s="351"/>
      <c r="F241" s="485" t="s">
        <v>325</v>
      </c>
      <c r="G241" s="351"/>
      <c r="H241" s="486"/>
      <c r="I241" s="350"/>
      <c r="J241" s="351"/>
      <c r="K241" s="485" t="s">
        <v>325</v>
      </c>
      <c r="L241" s="350"/>
      <c r="M241" s="351"/>
      <c r="N241" s="491" t="s">
        <v>294</v>
      </c>
      <c r="O241" s="350"/>
      <c r="P241" s="350"/>
      <c r="Q241" s="350"/>
      <c r="R241" s="350"/>
      <c r="S241" s="350"/>
      <c r="T241" s="350"/>
      <c r="U241" s="351"/>
    </row>
    <row r="242" spans="1:21" ht="34.5" customHeight="1">
      <c r="A242" s="24">
        <f t="shared" si="0"/>
        <v>228</v>
      </c>
      <c r="B242" s="488" t="s">
        <v>294</v>
      </c>
      <c r="C242" s="351"/>
      <c r="D242" s="489" t="s">
        <v>294</v>
      </c>
      <c r="E242" s="351"/>
      <c r="F242" s="485" t="s">
        <v>325</v>
      </c>
      <c r="G242" s="351"/>
      <c r="H242" s="487"/>
      <c r="I242" s="350"/>
      <c r="J242" s="351"/>
      <c r="K242" s="485" t="s">
        <v>325</v>
      </c>
      <c r="L242" s="350"/>
      <c r="M242" s="351"/>
      <c r="N242" s="490" t="s">
        <v>294</v>
      </c>
      <c r="O242" s="350"/>
      <c r="P242" s="350"/>
      <c r="Q242" s="350"/>
      <c r="R242" s="350"/>
      <c r="S242" s="350"/>
      <c r="T242" s="350"/>
      <c r="U242" s="351"/>
    </row>
    <row r="243" spans="1:21" ht="34.5" customHeight="1">
      <c r="A243" s="24">
        <f t="shared" si="0"/>
        <v>229</v>
      </c>
      <c r="B243" s="483" t="s">
        <v>294</v>
      </c>
      <c r="C243" s="351"/>
      <c r="D243" s="484" t="s">
        <v>294</v>
      </c>
      <c r="E243" s="351"/>
      <c r="F243" s="485" t="s">
        <v>325</v>
      </c>
      <c r="G243" s="351"/>
      <c r="H243" s="486"/>
      <c r="I243" s="350"/>
      <c r="J243" s="351"/>
      <c r="K243" s="485" t="s">
        <v>325</v>
      </c>
      <c r="L243" s="350"/>
      <c r="M243" s="351"/>
      <c r="N243" s="491" t="s">
        <v>294</v>
      </c>
      <c r="O243" s="350"/>
      <c r="P243" s="350"/>
      <c r="Q243" s="350"/>
      <c r="R243" s="350"/>
      <c r="S243" s="350"/>
      <c r="T243" s="350"/>
      <c r="U243" s="351"/>
    </row>
    <row r="244" spans="1:21" ht="34.5" customHeight="1">
      <c r="A244" s="24">
        <f t="shared" si="0"/>
        <v>230</v>
      </c>
      <c r="B244" s="488" t="s">
        <v>294</v>
      </c>
      <c r="C244" s="351"/>
      <c r="D244" s="489" t="s">
        <v>294</v>
      </c>
      <c r="E244" s="351"/>
      <c r="F244" s="485" t="s">
        <v>325</v>
      </c>
      <c r="G244" s="351"/>
      <c r="H244" s="487"/>
      <c r="I244" s="350"/>
      <c r="J244" s="351"/>
      <c r="K244" s="485" t="s">
        <v>325</v>
      </c>
      <c r="L244" s="350"/>
      <c r="M244" s="351"/>
      <c r="N244" s="490" t="s">
        <v>294</v>
      </c>
      <c r="O244" s="350"/>
      <c r="P244" s="350"/>
      <c r="Q244" s="350"/>
      <c r="R244" s="350"/>
      <c r="S244" s="350"/>
      <c r="T244" s="350"/>
      <c r="U244" s="351"/>
    </row>
    <row r="245" spans="1:21" ht="34.5" customHeight="1">
      <c r="A245" s="24">
        <f t="shared" si="0"/>
        <v>231</v>
      </c>
      <c r="B245" s="483" t="s">
        <v>294</v>
      </c>
      <c r="C245" s="351"/>
      <c r="D245" s="484" t="s">
        <v>294</v>
      </c>
      <c r="E245" s="351"/>
      <c r="F245" s="485" t="s">
        <v>325</v>
      </c>
      <c r="G245" s="351"/>
      <c r="H245" s="486"/>
      <c r="I245" s="350"/>
      <c r="J245" s="351"/>
      <c r="K245" s="485" t="s">
        <v>325</v>
      </c>
      <c r="L245" s="350"/>
      <c r="M245" s="351"/>
      <c r="N245" s="491" t="s">
        <v>294</v>
      </c>
      <c r="O245" s="350"/>
      <c r="P245" s="350"/>
      <c r="Q245" s="350"/>
      <c r="R245" s="350"/>
      <c r="S245" s="350"/>
      <c r="T245" s="350"/>
      <c r="U245" s="351"/>
    </row>
    <row r="246" spans="1:21" ht="34.5" customHeight="1">
      <c r="A246" s="24">
        <f t="shared" si="0"/>
        <v>232</v>
      </c>
      <c r="B246" s="488" t="s">
        <v>294</v>
      </c>
      <c r="C246" s="351"/>
      <c r="D246" s="489" t="s">
        <v>294</v>
      </c>
      <c r="E246" s="351"/>
      <c r="F246" s="485" t="s">
        <v>325</v>
      </c>
      <c r="G246" s="351"/>
      <c r="H246" s="487"/>
      <c r="I246" s="350"/>
      <c r="J246" s="351"/>
      <c r="K246" s="485" t="s">
        <v>325</v>
      </c>
      <c r="L246" s="350"/>
      <c r="M246" s="351"/>
      <c r="N246" s="490" t="s">
        <v>294</v>
      </c>
      <c r="O246" s="350"/>
      <c r="P246" s="350"/>
      <c r="Q246" s="350"/>
      <c r="R246" s="350"/>
      <c r="S246" s="350"/>
      <c r="T246" s="350"/>
      <c r="U246" s="351"/>
    </row>
    <row r="247" spans="1:21" ht="34.5" customHeight="1">
      <c r="A247" s="24">
        <f t="shared" si="0"/>
        <v>233</v>
      </c>
      <c r="B247" s="483" t="s">
        <v>294</v>
      </c>
      <c r="C247" s="351"/>
      <c r="D247" s="484" t="s">
        <v>294</v>
      </c>
      <c r="E247" s="351"/>
      <c r="F247" s="485" t="s">
        <v>325</v>
      </c>
      <c r="G247" s="351"/>
      <c r="H247" s="486"/>
      <c r="I247" s="350"/>
      <c r="J247" s="351"/>
      <c r="K247" s="485" t="s">
        <v>325</v>
      </c>
      <c r="L247" s="350"/>
      <c r="M247" s="351"/>
      <c r="N247" s="491" t="s">
        <v>294</v>
      </c>
      <c r="O247" s="350"/>
      <c r="P247" s="350"/>
      <c r="Q247" s="350"/>
      <c r="R247" s="350"/>
      <c r="S247" s="350"/>
      <c r="T247" s="350"/>
      <c r="U247" s="351"/>
    </row>
    <row r="248" spans="1:21" ht="34.5" customHeight="1">
      <c r="A248" s="24">
        <f t="shared" si="0"/>
        <v>234</v>
      </c>
      <c r="B248" s="488" t="s">
        <v>294</v>
      </c>
      <c r="C248" s="351"/>
      <c r="D248" s="489" t="s">
        <v>294</v>
      </c>
      <c r="E248" s="351"/>
      <c r="F248" s="485" t="s">
        <v>325</v>
      </c>
      <c r="G248" s="351"/>
      <c r="H248" s="487"/>
      <c r="I248" s="350"/>
      <c r="J248" s="351"/>
      <c r="K248" s="485" t="s">
        <v>325</v>
      </c>
      <c r="L248" s="350"/>
      <c r="M248" s="351"/>
      <c r="N248" s="490" t="s">
        <v>294</v>
      </c>
      <c r="O248" s="350"/>
      <c r="P248" s="350"/>
      <c r="Q248" s="350"/>
      <c r="R248" s="350"/>
      <c r="S248" s="350"/>
      <c r="T248" s="350"/>
      <c r="U248" s="351"/>
    </row>
    <row r="249" spans="1:21" ht="34.5" customHeight="1">
      <c r="A249" s="24">
        <f t="shared" si="0"/>
        <v>235</v>
      </c>
      <c r="B249" s="483" t="s">
        <v>294</v>
      </c>
      <c r="C249" s="351"/>
      <c r="D249" s="484" t="s">
        <v>294</v>
      </c>
      <c r="E249" s="351"/>
      <c r="F249" s="485" t="s">
        <v>325</v>
      </c>
      <c r="G249" s="351"/>
      <c r="H249" s="486"/>
      <c r="I249" s="350"/>
      <c r="J249" s="351"/>
      <c r="K249" s="485" t="s">
        <v>325</v>
      </c>
      <c r="L249" s="350"/>
      <c r="M249" s="351"/>
      <c r="N249" s="491" t="s">
        <v>294</v>
      </c>
      <c r="O249" s="350"/>
      <c r="P249" s="350"/>
      <c r="Q249" s="350"/>
      <c r="R249" s="350"/>
      <c r="S249" s="350"/>
      <c r="T249" s="350"/>
      <c r="U249" s="351"/>
    </row>
    <row r="250" spans="1:21" ht="34.5" customHeight="1">
      <c r="A250" s="24">
        <f t="shared" si="0"/>
        <v>236</v>
      </c>
      <c r="B250" s="488" t="s">
        <v>294</v>
      </c>
      <c r="C250" s="351"/>
      <c r="D250" s="489" t="s">
        <v>294</v>
      </c>
      <c r="E250" s="351"/>
      <c r="F250" s="485" t="s">
        <v>325</v>
      </c>
      <c r="G250" s="351"/>
      <c r="H250" s="487"/>
      <c r="I250" s="350"/>
      <c r="J250" s="351"/>
      <c r="K250" s="485" t="s">
        <v>325</v>
      </c>
      <c r="L250" s="350"/>
      <c r="M250" s="351"/>
      <c r="N250" s="490" t="s">
        <v>294</v>
      </c>
      <c r="O250" s="350"/>
      <c r="P250" s="350"/>
      <c r="Q250" s="350"/>
      <c r="R250" s="350"/>
      <c r="S250" s="350"/>
      <c r="T250" s="350"/>
      <c r="U250" s="351"/>
    </row>
    <row r="251" spans="1:21" ht="34.5" customHeight="1">
      <c r="A251" s="24">
        <f t="shared" si="0"/>
        <v>237</v>
      </c>
      <c r="B251" s="483" t="s">
        <v>294</v>
      </c>
      <c r="C251" s="351"/>
      <c r="D251" s="484" t="s">
        <v>294</v>
      </c>
      <c r="E251" s="351"/>
      <c r="F251" s="485" t="s">
        <v>325</v>
      </c>
      <c r="G251" s="351"/>
      <c r="H251" s="486"/>
      <c r="I251" s="350"/>
      <c r="J251" s="351"/>
      <c r="K251" s="485" t="s">
        <v>325</v>
      </c>
      <c r="L251" s="350"/>
      <c r="M251" s="351"/>
      <c r="N251" s="491" t="s">
        <v>294</v>
      </c>
      <c r="O251" s="350"/>
      <c r="P251" s="350"/>
      <c r="Q251" s="350"/>
      <c r="R251" s="350"/>
      <c r="S251" s="350"/>
      <c r="T251" s="350"/>
      <c r="U251" s="351"/>
    </row>
    <row r="252" spans="1:21" ht="34.5" customHeight="1">
      <c r="A252" s="24">
        <f t="shared" si="0"/>
        <v>238</v>
      </c>
      <c r="B252" s="488" t="s">
        <v>294</v>
      </c>
      <c r="C252" s="351"/>
      <c r="D252" s="489" t="s">
        <v>294</v>
      </c>
      <c r="E252" s="351"/>
      <c r="F252" s="485" t="s">
        <v>325</v>
      </c>
      <c r="G252" s="351"/>
      <c r="H252" s="487"/>
      <c r="I252" s="350"/>
      <c r="J252" s="351"/>
      <c r="K252" s="485" t="s">
        <v>325</v>
      </c>
      <c r="L252" s="350"/>
      <c r="M252" s="351"/>
      <c r="N252" s="490" t="s">
        <v>294</v>
      </c>
      <c r="O252" s="350"/>
      <c r="P252" s="350"/>
      <c r="Q252" s="350"/>
      <c r="R252" s="350"/>
      <c r="S252" s="350"/>
      <c r="T252" s="350"/>
      <c r="U252" s="351"/>
    </row>
    <row r="253" spans="1:21" ht="34.5" customHeight="1">
      <c r="A253" s="24">
        <f t="shared" si="0"/>
        <v>239</v>
      </c>
      <c r="B253" s="483" t="s">
        <v>294</v>
      </c>
      <c r="C253" s="351"/>
      <c r="D253" s="484" t="s">
        <v>294</v>
      </c>
      <c r="E253" s="351"/>
      <c r="F253" s="485" t="s">
        <v>325</v>
      </c>
      <c r="G253" s="351"/>
      <c r="H253" s="486"/>
      <c r="I253" s="350"/>
      <c r="J253" s="351"/>
      <c r="K253" s="485" t="s">
        <v>325</v>
      </c>
      <c r="L253" s="350"/>
      <c r="M253" s="351"/>
      <c r="N253" s="491" t="s">
        <v>294</v>
      </c>
      <c r="O253" s="350"/>
      <c r="P253" s="350"/>
      <c r="Q253" s="350"/>
      <c r="R253" s="350"/>
      <c r="S253" s="350"/>
      <c r="T253" s="350"/>
      <c r="U253" s="351"/>
    </row>
    <row r="254" spans="1:21" ht="34.5" customHeight="1">
      <c r="A254" s="24">
        <f t="shared" si="0"/>
        <v>240</v>
      </c>
      <c r="B254" s="488" t="s">
        <v>294</v>
      </c>
      <c r="C254" s="351"/>
      <c r="D254" s="489" t="s">
        <v>294</v>
      </c>
      <c r="E254" s="351"/>
      <c r="F254" s="485" t="s">
        <v>325</v>
      </c>
      <c r="G254" s="351"/>
      <c r="H254" s="487"/>
      <c r="I254" s="350"/>
      <c r="J254" s="351"/>
      <c r="K254" s="485" t="s">
        <v>325</v>
      </c>
      <c r="L254" s="350"/>
      <c r="M254" s="351"/>
      <c r="N254" s="490" t="s">
        <v>294</v>
      </c>
      <c r="O254" s="350"/>
      <c r="P254" s="350"/>
      <c r="Q254" s="350"/>
      <c r="R254" s="350"/>
      <c r="S254" s="350"/>
      <c r="T254" s="350"/>
      <c r="U254" s="351"/>
    </row>
    <row r="255" spans="1:21" ht="34.5" customHeight="1">
      <c r="A255" s="24">
        <f t="shared" si="0"/>
        <v>241</v>
      </c>
      <c r="B255" s="483" t="s">
        <v>294</v>
      </c>
      <c r="C255" s="351"/>
      <c r="D255" s="484" t="s">
        <v>294</v>
      </c>
      <c r="E255" s="351"/>
      <c r="F255" s="485" t="s">
        <v>325</v>
      </c>
      <c r="G255" s="351"/>
      <c r="H255" s="486"/>
      <c r="I255" s="350"/>
      <c r="J255" s="351"/>
      <c r="K255" s="485" t="s">
        <v>325</v>
      </c>
      <c r="L255" s="350"/>
      <c r="M255" s="351"/>
      <c r="N255" s="491" t="s">
        <v>294</v>
      </c>
      <c r="O255" s="350"/>
      <c r="P255" s="350"/>
      <c r="Q255" s="350"/>
      <c r="R255" s="350"/>
      <c r="S255" s="350"/>
      <c r="T255" s="350"/>
      <c r="U255" s="351"/>
    </row>
    <row r="256" spans="1:21" ht="34.5" customHeight="1">
      <c r="A256" s="24">
        <f t="shared" si="0"/>
        <v>242</v>
      </c>
      <c r="B256" s="488" t="s">
        <v>294</v>
      </c>
      <c r="C256" s="351"/>
      <c r="D256" s="489" t="s">
        <v>294</v>
      </c>
      <c r="E256" s="351"/>
      <c r="F256" s="485" t="s">
        <v>325</v>
      </c>
      <c r="G256" s="351"/>
      <c r="H256" s="487"/>
      <c r="I256" s="350"/>
      <c r="J256" s="351"/>
      <c r="K256" s="485" t="s">
        <v>325</v>
      </c>
      <c r="L256" s="350"/>
      <c r="M256" s="351"/>
      <c r="N256" s="490" t="s">
        <v>294</v>
      </c>
      <c r="O256" s="350"/>
      <c r="P256" s="350"/>
      <c r="Q256" s="350"/>
      <c r="R256" s="350"/>
      <c r="S256" s="350"/>
      <c r="T256" s="350"/>
      <c r="U256" s="351"/>
    </row>
    <row r="257" spans="1:21" ht="34.5" customHeight="1">
      <c r="A257" s="24">
        <f t="shared" si="0"/>
        <v>243</v>
      </c>
      <c r="B257" s="483" t="s">
        <v>294</v>
      </c>
      <c r="C257" s="351"/>
      <c r="D257" s="484" t="s">
        <v>294</v>
      </c>
      <c r="E257" s="351"/>
      <c r="F257" s="485" t="s">
        <v>325</v>
      </c>
      <c r="G257" s="351"/>
      <c r="H257" s="486"/>
      <c r="I257" s="350"/>
      <c r="J257" s="351"/>
      <c r="K257" s="485" t="s">
        <v>325</v>
      </c>
      <c r="L257" s="350"/>
      <c r="M257" s="351"/>
      <c r="N257" s="491" t="s">
        <v>294</v>
      </c>
      <c r="O257" s="350"/>
      <c r="P257" s="350"/>
      <c r="Q257" s="350"/>
      <c r="R257" s="350"/>
      <c r="S257" s="350"/>
      <c r="T257" s="350"/>
      <c r="U257" s="351"/>
    </row>
    <row r="258" spans="1:21" ht="34.5" customHeight="1">
      <c r="A258" s="24">
        <f t="shared" si="0"/>
        <v>244</v>
      </c>
      <c r="B258" s="488" t="s">
        <v>294</v>
      </c>
      <c r="C258" s="351"/>
      <c r="D258" s="489" t="s">
        <v>294</v>
      </c>
      <c r="E258" s="351"/>
      <c r="F258" s="485" t="s">
        <v>325</v>
      </c>
      <c r="G258" s="351"/>
      <c r="H258" s="487"/>
      <c r="I258" s="350"/>
      <c r="J258" s="351"/>
      <c r="K258" s="485" t="s">
        <v>325</v>
      </c>
      <c r="L258" s="350"/>
      <c r="M258" s="351"/>
      <c r="N258" s="490" t="s">
        <v>294</v>
      </c>
      <c r="O258" s="350"/>
      <c r="P258" s="350"/>
      <c r="Q258" s="350"/>
      <c r="R258" s="350"/>
      <c r="S258" s="350"/>
      <c r="T258" s="350"/>
      <c r="U258" s="351"/>
    </row>
    <row r="259" spans="1:21" ht="34.5" customHeight="1">
      <c r="A259" s="24">
        <f t="shared" si="0"/>
        <v>245</v>
      </c>
      <c r="B259" s="483" t="s">
        <v>294</v>
      </c>
      <c r="C259" s="351"/>
      <c r="D259" s="484" t="s">
        <v>294</v>
      </c>
      <c r="E259" s="351"/>
      <c r="F259" s="485" t="s">
        <v>325</v>
      </c>
      <c r="G259" s="351"/>
      <c r="H259" s="486"/>
      <c r="I259" s="350"/>
      <c r="J259" s="351"/>
      <c r="K259" s="485" t="s">
        <v>325</v>
      </c>
      <c r="L259" s="350"/>
      <c r="M259" s="351"/>
      <c r="N259" s="491" t="s">
        <v>294</v>
      </c>
      <c r="O259" s="350"/>
      <c r="P259" s="350"/>
      <c r="Q259" s="350"/>
      <c r="R259" s="350"/>
      <c r="S259" s="350"/>
      <c r="T259" s="350"/>
      <c r="U259" s="351"/>
    </row>
    <row r="260" spans="1:21" ht="34.5" customHeight="1">
      <c r="A260" s="24">
        <f t="shared" si="0"/>
        <v>246</v>
      </c>
      <c r="B260" s="488" t="s">
        <v>294</v>
      </c>
      <c r="C260" s="351"/>
      <c r="D260" s="489" t="s">
        <v>294</v>
      </c>
      <c r="E260" s="351"/>
      <c r="F260" s="485" t="s">
        <v>325</v>
      </c>
      <c r="G260" s="351"/>
      <c r="H260" s="487"/>
      <c r="I260" s="350"/>
      <c r="J260" s="351"/>
      <c r="K260" s="485" t="s">
        <v>325</v>
      </c>
      <c r="L260" s="350"/>
      <c r="M260" s="351"/>
      <c r="N260" s="490" t="s">
        <v>294</v>
      </c>
      <c r="O260" s="350"/>
      <c r="P260" s="350"/>
      <c r="Q260" s="350"/>
      <c r="R260" s="350"/>
      <c r="S260" s="350"/>
      <c r="T260" s="350"/>
      <c r="U260" s="351"/>
    </row>
    <row r="261" spans="1:21" ht="34.5" customHeight="1">
      <c r="A261" s="24">
        <f t="shared" si="0"/>
        <v>247</v>
      </c>
      <c r="B261" s="483" t="s">
        <v>294</v>
      </c>
      <c r="C261" s="351"/>
      <c r="D261" s="484" t="s">
        <v>294</v>
      </c>
      <c r="E261" s="351"/>
      <c r="F261" s="485" t="s">
        <v>325</v>
      </c>
      <c r="G261" s="351"/>
      <c r="H261" s="486"/>
      <c r="I261" s="350"/>
      <c r="J261" s="351"/>
      <c r="K261" s="485" t="s">
        <v>325</v>
      </c>
      <c r="L261" s="350"/>
      <c r="M261" s="351"/>
      <c r="N261" s="491" t="s">
        <v>294</v>
      </c>
      <c r="O261" s="350"/>
      <c r="P261" s="350"/>
      <c r="Q261" s="350"/>
      <c r="R261" s="350"/>
      <c r="S261" s="350"/>
      <c r="T261" s="350"/>
      <c r="U261" s="351"/>
    </row>
    <row r="262" spans="1:21" ht="34.5" customHeight="1">
      <c r="A262" s="24">
        <f t="shared" si="0"/>
        <v>248</v>
      </c>
      <c r="B262" s="488" t="s">
        <v>294</v>
      </c>
      <c r="C262" s="351"/>
      <c r="D262" s="489" t="s">
        <v>294</v>
      </c>
      <c r="E262" s="351"/>
      <c r="F262" s="485" t="s">
        <v>325</v>
      </c>
      <c r="G262" s="351"/>
      <c r="H262" s="487"/>
      <c r="I262" s="350"/>
      <c r="J262" s="351"/>
      <c r="K262" s="485" t="s">
        <v>325</v>
      </c>
      <c r="L262" s="350"/>
      <c r="M262" s="351"/>
      <c r="N262" s="490" t="s">
        <v>294</v>
      </c>
      <c r="O262" s="350"/>
      <c r="P262" s="350"/>
      <c r="Q262" s="350"/>
      <c r="R262" s="350"/>
      <c r="S262" s="350"/>
      <c r="T262" s="350"/>
      <c r="U262" s="351"/>
    </row>
    <row r="263" spans="1:21" ht="34.5" customHeight="1">
      <c r="A263" s="24">
        <f t="shared" si="0"/>
        <v>249</v>
      </c>
      <c r="B263" s="483" t="s">
        <v>294</v>
      </c>
      <c r="C263" s="351"/>
      <c r="D263" s="484" t="s">
        <v>294</v>
      </c>
      <c r="E263" s="351"/>
      <c r="F263" s="485" t="s">
        <v>325</v>
      </c>
      <c r="G263" s="351"/>
      <c r="H263" s="486"/>
      <c r="I263" s="350"/>
      <c r="J263" s="351"/>
      <c r="K263" s="485" t="s">
        <v>325</v>
      </c>
      <c r="L263" s="350"/>
      <c r="M263" s="351"/>
      <c r="N263" s="491" t="s">
        <v>294</v>
      </c>
      <c r="O263" s="350"/>
      <c r="P263" s="350"/>
      <c r="Q263" s="350"/>
      <c r="R263" s="350"/>
      <c r="S263" s="350"/>
      <c r="T263" s="350"/>
      <c r="U263" s="351"/>
    </row>
    <row r="264" spans="1:21" ht="34.5" customHeight="1">
      <c r="A264" s="24">
        <f t="shared" si="0"/>
        <v>250</v>
      </c>
      <c r="B264" s="488" t="s">
        <v>294</v>
      </c>
      <c r="C264" s="351"/>
      <c r="D264" s="489" t="s">
        <v>294</v>
      </c>
      <c r="E264" s="351"/>
      <c r="F264" s="485" t="s">
        <v>325</v>
      </c>
      <c r="G264" s="351"/>
      <c r="H264" s="487"/>
      <c r="I264" s="350"/>
      <c r="J264" s="351"/>
      <c r="K264" s="485" t="s">
        <v>325</v>
      </c>
      <c r="L264" s="350"/>
      <c r="M264" s="351"/>
      <c r="N264" s="490" t="s">
        <v>294</v>
      </c>
      <c r="O264" s="350"/>
      <c r="P264" s="350"/>
      <c r="Q264" s="350"/>
      <c r="R264" s="350"/>
      <c r="S264" s="350"/>
      <c r="T264" s="350"/>
      <c r="U264" s="351"/>
    </row>
    <row r="265" spans="1:21" ht="34.5" customHeight="1">
      <c r="A265" s="24">
        <f t="shared" si="0"/>
        <v>251</v>
      </c>
      <c r="B265" s="483" t="s">
        <v>294</v>
      </c>
      <c r="C265" s="351"/>
      <c r="D265" s="484" t="s">
        <v>294</v>
      </c>
      <c r="E265" s="351"/>
      <c r="F265" s="485" t="s">
        <v>325</v>
      </c>
      <c r="G265" s="351"/>
      <c r="H265" s="486"/>
      <c r="I265" s="350"/>
      <c r="J265" s="351"/>
      <c r="K265" s="485" t="s">
        <v>325</v>
      </c>
      <c r="L265" s="350"/>
      <c r="M265" s="351"/>
      <c r="N265" s="491" t="s">
        <v>294</v>
      </c>
      <c r="O265" s="350"/>
      <c r="P265" s="350"/>
      <c r="Q265" s="350"/>
      <c r="R265" s="350"/>
      <c r="S265" s="350"/>
      <c r="T265" s="350"/>
      <c r="U265" s="351"/>
    </row>
    <row r="266" spans="1:21" ht="34.5" customHeight="1">
      <c r="A266" s="24">
        <f t="shared" si="0"/>
        <v>252</v>
      </c>
      <c r="B266" s="488" t="s">
        <v>294</v>
      </c>
      <c r="C266" s="351"/>
      <c r="D266" s="489" t="s">
        <v>294</v>
      </c>
      <c r="E266" s="351"/>
      <c r="F266" s="485" t="s">
        <v>325</v>
      </c>
      <c r="G266" s="351"/>
      <c r="H266" s="487"/>
      <c r="I266" s="350"/>
      <c r="J266" s="351"/>
      <c r="K266" s="485" t="s">
        <v>325</v>
      </c>
      <c r="L266" s="350"/>
      <c r="M266" s="351"/>
      <c r="N266" s="490" t="s">
        <v>294</v>
      </c>
      <c r="O266" s="350"/>
      <c r="P266" s="350"/>
      <c r="Q266" s="350"/>
      <c r="R266" s="350"/>
      <c r="S266" s="350"/>
      <c r="T266" s="350"/>
      <c r="U266" s="351"/>
    </row>
    <row r="267" spans="1:21" ht="34.5" customHeight="1">
      <c r="A267" s="24">
        <f t="shared" si="0"/>
        <v>253</v>
      </c>
      <c r="B267" s="483" t="s">
        <v>294</v>
      </c>
      <c r="C267" s="351"/>
      <c r="D267" s="484" t="s">
        <v>294</v>
      </c>
      <c r="E267" s="351"/>
      <c r="F267" s="485" t="s">
        <v>325</v>
      </c>
      <c r="G267" s="351"/>
      <c r="H267" s="486"/>
      <c r="I267" s="350"/>
      <c r="J267" s="351"/>
      <c r="K267" s="485" t="s">
        <v>325</v>
      </c>
      <c r="L267" s="350"/>
      <c r="M267" s="351"/>
      <c r="N267" s="491" t="s">
        <v>294</v>
      </c>
      <c r="O267" s="350"/>
      <c r="P267" s="350"/>
      <c r="Q267" s="350"/>
      <c r="R267" s="350"/>
      <c r="S267" s="350"/>
      <c r="T267" s="350"/>
      <c r="U267" s="351"/>
    </row>
    <row r="268" spans="1:21" ht="34.5" customHeight="1">
      <c r="A268" s="24">
        <f t="shared" si="0"/>
        <v>254</v>
      </c>
      <c r="B268" s="488" t="s">
        <v>294</v>
      </c>
      <c r="C268" s="351"/>
      <c r="D268" s="489" t="s">
        <v>294</v>
      </c>
      <c r="E268" s="351"/>
      <c r="F268" s="485" t="s">
        <v>325</v>
      </c>
      <c r="G268" s="351"/>
      <c r="H268" s="487"/>
      <c r="I268" s="350"/>
      <c r="J268" s="351"/>
      <c r="K268" s="485" t="s">
        <v>325</v>
      </c>
      <c r="L268" s="350"/>
      <c r="M268" s="351"/>
      <c r="N268" s="490" t="s">
        <v>294</v>
      </c>
      <c r="O268" s="350"/>
      <c r="P268" s="350"/>
      <c r="Q268" s="350"/>
      <c r="R268" s="350"/>
      <c r="S268" s="350"/>
      <c r="T268" s="350"/>
      <c r="U268" s="351"/>
    </row>
    <row r="269" spans="1:21" ht="34.5" customHeight="1">
      <c r="A269" s="24">
        <f t="shared" si="0"/>
        <v>255</v>
      </c>
      <c r="B269" s="483" t="s">
        <v>294</v>
      </c>
      <c r="C269" s="351"/>
      <c r="D269" s="484" t="s">
        <v>294</v>
      </c>
      <c r="E269" s="351"/>
      <c r="F269" s="485" t="s">
        <v>325</v>
      </c>
      <c r="G269" s="351"/>
      <c r="H269" s="486"/>
      <c r="I269" s="350"/>
      <c r="J269" s="351"/>
      <c r="K269" s="485" t="s">
        <v>325</v>
      </c>
      <c r="L269" s="350"/>
      <c r="M269" s="351"/>
      <c r="N269" s="491" t="s">
        <v>294</v>
      </c>
      <c r="O269" s="350"/>
      <c r="P269" s="350"/>
      <c r="Q269" s="350"/>
      <c r="R269" s="350"/>
      <c r="S269" s="350"/>
      <c r="T269" s="350"/>
      <c r="U269" s="351"/>
    </row>
    <row r="270" spans="1:21" ht="34.5" customHeight="1">
      <c r="A270" s="24">
        <f t="shared" ref="A270:A524" si="1">ROW(A256)</f>
        <v>256</v>
      </c>
      <c r="B270" s="488" t="s">
        <v>294</v>
      </c>
      <c r="C270" s="351"/>
      <c r="D270" s="489" t="s">
        <v>294</v>
      </c>
      <c r="E270" s="351"/>
      <c r="F270" s="485" t="s">
        <v>325</v>
      </c>
      <c r="G270" s="351"/>
      <c r="H270" s="487"/>
      <c r="I270" s="350"/>
      <c r="J270" s="351"/>
      <c r="K270" s="485" t="s">
        <v>325</v>
      </c>
      <c r="L270" s="350"/>
      <c r="M270" s="351"/>
      <c r="N270" s="490" t="s">
        <v>294</v>
      </c>
      <c r="O270" s="350"/>
      <c r="P270" s="350"/>
      <c r="Q270" s="350"/>
      <c r="R270" s="350"/>
      <c r="S270" s="350"/>
      <c r="T270" s="350"/>
      <c r="U270" s="351"/>
    </row>
    <row r="271" spans="1:21" ht="34.5" customHeight="1">
      <c r="A271" s="24">
        <f t="shared" si="1"/>
        <v>257</v>
      </c>
      <c r="B271" s="483" t="s">
        <v>294</v>
      </c>
      <c r="C271" s="351"/>
      <c r="D271" s="484" t="s">
        <v>294</v>
      </c>
      <c r="E271" s="351"/>
      <c r="F271" s="485" t="s">
        <v>325</v>
      </c>
      <c r="G271" s="351"/>
      <c r="H271" s="486"/>
      <c r="I271" s="350"/>
      <c r="J271" s="351"/>
      <c r="K271" s="485" t="s">
        <v>325</v>
      </c>
      <c r="L271" s="350"/>
      <c r="M271" s="351"/>
      <c r="N271" s="491" t="s">
        <v>294</v>
      </c>
      <c r="O271" s="350"/>
      <c r="P271" s="350"/>
      <c r="Q271" s="350"/>
      <c r="R271" s="350"/>
      <c r="S271" s="350"/>
      <c r="T271" s="350"/>
      <c r="U271" s="351"/>
    </row>
    <row r="272" spans="1:21" ht="34.5" customHeight="1">
      <c r="A272" s="24">
        <f t="shared" si="1"/>
        <v>258</v>
      </c>
      <c r="B272" s="488" t="s">
        <v>326</v>
      </c>
      <c r="C272" s="351"/>
      <c r="D272" s="489" t="s">
        <v>294</v>
      </c>
      <c r="E272" s="351"/>
      <c r="F272" s="485" t="s">
        <v>325</v>
      </c>
      <c r="G272" s="351"/>
      <c r="H272" s="487"/>
      <c r="I272" s="350"/>
      <c r="J272" s="351"/>
      <c r="K272" s="485" t="s">
        <v>325</v>
      </c>
      <c r="L272" s="350"/>
      <c r="M272" s="351"/>
      <c r="N272" s="490" t="s">
        <v>294</v>
      </c>
      <c r="O272" s="350"/>
      <c r="P272" s="350"/>
      <c r="Q272" s="350"/>
      <c r="R272" s="350"/>
      <c r="S272" s="350"/>
      <c r="T272" s="350"/>
      <c r="U272" s="351"/>
    </row>
    <row r="273" spans="1:21" ht="34.5" customHeight="1">
      <c r="A273" s="24">
        <f t="shared" si="1"/>
        <v>259</v>
      </c>
      <c r="B273" s="483" t="s">
        <v>294</v>
      </c>
      <c r="C273" s="351"/>
      <c r="D273" s="484" t="s">
        <v>294</v>
      </c>
      <c r="E273" s="351"/>
      <c r="F273" s="485" t="s">
        <v>325</v>
      </c>
      <c r="G273" s="351"/>
      <c r="H273" s="486"/>
      <c r="I273" s="350"/>
      <c r="J273" s="351"/>
      <c r="K273" s="485" t="s">
        <v>325</v>
      </c>
      <c r="L273" s="350"/>
      <c r="M273" s="351"/>
      <c r="N273" s="491" t="s">
        <v>294</v>
      </c>
      <c r="O273" s="350"/>
      <c r="P273" s="350"/>
      <c r="Q273" s="350"/>
      <c r="R273" s="350"/>
      <c r="S273" s="350"/>
      <c r="T273" s="350"/>
      <c r="U273" s="351"/>
    </row>
    <row r="274" spans="1:21" ht="34.5" customHeight="1">
      <c r="A274" s="24">
        <f t="shared" si="1"/>
        <v>260</v>
      </c>
      <c r="B274" s="488" t="s">
        <v>294</v>
      </c>
      <c r="C274" s="351"/>
      <c r="D274" s="489" t="s">
        <v>294</v>
      </c>
      <c r="E274" s="351"/>
      <c r="F274" s="485" t="s">
        <v>325</v>
      </c>
      <c r="G274" s="351"/>
      <c r="H274" s="487"/>
      <c r="I274" s="350"/>
      <c r="J274" s="351"/>
      <c r="K274" s="485" t="s">
        <v>325</v>
      </c>
      <c r="L274" s="350"/>
      <c r="M274" s="351"/>
      <c r="N274" s="490" t="s">
        <v>294</v>
      </c>
      <c r="O274" s="350"/>
      <c r="P274" s="350"/>
      <c r="Q274" s="350"/>
      <c r="R274" s="350"/>
      <c r="S274" s="350"/>
      <c r="T274" s="350"/>
      <c r="U274" s="351"/>
    </row>
    <row r="275" spans="1:21" ht="34.5" customHeight="1">
      <c r="A275" s="24">
        <f t="shared" si="1"/>
        <v>261</v>
      </c>
      <c r="B275" s="483" t="s">
        <v>294</v>
      </c>
      <c r="C275" s="351"/>
      <c r="D275" s="484" t="s">
        <v>294</v>
      </c>
      <c r="E275" s="351"/>
      <c r="F275" s="485" t="s">
        <v>325</v>
      </c>
      <c r="G275" s="351"/>
      <c r="H275" s="486"/>
      <c r="I275" s="350"/>
      <c r="J275" s="351"/>
      <c r="K275" s="485" t="s">
        <v>325</v>
      </c>
      <c r="L275" s="350"/>
      <c r="M275" s="351"/>
      <c r="N275" s="491" t="s">
        <v>294</v>
      </c>
      <c r="O275" s="350"/>
      <c r="P275" s="350"/>
      <c r="Q275" s="350"/>
      <c r="R275" s="350"/>
      <c r="S275" s="350"/>
      <c r="T275" s="350"/>
      <c r="U275" s="351"/>
    </row>
    <row r="276" spans="1:21" ht="34.5" customHeight="1">
      <c r="A276" s="24">
        <f t="shared" si="1"/>
        <v>262</v>
      </c>
      <c r="B276" s="488" t="s">
        <v>294</v>
      </c>
      <c r="C276" s="351"/>
      <c r="D276" s="489" t="s">
        <v>294</v>
      </c>
      <c r="E276" s="351"/>
      <c r="F276" s="485" t="s">
        <v>325</v>
      </c>
      <c r="G276" s="351"/>
      <c r="H276" s="487"/>
      <c r="I276" s="350"/>
      <c r="J276" s="351"/>
      <c r="K276" s="485" t="s">
        <v>325</v>
      </c>
      <c r="L276" s="350"/>
      <c r="M276" s="351"/>
      <c r="N276" s="490" t="s">
        <v>294</v>
      </c>
      <c r="O276" s="350"/>
      <c r="P276" s="350"/>
      <c r="Q276" s="350"/>
      <c r="R276" s="350"/>
      <c r="S276" s="350"/>
      <c r="T276" s="350"/>
      <c r="U276" s="351"/>
    </row>
    <row r="277" spans="1:21" ht="34.5" customHeight="1">
      <c r="A277" s="24">
        <f t="shared" si="1"/>
        <v>263</v>
      </c>
      <c r="B277" s="483" t="s">
        <v>294</v>
      </c>
      <c r="C277" s="351"/>
      <c r="D277" s="484" t="s">
        <v>294</v>
      </c>
      <c r="E277" s="351"/>
      <c r="F277" s="485" t="s">
        <v>325</v>
      </c>
      <c r="G277" s="351"/>
      <c r="H277" s="486"/>
      <c r="I277" s="350"/>
      <c r="J277" s="351"/>
      <c r="K277" s="485" t="s">
        <v>325</v>
      </c>
      <c r="L277" s="350"/>
      <c r="M277" s="351"/>
      <c r="N277" s="491" t="s">
        <v>294</v>
      </c>
      <c r="O277" s="350"/>
      <c r="P277" s="350"/>
      <c r="Q277" s="350"/>
      <c r="R277" s="350"/>
      <c r="S277" s="350"/>
      <c r="T277" s="350"/>
      <c r="U277" s="351"/>
    </row>
    <row r="278" spans="1:21" ht="34.5" customHeight="1">
      <c r="A278" s="24">
        <f t="shared" si="1"/>
        <v>264</v>
      </c>
      <c r="B278" s="488" t="s">
        <v>327</v>
      </c>
      <c r="C278" s="351"/>
      <c r="D278" s="489" t="s">
        <v>294</v>
      </c>
      <c r="E278" s="351"/>
      <c r="F278" s="485" t="s">
        <v>325</v>
      </c>
      <c r="G278" s="351"/>
      <c r="H278" s="487"/>
      <c r="I278" s="350"/>
      <c r="J278" s="351"/>
      <c r="K278" s="485" t="s">
        <v>325</v>
      </c>
      <c r="L278" s="350"/>
      <c r="M278" s="351"/>
      <c r="N278" s="490" t="s">
        <v>294</v>
      </c>
      <c r="O278" s="350"/>
      <c r="P278" s="350"/>
      <c r="Q278" s="350"/>
      <c r="R278" s="350"/>
      <c r="S278" s="350"/>
      <c r="T278" s="350"/>
      <c r="U278" s="351"/>
    </row>
    <row r="279" spans="1:21" ht="34.5" customHeight="1">
      <c r="A279" s="24">
        <f t="shared" si="1"/>
        <v>265</v>
      </c>
      <c r="B279" s="483" t="s">
        <v>294</v>
      </c>
      <c r="C279" s="351"/>
      <c r="D279" s="484" t="s">
        <v>294</v>
      </c>
      <c r="E279" s="351"/>
      <c r="F279" s="485" t="s">
        <v>325</v>
      </c>
      <c r="G279" s="351"/>
      <c r="H279" s="486"/>
      <c r="I279" s="350"/>
      <c r="J279" s="351"/>
      <c r="K279" s="485" t="s">
        <v>325</v>
      </c>
      <c r="L279" s="350"/>
      <c r="M279" s="351"/>
      <c r="N279" s="491" t="s">
        <v>294</v>
      </c>
      <c r="O279" s="350"/>
      <c r="P279" s="350"/>
      <c r="Q279" s="350"/>
      <c r="R279" s="350"/>
      <c r="S279" s="350"/>
      <c r="T279" s="350"/>
      <c r="U279" s="351"/>
    </row>
    <row r="280" spans="1:21" ht="34.5" customHeight="1">
      <c r="A280" s="24">
        <f t="shared" si="1"/>
        <v>266</v>
      </c>
      <c r="B280" s="488" t="s">
        <v>294</v>
      </c>
      <c r="C280" s="351"/>
      <c r="D280" s="489" t="s">
        <v>294</v>
      </c>
      <c r="E280" s="351"/>
      <c r="F280" s="485" t="s">
        <v>325</v>
      </c>
      <c r="G280" s="351"/>
      <c r="H280" s="487"/>
      <c r="I280" s="350"/>
      <c r="J280" s="351"/>
      <c r="K280" s="485" t="s">
        <v>325</v>
      </c>
      <c r="L280" s="350"/>
      <c r="M280" s="351"/>
      <c r="N280" s="490" t="s">
        <v>294</v>
      </c>
      <c r="O280" s="350"/>
      <c r="P280" s="350"/>
      <c r="Q280" s="350"/>
      <c r="R280" s="350"/>
      <c r="S280" s="350"/>
      <c r="T280" s="350"/>
      <c r="U280" s="351"/>
    </row>
    <row r="281" spans="1:21" ht="34.5" customHeight="1">
      <c r="A281" s="24">
        <f t="shared" si="1"/>
        <v>267</v>
      </c>
      <c r="B281" s="483" t="s">
        <v>294</v>
      </c>
      <c r="C281" s="351"/>
      <c r="D281" s="484" t="s">
        <v>294</v>
      </c>
      <c r="E281" s="351"/>
      <c r="F281" s="485" t="s">
        <v>325</v>
      </c>
      <c r="G281" s="351"/>
      <c r="H281" s="486"/>
      <c r="I281" s="350"/>
      <c r="J281" s="351"/>
      <c r="K281" s="485" t="s">
        <v>325</v>
      </c>
      <c r="L281" s="350"/>
      <c r="M281" s="351"/>
      <c r="N281" s="491" t="s">
        <v>294</v>
      </c>
      <c r="O281" s="350"/>
      <c r="P281" s="350"/>
      <c r="Q281" s="350"/>
      <c r="R281" s="350"/>
      <c r="S281" s="350"/>
      <c r="T281" s="350"/>
      <c r="U281" s="351"/>
    </row>
    <row r="282" spans="1:21" ht="34.5" customHeight="1">
      <c r="A282" s="24">
        <f t="shared" si="1"/>
        <v>268</v>
      </c>
      <c r="B282" s="488" t="s">
        <v>294</v>
      </c>
      <c r="C282" s="351"/>
      <c r="D282" s="489" t="s">
        <v>294</v>
      </c>
      <c r="E282" s="351"/>
      <c r="F282" s="485" t="s">
        <v>325</v>
      </c>
      <c r="G282" s="351"/>
      <c r="H282" s="487"/>
      <c r="I282" s="350"/>
      <c r="J282" s="351"/>
      <c r="K282" s="485" t="s">
        <v>325</v>
      </c>
      <c r="L282" s="350"/>
      <c r="M282" s="351"/>
      <c r="N282" s="490" t="s">
        <v>294</v>
      </c>
      <c r="O282" s="350"/>
      <c r="P282" s="350"/>
      <c r="Q282" s="350"/>
      <c r="R282" s="350"/>
      <c r="S282" s="350"/>
      <c r="T282" s="350"/>
      <c r="U282" s="351"/>
    </row>
    <row r="283" spans="1:21" ht="34.5" customHeight="1">
      <c r="A283" s="24">
        <f t="shared" si="1"/>
        <v>269</v>
      </c>
      <c r="B283" s="483" t="s">
        <v>294</v>
      </c>
      <c r="C283" s="351"/>
      <c r="D283" s="484" t="s">
        <v>294</v>
      </c>
      <c r="E283" s="351"/>
      <c r="F283" s="485" t="s">
        <v>325</v>
      </c>
      <c r="G283" s="351"/>
      <c r="H283" s="486"/>
      <c r="I283" s="350"/>
      <c r="J283" s="351"/>
      <c r="K283" s="485" t="s">
        <v>325</v>
      </c>
      <c r="L283" s="350"/>
      <c r="M283" s="351"/>
      <c r="N283" s="491" t="s">
        <v>294</v>
      </c>
      <c r="O283" s="350"/>
      <c r="P283" s="350"/>
      <c r="Q283" s="350"/>
      <c r="R283" s="350"/>
      <c r="S283" s="350"/>
      <c r="T283" s="350"/>
      <c r="U283" s="351"/>
    </row>
    <row r="284" spans="1:21" ht="34.5" customHeight="1">
      <c r="A284" s="24">
        <f t="shared" si="1"/>
        <v>270</v>
      </c>
      <c r="B284" s="488" t="s">
        <v>294</v>
      </c>
      <c r="C284" s="351"/>
      <c r="D284" s="489" t="s">
        <v>294</v>
      </c>
      <c r="E284" s="351"/>
      <c r="F284" s="485" t="s">
        <v>325</v>
      </c>
      <c r="G284" s="351"/>
      <c r="H284" s="487"/>
      <c r="I284" s="350"/>
      <c r="J284" s="351"/>
      <c r="K284" s="485" t="s">
        <v>325</v>
      </c>
      <c r="L284" s="350"/>
      <c r="M284" s="351"/>
      <c r="N284" s="490" t="s">
        <v>294</v>
      </c>
      <c r="O284" s="350"/>
      <c r="P284" s="350"/>
      <c r="Q284" s="350"/>
      <c r="R284" s="350"/>
      <c r="S284" s="350"/>
      <c r="T284" s="350"/>
      <c r="U284" s="351"/>
    </row>
    <row r="285" spans="1:21" ht="34.5" customHeight="1">
      <c r="A285" s="24">
        <f t="shared" si="1"/>
        <v>271</v>
      </c>
      <c r="B285" s="483" t="s">
        <v>294</v>
      </c>
      <c r="C285" s="351"/>
      <c r="D285" s="484" t="s">
        <v>294</v>
      </c>
      <c r="E285" s="351"/>
      <c r="F285" s="485" t="s">
        <v>325</v>
      </c>
      <c r="G285" s="351"/>
      <c r="H285" s="486"/>
      <c r="I285" s="350"/>
      <c r="J285" s="351"/>
      <c r="K285" s="485" t="s">
        <v>325</v>
      </c>
      <c r="L285" s="350"/>
      <c r="M285" s="351"/>
      <c r="N285" s="491" t="s">
        <v>294</v>
      </c>
      <c r="O285" s="350"/>
      <c r="P285" s="350"/>
      <c r="Q285" s="350"/>
      <c r="R285" s="350"/>
      <c r="S285" s="350"/>
      <c r="T285" s="350"/>
      <c r="U285" s="351"/>
    </row>
    <row r="286" spans="1:21" ht="34.5" customHeight="1">
      <c r="A286" s="24">
        <f t="shared" si="1"/>
        <v>272</v>
      </c>
      <c r="B286" s="488" t="s">
        <v>294</v>
      </c>
      <c r="C286" s="351"/>
      <c r="D286" s="489" t="s">
        <v>294</v>
      </c>
      <c r="E286" s="351"/>
      <c r="F286" s="485" t="s">
        <v>325</v>
      </c>
      <c r="G286" s="351"/>
      <c r="H286" s="487"/>
      <c r="I286" s="350"/>
      <c r="J286" s="351"/>
      <c r="K286" s="485" t="s">
        <v>325</v>
      </c>
      <c r="L286" s="350"/>
      <c r="M286" s="351"/>
      <c r="N286" s="490" t="s">
        <v>294</v>
      </c>
      <c r="O286" s="350"/>
      <c r="P286" s="350"/>
      <c r="Q286" s="350"/>
      <c r="R286" s="350"/>
      <c r="S286" s="350"/>
      <c r="T286" s="350"/>
      <c r="U286" s="351"/>
    </row>
    <row r="287" spans="1:21" ht="34.5" customHeight="1">
      <c r="A287" s="24">
        <f t="shared" si="1"/>
        <v>273</v>
      </c>
      <c r="B287" s="483" t="s">
        <v>294</v>
      </c>
      <c r="C287" s="351"/>
      <c r="D287" s="484" t="s">
        <v>294</v>
      </c>
      <c r="E287" s="351"/>
      <c r="F287" s="485" t="s">
        <v>325</v>
      </c>
      <c r="G287" s="351"/>
      <c r="H287" s="486"/>
      <c r="I287" s="350"/>
      <c r="J287" s="351"/>
      <c r="K287" s="485" t="s">
        <v>325</v>
      </c>
      <c r="L287" s="350"/>
      <c r="M287" s="351"/>
      <c r="N287" s="491" t="s">
        <v>294</v>
      </c>
      <c r="O287" s="350"/>
      <c r="P287" s="350"/>
      <c r="Q287" s="350"/>
      <c r="R287" s="350"/>
      <c r="S287" s="350"/>
      <c r="T287" s="350"/>
      <c r="U287" s="351"/>
    </row>
    <row r="288" spans="1:21" ht="34.5" customHeight="1">
      <c r="A288" s="24">
        <f t="shared" si="1"/>
        <v>274</v>
      </c>
      <c r="B288" s="488" t="s">
        <v>294</v>
      </c>
      <c r="C288" s="351"/>
      <c r="D288" s="489" t="s">
        <v>294</v>
      </c>
      <c r="E288" s="351"/>
      <c r="F288" s="485" t="s">
        <v>325</v>
      </c>
      <c r="G288" s="351"/>
      <c r="H288" s="487"/>
      <c r="I288" s="350"/>
      <c r="J288" s="351"/>
      <c r="K288" s="485" t="s">
        <v>325</v>
      </c>
      <c r="L288" s="350"/>
      <c r="M288" s="351"/>
      <c r="N288" s="490" t="s">
        <v>294</v>
      </c>
      <c r="O288" s="350"/>
      <c r="P288" s="350"/>
      <c r="Q288" s="350"/>
      <c r="R288" s="350"/>
      <c r="S288" s="350"/>
      <c r="T288" s="350"/>
      <c r="U288" s="351"/>
    </row>
    <row r="289" spans="1:21" ht="34.5" customHeight="1">
      <c r="A289" s="24">
        <f t="shared" si="1"/>
        <v>275</v>
      </c>
      <c r="B289" s="483" t="s">
        <v>294</v>
      </c>
      <c r="C289" s="351"/>
      <c r="D289" s="484" t="s">
        <v>294</v>
      </c>
      <c r="E289" s="351"/>
      <c r="F289" s="485" t="s">
        <v>325</v>
      </c>
      <c r="G289" s="351"/>
      <c r="H289" s="486"/>
      <c r="I289" s="350"/>
      <c r="J289" s="351"/>
      <c r="K289" s="485" t="s">
        <v>325</v>
      </c>
      <c r="L289" s="350"/>
      <c r="M289" s="351"/>
      <c r="N289" s="491" t="s">
        <v>294</v>
      </c>
      <c r="O289" s="350"/>
      <c r="P289" s="350"/>
      <c r="Q289" s="350"/>
      <c r="R289" s="350"/>
      <c r="S289" s="350"/>
      <c r="T289" s="350"/>
      <c r="U289" s="351"/>
    </row>
    <row r="290" spans="1:21" ht="34.5" customHeight="1">
      <c r="A290" s="24">
        <f t="shared" si="1"/>
        <v>276</v>
      </c>
      <c r="B290" s="488" t="s">
        <v>294</v>
      </c>
      <c r="C290" s="351"/>
      <c r="D290" s="489" t="s">
        <v>294</v>
      </c>
      <c r="E290" s="351"/>
      <c r="F290" s="485" t="s">
        <v>325</v>
      </c>
      <c r="G290" s="351"/>
      <c r="H290" s="487"/>
      <c r="I290" s="350"/>
      <c r="J290" s="351"/>
      <c r="K290" s="485" t="s">
        <v>325</v>
      </c>
      <c r="L290" s="350"/>
      <c r="M290" s="351"/>
      <c r="N290" s="490" t="s">
        <v>294</v>
      </c>
      <c r="O290" s="350"/>
      <c r="P290" s="350"/>
      <c r="Q290" s="350"/>
      <c r="R290" s="350"/>
      <c r="S290" s="350"/>
      <c r="T290" s="350"/>
      <c r="U290" s="351"/>
    </row>
    <row r="291" spans="1:21" ht="34.5" customHeight="1">
      <c r="A291" s="24">
        <f t="shared" si="1"/>
        <v>277</v>
      </c>
      <c r="B291" s="483" t="s">
        <v>328</v>
      </c>
      <c r="C291" s="351"/>
      <c r="D291" s="484" t="s">
        <v>294</v>
      </c>
      <c r="E291" s="351"/>
      <c r="F291" s="485" t="s">
        <v>325</v>
      </c>
      <c r="G291" s="351"/>
      <c r="H291" s="486"/>
      <c r="I291" s="350"/>
      <c r="J291" s="351"/>
      <c r="K291" s="485" t="s">
        <v>325</v>
      </c>
      <c r="L291" s="350"/>
      <c r="M291" s="351"/>
      <c r="N291" s="491" t="s">
        <v>294</v>
      </c>
      <c r="O291" s="350"/>
      <c r="P291" s="350"/>
      <c r="Q291" s="350"/>
      <c r="R291" s="350"/>
      <c r="S291" s="350"/>
      <c r="T291" s="350"/>
      <c r="U291" s="351"/>
    </row>
    <row r="292" spans="1:21" ht="34.5" customHeight="1">
      <c r="A292" s="24">
        <f t="shared" si="1"/>
        <v>278</v>
      </c>
      <c r="B292" s="488" t="s">
        <v>294</v>
      </c>
      <c r="C292" s="351"/>
      <c r="D292" s="489" t="s">
        <v>294</v>
      </c>
      <c r="E292" s="351"/>
      <c r="F292" s="485" t="s">
        <v>325</v>
      </c>
      <c r="G292" s="351"/>
      <c r="H292" s="487"/>
      <c r="I292" s="350"/>
      <c r="J292" s="351"/>
      <c r="K292" s="485" t="s">
        <v>325</v>
      </c>
      <c r="L292" s="350"/>
      <c r="M292" s="351"/>
      <c r="N292" s="490" t="s">
        <v>294</v>
      </c>
      <c r="O292" s="350"/>
      <c r="P292" s="350"/>
      <c r="Q292" s="350"/>
      <c r="R292" s="350"/>
      <c r="S292" s="350"/>
      <c r="T292" s="350"/>
      <c r="U292" s="351"/>
    </row>
    <row r="293" spans="1:21" ht="34.5" customHeight="1">
      <c r="A293" s="24">
        <f t="shared" si="1"/>
        <v>279</v>
      </c>
      <c r="B293" s="483" t="s">
        <v>294</v>
      </c>
      <c r="C293" s="351"/>
      <c r="D293" s="484" t="s">
        <v>294</v>
      </c>
      <c r="E293" s="351"/>
      <c r="F293" s="485" t="s">
        <v>325</v>
      </c>
      <c r="G293" s="351"/>
      <c r="H293" s="486"/>
      <c r="I293" s="350"/>
      <c r="J293" s="351"/>
      <c r="K293" s="485" t="s">
        <v>325</v>
      </c>
      <c r="L293" s="350"/>
      <c r="M293" s="351"/>
      <c r="N293" s="491" t="s">
        <v>294</v>
      </c>
      <c r="O293" s="350"/>
      <c r="P293" s="350"/>
      <c r="Q293" s="350"/>
      <c r="R293" s="350"/>
      <c r="S293" s="350"/>
      <c r="T293" s="350"/>
      <c r="U293" s="351"/>
    </row>
    <row r="294" spans="1:21" ht="34.5" customHeight="1">
      <c r="A294" s="24">
        <f t="shared" si="1"/>
        <v>280</v>
      </c>
      <c r="B294" s="488" t="s">
        <v>294</v>
      </c>
      <c r="C294" s="351"/>
      <c r="D294" s="489" t="s">
        <v>294</v>
      </c>
      <c r="E294" s="351"/>
      <c r="F294" s="485" t="s">
        <v>325</v>
      </c>
      <c r="G294" s="351"/>
      <c r="H294" s="487"/>
      <c r="I294" s="350"/>
      <c r="J294" s="351"/>
      <c r="K294" s="485" t="s">
        <v>325</v>
      </c>
      <c r="L294" s="350"/>
      <c r="M294" s="351"/>
      <c r="N294" s="490" t="s">
        <v>294</v>
      </c>
      <c r="O294" s="350"/>
      <c r="P294" s="350"/>
      <c r="Q294" s="350"/>
      <c r="R294" s="350"/>
      <c r="S294" s="350"/>
      <c r="T294" s="350"/>
      <c r="U294" s="351"/>
    </row>
    <row r="295" spans="1:21" ht="34.5" customHeight="1">
      <c r="A295" s="24">
        <f t="shared" si="1"/>
        <v>281</v>
      </c>
      <c r="B295" s="483" t="s">
        <v>294</v>
      </c>
      <c r="C295" s="351"/>
      <c r="D295" s="484" t="s">
        <v>294</v>
      </c>
      <c r="E295" s="351"/>
      <c r="F295" s="485" t="s">
        <v>325</v>
      </c>
      <c r="G295" s="351"/>
      <c r="H295" s="486"/>
      <c r="I295" s="350"/>
      <c r="J295" s="351"/>
      <c r="K295" s="485" t="s">
        <v>325</v>
      </c>
      <c r="L295" s="350"/>
      <c r="M295" s="351"/>
      <c r="N295" s="491" t="s">
        <v>294</v>
      </c>
      <c r="O295" s="350"/>
      <c r="P295" s="350"/>
      <c r="Q295" s="350"/>
      <c r="R295" s="350"/>
      <c r="S295" s="350"/>
      <c r="T295" s="350"/>
      <c r="U295" s="351"/>
    </row>
    <row r="296" spans="1:21" ht="34.5" customHeight="1">
      <c r="A296" s="24">
        <f t="shared" si="1"/>
        <v>282</v>
      </c>
      <c r="B296" s="488" t="s">
        <v>294</v>
      </c>
      <c r="C296" s="351"/>
      <c r="D296" s="489" t="s">
        <v>294</v>
      </c>
      <c r="E296" s="351"/>
      <c r="F296" s="485" t="s">
        <v>325</v>
      </c>
      <c r="G296" s="351"/>
      <c r="H296" s="487"/>
      <c r="I296" s="350"/>
      <c r="J296" s="351"/>
      <c r="K296" s="485" t="s">
        <v>325</v>
      </c>
      <c r="L296" s="350"/>
      <c r="M296" s="351"/>
      <c r="N296" s="490" t="s">
        <v>294</v>
      </c>
      <c r="O296" s="350"/>
      <c r="P296" s="350"/>
      <c r="Q296" s="350"/>
      <c r="R296" s="350"/>
      <c r="S296" s="350"/>
      <c r="T296" s="350"/>
      <c r="U296" s="351"/>
    </row>
    <row r="297" spans="1:21" ht="34.5" customHeight="1">
      <c r="A297" s="24">
        <f t="shared" si="1"/>
        <v>283</v>
      </c>
      <c r="B297" s="483" t="s">
        <v>294</v>
      </c>
      <c r="C297" s="351"/>
      <c r="D297" s="484" t="s">
        <v>294</v>
      </c>
      <c r="E297" s="351"/>
      <c r="F297" s="485" t="s">
        <v>325</v>
      </c>
      <c r="G297" s="351"/>
      <c r="H297" s="486"/>
      <c r="I297" s="350"/>
      <c r="J297" s="351"/>
      <c r="K297" s="485" t="s">
        <v>325</v>
      </c>
      <c r="L297" s="350"/>
      <c r="M297" s="351"/>
      <c r="N297" s="491" t="s">
        <v>294</v>
      </c>
      <c r="O297" s="350"/>
      <c r="P297" s="350"/>
      <c r="Q297" s="350"/>
      <c r="R297" s="350"/>
      <c r="S297" s="350"/>
      <c r="T297" s="350"/>
      <c r="U297" s="351"/>
    </row>
    <row r="298" spans="1:21" ht="34.5" customHeight="1">
      <c r="A298" s="24">
        <f t="shared" si="1"/>
        <v>284</v>
      </c>
      <c r="B298" s="488" t="s">
        <v>294</v>
      </c>
      <c r="C298" s="351"/>
      <c r="D298" s="489" t="s">
        <v>294</v>
      </c>
      <c r="E298" s="351"/>
      <c r="F298" s="485" t="s">
        <v>325</v>
      </c>
      <c r="G298" s="351"/>
      <c r="H298" s="487"/>
      <c r="I298" s="350"/>
      <c r="J298" s="351"/>
      <c r="K298" s="485" t="s">
        <v>325</v>
      </c>
      <c r="L298" s="350"/>
      <c r="M298" s="351"/>
      <c r="N298" s="490" t="s">
        <v>294</v>
      </c>
      <c r="O298" s="350"/>
      <c r="P298" s="350"/>
      <c r="Q298" s="350"/>
      <c r="R298" s="350"/>
      <c r="S298" s="350"/>
      <c r="T298" s="350"/>
      <c r="U298" s="351"/>
    </row>
    <row r="299" spans="1:21" ht="34.5" customHeight="1">
      <c r="A299" s="24">
        <f t="shared" si="1"/>
        <v>285</v>
      </c>
      <c r="B299" s="483" t="s">
        <v>294</v>
      </c>
      <c r="C299" s="351"/>
      <c r="D299" s="484" t="s">
        <v>294</v>
      </c>
      <c r="E299" s="351"/>
      <c r="F299" s="485" t="s">
        <v>325</v>
      </c>
      <c r="G299" s="351"/>
      <c r="H299" s="486"/>
      <c r="I299" s="350"/>
      <c r="J299" s="351"/>
      <c r="K299" s="485" t="s">
        <v>325</v>
      </c>
      <c r="L299" s="350"/>
      <c r="M299" s="351"/>
      <c r="N299" s="491" t="s">
        <v>294</v>
      </c>
      <c r="O299" s="350"/>
      <c r="P299" s="350"/>
      <c r="Q299" s="350"/>
      <c r="R299" s="350"/>
      <c r="S299" s="350"/>
      <c r="T299" s="350"/>
      <c r="U299" s="351"/>
    </row>
    <row r="300" spans="1:21" ht="34.5" customHeight="1">
      <c r="A300" s="24">
        <f t="shared" si="1"/>
        <v>286</v>
      </c>
      <c r="B300" s="488" t="s">
        <v>326</v>
      </c>
      <c r="C300" s="351"/>
      <c r="D300" s="489" t="s">
        <v>294</v>
      </c>
      <c r="E300" s="351"/>
      <c r="F300" s="485" t="s">
        <v>325</v>
      </c>
      <c r="G300" s="351"/>
      <c r="H300" s="487"/>
      <c r="I300" s="350"/>
      <c r="J300" s="351"/>
      <c r="K300" s="485" t="s">
        <v>325</v>
      </c>
      <c r="L300" s="350"/>
      <c r="M300" s="351"/>
      <c r="N300" s="490" t="s">
        <v>294</v>
      </c>
      <c r="O300" s="350"/>
      <c r="P300" s="350"/>
      <c r="Q300" s="350"/>
      <c r="R300" s="350"/>
      <c r="S300" s="350"/>
      <c r="T300" s="350"/>
      <c r="U300" s="351"/>
    </row>
    <row r="301" spans="1:21" ht="34.5" customHeight="1">
      <c r="A301" s="24">
        <f t="shared" si="1"/>
        <v>287</v>
      </c>
      <c r="B301" s="483" t="s">
        <v>294</v>
      </c>
      <c r="C301" s="351"/>
      <c r="D301" s="484" t="s">
        <v>294</v>
      </c>
      <c r="E301" s="351"/>
      <c r="F301" s="485" t="s">
        <v>325</v>
      </c>
      <c r="G301" s="351"/>
      <c r="H301" s="486"/>
      <c r="I301" s="350"/>
      <c r="J301" s="351"/>
      <c r="K301" s="485" t="s">
        <v>325</v>
      </c>
      <c r="L301" s="350"/>
      <c r="M301" s="351"/>
      <c r="N301" s="491" t="s">
        <v>294</v>
      </c>
      <c r="O301" s="350"/>
      <c r="P301" s="350"/>
      <c r="Q301" s="350"/>
      <c r="R301" s="350"/>
      <c r="S301" s="350"/>
      <c r="T301" s="350"/>
      <c r="U301" s="351"/>
    </row>
    <row r="302" spans="1:21" ht="34.5" customHeight="1">
      <c r="A302" s="24">
        <f t="shared" si="1"/>
        <v>288</v>
      </c>
      <c r="B302" s="488" t="s">
        <v>294</v>
      </c>
      <c r="C302" s="351"/>
      <c r="D302" s="489" t="s">
        <v>294</v>
      </c>
      <c r="E302" s="351"/>
      <c r="F302" s="485" t="s">
        <v>325</v>
      </c>
      <c r="G302" s="351"/>
      <c r="H302" s="487"/>
      <c r="I302" s="350"/>
      <c r="J302" s="351"/>
      <c r="K302" s="485" t="s">
        <v>325</v>
      </c>
      <c r="L302" s="350"/>
      <c r="M302" s="351"/>
      <c r="N302" s="490" t="s">
        <v>294</v>
      </c>
      <c r="O302" s="350"/>
      <c r="P302" s="350"/>
      <c r="Q302" s="350"/>
      <c r="R302" s="350"/>
      <c r="S302" s="350"/>
      <c r="T302" s="350"/>
      <c r="U302" s="351"/>
    </row>
    <row r="303" spans="1:21" ht="34.5" customHeight="1">
      <c r="A303" s="24">
        <f t="shared" si="1"/>
        <v>289</v>
      </c>
      <c r="B303" s="483" t="s">
        <v>294</v>
      </c>
      <c r="C303" s="351"/>
      <c r="D303" s="484" t="s">
        <v>294</v>
      </c>
      <c r="E303" s="351"/>
      <c r="F303" s="485" t="s">
        <v>325</v>
      </c>
      <c r="G303" s="351"/>
      <c r="H303" s="486"/>
      <c r="I303" s="350"/>
      <c r="J303" s="351"/>
      <c r="K303" s="485" t="s">
        <v>325</v>
      </c>
      <c r="L303" s="350"/>
      <c r="M303" s="351"/>
      <c r="N303" s="491" t="s">
        <v>294</v>
      </c>
      <c r="O303" s="350"/>
      <c r="P303" s="350"/>
      <c r="Q303" s="350"/>
      <c r="R303" s="350"/>
      <c r="S303" s="350"/>
      <c r="T303" s="350"/>
      <c r="U303" s="351"/>
    </row>
    <row r="304" spans="1:21" ht="34.5" customHeight="1">
      <c r="A304" s="24">
        <f t="shared" si="1"/>
        <v>290</v>
      </c>
      <c r="B304" s="488" t="s">
        <v>294</v>
      </c>
      <c r="C304" s="351"/>
      <c r="D304" s="489" t="s">
        <v>294</v>
      </c>
      <c r="E304" s="351"/>
      <c r="F304" s="485" t="s">
        <v>325</v>
      </c>
      <c r="G304" s="351"/>
      <c r="H304" s="487"/>
      <c r="I304" s="350"/>
      <c r="J304" s="351"/>
      <c r="K304" s="485" t="s">
        <v>325</v>
      </c>
      <c r="L304" s="350"/>
      <c r="M304" s="351"/>
      <c r="N304" s="490" t="s">
        <v>294</v>
      </c>
      <c r="O304" s="350"/>
      <c r="P304" s="350"/>
      <c r="Q304" s="350"/>
      <c r="R304" s="350"/>
      <c r="S304" s="350"/>
      <c r="T304" s="350"/>
      <c r="U304" s="351"/>
    </row>
    <row r="305" spans="1:21" ht="34.5" customHeight="1">
      <c r="A305" s="24">
        <f t="shared" si="1"/>
        <v>291</v>
      </c>
      <c r="B305" s="483" t="s">
        <v>294</v>
      </c>
      <c r="C305" s="351"/>
      <c r="D305" s="484" t="s">
        <v>294</v>
      </c>
      <c r="E305" s="351"/>
      <c r="F305" s="485" t="s">
        <v>325</v>
      </c>
      <c r="G305" s="351"/>
      <c r="H305" s="486"/>
      <c r="I305" s="350"/>
      <c r="J305" s="351"/>
      <c r="K305" s="485" t="s">
        <v>325</v>
      </c>
      <c r="L305" s="350"/>
      <c r="M305" s="351"/>
      <c r="N305" s="491" t="s">
        <v>294</v>
      </c>
      <c r="O305" s="350"/>
      <c r="P305" s="350"/>
      <c r="Q305" s="350"/>
      <c r="R305" s="350"/>
      <c r="S305" s="350"/>
      <c r="T305" s="350"/>
      <c r="U305" s="351"/>
    </row>
    <row r="306" spans="1:21" ht="34.5" customHeight="1">
      <c r="A306" s="24">
        <f t="shared" si="1"/>
        <v>292</v>
      </c>
      <c r="B306" s="488" t="s">
        <v>294</v>
      </c>
      <c r="C306" s="351"/>
      <c r="D306" s="489" t="s">
        <v>294</v>
      </c>
      <c r="E306" s="351"/>
      <c r="F306" s="485" t="s">
        <v>325</v>
      </c>
      <c r="G306" s="351"/>
      <c r="H306" s="487"/>
      <c r="I306" s="350"/>
      <c r="J306" s="351"/>
      <c r="K306" s="485" t="s">
        <v>325</v>
      </c>
      <c r="L306" s="350"/>
      <c r="M306" s="351"/>
      <c r="N306" s="490" t="s">
        <v>294</v>
      </c>
      <c r="O306" s="350"/>
      <c r="P306" s="350"/>
      <c r="Q306" s="350"/>
      <c r="R306" s="350"/>
      <c r="S306" s="350"/>
      <c r="T306" s="350"/>
      <c r="U306" s="351"/>
    </row>
    <row r="307" spans="1:21" ht="34.5" customHeight="1">
      <c r="A307" s="24">
        <f t="shared" si="1"/>
        <v>293</v>
      </c>
      <c r="B307" s="483" t="s">
        <v>294</v>
      </c>
      <c r="C307" s="351"/>
      <c r="D307" s="484" t="s">
        <v>294</v>
      </c>
      <c r="E307" s="351"/>
      <c r="F307" s="485" t="s">
        <v>325</v>
      </c>
      <c r="G307" s="351"/>
      <c r="H307" s="486"/>
      <c r="I307" s="350"/>
      <c r="J307" s="351"/>
      <c r="K307" s="485" t="s">
        <v>325</v>
      </c>
      <c r="L307" s="350"/>
      <c r="M307" s="351"/>
      <c r="N307" s="491" t="s">
        <v>294</v>
      </c>
      <c r="O307" s="350"/>
      <c r="P307" s="350"/>
      <c r="Q307" s="350"/>
      <c r="R307" s="350"/>
      <c r="S307" s="350"/>
      <c r="T307" s="350"/>
      <c r="U307" s="351"/>
    </row>
    <row r="308" spans="1:21" ht="34.5" customHeight="1">
      <c r="A308" s="24">
        <f t="shared" si="1"/>
        <v>294</v>
      </c>
      <c r="B308" s="488" t="s">
        <v>329</v>
      </c>
      <c r="C308" s="351"/>
      <c r="D308" s="489" t="s">
        <v>294</v>
      </c>
      <c r="E308" s="351"/>
      <c r="F308" s="485" t="s">
        <v>325</v>
      </c>
      <c r="G308" s="351"/>
      <c r="H308" s="487"/>
      <c r="I308" s="350"/>
      <c r="J308" s="351"/>
      <c r="K308" s="485" t="s">
        <v>325</v>
      </c>
      <c r="L308" s="350"/>
      <c r="M308" s="351"/>
      <c r="N308" s="490" t="s">
        <v>294</v>
      </c>
      <c r="O308" s="350"/>
      <c r="P308" s="350"/>
      <c r="Q308" s="350"/>
      <c r="R308" s="350"/>
      <c r="S308" s="350"/>
      <c r="T308" s="350"/>
      <c r="U308" s="351"/>
    </row>
    <row r="309" spans="1:21" ht="34.5" customHeight="1">
      <c r="A309" s="24">
        <f t="shared" si="1"/>
        <v>295</v>
      </c>
      <c r="B309" s="483" t="s">
        <v>294</v>
      </c>
      <c r="C309" s="351"/>
      <c r="D309" s="484" t="s">
        <v>294</v>
      </c>
      <c r="E309" s="351"/>
      <c r="F309" s="485" t="s">
        <v>325</v>
      </c>
      <c r="G309" s="351"/>
      <c r="H309" s="486"/>
      <c r="I309" s="350"/>
      <c r="J309" s="351"/>
      <c r="K309" s="485" t="s">
        <v>325</v>
      </c>
      <c r="L309" s="350"/>
      <c r="M309" s="351"/>
      <c r="N309" s="491" t="s">
        <v>294</v>
      </c>
      <c r="O309" s="350"/>
      <c r="P309" s="350"/>
      <c r="Q309" s="350"/>
      <c r="R309" s="350"/>
      <c r="S309" s="350"/>
      <c r="T309" s="350"/>
      <c r="U309" s="351"/>
    </row>
    <row r="310" spans="1:21" ht="34.5" customHeight="1">
      <c r="A310" s="24">
        <f t="shared" si="1"/>
        <v>296</v>
      </c>
      <c r="B310" s="488" t="s">
        <v>294</v>
      </c>
      <c r="C310" s="351"/>
      <c r="D310" s="489" t="s">
        <v>294</v>
      </c>
      <c r="E310" s="351"/>
      <c r="F310" s="485" t="s">
        <v>325</v>
      </c>
      <c r="G310" s="351"/>
      <c r="H310" s="487"/>
      <c r="I310" s="350"/>
      <c r="J310" s="351"/>
      <c r="K310" s="485" t="s">
        <v>325</v>
      </c>
      <c r="L310" s="350"/>
      <c r="M310" s="351"/>
      <c r="N310" s="490" t="s">
        <v>294</v>
      </c>
      <c r="O310" s="350"/>
      <c r="P310" s="350"/>
      <c r="Q310" s="350"/>
      <c r="R310" s="350"/>
      <c r="S310" s="350"/>
      <c r="T310" s="350"/>
      <c r="U310" s="351"/>
    </row>
    <row r="311" spans="1:21" ht="34.5" customHeight="1">
      <c r="A311" s="24">
        <f t="shared" si="1"/>
        <v>297</v>
      </c>
      <c r="B311" s="483" t="s">
        <v>294</v>
      </c>
      <c r="C311" s="351"/>
      <c r="D311" s="484" t="s">
        <v>294</v>
      </c>
      <c r="E311" s="351"/>
      <c r="F311" s="485" t="s">
        <v>325</v>
      </c>
      <c r="G311" s="351"/>
      <c r="H311" s="486"/>
      <c r="I311" s="350"/>
      <c r="J311" s="351"/>
      <c r="K311" s="485" t="s">
        <v>325</v>
      </c>
      <c r="L311" s="350"/>
      <c r="M311" s="351"/>
      <c r="N311" s="491" t="s">
        <v>294</v>
      </c>
      <c r="O311" s="350"/>
      <c r="P311" s="350"/>
      <c r="Q311" s="350"/>
      <c r="R311" s="350"/>
      <c r="S311" s="350"/>
      <c r="T311" s="350"/>
      <c r="U311" s="351"/>
    </row>
    <row r="312" spans="1:21" ht="34.5" customHeight="1">
      <c r="A312" s="24">
        <f t="shared" si="1"/>
        <v>298</v>
      </c>
      <c r="B312" s="488" t="s">
        <v>294</v>
      </c>
      <c r="C312" s="351"/>
      <c r="D312" s="489" t="s">
        <v>294</v>
      </c>
      <c r="E312" s="351"/>
      <c r="F312" s="485" t="s">
        <v>325</v>
      </c>
      <c r="G312" s="351"/>
      <c r="H312" s="487"/>
      <c r="I312" s="350"/>
      <c r="J312" s="351"/>
      <c r="K312" s="485" t="s">
        <v>325</v>
      </c>
      <c r="L312" s="350"/>
      <c r="M312" s="351"/>
      <c r="N312" s="490" t="s">
        <v>294</v>
      </c>
      <c r="O312" s="350"/>
      <c r="P312" s="350"/>
      <c r="Q312" s="350"/>
      <c r="R312" s="350"/>
      <c r="S312" s="350"/>
      <c r="T312" s="350"/>
      <c r="U312" s="351"/>
    </row>
    <row r="313" spans="1:21" ht="34.5" customHeight="1">
      <c r="A313" s="24">
        <f t="shared" si="1"/>
        <v>299</v>
      </c>
      <c r="B313" s="483" t="s">
        <v>294</v>
      </c>
      <c r="C313" s="351"/>
      <c r="D313" s="484" t="s">
        <v>294</v>
      </c>
      <c r="E313" s="351"/>
      <c r="F313" s="485" t="s">
        <v>325</v>
      </c>
      <c r="G313" s="351"/>
      <c r="H313" s="486"/>
      <c r="I313" s="350"/>
      <c r="J313" s="351"/>
      <c r="K313" s="485" t="s">
        <v>325</v>
      </c>
      <c r="L313" s="350"/>
      <c r="M313" s="351"/>
      <c r="N313" s="491" t="s">
        <v>294</v>
      </c>
      <c r="O313" s="350"/>
      <c r="P313" s="350"/>
      <c r="Q313" s="350"/>
      <c r="R313" s="350"/>
      <c r="S313" s="350"/>
      <c r="T313" s="350"/>
      <c r="U313" s="351"/>
    </row>
    <row r="314" spans="1:21" ht="34.5" customHeight="1">
      <c r="A314" s="24">
        <f t="shared" si="1"/>
        <v>300</v>
      </c>
      <c r="B314" s="488" t="s">
        <v>294</v>
      </c>
      <c r="C314" s="351"/>
      <c r="D314" s="489" t="s">
        <v>294</v>
      </c>
      <c r="E314" s="351"/>
      <c r="F314" s="485" t="s">
        <v>325</v>
      </c>
      <c r="G314" s="351"/>
      <c r="H314" s="487"/>
      <c r="I314" s="350"/>
      <c r="J314" s="351"/>
      <c r="K314" s="485" t="s">
        <v>325</v>
      </c>
      <c r="L314" s="350"/>
      <c r="M314" s="351"/>
      <c r="N314" s="490" t="s">
        <v>294</v>
      </c>
      <c r="O314" s="350"/>
      <c r="P314" s="350"/>
      <c r="Q314" s="350"/>
      <c r="R314" s="350"/>
      <c r="S314" s="350"/>
      <c r="T314" s="350"/>
      <c r="U314" s="351"/>
    </row>
    <row r="315" spans="1:21" ht="34.5" customHeight="1">
      <c r="A315" s="24">
        <f t="shared" si="1"/>
        <v>301</v>
      </c>
      <c r="B315" s="483" t="s">
        <v>294</v>
      </c>
      <c r="C315" s="351"/>
      <c r="D315" s="484" t="s">
        <v>294</v>
      </c>
      <c r="E315" s="351"/>
      <c r="F315" s="485" t="s">
        <v>325</v>
      </c>
      <c r="G315" s="351"/>
      <c r="H315" s="486"/>
      <c r="I315" s="350"/>
      <c r="J315" s="351"/>
      <c r="K315" s="485" t="s">
        <v>325</v>
      </c>
      <c r="L315" s="350"/>
      <c r="M315" s="351"/>
      <c r="N315" s="491" t="s">
        <v>294</v>
      </c>
      <c r="O315" s="350"/>
      <c r="P315" s="350"/>
      <c r="Q315" s="350"/>
      <c r="R315" s="350"/>
      <c r="S315" s="350"/>
      <c r="T315" s="350"/>
      <c r="U315" s="351"/>
    </row>
    <row r="316" spans="1:21" ht="34.5" customHeight="1">
      <c r="A316" s="24">
        <f t="shared" si="1"/>
        <v>302</v>
      </c>
      <c r="B316" s="488" t="s">
        <v>294</v>
      </c>
      <c r="C316" s="351"/>
      <c r="D316" s="489" t="s">
        <v>294</v>
      </c>
      <c r="E316" s="351"/>
      <c r="F316" s="485" t="s">
        <v>325</v>
      </c>
      <c r="G316" s="351"/>
      <c r="H316" s="487"/>
      <c r="I316" s="350"/>
      <c r="J316" s="351"/>
      <c r="K316" s="485" t="s">
        <v>325</v>
      </c>
      <c r="L316" s="350"/>
      <c r="M316" s="351"/>
      <c r="N316" s="490" t="s">
        <v>294</v>
      </c>
      <c r="O316" s="350"/>
      <c r="P316" s="350"/>
      <c r="Q316" s="350"/>
      <c r="R316" s="350"/>
      <c r="S316" s="350"/>
      <c r="T316" s="350"/>
      <c r="U316" s="351"/>
    </row>
    <row r="317" spans="1:21" ht="34.5" customHeight="1">
      <c r="A317" s="24">
        <f t="shared" si="1"/>
        <v>303</v>
      </c>
      <c r="B317" s="483" t="s">
        <v>294</v>
      </c>
      <c r="C317" s="351"/>
      <c r="D317" s="484" t="s">
        <v>294</v>
      </c>
      <c r="E317" s="351"/>
      <c r="F317" s="485" t="s">
        <v>325</v>
      </c>
      <c r="G317" s="351"/>
      <c r="H317" s="486"/>
      <c r="I317" s="350"/>
      <c r="J317" s="351"/>
      <c r="K317" s="485" t="s">
        <v>325</v>
      </c>
      <c r="L317" s="350"/>
      <c r="M317" s="351"/>
      <c r="N317" s="491" t="s">
        <v>294</v>
      </c>
      <c r="O317" s="350"/>
      <c r="P317" s="350"/>
      <c r="Q317" s="350"/>
      <c r="R317" s="350"/>
      <c r="S317" s="350"/>
      <c r="T317" s="350"/>
      <c r="U317" s="351"/>
    </row>
    <row r="318" spans="1:21" ht="34.5" customHeight="1">
      <c r="A318" s="24">
        <f t="shared" si="1"/>
        <v>304</v>
      </c>
      <c r="B318" s="488" t="s">
        <v>294</v>
      </c>
      <c r="C318" s="351"/>
      <c r="D318" s="489" t="s">
        <v>294</v>
      </c>
      <c r="E318" s="351"/>
      <c r="F318" s="485" t="s">
        <v>325</v>
      </c>
      <c r="G318" s="351"/>
      <c r="H318" s="487"/>
      <c r="I318" s="350"/>
      <c r="J318" s="351"/>
      <c r="K318" s="485" t="s">
        <v>325</v>
      </c>
      <c r="L318" s="350"/>
      <c r="M318" s="351"/>
      <c r="N318" s="490" t="s">
        <v>294</v>
      </c>
      <c r="O318" s="350"/>
      <c r="P318" s="350"/>
      <c r="Q318" s="350"/>
      <c r="R318" s="350"/>
      <c r="S318" s="350"/>
      <c r="T318" s="350"/>
      <c r="U318" s="351"/>
    </row>
    <row r="319" spans="1:21" ht="34.5" customHeight="1">
      <c r="A319" s="24">
        <f t="shared" si="1"/>
        <v>305</v>
      </c>
      <c r="B319" s="483" t="s">
        <v>294</v>
      </c>
      <c r="C319" s="351"/>
      <c r="D319" s="484" t="s">
        <v>294</v>
      </c>
      <c r="E319" s="351"/>
      <c r="F319" s="485" t="s">
        <v>325</v>
      </c>
      <c r="G319" s="351"/>
      <c r="H319" s="486"/>
      <c r="I319" s="350"/>
      <c r="J319" s="351"/>
      <c r="K319" s="485" t="s">
        <v>325</v>
      </c>
      <c r="L319" s="350"/>
      <c r="M319" s="351"/>
      <c r="N319" s="491" t="s">
        <v>294</v>
      </c>
      <c r="O319" s="350"/>
      <c r="P319" s="350"/>
      <c r="Q319" s="350"/>
      <c r="R319" s="350"/>
      <c r="S319" s="350"/>
      <c r="T319" s="350"/>
      <c r="U319" s="351"/>
    </row>
    <row r="320" spans="1:21" ht="34.5" customHeight="1">
      <c r="A320" s="24">
        <f t="shared" si="1"/>
        <v>306</v>
      </c>
      <c r="B320" s="488" t="s">
        <v>327</v>
      </c>
      <c r="C320" s="351"/>
      <c r="D320" s="489" t="s">
        <v>294</v>
      </c>
      <c r="E320" s="351"/>
      <c r="F320" s="485" t="s">
        <v>325</v>
      </c>
      <c r="G320" s="351"/>
      <c r="H320" s="487"/>
      <c r="I320" s="350"/>
      <c r="J320" s="351"/>
      <c r="K320" s="485" t="s">
        <v>325</v>
      </c>
      <c r="L320" s="350"/>
      <c r="M320" s="351"/>
      <c r="N320" s="490" t="s">
        <v>294</v>
      </c>
      <c r="O320" s="350"/>
      <c r="P320" s="350"/>
      <c r="Q320" s="350"/>
      <c r="R320" s="350"/>
      <c r="S320" s="350"/>
      <c r="T320" s="350"/>
      <c r="U320" s="351"/>
    </row>
    <row r="321" spans="1:21" ht="34.5" customHeight="1">
      <c r="A321" s="24">
        <f t="shared" si="1"/>
        <v>307</v>
      </c>
      <c r="B321" s="483" t="s">
        <v>294</v>
      </c>
      <c r="C321" s="351"/>
      <c r="D321" s="484" t="s">
        <v>294</v>
      </c>
      <c r="E321" s="351"/>
      <c r="F321" s="485" t="s">
        <v>325</v>
      </c>
      <c r="G321" s="351"/>
      <c r="H321" s="486"/>
      <c r="I321" s="350"/>
      <c r="J321" s="351"/>
      <c r="K321" s="485" t="s">
        <v>325</v>
      </c>
      <c r="L321" s="350"/>
      <c r="M321" s="351"/>
      <c r="N321" s="491" t="s">
        <v>294</v>
      </c>
      <c r="O321" s="350"/>
      <c r="P321" s="350"/>
      <c r="Q321" s="350"/>
      <c r="R321" s="350"/>
      <c r="S321" s="350"/>
      <c r="T321" s="350"/>
      <c r="U321" s="351"/>
    </row>
    <row r="322" spans="1:21" ht="34.5" customHeight="1">
      <c r="A322" s="24">
        <f t="shared" si="1"/>
        <v>308</v>
      </c>
      <c r="B322" s="488" t="s">
        <v>294</v>
      </c>
      <c r="C322" s="351"/>
      <c r="D322" s="489" t="s">
        <v>294</v>
      </c>
      <c r="E322" s="351"/>
      <c r="F322" s="485" t="s">
        <v>325</v>
      </c>
      <c r="G322" s="351"/>
      <c r="H322" s="487"/>
      <c r="I322" s="350"/>
      <c r="J322" s="351"/>
      <c r="K322" s="485" t="s">
        <v>325</v>
      </c>
      <c r="L322" s="350"/>
      <c r="M322" s="351"/>
      <c r="N322" s="490" t="s">
        <v>294</v>
      </c>
      <c r="O322" s="350"/>
      <c r="P322" s="350"/>
      <c r="Q322" s="350"/>
      <c r="R322" s="350"/>
      <c r="S322" s="350"/>
      <c r="T322" s="350"/>
      <c r="U322" s="351"/>
    </row>
    <row r="323" spans="1:21" ht="34.5" customHeight="1">
      <c r="A323" s="24">
        <f t="shared" si="1"/>
        <v>309</v>
      </c>
      <c r="B323" s="483" t="s">
        <v>294</v>
      </c>
      <c r="C323" s="351"/>
      <c r="D323" s="484" t="s">
        <v>294</v>
      </c>
      <c r="E323" s="351"/>
      <c r="F323" s="485" t="s">
        <v>325</v>
      </c>
      <c r="G323" s="351"/>
      <c r="H323" s="486"/>
      <c r="I323" s="350"/>
      <c r="J323" s="351"/>
      <c r="K323" s="485" t="s">
        <v>325</v>
      </c>
      <c r="L323" s="350"/>
      <c r="M323" s="351"/>
      <c r="N323" s="491" t="s">
        <v>294</v>
      </c>
      <c r="O323" s="350"/>
      <c r="P323" s="350"/>
      <c r="Q323" s="350"/>
      <c r="R323" s="350"/>
      <c r="S323" s="350"/>
      <c r="T323" s="350"/>
      <c r="U323" s="351"/>
    </row>
    <row r="324" spans="1:21" ht="34.5" customHeight="1">
      <c r="A324" s="24">
        <f t="shared" si="1"/>
        <v>310</v>
      </c>
      <c r="B324" s="488" t="s">
        <v>294</v>
      </c>
      <c r="C324" s="351"/>
      <c r="D324" s="489" t="s">
        <v>294</v>
      </c>
      <c r="E324" s="351"/>
      <c r="F324" s="485" t="s">
        <v>325</v>
      </c>
      <c r="G324" s="351"/>
      <c r="H324" s="487"/>
      <c r="I324" s="350"/>
      <c r="J324" s="351"/>
      <c r="K324" s="485" t="s">
        <v>325</v>
      </c>
      <c r="L324" s="350"/>
      <c r="M324" s="351"/>
      <c r="N324" s="490" t="s">
        <v>294</v>
      </c>
      <c r="O324" s="350"/>
      <c r="P324" s="350"/>
      <c r="Q324" s="350"/>
      <c r="R324" s="350"/>
      <c r="S324" s="350"/>
      <c r="T324" s="350"/>
      <c r="U324" s="351"/>
    </row>
    <row r="325" spans="1:21" ht="34.5" customHeight="1">
      <c r="A325" s="24">
        <f t="shared" si="1"/>
        <v>311</v>
      </c>
      <c r="B325" s="483" t="s">
        <v>294</v>
      </c>
      <c r="C325" s="351"/>
      <c r="D325" s="484" t="s">
        <v>294</v>
      </c>
      <c r="E325" s="351"/>
      <c r="F325" s="485" t="s">
        <v>325</v>
      </c>
      <c r="G325" s="351"/>
      <c r="H325" s="486"/>
      <c r="I325" s="350"/>
      <c r="J325" s="351"/>
      <c r="K325" s="485" t="s">
        <v>325</v>
      </c>
      <c r="L325" s="350"/>
      <c r="M325" s="351"/>
      <c r="N325" s="491" t="s">
        <v>294</v>
      </c>
      <c r="O325" s="350"/>
      <c r="P325" s="350"/>
      <c r="Q325" s="350"/>
      <c r="R325" s="350"/>
      <c r="S325" s="350"/>
      <c r="T325" s="350"/>
      <c r="U325" s="351"/>
    </row>
    <row r="326" spans="1:21" ht="34.5" customHeight="1">
      <c r="A326" s="24">
        <f t="shared" si="1"/>
        <v>312</v>
      </c>
      <c r="B326" s="488" t="s">
        <v>294</v>
      </c>
      <c r="C326" s="351"/>
      <c r="D326" s="489" t="s">
        <v>294</v>
      </c>
      <c r="E326" s="351"/>
      <c r="F326" s="485" t="s">
        <v>325</v>
      </c>
      <c r="G326" s="351"/>
      <c r="H326" s="487"/>
      <c r="I326" s="350"/>
      <c r="J326" s="351"/>
      <c r="K326" s="485" t="s">
        <v>325</v>
      </c>
      <c r="L326" s="350"/>
      <c r="M326" s="351"/>
      <c r="N326" s="490" t="s">
        <v>294</v>
      </c>
      <c r="O326" s="350"/>
      <c r="P326" s="350"/>
      <c r="Q326" s="350"/>
      <c r="R326" s="350"/>
      <c r="S326" s="350"/>
      <c r="T326" s="350"/>
      <c r="U326" s="351"/>
    </row>
    <row r="327" spans="1:21" ht="34.5" customHeight="1">
      <c r="A327" s="24">
        <f t="shared" si="1"/>
        <v>313</v>
      </c>
      <c r="B327" s="483" t="s">
        <v>294</v>
      </c>
      <c r="C327" s="351"/>
      <c r="D327" s="484" t="s">
        <v>294</v>
      </c>
      <c r="E327" s="351"/>
      <c r="F327" s="485" t="s">
        <v>325</v>
      </c>
      <c r="G327" s="351"/>
      <c r="H327" s="486"/>
      <c r="I327" s="350"/>
      <c r="J327" s="351"/>
      <c r="K327" s="485" t="s">
        <v>325</v>
      </c>
      <c r="L327" s="350"/>
      <c r="M327" s="351"/>
      <c r="N327" s="491" t="s">
        <v>294</v>
      </c>
      <c r="O327" s="350"/>
      <c r="P327" s="350"/>
      <c r="Q327" s="350"/>
      <c r="R327" s="350"/>
      <c r="S327" s="350"/>
      <c r="T327" s="350"/>
      <c r="U327" s="351"/>
    </row>
    <row r="328" spans="1:21" ht="34.5" customHeight="1">
      <c r="A328" s="24">
        <f t="shared" si="1"/>
        <v>314</v>
      </c>
      <c r="B328" s="488" t="s">
        <v>326</v>
      </c>
      <c r="C328" s="351"/>
      <c r="D328" s="489" t="s">
        <v>294</v>
      </c>
      <c r="E328" s="351"/>
      <c r="F328" s="485" t="s">
        <v>325</v>
      </c>
      <c r="G328" s="351"/>
      <c r="H328" s="487"/>
      <c r="I328" s="350"/>
      <c r="J328" s="351"/>
      <c r="K328" s="485" t="s">
        <v>325</v>
      </c>
      <c r="L328" s="350"/>
      <c r="M328" s="351"/>
      <c r="N328" s="490" t="s">
        <v>294</v>
      </c>
      <c r="O328" s="350"/>
      <c r="P328" s="350"/>
      <c r="Q328" s="350"/>
      <c r="R328" s="350"/>
      <c r="S328" s="350"/>
      <c r="T328" s="350"/>
      <c r="U328" s="351"/>
    </row>
    <row r="329" spans="1:21" ht="34.5" customHeight="1">
      <c r="A329" s="24">
        <f t="shared" si="1"/>
        <v>315</v>
      </c>
      <c r="B329" s="483" t="s">
        <v>294</v>
      </c>
      <c r="C329" s="351"/>
      <c r="D329" s="484" t="s">
        <v>294</v>
      </c>
      <c r="E329" s="351"/>
      <c r="F329" s="485" t="s">
        <v>325</v>
      </c>
      <c r="G329" s="351"/>
      <c r="H329" s="486"/>
      <c r="I329" s="350"/>
      <c r="J329" s="351"/>
      <c r="K329" s="485" t="s">
        <v>325</v>
      </c>
      <c r="L329" s="350"/>
      <c r="M329" s="351"/>
      <c r="N329" s="491" t="s">
        <v>294</v>
      </c>
      <c r="O329" s="350"/>
      <c r="P329" s="350"/>
      <c r="Q329" s="350"/>
      <c r="R329" s="350"/>
      <c r="S329" s="350"/>
      <c r="T329" s="350"/>
      <c r="U329" s="351"/>
    </row>
    <row r="330" spans="1:21" ht="34.5" customHeight="1">
      <c r="A330" s="24">
        <f t="shared" si="1"/>
        <v>316</v>
      </c>
      <c r="B330" s="488" t="s">
        <v>294</v>
      </c>
      <c r="C330" s="351"/>
      <c r="D330" s="489" t="s">
        <v>294</v>
      </c>
      <c r="E330" s="351"/>
      <c r="F330" s="485" t="s">
        <v>325</v>
      </c>
      <c r="G330" s="351"/>
      <c r="H330" s="487"/>
      <c r="I330" s="350"/>
      <c r="J330" s="351"/>
      <c r="K330" s="485" t="s">
        <v>325</v>
      </c>
      <c r="L330" s="350"/>
      <c r="M330" s="351"/>
      <c r="N330" s="490" t="s">
        <v>294</v>
      </c>
      <c r="O330" s="350"/>
      <c r="P330" s="350"/>
      <c r="Q330" s="350"/>
      <c r="R330" s="350"/>
      <c r="S330" s="350"/>
      <c r="T330" s="350"/>
      <c r="U330" s="351"/>
    </row>
    <row r="331" spans="1:21" ht="34.5" customHeight="1">
      <c r="A331" s="24">
        <f t="shared" si="1"/>
        <v>317</v>
      </c>
      <c r="B331" s="483" t="s">
        <v>294</v>
      </c>
      <c r="C331" s="351"/>
      <c r="D331" s="484" t="s">
        <v>294</v>
      </c>
      <c r="E331" s="351"/>
      <c r="F331" s="485" t="s">
        <v>325</v>
      </c>
      <c r="G331" s="351"/>
      <c r="H331" s="486"/>
      <c r="I331" s="350"/>
      <c r="J331" s="351"/>
      <c r="K331" s="485" t="s">
        <v>325</v>
      </c>
      <c r="L331" s="350"/>
      <c r="M331" s="351"/>
      <c r="N331" s="491" t="s">
        <v>294</v>
      </c>
      <c r="O331" s="350"/>
      <c r="P331" s="350"/>
      <c r="Q331" s="350"/>
      <c r="R331" s="350"/>
      <c r="S331" s="350"/>
      <c r="T331" s="350"/>
      <c r="U331" s="351"/>
    </row>
    <row r="332" spans="1:21" ht="34.5" customHeight="1">
      <c r="A332" s="24">
        <f t="shared" si="1"/>
        <v>318</v>
      </c>
      <c r="B332" s="488" t="s">
        <v>294</v>
      </c>
      <c r="C332" s="351"/>
      <c r="D332" s="489" t="s">
        <v>294</v>
      </c>
      <c r="E332" s="351"/>
      <c r="F332" s="485" t="s">
        <v>325</v>
      </c>
      <c r="G332" s="351"/>
      <c r="H332" s="487"/>
      <c r="I332" s="350"/>
      <c r="J332" s="351"/>
      <c r="K332" s="485" t="s">
        <v>325</v>
      </c>
      <c r="L332" s="350"/>
      <c r="M332" s="351"/>
      <c r="N332" s="490" t="s">
        <v>294</v>
      </c>
      <c r="O332" s="350"/>
      <c r="P332" s="350"/>
      <c r="Q332" s="350"/>
      <c r="R332" s="350"/>
      <c r="S332" s="350"/>
      <c r="T332" s="350"/>
      <c r="U332" s="351"/>
    </row>
    <row r="333" spans="1:21" ht="34.5" customHeight="1">
      <c r="A333" s="24">
        <f t="shared" si="1"/>
        <v>319</v>
      </c>
      <c r="B333" s="483" t="s">
        <v>294</v>
      </c>
      <c r="C333" s="351"/>
      <c r="D333" s="484" t="s">
        <v>294</v>
      </c>
      <c r="E333" s="351"/>
      <c r="F333" s="485" t="s">
        <v>325</v>
      </c>
      <c r="G333" s="351"/>
      <c r="H333" s="486"/>
      <c r="I333" s="350"/>
      <c r="J333" s="351"/>
      <c r="K333" s="485" t="s">
        <v>325</v>
      </c>
      <c r="L333" s="350"/>
      <c r="M333" s="351"/>
      <c r="N333" s="491" t="s">
        <v>294</v>
      </c>
      <c r="O333" s="350"/>
      <c r="P333" s="350"/>
      <c r="Q333" s="350"/>
      <c r="R333" s="350"/>
      <c r="S333" s="350"/>
      <c r="T333" s="350"/>
      <c r="U333" s="351"/>
    </row>
    <row r="334" spans="1:21" ht="34.5" customHeight="1">
      <c r="A334" s="24">
        <f t="shared" si="1"/>
        <v>320</v>
      </c>
      <c r="B334" s="488" t="s">
        <v>294</v>
      </c>
      <c r="C334" s="351"/>
      <c r="D334" s="489" t="s">
        <v>294</v>
      </c>
      <c r="E334" s="351"/>
      <c r="F334" s="485" t="s">
        <v>325</v>
      </c>
      <c r="G334" s="351"/>
      <c r="H334" s="487"/>
      <c r="I334" s="350"/>
      <c r="J334" s="351"/>
      <c r="K334" s="485" t="s">
        <v>325</v>
      </c>
      <c r="L334" s="350"/>
      <c r="M334" s="351"/>
      <c r="N334" s="490" t="s">
        <v>294</v>
      </c>
      <c r="O334" s="350"/>
      <c r="P334" s="350"/>
      <c r="Q334" s="350"/>
      <c r="R334" s="350"/>
      <c r="S334" s="350"/>
      <c r="T334" s="350"/>
      <c r="U334" s="351"/>
    </row>
    <row r="335" spans="1:21" ht="34.5" customHeight="1">
      <c r="A335" s="24">
        <f t="shared" si="1"/>
        <v>321</v>
      </c>
      <c r="B335" s="483" t="s">
        <v>330</v>
      </c>
      <c r="C335" s="351"/>
      <c r="D335" s="484" t="s">
        <v>294</v>
      </c>
      <c r="E335" s="351"/>
      <c r="F335" s="485" t="s">
        <v>325</v>
      </c>
      <c r="G335" s="351"/>
      <c r="H335" s="486"/>
      <c r="I335" s="350"/>
      <c r="J335" s="351"/>
      <c r="K335" s="485" t="s">
        <v>325</v>
      </c>
      <c r="L335" s="350"/>
      <c r="M335" s="351"/>
      <c r="N335" s="491" t="s">
        <v>294</v>
      </c>
      <c r="O335" s="350"/>
      <c r="P335" s="350"/>
      <c r="Q335" s="350"/>
      <c r="R335" s="350"/>
      <c r="S335" s="350"/>
      <c r="T335" s="350"/>
      <c r="U335" s="351"/>
    </row>
    <row r="336" spans="1:21" ht="34.5" customHeight="1">
      <c r="A336" s="24">
        <f t="shared" si="1"/>
        <v>322</v>
      </c>
      <c r="B336" s="488" t="s">
        <v>294</v>
      </c>
      <c r="C336" s="351"/>
      <c r="D336" s="489" t="s">
        <v>294</v>
      </c>
      <c r="E336" s="351"/>
      <c r="F336" s="485" t="s">
        <v>325</v>
      </c>
      <c r="G336" s="351"/>
      <c r="H336" s="487"/>
      <c r="I336" s="350"/>
      <c r="J336" s="351"/>
      <c r="K336" s="485" t="s">
        <v>325</v>
      </c>
      <c r="L336" s="350"/>
      <c r="M336" s="351"/>
      <c r="N336" s="490" t="s">
        <v>294</v>
      </c>
      <c r="O336" s="350"/>
      <c r="P336" s="350"/>
      <c r="Q336" s="350"/>
      <c r="R336" s="350"/>
      <c r="S336" s="350"/>
      <c r="T336" s="350"/>
      <c r="U336" s="351"/>
    </row>
    <row r="337" spans="1:21" ht="34.5" customHeight="1">
      <c r="A337" s="24">
        <f t="shared" si="1"/>
        <v>323</v>
      </c>
      <c r="B337" s="483" t="s">
        <v>294</v>
      </c>
      <c r="C337" s="351"/>
      <c r="D337" s="484" t="s">
        <v>294</v>
      </c>
      <c r="E337" s="351"/>
      <c r="F337" s="485" t="s">
        <v>325</v>
      </c>
      <c r="G337" s="351"/>
      <c r="H337" s="486"/>
      <c r="I337" s="350"/>
      <c r="J337" s="351"/>
      <c r="K337" s="485" t="s">
        <v>325</v>
      </c>
      <c r="L337" s="350"/>
      <c r="M337" s="351"/>
      <c r="N337" s="491" t="s">
        <v>294</v>
      </c>
      <c r="O337" s="350"/>
      <c r="P337" s="350"/>
      <c r="Q337" s="350"/>
      <c r="R337" s="350"/>
      <c r="S337" s="350"/>
      <c r="T337" s="350"/>
      <c r="U337" s="351"/>
    </row>
    <row r="338" spans="1:21" ht="34.5" customHeight="1">
      <c r="A338" s="24">
        <f t="shared" si="1"/>
        <v>324</v>
      </c>
      <c r="B338" s="488" t="s">
        <v>294</v>
      </c>
      <c r="C338" s="351"/>
      <c r="D338" s="489" t="s">
        <v>294</v>
      </c>
      <c r="E338" s="351"/>
      <c r="F338" s="485" t="s">
        <v>325</v>
      </c>
      <c r="G338" s="351"/>
      <c r="H338" s="487"/>
      <c r="I338" s="350"/>
      <c r="J338" s="351"/>
      <c r="K338" s="485" t="s">
        <v>325</v>
      </c>
      <c r="L338" s="350"/>
      <c r="M338" s="351"/>
      <c r="N338" s="490" t="s">
        <v>294</v>
      </c>
      <c r="O338" s="350"/>
      <c r="P338" s="350"/>
      <c r="Q338" s="350"/>
      <c r="R338" s="350"/>
      <c r="S338" s="350"/>
      <c r="T338" s="350"/>
      <c r="U338" s="351"/>
    </row>
    <row r="339" spans="1:21" ht="34.5" customHeight="1">
      <c r="A339" s="24">
        <f t="shared" si="1"/>
        <v>325</v>
      </c>
      <c r="B339" s="483" t="s">
        <v>294</v>
      </c>
      <c r="C339" s="351"/>
      <c r="D339" s="484" t="s">
        <v>294</v>
      </c>
      <c r="E339" s="351"/>
      <c r="F339" s="485" t="s">
        <v>325</v>
      </c>
      <c r="G339" s="351"/>
      <c r="H339" s="486"/>
      <c r="I339" s="350"/>
      <c r="J339" s="351"/>
      <c r="K339" s="485" t="s">
        <v>325</v>
      </c>
      <c r="L339" s="350"/>
      <c r="M339" s="351"/>
      <c r="N339" s="491" t="s">
        <v>294</v>
      </c>
      <c r="O339" s="350"/>
      <c r="P339" s="350"/>
      <c r="Q339" s="350"/>
      <c r="R339" s="350"/>
      <c r="S339" s="350"/>
      <c r="T339" s="350"/>
      <c r="U339" s="351"/>
    </row>
    <row r="340" spans="1:21" ht="34.5" customHeight="1">
      <c r="A340" s="24">
        <f t="shared" si="1"/>
        <v>326</v>
      </c>
      <c r="B340" s="488" t="s">
        <v>294</v>
      </c>
      <c r="C340" s="351"/>
      <c r="D340" s="489" t="s">
        <v>294</v>
      </c>
      <c r="E340" s="351"/>
      <c r="F340" s="485" t="s">
        <v>325</v>
      </c>
      <c r="G340" s="351"/>
      <c r="H340" s="487"/>
      <c r="I340" s="350"/>
      <c r="J340" s="351"/>
      <c r="K340" s="485" t="s">
        <v>325</v>
      </c>
      <c r="L340" s="350"/>
      <c r="M340" s="351"/>
      <c r="N340" s="490" t="s">
        <v>294</v>
      </c>
      <c r="O340" s="350"/>
      <c r="P340" s="350"/>
      <c r="Q340" s="350"/>
      <c r="R340" s="350"/>
      <c r="S340" s="350"/>
      <c r="T340" s="350"/>
      <c r="U340" s="351"/>
    </row>
    <row r="341" spans="1:21" ht="34.5" customHeight="1">
      <c r="A341" s="24">
        <f t="shared" si="1"/>
        <v>327</v>
      </c>
      <c r="B341" s="483" t="s">
        <v>294</v>
      </c>
      <c r="C341" s="351"/>
      <c r="D341" s="484" t="s">
        <v>294</v>
      </c>
      <c r="E341" s="351"/>
      <c r="F341" s="485" t="s">
        <v>325</v>
      </c>
      <c r="G341" s="351"/>
      <c r="H341" s="486"/>
      <c r="I341" s="350"/>
      <c r="J341" s="351"/>
      <c r="K341" s="485" t="s">
        <v>325</v>
      </c>
      <c r="L341" s="350"/>
      <c r="M341" s="351"/>
      <c r="N341" s="491" t="s">
        <v>294</v>
      </c>
      <c r="O341" s="350"/>
      <c r="P341" s="350"/>
      <c r="Q341" s="350"/>
      <c r="R341" s="350"/>
      <c r="S341" s="350"/>
      <c r="T341" s="350"/>
      <c r="U341" s="351"/>
    </row>
    <row r="342" spans="1:21" ht="34.5" customHeight="1">
      <c r="A342" s="24">
        <f t="shared" si="1"/>
        <v>328</v>
      </c>
      <c r="B342" s="488" t="s">
        <v>326</v>
      </c>
      <c r="C342" s="351"/>
      <c r="D342" s="489" t="s">
        <v>294</v>
      </c>
      <c r="E342" s="351"/>
      <c r="F342" s="485" t="s">
        <v>325</v>
      </c>
      <c r="G342" s="351"/>
      <c r="H342" s="487"/>
      <c r="I342" s="350"/>
      <c r="J342" s="351"/>
      <c r="K342" s="485" t="s">
        <v>325</v>
      </c>
      <c r="L342" s="350"/>
      <c r="M342" s="351"/>
      <c r="N342" s="490" t="s">
        <v>294</v>
      </c>
      <c r="O342" s="350"/>
      <c r="P342" s="350"/>
      <c r="Q342" s="350"/>
      <c r="R342" s="350"/>
      <c r="S342" s="350"/>
      <c r="T342" s="350"/>
      <c r="U342" s="351"/>
    </row>
    <row r="343" spans="1:21" ht="34.5" customHeight="1">
      <c r="A343" s="24">
        <f t="shared" si="1"/>
        <v>329</v>
      </c>
      <c r="B343" s="483" t="s">
        <v>294</v>
      </c>
      <c r="C343" s="351"/>
      <c r="D343" s="484" t="s">
        <v>294</v>
      </c>
      <c r="E343" s="351"/>
      <c r="F343" s="485" t="s">
        <v>325</v>
      </c>
      <c r="G343" s="351"/>
      <c r="H343" s="486"/>
      <c r="I343" s="350"/>
      <c r="J343" s="351"/>
      <c r="K343" s="485" t="s">
        <v>325</v>
      </c>
      <c r="L343" s="350"/>
      <c r="M343" s="351"/>
      <c r="N343" s="491" t="s">
        <v>294</v>
      </c>
      <c r="O343" s="350"/>
      <c r="P343" s="350"/>
      <c r="Q343" s="350"/>
      <c r="R343" s="350"/>
      <c r="S343" s="350"/>
      <c r="T343" s="350"/>
      <c r="U343" s="351"/>
    </row>
    <row r="344" spans="1:21" ht="34.5" customHeight="1">
      <c r="A344" s="24">
        <f t="shared" si="1"/>
        <v>330</v>
      </c>
      <c r="B344" s="488" t="s">
        <v>294</v>
      </c>
      <c r="C344" s="351"/>
      <c r="D344" s="489" t="s">
        <v>294</v>
      </c>
      <c r="E344" s="351"/>
      <c r="F344" s="485" t="s">
        <v>325</v>
      </c>
      <c r="G344" s="351"/>
      <c r="H344" s="487"/>
      <c r="I344" s="350"/>
      <c r="J344" s="351"/>
      <c r="K344" s="485" t="s">
        <v>325</v>
      </c>
      <c r="L344" s="350"/>
      <c r="M344" s="351"/>
      <c r="N344" s="490" t="s">
        <v>294</v>
      </c>
      <c r="O344" s="350"/>
      <c r="P344" s="350"/>
      <c r="Q344" s="350"/>
      <c r="R344" s="350"/>
      <c r="S344" s="350"/>
      <c r="T344" s="350"/>
      <c r="U344" s="351"/>
    </row>
    <row r="345" spans="1:21" ht="34.5" customHeight="1">
      <c r="A345" s="24">
        <f t="shared" si="1"/>
        <v>331</v>
      </c>
      <c r="B345" s="483" t="s">
        <v>294</v>
      </c>
      <c r="C345" s="351"/>
      <c r="D345" s="484" t="s">
        <v>294</v>
      </c>
      <c r="E345" s="351"/>
      <c r="F345" s="485" t="s">
        <v>325</v>
      </c>
      <c r="G345" s="351"/>
      <c r="H345" s="486"/>
      <c r="I345" s="350"/>
      <c r="J345" s="351"/>
      <c r="K345" s="485" t="s">
        <v>325</v>
      </c>
      <c r="L345" s="350"/>
      <c r="M345" s="351"/>
      <c r="N345" s="491" t="s">
        <v>294</v>
      </c>
      <c r="O345" s="350"/>
      <c r="P345" s="350"/>
      <c r="Q345" s="350"/>
      <c r="R345" s="350"/>
      <c r="S345" s="350"/>
      <c r="T345" s="350"/>
      <c r="U345" s="351"/>
    </row>
    <row r="346" spans="1:21" ht="34.5" customHeight="1">
      <c r="A346" s="24">
        <f t="shared" si="1"/>
        <v>332</v>
      </c>
      <c r="B346" s="488" t="s">
        <v>294</v>
      </c>
      <c r="C346" s="351"/>
      <c r="D346" s="489" t="s">
        <v>294</v>
      </c>
      <c r="E346" s="351"/>
      <c r="F346" s="485" t="s">
        <v>325</v>
      </c>
      <c r="G346" s="351"/>
      <c r="H346" s="487"/>
      <c r="I346" s="350"/>
      <c r="J346" s="351"/>
      <c r="K346" s="485" t="s">
        <v>325</v>
      </c>
      <c r="L346" s="350"/>
      <c r="M346" s="351"/>
      <c r="N346" s="490" t="s">
        <v>294</v>
      </c>
      <c r="O346" s="350"/>
      <c r="P346" s="350"/>
      <c r="Q346" s="350"/>
      <c r="R346" s="350"/>
      <c r="S346" s="350"/>
      <c r="T346" s="350"/>
      <c r="U346" s="351"/>
    </row>
    <row r="347" spans="1:21" ht="34.5" customHeight="1">
      <c r="A347" s="24">
        <f t="shared" si="1"/>
        <v>333</v>
      </c>
      <c r="B347" s="483" t="s">
        <v>294</v>
      </c>
      <c r="C347" s="351"/>
      <c r="D347" s="484" t="s">
        <v>294</v>
      </c>
      <c r="E347" s="351"/>
      <c r="F347" s="485" t="s">
        <v>325</v>
      </c>
      <c r="G347" s="351"/>
      <c r="H347" s="486"/>
      <c r="I347" s="350"/>
      <c r="J347" s="351"/>
      <c r="K347" s="485" t="s">
        <v>325</v>
      </c>
      <c r="L347" s="350"/>
      <c r="M347" s="351"/>
      <c r="N347" s="491" t="s">
        <v>294</v>
      </c>
      <c r="O347" s="350"/>
      <c r="P347" s="350"/>
      <c r="Q347" s="350"/>
      <c r="R347" s="350"/>
      <c r="S347" s="350"/>
      <c r="T347" s="350"/>
      <c r="U347" s="351"/>
    </row>
    <row r="348" spans="1:21" ht="34.5" customHeight="1">
      <c r="A348" s="24">
        <f t="shared" si="1"/>
        <v>334</v>
      </c>
      <c r="B348" s="488" t="s">
        <v>294</v>
      </c>
      <c r="C348" s="351"/>
      <c r="D348" s="489" t="s">
        <v>294</v>
      </c>
      <c r="E348" s="351"/>
      <c r="F348" s="485" t="s">
        <v>325</v>
      </c>
      <c r="G348" s="351"/>
      <c r="H348" s="487"/>
      <c r="I348" s="350"/>
      <c r="J348" s="351"/>
      <c r="K348" s="485" t="s">
        <v>325</v>
      </c>
      <c r="L348" s="350"/>
      <c r="M348" s="351"/>
      <c r="N348" s="490" t="s">
        <v>294</v>
      </c>
      <c r="O348" s="350"/>
      <c r="P348" s="350"/>
      <c r="Q348" s="350"/>
      <c r="R348" s="350"/>
      <c r="S348" s="350"/>
      <c r="T348" s="350"/>
      <c r="U348" s="351"/>
    </row>
    <row r="349" spans="1:21" ht="34.5" customHeight="1">
      <c r="A349" s="24">
        <f t="shared" si="1"/>
        <v>335</v>
      </c>
      <c r="B349" s="483" t="s">
        <v>294</v>
      </c>
      <c r="C349" s="351"/>
      <c r="D349" s="484" t="s">
        <v>294</v>
      </c>
      <c r="E349" s="351"/>
      <c r="F349" s="485" t="s">
        <v>325</v>
      </c>
      <c r="G349" s="351"/>
      <c r="H349" s="486"/>
      <c r="I349" s="350"/>
      <c r="J349" s="351"/>
      <c r="K349" s="485" t="s">
        <v>325</v>
      </c>
      <c r="L349" s="350"/>
      <c r="M349" s="351"/>
      <c r="N349" s="491" t="s">
        <v>294</v>
      </c>
      <c r="O349" s="350"/>
      <c r="P349" s="350"/>
      <c r="Q349" s="350"/>
      <c r="R349" s="350"/>
      <c r="S349" s="350"/>
      <c r="T349" s="350"/>
      <c r="U349" s="351"/>
    </row>
    <row r="350" spans="1:21" ht="34.5" customHeight="1">
      <c r="A350" s="24">
        <f t="shared" si="1"/>
        <v>336</v>
      </c>
      <c r="B350" s="488" t="s">
        <v>329</v>
      </c>
      <c r="C350" s="351"/>
      <c r="D350" s="489" t="s">
        <v>294</v>
      </c>
      <c r="E350" s="351"/>
      <c r="F350" s="485" t="s">
        <v>325</v>
      </c>
      <c r="G350" s="351"/>
      <c r="H350" s="487"/>
      <c r="I350" s="350"/>
      <c r="J350" s="351"/>
      <c r="K350" s="485" t="s">
        <v>325</v>
      </c>
      <c r="L350" s="350"/>
      <c r="M350" s="351"/>
      <c r="N350" s="490" t="s">
        <v>294</v>
      </c>
      <c r="O350" s="350"/>
      <c r="P350" s="350"/>
      <c r="Q350" s="350"/>
      <c r="R350" s="350"/>
      <c r="S350" s="350"/>
      <c r="T350" s="350"/>
      <c r="U350" s="351"/>
    </row>
    <row r="351" spans="1:21" ht="34.5" customHeight="1">
      <c r="A351" s="24">
        <f t="shared" si="1"/>
        <v>337</v>
      </c>
      <c r="B351" s="483" t="s">
        <v>294</v>
      </c>
      <c r="C351" s="351"/>
      <c r="D351" s="484" t="s">
        <v>294</v>
      </c>
      <c r="E351" s="351"/>
      <c r="F351" s="485" t="s">
        <v>325</v>
      </c>
      <c r="G351" s="351"/>
      <c r="H351" s="486"/>
      <c r="I351" s="350"/>
      <c r="J351" s="351"/>
      <c r="K351" s="485" t="s">
        <v>325</v>
      </c>
      <c r="L351" s="350"/>
      <c r="M351" s="351"/>
      <c r="N351" s="491" t="s">
        <v>294</v>
      </c>
      <c r="O351" s="350"/>
      <c r="P351" s="350"/>
      <c r="Q351" s="350"/>
      <c r="R351" s="350"/>
      <c r="S351" s="350"/>
      <c r="T351" s="350"/>
      <c r="U351" s="351"/>
    </row>
    <row r="352" spans="1:21" ht="34.5" customHeight="1">
      <c r="A352" s="24">
        <f t="shared" si="1"/>
        <v>338</v>
      </c>
      <c r="B352" s="488" t="s">
        <v>294</v>
      </c>
      <c r="C352" s="351"/>
      <c r="D352" s="489" t="s">
        <v>294</v>
      </c>
      <c r="E352" s="351"/>
      <c r="F352" s="485" t="s">
        <v>325</v>
      </c>
      <c r="G352" s="351"/>
      <c r="H352" s="487"/>
      <c r="I352" s="350"/>
      <c r="J352" s="351"/>
      <c r="K352" s="485" t="s">
        <v>325</v>
      </c>
      <c r="L352" s="350"/>
      <c r="M352" s="351"/>
      <c r="N352" s="490" t="s">
        <v>294</v>
      </c>
      <c r="O352" s="350"/>
      <c r="P352" s="350"/>
      <c r="Q352" s="350"/>
      <c r="R352" s="350"/>
      <c r="S352" s="350"/>
      <c r="T352" s="350"/>
      <c r="U352" s="351"/>
    </row>
    <row r="353" spans="1:21" ht="34.5" customHeight="1">
      <c r="A353" s="24">
        <f t="shared" si="1"/>
        <v>339</v>
      </c>
      <c r="B353" s="483" t="s">
        <v>331</v>
      </c>
      <c r="C353" s="351"/>
      <c r="D353" s="484" t="s">
        <v>294</v>
      </c>
      <c r="E353" s="351"/>
      <c r="F353" s="485" t="s">
        <v>325</v>
      </c>
      <c r="G353" s="351"/>
      <c r="H353" s="486"/>
      <c r="I353" s="350"/>
      <c r="J353" s="351"/>
      <c r="K353" s="485" t="s">
        <v>325</v>
      </c>
      <c r="L353" s="350"/>
      <c r="M353" s="351"/>
      <c r="N353" s="491" t="s">
        <v>294</v>
      </c>
      <c r="O353" s="350"/>
      <c r="P353" s="350"/>
      <c r="Q353" s="350"/>
      <c r="R353" s="350"/>
      <c r="S353" s="350"/>
      <c r="T353" s="350"/>
      <c r="U353" s="351"/>
    </row>
    <row r="354" spans="1:21" ht="34.5" customHeight="1">
      <c r="A354" s="24">
        <f t="shared" si="1"/>
        <v>340</v>
      </c>
      <c r="B354" s="488" t="s">
        <v>294</v>
      </c>
      <c r="C354" s="351"/>
      <c r="D354" s="489" t="s">
        <v>294</v>
      </c>
      <c r="E354" s="351"/>
      <c r="F354" s="485" t="s">
        <v>325</v>
      </c>
      <c r="G354" s="351"/>
      <c r="H354" s="487"/>
      <c r="I354" s="350"/>
      <c r="J354" s="351"/>
      <c r="K354" s="485" t="s">
        <v>325</v>
      </c>
      <c r="L354" s="350"/>
      <c r="M354" s="351"/>
      <c r="N354" s="490" t="s">
        <v>294</v>
      </c>
      <c r="O354" s="350"/>
      <c r="P354" s="350"/>
      <c r="Q354" s="350"/>
      <c r="R354" s="350"/>
      <c r="S354" s="350"/>
      <c r="T354" s="350"/>
      <c r="U354" s="351"/>
    </row>
    <row r="355" spans="1:21" ht="34.5" customHeight="1">
      <c r="A355" s="24">
        <f t="shared" si="1"/>
        <v>341</v>
      </c>
      <c r="B355" s="483" t="s">
        <v>294</v>
      </c>
      <c r="C355" s="351"/>
      <c r="D355" s="484" t="s">
        <v>294</v>
      </c>
      <c r="E355" s="351"/>
      <c r="F355" s="485" t="s">
        <v>325</v>
      </c>
      <c r="G355" s="351"/>
      <c r="H355" s="486"/>
      <c r="I355" s="350"/>
      <c r="J355" s="351"/>
      <c r="K355" s="485" t="s">
        <v>325</v>
      </c>
      <c r="L355" s="350"/>
      <c r="M355" s="351"/>
      <c r="N355" s="491" t="s">
        <v>294</v>
      </c>
      <c r="O355" s="350"/>
      <c r="P355" s="350"/>
      <c r="Q355" s="350"/>
      <c r="R355" s="350"/>
      <c r="S355" s="350"/>
      <c r="T355" s="350"/>
      <c r="U355" s="351"/>
    </row>
    <row r="356" spans="1:21" ht="34.5" customHeight="1">
      <c r="A356" s="24">
        <f t="shared" si="1"/>
        <v>342</v>
      </c>
      <c r="B356" s="488" t="s">
        <v>294</v>
      </c>
      <c r="C356" s="351"/>
      <c r="D356" s="489" t="s">
        <v>294</v>
      </c>
      <c r="E356" s="351"/>
      <c r="F356" s="485" t="s">
        <v>325</v>
      </c>
      <c r="G356" s="351"/>
      <c r="H356" s="487"/>
      <c r="I356" s="350"/>
      <c r="J356" s="351"/>
      <c r="K356" s="485" t="s">
        <v>325</v>
      </c>
      <c r="L356" s="350"/>
      <c r="M356" s="351"/>
      <c r="N356" s="490" t="s">
        <v>294</v>
      </c>
      <c r="O356" s="350"/>
      <c r="P356" s="350"/>
      <c r="Q356" s="350"/>
      <c r="R356" s="350"/>
      <c r="S356" s="350"/>
      <c r="T356" s="350"/>
      <c r="U356" s="351"/>
    </row>
    <row r="357" spans="1:21" ht="34.5" customHeight="1">
      <c r="A357" s="24">
        <f t="shared" si="1"/>
        <v>343</v>
      </c>
      <c r="B357" s="483" t="s">
        <v>294</v>
      </c>
      <c r="C357" s="351"/>
      <c r="D357" s="484" t="s">
        <v>294</v>
      </c>
      <c r="E357" s="351"/>
      <c r="F357" s="485" t="s">
        <v>325</v>
      </c>
      <c r="G357" s="351"/>
      <c r="H357" s="486"/>
      <c r="I357" s="350"/>
      <c r="J357" s="351"/>
      <c r="K357" s="485" t="s">
        <v>325</v>
      </c>
      <c r="L357" s="350"/>
      <c r="M357" s="351"/>
      <c r="N357" s="491" t="s">
        <v>294</v>
      </c>
      <c r="O357" s="350"/>
      <c r="P357" s="350"/>
      <c r="Q357" s="350"/>
      <c r="R357" s="350"/>
      <c r="S357" s="350"/>
      <c r="T357" s="350"/>
      <c r="U357" s="351"/>
    </row>
    <row r="358" spans="1:21" ht="34.5" customHeight="1">
      <c r="A358" s="24">
        <f t="shared" si="1"/>
        <v>344</v>
      </c>
      <c r="B358" s="488" t="s">
        <v>294</v>
      </c>
      <c r="C358" s="351"/>
      <c r="D358" s="489" t="s">
        <v>294</v>
      </c>
      <c r="E358" s="351"/>
      <c r="F358" s="485" t="s">
        <v>325</v>
      </c>
      <c r="G358" s="351"/>
      <c r="H358" s="487"/>
      <c r="I358" s="350"/>
      <c r="J358" s="351"/>
      <c r="K358" s="485" t="s">
        <v>325</v>
      </c>
      <c r="L358" s="350"/>
      <c r="M358" s="351"/>
      <c r="N358" s="490" t="s">
        <v>294</v>
      </c>
      <c r="O358" s="350"/>
      <c r="P358" s="350"/>
      <c r="Q358" s="350"/>
      <c r="R358" s="350"/>
      <c r="S358" s="350"/>
      <c r="T358" s="350"/>
      <c r="U358" s="351"/>
    </row>
    <row r="359" spans="1:21" ht="34.5" customHeight="1">
      <c r="A359" s="24">
        <f t="shared" si="1"/>
        <v>345</v>
      </c>
      <c r="B359" s="483" t="s">
        <v>332</v>
      </c>
      <c r="C359" s="351"/>
      <c r="D359" s="484" t="s">
        <v>294</v>
      </c>
      <c r="E359" s="351"/>
      <c r="F359" s="485" t="s">
        <v>325</v>
      </c>
      <c r="G359" s="351"/>
      <c r="H359" s="486"/>
      <c r="I359" s="350"/>
      <c r="J359" s="351"/>
      <c r="K359" s="485" t="s">
        <v>325</v>
      </c>
      <c r="L359" s="350"/>
      <c r="M359" s="351"/>
      <c r="N359" s="491" t="s">
        <v>294</v>
      </c>
      <c r="O359" s="350"/>
      <c r="P359" s="350"/>
      <c r="Q359" s="350"/>
      <c r="R359" s="350"/>
      <c r="S359" s="350"/>
      <c r="T359" s="350"/>
      <c r="U359" s="351"/>
    </row>
    <row r="360" spans="1:21" ht="34.5" customHeight="1">
      <c r="A360" s="24">
        <f t="shared" si="1"/>
        <v>346</v>
      </c>
      <c r="B360" s="488" t="s">
        <v>294</v>
      </c>
      <c r="C360" s="351"/>
      <c r="D360" s="489" t="s">
        <v>294</v>
      </c>
      <c r="E360" s="351"/>
      <c r="F360" s="485" t="s">
        <v>325</v>
      </c>
      <c r="G360" s="351"/>
      <c r="H360" s="487"/>
      <c r="I360" s="350"/>
      <c r="J360" s="351"/>
      <c r="K360" s="485" t="s">
        <v>325</v>
      </c>
      <c r="L360" s="350"/>
      <c r="M360" s="351"/>
      <c r="N360" s="490" t="s">
        <v>294</v>
      </c>
      <c r="O360" s="350"/>
      <c r="P360" s="350"/>
      <c r="Q360" s="350"/>
      <c r="R360" s="350"/>
      <c r="S360" s="350"/>
      <c r="T360" s="350"/>
      <c r="U360" s="351"/>
    </row>
    <row r="361" spans="1:21" ht="34.5" customHeight="1">
      <c r="A361" s="24">
        <f t="shared" si="1"/>
        <v>347</v>
      </c>
      <c r="B361" s="483" t="s">
        <v>294</v>
      </c>
      <c r="C361" s="351"/>
      <c r="D361" s="484" t="s">
        <v>294</v>
      </c>
      <c r="E361" s="351"/>
      <c r="F361" s="485" t="s">
        <v>325</v>
      </c>
      <c r="G361" s="351"/>
      <c r="H361" s="486"/>
      <c r="I361" s="350"/>
      <c r="J361" s="351"/>
      <c r="K361" s="485" t="s">
        <v>325</v>
      </c>
      <c r="L361" s="350"/>
      <c r="M361" s="351"/>
      <c r="N361" s="491" t="s">
        <v>294</v>
      </c>
      <c r="O361" s="350"/>
      <c r="P361" s="350"/>
      <c r="Q361" s="350"/>
      <c r="R361" s="350"/>
      <c r="S361" s="350"/>
      <c r="T361" s="350"/>
      <c r="U361" s="351"/>
    </row>
    <row r="362" spans="1:21" ht="34.5" customHeight="1">
      <c r="A362" s="24">
        <f t="shared" si="1"/>
        <v>348</v>
      </c>
      <c r="B362" s="488" t="s">
        <v>294</v>
      </c>
      <c r="C362" s="351"/>
      <c r="D362" s="489" t="s">
        <v>294</v>
      </c>
      <c r="E362" s="351"/>
      <c r="F362" s="485" t="s">
        <v>325</v>
      </c>
      <c r="G362" s="351"/>
      <c r="H362" s="487"/>
      <c r="I362" s="350"/>
      <c r="J362" s="351"/>
      <c r="K362" s="485" t="s">
        <v>325</v>
      </c>
      <c r="L362" s="350"/>
      <c r="M362" s="351"/>
      <c r="N362" s="490" t="s">
        <v>294</v>
      </c>
      <c r="O362" s="350"/>
      <c r="P362" s="350"/>
      <c r="Q362" s="350"/>
      <c r="R362" s="350"/>
      <c r="S362" s="350"/>
      <c r="T362" s="350"/>
      <c r="U362" s="351"/>
    </row>
    <row r="363" spans="1:21" ht="34.5" customHeight="1">
      <c r="A363" s="24">
        <f t="shared" si="1"/>
        <v>349</v>
      </c>
      <c r="B363" s="483" t="s">
        <v>294</v>
      </c>
      <c r="C363" s="351"/>
      <c r="D363" s="484" t="s">
        <v>294</v>
      </c>
      <c r="E363" s="351"/>
      <c r="F363" s="485" t="s">
        <v>325</v>
      </c>
      <c r="G363" s="351"/>
      <c r="H363" s="486"/>
      <c r="I363" s="350"/>
      <c r="J363" s="351"/>
      <c r="K363" s="485" t="s">
        <v>325</v>
      </c>
      <c r="L363" s="350"/>
      <c r="M363" s="351"/>
      <c r="N363" s="491" t="s">
        <v>294</v>
      </c>
      <c r="O363" s="350"/>
      <c r="P363" s="350"/>
      <c r="Q363" s="350"/>
      <c r="R363" s="350"/>
      <c r="S363" s="350"/>
      <c r="T363" s="350"/>
      <c r="U363" s="351"/>
    </row>
    <row r="364" spans="1:21" ht="34.5" customHeight="1">
      <c r="A364" s="24">
        <f t="shared" si="1"/>
        <v>350</v>
      </c>
      <c r="B364" s="488" t="s">
        <v>294</v>
      </c>
      <c r="C364" s="351"/>
      <c r="D364" s="489" t="s">
        <v>294</v>
      </c>
      <c r="E364" s="351"/>
      <c r="F364" s="485" t="s">
        <v>325</v>
      </c>
      <c r="G364" s="351"/>
      <c r="H364" s="487"/>
      <c r="I364" s="350"/>
      <c r="J364" s="351"/>
      <c r="K364" s="485" t="s">
        <v>325</v>
      </c>
      <c r="L364" s="350"/>
      <c r="M364" s="351"/>
      <c r="N364" s="490" t="s">
        <v>294</v>
      </c>
      <c r="O364" s="350"/>
      <c r="P364" s="350"/>
      <c r="Q364" s="350"/>
      <c r="R364" s="350"/>
      <c r="S364" s="350"/>
      <c r="T364" s="350"/>
      <c r="U364" s="351"/>
    </row>
    <row r="365" spans="1:21" ht="34.5" customHeight="1">
      <c r="A365" s="24">
        <f t="shared" si="1"/>
        <v>351</v>
      </c>
      <c r="B365" s="483" t="s">
        <v>294</v>
      </c>
      <c r="C365" s="351"/>
      <c r="D365" s="484" t="s">
        <v>294</v>
      </c>
      <c r="E365" s="351"/>
      <c r="F365" s="485" t="s">
        <v>325</v>
      </c>
      <c r="G365" s="351"/>
      <c r="H365" s="486"/>
      <c r="I365" s="350"/>
      <c r="J365" s="351"/>
      <c r="K365" s="485" t="s">
        <v>325</v>
      </c>
      <c r="L365" s="350"/>
      <c r="M365" s="351"/>
      <c r="N365" s="491" t="s">
        <v>294</v>
      </c>
      <c r="O365" s="350"/>
      <c r="P365" s="350"/>
      <c r="Q365" s="350"/>
      <c r="R365" s="350"/>
      <c r="S365" s="350"/>
      <c r="T365" s="350"/>
      <c r="U365" s="351"/>
    </row>
    <row r="366" spans="1:21" ht="34.5" customHeight="1">
      <c r="A366" s="24">
        <f t="shared" si="1"/>
        <v>352</v>
      </c>
      <c r="B366" s="488" t="s">
        <v>294</v>
      </c>
      <c r="C366" s="351"/>
      <c r="D366" s="489" t="s">
        <v>294</v>
      </c>
      <c r="E366" s="351"/>
      <c r="F366" s="485" t="s">
        <v>325</v>
      </c>
      <c r="G366" s="351"/>
      <c r="H366" s="487"/>
      <c r="I366" s="350"/>
      <c r="J366" s="351"/>
      <c r="K366" s="485" t="s">
        <v>325</v>
      </c>
      <c r="L366" s="350"/>
      <c r="M366" s="351"/>
      <c r="N366" s="490" t="s">
        <v>294</v>
      </c>
      <c r="O366" s="350"/>
      <c r="P366" s="350"/>
      <c r="Q366" s="350"/>
      <c r="R366" s="350"/>
      <c r="S366" s="350"/>
      <c r="T366" s="350"/>
      <c r="U366" s="351"/>
    </row>
    <row r="367" spans="1:21" ht="34.5" customHeight="1">
      <c r="A367" s="24">
        <f t="shared" si="1"/>
        <v>353</v>
      </c>
      <c r="B367" s="483" t="s">
        <v>294</v>
      </c>
      <c r="C367" s="351"/>
      <c r="D367" s="484" t="s">
        <v>294</v>
      </c>
      <c r="E367" s="351"/>
      <c r="F367" s="485" t="s">
        <v>325</v>
      </c>
      <c r="G367" s="351"/>
      <c r="H367" s="486"/>
      <c r="I367" s="350"/>
      <c r="J367" s="351"/>
      <c r="K367" s="485" t="s">
        <v>325</v>
      </c>
      <c r="L367" s="350"/>
      <c r="M367" s="351"/>
      <c r="N367" s="491" t="s">
        <v>294</v>
      </c>
      <c r="O367" s="350"/>
      <c r="P367" s="350"/>
      <c r="Q367" s="350"/>
      <c r="R367" s="350"/>
      <c r="S367" s="350"/>
      <c r="T367" s="350"/>
      <c r="U367" s="351"/>
    </row>
    <row r="368" spans="1:21" ht="34.5" customHeight="1">
      <c r="A368" s="24">
        <f t="shared" si="1"/>
        <v>354</v>
      </c>
      <c r="B368" s="488" t="s">
        <v>294</v>
      </c>
      <c r="C368" s="351"/>
      <c r="D368" s="489" t="s">
        <v>294</v>
      </c>
      <c r="E368" s="351"/>
      <c r="F368" s="485" t="s">
        <v>325</v>
      </c>
      <c r="G368" s="351"/>
      <c r="H368" s="487"/>
      <c r="I368" s="350"/>
      <c r="J368" s="351"/>
      <c r="K368" s="485" t="s">
        <v>325</v>
      </c>
      <c r="L368" s="350"/>
      <c r="M368" s="351"/>
      <c r="N368" s="490" t="s">
        <v>294</v>
      </c>
      <c r="O368" s="350"/>
      <c r="P368" s="350"/>
      <c r="Q368" s="350"/>
      <c r="R368" s="350"/>
      <c r="S368" s="350"/>
      <c r="T368" s="350"/>
      <c r="U368" s="351"/>
    </row>
    <row r="369" spans="1:21" ht="34.5" customHeight="1">
      <c r="A369" s="24">
        <f t="shared" si="1"/>
        <v>355</v>
      </c>
      <c r="B369" s="483" t="s">
        <v>294</v>
      </c>
      <c r="C369" s="351"/>
      <c r="D369" s="484" t="s">
        <v>294</v>
      </c>
      <c r="E369" s="351"/>
      <c r="F369" s="485" t="s">
        <v>325</v>
      </c>
      <c r="G369" s="351"/>
      <c r="H369" s="486"/>
      <c r="I369" s="350"/>
      <c r="J369" s="351"/>
      <c r="K369" s="485" t="s">
        <v>325</v>
      </c>
      <c r="L369" s="350"/>
      <c r="M369" s="351"/>
      <c r="N369" s="491" t="s">
        <v>294</v>
      </c>
      <c r="O369" s="350"/>
      <c r="P369" s="350"/>
      <c r="Q369" s="350"/>
      <c r="R369" s="350"/>
      <c r="S369" s="350"/>
      <c r="T369" s="350"/>
      <c r="U369" s="351"/>
    </row>
    <row r="370" spans="1:21" ht="34.5" customHeight="1">
      <c r="A370" s="24">
        <f t="shared" si="1"/>
        <v>356</v>
      </c>
      <c r="B370" s="488" t="s">
        <v>294</v>
      </c>
      <c r="C370" s="351"/>
      <c r="D370" s="489" t="s">
        <v>294</v>
      </c>
      <c r="E370" s="351"/>
      <c r="F370" s="485" t="s">
        <v>325</v>
      </c>
      <c r="G370" s="351"/>
      <c r="H370" s="487"/>
      <c r="I370" s="350"/>
      <c r="J370" s="351"/>
      <c r="K370" s="485" t="s">
        <v>325</v>
      </c>
      <c r="L370" s="350"/>
      <c r="M370" s="351"/>
      <c r="N370" s="490" t="s">
        <v>294</v>
      </c>
      <c r="O370" s="350"/>
      <c r="P370" s="350"/>
      <c r="Q370" s="350"/>
      <c r="R370" s="350"/>
      <c r="S370" s="350"/>
      <c r="T370" s="350"/>
      <c r="U370" s="351"/>
    </row>
    <row r="371" spans="1:21" ht="34.5" customHeight="1">
      <c r="A371" s="24">
        <f t="shared" si="1"/>
        <v>357</v>
      </c>
      <c r="B371" s="483" t="s">
        <v>333</v>
      </c>
      <c r="C371" s="351"/>
      <c r="D371" s="484" t="s">
        <v>294</v>
      </c>
      <c r="E371" s="351"/>
      <c r="F371" s="485" t="s">
        <v>325</v>
      </c>
      <c r="G371" s="351"/>
      <c r="H371" s="486"/>
      <c r="I371" s="350"/>
      <c r="J371" s="351"/>
      <c r="K371" s="485" t="s">
        <v>325</v>
      </c>
      <c r="L371" s="350"/>
      <c r="M371" s="351"/>
      <c r="N371" s="491" t="s">
        <v>294</v>
      </c>
      <c r="O371" s="350"/>
      <c r="P371" s="350"/>
      <c r="Q371" s="350"/>
      <c r="R371" s="350"/>
      <c r="S371" s="350"/>
      <c r="T371" s="350"/>
      <c r="U371" s="351"/>
    </row>
    <row r="372" spans="1:21" ht="34.5" customHeight="1">
      <c r="A372" s="24">
        <f t="shared" si="1"/>
        <v>358</v>
      </c>
      <c r="B372" s="488" t="s">
        <v>294</v>
      </c>
      <c r="C372" s="351"/>
      <c r="D372" s="489" t="s">
        <v>294</v>
      </c>
      <c r="E372" s="351"/>
      <c r="F372" s="485" t="s">
        <v>325</v>
      </c>
      <c r="G372" s="351"/>
      <c r="H372" s="487"/>
      <c r="I372" s="350"/>
      <c r="J372" s="351"/>
      <c r="K372" s="485" t="s">
        <v>325</v>
      </c>
      <c r="L372" s="350"/>
      <c r="M372" s="351"/>
      <c r="N372" s="490" t="s">
        <v>294</v>
      </c>
      <c r="O372" s="350"/>
      <c r="P372" s="350"/>
      <c r="Q372" s="350"/>
      <c r="R372" s="350"/>
      <c r="S372" s="350"/>
      <c r="T372" s="350"/>
      <c r="U372" s="351"/>
    </row>
    <row r="373" spans="1:21" ht="34.5" customHeight="1">
      <c r="A373" s="24">
        <f t="shared" si="1"/>
        <v>359</v>
      </c>
      <c r="B373" s="483" t="s">
        <v>294</v>
      </c>
      <c r="C373" s="351"/>
      <c r="D373" s="484" t="s">
        <v>294</v>
      </c>
      <c r="E373" s="351"/>
      <c r="F373" s="485" t="s">
        <v>325</v>
      </c>
      <c r="G373" s="351"/>
      <c r="H373" s="486"/>
      <c r="I373" s="350"/>
      <c r="J373" s="351"/>
      <c r="K373" s="485" t="s">
        <v>325</v>
      </c>
      <c r="L373" s="350"/>
      <c r="M373" s="351"/>
      <c r="N373" s="491" t="s">
        <v>294</v>
      </c>
      <c r="O373" s="350"/>
      <c r="P373" s="350"/>
      <c r="Q373" s="350"/>
      <c r="R373" s="350"/>
      <c r="S373" s="350"/>
      <c r="T373" s="350"/>
      <c r="U373" s="351"/>
    </row>
    <row r="374" spans="1:21" ht="34.5" customHeight="1">
      <c r="A374" s="24">
        <f t="shared" si="1"/>
        <v>360</v>
      </c>
      <c r="B374" s="488" t="s">
        <v>294</v>
      </c>
      <c r="C374" s="351"/>
      <c r="D374" s="489" t="s">
        <v>294</v>
      </c>
      <c r="E374" s="351"/>
      <c r="F374" s="485" t="s">
        <v>325</v>
      </c>
      <c r="G374" s="351"/>
      <c r="H374" s="487"/>
      <c r="I374" s="350"/>
      <c r="J374" s="351"/>
      <c r="K374" s="485" t="s">
        <v>325</v>
      </c>
      <c r="L374" s="350"/>
      <c r="M374" s="351"/>
      <c r="N374" s="490" t="s">
        <v>294</v>
      </c>
      <c r="O374" s="350"/>
      <c r="P374" s="350"/>
      <c r="Q374" s="350"/>
      <c r="R374" s="350"/>
      <c r="S374" s="350"/>
      <c r="T374" s="350"/>
      <c r="U374" s="351"/>
    </row>
    <row r="375" spans="1:21" ht="34.5" customHeight="1">
      <c r="A375" s="24">
        <f t="shared" si="1"/>
        <v>361</v>
      </c>
      <c r="B375" s="483" t="s">
        <v>294</v>
      </c>
      <c r="C375" s="351"/>
      <c r="D375" s="484" t="s">
        <v>294</v>
      </c>
      <c r="E375" s="351"/>
      <c r="F375" s="485" t="s">
        <v>325</v>
      </c>
      <c r="G375" s="351"/>
      <c r="H375" s="486"/>
      <c r="I375" s="350"/>
      <c r="J375" s="351"/>
      <c r="K375" s="485" t="s">
        <v>325</v>
      </c>
      <c r="L375" s="350"/>
      <c r="M375" s="351"/>
      <c r="N375" s="491" t="s">
        <v>294</v>
      </c>
      <c r="O375" s="350"/>
      <c r="P375" s="350"/>
      <c r="Q375" s="350"/>
      <c r="R375" s="350"/>
      <c r="S375" s="350"/>
      <c r="T375" s="350"/>
      <c r="U375" s="351"/>
    </row>
    <row r="376" spans="1:21" ht="34.5" customHeight="1">
      <c r="A376" s="24">
        <f t="shared" si="1"/>
        <v>362</v>
      </c>
      <c r="B376" s="488" t="s">
        <v>294</v>
      </c>
      <c r="C376" s="351"/>
      <c r="D376" s="489" t="s">
        <v>294</v>
      </c>
      <c r="E376" s="351"/>
      <c r="F376" s="485" t="s">
        <v>325</v>
      </c>
      <c r="G376" s="351"/>
      <c r="H376" s="487"/>
      <c r="I376" s="350"/>
      <c r="J376" s="351"/>
      <c r="K376" s="485" t="s">
        <v>325</v>
      </c>
      <c r="L376" s="350"/>
      <c r="M376" s="351"/>
      <c r="N376" s="490" t="s">
        <v>294</v>
      </c>
      <c r="O376" s="350"/>
      <c r="P376" s="350"/>
      <c r="Q376" s="350"/>
      <c r="R376" s="350"/>
      <c r="S376" s="350"/>
      <c r="T376" s="350"/>
      <c r="U376" s="351"/>
    </row>
    <row r="377" spans="1:21" ht="34.5" customHeight="1">
      <c r="A377" s="24">
        <f t="shared" si="1"/>
        <v>363</v>
      </c>
      <c r="B377" s="483" t="s">
        <v>330</v>
      </c>
      <c r="C377" s="351"/>
      <c r="D377" s="484" t="s">
        <v>294</v>
      </c>
      <c r="E377" s="351"/>
      <c r="F377" s="485" t="s">
        <v>325</v>
      </c>
      <c r="G377" s="351"/>
      <c r="H377" s="486"/>
      <c r="I377" s="350"/>
      <c r="J377" s="351"/>
      <c r="K377" s="485" t="s">
        <v>325</v>
      </c>
      <c r="L377" s="350"/>
      <c r="M377" s="351"/>
      <c r="N377" s="491" t="s">
        <v>294</v>
      </c>
      <c r="O377" s="350"/>
      <c r="P377" s="350"/>
      <c r="Q377" s="350"/>
      <c r="R377" s="350"/>
      <c r="S377" s="350"/>
      <c r="T377" s="350"/>
      <c r="U377" s="351"/>
    </row>
    <row r="378" spans="1:21" ht="34.5" customHeight="1">
      <c r="A378" s="24">
        <f t="shared" si="1"/>
        <v>364</v>
      </c>
      <c r="B378" s="488" t="s">
        <v>294</v>
      </c>
      <c r="C378" s="351"/>
      <c r="D378" s="489" t="s">
        <v>294</v>
      </c>
      <c r="E378" s="351"/>
      <c r="F378" s="485" t="s">
        <v>325</v>
      </c>
      <c r="G378" s="351"/>
      <c r="H378" s="487"/>
      <c r="I378" s="350"/>
      <c r="J378" s="351"/>
      <c r="K378" s="485" t="s">
        <v>325</v>
      </c>
      <c r="L378" s="350"/>
      <c r="M378" s="351"/>
      <c r="N378" s="490" t="s">
        <v>294</v>
      </c>
      <c r="O378" s="350"/>
      <c r="P378" s="350"/>
      <c r="Q378" s="350"/>
      <c r="R378" s="350"/>
      <c r="S378" s="350"/>
      <c r="T378" s="350"/>
      <c r="U378" s="351"/>
    </row>
    <row r="379" spans="1:21" ht="34.5" customHeight="1">
      <c r="A379" s="24">
        <f t="shared" si="1"/>
        <v>365</v>
      </c>
      <c r="B379" s="483" t="s">
        <v>294</v>
      </c>
      <c r="C379" s="351"/>
      <c r="D379" s="484" t="s">
        <v>294</v>
      </c>
      <c r="E379" s="351"/>
      <c r="F379" s="485" t="s">
        <v>325</v>
      </c>
      <c r="G379" s="351"/>
      <c r="H379" s="486"/>
      <c r="I379" s="350"/>
      <c r="J379" s="351"/>
      <c r="K379" s="485" t="s">
        <v>325</v>
      </c>
      <c r="L379" s="350"/>
      <c r="M379" s="351"/>
      <c r="N379" s="491" t="s">
        <v>294</v>
      </c>
      <c r="O379" s="350"/>
      <c r="P379" s="350"/>
      <c r="Q379" s="350"/>
      <c r="R379" s="350"/>
      <c r="S379" s="350"/>
      <c r="T379" s="350"/>
      <c r="U379" s="351"/>
    </row>
    <row r="380" spans="1:21" ht="34.5" customHeight="1">
      <c r="A380" s="24">
        <f t="shared" si="1"/>
        <v>366</v>
      </c>
      <c r="B380" s="488" t="s">
        <v>294</v>
      </c>
      <c r="C380" s="351"/>
      <c r="D380" s="489" t="s">
        <v>294</v>
      </c>
      <c r="E380" s="351"/>
      <c r="F380" s="485" t="s">
        <v>325</v>
      </c>
      <c r="G380" s="351"/>
      <c r="H380" s="487"/>
      <c r="I380" s="350"/>
      <c r="J380" s="351"/>
      <c r="K380" s="485" t="s">
        <v>325</v>
      </c>
      <c r="L380" s="350"/>
      <c r="M380" s="351"/>
      <c r="N380" s="490" t="s">
        <v>294</v>
      </c>
      <c r="O380" s="350"/>
      <c r="P380" s="350"/>
      <c r="Q380" s="350"/>
      <c r="R380" s="350"/>
      <c r="S380" s="350"/>
      <c r="T380" s="350"/>
      <c r="U380" s="351"/>
    </row>
    <row r="381" spans="1:21" ht="34.5" customHeight="1">
      <c r="A381" s="24">
        <f t="shared" si="1"/>
        <v>367</v>
      </c>
      <c r="B381" s="483" t="s">
        <v>294</v>
      </c>
      <c r="C381" s="351"/>
      <c r="D381" s="484" t="s">
        <v>294</v>
      </c>
      <c r="E381" s="351"/>
      <c r="F381" s="485" t="s">
        <v>325</v>
      </c>
      <c r="G381" s="351"/>
      <c r="H381" s="486"/>
      <c r="I381" s="350"/>
      <c r="J381" s="351"/>
      <c r="K381" s="485" t="s">
        <v>325</v>
      </c>
      <c r="L381" s="350"/>
      <c r="M381" s="351"/>
      <c r="N381" s="491" t="s">
        <v>294</v>
      </c>
      <c r="O381" s="350"/>
      <c r="P381" s="350"/>
      <c r="Q381" s="350"/>
      <c r="R381" s="350"/>
      <c r="S381" s="350"/>
      <c r="T381" s="350"/>
      <c r="U381" s="351"/>
    </row>
    <row r="382" spans="1:21" ht="34.5" customHeight="1">
      <c r="A382" s="24">
        <f t="shared" si="1"/>
        <v>368</v>
      </c>
      <c r="B382" s="488" t="s">
        <v>334</v>
      </c>
      <c r="C382" s="351"/>
      <c r="D382" s="489" t="s">
        <v>294</v>
      </c>
      <c r="E382" s="351"/>
      <c r="F382" s="485" t="s">
        <v>325</v>
      </c>
      <c r="G382" s="351"/>
      <c r="H382" s="487"/>
      <c r="I382" s="350"/>
      <c r="J382" s="351"/>
      <c r="K382" s="485" t="s">
        <v>325</v>
      </c>
      <c r="L382" s="350"/>
      <c r="M382" s="351"/>
      <c r="N382" s="490" t="s">
        <v>294</v>
      </c>
      <c r="O382" s="350"/>
      <c r="P382" s="350"/>
      <c r="Q382" s="350"/>
      <c r="R382" s="350"/>
      <c r="S382" s="350"/>
      <c r="T382" s="350"/>
      <c r="U382" s="351"/>
    </row>
    <row r="383" spans="1:21" ht="34.5" customHeight="1">
      <c r="A383" s="24">
        <f t="shared" si="1"/>
        <v>369</v>
      </c>
      <c r="B383" s="483" t="s">
        <v>294</v>
      </c>
      <c r="C383" s="351"/>
      <c r="D383" s="484" t="s">
        <v>294</v>
      </c>
      <c r="E383" s="351"/>
      <c r="F383" s="485" t="s">
        <v>325</v>
      </c>
      <c r="G383" s="351"/>
      <c r="H383" s="486"/>
      <c r="I383" s="350"/>
      <c r="J383" s="351"/>
      <c r="K383" s="485" t="s">
        <v>325</v>
      </c>
      <c r="L383" s="350"/>
      <c r="M383" s="351"/>
      <c r="N383" s="491" t="s">
        <v>294</v>
      </c>
      <c r="O383" s="350"/>
      <c r="P383" s="350"/>
      <c r="Q383" s="350"/>
      <c r="R383" s="350"/>
      <c r="S383" s="350"/>
      <c r="T383" s="350"/>
      <c r="U383" s="351"/>
    </row>
    <row r="384" spans="1:21" ht="34.5" customHeight="1">
      <c r="A384" s="24">
        <f t="shared" si="1"/>
        <v>370</v>
      </c>
      <c r="B384" s="488" t="s">
        <v>294</v>
      </c>
      <c r="C384" s="351"/>
      <c r="D384" s="489" t="s">
        <v>294</v>
      </c>
      <c r="E384" s="351"/>
      <c r="F384" s="485" t="s">
        <v>325</v>
      </c>
      <c r="G384" s="351"/>
      <c r="H384" s="487"/>
      <c r="I384" s="350"/>
      <c r="J384" s="351"/>
      <c r="K384" s="485" t="s">
        <v>325</v>
      </c>
      <c r="L384" s="350"/>
      <c r="M384" s="351"/>
      <c r="N384" s="490" t="s">
        <v>294</v>
      </c>
      <c r="O384" s="350"/>
      <c r="P384" s="350"/>
      <c r="Q384" s="350"/>
      <c r="R384" s="350"/>
      <c r="S384" s="350"/>
      <c r="T384" s="350"/>
      <c r="U384" s="351"/>
    </row>
    <row r="385" spans="1:21" ht="34.5" customHeight="1">
      <c r="A385" s="24">
        <f t="shared" si="1"/>
        <v>371</v>
      </c>
      <c r="B385" s="483" t="s">
        <v>294</v>
      </c>
      <c r="C385" s="351"/>
      <c r="D385" s="484" t="s">
        <v>294</v>
      </c>
      <c r="E385" s="351"/>
      <c r="F385" s="485" t="s">
        <v>325</v>
      </c>
      <c r="G385" s="351"/>
      <c r="H385" s="486"/>
      <c r="I385" s="350"/>
      <c r="J385" s="351"/>
      <c r="K385" s="485" t="s">
        <v>325</v>
      </c>
      <c r="L385" s="350"/>
      <c r="M385" s="351"/>
      <c r="N385" s="491" t="s">
        <v>294</v>
      </c>
      <c r="O385" s="350"/>
      <c r="P385" s="350"/>
      <c r="Q385" s="350"/>
      <c r="R385" s="350"/>
      <c r="S385" s="350"/>
      <c r="T385" s="350"/>
      <c r="U385" s="351"/>
    </row>
    <row r="386" spans="1:21" ht="34.5" customHeight="1">
      <c r="A386" s="24">
        <f t="shared" si="1"/>
        <v>372</v>
      </c>
      <c r="B386" s="488" t="s">
        <v>294</v>
      </c>
      <c r="C386" s="351"/>
      <c r="D386" s="489" t="s">
        <v>294</v>
      </c>
      <c r="E386" s="351"/>
      <c r="F386" s="485" t="s">
        <v>325</v>
      </c>
      <c r="G386" s="351"/>
      <c r="H386" s="487"/>
      <c r="I386" s="350"/>
      <c r="J386" s="351"/>
      <c r="K386" s="485" t="s">
        <v>325</v>
      </c>
      <c r="L386" s="350"/>
      <c r="M386" s="351"/>
      <c r="N386" s="490" t="s">
        <v>294</v>
      </c>
      <c r="O386" s="350"/>
      <c r="P386" s="350"/>
      <c r="Q386" s="350"/>
      <c r="R386" s="350"/>
      <c r="S386" s="350"/>
      <c r="T386" s="350"/>
      <c r="U386" s="351"/>
    </row>
    <row r="387" spans="1:21" ht="34.5" customHeight="1">
      <c r="A387" s="24">
        <f t="shared" si="1"/>
        <v>373</v>
      </c>
      <c r="B387" s="483" t="s">
        <v>332</v>
      </c>
      <c r="C387" s="351"/>
      <c r="D387" s="484" t="s">
        <v>294</v>
      </c>
      <c r="E387" s="351"/>
      <c r="F387" s="485" t="s">
        <v>325</v>
      </c>
      <c r="G387" s="351"/>
      <c r="H387" s="486"/>
      <c r="I387" s="350"/>
      <c r="J387" s="351"/>
      <c r="K387" s="485" t="s">
        <v>325</v>
      </c>
      <c r="L387" s="350"/>
      <c r="M387" s="351"/>
      <c r="N387" s="491" t="s">
        <v>294</v>
      </c>
      <c r="O387" s="350"/>
      <c r="P387" s="350"/>
      <c r="Q387" s="350"/>
      <c r="R387" s="350"/>
      <c r="S387" s="350"/>
      <c r="T387" s="350"/>
      <c r="U387" s="351"/>
    </row>
    <row r="388" spans="1:21" ht="34.5" customHeight="1">
      <c r="A388" s="24">
        <f t="shared" si="1"/>
        <v>374</v>
      </c>
      <c r="B388" s="488" t="s">
        <v>294</v>
      </c>
      <c r="C388" s="351"/>
      <c r="D388" s="489" t="s">
        <v>294</v>
      </c>
      <c r="E388" s="351"/>
      <c r="F388" s="485" t="s">
        <v>325</v>
      </c>
      <c r="G388" s="351"/>
      <c r="H388" s="487"/>
      <c r="I388" s="350"/>
      <c r="J388" s="351"/>
      <c r="K388" s="485" t="s">
        <v>325</v>
      </c>
      <c r="L388" s="350"/>
      <c r="M388" s="351"/>
      <c r="N388" s="490" t="s">
        <v>294</v>
      </c>
      <c r="O388" s="350"/>
      <c r="P388" s="350"/>
      <c r="Q388" s="350"/>
      <c r="R388" s="350"/>
      <c r="S388" s="350"/>
      <c r="T388" s="350"/>
      <c r="U388" s="351"/>
    </row>
    <row r="389" spans="1:21" ht="34.5" customHeight="1">
      <c r="A389" s="24">
        <f t="shared" si="1"/>
        <v>375</v>
      </c>
      <c r="B389" s="483" t="s">
        <v>294</v>
      </c>
      <c r="C389" s="351"/>
      <c r="D389" s="484" t="s">
        <v>294</v>
      </c>
      <c r="E389" s="351"/>
      <c r="F389" s="485" t="s">
        <v>325</v>
      </c>
      <c r="G389" s="351"/>
      <c r="H389" s="486"/>
      <c r="I389" s="350"/>
      <c r="J389" s="351"/>
      <c r="K389" s="485" t="s">
        <v>325</v>
      </c>
      <c r="L389" s="350"/>
      <c r="M389" s="351"/>
      <c r="N389" s="491" t="s">
        <v>294</v>
      </c>
      <c r="O389" s="350"/>
      <c r="P389" s="350"/>
      <c r="Q389" s="350"/>
      <c r="R389" s="350"/>
      <c r="S389" s="350"/>
      <c r="T389" s="350"/>
      <c r="U389" s="351"/>
    </row>
    <row r="390" spans="1:21" ht="34.5" customHeight="1">
      <c r="A390" s="24">
        <f t="shared" si="1"/>
        <v>376</v>
      </c>
      <c r="B390" s="488" t="s">
        <v>294</v>
      </c>
      <c r="C390" s="351"/>
      <c r="D390" s="489" t="s">
        <v>294</v>
      </c>
      <c r="E390" s="351"/>
      <c r="F390" s="485" t="s">
        <v>325</v>
      </c>
      <c r="G390" s="351"/>
      <c r="H390" s="487"/>
      <c r="I390" s="350"/>
      <c r="J390" s="351"/>
      <c r="K390" s="485" t="s">
        <v>325</v>
      </c>
      <c r="L390" s="350"/>
      <c r="M390" s="351"/>
      <c r="N390" s="490" t="s">
        <v>294</v>
      </c>
      <c r="O390" s="350"/>
      <c r="P390" s="350"/>
      <c r="Q390" s="350"/>
      <c r="R390" s="350"/>
      <c r="S390" s="350"/>
      <c r="T390" s="350"/>
      <c r="U390" s="351"/>
    </row>
    <row r="391" spans="1:21" ht="34.5" customHeight="1">
      <c r="A391" s="24">
        <f t="shared" si="1"/>
        <v>377</v>
      </c>
      <c r="B391" s="483" t="s">
        <v>294</v>
      </c>
      <c r="C391" s="351"/>
      <c r="D391" s="484" t="s">
        <v>294</v>
      </c>
      <c r="E391" s="351"/>
      <c r="F391" s="485" t="s">
        <v>325</v>
      </c>
      <c r="G391" s="351"/>
      <c r="H391" s="486"/>
      <c r="I391" s="350"/>
      <c r="J391" s="351"/>
      <c r="K391" s="485" t="s">
        <v>325</v>
      </c>
      <c r="L391" s="350"/>
      <c r="M391" s="351"/>
      <c r="N391" s="491" t="s">
        <v>294</v>
      </c>
      <c r="O391" s="350"/>
      <c r="P391" s="350"/>
      <c r="Q391" s="350"/>
      <c r="R391" s="350"/>
      <c r="S391" s="350"/>
      <c r="T391" s="350"/>
      <c r="U391" s="351"/>
    </row>
    <row r="392" spans="1:21" ht="34.5" customHeight="1">
      <c r="A392" s="24">
        <f t="shared" si="1"/>
        <v>378</v>
      </c>
      <c r="B392" s="488" t="s">
        <v>329</v>
      </c>
      <c r="C392" s="351"/>
      <c r="D392" s="489" t="s">
        <v>294</v>
      </c>
      <c r="E392" s="351"/>
      <c r="F392" s="485" t="s">
        <v>325</v>
      </c>
      <c r="G392" s="351"/>
      <c r="H392" s="487"/>
      <c r="I392" s="350"/>
      <c r="J392" s="351"/>
      <c r="K392" s="485" t="s">
        <v>325</v>
      </c>
      <c r="L392" s="350"/>
      <c r="M392" s="351"/>
      <c r="N392" s="490" t="s">
        <v>294</v>
      </c>
      <c r="O392" s="350"/>
      <c r="P392" s="350"/>
      <c r="Q392" s="350"/>
      <c r="R392" s="350"/>
      <c r="S392" s="350"/>
      <c r="T392" s="350"/>
      <c r="U392" s="351"/>
    </row>
    <row r="393" spans="1:21" ht="34.5" customHeight="1">
      <c r="A393" s="24">
        <f t="shared" si="1"/>
        <v>379</v>
      </c>
      <c r="B393" s="483" t="s">
        <v>294</v>
      </c>
      <c r="C393" s="351"/>
      <c r="D393" s="484" t="s">
        <v>294</v>
      </c>
      <c r="E393" s="351"/>
      <c r="F393" s="485" t="s">
        <v>325</v>
      </c>
      <c r="G393" s="351"/>
      <c r="H393" s="486"/>
      <c r="I393" s="350"/>
      <c r="J393" s="351"/>
      <c r="K393" s="485" t="s">
        <v>325</v>
      </c>
      <c r="L393" s="350"/>
      <c r="M393" s="351"/>
      <c r="N393" s="491" t="s">
        <v>294</v>
      </c>
      <c r="O393" s="350"/>
      <c r="P393" s="350"/>
      <c r="Q393" s="350"/>
      <c r="R393" s="350"/>
      <c r="S393" s="350"/>
      <c r="T393" s="350"/>
      <c r="U393" s="351"/>
    </row>
    <row r="394" spans="1:21" ht="34.5" customHeight="1">
      <c r="A394" s="24">
        <f t="shared" si="1"/>
        <v>380</v>
      </c>
      <c r="B394" s="488" t="s">
        <v>294</v>
      </c>
      <c r="C394" s="351"/>
      <c r="D394" s="489" t="s">
        <v>294</v>
      </c>
      <c r="E394" s="351"/>
      <c r="F394" s="485" t="s">
        <v>325</v>
      </c>
      <c r="G394" s="351"/>
      <c r="H394" s="487"/>
      <c r="I394" s="350"/>
      <c r="J394" s="351"/>
      <c r="K394" s="485" t="s">
        <v>325</v>
      </c>
      <c r="L394" s="350"/>
      <c r="M394" s="351"/>
      <c r="N394" s="490" t="s">
        <v>294</v>
      </c>
      <c r="O394" s="350"/>
      <c r="P394" s="350"/>
      <c r="Q394" s="350"/>
      <c r="R394" s="350"/>
      <c r="S394" s="350"/>
      <c r="T394" s="350"/>
      <c r="U394" s="351"/>
    </row>
    <row r="395" spans="1:21" ht="34.5" customHeight="1">
      <c r="A395" s="24">
        <f t="shared" si="1"/>
        <v>381</v>
      </c>
      <c r="B395" s="483" t="s">
        <v>294</v>
      </c>
      <c r="C395" s="351"/>
      <c r="D395" s="484" t="s">
        <v>294</v>
      </c>
      <c r="E395" s="351"/>
      <c r="F395" s="485" t="s">
        <v>325</v>
      </c>
      <c r="G395" s="351"/>
      <c r="H395" s="486"/>
      <c r="I395" s="350"/>
      <c r="J395" s="351"/>
      <c r="K395" s="485" t="s">
        <v>325</v>
      </c>
      <c r="L395" s="350"/>
      <c r="M395" s="351"/>
      <c r="N395" s="491" t="s">
        <v>294</v>
      </c>
      <c r="O395" s="350"/>
      <c r="P395" s="350"/>
      <c r="Q395" s="350"/>
      <c r="R395" s="350"/>
      <c r="S395" s="350"/>
      <c r="T395" s="350"/>
      <c r="U395" s="351"/>
    </row>
    <row r="396" spans="1:21" ht="34.5" customHeight="1">
      <c r="A396" s="24">
        <f t="shared" si="1"/>
        <v>382</v>
      </c>
      <c r="B396" s="488" t="s">
        <v>334</v>
      </c>
      <c r="C396" s="351"/>
      <c r="D396" s="489" t="s">
        <v>294</v>
      </c>
      <c r="E396" s="351"/>
      <c r="F396" s="485" t="s">
        <v>325</v>
      </c>
      <c r="G396" s="351"/>
      <c r="H396" s="487"/>
      <c r="I396" s="350"/>
      <c r="J396" s="351"/>
      <c r="K396" s="485" t="s">
        <v>325</v>
      </c>
      <c r="L396" s="350"/>
      <c r="M396" s="351"/>
      <c r="N396" s="490" t="s">
        <v>294</v>
      </c>
      <c r="O396" s="350"/>
      <c r="P396" s="350"/>
      <c r="Q396" s="350"/>
      <c r="R396" s="350"/>
      <c r="S396" s="350"/>
      <c r="T396" s="350"/>
      <c r="U396" s="351"/>
    </row>
    <row r="397" spans="1:21" ht="34.5" customHeight="1">
      <c r="A397" s="24">
        <f t="shared" si="1"/>
        <v>383</v>
      </c>
      <c r="B397" s="483" t="s">
        <v>294</v>
      </c>
      <c r="C397" s="351"/>
      <c r="D397" s="484" t="s">
        <v>294</v>
      </c>
      <c r="E397" s="351"/>
      <c r="F397" s="485" t="s">
        <v>325</v>
      </c>
      <c r="G397" s="351"/>
      <c r="H397" s="486"/>
      <c r="I397" s="350"/>
      <c r="J397" s="351"/>
      <c r="K397" s="485" t="s">
        <v>325</v>
      </c>
      <c r="L397" s="350"/>
      <c r="M397" s="351"/>
      <c r="N397" s="491" t="s">
        <v>294</v>
      </c>
      <c r="O397" s="350"/>
      <c r="P397" s="350"/>
      <c r="Q397" s="350"/>
      <c r="R397" s="350"/>
      <c r="S397" s="350"/>
      <c r="T397" s="350"/>
      <c r="U397" s="351"/>
    </row>
    <row r="398" spans="1:21" ht="34.5" customHeight="1">
      <c r="A398" s="24">
        <f t="shared" si="1"/>
        <v>384</v>
      </c>
      <c r="B398" s="488" t="s">
        <v>294</v>
      </c>
      <c r="C398" s="351"/>
      <c r="D398" s="489" t="s">
        <v>294</v>
      </c>
      <c r="E398" s="351"/>
      <c r="F398" s="485" t="s">
        <v>325</v>
      </c>
      <c r="G398" s="351"/>
      <c r="H398" s="487"/>
      <c r="I398" s="350"/>
      <c r="J398" s="351"/>
      <c r="K398" s="485" t="s">
        <v>325</v>
      </c>
      <c r="L398" s="350"/>
      <c r="M398" s="351"/>
      <c r="N398" s="490" t="s">
        <v>294</v>
      </c>
      <c r="O398" s="350"/>
      <c r="P398" s="350"/>
      <c r="Q398" s="350"/>
      <c r="R398" s="350"/>
      <c r="S398" s="350"/>
      <c r="T398" s="350"/>
      <c r="U398" s="351"/>
    </row>
    <row r="399" spans="1:21" ht="34.5" customHeight="1">
      <c r="A399" s="24">
        <f t="shared" si="1"/>
        <v>385</v>
      </c>
      <c r="B399" s="483" t="s">
        <v>294</v>
      </c>
      <c r="C399" s="351"/>
      <c r="D399" s="484" t="s">
        <v>294</v>
      </c>
      <c r="E399" s="351"/>
      <c r="F399" s="485" t="s">
        <v>325</v>
      </c>
      <c r="G399" s="351"/>
      <c r="H399" s="486"/>
      <c r="I399" s="350"/>
      <c r="J399" s="351"/>
      <c r="K399" s="485" t="s">
        <v>325</v>
      </c>
      <c r="L399" s="350"/>
      <c r="M399" s="351"/>
      <c r="N399" s="491" t="s">
        <v>294</v>
      </c>
      <c r="O399" s="350"/>
      <c r="P399" s="350"/>
      <c r="Q399" s="350"/>
      <c r="R399" s="350"/>
      <c r="S399" s="350"/>
      <c r="T399" s="350"/>
      <c r="U399" s="351"/>
    </row>
    <row r="400" spans="1:21" ht="34.5" customHeight="1">
      <c r="A400" s="24">
        <f t="shared" si="1"/>
        <v>386</v>
      </c>
      <c r="B400" s="488" t="s">
        <v>294</v>
      </c>
      <c r="C400" s="351"/>
      <c r="D400" s="489" t="s">
        <v>294</v>
      </c>
      <c r="E400" s="351"/>
      <c r="F400" s="485" t="s">
        <v>325</v>
      </c>
      <c r="G400" s="351"/>
      <c r="H400" s="487"/>
      <c r="I400" s="350"/>
      <c r="J400" s="351"/>
      <c r="K400" s="485" t="s">
        <v>325</v>
      </c>
      <c r="L400" s="350"/>
      <c r="M400" s="351"/>
      <c r="N400" s="490" t="s">
        <v>294</v>
      </c>
      <c r="O400" s="350"/>
      <c r="P400" s="350"/>
      <c r="Q400" s="350"/>
      <c r="R400" s="350"/>
      <c r="S400" s="350"/>
      <c r="T400" s="350"/>
      <c r="U400" s="351"/>
    </row>
    <row r="401" spans="1:21" ht="34.5" customHeight="1">
      <c r="A401" s="24">
        <f t="shared" si="1"/>
        <v>387</v>
      </c>
      <c r="B401" s="483" t="s">
        <v>294</v>
      </c>
      <c r="C401" s="351"/>
      <c r="D401" s="484" t="s">
        <v>294</v>
      </c>
      <c r="E401" s="351"/>
      <c r="F401" s="485" t="s">
        <v>325</v>
      </c>
      <c r="G401" s="351"/>
      <c r="H401" s="486"/>
      <c r="I401" s="350"/>
      <c r="J401" s="351"/>
      <c r="K401" s="485" t="s">
        <v>325</v>
      </c>
      <c r="L401" s="350"/>
      <c r="M401" s="351"/>
      <c r="N401" s="491" t="s">
        <v>294</v>
      </c>
      <c r="O401" s="350"/>
      <c r="P401" s="350"/>
      <c r="Q401" s="350"/>
      <c r="R401" s="350"/>
      <c r="S401" s="350"/>
      <c r="T401" s="350"/>
      <c r="U401" s="351"/>
    </row>
    <row r="402" spans="1:21" ht="34.5" customHeight="1">
      <c r="A402" s="24">
        <f t="shared" si="1"/>
        <v>388</v>
      </c>
      <c r="B402" s="488" t="s">
        <v>335</v>
      </c>
      <c r="C402" s="351"/>
      <c r="D402" s="489" t="s">
        <v>294</v>
      </c>
      <c r="E402" s="351"/>
      <c r="F402" s="485" t="s">
        <v>325</v>
      </c>
      <c r="G402" s="351"/>
      <c r="H402" s="487"/>
      <c r="I402" s="350"/>
      <c r="J402" s="351"/>
      <c r="K402" s="485" t="s">
        <v>325</v>
      </c>
      <c r="L402" s="350"/>
      <c r="M402" s="351"/>
      <c r="N402" s="490" t="s">
        <v>294</v>
      </c>
      <c r="O402" s="350"/>
      <c r="P402" s="350"/>
      <c r="Q402" s="350"/>
      <c r="R402" s="350"/>
      <c r="S402" s="350"/>
      <c r="T402" s="350"/>
      <c r="U402" s="351"/>
    </row>
    <row r="403" spans="1:21" ht="34.5" customHeight="1">
      <c r="A403" s="24">
        <f t="shared" si="1"/>
        <v>389</v>
      </c>
      <c r="B403" s="483" t="s">
        <v>294</v>
      </c>
      <c r="C403" s="351"/>
      <c r="D403" s="484" t="s">
        <v>294</v>
      </c>
      <c r="E403" s="351"/>
      <c r="F403" s="485" t="s">
        <v>325</v>
      </c>
      <c r="G403" s="351"/>
      <c r="H403" s="486"/>
      <c r="I403" s="350"/>
      <c r="J403" s="351"/>
      <c r="K403" s="485" t="s">
        <v>325</v>
      </c>
      <c r="L403" s="350"/>
      <c r="M403" s="351"/>
      <c r="N403" s="491" t="s">
        <v>294</v>
      </c>
      <c r="O403" s="350"/>
      <c r="P403" s="350"/>
      <c r="Q403" s="350"/>
      <c r="R403" s="350"/>
      <c r="S403" s="350"/>
      <c r="T403" s="350"/>
      <c r="U403" s="351"/>
    </row>
    <row r="404" spans="1:21" ht="34.5" customHeight="1">
      <c r="A404" s="24">
        <f t="shared" si="1"/>
        <v>390</v>
      </c>
      <c r="B404" s="488" t="s">
        <v>294</v>
      </c>
      <c r="C404" s="351"/>
      <c r="D404" s="489" t="s">
        <v>294</v>
      </c>
      <c r="E404" s="351"/>
      <c r="F404" s="485" t="s">
        <v>325</v>
      </c>
      <c r="G404" s="351"/>
      <c r="H404" s="487"/>
      <c r="I404" s="350"/>
      <c r="J404" s="351"/>
      <c r="K404" s="485" t="s">
        <v>325</v>
      </c>
      <c r="L404" s="350"/>
      <c r="M404" s="351"/>
      <c r="N404" s="490" t="s">
        <v>294</v>
      </c>
      <c r="O404" s="350"/>
      <c r="P404" s="350"/>
      <c r="Q404" s="350"/>
      <c r="R404" s="350"/>
      <c r="S404" s="350"/>
      <c r="T404" s="350"/>
      <c r="U404" s="351"/>
    </row>
    <row r="405" spans="1:21" ht="34.5" customHeight="1">
      <c r="A405" s="24">
        <f t="shared" si="1"/>
        <v>391</v>
      </c>
      <c r="B405" s="483" t="s">
        <v>294</v>
      </c>
      <c r="C405" s="351"/>
      <c r="D405" s="484" t="s">
        <v>294</v>
      </c>
      <c r="E405" s="351"/>
      <c r="F405" s="485" t="s">
        <v>325</v>
      </c>
      <c r="G405" s="351"/>
      <c r="H405" s="486"/>
      <c r="I405" s="350"/>
      <c r="J405" s="351"/>
      <c r="K405" s="485" t="s">
        <v>325</v>
      </c>
      <c r="L405" s="350"/>
      <c r="M405" s="351"/>
      <c r="N405" s="491" t="s">
        <v>294</v>
      </c>
      <c r="O405" s="350"/>
      <c r="P405" s="350"/>
      <c r="Q405" s="350"/>
      <c r="R405" s="350"/>
      <c r="S405" s="350"/>
      <c r="T405" s="350"/>
      <c r="U405" s="351"/>
    </row>
    <row r="406" spans="1:21" ht="34.5" customHeight="1">
      <c r="A406" s="24">
        <f t="shared" si="1"/>
        <v>392</v>
      </c>
      <c r="B406" s="488" t="s">
        <v>294</v>
      </c>
      <c r="C406" s="351"/>
      <c r="D406" s="489" t="s">
        <v>294</v>
      </c>
      <c r="E406" s="351"/>
      <c r="F406" s="485" t="s">
        <v>325</v>
      </c>
      <c r="G406" s="351"/>
      <c r="H406" s="487"/>
      <c r="I406" s="350"/>
      <c r="J406" s="351"/>
      <c r="K406" s="485" t="s">
        <v>325</v>
      </c>
      <c r="L406" s="350"/>
      <c r="M406" s="351"/>
      <c r="N406" s="490" t="s">
        <v>294</v>
      </c>
      <c r="O406" s="350"/>
      <c r="P406" s="350"/>
      <c r="Q406" s="350"/>
      <c r="R406" s="350"/>
      <c r="S406" s="350"/>
      <c r="T406" s="350"/>
      <c r="U406" s="351"/>
    </row>
    <row r="407" spans="1:21" ht="34.5" customHeight="1">
      <c r="A407" s="24">
        <f t="shared" si="1"/>
        <v>393</v>
      </c>
      <c r="B407" s="483" t="s">
        <v>294</v>
      </c>
      <c r="C407" s="351"/>
      <c r="D407" s="484" t="s">
        <v>294</v>
      </c>
      <c r="E407" s="351"/>
      <c r="F407" s="485" t="s">
        <v>325</v>
      </c>
      <c r="G407" s="351"/>
      <c r="H407" s="486"/>
      <c r="I407" s="350"/>
      <c r="J407" s="351"/>
      <c r="K407" s="485" t="s">
        <v>325</v>
      </c>
      <c r="L407" s="350"/>
      <c r="M407" s="351"/>
      <c r="N407" s="491" t="s">
        <v>294</v>
      </c>
      <c r="O407" s="350"/>
      <c r="P407" s="350"/>
      <c r="Q407" s="350"/>
      <c r="R407" s="350"/>
      <c r="S407" s="350"/>
      <c r="T407" s="350"/>
      <c r="U407" s="351"/>
    </row>
    <row r="408" spans="1:21" ht="34.5" customHeight="1">
      <c r="A408" s="24">
        <f t="shared" si="1"/>
        <v>394</v>
      </c>
      <c r="B408" s="488" t="s">
        <v>294</v>
      </c>
      <c r="C408" s="351"/>
      <c r="D408" s="489" t="s">
        <v>294</v>
      </c>
      <c r="E408" s="351"/>
      <c r="F408" s="485" t="s">
        <v>325</v>
      </c>
      <c r="G408" s="351"/>
      <c r="H408" s="487"/>
      <c r="I408" s="350"/>
      <c r="J408" s="351"/>
      <c r="K408" s="485" t="s">
        <v>325</v>
      </c>
      <c r="L408" s="350"/>
      <c r="M408" s="351"/>
      <c r="N408" s="490" t="s">
        <v>294</v>
      </c>
      <c r="O408" s="350"/>
      <c r="P408" s="350"/>
      <c r="Q408" s="350"/>
      <c r="R408" s="350"/>
      <c r="S408" s="350"/>
      <c r="T408" s="350"/>
      <c r="U408" s="351"/>
    </row>
    <row r="409" spans="1:21" ht="34.5" customHeight="1">
      <c r="A409" s="24">
        <f t="shared" si="1"/>
        <v>395</v>
      </c>
      <c r="B409" s="488" t="s">
        <v>294</v>
      </c>
      <c r="C409" s="351"/>
      <c r="D409" s="489" t="s">
        <v>294</v>
      </c>
      <c r="E409" s="351"/>
      <c r="F409" s="485" t="s">
        <v>325</v>
      </c>
      <c r="G409" s="351"/>
      <c r="H409" s="487"/>
      <c r="I409" s="350"/>
      <c r="J409" s="351"/>
      <c r="K409" s="485" t="s">
        <v>325</v>
      </c>
      <c r="L409" s="350"/>
      <c r="M409" s="351"/>
      <c r="N409" s="490" t="s">
        <v>294</v>
      </c>
      <c r="O409" s="350"/>
      <c r="P409" s="350"/>
      <c r="Q409" s="350"/>
      <c r="R409" s="350"/>
      <c r="S409" s="350"/>
      <c r="T409" s="350"/>
      <c r="U409" s="351"/>
    </row>
    <row r="410" spans="1:21" ht="34.5" customHeight="1">
      <c r="A410" s="24">
        <f t="shared" si="1"/>
        <v>396</v>
      </c>
      <c r="B410" s="483" t="s">
        <v>294</v>
      </c>
      <c r="C410" s="351"/>
      <c r="D410" s="484" t="s">
        <v>294</v>
      </c>
      <c r="E410" s="351"/>
      <c r="F410" s="485" t="s">
        <v>325</v>
      </c>
      <c r="G410" s="351"/>
      <c r="H410" s="486"/>
      <c r="I410" s="350"/>
      <c r="J410" s="351"/>
      <c r="K410" s="485" t="s">
        <v>325</v>
      </c>
      <c r="L410" s="350"/>
      <c r="M410" s="351"/>
      <c r="N410" s="491"/>
      <c r="O410" s="350"/>
      <c r="P410" s="350"/>
      <c r="Q410" s="350"/>
      <c r="R410" s="350"/>
      <c r="S410" s="350"/>
      <c r="T410" s="350"/>
      <c r="U410" s="351"/>
    </row>
    <row r="411" spans="1:21" ht="34.5" customHeight="1">
      <c r="A411" s="24">
        <f t="shared" si="1"/>
        <v>397</v>
      </c>
      <c r="B411" s="488" t="s">
        <v>294</v>
      </c>
      <c r="C411" s="351"/>
      <c r="D411" s="489" t="s">
        <v>294</v>
      </c>
      <c r="E411" s="351"/>
      <c r="F411" s="485" t="s">
        <v>325</v>
      </c>
      <c r="G411" s="351"/>
      <c r="H411" s="487"/>
      <c r="I411" s="350"/>
      <c r="J411" s="351"/>
      <c r="K411" s="485" t="s">
        <v>325</v>
      </c>
      <c r="L411" s="350"/>
      <c r="M411" s="351"/>
      <c r="N411" s="490" t="s">
        <v>294</v>
      </c>
      <c r="O411" s="350"/>
      <c r="P411" s="350"/>
      <c r="Q411" s="350"/>
      <c r="R411" s="350"/>
      <c r="S411" s="350"/>
      <c r="T411" s="350"/>
      <c r="U411" s="351"/>
    </row>
    <row r="412" spans="1:21" ht="34.5" customHeight="1">
      <c r="A412" s="24">
        <f t="shared" si="1"/>
        <v>398</v>
      </c>
      <c r="B412" s="483" t="s">
        <v>294</v>
      </c>
      <c r="C412" s="351"/>
      <c r="D412" s="484" t="s">
        <v>294</v>
      </c>
      <c r="E412" s="351"/>
      <c r="F412" s="485" t="s">
        <v>325</v>
      </c>
      <c r="G412" s="351"/>
      <c r="H412" s="486"/>
      <c r="I412" s="350"/>
      <c r="J412" s="351"/>
      <c r="K412" s="485" t="s">
        <v>325</v>
      </c>
      <c r="L412" s="350"/>
      <c r="M412" s="351"/>
      <c r="N412" s="491" t="s">
        <v>294</v>
      </c>
      <c r="O412" s="350"/>
      <c r="P412" s="350"/>
      <c r="Q412" s="350"/>
      <c r="R412" s="350"/>
      <c r="S412" s="350"/>
      <c r="T412" s="350"/>
      <c r="U412" s="351"/>
    </row>
    <row r="413" spans="1:21" ht="34.5" customHeight="1">
      <c r="A413" s="24">
        <f t="shared" si="1"/>
        <v>399</v>
      </c>
      <c r="B413" s="488" t="s">
        <v>294</v>
      </c>
      <c r="C413" s="351"/>
      <c r="D413" s="489" t="s">
        <v>294</v>
      </c>
      <c r="E413" s="351"/>
      <c r="F413" s="485" t="s">
        <v>325</v>
      </c>
      <c r="G413" s="351"/>
      <c r="H413" s="487"/>
      <c r="I413" s="350"/>
      <c r="J413" s="351"/>
      <c r="K413" s="485" t="s">
        <v>325</v>
      </c>
      <c r="L413" s="350"/>
      <c r="M413" s="351"/>
      <c r="N413" s="490" t="s">
        <v>294</v>
      </c>
      <c r="O413" s="350"/>
      <c r="P413" s="350"/>
      <c r="Q413" s="350"/>
      <c r="R413" s="350"/>
      <c r="S413" s="350"/>
      <c r="T413" s="350"/>
      <c r="U413" s="351"/>
    </row>
    <row r="414" spans="1:21" ht="34.5" customHeight="1">
      <c r="A414" s="24">
        <f t="shared" si="1"/>
        <v>400</v>
      </c>
      <c r="B414" s="483" t="s">
        <v>294</v>
      </c>
      <c r="C414" s="351"/>
      <c r="D414" s="484" t="s">
        <v>294</v>
      </c>
      <c r="E414" s="351"/>
      <c r="F414" s="485" t="s">
        <v>325</v>
      </c>
      <c r="G414" s="351"/>
      <c r="H414" s="486"/>
      <c r="I414" s="350"/>
      <c r="J414" s="351"/>
      <c r="K414" s="485" t="s">
        <v>325</v>
      </c>
      <c r="L414" s="350"/>
      <c r="M414" s="351"/>
      <c r="N414" s="491" t="s">
        <v>294</v>
      </c>
      <c r="O414" s="350"/>
      <c r="P414" s="350"/>
      <c r="Q414" s="350"/>
      <c r="R414" s="350"/>
      <c r="S414" s="350"/>
      <c r="T414" s="350"/>
      <c r="U414" s="351"/>
    </row>
    <row r="415" spans="1:21" ht="34.5" customHeight="1">
      <c r="A415" s="24">
        <f t="shared" si="1"/>
        <v>401</v>
      </c>
      <c r="B415" s="488" t="s">
        <v>294</v>
      </c>
      <c r="C415" s="351"/>
      <c r="D415" s="489" t="s">
        <v>294</v>
      </c>
      <c r="E415" s="351"/>
      <c r="F415" s="485" t="s">
        <v>325</v>
      </c>
      <c r="G415" s="351"/>
      <c r="H415" s="487"/>
      <c r="I415" s="350"/>
      <c r="J415" s="351"/>
      <c r="K415" s="485" t="s">
        <v>325</v>
      </c>
      <c r="L415" s="350"/>
      <c r="M415" s="351"/>
      <c r="N415" s="490" t="s">
        <v>294</v>
      </c>
      <c r="O415" s="350"/>
      <c r="P415" s="350"/>
      <c r="Q415" s="350"/>
      <c r="R415" s="350"/>
      <c r="S415" s="350"/>
      <c r="T415" s="350"/>
      <c r="U415" s="351"/>
    </row>
    <row r="416" spans="1:21" ht="34.5" customHeight="1">
      <c r="A416" s="24">
        <f t="shared" si="1"/>
        <v>402</v>
      </c>
      <c r="B416" s="483" t="s">
        <v>294</v>
      </c>
      <c r="C416" s="351"/>
      <c r="D416" s="484" t="s">
        <v>294</v>
      </c>
      <c r="E416" s="351"/>
      <c r="F416" s="485" t="s">
        <v>325</v>
      </c>
      <c r="G416" s="351"/>
      <c r="H416" s="486"/>
      <c r="I416" s="350"/>
      <c r="J416" s="351"/>
      <c r="K416" s="485" t="s">
        <v>325</v>
      </c>
      <c r="L416" s="350"/>
      <c r="M416" s="351"/>
      <c r="N416" s="491" t="s">
        <v>294</v>
      </c>
      <c r="O416" s="350"/>
      <c r="P416" s="350"/>
      <c r="Q416" s="350"/>
      <c r="R416" s="350"/>
      <c r="S416" s="350"/>
      <c r="T416" s="350"/>
      <c r="U416" s="351"/>
    </row>
    <row r="417" spans="1:21" ht="34.5" customHeight="1">
      <c r="A417" s="24">
        <f t="shared" si="1"/>
        <v>403</v>
      </c>
      <c r="B417" s="488" t="s">
        <v>294</v>
      </c>
      <c r="C417" s="351"/>
      <c r="D417" s="489" t="s">
        <v>294</v>
      </c>
      <c r="E417" s="351"/>
      <c r="F417" s="485" t="s">
        <v>325</v>
      </c>
      <c r="G417" s="351"/>
      <c r="H417" s="487"/>
      <c r="I417" s="350"/>
      <c r="J417" s="351"/>
      <c r="K417" s="485" t="s">
        <v>325</v>
      </c>
      <c r="L417" s="350"/>
      <c r="M417" s="351"/>
      <c r="N417" s="490" t="s">
        <v>294</v>
      </c>
      <c r="O417" s="350"/>
      <c r="P417" s="350"/>
      <c r="Q417" s="350"/>
      <c r="R417" s="350"/>
      <c r="S417" s="350"/>
      <c r="T417" s="350"/>
      <c r="U417" s="351"/>
    </row>
    <row r="418" spans="1:21" ht="34.5" customHeight="1">
      <c r="A418" s="24">
        <f t="shared" si="1"/>
        <v>404</v>
      </c>
      <c r="B418" s="483" t="s">
        <v>294</v>
      </c>
      <c r="C418" s="351"/>
      <c r="D418" s="484" t="s">
        <v>294</v>
      </c>
      <c r="E418" s="351"/>
      <c r="F418" s="485" t="s">
        <v>325</v>
      </c>
      <c r="G418" s="351"/>
      <c r="H418" s="486"/>
      <c r="I418" s="350"/>
      <c r="J418" s="351"/>
      <c r="K418" s="485" t="s">
        <v>325</v>
      </c>
      <c r="L418" s="350"/>
      <c r="M418" s="351"/>
      <c r="N418" s="491" t="s">
        <v>294</v>
      </c>
      <c r="O418" s="350"/>
      <c r="P418" s="350"/>
      <c r="Q418" s="350"/>
      <c r="R418" s="350"/>
      <c r="S418" s="350"/>
      <c r="T418" s="350"/>
      <c r="U418" s="351"/>
    </row>
    <row r="419" spans="1:21" ht="34.5" customHeight="1">
      <c r="A419" s="24">
        <f t="shared" si="1"/>
        <v>405</v>
      </c>
      <c r="B419" s="488" t="s">
        <v>294</v>
      </c>
      <c r="C419" s="351"/>
      <c r="D419" s="489" t="s">
        <v>294</v>
      </c>
      <c r="E419" s="351"/>
      <c r="F419" s="485" t="s">
        <v>325</v>
      </c>
      <c r="G419" s="351"/>
      <c r="H419" s="487"/>
      <c r="I419" s="350"/>
      <c r="J419" s="351"/>
      <c r="K419" s="485" t="s">
        <v>325</v>
      </c>
      <c r="L419" s="350"/>
      <c r="M419" s="351"/>
      <c r="N419" s="490" t="s">
        <v>294</v>
      </c>
      <c r="O419" s="350"/>
      <c r="P419" s="350"/>
      <c r="Q419" s="350"/>
      <c r="R419" s="350"/>
      <c r="S419" s="350"/>
      <c r="T419" s="350"/>
      <c r="U419" s="351"/>
    </row>
    <row r="420" spans="1:21" ht="34.5" customHeight="1">
      <c r="A420" s="24">
        <f t="shared" si="1"/>
        <v>406</v>
      </c>
      <c r="B420" s="483" t="s">
        <v>294</v>
      </c>
      <c r="C420" s="351"/>
      <c r="D420" s="484" t="s">
        <v>294</v>
      </c>
      <c r="E420" s="351"/>
      <c r="F420" s="485" t="s">
        <v>325</v>
      </c>
      <c r="G420" s="351"/>
      <c r="H420" s="486"/>
      <c r="I420" s="350"/>
      <c r="J420" s="351"/>
      <c r="K420" s="485" t="s">
        <v>325</v>
      </c>
      <c r="L420" s="350"/>
      <c r="M420" s="351"/>
      <c r="N420" s="491" t="s">
        <v>294</v>
      </c>
      <c r="O420" s="350"/>
      <c r="P420" s="350"/>
      <c r="Q420" s="350"/>
      <c r="R420" s="350"/>
      <c r="S420" s="350"/>
      <c r="T420" s="350"/>
      <c r="U420" s="351"/>
    </row>
    <row r="421" spans="1:21" ht="34.5" customHeight="1">
      <c r="A421" s="24">
        <f t="shared" si="1"/>
        <v>407</v>
      </c>
      <c r="B421" s="488" t="s">
        <v>294</v>
      </c>
      <c r="C421" s="351"/>
      <c r="D421" s="489" t="s">
        <v>294</v>
      </c>
      <c r="E421" s="351"/>
      <c r="F421" s="485" t="s">
        <v>325</v>
      </c>
      <c r="G421" s="351"/>
      <c r="H421" s="487"/>
      <c r="I421" s="350"/>
      <c r="J421" s="351"/>
      <c r="K421" s="485" t="s">
        <v>325</v>
      </c>
      <c r="L421" s="350"/>
      <c r="M421" s="351"/>
      <c r="N421" s="490" t="s">
        <v>294</v>
      </c>
      <c r="O421" s="350"/>
      <c r="P421" s="350"/>
      <c r="Q421" s="350"/>
      <c r="R421" s="350"/>
      <c r="S421" s="350"/>
      <c r="T421" s="350"/>
      <c r="U421" s="351"/>
    </row>
    <row r="422" spans="1:21" ht="34.5" customHeight="1">
      <c r="A422" s="24">
        <f t="shared" si="1"/>
        <v>408</v>
      </c>
      <c r="B422" s="483" t="s">
        <v>294</v>
      </c>
      <c r="C422" s="351"/>
      <c r="D422" s="484" t="s">
        <v>294</v>
      </c>
      <c r="E422" s="351"/>
      <c r="F422" s="485" t="s">
        <v>325</v>
      </c>
      <c r="G422" s="351"/>
      <c r="H422" s="486"/>
      <c r="I422" s="350"/>
      <c r="J422" s="351"/>
      <c r="K422" s="485" t="s">
        <v>325</v>
      </c>
      <c r="L422" s="350"/>
      <c r="M422" s="351"/>
      <c r="N422" s="491" t="s">
        <v>294</v>
      </c>
      <c r="O422" s="350"/>
      <c r="P422" s="350"/>
      <c r="Q422" s="350"/>
      <c r="R422" s="350"/>
      <c r="S422" s="350"/>
      <c r="T422" s="350"/>
      <c r="U422" s="351"/>
    </row>
    <row r="423" spans="1:21" ht="34.5" customHeight="1">
      <c r="A423" s="24">
        <f t="shared" si="1"/>
        <v>409</v>
      </c>
      <c r="B423" s="488" t="s">
        <v>294</v>
      </c>
      <c r="C423" s="351"/>
      <c r="D423" s="489" t="s">
        <v>294</v>
      </c>
      <c r="E423" s="351"/>
      <c r="F423" s="485" t="s">
        <v>325</v>
      </c>
      <c r="G423" s="351"/>
      <c r="H423" s="487"/>
      <c r="I423" s="350"/>
      <c r="J423" s="351"/>
      <c r="K423" s="485" t="s">
        <v>325</v>
      </c>
      <c r="L423" s="350"/>
      <c r="M423" s="351"/>
      <c r="N423" s="490" t="s">
        <v>294</v>
      </c>
      <c r="O423" s="350"/>
      <c r="P423" s="350"/>
      <c r="Q423" s="350"/>
      <c r="R423" s="350"/>
      <c r="S423" s="350"/>
      <c r="T423" s="350"/>
      <c r="U423" s="351"/>
    </row>
    <row r="424" spans="1:21" ht="34.5" customHeight="1">
      <c r="A424" s="24">
        <f t="shared" si="1"/>
        <v>410</v>
      </c>
      <c r="B424" s="483" t="s">
        <v>294</v>
      </c>
      <c r="C424" s="351"/>
      <c r="D424" s="484" t="s">
        <v>294</v>
      </c>
      <c r="E424" s="351"/>
      <c r="F424" s="485" t="s">
        <v>325</v>
      </c>
      <c r="G424" s="351"/>
      <c r="H424" s="486"/>
      <c r="I424" s="350"/>
      <c r="J424" s="351"/>
      <c r="K424" s="485" t="s">
        <v>325</v>
      </c>
      <c r="L424" s="350"/>
      <c r="M424" s="351"/>
      <c r="N424" s="491" t="s">
        <v>294</v>
      </c>
      <c r="O424" s="350"/>
      <c r="P424" s="350"/>
      <c r="Q424" s="350"/>
      <c r="R424" s="350"/>
      <c r="S424" s="350"/>
      <c r="T424" s="350"/>
      <c r="U424" s="351"/>
    </row>
    <row r="425" spans="1:21" ht="34.5" customHeight="1">
      <c r="A425" s="24">
        <f t="shared" si="1"/>
        <v>411</v>
      </c>
      <c r="B425" s="488" t="s">
        <v>294</v>
      </c>
      <c r="C425" s="351"/>
      <c r="D425" s="489" t="s">
        <v>294</v>
      </c>
      <c r="E425" s="351"/>
      <c r="F425" s="485" t="s">
        <v>325</v>
      </c>
      <c r="G425" s="351"/>
      <c r="H425" s="487"/>
      <c r="I425" s="350"/>
      <c r="J425" s="351"/>
      <c r="K425" s="485" t="s">
        <v>325</v>
      </c>
      <c r="L425" s="350"/>
      <c r="M425" s="351"/>
      <c r="N425" s="490" t="s">
        <v>294</v>
      </c>
      <c r="O425" s="350"/>
      <c r="P425" s="350"/>
      <c r="Q425" s="350"/>
      <c r="R425" s="350"/>
      <c r="S425" s="350"/>
      <c r="T425" s="350"/>
      <c r="U425" s="351"/>
    </row>
    <row r="426" spans="1:21" ht="34.5" customHeight="1">
      <c r="A426" s="24">
        <f t="shared" si="1"/>
        <v>412</v>
      </c>
      <c r="B426" s="483" t="s">
        <v>294</v>
      </c>
      <c r="C426" s="351"/>
      <c r="D426" s="484" t="s">
        <v>294</v>
      </c>
      <c r="E426" s="351"/>
      <c r="F426" s="485" t="s">
        <v>325</v>
      </c>
      <c r="G426" s="351"/>
      <c r="H426" s="486"/>
      <c r="I426" s="350"/>
      <c r="J426" s="351"/>
      <c r="K426" s="485" t="s">
        <v>325</v>
      </c>
      <c r="L426" s="350"/>
      <c r="M426" s="351"/>
      <c r="N426" s="491" t="s">
        <v>294</v>
      </c>
      <c r="O426" s="350"/>
      <c r="P426" s="350"/>
      <c r="Q426" s="350"/>
      <c r="R426" s="350"/>
      <c r="S426" s="350"/>
      <c r="T426" s="350"/>
      <c r="U426" s="351"/>
    </row>
    <row r="427" spans="1:21" ht="34.5" customHeight="1">
      <c r="A427" s="24">
        <f t="shared" si="1"/>
        <v>413</v>
      </c>
      <c r="B427" s="488" t="s">
        <v>294</v>
      </c>
      <c r="C427" s="351"/>
      <c r="D427" s="489" t="s">
        <v>294</v>
      </c>
      <c r="E427" s="351"/>
      <c r="F427" s="485" t="s">
        <v>325</v>
      </c>
      <c r="G427" s="351"/>
      <c r="H427" s="487"/>
      <c r="I427" s="350"/>
      <c r="J427" s="351"/>
      <c r="K427" s="485" t="s">
        <v>325</v>
      </c>
      <c r="L427" s="350"/>
      <c r="M427" s="351"/>
      <c r="N427" s="490" t="s">
        <v>294</v>
      </c>
      <c r="O427" s="350"/>
      <c r="P427" s="350"/>
      <c r="Q427" s="350"/>
      <c r="R427" s="350"/>
      <c r="S427" s="350"/>
      <c r="T427" s="350"/>
      <c r="U427" s="351"/>
    </row>
    <row r="428" spans="1:21" ht="34.5" customHeight="1">
      <c r="A428" s="24">
        <f t="shared" si="1"/>
        <v>414</v>
      </c>
      <c r="B428" s="483" t="s">
        <v>294</v>
      </c>
      <c r="C428" s="351"/>
      <c r="D428" s="484" t="s">
        <v>294</v>
      </c>
      <c r="E428" s="351"/>
      <c r="F428" s="485" t="s">
        <v>325</v>
      </c>
      <c r="G428" s="351"/>
      <c r="H428" s="486"/>
      <c r="I428" s="350"/>
      <c r="J428" s="351"/>
      <c r="K428" s="485" t="s">
        <v>325</v>
      </c>
      <c r="L428" s="350"/>
      <c r="M428" s="351"/>
      <c r="N428" s="491" t="s">
        <v>294</v>
      </c>
      <c r="O428" s="350"/>
      <c r="P428" s="350"/>
      <c r="Q428" s="350"/>
      <c r="R428" s="350"/>
      <c r="S428" s="350"/>
      <c r="T428" s="350"/>
      <c r="U428" s="351"/>
    </row>
    <row r="429" spans="1:21" ht="34.5" customHeight="1">
      <c r="A429" s="24">
        <f t="shared" si="1"/>
        <v>415</v>
      </c>
      <c r="B429" s="488" t="s">
        <v>294</v>
      </c>
      <c r="C429" s="351"/>
      <c r="D429" s="489" t="s">
        <v>294</v>
      </c>
      <c r="E429" s="351"/>
      <c r="F429" s="485" t="s">
        <v>325</v>
      </c>
      <c r="G429" s="351"/>
      <c r="H429" s="487"/>
      <c r="I429" s="350"/>
      <c r="J429" s="351"/>
      <c r="K429" s="485" t="s">
        <v>325</v>
      </c>
      <c r="L429" s="350"/>
      <c r="M429" s="351"/>
      <c r="N429" s="490" t="s">
        <v>294</v>
      </c>
      <c r="O429" s="350"/>
      <c r="P429" s="350"/>
      <c r="Q429" s="350"/>
      <c r="R429" s="350"/>
      <c r="S429" s="350"/>
      <c r="T429" s="350"/>
      <c r="U429" s="351"/>
    </row>
    <row r="430" spans="1:21" ht="34.5" customHeight="1">
      <c r="A430" s="24">
        <f t="shared" si="1"/>
        <v>416</v>
      </c>
      <c r="B430" s="483" t="s">
        <v>294</v>
      </c>
      <c r="C430" s="351"/>
      <c r="D430" s="484" t="s">
        <v>294</v>
      </c>
      <c r="E430" s="351"/>
      <c r="F430" s="485" t="s">
        <v>325</v>
      </c>
      <c r="G430" s="351"/>
      <c r="H430" s="486"/>
      <c r="I430" s="350"/>
      <c r="J430" s="351"/>
      <c r="K430" s="485" t="s">
        <v>325</v>
      </c>
      <c r="L430" s="350"/>
      <c r="M430" s="351"/>
      <c r="N430" s="491" t="s">
        <v>294</v>
      </c>
      <c r="O430" s="350"/>
      <c r="P430" s="350"/>
      <c r="Q430" s="350"/>
      <c r="R430" s="350"/>
      <c r="S430" s="350"/>
      <c r="T430" s="350"/>
      <c r="U430" s="351"/>
    </row>
    <row r="431" spans="1:21" ht="34.5" customHeight="1">
      <c r="A431" s="24">
        <f t="shared" si="1"/>
        <v>417</v>
      </c>
      <c r="B431" s="488" t="s">
        <v>294</v>
      </c>
      <c r="C431" s="351"/>
      <c r="D431" s="489" t="s">
        <v>294</v>
      </c>
      <c r="E431" s="351"/>
      <c r="F431" s="485" t="s">
        <v>325</v>
      </c>
      <c r="G431" s="351"/>
      <c r="H431" s="487"/>
      <c r="I431" s="350"/>
      <c r="J431" s="351"/>
      <c r="K431" s="485" t="s">
        <v>325</v>
      </c>
      <c r="L431" s="350"/>
      <c r="M431" s="351"/>
      <c r="N431" s="490" t="s">
        <v>294</v>
      </c>
      <c r="O431" s="350"/>
      <c r="P431" s="350"/>
      <c r="Q431" s="350"/>
      <c r="R431" s="350"/>
      <c r="S431" s="350"/>
      <c r="T431" s="350"/>
      <c r="U431" s="351"/>
    </row>
    <row r="432" spans="1:21" ht="34.5" customHeight="1">
      <c r="A432" s="24">
        <f t="shared" si="1"/>
        <v>418</v>
      </c>
      <c r="B432" s="483" t="s">
        <v>294</v>
      </c>
      <c r="C432" s="351"/>
      <c r="D432" s="484" t="s">
        <v>294</v>
      </c>
      <c r="E432" s="351"/>
      <c r="F432" s="485" t="s">
        <v>325</v>
      </c>
      <c r="G432" s="351"/>
      <c r="H432" s="486"/>
      <c r="I432" s="350"/>
      <c r="J432" s="351"/>
      <c r="K432" s="485" t="s">
        <v>325</v>
      </c>
      <c r="L432" s="350"/>
      <c r="M432" s="351"/>
      <c r="N432" s="491" t="s">
        <v>294</v>
      </c>
      <c r="O432" s="350"/>
      <c r="P432" s="350"/>
      <c r="Q432" s="350"/>
      <c r="R432" s="350"/>
      <c r="S432" s="350"/>
      <c r="T432" s="350"/>
      <c r="U432" s="351"/>
    </row>
    <row r="433" spans="1:21" ht="34.5" customHeight="1">
      <c r="A433" s="24">
        <f t="shared" si="1"/>
        <v>419</v>
      </c>
      <c r="B433" s="488" t="s">
        <v>294</v>
      </c>
      <c r="C433" s="351"/>
      <c r="D433" s="489" t="s">
        <v>294</v>
      </c>
      <c r="E433" s="351"/>
      <c r="F433" s="485" t="s">
        <v>325</v>
      </c>
      <c r="G433" s="351"/>
      <c r="H433" s="487"/>
      <c r="I433" s="350"/>
      <c r="J433" s="351"/>
      <c r="K433" s="485" t="s">
        <v>325</v>
      </c>
      <c r="L433" s="350"/>
      <c r="M433" s="351"/>
      <c r="N433" s="490" t="s">
        <v>294</v>
      </c>
      <c r="O433" s="350"/>
      <c r="P433" s="350"/>
      <c r="Q433" s="350"/>
      <c r="R433" s="350"/>
      <c r="S433" s="350"/>
      <c r="T433" s="350"/>
      <c r="U433" s="351"/>
    </row>
    <row r="434" spans="1:21" ht="34.5" customHeight="1">
      <c r="A434" s="24">
        <f t="shared" si="1"/>
        <v>420</v>
      </c>
      <c r="B434" s="483" t="s">
        <v>294</v>
      </c>
      <c r="C434" s="351"/>
      <c r="D434" s="484" t="s">
        <v>294</v>
      </c>
      <c r="E434" s="351"/>
      <c r="F434" s="485" t="s">
        <v>325</v>
      </c>
      <c r="G434" s="351"/>
      <c r="H434" s="486"/>
      <c r="I434" s="350"/>
      <c r="J434" s="351"/>
      <c r="K434" s="485" t="s">
        <v>325</v>
      </c>
      <c r="L434" s="350"/>
      <c r="M434" s="351"/>
      <c r="N434" s="491" t="s">
        <v>294</v>
      </c>
      <c r="O434" s="350"/>
      <c r="P434" s="350"/>
      <c r="Q434" s="350"/>
      <c r="R434" s="350"/>
      <c r="S434" s="350"/>
      <c r="T434" s="350"/>
      <c r="U434" s="351"/>
    </row>
    <row r="435" spans="1:21" ht="34.5" customHeight="1">
      <c r="A435" s="24">
        <f t="shared" si="1"/>
        <v>421</v>
      </c>
      <c r="B435" s="488" t="s">
        <v>294</v>
      </c>
      <c r="C435" s="351"/>
      <c r="D435" s="489" t="s">
        <v>294</v>
      </c>
      <c r="E435" s="351"/>
      <c r="F435" s="485" t="s">
        <v>325</v>
      </c>
      <c r="G435" s="351"/>
      <c r="H435" s="487"/>
      <c r="I435" s="350"/>
      <c r="J435" s="351"/>
      <c r="K435" s="485" t="s">
        <v>325</v>
      </c>
      <c r="L435" s="350"/>
      <c r="M435" s="351"/>
      <c r="N435" s="490" t="s">
        <v>294</v>
      </c>
      <c r="O435" s="350"/>
      <c r="P435" s="350"/>
      <c r="Q435" s="350"/>
      <c r="R435" s="350"/>
      <c r="S435" s="350"/>
      <c r="T435" s="350"/>
      <c r="U435" s="351"/>
    </row>
    <row r="436" spans="1:21" ht="34.5" customHeight="1">
      <c r="A436" s="24">
        <f t="shared" si="1"/>
        <v>422</v>
      </c>
      <c r="B436" s="483" t="s">
        <v>294</v>
      </c>
      <c r="C436" s="351"/>
      <c r="D436" s="484" t="s">
        <v>294</v>
      </c>
      <c r="E436" s="351"/>
      <c r="F436" s="485" t="s">
        <v>325</v>
      </c>
      <c r="G436" s="351"/>
      <c r="H436" s="486"/>
      <c r="I436" s="350"/>
      <c r="J436" s="351"/>
      <c r="K436" s="485" t="s">
        <v>325</v>
      </c>
      <c r="L436" s="350"/>
      <c r="M436" s="351"/>
      <c r="N436" s="491" t="s">
        <v>294</v>
      </c>
      <c r="O436" s="350"/>
      <c r="P436" s="350"/>
      <c r="Q436" s="350"/>
      <c r="R436" s="350"/>
      <c r="S436" s="350"/>
      <c r="T436" s="350"/>
      <c r="U436" s="351"/>
    </row>
    <row r="437" spans="1:21" ht="34.5" customHeight="1">
      <c r="A437" s="24">
        <f t="shared" si="1"/>
        <v>423</v>
      </c>
      <c r="B437" s="488" t="s">
        <v>294</v>
      </c>
      <c r="C437" s="351"/>
      <c r="D437" s="489" t="s">
        <v>294</v>
      </c>
      <c r="E437" s="351"/>
      <c r="F437" s="485" t="s">
        <v>325</v>
      </c>
      <c r="G437" s="351"/>
      <c r="H437" s="487"/>
      <c r="I437" s="350"/>
      <c r="J437" s="351"/>
      <c r="K437" s="485" t="s">
        <v>325</v>
      </c>
      <c r="L437" s="350"/>
      <c r="M437" s="351"/>
      <c r="N437" s="490" t="s">
        <v>294</v>
      </c>
      <c r="O437" s="350"/>
      <c r="P437" s="350"/>
      <c r="Q437" s="350"/>
      <c r="R437" s="350"/>
      <c r="S437" s="350"/>
      <c r="T437" s="350"/>
      <c r="U437" s="351"/>
    </row>
    <row r="438" spans="1:21" ht="34.5" customHeight="1">
      <c r="A438" s="24">
        <f t="shared" si="1"/>
        <v>424</v>
      </c>
      <c r="B438" s="483" t="s">
        <v>294</v>
      </c>
      <c r="C438" s="351"/>
      <c r="D438" s="484" t="s">
        <v>294</v>
      </c>
      <c r="E438" s="351"/>
      <c r="F438" s="485" t="s">
        <v>325</v>
      </c>
      <c r="G438" s="351"/>
      <c r="H438" s="486"/>
      <c r="I438" s="350"/>
      <c r="J438" s="351"/>
      <c r="K438" s="485" t="s">
        <v>325</v>
      </c>
      <c r="L438" s="350"/>
      <c r="M438" s="351"/>
      <c r="N438" s="491" t="s">
        <v>294</v>
      </c>
      <c r="O438" s="350"/>
      <c r="P438" s="350"/>
      <c r="Q438" s="350"/>
      <c r="R438" s="350"/>
      <c r="S438" s="350"/>
      <c r="T438" s="350"/>
      <c r="U438" s="351"/>
    </row>
    <row r="439" spans="1:21" ht="34.5" customHeight="1">
      <c r="A439" s="24">
        <f t="shared" si="1"/>
        <v>425</v>
      </c>
      <c r="B439" s="488" t="s">
        <v>294</v>
      </c>
      <c r="C439" s="351"/>
      <c r="D439" s="489" t="s">
        <v>294</v>
      </c>
      <c r="E439" s="351"/>
      <c r="F439" s="485" t="s">
        <v>325</v>
      </c>
      <c r="G439" s="351"/>
      <c r="H439" s="487"/>
      <c r="I439" s="350"/>
      <c r="J439" s="351"/>
      <c r="K439" s="485" t="s">
        <v>325</v>
      </c>
      <c r="L439" s="350"/>
      <c r="M439" s="351"/>
      <c r="N439" s="490" t="s">
        <v>294</v>
      </c>
      <c r="O439" s="350"/>
      <c r="P439" s="350"/>
      <c r="Q439" s="350"/>
      <c r="R439" s="350"/>
      <c r="S439" s="350"/>
      <c r="T439" s="350"/>
      <c r="U439" s="351"/>
    </row>
    <row r="440" spans="1:21" ht="34.5" customHeight="1">
      <c r="A440" s="24">
        <f t="shared" si="1"/>
        <v>426</v>
      </c>
      <c r="B440" s="483" t="s">
        <v>294</v>
      </c>
      <c r="C440" s="351"/>
      <c r="D440" s="484" t="s">
        <v>294</v>
      </c>
      <c r="E440" s="351"/>
      <c r="F440" s="485" t="s">
        <v>325</v>
      </c>
      <c r="G440" s="351"/>
      <c r="H440" s="486"/>
      <c r="I440" s="350"/>
      <c r="J440" s="351"/>
      <c r="K440" s="485" t="s">
        <v>325</v>
      </c>
      <c r="L440" s="350"/>
      <c r="M440" s="351"/>
      <c r="N440" s="491" t="s">
        <v>294</v>
      </c>
      <c r="O440" s="350"/>
      <c r="P440" s="350"/>
      <c r="Q440" s="350"/>
      <c r="R440" s="350"/>
      <c r="S440" s="350"/>
      <c r="T440" s="350"/>
      <c r="U440" s="351"/>
    </row>
    <row r="441" spans="1:21" ht="34.5" customHeight="1">
      <c r="A441" s="24">
        <f t="shared" si="1"/>
        <v>427</v>
      </c>
      <c r="B441" s="488" t="s">
        <v>294</v>
      </c>
      <c r="C441" s="351"/>
      <c r="D441" s="489" t="s">
        <v>294</v>
      </c>
      <c r="E441" s="351"/>
      <c r="F441" s="485" t="s">
        <v>325</v>
      </c>
      <c r="G441" s="351"/>
      <c r="H441" s="487"/>
      <c r="I441" s="350"/>
      <c r="J441" s="351"/>
      <c r="K441" s="485" t="s">
        <v>325</v>
      </c>
      <c r="L441" s="350"/>
      <c r="M441" s="351"/>
      <c r="N441" s="490" t="s">
        <v>294</v>
      </c>
      <c r="O441" s="350"/>
      <c r="P441" s="350"/>
      <c r="Q441" s="350"/>
      <c r="R441" s="350"/>
      <c r="S441" s="350"/>
      <c r="T441" s="350"/>
      <c r="U441" s="351"/>
    </row>
    <row r="442" spans="1:21" ht="34.5" customHeight="1">
      <c r="A442" s="24">
        <f t="shared" si="1"/>
        <v>428</v>
      </c>
      <c r="B442" s="483" t="s">
        <v>294</v>
      </c>
      <c r="C442" s="351"/>
      <c r="D442" s="484" t="s">
        <v>294</v>
      </c>
      <c r="E442" s="351"/>
      <c r="F442" s="485" t="s">
        <v>325</v>
      </c>
      <c r="G442" s="351"/>
      <c r="H442" s="486"/>
      <c r="I442" s="350"/>
      <c r="J442" s="351"/>
      <c r="K442" s="485" t="s">
        <v>325</v>
      </c>
      <c r="L442" s="350"/>
      <c r="M442" s="351"/>
      <c r="N442" s="491" t="s">
        <v>294</v>
      </c>
      <c r="O442" s="350"/>
      <c r="P442" s="350"/>
      <c r="Q442" s="350"/>
      <c r="R442" s="350"/>
      <c r="S442" s="350"/>
      <c r="T442" s="350"/>
      <c r="U442" s="351"/>
    </row>
    <row r="443" spans="1:21" ht="34.5" customHeight="1">
      <c r="A443" s="24">
        <f t="shared" si="1"/>
        <v>429</v>
      </c>
      <c r="B443" s="488" t="s">
        <v>294</v>
      </c>
      <c r="C443" s="351"/>
      <c r="D443" s="489" t="s">
        <v>294</v>
      </c>
      <c r="E443" s="351"/>
      <c r="F443" s="485" t="s">
        <v>325</v>
      </c>
      <c r="G443" s="351"/>
      <c r="H443" s="487"/>
      <c r="I443" s="350"/>
      <c r="J443" s="351"/>
      <c r="K443" s="485" t="s">
        <v>325</v>
      </c>
      <c r="L443" s="350"/>
      <c r="M443" s="351"/>
      <c r="N443" s="490" t="s">
        <v>294</v>
      </c>
      <c r="O443" s="350"/>
      <c r="P443" s="350"/>
      <c r="Q443" s="350"/>
      <c r="R443" s="350"/>
      <c r="S443" s="350"/>
      <c r="T443" s="350"/>
      <c r="U443" s="351"/>
    </row>
    <row r="444" spans="1:21" ht="34.5" customHeight="1">
      <c r="A444" s="24">
        <f t="shared" si="1"/>
        <v>430</v>
      </c>
      <c r="B444" s="483" t="s">
        <v>294</v>
      </c>
      <c r="C444" s="351"/>
      <c r="D444" s="484" t="s">
        <v>294</v>
      </c>
      <c r="E444" s="351"/>
      <c r="F444" s="485" t="s">
        <v>325</v>
      </c>
      <c r="G444" s="351"/>
      <c r="H444" s="486"/>
      <c r="I444" s="350"/>
      <c r="J444" s="351"/>
      <c r="K444" s="485" t="s">
        <v>325</v>
      </c>
      <c r="L444" s="350"/>
      <c r="M444" s="351"/>
      <c r="N444" s="491" t="s">
        <v>294</v>
      </c>
      <c r="O444" s="350"/>
      <c r="P444" s="350"/>
      <c r="Q444" s="350"/>
      <c r="R444" s="350"/>
      <c r="S444" s="350"/>
      <c r="T444" s="350"/>
      <c r="U444" s="351"/>
    </row>
    <row r="445" spans="1:21" ht="34.5" customHeight="1">
      <c r="A445" s="24">
        <f t="shared" si="1"/>
        <v>431</v>
      </c>
      <c r="B445" s="488" t="s">
        <v>294</v>
      </c>
      <c r="C445" s="351"/>
      <c r="D445" s="489" t="s">
        <v>294</v>
      </c>
      <c r="E445" s="351"/>
      <c r="F445" s="485" t="s">
        <v>325</v>
      </c>
      <c r="G445" s="351"/>
      <c r="H445" s="487"/>
      <c r="I445" s="350"/>
      <c r="J445" s="351"/>
      <c r="K445" s="485" t="s">
        <v>325</v>
      </c>
      <c r="L445" s="350"/>
      <c r="M445" s="351"/>
      <c r="N445" s="490" t="s">
        <v>294</v>
      </c>
      <c r="O445" s="350"/>
      <c r="P445" s="350"/>
      <c r="Q445" s="350"/>
      <c r="R445" s="350"/>
      <c r="S445" s="350"/>
      <c r="T445" s="350"/>
      <c r="U445" s="351"/>
    </row>
    <row r="446" spans="1:21" ht="34.5" customHeight="1">
      <c r="A446" s="24">
        <f t="shared" si="1"/>
        <v>432</v>
      </c>
      <c r="B446" s="483" t="s">
        <v>294</v>
      </c>
      <c r="C446" s="351"/>
      <c r="D446" s="484" t="s">
        <v>294</v>
      </c>
      <c r="E446" s="351"/>
      <c r="F446" s="485" t="s">
        <v>325</v>
      </c>
      <c r="G446" s="351"/>
      <c r="H446" s="486"/>
      <c r="I446" s="350"/>
      <c r="J446" s="351"/>
      <c r="K446" s="485" t="s">
        <v>325</v>
      </c>
      <c r="L446" s="350"/>
      <c r="M446" s="351"/>
      <c r="N446" s="491" t="s">
        <v>294</v>
      </c>
      <c r="O446" s="350"/>
      <c r="P446" s="350"/>
      <c r="Q446" s="350"/>
      <c r="R446" s="350"/>
      <c r="S446" s="350"/>
      <c r="T446" s="350"/>
      <c r="U446" s="351"/>
    </row>
    <row r="447" spans="1:21" ht="34.5" customHeight="1">
      <c r="A447" s="24">
        <f t="shared" si="1"/>
        <v>433</v>
      </c>
      <c r="B447" s="488" t="s">
        <v>294</v>
      </c>
      <c r="C447" s="351"/>
      <c r="D447" s="489" t="s">
        <v>294</v>
      </c>
      <c r="E447" s="351"/>
      <c r="F447" s="485" t="s">
        <v>325</v>
      </c>
      <c r="G447" s="351"/>
      <c r="H447" s="487"/>
      <c r="I447" s="350"/>
      <c r="J447" s="351"/>
      <c r="K447" s="485" t="s">
        <v>325</v>
      </c>
      <c r="L447" s="350"/>
      <c r="M447" s="351"/>
      <c r="N447" s="490" t="s">
        <v>294</v>
      </c>
      <c r="O447" s="350"/>
      <c r="P447" s="350"/>
      <c r="Q447" s="350"/>
      <c r="R447" s="350"/>
      <c r="S447" s="350"/>
      <c r="T447" s="350"/>
      <c r="U447" s="351"/>
    </row>
    <row r="448" spans="1:21" ht="34.5" customHeight="1">
      <c r="A448" s="24">
        <f t="shared" si="1"/>
        <v>434</v>
      </c>
      <c r="B448" s="483" t="s">
        <v>294</v>
      </c>
      <c r="C448" s="351"/>
      <c r="D448" s="484" t="s">
        <v>294</v>
      </c>
      <c r="E448" s="351"/>
      <c r="F448" s="485" t="s">
        <v>325</v>
      </c>
      <c r="G448" s="351"/>
      <c r="H448" s="486"/>
      <c r="I448" s="350"/>
      <c r="J448" s="351"/>
      <c r="K448" s="485" t="s">
        <v>325</v>
      </c>
      <c r="L448" s="350"/>
      <c r="M448" s="351"/>
      <c r="N448" s="491" t="s">
        <v>294</v>
      </c>
      <c r="O448" s="350"/>
      <c r="P448" s="350"/>
      <c r="Q448" s="350"/>
      <c r="R448" s="350"/>
      <c r="S448" s="350"/>
      <c r="T448" s="350"/>
      <c r="U448" s="351"/>
    </row>
    <row r="449" spans="1:21" ht="34.5" customHeight="1">
      <c r="A449" s="24">
        <f t="shared" si="1"/>
        <v>435</v>
      </c>
      <c r="B449" s="488" t="s">
        <v>294</v>
      </c>
      <c r="C449" s="351"/>
      <c r="D449" s="489" t="s">
        <v>294</v>
      </c>
      <c r="E449" s="351"/>
      <c r="F449" s="485" t="s">
        <v>325</v>
      </c>
      <c r="G449" s="351"/>
      <c r="H449" s="487"/>
      <c r="I449" s="350"/>
      <c r="J449" s="351"/>
      <c r="K449" s="485" t="s">
        <v>325</v>
      </c>
      <c r="L449" s="350"/>
      <c r="M449" s="351"/>
      <c r="N449" s="490" t="s">
        <v>294</v>
      </c>
      <c r="O449" s="350"/>
      <c r="P449" s="350"/>
      <c r="Q449" s="350"/>
      <c r="R449" s="350"/>
      <c r="S449" s="350"/>
      <c r="T449" s="350"/>
      <c r="U449" s="351"/>
    </row>
    <row r="450" spans="1:21" ht="34.5" customHeight="1">
      <c r="A450" s="24">
        <f t="shared" si="1"/>
        <v>436</v>
      </c>
      <c r="B450" s="483" t="s">
        <v>294</v>
      </c>
      <c r="C450" s="351"/>
      <c r="D450" s="484" t="s">
        <v>294</v>
      </c>
      <c r="E450" s="351"/>
      <c r="F450" s="485" t="s">
        <v>325</v>
      </c>
      <c r="G450" s="351"/>
      <c r="H450" s="486"/>
      <c r="I450" s="350"/>
      <c r="J450" s="351"/>
      <c r="K450" s="485" t="s">
        <v>325</v>
      </c>
      <c r="L450" s="350"/>
      <c r="M450" s="351"/>
      <c r="N450" s="491" t="s">
        <v>294</v>
      </c>
      <c r="O450" s="350"/>
      <c r="P450" s="350"/>
      <c r="Q450" s="350"/>
      <c r="R450" s="350"/>
      <c r="S450" s="350"/>
      <c r="T450" s="350"/>
      <c r="U450" s="351"/>
    </row>
    <row r="451" spans="1:21" ht="34.5" customHeight="1">
      <c r="A451" s="24">
        <f t="shared" si="1"/>
        <v>437</v>
      </c>
      <c r="B451" s="488" t="s">
        <v>294</v>
      </c>
      <c r="C451" s="351"/>
      <c r="D451" s="489" t="s">
        <v>294</v>
      </c>
      <c r="E451" s="351"/>
      <c r="F451" s="485" t="s">
        <v>325</v>
      </c>
      <c r="G451" s="351"/>
      <c r="H451" s="487"/>
      <c r="I451" s="350"/>
      <c r="J451" s="351"/>
      <c r="K451" s="485" t="s">
        <v>325</v>
      </c>
      <c r="L451" s="350"/>
      <c r="M451" s="351"/>
      <c r="N451" s="490" t="s">
        <v>294</v>
      </c>
      <c r="O451" s="350"/>
      <c r="P451" s="350"/>
      <c r="Q451" s="350"/>
      <c r="R451" s="350"/>
      <c r="S451" s="350"/>
      <c r="T451" s="350"/>
      <c r="U451" s="351"/>
    </row>
    <row r="452" spans="1:21" ht="34.5" customHeight="1">
      <c r="A452" s="24">
        <f t="shared" si="1"/>
        <v>438</v>
      </c>
      <c r="B452" s="483" t="s">
        <v>294</v>
      </c>
      <c r="C452" s="351"/>
      <c r="D452" s="484" t="s">
        <v>294</v>
      </c>
      <c r="E452" s="351"/>
      <c r="F452" s="485" t="s">
        <v>325</v>
      </c>
      <c r="G452" s="351"/>
      <c r="H452" s="486"/>
      <c r="I452" s="350"/>
      <c r="J452" s="351"/>
      <c r="K452" s="485" t="s">
        <v>325</v>
      </c>
      <c r="L452" s="350"/>
      <c r="M452" s="351"/>
      <c r="N452" s="491" t="s">
        <v>294</v>
      </c>
      <c r="O452" s="350"/>
      <c r="P452" s="350"/>
      <c r="Q452" s="350"/>
      <c r="R452" s="350"/>
      <c r="S452" s="350"/>
      <c r="T452" s="350"/>
      <c r="U452" s="351"/>
    </row>
    <row r="453" spans="1:21" ht="34.5" customHeight="1">
      <c r="A453" s="24">
        <f t="shared" si="1"/>
        <v>439</v>
      </c>
      <c r="B453" s="488" t="s">
        <v>294</v>
      </c>
      <c r="C453" s="351"/>
      <c r="D453" s="489" t="s">
        <v>294</v>
      </c>
      <c r="E453" s="351"/>
      <c r="F453" s="485" t="s">
        <v>325</v>
      </c>
      <c r="G453" s="351"/>
      <c r="H453" s="487"/>
      <c r="I453" s="350"/>
      <c r="J453" s="351"/>
      <c r="K453" s="485" t="s">
        <v>325</v>
      </c>
      <c r="L453" s="350"/>
      <c r="M453" s="351"/>
      <c r="N453" s="490" t="s">
        <v>294</v>
      </c>
      <c r="O453" s="350"/>
      <c r="P453" s="350"/>
      <c r="Q453" s="350"/>
      <c r="R453" s="350"/>
      <c r="S453" s="350"/>
      <c r="T453" s="350"/>
      <c r="U453" s="351"/>
    </row>
    <row r="454" spans="1:21" ht="34.5" customHeight="1">
      <c r="A454" s="24">
        <f t="shared" si="1"/>
        <v>440</v>
      </c>
      <c r="B454" s="483" t="s">
        <v>294</v>
      </c>
      <c r="C454" s="351"/>
      <c r="D454" s="484" t="s">
        <v>294</v>
      </c>
      <c r="E454" s="351"/>
      <c r="F454" s="485" t="s">
        <v>325</v>
      </c>
      <c r="G454" s="351"/>
      <c r="H454" s="486"/>
      <c r="I454" s="350"/>
      <c r="J454" s="351"/>
      <c r="K454" s="485" t="s">
        <v>325</v>
      </c>
      <c r="L454" s="350"/>
      <c r="M454" s="351"/>
      <c r="N454" s="491" t="s">
        <v>294</v>
      </c>
      <c r="O454" s="350"/>
      <c r="P454" s="350"/>
      <c r="Q454" s="350"/>
      <c r="R454" s="350"/>
      <c r="S454" s="350"/>
      <c r="T454" s="350"/>
      <c r="U454" s="351"/>
    </row>
    <row r="455" spans="1:21" ht="34.5" customHeight="1">
      <c r="A455" s="24">
        <f t="shared" si="1"/>
        <v>441</v>
      </c>
      <c r="B455" s="488" t="s">
        <v>294</v>
      </c>
      <c r="C455" s="351"/>
      <c r="D455" s="489" t="s">
        <v>294</v>
      </c>
      <c r="E455" s="351"/>
      <c r="F455" s="485" t="s">
        <v>325</v>
      </c>
      <c r="G455" s="351"/>
      <c r="H455" s="487"/>
      <c r="I455" s="350"/>
      <c r="J455" s="351"/>
      <c r="K455" s="485" t="s">
        <v>325</v>
      </c>
      <c r="L455" s="350"/>
      <c r="M455" s="351"/>
      <c r="N455" s="490" t="s">
        <v>294</v>
      </c>
      <c r="O455" s="350"/>
      <c r="P455" s="350"/>
      <c r="Q455" s="350"/>
      <c r="R455" s="350"/>
      <c r="S455" s="350"/>
      <c r="T455" s="350"/>
      <c r="U455" s="351"/>
    </row>
    <row r="456" spans="1:21" ht="34.5" customHeight="1">
      <c r="A456" s="24">
        <f t="shared" si="1"/>
        <v>442</v>
      </c>
      <c r="B456" s="483" t="s">
        <v>294</v>
      </c>
      <c r="C456" s="351"/>
      <c r="D456" s="484" t="s">
        <v>294</v>
      </c>
      <c r="E456" s="351"/>
      <c r="F456" s="485" t="s">
        <v>325</v>
      </c>
      <c r="G456" s="351"/>
      <c r="H456" s="486"/>
      <c r="I456" s="350"/>
      <c r="J456" s="351"/>
      <c r="K456" s="485" t="s">
        <v>325</v>
      </c>
      <c r="L456" s="350"/>
      <c r="M456" s="351"/>
      <c r="N456" s="491" t="s">
        <v>294</v>
      </c>
      <c r="O456" s="350"/>
      <c r="P456" s="350"/>
      <c r="Q456" s="350"/>
      <c r="R456" s="350"/>
      <c r="S456" s="350"/>
      <c r="T456" s="350"/>
      <c r="U456" s="351"/>
    </row>
    <row r="457" spans="1:21" ht="34.5" customHeight="1">
      <c r="A457" s="24">
        <f t="shared" si="1"/>
        <v>443</v>
      </c>
      <c r="B457" s="488" t="s">
        <v>294</v>
      </c>
      <c r="C457" s="351"/>
      <c r="D457" s="489" t="s">
        <v>294</v>
      </c>
      <c r="E457" s="351"/>
      <c r="F457" s="485" t="s">
        <v>325</v>
      </c>
      <c r="G457" s="351"/>
      <c r="H457" s="487"/>
      <c r="I457" s="350"/>
      <c r="J457" s="351"/>
      <c r="K457" s="485" t="s">
        <v>325</v>
      </c>
      <c r="L457" s="350"/>
      <c r="M457" s="351"/>
      <c r="N457" s="490" t="s">
        <v>294</v>
      </c>
      <c r="O457" s="350"/>
      <c r="P457" s="350"/>
      <c r="Q457" s="350"/>
      <c r="R457" s="350"/>
      <c r="S457" s="350"/>
      <c r="T457" s="350"/>
      <c r="U457" s="351"/>
    </row>
    <row r="458" spans="1:21" ht="34.5" customHeight="1">
      <c r="A458" s="24">
        <f t="shared" si="1"/>
        <v>444</v>
      </c>
      <c r="B458" s="483" t="s">
        <v>294</v>
      </c>
      <c r="C458" s="351"/>
      <c r="D458" s="484" t="s">
        <v>294</v>
      </c>
      <c r="E458" s="351"/>
      <c r="F458" s="485" t="s">
        <v>325</v>
      </c>
      <c r="G458" s="351"/>
      <c r="H458" s="486"/>
      <c r="I458" s="350"/>
      <c r="J458" s="351"/>
      <c r="K458" s="485" t="s">
        <v>325</v>
      </c>
      <c r="L458" s="350"/>
      <c r="M458" s="351"/>
      <c r="N458" s="491" t="s">
        <v>294</v>
      </c>
      <c r="O458" s="350"/>
      <c r="P458" s="350"/>
      <c r="Q458" s="350"/>
      <c r="R458" s="350"/>
      <c r="S458" s="350"/>
      <c r="T458" s="350"/>
      <c r="U458" s="351"/>
    </row>
    <row r="459" spans="1:21" ht="34.5" customHeight="1">
      <c r="A459" s="24">
        <f t="shared" si="1"/>
        <v>445</v>
      </c>
      <c r="B459" s="488" t="s">
        <v>294</v>
      </c>
      <c r="C459" s="351"/>
      <c r="D459" s="489" t="s">
        <v>294</v>
      </c>
      <c r="E459" s="351"/>
      <c r="F459" s="485" t="s">
        <v>325</v>
      </c>
      <c r="G459" s="351"/>
      <c r="H459" s="487"/>
      <c r="I459" s="350"/>
      <c r="J459" s="351"/>
      <c r="K459" s="485" t="s">
        <v>325</v>
      </c>
      <c r="L459" s="350"/>
      <c r="M459" s="351"/>
      <c r="N459" s="490" t="s">
        <v>294</v>
      </c>
      <c r="O459" s="350"/>
      <c r="P459" s="350"/>
      <c r="Q459" s="350"/>
      <c r="R459" s="350"/>
      <c r="S459" s="350"/>
      <c r="T459" s="350"/>
      <c r="U459" s="351"/>
    </row>
    <row r="460" spans="1:21" ht="34.5" customHeight="1">
      <c r="A460" s="24">
        <f t="shared" si="1"/>
        <v>446</v>
      </c>
      <c r="B460" s="483" t="s">
        <v>294</v>
      </c>
      <c r="C460" s="351"/>
      <c r="D460" s="484" t="s">
        <v>294</v>
      </c>
      <c r="E460" s="351"/>
      <c r="F460" s="485" t="s">
        <v>325</v>
      </c>
      <c r="G460" s="351"/>
      <c r="H460" s="486"/>
      <c r="I460" s="350"/>
      <c r="J460" s="351"/>
      <c r="K460" s="485" t="s">
        <v>325</v>
      </c>
      <c r="L460" s="350"/>
      <c r="M460" s="351"/>
      <c r="N460" s="491" t="s">
        <v>294</v>
      </c>
      <c r="O460" s="350"/>
      <c r="P460" s="350"/>
      <c r="Q460" s="350"/>
      <c r="R460" s="350"/>
      <c r="S460" s="350"/>
      <c r="T460" s="350"/>
      <c r="U460" s="351"/>
    </row>
    <row r="461" spans="1:21" ht="34.5" customHeight="1">
      <c r="A461" s="24">
        <f t="shared" si="1"/>
        <v>447</v>
      </c>
      <c r="B461" s="488" t="s">
        <v>294</v>
      </c>
      <c r="C461" s="351"/>
      <c r="D461" s="489" t="s">
        <v>294</v>
      </c>
      <c r="E461" s="351"/>
      <c r="F461" s="485" t="s">
        <v>325</v>
      </c>
      <c r="G461" s="351"/>
      <c r="H461" s="487"/>
      <c r="I461" s="350"/>
      <c r="J461" s="351"/>
      <c r="K461" s="485" t="s">
        <v>325</v>
      </c>
      <c r="L461" s="350"/>
      <c r="M461" s="351"/>
      <c r="N461" s="490" t="s">
        <v>294</v>
      </c>
      <c r="O461" s="350"/>
      <c r="P461" s="350"/>
      <c r="Q461" s="350"/>
      <c r="R461" s="350"/>
      <c r="S461" s="350"/>
      <c r="T461" s="350"/>
      <c r="U461" s="351"/>
    </row>
    <row r="462" spans="1:21" ht="34.5" customHeight="1">
      <c r="A462" s="24">
        <f t="shared" si="1"/>
        <v>448</v>
      </c>
      <c r="B462" s="483" t="s">
        <v>294</v>
      </c>
      <c r="C462" s="351"/>
      <c r="D462" s="484" t="s">
        <v>294</v>
      </c>
      <c r="E462" s="351"/>
      <c r="F462" s="485" t="s">
        <v>325</v>
      </c>
      <c r="G462" s="351"/>
      <c r="H462" s="486"/>
      <c r="I462" s="350"/>
      <c r="J462" s="351"/>
      <c r="K462" s="485" t="s">
        <v>325</v>
      </c>
      <c r="L462" s="350"/>
      <c r="M462" s="351"/>
      <c r="N462" s="491" t="s">
        <v>294</v>
      </c>
      <c r="O462" s="350"/>
      <c r="P462" s="350"/>
      <c r="Q462" s="350"/>
      <c r="R462" s="350"/>
      <c r="S462" s="350"/>
      <c r="T462" s="350"/>
      <c r="U462" s="351"/>
    </row>
    <row r="463" spans="1:21" ht="34.5" customHeight="1">
      <c r="A463" s="24">
        <f t="shared" si="1"/>
        <v>449</v>
      </c>
      <c r="B463" s="488" t="s">
        <v>294</v>
      </c>
      <c r="C463" s="351"/>
      <c r="D463" s="489" t="s">
        <v>294</v>
      </c>
      <c r="E463" s="351"/>
      <c r="F463" s="485" t="s">
        <v>325</v>
      </c>
      <c r="G463" s="351"/>
      <c r="H463" s="487"/>
      <c r="I463" s="350"/>
      <c r="J463" s="351"/>
      <c r="K463" s="485" t="s">
        <v>325</v>
      </c>
      <c r="L463" s="350"/>
      <c r="M463" s="351"/>
      <c r="N463" s="490" t="s">
        <v>294</v>
      </c>
      <c r="O463" s="350"/>
      <c r="P463" s="350"/>
      <c r="Q463" s="350"/>
      <c r="R463" s="350"/>
      <c r="S463" s="350"/>
      <c r="T463" s="350"/>
      <c r="U463" s="351"/>
    </row>
    <row r="464" spans="1:21" ht="34.5" customHeight="1">
      <c r="A464" s="24">
        <f t="shared" si="1"/>
        <v>450</v>
      </c>
      <c r="B464" s="483" t="s">
        <v>294</v>
      </c>
      <c r="C464" s="351"/>
      <c r="D464" s="484" t="s">
        <v>294</v>
      </c>
      <c r="E464" s="351"/>
      <c r="F464" s="485" t="s">
        <v>325</v>
      </c>
      <c r="G464" s="351"/>
      <c r="H464" s="486"/>
      <c r="I464" s="350"/>
      <c r="J464" s="351"/>
      <c r="K464" s="485" t="s">
        <v>325</v>
      </c>
      <c r="L464" s="350"/>
      <c r="M464" s="351"/>
      <c r="N464" s="491" t="s">
        <v>294</v>
      </c>
      <c r="O464" s="350"/>
      <c r="P464" s="350"/>
      <c r="Q464" s="350"/>
      <c r="R464" s="350"/>
      <c r="S464" s="350"/>
      <c r="T464" s="350"/>
      <c r="U464" s="351"/>
    </row>
    <row r="465" spans="1:21" ht="34.5" customHeight="1">
      <c r="A465" s="24">
        <f t="shared" si="1"/>
        <v>451</v>
      </c>
      <c r="B465" s="488" t="s">
        <v>294</v>
      </c>
      <c r="C465" s="351"/>
      <c r="D465" s="489" t="s">
        <v>294</v>
      </c>
      <c r="E465" s="351"/>
      <c r="F465" s="485" t="s">
        <v>325</v>
      </c>
      <c r="G465" s="351"/>
      <c r="H465" s="487"/>
      <c r="I465" s="350"/>
      <c r="J465" s="351"/>
      <c r="K465" s="485" t="s">
        <v>325</v>
      </c>
      <c r="L465" s="350"/>
      <c r="M465" s="351"/>
      <c r="N465" s="490" t="s">
        <v>294</v>
      </c>
      <c r="O465" s="350"/>
      <c r="P465" s="350"/>
      <c r="Q465" s="350"/>
      <c r="R465" s="350"/>
      <c r="S465" s="350"/>
      <c r="T465" s="350"/>
      <c r="U465" s="351"/>
    </row>
    <row r="466" spans="1:21" ht="34.5" customHeight="1">
      <c r="A466" s="24">
        <f t="shared" si="1"/>
        <v>452</v>
      </c>
      <c r="B466" s="483" t="s">
        <v>294</v>
      </c>
      <c r="C466" s="351"/>
      <c r="D466" s="484" t="s">
        <v>294</v>
      </c>
      <c r="E466" s="351"/>
      <c r="F466" s="485" t="s">
        <v>325</v>
      </c>
      <c r="G466" s="351"/>
      <c r="H466" s="486"/>
      <c r="I466" s="350"/>
      <c r="J466" s="351"/>
      <c r="K466" s="485" t="s">
        <v>325</v>
      </c>
      <c r="L466" s="350"/>
      <c r="M466" s="351"/>
      <c r="N466" s="491" t="s">
        <v>294</v>
      </c>
      <c r="O466" s="350"/>
      <c r="P466" s="350"/>
      <c r="Q466" s="350"/>
      <c r="R466" s="350"/>
      <c r="S466" s="350"/>
      <c r="T466" s="350"/>
      <c r="U466" s="351"/>
    </row>
    <row r="467" spans="1:21" ht="34.5" customHeight="1">
      <c r="A467" s="24">
        <f t="shared" si="1"/>
        <v>453</v>
      </c>
      <c r="B467" s="488" t="s">
        <v>294</v>
      </c>
      <c r="C467" s="351"/>
      <c r="D467" s="489" t="s">
        <v>294</v>
      </c>
      <c r="E467" s="351"/>
      <c r="F467" s="485" t="s">
        <v>325</v>
      </c>
      <c r="G467" s="351"/>
      <c r="H467" s="487"/>
      <c r="I467" s="350"/>
      <c r="J467" s="351"/>
      <c r="K467" s="485" t="s">
        <v>325</v>
      </c>
      <c r="L467" s="350"/>
      <c r="M467" s="351"/>
      <c r="N467" s="490" t="s">
        <v>294</v>
      </c>
      <c r="O467" s="350"/>
      <c r="P467" s="350"/>
      <c r="Q467" s="350"/>
      <c r="R467" s="350"/>
      <c r="S467" s="350"/>
      <c r="T467" s="350"/>
      <c r="U467" s="351"/>
    </row>
    <row r="468" spans="1:21" ht="34.5" customHeight="1">
      <c r="A468" s="24">
        <f t="shared" si="1"/>
        <v>454</v>
      </c>
      <c r="B468" s="483" t="s">
        <v>294</v>
      </c>
      <c r="C468" s="351"/>
      <c r="D468" s="484" t="s">
        <v>294</v>
      </c>
      <c r="E468" s="351"/>
      <c r="F468" s="485" t="s">
        <v>325</v>
      </c>
      <c r="G468" s="351"/>
      <c r="H468" s="486"/>
      <c r="I468" s="350"/>
      <c r="J468" s="351"/>
      <c r="K468" s="485" t="s">
        <v>325</v>
      </c>
      <c r="L468" s="350"/>
      <c r="M468" s="351"/>
      <c r="N468" s="491" t="s">
        <v>294</v>
      </c>
      <c r="O468" s="350"/>
      <c r="P468" s="350"/>
      <c r="Q468" s="350"/>
      <c r="R468" s="350"/>
      <c r="S468" s="350"/>
      <c r="T468" s="350"/>
      <c r="U468" s="351"/>
    </row>
    <row r="469" spans="1:21" ht="34.5" customHeight="1">
      <c r="A469" s="24">
        <f t="shared" si="1"/>
        <v>455</v>
      </c>
      <c r="B469" s="488" t="s">
        <v>326</v>
      </c>
      <c r="C469" s="351"/>
      <c r="D469" s="489" t="s">
        <v>294</v>
      </c>
      <c r="E469" s="351"/>
      <c r="F469" s="485" t="s">
        <v>325</v>
      </c>
      <c r="G469" s="351"/>
      <c r="H469" s="487"/>
      <c r="I469" s="350"/>
      <c r="J469" s="351"/>
      <c r="K469" s="485" t="s">
        <v>325</v>
      </c>
      <c r="L469" s="350"/>
      <c r="M469" s="351"/>
      <c r="N469" s="490" t="s">
        <v>294</v>
      </c>
      <c r="O469" s="350"/>
      <c r="P469" s="350"/>
      <c r="Q469" s="350"/>
      <c r="R469" s="350"/>
      <c r="S469" s="350"/>
      <c r="T469" s="350"/>
      <c r="U469" s="351"/>
    </row>
    <row r="470" spans="1:21" ht="34.5" customHeight="1">
      <c r="A470" s="24">
        <f t="shared" si="1"/>
        <v>456</v>
      </c>
      <c r="B470" s="483" t="s">
        <v>294</v>
      </c>
      <c r="C470" s="351"/>
      <c r="D470" s="484" t="s">
        <v>294</v>
      </c>
      <c r="E470" s="351"/>
      <c r="F470" s="485" t="s">
        <v>325</v>
      </c>
      <c r="G470" s="351"/>
      <c r="H470" s="486"/>
      <c r="I470" s="350"/>
      <c r="J470" s="351"/>
      <c r="K470" s="485" t="s">
        <v>325</v>
      </c>
      <c r="L470" s="350"/>
      <c r="M470" s="351"/>
      <c r="N470" s="491" t="s">
        <v>294</v>
      </c>
      <c r="O470" s="350"/>
      <c r="P470" s="350"/>
      <c r="Q470" s="350"/>
      <c r="R470" s="350"/>
      <c r="S470" s="350"/>
      <c r="T470" s="350"/>
      <c r="U470" s="351"/>
    </row>
    <row r="471" spans="1:21" ht="34.5" customHeight="1">
      <c r="A471" s="24">
        <f t="shared" si="1"/>
        <v>457</v>
      </c>
      <c r="B471" s="488" t="s">
        <v>294</v>
      </c>
      <c r="C471" s="351"/>
      <c r="D471" s="489" t="s">
        <v>294</v>
      </c>
      <c r="E471" s="351"/>
      <c r="F471" s="485" t="s">
        <v>325</v>
      </c>
      <c r="G471" s="351"/>
      <c r="H471" s="487"/>
      <c r="I471" s="350"/>
      <c r="J471" s="351"/>
      <c r="K471" s="485" t="s">
        <v>325</v>
      </c>
      <c r="L471" s="350"/>
      <c r="M471" s="351"/>
      <c r="N471" s="490" t="s">
        <v>294</v>
      </c>
      <c r="O471" s="350"/>
      <c r="P471" s="350"/>
      <c r="Q471" s="350"/>
      <c r="R471" s="350"/>
      <c r="S471" s="350"/>
      <c r="T471" s="350"/>
      <c r="U471" s="351"/>
    </row>
    <row r="472" spans="1:21" ht="34.5" customHeight="1">
      <c r="A472" s="24">
        <f t="shared" si="1"/>
        <v>458</v>
      </c>
      <c r="B472" s="483" t="s">
        <v>294</v>
      </c>
      <c r="C472" s="351"/>
      <c r="D472" s="484" t="s">
        <v>294</v>
      </c>
      <c r="E472" s="351"/>
      <c r="F472" s="485" t="s">
        <v>325</v>
      </c>
      <c r="G472" s="351"/>
      <c r="H472" s="486"/>
      <c r="I472" s="350"/>
      <c r="J472" s="351"/>
      <c r="K472" s="485" t="s">
        <v>325</v>
      </c>
      <c r="L472" s="350"/>
      <c r="M472" s="351"/>
      <c r="N472" s="491" t="s">
        <v>294</v>
      </c>
      <c r="O472" s="350"/>
      <c r="P472" s="350"/>
      <c r="Q472" s="350"/>
      <c r="R472" s="350"/>
      <c r="S472" s="350"/>
      <c r="T472" s="350"/>
      <c r="U472" s="351"/>
    </row>
    <row r="473" spans="1:21" ht="34.5" customHeight="1">
      <c r="A473" s="24">
        <f t="shared" si="1"/>
        <v>459</v>
      </c>
      <c r="B473" s="488" t="s">
        <v>294</v>
      </c>
      <c r="C473" s="351"/>
      <c r="D473" s="489" t="s">
        <v>294</v>
      </c>
      <c r="E473" s="351"/>
      <c r="F473" s="485" t="s">
        <v>325</v>
      </c>
      <c r="G473" s="351"/>
      <c r="H473" s="487"/>
      <c r="I473" s="350"/>
      <c r="J473" s="351"/>
      <c r="K473" s="485" t="s">
        <v>325</v>
      </c>
      <c r="L473" s="350"/>
      <c r="M473" s="351"/>
      <c r="N473" s="490" t="s">
        <v>294</v>
      </c>
      <c r="O473" s="350"/>
      <c r="P473" s="350"/>
      <c r="Q473" s="350"/>
      <c r="R473" s="350"/>
      <c r="S473" s="350"/>
      <c r="T473" s="350"/>
      <c r="U473" s="351"/>
    </row>
    <row r="474" spans="1:21" ht="34.5" customHeight="1">
      <c r="A474" s="24">
        <f t="shared" si="1"/>
        <v>460</v>
      </c>
      <c r="B474" s="483" t="s">
        <v>294</v>
      </c>
      <c r="C474" s="351"/>
      <c r="D474" s="484" t="s">
        <v>294</v>
      </c>
      <c r="E474" s="351"/>
      <c r="F474" s="485" t="s">
        <v>325</v>
      </c>
      <c r="G474" s="351"/>
      <c r="H474" s="486"/>
      <c r="I474" s="350"/>
      <c r="J474" s="351"/>
      <c r="K474" s="485" t="s">
        <v>325</v>
      </c>
      <c r="L474" s="350"/>
      <c r="M474" s="351"/>
      <c r="N474" s="491" t="s">
        <v>294</v>
      </c>
      <c r="O474" s="350"/>
      <c r="P474" s="350"/>
      <c r="Q474" s="350"/>
      <c r="R474" s="350"/>
      <c r="S474" s="350"/>
      <c r="T474" s="350"/>
      <c r="U474" s="351"/>
    </row>
    <row r="475" spans="1:21" ht="34.5" customHeight="1">
      <c r="A475" s="24">
        <f t="shared" si="1"/>
        <v>461</v>
      </c>
      <c r="B475" s="488" t="s">
        <v>327</v>
      </c>
      <c r="C475" s="351"/>
      <c r="D475" s="489" t="s">
        <v>294</v>
      </c>
      <c r="E475" s="351"/>
      <c r="F475" s="485" t="s">
        <v>325</v>
      </c>
      <c r="G475" s="351"/>
      <c r="H475" s="487"/>
      <c r="I475" s="350"/>
      <c r="J475" s="351"/>
      <c r="K475" s="485" t="s">
        <v>325</v>
      </c>
      <c r="L475" s="350"/>
      <c r="M475" s="351"/>
      <c r="N475" s="490" t="s">
        <v>294</v>
      </c>
      <c r="O475" s="350"/>
      <c r="P475" s="350"/>
      <c r="Q475" s="350"/>
      <c r="R475" s="350"/>
      <c r="S475" s="350"/>
      <c r="T475" s="350"/>
      <c r="U475" s="351"/>
    </row>
    <row r="476" spans="1:21" ht="34.5" customHeight="1">
      <c r="A476" s="24">
        <f t="shared" si="1"/>
        <v>462</v>
      </c>
      <c r="B476" s="483" t="s">
        <v>294</v>
      </c>
      <c r="C476" s="351"/>
      <c r="D476" s="484" t="s">
        <v>294</v>
      </c>
      <c r="E476" s="351"/>
      <c r="F476" s="485" t="s">
        <v>325</v>
      </c>
      <c r="G476" s="351"/>
      <c r="H476" s="486"/>
      <c r="I476" s="350"/>
      <c r="J476" s="351"/>
      <c r="K476" s="485" t="s">
        <v>325</v>
      </c>
      <c r="L476" s="350"/>
      <c r="M476" s="351"/>
      <c r="N476" s="491" t="s">
        <v>294</v>
      </c>
      <c r="O476" s="350"/>
      <c r="P476" s="350"/>
      <c r="Q476" s="350"/>
      <c r="R476" s="350"/>
      <c r="S476" s="350"/>
      <c r="T476" s="350"/>
      <c r="U476" s="351"/>
    </row>
    <row r="477" spans="1:21" ht="34.5" customHeight="1">
      <c r="A477" s="24">
        <f t="shared" si="1"/>
        <v>463</v>
      </c>
      <c r="B477" s="488" t="s">
        <v>294</v>
      </c>
      <c r="C477" s="351"/>
      <c r="D477" s="489" t="s">
        <v>294</v>
      </c>
      <c r="E477" s="351"/>
      <c r="F477" s="485" t="s">
        <v>325</v>
      </c>
      <c r="G477" s="351"/>
      <c r="H477" s="487"/>
      <c r="I477" s="350"/>
      <c r="J477" s="351"/>
      <c r="K477" s="485" t="s">
        <v>325</v>
      </c>
      <c r="L477" s="350"/>
      <c r="M477" s="351"/>
      <c r="N477" s="490" t="s">
        <v>294</v>
      </c>
      <c r="O477" s="350"/>
      <c r="P477" s="350"/>
      <c r="Q477" s="350"/>
      <c r="R477" s="350"/>
      <c r="S477" s="350"/>
      <c r="T477" s="350"/>
      <c r="U477" s="351"/>
    </row>
    <row r="478" spans="1:21" ht="34.5" customHeight="1">
      <c r="A478" s="24">
        <f t="shared" si="1"/>
        <v>464</v>
      </c>
      <c r="B478" s="483" t="s">
        <v>294</v>
      </c>
      <c r="C478" s="351"/>
      <c r="D478" s="484" t="s">
        <v>294</v>
      </c>
      <c r="E478" s="351"/>
      <c r="F478" s="485" t="s">
        <v>325</v>
      </c>
      <c r="G478" s="351"/>
      <c r="H478" s="486"/>
      <c r="I478" s="350"/>
      <c r="J478" s="351"/>
      <c r="K478" s="485" t="s">
        <v>325</v>
      </c>
      <c r="L478" s="350"/>
      <c r="M478" s="351"/>
      <c r="N478" s="491" t="s">
        <v>294</v>
      </c>
      <c r="O478" s="350"/>
      <c r="P478" s="350"/>
      <c r="Q478" s="350"/>
      <c r="R478" s="350"/>
      <c r="S478" s="350"/>
      <c r="T478" s="350"/>
      <c r="U478" s="351"/>
    </row>
    <row r="479" spans="1:21" ht="34.5" customHeight="1">
      <c r="A479" s="24">
        <f t="shared" si="1"/>
        <v>465</v>
      </c>
      <c r="B479" s="488" t="s">
        <v>294</v>
      </c>
      <c r="C479" s="351"/>
      <c r="D479" s="489" t="s">
        <v>294</v>
      </c>
      <c r="E479" s="351"/>
      <c r="F479" s="485" t="s">
        <v>325</v>
      </c>
      <c r="G479" s="351"/>
      <c r="H479" s="487"/>
      <c r="I479" s="350"/>
      <c r="J479" s="351"/>
      <c r="K479" s="485" t="s">
        <v>325</v>
      </c>
      <c r="L479" s="350"/>
      <c r="M479" s="351"/>
      <c r="N479" s="490" t="s">
        <v>294</v>
      </c>
      <c r="O479" s="350"/>
      <c r="P479" s="350"/>
      <c r="Q479" s="350"/>
      <c r="R479" s="350"/>
      <c r="S479" s="350"/>
      <c r="T479" s="350"/>
      <c r="U479" s="351"/>
    </row>
    <row r="480" spans="1:21" ht="34.5" customHeight="1">
      <c r="A480" s="24">
        <f t="shared" si="1"/>
        <v>466</v>
      </c>
      <c r="B480" s="483" t="s">
        <v>294</v>
      </c>
      <c r="C480" s="351"/>
      <c r="D480" s="484" t="s">
        <v>294</v>
      </c>
      <c r="E480" s="351"/>
      <c r="F480" s="485" t="s">
        <v>325</v>
      </c>
      <c r="G480" s="351"/>
      <c r="H480" s="486"/>
      <c r="I480" s="350"/>
      <c r="J480" s="351"/>
      <c r="K480" s="485" t="s">
        <v>325</v>
      </c>
      <c r="L480" s="350"/>
      <c r="M480" s="351"/>
      <c r="N480" s="491" t="s">
        <v>294</v>
      </c>
      <c r="O480" s="350"/>
      <c r="P480" s="350"/>
      <c r="Q480" s="350"/>
      <c r="R480" s="350"/>
      <c r="S480" s="350"/>
      <c r="T480" s="350"/>
      <c r="U480" s="351"/>
    </row>
    <row r="481" spans="1:21" ht="34.5" customHeight="1">
      <c r="A481" s="24">
        <f t="shared" si="1"/>
        <v>467</v>
      </c>
      <c r="B481" s="488" t="s">
        <v>294</v>
      </c>
      <c r="C481" s="351"/>
      <c r="D481" s="489" t="s">
        <v>294</v>
      </c>
      <c r="E481" s="351"/>
      <c r="F481" s="485" t="s">
        <v>325</v>
      </c>
      <c r="G481" s="351"/>
      <c r="H481" s="487"/>
      <c r="I481" s="350"/>
      <c r="J481" s="351"/>
      <c r="K481" s="485" t="s">
        <v>325</v>
      </c>
      <c r="L481" s="350"/>
      <c r="M481" s="351"/>
      <c r="N481" s="490" t="s">
        <v>294</v>
      </c>
      <c r="O481" s="350"/>
      <c r="P481" s="350"/>
      <c r="Q481" s="350"/>
      <c r="R481" s="350"/>
      <c r="S481" s="350"/>
      <c r="T481" s="350"/>
      <c r="U481" s="351"/>
    </row>
    <row r="482" spans="1:21" ht="34.5" customHeight="1">
      <c r="A482" s="24">
        <f t="shared" si="1"/>
        <v>468</v>
      </c>
      <c r="B482" s="483" t="s">
        <v>294</v>
      </c>
      <c r="C482" s="351"/>
      <c r="D482" s="484" t="s">
        <v>294</v>
      </c>
      <c r="E482" s="351"/>
      <c r="F482" s="485" t="s">
        <v>325</v>
      </c>
      <c r="G482" s="351"/>
      <c r="H482" s="486"/>
      <c r="I482" s="350"/>
      <c r="J482" s="351"/>
      <c r="K482" s="485" t="s">
        <v>325</v>
      </c>
      <c r="L482" s="350"/>
      <c r="M482" s="351"/>
      <c r="N482" s="491" t="s">
        <v>294</v>
      </c>
      <c r="O482" s="350"/>
      <c r="P482" s="350"/>
      <c r="Q482" s="350"/>
      <c r="R482" s="350"/>
      <c r="S482" s="350"/>
      <c r="T482" s="350"/>
      <c r="U482" s="351"/>
    </row>
    <row r="483" spans="1:21" ht="34.5" customHeight="1">
      <c r="A483" s="24">
        <f t="shared" si="1"/>
        <v>469</v>
      </c>
      <c r="B483" s="488" t="s">
        <v>294</v>
      </c>
      <c r="C483" s="351"/>
      <c r="D483" s="489" t="s">
        <v>294</v>
      </c>
      <c r="E483" s="351"/>
      <c r="F483" s="485" t="s">
        <v>325</v>
      </c>
      <c r="G483" s="351"/>
      <c r="H483" s="487"/>
      <c r="I483" s="350"/>
      <c r="J483" s="351"/>
      <c r="K483" s="485" t="s">
        <v>325</v>
      </c>
      <c r="L483" s="350"/>
      <c r="M483" s="351"/>
      <c r="N483" s="490" t="s">
        <v>294</v>
      </c>
      <c r="O483" s="350"/>
      <c r="P483" s="350"/>
      <c r="Q483" s="350"/>
      <c r="R483" s="350"/>
      <c r="S483" s="350"/>
      <c r="T483" s="350"/>
      <c r="U483" s="351"/>
    </row>
    <row r="484" spans="1:21" ht="34.5" customHeight="1">
      <c r="A484" s="24">
        <f t="shared" si="1"/>
        <v>470</v>
      </c>
      <c r="B484" s="483" t="s">
        <v>294</v>
      </c>
      <c r="C484" s="351"/>
      <c r="D484" s="484" t="s">
        <v>294</v>
      </c>
      <c r="E484" s="351"/>
      <c r="F484" s="485" t="s">
        <v>325</v>
      </c>
      <c r="G484" s="351"/>
      <c r="H484" s="486"/>
      <c r="I484" s="350"/>
      <c r="J484" s="351"/>
      <c r="K484" s="485" t="s">
        <v>325</v>
      </c>
      <c r="L484" s="350"/>
      <c r="M484" s="351"/>
      <c r="N484" s="491" t="s">
        <v>294</v>
      </c>
      <c r="O484" s="350"/>
      <c r="P484" s="350"/>
      <c r="Q484" s="350"/>
      <c r="R484" s="350"/>
      <c r="S484" s="350"/>
      <c r="T484" s="350"/>
      <c r="U484" s="351"/>
    </row>
    <row r="485" spans="1:21" ht="34.5" customHeight="1">
      <c r="A485" s="24">
        <f t="shared" si="1"/>
        <v>471</v>
      </c>
      <c r="B485" s="488" t="s">
        <v>294</v>
      </c>
      <c r="C485" s="351"/>
      <c r="D485" s="489" t="s">
        <v>294</v>
      </c>
      <c r="E485" s="351"/>
      <c r="F485" s="485" t="s">
        <v>325</v>
      </c>
      <c r="G485" s="351"/>
      <c r="H485" s="487"/>
      <c r="I485" s="350"/>
      <c r="J485" s="351"/>
      <c r="K485" s="485" t="s">
        <v>325</v>
      </c>
      <c r="L485" s="350"/>
      <c r="M485" s="351"/>
      <c r="N485" s="490" t="s">
        <v>294</v>
      </c>
      <c r="O485" s="350"/>
      <c r="P485" s="350"/>
      <c r="Q485" s="350"/>
      <c r="R485" s="350"/>
      <c r="S485" s="350"/>
      <c r="T485" s="350"/>
      <c r="U485" s="351"/>
    </row>
    <row r="486" spans="1:21" ht="34.5" customHeight="1">
      <c r="A486" s="24">
        <f t="shared" si="1"/>
        <v>472</v>
      </c>
      <c r="B486" s="483" t="s">
        <v>294</v>
      </c>
      <c r="C486" s="351"/>
      <c r="D486" s="484" t="s">
        <v>294</v>
      </c>
      <c r="E486" s="351"/>
      <c r="F486" s="485" t="s">
        <v>325</v>
      </c>
      <c r="G486" s="351"/>
      <c r="H486" s="486"/>
      <c r="I486" s="350"/>
      <c r="J486" s="351"/>
      <c r="K486" s="485" t="s">
        <v>325</v>
      </c>
      <c r="L486" s="350"/>
      <c r="M486" s="351"/>
      <c r="N486" s="491" t="s">
        <v>294</v>
      </c>
      <c r="O486" s="350"/>
      <c r="P486" s="350"/>
      <c r="Q486" s="350"/>
      <c r="R486" s="350"/>
      <c r="S486" s="350"/>
      <c r="T486" s="350"/>
      <c r="U486" s="351"/>
    </row>
    <row r="487" spans="1:21" ht="34.5" customHeight="1">
      <c r="A487" s="24">
        <f t="shared" si="1"/>
        <v>473</v>
      </c>
      <c r="B487" s="488" t="s">
        <v>294</v>
      </c>
      <c r="C487" s="351"/>
      <c r="D487" s="489" t="s">
        <v>294</v>
      </c>
      <c r="E487" s="351"/>
      <c r="F487" s="485" t="s">
        <v>325</v>
      </c>
      <c r="G487" s="351"/>
      <c r="H487" s="487"/>
      <c r="I487" s="350"/>
      <c r="J487" s="351"/>
      <c r="K487" s="485" t="s">
        <v>325</v>
      </c>
      <c r="L487" s="350"/>
      <c r="M487" s="351"/>
      <c r="N487" s="490" t="s">
        <v>294</v>
      </c>
      <c r="O487" s="350"/>
      <c r="P487" s="350"/>
      <c r="Q487" s="350"/>
      <c r="R487" s="350"/>
      <c r="S487" s="350"/>
      <c r="T487" s="350"/>
      <c r="U487" s="351"/>
    </row>
    <row r="488" spans="1:21" ht="34.5" customHeight="1">
      <c r="A488" s="24">
        <f t="shared" si="1"/>
        <v>474</v>
      </c>
      <c r="B488" s="483" t="s">
        <v>328</v>
      </c>
      <c r="C488" s="351"/>
      <c r="D488" s="484" t="s">
        <v>294</v>
      </c>
      <c r="E488" s="351"/>
      <c r="F488" s="485" t="s">
        <v>325</v>
      </c>
      <c r="G488" s="351"/>
      <c r="H488" s="486"/>
      <c r="I488" s="350"/>
      <c r="J488" s="351"/>
      <c r="K488" s="485" t="s">
        <v>325</v>
      </c>
      <c r="L488" s="350"/>
      <c r="M488" s="351"/>
      <c r="N488" s="491" t="s">
        <v>294</v>
      </c>
      <c r="O488" s="350"/>
      <c r="P488" s="350"/>
      <c r="Q488" s="350"/>
      <c r="R488" s="350"/>
      <c r="S488" s="350"/>
      <c r="T488" s="350"/>
      <c r="U488" s="351"/>
    </row>
    <row r="489" spans="1:21" ht="34.5" customHeight="1">
      <c r="A489" s="24">
        <f t="shared" si="1"/>
        <v>475</v>
      </c>
      <c r="B489" s="488" t="s">
        <v>294</v>
      </c>
      <c r="C489" s="351"/>
      <c r="D489" s="489" t="s">
        <v>294</v>
      </c>
      <c r="E489" s="351"/>
      <c r="F489" s="485" t="s">
        <v>325</v>
      </c>
      <c r="G489" s="351"/>
      <c r="H489" s="487"/>
      <c r="I489" s="350"/>
      <c r="J489" s="351"/>
      <c r="K489" s="485" t="s">
        <v>325</v>
      </c>
      <c r="L489" s="350"/>
      <c r="M489" s="351"/>
      <c r="N489" s="490" t="s">
        <v>294</v>
      </c>
      <c r="O489" s="350"/>
      <c r="P489" s="350"/>
      <c r="Q489" s="350"/>
      <c r="R489" s="350"/>
      <c r="S489" s="350"/>
      <c r="T489" s="350"/>
      <c r="U489" s="351"/>
    </row>
    <row r="490" spans="1:21" ht="34.5" customHeight="1">
      <c r="A490" s="24">
        <f t="shared" si="1"/>
        <v>476</v>
      </c>
      <c r="B490" s="483" t="s">
        <v>294</v>
      </c>
      <c r="C490" s="351"/>
      <c r="D490" s="484" t="s">
        <v>294</v>
      </c>
      <c r="E490" s="351"/>
      <c r="F490" s="485" t="s">
        <v>325</v>
      </c>
      <c r="G490" s="351"/>
      <c r="H490" s="486"/>
      <c r="I490" s="350"/>
      <c r="J490" s="351"/>
      <c r="K490" s="485" t="s">
        <v>325</v>
      </c>
      <c r="L490" s="350"/>
      <c r="M490" s="351"/>
      <c r="N490" s="491" t="s">
        <v>294</v>
      </c>
      <c r="O490" s="350"/>
      <c r="P490" s="350"/>
      <c r="Q490" s="350"/>
      <c r="R490" s="350"/>
      <c r="S490" s="350"/>
      <c r="T490" s="350"/>
      <c r="U490" s="351"/>
    </row>
    <row r="491" spans="1:21" ht="34.5" customHeight="1">
      <c r="A491" s="24">
        <f t="shared" si="1"/>
        <v>477</v>
      </c>
      <c r="B491" s="488" t="s">
        <v>294</v>
      </c>
      <c r="C491" s="351"/>
      <c r="D491" s="489" t="s">
        <v>294</v>
      </c>
      <c r="E491" s="351"/>
      <c r="F491" s="485" t="s">
        <v>325</v>
      </c>
      <c r="G491" s="351"/>
      <c r="H491" s="487"/>
      <c r="I491" s="350"/>
      <c r="J491" s="351"/>
      <c r="K491" s="485" t="s">
        <v>325</v>
      </c>
      <c r="L491" s="350"/>
      <c r="M491" s="351"/>
      <c r="N491" s="490" t="s">
        <v>294</v>
      </c>
      <c r="O491" s="350"/>
      <c r="P491" s="350"/>
      <c r="Q491" s="350"/>
      <c r="R491" s="350"/>
      <c r="S491" s="350"/>
      <c r="T491" s="350"/>
      <c r="U491" s="351"/>
    </row>
    <row r="492" spans="1:21" ht="34.5" customHeight="1">
      <c r="A492" s="24">
        <f t="shared" si="1"/>
        <v>478</v>
      </c>
      <c r="B492" s="483" t="s">
        <v>294</v>
      </c>
      <c r="C492" s="351"/>
      <c r="D492" s="484" t="s">
        <v>294</v>
      </c>
      <c r="E492" s="351"/>
      <c r="F492" s="485" t="s">
        <v>325</v>
      </c>
      <c r="G492" s="351"/>
      <c r="H492" s="486"/>
      <c r="I492" s="350"/>
      <c r="J492" s="351"/>
      <c r="K492" s="485" t="s">
        <v>325</v>
      </c>
      <c r="L492" s="350"/>
      <c r="M492" s="351"/>
      <c r="N492" s="491" t="s">
        <v>294</v>
      </c>
      <c r="O492" s="350"/>
      <c r="P492" s="350"/>
      <c r="Q492" s="350"/>
      <c r="R492" s="350"/>
      <c r="S492" s="350"/>
      <c r="T492" s="350"/>
      <c r="U492" s="351"/>
    </row>
    <row r="493" spans="1:21" ht="34.5" customHeight="1">
      <c r="A493" s="24">
        <f t="shared" si="1"/>
        <v>479</v>
      </c>
      <c r="B493" s="488" t="s">
        <v>294</v>
      </c>
      <c r="C493" s="351"/>
      <c r="D493" s="489" t="s">
        <v>294</v>
      </c>
      <c r="E493" s="351"/>
      <c r="F493" s="485" t="s">
        <v>325</v>
      </c>
      <c r="G493" s="351"/>
      <c r="H493" s="487"/>
      <c r="I493" s="350"/>
      <c r="J493" s="351"/>
      <c r="K493" s="485" t="s">
        <v>325</v>
      </c>
      <c r="L493" s="350"/>
      <c r="M493" s="351"/>
      <c r="N493" s="490" t="s">
        <v>294</v>
      </c>
      <c r="O493" s="350"/>
      <c r="P493" s="350"/>
      <c r="Q493" s="350"/>
      <c r="R493" s="350"/>
      <c r="S493" s="350"/>
      <c r="T493" s="350"/>
      <c r="U493" s="351"/>
    </row>
    <row r="494" spans="1:21" ht="34.5" customHeight="1">
      <c r="A494" s="24">
        <f t="shared" si="1"/>
        <v>480</v>
      </c>
      <c r="B494" s="483" t="s">
        <v>294</v>
      </c>
      <c r="C494" s="351"/>
      <c r="D494" s="484" t="s">
        <v>294</v>
      </c>
      <c r="E494" s="351"/>
      <c r="F494" s="485" t="s">
        <v>325</v>
      </c>
      <c r="G494" s="351"/>
      <c r="H494" s="486"/>
      <c r="I494" s="350"/>
      <c r="J494" s="351"/>
      <c r="K494" s="485" t="s">
        <v>325</v>
      </c>
      <c r="L494" s="350"/>
      <c r="M494" s="351"/>
      <c r="N494" s="491" t="s">
        <v>294</v>
      </c>
      <c r="O494" s="350"/>
      <c r="P494" s="350"/>
      <c r="Q494" s="350"/>
      <c r="R494" s="350"/>
      <c r="S494" s="350"/>
      <c r="T494" s="350"/>
      <c r="U494" s="351"/>
    </row>
    <row r="495" spans="1:21" ht="34.5" customHeight="1">
      <c r="A495" s="24">
        <f t="shared" si="1"/>
        <v>481</v>
      </c>
      <c r="B495" s="488" t="s">
        <v>294</v>
      </c>
      <c r="C495" s="351"/>
      <c r="D495" s="489" t="s">
        <v>294</v>
      </c>
      <c r="E495" s="351"/>
      <c r="F495" s="485" t="s">
        <v>325</v>
      </c>
      <c r="G495" s="351"/>
      <c r="H495" s="487"/>
      <c r="I495" s="350"/>
      <c r="J495" s="351"/>
      <c r="K495" s="485" t="s">
        <v>325</v>
      </c>
      <c r="L495" s="350"/>
      <c r="M495" s="351"/>
      <c r="N495" s="490" t="s">
        <v>294</v>
      </c>
      <c r="O495" s="350"/>
      <c r="P495" s="350"/>
      <c r="Q495" s="350"/>
      <c r="R495" s="350"/>
      <c r="S495" s="350"/>
      <c r="T495" s="350"/>
      <c r="U495" s="351"/>
    </row>
    <row r="496" spans="1:21" ht="34.5" customHeight="1">
      <c r="A496" s="24">
        <f t="shared" si="1"/>
        <v>482</v>
      </c>
      <c r="B496" s="483" t="s">
        <v>294</v>
      </c>
      <c r="C496" s="351"/>
      <c r="D496" s="484" t="s">
        <v>294</v>
      </c>
      <c r="E496" s="351"/>
      <c r="F496" s="485" t="s">
        <v>325</v>
      </c>
      <c r="G496" s="351"/>
      <c r="H496" s="486"/>
      <c r="I496" s="350"/>
      <c r="J496" s="351"/>
      <c r="K496" s="485" t="s">
        <v>325</v>
      </c>
      <c r="L496" s="350"/>
      <c r="M496" s="351"/>
      <c r="N496" s="491" t="s">
        <v>294</v>
      </c>
      <c r="O496" s="350"/>
      <c r="P496" s="350"/>
      <c r="Q496" s="350"/>
      <c r="R496" s="350"/>
      <c r="S496" s="350"/>
      <c r="T496" s="350"/>
      <c r="U496" s="351"/>
    </row>
    <row r="497" spans="1:21" ht="34.5" customHeight="1">
      <c r="A497" s="24">
        <f t="shared" si="1"/>
        <v>483</v>
      </c>
      <c r="B497" s="488" t="s">
        <v>326</v>
      </c>
      <c r="C497" s="351"/>
      <c r="D497" s="489" t="s">
        <v>294</v>
      </c>
      <c r="E497" s="351"/>
      <c r="F497" s="485" t="s">
        <v>325</v>
      </c>
      <c r="G497" s="351"/>
      <c r="H497" s="487"/>
      <c r="I497" s="350"/>
      <c r="J497" s="351"/>
      <c r="K497" s="485" t="s">
        <v>325</v>
      </c>
      <c r="L497" s="350"/>
      <c r="M497" s="351"/>
      <c r="N497" s="490" t="s">
        <v>294</v>
      </c>
      <c r="O497" s="350"/>
      <c r="P497" s="350"/>
      <c r="Q497" s="350"/>
      <c r="R497" s="350"/>
      <c r="S497" s="350"/>
      <c r="T497" s="350"/>
      <c r="U497" s="351"/>
    </row>
    <row r="498" spans="1:21" ht="34.5" customHeight="1">
      <c r="A498" s="24">
        <f t="shared" si="1"/>
        <v>484</v>
      </c>
      <c r="B498" s="483" t="s">
        <v>294</v>
      </c>
      <c r="C498" s="351"/>
      <c r="D498" s="484" t="s">
        <v>294</v>
      </c>
      <c r="E498" s="351"/>
      <c r="F498" s="485" t="s">
        <v>325</v>
      </c>
      <c r="G498" s="351"/>
      <c r="H498" s="486"/>
      <c r="I498" s="350"/>
      <c r="J498" s="351"/>
      <c r="K498" s="485" t="s">
        <v>325</v>
      </c>
      <c r="L498" s="350"/>
      <c r="M498" s="351"/>
      <c r="N498" s="491" t="s">
        <v>294</v>
      </c>
      <c r="O498" s="350"/>
      <c r="P498" s="350"/>
      <c r="Q498" s="350"/>
      <c r="R498" s="350"/>
      <c r="S498" s="350"/>
      <c r="T498" s="350"/>
      <c r="U498" s="351"/>
    </row>
    <row r="499" spans="1:21" ht="34.5" customHeight="1">
      <c r="A499" s="24">
        <f t="shared" si="1"/>
        <v>485</v>
      </c>
      <c r="B499" s="488" t="s">
        <v>294</v>
      </c>
      <c r="C499" s="351"/>
      <c r="D499" s="489" t="s">
        <v>294</v>
      </c>
      <c r="E499" s="351"/>
      <c r="F499" s="485" t="s">
        <v>325</v>
      </c>
      <c r="G499" s="351"/>
      <c r="H499" s="487"/>
      <c r="I499" s="350"/>
      <c r="J499" s="351"/>
      <c r="K499" s="485" t="s">
        <v>325</v>
      </c>
      <c r="L499" s="350"/>
      <c r="M499" s="351"/>
      <c r="N499" s="490" t="s">
        <v>294</v>
      </c>
      <c r="O499" s="350"/>
      <c r="P499" s="350"/>
      <c r="Q499" s="350"/>
      <c r="R499" s="350"/>
      <c r="S499" s="350"/>
      <c r="T499" s="350"/>
      <c r="U499" s="351"/>
    </row>
    <row r="500" spans="1:21" ht="34.5" customHeight="1">
      <c r="A500" s="24">
        <f t="shared" si="1"/>
        <v>486</v>
      </c>
      <c r="B500" s="483" t="s">
        <v>294</v>
      </c>
      <c r="C500" s="351"/>
      <c r="D500" s="484" t="s">
        <v>294</v>
      </c>
      <c r="E500" s="351"/>
      <c r="F500" s="485" t="s">
        <v>325</v>
      </c>
      <c r="G500" s="351"/>
      <c r="H500" s="486"/>
      <c r="I500" s="350"/>
      <c r="J500" s="351"/>
      <c r="K500" s="485" t="s">
        <v>325</v>
      </c>
      <c r="L500" s="350"/>
      <c r="M500" s="351"/>
      <c r="N500" s="491" t="s">
        <v>294</v>
      </c>
      <c r="O500" s="350"/>
      <c r="P500" s="350"/>
      <c r="Q500" s="350"/>
      <c r="R500" s="350"/>
      <c r="S500" s="350"/>
      <c r="T500" s="350"/>
      <c r="U500" s="351"/>
    </row>
    <row r="501" spans="1:21" ht="34.5" customHeight="1">
      <c r="A501" s="24">
        <f t="shared" si="1"/>
        <v>487</v>
      </c>
      <c r="B501" s="488" t="s">
        <v>294</v>
      </c>
      <c r="C501" s="351"/>
      <c r="D501" s="489" t="s">
        <v>294</v>
      </c>
      <c r="E501" s="351"/>
      <c r="F501" s="485" t="s">
        <v>325</v>
      </c>
      <c r="G501" s="351"/>
      <c r="H501" s="487"/>
      <c r="I501" s="350"/>
      <c r="J501" s="351"/>
      <c r="K501" s="485" t="s">
        <v>325</v>
      </c>
      <c r="L501" s="350"/>
      <c r="M501" s="351"/>
      <c r="N501" s="490" t="s">
        <v>294</v>
      </c>
      <c r="O501" s="350"/>
      <c r="P501" s="350"/>
      <c r="Q501" s="350"/>
      <c r="R501" s="350"/>
      <c r="S501" s="350"/>
      <c r="T501" s="350"/>
      <c r="U501" s="351"/>
    </row>
    <row r="502" spans="1:21" ht="34.5" customHeight="1">
      <c r="A502" s="24">
        <f t="shared" si="1"/>
        <v>488</v>
      </c>
      <c r="B502" s="483" t="s">
        <v>294</v>
      </c>
      <c r="C502" s="351"/>
      <c r="D502" s="484" t="s">
        <v>294</v>
      </c>
      <c r="E502" s="351"/>
      <c r="F502" s="485" t="s">
        <v>325</v>
      </c>
      <c r="G502" s="351"/>
      <c r="H502" s="486"/>
      <c r="I502" s="350"/>
      <c r="J502" s="351"/>
      <c r="K502" s="485" t="s">
        <v>325</v>
      </c>
      <c r="L502" s="350"/>
      <c r="M502" s="351"/>
      <c r="N502" s="491" t="s">
        <v>294</v>
      </c>
      <c r="O502" s="350"/>
      <c r="P502" s="350"/>
      <c r="Q502" s="350"/>
      <c r="R502" s="350"/>
      <c r="S502" s="350"/>
      <c r="T502" s="350"/>
      <c r="U502" s="351"/>
    </row>
    <row r="503" spans="1:21" ht="34.5" customHeight="1">
      <c r="A503" s="24">
        <f t="shared" si="1"/>
        <v>489</v>
      </c>
      <c r="B503" s="488" t="s">
        <v>294</v>
      </c>
      <c r="C503" s="351"/>
      <c r="D503" s="489" t="s">
        <v>294</v>
      </c>
      <c r="E503" s="351"/>
      <c r="F503" s="485" t="s">
        <v>325</v>
      </c>
      <c r="G503" s="351"/>
      <c r="H503" s="487"/>
      <c r="I503" s="350"/>
      <c r="J503" s="351"/>
      <c r="K503" s="485" t="s">
        <v>325</v>
      </c>
      <c r="L503" s="350"/>
      <c r="M503" s="351"/>
      <c r="N503" s="490" t="s">
        <v>294</v>
      </c>
      <c r="O503" s="350"/>
      <c r="P503" s="350"/>
      <c r="Q503" s="350"/>
      <c r="R503" s="350"/>
      <c r="S503" s="350"/>
      <c r="T503" s="350"/>
      <c r="U503" s="351"/>
    </row>
    <row r="504" spans="1:21" ht="34.5" customHeight="1">
      <c r="A504" s="24">
        <f t="shared" si="1"/>
        <v>490</v>
      </c>
      <c r="B504" s="483" t="s">
        <v>294</v>
      </c>
      <c r="C504" s="351"/>
      <c r="D504" s="484" t="s">
        <v>294</v>
      </c>
      <c r="E504" s="351"/>
      <c r="F504" s="485" t="s">
        <v>325</v>
      </c>
      <c r="G504" s="351"/>
      <c r="H504" s="486"/>
      <c r="I504" s="350"/>
      <c r="J504" s="351"/>
      <c r="K504" s="485" t="s">
        <v>325</v>
      </c>
      <c r="L504" s="350"/>
      <c r="M504" s="351"/>
      <c r="N504" s="491" t="s">
        <v>294</v>
      </c>
      <c r="O504" s="350"/>
      <c r="P504" s="350"/>
      <c r="Q504" s="350"/>
      <c r="R504" s="350"/>
      <c r="S504" s="350"/>
      <c r="T504" s="350"/>
      <c r="U504" s="351"/>
    </row>
    <row r="505" spans="1:21" ht="34.5" customHeight="1">
      <c r="A505" s="24">
        <f t="shared" si="1"/>
        <v>491</v>
      </c>
      <c r="B505" s="488" t="s">
        <v>329</v>
      </c>
      <c r="C505" s="351"/>
      <c r="D505" s="489" t="s">
        <v>294</v>
      </c>
      <c r="E505" s="351"/>
      <c r="F505" s="485" t="s">
        <v>325</v>
      </c>
      <c r="G505" s="351"/>
      <c r="H505" s="487"/>
      <c r="I505" s="350"/>
      <c r="J505" s="351"/>
      <c r="K505" s="485" t="s">
        <v>325</v>
      </c>
      <c r="L505" s="350"/>
      <c r="M505" s="351"/>
      <c r="N505" s="490" t="s">
        <v>294</v>
      </c>
      <c r="O505" s="350"/>
      <c r="P505" s="350"/>
      <c r="Q505" s="350"/>
      <c r="R505" s="350"/>
      <c r="S505" s="350"/>
      <c r="T505" s="350"/>
      <c r="U505" s="351"/>
    </row>
    <row r="506" spans="1:21" ht="34.5" customHeight="1">
      <c r="A506" s="24">
        <f t="shared" si="1"/>
        <v>492</v>
      </c>
      <c r="B506" s="483" t="s">
        <v>294</v>
      </c>
      <c r="C506" s="351"/>
      <c r="D506" s="484" t="s">
        <v>294</v>
      </c>
      <c r="E506" s="351"/>
      <c r="F506" s="485" t="s">
        <v>325</v>
      </c>
      <c r="G506" s="351"/>
      <c r="H506" s="486"/>
      <c r="I506" s="350"/>
      <c r="J506" s="351"/>
      <c r="K506" s="485" t="s">
        <v>325</v>
      </c>
      <c r="L506" s="350"/>
      <c r="M506" s="351"/>
      <c r="N506" s="491" t="s">
        <v>294</v>
      </c>
      <c r="O506" s="350"/>
      <c r="P506" s="350"/>
      <c r="Q506" s="350"/>
      <c r="R506" s="350"/>
      <c r="S506" s="350"/>
      <c r="T506" s="350"/>
      <c r="U506" s="351"/>
    </row>
    <row r="507" spans="1:21" ht="34.5" customHeight="1">
      <c r="A507" s="24">
        <f t="shared" si="1"/>
        <v>493</v>
      </c>
      <c r="B507" s="488" t="s">
        <v>294</v>
      </c>
      <c r="C507" s="351"/>
      <c r="D507" s="489" t="s">
        <v>294</v>
      </c>
      <c r="E507" s="351"/>
      <c r="F507" s="485" t="s">
        <v>325</v>
      </c>
      <c r="G507" s="351"/>
      <c r="H507" s="487"/>
      <c r="I507" s="350"/>
      <c r="J507" s="351"/>
      <c r="K507" s="485" t="s">
        <v>325</v>
      </c>
      <c r="L507" s="350"/>
      <c r="M507" s="351"/>
      <c r="N507" s="490" t="s">
        <v>294</v>
      </c>
      <c r="O507" s="350"/>
      <c r="P507" s="350"/>
      <c r="Q507" s="350"/>
      <c r="R507" s="350"/>
      <c r="S507" s="350"/>
      <c r="T507" s="350"/>
      <c r="U507" s="351"/>
    </row>
    <row r="508" spans="1:21" ht="34.5" customHeight="1">
      <c r="A508" s="24">
        <f t="shared" si="1"/>
        <v>494</v>
      </c>
      <c r="B508" s="483" t="s">
        <v>294</v>
      </c>
      <c r="C508" s="351"/>
      <c r="D508" s="484" t="s">
        <v>294</v>
      </c>
      <c r="E508" s="351"/>
      <c r="F508" s="485" t="s">
        <v>325</v>
      </c>
      <c r="G508" s="351"/>
      <c r="H508" s="486"/>
      <c r="I508" s="350"/>
      <c r="J508" s="351"/>
      <c r="K508" s="485" t="s">
        <v>325</v>
      </c>
      <c r="L508" s="350"/>
      <c r="M508" s="351"/>
      <c r="N508" s="491" t="s">
        <v>294</v>
      </c>
      <c r="O508" s="350"/>
      <c r="P508" s="350"/>
      <c r="Q508" s="350"/>
      <c r="R508" s="350"/>
      <c r="S508" s="350"/>
      <c r="T508" s="350"/>
      <c r="U508" s="351"/>
    </row>
    <row r="509" spans="1:21" ht="34.5" customHeight="1">
      <c r="A509" s="24">
        <f t="shared" si="1"/>
        <v>495</v>
      </c>
      <c r="B509" s="488" t="s">
        <v>294</v>
      </c>
      <c r="C509" s="351"/>
      <c r="D509" s="489" t="s">
        <v>294</v>
      </c>
      <c r="E509" s="351"/>
      <c r="F509" s="485" t="s">
        <v>325</v>
      </c>
      <c r="G509" s="351"/>
      <c r="H509" s="487"/>
      <c r="I509" s="350"/>
      <c r="J509" s="351"/>
      <c r="K509" s="485" t="s">
        <v>325</v>
      </c>
      <c r="L509" s="350"/>
      <c r="M509" s="351"/>
      <c r="N509" s="490" t="s">
        <v>294</v>
      </c>
      <c r="O509" s="350"/>
      <c r="P509" s="350"/>
      <c r="Q509" s="350"/>
      <c r="R509" s="350"/>
      <c r="S509" s="350"/>
      <c r="T509" s="350"/>
      <c r="U509" s="351"/>
    </row>
    <row r="510" spans="1:21" ht="34.5" customHeight="1">
      <c r="A510" s="24">
        <f t="shared" si="1"/>
        <v>496</v>
      </c>
      <c r="B510" s="483" t="s">
        <v>294</v>
      </c>
      <c r="C510" s="351"/>
      <c r="D510" s="484" t="s">
        <v>294</v>
      </c>
      <c r="E510" s="351"/>
      <c r="F510" s="485" t="s">
        <v>325</v>
      </c>
      <c r="G510" s="351"/>
      <c r="H510" s="486"/>
      <c r="I510" s="350"/>
      <c r="J510" s="351"/>
      <c r="K510" s="485" t="s">
        <v>325</v>
      </c>
      <c r="L510" s="350"/>
      <c r="M510" s="351"/>
      <c r="N510" s="491" t="s">
        <v>294</v>
      </c>
      <c r="O510" s="350"/>
      <c r="P510" s="350"/>
      <c r="Q510" s="350"/>
      <c r="R510" s="350"/>
      <c r="S510" s="350"/>
      <c r="T510" s="350"/>
      <c r="U510" s="351"/>
    </row>
    <row r="511" spans="1:21" ht="34.5" customHeight="1">
      <c r="A511" s="24">
        <f t="shared" si="1"/>
        <v>497</v>
      </c>
      <c r="B511" s="488" t="s">
        <v>294</v>
      </c>
      <c r="C511" s="351"/>
      <c r="D511" s="489" t="s">
        <v>294</v>
      </c>
      <c r="E511" s="351"/>
      <c r="F511" s="485" t="s">
        <v>325</v>
      </c>
      <c r="G511" s="351"/>
      <c r="H511" s="487"/>
      <c r="I511" s="350"/>
      <c r="J511" s="351"/>
      <c r="K511" s="485" t="s">
        <v>325</v>
      </c>
      <c r="L511" s="350"/>
      <c r="M511" s="351"/>
      <c r="N511" s="490" t="s">
        <v>294</v>
      </c>
      <c r="O511" s="350"/>
      <c r="P511" s="350"/>
      <c r="Q511" s="350"/>
      <c r="R511" s="350"/>
      <c r="S511" s="350"/>
      <c r="T511" s="350"/>
      <c r="U511" s="351"/>
    </row>
    <row r="512" spans="1:21" ht="34.5" customHeight="1">
      <c r="A512" s="24">
        <f t="shared" si="1"/>
        <v>498</v>
      </c>
      <c r="B512" s="483" t="s">
        <v>294</v>
      </c>
      <c r="C512" s="351"/>
      <c r="D512" s="484" t="s">
        <v>294</v>
      </c>
      <c r="E512" s="351"/>
      <c r="F512" s="485" t="s">
        <v>325</v>
      </c>
      <c r="G512" s="351"/>
      <c r="H512" s="486"/>
      <c r="I512" s="350"/>
      <c r="J512" s="351"/>
      <c r="K512" s="485" t="s">
        <v>325</v>
      </c>
      <c r="L512" s="350"/>
      <c r="M512" s="351"/>
      <c r="N512" s="491" t="s">
        <v>294</v>
      </c>
      <c r="O512" s="350"/>
      <c r="P512" s="350"/>
      <c r="Q512" s="350"/>
      <c r="R512" s="350"/>
      <c r="S512" s="350"/>
      <c r="T512" s="350"/>
      <c r="U512" s="351"/>
    </row>
    <row r="513" spans="1:21" ht="34.5" customHeight="1">
      <c r="A513" s="24">
        <f t="shared" si="1"/>
        <v>499</v>
      </c>
      <c r="B513" s="488" t="s">
        <v>294</v>
      </c>
      <c r="C513" s="351"/>
      <c r="D513" s="489" t="s">
        <v>294</v>
      </c>
      <c r="E513" s="351"/>
      <c r="F513" s="485" t="s">
        <v>325</v>
      </c>
      <c r="G513" s="351"/>
      <c r="H513" s="487"/>
      <c r="I513" s="350"/>
      <c r="J513" s="351"/>
      <c r="K513" s="485" t="s">
        <v>325</v>
      </c>
      <c r="L513" s="350"/>
      <c r="M513" s="351"/>
      <c r="N513" s="490" t="s">
        <v>294</v>
      </c>
      <c r="O513" s="350"/>
      <c r="P513" s="350"/>
      <c r="Q513" s="350"/>
      <c r="R513" s="350"/>
      <c r="S513" s="350"/>
      <c r="T513" s="350"/>
      <c r="U513" s="351"/>
    </row>
    <row r="514" spans="1:21" ht="34.5" customHeight="1">
      <c r="A514" s="24">
        <f t="shared" si="1"/>
        <v>500</v>
      </c>
      <c r="B514" s="483" t="s">
        <v>294</v>
      </c>
      <c r="C514" s="351"/>
      <c r="D514" s="484" t="s">
        <v>294</v>
      </c>
      <c r="E514" s="351"/>
      <c r="F514" s="485" t="s">
        <v>325</v>
      </c>
      <c r="G514" s="351"/>
      <c r="H514" s="486"/>
      <c r="I514" s="350"/>
      <c r="J514" s="351"/>
      <c r="K514" s="485" t="s">
        <v>325</v>
      </c>
      <c r="L514" s="350"/>
      <c r="M514" s="351"/>
      <c r="N514" s="491" t="s">
        <v>294</v>
      </c>
      <c r="O514" s="350"/>
      <c r="P514" s="350"/>
      <c r="Q514" s="350"/>
      <c r="R514" s="350"/>
      <c r="S514" s="350"/>
      <c r="T514" s="350"/>
      <c r="U514" s="351"/>
    </row>
    <row r="515" spans="1:21" ht="34.5" customHeight="1">
      <c r="A515" s="24">
        <f t="shared" si="1"/>
        <v>501</v>
      </c>
      <c r="B515" s="488" t="s">
        <v>294</v>
      </c>
      <c r="C515" s="351"/>
      <c r="D515" s="489" t="s">
        <v>294</v>
      </c>
      <c r="E515" s="351"/>
      <c r="F515" s="485" t="s">
        <v>325</v>
      </c>
      <c r="G515" s="351"/>
      <c r="H515" s="487"/>
      <c r="I515" s="350"/>
      <c r="J515" s="351"/>
      <c r="K515" s="485" t="s">
        <v>325</v>
      </c>
      <c r="L515" s="350"/>
      <c r="M515" s="351"/>
      <c r="N515" s="490" t="s">
        <v>294</v>
      </c>
      <c r="O515" s="350"/>
      <c r="P515" s="350"/>
      <c r="Q515" s="350"/>
      <c r="R515" s="350"/>
      <c r="S515" s="350"/>
      <c r="T515" s="350"/>
      <c r="U515" s="351"/>
    </row>
    <row r="516" spans="1:21" ht="34.5" customHeight="1">
      <c r="A516" s="24">
        <f t="shared" si="1"/>
        <v>502</v>
      </c>
      <c r="B516" s="483" t="s">
        <v>294</v>
      </c>
      <c r="C516" s="351"/>
      <c r="D516" s="484" t="s">
        <v>294</v>
      </c>
      <c r="E516" s="351"/>
      <c r="F516" s="485" t="s">
        <v>325</v>
      </c>
      <c r="G516" s="351"/>
      <c r="H516" s="486"/>
      <c r="I516" s="350"/>
      <c r="J516" s="351"/>
      <c r="K516" s="485" t="s">
        <v>325</v>
      </c>
      <c r="L516" s="350"/>
      <c r="M516" s="351"/>
      <c r="N516" s="491" t="s">
        <v>294</v>
      </c>
      <c r="O516" s="350"/>
      <c r="P516" s="350"/>
      <c r="Q516" s="350"/>
      <c r="R516" s="350"/>
      <c r="S516" s="350"/>
      <c r="T516" s="350"/>
      <c r="U516" s="351"/>
    </row>
    <row r="517" spans="1:21" ht="34.5" customHeight="1">
      <c r="A517" s="24">
        <f t="shared" si="1"/>
        <v>503</v>
      </c>
      <c r="B517" s="488" t="s">
        <v>327</v>
      </c>
      <c r="C517" s="351"/>
      <c r="D517" s="489" t="s">
        <v>294</v>
      </c>
      <c r="E517" s="351"/>
      <c r="F517" s="485" t="s">
        <v>325</v>
      </c>
      <c r="G517" s="351"/>
      <c r="H517" s="487"/>
      <c r="I517" s="350"/>
      <c r="J517" s="351"/>
      <c r="K517" s="485" t="s">
        <v>325</v>
      </c>
      <c r="L517" s="350"/>
      <c r="M517" s="351"/>
      <c r="N517" s="490" t="s">
        <v>294</v>
      </c>
      <c r="O517" s="350"/>
      <c r="P517" s="350"/>
      <c r="Q517" s="350"/>
      <c r="R517" s="350"/>
      <c r="S517" s="350"/>
      <c r="T517" s="350"/>
      <c r="U517" s="351"/>
    </row>
    <row r="518" spans="1:21" ht="34.5" customHeight="1">
      <c r="A518" s="24">
        <f t="shared" si="1"/>
        <v>504</v>
      </c>
      <c r="B518" s="483" t="s">
        <v>294</v>
      </c>
      <c r="C518" s="351"/>
      <c r="D518" s="484" t="s">
        <v>294</v>
      </c>
      <c r="E518" s="351"/>
      <c r="F518" s="485" t="s">
        <v>325</v>
      </c>
      <c r="G518" s="351"/>
      <c r="H518" s="486"/>
      <c r="I518" s="350"/>
      <c r="J518" s="351"/>
      <c r="K518" s="485" t="s">
        <v>325</v>
      </c>
      <c r="L518" s="350"/>
      <c r="M518" s="351"/>
      <c r="N518" s="491" t="s">
        <v>294</v>
      </c>
      <c r="O518" s="350"/>
      <c r="P518" s="350"/>
      <c r="Q518" s="350"/>
      <c r="R518" s="350"/>
      <c r="S518" s="350"/>
      <c r="T518" s="350"/>
      <c r="U518" s="351"/>
    </row>
    <row r="519" spans="1:21" ht="34.5" customHeight="1">
      <c r="A519" s="24">
        <f t="shared" si="1"/>
        <v>505</v>
      </c>
      <c r="B519" s="488" t="s">
        <v>294</v>
      </c>
      <c r="C519" s="351"/>
      <c r="D519" s="489" t="s">
        <v>294</v>
      </c>
      <c r="E519" s="351"/>
      <c r="F519" s="485" t="s">
        <v>325</v>
      </c>
      <c r="G519" s="351"/>
      <c r="H519" s="487"/>
      <c r="I519" s="350"/>
      <c r="J519" s="351"/>
      <c r="K519" s="485" t="s">
        <v>325</v>
      </c>
      <c r="L519" s="350"/>
      <c r="M519" s="351"/>
      <c r="N519" s="490" t="s">
        <v>294</v>
      </c>
      <c r="O519" s="350"/>
      <c r="P519" s="350"/>
      <c r="Q519" s="350"/>
      <c r="R519" s="350"/>
      <c r="S519" s="350"/>
      <c r="T519" s="350"/>
      <c r="U519" s="351"/>
    </row>
    <row r="520" spans="1:21" ht="34.5" customHeight="1">
      <c r="A520" s="24">
        <f t="shared" si="1"/>
        <v>506</v>
      </c>
      <c r="B520" s="483" t="s">
        <v>294</v>
      </c>
      <c r="C520" s="351"/>
      <c r="D520" s="484" t="s">
        <v>294</v>
      </c>
      <c r="E520" s="351"/>
      <c r="F520" s="485" t="s">
        <v>325</v>
      </c>
      <c r="G520" s="351"/>
      <c r="H520" s="486"/>
      <c r="I520" s="350"/>
      <c r="J520" s="351"/>
      <c r="K520" s="485" t="s">
        <v>325</v>
      </c>
      <c r="L520" s="350"/>
      <c r="M520" s="351"/>
      <c r="N520" s="491" t="s">
        <v>294</v>
      </c>
      <c r="O520" s="350"/>
      <c r="P520" s="350"/>
      <c r="Q520" s="350"/>
      <c r="R520" s="350"/>
      <c r="S520" s="350"/>
      <c r="T520" s="350"/>
      <c r="U520" s="351"/>
    </row>
    <row r="521" spans="1:21" ht="34.5" customHeight="1">
      <c r="A521" s="24">
        <f t="shared" si="1"/>
        <v>507</v>
      </c>
      <c r="B521" s="488" t="s">
        <v>294</v>
      </c>
      <c r="C521" s="351"/>
      <c r="D521" s="489" t="s">
        <v>294</v>
      </c>
      <c r="E521" s="351"/>
      <c r="F521" s="485" t="s">
        <v>325</v>
      </c>
      <c r="G521" s="351"/>
      <c r="H521" s="487"/>
      <c r="I521" s="350"/>
      <c r="J521" s="351"/>
      <c r="K521" s="485" t="s">
        <v>325</v>
      </c>
      <c r="L521" s="350"/>
      <c r="M521" s="351"/>
      <c r="N521" s="490" t="s">
        <v>294</v>
      </c>
      <c r="O521" s="350"/>
      <c r="P521" s="350"/>
      <c r="Q521" s="350"/>
      <c r="R521" s="350"/>
      <c r="S521" s="350"/>
      <c r="T521" s="350"/>
      <c r="U521" s="351"/>
    </row>
    <row r="522" spans="1:21" ht="34.5" customHeight="1">
      <c r="A522" s="24">
        <f t="shared" si="1"/>
        <v>508</v>
      </c>
      <c r="B522" s="483" t="s">
        <v>294</v>
      </c>
      <c r="C522" s="351"/>
      <c r="D522" s="484" t="s">
        <v>294</v>
      </c>
      <c r="E522" s="351"/>
      <c r="F522" s="485" t="s">
        <v>325</v>
      </c>
      <c r="G522" s="351"/>
      <c r="H522" s="486"/>
      <c r="I522" s="350"/>
      <c r="J522" s="351"/>
      <c r="K522" s="485" t="s">
        <v>325</v>
      </c>
      <c r="L522" s="350"/>
      <c r="M522" s="351"/>
      <c r="N522" s="491" t="s">
        <v>294</v>
      </c>
      <c r="O522" s="350"/>
      <c r="P522" s="350"/>
      <c r="Q522" s="350"/>
      <c r="R522" s="350"/>
      <c r="S522" s="350"/>
      <c r="T522" s="350"/>
      <c r="U522" s="351"/>
    </row>
    <row r="523" spans="1:21" ht="34.5" customHeight="1">
      <c r="A523" s="24">
        <f t="shared" si="1"/>
        <v>509</v>
      </c>
      <c r="B523" s="488" t="s">
        <v>294</v>
      </c>
      <c r="C523" s="351"/>
      <c r="D523" s="489" t="s">
        <v>294</v>
      </c>
      <c r="E523" s="351"/>
      <c r="F523" s="485" t="s">
        <v>325</v>
      </c>
      <c r="G523" s="351"/>
      <c r="H523" s="487"/>
      <c r="I523" s="350"/>
      <c r="J523" s="351"/>
      <c r="K523" s="485" t="s">
        <v>325</v>
      </c>
      <c r="L523" s="350"/>
      <c r="M523" s="351"/>
      <c r="N523" s="490" t="s">
        <v>294</v>
      </c>
      <c r="O523" s="350"/>
      <c r="P523" s="350"/>
      <c r="Q523" s="350"/>
      <c r="R523" s="350"/>
      <c r="S523" s="350"/>
      <c r="T523" s="350"/>
      <c r="U523" s="351"/>
    </row>
    <row r="524" spans="1:21" ht="34.5" customHeight="1">
      <c r="A524" s="24">
        <f t="shared" si="1"/>
        <v>510</v>
      </c>
      <c r="B524" s="483" t="s">
        <v>294</v>
      </c>
      <c r="C524" s="351"/>
      <c r="D524" s="484" t="s">
        <v>294</v>
      </c>
      <c r="E524" s="351"/>
      <c r="F524" s="485" t="s">
        <v>325</v>
      </c>
      <c r="G524" s="351"/>
      <c r="H524" s="486"/>
      <c r="I524" s="350"/>
      <c r="J524" s="351"/>
      <c r="K524" s="485" t="s">
        <v>325</v>
      </c>
      <c r="L524" s="350"/>
      <c r="M524" s="351"/>
      <c r="N524" s="491" t="s">
        <v>294</v>
      </c>
      <c r="O524" s="350"/>
      <c r="P524" s="350"/>
      <c r="Q524" s="350"/>
      <c r="R524" s="350"/>
      <c r="S524" s="350"/>
      <c r="T524" s="350"/>
      <c r="U524" s="351"/>
    </row>
    <row r="525" spans="1:21" ht="34.5" customHeight="1">
      <c r="A525" s="24">
        <f t="shared" ref="A525:A779" si="2">ROW(A511)</f>
        <v>511</v>
      </c>
      <c r="B525" s="488" t="s">
        <v>326</v>
      </c>
      <c r="C525" s="351"/>
      <c r="D525" s="489" t="s">
        <v>294</v>
      </c>
      <c r="E525" s="351"/>
      <c r="F525" s="485" t="s">
        <v>325</v>
      </c>
      <c r="G525" s="351"/>
      <c r="H525" s="487"/>
      <c r="I525" s="350"/>
      <c r="J525" s="351"/>
      <c r="K525" s="485" t="s">
        <v>325</v>
      </c>
      <c r="L525" s="350"/>
      <c r="M525" s="351"/>
      <c r="N525" s="490" t="s">
        <v>294</v>
      </c>
      <c r="O525" s="350"/>
      <c r="P525" s="350"/>
      <c r="Q525" s="350"/>
      <c r="R525" s="350"/>
      <c r="S525" s="350"/>
      <c r="T525" s="350"/>
      <c r="U525" s="351"/>
    </row>
    <row r="526" spans="1:21" ht="34.5" customHeight="1">
      <c r="A526" s="24">
        <f t="shared" si="2"/>
        <v>512</v>
      </c>
      <c r="B526" s="483" t="s">
        <v>294</v>
      </c>
      <c r="C526" s="351"/>
      <c r="D526" s="484" t="s">
        <v>294</v>
      </c>
      <c r="E526" s="351"/>
      <c r="F526" s="485" t="s">
        <v>325</v>
      </c>
      <c r="G526" s="351"/>
      <c r="H526" s="486"/>
      <c r="I526" s="350"/>
      <c r="J526" s="351"/>
      <c r="K526" s="485" t="s">
        <v>325</v>
      </c>
      <c r="L526" s="350"/>
      <c r="M526" s="351"/>
      <c r="N526" s="491" t="s">
        <v>294</v>
      </c>
      <c r="O526" s="350"/>
      <c r="P526" s="350"/>
      <c r="Q526" s="350"/>
      <c r="R526" s="350"/>
      <c r="S526" s="350"/>
      <c r="T526" s="350"/>
      <c r="U526" s="351"/>
    </row>
    <row r="527" spans="1:21" ht="34.5" customHeight="1">
      <c r="A527" s="24">
        <f t="shared" si="2"/>
        <v>513</v>
      </c>
      <c r="B527" s="488" t="s">
        <v>294</v>
      </c>
      <c r="C527" s="351"/>
      <c r="D527" s="489" t="s">
        <v>294</v>
      </c>
      <c r="E527" s="351"/>
      <c r="F527" s="485" t="s">
        <v>325</v>
      </c>
      <c r="G527" s="351"/>
      <c r="H527" s="487"/>
      <c r="I527" s="350"/>
      <c r="J527" s="351"/>
      <c r="K527" s="485" t="s">
        <v>325</v>
      </c>
      <c r="L527" s="350"/>
      <c r="M527" s="351"/>
      <c r="N527" s="490" t="s">
        <v>294</v>
      </c>
      <c r="O527" s="350"/>
      <c r="P527" s="350"/>
      <c r="Q527" s="350"/>
      <c r="R527" s="350"/>
      <c r="S527" s="350"/>
      <c r="T527" s="350"/>
      <c r="U527" s="351"/>
    </row>
    <row r="528" spans="1:21" ht="34.5" customHeight="1">
      <c r="A528" s="24">
        <f t="shared" si="2"/>
        <v>514</v>
      </c>
      <c r="B528" s="483" t="s">
        <v>294</v>
      </c>
      <c r="C528" s="351"/>
      <c r="D528" s="484" t="s">
        <v>294</v>
      </c>
      <c r="E528" s="351"/>
      <c r="F528" s="485" t="s">
        <v>325</v>
      </c>
      <c r="G528" s="351"/>
      <c r="H528" s="486"/>
      <c r="I528" s="350"/>
      <c r="J528" s="351"/>
      <c r="K528" s="485" t="s">
        <v>325</v>
      </c>
      <c r="L528" s="350"/>
      <c r="M528" s="351"/>
      <c r="N528" s="491" t="s">
        <v>294</v>
      </c>
      <c r="O528" s="350"/>
      <c r="P528" s="350"/>
      <c r="Q528" s="350"/>
      <c r="R528" s="350"/>
      <c r="S528" s="350"/>
      <c r="T528" s="350"/>
      <c r="U528" s="351"/>
    </row>
    <row r="529" spans="1:21" ht="34.5" customHeight="1">
      <c r="A529" s="24">
        <f t="shared" si="2"/>
        <v>515</v>
      </c>
      <c r="B529" s="488" t="s">
        <v>294</v>
      </c>
      <c r="C529" s="351"/>
      <c r="D529" s="489" t="s">
        <v>294</v>
      </c>
      <c r="E529" s="351"/>
      <c r="F529" s="485" t="s">
        <v>325</v>
      </c>
      <c r="G529" s="351"/>
      <c r="H529" s="487"/>
      <c r="I529" s="350"/>
      <c r="J529" s="351"/>
      <c r="K529" s="485" t="s">
        <v>325</v>
      </c>
      <c r="L529" s="350"/>
      <c r="M529" s="351"/>
      <c r="N529" s="490" t="s">
        <v>294</v>
      </c>
      <c r="O529" s="350"/>
      <c r="P529" s="350"/>
      <c r="Q529" s="350"/>
      <c r="R529" s="350"/>
      <c r="S529" s="350"/>
      <c r="T529" s="350"/>
      <c r="U529" s="351"/>
    </row>
    <row r="530" spans="1:21" ht="34.5" customHeight="1">
      <c r="A530" s="24">
        <f t="shared" si="2"/>
        <v>516</v>
      </c>
      <c r="B530" s="483" t="s">
        <v>294</v>
      </c>
      <c r="C530" s="351"/>
      <c r="D530" s="484" t="s">
        <v>294</v>
      </c>
      <c r="E530" s="351"/>
      <c r="F530" s="485" t="s">
        <v>325</v>
      </c>
      <c r="G530" s="351"/>
      <c r="H530" s="486"/>
      <c r="I530" s="350"/>
      <c r="J530" s="351"/>
      <c r="K530" s="485" t="s">
        <v>325</v>
      </c>
      <c r="L530" s="350"/>
      <c r="M530" s="351"/>
      <c r="N530" s="491" t="s">
        <v>294</v>
      </c>
      <c r="O530" s="350"/>
      <c r="P530" s="350"/>
      <c r="Q530" s="350"/>
      <c r="R530" s="350"/>
      <c r="S530" s="350"/>
      <c r="T530" s="350"/>
      <c r="U530" s="351"/>
    </row>
    <row r="531" spans="1:21" ht="34.5" customHeight="1">
      <c r="A531" s="24">
        <f t="shared" si="2"/>
        <v>517</v>
      </c>
      <c r="B531" s="488" t="s">
        <v>294</v>
      </c>
      <c r="C531" s="351"/>
      <c r="D531" s="489" t="s">
        <v>294</v>
      </c>
      <c r="E531" s="351"/>
      <c r="F531" s="485" t="s">
        <v>325</v>
      </c>
      <c r="G531" s="351"/>
      <c r="H531" s="487"/>
      <c r="I531" s="350"/>
      <c r="J531" s="351"/>
      <c r="K531" s="485" t="s">
        <v>325</v>
      </c>
      <c r="L531" s="350"/>
      <c r="M531" s="351"/>
      <c r="N531" s="490" t="s">
        <v>294</v>
      </c>
      <c r="O531" s="350"/>
      <c r="P531" s="350"/>
      <c r="Q531" s="350"/>
      <c r="R531" s="350"/>
      <c r="S531" s="350"/>
      <c r="T531" s="350"/>
      <c r="U531" s="351"/>
    </row>
    <row r="532" spans="1:21" ht="34.5" customHeight="1">
      <c r="A532" s="24">
        <f t="shared" si="2"/>
        <v>518</v>
      </c>
      <c r="B532" s="483" t="s">
        <v>330</v>
      </c>
      <c r="C532" s="351"/>
      <c r="D532" s="484" t="s">
        <v>294</v>
      </c>
      <c r="E532" s="351"/>
      <c r="F532" s="485" t="s">
        <v>325</v>
      </c>
      <c r="G532" s="351"/>
      <c r="H532" s="486"/>
      <c r="I532" s="350"/>
      <c r="J532" s="351"/>
      <c r="K532" s="485" t="s">
        <v>325</v>
      </c>
      <c r="L532" s="350"/>
      <c r="M532" s="351"/>
      <c r="N532" s="491" t="s">
        <v>294</v>
      </c>
      <c r="O532" s="350"/>
      <c r="P532" s="350"/>
      <c r="Q532" s="350"/>
      <c r="R532" s="350"/>
      <c r="S532" s="350"/>
      <c r="T532" s="350"/>
      <c r="U532" s="351"/>
    </row>
    <row r="533" spans="1:21" ht="34.5" customHeight="1">
      <c r="A533" s="24">
        <f t="shared" si="2"/>
        <v>519</v>
      </c>
      <c r="B533" s="488" t="s">
        <v>294</v>
      </c>
      <c r="C533" s="351"/>
      <c r="D533" s="489" t="s">
        <v>294</v>
      </c>
      <c r="E533" s="351"/>
      <c r="F533" s="485" t="s">
        <v>325</v>
      </c>
      <c r="G533" s="351"/>
      <c r="H533" s="487"/>
      <c r="I533" s="350"/>
      <c r="J533" s="351"/>
      <c r="K533" s="485" t="s">
        <v>325</v>
      </c>
      <c r="L533" s="350"/>
      <c r="M533" s="351"/>
      <c r="N533" s="490" t="s">
        <v>294</v>
      </c>
      <c r="O533" s="350"/>
      <c r="P533" s="350"/>
      <c r="Q533" s="350"/>
      <c r="R533" s="350"/>
      <c r="S533" s="350"/>
      <c r="T533" s="350"/>
      <c r="U533" s="351"/>
    </row>
    <row r="534" spans="1:21" ht="34.5" customHeight="1">
      <c r="A534" s="24">
        <f t="shared" si="2"/>
        <v>520</v>
      </c>
      <c r="B534" s="483" t="s">
        <v>294</v>
      </c>
      <c r="C534" s="351"/>
      <c r="D534" s="484" t="s">
        <v>294</v>
      </c>
      <c r="E534" s="351"/>
      <c r="F534" s="485" t="s">
        <v>325</v>
      </c>
      <c r="G534" s="351"/>
      <c r="H534" s="486"/>
      <c r="I534" s="350"/>
      <c r="J534" s="351"/>
      <c r="K534" s="485" t="s">
        <v>325</v>
      </c>
      <c r="L534" s="350"/>
      <c r="M534" s="351"/>
      <c r="N534" s="491" t="s">
        <v>294</v>
      </c>
      <c r="O534" s="350"/>
      <c r="P534" s="350"/>
      <c r="Q534" s="350"/>
      <c r="R534" s="350"/>
      <c r="S534" s="350"/>
      <c r="T534" s="350"/>
      <c r="U534" s="351"/>
    </row>
    <row r="535" spans="1:21" ht="34.5" customHeight="1">
      <c r="A535" s="24">
        <f t="shared" si="2"/>
        <v>521</v>
      </c>
      <c r="B535" s="488" t="s">
        <v>294</v>
      </c>
      <c r="C535" s="351"/>
      <c r="D535" s="489" t="s">
        <v>294</v>
      </c>
      <c r="E535" s="351"/>
      <c r="F535" s="485" t="s">
        <v>325</v>
      </c>
      <c r="G535" s="351"/>
      <c r="H535" s="487"/>
      <c r="I535" s="350"/>
      <c r="J535" s="351"/>
      <c r="K535" s="485" t="s">
        <v>325</v>
      </c>
      <c r="L535" s="350"/>
      <c r="M535" s="351"/>
      <c r="N535" s="490" t="s">
        <v>294</v>
      </c>
      <c r="O535" s="350"/>
      <c r="P535" s="350"/>
      <c r="Q535" s="350"/>
      <c r="R535" s="350"/>
      <c r="S535" s="350"/>
      <c r="T535" s="350"/>
      <c r="U535" s="351"/>
    </row>
    <row r="536" spans="1:21" ht="34.5" customHeight="1">
      <c r="A536" s="24">
        <f t="shared" si="2"/>
        <v>522</v>
      </c>
      <c r="B536" s="483" t="s">
        <v>294</v>
      </c>
      <c r="C536" s="351"/>
      <c r="D536" s="484" t="s">
        <v>294</v>
      </c>
      <c r="E536" s="351"/>
      <c r="F536" s="485" t="s">
        <v>325</v>
      </c>
      <c r="G536" s="351"/>
      <c r="H536" s="486"/>
      <c r="I536" s="350"/>
      <c r="J536" s="351"/>
      <c r="K536" s="485" t="s">
        <v>325</v>
      </c>
      <c r="L536" s="350"/>
      <c r="M536" s="351"/>
      <c r="N536" s="491" t="s">
        <v>294</v>
      </c>
      <c r="O536" s="350"/>
      <c r="P536" s="350"/>
      <c r="Q536" s="350"/>
      <c r="R536" s="350"/>
      <c r="S536" s="350"/>
      <c r="T536" s="350"/>
      <c r="U536" s="351"/>
    </row>
    <row r="537" spans="1:21" ht="34.5" customHeight="1">
      <c r="A537" s="24">
        <f t="shared" si="2"/>
        <v>523</v>
      </c>
      <c r="B537" s="488" t="s">
        <v>294</v>
      </c>
      <c r="C537" s="351"/>
      <c r="D537" s="489" t="s">
        <v>294</v>
      </c>
      <c r="E537" s="351"/>
      <c r="F537" s="485" t="s">
        <v>325</v>
      </c>
      <c r="G537" s="351"/>
      <c r="H537" s="487"/>
      <c r="I537" s="350"/>
      <c r="J537" s="351"/>
      <c r="K537" s="485" t="s">
        <v>325</v>
      </c>
      <c r="L537" s="350"/>
      <c r="M537" s="351"/>
      <c r="N537" s="490" t="s">
        <v>294</v>
      </c>
      <c r="O537" s="350"/>
      <c r="P537" s="350"/>
      <c r="Q537" s="350"/>
      <c r="R537" s="350"/>
      <c r="S537" s="350"/>
      <c r="T537" s="350"/>
      <c r="U537" s="351"/>
    </row>
    <row r="538" spans="1:21" ht="34.5" customHeight="1">
      <c r="A538" s="24">
        <f t="shared" si="2"/>
        <v>524</v>
      </c>
      <c r="B538" s="483" t="s">
        <v>294</v>
      </c>
      <c r="C538" s="351"/>
      <c r="D538" s="484" t="s">
        <v>294</v>
      </c>
      <c r="E538" s="351"/>
      <c r="F538" s="485" t="s">
        <v>325</v>
      </c>
      <c r="G538" s="351"/>
      <c r="H538" s="486"/>
      <c r="I538" s="350"/>
      <c r="J538" s="351"/>
      <c r="K538" s="485" t="s">
        <v>325</v>
      </c>
      <c r="L538" s="350"/>
      <c r="M538" s="351"/>
      <c r="N538" s="491" t="s">
        <v>294</v>
      </c>
      <c r="O538" s="350"/>
      <c r="P538" s="350"/>
      <c r="Q538" s="350"/>
      <c r="R538" s="350"/>
      <c r="S538" s="350"/>
      <c r="T538" s="350"/>
      <c r="U538" s="351"/>
    </row>
    <row r="539" spans="1:21" ht="34.5" customHeight="1">
      <c r="A539" s="24">
        <f t="shared" si="2"/>
        <v>525</v>
      </c>
      <c r="B539" s="488" t="s">
        <v>326</v>
      </c>
      <c r="C539" s="351"/>
      <c r="D539" s="489" t="s">
        <v>294</v>
      </c>
      <c r="E539" s="351"/>
      <c r="F539" s="485" t="s">
        <v>325</v>
      </c>
      <c r="G539" s="351"/>
      <c r="H539" s="487"/>
      <c r="I539" s="350"/>
      <c r="J539" s="351"/>
      <c r="K539" s="485" t="s">
        <v>325</v>
      </c>
      <c r="L539" s="350"/>
      <c r="M539" s="351"/>
      <c r="N539" s="490" t="s">
        <v>294</v>
      </c>
      <c r="O539" s="350"/>
      <c r="P539" s="350"/>
      <c r="Q539" s="350"/>
      <c r="R539" s="350"/>
      <c r="S539" s="350"/>
      <c r="T539" s="350"/>
      <c r="U539" s="351"/>
    </row>
    <row r="540" spans="1:21" ht="34.5" customHeight="1">
      <c r="A540" s="24">
        <f t="shared" si="2"/>
        <v>526</v>
      </c>
      <c r="B540" s="483" t="s">
        <v>294</v>
      </c>
      <c r="C540" s="351"/>
      <c r="D540" s="484" t="s">
        <v>294</v>
      </c>
      <c r="E540" s="351"/>
      <c r="F540" s="485" t="s">
        <v>325</v>
      </c>
      <c r="G540" s="351"/>
      <c r="H540" s="486"/>
      <c r="I540" s="350"/>
      <c r="J540" s="351"/>
      <c r="K540" s="485" t="s">
        <v>325</v>
      </c>
      <c r="L540" s="350"/>
      <c r="M540" s="351"/>
      <c r="N540" s="491" t="s">
        <v>294</v>
      </c>
      <c r="O540" s="350"/>
      <c r="P540" s="350"/>
      <c r="Q540" s="350"/>
      <c r="R540" s="350"/>
      <c r="S540" s="350"/>
      <c r="T540" s="350"/>
      <c r="U540" s="351"/>
    </row>
    <row r="541" spans="1:21" ht="34.5" customHeight="1">
      <c r="A541" s="24">
        <f t="shared" si="2"/>
        <v>527</v>
      </c>
      <c r="B541" s="488" t="s">
        <v>294</v>
      </c>
      <c r="C541" s="351"/>
      <c r="D541" s="489" t="s">
        <v>294</v>
      </c>
      <c r="E541" s="351"/>
      <c r="F541" s="485" t="s">
        <v>325</v>
      </c>
      <c r="G541" s="351"/>
      <c r="H541" s="487"/>
      <c r="I541" s="350"/>
      <c r="J541" s="351"/>
      <c r="K541" s="485" t="s">
        <v>325</v>
      </c>
      <c r="L541" s="350"/>
      <c r="M541" s="351"/>
      <c r="N541" s="490" t="s">
        <v>294</v>
      </c>
      <c r="O541" s="350"/>
      <c r="P541" s="350"/>
      <c r="Q541" s="350"/>
      <c r="R541" s="350"/>
      <c r="S541" s="350"/>
      <c r="T541" s="350"/>
      <c r="U541" s="351"/>
    </row>
    <row r="542" spans="1:21" ht="34.5" customHeight="1">
      <c r="A542" s="24">
        <f t="shared" si="2"/>
        <v>528</v>
      </c>
      <c r="B542" s="483" t="s">
        <v>294</v>
      </c>
      <c r="C542" s="351"/>
      <c r="D542" s="484" t="s">
        <v>294</v>
      </c>
      <c r="E542" s="351"/>
      <c r="F542" s="485" t="s">
        <v>325</v>
      </c>
      <c r="G542" s="351"/>
      <c r="H542" s="486"/>
      <c r="I542" s="350"/>
      <c r="J542" s="351"/>
      <c r="K542" s="485" t="s">
        <v>325</v>
      </c>
      <c r="L542" s="350"/>
      <c r="M542" s="351"/>
      <c r="N542" s="491" t="s">
        <v>294</v>
      </c>
      <c r="O542" s="350"/>
      <c r="P542" s="350"/>
      <c r="Q542" s="350"/>
      <c r="R542" s="350"/>
      <c r="S542" s="350"/>
      <c r="T542" s="350"/>
      <c r="U542" s="351"/>
    </row>
    <row r="543" spans="1:21" ht="34.5" customHeight="1">
      <c r="A543" s="24">
        <f t="shared" si="2"/>
        <v>529</v>
      </c>
      <c r="B543" s="488" t="s">
        <v>294</v>
      </c>
      <c r="C543" s="351"/>
      <c r="D543" s="489" t="s">
        <v>294</v>
      </c>
      <c r="E543" s="351"/>
      <c r="F543" s="485" t="s">
        <v>325</v>
      </c>
      <c r="G543" s="351"/>
      <c r="H543" s="487"/>
      <c r="I543" s="350"/>
      <c r="J543" s="351"/>
      <c r="K543" s="485" t="s">
        <v>325</v>
      </c>
      <c r="L543" s="350"/>
      <c r="M543" s="351"/>
      <c r="N543" s="490" t="s">
        <v>294</v>
      </c>
      <c r="O543" s="350"/>
      <c r="P543" s="350"/>
      <c r="Q543" s="350"/>
      <c r="R543" s="350"/>
      <c r="S543" s="350"/>
      <c r="T543" s="350"/>
      <c r="U543" s="351"/>
    </row>
    <row r="544" spans="1:21" ht="34.5" customHeight="1">
      <c r="A544" s="24">
        <f t="shared" si="2"/>
        <v>530</v>
      </c>
      <c r="B544" s="483" t="s">
        <v>294</v>
      </c>
      <c r="C544" s="351"/>
      <c r="D544" s="484" t="s">
        <v>294</v>
      </c>
      <c r="E544" s="351"/>
      <c r="F544" s="485" t="s">
        <v>325</v>
      </c>
      <c r="G544" s="351"/>
      <c r="H544" s="486"/>
      <c r="I544" s="350"/>
      <c r="J544" s="351"/>
      <c r="K544" s="485" t="s">
        <v>325</v>
      </c>
      <c r="L544" s="350"/>
      <c r="M544" s="351"/>
      <c r="N544" s="491" t="s">
        <v>294</v>
      </c>
      <c r="O544" s="350"/>
      <c r="P544" s="350"/>
      <c r="Q544" s="350"/>
      <c r="R544" s="350"/>
      <c r="S544" s="350"/>
      <c r="T544" s="350"/>
      <c r="U544" s="351"/>
    </row>
    <row r="545" spans="1:21" ht="34.5" customHeight="1">
      <c r="A545" s="24">
        <f t="shared" si="2"/>
        <v>531</v>
      </c>
      <c r="B545" s="488" t="s">
        <v>294</v>
      </c>
      <c r="C545" s="351"/>
      <c r="D545" s="489" t="s">
        <v>294</v>
      </c>
      <c r="E545" s="351"/>
      <c r="F545" s="485" t="s">
        <v>325</v>
      </c>
      <c r="G545" s="351"/>
      <c r="H545" s="487"/>
      <c r="I545" s="350"/>
      <c r="J545" s="351"/>
      <c r="K545" s="485" t="s">
        <v>325</v>
      </c>
      <c r="L545" s="350"/>
      <c r="M545" s="351"/>
      <c r="N545" s="490" t="s">
        <v>294</v>
      </c>
      <c r="O545" s="350"/>
      <c r="P545" s="350"/>
      <c r="Q545" s="350"/>
      <c r="R545" s="350"/>
      <c r="S545" s="350"/>
      <c r="T545" s="350"/>
      <c r="U545" s="351"/>
    </row>
    <row r="546" spans="1:21" ht="34.5" customHeight="1">
      <c r="A546" s="24">
        <f t="shared" si="2"/>
        <v>532</v>
      </c>
      <c r="B546" s="483" t="s">
        <v>294</v>
      </c>
      <c r="C546" s="351"/>
      <c r="D546" s="484" t="s">
        <v>294</v>
      </c>
      <c r="E546" s="351"/>
      <c r="F546" s="485" t="s">
        <v>325</v>
      </c>
      <c r="G546" s="351"/>
      <c r="H546" s="486"/>
      <c r="I546" s="350"/>
      <c r="J546" s="351"/>
      <c r="K546" s="485" t="s">
        <v>325</v>
      </c>
      <c r="L546" s="350"/>
      <c r="M546" s="351"/>
      <c r="N546" s="491" t="s">
        <v>294</v>
      </c>
      <c r="O546" s="350"/>
      <c r="P546" s="350"/>
      <c r="Q546" s="350"/>
      <c r="R546" s="350"/>
      <c r="S546" s="350"/>
      <c r="T546" s="350"/>
      <c r="U546" s="351"/>
    </row>
    <row r="547" spans="1:21" ht="34.5" customHeight="1">
      <c r="A547" s="24">
        <f t="shared" si="2"/>
        <v>533</v>
      </c>
      <c r="B547" s="488" t="s">
        <v>329</v>
      </c>
      <c r="C547" s="351"/>
      <c r="D547" s="489" t="s">
        <v>294</v>
      </c>
      <c r="E547" s="351"/>
      <c r="F547" s="485" t="s">
        <v>325</v>
      </c>
      <c r="G547" s="351"/>
      <c r="H547" s="487"/>
      <c r="I547" s="350"/>
      <c r="J547" s="351"/>
      <c r="K547" s="485" t="s">
        <v>325</v>
      </c>
      <c r="L547" s="350"/>
      <c r="M547" s="351"/>
      <c r="N547" s="490" t="s">
        <v>294</v>
      </c>
      <c r="O547" s="350"/>
      <c r="P547" s="350"/>
      <c r="Q547" s="350"/>
      <c r="R547" s="350"/>
      <c r="S547" s="350"/>
      <c r="T547" s="350"/>
      <c r="U547" s="351"/>
    </row>
    <row r="548" spans="1:21" ht="34.5" customHeight="1">
      <c r="A548" s="24">
        <f t="shared" si="2"/>
        <v>534</v>
      </c>
      <c r="B548" s="483" t="s">
        <v>294</v>
      </c>
      <c r="C548" s="351"/>
      <c r="D548" s="484" t="s">
        <v>294</v>
      </c>
      <c r="E548" s="351"/>
      <c r="F548" s="485" t="s">
        <v>325</v>
      </c>
      <c r="G548" s="351"/>
      <c r="H548" s="486"/>
      <c r="I548" s="350"/>
      <c r="J548" s="351"/>
      <c r="K548" s="485" t="s">
        <v>325</v>
      </c>
      <c r="L548" s="350"/>
      <c r="M548" s="351"/>
      <c r="N548" s="491" t="s">
        <v>294</v>
      </c>
      <c r="O548" s="350"/>
      <c r="P548" s="350"/>
      <c r="Q548" s="350"/>
      <c r="R548" s="350"/>
      <c r="S548" s="350"/>
      <c r="T548" s="350"/>
      <c r="U548" s="351"/>
    </row>
    <row r="549" spans="1:21" ht="34.5" customHeight="1">
      <c r="A549" s="24">
        <f t="shared" si="2"/>
        <v>535</v>
      </c>
      <c r="B549" s="488" t="s">
        <v>294</v>
      </c>
      <c r="C549" s="351"/>
      <c r="D549" s="489" t="s">
        <v>294</v>
      </c>
      <c r="E549" s="351"/>
      <c r="F549" s="485" t="s">
        <v>325</v>
      </c>
      <c r="G549" s="351"/>
      <c r="H549" s="487"/>
      <c r="I549" s="350"/>
      <c r="J549" s="351"/>
      <c r="K549" s="485" t="s">
        <v>325</v>
      </c>
      <c r="L549" s="350"/>
      <c r="M549" s="351"/>
      <c r="N549" s="490" t="s">
        <v>294</v>
      </c>
      <c r="O549" s="350"/>
      <c r="P549" s="350"/>
      <c r="Q549" s="350"/>
      <c r="R549" s="350"/>
      <c r="S549" s="350"/>
      <c r="T549" s="350"/>
      <c r="U549" s="351"/>
    </row>
    <row r="550" spans="1:21" ht="34.5" customHeight="1">
      <c r="A550" s="24">
        <f t="shared" si="2"/>
        <v>536</v>
      </c>
      <c r="B550" s="483" t="s">
        <v>331</v>
      </c>
      <c r="C550" s="351"/>
      <c r="D550" s="484" t="s">
        <v>294</v>
      </c>
      <c r="E550" s="351"/>
      <c r="F550" s="485" t="s">
        <v>325</v>
      </c>
      <c r="G550" s="351"/>
      <c r="H550" s="486"/>
      <c r="I550" s="350"/>
      <c r="J550" s="351"/>
      <c r="K550" s="485" t="s">
        <v>325</v>
      </c>
      <c r="L550" s="350"/>
      <c r="M550" s="351"/>
      <c r="N550" s="491" t="s">
        <v>294</v>
      </c>
      <c r="O550" s="350"/>
      <c r="P550" s="350"/>
      <c r="Q550" s="350"/>
      <c r="R550" s="350"/>
      <c r="S550" s="350"/>
      <c r="T550" s="350"/>
      <c r="U550" s="351"/>
    </row>
    <row r="551" spans="1:21" ht="34.5" customHeight="1">
      <c r="A551" s="24">
        <f t="shared" si="2"/>
        <v>537</v>
      </c>
      <c r="B551" s="488" t="s">
        <v>294</v>
      </c>
      <c r="C551" s="351"/>
      <c r="D551" s="489" t="s">
        <v>294</v>
      </c>
      <c r="E551" s="351"/>
      <c r="F551" s="485" t="s">
        <v>325</v>
      </c>
      <c r="G551" s="351"/>
      <c r="H551" s="487"/>
      <c r="I551" s="350"/>
      <c r="J551" s="351"/>
      <c r="K551" s="485" t="s">
        <v>325</v>
      </c>
      <c r="L551" s="350"/>
      <c r="M551" s="351"/>
      <c r="N551" s="490" t="s">
        <v>294</v>
      </c>
      <c r="O551" s="350"/>
      <c r="P551" s="350"/>
      <c r="Q551" s="350"/>
      <c r="R551" s="350"/>
      <c r="S551" s="350"/>
      <c r="T551" s="350"/>
      <c r="U551" s="351"/>
    </row>
    <row r="552" spans="1:21" ht="34.5" customHeight="1">
      <c r="A552" s="24">
        <f t="shared" si="2"/>
        <v>538</v>
      </c>
      <c r="B552" s="483" t="s">
        <v>294</v>
      </c>
      <c r="C552" s="351"/>
      <c r="D552" s="484" t="s">
        <v>294</v>
      </c>
      <c r="E552" s="351"/>
      <c r="F552" s="485" t="s">
        <v>325</v>
      </c>
      <c r="G552" s="351"/>
      <c r="H552" s="486"/>
      <c r="I552" s="350"/>
      <c r="J552" s="351"/>
      <c r="K552" s="485" t="s">
        <v>325</v>
      </c>
      <c r="L552" s="350"/>
      <c r="M552" s="351"/>
      <c r="N552" s="491" t="s">
        <v>294</v>
      </c>
      <c r="O552" s="350"/>
      <c r="P552" s="350"/>
      <c r="Q552" s="350"/>
      <c r="R552" s="350"/>
      <c r="S552" s="350"/>
      <c r="T552" s="350"/>
      <c r="U552" s="351"/>
    </row>
    <row r="553" spans="1:21" ht="34.5" customHeight="1">
      <c r="A553" s="24">
        <f t="shared" si="2"/>
        <v>539</v>
      </c>
      <c r="B553" s="488" t="s">
        <v>294</v>
      </c>
      <c r="C553" s="351"/>
      <c r="D553" s="489" t="s">
        <v>294</v>
      </c>
      <c r="E553" s="351"/>
      <c r="F553" s="485" t="s">
        <v>325</v>
      </c>
      <c r="G553" s="351"/>
      <c r="H553" s="487"/>
      <c r="I553" s="350"/>
      <c r="J553" s="351"/>
      <c r="K553" s="485" t="s">
        <v>325</v>
      </c>
      <c r="L553" s="350"/>
      <c r="M553" s="351"/>
      <c r="N553" s="490" t="s">
        <v>294</v>
      </c>
      <c r="O553" s="350"/>
      <c r="P553" s="350"/>
      <c r="Q553" s="350"/>
      <c r="R553" s="350"/>
      <c r="S553" s="350"/>
      <c r="T553" s="350"/>
      <c r="U553" s="351"/>
    </row>
    <row r="554" spans="1:21" ht="34.5" customHeight="1">
      <c r="A554" s="24">
        <f t="shared" si="2"/>
        <v>540</v>
      </c>
      <c r="B554" s="483" t="s">
        <v>294</v>
      </c>
      <c r="C554" s="351"/>
      <c r="D554" s="484" t="s">
        <v>294</v>
      </c>
      <c r="E554" s="351"/>
      <c r="F554" s="485" t="s">
        <v>325</v>
      </c>
      <c r="G554" s="351"/>
      <c r="H554" s="486"/>
      <c r="I554" s="350"/>
      <c r="J554" s="351"/>
      <c r="K554" s="485" t="s">
        <v>325</v>
      </c>
      <c r="L554" s="350"/>
      <c r="M554" s="351"/>
      <c r="N554" s="491" t="s">
        <v>294</v>
      </c>
      <c r="O554" s="350"/>
      <c r="P554" s="350"/>
      <c r="Q554" s="350"/>
      <c r="R554" s="350"/>
      <c r="S554" s="350"/>
      <c r="T554" s="350"/>
      <c r="U554" s="351"/>
    </row>
    <row r="555" spans="1:21" ht="34.5" customHeight="1">
      <c r="A555" s="24">
        <f t="shared" si="2"/>
        <v>541</v>
      </c>
      <c r="B555" s="488" t="s">
        <v>294</v>
      </c>
      <c r="C555" s="351"/>
      <c r="D555" s="489" t="s">
        <v>294</v>
      </c>
      <c r="E555" s="351"/>
      <c r="F555" s="485" t="s">
        <v>325</v>
      </c>
      <c r="G555" s="351"/>
      <c r="H555" s="487"/>
      <c r="I555" s="350"/>
      <c r="J555" s="351"/>
      <c r="K555" s="485" t="s">
        <v>325</v>
      </c>
      <c r="L555" s="350"/>
      <c r="M555" s="351"/>
      <c r="N555" s="490" t="s">
        <v>294</v>
      </c>
      <c r="O555" s="350"/>
      <c r="P555" s="350"/>
      <c r="Q555" s="350"/>
      <c r="R555" s="350"/>
      <c r="S555" s="350"/>
      <c r="T555" s="350"/>
      <c r="U555" s="351"/>
    </row>
    <row r="556" spans="1:21" ht="34.5" customHeight="1">
      <c r="A556" s="24">
        <f t="shared" si="2"/>
        <v>542</v>
      </c>
      <c r="B556" s="483" t="s">
        <v>332</v>
      </c>
      <c r="C556" s="351"/>
      <c r="D556" s="484" t="s">
        <v>294</v>
      </c>
      <c r="E556" s="351"/>
      <c r="F556" s="485" t="s">
        <v>325</v>
      </c>
      <c r="G556" s="351"/>
      <c r="H556" s="486"/>
      <c r="I556" s="350"/>
      <c r="J556" s="351"/>
      <c r="K556" s="485" t="s">
        <v>325</v>
      </c>
      <c r="L556" s="350"/>
      <c r="M556" s="351"/>
      <c r="N556" s="491" t="s">
        <v>294</v>
      </c>
      <c r="O556" s="350"/>
      <c r="P556" s="350"/>
      <c r="Q556" s="350"/>
      <c r="R556" s="350"/>
      <c r="S556" s="350"/>
      <c r="T556" s="350"/>
      <c r="U556" s="351"/>
    </row>
    <row r="557" spans="1:21" ht="34.5" customHeight="1">
      <c r="A557" s="24">
        <f t="shared" si="2"/>
        <v>543</v>
      </c>
      <c r="B557" s="488" t="s">
        <v>294</v>
      </c>
      <c r="C557" s="351"/>
      <c r="D557" s="489" t="s">
        <v>294</v>
      </c>
      <c r="E557" s="351"/>
      <c r="F557" s="485" t="s">
        <v>325</v>
      </c>
      <c r="G557" s="351"/>
      <c r="H557" s="487"/>
      <c r="I557" s="350"/>
      <c r="J557" s="351"/>
      <c r="K557" s="485" t="s">
        <v>325</v>
      </c>
      <c r="L557" s="350"/>
      <c r="M557" s="351"/>
      <c r="N557" s="490" t="s">
        <v>294</v>
      </c>
      <c r="O557" s="350"/>
      <c r="P557" s="350"/>
      <c r="Q557" s="350"/>
      <c r="R557" s="350"/>
      <c r="S557" s="350"/>
      <c r="T557" s="350"/>
      <c r="U557" s="351"/>
    </row>
    <row r="558" spans="1:21" ht="34.5" customHeight="1">
      <c r="A558" s="24">
        <f t="shared" si="2"/>
        <v>544</v>
      </c>
      <c r="B558" s="483" t="s">
        <v>294</v>
      </c>
      <c r="C558" s="351"/>
      <c r="D558" s="484" t="s">
        <v>294</v>
      </c>
      <c r="E558" s="351"/>
      <c r="F558" s="485" t="s">
        <v>325</v>
      </c>
      <c r="G558" s="351"/>
      <c r="H558" s="486"/>
      <c r="I558" s="350"/>
      <c r="J558" s="351"/>
      <c r="K558" s="485" t="s">
        <v>325</v>
      </c>
      <c r="L558" s="350"/>
      <c r="M558" s="351"/>
      <c r="N558" s="491" t="s">
        <v>294</v>
      </c>
      <c r="O558" s="350"/>
      <c r="P558" s="350"/>
      <c r="Q558" s="350"/>
      <c r="R558" s="350"/>
      <c r="S558" s="350"/>
      <c r="T558" s="350"/>
      <c r="U558" s="351"/>
    </row>
    <row r="559" spans="1:21" ht="34.5" customHeight="1">
      <c r="A559" s="24">
        <f t="shared" si="2"/>
        <v>545</v>
      </c>
      <c r="B559" s="488" t="s">
        <v>294</v>
      </c>
      <c r="C559" s="351"/>
      <c r="D559" s="489" t="s">
        <v>294</v>
      </c>
      <c r="E559" s="351"/>
      <c r="F559" s="485" t="s">
        <v>325</v>
      </c>
      <c r="G559" s="351"/>
      <c r="H559" s="487"/>
      <c r="I559" s="350"/>
      <c r="J559" s="351"/>
      <c r="K559" s="485" t="s">
        <v>325</v>
      </c>
      <c r="L559" s="350"/>
      <c r="M559" s="351"/>
      <c r="N559" s="490" t="s">
        <v>294</v>
      </c>
      <c r="O559" s="350"/>
      <c r="P559" s="350"/>
      <c r="Q559" s="350"/>
      <c r="R559" s="350"/>
      <c r="S559" s="350"/>
      <c r="T559" s="350"/>
      <c r="U559" s="351"/>
    </row>
    <row r="560" spans="1:21" ht="34.5" customHeight="1">
      <c r="A560" s="24">
        <f t="shared" si="2"/>
        <v>546</v>
      </c>
      <c r="B560" s="483" t="s">
        <v>294</v>
      </c>
      <c r="C560" s="351"/>
      <c r="D560" s="484" t="s">
        <v>294</v>
      </c>
      <c r="E560" s="351"/>
      <c r="F560" s="485" t="s">
        <v>325</v>
      </c>
      <c r="G560" s="351"/>
      <c r="H560" s="486"/>
      <c r="I560" s="350"/>
      <c r="J560" s="351"/>
      <c r="K560" s="485" t="s">
        <v>325</v>
      </c>
      <c r="L560" s="350"/>
      <c r="M560" s="351"/>
      <c r="N560" s="491" t="s">
        <v>294</v>
      </c>
      <c r="O560" s="350"/>
      <c r="P560" s="350"/>
      <c r="Q560" s="350"/>
      <c r="R560" s="350"/>
      <c r="S560" s="350"/>
      <c r="T560" s="350"/>
      <c r="U560" s="351"/>
    </row>
    <row r="561" spans="1:21" ht="34.5" customHeight="1">
      <c r="A561" s="24">
        <f t="shared" si="2"/>
        <v>547</v>
      </c>
      <c r="B561" s="488" t="s">
        <v>294</v>
      </c>
      <c r="C561" s="351"/>
      <c r="D561" s="489" t="s">
        <v>294</v>
      </c>
      <c r="E561" s="351"/>
      <c r="F561" s="485" t="s">
        <v>325</v>
      </c>
      <c r="G561" s="351"/>
      <c r="H561" s="487"/>
      <c r="I561" s="350"/>
      <c r="J561" s="351"/>
      <c r="K561" s="485" t="s">
        <v>325</v>
      </c>
      <c r="L561" s="350"/>
      <c r="M561" s="351"/>
      <c r="N561" s="490" t="s">
        <v>294</v>
      </c>
      <c r="O561" s="350"/>
      <c r="P561" s="350"/>
      <c r="Q561" s="350"/>
      <c r="R561" s="350"/>
      <c r="S561" s="350"/>
      <c r="T561" s="350"/>
      <c r="U561" s="351"/>
    </row>
    <row r="562" spans="1:21" ht="34.5" customHeight="1">
      <c r="A562" s="24">
        <f t="shared" si="2"/>
        <v>548</v>
      </c>
      <c r="B562" s="483" t="s">
        <v>294</v>
      </c>
      <c r="C562" s="351"/>
      <c r="D562" s="484" t="s">
        <v>294</v>
      </c>
      <c r="E562" s="351"/>
      <c r="F562" s="485" t="s">
        <v>325</v>
      </c>
      <c r="G562" s="351"/>
      <c r="H562" s="486"/>
      <c r="I562" s="350"/>
      <c r="J562" s="351"/>
      <c r="K562" s="485" t="s">
        <v>325</v>
      </c>
      <c r="L562" s="350"/>
      <c r="M562" s="351"/>
      <c r="N562" s="491" t="s">
        <v>294</v>
      </c>
      <c r="O562" s="350"/>
      <c r="P562" s="350"/>
      <c r="Q562" s="350"/>
      <c r="R562" s="350"/>
      <c r="S562" s="350"/>
      <c r="T562" s="350"/>
      <c r="U562" s="351"/>
    </row>
    <row r="563" spans="1:21" ht="34.5" customHeight="1">
      <c r="A563" s="24">
        <f t="shared" si="2"/>
        <v>549</v>
      </c>
      <c r="B563" s="488" t="s">
        <v>294</v>
      </c>
      <c r="C563" s="351"/>
      <c r="D563" s="489" t="s">
        <v>294</v>
      </c>
      <c r="E563" s="351"/>
      <c r="F563" s="485" t="s">
        <v>325</v>
      </c>
      <c r="G563" s="351"/>
      <c r="H563" s="487"/>
      <c r="I563" s="350"/>
      <c r="J563" s="351"/>
      <c r="K563" s="485" t="s">
        <v>325</v>
      </c>
      <c r="L563" s="350"/>
      <c r="M563" s="351"/>
      <c r="N563" s="490" t="s">
        <v>294</v>
      </c>
      <c r="O563" s="350"/>
      <c r="P563" s="350"/>
      <c r="Q563" s="350"/>
      <c r="R563" s="350"/>
      <c r="S563" s="350"/>
      <c r="T563" s="350"/>
      <c r="U563" s="351"/>
    </row>
    <row r="564" spans="1:21" ht="34.5" customHeight="1">
      <c r="A564" s="24">
        <f t="shared" si="2"/>
        <v>550</v>
      </c>
      <c r="B564" s="483" t="s">
        <v>294</v>
      </c>
      <c r="C564" s="351"/>
      <c r="D564" s="484" t="s">
        <v>294</v>
      </c>
      <c r="E564" s="351"/>
      <c r="F564" s="485" t="s">
        <v>325</v>
      </c>
      <c r="G564" s="351"/>
      <c r="H564" s="486"/>
      <c r="I564" s="350"/>
      <c r="J564" s="351"/>
      <c r="K564" s="485" t="s">
        <v>325</v>
      </c>
      <c r="L564" s="350"/>
      <c r="M564" s="351"/>
      <c r="N564" s="491" t="s">
        <v>294</v>
      </c>
      <c r="O564" s="350"/>
      <c r="P564" s="350"/>
      <c r="Q564" s="350"/>
      <c r="R564" s="350"/>
      <c r="S564" s="350"/>
      <c r="T564" s="350"/>
      <c r="U564" s="351"/>
    </row>
    <row r="565" spans="1:21" ht="34.5" customHeight="1">
      <c r="A565" s="24">
        <f t="shared" si="2"/>
        <v>551</v>
      </c>
      <c r="B565" s="488" t="s">
        <v>294</v>
      </c>
      <c r="C565" s="351"/>
      <c r="D565" s="489" t="s">
        <v>294</v>
      </c>
      <c r="E565" s="351"/>
      <c r="F565" s="485" t="s">
        <v>325</v>
      </c>
      <c r="G565" s="351"/>
      <c r="H565" s="487"/>
      <c r="I565" s="350"/>
      <c r="J565" s="351"/>
      <c r="K565" s="485" t="s">
        <v>325</v>
      </c>
      <c r="L565" s="350"/>
      <c r="M565" s="351"/>
      <c r="N565" s="490" t="s">
        <v>294</v>
      </c>
      <c r="O565" s="350"/>
      <c r="P565" s="350"/>
      <c r="Q565" s="350"/>
      <c r="R565" s="350"/>
      <c r="S565" s="350"/>
      <c r="T565" s="350"/>
      <c r="U565" s="351"/>
    </row>
    <row r="566" spans="1:21" ht="34.5" customHeight="1">
      <c r="A566" s="24">
        <f t="shared" si="2"/>
        <v>552</v>
      </c>
      <c r="B566" s="483" t="s">
        <v>294</v>
      </c>
      <c r="C566" s="351"/>
      <c r="D566" s="484" t="s">
        <v>294</v>
      </c>
      <c r="E566" s="351"/>
      <c r="F566" s="485" t="s">
        <v>325</v>
      </c>
      <c r="G566" s="351"/>
      <c r="H566" s="486"/>
      <c r="I566" s="350"/>
      <c r="J566" s="351"/>
      <c r="K566" s="485" t="s">
        <v>325</v>
      </c>
      <c r="L566" s="350"/>
      <c r="M566" s="351"/>
      <c r="N566" s="491" t="s">
        <v>294</v>
      </c>
      <c r="O566" s="350"/>
      <c r="P566" s="350"/>
      <c r="Q566" s="350"/>
      <c r="R566" s="350"/>
      <c r="S566" s="350"/>
      <c r="T566" s="350"/>
      <c r="U566" s="351"/>
    </row>
    <row r="567" spans="1:21" ht="34.5" customHeight="1">
      <c r="A567" s="24">
        <f t="shared" si="2"/>
        <v>553</v>
      </c>
      <c r="B567" s="488" t="s">
        <v>294</v>
      </c>
      <c r="C567" s="351"/>
      <c r="D567" s="489" t="s">
        <v>294</v>
      </c>
      <c r="E567" s="351"/>
      <c r="F567" s="485" t="s">
        <v>325</v>
      </c>
      <c r="G567" s="351"/>
      <c r="H567" s="487"/>
      <c r="I567" s="350"/>
      <c r="J567" s="351"/>
      <c r="K567" s="485" t="s">
        <v>325</v>
      </c>
      <c r="L567" s="350"/>
      <c r="M567" s="351"/>
      <c r="N567" s="490" t="s">
        <v>294</v>
      </c>
      <c r="O567" s="350"/>
      <c r="P567" s="350"/>
      <c r="Q567" s="350"/>
      <c r="R567" s="350"/>
      <c r="S567" s="350"/>
      <c r="T567" s="350"/>
      <c r="U567" s="351"/>
    </row>
    <row r="568" spans="1:21" ht="34.5" customHeight="1">
      <c r="A568" s="24">
        <f t="shared" si="2"/>
        <v>554</v>
      </c>
      <c r="B568" s="483" t="s">
        <v>333</v>
      </c>
      <c r="C568" s="351"/>
      <c r="D568" s="484" t="s">
        <v>294</v>
      </c>
      <c r="E568" s="351"/>
      <c r="F568" s="485" t="s">
        <v>325</v>
      </c>
      <c r="G568" s="351"/>
      <c r="H568" s="486"/>
      <c r="I568" s="350"/>
      <c r="J568" s="351"/>
      <c r="K568" s="485" t="s">
        <v>325</v>
      </c>
      <c r="L568" s="350"/>
      <c r="M568" s="351"/>
      <c r="N568" s="491" t="s">
        <v>294</v>
      </c>
      <c r="O568" s="350"/>
      <c r="P568" s="350"/>
      <c r="Q568" s="350"/>
      <c r="R568" s="350"/>
      <c r="S568" s="350"/>
      <c r="T568" s="350"/>
      <c r="U568" s="351"/>
    </row>
    <row r="569" spans="1:21" ht="34.5" customHeight="1">
      <c r="A569" s="24">
        <f t="shared" si="2"/>
        <v>555</v>
      </c>
      <c r="B569" s="488" t="s">
        <v>294</v>
      </c>
      <c r="C569" s="351"/>
      <c r="D569" s="489" t="s">
        <v>294</v>
      </c>
      <c r="E569" s="351"/>
      <c r="F569" s="485" t="s">
        <v>325</v>
      </c>
      <c r="G569" s="351"/>
      <c r="H569" s="487"/>
      <c r="I569" s="350"/>
      <c r="J569" s="351"/>
      <c r="K569" s="485" t="s">
        <v>325</v>
      </c>
      <c r="L569" s="350"/>
      <c r="M569" s="351"/>
      <c r="N569" s="490" t="s">
        <v>294</v>
      </c>
      <c r="O569" s="350"/>
      <c r="P569" s="350"/>
      <c r="Q569" s="350"/>
      <c r="R569" s="350"/>
      <c r="S569" s="350"/>
      <c r="T569" s="350"/>
      <c r="U569" s="351"/>
    </row>
    <row r="570" spans="1:21" ht="34.5" customHeight="1">
      <c r="A570" s="24">
        <f t="shared" si="2"/>
        <v>556</v>
      </c>
      <c r="B570" s="483" t="s">
        <v>294</v>
      </c>
      <c r="C570" s="351"/>
      <c r="D570" s="484" t="s">
        <v>294</v>
      </c>
      <c r="E570" s="351"/>
      <c r="F570" s="485" t="s">
        <v>325</v>
      </c>
      <c r="G570" s="351"/>
      <c r="H570" s="486"/>
      <c r="I570" s="350"/>
      <c r="J570" s="351"/>
      <c r="K570" s="485" t="s">
        <v>325</v>
      </c>
      <c r="L570" s="350"/>
      <c r="M570" s="351"/>
      <c r="N570" s="491" t="s">
        <v>294</v>
      </c>
      <c r="O570" s="350"/>
      <c r="P570" s="350"/>
      <c r="Q570" s="350"/>
      <c r="R570" s="350"/>
      <c r="S570" s="350"/>
      <c r="T570" s="350"/>
      <c r="U570" s="351"/>
    </row>
    <row r="571" spans="1:21" ht="34.5" customHeight="1">
      <c r="A571" s="24">
        <f t="shared" si="2"/>
        <v>557</v>
      </c>
      <c r="B571" s="488" t="s">
        <v>294</v>
      </c>
      <c r="C571" s="351"/>
      <c r="D571" s="489" t="s">
        <v>294</v>
      </c>
      <c r="E571" s="351"/>
      <c r="F571" s="485" t="s">
        <v>325</v>
      </c>
      <c r="G571" s="351"/>
      <c r="H571" s="487"/>
      <c r="I571" s="350"/>
      <c r="J571" s="351"/>
      <c r="K571" s="485" t="s">
        <v>325</v>
      </c>
      <c r="L571" s="350"/>
      <c r="M571" s="351"/>
      <c r="N571" s="490" t="s">
        <v>294</v>
      </c>
      <c r="O571" s="350"/>
      <c r="P571" s="350"/>
      <c r="Q571" s="350"/>
      <c r="R571" s="350"/>
      <c r="S571" s="350"/>
      <c r="T571" s="350"/>
      <c r="U571" s="351"/>
    </row>
    <row r="572" spans="1:21" ht="34.5" customHeight="1">
      <c r="A572" s="24">
        <f t="shared" si="2"/>
        <v>558</v>
      </c>
      <c r="B572" s="483" t="s">
        <v>294</v>
      </c>
      <c r="C572" s="351"/>
      <c r="D572" s="484" t="s">
        <v>294</v>
      </c>
      <c r="E572" s="351"/>
      <c r="F572" s="485" t="s">
        <v>325</v>
      </c>
      <c r="G572" s="351"/>
      <c r="H572" s="486"/>
      <c r="I572" s="350"/>
      <c r="J572" s="351"/>
      <c r="K572" s="485" t="s">
        <v>325</v>
      </c>
      <c r="L572" s="350"/>
      <c r="M572" s="351"/>
      <c r="N572" s="491" t="s">
        <v>294</v>
      </c>
      <c r="O572" s="350"/>
      <c r="P572" s="350"/>
      <c r="Q572" s="350"/>
      <c r="R572" s="350"/>
      <c r="S572" s="350"/>
      <c r="T572" s="350"/>
      <c r="U572" s="351"/>
    </row>
    <row r="573" spans="1:21" ht="34.5" customHeight="1">
      <c r="A573" s="24">
        <f t="shared" si="2"/>
        <v>559</v>
      </c>
      <c r="B573" s="488" t="s">
        <v>294</v>
      </c>
      <c r="C573" s="351"/>
      <c r="D573" s="489" t="s">
        <v>294</v>
      </c>
      <c r="E573" s="351"/>
      <c r="F573" s="485" t="s">
        <v>325</v>
      </c>
      <c r="G573" s="351"/>
      <c r="H573" s="487"/>
      <c r="I573" s="350"/>
      <c r="J573" s="351"/>
      <c r="K573" s="485" t="s">
        <v>325</v>
      </c>
      <c r="L573" s="350"/>
      <c r="M573" s="351"/>
      <c r="N573" s="490" t="s">
        <v>294</v>
      </c>
      <c r="O573" s="350"/>
      <c r="P573" s="350"/>
      <c r="Q573" s="350"/>
      <c r="R573" s="350"/>
      <c r="S573" s="350"/>
      <c r="T573" s="350"/>
      <c r="U573" s="351"/>
    </row>
    <row r="574" spans="1:21" ht="34.5" customHeight="1">
      <c r="A574" s="24">
        <f t="shared" si="2"/>
        <v>560</v>
      </c>
      <c r="B574" s="483" t="s">
        <v>330</v>
      </c>
      <c r="C574" s="351"/>
      <c r="D574" s="484" t="s">
        <v>294</v>
      </c>
      <c r="E574" s="351"/>
      <c r="F574" s="485" t="s">
        <v>325</v>
      </c>
      <c r="G574" s="351"/>
      <c r="H574" s="486"/>
      <c r="I574" s="350"/>
      <c r="J574" s="351"/>
      <c r="K574" s="485" t="s">
        <v>325</v>
      </c>
      <c r="L574" s="350"/>
      <c r="M574" s="351"/>
      <c r="N574" s="491" t="s">
        <v>294</v>
      </c>
      <c r="O574" s="350"/>
      <c r="P574" s="350"/>
      <c r="Q574" s="350"/>
      <c r="R574" s="350"/>
      <c r="S574" s="350"/>
      <c r="T574" s="350"/>
      <c r="U574" s="351"/>
    </row>
    <row r="575" spans="1:21" ht="34.5" customHeight="1">
      <c r="A575" s="24">
        <f t="shared" si="2"/>
        <v>561</v>
      </c>
      <c r="B575" s="488" t="s">
        <v>294</v>
      </c>
      <c r="C575" s="351"/>
      <c r="D575" s="489" t="s">
        <v>294</v>
      </c>
      <c r="E575" s="351"/>
      <c r="F575" s="485" t="s">
        <v>325</v>
      </c>
      <c r="G575" s="351"/>
      <c r="H575" s="487"/>
      <c r="I575" s="350"/>
      <c r="J575" s="351"/>
      <c r="K575" s="485" t="s">
        <v>325</v>
      </c>
      <c r="L575" s="350"/>
      <c r="M575" s="351"/>
      <c r="N575" s="490" t="s">
        <v>294</v>
      </c>
      <c r="O575" s="350"/>
      <c r="P575" s="350"/>
      <c r="Q575" s="350"/>
      <c r="R575" s="350"/>
      <c r="S575" s="350"/>
      <c r="T575" s="350"/>
      <c r="U575" s="351"/>
    </row>
    <row r="576" spans="1:21" ht="34.5" customHeight="1">
      <c r="A576" s="24">
        <f t="shared" si="2"/>
        <v>562</v>
      </c>
      <c r="B576" s="483" t="s">
        <v>294</v>
      </c>
      <c r="C576" s="351"/>
      <c r="D576" s="484" t="s">
        <v>294</v>
      </c>
      <c r="E576" s="351"/>
      <c r="F576" s="485" t="s">
        <v>325</v>
      </c>
      <c r="G576" s="351"/>
      <c r="H576" s="486"/>
      <c r="I576" s="350"/>
      <c r="J576" s="351"/>
      <c r="K576" s="485" t="s">
        <v>325</v>
      </c>
      <c r="L576" s="350"/>
      <c r="M576" s="351"/>
      <c r="N576" s="491" t="s">
        <v>294</v>
      </c>
      <c r="O576" s="350"/>
      <c r="P576" s="350"/>
      <c r="Q576" s="350"/>
      <c r="R576" s="350"/>
      <c r="S576" s="350"/>
      <c r="T576" s="350"/>
      <c r="U576" s="351"/>
    </row>
    <row r="577" spans="1:21" ht="34.5" customHeight="1">
      <c r="A577" s="24">
        <f t="shared" si="2"/>
        <v>563</v>
      </c>
      <c r="B577" s="488" t="s">
        <v>294</v>
      </c>
      <c r="C577" s="351"/>
      <c r="D577" s="489" t="s">
        <v>294</v>
      </c>
      <c r="E577" s="351"/>
      <c r="F577" s="485" t="s">
        <v>325</v>
      </c>
      <c r="G577" s="351"/>
      <c r="H577" s="487"/>
      <c r="I577" s="350"/>
      <c r="J577" s="351"/>
      <c r="K577" s="485" t="s">
        <v>325</v>
      </c>
      <c r="L577" s="350"/>
      <c r="M577" s="351"/>
      <c r="N577" s="490" t="s">
        <v>294</v>
      </c>
      <c r="O577" s="350"/>
      <c r="P577" s="350"/>
      <c r="Q577" s="350"/>
      <c r="R577" s="350"/>
      <c r="S577" s="350"/>
      <c r="T577" s="350"/>
      <c r="U577" s="351"/>
    </row>
    <row r="578" spans="1:21" ht="34.5" customHeight="1">
      <c r="A578" s="24">
        <f t="shared" si="2"/>
        <v>564</v>
      </c>
      <c r="B578" s="483" t="s">
        <v>294</v>
      </c>
      <c r="C578" s="351"/>
      <c r="D578" s="484" t="s">
        <v>294</v>
      </c>
      <c r="E578" s="351"/>
      <c r="F578" s="485" t="s">
        <v>325</v>
      </c>
      <c r="G578" s="351"/>
      <c r="H578" s="486"/>
      <c r="I578" s="350"/>
      <c r="J578" s="351"/>
      <c r="K578" s="485" t="s">
        <v>325</v>
      </c>
      <c r="L578" s="350"/>
      <c r="M578" s="351"/>
      <c r="N578" s="491" t="s">
        <v>294</v>
      </c>
      <c r="O578" s="350"/>
      <c r="P578" s="350"/>
      <c r="Q578" s="350"/>
      <c r="R578" s="350"/>
      <c r="S578" s="350"/>
      <c r="T578" s="350"/>
      <c r="U578" s="351"/>
    </row>
    <row r="579" spans="1:21" ht="34.5" customHeight="1">
      <c r="A579" s="24">
        <f t="shared" si="2"/>
        <v>565</v>
      </c>
      <c r="B579" s="488" t="s">
        <v>334</v>
      </c>
      <c r="C579" s="351"/>
      <c r="D579" s="489" t="s">
        <v>294</v>
      </c>
      <c r="E579" s="351"/>
      <c r="F579" s="485" t="s">
        <v>325</v>
      </c>
      <c r="G579" s="351"/>
      <c r="H579" s="487"/>
      <c r="I579" s="350"/>
      <c r="J579" s="351"/>
      <c r="K579" s="485" t="s">
        <v>325</v>
      </c>
      <c r="L579" s="350"/>
      <c r="M579" s="351"/>
      <c r="N579" s="490" t="s">
        <v>294</v>
      </c>
      <c r="O579" s="350"/>
      <c r="P579" s="350"/>
      <c r="Q579" s="350"/>
      <c r="R579" s="350"/>
      <c r="S579" s="350"/>
      <c r="T579" s="350"/>
      <c r="U579" s="351"/>
    </row>
    <row r="580" spans="1:21" ht="34.5" customHeight="1">
      <c r="A580" s="24">
        <f t="shared" si="2"/>
        <v>566</v>
      </c>
      <c r="B580" s="483" t="s">
        <v>294</v>
      </c>
      <c r="C580" s="351"/>
      <c r="D580" s="484" t="s">
        <v>294</v>
      </c>
      <c r="E580" s="351"/>
      <c r="F580" s="485" t="s">
        <v>325</v>
      </c>
      <c r="G580" s="351"/>
      <c r="H580" s="486"/>
      <c r="I580" s="350"/>
      <c r="J580" s="351"/>
      <c r="K580" s="485" t="s">
        <v>325</v>
      </c>
      <c r="L580" s="350"/>
      <c r="M580" s="351"/>
      <c r="N580" s="491" t="s">
        <v>294</v>
      </c>
      <c r="O580" s="350"/>
      <c r="P580" s="350"/>
      <c r="Q580" s="350"/>
      <c r="R580" s="350"/>
      <c r="S580" s="350"/>
      <c r="T580" s="350"/>
      <c r="U580" s="351"/>
    </row>
    <row r="581" spans="1:21" ht="34.5" customHeight="1">
      <c r="A581" s="24">
        <f t="shared" si="2"/>
        <v>567</v>
      </c>
      <c r="B581" s="488" t="s">
        <v>294</v>
      </c>
      <c r="C581" s="351"/>
      <c r="D581" s="489" t="s">
        <v>294</v>
      </c>
      <c r="E581" s="351"/>
      <c r="F581" s="485" t="s">
        <v>325</v>
      </c>
      <c r="G581" s="351"/>
      <c r="H581" s="487"/>
      <c r="I581" s="350"/>
      <c r="J581" s="351"/>
      <c r="K581" s="485" t="s">
        <v>325</v>
      </c>
      <c r="L581" s="350"/>
      <c r="M581" s="351"/>
      <c r="N581" s="490" t="s">
        <v>294</v>
      </c>
      <c r="O581" s="350"/>
      <c r="P581" s="350"/>
      <c r="Q581" s="350"/>
      <c r="R581" s="350"/>
      <c r="S581" s="350"/>
      <c r="T581" s="350"/>
      <c r="U581" s="351"/>
    </row>
    <row r="582" spans="1:21" ht="34.5" customHeight="1">
      <c r="A582" s="24">
        <f t="shared" si="2"/>
        <v>568</v>
      </c>
      <c r="B582" s="483" t="s">
        <v>294</v>
      </c>
      <c r="C582" s="351"/>
      <c r="D582" s="484" t="s">
        <v>294</v>
      </c>
      <c r="E582" s="351"/>
      <c r="F582" s="485" t="s">
        <v>325</v>
      </c>
      <c r="G582" s="351"/>
      <c r="H582" s="486"/>
      <c r="I582" s="350"/>
      <c r="J582" s="351"/>
      <c r="K582" s="485" t="s">
        <v>325</v>
      </c>
      <c r="L582" s="350"/>
      <c r="M582" s="351"/>
      <c r="N582" s="491" t="s">
        <v>294</v>
      </c>
      <c r="O582" s="350"/>
      <c r="P582" s="350"/>
      <c r="Q582" s="350"/>
      <c r="R582" s="350"/>
      <c r="S582" s="350"/>
      <c r="T582" s="350"/>
      <c r="U582" s="351"/>
    </row>
    <row r="583" spans="1:21" ht="34.5" customHeight="1">
      <c r="A583" s="24">
        <f t="shared" si="2"/>
        <v>569</v>
      </c>
      <c r="B583" s="488" t="s">
        <v>294</v>
      </c>
      <c r="C583" s="351"/>
      <c r="D583" s="489" t="s">
        <v>294</v>
      </c>
      <c r="E583" s="351"/>
      <c r="F583" s="485" t="s">
        <v>325</v>
      </c>
      <c r="G583" s="351"/>
      <c r="H583" s="487"/>
      <c r="I583" s="350"/>
      <c r="J583" s="351"/>
      <c r="K583" s="485" t="s">
        <v>325</v>
      </c>
      <c r="L583" s="350"/>
      <c r="M583" s="351"/>
      <c r="N583" s="490" t="s">
        <v>294</v>
      </c>
      <c r="O583" s="350"/>
      <c r="P583" s="350"/>
      <c r="Q583" s="350"/>
      <c r="R583" s="350"/>
      <c r="S583" s="350"/>
      <c r="T583" s="350"/>
      <c r="U583" s="351"/>
    </row>
    <row r="584" spans="1:21" ht="34.5" customHeight="1">
      <c r="A584" s="24">
        <f t="shared" si="2"/>
        <v>570</v>
      </c>
      <c r="B584" s="483" t="s">
        <v>332</v>
      </c>
      <c r="C584" s="351"/>
      <c r="D584" s="484" t="s">
        <v>294</v>
      </c>
      <c r="E584" s="351"/>
      <c r="F584" s="485" t="s">
        <v>325</v>
      </c>
      <c r="G584" s="351"/>
      <c r="H584" s="486"/>
      <c r="I584" s="350"/>
      <c r="J584" s="351"/>
      <c r="K584" s="485" t="s">
        <v>325</v>
      </c>
      <c r="L584" s="350"/>
      <c r="M584" s="351"/>
      <c r="N584" s="491" t="s">
        <v>294</v>
      </c>
      <c r="O584" s="350"/>
      <c r="P584" s="350"/>
      <c r="Q584" s="350"/>
      <c r="R584" s="350"/>
      <c r="S584" s="350"/>
      <c r="T584" s="350"/>
      <c r="U584" s="351"/>
    </row>
    <row r="585" spans="1:21" ht="34.5" customHeight="1">
      <c r="A585" s="24">
        <f t="shared" si="2"/>
        <v>571</v>
      </c>
      <c r="B585" s="488" t="s">
        <v>294</v>
      </c>
      <c r="C585" s="351"/>
      <c r="D585" s="489" t="s">
        <v>294</v>
      </c>
      <c r="E585" s="351"/>
      <c r="F585" s="485" t="s">
        <v>325</v>
      </c>
      <c r="G585" s="351"/>
      <c r="H585" s="487"/>
      <c r="I585" s="350"/>
      <c r="J585" s="351"/>
      <c r="K585" s="485" t="s">
        <v>325</v>
      </c>
      <c r="L585" s="350"/>
      <c r="M585" s="351"/>
      <c r="N585" s="490" t="s">
        <v>294</v>
      </c>
      <c r="O585" s="350"/>
      <c r="P585" s="350"/>
      <c r="Q585" s="350"/>
      <c r="R585" s="350"/>
      <c r="S585" s="350"/>
      <c r="T585" s="350"/>
      <c r="U585" s="351"/>
    </row>
    <row r="586" spans="1:21" ht="34.5" customHeight="1">
      <c r="A586" s="24">
        <f t="shared" si="2"/>
        <v>572</v>
      </c>
      <c r="B586" s="483" t="s">
        <v>294</v>
      </c>
      <c r="C586" s="351"/>
      <c r="D586" s="484" t="s">
        <v>294</v>
      </c>
      <c r="E586" s="351"/>
      <c r="F586" s="485" t="s">
        <v>325</v>
      </c>
      <c r="G586" s="351"/>
      <c r="H586" s="486"/>
      <c r="I586" s="350"/>
      <c r="J586" s="351"/>
      <c r="K586" s="485" t="s">
        <v>325</v>
      </c>
      <c r="L586" s="350"/>
      <c r="M586" s="351"/>
      <c r="N586" s="491" t="s">
        <v>294</v>
      </c>
      <c r="O586" s="350"/>
      <c r="P586" s="350"/>
      <c r="Q586" s="350"/>
      <c r="R586" s="350"/>
      <c r="S586" s="350"/>
      <c r="T586" s="350"/>
      <c r="U586" s="351"/>
    </row>
    <row r="587" spans="1:21" ht="34.5" customHeight="1">
      <c r="A587" s="24">
        <f t="shared" si="2"/>
        <v>573</v>
      </c>
      <c r="B587" s="488" t="s">
        <v>294</v>
      </c>
      <c r="C587" s="351"/>
      <c r="D587" s="489" t="s">
        <v>294</v>
      </c>
      <c r="E587" s="351"/>
      <c r="F587" s="485" t="s">
        <v>325</v>
      </c>
      <c r="G587" s="351"/>
      <c r="H587" s="487"/>
      <c r="I587" s="350"/>
      <c r="J587" s="351"/>
      <c r="K587" s="485" t="s">
        <v>325</v>
      </c>
      <c r="L587" s="350"/>
      <c r="M587" s="351"/>
      <c r="N587" s="490" t="s">
        <v>294</v>
      </c>
      <c r="O587" s="350"/>
      <c r="P587" s="350"/>
      <c r="Q587" s="350"/>
      <c r="R587" s="350"/>
      <c r="S587" s="350"/>
      <c r="T587" s="350"/>
      <c r="U587" s="351"/>
    </row>
    <row r="588" spans="1:21" ht="34.5" customHeight="1">
      <c r="A588" s="24">
        <f t="shared" si="2"/>
        <v>574</v>
      </c>
      <c r="B588" s="483" t="s">
        <v>294</v>
      </c>
      <c r="C588" s="351"/>
      <c r="D588" s="484" t="s">
        <v>294</v>
      </c>
      <c r="E588" s="351"/>
      <c r="F588" s="485" t="s">
        <v>325</v>
      </c>
      <c r="G588" s="351"/>
      <c r="H588" s="486"/>
      <c r="I588" s="350"/>
      <c r="J588" s="351"/>
      <c r="K588" s="485" t="s">
        <v>325</v>
      </c>
      <c r="L588" s="350"/>
      <c r="M588" s="351"/>
      <c r="N588" s="491" t="s">
        <v>294</v>
      </c>
      <c r="O588" s="350"/>
      <c r="P588" s="350"/>
      <c r="Q588" s="350"/>
      <c r="R588" s="350"/>
      <c r="S588" s="350"/>
      <c r="T588" s="350"/>
      <c r="U588" s="351"/>
    </row>
    <row r="589" spans="1:21" ht="34.5" customHeight="1">
      <c r="A589" s="24">
        <f t="shared" si="2"/>
        <v>575</v>
      </c>
      <c r="B589" s="488" t="s">
        <v>329</v>
      </c>
      <c r="C589" s="351"/>
      <c r="D589" s="489" t="s">
        <v>294</v>
      </c>
      <c r="E589" s="351"/>
      <c r="F589" s="485" t="s">
        <v>325</v>
      </c>
      <c r="G589" s="351"/>
      <c r="H589" s="487"/>
      <c r="I589" s="350"/>
      <c r="J589" s="351"/>
      <c r="K589" s="485" t="s">
        <v>325</v>
      </c>
      <c r="L589" s="350"/>
      <c r="M589" s="351"/>
      <c r="N589" s="490" t="s">
        <v>294</v>
      </c>
      <c r="O589" s="350"/>
      <c r="P589" s="350"/>
      <c r="Q589" s="350"/>
      <c r="R589" s="350"/>
      <c r="S589" s="350"/>
      <c r="T589" s="350"/>
      <c r="U589" s="351"/>
    </row>
    <row r="590" spans="1:21" ht="34.5" customHeight="1">
      <c r="A590" s="24">
        <f t="shared" si="2"/>
        <v>576</v>
      </c>
      <c r="B590" s="483" t="s">
        <v>294</v>
      </c>
      <c r="C590" s="351"/>
      <c r="D590" s="484" t="s">
        <v>294</v>
      </c>
      <c r="E590" s="351"/>
      <c r="F590" s="485" t="s">
        <v>325</v>
      </c>
      <c r="G590" s="351"/>
      <c r="H590" s="486"/>
      <c r="I590" s="350"/>
      <c r="J590" s="351"/>
      <c r="K590" s="485" t="s">
        <v>325</v>
      </c>
      <c r="L590" s="350"/>
      <c r="M590" s="351"/>
      <c r="N590" s="491" t="s">
        <v>294</v>
      </c>
      <c r="O590" s="350"/>
      <c r="P590" s="350"/>
      <c r="Q590" s="350"/>
      <c r="R590" s="350"/>
      <c r="S590" s="350"/>
      <c r="T590" s="350"/>
      <c r="U590" s="351"/>
    </row>
    <row r="591" spans="1:21" ht="34.5" customHeight="1">
      <c r="A591" s="24">
        <f t="shared" si="2"/>
        <v>577</v>
      </c>
      <c r="B591" s="488" t="s">
        <v>294</v>
      </c>
      <c r="C591" s="351"/>
      <c r="D591" s="489" t="s">
        <v>294</v>
      </c>
      <c r="E591" s="351"/>
      <c r="F591" s="485" t="s">
        <v>325</v>
      </c>
      <c r="G591" s="351"/>
      <c r="H591" s="487"/>
      <c r="I591" s="350"/>
      <c r="J591" s="351"/>
      <c r="K591" s="485" t="s">
        <v>325</v>
      </c>
      <c r="L591" s="350"/>
      <c r="M591" s="351"/>
      <c r="N591" s="490" t="s">
        <v>294</v>
      </c>
      <c r="O591" s="350"/>
      <c r="P591" s="350"/>
      <c r="Q591" s="350"/>
      <c r="R591" s="350"/>
      <c r="S591" s="350"/>
      <c r="T591" s="350"/>
      <c r="U591" s="351"/>
    </row>
    <row r="592" spans="1:21" ht="34.5" customHeight="1">
      <c r="A592" s="24">
        <f t="shared" si="2"/>
        <v>578</v>
      </c>
      <c r="B592" s="483" t="s">
        <v>294</v>
      </c>
      <c r="C592" s="351"/>
      <c r="D592" s="484" t="s">
        <v>294</v>
      </c>
      <c r="E592" s="351"/>
      <c r="F592" s="485" t="s">
        <v>325</v>
      </c>
      <c r="G592" s="351"/>
      <c r="H592" s="486"/>
      <c r="I592" s="350"/>
      <c r="J592" s="351"/>
      <c r="K592" s="485" t="s">
        <v>325</v>
      </c>
      <c r="L592" s="350"/>
      <c r="M592" s="351"/>
      <c r="N592" s="491" t="s">
        <v>294</v>
      </c>
      <c r="O592" s="350"/>
      <c r="P592" s="350"/>
      <c r="Q592" s="350"/>
      <c r="R592" s="350"/>
      <c r="S592" s="350"/>
      <c r="T592" s="350"/>
      <c r="U592" s="351"/>
    </row>
    <row r="593" spans="1:21" ht="34.5" customHeight="1">
      <c r="A593" s="24">
        <f t="shared" si="2"/>
        <v>579</v>
      </c>
      <c r="B593" s="488" t="s">
        <v>334</v>
      </c>
      <c r="C593" s="351"/>
      <c r="D593" s="489" t="s">
        <v>294</v>
      </c>
      <c r="E593" s="351"/>
      <c r="F593" s="485" t="s">
        <v>325</v>
      </c>
      <c r="G593" s="351"/>
      <c r="H593" s="487"/>
      <c r="I593" s="350"/>
      <c r="J593" s="351"/>
      <c r="K593" s="485" t="s">
        <v>325</v>
      </c>
      <c r="L593" s="350"/>
      <c r="M593" s="351"/>
      <c r="N593" s="490" t="s">
        <v>294</v>
      </c>
      <c r="O593" s="350"/>
      <c r="P593" s="350"/>
      <c r="Q593" s="350"/>
      <c r="R593" s="350"/>
      <c r="S593" s="350"/>
      <c r="T593" s="350"/>
      <c r="U593" s="351"/>
    </row>
    <row r="594" spans="1:21" ht="34.5" customHeight="1">
      <c r="A594" s="24">
        <f t="shared" si="2"/>
        <v>580</v>
      </c>
      <c r="B594" s="483" t="s">
        <v>294</v>
      </c>
      <c r="C594" s="351"/>
      <c r="D594" s="484" t="s">
        <v>294</v>
      </c>
      <c r="E594" s="351"/>
      <c r="F594" s="485" t="s">
        <v>325</v>
      </c>
      <c r="G594" s="351"/>
      <c r="H594" s="486"/>
      <c r="I594" s="350"/>
      <c r="J594" s="351"/>
      <c r="K594" s="485" t="s">
        <v>325</v>
      </c>
      <c r="L594" s="350"/>
      <c r="M594" s="351"/>
      <c r="N594" s="491" t="s">
        <v>294</v>
      </c>
      <c r="O594" s="350"/>
      <c r="P594" s="350"/>
      <c r="Q594" s="350"/>
      <c r="R594" s="350"/>
      <c r="S594" s="350"/>
      <c r="T594" s="350"/>
      <c r="U594" s="351"/>
    </row>
    <row r="595" spans="1:21" ht="34.5" customHeight="1">
      <c r="A595" s="24">
        <f t="shared" si="2"/>
        <v>581</v>
      </c>
      <c r="B595" s="488" t="s">
        <v>294</v>
      </c>
      <c r="C595" s="351"/>
      <c r="D595" s="489" t="s">
        <v>294</v>
      </c>
      <c r="E595" s="351"/>
      <c r="F595" s="485" t="s">
        <v>325</v>
      </c>
      <c r="G595" s="351"/>
      <c r="H595" s="487"/>
      <c r="I595" s="350"/>
      <c r="J595" s="351"/>
      <c r="K595" s="485" t="s">
        <v>325</v>
      </c>
      <c r="L595" s="350"/>
      <c r="M595" s="351"/>
      <c r="N595" s="490" t="s">
        <v>294</v>
      </c>
      <c r="O595" s="350"/>
      <c r="P595" s="350"/>
      <c r="Q595" s="350"/>
      <c r="R595" s="350"/>
      <c r="S595" s="350"/>
      <c r="T595" s="350"/>
      <c r="U595" s="351"/>
    </row>
    <row r="596" spans="1:21" ht="34.5" customHeight="1">
      <c r="A596" s="24">
        <f t="shared" si="2"/>
        <v>582</v>
      </c>
      <c r="B596" s="483" t="s">
        <v>294</v>
      </c>
      <c r="C596" s="351"/>
      <c r="D596" s="484" t="s">
        <v>294</v>
      </c>
      <c r="E596" s="351"/>
      <c r="F596" s="485" t="s">
        <v>325</v>
      </c>
      <c r="G596" s="351"/>
      <c r="H596" s="486"/>
      <c r="I596" s="350"/>
      <c r="J596" s="351"/>
      <c r="K596" s="485" t="s">
        <v>325</v>
      </c>
      <c r="L596" s="350"/>
      <c r="M596" s="351"/>
      <c r="N596" s="491" t="s">
        <v>294</v>
      </c>
      <c r="O596" s="350"/>
      <c r="P596" s="350"/>
      <c r="Q596" s="350"/>
      <c r="R596" s="350"/>
      <c r="S596" s="350"/>
      <c r="T596" s="350"/>
      <c r="U596" s="351"/>
    </row>
    <row r="597" spans="1:21" ht="34.5" customHeight="1">
      <c r="A597" s="24">
        <f t="shared" si="2"/>
        <v>583</v>
      </c>
      <c r="B597" s="488" t="s">
        <v>294</v>
      </c>
      <c r="C597" s="351"/>
      <c r="D597" s="489" t="s">
        <v>294</v>
      </c>
      <c r="E597" s="351"/>
      <c r="F597" s="485" t="s">
        <v>325</v>
      </c>
      <c r="G597" s="351"/>
      <c r="H597" s="487"/>
      <c r="I597" s="350"/>
      <c r="J597" s="351"/>
      <c r="K597" s="485" t="s">
        <v>325</v>
      </c>
      <c r="L597" s="350"/>
      <c r="M597" s="351"/>
      <c r="N597" s="490" t="s">
        <v>294</v>
      </c>
      <c r="O597" s="350"/>
      <c r="P597" s="350"/>
      <c r="Q597" s="350"/>
      <c r="R597" s="350"/>
      <c r="S597" s="350"/>
      <c r="T597" s="350"/>
      <c r="U597" s="351"/>
    </row>
    <row r="598" spans="1:21" ht="34.5" customHeight="1">
      <c r="A598" s="24">
        <f t="shared" si="2"/>
        <v>584</v>
      </c>
      <c r="B598" s="483" t="s">
        <v>294</v>
      </c>
      <c r="C598" s="351"/>
      <c r="D598" s="484" t="s">
        <v>294</v>
      </c>
      <c r="E598" s="351"/>
      <c r="F598" s="485" t="s">
        <v>325</v>
      </c>
      <c r="G598" s="351"/>
      <c r="H598" s="486"/>
      <c r="I598" s="350"/>
      <c r="J598" s="351"/>
      <c r="K598" s="485" t="s">
        <v>325</v>
      </c>
      <c r="L598" s="350"/>
      <c r="M598" s="351"/>
      <c r="N598" s="491" t="s">
        <v>294</v>
      </c>
      <c r="O598" s="350"/>
      <c r="P598" s="350"/>
      <c r="Q598" s="350"/>
      <c r="R598" s="350"/>
      <c r="S598" s="350"/>
      <c r="T598" s="350"/>
      <c r="U598" s="351"/>
    </row>
    <row r="599" spans="1:21" ht="34.5" customHeight="1">
      <c r="A599" s="24">
        <f t="shared" si="2"/>
        <v>585</v>
      </c>
      <c r="B599" s="488" t="s">
        <v>335</v>
      </c>
      <c r="C599" s="351"/>
      <c r="D599" s="489" t="s">
        <v>294</v>
      </c>
      <c r="E599" s="351"/>
      <c r="F599" s="485" t="s">
        <v>325</v>
      </c>
      <c r="G599" s="351"/>
      <c r="H599" s="487"/>
      <c r="I599" s="350"/>
      <c r="J599" s="351"/>
      <c r="K599" s="485" t="s">
        <v>325</v>
      </c>
      <c r="L599" s="350"/>
      <c r="M599" s="351"/>
      <c r="N599" s="490" t="s">
        <v>294</v>
      </c>
      <c r="O599" s="350"/>
      <c r="P599" s="350"/>
      <c r="Q599" s="350"/>
      <c r="R599" s="350"/>
      <c r="S599" s="350"/>
      <c r="T599" s="350"/>
      <c r="U599" s="351"/>
    </row>
    <row r="600" spans="1:21" ht="34.5" customHeight="1">
      <c r="A600" s="24">
        <f t="shared" si="2"/>
        <v>586</v>
      </c>
      <c r="B600" s="483" t="s">
        <v>294</v>
      </c>
      <c r="C600" s="351"/>
      <c r="D600" s="484" t="s">
        <v>294</v>
      </c>
      <c r="E600" s="351"/>
      <c r="F600" s="485" t="s">
        <v>325</v>
      </c>
      <c r="G600" s="351"/>
      <c r="H600" s="486"/>
      <c r="I600" s="350"/>
      <c r="J600" s="351"/>
      <c r="K600" s="485" t="s">
        <v>325</v>
      </c>
      <c r="L600" s="350"/>
      <c r="M600" s="351"/>
      <c r="N600" s="491" t="s">
        <v>294</v>
      </c>
      <c r="O600" s="350"/>
      <c r="P600" s="350"/>
      <c r="Q600" s="350"/>
      <c r="R600" s="350"/>
      <c r="S600" s="350"/>
      <c r="T600" s="350"/>
      <c r="U600" s="351"/>
    </row>
    <row r="601" spans="1:21" ht="34.5" customHeight="1">
      <c r="A601" s="24">
        <f t="shared" si="2"/>
        <v>587</v>
      </c>
      <c r="B601" s="488" t="s">
        <v>294</v>
      </c>
      <c r="C601" s="351"/>
      <c r="D601" s="489" t="s">
        <v>294</v>
      </c>
      <c r="E601" s="351"/>
      <c r="F601" s="485" t="s">
        <v>325</v>
      </c>
      <c r="G601" s="351"/>
      <c r="H601" s="487"/>
      <c r="I601" s="350"/>
      <c r="J601" s="351"/>
      <c r="K601" s="485" t="s">
        <v>325</v>
      </c>
      <c r="L601" s="350"/>
      <c r="M601" s="351"/>
      <c r="N601" s="490" t="s">
        <v>294</v>
      </c>
      <c r="O601" s="350"/>
      <c r="P601" s="350"/>
      <c r="Q601" s="350"/>
      <c r="R601" s="350"/>
      <c r="S601" s="350"/>
      <c r="T601" s="350"/>
      <c r="U601" s="351"/>
    </row>
    <row r="602" spans="1:21" ht="34.5" customHeight="1">
      <c r="A602" s="24">
        <f t="shared" si="2"/>
        <v>588</v>
      </c>
      <c r="B602" s="483" t="s">
        <v>294</v>
      </c>
      <c r="C602" s="351"/>
      <c r="D602" s="484" t="s">
        <v>294</v>
      </c>
      <c r="E602" s="351"/>
      <c r="F602" s="485" t="s">
        <v>325</v>
      </c>
      <c r="G602" s="351"/>
      <c r="H602" s="486"/>
      <c r="I602" s="350"/>
      <c r="J602" s="351"/>
      <c r="K602" s="485" t="s">
        <v>325</v>
      </c>
      <c r="L602" s="350"/>
      <c r="M602" s="351"/>
      <c r="N602" s="491" t="s">
        <v>294</v>
      </c>
      <c r="O602" s="350"/>
      <c r="P602" s="350"/>
      <c r="Q602" s="350"/>
      <c r="R602" s="350"/>
      <c r="S602" s="350"/>
      <c r="T602" s="350"/>
      <c r="U602" s="351"/>
    </row>
    <row r="603" spans="1:21" ht="34.5" customHeight="1">
      <c r="A603" s="24">
        <f t="shared" si="2"/>
        <v>589</v>
      </c>
      <c r="B603" s="488" t="s">
        <v>294</v>
      </c>
      <c r="C603" s="351"/>
      <c r="D603" s="489" t="s">
        <v>294</v>
      </c>
      <c r="E603" s="351"/>
      <c r="F603" s="485" t="s">
        <v>325</v>
      </c>
      <c r="G603" s="351"/>
      <c r="H603" s="487"/>
      <c r="I603" s="350"/>
      <c r="J603" s="351"/>
      <c r="K603" s="485" t="s">
        <v>325</v>
      </c>
      <c r="L603" s="350"/>
      <c r="M603" s="351"/>
      <c r="N603" s="490" t="s">
        <v>294</v>
      </c>
      <c r="O603" s="350"/>
      <c r="P603" s="350"/>
      <c r="Q603" s="350"/>
      <c r="R603" s="350"/>
      <c r="S603" s="350"/>
      <c r="T603" s="350"/>
      <c r="U603" s="351"/>
    </row>
    <row r="604" spans="1:21" ht="34.5" customHeight="1">
      <c r="A604" s="24">
        <f t="shared" si="2"/>
        <v>590</v>
      </c>
      <c r="B604" s="483" t="s">
        <v>294</v>
      </c>
      <c r="C604" s="351"/>
      <c r="D604" s="484" t="s">
        <v>294</v>
      </c>
      <c r="E604" s="351"/>
      <c r="F604" s="485" t="s">
        <v>325</v>
      </c>
      <c r="G604" s="351"/>
      <c r="H604" s="486"/>
      <c r="I604" s="350"/>
      <c r="J604" s="351"/>
      <c r="K604" s="485" t="s">
        <v>325</v>
      </c>
      <c r="L604" s="350"/>
      <c r="M604" s="351"/>
      <c r="N604" s="491" t="s">
        <v>294</v>
      </c>
      <c r="O604" s="350"/>
      <c r="P604" s="350"/>
      <c r="Q604" s="350"/>
      <c r="R604" s="350"/>
      <c r="S604" s="350"/>
      <c r="T604" s="350"/>
      <c r="U604" s="351"/>
    </row>
    <row r="605" spans="1:21" ht="34.5" customHeight="1">
      <c r="A605" s="24">
        <f t="shared" si="2"/>
        <v>591</v>
      </c>
      <c r="B605" s="488" t="s">
        <v>294</v>
      </c>
      <c r="C605" s="351"/>
      <c r="D605" s="489" t="s">
        <v>294</v>
      </c>
      <c r="E605" s="351"/>
      <c r="F605" s="485" t="s">
        <v>325</v>
      </c>
      <c r="G605" s="351"/>
      <c r="H605" s="487"/>
      <c r="I605" s="350"/>
      <c r="J605" s="351"/>
      <c r="K605" s="485" t="s">
        <v>325</v>
      </c>
      <c r="L605" s="350"/>
      <c r="M605" s="351"/>
      <c r="N605" s="490" t="s">
        <v>294</v>
      </c>
      <c r="O605" s="350"/>
      <c r="P605" s="350"/>
      <c r="Q605" s="350"/>
      <c r="R605" s="350"/>
      <c r="S605" s="350"/>
      <c r="T605" s="350"/>
      <c r="U605" s="351"/>
    </row>
    <row r="606" spans="1:21" ht="34.5" customHeight="1">
      <c r="A606" s="24">
        <f t="shared" si="2"/>
        <v>592</v>
      </c>
      <c r="B606" s="488" t="s">
        <v>294</v>
      </c>
      <c r="C606" s="351"/>
      <c r="D606" s="489" t="s">
        <v>294</v>
      </c>
      <c r="E606" s="351"/>
      <c r="F606" s="485" t="s">
        <v>325</v>
      </c>
      <c r="G606" s="351"/>
      <c r="H606" s="487"/>
      <c r="I606" s="350"/>
      <c r="J606" s="351"/>
      <c r="K606" s="485" t="s">
        <v>325</v>
      </c>
      <c r="L606" s="350"/>
      <c r="M606" s="351"/>
      <c r="N606" s="490" t="s">
        <v>294</v>
      </c>
      <c r="O606" s="350"/>
      <c r="P606" s="350"/>
      <c r="Q606" s="350"/>
      <c r="R606" s="350"/>
      <c r="S606" s="350"/>
      <c r="T606" s="350"/>
      <c r="U606" s="351"/>
    </row>
    <row r="607" spans="1:21" ht="34.5" customHeight="1">
      <c r="A607" s="24">
        <f t="shared" si="2"/>
        <v>593</v>
      </c>
      <c r="B607" s="483" t="s">
        <v>294</v>
      </c>
      <c r="C607" s="351"/>
      <c r="D607" s="484" t="s">
        <v>294</v>
      </c>
      <c r="E607" s="351"/>
      <c r="F607" s="485" t="s">
        <v>325</v>
      </c>
      <c r="G607" s="351"/>
      <c r="H607" s="486"/>
      <c r="I607" s="350"/>
      <c r="J607" s="351"/>
      <c r="K607" s="485" t="s">
        <v>325</v>
      </c>
      <c r="L607" s="350"/>
      <c r="M607" s="351"/>
      <c r="N607" s="491"/>
      <c r="O607" s="350"/>
      <c r="P607" s="350"/>
      <c r="Q607" s="350"/>
      <c r="R607" s="350"/>
      <c r="S607" s="350"/>
      <c r="T607" s="350"/>
      <c r="U607" s="351"/>
    </row>
    <row r="608" spans="1:21" ht="34.5" customHeight="1">
      <c r="A608" s="24">
        <f t="shared" si="2"/>
        <v>594</v>
      </c>
      <c r="B608" s="488" t="s">
        <v>294</v>
      </c>
      <c r="C608" s="351"/>
      <c r="D608" s="489" t="s">
        <v>294</v>
      </c>
      <c r="E608" s="351"/>
      <c r="F608" s="485" t="s">
        <v>325</v>
      </c>
      <c r="G608" s="351"/>
      <c r="H608" s="487"/>
      <c r="I608" s="350"/>
      <c r="J608" s="351"/>
      <c r="K608" s="485" t="s">
        <v>325</v>
      </c>
      <c r="L608" s="350"/>
      <c r="M608" s="351"/>
      <c r="N608" s="490" t="s">
        <v>294</v>
      </c>
      <c r="O608" s="350"/>
      <c r="P608" s="350"/>
      <c r="Q608" s="350"/>
      <c r="R608" s="350"/>
      <c r="S608" s="350"/>
      <c r="T608" s="350"/>
      <c r="U608" s="351"/>
    </row>
    <row r="609" spans="1:21" ht="34.5" customHeight="1">
      <c r="A609" s="24">
        <f t="shared" si="2"/>
        <v>595</v>
      </c>
      <c r="B609" s="483" t="s">
        <v>294</v>
      </c>
      <c r="C609" s="351"/>
      <c r="D609" s="484" t="s">
        <v>294</v>
      </c>
      <c r="E609" s="351"/>
      <c r="F609" s="485" t="s">
        <v>325</v>
      </c>
      <c r="G609" s="351"/>
      <c r="H609" s="486"/>
      <c r="I609" s="350"/>
      <c r="J609" s="351"/>
      <c r="K609" s="485" t="s">
        <v>325</v>
      </c>
      <c r="L609" s="350"/>
      <c r="M609" s="351"/>
      <c r="N609" s="491" t="s">
        <v>294</v>
      </c>
      <c r="O609" s="350"/>
      <c r="P609" s="350"/>
      <c r="Q609" s="350"/>
      <c r="R609" s="350"/>
      <c r="S609" s="350"/>
      <c r="T609" s="350"/>
      <c r="U609" s="351"/>
    </row>
    <row r="610" spans="1:21" ht="34.5" customHeight="1">
      <c r="A610" s="24">
        <f t="shared" si="2"/>
        <v>596</v>
      </c>
      <c r="B610" s="488" t="s">
        <v>294</v>
      </c>
      <c r="C610" s="351"/>
      <c r="D610" s="489" t="s">
        <v>294</v>
      </c>
      <c r="E610" s="351"/>
      <c r="F610" s="485" t="s">
        <v>325</v>
      </c>
      <c r="G610" s="351"/>
      <c r="H610" s="487"/>
      <c r="I610" s="350"/>
      <c r="J610" s="351"/>
      <c r="K610" s="485" t="s">
        <v>325</v>
      </c>
      <c r="L610" s="350"/>
      <c r="M610" s="351"/>
      <c r="N610" s="490" t="s">
        <v>294</v>
      </c>
      <c r="O610" s="350"/>
      <c r="P610" s="350"/>
      <c r="Q610" s="350"/>
      <c r="R610" s="350"/>
      <c r="S610" s="350"/>
      <c r="T610" s="350"/>
      <c r="U610" s="351"/>
    </row>
    <row r="611" spans="1:21" ht="34.5" customHeight="1">
      <c r="A611" s="24">
        <f t="shared" si="2"/>
        <v>597</v>
      </c>
      <c r="B611" s="483" t="s">
        <v>294</v>
      </c>
      <c r="C611" s="351"/>
      <c r="D611" s="484" t="s">
        <v>294</v>
      </c>
      <c r="E611" s="351"/>
      <c r="F611" s="485" t="s">
        <v>325</v>
      </c>
      <c r="G611" s="351"/>
      <c r="H611" s="486"/>
      <c r="I611" s="350"/>
      <c r="J611" s="351"/>
      <c r="K611" s="485" t="s">
        <v>325</v>
      </c>
      <c r="L611" s="350"/>
      <c r="M611" s="351"/>
      <c r="N611" s="491" t="s">
        <v>294</v>
      </c>
      <c r="O611" s="350"/>
      <c r="P611" s="350"/>
      <c r="Q611" s="350"/>
      <c r="R611" s="350"/>
      <c r="S611" s="350"/>
      <c r="T611" s="350"/>
      <c r="U611" s="351"/>
    </row>
    <row r="612" spans="1:21" ht="34.5" customHeight="1">
      <c r="A612" s="24">
        <f t="shared" si="2"/>
        <v>598</v>
      </c>
      <c r="B612" s="488" t="s">
        <v>294</v>
      </c>
      <c r="C612" s="351"/>
      <c r="D612" s="489" t="s">
        <v>294</v>
      </c>
      <c r="E612" s="351"/>
      <c r="F612" s="485" t="s">
        <v>325</v>
      </c>
      <c r="G612" s="351"/>
      <c r="H612" s="487"/>
      <c r="I612" s="350"/>
      <c r="J612" s="351"/>
      <c r="K612" s="485" t="s">
        <v>325</v>
      </c>
      <c r="L612" s="350"/>
      <c r="M612" s="351"/>
      <c r="N612" s="490" t="s">
        <v>294</v>
      </c>
      <c r="O612" s="350"/>
      <c r="P612" s="350"/>
      <c r="Q612" s="350"/>
      <c r="R612" s="350"/>
      <c r="S612" s="350"/>
      <c r="T612" s="350"/>
      <c r="U612" s="351"/>
    </row>
    <row r="613" spans="1:21" ht="34.5" customHeight="1">
      <c r="A613" s="24">
        <f t="shared" si="2"/>
        <v>599</v>
      </c>
      <c r="B613" s="483" t="s">
        <v>294</v>
      </c>
      <c r="C613" s="351"/>
      <c r="D613" s="484" t="s">
        <v>294</v>
      </c>
      <c r="E613" s="351"/>
      <c r="F613" s="485" t="s">
        <v>325</v>
      </c>
      <c r="G613" s="351"/>
      <c r="H613" s="486"/>
      <c r="I613" s="350"/>
      <c r="J613" s="351"/>
      <c r="K613" s="485" t="s">
        <v>325</v>
      </c>
      <c r="L613" s="350"/>
      <c r="M613" s="351"/>
      <c r="N613" s="491" t="s">
        <v>294</v>
      </c>
      <c r="O613" s="350"/>
      <c r="P613" s="350"/>
      <c r="Q613" s="350"/>
      <c r="R613" s="350"/>
      <c r="S613" s="350"/>
      <c r="T613" s="350"/>
      <c r="U613" s="351"/>
    </row>
    <row r="614" spans="1:21" ht="34.5" customHeight="1">
      <c r="A614" s="24">
        <f t="shared" si="2"/>
        <v>600</v>
      </c>
      <c r="B614" s="488" t="s">
        <v>294</v>
      </c>
      <c r="C614" s="351"/>
      <c r="D614" s="489" t="s">
        <v>294</v>
      </c>
      <c r="E614" s="351"/>
      <c r="F614" s="485" t="s">
        <v>325</v>
      </c>
      <c r="G614" s="351"/>
      <c r="H614" s="487"/>
      <c r="I614" s="350"/>
      <c r="J614" s="351"/>
      <c r="K614" s="485" t="s">
        <v>325</v>
      </c>
      <c r="L614" s="350"/>
      <c r="M614" s="351"/>
      <c r="N614" s="490" t="s">
        <v>294</v>
      </c>
      <c r="O614" s="350"/>
      <c r="P614" s="350"/>
      <c r="Q614" s="350"/>
      <c r="R614" s="350"/>
      <c r="S614" s="350"/>
      <c r="T614" s="350"/>
      <c r="U614" s="351"/>
    </row>
    <row r="615" spans="1:21" ht="34.5" customHeight="1">
      <c r="A615" s="24">
        <f t="shared" si="2"/>
        <v>601</v>
      </c>
      <c r="B615" s="483" t="s">
        <v>294</v>
      </c>
      <c r="C615" s="351"/>
      <c r="D615" s="484" t="s">
        <v>294</v>
      </c>
      <c r="E615" s="351"/>
      <c r="F615" s="485" t="s">
        <v>325</v>
      </c>
      <c r="G615" s="351"/>
      <c r="H615" s="486"/>
      <c r="I615" s="350"/>
      <c r="J615" s="351"/>
      <c r="K615" s="485" t="s">
        <v>325</v>
      </c>
      <c r="L615" s="350"/>
      <c r="M615" s="351"/>
      <c r="N615" s="491" t="s">
        <v>294</v>
      </c>
      <c r="O615" s="350"/>
      <c r="P615" s="350"/>
      <c r="Q615" s="350"/>
      <c r="R615" s="350"/>
      <c r="S615" s="350"/>
      <c r="T615" s="350"/>
      <c r="U615" s="351"/>
    </row>
    <row r="616" spans="1:21" ht="34.5" customHeight="1">
      <c r="A616" s="24">
        <f t="shared" si="2"/>
        <v>602</v>
      </c>
      <c r="B616" s="488" t="s">
        <v>294</v>
      </c>
      <c r="C616" s="351"/>
      <c r="D616" s="489" t="s">
        <v>294</v>
      </c>
      <c r="E616" s="351"/>
      <c r="F616" s="485" t="s">
        <v>325</v>
      </c>
      <c r="G616" s="351"/>
      <c r="H616" s="487"/>
      <c r="I616" s="350"/>
      <c r="J616" s="351"/>
      <c r="K616" s="485" t="s">
        <v>325</v>
      </c>
      <c r="L616" s="350"/>
      <c r="M616" s="351"/>
      <c r="N616" s="490" t="s">
        <v>294</v>
      </c>
      <c r="O616" s="350"/>
      <c r="P616" s="350"/>
      <c r="Q616" s="350"/>
      <c r="R616" s="350"/>
      <c r="S616" s="350"/>
      <c r="T616" s="350"/>
      <c r="U616" s="351"/>
    </row>
    <row r="617" spans="1:21" ht="34.5" customHeight="1">
      <c r="A617" s="24">
        <f t="shared" si="2"/>
        <v>603</v>
      </c>
      <c r="B617" s="483" t="s">
        <v>294</v>
      </c>
      <c r="C617" s="351"/>
      <c r="D617" s="484" t="s">
        <v>294</v>
      </c>
      <c r="E617" s="351"/>
      <c r="F617" s="485" t="s">
        <v>325</v>
      </c>
      <c r="G617" s="351"/>
      <c r="H617" s="486"/>
      <c r="I617" s="350"/>
      <c r="J617" s="351"/>
      <c r="K617" s="485" t="s">
        <v>325</v>
      </c>
      <c r="L617" s="350"/>
      <c r="M617" s="351"/>
      <c r="N617" s="491" t="s">
        <v>294</v>
      </c>
      <c r="O617" s="350"/>
      <c r="P617" s="350"/>
      <c r="Q617" s="350"/>
      <c r="R617" s="350"/>
      <c r="S617" s="350"/>
      <c r="T617" s="350"/>
      <c r="U617" s="351"/>
    </row>
    <row r="618" spans="1:21" ht="34.5" customHeight="1">
      <c r="A618" s="24">
        <f t="shared" si="2"/>
        <v>604</v>
      </c>
      <c r="B618" s="488" t="s">
        <v>294</v>
      </c>
      <c r="C618" s="351"/>
      <c r="D618" s="489" t="s">
        <v>294</v>
      </c>
      <c r="E618" s="351"/>
      <c r="F618" s="485" t="s">
        <v>325</v>
      </c>
      <c r="G618" s="351"/>
      <c r="H618" s="487"/>
      <c r="I618" s="350"/>
      <c r="J618" s="351"/>
      <c r="K618" s="485" t="s">
        <v>325</v>
      </c>
      <c r="L618" s="350"/>
      <c r="M618" s="351"/>
      <c r="N618" s="490" t="s">
        <v>294</v>
      </c>
      <c r="O618" s="350"/>
      <c r="P618" s="350"/>
      <c r="Q618" s="350"/>
      <c r="R618" s="350"/>
      <c r="S618" s="350"/>
      <c r="T618" s="350"/>
      <c r="U618" s="351"/>
    </row>
    <row r="619" spans="1:21" ht="34.5" customHeight="1">
      <c r="A619" s="24">
        <f t="shared" si="2"/>
        <v>605</v>
      </c>
      <c r="B619" s="483" t="s">
        <v>294</v>
      </c>
      <c r="C619" s="351"/>
      <c r="D619" s="484" t="s">
        <v>294</v>
      </c>
      <c r="E619" s="351"/>
      <c r="F619" s="485" t="s">
        <v>325</v>
      </c>
      <c r="G619" s="351"/>
      <c r="H619" s="486"/>
      <c r="I619" s="350"/>
      <c r="J619" s="351"/>
      <c r="K619" s="485" t="s">
        <v>325</v>
      </c>
      <c r="L619" s="350"/>
      <c r="M619" s="351"/>
      <c r="N619" s="491" t="s">
        <v>294</v>
      </c>
      <c r="O619" s="350"/>
      <c r="P619" s="350"/>
      <c r="Q619" s="350"/>
      <c r="R619" s="350"/>
      <c r="S619" s="350"/>
      <c r="T619" s="350"/>
      <c r="U619" s="351"/>
    </row>
    <row r="620" spans="1:21" ht="34.5" customHeight="1">
      <c r="A620" s="24">
        <f t="shared" si="2"/>
        <v>606</v>
      </c>
      <c r="B620" s="488" t="s">
        <v>294</v>
      </c>
      <c r="C620" s="351"/>
      <c r="D620" s="489" t="s">
        <v>294</v>
      </c>
      <c r="E620" s="351"/>
      <c r="F620" s="485" t="s">
        <v>325</v>
      </c>
      <c r="G620" s="351"/>
      <c r="H620" s="487"/>
      <c r="I620" s="350"/>
      <c r="J620" s="351"/>
      <c r="K620" s="485" t="s">
        <v>325</v>
      </c>
      <c r="L620" s="350"/>
      <c r="M620" s="351"/>
      <c r="N620" s="490" t="s">
        <v>294</v>
      </c>
      <c r="O620" s="350"/>
      <c r="P620" s="350"/>
      <c r="Q620" s="350"/>
      <c r="R620" s="350"/>
      <c r="S620" s="350"/>
      <c r="T620" s="350"/>
      <c r="U620" s="351"/>
    </row>
    <row r="621" spans="1:21" ht="34.5" customHeight="1">
      <c r="A621" s="24">
        <f t="shared" si="2"/>
        <v>607</v>
      </c>
      <c r="B621" s="483" t="s">
        <v>294</v>
      </c>
      <c r="C621" s="351"/>
      <c r="D621" s="484" t="s">
        <v>294</v>
      </c>
      <c r="E621" s="351"/>
      <c r="F621" s="485" t="s">
        <v>325</v>
      </c>
      <c r="G621" s="351"/>
      <c r="H621" s="486"/>
      <c r="I621" s="350"/>
      <c r="J621" s="351"/>
      <c r="K621" s="485" t="s">
        <v>325</v>
      </c>
      <c r="L621" s="350"/>
      <c r="M621" s="351"/>
      <c r="N621" s="491" t="s">
        <v>294</v>
      </c>
      <c r="O621" s="350"/>
      <c r="P621" s="350"/>
      <c r="Q621" s="350"/>
      <c r="R621" s="350"/>
      <c r="S621" s="350"/>
      <c r="T621" s="350"/>
      <c r="U621" s="351"/>
    </row>
    <row r="622" spans="1:21" ht="34.5" customHeight="1">
      <c r="A622" s="24">
        <f t="shared" si="2"/>
        <v>608</v>
      </c>
      <c r="B622" s="488" t="s">
        <v>294</v>
      </c>
      <c r="C622" s="351"/>
      <c r="D622" s="489" t="s">
        <v>294</v>
      </c>
      <c r="E622" s="351"/>
      <c r="F622" s="485" t="s">
        <v>325</v>
      </c>
      <c r="G622" s="351"/>
      <c r="H622" s="487"/>
      <c r="I622" s="350"/>
      <c r="J622" s="351"/>
      <c r="K622" s="485" t="s">
        <v>325</v>
      </c>
      <c r="L622" s="350"/>
      <c r="M622" s="351"/>
      <c r="N622" s="490" t="s">
        <v>294</v>
      </c>
      <c r="O622" s="350"/>
      <c r="P622" s="350"/>
      <c r="Q622" s="350"/>
      <c r="R622" s="350"/>
      <c r="S622" s="350"/>
      <c r="T622" s="350"/>
      <c r="U622" s="351"/>
    </row>
    <row r="623" spans="1:21" ht="34.5" customHeight="1">
      <c r="A623" s="24">
        <f t="shared" si="2"/>
        <v>609</v>
      </c>
      <c r="B623" s="483" t="s">
        <v>294</v>
      </c>
      <c r="C623" s="351"/>
      <c r="D623" s="484" t="s">
        <v>294</v>
      </c>
      <c r="E623" s="351"/>
      <c r="F623" s="485" t="s">
        <v>325</v>
      </c>
      <c r="G623" s="351"/>
      <c r="H623" s="486"/>
      <c r="I623" s="350"/>
      <c r="J623" s="351"/>
      <c r="K623" s="485" t="s">
        <v>325</v>
      </c>
      <c r="L623" s="350"/>
      <c r="M623" s="351"/>
      <c r="N623" s="491" t="s">
        <v>294</v>
      </c>
      <c r="O623" s="350"/>
      <c r="P623" s="350"/>
      <c r="Q623" s="350"/>
      <c r="R623" s="350"/>
      <c r="S623" s="350"/>
      <c r="T623" s="350"/>
      <c r="U623" s="351"/>
    </row>
    <row r="624" spans="1:21" ht="34.5" customHeight="1">
      <c r="A624" s="24">
        <f t="shared" si="2"/>
        <v>610</v>
      </c>
      <c r="B624" s="488" t="s">
        <v>294</v>
      </c>
      <c r="C624" s="351"/>
      <c r="D624" s="489" t="s">
        <v>294</v>
      </c>
      <c r="E624" s="351"/>
      <c r="F624" s="485" t="s">
        <v>325</v>
      </c>
      <c r="G624" s="351"/>
      <c r="H624" s="487"/>
      <c r="I624" s="350"/>
      <c r="J624" s="351"/>
      <c r="K624" s="485" t="s">
        <v>325</v>
      </c>
      <c r="L624" s="350"/>
      <c r="M624" s="351"/>
      <c r="N624" s="490" t="s">
        <v>294</v>
      </c>
      <c r="O624" s="350"/>
      <c r="P624" s="350"/>
      <c r="Q624" s="350"/>
      <c r="R624" s="350"/>
      <c r="S624" s="350"/>
      <c r="T624" s="350"/>
      <c r="U624" s="351"/>
    </row>
    <row r="625" spans="1:21" ht="34.5" customHeight="1">
      <c r="A625" s="24">
        <f t="shared" si="2"/>
        <v>611</v>
      </c>
      <c r="B625" s="483" t="s">
        <v>294</v>
      </c>
      <c r="C625" s="351"/>
      <c r="D625" s="484" t="s">
        <v>294</v>
      </c>
      <c r="E625" s="351"/>
      <c r="F625" s="485" t="s">
        <v>325</v>
      </c>
      <c r="G625" s="351"/>
      <c r="H625" s="486"/>
      <c r="I625" s="350"/>
      <c r="J625" s="351"/>
      <c r="K625" s="485" t="s">
        <v>325</v>
      </c>
      <c r="L625" s="350"/>
      <c r="M625" s="351"/>
      <c r="N625" s="491" t="s">
        <v>294</v>
      </c>
      <c r="O625" s="350"/>
      <c r="P625" s="350"/>
      <c r="Q625" s="350"/>
      <c r="R625" s="350"/>
      <c r="S625" s="350"/>
      <c r="T625" s="350"/>
      <c r="U625" s="351"/>
    </row>
    <row r="626" spans="1:21" ht="34.5" customHeight="1">
      <c r="A626" s="24">
        <f t="shared" si="2"/>
        <v>612</v>
      </c>
      <c r="B626" s="488" t="s">
        <v>294</v>
      </c>
      <c r="C626" s="351"/>
      <c r="D626" s="489" t="s">
        <v>294</v>
      </c>
      <c r="E626" s="351"/>
      <c r="F626" s="485" t="s">
        <v>325</v>
      </c>
      <c r="G626" s="351"/>
      <c r="H626" s="487"/>
      <c r="I626" s="350"/>
      <c r="J626" s="351"/>
      <c r="K626" s="485" t="s">
        <v>325</v>
      </c>
      <c r="L626" s="350"/>
      <c r="M626" s="351"/>
      <c r="N626" s="490" t="s">
        <v>294</v>
      </c>
      <c r="O626" s="350"/>
      <c r="P626" s="350"/>
      <c r="Q626" s="350"/>
      <c r="R626" s="350"/>
      <c r="S626" s="350"/>
      <c r="T626" s="350"/>
      <c r="U626" s="351"/>
    </row>
    <row r="627" spans="1:21" ht="34.5" customHeight="1">
      <c r="A627" s="24">
        <f t="shared" si="2"/>
        <v>613</v>
      </c>
      <c r="B627" s="483" t="s">
        <v>294</v>
      </c>
      <c r="C627" s="351"/>
      <c r="D627" s="484" t="s">
        <v>294</v>
      </c>
      <c r="E627" s="351"/>
      <c r="F627" s="485" t="s">
        <v>325</v>
      </c>
      <c r="G627" s="351"/>
      <c r="H627" s="486"/>
      <c r="I627" s="350"/>
      <c r="J627" s="351"/>
      <c r="K627" s="485" t="s">
        <v>325</v>
      </c>
      <c r="L627" s="350"/>
      <c r="M627" s="351"/>
      <c r="N627" s="491" t="s">
        <v>294</v>
      </c>
      <c r="O627" s="350"/>
      <c r="P627" s="350"/>
      <c r="Q627" s="350"/>
      <c r="R627" s="350"/>
      <c r="S627" s="350"/>
      <c r="T627" s="350"/>
      <c r="U627" s="351"/>
    </row>
    <row r="628" spans="1:21" ht="34.5" customHeight="1">
      <c r="A628" s="24">
        <f t="shared" si="2"/>
        <v>614</v>
      </c>
      <c r="B628" s="488" t="s">
        <v>294</v>
      </c>
      <c r="C628" s="351"/>
      <c r="D628" s="489" t="s">
        <v>294</v>
      </c>
      <c r="E628" s="351"/>
      <c r="F628" s="485" t="s">
        <v>325</v>
      </c>
      <c r="G628" s="351"/>
      <c r="H628" s="487"/>
      <c r="I628" s="350"/>
      <c r="J628" s="351"/>
      <c r="K628" s="485" t="s">
        <v>325</v>
      </c>
      <c r="L628" s="350"/>
      <c r="M628" s="351"/>
      <c r="N628" s="490" t="s">
        <v>294</v>
      </c>
      <c r="O628" s="350"/>
      <c r="P628" s="350"/>
      <c r="Q628" s="350"/>
      <c r="R628" s="350"/>
      <c r="S628" s="350"/>
      <c r="T628" s="350"/>
      <c r="U628" s="351"/>
    </row>
    <row r="629" spans="1:21" ht="34.5" customHeight="1">
      <c r="A629" s="24">
        <f t="shared" si="2"/>
        <v>615</v>
      </c>
      <c r="B629" s="483" t="s">
        <v>294</v>
      </c>
      <c r="C629" s="351"/>
      <c r="D629" s="484" t="s">
        <v>294</v>
      </c>
      <c r="E629" s="351"/>
      <c r="F629" s="485" t="s">
        <v>325</v>
      </c>
      <c r="G629" s="351"/>
      <c r="H629" s="486"/>
      <c r="I629" s="350"/>
      <c r="J629" s="351"/>
      <c r="K629" s="485" t="s">
        <v>325</v>
      </c>
      <c r="L629" s="350"/>
      <c r="M629" s="351"/>
      <c r="N629" s="491" t="s">
        <v>294</v>
      </c>
      <c r="O629" s="350"/>
      <c r="P629" s="350"/>
      <c r="Q629" s="350"/>
      <c r="R629" s="350"/>
      <c r="S629" s="350"/>
      <c r="T629" s="350"/>
      <c r="U629" s="351"/>
    </row>
    <row r="630" spans="1:21" ht="34.5" customHeight="1">
      <c r="A630" s="24">
        <f t="shared" si="2"/>
        <v>616</v>
      </c>
      <c r="B630" s="488" t="s">
        <v>294</v>
      </c>
      <c r="C630" s="351"/>
      <c r="D630" s="489" t="s">
        <v>294</v>
      </c>
      <c r="E630" s="351"/>
      <c r="F630" s="485" t="s">
        <v>325</v>
      </c>
      <c r="G630" s="351"/>
      <c r="H630" s="487"/>
      <c r="I630" s="350"/>
      <c r="J630" s="351"/>
      <c r="K630" s="485" t="s">
        <v>325</v>
      </c>
      <c r="L630" s="350"/>
      <c r="M630" s="351"/>
      <c r="N630" s="490" t="s">
        <v>294</v>
      </c>
      <c r="O630" s="350"/>
      <c r="P630" s="350"/>
      <c r="Q630" s="350"/>
      <c r="R630" s="350"/>
      <c r="S630" s="350"/>
      <c r="T630" s="350"/>
      <c r="U630" s="351"/>
    </row>
    <row r="631" spans="1:21" ht="34.5" customHeight="1">
      <c r="A631" s="24">
        <f t="shared" si="2"/>
        <v>617</v>
      </c>
      <c r="B631" s="483" t="s">
        <v>294</v>
      </c>
      <c r="C631" s="351"/>
      <c r="D631" s="484" t="s">
        <v>294</v>
      </c>
      <c r="E631" s="351"/>
      <c r="F631" s="485" t="s">
        <v>325</v>
      </c>
      <c r="G631" s="351"/>
      <c r="H631" s="486"/>
      <c r="I631" s="350"/>
      <c r="J631" s="351"/>
      <c r="K631" s="485" t="s">
        <v>325</v>
      </c>
      <c r="L631" s="350"/>
      <c r="M631" s="351"/>
      <c r="N631" s="491" t="s">
        <v>294</v>
      </c>
      <c r="O631" s="350"/>
      <c r="P631" s="350"/>
      <c r="Q631" s="350"/>
      <c r="R631" s="350"/>
      <c r="S631" s="350"/>
      <c r="T631" s="350"/>
      <c r="U631" s="351"/>
    </row>
    <row r="632" spans="1:21" ht="34.5" customHeight="1">
      <c r="A632" s="24">
        <f t="shared" si="2"/>
        <v>618</v>
      </c>
      <c r="B632" s="488" t="s">
        <v>294</v>
      </c>
      <c r="C632" s="351"/>
      <c r="D632" s="489" t="s">
        <v>294</v>
      </c>
      <c r="E632" s="351"/>
      <c r="F632" s="485" t="s">
        <v>325</v>
      </c>
      <c r="G632" s="351"/>
      <c r="H632" s="487"/>
      <c r="I632" s="350"/>
      <c r="J632" s="351"/>
      <c r="K632" s="485" t="s">
        <v>325</v>
      </c>
      <c r="L632" s="350"/>
      <c r="M632" s="351"/>
      <c r="N632" s="490" t="s">
        <v>294</v>
      </c>
      <c r="O632" s="350"/>
      <c r="P632" s="350"/>
      <c r="Q632" s="350"/>
      <c r="R632" s="350"/>
      <c r="S632" s="350"/>
      <c r="T632" s="350"/>
      <c r="U632" s="351"/>
    </row>
    <row r="633" spans="1:21" ht="34.5" customHeight="1">
      <c r="A633" s="24">
        <f t="shared" si="2"/>
        <v>619</v>
      </c>
      <c r="B633" s="483" t="s">
        <v>294</v>
      </c>
      <c r="C633" s="351"/>
      <c r="D633" s="484" t="s">
        <v>294</v>
      </c>
      <c r="E633" s="351"/>
      <c r="F633" s="485" t="s">
        <v>325</v>
      </c>
      <c r="G633" s="351"/>
      <c r="H633" s="486"/>
      <c r="I633" s="350"/>
      <c r="J633" s="351"/>
      <c r="K633" s="485" t="s">
        <v>325</v>
      </c>
      <c r="L633" s="350"/>
      <c r="M633" s="351"/>
      <c r="N633" s="491" t="s">
        <v>294</v>
      </c>
      <c r="O633" s="350"/>
      <c r="P633" s="350"/>
      <c r="Q633" s="350"/>
      <c r="R633" s="350"/>
      <c r="S633" s="350"/>
      <c r="T633" s="350"/>
      <c r="U633" s="351"/>
    </row>
    <row r="634" spans="1:21" ht="34.5" customHeight="1">
      <c r="A634" s="24">
        <f t="shared" si="2"/>
        <v>620</v>
      </c>
      <c r="B634" s="488" t="s">
        <v>294</v>
      </c>
      <c r="C634" s="351"/>
      <c r="D634" s="489" t="s">
        <v>294</v>
      </c>
      <c r="E634" s="351"/>
      <c r="F634" s="485" t="s">
        <v>325</v>
      </c>
      <c r="G634" s="351"/>
      <c r="H634" s="487"/>
      <c r="I634" s="350"/>
      <c r="J634" s="351"/>
      <c r="K634" s="485" t="s">
        <v>325</v>
      </c>
      <c r="L634" s="350"/>
      <c r="M634" s="351"/>
      <c r="N634" s="490" t="s">
        <v>294</v>
      </c>
      <c r="O634" s="350"/>
      <c r="P634" s="350"/>
      <c r="Q634" s="350"/>
      <c r="R634" s="350"/>
      <c r="S634" s="350"/>
      <c r="T634" s="350"/>
      <c r="U634" s="351"/>
    </row>
    <row r="635" spans="1:21" ht="34.5" customHeight="1">
      <c r="A635" s="24">
        <f t="shared" si="2"/>
        <v>621</v>
      </c>
      <c r="B635" s="483" t="s">
        <v>294</v>
      </c>
      <c r="C635" s="351"/>
      <c r="D635" s="484" t="s">
        <v>294</v>
      </c>
      <c r="E635" s="351"/>
      <c r="F635" s="485" t="s">
        <v>325</v>
      </c>
      <c r="G635" s="351"/>
      <c r="H635" s="486"/>
      <c r="I635" s="350"/>
      <c r="J635" s="351"/>
      <c r="K635" s="485" t="s">
        <v>325</v>
      </c>
      <c r="L635" s="350"/>
      <c r="M635" s="351"/>
      <c r="N635" s="491" t="s">
        <v>294</v>
      </c>
      <c r="O635" s="350"/>
      <c r="P635" s="350"/>
      <c r="Q635" s="350"/>
      <c r="R635" s="350"/>
      <c r="S635" s="350"/>
      <c r="T635" s="350"/>
      <c r="U635" s="351"/>
    </row>
    <row r="636" spans="1:21" ht="34.5" customHeight="1">
      <c r="A636" s="24">
        <f t="shared" si="2"/>
        <v>622</v>
      </c>
      <c r="B636" s="488" t="s">
        <v>294</v>
      </c>
      <c r="C636" s="351"/>
      <c r="D636" s="489" t="s">
        <v>294</v>
      </c>
      <c r="E636" s="351"/>
      <c r="F636" s="485" t="s">
        <v>325</v>
      </c>
      <c r="G636" s="351"/>
      <c r="H636" s="487"/>
      <c r="I636" s="350"/>
      <c r="J636" s="351"/>
      <c r="K636" s="485" t="s">
        <v>325</v>
      </c>
      <c r="L636" s="350"/>
      <c r="M636" s="351"/>
      <c r="N636" s="490" t="s">
        <v>294</v>
      </c>
      <c r="O636" s="350"/>
      <c r="P636" s="350"/>
      <c r="Q636" s="350"/>
      <c r="R636" s="350"/>
      <c r="S636" s="350"/>
      <c r="T636" s="350"/>
      <c r="U636" s="351"/>
    </row>
    <row r="637" spans="1:21" ht="34.5" customHeight="1">
      <c r="A637" s="24">
        <f t="shared" si="2"/>
        <v>623</v>
      </c>
      <c r="B637" s="483" t="s">
        <v>294</v>
      </c>
      <c r="C637" s="351"/>
      <c r="D637" s="484" t="s">
        <v>294</v>
      </c>
      <c r="E637" s="351"/>
      <c r="F637" s="485" t="s">
        <v>325</v>
      </c>
      <c r="G637" s="351"/>
      <c r="H637" s="486"/>
      <c r="I637" s="350"/>
      <c r="J637" s="351"/>
      <c r="K637" s="485" t="s">
        <v>325</v>
      </c>
      <c r="L637" s="350"/>
      <c r="M637" s="351"/>
      <c r="N637" s="491" t="s">
        <v>294</v>
      </c>
      <c r="O637" s="350"/>
      <c r="P637" s="350"/>
      <c r="Q637" s="350"/>
      <c r="R637" s="350"/>
      <c r="S637" s="350"/>
      <c r="T637" s="350"/>
      <c r="U637" s="351"/>
    </row>
    <row r="638" spans="1:21" ht="34.5" customHeight="1">
      <c r="A638" s="24">
        <f t="shared" si="2"/>
        <v>624</v>
      </c>
      <c r="B638" s="488" t="s">
        <v>294</v>
      </c>
      <c r="C638" s="351"/>
      <c r="D638" s="489" t="s">
        <v>294</v>
      </c>
      <c r="E638" s="351"/>
      <c r="F638" s="485" t="s">
        <v>325</v>
      </c>
      <c r="G638" s="351"/>
      <c r="H638" s="487"/>
      <c r="I638" s="350"/>
      <c r="J638" s="351"/>
      <c r="K638" s="485" t="s">
        <v>325</v>
      </c>
      <c r="L638" s="350"/>
      <c r="M638" s="351"/>
      <c r="N638" s="490" t="s">
        <v>294</v>
      </c>
      <c r="O638" s="350"/>
      <c r="P638" s="350"/>
      <c r="Q638" s="350"/>
      <c r="R638" s="350"/>
      <c r="S638" s="350"/>
      <c r="T638" s="350"/>
      <c r="U638" s="351"/>
    </row>
    <row r="639" spans="1:21" ht="34.5" customHeight="1">
      <c r="A639" s="24">
        <f t="shared" si="2"/>
        <v>625</v>
      </c>
      <c r="B639" s="483" t="s">
        <v>294</v>
      </c>
      <c r="C639" s="351"/>
      <c r="D639" s="484" t="s">
        <v>294</v>
      </c>
      <c r="E639" s="351"/>
      <c r="F639" s="485" t="s">
        <v>325</v>
      </c>
      <c r="G639" s="351"/>
      <c r="H639" s="486"/>
      <c r="I639" s="350"/>
      <c r="J639" s="351"/>
      <c r="K639" s="485" t="s">
        <v>325</v>
      </c>
      <c r="L639" s="350"/>
      <c r="M639" s="351"/>
      <c r="N639" s="491" t="s">
        <v>294</v>
      </c>
      <c r="O639" s="350"/>
      <c r="P639" s="350"/>
      <c r="Q639" s="350"/>
      <c r="R639" s="350"/>
      <c r="S639" s="350"/>
      <c r="T639" s="350"/>
      <c r="U639" s="351"/>
    </row>
    <row r="640" spans="1:21" ht="34.5" customHeight="1">
      <c r="A640" s="24">
        <f t="shared" si="2"/>
        <v>626</v>
      </c>
      <c r="B640" s="488" t="s">
        <v>294</v>
      </c>
      <c r="C640" s="351"/>
      <c r="D640" s="489" t="s">
        <v>294</v>
      </c>
      <c r="E640" s="351"/>
      <c r="F640" s="485" t="s">
        <v>325</v>
      </c>
      <c r="G640" s="351"/>
      <c r="H640" s="487"/>
      <c r="I640" s="350"/>
      <c r="J640" s="351"/>
      <c r="K640" s="485" t="s">
        <v>325</v>
      </c>
      <c r="L640" s="350"/>
      <c r="M640" s="351"/>
      <c r="N640" s="490" t="s">
        <v>294</v>
      </c>
      <c r="O640" s="350"/>
      <c r="P640" s="350"/>
      <c r="Q640" s="350"/>
      <c r="R640" s="350"/>
      <c r="S640" s="350"/>
      <c r="T640" s="350"/>
      <c r="U640" s="351"/>
    </row>
    <row r="641" spans="1:21" ht="34.5" customHeight="1">
      <c r="A641" s="24">
        <f t="shared" si="2"/>
        <v>627</v>
      </c>
      <c r="B641" s="483" t="s">
        <v>294</v>
      </c>
      <c r="C641" s="351"/>
      <c r="D641" s="484" t="s">
        <v>294</v>
      </c>
      <c r="E641" s="351"/>
      <c r="F641" s="485" t="s">
        <v>325</v>
      </c>
      <c r="G641" s="351"/>
      <c r="H641" s="486"/>
      <c r="I641" s="350"/>
      <c r="J641" s="351"/>
      <c r="K641" s="485" t="s">
        <v>325</v>
      </c>
      <c r="L641" s="350"/>
      <c r="M641" s="351"/>
      <c r="N641" s="491" t="s">
        <v>294</v>
      </c>
      <c r="O641" s="350"/>
      <c r="P641" s="350"/>
      <c r="Q641" s="350"/>
      <c r="R641" s="350"/>
      <c r="S641" s="350"/>
      <c r="T641" s="350"/>
      <c r="U641" s="351"/>
    </row>
    <row r="642" spans="1:21" ht="34.5" customHeight="1">
      <c r="A642" s="24">
        <f t="shared" si="2"/>
        <v>628</v>
      </c>
      <c r="B642" s="488" t="s">
        <v>294</v>
      </c>
      <c r="C642" s="351"/>
      <c r="D642" s="489" t="s">
        <v>294</v>
      </c>
      <c r="E642" s="351"/>
      <c r="F642" s="485" t="s">
        <v>325</v>
      </c>
      <c r="G642" s="351"/>
      <c r="H642" s="487"/>
      <c r="I642" s="350"/>
      <c r="J642" s="351"/>
      <c r="K642" s="485" t="s">
        <v>325</v>
      </c>
      <c r="L642" s="350"/>
      <c r="M642" s="351"/>
      <c r="N642" s="490" t="s">
        <v>294</v>
      </c>
      <c r="O642" s="350"/>
      <c r="P642" s="350"/>
      <c r="Q642" s="350"/>
      <c r="R642" s="350"/>
      <c r="S642" s="350"/>
      <c r="T642" s="350"/>
      <c r="U642" s="351"/>
    </row>
    <row r="643" spans="1:21" ht="34.5" customHeight="1">
      <c r="A643" s="24">
        <f t="shared" si="2"/>
        <v>629</v>
      </c>
      <c r="B643" s="483" t="s">
        <v>294</v>
      </c>
      <c r="C643" s="351"/>
      <c r="D643" s="484" t="s">
        <v>294</v>
      </c>
      <c r="E643" s="351"/>
      <c r="F643" s="485" t="s">
        <v>325</v>
      </c>
      <c r="G643" s="351"/>
      <c r="H643" s="486"/>
      <c r="I643" s="350"/>
      <c r="J643" s="351"/>
      <c r="K643" s="485" t="s">
        <v>325</v>
      </c>
      <c r="L643" s="350"/>
      <c r="M643" s="351"/>
      <c r="N643" s="491" t="s">
        <v>294</v>
      </c>
      <c r="O643" s="350"/>
      <c r="P643" s="350"/>
      <c r="Q643" s="350"/>
      <c r="R643" s="350"/>
      <c r="S643" s="350"/>
      <c r="T643" s="350"/>
      <c r="U643" s="351"/>
    </row>
    <row r="644" spans="1:21" ht="34.5" customHeight="1">
      <c r="A644" s="24">
        <f t="shared" si="2"/>
        <v>630</v>
      </c>
      <c r="B644" s="488" t="s">
        <v>294</v>
      </c>
      <c r="C644" s="351"/>
      <c r="D644" s="489" t="s">
        <v>294</v>
      </c>
      <c r="E644" s="351"/>
      <c r="F644" s="485" t="s">
        <v>325</v>
      </c>
      <c r="G644" s="351"/>
      <c r="H644" s="487"/>
      <c r="I644" s="350"/>
      <c r="J644" s="351"/>
      <c r="K644" s="485" t="s">
        <v>325</v>
      </c>
      <c r="L644" s="350"/>
      <c r="M644" s="351"/>
      <c r="N644" s="490" t="s">
        <v>294</v>
      </c>
      <c r="O644" s="350"/>
      <c r="P644" s="350"/>
      <c r="Q644" s="350"/>
      <c r="R644" s="350"/>
      <c r="S644" s="350"/>
      <c r="T644" s="350"/>
      <c r="U644" s="351"/>
    </row>
    <row r="645" spans="1:21" ht="34.5" customHeight="1">
      <c r="A645" s="24">
        <f t="shared" si="2"/>
        <v>631</v>
      </c>
      <c r="B645" s="483" t="s">
        <v>294</v>
      </c>
      <c r="C645" s="351"/>
      <c r="D645" s="484" t="s">
        <v>294</v>
      </c>
      <c r="E645" s="351"/>
      <c r="F645" s="485" t="s">
        <v>325</v>
      </c>
      <c r="G645" s="351"/>
      <c r="H645" s="486"/>
      <c r="I645" s="350"/>
      <c r="J645" s="351"/>
      <c r="K645" s="485" t="s">
        <v>325</v>
      </c>
      <c r="L645" s="350"/>
      <c r="M645" s="351"/>
      <c r="N645" s="491" t="s">
        <v>294</v>
      </c>
      <c r="O645" s="350"/>
      <c r="P645" s="350"/>
      <c r="Q645" s="350"/>
      <c r="R645" s="350"/>
      <c r="S645" s="350"/>
      <c r="T645" s="350"/>
      <c r="U645" s="351"/>
    </row>
    <row r="646" spans="1:21" ht="34.5" customHeight="1">
      <c r="A646" s="24">
        <f t="shared" si="2"/>
        <v>632</v>
      </c>
      <c r="B646" s="488" t="s">
        <v>294</v>
      </c>
      <c r="C646" s="351"/>
      <c r="D646" s="489" t="s">
        <v>294</v>
      </c>
      <c r="E646" s="351"/>
      <c r="F646" s="485" t="s">
        <v>325</v>
      </c>
      <c r="G646" s="351"/>
      <c r="H646" s="487"/>
      <c r="I646" s="350"/>
      <c r="J646" s="351"/>
      <c r="K646" s="485" t="s">
        <v>325</v>
      </c>
      <c r="L646" s="350"/>
      <c r="M646" s="351"/>
      <c r="N646" s="490" t="s">
        <v>294</v>
      </c>
      <c r="O646" s="350"/>
      <c r="P646" s="350"/>
      <c r="Q646" s="350"/>
      <c r="R646" s="350"/>
      <c r="S646" s="350"/>
      <c r="T646" s="350"/>
      <c r="U646" s="351"/>
    </row>
    <row r="647" spans="1:21" ht="34.5" customHeight="1">
      <c r="A647" s="24">
        <f t="shared" si="2"/>
        <v>633</v>
      </c>
      <c r="B647" s="483" t="s">
        <v>294</v>
      </c>
      <c r="C647" s="351"/>
      <c r="D647" s="484" t="s">
        <v>294</v>
      </c>
      <c r="E647" s="351"/>
      <c r="F647" s="485" t="s">
        <v>325</v>
      </c>
      <c r="G647" s="351"/>
      <c r="H647" s="486"/>
      <c r="I647" s="350"/>
      <c r="J647" s="351"/>
      <c r="K647" s="485" t="s">
        <v>325</v>
      </c>
      <c r="L647" s="350"/>
      <c r="M647" s="351"/>
      <c r="N647" s="491" t="s">
        <v>294</v>
      </c>
      <c r="O647" s="350"/>
      <c r="P647" s="350"/>
      <c r="Q647" s="350"/>
      <c r="R647" s="350"/>
      <c r="S647" s="350"/>
      <c r="T647" s="350"/>
      <c r="U647" s="351"/>
    </row>
    <row r="648" spans="1:21" ht="34.5" customHeight="1">
      <c r="A648" s="24">
        <f t="shared" si="2"/>
        <v>634</v>
      </c>
      <c r="B648" s="488" t="s">
        <v>294</v>
      </c>
      <c r="C648" s="351"/>
      <c r="D648" s="489" t="s">
        <v>294</v>
      </c>
      <c r="E648" s="351"/>
      <c r="F648" s="485" t="s">
        <v>325</v>
      </c>
      <c r="G648" s="351"/>
      <c r="H648" s="487"/>
      <c r="I648" s="350"/>
      <c r="J648" s="351"/>
      <c r="K648" s="485" t="s">
        <v>325</v>
      </c>
      <c r="L648" s="350"/>
      <c r="M648" s="351"/>
      <c r="N648" s="490" t="s">
        <v>294</v>
      </c>
      <c r="O648" s="350"/>
      <c r="P648" s="350"/>
      <c r="Q648" s="350"/>
      <c r="R648" s="350"/>
      <c r="S648" s="350"/>
      <c r="T648" s="350"/>
      <c r="U648" s="351"/>
    </row>
    <row r="649" spans="1:21" ht="34.5" customHeight="1">
      <c r="A649" s="24">
        <f t="shared" si="2"/>
        <v>635</v>
      </c>
      <c r="B649" s="483" t="s">
        <v>294</v>
      </c>
      <c r="C649" s="351"/>
      <c r="D649" s="484" t="s">
        <v>294</v>
      </c>
      <c r="E649" s="351"/>
      <c r="F649" s="485" t="s">
        <v>325</v>
      </c>
      <c r="G649" s="351"/>
      <c r="H649" s="486"/>
      <c r="I649" s="350"/>
      <c r="J649" s="351"/>
      <c r="K649" s="485" t="s">
        <v>325</v>
      </c>
      <c r="L649" s="350"/>
      <c r="M649" s="351"/>
      <c r="N649" s="491" t="s">
        <v>294</v>
      </c>
      <c r="O649" s="350"/>
      <c r="P649" s="350"/>
      <c r="Q649" s="350"/>
      <c r="R649" s="350"/>
      <c r="S649" s="350"/>
      <c r="T649" s="350"/>
      <c r="U649" s="351"/>
    </row>
    <row r="650" spans="1:21" ht="34.5" customHeight="1">
      <c r="A650" s="24">
        <f t="shared" si="2"/>
        <v>636</v>
      </c>
      <c r="B650" s="488" t="s">
        <v>294</v>
      </c>
      <c r="C650" s="351"/>
      <c r="D650" s="489" t="s">
        <v>294</v>
      </c>
      <c r="E650" s="351"/>
      <c r="F650" s="485" t="s">
        <v>325</v>
      </c>
      <c r="G650" s="351"/>
      <c r="H650" s="487"/>
      <c r="I650" s="350"/>
      <c r="J650" s="351"/>
      <c r="K650" s="485" t="s">
        <v>325</v>
      </c>
      <c r="L650" s="350"/>
      <c r="M650" s="351"/>
      <c r="N650" s="490" t="s">
        <v>294</v>
      </c>
      <c r="O650" s="350"/>
      <c r="P650" s="350"/>
      <c r="Q650" s="350"/>
      <c r="R650" s="350"/>
      <c r="S650" s="350"/>
      <c r="T650" s="350"/>
      <c r="U650" s="351"/>
    </row>
    <row r="651" spans="1:21" ht="34.5" customHeight="1">
      <c r="A651" s="24">
        <f t="shared" si="2"/>
        <v>637</v>
      </c>
      <c r="B651" s="483" t="s">
        <v>294</v>
      </c>
      <c r="C651" s="351"/>
      <c r="D651" s="484" t="s">
        <v>294</v>
      </c>
      <c r="E651" s="351"/>
      <c r="F651" s="485" t="s">
        <v>325</v>
      </c>
      <c r="G651" s="351"/>
      <c r="H651" s="486"/>
      <c r="I651" s="350"/>
      <c r="J651" s="351"/>
      <c r="K651" s="485" t="s">
        <v>325</v>
      </c>
      <c r="L651" s="350"/>
      <c r="M651" s="351"/>
      <c r="N651" s="491" t="s">
        <v>294</v>
      </c>
      <c r="O651" s="350"/>
      <c r="P651" s="350"/>
      <c r="Q651" s="350"/>
      <c r="R651" s="350"/>
      <c r="S651" s="350"/>
      <c r="T651" s="350"/>
      <c r="U651" s="351"/>
    </row>
    <row r="652" spans="1:21" ht="34.5" customHeight="1">
      <c r="A652" s="24">
        <f t="shared" si="2"/>
        <v>638</v>
      </c>
      <c r="B652" s="488" t="s">
        <v>294</v>
      </c>
      <c r="C652" s="351"/>
      <c r="D652" s="489" t="s">
        <v>294</v>
      </c>
      <c r="E652" s="351"/>
      <c r="F652" s="485" t="s">
        <v>325</v>
      </c>
      <c r="G652" s="351"/>
      <c r="H652" s="487"/>
      <c r="I652" s="350"/>
      <c r="J652" s="351"/>
      <c r="K652" s="485" t="s">
        <v>325</v>
      </c>
      <c r="L652" s="350"/>
      <c r="M652" s="351"/>
      <c r="N652" s="490" t="s">
        <v>294</v>
      </c>
      <c r="O652" s="350"/>
      <c r="P652" s="350"/>
      <c r="Q652" s="350"/>
      <c r="R652" s="350"/>
      <c r="S652" s="350"/>
      <c r="T652" s="350"/>
      <c r="U652" s="351"/>
    </row>
    <row r="653" spans="1:21" ht="34.5" customHeight="1">
      <c r="A653" s="24">
        <f t="shared" si="2"/>
        <v>639</v>
      </c>
      <c r="B653" s="483" t="s">
        <v>294</v>
      </c>
      <c r="C653" s="351"/>
      <c r="D653" s="484" t="s">
        <v>294</v>
      </c>
      <c r="E653" s="351"/>
      <c r="F653" s="485" t="s">
        <v>325</v>
      </c>
      <c r="G653" s="351"/>
      <c r="H653" s="486"/>
      <c r="I653" s="350"/>
      <c r="J653" s="351"/>
      <c r="K653" s="485" t="s">
        <v>325</v>
      </c>
      <c r="L653" s="350"/>
      <c r="M653" s="351"/>
      <c r="N653" s="491" t="s">
        <v>294</v>
      </c>
      <c r="O653" s="350"/>
      <c r="P653" s="350"/>
      <c r="Q653" s="350"/>
      <c r="R653" s="350"/>
      <c r="S653" s="350"/>
      <c r="T653" s="350"/>
      <c r="U653" s="351"/>
    </row>
    <row r="654" spans="1:21" ht="34.5" customHeight="1">
      <c r="A654" s="24">
        <f t="shared" si="2"/>
        <v>640</v>
      </c>
      <c r="B654" s="488" t="s">
        <v>294</v>
      </c>
      <c r="C654" s="351"/>
      <c r="D654" s="489" t="s">
        <v>294</v>
      </c>
      <c r="E654" s="351"/>
      <c r="F654" s="485" t="s">
        <v>325</v>
      </c>
      <c r="G654" s="351"/>
      <c r="H654" s="487"/>
      <c r="I654" s="350"/>
      <c r="J654" s="351"/>
      <c r="K654" s="485" t="s">
        <v>325</v>
      </c>
      <c r="L654" s="350"/>
      <c r="M654" s="351"/>
      <c r="N654" s="490" t="s">
        <v>294</v>
      </c>
      <c r="O654" s="350"/>
      <c r="P654" s="350"/>
      <c r="Q654" s="350"/>
      <c r="R654" s="350"/>
      <c r="S654" s="350"/>
      <c r="T654" s="350"/>
      <c r="U654" s="351"/>
    </row>
    <row r="655" spans="1:21" ht="34.5" customHeight="1">
      <c r="A655" s="24">
        <f t="shared" si="2"/>
        <v>641</v>
      </c>
      <c r="B655" s="483" t="s">
        <v>294</v>
      </c>
      <c r="C655" s="351"/>
      <c r="D655" s="484" t="s">
        <v>294</v>
      </c>
      <c r="E655" s="351"/>
      <c r="F655" s="485" t="s">
        <v>325</v>
      </c>
      <c r="G655" s="351"/>
      <c r="H655" s="486"/>
      <c r="I655" s="350"/>
      <c r="J655" s="351"/>
      <c r="K655" s="485" t="s">
        <v>325</v>
      </c>
      <c r="L655" s="350"/>
      <c r="M655" s="351"/>
      <c r="N655" s="491" t="s">
        <v>294</v>
      </c>
      <c r="O655" s="350"/>
      <c r="P655" s="350"/>
      <c r="Q655" s="350"/>
      <c r="R655" s="350"/>
      <c r="S655" s="350"/>
      <c r="T655" s="350"/>
      <c r="U655" s="351"/>
    </row>
    <row r="656" spans="1:21" ht="34.5" customHeight="1">
      <c r="A656" s="24">
        <f t="shared" si="2"/>
        <v>642</v>
      </c>
      <c r="B656" s="488" t="s">
        <v>294</v>
      </c>
      <c r="C656" s="351"/>
      <c r="D656" s="489" t="s">
        <v>294</v>
      </c>
      <c r="E656" s="351"/>
      <c r="F656" s="485" t="s">
        <v>325</v>
      </c>
      <c r="G656" s="351"/>
      <c r="H656" s="487"/>
      <c r="I656" s="350"/>
      <c r="J656" s="351"/>
      <c r="K656" s="485" t="s">
        <v>325</v>
      </c>
      <c r="L656" s="350"/>
      <c r="M656" s="351"/>
      <c r="N656" s="490" t="s">
        <v>294</v>
      </c>
      <c r="O656" s="350"/>
      <c r="P656" s="350"/>
      <c r="Q656" s="350"/>
      <c r="R656" s="350"/>
      <c r="S656" s="350"/>
      <c r="T656" s="350"/>
      <c r="U656" s="351"/>
    </row>
    <row r="657" spans="1:21" ht="34.5" customHeight="1">
      <c r="A657" s="24">
        <f t="shared" si="2"/>
        <v>643</v>
      </c>
      <c r="B657" s="483" t="s">
        <v>294</v>
      </c>
      <c r="C657" s="351"/>
      <c r="D657" s="484" t="s">
        <v>294</v>
      </c>
      <c r="E657" s="351"/>
      <c r="F657" s="485" t="s">
        <v>325</v>
      </c>
      <c r="G657" s="351"/>
      <c r="H657" s="486"/>
      <c r="I657" s="350"/>
      <c r="J657" s="351"/>
      <c r="K657" s="485" t="s">
        <v>325</v>
      </c>
      <c r="L657" s="350"/>
      <c r="M657" s="351"/>
      <c r="N657" s="491" t="s">
        <v>294</v>
      </c>
      <c r="O657" s="350"/>
      <c r="P657" s="350"/>
      <c r="Q657" s="350"/>
      <c r="R657" s="350"/>
      <c r="S657" s="350"/>
      <c r="T657" s="350"/>
      <c r="U657" s="351"/>
    </row>
    <row r="658" spans="1:21" ht="34.5" customHeight="1">
      <c r="A658" s="24">
        <f t="shared" si="2"/>
        <v>644</v>
      </c>
      <c r="B658" s="488" t="s">
        <v>294</v>
      </c>
      <c r="C658" s="351"/>
      <c r="D658" s="489" t="s">
        <v>294</v>
      </c>
      <c r="E658" s="351"/>
      <c r="F658" s="485" t="s">
        <v>325</v>
      </c>
      <c r="G658" s="351"/>
      <c r="H658" s="487"/>
      <c r="I658" s="350"/>
      <c r="J658" s="351"/>
      <c r="K658" s="485" t="s">
        <v>325</v>
      </c>
      <c r="L658" s="350"/>
      <c r="M658" s="351"/>
      <c r="N658" s="490" t="s">
        <v>294</v>
      </c>
      <c r="O658" s="350"/>
      <c r="P658" s="350"/>
      <c r="Q658" s="350"/>
      <c r="R658" s="350"/>
      <c r="S658" s="350"/>
      <c r="T658" s="350"/>
      <c r="U658" s="351"/>
    </row>
    <row r="659" spans="1:21" ht="34.5" customHeight="1">
      <c r="A659" s="24">
        <f t="shared" si="2"/>
        <v>645</v>
      </c>
      <c r="B659" s="483" t="s">
        <v>294</v>
      </c>
      <c r="C659" s="351"/>
      <c r="D659" s="484" t="s">
        <v>294</v>
      </c>
      <c r="E659" s="351"/>
      <c r="F659" s="485" t="s">
        <v>325</v>
      </c>
      <c r="G659" s="351"/>
      <c r="H659" s="486"/>
      <c r="I659" s="350"/>
      <c r="J659" s="351"/>
      <c r="K659" s="485" t="s">
        <v>325</v>
      </c>
      <c r="L659" s="350"/>
      <c r="M659" s="351"/>
      <c r="N659" s="491" t="s">
        <v>294</v>
      </c>
      <c r="O659" s="350"/>
      <c r="P659" s="350"/>
      <c r="Q659" s="350"/>
      <c r="R659" s="350"/>
      <c r="S659" s="350"/>
      <c r="T659" s="350"/>
      <c r="U659" s="351"/>
    </row>
    <row r="660" spans="1:21" ht="34.5" customHeight="1">
      <c r="A660" s="24">
        <f t="shared" si="2"/>
        <v>646</v>
      </c>
      <c r="B660" s="488" t="s">
        <v>294</v>
      </c>
      <c r="C660" s="351"/>
      <c r="D660" s="489" t="s">
        <v>294</v>
      </c>
      <c r="E660" s="351"/>
      <c r="F660" s="485" t="s">
        <v>325</v>
      </c>
      <c r="G660" s="351"/>
      <c r="H660" s="487"/>
      <c r="I660" s="350"/>
      <c r="J660" s="351"/>
      <c r="K660" s="485" t="s">
        <v>325</v>
      </c>
      <c r="L660" s="350"/>
      <c r="M660" s="351"/>
      <c r="N660" s="490" t="s">
        <v>294</v>
      </c>
      <c r="O660" s="350"/>
      <c r="P660" s="350"/>
      <c r="Q660" s="350"/>
      <c r="R660" s="350"/>
      <c r="S660" s="350"/>
      <c r="T660" s="350"/>
      <c r="U660" s="351"/>
    </row>
    <row r="661" spans="1:21" ht="34.5" customHeight="1">
      <c r="A661" s="24">
        <f t="shared" si="2"/>
        <v>647</v>
      </c>
      <c r="B661" s="483" t="s">
        <v>294</v>
      </c>
      <c r="C661" s="351"/>
      <c r="D661" s="484" t="s">
        <v>294</v>
      </c>
      <c r="E661" s="351"/>
      <c r="F661" s="485" t="s">
        <v>325</v>
      </c>
      <c r="G661" s="351"/>
      <c r="H661" s="486"/>
      <c r="I661" s="350"/>
      <c r="J661" s="351"/>
      <c r="K661" s="485" t="s">
        <v>325</v>
      </c>
      <c r="L661" s="350"/>
      <c r="M661" s="351"/>
      <c r="N661" s="491" t="s">
        <v>294</v>
      </c>
      <c r="O661" s="350"/>
      <c r="P661" s="350"/>
      <c r="Q661" s="350"/>
      <c r="R661" s="350"/>
      <c r="S661" s="350"/>
      <c r="T661" s="350"/>
      <c r="U661" s="351"/>
    </row>
    <row r="662" spans="1:21" ht="34.5" customHeight="1">
      <c r="A662" s="24">
        <f t="shared" si="2"/>
        <v>648</v>
      </c>
      <c r="B662" s="488" t="s">
        <v>294</v>
      </c>
      <c r="C662" s="351"/>
      <c r="D662" s="489" t="s">
        <v>294</v>
      </c>
      <c r="E662" s="351"/>
      <c r="F662" s="485" t="s">
        <v>325</v>
      </c>
      <c r="G662" s="351"/>
      <c r="H662" s="487"/>
      <c r="I662" s="350"/>
      <c r="J662" s="351"/>
      <c r="K662" s="485" t="s">
        <v>325</v>
      </c>
      <c r="L662" s="350"/>
      <c r="M662" s="351"/>
      <c r="N662" s="490" t="s">
        <v>294</v>
      </c>
      <c r="O662" s="350"/>
      <c r="P662" s="350"/>
      <c r="Q662" s="350"/>
      <c r="R662" s="350"/>
      <c r="S662" s="350"/>
      <c r="T662" s="350"/>
      <c r="U662" s="351"/>
    </row>
    <row r="663" spans="1:21" ht="34.5" customHeight="1">
      <c r="A663" s="24">
        <f t="shared" si="2"/>
        <v>649</v>
      </c>
      <c r="B663" s="483" t="s">
        <v>294</v>
      </c>
      <c r="C663" s="351"/>
      <c r="D663" s="484" t="s">
        <v>294</v>
      </c>
      <c r="E663" s="351"/>
      <c r="F663" s="485" t="s">
        <v>325</v>
      </c>
      <c r="G663" s="351"/>
      <c r="H663" s="486"/>
      <c r="I663" s="350"/>
      <c r="J663" s="351"/>
      <c r="K663" s="485" t="s">
        <v>325</v>
      </c>
      <c r="L663" s="350"/>
      <c r="M663" s="351"/>
      <c r="N663" s="491" t="s">
        <v>294</v>
      </c>
      <c r="O663" s="350"/>
      <c r="P663" s="350"/>
      <c r="Q663" s="350"/>
      <c r="R663" s="350"/>
      <c r="S663" s="350"/>
      <c r="T663" s="350"/>
      <c r="U663" s="351"/>
    </row>
    <row r="664" spans="1:21" ht="34.5" customHeight="1">
      <c r="A664" s="24">
        <f t="shared" si="2"/>
        <v>650</v>
      </c>
      <c r="B664" s="488" t="s">
        <v>294</v>
      </c>
      <c r="C664" s="351"/>
      <c r="D664" s="489" t="s">
        <v>294</v>
      </c>
      <c r="E664" s="351"/>
      <c r="F664" s="485" t="s">
        <v>325</v>
      </c>
      <c r="G664" s="351"/>
      <c r="H664" s="487"/>
      <c r="I664" s="350"/>
      <c r="J664" s="351"/>
      <c r="K664" s="485" t="s">
        <v>325</v>
      </c>
      <c r="L664" s="350"/>
      <c r="M664" s="351"/>
      <c r="N664" s="490" t="s">
        <v>294</v>
      </c>
      <c r="O664" s="350"/>
      <c r="P664" s="350"/>
      <c r="Q664" s="350"/>
      <c r="R664" s="350"/>
      <c r="S664" s="350"/>
      <c r="T664" s="350"/>
      <c r="U664" s="351"/>
    </row>
    <row r="665" spans="1:21" ht="34.5" customHeight="1">
      <c r="A665" s="24">
        <f t="shared" si="2"/>
        <v>651</v>
      </c>
      <c r="B665" s="483" t="s">
        <v>294</v>
      </c>
      <c r="C665" s="351"/>
      <c r="D665" s="484" t="s">
        <v>294</v>
      </c>
      <c r="E665" s="351"/>
      <c r="F665" s="485" t="s">
        <v>325</v>
      </c>
      <c r="G665" s="351"/>
      <c r="H665" s="486"/>
      <c r="I665" s="350"/>
      <c r="J665" s="351"/>
      <c r="K665" s="485" t="s">
        <v>325</v>
      </c>
      <c r="L665" s="350"/>
      <c r="M665" s="351"/>
      <c r="N665" s="491" t="s">
        <v>294</v>
      </c>
      <c r="O665" s="350"/>
      <c r="P665" s="350"/>
      <c r="Q665" s="350"/>
      <c r="R665" s="350"/>
      <c r="S665" s="350"/>
      <c r="T665" s="350"/>
      <c r="U665" s="351"/>
    </row>
    <row r="666" spans="1:21" ht="34.5" customHeight="1">
      <c r="A666" s="24">
        <f t="shared" si="2"/>
        <v>652</v>
      </c>
      <c r="B666" s="488" t="s">
        <v>326</v>
      </c>
      <c r="C666" s="351"/>
      <c r="D666" s="489" t="s">
        <v>294</v>
      </c>
      <c r="E666" s="351"/>
      <c r="F666" s="485" t="s">
        <v>325</v>
      </c>
      <c r="G666" s="351"/>
      <c r="H666" s="487"/>
      <c r="I666" s="350"/>
      <c r="J666" s="351"/>
      <c r="K666" s="485" t="s">
        <v>325</v>
      </c>
      <c r="L666" s="350"/>
      <c r="M666" s="351"/>
      <c r="N666" s="490" t="s">
        <v>294</v>
      </c>
      <c r="O666" s="350"/>
      <c r="P666" s="350"/>
      <c r="Q666" s="350"/>
      <c r="R666" s="350"/>
      <c r="S666" s="350"/>
      <c r="T666" s="350"/>
      <c r="U666" s="351"/>
    </row>
    <row r="667" spans="1:21" ht="34.5" customHeight="1">
      <c r="A667" s="24">
        <f t="shared" si="2"/>
        <v>653</v>
      </c>
      <c r="B667" s="483" t="s">
        <v>294</v>
      </c>
      <c r="C667" s="351"/>
      <c r="D667" s="484" t="s">
        <v>294</v>
      </c>
      <c r="E667" s="351"/>
      <c r="F667" s="485" t="s">
        <v>325</v>
      </c>
      <c r="G667" s="351"/>
      <c r="H667" s="486"/>
      <c r="I667" s="350"/>
      <c r="J667" s="351"/>
      <c r="K667" s="485" t="s">
        <v>325</v>
      </c>
      <c r="L667" s="350"/>
      <c r="M667" s="351"/>
      <c r="N667" s="491" t="s">
        <v>294</v>
      </c>
      <c r="O667" s="350"/>
      <c r="P667" s="350"/>
      <c r="Q667" s="350"/>
      <c r="R667" s="350"/>
      <c r="S667" s="350"/>
      <c r="T667" s="350"/>
      <c r="U667" s="351"/>
    </row>
    <row r="668" spans="1:21" ht="34.5" customHeight="1">
      <c r="A668" s="24">
        <f t="shared" si="2"/>
        <v>654</v>
      </c>
      <c r="B668" s="488" t="s">
        <v>294</v>
      </c>
      <c r="C668" s="351"/>
      <c r="D668" s="489" t="s">
        <v>294</v>
      </c>
      <c r="E668" s="351"/>
      <c r="F668" s="485" t="s">
        <v>325</v>
      </c>
      <c r="G668" s="351"/>
      <c r="H668" s="487"/>
      <c r="I668" s="350"/>
      <c r="J668" s="351"/>
      <c r="K668" s="485" t="s">
        <v>325</v>
      </c>
      <c r="L668" s="350"/>
      <c r="M668" s="351"/>
      <c r="N668" s="490" t="s">
        <v>294</v>
      </c>
      <c r="O668" s="350"/>
      <c r="P668" s="350"/>
      <c r="Q668" s="350"/>
      <c r="R668" s="350"/>
      <c r="S668" s="350"/>
      <c r="T668" s="350"/>
      <c r="U668" s="351"/>
    </row>
    <row r="669" spans="1:21" ht="34.5" customHeight="1">
      <c r="A669" s="24">
        <f t="shared" si="2"/>
        <v>655</v>
      </c>
      <c r="B669" s="483" t="s">
        <v>294</v>
      </c>
      <c r="C669" s="351"/>
      <c r="D669" s="484" t="s">
        <v>294</v>
      </c>
      <c r="E669" s="351"/>
      <c r="F669" s="485" t="s">
        <v>325</v>
      </c>
      <c r="G669" s="351"/>
      <c r="H669" s="486"/>
      <c r="I669" s="350"/>
      <c r="J669" s="351"/>
      <c r="K669" s="485" t="s">
        <v>325</v>
      </c>
      <c r="L669" s="350"/>
      <c r="M669" s="351"/>
      <c r="N669" s="491" t="s">
        <v>294</v>
      </c>
      <c r="O669" s="350"/>
      <c r="P669" s="350"/>
      <c r="Q669" s="350"/>
      <c r="R669" s="350"/>
      <c r="S669" s="350"/>
      <c r="T669" s="350"/>
      <c r="U669" s="351"/>
    </row>
    <row r="670" spans="1:21" ht="34.5" customHeight="1">
      <c r="A670" s="24">
        <f t="shared" si="2"/>
        <v>656</v>
      </c>
      <c r="B670" s="488" t="s">
        <v>294</v>
      </c>
      <c r="C670" s="351"/>
      <c r="D670" s="489" t="s">
        <v>294</v>
      </c>
      <c r="E670" s="351"/>
      <c r="F670" s="485" t="s">
        <v>325</v>
      </c>
      <c r="G670" s="351"/>
      <c r="H670" s="487"/>
      <c r="I670" s="350"/>
      <c r="J670" s="351"/>
      <c r="K670" s="485" t="s">
        <v>325</v>
      </c>
      <c r="L670" s="350"/>
      <c r="M670" s="351"/>
      <c r="N670" s="490" t="s">
        <v>294</v>
      </c>
      <c r="O670" s="350"/>
      <c r="P670" s="350"/>
      <c r="Q670" s="350"/>
      <c r="R670" s="350"/>
      <c r="S670" s="350"/>
      <c r="T670" s="350"/>
      <c r="U670" s="351"/>
    </row>
    <row r="671" spans="1:21" ht="34.5" customHeight="1">
      <c r="A671" s="24">
        <f t="shared" si="2"/>
        <v>657</v>
      </c>
      <c r="B671" s="483" t="s">
        <v>294</v>
      </c>
      <c r="C671" s="351"/>
      <c r="D671" s="484" t="s">
        <v>294</v>
      </c>
      <c r="E671" s="351"/>
      <c r="F671" s="485" t="s">
        <v>325</v>
      </c>
      <c r="G671" s="351"/>
      <c r="H671" s="486"/>
      <c r="I671" s="350"/>
      <c r="J671" s="351"/>
      <c r="K671" s="485" t="s">
        <v>325</v>
      </c>
      <c r="L671" s="350"/>
      <c r="M671" s="351"/>
      <c r="N671" s="491" t="s">
        <v>294</v>
      </c>
      <c r="O671" s="350"/>
      <c r="P671" s="350"/>
      <c r="Q671" s="350"/>
      <c r="R671" s="350"/>
      <c r="S671" s="350"/>
      <c r="T671" s="350"/>
      <c r="U671" s="351"/>
    </row>
    <row r="672" spans="1:21" ht="34.5" customHeight="1">
      <c r="A672" s="24">
        <f t="shared" si="2"/>
        <v>658</v>
      </c>
      <c r="B672" s="488" t="s">
        <v>327</v>
      </c>
      <c r="C672" s="351"/>
      <c r="D672" s="489" t="s">
        <v>294</v>
      </c>
      <c r="E672" s="351"/>
      <c r="F672" s="485" t="s">
        <v>325</v>
      </c>
      <c r="G672" s="351"/>
      <c r="H672" s="487"/>
      <c r="I672" s="350"/>
      <c r="J672" s="351"/>
      <c r="K672" s="485" t="s">
        <v>325</v>
      </c>
      <c r="L672" s="350"/>
      <c r="M672" s="351"/>
      <c r="N672" s="490" t="s">
        <v>294</v>
      </c>
      <c r="O672" s="350"/>
      <c r="P672" s="350"/>
      <c r="Q672" s="350"/>
      <c r="R672" s="350"/>
      <c r="S672" s="350"/>
      <c r="T672" s="350"/>
      <c r="U672" s="351"/>
    </row>
    <row r="673" spans="1:21" ht="34.5" customHeight="1">
      <c r="A673" s="24">
        <f t="shared" si="2"/>
        <v>659</v>
      </c>
      <c r="B673" s="483" t="s">
        <v>294</v>
      </c>
      <c r="C673" s="351"/>
      <c r="D673" s="484" t="s">
        <v>294</v>
      </c>
      <c r="E673" s="351"/>
      <c r="F673" s="485" t="s">
        <v>325</v>
      </c>
      <c r="G673" s="351"/>
      <c r="H673" s="486"/>
      <c r="I673" s="350"/>
      <c r="J673" s="351"/>
      <c r="K673" s="485" t="s">
        <v>325</v>
      </c>
      <c r="L673" s="350"/>
      <c r="M673" s="351"/>
      <c r="N673" s="491" t="s">
        <v>294</v>
      </c>
      <c r="O673" s="350"/>
      <c r="P673" s="350"/>
      <c r="Q673" s="350"/>
      <c r="R673" s="350"/>
      <c r="S673" s="350"/>
      <c r="T673" s="350"/>
      <c r="U673" s="351"/>
    </row>
    <row r="674" spans="1:21" ht="34.5" customHeight="1">
      <c r="A674" s="24">
        <f t="shared" si="2"/>
        <v>660</v>
      </c>
      <c r="B674" s="488" t="s">
        <v>294</v>
      </c>
      <c r="C674" s="351"/>
      <c r="D674" s="489" t="s">
        <v>294</v>
      </c>
      <c r="E674" s="351"/>
      <c r="F674" s="485" t="s">
        <v>325</v>
      </c>
      <c r="G674" s="351"/>
      <c r="H674" s="487"/>
      <c r="I674" s="350"/>
      <c r="J674" s="351"/>
      <c r="K674" s="485" t="s">
        <v>325</v>
      </c>
      <c r="L674" s="350"/>
      <c r="M674" s="351"/>
      <c r="N674" s="490" t="s">
        <v>294</v>
      </c>
      <c r="O674" s="350"/>
      <c r="P674" s="350"/>
      <c r="Q674" s="350"/>
      <c r="R674" s="350"/>
      <c r="S674" s="350"/>
      <c r="T674" s="350"/>
      <c r="U674" s="351"/>
    </row>
    <row r="675" spans="1:21" ht="34.5" customHeight="1">
      <c r="A675" s="24">
        <f t="shared" si="2"/>
        <v>661</v>
      </c>
      <c r="B675" s="483" t="s">
        <v>294</v>
      </c>
      <c r="C675" s="351"/>
      <c r="D675" s="484" t="s">
        <v>294</v>
      </c>
      <c r="E675" s="351"/>
      <c r="F675" s="485" t="s">
        <v>325</v>
      </c>
      <c r="G675" s="351"/>
      <c r="H675" s="486"/>
      <c r="I675" s="350"/>
      <c r="J675" s="351"/>
      <c r="K675" s="485" t="s">
        <v>325</v>
      </c>
      <c r="L675" s="350"/>
      <c r="M675" s="351"/>
      <c r="N675" s="491" t="s">
        <v>294</v>
      </c>
      <c r="O675" s="350"/>
      <c r="P675" s="350"/>
      <c r="Q675" s="350"/>
      <c r="R675" s="350"/>
      <c r="S675" s="350"/>
      <c r="T675" s="350"/>
      <c r="U675" s="351"/>
    </row>
    <row r="676" spans="1:21" ht="34.5" customHeight="1">
      <c r="A676" s="24">
        <f t="shared" si="2"/>
        <v>662</v>
      </c>
      <c r="B676" s="488" t="s">
        <v>294</v>
      </c>
      <c r="C676" s="351"/>
      <c r="D676" s="489" t="s">
        <v>294</v>
      </c>
      <c r="E676" s="351"/>
      <c r="F676" s="485" t="s">
        <v>325</v>
      </c>
      <c r="G676" s="351"/>
      <c r="H676" s="487"/>
      <c r="I676" s="350"/>
      <c r="J676" s="351"/>
      <c r="K676" s="485" t="s">
        <v>325</v>
      </c>
      <c r="L676" s="350"/>
      <c r="M676" s="351"/>
      <c r="N676" s="490" t="s">
        <v>294</v>
      </c>
      <c r="O676" s="350"/>
      <c r="P676" s="350"/>
      <c r="Q676" s="350"/>
      <c r="R676" s="350"/>
      <c r="S676" s="350"/>
      <c r="T676" s="350"/>
      <c r="U676" s="351"/>
    </row>
    <row r="677" spans="1:21" ht="34.5" customHeight="1">
      <c r="A677" s="24">
        <f t="shared" si="2"/>
        <v>663</v>
      </c>
      <c r="B677" s="483" t="s">
        <v>294</v>
      </c>
      <c r="C677" s="351"/>
      <c r="D677" s="484" t="s">
        <v>294</v>
      </c>
      <c r="E677" s="351"/>
      <c r="F677" s="485" t="s">
        <v>325</v>
      </c>
      <c r="G677" s="351"/>
      <c r="H677" s="486"/>
      <c r="I677" s="350"/>
      <c r="J677" s="351"/>
      <c r="K677" s="485" t="s">
        <v>325</v>
      </c>
      <c r="L677" s="350"/>
      <c r="M677" s="351"/>
      <c r="N677" s="491" t="s">
        <v>294</v>
      </c>
      <c r="O677" s="350"/>
      <c r="P677" s="350"/>
      <c r="Q677" s="350"/>
      <c r="R677" s="350"/>
      <c r="S677" s="350"/>
      <c r="T677" s="350"/>
      <c r="U677" s="351"/>
    </row>
    <row r="678" spans="1:21" ht="34.5" customHeight="1">
      <c r="A678" s="24">
        <f t="shared" si="2"/>
        <v>664</v>
      </c>
      <c r="B678" s="488" t="s">
        <v>294</v>
      </c>
      <c r="C678" s="351"/>
      <c r="D678" s="489" t="s">
        <v>294</v>
      </c>
      <c r="E678" s="351"/>
      <c r="F678" s="485" t="s">
        <v>325</v>
      </c>
      <c r="G678" s="351"/>
      <c r="H678" s="487"/>
      <c r="I678" s="350"/>
      <c r="J678" s="351"/>
      <c r="K678" s="485" t="s">
        <v>325</v>
      </c>
      <c r="L678" s="350"/>
      <c r="M678" s="351"/>
      <c r="N678" s="490" t="s">
        <v>294</v>
      </c>
      <c r="O678" s="350"/>
      <c r="P678" s="350"/>
      <c r="Q678" s="350"/>
      <c r="R678" s="350"/>
      <c r="S678" s="350"/>
      <c r="T678" s="350"/>
      <c r="U678" s="351"/>
    </row>
    <row r="679" spans="1:21" ht="34.5" customHeight="1">
      <c r="A679" s="24">
        <f t="shared" si="2"/>
        <v>665</v>
      </c>
      <c r="B679" s="483" t="s">
        <v>294</v>
      </c>
      <c r="C679" s="351"/>
      <c r="D679" s="484" t="s">
        <v>294</v>
      </c>
      <c r="E679" s="351"/>
      <c r="F679" s="485" t="s">
        <v>325</v>
      </c>
      <c r="G679" s="351"/>
      <c r="H679" s="486"/>
      <c r="I679" s="350"/>
      <c r="J679" s="351"/>
      <c r="K679" s="485" t="s">
        <v>325</v>
      </c>
      <c r="L679" s="350"/>
      <c r="M679" s="351"/>
      <c r="N679" s="491" t="s">
        <v>294</v>
      </c>
      <c r="O679" s="350"/>
      <c r="P679" s="350"/>
      <c r="Q679" s="350"/>
      <c r="R679" s="350"/>
      <c r="S679" s="350"/>
      <c r="T679" s="350"/>
      <c r="U679" s="351"/>
    </row>
    <row r="680" spans="1:21" ht="34.5" customHeight="1">
      <c r="A680" s="24">
        <f t="shared" si="2"/>
        <v>666</v>
      </c>
      <c r="B680" s="488" t="s">
        <v>294</v>
      </c>
      <c r="C680" s="351"/>
      <c r="D680" s="489" t="s">
        <v>294</v>
      </c>
      <c r="E680" s="351"/>
      <c r="F680" s="485" t="s">
        <v>325</v>
      </c>
      <c r="G680" s="351"/>
      <c r="H680" s="487"/>
      <c r="I680" s="350"/>
      <c r="J680" s="351"/>
      <c r="K680" s="485" t="s">
        <v>325</v>
      </c>
      <c r="L680" s="350"/>
      <c r="M680" s="351"/>
      <c r="N680" s="490" t="s">
        <v>294</v>
      </c>
      <c r="O680" s="350"/>
      <c r="P680" s="350"/>
      <c r="Q680" s="350"/>
      <c r="R680" s="350"/>
      <c r="S680" s="350"/>
      <c r="T680" s="350"/>
      <c r="U680" s="351"/>
    </row>
    <row r="681" spans="1:21" ht="34.5" customHeight="1">
      <c r="A681" s="24">
        <f t="shared" si="2"/>
        <v>667</v>
      </c>
      <c r="B681" s="483" t="s">
        <v>294</v>
      </c>
      <c r="C681" s="351"/>
      <c r="D681" s="484" t="s">
        <v>294</v>
      </c>
      <c r="E681" s="351"/>
      <c r="F681" s="485" t="s">
        <v>325</v>
      </c>
      <c r="G681" s="351"/>
      <c r="H681" s="486"/>
      <c r="I681" s="350"/>
      <c r="J681" s="351"/>
      <c r="K681" s="485" t="s">
        <v>325</v>
      </c>
      <c r="L681" s="350"/>
      <c r="M681" s="351"/>
      <c r="N681" s="491" t="s">
        <v>294</v>
      </c>
      <c r="O681" s="350"/>
      <c r="P681" s="350"/>
      <c r="Q681" s="350"/>
      <c r="R681" s="350"/>
      <c r="S681" s="350"/>
      <c r="T681" s="350"/>
      <c r="U681" s="351"/>
    </row>
    <row r="682" spans="1:21" ht="34.5" customHeight="1">
      <c r="A682" s="24">
        <f t="shared" si="2"/>
        <v>668</v>
      </c>
      <c r="B682" s="488" t="s">
        <v>294</v>
      </c>
      <c r="C682" s="351"/>
      <c r="D682" s="489" t="s">
        <v>294</v>
      </c>
      <c r="E682" s="351"/>
      <c r="F682" s="485" t="s">
        <v>325</v>
      </c>
      <c r="G682" s="351"/>
      <c r="H682" s="487"/>
      <c r="I682" s="350"/>
      <c r="J682" s="351"/>
      <c r="K682" s="485" t="s">
        <v>325</v>
      </c>
      <c r="L682" s="350"/>
      <c r="M682" s="351"/>
      <c r="N682" s="490" t="s">
        <v>294</v>
      </c>
      <c r="O682" s="350"/>
      <c r="P682" s="350"/>
      <c r="Q682" s="350"/>
      <c r="R682" s="350"/>
      <c r="S682" s="350"/>
      <c r="T682" s="350"/>
      <c r="U682" s="351"/>
    </row>
    <row r="683" spans="1:21" ht="34.5" customHeight="1">
      <c r="A683" s="24">
        <f t="shared" si="2"/>
        <v>669</v>
      </c>
      <c r="B683" s="483" t="s">
        <v>294</v>
      </c>
      <c r="C683" s="351"/>
      <c r="D683" s="484" t="s">
        <v>294</v>
      </c>
      <c r="E683" s="351"/>
      <c r="F683" s="485" t="s">
        <v>325</v>
      </c>
      <c r="G683" s="351"/>
      <c r="H683" s="486"/>
      <c r="I683" s="350"/>
      <c r="J683" s="351"/>
      <c r="K683" s="485" t="s">
        <v>325</v>
      </c>
      <c r="L683" s="350"/>
      <c r="M683" s="351"/>
      <c r="N683" s="491" t="s">
        <v>294</v>
      </c>
      <c r="O683" s="350"/>
      <c r="P683" s="350"/>
      <c r="Q683" s="350"/>
      <c r="R683" s="350"/>
      <c r="S683" s="350"/>
      <c r="T683" s="350"/>
      <c r="U683" s="351"/>
    </row>
    <row r="684" spans="1:21" ht="34.5" customHeight="1">
      <c r="A684" s="24">
        <f t="shared" si="2"/>
        <v>670</v>
      </c>
      <c r="B684" s="488" t="s">
        <v>294</v>
      </c>
      <c r="C684" s="351"/>
      <c r="D684" s="489" t="s">
        <v>294</v>
      </c>
      <c r="E684" s="351"/>
      <c r="F684" s="485" t="s">
        <v>325</v>
      </c>
      <c r="G684" s="351"/>
      <c r="H684" s="487"/>
      <c r="I684" s="350"/>
      <c r="J684" s="351"/>
      <c r="K684" s="485" t="s">
        <v>325</v>
      </c>
      <c r="L684" s="350"/>
      <c r="M684" s="351"/>
      <c r="N684" s="490" t="s">
        <v>294</v>
      </c>
      <c r="O684" s="350"/>
      <c r="P684" s="350"/>
      <c r="Q684" s="350"/>
      <c r="R684" s="350"/>
      <c r="S684" s="350"/>
      <c r="T684" s="350"/>
      <c r="U684" s="351"/>
    </row>
    <row r="685" spans="1:21" ht="34.5" customHeight="1">
      <c r="A685" s="24">
        <f t="shared" si="2"/>
        <v>671</v>
      </c>
      <c r="B685" s="483" t="s">
        <v>328</v>
      </c>
      <c r="C685" s="351"/>
      <c r="D685" s="484" t="s">
        <v>294</v>
      </c>
      <c r="E685" s="351"/>
      <c r="F685" s="485" t="s">
        <v>325</v>
      </c>
      <c r="G685" s="351"/>
      <c r="H685" s="486"/>
      <c r="I685" s="350"/>
      <c r="J685" s="351"/>
      <c r="K685" s="485" t="s">
        <v>325</v>
      </c>
      <c r="L685" s="350"/>
      <c r="M685" s="351"/>
      <c r="N685" s="491" t="s">
        <v>294</v>
      </c>
      <c r="O685" s="350"/>
      <c r="P685" s="350"/>
      <c r="Q685" s="350"/>
      <c r="R685" s="350"/>
      <c r="S685" s="350"/>
      <c r="T685" s="350"/>
      <c r="U685" s="351"/>
    </row>
    <row r="686" spans="1:21" ht="34.5" customHeight="1">
      <c r="A686" s="24">
        <f t="shared" si="2"/>
        <v>672</v>
      </c>
      <c r="B686" s="488" t="s">
        <v>294</v>
      </c>
      <c r="C686" s="351"/>
      <c r="D686" s="489" t="s">
        <v>294</v>
      </c>
      <c r="E686" s="351"/>
      <c r="F686" s="485" t="s">
        <v>325</v>
      </c>
      <c r="G686" s="351"/>
      <c r="H686" s="487"/>
      <c r="I686" s="350"/>
      <c r="J686" s="351"/>
      <c r="K686" s="485" t="s">
        <v>325</v>
      </c>
      <c r="L686" s="350"/>
      <c r="M686" s="351"/>
      <c r="N686" s="490" t="s">
        <v>294</v>
      </c>
      <c r="O686" s="350"/>
      <c r="P686" s="350"/>
      <c r="Q686" s="350"/>
      <c r="R686" s="350"/>
      <c r="S686" s="350"/>
      <c r="T686" s="350"/>
      <c r="U686" s="351"/>
    </row>
    <row r="687" spans="1:21" ht="34.5" customHeight="1">
      <c r="A687" s="24">
        <f t="shared" si="2"/>
        <v>673</v>
      </c>
      <c r="B687" s="483" t="s">
        <v>294</v>
      </c>
      <c r="C687" s="351"/>
      <c r="D687" s="484" t="s">
        <v>294</v>
      </c>
      <c r="E687" s="351"/>
      <c r="F687" s="485" t="s">
        <v>325</v>
      </c>
      <c r="G687" s="351"/>
      <c r="H687" s="486"/>
      <c r="I687" s="350"/>
      <c r="J687" s="351"/>
      <c r="K687" s="485" t="s">
        <v>325</v>
      </c>
      <c r="L687" s="350"/>
      <c r="M687" s="351"/>
      <c r="N687" s="491" t="s">
        <v>294</v>
      </c>
      <c r="O687" s="350"/>
      <c r="P687" s="350"/>
      <c r="Q687" s="350"/>
      <c r="R687" s="350"/>
      <c r="S687" s="350"/>
      <c r="T687" s="350"/>
      <c r="U687" s="351"/>
    </row>
    <row r="688" spans="1:21" ht="34.5" customHeight="1">
      <c r="A688" s="24">
        <f t="shared" si="2"/>
        <v>674</v>
      </c>
      <c r="B688" s="488" t="s">
        <v>294</v>
      </c>
      <c r="C688" s="351"/>
      <c r="D688" s="489" t="s">
        <v>294</v>
      </c>
      <c r="E688" s="351"/>
      <c r="F688" s="485" t="s">
        <v>325</v>
      </c>
      <c r="G688" s="351"/>
      <c r="H688" s="487"/>
      <c r="I688" s="350"/>
      <c r="J688" s="351"/>
      <c r="K688" s="485" t="s">
        <v>325</v>
      </c>
      <c r="L688" s="350"/>
      <c r="M688" s="351"/>
      <c r="N688" s="490" t="s">
        <v>294</v>
      </c>
      <c r="O688" s="350"/>
      <c r="P688" s="350"/>
      <c r="Q688" s="350"/>
      <c r="R688" s="350"/>
      <c r="S688" s="350"/>
      <c r="T688" s="350"/>
      <c r="U688" s="351"/>
    </row>
    <row r="689" spans="1:21" ht="34.5" customHeight="1">
      <c r="A689" s="24">
        <f t="shared" si="2"/>
        <v>675</v>
      </c>
      <c r="B689" s="483" t="s">
        <v>294</v>
      </c>
      <c r="C689" s="351"/>
      <c r="D689" s="484" t="s">
        <v>294</v>
      </c>
      <c r="E689" s="351"/>
      <c r="F689" s="485" t="s">
        <v>325</v>
      </c>
      <c r="G689" s="351"/>
      <c r="H689" s="486"/>
      <c r="I689" s="350"/>
      <c r="J689" s="351"/>
      <c r="K689" s="485" t="s">
        <v>325</v>
      </c>
      <c r="L689" s="350"/>
      <c r="M689" s="351"/>
      <c r="N689" s="491" t="s">
        <v>294</v>
      </c>
      <c r="O689" s="350"/>
      <c r="P689" s="350"/>
      <c r="Q689" s="350"/>
      <c r="R689" s="350"/>
      <c r="S689" s="350"/>
      <c r="T689" s="350"/>
      <c r="U689" s="351"/>
    </row>
    <row r="690" spans="1:21" ht="34.5" customHeight="1">
      <c r="A690" s="24">
        <f t="shared" si="2"/>
        <v>676</v>
      </c>
      <c r="B690" s="488" t="s">
        <v>294</v>
      </c>
      <c r="C690" s="351"/>
      <c r="D690" s="489" t="s">
        <v>294</v>
      </c>
      <c r="E690" s="351"/>
      <c r="F690" s="485" t="s">
        <v>325</v>
      </c>
      <c r="G690" s="351"/>
      <c r="H690" s="487"/>
      <c r="I690" s="350"/>
      <c r="J690" s="351"/>
      <c r="K690" s="485" t="s">
        <v>325</v>
      </c>
      <c r="L690" s="350"/>
      <c r="M690" s="351"/>
      <c r="N690" s="490" t="s">
        <v>294</v>
      </c>
      <c r="O690" s="350"/>
      <c r="P690" s="350"/>
      <c r="Q690" s="350"/>
      <c r="R690" s="350"/>
      <c r="S690" s="350"/>
      <c r="T690" s="350"/>
      <c r="U690" s="351"/>
    </row>
    <row r="691" spans="1:21" ht="34.5" customHeight="1">
      <c r="A691" s="24">
        <f t="shared" si="2"/>
        <v>677</v>
      </c>
      <c r="B691" s="483" t="s">
        <v>294</v>
      </c>
      <c r="C691" s="351"/>
      <c r="D691" s="484" t="s">
        <v>294</v>
      </c>
      <c r="E691" s="351"/>
      <c r="F691" s="485" t="s">
        <v>325</v>
      </c>
      <c r="G691" s="351"/>
      <c r="H691" s="486"/>
      <c r="I691" s="350"/>
      <c r="J691" s="351"/>
      <c r="K691" s="485" t="s">
        <v>325</v>
      </c>
      <c r="L691" s="350"/>
      <c r="M691" s="351"/>
      <c r="N691" s="491" t="s">
        <v>294</v>
      </c>
      <c r="O691" s="350"/>
      <c r="P691" s="350"/>
      <c r="Q691" s="350"/>
      <c r="R691" s="350"/>
      <c r="S691" s="350"/>
      <c r="T691" s="350"/>
      <c r="U691" s="351"/>
    </row>
    <row r="692" spans="1:21" ht="34.5" customHeight="1">
      <c r="A692" s="24">
        <f t="shared" si="2"/>
        <v>678</v>
      </c>
      <c r="B692" s="488" t="s">
        <v>294</v>
      </c>
      <c r="C692" s="351"/>
      <c r="D692" s="489" t="s">
        <v>294</v>
      </c>
      <c r="E692" s="351"/>
      <c r="F692" s="485" t="s">
        <v>325</v>
      </c>
      <c r="G692" s="351"/>
      <c r="H692" s="487"/>
      <c r="I692" s="350"/>
      <c r="J692" s="351"/>
      <c r="K692" s="485" t="s">
        <v>325</v>
      </c>
      <c r="L692" s="350"/>
      <c r="M692" s="351"/>
      <c r="N692" s="490" t="s">
        <v>294</v>
      </c>
      <c r="O692" s="350"/>
      <c r="P692" s="350"/>
      <c r="Q692" s="350"/>
      <c r="R692" s="350"/>
      <c r="S692" s="350"/>
      <c r="T692" s="350"/>
      <c r="U692" s="351"/>
    </row>
    <row r="693" spans="1:21" ht="34.5" customHeight="1">
      <c r="A693" s="24">
        <f t="shared" si="2"/>
        <v>679</v>
      </c>
      <c r="B693" s="483" t="s">
        <v>294</v>
      </c>
      <c r="C693" s="351"/>
      <c r="D693" s="484" t="s">
        <v>294</v>
      </c>
      <c r="E693" s="351"/>
      <c r="F693" s="485" t="s">
        <v>325</v>
      </c>
      <c r="G693" s="351"/>
      <c r="H693" s="486"/>
      <c r="I693" s="350"/>
      <c r="J693" s="351"/>
      <c r="K693" s="485" t="s">
        <v>325</v>
      </c>
      <c r="L693" s="350"/>
      <c r="M693" s="351"/>
      <c r="N693" s="491" t="s">
        <v>294</v>
      </c>
      <c r="O693" s="350"/>
      <c r="P693" s="350"/>
      <c r="Q693" s="350"/>
      <c r="R693" s="350"/>
      <c r="S693" s="350"/>
      <c r="T693" s="350"/>
      <c r="U693" s="351"/>
    </row>
    <row r="694" spans="1:21" ht="34.5" customHeight="1">
      <c r="A694" s="24">
        <f t="shared" si="2"/>
        <v>680</v>
      </c>
      <c r="B694" s="488" t="s">
        <v>326</v>
      </c>
      <c r="C694" s="351"/>
      <c r="D694" s="489" t="s">
        <v>294</v>
      </c>
      <c r="E694" s="351"/>
      <c r="F694" s="485" t="s">
        <v>325</v>
      </c>
      <c r="G694" s="351"/>
      <c r="H694" s="487"/>
      <c r="I694" s="350"/>
      <c r="J694" s="351"/>
      <c r="K694" s="485" t="s">
        <v>325</v>
      </c>
      <c r="L694" s="350"/>
      <c r="M694" s="351"/>
      <c r="N694" s="490" t="s">
        <v>294</v>
      </c>
      <c r="O694" s="350"/>
      <c r="P694" s="350"/>
      <c r="Q694" s="350"/>
      <c r="R694" s="350"/>
      <c r="S694" s="350"/>
      <c r="T694" s="350"/>
      <c r="U694" s="351"/>
    </row>
    <row r="695" spans="1:21" ht="34.5" customHeight="1">
      <c r="A695" s="24">
        <f t="shared" si="2"/>
        <v>681</v>
      </c>
      <c r="B695" s="483" t="s">
        <v>294</v>
      </c>
      <c r="C695" s="351"/>
      <c r="D695" s="484" t="s">
        <v>294</v>
      </c>
      <c r="E695" s="351"/>
      <c r="F695" s="485" t="s">
        <v>325</v>
      </c>
      <c r="G695" s="351"/>
      <c r="H695" s="486"/>
      <c r="I695" s="350"/>
      <c r="J695" s="351"/>
      <c r="K695" s="485" t="s">
        <v>325</v>
      </c>
      <c r="L695" s="350"/>
      <c r="M695" s="351"/>
      <c r="N695" s="491" t="s">
        <v>294</v>
      </c>
      <c r="O695" s="350"/>
      <c r="P695" s="350"/>
      <c r="Q695" s="350"/>
      <c r="R695" s="350"/>
      <c r="S695" s="350"/>
      <c r="T695" s="350"/>
      <c r="U695" s="351"/>
    </row>
    <row r="696" spans="1:21" ht="34.5" customHeight="1">
      <c r="A696" s="24">
        <f t="shared" si="2"/>
        <v>682</v>
      </c>
      <c r="B696" s="488" t="s">
        <v>294</v>
      </c>
      <c r="C696" s="351"/>
      <c r="D696" s="489" t="s">
        <v>294</v>
      </c>
      <c r="E696" s="351"/>
      <c r="F696" s="485" t="s">
        <v>325</v>
      </c>
      <c r="G696" s="351"/>
      <c r="H696" s="487"/>
      <c r="I696" s="350"/>
      <c r="J696" s="351"/>
      <c r="K696" s="485" t="s">
        <v>325</v>
      </c>
      <c r="L696" s="350"/>
      <c r="M696" s="351"/>
      <c r="N696" s="490" t="s">
        <v>294</v>
      </c>
      <c r="O696" s="350"/>
      <c r="P696" s="350"/>
      <c r="Q696" s="350"/>
      <c r="R696" s="350"/>
      <c r="S696" s="350"/>
      <c r="T696" s="350"/>
      <c r="U696" s="351"/>
    </row>
    <row r="697" spans="1:21" ht="34.5" customHeight="1">
      <c r="A697" s="24">
        <f t="shared" si="2"/>
        <v>683</v>
      </c>
      <c r="B697" s="483" t="s">
        <v>294</v>
      </c>
      <c r="C697" s="351"/>
      <c r="D697" s="484" t="s">
        <v>294</v>
      </c>
      <c r="E697" s="351"/>
      <c r="F697" s="485" t="s">
        <v>325</v>
      </c>
      <c r="G697" s="351"/>
      <c r="H697" s="486"/>
      <c r="I697" s="350"/>
      <c r="J697" s="351"/>
      <c r="K697" s="485" t="s">
        <v>325</v>
      </c>
      <c r="L697" s="350"/>
      <c r="M697" s="351"/>
      <c r="N697" s="491" t="s">
        <v>294</v>
      </c>
      <c r="O697" s="350"/>
      <c r="P697" s="350"/>
      <c r="Q697" s="350"/>
      <c r="R697" s="350"/>
      <c r="S697" s="350"/>
      <c r="T697" s="350"/>
      <c r="U697" s="351"/>
    </row>
    <row r="698" spans="1:21" ht="34.5" customHeight="1">
      <c r="A698" s="24">
        <f t="shared" si="2"/>
        <v>684</v>
      </c>
      <c r="B698" s="488" t="s">
        <v>294</v>
      </c>
      <c r="C698" s="351"/>
      <c r="D698" s="489" t="s">
        <v>294</v>
      </c>
      <c r="E698" s="351"/>
      <c r="F698" s="485" t="s">
        <v>325</v>
      </c>
      <c r="G698" s="351"/>
      <c r="H698" s="487"/>
      <c r="I698" s="350"/>
      <c r="J698" s="351"/>
      <c r="K698" s="485" t="s">
        <v>325</v>
      </c>
      <c r="L698" s="350"/>
      <c r="M698" s="351"/>
      <c r="N698" s="490" t="s">
        <v>294</v>
      </c>
      <c r="O698" s="350"/>
      <c r="P698" s="350"/>
      <c r="Q698" s="350"/>
      <c r="R698" s="350"/>
      <c r="S698" s="350"/>
      <c r="T698" s="350"/>
      <c r="U698" s="351"/>
    </row>
    <row r="699" spans="1:21" ht="34.5" customHeight="1">
      <c r="A699" s="24">
        <f t="shared" si="2"/>
        <v>685</v>
      </c>
      <c r="B699" s="483" t="s">
        <v>294</v>
      </c>
      <c r="C699" s="351"/>
      <c r="D699" s="484" t="s">
        <v>294</v>
      </c>
      <c r="E699" s="351"/>
      <c r="F699" s="485" t="s">
        <v>325</v>
      </c>
      <c r="G699" s="351"/>
      <c r="H699" s="486"/>
      <c r="I699" s="350"/>
      <c r="J699" s="351"/>
      <c r="K699" s="485" t="s">
        <v>325</v>
      </c>
      <c r="L699" s="350"/>
      <c r="M699" s="351"/>
      <c r="N699" s="491" t="s">
        <v>294</v>
      </c>
      <c r="O699" s="350"/>
      <c r="P699" s="350"/>
      <c r="Q699" s="350"/>
      <c r="R699" s="350"/>
      <c r="S699" s="350"/>
      <c r="T699" s="350"/>
      <c r="U699" s="351"/>
    </row>
    <row r="700" spans="1:21" ht="34.5" customHeight="1">
      <c r="A700" s="24">
        <f t="shared" si="2"/>
        <v>686</v>
      </c>
      <c r="B700" s="488" t="s">
        <v>294</v>
      </c>
      <c r="C700" s="351"/>
      <c r="D700" s="489" t="s">
        <v>294</v>
      </c>
      <c r="E700" s="351"/>
      <c r="F700" s="485" t="s">
        <v>325</v>
      </c>
      <c r="G700" s="351"/>
      <c r="H700" s="487"/>
      <c r="I700" s="350"/>
      <c r="J700" s="351"/>
      <c r="K700" s="485" t="s">
        <v>325</v>
      </c>
      <c r="L700" s="350"/>
      <c r="M700" s="351"/>
      <c r="N700" s="490" t="s">
        <v>294</v>
      </c>
      <c r="O700" s="350"/>
      <c r="P700" s="350"/>
      <c r="Q700" s="350"/>
      <c r="R700" s="350"/>
      <c r="S700" s="350"/>
      <c r="T700" s="350"/>
      <c r="U700" s="351"/>
    </row>
    <row r="701" spans="1:21" ht="34.5" customHeight="1">
      <c r="A701" s="24">
        <f t="shared" si="2"/>
        <v>687</v>
      </c>
      <c r="B701" s="483" t="s">
        <v>294</v>
      </c>
      <c r="C701" s="351"/>
      <c r="D701" s="484" t="s">
        <v>294</v>
      </c>
      <c r="E701" s="351"/>
      <c r="F701" s="485" t="s">
        <v>325</v>
      </c>
      <c r="G701" s="351"/>
      <c r="H701" s="486"/>
      <c r="I701" s="350"/>
      <c r="J701" s="351"/>
      <c r="K701" s="485" t="s">
        <v>325</v>
      </c>
      <c r="L701" s="350"/>
      <c r="M701" s="351"/>
      <c r="N701" s="491" t="s">
        <v>294</v>
      </c>
      <c r="O701" s="350"/>
      <c r="P701" s="350"/>
      <c r="Q701" s="350"/>
      <c r="R701" s="350"/>
      <c r="S701" s="350"/>
      <c r="T701" s="350"/>
      <c r="U701" s="351"/>
    </row>
    <row r="702" spans="1:21" ht="34.5" customHeight="1">
      <c r="A702" s="24">
        <f t="shared" si="2"/>
        <v>688</v>
      </c>
      <c r="B702" s="488" t="s">
        <v>329</v>
      </c>
      <c r="C702" s="351"/>
      <c r="D702" s="489" t="s">
        <v>294</v>
      </c>
      <c r="E702" s="351"/>
      <c r="F702" s="485" t="s">
        <v>325</v>
      </c>
      <c r="G702" s="351"/>
      <c r="H702" s="487"/>
      <c r="I702" s="350"/>
      <c r="J702" s="351"/>
      <c r="K702" s="485" t="s">
        <v>325</v>
      </c>
      <c r="L702" s="350"/>
      <c r="M702" s="351"/>
      <c r="N702" s="490" t="s">
        <v>294</v>
      </c>
      <c r="O702" s="350"/>
      <c r="P702" s="350"/>
      <c r="Q702" s="350"/>
      <c r="R702" s="350"/>
      <c r="S702" s="350"/>
      <c r="T702" s="350"/>
      <c r="U702" s="351"/>
    </row>
    <row r="703" spans="1:21" ht="34.5" customHeight="1">
      <c r="A703" s="24">
        <f t="shared" si="2"/>
        <v>689</v>
      </c>
      <c r="B703" s="483" t="s">
        <v>294</v>
      </c>
      <c r="C703" s="351"/>
      <c r="D703" s="484" t="s">
        <v>294</v>
      </c>
      <c r="E703" s="351"/>
      <c r="F703" s="485" t="s">
        <v>325</v>
      </c>
      <c r="G703" s="351"/>
      <c r="H703" s="486"/>
      <c r="I703" s="350"/>
      <c r="J703" s="351"/>
      <c r="K703" s="485" t="s">
        <v>325</v>
      </c>
      <c r="L703" s="350"/>
      <c r="M703" s="351"/>
      <c r="N703" s="491" t="s">
        <v>294</v>
      </c>
      <c r="O703" s="350"/>
      <c r="P703" s="350"/>
      <c r="Q703" s="350"/>
      <c r="R703" s="350"/>
      <c r="S703" s="350"/>
      <c r="T703" s="350"/>
      <c r="U703" s="351"/>
    </row>
    <row r="704" spans="1:21" ht="34.5" customHeight="1">
      <c r="A704" s="24">
        <f t="shared" si="2"/>
        <v>690</v>
      </c>
      <c r="B704" s="488" t="s">
        <v>294</v>
      </c>
      <c r="C704" s="351"/>
      <c r="D704" s="489" t="s">
        <v>294</v>
      </c>
      <c r="E704" s="351"/>
      <c r="F704" s="485" t="s">
        <v>325</v>
      </c>
      <c r="G704" s="351"/>
      <c r="H704" s="487"/>
      <c r="I704" s="350"/>
      <c r="J704" s="351"/>
      <c r="K704" s="485" t="s">
        <v>325</v>
      </c>
      <c r="L704" s="350"/>
      <c r="M704" s="351"/>
      <c r="N704" s="490" t="s">
        <v>294</v>
      </c>
      <c r="O704" s="350"/>
      <c r="P704" s="350"/>
      <c r="Q704" s="350"/>
      <c r="R704" s="350"/>
      <c r="S704" s="350"/>
      <c r="T704" s="350"/>
      <c r="U704" s="351"/>
    </row>
    <row r="705" spans="1:21" ht="34.5" customHeight="1">
      <c r="A705" s="24">
        <f t="shared" si="2"/>
        <v>691</v>
      </c>
      <c r="B705" s="483" t="s">
        <v>294</v>
      </c>
      <c r="C705" s="351"/>
      <c r="D705" s="484" t="s">
        <v>294</v>
      </c>
      <c r="E705" s="351"/>
      <c r="F705" s="485" t="s">
        <v>325</v>
      </c>
      <c r="G705" s="351"/>
      <c r="H705" s="486"/>
      <c r="I705" s="350"/>
      <c r="J705" s="351"/>
      <c r="K705" s="485" t="s">
        <v>325</v>
      </c>
      <c r="L705" s="350"/>
      <c r="M705" s="351"/>
      <c r="N705" s="491" t="s">
        <v>294</v>
      </c>
      <c r="O705" s="350"/>
      <c r="P705" s="350"/>
      <c r="Q705" s="350"/>
      <c r="R705" s="350"/>
      <c r="S705" s="350"/>
      <c r="T705" s="350"/>
      <c r="U705" s="351"/>
    </row>
    <row r="706" spans="1:21" ht="34.5" customHeight="1">
      <c r="A706" s="24">
        <f t="shared" si="2"/>
        <v>692</v>
      </c>
      <c r="B706" s="488" t="s">
        <v>294</v>
      </c>
      <c r="C706" s="351"/>
      <c r="D706" s="489" t="s">
        <v>294</v>
      </c>
      <c r="E706" s="351"/>
      <c r="F706" s="485" t="s">
        <v>325</v>
      </c>
      <c r="G706" s="351"/>
      <c r="H706" s="487"/>
      <c r="I706" s="350"/>
      <c r="J706" s="351"/>
      <c r="K706" s="485" t="s">
        <v>325</v>
      </c>
      <c r="L706" s="350"/>
      <c r="M706" s="351"/>
      <c r="N706" s="490" t="s">
        <v>294</v>
      </c>
      <c r="O706" s="350"/>
      <c r="P706" s="350"/>
      <c r="Q706" s="350"/>
      <c r="R706" s="350"/>
      <c r="S706" s="350"/>
      <c r="T706" s="350"/>
      <c r="U706" s="351"/>
    </row>
    <row r="707" spans="1:21" ht="34.5" customHeight="1">
      <c r="A707" s="24">
        <f t="shared" si="2"/>
        <v>693</v>
      </c>
      <c r="B707" s="483" t="s">
        <v>294</v>
      </c>
      <c r="C707" s="351"/>
      <c r="D707" s="484" t="s">
        <v>294</v>
      </c>
      <c r="E707" s="351"/>
      <c r="F707" s="485" t="s">
        <v>325</v>
      </c>
      <c r="G707" s="351"/>
      <c r="H707" s="486"/>
      <c r="I707" s="350"/>
      <c r="J707" s="351"/>
      <c r="K707" s="485" t="s">
        <v>325</v>
      </c>
      <c r="L707" s="350"/>
      <c r="M707" s="351"/>
      <c r="N707" s="491" t="s">
        <v>294</v>
      </c>
      <c r="O707" s="350"/>
      <c r="P707" s="350"/>
      <c r="Q707" s="350"/>
      <c r="R707" s="350"/>
      <c r="S707" s="350"/>
      <c r="T707" s="350"/>
      <c r="U707" s="351"/>
    </row>
    <row r="708" spans="1:21" ht="34.5" customHeight="1">
      <c r="A708" s="24">
        <f t="shared" si="2"/>
        <v>694</v>
      </c>
      <c r="B708" s="488" t="s">
        <v>294</v>
      </c>
      <c r="C708" s="351"/>
      <c r="D708" s="489" t="s">
        <v>294</v>
      </c>
      <c r="E708" s="351"/>
      <c r="F708" s="485" t="s">
        <v>325</v>
      </c>
      <c r="G708" s="351"/>
      <c r="H708" s="487"/>
      <c r="I708" s="350"/>
      <c r="J708" s="351"/>
      <c r="K708" s="485" t="s">
        <v>325</v>
      </c>
      <c r="L708" s="350"/>
      <c r="M708" s="351"/>
      <c r="N708" s="490" t="s">
        <v>294</v>
      </c>
      <c r="O708" s="350"/>
      <c r="P708" s="350"/>
      <c r="Q708" s="350"/>
      <c r="R708" s="350"/>
      <c r="S708" s="350"/>
      <c r="T708" s="350"/>
      <c r="U708" s="351"/>
    </row>
    <row r="709" spans="1:21" ht="34.5" customHeight="1">
      <c r="A709" s="24">
        <f t="shared" si="2"/>
        <v>695</v>
      </c>
      <c r="B709" s="483" t="s">
        <v>294</v>
      </c>
      <c r="C709" s="351"/>
      <c r="D709" s="484" t="s">
        <v>294</v>
      </c>
      <c r="E709" s="351"/>
      <c r="F709" s="485" t="s">
        <v>325</v>
      </c>
      <c r="G709" s="351"/>
      <c r="H709" s="486"/>
      <c r="I709" s="350"/>
      <c r="J709" s="351"/>
      <c r="K709" s="485" t="s">
        <v>325</v>
      </c>
      <c r="L709" s="350"/>
      <c r="M709" s="351"/>
      <c r="N709" s="491" t="s">
        <v>294</v>
      </c>
      <c r="O709" s="350"/>
      <c r="P709" s="350"/>
      <c r="Q709" s="350"/>
      <c r="R709" s="350"/>
      <c r="S709" s="350"/>
      <c r="T709" s="350"/>
      <c r="U709" s="351"/>
    </row>
    <row r="710" spans="1:21" ht="34.5" customHeight="1">
      <c r="A710" s="24">
        <f t="shared" si="2"/>
        <v>696</v>
      </c>
      <c r="B710" s="488" t="s">
        <v>294</v>
      </c>
      <c r="C710" s="351"/>
      <c r="D710" s="489" t="s">
        <v>294</v>
      </c>
      <c r="E710" s="351"/>
      <c r="F710" s="485" t="s">
        <v>325</v>
      </c>
      <c r="G710" s="351"/>
      <c r="H710" s="487"/>
      <c r="I710" s="350"/>
      <c r="J710" s="351"/>
      <c r="K710" s="485" t="s">
        <v>325</v>
      </c>
      <c r="L710" s="350"/>
      <c r="M710" s="351"/>
      <c r="N710" s="490" t="s">
        <v>294</v>
      </c>
      <c r="O710" s="350"/>
      <c r="P710" s="350"/>
      <c r="Q710" s="350"/>
      <c r="R710" s="350"/>
      <c r="S710" s="350"/>
      <c r="T710" s="350"/>
      <c r="U710" s="351"/>
    </row>
    <row r="711" spans="1:21" ht="34.5" customHeight="1">
      <c r="A711" s="24">
        <f t="shared" si="2"/>
        <v>697</v>
      </c>
      <c r="B711" s="483" t="s">
        <v>294</v>
      </c>
      <c r="C711" s="351"/>
      <c r="D711" s="484" t="s">
        <v>294</v>
      </c>
      <c r="E711" s="351"/>
      <c r="F711" s="485" t="s">
        <v>325</v>
      </c>
      <c r="G711" s="351"/>
      <c r="H711" s="486"/>
      <c r="I711" s="350"/>
      <c r="J711" s="351"/>
      <c r="K711" s="485" t="s">
        <v>325</v>
      </c>
      <c r="L711" s="350"/>
      <c r="M711" s="351"/>
      <c r="N711" s="491" t="s">
        <v>294</v>
      </c>
      <c r="O711" s="350"/>
      <c r="P711" s="350"/>
      <c r="Q711" s="350"/>
      <c r="R711" s="350"/>
      <c r="S711" s="350"/>
      <c r="T711" s="350"/>
      <c r="U711" s="351"/>
    </row>
    <row r="712" spans="1:21" ht="34.5" customHeight="1">
      <c r="A712" s="24">
        <f t="shared" si="2"/>
        <v>698</v>
      </c>
      <c r="B712" s="488" t="s">
        <v>294</v>
      </c>
      <c r="C712" s="351"/>
      <c r="D712" s="489" t="s">
        <v>294</v>
      </c>
      <c r="E712" s="351"/>
      <c r="F712" s="485" t="s">
        <v>325</v>
      </c>
      <c r="G712" s="351"/>
      <c r="H712" s="487"/>
      <c r="I712" s="350"/>
      <c r="J712" s="351"/>
      <c r="K712" s="485" t="s">
        <v>325</v>
      </c>
      <c r="L712" s="350"/>
      <c r="M712" s="351"/>
      <c r="N712" s="490" t="s">
        <v>294</v>
      </c>
      <c r="O712" s="350"/>
      <c r="P712" s="350"/>
      <c r="Q712" s="350"/>
      <c r="R712" s="350"/>
      <c r="S712" s="350"/>
      <c r="T712" s="350"/>
      <c r="U712" s="351"/>
    </row>
    <row r="713" spans="1:21" ht="34.5" customHeight="1">
      <c r="A713" s="24">
        <f t="shared" si="2"/>
        <v>699</v>
      </c>
      <c r="B713" s="483" t="s">
        <v>294</v>
      </c>
      <c r="C713" s="351"/>
      <c r="D713" s="484" t="s">
        <v>294</v>
      </c>
      <c r="E713" s="351"/>
      <c r="F713" s="485" t="s">
        <v>325</v>
      </c>
      <c r="G713" s="351"/>
      <c r="H713" s="486"/>
      <c r="I713" s="350"/>
      <c r="J713" s="351"/>
      <c r="K713" s="485" t="s">
        <v>325</v>
      </c>
      <c r="L713" s="350"/>
      <c r="M713" s="351"/>
      <c r="N713" s="491" t="s">
        <v>294</v>
      </c>
      <c r="O713" s="350"/>
      <c r="P713" s="350"/>
      <c r="Q713" s="350"/>
      <c r="R713" s="350"/>
      <c r="S713" s="350"/>
      <c r="T713" s="350"/>
      <c r="U713" s="351"/>
    </row>
    <row r="714" spans="1:21" ht="34.5" customHeight="1">
      <c r="A714" s="24">
        <f t="shared" si="2"/>
        <v>700</v>
      </c>
      <c r="B714" s="488" t="s">
        <v>327</v>
      </c>
      <c r="C714" s="351"/>
      <c r="D714" s="489" t="s">
        <v>294</v>
      </c>
      <c r="E714" s="351"/>
      <c r="F714" s="485" t="s">
        <v>325</v>
      </c>
      <c r="G714" s="351"/>
      <c r="H714" s="487"/>
      <c r="I714" s="350"/>
      <c r="J714" s="351"/>
      <c r="K714" s="485" t="s">
        <v>325</v>
      </c>
      <c r="L714" s="350"/>
      <c r="M714" s="351"/>
      <c r="N714" s="490" t="s">
        <v>294</v>
      </c>
      <c r="O714" s="350"/>
      <c r="P714" s="350"/>
      <c r="Q714" s="350"/>
      <c r="R714" s="350"/>
      <c r="S714" s="350"/>
      <c r="T714" s="350"/>
      <c r="U714" s="351"/>
    </row>
    <row r="715" spans="1:21" ht="34.5" customHeight="1">
      <c r="A715" s="24">
        <f t="shared" si="2"/>
        <v>701</v>
      </c>
      <c r="B715" s="483" t="s">
        <v>294</v>
      </c>
      <c r="C715" s="351"/>
      <c r="D715" s="484" t="s">
        <v>294</v>
      </c>
      <c r="E715" s="351"/>
      <c r="F715" s="485" t="s">
        <v>325</v>
      </c>
      <c r="G715" s="351"/>
      <c r="H715" s="486"/>
      <c r="I715" s="350"/>
      <c r="J715" s="351"/>
      <c r="K715" s="485" t="s">
        <v>325</v>
      </c>
      <c r="L715" s="350"/>
      <c r="M715" s="351"/>
      <c r="N715" s="491" t="s">
        <v>294</v>
      </c>
      <c r="O715" s="350"/>
      <c r="P715" s="350"/>
      <c r="Q715" s="350"/>
      <c r="R715" s="350"/>
      <c r="S715" s="350"/>
      <c r="T715" s="350"/>
      <c r="U715" s="351"/>
    </row>
    <row r="716" spans="1:21" ht="34.5" customHeight="1">
      <c r="A716" s="24">
        <f t="shared" si="2"/>
        <v>702</v>
      </c>
      <c r="B716" s="488" t="s">
        <v>294</v>
      </c>
      <c r="C716" s="351"/>
      <c r="D716" s="489" t="s">
        <v>294</v>
      </c>
      <c r="E716" s="351"/>
      <c r="F716" s="485" t="s">
        <v>325</v>
      </c>
      <c r="G716" s="351"/>
      <c r="H716" s="487"/>
      <c r="I716" s="350"/>
      <c r="J716" s="351"/>
      <c r="K716" s="485" t="s">
        <v>325</v>
      </c>
      <c r="L716" s="350"/>
      <c r="M716" s="351"/>
      <c r="N716" s="490" t="s">
        <v>294</v>
      </c>
      <c r="O716" s="350"/>
      <c r="P716" s="350"/>
      <c r="Q716" s="350"/>
      <c r="R716" s="350"/>
      <c r="S716" s="350"/>
      <c r="T716" s="350"/>
      <c r="U716" s="351"/>
    </row>
    <row r="717" spans="1:21" ht="34.5" customHeight="1">
      <c r="A717" s="24">
        <f t="shared" si="2"/>
        <v>703</v>
      </c>
      <c r="B717" s="483" t="s">
        <v>294</v>
      </c>
      <c r="C717" s="351"/>
      <c r="D717" s="484" t="s">
        <v>294</v>
      </c>
      <c r="E717" s="351"/>
      <c r="F717" s="485" t="s">
        <v>325</v>
      </c>
      <c r="G717" s="351"/>
      <c r="H717" s="486"/>
      <c r="I717" s="350"/>
      <c r="J717" s="351"/>
      <c r="K717" s="485" t="s">
        <v>325</v>
      </c>
      <c r="L717" s="350"/>
      <c r="M717" s="351"/>
      <c r="N717" s="491" t="s">
        <v>294</v>
      </c>
      <c r="O717" s="350"/>
      <c r="P717" s="350"/>
      <c r="Q717" s="350"/>
      <c r="R717" s="350"/>
      <c r="S717" s="350"/>
      <c r="T717" s="350"/>
      <c r="U717" s="351"/>
    </row>
    <row r="718" spans="1:21" ht="34.5" customHeight="1">
      <c r="A718" s="24">
        <f t="shared" si="2"/>
        <v>704</v>
      </c>
      <c r="B718" s="488" t="s">
        <v>294</v>
      </c>
      <c r="C718" s="351"/>
      <c r="D718" s="489" t="s">
        <v>294</v>
      </c>
      <c r="E718" s="351"/>
      <c r="F718" s="485" t="s">
        <v>325</v>
      </c>
      <c r="G718" s="351"/>
      <c r="H718" s="487"/>
      <c r="I718" s="350"/>
      <c r="J718" s="351"/>
      <c r="K718" s="485" t="s">
        <v>325</v>
      </c>
      <c r="L718" s="350"/>
      <c r="M718" s="351"/>
      <c r="N718" s="490" t="s">
        <v>294</v>
      </c>
      <c r="O718" s="350"/>
      <c r="P718" s="350"/>
      <c r="Q718" s="350"/>
      <c r="R718" s="350"/>
      <c r="S718" s="350"/>
      <c r="T718" s="350"/>
      <c r="U718" s="351"/>
    </row>
    <row r="719" spans="1:21" ht="34.5" customHeight="1">
      <c r="A719" s="24">
        <f t="shared" si="2"/>
        <v>705</v>
      </c>
      <c r="B719" s="483" t="s">
        <v>294</v>
      </c>
      <c r="C719" s="351"/>
      <c r="D719" s="484" t="s">
        <v>294</v>
      </c>
      <c r="E719" s="351"/>
      <c r="F719" s="485" t="s">
        <v>325</v>
      </c>
      <c r="G719" s="351"/>
      <c r="H719" s="486"/>
      <c r="I719" s="350"/>
      <c r="J719" s="351"/>
      <c r="K719" s="485" t="s">
        <v>325</v>
      </c>
      <c r="L719" s="350"/>
      <c r="M719" s="351"/>
      <c r="N719" s="491" t="s">
        <v>294</v>
      </c>
      <c r="O719" s="350"/>
      <c r="P719" s="350"/>
      <c r="Q719" s="350"/>
      <c r="R719" s="350"/>
      <c r="S719" s="350"/>
      <c r="T719" s="350"/>
      <c r="U719" s="351"/>
    </row>
    <row r="720" spans="1:21" ht="34.5" customHeight="1">
      <c r="A720" s="24">
        <f t="shared" si="2"/>
        <v>706</v>
      </c>
      <c r="B720" s="488" t="s">
        <v>294</v>
      </c>
      <c r="C720" s="351"/>
      <c r="D720" s="489" t="s">
        <v>294</v>
      </c>
      <c r="E720" s="351"/>
      <c r="F720" s="485" t="s">
        <v>325</v>
      </c>
      <c r="G720" s="351"/>
      <c r="H720" s="487"/>
      <c r="I720" s="350"/>
      <c r="J720" s="351"/>
      <c r="K720" s="485" t="s">
        <v>325</v>
      </c>
      <c r="L720" s="350"/>
      <c r="M720" s="351"/>
      <c r="N720" s="490" t="s">
        <v>294</v>
      </c>
      <c r="O720" s="350"/>
      <c r="P720" s="350"/>
      <c r="Q720" s="350"/>
      <c r="R720" s="350"/>
      <c r="S720" s="350"/>
      <c r="T720" s="350"/>
      <c r="U720" s="351"/>
    </row>
    <row r="721" spans="1:21" ht="34.5" customHeight="1">
      <c r="A721" s="24">
        <f t="shared" si="2"/>
        <v>707</v>
      </c>
      <c r="B721" s="483" t="s">
        <v>294</v>
      </c>
      <c r="C721" s="351"/>
      <c r="D721" s="484" t="s">
        <v>294</v>
      </c>
      <c r="E721" s="351"/>
      <c r="F721" s="485" t="s">
        <v>325</v>
      </c>
      <c r="G721" s="351"/>
      <c r="H721" s="486"/>
      <c r="I721" s="350"/>
      <c r="J721" s="351"/>
      <c r="K721" s="485" t="s">
        <v>325</v>
      </c>
      <c r="L721" s="350"/>
      <c r="M721" s="351"/>
      <c r="N721" s="491" t="s">
        <v>294</v>
      </c>
      <c r="O721" s="350"/>
      <c r="P721" s="350"/>
      <c r="Q721" s="350"/>
      <c r="R721" s="350"/>
      <c r="S721" s="350"/>
      <c r="T721" s="350"/>
      <c r="U721" s="351"/>
    </row>
    <row r="722" spans="1:21" ht="34.5" customHeight="1">
      <c r="A722" s="24">
        <f t="shared" si="2"/>
        <v>708</v>
      </c>
      <c r="B722" s="488" t="s">
        <v>326</v>
      </c>
      <c r="C722" s="351"/>
      <c r="D722" s="489" t="s">
        <v>294</v>
      </c>
      <c r="E722" s="351"/>
      <c r="F722" s="485" t="s">
        <v>325</v>
      </c>
      <c r="G722" s="351"/>
      <c r="H722" s="487"/>
      <c r="I722" s="350"/>
      <c r="J722" s="351"/>
      <c r="K722" s="485" t="s">
        <v>325</v>
      </c>
      <c r="L722" s="350"/>
      <c r="M722" s="351"/>
      <c r="N722" s="490" t="s">
        <v>294</v>
      </c>
      <c r="O722" s="350"/>
      <c r="P722" s="350"/>
      <c r="Q722" s="350"/>
      <c r="R722" s="350"/>
      <c r="S722" s="350"/>
      <c r="T722" s="350"/>
      <c r="U722" s="351"/>
    </row>
    <row r="723" spans="1:21" ht="34.5" customHeight="1">
      <c r="A723" s="24">
        <f t="shared" si="2"/>
        <v>709</v>
      </c>
      <c r="B723" s="483" t="s">
        <v>294</v>
      </c>
      <c r="C723" s="351"/>
      <c r="D723" s="484" t="s">
        <v>294</v>
      </c>
      <c r="E723" s="351"/>
      <c r="F723" s="485" t="s">
        <v>325</v>
      </c>
      <c r="G723" s="351"/>
      <c r="H723" s="486"/>
      <c r="I723" s="350"/>
      <c r="J723" s="351"/>
      <c r="K723" s="485" t="s">
        <v>325</v>
      </c>
      <c r="L723" s="350"/>
      <c r="M723" s="351"/>
      <c r="N723" s="491" t="s">
        <v>294</v>
      </c>
      <c r="O723" s="350"/>
      <c r="P723" s="350"/>
      <c r="Q723" s="350"/>
      <c r="R723" s="350"/>
      <c r="S723" s="350"/>
      <c r="T723" s="350"/>
      <c r="U723" s="351"/>
    </row>
    <row r="724" spans="1:21" ht="34.5" customHeight="1">
      <c r="A724" s="24">
        <f t="shared" si="2"/>
        <v>710</v>
      </c>
      <c r="B724" s="488" t="s">
        <v>294</v>
      </c>
      <c r="C724" s="351"/>
      <c r="D724" s="489" t="s">
        <v>294</v>
      </c>
      <c r="E724" s="351"/>
      <c r="F724" s="485" t="s">
        <v>325</v>
      </c>
      <c r="G724" s="351"/>
      <c r="H724" s="487"/>
      <c r="I724" s="350"/>
      <c r="J724" s="351"/>
      <c r="K724" s="485" t="s">
        <v>325</v>
      </c>
      <c r="L724" s="350"/>
      <c r="M724" s="351"/>
      <c r="N724" s="490" t="s">
        <v>294</v>
      </c>
      <c r="O724" s="350"/>
      <c r="P724" s="350"/>
      <c r="Q724" s="350"/>
      <c r="R724" s="350"/>
      <c r="S724" s="350"/>
      <c r="T724" s="350"/>
      <c r="U724" s="351"/>
    </row>
    <row r="725" spans="1:21" ht="34.5" customHeight="1">
      <c r="A725" s="24">
        <f t="shared" si="2"/>
        <v>711</v>
      </c>
      <c r="B725" s="483" t="s">
        <v>294</v>
      </c>
      <c r="C725" s="351"/>
      <c r="D725" s="484" t="s">
        <v>294</v>
      </c>
      <c r="E725" s="351"/>
      <c r="F725" s="485" t="s">
        <v>325</v>
      </c>
      <c r="G725" s="351"/>
      <c r="H725" s="486"/>
      <c r="I725" s="350"/>
      <c r="J725" s="351"/>
      <c r="K725" s="485" t="s">
        <v>325</v>
      </c>
      <c r="L725" s="350"/>
      <c r="M725" s="351"/>
      <c r="N725" s="491" t="s">
        <v>294</v>
      </c>
      <c r="O725" s="350"/>
      <c r="P725" s="350"/>
      <c r="Q725" s="350"/>
      <c r="R725" s="350"/>
      <c r="S725" s="350"/>
      <c r="T725" s="350"/>
      <c r="U725" s="351"/>
    </row>
    <row r="726" spans="1:21" ht="34.5" customHeight="1">
      <c r="A726" s="24">
        <f t="shared" si="2"/>
        <v>712</v>
      </c>
      <c r="B726" s="488" t="s">
        <v>294</v>
      </c>
      <c r="C726" s="351"/>
      <c r="D726" s="489" t="s">
        <v>294</v>
      </c>
      <c r="E726" s="351"/>
      <c r="F726" s="485" t="s">
        <v>325</v>
      </c>
      <c r="G726" s="351"/>
      <c r="H726" s="487"/>
      <c r="I726" s="350"/>
      <c r="J726" s="351"/>
      <c r="K726" s="485" t="s">
        <v>325</v>
      </c>
      <c r="L726" s="350"/>
      <c r="M726" s="351"/>
      <c r="N726" s="490" t="s">
        <v>294</v>
      </c>
      <c r="O726" s="350"/>
      <c r="P726" s="350"/>
      <c r="Q726" s="350"/>
      <c r="R726" s="350"/>
      <c r="S726" s="350"/>
      <c r="T726" s="350"/>
      <c r="U726" s="351"/>
    </row>
    <row r="727" spans="1:21" ht="34.5" customHeight="1">
      <c r="A727" s="24">
        <f t="shared" si="2"/>
        <v>713</v>
      </c>
      <c r="B727" s="483" t="s">
        <v>294</v>
      </c>
      <c r="C727" s="351"/>
      <c r="D727" s="484" t="s">
        <v>294</v>
      </c>
      <c r="E727" s="351"/>
      <c r="F727" s="485" t="s">
        <v>325</v>
      </c>
      <c r="G727" s="351"/>
      <c r="H727" s="486"/>
      <c r="I727" s="350"/>
      <c r="J727" s="351"/>
      <c r="K727" s="485" t="s">
        <v>325</v>
      </c>
      <c r="L727" s="350"/>
      <c r="M727" s="351"/>
      <c r="N727" s="491" t="s">
        <v>294</v>
      </c>
      <c r="O727" s="350"/>
      <c r="P727" s="350"/>
      <c r="Q727" s="350"/>
      <c r="R727" s="350"/>
      <c r="S727" s="350"/>
      <c r="T727" s="350"/>
      <c r="U727" s="351"/>
    </row>
    <row r="728" spans="1:21" ht="34.5" customHeight="1">
      <c r="A728" s="24">
        <f t="shared" si="2"/>
        <v>714</v>
      </c>
      <c r="B728" s="488" t="s">
        <v>294</v>
      </c>
      <c r="C728" s="351"/>
      <c r="D728" s="489" t="s">
        <v>294</v>
      </c>
      <c r="E728" s="351"/>
      <c r="F728" s="485" t="s">
        <v>325</v>
      </c>
      <c r="G728" s="351"/>
      <c r="H728" s="487"/>
      <c r="I728" s="350"/>
      <c r="J728" s="351"/>
      <c r="K728" s="485" t="s">
        <v>325</v>
      </c>
      <c r="L728" s="350"/>
      <c r="M728" s="351"/>
      <c r="N728" s="490" t="s">
        <v>294</v>
      </c>
      <c r="O728" s="350"/>
      <c r="P728" s="350"/>
      <c r="Q728" s="350"/>
      <c r="R728" s="350"/>
      <c r="S728" s="350"/>
      <c r="T728" s="350"/>
      <c r="U728" s="351"/>
    </row>
    <row r="729" spans="1:21" ht="34.5" customHeight="1">
      <c r="A729" s="24">
        <f t="shared" si="2"/>
        <v>715</v>
      </c>
      <c r="B729" s="483" t="s">
        <v>330</v>
      </c>
      <c r="C729" s="351"/>
      <c r="D729" s="484" t="s">
        <v>294</v>
      </c>
      <c r="E729" s="351"/>
      <c r="F729" s="485" t="s">
        <v>325</v>
      </c>
      <c r="G729" s="351"/>
      <c r="H729" s="486"/>
      <c r="I729" s="350"/>
      <c r="J729" s="351"/>
      <c r="K729" s="485" t="s">
        <v>325</v>
      </c>
      <c r="L729" s="350"/>
      <c r="M729" s="351"/>
      <c r="N729" s="491" t="s">
        <v>294</v>
      </c>
      <c r="O729" s="350"/>
      <c r="P729" s="350"/>
      <c r="Q729" s="350"/>
      <c r="R729" s="350"/>
      <c r="S729" s="350"/>
      <c r="T729" s="350"/>
      <c r="U729" s="351"/>
    </row>
    <row r="730" spans="1:21" ht="34.5" customHeight="1">
      <c r="A730" s="24">
        <f t="shared" si="2"/>
        <v>716</v>
      </c>
      <c r="B730" s="488" t="s">
        <v>294</v>
      </c>
      <c r="C730" s="351"/>
      <c r="D730" s="489" t="s">
        <v>294</v>
      </c>
      <c r="E730" s="351"/>
      <c r="F730" s="485" t="s">
        <v>325</v>
      </c>
      <c r="G730" s="351"/>
      <c r="H730" s="487"/>
      <c r="I730" s="350"/>
      <c r="J730" s="351"/>
      <c r="K730" s="485" t="s">
        <v>325</v>
      </c>
      <c r="L730" s="350"/>
      <c r="M730" s="351"/>
      <c r="N730" s="490" t="s">
        <v>294</v>
      </c>
      <c r="O730" s="350"/>
      <c r="P730" s="350"/>
      <c r="Q730" s="350"/>
      <c r="R730" s="350"/>
      <c r="S730" s="350"/>
      <c r="T730" s="350"/>
      <c r="U730" s="351"/>
    </row>
    <row r="731" spans="1:21" ht="34.5" customHeight="1">
      <c r="A731" s="24">
        <f t="shared" si="2"/>
        <v>717</v>
      </c>
      <c r="B731" s="483" t="s">
        <v>294</v>
      </c>
      <c r="C731" s="351"/>
      <c r="D731" s="484" t="s">
        <v>294</v>
      </c>
      <c r="E731" s="351"/>
      <c r="F731" s="485" t="s">
        <v>325</v>
      </c>
      <c r="G731" s="351"/>
      <c r="H731" s="486"/>
      <c r="I731" s="350"/>
      <c r="J731" s="351"/>
      <c r="K731" s="485" t="s">
        <v>325</v>
      </c>
      <c r="L731" s="350"/>
      <c r="M731" s="351"/>
      <c r="N731" s="491" t="s">
        <v>294</v>
      </c>
      <c r="O731" s="350"/>
      <c r="P731" s="350"/>
      <c r="Q731" s="350"/>
      <c r="R731" s="350"/>
      <c r="S731" s="350"/>
      <c r="T731" s="350"/>
      <c r="U731" s="351"/>
    </row>
    <row r="732" spans="1:21" ht="34.5" customHeight="1">
      <c r="A732" s="24">
        <f t="shared" si="2"/>
        <v>718</v>
      </c>
      <c r="B732" s="488" t="s">
        <v>294</v>
      </c>
      <c r="C732" s="351"/>
      <c r="D732" s="489" t="s">
        <v>294</v>
      </c>
      <c r="E732" s="351"/>
      <c r="F732" s="485" t="s">
        <v>325</v>
      </c>
      <c r="G732" s="351"/>
      <c r="H732" s="487"/>
      <c r="I732" s="350"/>
      <c r="J732" s="351"/>
      <c r="K732" s="485" t="s">
        <v>325</v>
      </c>
      <c r="L732" s="350"/>
      <c r="M732" s="351"/>
      <c r="N732" s="490" t="s">
        <v>294</v>
      </c>
      <c r="O732" s="350"/>
      <c r="P732" s="350"/>
      <c r="Q732" s="350"/>
      <c r="R732" s="350"/>
      <c r="S732" s="350"/>
      <c r="T732" s="350"/>
      <c r="U732" s="351"/>
    </row>
    <row r="733" spans="1:21" ht="34.5" customHeight="1">
      <c r="A733" s="24">
        <f t="shared" si="2"/>
        <v>719</v>
      </c>
      <c r="B733" s="483" t="s">
        <v>294</v>
      </c>
      <c r="C733" s="351"/>
      <c r="D733" s="484" t="s">
        <v>294</v>
      </c>
      <c r="E733" s="351"/>
      <c r="F733" s="485" t="s">
        <v>325</v>
      </c>
      <c r="G733" s="351"/>
      <c r="H733" s="486"/>
      <c r="I733" s="350"/>
      <c r="J733" s="351"/>
      <c r="K733" s="485" t="s">
        <v>325</v>
      </c>
      <c r="L733" s="350"/>
      <c r="M733" s="351"/>
      <c r="N733" s="491" t="s">
        <v>294</v>
      </c>
      <c r="O733" s="350"/>
      <c r="P733" s="350"/>
      <c r="Q733" s="350"/>
      <c r="R733" s="350"/>
      <c r="S733" s="350"/>
      <c r="T733" s="350"/>
      <c r="U733" s="351"/>
    </row>
    <row r="734" spans="1:21" ht="34.5" customHeight="1">
      <c r="A734" s="24">
        <f t="shared" si="2"/>
        <v>720</v>
      </c>
      <c r="B734" s="488" t="s">
        <v>294</v>
      </c>
      <c r="C734" s="351"/>
      <c r="D734" s="489" t="s">
        <v>294</v>
      </c>
      <c r="E734" s="351"/>
      <c r="F734" s="485" t="s">
        <v>325</v>
      </c>
      <c r="G734" s="351"/>
      <c r="H734" s="487"/>
      <c r="I734" s="350"/>
      <c r="J734" s="351"/>
      <c r="K734" s="485" t="s">
        <v>325</v>
      </c>
      <c r="L734" s="350"/>
      <c r="M734" s="351"/>
      <c r="N734" s="490" t="s">
        <v>294</v>
      </c>
      <c r="O734" s="350"/>
      <c r="P734" s="350"/>
      <c r="Q734" s="350"/>
      <c r="R734" s="350"/>
      <c r="S734" s="350"/>
      <c r="T734" s="350"/>
      <c r="U734" s="351"/>
    </row>
    <row r="735" spans="1:21" ht="34.5" customHeight="1">
      <c r="A735" s="24">
        <f t="shared" si="2"/>
        <v>721</v>
      </c>
      <c r="B735" s="483" t="s">
        <v>294</v>
      </c>
      <c r="C735" s="351"/>
      <c r="D735" s="484" t="s">
        <v>294</v>
      </c>
      <c r="E735" s="351"/>
      <c r="F735" s="485" t="s">
        <v>325</v>
      </c>
      <c r="G735" s="351"/>
      <c r="H735" s="486"/>
      <c r="I735" s="350"/>
      <c r="J735" s="351"/>
      <c r="K735" s="485" t="s">
        <v>325</v>
      </c>
      <c r="L735" s="350"/>
      <c r="M735" s="351"/>
      <c r="N735" s="491" t="s">
        <v>294</v>
      </c>
      <c r="O735" s="350"/>
      <c r="P735" s="350"/>
      <c r="Q735" s="350"/>
      <c r="R735" s="350"/>
      <c r="S735" s="350"/>
      <c r="T735" s="350"/>
      <c r="U735" s="351"/>
    </row>
    <row r="736" spans="1:21" ht="34.5" customHeight="1">
      <c r="A736" s="24">
        <f t="shared" si="2"/>
        <v>722</v>
      </c>
      <c r="B736" s="488" t="s">
        <v>326</v>
      </c>
      <c r="C736" s="351"/>
      <c r="D736" s="489" t="s">
        <v>294</v>
      </c>
      <c r="E736" s="351"/>
      <c r="F736" s="485" t="s">
        <v>325</v>
      </c>
      <c r="G736" s="351"/>
      <c r="H736" s="487"/>
      <c r="I736" s="350"/>
      <c r="J736" s="351"/>
      <c r="K736" s="485" t="s">
        <v>325</v>
      </c>
      <c r="L736" s="350"/>
      <c r="M736" s="351"/>
      <c r="N736" s="490" t="s">
        <v>294</v>
      </c>
      <c r="O736" s="350"/>
      <c r="P736" s="350"/>
      <c r="Q736" s="350"/>
      <c r="R736" s="350"/>
      <c r="S736" s="350"/>
      <c r="T736" s="350"/>
      <c r="U736" s="351"/>
    </row>
    <row r="737" spans="1:21" ht="34.5" customHeight="1">
      <c r="A737" s="24">
        <f t="shared" si="2"/>
        <v>723</v>
      </c>
      <c r="B737" s="483" t="s">
        <v>294</v>
      </c>
      <c r="C737" s="351"/>
      <c r="D737" s="484" t="s">
        <v>294</v>
      </c>
      <c r="E737" s="351"/>
      <c r="F737" s="485" t="s">
        <v>325</v>
      </c>
      <c r="G737" s="351"/>
      <c r="H737" s="486"/>
      <c r="I737" s="350"/>
      <c r="J737" s="351"/>
      <c r="K737" s="485" t="s">
        <v>325</v>
      </c>
      <c r="L737" s="350"/>
      <c r="M737" s="351"/>
      <c r="N737" s="491" t="s">
        <v>294</v>
      </c>
      <c r="O737" s="350"/>
      <c r="P737" s="350"/>
      <c r="Q737" s="350"/>
      <c r="R737" s="350"/>
      <c r="S737" s="350"/>
      <c r="T737" s="350"/>
      <c r="U737" s="351"/>
    </row>
    <row r="738" spans="1:21" ht="34.5" customHeight="1">
      <c r="A738" s="24">
        <f t="shared" si="2"/>
        <v>724</v>
      </c>
      <c r="B738" s="488" t="s">
        <v>294</v>
      </c>
      <c r="C738" s="351"/>
      <c r="D738" s="489" t="s">
        <v>294</v>
      </c>
      <c r="E738" s="351"/>
      <c r="F738" s="485" t="s">
        <v>325</v>
      </c>
      <c r="G738" s="351"/>
      <c r="H738" s="487"/>
      <c r="I738" s="350"/>
      <c r="J738" s="351"/>
      <c r="K738" s="485" t="s">
        <v>325</v>
      </c>
      <c r="L738" s="350"/>
      <c r="M738" s="351"/>
      <c r="N738" s="490" t="s">
        <v>294</v>
      </c>
      <c r="O738" s="350"/>
      <c r="P738" s="350"/>
      <c r="Q738" s="350"/>
      <c r="R738" s="350"/>
      <c r="S738" s="350"/>
      <c r="T738" s="350"/>
      <c r="U738" s="351"/>
    </row>
    <row r="739" spans="1:21" ht="34.5" customHeight="1">
      <c r="A739" s="24">
        <f t="shared" si="2"/>
        <v>725</v>
      </c>
      <c r="B739" s="483" t="s">
        <v>294</v>
      </c>
      <c r="C739" s="351"/>
      <c r="D739" s="484" t="s">
        <v>294</v>
      </c>
      <c r="E739" s="351"/>
      <c r="F739" s="485" t="s">
        <v>325</v>
      </c>
      <c r="G739" s="351"/>
      <c r="H739" s="486"/>
      <c r="I739" s="350"/>
      <c r="J739" s="351"/>
      <c r="K739" s="485" t="s">
        <v>325</v>
      </c>
      <c r="L739" s="350"/>
      <c r="M739" s="351"/>
      <c r="N739" s="491" t="s">
        <v>294</v>
      </c>
      <c r="O739" s="350"/>
      <c r="P739" s="350"/>
      <c r="Q739" s="350"/>
      <c r="R739" s="350"/>
      <c r="S739" s="350"/>
      <c r="T739" s="350"/>
      <c r="U739" s="351"/>
    </row>
    <row r="740" spans="1:21" ht="34.5" customHeight="1">
      <c r="A740" s="24">
        <f t="shared" si="2"/>
        <v>726</v>
      </c>
      <c r="B740" s="488" t="s">
        <v>294</v>
      </c>
      <c r="C740" s="351"/>
      <c r="D740" s="489" t="s">
        <v>294</v>
      </c>
      <c r="E740" s="351"/>
      <c r="F740" s="485" t="s">
        <v>325</v>
      </c>
      <c r="G740" s="351"/>
      <c r="H740" s="487"/>
      <c r="I740" s="350"/>
      <c r="J740" s="351"/>
      <c r="K740" s="485" t="s">
        <v>325</v>
      </c>
      <c r="L740" s="350"/>
      <c r="M740" s="351"/>
      <c r="N740" s="490" t="s">
        <v>294</v>
      </c>
      <c r="O740" s="350"/>
      <c r="P740" s="350"/>
      <c r="Q740" s="350"/>
      <c r="R740" s="350"/>
      <c r="S740" s="350"/>
      <c r="T740" s="350"/>
      <c r="U740" s="351"/>
    </row>
    <row r="741" spans="1:21" ht="34.5" customHeight="1">
      <c r="A741" s="24">
        <f t="shared" si="2"/>
        <v>727</v>
      </c>
      <c r="B741" s="483" t="s">
        <v>294</v>
      </c>
      <c r="C741" s="351"/>
      <c r="D741" s="484" t="s">
        <v>294</v>
      </c>
      <c r="E741" s="351"/>
      <c r="F741" s="485" t="s">
        <v>325</v>
      </c>
      <c r="G741" s="351"/>
      <c r="H741" s="486"/>
      <c r="I741" s="350"/>
      <c r="J741" s="351"/>
      <c r="K741" s="485" t="s">
        <v>325</v>
      </c>
      <c r="L741" s="350"/>
      <c r="M741" s="351"/>
      <c r="N741" s="491" t="s">
        <v>294</v>
      </c>
      <c r="O741" s="350"/>
      <c r="P741" s="350"/>
      <c r="Q741" s="350"/>
      <c r="R741" s="350"/>
      <c r="S741" s="350"/>
      <c r="T741" s="350"/>
      <c r="U741" s="351"/>
    </row>
    <row r="742" spans="1:21" ht="34.5" customHeight="1">
      <c r="A742" s="24">
        <f t="shared" si="2"/>
        <v>728</v>
      </c>
      <c r="B742" s="488" t="s">
        <v>294</v>
      </c>
      <c r="C742" s="351"/>
      <c r="D742" s="489" t="s">
        <v>294</v>
      </c>
      <c r="E742" s="351"/>
      <c r="F742" s="485" t="s">
        <v>325</v>
      </c>
      <c r="G742" s="351"/>
      <c r="H742" s="487"/>
      <c r="I742" s="350"/>
      <c r="J742" s="351"/>
      <c r="K742" s="485" t="s">
        <v>325</v>
      </c>
      <c r="L742" s="350"/>
      <c r="M742" s="351"/>
      <c r="N742" s="490" t="s">
        <v>294</v>
      </c>
      <c r="O742" s="350"/>
      <c r="P742" s="350"/>
      <c r="Q742" s="350"/>
      <c r="R742" s="350"/>
      <c r="S742" s="350"/>
      <c r="T742" s="350"/>
      <c r="U742" s="351"/>
    </row>
    <row r="743" spans="1:21" ht="34.5" customHeight="1">
      <c r="A743" s="24">
        <f t="shared" si="2"/>
        <v>729</v>
      </c>
      <c r="B743" s="483" t="s">
        <v>294</v>
      </c>
      <c r="C743" s="351"/>
      <c r="D743" s="484" t="s">
        <v>294</v>
      </c>
      <c r="E743" s="351"/>
      <c r="F743" s="485" t="s">
        <v>325</v>
      </c>
      <c r="G743" s="351"/>
      <c r="H743" s="486"/>
      <c r="I743" s="350"/>
      <c r="J743" s="351"/>
      <c r="K743" s="485" t="s">
        <v>325</v>
      </c>
      <c r="L743" s="350"/>
      <c r="M743" s="351"/>
      <c r="N743" s="491" t="s">
        <v>294</v>
      </c>
      <c r="O743" s="350"/>
      <c r="P743" s="350"/>
      <c r="Q743" s="350"/>
      <c r="R743" s="350"/>
      <c r="S743" s="350"/>
      <c r="T743" s="350"/>
      <c r="U743" s="351"/>
    </row>
    <row r="744" spans="1:21" ht="34.5" customHeight="1">
      <c r="A744" s="24">
        <f t="shared" si="2"/>
        <v>730</v>
      </c>
      <c r="B744" s="488" t="s">
        <v>329</v>
      </c>
      <c r="C744" s="351"/>
      <c r="D744" s="489" t="s">
        <v>294</v>
      </c>
      <c r="E744" s="351"/>
      <c r="F744" s="485" t="s">
        <v>325</v>
      </c>
      <c r="G744" s="351"/>
      <c r="H744" s="487"/>
      <c r="I744" s="350"/>
      <c r="J744" s="351"/>
      <c r="K744" s="485" t="s">
        <v>325</v>
      </c>
      <c r="L744" s="350"/>
      <c r="M744" s="351"/>
      <c r="N744" s="490" t="s">
        <v>294</v>
      </c>
      <c r="O744" s="350"/>
      <c r="P744" s="350"/>
      <c r="Q744" s="350"/>
      <c r="R744" s="350"/>
      <c r="S744" s="350"/>
      <c r="T744" s="350"/>
      <c r="U744" s="351"/>
    </row>
    <row r="745" spans="1:21" ht="34.5" customHeight="1">
      <c r="A745" s="24">
        <f t="shared" si="2"/>
        <v>731</v>
      </c>
      <c r="B745" s="483" t="s">
        <v>294</v>
      </c>
      <c r="C745" s="351"/>
      <c r="D745" s="484" t="s">
        <v>294</v>
      </c>
      <c r="E745" s="351"/>
      <c r="F745" s="485" t="s">
        <v>325</v>
      </c>
      <c r="G745" s="351"/>
      <c r="H745" s="486"/>
      <c r="I745" s="350"/>
      <c r="J745" s="351"/>
      <c r="K745" s="485" t="s">
        <v>325</v>
      </c>
      <c r="L745" s="350"/>
      <c r="M745" s="351"/>
      <c r="N745" s="491" t="s">
        <v>294</v>
      </c>
      <c r="O745" s="350"/>
      <c r="P745" s="350"/>
      <c r="Q745" s="350"/>
      <c r="R745" s="350"/>
      <c r="S745" s="350"/>
      <c r="T745" s="350"/>
      <c r="U745" s="351"/>
    </row>
    <row r="746" spans="1:21" ht="34.5" customHeight="1">
      <c r="A746" s="24">
        <f t="shared" si="2"/>
        <v>732</v>
      </c>
      <c r="B746" s="488" t="s">
        <v>294</v>
      </c>
      <c r="C746" s="351"/>
      <c r="D746" s="489" t="s">
        <v>294</v>
      </c>
      <c r="E746" s="351"/>
      <c r="F746" s="485" t="s">
        <v>325</v>
      </c>
      <c r="G746" s="351"/>
      <c r="H746" s="487"/>
      <c r="I746" s="350"/>
      <c r="J746" s="351"/>
      <c r="K746" s="485" t="s">
        <v>325</v>
      </c>
      <c r="L746" s="350"/>
      <c r="M746" s="351"/>
      <c r="N746" s="490" t="s">
        <v>294</v>
      </c>
      <c r="O746" s="350"/>
      <c r="P746" s="350"/>
      <c r="Q746" s="350"/>
      <c r="R746" s="350"/>
      <c r="S746" s="350"/>
      <c r="T746" s="350"/>
      <c r="U746" s="351"/>
    </row>
    <row r="747" spans="1:21" ht="34.5" customHeight="1">
      <c r="A747" s="24">
        <f t="shared" si="2"/>
        <v>733</v>
      </c>
      <c r="B747" s="483" t="s">
        <v>331</v>
      </c>
      <c r="C747" s="351"/>
      <c r="D747" s="484" t="s">
        <v>294</v>
      </c>
      <c r="E747" s="351"/>
      <c r="F747" s="485" t="s">
        <v>325</v>
      </c>
      <c r="G747" s="351"/>
      <c r="H747" s="486"/>
      <c r="I747" s="350"/>
      <c r="J747" s="351"/>
      <c r="K747" s="485" t="s">
        <v>325</v>
      </c>
      <c r="L747" s="350"/>
      <c r="M747" s="351"/>
      <c r="N747" s="491" t="s">
        <v>294</v>
      </c>
      <c r="O747" s="350"/>
      <c r="P747" s="350"/>
      <c r="Q747" s="350"/>
      <c r="R747" s="350"/>
      <c r="S747" s="350"/>
      <c r="T747" s="350"/>
      <c r="U747" s="351"/>
    </row>
    <row r="748" spans="1:21" ht="34.5" customHeight="1">
      <c r="A748" s="24">
        <f t="shared" si="2"/>
        <v>734</v>
      </c>
      <c r="B748" s="488" t="s">
        <v>294</v>
      </c>
      <c r="C748" s="351"/>
      <c r="D748" s="489" t="s">
        <v>294</v>
      </c>
      <c r="E748" s="351"/>
      <c r="F748" s="485" t="s">
        <v>325</v>
      </c>
      <c r="G748" s="351"/>
      <c r="H748" s="487"/>
      <c r="I748" s="350"/>
      <c r="J748" s="351"/>
      <c r="K748" s="485" t="s">
        <v>325</v>
      </c>
      <c r="L748" s="350"/>
      <c r="M748" s="351"/>
      <c r="N748" s="490" t="s">
        <v>294</v>
      </c>
      <c r="O748" s="350"/>
      <c r="P748" s="350"/>
      <c r="Q748" s="350"/>
      <c r="R748" s="350"/>
      <c r="S748" s="350"/>
      <c r="T748" s="350"/>
      <c r="U748" s="351"/>
    </row>
    <row r="749" spans="1:21" ht="34.5" customHeight="1">
      <c r="A749" s="24">
        <f t="shared" si="2"/>
        <v>735</v>
      </c>
      <c r="B749" s="483" t="s">
        <v>294</v>
      </c>
      <c r="C749" s="351"/>
      <c r="D749" s="484" t="s">
        <v>294</v>
      </c>
      <c r="E749" s="351"/>
      <c r="F749" s="485" t="s">
        <v>325</v>
      </c>
      <c r="G749" s="351"/>
      <c r="H749" s="486"/>
      <c r="I749" s="350"/>
      <c r="J749" s="351"/>
      <c r="K749" s="485" t="s">
        <v>325</v>
      </c>
      <c r="L749" s="350"/>
      <c r="M749" s="351"/>
      <c r="N749" s="491" t="s">
        <v>294</v>
      </c>
      <c r="O749" s="350"/>
      <c r="P749" s="350"/>
      <c r="Q749" s="350"/>
      <c r="R749" s="350"/>
      <c r="S749" s="350"/>
      <c r="T749" s="350"/>
      <c r="U749" s="351"/>
    </row>
    <row r="750" spans="1:21" ht="34.5" customHeight="1">
      <c r="A750" s="24">
        <f t="shared" si="2"/>
        <v>736</v>
      </c>
      <c r="B750" s="488" t="s">
        <v>294</v>
      </c>
      <c r="C750" s="351"/>
      <c r="D750" s="489" t="s">
        <v>294</v>
      </c>
      <c r="E750" s="351"/>
      <c r="F750" s="485" t="s">
        <v>325</v>
      </c>
      <c r="G750" s="351"/>
      <c r="H750" s="487"/>
      <c r="I750" s="350"/>
      <c r="J750" s="351"/>
      <c r="K750" s="485" t="s">
        <v>325</v>
      </c>
      <c r="L750" s="350"/>
      <c r="M750" s="351"/>
      <c r="N750" s="490" t="s">
        <v>294</v>
      </c>
      <c r="O750" s="350"/>
      <c r="P750" s="350"/>
      <c r="Q750" s="350"/>
      <c r="R750" s="350"/>
      <c r="S750" s="350"/>
      <c r="T750" s="350"/>
      <c r="U750" s="351"/>
    </row>
    <row r="751" spans="1:21" ht="34.5" customHeight="1">
      <c r="A751" s="24">
        <f t="shared" si="2"/>
        <v>737</v>
      </c>
      <c r="B751" s="483" t="s">
        <v>294</v>
      </c>
      <c r="C751" s="351"/>
      <c r="D751" s="484" t="s">
        <v>294</v>
      </c>
      <c r="E751" s="351"/>
      <c r="F751" s="485" t="s">
        <v>325</v>
      </c>
      <c r="G751" s="351"/>
      <c r="H751" s="486"/>
      <c r="I751" s="350"/>
      <c r="J751" s="351"/>
      <c r="K751" s="485" t="s">
        <v>325</v>
      </c>
      <c r="L751" s="350"/>
      <c r="M751" s="351"/>
      <c r="N751" s="491" t="s">
        <v>294</v>
      </c>
      <c r="O751" s="350"/>
      <c r="P751" s="350"/>
      <c r="Q751" s="350"/>
      <c r="R751" s="350"/>
      <c r="S751" s="350"/>
      <c r="T751" s="350"/>
      <c r="U751" s="351"/>
    </row>
    <row r="752" spans="1:21" ht="34.5" customHeight="1">
      <c r="A752" s="24">
        <f t="shared" si="2"/>
        <v>738</v>
      </c>
      <c r="B752" s="488" t="s">
        <v>294</v>
      </c>
      <c r="C752" s="351"/>
      <c r="D752" s="489" t="s">
        <v>294</v>
      </c>
      <c r="E752" s="351"/>
      <c r="F752" s="485" t="s">
        <v>325</v>
      </c>
      <c r="G752" s="351"/>
      <c r="H752" s="487"/>
      <c r="I752" s="350"/>
      <c r="J752" s="351"/>
      <c r="K752" s="485" t="s">
        <v>325</v>
      </c>
      <c r="L752" s="350"/>
      <c r="M752" s="351"/>
      <c r="N752" s="490" t="s">
        <v>294</v>
      </c>
      <c r="O752" s="350"/>
      <c r="P752" s="350"/>
      <c r="Q752" s="350"/>
      <c r="R752" s="350"/>
      <c r="S752" s="350"/>
      <c r="T752" s="350"/>
      <c r="U752" s="351"/>
    </row>
    <row r="753" spans="1:21" ht="34.5" customHeight="1">
      <c r="A753" s="24">
        <f t="shared" si="2"/>
        <v>739</v>
      </c>
      <c r="B753" s="483" t="s">
        <v>332</v>
      </c>
      <c r="C753" s="351"/>
      <c r="D753" s="484" t="s">
        <v>294</v>
      </c>
      <c r="E753" s="351"/>
      <c r="F753" s="485" t="s">
        <v>325</v>
      </c>
      <c r="G753" s="351"/>
      <c r="H753" s="486"/>
      <c r="I753" s="350"/>
      <c r="J753" s="351"/>
      <c r="K753" s="485" t="s">
        <v>325</v>
      </c>
      <c r="L753" s="350"/>
      <c r="M753" s="351"/>
      <c r="N753" s="491" t="s">
        <v>294</v>
      </c>
      <c r="O753" s="350"/>
      <c r="P753" s="350"/>
      <c r="Q753" s="350"/>
      <c r="R753" s="350"/>
      <c r="S753" s="350"/>
      <c r="T753" s="350"/>
      <c r="U753" s="351"/>
    </row>
    <row r="754" spans="1:21" ht="34.5" customHeight="1">
      <c r="A754" s="24">
        <f t="shared" si="2"/>
        <v>740</v>
      </c>
      <c r="B754" s="488" t="s">
        <v>294</v>
      </c>
      <c r="C754" s="351"/>
      <c r="D754" s="489" t="s">
        <v>294</v>
      </c>
      <c r="E754" s="351"/>
      <c r="F754" s="485" t="s">
        <v>325</v>
      </c>
      <c r="G754" s="351"/>
      <c r="H754" s="487"/>
      <c r="I754" s="350"/>
      <c r="J754" s="351"/>
      <c r="K754" s="485" t="s">
        <v>325</v>
      </c>
      <c r="L754" s="350"/>
      <c r="M754" s="351"/>
      <c r="N754" s="490" t="s">
        <v>294</v>
      </c>
      <c r="O754" s="350"/>
      <c r="P754" s="350"/>
      <c r="Q754" s="350"/>
      <c r="R754" s="350"/>
      <c r="S754" s="350"/>
      <c r="T754" s="350"/>
      <c r="U754" s="351"/>
    </row>
    <row r="755" spans="1:21" ht="34.5" customHeight="1">
      <c r="A755" s="24">
        <f t="shared" si="2"/>
        <v>741</v>
      </c>
      <c r="B755" s="483" t="s">
        <v>294</v>
      </c>
      <c r="C755" s="351"/>
      <c r="D755" s="484" t="s">
        <v>294</v>
      </c>
      <c r="E755" s="351"/>
      <c r="F755" s="485" t="s">
        <v>325</v>
      </c>
      <c r="G755" s="351"/>
      <c r="H755" s="486"/>
      <c r="I755" s="350"/>
      <c r="J755" s="351"/>
      <c r="K755" s="485" t="s">
        <v>325</v>
      </c>
      <c r="L755" s="350"/>
      <c r="M755" s="351"/>
      <c r="N755" s="491" t="s">
        <v>294</v>
      </c>
      <c r="O755" s="350"/>
      <c r="P755" s="350"/>
      <c r="Q755" s="350"/>
      <c r="R755" s="350"/>
      <c r="S755" s="350"/>
      <c r="T755" s="350"/>
      <c r="U755" s="351"/>
    </row>
    <row r="756" spans="1:21" ht="34.5" customHeight="1">
      <c r="A756" s="24">
        <f t="shared" si="2"/>
        <v>742</v>
      </c>
      <c r="B756" s="488" t="s">
        <v>294</v>
      </c>
      <c r="C756" s="351"/>
      <c r="D756" s="489" t="s">
        <v>294</v>
      </c>
      <c r="E756" s="351"/>
      <c r="F756" s="485" t="s">
        <v>325</v>
      </c>
      <c r="G756" s="351"/>
      <c r="H756" s="487"/>
      <c r="I756" s="350"/>
      <c r="J756" s="351"/>
      <c r="K756" s="485" t="s">
        <v>325</v>
      </c>
      <c r="L756" s="350"/>
      <c r="M756" s="351"/>
      <c r="N756" s="490" t="s">
        <v>294</v>
      </c>
      <c r="O756" s="350"/>
      <c r="P756" s="350"/>
      <c r="Q756" s="350"/>
      <c r="R756" s="350"/>
      <c r="S756" s="350"/>
      <c r="T756" s="350"/>
      <c r="U756" s="351"/>
    </row>
    <row r="757" spans="1:21" ht="34.5" customHeight="1">
      <c r="A757" s="24">
        <f t="shared" si="2"/>
        <v>743</v>
      </c>
      <c r="B757" s="483" t="s">
        <v>294</v>
      </c>
      <c r="C757" s="351"/>
      <c r="D757" s="484" t="s">
        <v>294</v>
      </c>
      <c r="E757" s="351"/>
      <c r="F757" s="485" t="s">
        <v>325</v>
      </c>
      <c r="G757" s="351"/>
      <c r="H757" s="486"/>
      <c r="I757" s="350"/>
      <c r="J757" s="351"/>
      <c r="K757" s="485" t="s">
        <v>325</v>
      </c>
      <c r="L757" s="350"/>
      <c r="M757" s="351"/>
      <c r="N757" s="491" t="s">
        <v>294</v>
      </c>
      <c r="O757" s="350"/>
      <c r="P757" s="350"/>
      <c r="Q757" s="350"/>
      <c r="R757" s="350"/>
      <c r="S757" s="350"/>
      <c r="T757" s="350"/>
      <c r="U757" s="351"/>
    </row>
    <row r="758" spans="1:21" ht="34.5" customHeight="1">
      <c r="A758" s="24">
        <f t="shared" si="2"/>
        <v>744</v>
      </c>
      <c r="B758" s="488" t="s">
        <v>294</v>
      </c>
      <c r="C758" s="351"/>
      <c r="D758" s="489" t="s">
        <v>294</v>
      </c>
      <c r="E758" s="351"/>
      <c r="F758" s="485" t="s">
        <v>325</v>
      </c>
      <c r="G758" s="351"/>
      <c r="H758" s="487"/>
      <c r="I758" s="350"/>
      <c r="J758" s="351"/>
      <c r="K758" s="485" t="s">
        <v>325</v>
      </c>
      <c r="L758" s="350"/>
      <c r="M758" s="351"/>
      <c r="N758" s="490" t="s">
        <v>294</v>
      </c>
      <c r="O758" s="350"/>
      <c r="P758" s="350"/>
      <c r="Q758" s="350"/>
      <c r="R758" s="350"/>
      <c r="S758" s="350"/>
      <c r="T758" s="350"/>
      <c r="U758" s="351"/>
    </row>
    <row r="759" spans="1:21" ht="34.5" customHeight="1">
      <c r="A759" s="24">
        <f t="shared" si="2"/>
        <v>745</v>
      </c>
      <c r="B759" s="483" t="s">
        <v>294</v>
      </c>
      <c r="C759" s="351"/>
      <c r="D759" s="484" t="s">
        <v>294</v>
      </c>
      <c r="E759" s="351"/>
      <c r="F759" s="485" t="s">
        <v>325</v>
      </c>
      <c r="G759" s="351"/>
      <c r="H759" s="486"/>
      <c r="I759" s="350"/>
      <c r="J759" s="351"/>
      <c r="K759" s="485" t="s">
        <v>325</v>
      </c>
      <c r="L759" s="350"/>
      <c r="M759" s="351"/>
      <c r="N759" s="491" t="s">
        <v>294</v>
      </c>
      <c r="O759" s="350"/>
      <c r="P759" s="350"/>
      <c r="Q759" s="350"/>
      <c r="R759" s="350"/>
      <c r="S759" s="350"/>
      <c r="T759" s="350"/>
      <c r="U759" s="351"/>
    </row>
    <row r="760" spans="1:21" ht="34.5" customHeight="1">
      <c r="A760" s="24">
        <f t="shared" si="2"/>
        <v>746</v>
      </c>
      <c r="B760" s="488" t="s">
        <v>294</v>
      </c>
      <c r="C760" s="351"/>
      <c r="D760" s="489" t="s">
        <v>294</v>
      </c>
      <c r="E760" s="351"/>
      <c r="F760" s="485" t="s">
        <v>325</v>
      </c>
      <c r="G760" s="351"/>
      <c r="H760" s="487"/>
      <c r="I760" s="350"/>
      <c r="J760" s="351"/>
      <c r="K760" s="485" t="s">
        <v>325</v>
      </c>
      <c r="L760" s="350"/>
      <c r="M760" s="351"/>
      <c r="N760" s="490" t="s">
        <v>294</v>
      </c>
      <c r="O760" s="350"/>
      <c r="P760" s="350"/>
      <c r="Q760" s="350"/>
      <c r="R760" s="350"/>
      <c r="S760" s="350"/>
      <c r="T760" s="350"/>
      <c r="U760" s="351"/>
    </row>
    <row r="761" spans="1:21" ht="34.5" customHeight="1">
      <c r="A761" s="24">
        <f t="shared" si="2"/>
        <v>747</v>
      </c>
      <c r="B761" s="483" t="s">
        <v>294</v>
      </c>
      <c r="C761" s="351"/>
      <c r="D761" s="484" t="s">
        <v>294</v>
      </c>
      <c r="E761" s="351"/>
      <c r="F761" s="485" t="s">
        <v>325</v>
      </c>
      <c r="G761" s="351"/>
      <c r="H761" s="486"/>
      <c r="I761" s="350"/>
      <c r="J761" s="351"/>
      <c r="K761" s="485" t="s">
        <v>325</v>
      </c>
      <c r="L761" s="350"/>
      <c r="M761" s="351"/>
      <c r="N761" s="491" t="s">
        <v>294</v>
      </c>
      <c r="O761" s="350"/>
      <c r="P761" s="350"/>
      <c r="Q761" s="350"/>
      <c r="R761" s="350"/>
      <c r="S761" s="350"/>
      <c r="T761" s="350"/>
      <c r="U761" s="351"/>
    </row>
    <row r="762" spans="1:21" ht="34.5" customHeight="1">
      <c r="A762" s="24">
        <f t="shared" si="2"/>
        <v>748</v>
      </c>
      <c r="B762" s="488" t="s">
        <v>294</v>
      </c>
      <c r="C762" s="351"/>
      <c r="D762" s="489" t="s">
        <v>294</v>
      </c>
      <c r="E762" s="351"/>
      <c r="F762" s="485" t="s">
        <v>325</v>
      </c>
      <c r="G762" s="351"/>
      <c r="H762" s="487"/>
      <c r="I762" s="350"/>
      <c r="J762" s="351"/>
      <c r="K762" s="485" t="s">
        <v>325</v>
      </c>
      <c r="L762" s="350"/>
      <c r="M762" s="351"/>
      <c r="N762" s="490" t="s">
        <v>294</v>
      </c>
      <c r="O762" s="350"/>
      <c r="P762" s="350"/>
      <c r="Q762" s="350"/>
      <c r="R762" s="350"/>
      <c r="S762" s="350"/>
      <c r="T762" s="350"/>
      <c r="U762" s="351"/>
    </row>
    <row r="763" spans="1:21" ht="34.5" customHeight="1">
      <c r="A763" s="24">
        <f t="shared" si="2"/>
        <v>749</v>
      </c>
      <c r="B763" s="483" t="s">
        <v>294</v>
      </c>
      <c r="C763" s="351"/>
      <c r="D763" s="484" t="s">
        <v>294</v>
      </c>
      <c r="E763" s="351"/>
      <c r="F763" s="485" t="s">
        <v>325</v>
      </c>
      <c r="G763" s="351"/>
      <c r="H763" s="486"/>
      <c r="I763" s="350"/>
      <c r="J763" s="351"/>
      <c r="K763" s="485" t="s">
        <v>325</v>
      </c>
      <c r="L763" s="350"/>
      <c r="M763" s="351"/>
      <c r="N763" s="491" t="s">
        <v>294</v>
      </c>
      <c r="O763" s="350"/>
      <c r="P763" s="350"/>
      <c r="Q763" s="350"/>
      <c r="R763" s="350"/>
      <c r="S763" s="350"/>
      <c r="T763" s="350"/>
      <c r="U763" s="351"/>
    </row>
    <row r="764" spans="1:21" ht="34.5" customHeight="1">
      <c r="A764" s="24">
        <f t="shared" si="2"/>
        <v>750</v>
      </c>
      <c r="B764" s="488" t="s">
        <v>294</v>
      </c>
      <c r="C764" s="351"/>
      <c r="D764" s="489" t="s">
        <v>294</v>
      </c>
      <c r="E764" s="351"/>
      <c r="F764" s="485" t="s">
        <v>325</v>
      </c>
      <c r="G764" s="351"/>
      <c r="H764" s="487"/>
      <c r="I764" s="350"/>
      <c r="J764" s="351"/>
      <c r="K764" s="485" t="s">
        <v>325</v>
      </c>
      <c r="L764" s="350"/>
      <c r="M764" s="351"/>
      <c r="N764" s="490" t="s">
        <v>294</v>
      </c>
      <c r="O764" s="350"/>
      <c r="P764" s="350"/>
      <c r="Q764" s="350"/>
      <c r="R764" s="350"/>
      <c r="S764" s="350"/>
      <c r="T764" s="350"/>
      <c r="U764" s="351"/>
    </row>
    <row r="765" spans="1:21" ht="34.5" customHeight="1">
      <c r="A765" s="24">
        <f t="shared" si="2"/>
        <v>751</v>
      </c>
      <c r="B765" s="483" t="s">
        <v>333</v>
      </c>
      <c r="C765" s="351"/>
      <c r="D765" s="484" t="s">
        <v>294</v>
      </c>
      <c r="E765" s="351"/>
      <c r="F765" s="485" t="s">
        <v>325</v>
      </c>
      <c r="G765" s="351"/>
      <c r="H765" s="486"/>
      <c r="I765" s="350"/>
      <c r="J765" s="351"/>
      <c r="K765" s="485" t="s">
        <v>325</v>
      </c>
      <c r="L765" s="350"/>
      <c r="M765" s="351"/>
      <c r="N765" s="491" t="s">
        <v>294</v>
      </c>
      <c r="O765" s="350"/>
      <c r="P765" s="350"/>
      <c r="Q765" s="350"/>
      <c r="R765" s="350"/>
      <c r="S765" s="350"/>
      <c r="T765" s="350"/>
      <c r="U765" s="351"/>
    </row>
    <row r="766" spans="1:21" ht="34.5" customHeight="1">
      <c r="A766" s="24">
        <f t="shared" si="2"/>
        <v>752</v>
      </c>
      <c r="B766" s="488" t="s">
        <v>294</v>
      </c>
      <c r="C766" s="351"/>
      <c r="D766" s="489" t="s">
        <v>294</v>
      </c>
      <c r="E766" s="351"/>
      <c r="F766" s="485" t="s">
        <v>325</v>
      </c>
      <c r="G766" s="351"/>
      <c r="H766" s="487"/>
      <c r="I766" s="350"/>
      <c r="J766" s="351"/>
      <c r="K766" s="485" t="s">
        <v>325</v>
      </c>
      <c r="L766" s="350"/>
      <c r="M766" s="351"/>
      <c r="N766" s="490" t="s">
        <v>294</v>
      </c>
      <c r="O766" s="350"/>
      <c r="P766" s="350"/>
      <c r="Q766" s="350"/>
      <c r="R766" s="350"/>
      <c r="S766" s="350"/>
      <c r="T766" s="350"/>
      <c r="U766" s="351"/>
    </row>
    <row r="767" spans="1:21" ht="34.5" customHeight="1">
      <c r="A767" s="24">
        <f t="shared" si="2"/>
        <v>753</v>
      </c>
      <c r="B767" s="483" t="s">
        <v>294</v>
      </c>
      <c r="C767" s="351"/>
      <c r="D767" s="484" t="s">
        <v>294</v>
      </c>
      <c r="E767" s="351"/>
      <c r="F767" s="485" t="s">
        <v>325</v>
      </c>
      <c r="G767" s="351"/>
      <c r="H767" s="486"/>
      <c r="I767" s="350"/>
      <c r="J767" s="351"/>
      <c r="K767" s="485" t="s">
        <v>325</v>
      </c>
      <c r="L767" s="350"/>
      <c r="M767" s="351"/>
      <c r="N767" s="491" t="s">
        <v>294</v>
      </c>
      <c r="O767" s="350"/>
      <c r="P767" s="350"/>
      <c r="Q767" s="350"/>
      <c r="R767" s="350"/>
      <c r="S767" s="350"/>
      <c r="T767" s="350"/>
      <c r="U767" s="351"/>
    </row>
    <row r="768" spans="1:21" ht="34.5" customHeight="1">
      <c r="A768" s="24">
        <f t="shared" si="2"/>
        <v>754</v>
      </c>
      <c r="B768" s="488" t="s">
        <v>294</v>
      </c>
      <c r="C768" s="351"/>
      <c r="D768" s="489" t="s">
        <v>294</v>
      </c>
      <c r="E768" s="351"/>
      <c r="F768" s="485" t="s">
        <v>325</v>
      </c>
      <c r="G768" s="351"/>
      <c r="H768" s="487"/>
      <c r="I768" s="350"/>
      <c r="J768" s="351"/>
      <c r="K768" s="485" t="s">
        <v>325</v>
      </c>
      <c r="L768" s="350"/>
      <c r="M768" s="351"/>
      <c r="N768" s="490" t="s">
        <v>294</v>
      </c>
      <c r="O768" s="350"/>
      <c r="P768" s="350"/>
      <c r="Q768" s="350"/>
      <c r="R768" s="350"/>
      <c r="S768" s="350"/>
      <c r="T768" s="350"/>
      <c r="U768" s="351"/>
    </row>
    <row r="769" spans="1:21" ht="34.5" customHeight="1">
      <c r="A769" s="24">
        <f t="shared" si="2"/>
        <v>755</v>
      </c>
      <c r="B769" s="483" t="s">
        <v>294</v>
      </c>
      <c r="C769" s="351"/>
      <c r="D769" s="484" t="s">
        <v>294</v>
      </c>
      <c r="E769" s="351"/>
      <c r="F769" s="485" t="s">
        <v>325</v>
      </c>
      <c r="G769" s="351"/>
      <c r="H769" s="486"/>
      <c r="I769" s="350"/>
      <c r="J769" s="351"/>
      <c r="K769" s="485" t="s">
        <v>325</v>
      </c>
      <c r="L769" s="350"/>
      <c r="M769" s="351"/>
      <c r="N769" s="491" t="s">
        <v>294</v>
      </c>
      <c r="O769" s="350"/>
      <c r="P769" s="350"/>
      <c r="Q769" s="350"/>
      <c r="R769" s="350"/>
      <c r="S769" s="350"/>
      <c r="T769" s="350"/>
      <c r="U769" s="351"/>
    </row>
    <row r="770" spans="1:21" ht="34.5" customHeight="1">
      <c r="A770" s="24">
        <f t="shared" si="2"/>
        <v>756</v>
      </c>
      <c r="B770" s="488" t="s">
        <v>294</v>
      </c>
      <c r="C770" s="351"/>
      <c r="D770" s="489" t="s">
        <v>294</v>
      </c>
      <c r="E770" s="351"/>
      <c r="F770" s="485" t="s">
        <v>325</v>
      </c>
      <c r="G770" s="351"/>
      <c r="H770" s="487"/>
      <c r="I770" s="350"/>
      <c r="J770" s="351"/>
      <c r="K770" s="485" t="s">
        <v>325</v>
      </c>
      <c r="L770" s="350"/>
      <c r="M770" s="351"/>
      <c r="N770" s="490" t="s">
        <v>294</v>
      </c>
      <c r="O770" s="350"/>
      <c r="P770" s="350"/>
      <c r="Q770" s="350"/>
      <c r="R770" s="350"/>
      <c r="S770" s="350"/>
      <c r="T770" s="350"/>
      <c r="U770" s="351"/>
    </row>
    <row r="771" spans="1:21" ht="34.5" customHeight="1">
      <c r="A771" s="24">
        <f t="shared" si="2"/>
        <v>757</v>
      </c>
      <c r="B771" s="483" t="s">
        <v>330</v>
      </c>
      <c r="C771" s="351"/>
      <c r="D771" s="484" t="s">
        <v>294</v>
      </c>
      <c r="E771" s="351"/>
      <c r="F771" s="485" t="s">
        <v>325</v>
      </c>
      <c r="G771" s="351"/>
      <c r="H771" s="486"/>
      <c r="I771" s="350"/>
      <c r="J771" s="351"/>
      <c r="K771" s="485" t="s">
        <v>325</v>
      </c>
      <c r="L771" s="350"/>
      <c r="M771" s="351"/>
      <c r="N771" s="491" t="s">
        <v>294</v>
      </c>
      <c r="O771" s="350"/>
      <c r="P771" s="350"/>
      <c r="Q771" s="350"/>
      <c r="R771" s="350"/>
      <c r="S771" s="350"/>
      <c r="T771" s="350"/>
      <c r="U771" s="351"/>
    </row>
    <row r="772" spans="1:21" ht="34.5" customHeight="1">
      <c r="A772" s="24">
        <f t="shared" si="2"/>
        <v>758</v>
      </c>
      <c r="B772" s="488" t="s">
        <v>294</v>
      </c>
      <c r="C772" s="351"/>
      <c r="D772" s="489" t="s">
        <v>294</v>
      </c>
      <c r="E772" s="351"/>
      <c r="F772" s="485" t="s">
        <v>325</v>
      </c>
      <c r="G772" s="351"/>
      <c r="H772" s="487"/>
      <c r="I772" s="350"/>
      <c r="J772" s="351"/>
      <c r="K772" s="485" t="s">
        <v>325</v>
      </c>
      <c r="L772" s="350"/>
      <c r="M772" s="351"/>
      <c r="N772" s="490" t="s">
        <v>294</v>
      </c>
      <c r="O772" s="350"/>
      <c r="P772" s="350"/>
      <c r="Q772" s="350"/>
      <c r="R772" s="350"/>
      <c r="S772" s="350"/>
      <c r="T772" s="350"/>
      <c r="U772" s="351"/>
    </row>
    <row r="773" spans="1:21" ht="34.5" customHeight="1">
      <c r="A773" s="24">
        <f t="shared" si="2"/>
        <v>759</v>
      </c>
      <c r="B773" s="483" t="s">
        <v>294</v>
      </c>
      <c r="C773" s="351"/>
      <c r="D773" s="484" t="s">
        <v>294</v>
      </c>
      <c r="E773" s="351"/>
      <c r="F773" s="485" t="s">
        <v>325</v>
      </c>
      <c r="G773" s="351"/>
      <c r="H773" s="486"/>
      <c r="I773" s="350"/>
      <c r="J773" s="351"/>
      <c r="K773" s="485" t="s">
        <v>325</v>
      </c>
      <c r="L773" s="350"/>
      <c r="M773" s="351"/>
      <c r="N773" s="491" t="s">
        <v>294</v>
      </c>
      <c r="O773" s="350"/>
      <c r="P773" s="350"/>
      <c r="Q773" s="350"/>
      <c r="R773" s="350"/>
      <c r="S773" s="350"/>
      <c r="T773" s="350"/>
      <c r="U773" s="351"/>
    </row>
    <row r="774" spans="1:21" ht="34.5" customHeight="1">
      <c r="A774" s="24">
        <f t="shared" si="2"/>
        <v>760</v>
      </c>
      <c r="B774" s="488" t="s">
        <v>294</v>
      </c>
      <c r="C774" s="351"/>
      <c r="D774" s="489" t="s">
        <v>294</v>
      </c>
      <c r="E774" s="351"/>
      <c r="F774" s="485" t="s">
        <v>325</v>
      </c>
      <c r="G774" s="351"/>
      <c r="H774" s="487"/>
      <c r="I774" s="350"/>
      <c r="J774" s="351"/>
      <c r="K774" s="485" t="s">
        <v>325</v>
      </c>
      <c r="L774" s="350"/>
      <c r="M774" s="351"/>
      <c r="N774" s="490" t="s">
        <v>294</v>
      </c>
      <c r="O774" s="350"/>
      <c r="P774" s="350"/>
      <c r="Q774" s="350"/>
      <c r="R774" s="350"/>
      <c r="S774" s="350"/>
      <c r="T774" s="350"/>
      <c r="U774" s="351"/>
    </row>
    <row r="775" spans="1:21" ht="34.5" customHeight="1">
      <c r="A775" s="24">
        <f t="shared" si="2"/>
        <v>761</v>
      </c>
      <c r="B775" s="483" t="s">
        <v>294</v>
      </c>
      <c r="C775" s="351"/>
      <c r="D775" s="484" t="s">
        <v>294</v>
      </c>
      <c r="E775" s="351"/>
      <c r="F775" s="485" t="s">
        <v>325</v>
      </c>
      <c r="G775" s="351"/>
      <c r="H775" s="486"/>
      <c r="I775" s="350"/>
      <c r="J775" s="351"/>
      <c r="K775" s="485" t="s">
        <v>325</v>
      </c>
      <c r="L775" s="350"/>
      <c r="M775" s="351"/>
      <c r="N775" s="491" t="s">
        <v>294</v>
      </c>
      <c r="O775" s="350"/>
      <c r="P775" s="350"/>
      <c r="Q775" s="350"/>
      <c r="R775" s="350"/>
      <c r="S775" s="350"/>
      <c r="T775" s="350"/>
      <c r="U775" s="351"/>
    </row>
    <row r="776" spans="1:21" ht="34.5" customHeight="1">
      <c r="A776" s="24">
        <f t="shared" si="2"/>
        <v>762</v>
      </c>
      <c r="B776" s="488" t="s">
        <v>334</v>
      </c>
      <c r="C776" s="351"/>
      <c r="D776" s="489" t="s">
        <v>294</v>
      </c>
      <c r="E776" s="351"/>
      <c r="F776" s="485" t="s">
        <v>325</v>
      </c>
      <c r="G776" s="351"/>
      <c r="H776" s="487"/>
      <c r="I776" s="350"/>
      <c r="J776" s="351"/>
      <c r="K776" s="485" t="s">
        <v>325</v>
      </c>
      <c r="L776" s="350"/>
      <c r="M776" s="351"/>
      <c r="N776" s="490" t="s">
        <v>294</v>
      </c>
      <c r="O776" s="350"/>
      <c r="P776" s="350"/>
      <c r="Q776" s="350"/>
      <c r="R776" s="350"/>
      <c r="S776" s="350"/>
      <c r="T776" s="350"/>
      <c r="U776" s="351"/>
    </row>
    <row r="777" spans="1:21" ht="34.5" customHeight="1">
      <c r="A777" s="24">
        <f t="shared" si="2"/>
        <v>763</v>
      </c>
      <c r="B777" s="483" t="s">
        <v>294</v>
      </c>
      <c r="C777" s="351"/>
      <c r="D777" s="484" t="s">
        <v>294</v>
      </c>
      <c r="E777" s="351"/>
      <c r="F777" s="485" t="s">
        <v>325</v>
      </c>
      <c r="G777" s="351"/>
      <c r="H777" s="486"/>
      <c r="I777" s="350"/>
      <c r="J777" s="351"/>
      <c r="K777" s="485" t="s">
        <v>325</v>
      </c>
      <c r="L777" s="350"/>
      <c r="M777" s="351"/>
      <c r="N777" s="491" t="s">
        <v>294</v>
      </c>
      <c r="O777" s="350"/>
      <c r="P777" s="350"/>
      <c r="Q777" s="350"/>
      <c r="R777" s="350"/>
      <c r="S777" s="350"/>
      <c r="T777" s="350"/>
      <c r="U777" s="351"/>
    </row>
    <row r="778" spans="1:21" ht="34.5" customHeight="1">
      <c r="A778" s="24">
        <f t="shared" si="2"/>
        <v>764</v>
      </c>
      <c r="B778" s="488" t="s">
        <v>294</v>
      </c>
      <c r="C778" s="351"/>
      <c r="D778" s="489" t="s">
        <v>294</v>
      </c>
      <c r="E778" s="351"/>
      <c r="F778" s="485" t="s">
        <v>325</v>
      </c>
      <c r="G778" s="351"/>
      <c r="H778" s="487"/>
      <c r="I778" s="350"/>
      <c r="J778" s="351"/>
      <c r="K778" s="485" t="s">
        <v>325</v>
      </c>
      <c r="L778" s="350"/>
      <c r="M778" s="351"/>
      <c r="N778" s="490" t="s">
        <v>294</v>
      </c>
      <c r="O778" s="350"/>
      <c r="P778" s="350"/>
      <c r="Q778" s="350"/>
      <c r="R778" s="350"/>
      <c r="S778" s="350"/>
      <c r="T778" s="350"/>
      <c r="U778" s="351"/>
    </row>
    <row r="779" spans="1:21" ht="34.5" customHeight="1">
      <c r="A779" s="24">
        <f t="shared" si="2"/>
        <v>765</v>
      </c>
      <c r="B779" s="483" t="s">
        <v>294</v>
      </c>
      <c r="C779" s="351"/>
      <c r="D779" s="484" t="s">
        <v>294</v>
      </c>
      <c r="E779" s="351"/>
      <c r="F779" s="485" t="s">
        <v>325</v>
      </c>
      <c r="G779" s="351"/>
      <c r="H779" s="486"/>
      <c r="I779" s="350"/>
      <c r="J779" s="351"/>
      <c r="K779" s="485" t="s">
        <v>325</v>
      </c>
      <c r="L779" s="350"/>
      <c r="M779" s="351"/>
      <c r="N779" s="491" t="s">
        <v>294</v>
      </c>
      <c r="O779" s="350"/>
      <c r="P779" s="350"/>
      <c r="Q779" s="350"/>
      <c r="R779" s="350"/>
      <c r="S779" s="350"/>
      <c r="T779" s="350"/>
      <c r="U779" s="351"/>
    </row>
    <row r="780" spans="1:21" ht="34.5" customHeight="1">
      <c r="A780" s="24">
        <f t="shared" ref="A780:A1034" si="3">ROW(A766)</f>
        <v>766</v>
      </c>
      <c r="B780" s="488" t="s">
        <v>294</v>
      </c>
      <c r="C780" s="351"/>
      <c r="D780" s="489" t="s">
        <v>294</v>
      </c>
      <c r="E780" s="351"/>
      <c r="F780" s="485" t="s">
        <v>325</v>
      </c>
      <c r="G780" s="351"/>
      <c r="H780" s="487"/>
      <c r="I780" s="350"/>
      <c r="J780" s="351"/>
      <c r="K780" s="485" t="s">
        <v>325</v>
      </c>
      <c r="L780" s="350"/>
      <c r="M780" s="351"/>
      <c r="N780" s="490" t="s">
        <v>294</v>
      </c>
      <c r="O780" s="350"/>
      <c r="P780" s="350"/>
      <c r="Q780" s="350"/>
      <c r="R780" s="350"/>
      <c r="S780" s="350"/>
      <c r="T780" s="350"/>
      <c r="U780" s="351"/>
    </row>
    <row r="781" spans="1:21" ht="34.5" customHeight="1">
      <c r="A781" s="24">
        <f t="shared" si="3"/>
        <v>767</v>
      </c>
      <c r="B781" s="483" t="s">
        <v>332</v>
      </c>
      <c r="C781" s="351"/>
      <c r="D781" s="484" t="s">
        <v>294</v>
      </c>
      <c r="E781" s="351"/>
      <c r="F781" s="485" t="s">
        <v>325</v>
      </c>
      <c r="G781" s="351"/>
      <c r="H781" s="486"/>
      <c r="I781" s="350"/>
      <c r="J781" s="351"/>
      <c r="K781" s="485" t="s">
        <v>325</v>
      </c>
      <c r="L781" s="350"/>
      <c r="M781" s="351"/>
      <c r="N781" s="491" t="s">
        <v>294</v>
      </c>
      <c r="O781" s="350"/>
      <c r="P781" s="350"/>
      <c r="Q781" s="350"/>
      <c r="R781" s="350"/>
      <c r="S781" s="350"/>
      <c r="T781" s="350"/>
      <c r="U781" s="351"/>
    </row>
    <row r="782" spans="1:21" ht="34.5" customHeight="1">
      <c r="A782" s="24">
        <f t="shared" si="3"/>
        <v>768</v>
      </c>
      <c r="B782" s="488" t="s">
        <v>294</v>
      </c>
      <c r="C782" s="351"/>
      <c r="D782" s="489" t="s">
        <v>294</v>
      </c>
      <c r="E782" s="351"/>
      <c r="F782" s="485" t="s">
        <v>325</v>
      </c>
      <c r="G782" s="351"/>
      <c r="H782" s="487"/>
      <c r="I782" s="350"/>
      <c r="J782" s="351"/>
      <c r="K782" s="485" t="s">
        <v>325</v>
      </c>
      <c r="L782" s="350"/>
      <c r="M782" s="351"/>
      <c r="N782" s="490" t="s">
        <v>294</v>
      </c>
      <c r="O782" s="350"/>
      <c r="P782" s="350"/>
      <c r="Q782" s="350"/>
      <c r="R782" s="350"/>
      <c r="S782" s="350"/>
      <c r="T782" s="350"/>
      <c r="U782" s="351"/>
    </row>
    <row r="783" spans="1:21" ht="34.5" customHeight="1">
      <c r="A783" s="24">
        <f t="shared" si="3"/>
        <v>769</v>
      </c>
      <c r="B783" s="483" t="s">
        <v>294</v>
      </c>
      <c r="C783" s="351"/>
      <c r="D783" s="484" t="s">
        <v>294</v>
      </c>
      <c r="E783" s="351"/>
      <c r="F783" s="485" t="s">
        <v>325</v>
      </c>
      <c r="G783" s="351"/>
      <c r="H783" s="486"/>
      <c r="I783" s="350"/>
      <c r="J783" s="351"/>
      <c r="K783" s="485" t="s">
        <v>325</v>
      </c>
      <c r="L783" s="350"/>
      <c r="M783" s="351"/>
      <c r="N783" s="491" t="s">
        <v>294</v>
      </c>
      <c r="O783" s="350"/>
      <c r="P783" s="350"/>
      <c r="Q783" s="350"/>
      <c r="R783" s="350"/>
      <c r="S783" s="350"/>
      <c r="T783" s="350"/>
      <c r="U783" s="351"/>
    </row>
    <row r="784" spans="1:21" ht="34.5" customHeight="1">
      <c r="A784" s="24">
        <f t="shared" si="3"/>
        <v>770</v>
      </c>
      <c r="B784" s="488" t="s">
        <v>294</v>
      </c>
      <c r="C784" s="351"/>
      <c r="D784" s="489" t="s">
        <v>294</v>
      </c>
      <c r="E784" s="351"/>
      <c r="F784" s="485" t="s">
        <v>325</v>
      </c>
      <c r="G784" s="351"/>
      <c r="H784" s="487"/>
      <c r="I784" s="350"/>
      <c r="J784" s="351"/>
      <c r="K784" s="485" t="s">
        <v>325</v>
      </c>
      <c r="L784" s="350"/>
      <c r="M784" s="351"/>
      <c r="N784" s="490" t="s">
        <v>294</v>
      </c>
      <c r="O784" s="350"/>
      <c r="P784" s="350"/>
      <c r="Q784" s="350"/>
      <c r="R784" s="350"/>
      <c r="S784" s="350"/>
      <c r="T784" s="350"/>
      <c r="U784" s="351"/>
    </row>
    <row r="785" spans="1:21" ht="34.5" customHeight="1">
      <c r="A785" s="24">
        <f t="shared" si="3"/>
        <v>771</v>
      </c>
      <c r="B785" s="483" t="s">
        <v>294</v>
      </c>
      <c r="C785" s="351"/>
      <c r="D785" s="484" t="s">
        <v>294</v>
      </c>
      <c r="E785" s="351"/>
      <c r="F785" s="485" t="s">
        <v>325</v>
      </c>
      <c r="G785" s="351"/>
      <c r="H785" s="486"/>
      <c r="I785" s="350"/>
      <c r="J785" s="351"/>
      <c r="K785" s="485" t="s">
        <v>325</v>
      </c>
      <c r="L785" s="350"/>
      <c r="M785" s="351"/>
      <c r="N785" s="491" t="s">
        <v>294</v>
      </c>
      <c r="O785" s="350"/>
      <c r="P785" s="350"/>
      <c r="Q785" s="350"/>
      <c r="R785" s="350"/>
      <c r="S785" s="350"/>
      <c r="T785" s="350"/>
      <c r="U785" s="351"/>
    </row>
    <row r="786" spans="1:21" ht="34.5" customHeight="1">
      <c r="A786" s="24">
        <f t="shared" si="3"/>
        <v>772</v>
      </c>
      <c r="B786" s="488" t="s">
        <v>329</v>
      </c>
      <c r="C786" s="351"/>
      <c r="D786" s="489" t="s">
        <v>294</v>
      </c>
      <c r="E786" s="351"/>
      <c r="F786" s="485" t="s">
        <v>325</v>
      </c>
      <c r="G786" s="351"/>
      <c r="H786" s="487"/>
      <c r="I786" s="350"/>
      <c r="J786" s="351"/>
      <c r="K786" s="485" t="s">
        <v>325</v>
      </c>
      <c r="L786" s="350"/>
      <c r="M786" s="351"/>
      <c r="N786" s="490" t="s">
        <v>294</v>
      </c>
      <c r="O786" s="350"/>
      <c r="P786" s="350"/>
      <c r="Q786" s="350"/>
      <c r="R786" s="350"/>
      <c r="S786" s="350"/>
      <c r="T786" s="350"/>
      <c r="U786" s="351"/>
    </row>
    <row r="787" spans="1:21" ht="34.5" customHeight="1">
      <c r="A787" s="24">
        <f t="shared" si="3"/>
        <v>773</v>
      </c>
      <c r="B787" s="483" t="s">
        <v>294</v>
      </c>
      <c r="C787" s="351"/>
      <c r="D787" s="484" t="s">
        <v>294</v>
      </c>
      <c r="E787" s="351"/>
      <c r="F787" s="485" t="s">
        <v>325</v>
      </c>
      <c r="G787" s="351"/>
      <c r="H787" s="486"/>
      <c r="I787" s="350"/>
      <c r="J787" s="351"/>
      <c r="K787" s="485" t="s">
        <v>325</v>
      </c>
      <c r="L787" s="350"/>
      <c r="M787" s="351"/>
      <c r="N787" s="491" t="s">
        <v>294</v>
      </c>
      <c r="O787" s="350"/>
      <c r="P787" s="350"/>
      <c r="Q787" s="350"/>
      <c r="R787" s="350"/>
      <c r="S787" s="350"/>
      <c r="T787" s="350"/>
      <c r="U787" s="351"/>
    </row>
    <row r="788" spans="1:21" ht="34.5" customHeight="1">
      <c r="A788" s="24">
        <f t="shared" si="3"/>
        <v>774</v>
      </c>
      <c r="B788" s="488" t="s">
        <v>294</v>
      </c>
      <c r="C788" s="351"/>
      <c r="D788" s="489" t="s">
        <v>294</v>
      </c>
      <c r="E788" s="351"/>
      <c r="F788" s="485" t="s">
        <v>325</v>
      </c>
      <c r="G788" s="351"/>
      <c r="H788" s="487"/>
      <c r="I788" s="350"/>
      <c r="J788" s="351"/>
      <c r="K788" s="485" t="s">
        <v>325</v>
      </c>
      <c r="L788" s="350"/>
      <c r="M788" s="351"/>
      <c r="N788" s="490" t="s">
        <v>294</v>
      </c>
      <c r="O788" s="350"/>
      <c r="P788" s="350"/>
      <c r="Q788" s="350"/>
      <c r="R788" s="350"/>
      <c r="S788" s="350"/>
      <c r="T788" s="350"/>
      <c r="U788" s="351"/>
    </row>
    <row r="789" spans="1:21" ht="34.5" customHeight="1">
      <c r="A789" s="24">
        <f t="shared" si="3"/>
        <v>775</v>
      </c>
      <c r="B789" s="483" t="s">
        <v>294</v>
      </c>
      <c r="C789" s="351"/>
      <c r="D789" s="484" t="s">
        <v>294</v>
      </c>
      <c r="E789" s="351"/>
      <c r="F789" s="485" t="s">
        <v>325</v>
      </c>
      <c r="G789" s="351"/>
      <c r="H789" s="486"/>
      <c r="I789" s="350"/>
      <c r="J789" s="351"/>
      <c r="K789" s="485" t="s">
        <v>325</v>
      </c>
      <c r="L789" s="350"/>
      <c r="M789" s="351"/>
      <c r="N789" s="491" t="s">
        <v>294</v>
      </c>
      <c r="O789" s="350"/>
      <c r="P789" s="350"/>
      <c r="Q789" s="350"/>
      <c r="R789" s="350"/>
      <c r="S789" s="350"/>
      <c r="T789" s="350"/>
      <c r="U789" s="351"/>
    </row>
    <row r="790" spans="1:21" ht="34.5" customHeight="1">
      <c r="A790" s="24">
        <f t="shared" si="3"/>
        <v>776</v>
      </c>
      <c r="B790" s="488" t="s">
        <v>334</v>
      </c>
      <c r="C790" s="351"/>
      <c r="D790" s="489" t="s">
        <v>294</v>
      </c>
      <c r="E790" s="351"/>
      <c r="F790" s="485" t="s">
        <v>325</v>
      </c>
      <c r="G790" s="351"/>
      <c r="H790" s="487"/>
      <c r="I790" s="350"/>
      <c r="J790" s="351"/>
      <c r="K790" s="485" t="s">
        <v>325</v>
      </c>
      <c r="L790" s="350"/>
      <c r="M790" s="351"/>
      <c r="N790" s="490" t="s">
        <v>294</v>
      </c>
      <c r="O790" s="350"/>
      <c r="P790" s="350"/>
      <c r="Q790" s="350"/>
      <c r="R790" s="350"/>
      <c r="S790" s="350"/>
      <c r="T790" s="350"/>
      <c r="U790" s="351"/>
    </row>
    <row r="791" spans="1:21" ht="34.5" customHeight="1">
      <c r="A791" s="24">
        <f t="shared" si="3"/>
        <v>777</v>
      </c>
      <c r="B791" s="483" t="s">
        <v>294</v>
      </c>
      <c r="C791" s="351"/>
      <c r="D791" s="484" t="s">
        <v>294</v>
      </c>
      <c r="E791" s="351"/>
      <c r="F791" s="485" t="s">
        <v>325</v>
      </c>
      <c r="G791" s="351"/>
      <c r="H791" s="486"/>
      <c r="I791" s="350"/>
      <c r="J791" s="351"/>
      <c r="K791" s="485" t="s">
        <v>325</v>
      </c>
      <c r="L791" s="350"/>
      <c r="M791" s="351"/>
      <c r="N791" s="491" t="s">
        <v>294</v>
      </c>
      <c r="O791" s="350"/>
      <c r="P791" s="350"/>
      <c r="Q791" s="350"/>
      <c r="R791" s="350"/>
      <c r="S791" s="350"/>
      <c r="T791" s="350"/>
      <c r="U791" s="351"/>
    </row>
    <row r="792" spans="1:21" ht="34.5" customHeight="1">
      <c r="A792" s="24">
        <f t="shared" si="3"/>
        <v>778</v>
      </c>
      <c r="B792" s="488" t="s">
        <v>294</v>
      </c>
      <c r="C792" s="351"/>
      <c r="D792" s="489" t="s">
        <v>294</v>
      </c>
      <c r="E792" s="351"/>
      <c r="F792" s="485" t="s">
        <v>325</v>
      </c>
      <c r="G792" s="351"/>
      <c r="H792" s="487"/>
      <c r="I792" s="350"/>
      <c r="J792" s="351"/>
      <c r="K792" s="485" t="s">
        <v>325</v>
      </c>
      <c r="L792" s="350"/>
      <c r="M792" s="351"/>
      <c r="N792" s="490" t="s">
        <v>294</v>
      </c>
      <c r="O792" s="350"/>
      <c r="P792" s="350"/>
      <c r="Q792" s="350"/>
      <c r="R792" s="350"/>
      <c r="S792" s="350"/>
      <c r="T792" s="350"/>
      <c r="U792" s="351"/>
    </row>
    <row r="793" spans="1:21" ht="34.5" customHeight="1">
      <c r="A793" s="24">
        <f t="shared" si="3"/>
        <v>779</v>
      </c>
      <c r="B793" s="483" t="s">
        <v>294</v>
      </c>
      <c r="C793" s="351"/>
      <c r="D793" s="484" t="s">
        <v>294</v>
      </c>
      <c r="E793" s="351"/>
      <c r="F793" s="485" t="s">
        <v>325</v>
      </c>
      <c r="G793" s="351"/>
      <c r="H793" s="486"/>
      <c r="I793" s="350"/>
      <c r="J793" s="351"/>
      <c r="K793" s="485" t="s">
        <v>325</v>
      </c>
      <c r="L793" s="350"/>
      <c r="M793" s="351"/>
      <c r="N793" s="491" t="s">
        <v>294</v>
      </c>
      <c r="O793" s="350"/>
      <c r="P793" s="350"/>
      <c r="Q793" s="350"/>
      <c r="R793" s="350"/>
      <c r="S793" s="350"/>
      <c r="T793" s="350"/>
      <c r="U793" s="351"/>
    </row>
    <row r="794" spans="1:21" ht="34.5" customHeight="1">
      <c r="A794" s="24">
        <f t="shared" si="3"/>
        <v>780</v>
      </c>
      <c r="B794" s="488" t="s">
        <v>294</v>
      </c>
      <c r="C794" s="351"/>
      <c r="D794" s="489" t="s">
        <v>294</v>
      </c>
      <c r="E794" s="351"/>
      <c r="F794" s="485" t="s">
        <v>325</v>
      </c>
      <c r="G794" s="351"/>
      <c r="H794" s="487"/>
      <c r="I794" s="350"/>
      <c r="J794" s="351"/>
      <c r="K794" s="485" t="s">
        <v>325</v>
      </c>
      <c r="L794" s="350"/>
      <c r="M794" s="351"/>
      <c r="N794" s="490" t="s">
        <v>294</v>
      </c>
      <c r="O794" s="350"/>
      <c r="P794" s="350"/>
      <c r="Q794" s="350"/>
      <c r="R794" s="350"/>
      <c r="S794" s="350"/>
      <c r="T794" s="350"/>
      <c r="U794" s="351"/>
    </row>
    <row r="795" spans="1:21" ht="34.5" customHeight="1">
      <c r="A795" s="24">
        <f t="shared" si="3"/>
        <v>781</v>
      </c>
      <c r="B795" s="483" t="s">
        <v>294</v>
      </c>
      <c r="C795" s="351"/>
      <c r="D795" s="484" t="s">
        <v>294</v>
      </c>
      <c r="E795" s="351"/>
      <c r="F795" s="485" t="s">
        <v>325</v>
      </c>
      <c r="G795" s="351"/>
      <c r="H795" s="486"/>
      <c r="I795" s="350"/>
      <c r="J795" s="351"/>
      <c r="K795" s="485" t="s">
        <v>325</v>
      </c>
      <c r="L795" s="350"/>
      <c r="M795" s="351"/>
      <c r="N795" s="491" t="s">
        <v>294</v>
      </c>
      <c r="O795" s="350"/>
      <c r="P795" s="350"/>
      <c r="Q795" s="350"/>
      <c r="R795" s="350"/>
      <c r="S795" s="350"/>
      <c r="T795" s="350"/>
      <c r="U795" s="351"/>
    </row>
    <row r="796" spans="1:21" ht="34.5" customHeight="1">
      <c r="A796" s="24">
        <f t="shared" si="3"/>
        <v>782</v>
      </c>
      <c r="B796" s="488" t="s">
        <v>335</v>
      </c>
      <c r="C796" s="351"/>
      <c r="D796" s="489" t="s">
        <v>294</v>
      </c>
      <c r="E796" s="351"/>
      <c r="F796" s="485" t="s">
        <v>325</v>
      </c>
      <c r="G796" s="351"/>
      <c r="H796" s="487"/>
      <c r="I796" s="350"/>
      <c r="J796" s="351"/>
      <c r="K796" s="485" t="s">
        <v>325</v>
      </c>
      <c r="L796" s="350"/>
      <c r="M796" s="351"/>
      <c r="N796" s="490" t="s">
        <v>294</v>
      </c>
      <c r="O796" s="350"/>
      <c r="P796" s="350"/>
      <c r="Q796" s="350"/>
      <c r="R796" s="350"/>
      <c r="S796" s="350"/>
      <c r="T796" s="350"/>
      <c r="U796" s="351"/>
    </row>
    <row r="797" spans="1:21" ht="34.5" customHeight="1">
      <c r="A797" s="24">
        <f t="shared" si="3"/>
        <v>783</v>
      </c>
      <c r="B797" s="483" t="s">
        <v>294</v>
      </c>
      <c r="C797" s="351"/>
      <c r="D797" s="484" t="s">
        <v>294</v>
      </c>
      <c r="E797" s="351"/>
      <c r="F797" s="485" t="s">
        <v>325</v>
      </c>
      <c r="G797" s="351"/>
      <c r="H797" s="486"/>
      <c r="I797" s="350"/>
      <c r="J797" s="351"/>
      <c r="K797" s="485" t="s">
        <v>325</v>
      </c>
      <c r="L797" s="350"/>
      <c r="M797" s="351"/>
      <c r="N797" s="491" t="s">
        <v>294</v>
      </c>
      <c r="O797" s="350"/>
      <c r="P797" s="350"/>
      <c r="Q797" s="350"/>
      <c r="R797" s="350"/>
      <c r="S797" s="350"/>
      <c r="T797" s="350"/>
      <c r="U797" s="351"/>
    </row>
    <row r="798" spans="1:21" ht="34.5" customHeight="1">
      <c r="A798" s="24">
        <f t="shared" si="3"/>
        <v>784</v>
      </c>
      <c r="B798" s="488" t="s">
        <v>294</v>
      </c>
      <c r="C798" s="351"/>
      <c r="D798" s="489" t="s">
        <v>294</v>
      </c>
      <c r="E798" s="351"/>
      <c r="F798" s="485" t="s">
        <v>325</v>
      </c>
      <c r="G798" s="351"/>
      <c r="H798" s="487"/>
      <c r="I798" s="350"/>
      <c r="J798" s="351"/>
      <c r="K798" s="485" t="s">
        <v>325</v>
      </c>
      <c r="L798" s="350"/>
      <c r="M798" s="351"/>
      <c r="N798" s="490" t="s">
        <v>294</v>
      </c>
      <c r="O798" s="350"/>
      <c r="P798" s="350"/>
      <c r="Q798" s="350"/>
      <c r="R798" s="350"/>
      <c r="S798" s="350"/>
      <c r="T798" s="350"/>
      <c r="U798" s="351"/>
    </row>
    <row r="799" spans="1:21" ht="34.5" customHeight="1">
      <c r="A799" s="24">
        <f t="shared" si="3"/>
        <v>785</v>
      </c>
      <c r="B799" s="483" t="s">
        <v>294</v>
      </c>
      <c r="C799" s="351"/>
      <c r="D799" s="484" t="s">
        <v>294</v>
      </c>
      <c r="E799" s="351"/>
      <c r="F799" s="485" t="s">
        <v>325</v>
      </c>
      <c r="G799" s="351"/>
      <c r="H799" s="486"/>
      <c r="I799" s="350"/>
      <c r="J799" s="351"/>
      <c r="K799" s="485" t="s">
        <v>325</v>
      </c>
      <c r="L799" s="350"/>
      <c r="M799" s="351"/>
      <c r="N799" s="491" t="s">
        <v>294</v>
      </c>
      <c r="O799" s="350"/>
      <c r="P799" s="350"/>
      <c r="Q799" s="350"/>
      <c r="R799" s="350"/>
      <c r="S799" s="350"/>
      <c r="T799" s="350"/>
      <c r="U799" s="351"/>
    </row>
    <row r="800" spans="1:21" ht="34.5" customHeight="1">
      <c r="A800" s="24">
        <f t="shared" si="3"/>
        <v>786</v>
      </c>
      <c r="B800" s="488" t="s">
        <v>294</v>
      </c>
      <c r="C800" s="351"/>
      <c r="D800" s="489" t="s">
        <v>294</v>
      </c>
      <c r="E800" s="351"/>
      <c r="F800" s="485" t="s">
        <v>325</v>
      </c>
      <c r="G800" s="351"/>
      <c r="H800" s="487"/>
      <c r="I800" s="350"/>
      <c r="J800" s="351"/>
      <c r="K800" s="485" t="s">
        <v>325</v>
      </c>
      <c r="L800" s="350"/>
      <c r="M800" s="351"/>
      <c r="N800" s="490" t="s">
        <v>294</v>
      </c>
      <c r="O800" s="350"/>
      <c r="P800" s="350"/>
      <c r="Q800" s="350"/>
      <c r="R800" s="350"/>
      <c r="S800" s="350"/>
      <c r="T800" s="350"/>
      <c r="U800" s="351"/>
    </row>
    <row r="801" spans="1:21" ht="34.5" customHeight="1">
      <c r="A801" s="24">
        <f t="shared" si="3"/>
        <v>787</v>
      </c>
      <c r="B801" s="483" t="s">
        <v>294</v>
      </c>
      <c r="C801" s="351"/>
      <c r="D801" s="484" t="s">
        <v>294</v>
      </c>
      <c r="E801" s="351"/>
      <c r="F801" s="485" t="s">
        <v>325</v>
      </c>
      <c r="G801" s="351"/>
      <c r="H801" s="486"/>
      <c r="I801" s="350"/>
      <c r="J801" s="351"/>
      <c r="K801" s="485" t="s">
        <v>325</v>
      </c>
      <c r="L801" s="350"/>
      <c r="M801" s="351"/>
      <c r="N801" s="491" t="s">
        <v>294</v>
      </c>
      <c r="O801" s="350"/>
      <c r="P801" s="350"/>
      <c r="Q801" s="350"/>
      <c r="R801" s="350"/>
      <c r="S801" s="350"/>
      <c r="T801" s="350"/>
      <c r="U801" s="351"/>
    </row>
    <row r="802" spans="1:21" ht="34.5" customHeight="1">
      <c r="A802" s="24">
        <f t="shared" si="3"/>
        <v>788</v>
      </c>
      <c r="B802" s="488" t="s">
        <v>294</v>
      </c>
      <c r="C802" s="351"/>
      <c r="D802" s="489" t="s">
        <v>294</v>
      </c>
      <c r="E802" s="351"/>
      <c r="F802" s="485" t="s">
        <v>325</v>
      </c>
      <c r="G802" s="351"/>
      <c r="H802" s="487"/>
      <c r="I802" s="350"/>
      <c r="J802" s="351"/>
      <c r="K802" s="485" t="s">
        <v>325</v>
      </c>
      <c r="L802" s="350"/>
      <c r="M802" s="351"/>
      <c r="N802" s="490" t="s">
        <v>294</v>
      </c>
      <c r="O802" s="350"/>
      <c r="P802" s="350"/>
      <c r="Q802" s="350"/>
      <c r="R802" s="350"/>
      <c r="S802" s="350"/>
      <c r="T802" s="350"/>
      <c r="U802" s="351"/>
    </row>
    <row r="803" spans="1:21" ht="34.5" customHeight="1">
      <c r="A803" s="24">
        <f t="shared" si="3"/>
        <v>789</v>
      </c>
      <c r="B803" s="488" t="s">
        <v>294</v>
      </c>
      <c r="C803" s="351"/>
      <c r="D803" s="489" t="s">
        <v>294</v>
      </c>
      <c r="E803" s="351"/>
      <c r="F803" s="485" t="s">
        <v>325</v>
      </c>
      <c r="G803" s="351"/>
      <c r="H803" s="487"/>
      <c r="I803" s="350"/>
      <c r="J803" s="351"/>
      <c r="K803" s="485" t="s">
        <v>325</v>
      </c>
      <c r="L803" s="350"/>
      <c r="M803" s="351"/>
      <c r="N803" s="490" t="s">
        <v>294</v>
      </c>
      <c r="O803" s="350"/>
      <c r="P803" s="350"/>
      <c r="Q803" s="350"/>
      <c r="R803" s="350"/>
      <c r="S803" s="350"/>
      <c r="T803" s="350"/>
      <c r="U803" s="351"/>
    </row>
    <row r="804" spans="1:21" ht="34.5" customHeight="1">
      <c r="A804" s="24">
        <f t="shared" si="3"/>
        <v>790</v>
      </c>
      <c r="B804" s="483" t="s">
        <v>294</v>
      </c>
      <c r="C804" s="351"/>
      <c r="D804" s="484" t="s">
        <v>294</v>
      </c>
      <c r="E804" s="351"/>
      <c r="F804" s="485" t="s">
        <v>325</v>
      </c>
      <c r="G804" s="351"/>
      <c r="H804" s="486"/>
      <c r="I804" s="350"/>
      <c r="J804" s="351"/>
      <c r="K804" s="485" t="s">
        <v>325</v>
      </c>
      <c r="L804" s="350"/>
      <c r="M804" s="351"/>
      <c r="N804" s="491"/>
      <c r="O804" s="350"/>
      <c r="P804" s="350"/>
      <c r="Q804" s="350"/>
      <c r="R804" s="350"/>
      <c r="S804" s="350"/>
      <c r="T804" s="350"/>
      <c r="U804" s="351"/>
    </row>
    <row r="805" spans="1:21" ht="34.5" customHeight="1">
      <c r="A805" s="24">
        <f t="shared" si="3"/>
        <v>791</v>
      </c>
      <c r="B805" s="488" t="s">
        <v>294</v>
      </c>
      <c r="C805" s="351"/>
      <c r="D805" s="489" t="s">
        <v>294</v>
      </c>
      <c r="E805" s="351"/>
      <c r="F805" s="485" t="s">
        <v>325</v>
      </c>
      <c r="G805" s="351"/>
      <c r="H805" s="487"/>
      <c r="I805" s="350"/>
      <c r="J805" s="351"/>
      <c r="K805" s="485" t="s">
        <v>325</v>
      </c>
      <c r="L805" s="350"/>
      <c r="M805" s="351"/>
      <c r="N805" s="490" t="s">
        <v>294</v>
      </c>
      <c r="O805" s="350"/>
      <c r="P805" s="350"/>
      <c r="Q805" s="350"/>
      <c r="R805" s="350"/>
      <c r="S805" s="350"/>
      <c r="T805" s="350"/>
      <c r="U805" s="351"/>
    </row>
    <row r="806" spans="1:21" ht="34.5" customHeight="1">
      <c r="A806" s="24">
        <f t="shared" si="3"/>
        <v>792</v>
      </c>
      <c r="B806" s="483" t="s">
        <v>294</v>
      </c>
      <c r="C806" s="351"/>
      <c r="D806" s="484" t="s">
        <v>294</v>
      </c>
      <c r="E806" s="351"/>
      <c r="F806" s="485" t="s">
        <v>325</v>
      </c>
      <c r="G806" s="351"/>
      <c r="H806" s="486"/>
      <c r="I806" s="350"/>
      <c r="J806" s="351"/>
      <c r="K806" s="485" t="s">
        <v>325</v>
      </c>
      <c r="L806" s="350"/>
      <c r="M806" s="351"/>
      <c r="N806" s="491" t="s">
        <v>294</v>
      </c>
      <c r="O806" s="350"/>
      <c r="P806" s="350"/>
      <c r="Q806" s="350"/>
      <c r="R806" s="350"/>
      <c r="S806" s="350"/>
      <c r="T806" s="350"/>
      <c r="U806" s="351"/>
    </row>
    <row r="807" spans="1:21" ht="34.5" customHeight="1">
      <c r="A807" s="24">
        <f t="shared" si="3"/>
        <v>793</v>
      </c>
      <c r="B807" s="488" t="s">
        <v>294</v>
      </c>
      <c r="C807" s="351"/>
      <c r="D807" s="489" t="s">
        <v>294</v>
      </c>
      <c r="E807" s="351"/>
      <c r="F807" s="485" t="s">
        <v>325</v>
      </c>
      <c r="G807" s="351"/>
      <c r="H807" s="487"/>
      <c r="I807" s="350"/>
      <c r="J807" s="351"/>
      <c r="K807" s="485" t="s">
        <v>325</v>
      </c>
      <c r="L807" s="350"/>
      <c r="M807" s="351"/>
      <c r="N807" s="490" t="s">
        <v>294</v>
      </c>
      <c r="O807" s="350"/>
      <c r="P807" s="350"/>
      <c r="Q807" s="350"/>
      <c r="R807" s="350"/>
      <c r="S807" s="350"/>
      <c r="T807" s="350"/>
      <c r="U807" s="351"/>
    </row>
    <row r="808" spans="1:21" ht="34.5" customHeight="1">
      <c r="A808" s="24">
        <f t="shared" si="3"/>
        <v>794</v>
      </c>
      <c r="B808" s="483" t="s">
        <v>294</v>
      </c>
      <c r="C808" s="351"/>
      <c r="D808" s="484" t="s">
        <v>294</v>
      </c>
      <c r="E808" s="351"/>
      <c r="F808" s="485" t="s">
        <v>325</v>
      </c>
      <c r="G808" s="351"/>
      <c r="H808" s="486"/>
      <c r="I808" s="350"/>
      <c r="J808" s="351"/>
      <c r="K808" s="485" t="s">
        <v>325</v>
      </c>
      <c r="L808" s="350"/>
      <c r="M808" s="351"/>
      <c r="N808" s="491" t="s">
        <v>294</v>
      </c>
      <c r="O808" s="350"/>
      <c r="P808" s="350"/>
      <c r="Q808" s="350"/>
      <c r="R808" s="350"/>
      <c r="S808" s="350"/>
      <c r="T808" s="350"/>
      <c r="U808" s="351"/>
    </row>
    <row r="809" spans="1:21" ht="34.5" customHeight="1">
      <c r="A809" s="24">
        <f t="shared" si="3"/>
        <v>795</v>
      </c>
      <c r="B809" s="488" t="s">
        <v>294</v>
      </c>
      <c r="C809" s="351"/>
      <c r="D809" s="489" t="s">
        <v>294</v>
      </c>
      <c r="E809" s="351"/>
      <c r="F809" s="485" t="s">
        <v>325</v>
      </c>
      <c r="G809" s="351"/>
      <c r="H809" s="487"/>
      <c r="I809" s="350"/>
      <c r="J809" s="351"/>
      <c r="K809" s="485" t="s">
        <v>325</v>
      </c>
      <c r="L809" s="350"/>
      <c r="M809" s="351"/>
      <c r="N809" s="490" t="s">
        <v>294</v>
      </c>
      <c r="O809" s="350"/>
      <c r="P809" s="350"/>
      <c r="Q809" s="350"/>
      <c r="R809" s="350"/>
      <c r="S809" s="350"/>
      <c r="T809" s="350"/>
      <c r="U809" s="351"/>
    </row>
    <row r="810" spans="1:21" ht="34.5" customHeight="1">
      <c r="A810" s="24">
        <f t="shared" si="3"/>
        <v>796</v>
      </c>
      <c r="B810" s="483" t="s">
        <v>294</v>
      </c>
      <c r="C810" s="351"/>
      <c r="D810" s="484" t="s">
        <v>294</v>
      </c>
      <c r="E810" s="351"/>
      <c r="F810" s="485" t="s">
        <v>325</v>
      </c>
      <c r="G810" s="351"/>
      <c r="H810" s="486"/>
      <c r="I810" s="350"/>
      <c r="J810" s="351"/>
      <c r="K810" s="485" t="s">
        <v>325</v>
      </c>
      <c r="L810" s="350"/>
      <c r="M810" s="351"/>
      <c r="N810" s="491" t="s">
        <v>294</v>
      </c>
      <c r="O810" s="350"/>
      <c r="P810" s="350"/>
      <c r="Q810" s="350"/>
      <c r="R810" s="350"/>
      <c r="S810" s="350"/>
      <c r="T810" s="350"/>
      <c r="U810" s="351"/>
    </row>
    <row r="811" spans="1:21" ht="34.5" customHeight="1">
      <c r="A811" s="24">
        <f t="shared" si="3"/>
        <v>797</v>
      </c>
      <c r="B811" s="488" t="s">
        <v>294</v>
      </c>
      <c r="C811" s="351"/>
      <c r="D811" s="489" t="s">
        <v>294</v>
      </c>
      <c r="E811" s="351"/>
      <c r="F811" s="485" t="s">
        <v>325</v>
      </c>
      <c r="G811" s="351"/>
      <c r="H811" s="487"/>
      <c r="I811" s="350"/>
      <c r="J811" s="351"/>
      <c r="K811" s="485" t="s">
        <v>325</v>
      </c>
      <c r="L811" s="350"/>
      <c r="M811" s="351"/>
      <c r="N811" s="490" t="s">
        <v>294</v>
      </c>
      <c r="O811" s="350"/>
      <c r="P811" s="350"/>
      <c r="Q811" s="350"/>
      <c r="R811" s="350"/>
      <c r="S811" s="350"/>
      <c r="T811" s="350"/>
      <c r="U811" s="351"/>
    </row>
    <row r="812" spans="1:21" ht="34.5" customHeight="1">
      <c r="A812" s="24">
        <f t="shared" si="3"/>
        <v>798</v>
      </c>
      <c r="B812" s="483" t="s">
        <v>294</v>
      </c>
      <c r="C812" s="351"/>
      <c r="D812" s="484" t="s">
        <v>294</v>
      </c>
      <c r="E812" s="351"/>
      <c r="F812" s="485" t="s">
        <v>325</v>
      </c>
      <c r="G812" s="351"/>
      <c r="H812" s="486"/>
      <c r="I812" s="350"/>
      <c r="J812" s="351"/>
      <c r="K812" s="485" t="s">
        <v>325</v>
      </c>
      <c r="L812" s="350"/>
      <c r="M812" s="351"/>
      <c r="N812" s="491" t="s">
        <v>294</v>
      </c>
      <c r="O812" s="350"/>
      <c r="P812" s="350"/>
      <c r="Q812" s="350"/>
      <c r="R812" s="350"/>
      <c r="S812" s="350"/>
      <c r="T812" s="350"/>
      <c r="U812" s="351"/>
    </row>
    <row r="813" spans="1:21" ht="34.5" customHeight="1">
      <c r="A813" s="24">
        <f t="shared" si="3"/>
        <v>799</v>
      </c>
      <c r="B813" s="488" t="s">
        <v>294</v>
      </c>
      <c r="C813" s="351"/>
      <c r="D813" s="489" t="s">
        <v>294</v>
      </c>
      <c r="E813" s="351"/>
      <c r="F813" s="485" t="s">
        <v>325</v>
      </c>
      <c r="G813" s="351"/>
      <c r="H813" s="487"/>
      <c r="I813" s="350"/>
      <c r="J813" s="351"/>
      <c r="K813" s="485" t="s">
        <v>325</v>
      </c>
      <c r="L813" s="350"/>
      <c r="M813" s="351"/>
      <c r="N813" s="490" t="s">
        <v>294</v>
      </c>
      <c r="O813" s="350"/>
      <c r="P813" s="350"/>
      <c r="Q813" s="350"/>
      <c r="R813" s="350"/>
      <c r="S813" s="350"/>
      <c r="T813" s="350"/>
      <c r="U813" s="351"/>
    </row>
    <row r="814" spans="1:21" ht="34.5" customHeight="1">
      <c r="A814" s="24">
        <f t="shared" si="3"/>
        <v>800</v>
      </c>
      <c r="B814" s="483" t="s">
        <v>294</v>
      </c>
      <c r="C814" s="351"/>
      <c r="D814" s="484" t="s">
        <v>294</v>
      </c>
      <c r="E814" s="351"/>
      <c r="F814" s="485" t="s">
        <v>325</v>
      </c>
      <c r="G814" s="351"/>
      <c r="H814" s="486"/>
      <c r="I814" s="350"/>
      <c r="J814" s="351"/>
      <c r="K814" s="485" t="s">
        <v>325</v>
      </c>
      <c r="L814" s="350"/>
      <c r="M814" s="351"/>
      <c r="N814" s="491" t="s">
        <v>294</v>
      </c>
      <c r="O814" s="350"/>
      <c r="P814" s="350"/>
      <c r="Q814" s="350"/>
      <c r="R814" s="350"/>
      <c r="S814" s="350"/>
      <c r="T814" s="350"/>
      <c r="U814" s="351"/>
    </row>
    <row r="815" spans="1:21" ht="34.5" customHeight="1">
      <c r="A815" s="24">
        <f t="shared" si="3"/>
        <v>801</v>
      </c>
      <c r="B815" s="488" t="s">
        <v>294</v>
      </c>
      <c r="C815" s="351"/>
      <c r="D815" s="489" t="s">
        <v>294</v>
      </c>
      <c r="E815" s="351"/>
      <c r="F815" s="485" t="s">
        <v>325</v>
      </c>
      <c r="G815" s="351"/>
      <c r="H815" s="487"/>
      <c r="I815" s="350"/>
      <c r="J815" s="351"/>
      <c r="K815" s="485" t="s">
        <v>325</v>
      </c>
      <c r="L815" s="350"/>
      <c r="M815" s="351"/>
      <c r="N815" s="490" t="s">
        <v>294</v>
      </c>
      <c r="O815" s="350"/>
      <c r="P815" s="350"/>
      <c r="Q815" s="350"/>
      <c r="R815" s="350"/>
      <c r="S815" s="350"/>
      <c r="T815" s="350"/>
      <c r="U815" s="351"/>
    </row>
    <row r="816" spans="1:21" ht="34.5" customHeight="1">
      <c r="A816" s="24">
        <f t="shared" si="3"/>
        <v>802</v>
      </c>
      <c r="B816" s="483" t="s">
        <v>294</v>
      </c>
      <c r="C816" s="351"/>
      <c r="D816" s="484" t="s">
        <v>294</v>
      </c>
      <c r="E816" s="351"/>
      <c r="F816" s="485" t="s">
        <v>325</v>
      </c>
      <c r="G816" s="351"/>
      <c r="H816" s="486"/>
      <c r="I816" s="350"/>
      <c r="J816" s="351"/>
      <c r="K816" s="485" t="s">
        <v>325</v>
      </c>
      <c r="L816" s="350"/>
      <c r="M816" s="351"/>
      <c r="N816" s="491" t="s">
        <v>294</v>
      </c>
      <c r="O816" s="350"/>
      <c r="P816" s="350"/>
      <c r="Q816" s="350"/>
      <c r="R816" s="350"/>
      <c r="S816" s="350"/>
      <c r="T816" s="350"/>
      <c r="U816" s="351"/>
    </row>
    <row r="817" spans="1:21" ht="34.5" customHeight="1">
      <c r="A817" s="24">
        <f t="shared" si="3"/>
        <v>803</v>
      </c>
      <c r="B817" s="488" t="s">
        <v>294</v>
      </c>
      <c r="C817" s="351"/>
      <c r="D817" s="489" t="s">
        <v>294</v>
      </c>
      <c r="E817" s="351"/>
      <c r="F817" s="485" t="s">
        <v>325</v>
      </c>
      <c r="G817" s="351"/>
      <c r="H817" s="487"/>
      <c r="I817" s="350"/>
      <c r="J817" s="351"/>
      <c r="K817" s="485" t="s">
        <v>325</v>
      </c>
      <c r="L817" s="350"/>
      <c r="M817" s="351"/>
      <c r="N817" s="490" t="s">
        <v>294</v>
      </c>
      <c r="O817" s="350"/>
      <c r="P817" s="350"/>
      <c r="Q817" s="350"/>
      <c r="R817" s="350"/>
      <c r="S817" s="350"/>
      <c r="T817" s="350"/>
      <c r="U817" s="351"/>
    </row>
    <row r="818" spans="1:21" ht="34.5" customHeight="1">
      <c r="A818" s="24">
        <f t="shared" si="3"/>
        <v>804</v>
      </c>
      <c r="B818" s="483" t="s">
        <v>294</v>
      </c>
      <c r="C818" s="351"/>
      <c r="D818" s="484" t="s">
        <v>294</v>
      </c>
      <c r="E818" s="351"/>
      <c r="F818" s="485" t="s">
        <v>325</v>
      </c>
      <c r="G818" s="351"/>
      <c r="H818" s="486"/>
      <c r="I818" s="350"/>
      <c r="J818" s="351"/>
      <c r="K818" s="485" t="s">
        <v>325</v>
      </c>
      <c r="L818" s="350"/>
      <c r="M818" s="351"/>
      <c r="N818" s="491" t="s">
        <v>294</v>
      </c>
      <c r="O818" s="350"/>
      <c r="P818" s="350"/>
      <c r="Q818" s="350"/>
      <c r="R818" s="350"/>
      <c r="S818" s="350"/>
      <c r="T818" s="350"/>
      <c r="U818" s="351"/>
    </row>
    <row r="819" spans="1:21" ht="34.5" customHeight="1">
      <c r="A819" s="24">
        <f t="shared" si="3"/>
        <v>805</v>
      </c>
      <c r="B819" s="488" t="s">
        <v>294</v>
      </c>
      <c r="C819" s="351"/>
      <c r="D819" s="489" t="s">
        <v>294</v>
      </c>
      <c r="E819" s="351"/>
      <c r="F819" s="485" t="s">
        <v>325</v>
      </c>
      <c r="G819" s="351"/>
      <c r="H819" s="487"/>
      <c r="I819" s="350"/>
      <c r="J819" s="351"/>
      <c r="K819" s="485" t="s">
        <v>325</v>
      </c>
      <c r="L819" s="350"/>
      <c r="M819" s="351"/>
      <c r="N819" s="490" t="s">
        <v>294</v>
      </c>
      <c r="O819" s="350"/>
      <c r="P819" s="350"/>
      <c r="Q819" s="350"/>
      <c r="R819" s="350"/>
      <c r="S819" s="350"/>
      <c r="T819" s="350"/>
      <c r="U819" s="351"/>
    </row>
    <row r="820" spans="1:21" ht="34.5" customHeight="1">
      <c r="A820" s="24">
        <f t="shared" si="3"/>
        <v>806</v>
      </c>
      <c r="B820" s="483" t="s">
        <v>294</v>
      </c>
      <c r="C820" s="351"/>
      <c r="D820" s="484" t="s">
        <v>294</v>
      </c>
      <c r="E820" s="351"/>
      <c r="F820" s="485" t="s">
        <v>325</v>
      </c>
      <c r="G820" s="351"/>
      <c r="H820" s="486"/>
      <c r="I820" s="350"/>
      <c r="J820" s="351"/>
      <c r="K820" s="485" t="s">
        <v>325</v>
      </c>
      <c r="L820" s="350"/>
      <c r="M820" s="351"/>
      <c r="N820" s="491" t="s">
        <v>294</v>
      </c>
      <c r="O820" s="350"/>
      <c r="P820" s="350"/>
      <c r="Q820" s="350"/>
      <c r="R820" s="350"/>
      <c r="S820" s="350"/>
      <c r="T820" s="350"/>
      <c r="U820" s="351"/>
    </row>
    <row r="821" spans="1:21" ht="34.5" customHeight="1">
      <c r="A821" s="24">
        <f t="shared" si="3"/>
        <v>807</v>
      </c>
      <c r="B821" s="488" t="s">
        <v>294</v>
      </c>
      <c r="C821" s="351"/>
      <c r="D821" s="489" t="s">
        <v>294</v>
      </c>
      <c r="E821" s="351"/>
      <c r="F821" s="485" t="s">
        <v>325</v>
      </c>
      <c r="G821" s="351"/>
      <c r="H821" s="487"/>
      <c r="I821" s="350"/>
      <c r="J821" s="351"/>
      <c r="K821" s="485" t="s">
        <v>325</v>
      </c>
      <c r="L821" s="350"/>
      <c r="M821" s="351"/>
      <c r="N821" s="490" t="s">
        <v>294</v>
      </c>
      <c r="O821" s="350"/>
      <c r="P821" s="350"/>
      <c r="Q821" s="350"/>
      <c r="R821" s="350"/>
      <c r="S821" s="350"/>
      <c r="T821" s="350"/>
      <c r="U821" s="351"/>
    </row>
    <row r="822" spans="1:21" ht="34.5" customHeight="1">
      <c r="A822" s="24">
        <f t="shared" si="3"/>
        <v>808</v>
      </c>
      <c r="B822" s="483" t="s">
        <v>294</v>
      </c>
      <c r="C822" s="351"/>
      <c r="D822" s="484" t="s">
        <v>294</v>
      </c>
      <c r="E822" s="351"/>
      <c r="F822" s="485" t="s">
        <v>325</v>
      </c>
      <c r="G822" s="351"/>
      <c r="H822" s="486"/>
      <c r="I822" s="350"/>
      <c r="J822" s="351"/>
      <c r="K822" s="485" t="s">
        <v>325</v>
      </c>
      <c r="L822" s="350"/>
      <c r="M822" s="351"/>
      <c r="N822" s="491" t="s">
        <v>294</v>
      </c>
      <c r="O822" s="350"/>
      <c r="P822" s="350"/>
      <c r="Q822" s="350"/>
      <c r="R822" s="350"/>
      <c r="S822" s="350"/>
      <c r="T822" s="350"/>
      <c r="U822" s="351"/>
    </row>
    <row r="823" spans="1:21" ht="34.5" customHeight="1">
      <c r="A823" s="24">
        <f t="shared" si="3"/>
        <v>809</v>
      </c>
      <c r="B823" s="488" t="s">
        <v>294</v>
      </c>
      <c r="C823" s="351"/>
      <c r="D823" s="489" t="s">
        <v>294</v>
      </c>
      <c r="E823" s="351"/>
      <c r="F823" s="485" t="s">
        <v>325</v>
      </c>
      <c r="G823" s="351"/>
      <c r="H823" s="487"/>
      <c r="I823" s="350"/>
      <c r="J823" s="351"/>
      <c r="K823" s="485" t="s">
        <v>325</v>
      </c>
      <c r="L823" s="350"/>
      <c r="M823" s="351"/>
      <c r="N823" s="490" t="s">
        <v>294</v>
      </c>
      <c r="O823" s="350"/>
      <c r="P823" s="350"/>
      <c r="Q823" s="350"/>
      <c r="R823" s="350"/>
      <c r="S823" s="350"/>
      <c r="T823" s="350"/>
      <c r="U823" s="351"/>
    </row>
    <row r="824" spans="1:21" ht="34.5" customHeight="1">
      <c r="A824" s="24">
        <f t="shared" si="3"/>
        <v>810</v>
      </c>
      <c r="B824" s="483" t="s">
        <v>294</v>
      </c>
      <c r="C824" s="351"/>
      <c r="D824" s="484" t="s">
        <v>294</v>
      </c>
      <c r="E824" s="351"/>
      <c r="F824" s="485" t="s">
        <v>325</v>
      </c>
      <c r="G824" s="351"/>
      <c r="H824" s="486"/>
      <c r="I824" s="350"/>
      <c r="J824" s="351"/>
      <c r="K824" s="485" t="s">
        <v>325</v>
      </c>
      <c r="L824" s="350"/>
      <c r="M824" s="351"/>
      <c r="N824" s="491" t="s">
        <v>294</v>
      </c>
      <c r="O824" s="350"/>
      <c r="P824" s="350"/>
      <c r="Q824" s="350"/>
      <c r="R824" s="350"/>
      <c r="S824" s="350"/>
      <c r="T824" s="350"/>
      <c r="U824" s="351"/>
    </row>
    <row r="825" spans="1:21" ht="34.5" customHeight="1">
      <c r="A825" s="24">
        <f t="shared" si="3"/>
        <v>811</v>
      </c>
      <c r="B825" s="488" t="s">
        <v>294</v>
      </c>
      <c r="C825" s="351"/>
      <c r="D825" s="489" t="s">
        <v>294</v>
      </c>
      <c r="E825" s="351"/>
      <c r="F825" s="485" t="s">
        <v>325</v>
      </c>
      <c r="G825" s="351"/>
      <c r="H825" s="487"/>
      <c r="I825" s="350"/>
      <c r="J825" s="351"/>
      <c r="K825" s="485" t="s">
        <v>325</v>
      </c>
      <c r="L825" s="350"/>
      <c r="M825" s="351"/>
      <c r="N825" s="490" t="s">
        <v>294</v>
      </c>
      <c r="O825" s="350"/>
      <c r="P825" s="350"/>
      <c r="Q825" s="350"/>
      <c r="R825" s="350"/>
      <c r="S825" s="350"/>
      <c r="T825" s="350"/>
      <c r="U825" s="351"/>
    </row>
    <row r="826" spans="1:21" ht="34.5" customHeight="1">
      <c r="A826" s="24">
        <f t="shared" si="3"/>
        <v>812</v>
      </c>
      <c r="B826" s="483" t="s">
        <v>294</v>
      </c>
      <c r="C826" s="351"/>
      <c r="D826" s="484" t="s">
        <v>294</v>
      </c>
      <c r="E826" s="351"/>
      <c r="F826" s="485" t="s">
        <v>325</v>
      </c>
      <c r="G826" s="351"/>
      <c r="H826" s="486"/>
      <c r="I826" s="350"/>
      <c r="J826" s="351"/>
      <c r="K826" s="485" t="s">
        <v>325</v>
      </c>
      <c r="L826" s="350"/>
      <c r="M826" s="351"/>
      <c r="N826" s="491" t="s">
        <v>294</v>
      </c>
      <c r="O826" s="350"/>
      <c r="P826" s="350"/>
      <c r="Q826" s="350"/>
      <c r="R826" s="350"/>
      <c r="S826" s="350"/>
      <c r="T826" s="350"/>
      <c r="U826" s="351"/>
    </row>
    <row r="827" spans="1:21" ht="34.5" customHeight="1">
      <c r="A827" s="24">
        <f t="shared" si="3"/>
        <v>813</v>
      </c>
      <c r="B827" s="488" t="s">
        <v>294</v>
      </c>
      <c r="C827" s="351"/>
      <c r="D827" s="489" t="s">
        <v>294</v>
      </c>
      <c r="E827" s="351"/>
      <c r="F827" s="485" t="s">
        <v>325</v>
      </c>
      <c r="G827" s="351"/>
      <c r="H827" s="487"/>
      <c r="I827" s="350"/>
      <c r="J827" s="351"/>
      <c r="K827" s="485" t="s">
        <v>325</v>
      </c>
      <c r="L827" s="350"/>
      <c r="M827" s="351"/>
      <c r="N827" s="490" t="s">
        <v>294</v>
      </c>
      <c r="O827" s="350"/>
      <c r="P827" s="350"/>
      <c r="Q827" s="350"/>
      <c r="R827" s="350"/>
      <c r="S827" s="350"/>
      <c r="T827" s="350"/>
      <c r="U827" s="351"/>
    </row>
    <row r="828" spans="1:21" ht="34.5" customHeight="1">
      <c r="A828" s="24">
        <f t="shared" si="3"/>
        <v>814</v>
      </c>
      <c r="B828" s="483" t="s">
        <v>294</v>
      </c>
      <c r="C828" s="351"/>
      <c r="D828" s="484" t="s">
        <v>294</v>
      </c>
      <c r="E828" s="351"/>
      <c r="F828" s="485" t="s">
        <v>325</v>
      </c>
      <c r="G828" s="351"/>
      <c r="H828" s="486"/>
      <c r="I828" s="350"/>
      <c r="J828" s="351"/>
      <c r="K828" s="485" t="s">
        <v>325</v>
      </c>
      <c r="L828" s="350"/>
      <c r="M828" s="351"/>
      <c r="N828" s="491" t="s">
        <v>294</v>
      </c>
      <c r="O828" s="350"/>
      <c r="P828" s="350"/>
      <c r="Q828" s="350"/>
      <c r="R828" s="350"/>
      <c r="S828" s="350"/>
      <c r="T828" s="350"/>
      <c r="U828" s="351"/>
    </row>
    <row r="829" spans="1:21" ht="34.5" customHeight="1">
      <c r="A829" s="24">
        <f t="shared" si="3"/>
        <v>815</v>
      </c>
      <c r="B829" s="488" t="s">
        <v>294</v>
      </c>
      <c r="C829" s="351"/>
      <c r="D829" s="489" t="s">
        <v>294</v>
      </c>
      <c r="E829" s="351"/>
      <c r="F829" s="485" t="s">
        <v>325</v>
      </c>
      <c r="G829" s="351"/>
      <c r="H829" s="487"/>
      <c r="I829" s="350"/>
      <c r="J829" s="351"/>
      <c r="K829" s="485" t="s">
        <v>325</v>
      </c>
      <c r="L829" s="350"/>
      <c r="M829" s="351"/>
      <c r="N829" s="490" t="s">
        <v>294</v>
      </c>
      <c r="O829" s="350"/>
      <c r="P829" s="350"/>
      <c r="Q829" s="350"/>
      <c r="R829" s="350"/>
      <c r="S829" s="350"/>
      <c r="T829" s="350"/>
      <c r="U829" s="351"/>
    </row>
    <row r="830" spans="1:21" ht="34.5" customHeight="1">
      <c r="A830" s="24">
        <f t="shared" si="3"/>
        <v>816</v>
      </c>
      <c r="B830" s="483" t="s">
        <v>294</v>
      </c>
      <c r="C830" s="351"/>
      <c r="D830" s="484" t="s">
        <v>294</v>
      </c>
      <c r="E830" s="351"/>
      <c r="F830" s="485" t="s">
        <v>325</v>
      </c>
      <c r="G830" s="351"/>
      <c r="H830" s="486"/>
      <c r="I830" s="350"/>
      <c r="J830" s="351"/>
      <c r="K830" s="485" t="s">
        <v>325</v>
      </c>
      <c r="L830" s="350"/>
      <c r="M830" s="351"/>
      <c r="N830" s="491" t="s">
        <v>294</v>
      </c>
      <c r="O830" s="350"/>
      <c r="P830" s="350"/>
      <c r="Q830" s="350"/>
      <c r="R830" s="350"/>
      <c r="S830" s="350"/>
      <c r="T830" s="350"/>
      <c r="U830" s="351"/>
    </row>
    <row r="831" spans="1:21" ht="34.5" customHeight="1">
      <c r="A831" s="24">
        <f t="shared" si="3"/>
        <v>817</v>
      </c>
      <c r="B831" s="488" t="s">
        <v>294</v>
      </c>
      <c r="C831" s="351"/>
      <c r="D831" s="489" t="s">
        <v>294</v>
      </c>
      <c r="E831" s="351"/>
      <c r="F831" s="485" t="s">
        <v>325</v>
      </c>
      <c r="G831" s="351"/>
      <c r="H831" s="487"/>
      <c r="I831" s="350"/>
      <c r="J831" s="351"/>
      <c r="K831" s="485" t="s">
        <v>325</v>
      </c>
      <c r="L831" s="350"/>
      <c r="M831" s="351"/>
      <c r="N831" s="490" t="s">
        <v>294</v>
      </c>
      <c r="O831" s="350"/>
      <c r="P831" s="350"/>
      <c r="Q831" s="350"/>
      <c r="R831" s="350"/>
      <c r="S831" s="350"/>
      <c r="T831" s="350"/>
      <c r="U831" s="351"/>
    </row>
    <row r="832" spans="1:21" ht="34.5" customHeight="1">
      <c r="A832" s="24">
        <f t="shared" si="3"/>
        <v>818</v>
      </c>
      <c r="B832" s="483" t="s">
        <v>294</v>
      </c>
      <c r="C832" s="351"/>
      <c r="D832" s="484" t="s">
        <v>294</v>
      </c>
      <c r="E832" s="351"/>
      <c r="F832" s="485" t="s">
        <v>325</v>
      </c>
      <c r="G832" s="351"/>
      <c r="H832" s="486"/>
      <c r="I832" s="350"/>
      <c r="J832" s="351"/>
      <c r="K832" s="485" t="s">
        <v>325</v>
      </c>
      <c r="L832" s="350"/>
      <c r="M832" s="351"/>
      <c r="N832" s="491" t="s">
        <v>294</v>
      </c>
      <c r="O832" s="350"/>
      <c r="P832" s="350"/>
      <c r="Q832" s="350"/>
      <c r="R832" s="350"/>
      <c r="S832" s="350"/>
      <c r="T832" s="350"/>
      <c r="U832" s="351"/>
    </row>
    <row r="833" spans="1:21" ht="34.5" customHeight="1">
      <c r="A833" s="24">
        <f t="shared" si="3"/>
        <v>819</v>
      </c>
      <c r="B833" s="488" t="s">
        <v>294</v>
      </c>
      <c r="C833" s="351"/>
      <c r="D833" s="489" t="s">
        <v>294</v>
      </c>
      <c r="E833" s="351"/>
      <c r="F833" s="485" t="s">
        <v>325</v>
      </c>
      <c r="G833" s="351"/>
      <c r="H833" s="487"/>
      <c r="I833" s="350"/>
      <c r="J833" s="351"/>
      <c r="K833" s="485" t="s">
        <v>325</v>
      </c>
      <c r="L833" s="350"/>
      <c r="M833" s="351"/>
      <c r="N833" s="490" t="s">
        <v>294</v>
      </c>
      <c r="O833" s="350"/>
      <c r="P833" s="350"/>
      <c r="Q833" s="350"/>
      <c r="R833" s="350"/>
      <c r="S833" s="350"/>
      <c r="T833" s="350"/>
      <c r="U833" s="351"/>
    </row>
    <row r="834" spans="1:21" ht="34.5" customHeight="1">
      <c r="A834" s="24">
        <f t="shared" si="3"/>
        <v>820</v>
      </c>
      <c r="B834" s="483" t="s">
        <v>294</v>
      </c>
      <c r="C834" s="351"/>
      <c r="D834" s="484" t="s">
        <v>294</v>
      </c>
      <c r="E834" s="351"/>
      <c r="F834" s="485" t="s">
        <v>325</v>
      </c>
      <c r="G834" s="351"/>
      <c r="H834" s="486"/>
      <c r="I834" s="350"/>
      <c r="J834" s="351"/>
      <c r="K834" s="485" t="s">
        <v>325</v>
      </c>
      <c r="L834" s="350"/>
      <c r="M834" s="351"/>
      <c r="N834" s="491" t="s">
        <v>294</v>
      </c>
      <c r="O834" s="350"/>
      <c r="P834" s="350"/>
      <c r="Q834" s="350"/>
      <c r="R834" s="350"/>
      <c r="S834" s="350"/>
      <c r="T834" s="350"/>
      <c r="U834" s="351"/>
    </row>
    <row r="835" spans="1:21" ht="34.5" customHeight="1">
      <c r="A835" s="24">
        <f t="shared" si="3"/>
        <v>821</v>
      </c>
      <c r="B835" s="488" t="s">
        <v>294</v>
      </c>
      <c r="C835" s="351"/>
      <c r="D835" s="489" t="s">
        <v>294</v>
      </c>
      <c r="E835" s="351"/>
      <c r="F835" s="485" t="s">
        <v>325</v>
      </c>
      <c r="G835" s="351"/>
      <c r="H835" s="487"/>
      <c r="I835" s="350"/>
      <c r="J835" s="351"/>
      <c r="K835" s="485" t="s">
        <v>325</v>
      </c>
      <c r="L835" s="350"/>
      <c r="M835" s="351"/>
      <c r="N835" s="490" t="s">
        <v>294</v>
      </c>
      <c r="O835" s="350"/>
      <c r="P835" s="350"/>
      <c r="Q835" s="350"/>
      <c r="R835" s="350"/>
      <c r="S835" s="350"/>
      <c r="T835" s="350"/>
      <c r="U835" s="351"/>
    </row>
    <row r="836" spans="1:21" ht="34.5" customHeight="1">
      <c r="A836" s="24">
        <f t="shared" si="3"/>
        <v>822</v>
      </c>
      <c r="B836" s="483" t="s">
        <v>294</v>
      </c>
      <c r="C836" s="351"/>
      <c r="D836" s="484" t="s">
        <v>294</v>
      </c>
      <c r="E836" s="351"/>
      <c r="F836" s="485" t="s">
        <v>325</v>
      </c>
      <c r="G836" s="351"/>
      <c r="H836" s="486"/>
      <c r="I836" s="350"/>
      <c r="J836" s="351"/>
      <c r="K836" s="485" t="s">
        <v>325</v>
      </c>
      <c r="L836" s="350"/>
      <c r="M836" s="351"/>
      <c r="N836" s="491" t="s">
        <v>294</v>
      </c>
      <c r="O836" s="350"/>
      <c r="P836" s="350"/>
      <c r="Q836" s="350"/>
      <c r="R836" s="350"/>
      <c r="S836" s="350"/>
      <c r="T836" s="350"/>
      <c r="U836" s="351"/>
    </row>
    <row r="837" spans="1:21" ht="34.5" customHeight="1">
      <c r="A837" s="24">
        <f t="shared" si="3"/>
        <v>823</v>
      </c>
      <c r="B837" s="488" t="s">
        <v>294</v>
      </c>
      <c r="C837" s="351"/>
      <c r="D837" s="489" t="s">
        <v>294</v>
      </c>
      <c r="E837" s="351"/>
      <c r="F837" s="485" t="s">
        <v>325</v>
      </c>
      <c r="G837" s="351"/>
      <c r="H837" s="487"/>
      <c r="I837" s="350"/>
      <c r="J837" s="351"/>
      <c r="K837" s="485" t="s">
        <v>325</v>
      </c>
      <c r="L837" s="350"/>
      <c r="M837" s="351"/>
      <c r="N837" s="490" t="s">
        <v>294</v>
      </c>
      <c r="O837" s="350"/>
      <c r="P837" s="350"/>
      <c r="Q837" s="350"/>
      <c r="R837" s="350"/>
      <c r="S837" s="350"/>
      <c r="T837" s="350"/>
      <c r="U837" s="351"/>
    </row>
    <row r="838" spans="1:21" ht="34.5" customHeight="1">
      <c r="A838" s="24">
        <f t="shared" si="3"/>
        <v>824</v>
      </c>
      <c r="B838" s="483" t="s">
        <v>294</v>
      </c>
      <c r="C838" s="351"/>
      <c r="D838" s="484" t="s">
        <v>294</v>
      </c>
      <c r="E838" s="351"/>
      <c r="F838" s="485" t="s">
        <v>325</v>
      </c>
      <c r="G838" s="351"/>
      <c r="H838" s="486"/>
      <c r="I838" s="350"/>
      <c r="J838" s="351"/>
      <c r="K838" s="485" t="s">
        <v>325</v>
      </c>
      <c r="L838" s="350"/>
      <c r="M838" s="351"/>
      <c r="N838" s="491" t="s">
        <v>294</v>
      </c>
      <c r="O838" s="350"/>
      <c r="P838" s="350"/>
      <c r="Q838" s="350"/>
      <c r="R838" s="350"/>
      <c r="S838" s="350"/>
      <c r="T838" s="350"/>
      <c r="U838" s="351"/>
    </row>
    <row r="839" spans="1:21" ht="34.5" customHeight="1">
      <c r="A839" s="24">
        <f t="shared" si="3"/>
        <v>825</v>
      </c>
      <c r="B839" s="488" t="s">
        <v>294</v>
      </c>
      <c r="C839" s="351"/>
      <c r="D839" s="489" t="s">
        <v>294</v>
      </c>
      <c r="E839" s="351"/>
      <c r="F839" s="485" t="s">
        <v>325</v>
      </c>
      <c r="G839" s="351"/>
      <c r="H839" s="487"/>
      <c r="I839" s="350"/>
      <c r="J839" s="351"/>
      <c r="K839" s="485" t="s">
        <v>325</v>
      </c>
      <c r="L839" s="350"/>
      <c r="M839" s="351"/>
      <c r="N839" s="490" t="s">
        <v>294</v>
      </c>
      <c r="O839" s="350"/>
      <c r="P839" s="350"/>
      <c r="Q839" s="350"/>
      <c r="R839" s="350"/>
      <c r="S839" s="350"/>
      <c r="T839" s="350"/>
      <c r="U839" s="351"/>
    </row>
    <row r="840" spans="1:21" ht="34.5" customHeight="1">
      <c r="A840" s="24">
        <f t="shared" si="3"/>
        <v>826</v>
      </c>
      <c r="B840" s="483" t="s">
        <v>294</v>
      </c>
      <c r="C840" s="351"/>
      <c r="D840" s="484" t="s">
        <v>294</v>
      </c>
      <c r="E840" s="351"/>
      <c r="F840" s="485" t="s">
        <v>325</v>
      </c>
      <c r="G840" s="351"/>
      <c r="H840" s="486"/>
      <c r="I840" s="350"/>
      <c r="J840" s="351"/>
      <c r="K840" s="485" t="s">
        <v>325</v>
      </c>
      <c r="L840" s="350"/>
      <c r="M840" s="351"/>
      <c r="N840" s="491" t="s">
        <v>294</v>
      </c>
      <c r="O840" s="350"/>
      <c r="P840" s="350"/>
      <c r="Q840" s="350"/>
      <c r="R840" s="350"/>
      <c r="S840" s="350"/>
      <c r="T840" s="350"/>
      <c r="U840" s="351"/>
    </row>
    <row r="841" spans="1:21" ht="34.5" customHeight="1">
      <c r="A841" s="24">
        <f t="shared" si="3"/>
        <v>827</v>
      </c>
      <c r="B841" s="488" t="s">
        <v>294</v>
      </c>
      <c r="C841" s="351"/>
      <c r="D841" s="489" t="s">
        <v>294</v>
      </c>
      <c r="E841" s="351"/>
      <c r="F841" s="485" t="s">
        <v>325</v>
      </c>
      <c r="G841" s="351"/>
      <c r="H841" s="487"/>
      <c r="I841" s="350"/>
      <c r="J841" s="351"/>
      <c r="K841" s="485" t="s">
        <v>325</v>
      </c>
      <c r="L841" s="350"/>
      <c r="M841" s="351"/>
      <c r="N841" s="490" t="s">
        <v>294</v>
      </c>
      <c r="O841" s="350"/>
      <c r="P841" s="350"/>
      <c r="Q841" s="350"/>
      <c r="R841" s="350"/>
      <c r="S841" s="350"/>
      <c r="T841" s="350"/>
      <c r="U841" s="351"/>
    </row>
    <row r="842" spans="1:21" ht="34.5" customHeight="1">
      <c r="A842" s="24">
        <f t="shared" si="3"/>
        <v>828</v>
      </c>
      <c r="B842" s="483" t="s">
        <v>294</v>
      </c>
      <c r="C842" s="351"/>
      <c r="D842" s="484" t="s">
        <v>294</v>
      </c>
      <c r="E842" s="351"/>
      <c r="F842" s="485" t="s">
        <v>325</v>
      </c>
      <c r="G842" s="351"/>
      <c r="H842" s="486"/>
      <c r="I842" s="350"/>
      <c r="J842" s="351"/>
      <c r="K842" s="485" t="s">
        <v>325</v>
      </c>
      <c r="L842" s="350"/>
      <c r="M842" s="351"/>
      <c r="N842" s="491" t="s">
        <v>294</v>
      </c>
      <c r="O842" s="350"/>
      <c r="P842" s="350"/>
      <c r="Q842" s="350"/>
      <c r="R842" s="350"/>
      <c r="S842" s="350"/>
      <c r="T842" s="350"/>
      <c r="U842" s="351"/>
    </row>
    <row r="843" spans="1:21" ht="34.5" customHeight="1">
      <c r="A843" s="24">
        <f t="shared" si="3"/>
        <v>829</v>
      </c>
      <c r="B843" s="488" t="s">
        <v>294</v>
      </c>
      <c r="C843" s="351"/>
      <c r="D843" s="489" t="s">
        <v>294</v>
      </c>
      <c r="E843" s="351"/>
      <c r="F843" s="485" t="s">
        <v>325</v>
      </c>
      <c r="G843" s="351"/>
      <c r="H843" s="487"/>
      <c r="I843" s="350"/>
      <c r="J843" s="351"/>
      <c r="K843" s="485" t="s">
        <v>325</v>
      </c>
      <c r="L843" s="350"/>
      <c r="M843" s="351"/>
      <c r="N843" s="490" t="s">
        <v>294</v>
      </c>
      <c r="O843" s="350"/>
      <c r="P843" s="350"/>
      <c r="Q843" s="350"/>
      <c r="R843" s="350"/>
      <c r="S843" s="350"/>
      <c r="T843" s="350"/>
      <c r="U843" s="351"/>
    </row>
    <row r="844" spans="1:21" ht="34.5" customHeight="1">
      <c r="A844" s="24">
        <f t="shared" si="3"/>
        <v>830</v>
      </c>
      <c r="B844" s="483" t="s">
        <v>294</v>
      </c>
      <c r="C844" s="351"/>
      <c r="D844" s="484" t="s">
        <v>294</v>
      </c>
      <c r="E844" s="351"/>
      <c r="F844" s="485" t="s">
        <v>325</v>
      </c>
      <c r="G844" s="351"/>
      <c r="H844" s="486"/>
      <c r="I844" s="350"/>
      <c r="J844" s="351"/>
      <c r="K844" s="485" t="s">
        <v>325</v>
      </c>
      <c r="L844" s="350"/>
      <c r="M844" s="351"/>
      <c r="N844" s="491" t="s">
        <v>294</v>
      </c>
      <c r="O844" s="350"/>
      <c r="P844" s="350"/>
      <c r="Q844" s="350"/>
      <c r="R844" s="350"/>
      <c r="S844" s="350"/>
      <c r="T844" s="350"/>
      <c r="U844" s="351"/>
    </row>
    <row r="845" spans="1:21" ht="34.5" customHeight="1">
      <c r="A845" s="24">
        <f t="shared" si="3"/>
        <v>831</v>
      </c>
      <c r="B845" s="488" t="s">
        <v>294</v>
      </c>
      <c r="C845" s="351"/>
      <c r="D845" s="489" t="s">
        <v>294</v>
      </c>
      <c r="E845" s="351"/>
      <c r="F845" s="485" t="s">
        <v>325</v>
      </c>
      <c r="G845" s="351"/>
      <c r="H845" s="487"/>
      <c r="I845" s="350"/>
      <c r="J845" s="351"/>
      <c r="K845" s="485" t="s">
        <v>325</v>
      </c>
      <c r="L845" s="350"/>
      <c r="M845" s="351"/>
      <c r="N845" s="490" t="s">
        <v>294</v>
      </c>
      <c r="O845" s="350"/>
      <c r="P845" s="350"/>
      <c r="Q845" s="350"/>
      <c r="R845" s="350"/>
      <c r="S845" s="350"/>
      <c r="T845" s="350"/>
      <c r="U845" s="351"/>
    </row>
    <row r="846" spans="1:21" ht="34.5" customHeight="1">
      <c r="A846" s="24">
        <f t="shared" si="3"/>
        <v>832</v>
      </c>
      <c r="B846" s="483" t="s">
        <v>294</v>
      </c>
      <c r="C846" s="351"/>
      <c r="D846" s="484" t="s">
        <v>294</v>
      </c>
      <c r="E846" s="351"/>
      <c r="F846" s="485" t="s">
        <v>325</v>
      </c>
      <c r="G846" s="351"/>
      <c r="H846" s="486"/>
      <c r="I846" s="350"/>
      <c r="J846" s="351"/>
      <c r="K846" s="485" t="s">
        <v>325</v>
      </c>
      <c r="L846" s="350"/>
      <c r="M846" s="351"/>
      <c r="N846" s="491" t="s">
        <v>294</v>
      </c>
      <c r="O846" s="350"/>
      <c r="P846" s="350"/>
      <c r="Q846" s="350"/>
      <c r="R846" s="350"/>
      <c r="S846" s="350"/>
      <c r="T846" s="350"/>
      <c r="U846" s="351"/>
    </row>
    <row r="847" spans="1:21" ht="34.5" customHeight="1">
      <c r="A847" s="24">
        <f t="shared" si="3"/>
        <v>833</v>
      </c>
      <c r="B847" s="488" t="s">
        <v>294</v>
      </c>
      <c r="C847" s="351"/>
      <c r="D847" s="489" t="s">
        <v>294</v>
      </c>
      <c r="E847" s="351"/>
      <c r="F847" s="485" t="s">
        <v>325</v>
      </c>
      <c r="G847" s="351"/>
      <c r="H847" s="487"/>
      <c r="I847" s="350"/>
      <c r="J847" s="351"/>
      <c r="K847" s="485" t="s">
        <v>325</v>
      </c>
      <c r="L847" s="350"/>
      <c r="M847" s="351"/>
      <c r="N847" s="490" t="s">
        <v>294</v>
      </c>
      <c r="O847" s="350"/>
      <c r="P847" s="350"/>
      <c r="Q847" s="350"/>
      <c r="R847" s="350"/>
      <c r="S847" s="350"/>
      <c r="T847" s="350"/>
      <c r="U847" s="351"/>
    </row>
    <row r="848" spans="1:21" ht="34.5" customHeight="1">
      <c r="A848" s="24">
        <f t="shared" si="3"/>
        <v>834</v>
      </c>
      <c r="B848" s="483" t="s">
        <v>294</v>
      </c>
      <c r="C848" s="351"/>
      <c r="D848" s="484" t="s">
        <v>294</v>
      </c>
      <c r="E848" s="351"/>
      <c r="F848" s="485" t="s">
        <v>325</v>
      </c>
      <c r="G848" s="351"/>
      <c r="H848" s="486"/>
      <c r="I848" s="350"/>
      <c r="J848" s="351"/>
      <c r="K848" s="485" t="s">
        <v>325</v>
      </c>
      <c r="L848" s="350"/>
      <c r="M848" s="351"/>
      <c r="N848" s="491" t="s">
        <v>294</v>
      </c>
      <c r="O848" s="350"/>
      <c r="P848" s="350"/>
      <c r="Q848" s="350"/>
      <c r="R848" s="350"/>
      <c r="S848" s="350"/>
      <c r="T848" s="350"/>
      <c r="U848" s="351"/>
    </row>
    <row r="849" spans="1:21" ht="34.5" customHeight="1">
      <c r="A849" s="24">
        <f t="shared" si="3"/>
        <v>835</v>
      </c>
      <c r="B849" s="488" t="s">
        <v>294</v>
      </c>
      <c r="C849" s="351"/>
      <c r="D849" s="489" t="s">
        <v>294</v>
      </c>
      <c r="E849" s="351"/>
      <c r="F849" s="485" t="s">
        <v>325</v>
      </c>
      <c r="G849" s="351"/>
      <c r="H849" s="487"/>
      <c r="I849" s="350"/>
      <c r="J849" s="351"/>
      <c r="K849" s="485" t="s">
        <v>325</v>
      </c>
      <c r="L849" s="350"/>
      <c r="M849" s="351"/>
      <c r="N849" s="490" t="s">
        <v>294</v>
      </c>
      <c r="O849" s="350"/>
      <c r="P849" s="350"/>
      <c r="Q849" s="350"/>
      <c r="R849" s="350"/>
      <c r="S849" s="350"/>
      <c r="T849" s="350"/>
      <c r="U849" s="351"/>
    </row>
    <row r="850" spans="1:21" ht="34.5" customHeight="1">
      <c r="A850" s="24">
        <f t="shared" si="3"/>
        <v>836</v>
      </c>
      <c r="B850" s="483" t="s">
        <v>294</v>
      </c>
      <c r="C850" s="351"/>
      <c r="D850" s="484" t="s">
        <v>294</v>
      </c>
      <c r="E850" s="351"/>
      <c r="F850" s="485" t="s">
        <v>325</v>
      </c>
      <c r="G850" s="351"/>
      <c r="H850" s="486"/>
      <c r="I850" s="350"/>
      <c r="J850" s="351"/>
      <c r="K850" s="485" t="s">
        <v>325</v>
      </c>
      <c r="L850" s="350"/>
      <c r="M850" s="351"/>
      <c r="N850" s="491" t="s">
        <v>294</v>
      </c>
      <c r="O850" s="350"/>
      <c r="P850" s="350"/>
      <c r="Q850" s="350"/>
      <c r="R850" s="350"/>
      <c r="S850" s="350"/>
      <c r="T850" s="350"/>
      <c r="U850" s="351"/>
    </row>
    <row r="851" spans="1:21" ht="34.5" customHeight="1">
      <c r="A851" s="24">
        <f t="shared" si="3"/>
        <v>837</v>
      </c>
      <c r="B851" s="488" t="s">
        <v>294</v>
      </c>
      <c r="C851" s="351"/>
      <c r="D851" s="489" t="s">
        <v>294</v>
      </c>
      <c r="E851" s="351"/>
      <c r="F851" s="485" t="s">
        <v>325</v>
      </c>
      <c r="G851" s="351"/>
      <c r="H851" s="487"/>
      <c r="I851" s="350"/>
      <c r="J851" s="351"/>
      <c r="K851" s="485" t="s">
        <v>325</v>
      </c>
      <c r="L851" s="350"/>
      <c r="M851" s="351"/>
      <c r="N851" s="490" t="s">
        <v>294</v>
      </c>
      <c r="O851" s="350"/>
      <c r="P851" s="350"/>
      <c r="Q851" s="350"/>
      <c r="R851" s="350"/>
      <c r="S851" s="350"/>
      <c r="T851" s="350"/>
      <c r="U851" s="351"/>
    </row>
    <row r="852" spans="1:21" ht="34.5" customHeight="1">
      <c r="A852" s="24">
        <f t="shared" si="3"/>
        <v>838</v>
      </c>
      <c r="B852" s="483" t="s">
        <v>294</v>
      </c>
      <c r="C852" s="351"/>
      <c r="D852" s="484" t="s">
        <v>294</v>
      </c>
      <c r="E852" s="351"/>
      <c r="F852" s="485" t="s">
        <v>325</v>
      </c>
      <c r="G852" s="351"/>
      <c r="H852" s="486"/>
      <c r="I852" s="350"/>
      <c r="J852" s="351"/>
      <c r="K852" s="485" t="s">
        <v>325</v>
      </c>
      <c r="L852" s="350"/>
      <c r="M852" s="351"/>
      <c r="N852" s="491" t="s">
        <v>294</v>
      </c>
      <c r="O852" s="350"/>
      <c r="P852" s="350"/>
      <c r="Q852" s="350"/>
      <c r="R852" s="350"/>
      <c r="S852" s="350"/>
      <c r="T852" s="350"/>
      <c r="U852" s="351"/>
    </row>
    <row r="853" spans="1:21" ht="34.5" customHeight="1">
      <c r="A853" s="24">
        <f t="shared" si="3"/>
        <v>839</v>
      </c>
      <c r="B853" s="488" t="s">
        <v>294</v>
      </c>
      <c r="C853" s="351"/>
      <c r="D853" s="489" t="s">
        <v>294</v>
      </c>
      <c r="E853" s="351"/>
      <c r="F853" s="485" t="s">
        <v>325</v>
      </c>
      <c r="G853" s="351"/>
      <c r="H853" s="487"/>
      <c r="I853" s="350"/>
      <c r="J853" s="351"/>
      <c r="K853" s="485" t="s">
        <v>325</v>
      </c>
      <c r="L853" s="350"/>
      <c r="M853" s="351"/>
      <c r="N853" s="490" t="s">
        <v>294</v>
      </c>
      <c r="O853" s="350"/>
      <c r="P853" s="350"/>
      <c r="Q853" s="350"/>
      <c r="R853" s="350"/>
      <c r="S853" s="350"/>
      <c r="T853" s="350"/>
      <c r="U853" s="351"/>
    </row>
    <row r="854" spans="1:21" ht="34.5" customHeight="1">
      <c r="A854" s="24">
        <f t="shared" si="3"/>
        <v>840</v>
      </c>
      <c r="B854" s="483" t="s">
        <v>294</v>
      </c>
      <c r="C854" s="351"/>
      <c r="D854" s="484" t="s">
        <v>294</v>
      </c>
      <c r="E854" s="351"/>
      <c r="F854" s="485" t="s">
        <v>325</v>
      </c>
      <c r="G854" s="351"/>
      <c r="H854" s="486"/>
      <c r="I854" s="350"/>
      <c r="J854" s="351"/>
      <c r="K854" s="485" t="s">
        <v>325</v>
      </c>
      <c r="L854" s="350"/>
      <c r="M854" s="351"/>
      <c r="N854" s="491" t="s">
        <v>294</v>
      </c>
      <c r="O854" s="350"/>
      <c r="P854" s="350"/>
      <c r="Q854" s="350"/>
      <c r="R854" s="350"/>
      <c r="S854" s="350"/>
      <c r="T854" s="350"/>
      <c r="U854" s="351"/>
    </row>
    <row r="855" spans="1:21" ht="34.5" customHeight="1">
      <c r="A855" s="24">
        <f t="shared" si="3"/>
        <v>841</v>
      </c>
      <c r="B855" s="488" t="s">
        <v>294</v>
      </c>
      <c r="C855" s="351"/>
      <c r="D855" s="489" t="s">
        <v>294</v>
      </c>
      <c r="E855" s="351"/>
      <c r="F855" s="485" t="s">
        <v>325</v>
      </c>
      <c r="G855" s="351"/>
      <c r="H855" s="487"/>
      <c r="I855" s="350"/>
      <c r="J855" s="351"/>
      <c r="K855" s="485" t="s">
        <v>325</v>
      </c>
      <c r="L855" s="350"/>
      <c r="M855" s="351"/>
      <c r="N855" s="490" t="s">
        <v>294</v>
      </c>
      <c r="O855" s="350"/>
      <c r="P855" s="350"/>
      <c r="Q855" s="350"/>
      <c r="R855" s="350"/>
      <c r="S855" s="350"/>
      <c r="T855" s="350"/>
      <c r="U855" s="351"/>
    </row>
    <row r="856" spans="1:21" ht="34.5" customHeight="1">
      <c r="A856" s="24">
        <f t="shared" si="3"/>
        <v>842</v>
      </c>
      <c r="B856" s="483" t="s">
        <v>294</v>
      </c>
      <c r="C856" s="351"/>
      <c r="D856" s="484" t="s">
        <v>294</v>
      </c>
      <c r="E856" s="351"/>
      <c r="F856" s="485" t="s">
        <v>325</v>
      </c>
      <c r="G856" s="351"/>
      <c r="H856" s="486"/>
      <c r="I856" s="350"/>
      <c r="J856" s="351"/>
      <c r="K856" s="485" t="s">
        <v>325</v>
      </c>
      <c r="L856" s="350"/>
      <c r="M856" s="351"/>
      <c r="N856" s="491" t="s">
        <v>294</v>
      </c>
      <c r="O856" s="350"/>
      <c r="P856" s="350"/>
      <c r="Q856" s="350"/>
      <c r="R856" s="350"/>
      <c r="S856" s="350"/>
      <c r="T856" s="350"/>
      <c r="U856" s="351"/>
    </row>
    <row r="857" spans="1:21" ht="34.5" customHeight="1">
      <c r="A857" s="24">
        <f t="shared" si="3"/>
        <v>843</v>
      </c>
      <c r="B857" s="488" t="s">
        <v>294</v>
      </c>
      <c r="C857" s="351"/>
      <c r="D857" s="489" t="s">
        <v>294</v>
      </c>
      <c r="E857" s="351"/>
      <c r="F857" s="485" t="s">
        <v>325</v>
      </c>
      <c r="G857" s="351"/>
      <c r="H857" s="487"/>
      <c r="I857" s="350"/>
      <c r="J857" s="351"/>
      <c r="K857" s="485" t="s">
        <v>325</v>
      </c>
      <c r="L857" s="350"/>
      <c r="M857" s="351"/>
      <c r="N857" s="490" t="s">
        <v>294</v>
      </c>
      <c r="O857" s="350"/>
      <c r="P857" s="350"/>
      <c r="Q857" s="350"/>
      <c r="R857" s="350"/>
      <c r="S857" s="350"/>
      <c r="T857" s="350"/>
      <c r="U857" s="351"/>
    </row>
    <row r="858" spans="1:21" ht="34.5" customHeight="1">
      <c r="A858" s="24">
        <f t="shared" si="3"/>
        <v>844</v>
      </c>
      <c r="B858" s="483" t="s">
        <v>294</v>
      </c>
      <c r="C858" s="351"/>
      <c r="D858" s="484" t="s">
        <v>294</v>
      </c>
      <c r="E858" s="351"/>
      <c r="F858" s="485" t="s">
        <v>325</v>
      </c>
      <c r="G858" s="351"/>
      <c r="H858" s="486"/>
      <c r="I858" s="350"/>
      <c r="J858" s="351"/>
      <c r="K858" s="485" t="s">
        <v>325</v>
      </c>
      <c r="L858" s="350"/>
      <c r="M858" s="351"/>
      <c r="N858" s="491" t="s">
        <v>294</v>
      </c>
      <c r="O858" s="350"/>
      <c r="P858" s="350"/>
      <c r="Q858" s="350"/>
      <c r="R858" s="350"/>
      <c r="S858" s="350"/>
      <c r="T858" s="350"/>
      <c r="U858" s="351"/>
    </row>
    <row r="859" spans="1:21" ht="34.5" customHeight="1">
      <c r="A859" s="24">
        <f t="shared" si="3"/>
        <v>845</v>
      </c>
      <c r="B859" s="488" t="s">
        <v>294</v>
      </c>
      <c r="C859" s="351"/>
      <c r="D859" s="489" t="s">
        <v>294</v>
      </c>
      <c r="E859" s="351"/>
      <c r="F859" s="485" t="s">
        <v>325</v>
      </c>
      <c r="G859" s="351"/>
      <c r="H859" s="487"/>
      <c r="I859" s="350"/>
      <c r="J859" s="351"/>
      <c r="K859" s="485" t="s">
        <v>325</v>
      </c>
      <c r="L859" s="350"/>
      <c r="M859" s="351"/>
      <c r="N859" s="490" t="s">
        <v>294</v>
      </c>
      <c r="O859" s="350"/>
      <c r="P859" s="350"/>
      <c r="Q859" s="350"/>
      <c r="R859" s="350"/>
      <c r="S859" s="350"/>
      <c r="T859" s="350"/>
      <c r="U859" s="351"/>
    </row>
    <row r="860" spans="1:21" ht="34.5" customHeight="1">
      <c r="A860" s="24">
        <f t="shared" si="3"/>
        <v>846</v>
      </c>
      <c r="B860" s="483" t="s">
        <v>294</v>
      </c>
      <c r="C860" s="351"/>
      <c r="D860" s="484" t="s">
        <v>294</v>
      </c>
      <c r="E860" s="351"/>
      <c r="F860" s="485" t="s">
        <v>325</v>
      </c>
      <c r="G860" s="351"/>
      <c r="H860" s="486"/>
      <c r="I860" s="350"/>
      <c r="J860" s="351"/>
      <c r="K860" s="485" t="s">
        <v>325</v>
      </c>
      <c r="L860" s="350"/>
      <c r="M860" s="351"/>
      <c r="N860" s="491" t="s">
        <v>294</v>
      </c>
      <c r="O860" s="350"/>
      <c r="P860" s="350"/>
      <c r="Q860" s="350"/>
      <c r="R860" s="350"/>
      <c r="S860" s="350"/>
      <c r="T860" s="350"/>
      <c r="U860" s="351"/>
    </row>
    <row r="861" spans="1:21" ht="34.5" customHeight="1">
      <c r="A861" s="24">
        <f t="shared" si="3"/>
        <v>847</v>
      </c>
      <c r="B861" s="488" t="s">
        <v>294</v>
      </c>
      <c r="C861" s="351"/>
      <c r="D861" s="489" t="s">
        <v>294</v>
      </c>
      <c r="E861" s="351"/>
      <c r="F861" s="485" t="s">
        <v>325</v>
      </c>
      <c r="G861" s="351"/>
      <c r="H861" s="487"/>
      <c r="I861" s="350"/>
      <c r="J861" s="351"/>
      <c r="K861" s="485" t="s">
        <v>325</v>
      </c>
      <c r="L861" s="350"/>
      <c r="M861" s="351"/>
      <c r="N861" s="490" t="s">
        <v>294</v>
      </c>
      <c r="O861" s="350"/>
      <c r="P861" s="350"/>
      <c r="Q861" s="350"/>
      <c r="R861" s="350"/>
      <c r="S861" s="350"/>
      <c r="T861" s="350"/>
      <c r="U861" s="351"/>
    </row>
    <row r="862" spans="1:21" ht="34.5" customHeight="1">
      <c r="A862" s="24">
        <f t="shared" si="3"/>
        <v>848</v>
      </c>
      <c r="B862" s="483" t="s">
        <v>294</v>
      </c>
      <c r="C862" s="351"/>
      <c r="D862" s="484" t="s">
        <v>294</v>
      </c>
      <c r="E862" s="351"/>
      <c r="F862" s="485" t="s">
        <v>325</v>
      </c>
      <c r="G862" s="351"/>
      <c r="H862" s="486"/>
      <c r="I862" s="350"/>
      <c r="J862" s="351"/>
      <c r="K862" s="485" t="s">
        <v>325</v>
      </c>
      <c r="L862" s="350"/>
      <c r="M862" s="351"/>
      <c r="N862" s="491" t="s">
        <v>294</v>
      </c>
      <c r="O862" s="350"/>
      <c r="P862" s="350"/>
      <c r="Q862" s="350"/>
      <c r="R862" s="350"/>
      <c r="S862" s="350"/>
      <c r="T862" s="350"/>
      <c r="U862" s="351"/>
    </row>
    <row r="863" spans="1:21" ht="34.5" customHeight="1">
      <c r="A863" s="24">
        <f t="shared" si="3"/>
        <v>849</v>
      </c>
      <c r="B863" s="488" t="s">
        <v>326</v>
      </c>
      <c r="C863" s="351"/>
      <c r="D863" s="489" t="s">
        <v>294</v>
      </c>
      <c r="E863" s="351"/>
      <c r="F863" s="485" t="s">
        <v>325</v>
      </c>
      <c r="G863" s="351"/>
      <c r="H863" s="487"/>
      <c r="I863" s="350"/>
      <c r="J863" s="351"/>
      <c r="K863" s="485" t="s">
        <v>325</v>
      </c>
      <c r="L863" s="350"/>
      <c r="M863" s="351"/>
      <c r="N863" s="490" t="s">
        <v>294</v>
      </c>
      <c r="O863" s="350"/>
      <c r="P863" s="350"/>
      <c r="Q863" s="350"/>
      <c r="R863" s="350"/>
      <c r="S863" s="350"/>
      <c r="T863" s="350"/>
      <c r="U863" s="351"/>
    </row>
    <row r="864" spans="1:21" ht="34.5" customHeight="1">
      <c r="A864" s="24">
        <f t="shared" si="3"/>
        <v>850</v>
      </c>
      <c r="B864" s="483" t="s">
        <v>294</v>
      </c>
      <c r="C864" s="351"/>
      <c r="D864" s="484" t="s">
        <v>294</v>
      </c>
      <c r="E864" s="351"/>
      <c r="F864" s="485" t="s">
        <v>325</v>
      </c>
      <c r="G864" s="351"/>
      <c r="H864" s="486"/>
      <c r="I864" s="350"/>
      <c r="J864" s="351"/>
      <c r="K864" s="485" t="s">
        <v>325</v>
      </c>
      <c r="L864" s="350"/>
      <c r="M864" s="351"/>
      <c r="N864" s="491" t="s">
        <v>294</v>
      </c>
      <c r="O864" s="350"/>
      <c r="P864" s="350"/>
      <c r="Q864" s="350"/>
      <c r="R864" s="350"/>
      <c r="S864" s="350"/>
      <c r="T864" s="350"/>
      <c r="U864" s="351"/>
    </row>
    <row r="865" spans="1:21" ht="34.5" customHeight="1">
      <c r="A865" s="24">
        <f t="shared" si="3"/>
        <v>851</v>
      </c>
      <c r="B865" s="488" t="s">
        <v>294</v>
      </c>
      <c r="C865" s="351"/>
      <c r="D865" s="489" t="s">
        <v>294</v>
      </c>
      <c r="E865" s="351"/>
      <c r="F865" s="485" t="s">
        <v>325</v>
      </c>
      <c r="G865" s="351"/>
      <c r="H865" s="487"/>
      <c r="I865" s="350"/>
      <c r="J865" s="351"/>
      <c r="K865" s="485" t="s">
        <v>325</v>
      </c>
      <c r="L865" s="350"/>
      <c r="M865" s="351"/>
      <c r="N865" s="490" t="s">
        <v>294</v>
      </c>
      <c r="O865" s="350"/>
      <c r="P865" s="350"/>
      <c r="Q865" s="350"/>
      <c r="R865" s="350"/>
      <c r="S865" s="350"/>
      <c r="T865" s="350"/>
      <c r="U865" s="351"/>
    </row>
    <row r="866" spans="1:21" ht="34.5" customHeight="1">
      <c r="A866" s="24">
        <f t="shared" si="3"/>
        <v>852</v>
      </c>
      <c r="B866" s="483" t="s">
        <v>294</v>
      </c>
      <c r="C866" s="351"/>
      <c r="D866" s="484" t="s">
        <v>294</v>
      </c>
      <c r="E866" s="351"/>
      <c r="F866" s="485" t="s">
        <v>325</v>
      </c>
      <c r="G866" s="351"/>
      <c r="H866" s="486"/>
      <c r="I866" s="350"/>
      <c r="J866" s="351"/>
      <c r="K866" s="485" t="s">
        <v>325</v>
      </c>
      <c r="L866" s="350"/>
      <c r="M866" s="351"/>
      <c r="N866" s="491" t="s">
        <v>294</v>
      </c>
      <c r="O866" s="350"/>
      <c r="P866" s="350"/>
      <c r="Q866" s="350"/>
      <c r="R866" s="350"/>
      <c r="S866" s="350"/>
      <c r="T866" s="350"/>
      <c r="U866" s="351"/>
    </row>
    <row r="867" spans="1:21" ht="34.5" customHeight="1">
      <c r="A867" s="24">
        <f t="shared" si="3"/>
        <v>853</v>
      </c>
      <c r="B867" s="488" t="s">
        <v>294</v>
      </c>
      <c r="C867" s="351"/>
      <c r="D867" s="489" t="s">
        <v>294</v>
      </c>
      <c r="E867" s="351"/>
      <c r="F867" s="485" t="s">
        <v>325</v>
      </c>
      <c r="G867" s="351"/>
      <c r="H867" s="487"/>
      <c r="I867" s="350"/>
      <c r="J867" s="351"/>
      <c r="K867" s="485" t="s">
        <v>325</v>
      </c>
      <c r="L867" s="350"/>
      <c r="M867" s="351"/>
      <c r="N867" s="490" t="s">
        <v>294</v>
      </c>
      <c r="O867" s="350"/>
      <c r="P867" s="350"/>
      <c r="Q867" s="350"/>
      <c r="R867" s="350"/>
      <c r="S867" s="350"/>
      <c r="T867" s="350"/>
      <c r="U867" s="351"/>
    </row>
    <row r="868" spans="1:21" ht="34.5" customHeight="1">
      <c r="A868" s="24">
        <f t="shared" si="3"/>
        <v>854</v>
      </c>
      <c r="B868" s="483" t="s">
        <v>294</v>
      </c>
      <c r="C868" s="351"/>
      <c r="D868" s="484" t="s">
        <v>294</v>
      </c>
      <c r="E868" s="351"/>
      <c r="F868" s="485" t="s">
        <v>325</v>
      </c>
      <c r="G868" s="351"/>
      <c r="H868" s="486"/>
      <c r="I868" s="350"/>
      <c r="J868" s="351"/>
      <c r="K868" s="485" t="s">
        <v>325</v>
      </c>
      <c r="L868" s="350"/>
      <c r="M868" s="351"/>
      <c r="N868" s="491" t="s">
        <v>294</v>
      </c>
      <c r="O868" s="350"/>
      <c r="P868" s="350"/>
      <c r="Q868" s="350"/>
      <c r="R868" s="350"/>
      <c r="S868" s="350"/>
      <c r="T868" s="350"/>
      <c r="U868" s="351"/>
    </row>
    <row r="869" spans="1:21" ht="34.5" customHeight="1">
      <c r="A869" s="24">
        <f t="shared" si="3"/>
        <v>855</v>
      </c>
      <c r="B869" s="488" t="s">
        <v>327</v>
      </c>
      <c r="C869" s="351"/>
      <c r="D869" s="489" t="s">
        <v>294</v>
      </c>
      <c r="E869" s="351"/>
      <c r="F869" s="485" t="s">
        <v>325</v>
      </c>
      <c r="G869" s="351"/>
      <c r="H869" s="487"/>
      <c r="I869" s="350"/>
      <c r="J869" s="351"/>
      <c r="K869" s="485" t="s">
        <v>325</v>
      </c>
      <c r="L869" s="350"/>
      <c r="M869" s="351"/>
      <c r="N869" s="490" t="s">
        <v>294</v>
      </c>
      <c r="O869" s="350"/>
      <c r="P869" s="350"/>
      <c r="Q869" s="350"/>
      <c r="R869" s="350"/>
      <c r="S869" s="350"/>
      <c r="T869" s="350"/>
      <c r="U869" s="351"/>
    </row>
    <row r="870" spans="1:21" ht="34.5" customHeight="1">
      <c r="A870" s="24">
        <f t="shared" si="3"/>
        <v>856</v>
      </c>
      <c r="B870" s="483" t="s">
        <v>294</v>
      </c>
      <c r="C870" s="351"/>
      <c r="D870" s="484" t="s">
        <v>294</v>
      </c>
      <c r="E870" s="351"/>
      <c r="F870" s="485" t="s">
        <v>325</v>
      </c>
      <c r="G870" s="351"/>
      <c r="H870" s="486"/>
      <c r="I870" s="350"/>
      <c r="J870" s="351"/>
      <c r="K870" s="485" t="s">
        <v>325</v>
      </c>
      <c r="L870" s="350"/>
      <c r="M870" s="351"/>
      <c r="N870" s="491" t="s">
        <v>294</v>
      </c>
      <c r="O870" s="350"/>
      <c r="P870" s="350"/>
      <c r="Q870" s="350"/>
      <c r="R870" s="350"/>
      <c r="S870" s="350"/>
      <c r="T870" s="350"/>
      <c r="U870" s="351"/>
    </row>
    <row r="871" spans="1:21" ht="34.5" customHeight="1">
      <c r="A871" s="24">
        <f t="shared" si="3"/>
        <v>857</v>
      </c>
      <c r="B871" s="488" t="s">
        <v>294</v>
      </c>
      <c r="C871" s="351"/>
      <c r="D871" s="489" t="s">
        <v>294</v>
      </c>
      <c r="E871" s="351"/>
      <c r="F871" s="485" t="s">
        <v>325</v>
      </c>
      <c r="G871" s="351"/>
      <c r="H871" s="487"/>
      <c r="I871" s="350"/>
      <c r="J871" s="351"/>
      <c r="K871" s="485" t="s">
        <v>325</v>
      </c>
      <c r="L871" s="350"/>
      <c r="M871" s="351"/>
      <c r="N871" s="490" t="s">
        <v>294</v>
      </c>
      <c r="O871" s="350"/>
      <c r="P871" s="350"/>
      <c r="Q871" s="350"/>
      <c r="R871" s="350"/>
      <c r="S871" s="350"/>
      <c r="T871" s="350"/>
      <c r="U871" s="351"/>
    </row>
    <row r="872" spans="1:21" ht="34.5" customHeight="1">
      <c r="A872" s="24">
        <f t="shared" si="3"/>
        <v>858</v>
      </c>
      <c r="B872" s="483" t="s">
        <v>294</v>
      </c>
      <c r="C872" s="351"/>
      <c r="D872" s="484" t="s">
        <v>294</v>
      </c>
      <c r="E872" s="351"/>
      <c r="F872" s="485" t="s">
        <v>325</v>
      </c>
      <c r="G872" s="351"/>
      <c r="H872" s="486"/>
      <c r="I872" s="350"/>
      <c r="J872" s="351"/>
      <c r="K872" s="485" t="s">
        <v>325</v>
      </c>
      <c r="L872" s="350"/>
      <c r="M872" s="351"/>
      <c r="N872" s="491" t="s">
        <v>294</v>
      </c>
      <c r="O872" s="350"/>
      <c r="P872" s="350"/>
      <c r="Q872" s="350"/>
      <c r="R872" s="350"/>
      <c r="S872" s="350"/>
      <c r="T872" s="350"/>
      <c r="U872" s="351"/>
    </row>
    <row r="873" spans="1:21" ht="34.5" customHeight="1">
      <c r="A873" s="24">
        <f t="shared" si="3"/>
        <v>859</v>
      </c>
      <c r="B873" s="488" t="s">
        <v>294</v>
      </c>
      <c r="C873" s="351"/>
      <c r="D873" s="489" t="s">
        <v>294</v>
      </c>
      <c r="E873" s="351"/>
      <c r="F873" s="485" t="s">
        <v>325</v>
      </c>
      <c r="G873" s="351"/>
      <c r="H873" s="487"/>
      <c r="I873" s="350"/>
      <c r="J873" s="351"/>
      <c r="K873" s="485" t="s">
        <v>325</v>
      </c>
      <c r="L873" s="350"/>
      <c r="M873" s="351"/>
      <c r="N873" s="490" t="s">
        <v>294</v>
      </c>
      <c r="O873" s="350"/>
      <c r="P873" s="350"/>
      <c r="Q873" s="350"/>
      <c r="R873" s="350"/>
      <c r="S873" s="350"/>
      <c r="T873" s="350"/>
      <c r="U873" s="351"/>
    </row>
    <row r="874" spans="1:21" ht="34.5" customHeight="1">
      <c r="A874" s="24">
        <f t="shared" si="3"/>
        <v>860</v>
      </c>
      <c r="B874" s="483" t="s">
        <v>294</v>
      </c>
      <c r="C874" s="351"/>
      <c r="D874" s="484" t="s">
        <v>294</v>
      </c>
      <c r="E874" s="351"/>
      <c r="F874" s="485" t="s">
        <v>325</v>
      </c>
      <c r="G874" s="351"/>
      <c r="H874" s="486"/>
      <c r="I874" s="350"/>
      <c r="J874" s="351"/>
      <c r="K874" s="485" t="s">
        <v>325</v>
      </c>
      <c r="L874" s="350"/>
      <c r="M874" s="351"/>
      <c r="N874" s="491" t="s">
        <v>294</v>
      </c>
      <c r="O874" s="350"/>
      <c r="P874" s="350"/>
      <c r="Q874" s="350"/>
      <c r="R874" s="350"/>
      <c r="S874" s="350"/>
      <c r="T874" s="350"/>
      <c r="U874" s="351"/>
    </row>
    <row r="875" spans="1:21" ht="34.5" customHeight="1">
      <c r="A875" s="24">
        <f t="shared" si="3"/>
        <v>861</v>
      </c>
      <c r="B875" s="488" t="s">
        <v>294</v>
      </c>
      <c r="C875" s="351"/>
      <c r="D875" s="489" t="s">
        <v>294</v>
      </c>
      <c r="E875" s="351"/>
      <c r="F875" s="485" t="s">
        <v>325</v>
      </c>
      <c r="G875" s="351"/>
      <c r="H875" s="487"/>
      <c r="I875" s="350"/>
      <c r="J875" s="351"/>
      <c r="K875" s="485" t="s">
        <v>325</v>
      </c>
      <c r="L875" s="350"/>
      <c r="M875" s="351"/>
      <c r="N875" s="490" t="s">
        <v>294</v>
      </c>
      <c r="O875" s="350"/>
      <c r="P875" s="350"/>
      <c r="Q875" s="350"/>
      <c r="R875" s="350"/>
      <c r="S875" s="350"/>
      <c r="T875" s="350"/>
      <c r="U875" s="351"/>
    </row>
    <row r="876" spans="1:21" ht="34.5" customHeight="1">
      <c r="A876" s="24">
        <f t="shared" si="3"/>
        <v>862</v>
      </c>
      <c r="B876" s="483" t="s">
        <v>294</v>
      </c>
      <c r="C876" s="351"/>
      <c r="D876" s="484" t="s">
        <v>294</v>
      </c>
      <c r="E876" s="351"/>
      <c r="F876" s="485" t="s">
        <v>325</v>
      </c>
      <c r="G876" s="351"/>
      <c r="H876" s="486"/>
      <c r="I876" s="350"/>
      <c r="J876" s="351"/>
      <c r="K876" s="485" t="s">
        <v>325</v>
      </c>
      <c r="L876" s="350"/>
      <c r="M876" s="351"/>
      <c r="N876" s="491" t="s">
        <v>294</v>
      </c>
      <c r="O876" s="350"/>
      <c r="P876" s="350"/>
      <c r="Q876" s="350"/>
      <c r="R876" s="350"/>
      <c r="S876" s="350"/>
      <c r="T876" s="350"/>
      <c r="U876" s="351"/>
    </row>
    <row r="877" spans="1:21" ht="34.5" customHeight="1">
      <c r="A877" s="24">
        <f t="shared" si="3"/>
        <v>863</v>
      </c>
      <c r="B877" s="488" t="s">
        <v>294</v>
      </c>
      <c r="C877" s="351"/>
      <c r="D877" s="489" t="s">
        <v>294</v>
      </c>
      <c r="E877" s="351"/>
      <c r="F877" s="485" t="s">
        <v>325</v>
      </c>
      <c r="G877" s="351"/>
      <c r="H877" s="487"/>
      <c r="I877" s="350"/>
      <c r="J877" s="351"/>
      <c r="K877" s="485" t="s">
        <v>325</v>
      </c>
      <c r="L877" s="350"/>
      <c r="M877" s="351"/>
      <c r="N877" s="490" t="s">
        <v>294</v>
      </c>
      <c r="O877" s="350"/>
      <c r="P877" s="350"/>
      <c r="Q877" s="350"/>
      <c r="R877" s="350"/>
      <c r="S877" s="350"/>
      <c r="T877" s="350"/>
      <c r="U877" s="351"/>
    </row>
    <row r="878" spans="1:21" ht="34.5" customHeight="1">
      <c r="A878" s="24">
        <f t="shared" si="3"/>
        <v>864</v>
      </c>
      <c r="B878" s="483" t="s">
        <v>294</v>
      </c>
      <c r="C878" s="351"/>
      <c r="D878" s="484" t="s">
        <v>294</v>
      </c>
      <c r="E878" s="351"/>
      <c r="F878" s="485" t="s">
        <v>325</v>
      </c>
      <c r="G878" s="351"/>
      <c r="H878" s="486"/>
      <c r="I878" s="350"/>
      <c r="J878" s="351"/>
      <c r="K878" s="485" t="s">
        <v>325</v>
      </c>
      <c r="L878" s="350"/>
      <c r="M878" s="351"/>
      <c r="N878" s="491" t="s">
        <v>294</v>
      </c>
      <c r="O878" s="350"/>
      <c r="P878" s="350"/>
      <c r="Q878" s="350"/>
      <c r="R878" s="350"/>
      <c r="S878" s="350"/>
      <c r="T878" s="350"/>
      <c r="U878" s="351"/>
    </row>
    <row r="879" spans="1:21" ht="34.5" customHeight="1">
      <c r="A879" s="24">
        <f t="shared" si="3"/>
        <v>865</v>
      </c>
      <c r="B879" s="488" t="s">
        <v>294</v>
      </c>
      <c r="C879" s="351"/>
      <c r="D879" s="489" t="s">
        <v>294</v>
      </c>
      <c r="E879" s="351"/>
      <c r="F879" s="485" t="s">
        <v>325</v>
      </c>
      <c r="G879" s="351"/>
      <c r="H879" s="487"/>
      <c r="I879" s="350"/>
      <c r="J879" s="351"/>
      <c r="K879" s="485" t="s">
        <v>325</v>
      </c>
      <c r="L879" s="350"/>
      <c r="M879" s="351"/>
      <c r="N879" s="490" t="s">
        <v>294</v>
      </c>
      <c r="O879" s="350"/>
      <c r="P879" s="350"/>
      <c r="Q879" s="350"/>
      <c r="R879" s="350"/>
      <c r="S879" s="350"/>
      <c r="T879" s="350"/>
      <c r="U879" s="351"/>
    </row>
    <row r="880" spans="1:21" ht="34.5" customHeight="1">
      <c r="A880" s="24">
        <f t="shared" si="3"/>
        <v>866</v>
      </c>
      <c r="B880" s="483" t="s">
        <v>294</v>
      </c>
      <c r="C880" s="351"/>
      <c r="D880" s="484" t="s">
        <v>294</v>
      </c>
      <c r="E880" s="351"/>
      <c r="F880" s="485" t="s">
        <v>325</v>
      </c>
      <c r="G880" s="351"/>
      <c r="H880" s="486"/>
      <c r="I880" s="350"/>
      <c r="J880" s="351"/>
      <c r="K880" s="485" t="s">
        <v>325</v>
      </c>
      <c r="L880" s="350"/>
      <c r="M880" s="351"/>
      <c r="N880" s="491" t="s">
        <v>294</v>
      </c>
      <c r="O880" s="350"/>
      <c r="P880" s="350"/>
      <c r="Q880" s="350"/>
      <c r="R880" s="350"/>
      <c r="S880" s="350"/>
      <c r="T880" s="350"/>
      <c r="U880" s="351"/>
    </row>
    <row r="881" spans="1:21" ht="34.5" customHeight="1">
      <c r="A881" s="24">
        <f t="shared" si="3"/>
        <v>867</v>
      </c>
      <c r="B881" s="488" t="s">
        <v>294</v>
      </c>
      <c r="C881" s="351"/>
      <c r="D881" s="489" t="s">
        <v>294</v>
      </c>
      <c r="E881" s="351"/>
      <c r="F881" s="485" t="s">
        <v>325</v>
      </c>
      <c r="G881" s="351"/>
      <c r="H881" s="487"/>
      <c r="I881" s="350"/>
      <c r="J881" s="351"/>
      <c r="K881" s="485" t="s">
        <v>325</v>
      </c>
      <c r="L881" s="350"/>
      <c r="M881" s="351"/>
      <c r="N881" s="490" t="s">
        <v>294</v>
      </c>
      <c r="O881" s="350"/>
      <c r="P881" s="350"/>
      <c r="Q881" s="350"/>
      <c r="R881" s="350"/>
      <c r="S881" s="350"/>
      <c r="T881" s="350"/>
      <c r="U881" s="351"/>
    </row>
    <row r="882" spans="1:21" ht="34.5" customHeight="1">
      <c r="A882" s="24">
        <f t="shared" si="3"/>
        <v>868</v>
      </c>
      <c r="B882" s="483" t="s">
        <v>328</v>
      </c>
      <c r="C882" s="351"/>
      <c r="D882" s="484" t="s">
        <v>294</v>
      </c>
      <c r="E882" s="351"/>
      <c r="F882" s="485" t="s">
        <v>325</v>
      </c>
      <c r="G882" s="351"/>
      <c r="H882" s="486"/>
      <c r="I882" s="350"/>
      <c r="J882" s="351"/>
      <c r="K882" s="485" t="s">
        <v>325</v>
      </c>
      <c r="L882" s="350"/>
      <c r="M882" s="351"/>
      <c r="N882" s="491" t="s">
        <v>294</v>
      </c>
      <c r="O882" s="350"/>
      <c r="P882" s="350"/>
      <c r="Q882" s="350"/>
      <c r="R882" s="350"/>
      <c r="S882" s="350"/>
      <c r="T882" s="350"/>
      <c r="U882" s="351"/>
    </row>
    <row r="883" spans="1:21" ht="34.5" customHeight="1">
      <c r="A883" s="24">
        <f t="shared" si="3"/>
        <v>869</v>
      </c>
      <c r="B883" s="488" t="s">
        <v>294</v>
      </c>
      <c r="C883" s="351"/>
      <c r="D883" s="489" t="s">
        <v>294</v>
      </c>
      <c r="E883" s="351"/>
      <c r="F883" s="485" t="s">
        <v>325</v>
      </c>
      <c r="G883" s="351"/>
      <c r="H883" s="487"/>
      <c r="I883" s="350"/>
      <c r="J883" s="351"/>
      <c r="K883" s="485" t="s">
        <v>325</v>
      </c>
      <c r="L883" s="350"/>
      <c r="M883" s="351"/>
      <c r="N883" s="490" t="s">
        <v>294</v>
      </c>
      <c r="O883" s="350"/>
      <c r="P883" s="350"/>
      <c r="Q883" s="350"/>
      <c r="R883" s="350"/>
      <c r="S883" s="350"/>
      <c r="T883" s="350"/>
      <c r="U883" s="351"/>
    </row>
    <row r="884" spans="1:21" ht="34.5" customHeight="1">
      <c r="A884" s="24">
        <f t="shared" si="3"/>
        <v>870</v>
      </c>
      <c r="B884" s="483" t="s">
        <v>294</v>
      </c>
      <c r="C884" s="351"/>
      <c r="D884" s="484" t="s">
        <v>294</v>
      </c>
      <c r="E884" s="351"/>
      <c r="F884" s="485" t="s">
        <v>325</v>
      </c>
      <c r="G884" s="351"/>
      <c r="H884" s="486"/>
      <c r="I884" s="350"/>
      <c r="J884" s="351"/>
      <c r="K884" s="485" t="s">
        <v>325</v>
      </c>
      <c r="L884" s="350"/>
      <c r="M884" s="351"/>
      <c r="N884" s="491" t="s">
        <v>294</v>
      </c>
      <c r="O884" s="350"/>
      <c r="P884" s="350"/>
      <c r="Q884" s="350"/>
      <c r="R884" s="350"/>
      <c r="S884" s="350"/>
      <c r="T884" s="350"/>
      <c r="U884" s="351"/>
    </row>
    <row r="885" spans="1:21" ht="34.5" customHeight="1">
      <c r="A885" s="24">
        <f t="shared" si="3"/>
        <v>871</v>
      </c>
      <c r="B885" s="488" t="s">
        <v>294</v>
      </c>
      <c r="C885" s="351"/>
      <c r="D885" s="489" t="s">
        <v>294</v>
      </c>
      <c r="E885" s="351"/>
      <c r="F885" s="485" t="s">
        <v>325</v>
      </c>
      <c r="G885" s="351"/>
      <c r="H885" s="487"/>
      <c r="I885" s="350"/>
      <c r="J885" s="351"/>
      <c r="K885" s="485" t="s">
        <v>325</v>
      </c>
      <c r="L885" s="350"/>
      <c r="M885" s="351"/>
      <c r="N885" s="490" t="s">
        <v>294</v>
      </c>
      <c r="O885" s="350"/>
      <c r="P885" s="350"/>
      <c r="Q885" s="350"/>
      <c r="R885" s="350"/>
      <c r="S885" s="350"/>
      <c r="T885" s="350"/>
      <c r="U885" s="351"/>
    </row>
    <row r="886" spans="1:21" ht="34.5" customHeight="1">
      <c r="A886" s="24">
        <f t="shared" si="3"/>
        <v>872</v>
      </c>
      <c r="B886" s="483" t="s">
        <v>294</v>
      </c>
      <c r="C886" s="351"/>
      <c r="D886" s="484" t="s">
        <v>294</v>
      </c>
      <c r="E886" s="351"/>
      <c r="F886" s="485" t="s">
        <v>325</v>
      </c>
      <c r="G886" s="351"/>
      <c r="H886" s="486"/>
      <c r="I886" s="350"/>
      <c r="J886" s="351"/>
      <c r="K886" s="485" t="s">
        <v>325</v>
      </c>
      <c r="L886" s="350"/>
      <c r="M886" s="351"/>
      <c r="N886" s="491" t="s">
        <v>294</v>
      </c>
      <c r="O886" s="350"/>
      <c r="P886" s="350"/>
      <c r="Q886" s="350"/>
      <c r="R886" s="350"/>
      <c r="S886" s="350"/>
      <c r="T886" s="350"/>
      <c r="U886" s="351"/>
    </row>
    <row r="887" spans="1:21" ht="34.5" customHeight="1">
      <c r="A887" s="24">
        <f t="shared" si="3"/>
        <v>873</v>
      </c>
      <c r="B887" s="488" t="s">
        <v>294</v>
      </c>
      <c r="C887" s="351"/>
      <c r="D887" s="489" t="s">
        <v>294</v>
      </c>
      <c r="E887" s="351"/>
      <c r="F887" s="485" t="s">
        <v>325</v>
      </c>
      <c r="G887" s="351"/>
      <c r="H887" s="487"/>
      <c r="I887" s="350"/>
      <c r="J887" s="351"/>
      <c r="K887" s="485" t="s">
        <v>325</v>
      </c>
      <c r="L887" s="350"/>
      <c r="M887" s="351"/>
      <c r="N887" s="490" t="s">
        <v>294</v>
      </c>
      <c r="O887" s="350"/>
      <c r="P887" s="350"/>
      <c r="Q887" s="350"/>
      <c r="R887" s="350"/>
      <c r="S887" s="350"/>
      <c r="T887" s="350"/>
      <c r="U887" s="351"/>
    </row>
    <row r="888" spans="1:21" ht="34.5" customHeight="1">
      <c r="A888" s="24">
        <f t="shared" si="3"/>
        <v>874</v>
      </c>
      <c r="B888" s="483" t="s">
        <v>294</v>
      </c>
      <c r="C888" s="351"/>
      <c r="D888" s="484" t="s">
        <v>294</v>
      </c>
      <c r="E888" s="351"/>
      <c r="F888" s="485" t="s">
        <v>325</v>
      </c>
      <c r="G888" s="351"/>
      <c r="H888" s="486"/>
      <c r="I888" s="350"/>
      <c r="J888" s="351"/>
      <c r="K888" s="485" t="s">
        <v>325</v>
      </c>
      <c r="L888" s="350"/>
      <c r="M888" s="351"/>
      <c r="N888" s="491" t="s">
        <v>294</v>
      </c>
      <c r="O888" s="350"/>
      <c r="P888" s="350"/>
      <c r="Q888" s="350"/>
      <c r="R888" s="350"/>
      <c r="S888" s="350"/>
      <c r="T888" s="350"/>
      <c r="U888" s="351"/>
    </row>
    <row r="889" spans="1:21" ht="34.5" customHeight="1">
      <c r="A889" s="24">
        <f t="shared" si="3"/>
        <v>875</v>
      </c>
      <c r="B889" s="488" t="s">
        <v>294</v>
      </c>
      <c r="C889" s="351"/>
      <c r="D889" s="489" t="s">
        <v>294</v>
      </c>
      <c r="E889" s="351"/>
      <c r="F889" s="485" t="s">
        <v>325</v>
      </c>
      <c r="G889" s="351"/>
      <c r="H889" s="487"/>
      <c r="I889" s="350"/>
      <c r="J889" s="351"/>
      <c r="K889" s="485" t="s">
        <v>325</v>
      </c>
      <c r="L889" s="350"/>
      <c r="M889" s="351"/>
      <c r="N889" s="490" t="s">
        <v>294</v>
      </c>
      <c r="O889" s="350"/>
      <c r="P889" s="350"/>
      <c r="Q889" s="350"/>
      <c r="R889" s="350"/>
      <c r="S889" s="350"/>
      <c r="T889" s="350"/>
      <c r="U889" s="351"/>
    </row>
    <row r="890" spans="1:21" ht="34.5" customHeight="1">
      <c r="A890" s="24">
        <f t="shared" si="3"/>
        <v>876</v>
      </c>
      <c r="B890" s="483" t="s">
        <v>294</v>
      </c>
      <c r="C890" s="351"/>
      <c r="D890" s="484" t="s">
        <v>294</v>
      </c>
      <c r="E890" s="351"/>
      <c r="F890" s="485" t="s">
        <v>325</v>
      </c>
      <c r="G890" s="351"/>
      <c r="H890" s="486"/>
      <c r="I890" s="350"/>
      <c r="J890" s="351"/>
      <c r="K890" s="485" t="s">
        <v>325</v>
      </c>
      <c r="L890" s="350"/>
      <c r="M890" s="351"/>
      <c r="N890" s="491" t="s">
        <v>294</v>
      </c>
      <c r="O890" s="350"/>
      <c r="P890" s="350"/>
      <c r="Q890" s="350"/>
      <c r="R890" s="350"/>
      <c r="S890" s="350"/>
      <c r="T890" s="350"/>
      <c r="U890" s="351"/>
    </row>
    <row r="891" spans="1:21" ht="34.5" customHeight="1">
      <c r="A891" s="24">
        <f t="shared" si="3"/>
        <v>877</v>
      </c>
      <c r="B891" s="488" t="s">
        <v>326</v>
      </c>
      <c r="C891" s="351"/>
      <c r="D891" s="489" t="s">
        <v>294</v>
      </c>
      <c r="E891" s="351"/>
      <c r="F891" s="485" t="s">
        <v>325</v>
      </c>
      <c r="G891" s="351"/>
      <c r="H891" s="487"/>
      <c r="I891" s="350"/>
      <c r="J891" s="351"/>
      <c r="K891" s="485" t="s">
        <v>325</v>
      </c>
      <c r="L891" s="350"/>
      <c r="M891" s="351"/>
      <c r="N891" s="490" t="s">
        <v>294</v>
      </c>
      <c r="O891" s="350"/>
      <c r="P891" s="350"/>
      <c r="Q891" s="350"/>
      <c r="R891" s="350"/>
      <c r="S891" s="350"/>
      <c r="T891" s="350"/>
      <c r="U891" s="351"/>
    </row>
    <row r="892" spans="1:21" ht="34.5" customHeight="1">
      <c r="A892" s="24">
        <f t="shared" si="3"/>
        <v>878</v>
      </c>
      <c r="B892" s="483" t="s">
        <v>294</v>
      </c>
      <c r="C892" s="351"/>
      <c r="D892" s="484" t="s">
        <v>294</v>
      </c>
      <c r="E892" s="351"/>
      <c r="F892" s="485" t="s">
        <v>325</v>
      </c>
      <c r="G892" s="351"/>
      <c r="H892" s="486"/>
      <c r="I892" s="350"/>
      <c r="J892" s="351"/>
      <c r="K892" s="485" t="s">
        <v>325</v>
      </c>
      <c r="L892" s="350"/>
      <c r="M892" s="351"/>
      <c r="N892" s="491" t="s">
        <v>294</v>
      </c>
      <c r="O892" s="350"/>
      <c r="P892" s="350"/>
      <c r="Q892" s="350"/>
      <c r="R892" s="350"/>
      <c r="S892" s="350"/>
      <c r="T892" s="350"/>
      <c r="U892" s="351"/>
    </row>
    <row r="893" spans="1:21" ht="34.5" customHeight="1">
      <c r="A893" s="24">
        <f t="shared" si="3"/>
        <v>879</v>
      </c>
      <c r="B893" s="488" t="s">
        <v>294</v>
      </c>
      <c r="C893" s="351"/>
      <c r="D893" s="489" t="s">
        <v>294</v>
      </c>
      <c r="E893" s="351"/>
      <c r="F893" s="485" t="s">
        <v>325</v>
      </c>
      <c r="G893" s="351"/>
      <c r="H893" s="487"/>
      <c r="I893" s="350"/>
      <c r="J893" s="351"/>
      <c r="K893" s="485" t="s">
        <v>325</v>
      </c>
      <c r="L893" s="350"/>
      <c r="M893" s="351"/>
      <c r="N893" s="490" t="s">
        <v>294</v>
      </c>
      <c r="O893" s="350"/>
      <c r="P893" s="350"/>
      <c r="Q893" s="350"/>
      <c r="R893" s="350"/>
      <c r="S893" s="350"/>
      <c r="T893" s="350"/>
      <c r="U893" s="351"/>
    </row>
    <row r="894" spans="1:21" ht="34.5" customHeight="1">
      <c r="A894" s="24">
        <f t="shared" si="3"/>
        <v>880</v>
      </c>
      <c r="B894" s="483" t="s">
        <v>294</v>
      </c>
      <c r="C894" s="351"/>
      <c r="D894" s="484" t="s">
        <v>294</v>
      </c>
      <c r="E894" s="351"/>
      <c r="F894" s="485" t="s">
        <v>325</v>
      </c>
      <c r="G894" s="351"/>
      <c r="H894" s="486"/>
      <c r="I894" s="350"/>
      <c r="J894" s="351"/>
      <c r="K894" s="485" t="s">
        <v>325</v>
      </c>
      <c r="L894" s="350"/>
      <c r="M894" s="351"/>
      <c r="N894" s="491" t="s">
        <v>294</v>
      </c>
      <c r="O894" s="350"/>
      <c r="P894" s="350"/>
      <c r="Q894" s="350"/>
      <c r="R894" s="350"/>
      <c r="S894" s="350"/>
      <c r="T894" s="350"/>
      <c r="U894" s="351"/>
    </row>
    <row r="895" spans="1:21" ht="34.5" customHeight="1">
      <c r="A895" s="24">
        <f t="shared" si="3"/>
        <v>881</v>
      </c>
      <c r="B895" s="488" t="s">
        <v>294</v>
      </c>
      <c r="C895" s="351"/>
      <c r="D895" s="489" t="s">
        <v>294</v>
      </c>
      <c r="E895" s="351"/>
      <c r="F895" s="485" t="s">
        <v>325</v>
      </c>
      <c r="G895" s="351"/>
      <c r="H895" s="487"/>
      <c r="I895" s="350"/>
      <c r="J895" s="351"/>
      <c r="K895" s="485" t="s">
        <v>325</v>
      </c>
      <c r="L895" s="350"/>
      <c r="M895" s="351"/>
      <c r="N895" s="490" t="s">
        <v>294</v>
      </c>
      <c r="O895" s="350"/>
      <c r="P895" s="350"/>
      <c r="Q895" s="350"/>
      <c r="R895" s="350"/>
      <c r="S895" s="350"/>
      <c r="T895" s="350"/>
      <c r="U895" s="351"/>
    </row>
    <row r="896" spans="1:21" ht="34.5" customHeight="1">
      <c r="A896" s="24">
        <f t="shared" si="3"/>
        <v>882</v>
      </c>
      <c r="B896" s="483" t="s">
        <v>294</v>
      </c>
      <c r="C896" s="351"/>
      <c r="D896" s="484" t="s">
        <v>294</v>
      </c>
      <c r="E896" s="351"/>
      <c r="F896" s="485" t="s">
        <v>325</v>
      </c>
      <c r="G896" s="351"/>
      <c r="H896" s="486"/>
      <c r="I896" s="350"/>
      <c r="J896" s="351"/>
      <c r="K896" s="485" t="s">
        <v>325</v>
      </c>
      <c r="L896" s="350"/>
      <c r="M896" s="351"/>
      <c r="N896" s="491" t="s">
        <v>294</v>
      </c>
      <c r="O896" s="350"/>
      <c r="P896" s="350"/>
      <c r="Q896" s="350"/>
      <c r="R896" s="350"/>
      <c r="S896" s="350"/>
      <c r="T896" s="350"/>
      <c r="U896" s="351"/>
    </row>
    <row r="897" spans="1:21" ht="34.5" customHeight="1">
      <c r="A897" s="24">
        <f t="shared" si="3"/>
        <v>883</v>
      </c>
      <c r="B897" s="488" t="s">
        <v>294</v>
      </c>
      <c r="C897" s="351"/>
      <c r="D897" s="489" t="s">
        <v>294</v>
      </c>
      <c r="E897" s="351"/>
      <c r="F897" s="485" t="s">
        <v>325</v>
      </c>
      <c r="G897" s="351"/>
      <c r="H897" s="487"/>
      <c r="I897" s="350"/>
      <c r="J897" s="351"/>
      <c r="K897" s="485" t="s">
        <v>325</v>
      </c>
      <c r="L897" s="350"/>
      <c r="M897" s="351"/>
      <c r="N897" s="490" t="s">
        <v>294</v>
      </c>
      <c r="O897" s="350"/>
      <c r="P897" s="350"/>
      <c r="Q897" s="350"/>
      <c r="R897" s="350"/>
      <c r="S897" s="350"/>
      <c r="T897" s="350"/>
      <c r="U897" s="351"/>
    </row>
    <row r="898" spans="1:21" ht="34.5" customHeight="1">
      <c r="A898" s="24">
        <f t="shared" si="3"/>
        <v>884</v>
      </c>
      <c r="B898" s="483" t="s">
        <v>294</v>
      </c>
      <c r="C898" s="351"/>
      <c r="D898" s="484" t="s">
        <v>294</v>
      </c>
      <c r="E898" s="351"/>
      <c r="F898" s="485" t="s">
        <v>325</v>
      </c>
      <c r="G898" s="351"/>
      <c r="H898" s="486"/>
      <c r="I898" s="350"/>
      <c r="J898" s="351"/>
      <c r="K898" s="485" t="s">
        <v>325</v>
      </c>
      <c r="L898" s="350"/>
      <c r="M898" s="351"/>
      <c r="N898" s="491" t="s">
        <v>294</v>
      </c>
      <c r="O898" s="350"/>
      <c r="P898" s="350"/>
      <c r="Q898" s="350"/>
      <c r="R898" s="350"/>
      <c r="S898" s="350"/>
      <c r="T898" s="350"/>
      <c r="U898" s="351"/>
    </row>
    <row r="899" spans="1:21" ht="34.5" customHeight="1">
      <c r="A899" s="24">
        <f t="shared" si="3"/>
        <v>885</v>
      </c>
      <c r="B899" s="488" t="s">
        <v>329</v>
      </c>
      <c r="C899" s="351"/>
      <c r="D899" s="489" t="s">
        <v>294</v>
      </c>
      <c r="E899" s="351"/>
      <c r="F899" s="485" t="s">
        <v>325</v>
      </c>
      <c r="G899" s="351"/>
      <c r="H899" s="487"/>
      <c r="I899" s="350"/>
      <c r="J899" s="351"/>
      <c r="K899" s="485" t="s">
        <v>325</v>
      </c>
      <c r="L899" s="350"/>
      <c r="M899" s="351"/>
      <c r="N899" s="490" t="s">
        <v>294</v>
      </c>
      <c r="O899" s="350"/>
      <c r="P899" s="350"/>
      <c r="Q899" s="350"/>
      <c r="R899" s="350"/>
      <c r="S899" s="350"/>
      <c r="T899" s="350"/>
      <c r="U899" s="351"/>
    </row>
    <row r="900" spans="1:21" ht="34.5" customHeight="1">
      <c r="A900" s="24">
        <f t="shared" si="3"/>
        <v>886</v>
      </c>
      <c r="B900" s="483" t="s">
        <v>294</v>
      </c>
      <c r="C900" s="351"/>
      <c r="D900" s="484" t="s">
        <v>294</v>
      </c>
      <c r="E900" s="351"/>
      <c r="F900" s="485" t="s">
        <v>325</v>
      </c>
      <c r="G900" s="351"/>
      <c r="H900" s="486"/>
      <c r="I900" s="350"/>
      <c r="J900" s="351"/>
      <c r="K900" s="485" t="s">
        <v>325</v>
      </c>
      <c r="L900" s="350"/>
      <c r="M900" s="351"/>
      <c r="N900" s="491" t="s">
        <v>294</v>
      </c>
      <c r="O900" s="350"/>
      <c r="P900" s="350"/>
      <c r="Q900" s="350"/>
      <c r="R900" s="350"/>
      <c r="S900" s="350"/>
      <c r="T900" s="350"/>
      <c r="U900" s="351"/>
    </row>
    <row r="901" spans="1:21" ht="34.5" customHeight="1">
      <c r="A901" s="24">
        <f t="shared" si="3"/>
        <v>887</v>
      </c>
      <c r="B901" s="488" t="s">
        <v>294</v>
      </c>
      <c r="C901" s="351"/>
      <c r="D901" s="489" t="s">
        <v>294</v>
      </c>
      <c r="E901" s="351"/>
      <c r="F901" s="485" t="s">
        <v>325</v>
      </c>
      <c r="G901" s="351"/>
      <c r="H901" s="487"/>
      <c r="I901" s="350"/>
      <c r="J901" s="351"/>
      <c r="K901" s="485" t="s">
        <v>325</v>
      </c>
      <c r="L901" s="350"/>
      <c r="M901" s="351"/>
      <c r="N901" s="490" t="s">
        <v>294</v>
      </c>
      <c r="O901" s="350"/>
      <c r="P901" s="350"/>
      <c r="Q901" s="350"/>
      <c r="R901" s="350"/>
      <c r="S901" s="350"/>
      <c r="T901" s="350"/>
      <c r="U901" s="351"/>
    </row>
    <row r="902" spans="1:21" ht="34.5" customHeight="1">
      <c r="A902" s="24">
        <f t="shared" si="3"/>
        <v>888</v>
      </c>
      <c r="B902" s="483" t="s">
        <v>294</v>
      </c>
      <c r="C902" s="351"/>
      <c r="D902" s="484" t="s">
        <v>294</v>
      </c>
      <c r="E902" s="351"/>
      <c r="F902" s="485" t="s">
        <v>325</v>
      </c>
      <c r="G902" s="351"/>
      <c r="H902" s="486"/>
      <c r="I902" s="350"/>
      <c r="J902" s="351"/>
      <c r="K902" s="485" t="s">
        <v>325</v>
      </c>
      <c r="L902" s="350"/>
      <c r="M902" s="351"/>
      <c r="N902" s="491" t="s">
        <v>294</v>
      </c>
      <c r="O902" s="350"/>
      <c r="P902" s="350"/>
      <c r="Q902" s="350"/>
      <c r="R902" s="350"/>
      <c r="S902" s="350"/>
      <c r="T902" s="350"/>
      <c r="U902" s="351"/>
    </row>
    <row r="903" spans="1:21" ht="34.5" customHeight="1">
      <c r="A903" s="24">
        <f t="shared" si="3"/>
        <v>889</v>
      </c>
      <c r="B903" s="488" t="s">
        <v>294</v>
      </c>
      <c r="C903" s="351"/>
      <c r="D903" s="489" t="s">
        <v>294</v>
      </c>
      <c r="E903" s="351"/>
      <c r="F903" s="485" t="s">
        <v>325</v>
      </c>
      <c r="G903" s="351"/>
      <c r="H903" s="487"/>
      <c r="I903" s="350"/>
      <c r="J903" s="351"/>
      <c r="K903" s="485" t="s">
        <v>325</v>
      </c>
      <c r="L903" s="350"/>
      <c r="M903" s="351"/>
      <c r="N903" s="490" t="s">
        <v>294</v>
      </c>
      <c r="O903" s="350"/>
      <c r="P903" s="350"/>
      <c r="Q903" s="350"/>
      <c r="R903" s="350"/>
      <c r="S903" s="350"/>
      <c r="T903" s="350"/>
      <c r="U903" s="351"/>
    </row>
    <row r="904" spans="1:21" ht="34.5" customHeight="1">
      <c r="A904" s="24">
        <f t="shared" si="3"/>
        <v>890</v>
      </c>
      <c r="B904" s="483" t="s">
        <v>294</v>
      </c>
      <c r="C904" s="351"/>
      <c r="D904" s="484" t="s">
        <v>294</v>
      </c>
      <c r="E904" s="351"/>
      <c r="F904" s="485" t="s">
        <v>325</v>
      </c>
      <c r="G904" s="351"/>
      <c r="H904" s="486"/>
      <c r="I904" s="350"/>
      <c r="J904" s="351"/>
      <c r="K904" s="485" t="s">
        <v>325</v>
      </c>
      <c r="L904" s="350"/>
      <c r="M904" s="351"/>
      <c r="N904" s="491" t="s">
        <v>294</v>
      </c>
      <c r="O904" s="350"/>
      <c r="P904" s="350"/>
      <c r="Q904" s="350"/>
      <c r="R904" s="350"/>
      <c r="S904" s="350"/>
      <c r="T904" s="350"/>
      <c r="U904" s="351"/>
    </row>
    <row r="905" spans="1:21" ht="34.5" customHeight="1">
      <c r="A905" s="24">
        <f t="shared" si="3"/>
        <v>891</v>
      </c>
      <c r="B905" s="488" t="s">
        <v>294</v>
      </c>
      <c r="C905" s="351"/>
      <c r="D905" s="489" t="s">
        <v>294</v>
      </c>
      <c r="E905" s="351"/>
      <c r="F905" s="485" t="s">
        <v>325</v>
      </c>
      <c r="G905" s="351"/>
      <c r="H905" s="487"/>
      <c r="I905" s="350"/>
      <c r="J905" s="351"/>
      <c r="K905" s="485" t="s">
        <v>325</v>
      </c>
      <c r="L905" s="350"/>
      <c r="M905" s="351"/>
      <c r="N905" s="490" t="s">
        <v>294</v>
      </c>
      <c r="O905" s="350"/>
      <c r="P905" s="350"/>
      <c r="Q905" s="350"/>
      <c r="R905" s="350"/>
      <c r="S905" s="350"/>
      <c r="T905" s="350"/>
      <c r="U905" s="351"/>
    </row>
    <row r="906" spans="1:21" ht="34.5" customHeight="1">
      <c r="A906" s="24">
        <f t="shared" si="3"/>
        <v>892</v>
      </c>
      <c r="B906" s="483" t="s">
        <v>294</v>
      </c>
      <c r="C906" s="351"/>
      <c r="D906" s="484" t="s">
        <v>294</v>
      </c>
      <c r="E906" s="351"/>
      <c r="F906" s="485" t="s">
        <v>325</v>
      </c>
      <c r="G906" s="351"/>
      <c r="H906" s="486"/>
      <c r="I906" s="350"/>
      <c r="J906" s="351"/>
      <c r="K906" s="485" t="s">
        <v>325</v>
      </c>
      <c r="L906" s="350"/>
      <c r="M906" s="351"/>
      <c r="N906" s="491" t="s">
        <v>294</v>
      </c>
      <c r="O906" s="350"/>
      <c r="P906" s="350"/>
      <c r="Q906" s="350"/>
      <c r="R906" s="350"/>
      <c r="S906" s="350"/>
      <c r="T906" s="350"/>
      <c r="U906" s="351"/>
    </row>
    <row r="907" spans="1:21" ht="34.5" customHeight="1">
      <c r="A907" s="24">
        <f t="shared" si="3"/>
        <v>893</v>
      </c>
      <c r="B907" s="488" t="s">
        <v>294</v>
      </c>
      <c r="C907" s="351"/>
      <c r="D907" s="489" t="s">
        <v>294</v>
      </c>
      <c r="E907" s="351"/>
      <c r="F907" s="485" t="s">
        <v>325</v>
      </c>
      <c r="G907" s="351"/>
      <c r="H907" s="487"/>
      <c r="I907" s="350"/>
      <c r="J907" s="351"/>
      <c r="K907" s="485" t="s">
        <v>325</v>
      </c>
      <c r="L907" s="350"/>
      <c r="M907" s="351"/>
      <c r="N907" s="490" t="s">
        <v>294</v>
      </c>
      <c r="O907" s="350"/>
      <c r="P907" s="350"/>
      <c r="Q907" s="350"/>
      <c r="R907" s="350"/>
      <c r="S907" s="350"/>
      <c r="T907" s="350"/>
      <c r="U907" s="351"/>
    </row>
    <row r="908" spans="1:21" ht="34.5" customHeight="1">
      <c r="A908" s="24">
        <f t="shared" si="3"/>
        <v>894</v>
      </c>
      <c r="B908" s="483" t="s">
        <v>294</v>
      </c>
      <c r="C908" s="351"/>
      <c r="D908" s="484" t="s">
        <v>294</v>
      </c>
      <c r="E908" s="351"/>
      <c r="F908" s="485" t="s">
        <v>325</v>
      </c>
      <c r="G908" s="351"/>
      <c r="H908" s="486"/>
      <c r="I908" s="350"/>
      <c r="J908" s="351"/>
      <c r="K908" s="485" t="s">
        <v>325</v>
      </c>
      <c r="L908" s="350"/>
      <c r="M908" s="351"/>
      <c r="N908" s="491" t="s">
        <v>294</v>
      </c>
      <c r="O908" s="350"/>
      <c r="P908" s="350"/>
      <c r="Q908" s="350"/>
      <c r="R908" s="350"/>
      <c r="S908" s="350"/>
      <c r="T908" s="350"/>
      <c r="U908" s="351"/>
    </row>
    <row r="909" spans="1:21" ht="34.5" customHeight="1">
      <c r="A909" s="24">
        <f t="shared" si="3"/>
        <v>895</v>
      </c>
      <c r="B909" s="488" t="s">
        <v>294</v>
      </c>
      <c r="C909" s="351"/>
      <c r="D909" s="489" t="s">
        <v>294</v>
      </c>
      <c r="E909" s="351"/>
      <c r="F909" s="485" t="s">
        <v>325</v>
      </c>
      <c r="G909" s="351"/>
      <c r="H909" s="487"/>
      <c r="I909" s="350"/>
      <c r="J909" s="351"/>
      <c r="K909" s="485" t="s">
        <v>325</v>
      </c>
      <c r="L909" s="350"/>
      <c r="M909" s="351"/>
      <c r="N909" s="490" t="s">
        <v>294</v>
      </c>
      <c r="O909" s="350"/>
      <c r="P909" s="350"/>
      <c r="Q909" s="350"/>
      <c r="R909" s="350"/>
      <c r="S909" s="350"/>
      <c r="T909" s="350"/>
      <c r="U909" s="351"/>
    </row>
    <row r="910" spans="1:21" ht="34.5" customHeight="1">
      <c r="A910" s="24">
        <f t="shared" si="3"/>
        <v>896</v>
      </c>
      <c r="B910" s="483" t="s">
        <v>294</v>
      </c>
      <c r="C910" s="351"/>
      <c r="D910" s="484" t="s">
        <v>294</v>
      </c>
      <c r="E910" s="351"/>
      <c r="F910" s="485" t="s">
        <v>325</v>
      </c>
      <c r="G910" s="351"/>
      <c r="H910" s="486"/>
      <c r="I910" s="350"/>
      <c r="J910" s="351"/>
      <c r="K910" s="485" t="s">
        <v>325</v>
      </c>
      <c r="L910" s="350"/>
      <c r="M910" s="351"/>
      <c r="N910" s="491" t="s">
        <v>294</v>
      </c>
      <c r="O910" s="350"/>
      <c r="P910" s="350"/>
      <c r="Q910" s="350"/>
      <c r="R910" s="350"/>
      <c r="S910" s="350"/>
      <c r="T910" s="350"/>
      <c r="U910" s="351"/>
    </row>
    <row r="911" spans="1:21" ht="34.5" customHeight="1">
      <c r="A911" s="24">
        <f t="shared" si="3"/>
        <v>897</v>
      </c>
      <c r="B911" s="488" t="s">
        <v>327</v>
      </c>
      <c r="C911" s="351"/>
      <c r="D911" s="489" t="s">
        <v>294</v>
      </c>
      <c r="E911" s="351"/>
      <c r="F911" s="485" t="s">
        <v>325</v>
      </c>
      <c r="G911" s="351"/>
      <c r="H911" s="487"/>
      <c r="I911" s="350"/>
      <c r="J911" s="351"/>
      <c r="K911" s="485" t="s">
        <v>325</v>
      </c>
      <c r="L911" s="350"/>
      <c r="M911" s="351"/>
      <c r="N911" s="490" t="s">
        <v>294</v>
      </c>
      <c r="O911" s="350"/>
      <c r="P911" s="350"/>
      <c r="Q911" s="350"/>
      <c r="R911" s="350"/>
      <c r="S911" s="350"/>
      <c r="T911" s="350"/>
      <c r="U911" s="351"/>
    </row>
    <row r="912" spans="1:21" ht="34.5" customHeight="1">
      <c r="A912" s="24">
        <f t="shared" si="3"/>
        <v>898</v>
      </c>
      <c r="B912" s="483" t="s">
        <v>294</v>
      </c>
      <c r="C912" s="351"/>
      <c r="D912" s="484" t="s">
        <v>294</v>
      </c>
      <c r="E912" s="351"/>
      <c r="F912" s="485" t="s">
        <v>325</v>
      </c>
      <c r="G912" s="351"/>
      <c r="H912" s="486"/>
      <c r="I912" s="350"/>
      <c r="J912" s="351"/>
      <c r="K912" s="485" t="s">
        <v>325</v>
      </c>
      <c r="L912" s="350"/>
      <c r="M912" s="351"/>
      <c r="N912" s="491" t="s">
        <v>294</v>
      </c>
      <c r="O912" s="350"/>
      <c r="P912" s="350"/>
      <c r="Q912" s="350"/>
      <c r="R912" s="350"/>
      <c r="S912" s="350"/>
      <c r="T912" s="350"/>
      <c r="U912" s="351"/>
    </row>
    <row r="913" spans="1:21" ht="34.5" customHeight="1">
      <c r="A913" s="24">
        <f t="shared" si="3"/>
        <v>899</v>
      </c>
      <c r="B913" s="488" t="s">
        <v>294</v>
      </c>
      <c r="C913" s="351"/>
      <c r="D913" s="489" t="s">
        <v>294</v>
      </c>
      <c r="E913" s="351"/>
      <c r="F913" s="485" t="s">
        <v>325</v>
      </c>
      <c r="G913" s="351"/>
      <c r="H913" s="487"/>
      <c r="I913" s="350"/>
      <c r="J913" s="351"/>
      <c r="K913" s="485" t="s">
        <v>325</v>
      </c>
      <c r="L913" s="350"/>
      <c r="M913" s="351"/>
      <c r="N913" s="490" t="s">
        <v>294</v>
      </c>
      <c r="O913" s="350"/>
      <c r="P913" s="350"/>
      <c r="Q913" s="350"/>
      <c r="R913" s="350"/>
      <c r="S913" s="350"/>
      <c r="T913" s="350"/>
      <c r="U913" s="351"/>
    </row>
    <row r="914" spans="1:21" ht="34.5" customHeight="1">
      <c r="A914" s="24">
        <f t="shared" si="3"/>
        <v>900</v>
      </c>
      <c r="B914" s="483" t="s">
        <v>294</v>
      </c>
      <c r="C914" s="351"/>
      <c r="D914" s="484" t="s">
        <v>294</v>
      </c>
      <c r="E914" s="351"/>
      <c r="F914" s="485" t="s">
        <v>325</v>
      </c>
      <c r="G914" s="351"/>
      <c r="H914" s="486"/>
      <c r="I914" s="350"/>
      <c r="J914" s="351"/>
      <c r="K914" s="485" t="s">
        <v>325</v>
      </c>
      <c r="L914" s="350"/>
      <c r="M914" s="351"/>
      <c r="N914" s="491" t="s">
        <v>294</v>
      </c>
      <c r="O914" s="350"/>
      <c r="P914" s="350"/>
      <c r="Q914" s="350"/>
      <c r="R914" s="350"/>
      <c r="S914" s="350"/>
      <c r="T914" s="350"/>
      <c r="U914" s="351"/>
    </row>
    <row r="915" spans="1:21" ht="34.5" customHeight="1">
      <c r="A915" s="24">
        <f t="shared" si="3"/>
        <v>901</v>
      </c>
      <c r="B915" s="488" t="s">
        <v>294</v>
      </c>
      <c r="C915" s="351"/>
      <c r="D915" s="489" t="s">
        <v>294</v>
      </c>
      <c r="E915" s="351"/>
      <c r="F915" s="485" t="s">
        <v>325</v>
      </c>
      <c r="G915" s="351"/>
      <c r="H915" s="487"/>
      <c r="I915" s="350"/>
      <c r="J915" s="351"/>
      <c r="K915" s="485" t="s">
        <v>325</v>
      </c>
      <c r="L915" s="350"/>
      <c r="M915" s="351"/>
      <c r="N915" s="490" t="s">
        <v>294</v>
      </c>
      <c r="O915" s="350"/>
      <c r="P915" s="350"/>
      <c r="Q915" s="350"/>
      <c r="R915" s="350"/>
      <c r="S915" s="350"/>
      <c r="T915" s="350"/>
      <c r="U915" s="351"/>
    </row>
    <row r="916" spans="1:21" ht="34.5" customHeight="1">
      <c r="A916" s="24">
        <f t="shared" si="3"/>
        <v>902</v>
      </c>
      <c r="B916" s="483" t="s">
        <v>294</v>
      </c>
      <c r="C916" s="351"/>
      <c r="D916" s="484" t="s">
        <v>294</v>
      </c>
      <c r="E916" s="351"/>
      <c r="F916" s="485" t="s">
        <v>325</v>
      </c>
      <c r="G916" s="351"/>
      <c r="H916" s="486"/>
      <c r="I916" s="350"/>
      <c r="J916" s="351"/>
      <c r="K916" s="485" t="s">
        <v>325</v>
      </c>
      <c r="L916" s="350"/>
      <c r="M916" s="351"/>
      <c r="N916" s="491" t="s">
        <v>294</v>
      </c>
      <c r="O916" s="350"/>
      <c r="P916" s="350"/>
      <c r="Q916" s="350"/>
      <c r="R916" s="350"/>
      <c r="S916" s="350"/>
      <c r="T916" s="350"/>
      <c r="U916" s="351"/>
    </row>
    <row r="917" spans="1:21" ht="34.5" customHeight="1">
      <c r="A917" s="24">
        <f t="shared" si="3"/>
        <v>903</v>
      </c>
      <c r="B917" s="488" t="s">
        <v>294</v>
      </c>
      <c r="C917" s="351"/>
      <c r="D917" s="489" t="s">
        <v>294</v>
      </c>
      <c r="E917" s="351"/>
      <c r="F917" s="485" t="s">
        <v>325</v>
      </c>
      <c r="G917" s="351"/>
      <c r="H917" s="487"/>
      <c r="I917" s="350"/>
      <c r="J917" s="351"/>
      <c r="K917" s="485" t="s">
        <v>325</v>
      </c>
      <c r="L917" s="350"/>
      <c r="M917" s="351"/>
      <c r="N917" s="490" t="s">
        <v>294</v>
      </c>
      <c r="O917" s="350"/>
      <c r="P917" s="350"/>
      <c r="Q917" s="350"/>
      <c r="R917" s="350"/>
      <c r="S917" s="350"/>
      <c r="T917" s="350"/>
      <c r="U917" s="351"/>
    </row>
    <row r="918" spans="1:21" ht="34.5" customHeight="1">
      <c r="A918" s="24">
        <f t="shared" si="3"/>
        <v>904</v>
      </c>
      <c r="B918" s="483" t="s">
        <v>294</v>
      </c>
      <c r="C918" s="351"/>
      <c r="D918" s="484" t="s">
        <v>294</v>
      </c>
      <c r="E918" s="351"/>
      <c r="F918" s="485" t="s">
        <v>325</v>
      </c>
      <c r="G918" s="351"/>
      <c r="H918" s="486"/>
      <c r="I918" s="350"/>
      <c r="J918" s="351"/>
      <c r="K918" s="485" t="s">
        <v>325</v>
      </c>
      <c r="L918" s="350"/>
      <c r="M918" s="351"/>
      <c r="N918" s="491" t="s">
        <v>294</v>
      </c>
      <c r="O918" s="350"/>
      <c r="P918" s="350"/>
      <c r="Q918" s="350"/>
      <c r="R918" s="350"/>
      <c r="S918" s="350"/>
      <c r="T918" s="350"/>
      <c r="U918" s="351"/>
    </row>
    <row r="919" spans="1:21" ht="34.5" customHeight="1">
      <c r="A919" s="24">
        <f t="shared" si="3"/>
        <v>905</v>
      </c>
      <c r="B919" s="488" t="s">
        <v>326</v>
      </c>
      <c r="C919" s="351"/>
      <c r="D919" s="489" t="s">
        <v>294</v>
      </c>
      <c r="E919" s="351"/>
      <c r="F919" s="485" t="s">
        <v>325</v>
      </c>
      <c r="G919" s="351"/>
      <c r="H919" s="487"/>
      <c r="I919" s="350"/>
      <c r="J919" s="351"/>
      <c r="K919" s="485" t="s">
        <v>325</v>
      </c>
      <c r="L919" s="350"/>
      <c r="M919" s="351"/>
      <c r="N919" s="490" t="s">
        <v>294</v>
      </c>
      <c r="O919" s="350"/>
      <c r="P919" s="350"/>
      <c r="Q919" s="350"/>
      <c r="R919" s="350"/>
      <c r="S919" s="350"/>
      <c r="T919" s="350"/>
      <c r="U919" s="351"/>
    </row>
    <row r="920" spans="1:21" ht="34.5" customHeight="1">
      <c r="A920" s="24">
        <f t="shared" si="3"/>
        <v>906</v>
      </c>
      <c r="B920" s="483" t="s">
        <v>294</v>
      </c>
      <c r="C920" s="351"/>
      <c r="D920" s="484" t="s">
        <v>294</v>
      </c>
      <c r="E920" s="351"/>
      <c r="F920" s="485" t="s">
        <v>325</v>
      </c>
      <c r="G920" s="351"/>
      <c r="H920" s="486"/>
      <c r="I920" s="350"/>
      <c r="J920" s="351"/>
      <c r="K920" s="485" t="s">
        <v>325</v>
      </c>
      <c r="L920" s="350"/>
      <c r="M920" s="351"/>
      <c r="N920" s="491" t="s">
        <v>294</v>
      </c>
      <c r="O920" s="350"/>
      <c r="P920" s="350"/>
      <c r="Q920" s="350"/>
      <c r="R920" s="350"/>
      <c r="S920" s="350"/>
      <c r="T920" s="350"/>
      <c r="U920" s="351"/>
    </row>
    <row r="921" spans="1:21" ht="34.5" customHeight="1">
      <c r="A921" s="24">
        <f t="shared" si="3"/>
        <v>907</v>
      </c>
      <c r="B921" s="488" t="s">
        <v>294</v>
      </c>
      <c r="C921" s="351"/>
      <c r="D921" s="489" t="s">
        <v>294</v>
      </c>
      <c r="E921" s="351"/>
      <c r="F921" s="485" t="s">
        <v>325</v>
      </c>
      <c r="G921" s="351"/>
      <c r="H921" s="487"/>
      <c r="I921" s="350"/>
      <c r="J921" s="351"/>
      <c r="K921" s="485" t="s">
        <v>325</v>
      </c>
      <c r="L921" s="350"/>
      <c r="M921" s="351"/>
      <c r="N921" s="490" t="s">
        <v>294</v>
      </c>
      <c r="O921" s="350"/>
      <c r="P921" s="350"/>
      <c r="Q921" s="350"/>
      <c r="R921" s="350"/>
      <c r="S921" s="350"/>
      <c r="T921" s="350"/>
      <c r="U921" s="351"/>
    </row>
    <row r="922" spans="1:21" ht="34.5" customHeight="1">
      <c r="A922" s="24">
        <f t="shared" si="3"/>
        <v>908</v>
      </c>
      <c r="B922" s="483" t="s">
        <v>294</v>
      </c>
      <c r="C922" s="351"/>
      <c r="D922" s="484" t="s">
        <v>294</v>
      </c>
      <c r="E922" s="351"/>
      <c r="F922" s="485" t="s">
        <v>325</v>
      </c>
      <c r="G922" s="351"/>
      <c r="H922" s="486"/>
      <c r="I922" s="350"/>
      <c r="J922" s="351"/>
      <c r="K922" s="485" t="s">
        <v>325</v>
      </c>
      <c r="L922" s="350"/>
      <c r="M922" s="351"/>
      <c r="N922" s="491" t="s">
        <v>294</v>
      </c>
      <c r="O922" s="350"/>
      <c r="P922" s="350"/>
      <c r="Q922" s="350"/>
      <c r="R922" s="350"/>
      <c r="S922" s="350"/>
      <c r="T922" s="350"/>
      <c r="U922" s="351"/>
    </row>
    <row r="923" spans="1:21" ht="34.5" customHeight="1">
      <c r="A923" s="24">
        <f t="shared" si="3"/>
        <v>909</v>
      </c>
      <c r="B923" s="488" t="s">
        <v>294</v>
      </c>
      <c r="C923" s="351"/>
      <c r="D923" s="489" t="s">
        <v>294</v>
      </c>
      <c r="E923" s="351"/>
      <c r="F923" s="485" t="s">
        <v>325</v>
      </c>
      <c r="G923" s="351"/>
      <c r="H923" s="487"/>
      <c r="I923" s="350"/>
      <c r="J923" s="351"/>
      <c r="K923" s="485" t="s">
        <v>325</v>
      </c>
      <c r="L923" s="350"/>
      <c r="M923" s="351"/>
      <c r="N923" s="490" t="s">
        <v>294</v>
      </c>
      <c r="O923" s="350"/>
      <c r="P923" s="350"/>
      <c r="Q923" s="350"/>
      <c r="R923" s="350"/>
      <c r="S923" s="350"/>
      <c r="T923" s="350"/>
      <c r="U923" s="351"/>
    </row>
    <row r="924" spans="1:21" ht="34.5" customHeight="1">
      <c r="A924" s="24">
        <f t="shared" si="3"/>
        <v>910</v>
      </c>
      <c r="B924" s="483" t="s">
        <v>294</v>
      </c>
      <c r="C924" s="351"/>
      <c r="D924" s="484" t="s">
        <v>294</v>
      </c>
      <c r="E924" s="351"/>
      <c r="F924" s="485" t="s">
        <v>325</v>
      </c>
      <c r="G924" s="351"/>
      <c r="H924" s="486"/>
      <c r="I924" s="350"/>
      <c r="J924" s="351"/>
      <c r="K924" s="485" t="s">
        <v>325</v>
      </c>
      <c r="L924" s="350"/>
      <c r="M924" s="351"/>
      <c r="N924" s="491" t="s">
        <v>294</v>
      </c>
      <c r="O924" s="350"/>
      <c r="P924" s="350"/>
      <c r="Q924" s="350"/>
      <c r="R924" s="350"/>
      <c r="S924" s="350"/>
      <c r="T924" s="350"/>
      <c r="U924" s="351"/>
    </row>
    <row r="925" spans="1:21" ht="34.5" customHeight="1">
      <c r="A925" s="24">
        <f t="shared" si="3"/>
        <v>911</v>
      </c>
      <c r="B925" s="488" t="s">
        <v>294</v>
      </c>
      <c r="C925" s="351"/>
      <c r="D925" s="489" t="s">
        <v>294</v>
      </c>
      <c r="E925" s="351"/>
      <c r="F925" s="485" t="s">
        <v>325</v>
      </c>
      <c r="G925" s="351"/>
      <c r="H925" s="487"/>
      <c r="I925" s="350"/>
      <c r="J925" s="351"/>
      <c r="K925" s="485" t="s">
        <v>325</v>
      </c>
      <c r="L925" s="350"/>
      <c r="M925" s="351"/>
      <c r="N925" s="490" t="s">
        <v>294</v>
      </c>
      <c r="O925" s="350"/>
      <c r="P925" s="350"/>
      <c r="Q925" s="350"/>
      <c r="R925" s="350"/>
      <c r="S925" s="350"/>
      <c r="T925" s="350"/>
      <c r="U925" s="351"/>
    </row>
    <row r="926" spans="1:21" ht="34.5" customHeight="1">
      <c r="A926" s="24">
        <f t="shared" si="3"/>
        <v>912</v>
      </c>
      <c r="B926" s="483" t="s">
        <v>330</v>
      </c>
      <c r="C926" s="351"/>
      <c r="D926" s="484" t="s">
        <v>294</v>
      </c>
      <c r="E926" s="351"/>
      <c r="F926" s="485" t="s">
        <v>325</v>
      </c>
      <c r="G926" s="351"/>
      <c r="H926" s="486"/>
      <c r="I926" s="350"/>
      <c r="J926" s="351"/>
      <c r="K926" s="485" t="s">
        <v>325</v>
      </c>
      <c r="L926" s="350"/>
      <c r="M926" s="351"/>
      <c r="N926" s="491" t="s">
        <v>294</v>
      </c>
      <c r="O926" s="350"/>
      <c r="P926" s="350"/>
      <c r="Q926" s="350"/>
      <c r="R926" s="350"/>
      <c r="S926" s="350"/>
      <c r="T926" s="350"/>
      <c r="U926" s="351"/>
    </row>
    <row r="927" spans="1:21" ht="34.5" customHeight="1">
      <c r="A927" s="24">
        <f t="shared" si="3"/>
        <v>913</v>
      </c>
      <c r="B927" s="488" t="s">
        <v>294</v>
      </c>
      <c r="C927" s="351"/>
      <c r="D927" s="489" t="s">
        <v>294</v>
      </c>
      <c r="E927" s="351"/>
      <c r="F927" s="485" t="s">
        <v>325</v>
      </c>
      <c r="G927" s="351"/>
      <c r="H927" s="487"/>
      <c r="I927" s="350"/>
      <c r="J927" s="351"/>
      <c r="K927" s="485" t="s">
        <v>325</v>
      </c>
      <c r="L927" s="350"/>
      <c r="M927" s="351"/>
      <c r="N927" s="490" t="s">
        <v>294</v>
      </c>
      <c r="O927" s="350"/>
      <c r="P927" s="350"/>
      <c r="Q927" s="350"/>
      <c r="R927" s="350"/>
      <c r="S927" s="350"/>
      <c r="T927" s="350"/>
      <c r="U927" s="351"/>
    </row>
    <row r="928" spans="1:21" ht="34.5" customHeight="1">
      <c r="A928" s="24">
        <f t="shared" si="3"/>
        <v>914</v>
      </c>
      <c r="B928" s="483" t="s">
        <v>294</v>
      </c>
      <c r="C928" s="351"/>
      <c r="D928" s="484" t="s">
        <v>294</v>
      </c>
      <c r="E928" s="351"/>
      <c r="F928" s="485" t="s">
        <v>325</v>
      </c>
      <c r="G928" s="351"/>
      <c r="H928" s="486"/>
      <c r="I928" s="350"/>
      <c r="J928" s="351"/>
      <c r="K928" s="485" t="s">
        <v>325</v>
      </c>
      <c r="L928" s="350"/>
      <c r="M928" s="351"/>
      <c r="N928" s="491" t="s">
        <v>294</v>
      </c>
      <c r="O928" s="350"/>
      <c r="P928" s="350"/>
      <c r="Q928" s="350"/>
      <c r="R928" s="350"/>
      <c r="S928" s="350"/>
      <c r="T928" s="350"/>
      <c r="U928" s="351"/>
    </row>
    <row r="929" spans="1:21" ht="34.5" customHeight="1">
      <c r="A929" s="24">
        <f t="shared" si="3"/>
        <v>915</v>
      </c>
      <c r="B929" s="488" t="s">
        <v>294</v>
      </c>
      <c r="C929" s="351"/>
      <c r="D929" s="489" t="s">
        <v>294</v>
      </c>
      <c r="E929" s="351"/>
      <c r="F929" s="485" t="s">
        <v>325</v>
      </c>
      <c r="G929" s="351"/>
      <c r="H929" s="487"/>
      <c r="I929" s="350"/>
      <c r="J929" s="351"/>
      <c r="K929" s="485" t="s">
        <v>325</v>
      </c>
      <c r="L929" s="350"/>
      <c r="M929" s="351"/>
      <c r="N929" s="490" t="s">
        <v>294</v>
      </c>
      <c r="O929" s="350"/>
      <c r="P929" s="350"/>
      <c r="Q929" s="350"/>
      <c r="R929" s="350"/>
      <c r="S929" s="350"/>
      <c r="T929" s="350"/>
      <c r="U929" s="351"/>
    </row>
    <row r="930" spans="1:21" ht="34.5" customHeight="1">
      <c r="A930" s="24">
        <f t="shared" si="3"/>
        <v>916</v>
      </c>
      <c r="B930" s="483" t="s">
        <v>294</v>
      </c>
      <c r="C930" s="351"/>
      <c r="D930" s="484" t="s">
        <v>294</v>
      </c>
      <c r="E930" s="351"/>
      <c r="F930" s="485" t="s">
        <v>325</v>
      </c>
      <c r="G930" s="351"/>
      <c r="H930" s="486"/>
      <c r="I930" s="350"/>
      <c r="J930" s="351"/>
      <c r="K930" s="485" t="s">
        <v>325</v>
      </c>
      <c r="L930" s="350"/>
      <c r="M930" s="351"/>
      <c r="N930" s="491" t="s">
        <v>294</v>
      </c>
      <c r="O930" s="350"/>
      <c r="P930" s="350"/>
      <c r="Q930" s="350"/>
      <c r="R930" s="350"/>
      <c r="S930" s="350"/>
      <c r="T930" s="350"/>
      <c r="U930" s="351"/>
    </row>
    <row r="931" spans="1:21" ht="34.5" customHeight="1">
      <c r="A931" s="24">
        <f t="shared" si="3"/>
        <v>917</v>
      </c>
      <c r="B931" s="488" t="s">
        <v>294</v>
      </c>
      <c r="C931" s="351"/>
      <c r="D931" s="489" t="s">
        <v>294</v>
      </c>
      <c r="E931" s="351"/>
      <c r="F931" s="485" t="s">
        <v>325</v>
      </c>
      <c r="G931" s="351"/>
      <c r="H931" s="487"/>
      <c r="I931" s="350"/>
      <c r="J931" s="351"/>
      <c r="K931" s="485" t="s">
        <v>325</v>
      </c>
      <c r="L931" s="350"/>
      <c r="M931" s="351"/>
      <c r="N931" s="490" t="s">
        <v>294</v>
      </c>
      <c r="O931" s="350"/>
      <c r="P931" s="350"/>
      <c r="Q931" s="350"/>
      <c r="R931" s="350"/>
      <c r="S931" s="350"/>
      <c r="T931" s="350"/>
      <c r="U931" s="351"/>
    </row>
    <row r="932" spans="1:21" ht="34.5" customHeight="1">
      <c r="A932" s="24">
        <f t="shared" si="3"/>
        <v>918</v>
      </c>
      <c r="B932" s="483" t="s">
        <v>294</v>
      </c>
      <c r="C932" s="351"/>
      <c r="D932" s="484" t="s">
        <v>294</v>
      </c>
      <c r="E932" s="351"/>
      <c r="F932" s="485" t="s">
        <v>325</v>
      </c>
      <c r="G932" s="351"/>
      <c r="H932" s="486"/>
      <c r="I932" s="350"/>
      <c r="J932" s="351"/>
      <c r="K932" s="485" t="s">
        <v>325</v>
      </c>
      <c r="L932" s="350"/>
      <c r="M932" s="351"/>
      <c r="N932" s="491" t="s">
        <v>294</v>
      </c>
      <c r="O932" s="350"/>
      <c r="P932" s="350"/>
      <c r="Q932" s="350"/>
      <c r="R932" s="350"/>
      <c r="S932" s="350"/>
      <c r="T932" s="350"/>
      <c r="U932" s="351"/>
    </row>
    <row r="933" spans="1:21" ht="34.5" customHeight="1">
      <c r="A933" s="24">
        <f t="shared" si="3"/>
        <v>919</v>
      </c>
      <c r="B933" s="488" t="s">
        <v>326</v>
      </c>
      <c r="C933" s="351"/>
      <c r="D933" s="489" t="s">
        <v>294</v>
      </c>
      <c r="E933" s="351"/>
      <c r="F933" s="485" t="s">
        <v>325</v>
      </c>
      <c r="G933" s="351"/>
      <c r="H933" s="487"/>
      <c r="I933" s="350"/>
      <c r="J933" s="351"/>
      <c r="K933" s="485" t="s">
        <v>325</v>
      </c>
      <c r="L933" s="350"/>
      <c r="M933" s="351"/>
      <c r="N933" s="490" t="s">
        <v>294</v>
      </c>
      <c r="O933" s="350"/>
      <c r="P933" s="350"/>
      <c r="Q933" s="350"/>
      <c r="R933" s="350"/>
      <c r="S933" s="350"/>
      <c r="T933" s="350"/>
      <c r="U933" s="351"/>
    </row>
    <row r="934" spans="1:21" ht="34.5" customHeight="1">
      <c r="A934" s="24">
        <f t="shared" si="3"/>
        <v>920</v>
      </c>
      <c r="B934" s="483" t="s">
        <v>294</v>
      </c>
      <c r="C934" s="351"/>
      <c r="D934" s="484" t="s">
        <v>294</v>
      </c>
      <c r="E934" s="351"/>
      <c r="F934" s="485" t="s">
        <v>325</v>
      </c>
      <c r="G934" s="351"/>
      <c r="H934" s="486"/>
      <c r="I934" s="350"/>
      <c r="J934" s="351"/>
      <c r="K934" s="485" t="s">
        <v>325</v>
      </c>
      <c r="L934" s="350"/>
      <c r="M934" s="351"/>
      <c r="N934" s="491" t="s">
        <v>294</v>
      </c>
      <c r="O934" s="350"/>
      <c r="P934" s="350"/>
      <c r="Q934" s="350"/>
      <c r="R934" s="350"/>
      <c r="S934" s="350"/>
      <c r="T934" s="350"/>
      <c r="U934" s="351"/>
    </row>
    <row r="935" spans="1:21" ht="34.5" customHeight="1">
      <c r="A935" s="24">
        <f t="shared" si="3"/>
        <v>921</v>
      </c>
      <c r="B935" s="488" t="s">
        <v>294</v>
      </c>
      <c r="C935" s="351"/>
      <c r="D935" s="489" t="s">
        <v>294</v>
      </c>
      <c r="E935" s="351"/>
      <c r="F935" s="485" t="s">
        <v>325</v>
      </c>
      <c r="G935" s="351"/>
      <c r="H935" s="487"/>
      <c r="I935" s="350"/>
      <c r="J935" s="351"/>
      <c r="K935" s="485" t="s">
        <v>325</v>
      </c>
      <c r="L935" s="350"/>
      <c r="M935" s="351"/>
      <c r="N935" s="490" t="s">
        <v>294</v>
      </c>
      <c r="O935" s="350"/>
      <c r="P935" s="350"/>
      <c r="Q935" s="350"/>
      <c r="R935" s="350"/>
      <c r="S935" s="350"/>
      <c r="T935" s="350"/>
      <c r="U935" s="351"/>
    </row>
    <row r="936" spans="1:21" ht="34.5" customHeight="1">
      <c r="A936" s="24">
        <f t="shared" si="3"/>
        <v>922</v>
      </c>
      <c r="B936" s="483" t="s">
        <v>294</v>
      </c>
      <c r="C936" s="351"/>
      <c r="D936" s="484" t="s">
        <v>294</v>
      </c>
      <c r="E936" s="351"/>
      <c r="F936" s="485" t="s">
        <v>325</v>
      </c>
      <c r="G936" s="351"/>
      <c r="H936" s="486"/>
      <c r="I936" s="350"/>
      <c r="J936" s="351"/>
      <c r="K936" s="485" t="s">
        <v>325</v>
      </c>
      <c r="L936" s="350"/>
      <c r="M936" s="351"/>
      <c r="N936" s="491" t="s">
        <v>294</v>
      </c>
      <c r="O936" s="350"/>
      <c r="P936" s="350"/>
      <c r="Q936" s="350"/>
      <c r="R936" s="350"/>
      <c r="S936" s="350"/>
      <c r="T936" s="350"/>
      <c r="U936" s="351"/>
    </row>
    <row r="937" spans="1:21" ht="34.5" customHeight="1">
      <c r="A937" s="24">
        <f t="shared" si="3"/>
        <v>923</v>
      </c>
      <c r="B937" s="488" t="s">
        <v>294</v>
      </c>
      <c r="C937" s="351"/>
      <c r="D937" s="489" t="s">
        <v>294</v>
      </c>
      <c r="E937" s="351"/>
      <c r="F937" s="485" t="s">
        <v>325</v>
      </c>
      <c r="G937" s="351"/>
      <c r="H937" s="487"/>
      <c r="I937" s="350"/>
      <c r="J937" s="351"/>
      <c r="K937" s="485" t="s">
        <v>325</v>
      </c>
      <c r="L937" s="350"/>
      <c r="M937" s="351"/>
      <c r="N937" s="490" t="s">
        <v>294</v>
      </c>
      <c r="O937" s="350"/>
      <c r="P937" s="350"/>
      <c r="Q937" s="350"/>
      <c r="R937" s="350"/>
      <c r="S937" s="350"/>
      <c r="T937" s="350"/>
      <c r="U937" s="351"/>
    </row>
    <row r="938" spans="1:21" ht="34.5" customHeight="1">
      <c r="A938" s="24">
        <f t="shared" si="3"/>
        <v>924</v>
      </c>
      <c r="B938" s="483" t="s">
        <v>294</v>
      </c>
      <c r="C938" s="351"/>
      <c r="D938" s="484" t="s">
        <v>294</v>
      </c>
      <c r="E938" s="351"/>
      <c r="F938" s="485" t="s">
        <v>325</v>
      </c>
      <c r="G938" s="351"/>
      <c r="H938" s="486"/>
      <c r="I938" s="350"/>
      <c r="J938" s="351"/>
      <c r="K938" s="485" t="s">
        <v>325</v>
      </c>
      <c r="L938" s="350"/>
      <c r="M938" s="351"/>
      <c r="N938" s="491" t="s">
        <v>294</v>
      </c>
      <c r="O938" s="350"/>
      <c r="P938" s="350"/>
      <c r="Q938" s="350"/>
      <c r="R938" s="350"/>
      <c r="S938" s="350"/>
      <c r="T938" s="350"/>
      <c r="U938" s="351"/>
    </row>
    <row r="939" spans="1:21" ht="34.5" customHeight="1">
      <c r="A939" s="24">
        <f t="shared" si="3"/>
        <v>925</v>
      </c>
      <c r="B939" s="488" t="s">
        <v>294</v>
      </c>
      <c r="C939" s="351"/>
      <c r="D939" s="489" t="s">
        <v>294</v>
      </c>
      <c r="E939" s="351"/>
      <c r="F939" s="485" t="s">
        <v>325</v>
      </c>
      <c r="G939" s="351"/>
      <c r="H939" s="487"/>
      <c r="I939" s="350"/>
      <c r="J939" s="351"/>
      <c r="K939" s="485" t="s">
        <v>325</v>
      </c>
      <c r="L939" s="350"/>
      <c r="M939" s="351"/>
      <c r="N939" s="490" t="s">
        <v>294</v>
      </c>
      <c r="O939" s="350"/>
      <c r="P939" s="350"/>
      <c r="Q939" s="350"/>
      <c r="R939" s="350"/>
      <c r="S939" s="350"/>
      <c r="T939" s="350"/>
      <c r="U939" s="351"/>
    </row>
    <row r="940" spans="1:21" ht="34.5" customHeight="1">
      <c r="A940" s="24">
        <f t="shared" si="3"/>
        <v>926</v>
      </c>
      <c r="B940" s="483" t="s">
        <v>294</v>
      </c>
      <c r="C940" s="351"/>
      <c r="D940" s="484" t="s">
        <v>294</v>
      </c>
      <c r="E940" s="351"/>
      <c r="F940" s="485" t="s">
        <v>325</v>
      </c>
      <c r="G940" s="351"/>
      <c r="H940" s="486"/>
      <c r="I940" s="350"/>
      <c r="J940" s="351"/>
      <c r="K940" s="485" t="s">
        <v>325</v>
      </c>
      <c r="L940" s="350"/>
      <c r="M940" s="351"/>
      <c r="N940" s="491" t="s">
        <v>294</v>
      </c>
      <c r="O940" s="350"/>
      <c r="P940" s="350"/>
      <c r="Q940" s="350"/>
      <c r="R940" s="350"/>
      <c r="S940" s="350"/>
      <c r="T940" s="350"/>
      <c r="U940" s="351"/>
    </row>
    <row r="941" spans="1:21" ht="34.5" customHeight="1">
      <c r="A941" s="24">
        <f t="shared" si="3"/>
        <v>927</v>
      </c>
      <c r="B941" s="488" t="s">
        <v>329</v>
      </c>
      <c r="C941" s="351"/>
      <c r="D941" s="489" t="s">
        <v>294</v>
      </c>
      <c r="E941" s="351"/>
      <c r="F941" s="485" t="s">
        <v>325</v>
      </c>
      <c r="G941" s="351"/>
      <c r="H941" s="487"/>
      <c r="I941" s="350"/>
      <c r="J941" s="351"/>
      <c r="K941" s="485" t="s">
        <v>325</v>
      </c>
      <c r="L941" s="350"/>
      <c r="M941" s="351"/>
      <c r="N941" s="490" t="s">
        <v>294</v>
      </c>
      <c r="O941" s="350"/>
      <c r="P941" s="350"/>
      <c r="Q941" s="350"/>
      <c r="R941" s="350"/>
      <c r="S941" s="350"/>
      <c r="T941" s="350"/>
      <c r="U941" s="351"/>
    </row>
    <row r="942" spans="1:21" ht="34.5" customHeight="1">
      <c r="A942" s="24">
        <f t="shared" si="3"/>
        <v>928</v>
      </c>
      <c r="B942" s="483" t="s">
        <v>294</v>
      </c>
      <c r="C942" s="351"/>
      <c r="D942" s="484" t="s">
        <v>294</v>
      </c>
      <c r="E942" s="351"/>
      <c r="F942" s="485" t="s">
        <v>325</v>
      </c>
      <c r="G942" s="351"/>
      <c r="H942" s="486"/>
      <c r="I942" s="350"/>
      <c r="J942" s="351"/>
      <c r="K942" s="485" t="s">
        <v>325</v>
      </c>
      <c r="L942" s="350"/>
      <c r="M942" s="351"/>
      <c r="N942" s="491" t="s">
        <v>294</v>
      </c>
      <c r="O942" s="350"/>
      <c r="P942" s="350"/>
      <c r="Q942" s="350"/>
      <c r="R942" s="350"/>
      <c r="S942" s="350"/>
      <c r="T942" s="350"/>
      <c r="U942" s="351"/>
    </row>
    <row r="943" spans="1:21" ht="34.5" customHeight="1">
      <c r="A943" s="24">
        <f t="shared" si="3"/>
        <v>929</v>
      </c>
      <c r="B943" s="488" t="s">
        <v>294</v>
      </c>
      <c r="C943" s="351"/>
      <c r="D943" s="489" t="s">
        <v>294</v>
      </c>
      <c r="E943" s="351"/>
      <c r="F943" s="485" t="s">
        <v>325</v>
      </c>
      <c r="G943" s="351"/>
      <c r="H943" s="487"/>
      <c r="I943" s="350"/>
      <c r="J943" s="351"/>
      <c r="K943" s="485" t="s">
        <v>325</v>
      </c>
      <c r="L943" s="350"/>
      <c r="M943" s="351"/>
      <c r="N943" s="490" t="s">
        <v>294</v>
      </c>
      <c r="O943" s="350"/>
      <c r="P943" s="350"/>
      <c r="Q943" s="350"/>
      <c r="R943" s="350"/>
      <c r="S943" s="350"/>
      <c r="T943" s="350"/>
      <c r="U943" s="351"/>
    </row>
    <row r="944" spans="1:21" ht="34.5" customHeight="1">
      <c r="A944" s="24">
        <f t="shared" si="3"/>
        <v>930</v>
      </c>
      <c r="B944" s="483" t="s">
        <v>331</v>
      </c>
      <c r="C944" s="351"/>
      <c r="D944" s="484" t="s">
        <v>294</v>
      </c>
      <c r="E944" s="351"/>
      <c r="F944" s="485" t="s">
        <v>325</v>
      </c>
      <c r="G944" s="351"/>
      <c r="H944" s="486"/>
      <c r="I944" s="350"/>
      <c r="J944" s="351"/>
      <c r="K944" s="485" t="s">
        <v>325</v>
      </c>
      <c r="L944" s="350"/>
      <c r="M944" s="351"/>
      <c r="N944" s="491" t="s">
        <v>294</v>
      </c>
      <c r="O944" s="350"/>
      <c r="P944" s="350"/>
      <c r="Q944" s="350"/>
      <c r="R944" s="350"/>
      <c r="S944" s="350"/>
      <c r="T944" s="350"/>
      <c r="U944" s="351"/>
    </row>
    <row r="945" spans="1:21" ht="34.5" customHeight="1">
      <c r="A945" s="24">
        <f t="shared" si="3"/>
        <v>931</v>
      </c>
      <c r="B945" s="488" t="s">
        <v>294</v>
      </c>
      <c r="C945" s="351"/>
      <c r="D945" s="489" t="s">
        <v>294</v>
      </c>
      <c r="E945" s="351"/>
      <c r="F945" s="485" t="s">
        <v>325</v>
      </c>
      <c r="G945" s="351"/>
      <c r="H945" s="487"/>
      <c r="I945" s="350"/>
      <c r="J945" s="351"/>
      <c r="K945" s="485" t="s">
        <v>325</v>
      </c>
      <c r="L945" s="350"/>
      <c r="M945" s="351"/>
      <c r="N945" s="490" t="s">
        <v>294</v>
      </c>
      <c r="O945" s="350"/>
      <c r="P945" s="350"/>
      <c r="Q945" s="350"/>
      <c r="R945" s="350"/>
      <c r="S945" s="350"/>
      <c r="T945" s="350"/>
      <c r="U945" s="351"/>
    </row>
    <row r="946" spans="1:21" ht="34.5" customHeight="1">
      <c r="A946" s="24">
        <f t="shared" si="3"/>
        <v>932</v>
      </c>
      <c r="B946" s="483" t="s">
        <v>294</v>
      </c>
      <c r="C946" s="351"/>
      <c r="D946" s="484" t="s">
        <v>294</v>
      </c>
      <c r="E946" s="351"/>
      <c r="F946" s="485" t="s">
        <v>325</v>
      </c>
      <c r="G946" s="351"/>
      <c r="H946" s="486"/>
      <c r="I946" s="350"/>
      <c r="J946" s="351"/>
      <c r="K946" s="485" t="s">
        <v>325</v>
      </c>
      <c r="L946" s="350"/>
      <c r="M946" s="351"/>
      <c r="N946" s="491" t="s">
        <v>294</v>
      </c>
      <c r="O946" s="350"/>
      <c r="P946" s="350"/>
      <c r="Q946" s="350"/>
      <c r="R946" s="350"/>
      <c r="S946" s="350"/>
      <c r="T946" s="350"/>
      <c r="U946" s="351"/>
    </row>
    <row r="947" spans="1:21" ht="34.5" customHeight="1">
      <c r="A947" s="24">
        <f t="shared" si="3"/>
        <v>933</v>
      </c>
      <c r="B947" s="488" t="s">
        <v>294</v>
      </c>
      <c r="C947" s="351"/>
      <c r="D947" s="489" t="s">
        <v>294</v>
      </c>
      <c r="E947" s="351"/>
      <c r="F947" s="485" t="s">
        <v>325</v>
      </c>
      <c r="G947" s="351"/>
      <c r="H947" s="487"/>
      <c r="I947" s="350"/>
      <c r="J947" s="351"/>
      <c r="K947" s="485" t="s">
        <v>325</v>
      </c>
      <c r="L947" s="350"/>
      <c r="M947" s="351"/>
      <c r="N947" s="490" t="s">
        <v>294</v>
      </c>
      <c r="O947" s="350"/>
      <c r="P947" s="350"/>
      <c r="Q947" s="350"/>
      <c r="R947" s="350"/>
      <c r="S947" s="350"/>
      <c r="T947" s="350"/>
      <c r="U947" s="351"/>
    </row>
    <row r="948" spans="1:21" ht="34.5" customHeight="1">
      <c r="A948" s="24">
        <f t="shared" si="3"/>
        <v>934</v>
      </c>
      <c r="B948" s="483" t="s">
        <v>294</v>
      </c>
      <c r="C948" s="351"/>
      <c r="D948" s="484" t="s">
        <v>294</v>
      </c>
      <c r="E948" s="351"/>
      <c r="F948" s="485" t="s">
        <v>325</v>
      </c>
      <c r="G948" s="351"/>
      <c r="H948" s="486"/>
      <c r="I948" s="350"/>
      <c r="J948" s="351"/>
      <c r="K948" s="485" t="s">
        <v>325</v>
      </c>
      <c r="L948" s="350"/>
      <c r="M948" s="351"/>
      <c r="N948" s="491" t="s">
        <v>294</v>
      </c>
      <c r="O948" s="350"/>
      <c r="P948" s="350"/>
      <c r="Q948" s="350"/>
      <c r="R948" s="350"/>
      <c r="S948" s="350"/>
      <c r="T948" s="350"/>
      <c r="U948" s="351"/>
    </row>
    <row r="949" spans="1:21" ht="34.5" customHeight="1">
      <c r="A949" s="24">
        <f t="shared" si="3"/>
        <v>935</v>
      </c>
      <c r="B949" s="488" t="s">
        <v>294</v>
      </c>
      <c r="C949" s="351"/>
      <c r="D949" s="489" t="s">
        <v>294</v>
      </c>
      <c r="E949" s="351"/>
      <c r="F949" s="485" t="s">
        <v>325</v>
      </c>
      <c r="G949" s="351"/>
      <c r="H949" s="487"/>
      <c r="I949" s="350"/>
      <c r="J949" s="351"/>
      <c r="K949" s="485" t="s">
        <v>325</v>
      </c>
      <c r="L949" s="350"/>
      <c r="M949" s="351"/>
      <c r="N949" s="490" t="s">
        <v>294</v>
      </c>
      <c r="O949" s="350"/>
      <c r="P949" s="350"/>
      <c r="Q949" s="350"/>
      <c r="R949" s="350"/>
      <c r="S949" s="350"/>
      <c r="T949" s="350"/>
      <c r="U949" s="351"/>
    </row>
    <row r="950" spans="1:21" ht="34.5" customHeight="1">
      <c r="A950" s="24">
        <f t="shared" si="3"/>
        <v>936</v>
      </c>
      <c r="B950" s="483" t="s">
        <v>332</v>
      </c>
      <c r="C950" s="351"/>
      <c r="D950" s="484" t="s">
        <v>294</v>
      </c>
      <c r="E950" s="351"/>
      <c r="F950" s="485" t="s">
        <v>325</v>
      </c>
      <c r="G950" s="351"/>
      <c r="H950" s="486"/>
      <c r="I950" s="350"/>
      <c r="J950" s="351"/>
      <c r="K950" s="485" t="s">
        <v>325</v>
      </c>
      <c r="L950" s="350"/>
      <c r="M950" s="351"/>
      <c r="N950" s="491" t="s">
        <v>294</v>
      </c>
      <c r="O950" s="350"/>
      <c r="P950" s="350"/>
      <c r="Q950" s="350"/>
      <c r="R950" s="350"/>
      <c r="S950" s="350"/>
      <c r="T950" s="350"/>
      <c r="U950" s="351"/>
    </row>
    <row r="951" spans="1:21" ht="34.5" customHeight="1">
      <c r="A951" s="24">
        <f t="shared" si="3"/>
        <v>937</v>
      </c>
      <c r="B951" s="488" t="s">
        <v>294</v>
      </c>
      <c r="C951" s="351"/>
      <c r="D951" s="489" t="s">
        <v>294</v>
      </c>
      <c r="E951" s="351"/>
      <c r="F951" s="485" t="s">
        <v>325</v>
      </c>
      <c r="G951" s="351"/>
      <c r="H951" s="487"/>
      <c r="I951" s="350"/>
      <c r="J951" s="351"/>
      <c r="K951" s="485" t="s">
        <v>325</v>
      </c>
      <c r="L951" s="350"/>
      <c r="M951" s="351"/>
      <c r="N951" s="490" t="s">
        <v>294</v>
      </c>
      <c r="O951" s="350"/>
      <c r="P951" s="350"/>
      <c r="Q951" s="350"/>
      <c r="R951" s="350"/>
      <c r="S951" s="350"/>
      <c r="T951" s="350"/>
      <c r="U951" s="351"/>
    </row>
    <row r="952" spans="1:21" ht="34.5" customHeight="1">
      <c r="A952" s="24">
        <f t="shared" si="3"/>
        <v>938</v>
      </c>
      <c r="B952" s="483" t="s">
        <v>294</v>
      </c>
      <c r="C952" s="351"/>
      <c r="D952" s="484" t="s">
        <v>294</v>
      </c>
      <c r="E952" s="351"/>
      <c r="F952" s="485" t="s">
        <v>325</v>
      </c>
      <c r="G952" s="351"/>
      <c r="H952" s="486"/>
      <c r="I952" s="350"/>
      <c r="J952" s="351"/>
      <c r="K952" s="485" t="s">
        <v>325</v>
      </c>
      <c r="L952" s="350"/>
      <c r="M952" s="351"/>
      <c r="N952" s="491" t="s">
        <v>294</v>
      </c>
      <c r="O952" s="350"/>
      <c r="P952" s="350"/>
      <c r="Q952" s="350"/>
      <c r="R952" s="350"/>
      <c r="S952" s="350"/>
      <c r="T952" s="350"/>
      <c r="U952" s="351"/>
    </row>
    <row r="953" spans="1:21" ht="34.5" customHeight="1">
      <c r="A953" s="24">
        <f t="shared" si="3"/>
        <v>939</v>
      </c>
      <c r="B953" s="488" t="s">
        <v>294</v>
      </c>
      <c r="C953" s="351"/>
      <c r="D953" s="489" t="s">
        <v>294</v>
      </c>
      <c r="E953" s="351"/>
      <c r="F953" s="485" t="s">
        <v>325</v>
      </c>
      <c r="G953" s="351"/>
      <c r="H953" s="487"/>
      <c r="I953" s="350"/>
      <c r="J953" s="351"/>
      <c r="K953" s="485" t="s">
        <v>325</v>
      </c>
      <c r="L953" s="350"/>
      <c r="M953" s="351"/>
      <c r="N953" s="490" t="s">
        <v>294</v>
      </c>
      <c r="O953" s="350"/>
      <c r="P953" s="350"/>
      <c r="Q953" s="350"/>
      <c r="R953" s="350"/>
      <c r="S953" s="350"/>
      <c r="T953" s="350"/>
      <c r="U953" s="351"/>
    </row>
    <row r="954" spans="1:21" ht="34.5" customHeight="1">
      <c r="A954" s="24">
        <f t="shared" si="3"/>
        <v>940</v>
      </c>
      <c r="B954" s="483" t="s">
        <v>294</v>
      </c>
      <c r="C954" s="351"/>
      <c r="D954" s="484" t="s">
        <v>294</v>
      </c>
      <c r="E954" s="351"/>
      <c r="F954" s="485" t="s">
        <v>325</v>
      </c>
      <c r="G954" s="351"/>
      <c r="H954" s="486"/>
      <c r="I954" s="350"/>
      <c r="J954" s="351"/>
      <c r="K954" s="485" t="s">
        <v>325</v>
      </c>
      <c r="L954" s="350"/>
      <c r="M954" s="351"/>
      <c r="N954" s="491" t="s">
        <v>294</v>
      </c>
      <c r="O954" s="350"/>
      <c r="P954" s="350"/>
      <c r="Q954" s="350"/>
      <c r="R954" s="350"/>
      <c r="S954" s="350"/>
      <c r="T954" s="350"/>
      <c r="U954" s="351"/>
    </row>
    <row r="955" spans="1:21" ht="34.5" customHeight="1">
      <c r="A955" s="24">
        <f t="shared" si="3"/>
        <v>941</v>
      </c>
      <c r="B955" s="488" t="s">
        <v>294</v>
      </c>
      <c r="C955" s="351"/>
      <c r="D955" s="489" t="s">
        <v>294</v>
      </c>
      <c r="E955" s="351"/>
      <c r="F955" s="485" t="s">
        <v>325</v>
      </c>
      <c r="G955" s="351"/>
      <c r="H955" s="487"/>
      <c r="I955" s="350"/>
      <c r="J955" s="351"/>
      <c r="K955" s="485" t="s">
        <v>325</v>
      </c>
      <c r="L955" s="350"/>
      <c r="M955" s="351"/>
      <c r="N955" s="490" t="s">
        <v>294</v>
      </c>
      <c r="O955" s="350"/>
      <c r="P955" s="350"/>
      <c r="Q955" s="350"/>
      <c r="R955" s="350"/>
      <c r="S955" s="350"/>
      <c r="T955" s="350"/>
      <c r="U955" s="351"/>
    </row>
    <row r="956" spans="1:21" ht="34.5" customHeight="1">
      <c r="A956" s="24">
        <f t="shared" si="3"/>
        <v>942</v>
      </c>
      <c r="B956" s="483" t="s">
        <v>294</v>
      </c>
      <c r="C956" s="351"/>
      <c r="D956" s="484" t="s">
        <v>294</v>
      </c>
      <c r="E956" s="351"/>
      <c r="F956" s="485" t="s">
        <v>325</v>
      </c>
      <c r="G956" s="351"/>
      <c r="H956" s="486"/>
      <c r="I956" s="350"/>
      <c r="J956" s="351"/>
      <c r="K956" s="485" t="s">
        <v>325</v>
      </c>
      <c r="L956" s="350"/>
      <c r="M956" s="351"/>
      <c r="N956" s="491" t="s">
        <v>294</v>
      </c>
      <c r="O956" s="350"/>
      <c r="P956" s="350"/>
      <c r="Q956" s="350"/>
      <c r="R956" s="350"/>
      <c r="S956" s="350"/>
      <c r="T956" s="350"/>
      <c r="U956" s="351"/>
    </row>
    <row r="957" spans="1:21" ht="34.5" customHeight="1">
      <c r="A957" s="24">
        <f t="shared" si="3"/>
        <v>943</v>
      </c>
      <c r="B957" s="488" t="s">
        <v>294</v>
      </c>
      <c r="C957" s="351"/>
      <c r="D957" s="489" t="s">
        <v>294</v>
      </c>
      <c r="E957" s="351"/>
      <c r="F957" s="485" t="s">
        <v>325</v>
      </c>
      <c r="G957" s="351"/>
      <c r="H957" s="487"/>
      <c r="I957" s="350"/>
      <c r="J957" s="351"/>
      <c r="K957" s="485" t="s">
        <v>325</v>
      </c>
      <c r="L957" s="350"/>
      <c r="M957" s="351"/>
      <c r="N957" s="490" t="s">
        <v>294</v>
      </c>
      <c r="O957" s="350"/>
      <c r="P957" s="350"/>
      <c r="Q957" s="350"/>
      <c r="R957" s="350"/>
      <c r="S957" s="350"/>
      <c r="T957" s="350"/>
      <c r="U957" s="351"/>
    </row>
    <row r="958" spans="1:21" ht="34.5" customHeight="1">
      <c r="A958" s="24">
        <f t="shared" si="3"/>
        <v>944</v>
      </c>
      <c r="B958" s="483" t="s">
        <v>294</v>
      </c>
      <c r="C958" s="351"/>
      <c r="D958" s="484" t="s">
        <v>294</v>
      </c>
      <c r="E958" s="351"/>
      <c r="F958" s="485" t="s">
        <v>325</v>
      </c>
      <c r="G958" s="351"/>
      <c r="H958" s="486"/>
      <c r="I958" s="350"/>
      <c r="J958" s="351"/>
      <c r="K958" s="485" t="s">
        <v>325</v>
      </c>
      <c r="L958" s="350"/>
      <c r="M958" s="351"/>
      <c r="N958" s="491" t="s">
        <v>294</v>
      </c>
      <c r="O958" s="350"/>
      <c r="P958" s="350"/>
      <c r="Q958" s="350"/>
      <c r="R958" s="350"/>
      <c r="S958" s="350"/>
      <c r="T958" s="350"/>
      <c r="U958" s="351"/>
    </row>
    <row r="959" spans="1:21" ht="34.5" customHeight="1">
      <c r="A959" s="24">
        <f t="shared" si="3"/>
        <v>945</v>
      </c>
      <c r="B959" s="488" t="s">
        <v>294</v>
      </c>
      <c r="C959" s="351"/>
      <c r="D959" s="489" t="s">
        <v>294</v>
      </c>
      <c r="E959" s="351"/>
      <c r="F959" s="485" t="s">
        <v>325</v>
      </c>
      <c r="G959" s="351"/>
      <c r="H959" s="487"/>
      <c r="I959" s="350"/>
      <c r="J959" s="351"/>
      <c r="K959" s="485" t="s">
        <v>325</v>
      </c>
      <c r="L959" s="350"/>
      <c r="M959" s="351"/>
      <c r="N959" s="490" t="s">
        <v>294</v>
      </c>
      <c r="O959" s="350"/>
      <c r="P959" s="350"/>
      <c r="Q959" s="350"/>
      <c r="R959" s="350"/>
      <c r="S959" s="350"/>
      <c r="T959" s="350"/>
      <c r="U959" s="351"/>
    </row>
    <row r="960" spans="1:21" ht="34.5" customHeight="1">
      <c r="A960" s="24">
        <f t="shared" si="3"/>
        <v>946</v>
      </c>
      <c r="B960" s="483" t="s">
        <v>294</v>
      </c>
      <c r="C960" s="351"/>
      <c r="D960" s="484" t="s">
        <v>294</v>
      </c>
      <c r="E960" s="351"/>
      <c r="F960" s="485" t="s">
        <v>325</v>
      </c>
      <c r="G960" s="351"/>
      <c r="H960" s="486"/>
      <c r="I960" s="350"/>
      <c r="J960" s="351"/>
      <c r="K960" s="485" t="s">
        <v>325</v>
      </c>
      <c r="L960" s="350"/>
      <c r="M960" s="351"/>
      <c r="N960" s="491" t="s">
        <v>294</v>
      </c>
      <c r="O960" s="350"/>
      <c r="P960" s="350"/>
      <c r="Q960" s="350"/>
      <c r="R960" s="350"/>
      <c r="S960" s="350"/>
      <c r="T960" s="350"/>
      <c r="U960" s="351"/>
    </row>
    <row r="961" spans="1:21" ht="34.5" customHeight="1">
      <c r="A961" s="24">
        <f t="shared" si="3"/>
        <v>947</v>
      </c>
      <c r="B961" s="488" t="s">
        <v>294</v>
      </c>
      <c r="C961" s="351"/>
      <c r="D961" s="489" t="s">
        <v>294</v>
      </c>
      <c r="E961" s="351"/>
      <c r="F961" s="485" t="s">
        <v>325</v>
      </c>
      <c r="G961" s="351"/>
      <c r="H961" s="487"/>
      <c r="I961" s="350"/>
      <c r="J961" s="351"/>
      <c r="K961" s="485" t="s">
        <v>325</v>
      </c>
      <c r="L961" s="350"/>
      <c r="M961" s="351"/>
      <c r="N961" s="490" t="s">
        <v>294</v>
      </c>
      <c r="O961" s="350"/>
      <c r="P961" s="350"/>
      <c r="Q961" s="350"/>
      <c r="R961" s="350"/>
      <c r="S961" s="350"/>
      <c r="T961" s="350"/>
      <c r="U961" s="351"/>
    </row>
    <row r="962" spans="1:21" ht="34.5" customHeight="1">
      <c r="A962" s="24">
        <f t="shared" si="3"/>
        <v>948</v>
      </c>
      <c r="B962" s="483" t="s">
        <v>333</v>
      </c>
      <c r="C962" s="351"/>
      <c r="D962" s="484" t="s">
        <v>294</v>
      </c>
      <c r="E962" s="351"/>
      <c r="F962" s="485" t="s">
        <v>325</v>
      </c>
      <c r="G962" s="351"/>
      <c r="H962" s="486"/>
      <c r="I962" s="350"/>
      <c r="J962" s="351"/>
      <c r="K962" s="485" t="s">
        <v>325</v>
      </c>
      <c r="L962" s="350"/>
      <c r="M962" s="351"/>
      <c r="N962" s="491" t="s">
        <v>294</v>
      </c>
      <c r="O962" s="350"/>
      <c r="P962" s="350"/>
      <c r="Q962" s="350"/>
      <c r="R962" s="350"/>
      <c r="S962" s="350"/>
      <c r="T962" s="350"/>
      <c r="U962" s="351"/>
    </row>
    <row r="963" spans="1:21" ht="34.5" customHeight="1">
      <c r="A963" s="24">
        <f t="shared" si="3"/>
        <v>949</v>
      </c>
      <c r="B963" s="488" t="s">
        <v>294</v>
      </c>
      <c r="C963" s="351"/>
      <c r="D963" s="489" t="s">
        <v>294</v>
      </c>
      <c r="E963" s="351"/>
      <c r="F963" s="485" t="s">
        <v>325</v>
      </c>
      <c r="G963" s="351"/>
      <c r="H963" s="487"/>
      <c r="I963" s="350"/>
      <c r="J963" s="351"/>
      <c r="K963" s="485" t="s">
        <v>325</v>
      </c>
      <c r="L963" s="350"/>
      <c r="M963" s="351"/>
      <c r="N963" s="490" t="s">
        <v>294</v>
      </c>
      <c r="O963" s="350"/>
      <c r="P963" s="350"/>
      <c r="Q963" s="350"/>
      <c r="R963" s="350"/>
      <c r="S963" s="350"/>
      <c r="T963" s="350"/>
      <c r="U963" s="351"/>
    </row>
    <row r="964" spans="1:21" ht="34.5" customHeight="1">
      <c r="A964" s="24">
        <f t="shared" si="3"/>
        <v>950</v>
      </c>
      <c r="B964" s="483" t="s">
        <v>294</v>
      </c>
      <c r="C964" s="351"/>
      <c r="D964" s="484" t="s">
        <v>294</v>
      </c>
      <c r="E964" s="351"/>
      <c r="F964" s="485" t="s">
        <v>325</v>
      </c>
      <c r="G964" s="351"/>
      <c r="H964" s="486"/>
      <c r="I964" s="350"/>
      <c r="J964" s="351"/>
      <c r="K964" s="485" t="s">
        <v>325</v>
      </c>
      <c r="L964" s="350"/>
      <c r="M964" s="351"/>
      <c r="N964" s="491" t="s">
        <v>294</v>
      </c>
      <c r="O964" s="350"/>
      <c r="P964" s="350"/>
      <c r="Q964" s="350"/>
      <c r="R964" s="350"/>
      <c r="S964" s="350"/>
      <c r="T964" s="350"/>
      <c r="U964" s="351"/>
    </row>
    <row r="965" spans="1:21" ht="34.5" customHeight="1">
      <c r="A965" s="24">
        <f t="shared" si="3"/>
        <v>951</v>
      </c>
      <c r="B965" s="488" t="s">
        <v>294</v>
      </c>
      <c r="C965" s="351"/>
      <c r="D965" s="489" t="s">
        <v>294</v>
      </c>
      <c r="E965" s="351"/>
      <c r="F965" s="485" t="s">
        <v>325</v>
      </c>
      <c r="G965" s="351"/>
      <c r="H965" s="487"/>
      <c r="I965" s="350"/>
      <c r="J965" s="351"/>
      <c r="K965" s="485" t="s">
        <v>325</v>
      </c>
      <c r="L965" s="350"/>
      <c r="M965" s="351"/>
      <c r="N965" s="490" t="s">
        <v>294</v>
      </c>
      <c r="O965" s="350"/>
      <c r="P965" s="350"/>
      <c r="Q965" s="350"/>
      <c r="R965" s="350"/>
      <c r="S965" s="350"/>
      <c r="T965" s="350"/>
      <c r="U965" s="351"/>
    </row>
    <row r="966" spans="1:21" ht="34.5" customHeight="1">
      <c r="A966" s="24">
        <f t="shared" si="3"/>
        <v>952</v>
      </c>
      <c r="B966" s="483" t="s">
        <v>294</v>
      </c>
      <c r="C966" s="351"/>
      <c r="D966" s="484" t="s">
        <v>294</v>
      </c>
      <c r="E966" s="351"/>
      <c r="F966" s="485" t="s">
        <v>325</v>
      </c>
      <c r="G966" s="351"/>
      <c r="H966" s="486"/>
      <c r="I966" s="350"/>
      <c r="J966" s="351"/>
      <c r="K966" s="485" t="s">
        <v>325</v>
      </c>
      <c r="L966" s="350"/>
      <c r="M966" s="351"/>
      <c r="N966" s="491" t="s">
        <v>294</v>
      </c>
      <c r="O966" s="350"/>
      <c r="P966" s="350"/>
      <c r="Q966" s="350"/>
      <c r="R966" s="350"/>
      <c r="S966" s="350"/>
      <c r="T966" s="350"/>
      <c r="U966" s="351"/>
    </row>
    <row r="967" spans="1:21" ht="34.5" customHeight="1">
      <c r="A967" s="24">
        <f t="shared" si="3"/>
        <v>953</v>
      </c>
      <c r="B967" s="488" t="s">
        <v>294</v>
      </c>
      <c r="C967" s="351"/>
      <c r="D967" s="489" t="s">
        <v>294</v>
      </c>
      <c r="E967" s="351"/>
      <c r="F967" s="485" t="s">
        <v>325</v>
      </c>
      <c r="G967" s="351"/>
      <c r="H967" s="487"/>
      <c r="I967" s="350"/>
      <c r="J967" s="351"/>
      <c r="K967" s="485" t="s">
        <v>325</v>
      </c>
      <c r="L967" s="350"/>
      <c r="M967" s="351"/>
      <c r="N967" s="490" t="s">
        <v>294</v>
      </c>
      <c r="O967" s="350"/>
      <c r="P967" s="350"/>
      <c r="Q967" s="350"/>
      <c r="R967" s="350"/>
      <c r="S967" s="350"/>
      <c r="T967" s="350"/>
      <c r="U967" s="351"/>
    </row>
    <row r="968" spans="1:21" ht="34.5" customHeight="1">
      <c r="A968" s="24">
        <f t="shared" si="3"/>
        <v>954</v>
      </c>
      <c r="B968" s="483" t="s">
        <v>330</v>
      </c>
      <c r="C968" s="351"/>
      <c r="D968" s="484" t="s">
        <v>294</v>
      </c>
      <c r="E968" s="351"/>
      <c r="F968" s="485" t="s">
        <v>325</v>
      </c>
      <c r="G968" s="351"/>
      <c r="H968" s="486"/>
      <c r="I968" s="350"/>
      <c r="J968" s="351"/>
      <c r="K968" s="485" t="s">
        <v>325</v>
      </c>
      <c r="L968" s="350"/>
      <c r="M968" s="351"/>
      <c r="N968" s="491" t="s">
        <v>294</v>
      </c>
      <c r="O968" s="350"/>
      <c r="P968" s="350"/>
      <c r="Q968" s="350"/>
      <c r="R968" s="350"/>
      <c r="S968" s="350"/>
      <c r="T968" s="350"/>
      <c r="U968" s="351"/>
    </row>
    <row r="969" spans="1:21" ht="34.5" customHeight="1">
      <c r="A969" s="24">
        <f t="shared" si="3"/>
        <v>955</v>
      </c>
      <c r="B969" s="488" t="s">
        <v>294</v>
      </c>
      <c r="C969" s="351"/>
      <c r="D969" s="489" t="s">
        <v>294</v>
      </c>
      <c r="E969" s="351"/>
      <c r="F969" s="485" t="s">
        <v>325</v>
      </c>
      <c r="G969" s="351"/>
      <c r="H969" s="487"/>
      <c r="I969" s="350"/>
      <c r="J969" s="351"/>
      <c r="K969" s="485" t="s">
        <v>325</v>
      </c>
      <c r="L969" s="350"/>
      <c r="M969" s="351"/>
      <c r="N969" s="490" t="s">
        <v>294</v>
      </c>
      <c r="O969" s="350"/>
      <c r="P969" s="350"/>
      <c r="Q969" s="350"/>
      <c r="R969" s="350"/>
      <c r="S969" s="350"/>
      <c r="T969" s="350"/>
      <c r="U969" s="351"/>
    </row>
    <row r="970" spans="1:21" ht="34.5" customHeight="1">
      <c r="A970" s="24">
        <f t="shared" si="3"/>
        <v>956</v>
      </c>
      <c r="B970" s="483" t="s">
        <v>294</v>
      </c>
      <c r="C970" s="351"/>
      <c r="D970" s="484" t="s">
        <v>294</v>
      </c>
      <c r="E970" s="351"/>
      <c r="F970" s="485" t="s">
        <v>325</v>
      </c>
      <c r="G970" s="351"/>
      <c r="H970" s="486"/>
      <c r="I970" s="350"/>
      <c r="J970" s="351"/>
      <c r="K970" s="485" t="s">
        <v>325</v>
      </c>
      <c r="L970" s="350"/>
      <c r="M970" s="351"/>
      <c r="N970" s="491" t="s">
        <v>294</v>
      </c>
      <c r="O970" s="350"/>
      <c r="P970" s="350"/>
      <c r="Q970" s="350"/>
      <c r="R970" s="350"/>
      <c r="S970" s="350"/>
      <c r="T970" s="350"/>
      <c r="U970" s="351"/>
    </row>
    <row r="971" spans="1:21" ht="34.5" customHeight="1">
      <c r="A971" s="24">
        <f t="shared" si="3"/>
        <v>957</v>
      </c>
      <c r="B971" s="488" t="s">
        <v>294</v>
      </c>
      <c r="C971" s="351"/>
      <c r="D971" s="489" t="s">
        <v>294</v>
      </c>
      <c r="E971" s="351"/>
      <c r="F971" s="485" t="s">
        <v>325</v>
      </c>
      <c r="G971" s="351"/>
      <c r="H971" s="487"/>
      <c r="I971" s="350"/>
      <c r="J971" s="351"/>
      <c r="K971" s="485" t="s">
        <v>325</v>
      </c>
      <c r="L971" s="350"/>
      <c r="M971" s="351"/>
      <c r="N971" s="490" t="s">
        <v>294</v>
      </c>
      <c r="O971" s="350"/>
      <c r="P971" s="350"/>
      <c r="Q971" s="350"/>
      <c r="R971" s="350"/>
      <c r="S971" s="350"/>
      <c r="T971" s="350"/>
      <c r="U971" s="351"/>
    </row>
    <row r="972" spans="1:21" ht="34.5" customHeight="1">
      <c r="A972" s="24">
        <f t="shared" si="3"/>
        <v>958</v>
      </c>
      <c r="B972" s="483" t="s">
        <v>294</v>
      </c>
      <c r="C972" s="351"/>
      <c r="D972" s="484" t="s">
        <v>294</v>
      </c>
      <c r="E972" s="351"/>
      <c r="F972" s="485" t="s">
        <v>325</v>
      </c>
      <c r="G972" s="351"/>
      <c r="H972" s="486"/>
      <c r="I972" s="350"/>
      <c r="J972" s="351"/>
      <c r="K972" s="485" t="s">
        <v>325</v>
      </c>
      <c r="L972" s="350"/>
      <c r="M972" s="351"/>
      <c r="N972" s="491" t="s">
        <v>294</v>
      </c>
      <c r="O972" s="350"/>
      <c r="P972" s="350"/>
      <c r="Q972" s="350"/>
      <c r="R972" s="350"/>
      <c r="S972" s="350"/>
      <c r="T972" s="350"/>
      <c r="U972" s="351"/>
    </row>
    <row r="973" spans="1:21" ht="34.5" customHeight="1">
      <c r="A973" s="24">
        <f t="shared" si="3"/>
        <v>959</v>
      </c>
      <c r="B973" s="488" t="s">
        <v>334</v>
      </c>
      <c r="C973" s="351"/>
      <c r="D973" s="489" t="s">
        <v>294</v>
      </c>
      <c r="E973" s="351"/>
      <c r="F973" s="485" t="s">
        <v>325</v>
      </c>
      <c r="G973" s="351"/>
      <c r="H973" s="487"/>
      <c r="I973" s="350"/>
      <c r="J973" s="351"/>
      <c r="K973" s="485" t="s">
        <v>325</v>
      </c>
      <c r="L973" s="350"/>
      <c r="M973" s="351"/>
      <c r="N973" s="490" t="s">
        <v>294</v>
      </c>
      <c r="O973" s="350"/>
      <c r="P973" s="350"/>
      <c r="Q973" s="350"/>
      <c r="R973" s="350"/>
      <c r="S973" s="350"/>
      <c r="T973" s="350"/>
      <c r="U973" s="351"/>
    </row>
    <row r="974" spans="1:21" ht="34.5" customHeight="1">
      <c r="A974" s="24">
        <f t="shared" si="3"/>
        <v>960</v>
      </c>
      <c r="B974" s="483" t="s">
        <v>294</v>
      </c>
      <c r="C974" s="351"/>
      <c r="D974" s="484" t="s">
        <v>294</v>
      </c>
      <c r="E974" s="351"/>
      <c r="F974" s="485" t="s">
        <v>325</v>
      </c>
      <c r="G974" s="351"/>
      <c r="H974" s="486"/>
      <c r="I974" s="350"/>
      <c r="J974" s="351"/>
      <c r="K974" s="485" t="s">
        <v>325</v>
      </c>
      <c r="L974" s="350"/>
      <c r="M974" s="351"/>
      <c r="N974" s="491" t="s">
        <v>294</v>
      </c>
      <c r="O974" s="350"/>
      <c r="P974" s="350"/>
      <c r="Q974" s="350"/>
      <c r="R974" s="350"/>
      <c r="S974" s="350"/>
      <c r="T974" s="350"/>
      <c r="U974" s="351"/>
    </row>
    <row r="975" spans="1:21" ht="34.5" customHeight="1">
      <c r="A975" s="24">
        <f t="shared" si="3"/>
        <v>961</v>
      </c>
      <c r="B975" s="488" t="s">
        <v>294</v>
      </c>
      <c r="C975" s="351"/>
      <c r="D975" s="489" t="s">
        <v>294</v>
      </c>
      <c r="E975" s="351"/>
      <c r="F975" s="485" t="s">
        <v>325</v>
      </c>
      <c r="G975" s="351"/>
      <c r="H975" s="487"/>
      <c r="I975" s="350"/>
      <c r="J975" s="351"/>
      <c r="K975" s="485" t="s">
        <v>325</v>
      </c>
      <c r="L975" s="350"/>
      <c r="M975" s="351"/>
      <c r="N975" s="490" t="s">
        <v>294</v>
      </c>
      <c r="O975" s="350"/>
      <c r="P975" s="350"/>
      <c r="Q975" s="350"/>
      <c r="R975" s="350"/>
      <c r="S975" s="350"/>
      <c r="T975" s="350"/>
      <c r="U975" s="351"/>
    </row>
    <row r="976" spans="1:21" ht="34.5" customHeight="1">
      <c r="A976" s="24">
        <f t="shared" si="3"/>
        <v>962</v>
      </c>
      <c r="B976" s="483" t="s">
        <v>294</v>
      </c>
      <c r="C976" s="351"/>
      <c r="D976" s="484" t="s">
        <v>294</v>
      </c>
      <c r="E976" s="351"/>
      <c r="F976" s="485" t="s">
        <v>325</v>
      </c>
      <c r="G976" s="351"/>
      <c r="H976" s="486"/>
      <c r="I976" s="350"/>
      <c r="J976" s="351"/>
      <c r="K976" s="485" t="s">
        <v>325</v>
      </c>
      <c r="L976" s="350"/>
      <c r="M976" s="351"/>
      <c r="N976" s="491" t="s">
        <v>294</v>
      </c>
      <c r="O976" s="350"/>
      <c r="P976" s="350"/>
      <c r="Q976" s="350"/>
      <c r="R976" s="350"/>
      <c r="S976" s="350"/>
      <c r="T976" s="350"/>
      <c r="U976" s="351"/>
    </row>
    <row r="977" spans="1:21" ht="34.5" customHeight="1">
      <c r="A977" s="24">
        <f t="shared" si="3"/>
        <v>963</v>
      </c>
      <c r="B977" s="488" t="s">
        <v>294</v>
      </c>
      <c r="C977" s="351"/>
      <c r="D977" s="489" t="s">
        <v>294</v>
      </c>
      <c r="E977" s="351"/>
      <c r="F977" s="485" t="s">
        <v>325</v>
      </c>
      <c r="G977" s="351"/>
      <c r="H977" s="487"/>
      <c r="I977" s="350"/>
      <c r="J977" s="351"/>
      <c r="K977" s="485" t="s">
        <v>325</v>
      </c>
      <c r="L977" s="350"/>
      <c r="M977" s="351"/>
      <c r="N977" s="490" t="s">
        <v>294</v>
      </c>
      <c r="O977" s="350"/>
      <c r="P977" s="350"/>
      <c r="Q977" s="350"/>
      <c r="R977" s="350"/>
      <c r="S977" s="350"/>
      <c r="T977" s="350"/>
      <c r="U977" s="351"/>
    </row>
    <row r="978" spans="1:21" ht="34.5" customHeight="1">
      <c r="A978" s="24">
        <f t="shared" si="3"/>
        <v>964</v>
      </c>
      <c r="B978" s="483" t="s">
        <v>332</v>
      </c>
      <c r="C978" s="351"/>
      <c r="D978" s="484" t="s">
        <v>294</v>
      </c>
      <c r="E978" s="351"/>
      <c r="F978" s="485" t="s">
        <v>325</v>
      </c>
      <c r="G978" s="351"/>
      <c r="H978" s="486"/>
      <c r="I978" s="350"/>
      <c r="J978" s="351"/>
      <c r="K978" s="485" t="s">
        <v>325</v>
      </c>
      <c r="L978" s="350"/>
      <c r="M978" s="351"/>
      <c r="N978" s="491" t="s">
        <v>294</v>
      </c>
      <c r="O978" s="350"/>
      <c r="P978" s="350"/>
      <c r="Q978" s="350"/>
      <c r="R978" s="350"/>
      <c r="S978" s="350"/>
      <c r="T978" s="350"/>
      <c r="U978" s="351"/>
    </row>
    <row r="979" spans="1:21" ht="34.5" customHeight="1">
      <c r="A979" s="24">
        <f t="shared" si="3"/>
        <v>965</v>
      </c>
      <c r="B979" s="488" t="s">
        <v>294</v>
      </c>
      <c r="C979" s="351"/>
      <c r="D979" s="489" t="s">
        <v>294</v>
      </c>
      <c r="E979" s="351"/>
      <c r="F979" s="485" t="s">
        <v>325</v>
      </c>
      <c r="G979" s="351"/>
      <c r="H979" s="487"/>
      <c r="I979" s="350"/>
      <c r="J979" s="351"/>
      <c r="K979" s="485" t="s">
        <v>325</v>
      </c>
      <c r="L979" s="350"/>
      <c r="M979" s="351"/>
      <c r="N979" s="490" t="s">
        <v>294</v>
      </c>
      <c r="O979" s="350"/>
      <c r="P979" s="350"/>
      <c r="Q979" s="350"/>
      <c r="R979" s="350"/>
      <c r="S979" s="350"/>
      <c r="T979" s="350"/>
      <c r="U979" s="351"/>
    </row>
    <row r="980" spans="1:21" ht="34.5" customHeight="1">
      <c r="A980" s="24">
        <f t="shared" si="3"/>
        <v>966</v>
      </c>
      <c r="B980" s="483" t="s">
        <v>294</v>
      </c>
      <c r="C980" s="351"/>
      <c r="D980" s="484" t="s">
        <v>294</v>
      </c>
      <c r="E980" s="351"/>
      <c r="F980" s="485" t="s">
        <v>325</v>
      </c>
      <c r="G980" s="351"/>
      <c r="H980" s="486"/>
      <c r="I980" s="350"/>
      <c r="J980" s="351"/>
      <c r="K980" s="485" t="s">
        <v>325</v>
      </c>
      <c r="L980" s="350"/>
      <c r="M980" s="351"/>
      <c r="N980" s="491" t="s">
        <v>294</v>
      </c>
      <c r="O980" s="350"/>
      <c r="P980" s="350"/>
      <c r="Q980" s="350"/>
      <c r="R980" s="350"/>
      <c r="S980" s="350"/>
      <c r="T980" s="350"/>
      <c r="U980" s="351"/>
    </row>
    <row r="981" spans="1:21" ht="34.5" customHeight="1">
      <c r="A981" s="24">
        <f t="shared" si="3"/>
        <v>967</v>
      </c>
      <c r="B981" s="488" t="s">
        <v>294</v>
      </c>
      <c r="C981" s="351"/>
      <c r="D981" s="489" t="s">
        <v>294</v>
      </c>
      <c r="E981" s="351"/>
      <c r="F981" s="485" t="s">
        <v>325</v>
      </c>
      <c r="G981" s="351"/>
      <c r="H981" s="487"/>
      <c r="I981" s="350"/>
      <c r="J981" s="351"/>
      <c r="K981" s="485" t="s">
        <v>325</v>
      </c>
      <c r="L981" s="350"/>
      <c r="M981" s="351"/>
      <c r="N981" s="490" t="s">
        <v>294</v>
      </c>
      <c r="O981" s="350"/>
      <c r="P981" s="350"/>
      <c r="Q981" s="350"/>
      <c r="R981" s="350"/>
      <c r="S981" s="350"/>
      <c r="T981" s="350"/>
      <c r="U981" s="351"/>
    </row>
    <row r="982" spans="1:21" ht="34.5" customHeight="1">
      <c r="A982" s="24">
        <f t="shared" si="3"/>
        <v>968</v>
      </c>
      <c r="B982" s="483" t="s">
        <v>294</v>
      </c>
      <c r="C982" s="351"/>
      <c r="D982" s="484" t="s">
        <v>294</v>
      </c>
      <c r="E982" s="351"/>
      <c r="F982" s="485" t="s">
        <v>325</v>
      </c>
      <c r="G982" s="351"/>
      <c r="H982" s="486"/>
      <c r="I982" s="350"/>
      <c r="J982" s="351"/>
      <c r="K982" s="485" t="s">
        <v>325</v>
      </c>
      <c r="L982" s="350"/>
      <c r="M982" s="351"/>
      <c r="N982" s="491" t="s">
        <v>294</v>
      </c>
      <c r="O982" s="350"/>
      <c r="P982" s="350"/>
      <c r="Q982" s="350"/>
      <c r="R982" s="350"/>
      <c r="S982" s="350"/>
      <c r="T982" s="350"/>
      <c r="U982" s="351"/>
    </row>
    <row r="983" spans="1:21" ht="34.5" customHeight="1">
      <c r="A983" s="24">
        <f t="shared" si="3"/>
        <v>969</v>
      </c>
      <c r="B983" s="488" t="s">
        <v>329</v>
      </c>
      <c r="C983" s="351"/>
      <c r="D983" s="489" t="s">
        <v>294</v>
      </c>
      <c r="E983" s="351"/>
      <c r="F983" s="485" t="s">
        <v>325</v>
      </c>
      <c r="G983" s="351"/>
      <c r="H983" s="487"/>
      <c r="I983" s="350"/>
      <c r="J983" s="351"/>
      <c r="K983" s="485" t="s">
        <v>325</v>
      </c>
      <c r="L983" s="350"/>
      <c r="M983" s="351"/>
      <c r="N983" s="490" t="s">
        <v>294</v>
      </c>
      <c r="O983" s="350"/>
      <c r="P983" s="350"/>
      <c r="Q983" s="350"/>
      <c r="R983" s="350"/>
      <c r="S983" s="350"/>
      <c r="T983" s="350"/>
      <c r="U983" s="351"/>
    </row>
    <row r="984" spans="1:21" ht="34.5" customHeight="1">
      <c r="A984" s="24">
        <f t="shared" si="3"/>
        <v>970</v>
      </c>
      <c r="B984" s="483" t="s">
        <v>294</v>
      </c>
      <c r="C984" s="351"/>
      <c r="D984" s="484" t="s">
        <v>294</v>
      </c>
      <c r="E984" s="351"/>
      <c r="F984" s="485" t="s">
        <v>325</v>
      </c>
      <c r="G984" s="351"/>
      <c r="H984" s="486"/>
      <c r="I984" s="350"/>
      <c r="J984" s="351"/>
      <c r="K984" s="485" t="s">
        <v>325</v>
      </c>
      <c r="L984" s="350"/>
      <c r="M984" s="351"/>
      <c r="N984" s="491" t="s">
        <v>294</v>
      </c>
      <c r="O984" s="350"/>
      <c r="P984" s="350"/>
      <c r="Q984" s="350"/>
      <c r="R984" s="350"/>
      <c r="S984" s="350"/>
      <c r="T984" s="350"/>
      <c r="U984" s="351"/>
    </row>
    <row r="985" spans="1:21" ht="34.5" customHeight="1">
      <c r="A985" s="24">
        <f t="shared" si="3"/>
        <v>971</v>
      </c>
      <c r="B985" s="488" t="s">
        <v>294</v>
      </c>
      <c r="C985" s="351"/>
      <c r="D985" s="489" t="s">
        <v>294</v>
      </c>
      <c r="E985" s="351"/>
      <c r="F985" s="485" t="s">
        <v>325</v>
      </c>
      <c r="G985" s="351"/>
      <c r="H985" s="487"/>
      <c r="I985" s="350"/>
      <c r="J985" s="351"/>
      <c r="K985" s="485" t="s">
        <v>325</v>
      </c>
      <c r="L985" s="350"/>
      <c r="M985" s="351"/>
      <c r="N985" s="490" t="s">
        <v>294</v>
      </c>
      <c r="O985" s="350"/>
      <c r="P985" s="350"/>
      <c r="Q985" s="350"/>
      <c r="R985" s="350"/>
      <c r="S985" s="350"/>
      <c r="T985" s="350"/>
      <c r="U985" s="351"/>
    </row>
    <row r="986" spans="1:21" ht="34.5" customHeight="1">
      <c r="A986" s="24">
        <f t="shared" si="3"/>
        <v>972</v>
      </c>
      <c r="B986" s="483" t="s">
        <v>294</v>
      </c>
      <c r="C986" s="351"/>
      <c r="D986" s="484" t="s">
        <v>294</v>
      </c>
      <c r="E986" s="351"/>
      <c r="F986" s="485" t="s">
        <v>325</v>
      </c>
      <c r="G986" s="351"/>
      <c r="H986" s="486"/>
      <c r="I986" s="350"/>
      <c r="J986" s="351"/>
      <c r="K986" s="485" t="s">
        <v>325</v>
      </c>
      <c r="L986" s="350"/>
      <c r="M986" s="351"/>
      <c r="N986" s="491" t="s">
        <v>294</v>
      </c>
      <c r="O986" s="350"/>
      <c r="P986" s="350"/>
      <c r="Q986" s="350"/>
      <c r="R986" s="350"/>
      <c r="S986" s="350"/>
      <c r="T986" s="350"/>
      <c r="U986" s="351"/>
    </row>
    <row r="987" spans="1:21" ht="34.5" customHeight="1">
      <c r="A987" s="24">
        <f t="shared" si="3"/>
        <v>973</v>
      </c>
      <c r="B987" s="488" t="s">
        <v>334</v>
      </c>
      <c r="C987" s="351"/>
      <c r="D987" s="489" t="s">
        <v>294</v>
      </c>
      <c r="E987" s="351"/>
      <c r="F987" s="485" t="s">
        <v>325</v>
      </c>
      <c r="G987" s="351"/>
      <c r="H987" s="487"/>
      <c r="I987" s="350"/>
      <c r="J987" s="351"/>
      <c r="K987" s="485" t="s">
        <v>325</v>
      </c>
      <c r="L987" s="350"/>
      <c r="M987" s="351"/>
      <c r="N987" s="490" t="s">
        <v>294</v>
      </c>
      <c r="O987" s="350"/>
      <c r="P987" s="350"/>
      <c r="Q987" s="350"/>
      <c r="R987" s="350"/>
      <c r="S987" s="350"/>
      <c r="T987" s="350"/>
      <c r="U987" s="351"/>
    </row>
    <row r="988" spans="1:21" ht="34.5" customHeight="1">
      <c r="A988" s="24">
        <f t="shared" si="3"/>
        <v>974</v>
      </c>
      <c r="B988" s="483" t="s">
        <v>294</v>
      </c>
      <c r="C988" s="351"/>
      <c r="D988" s="484" t="s">
        <v>294</v>
      </c>
      <c r="E988" s="351"/>
      <c r="F988" s="485" t="s">
        <v>325</v>
      </c>
      <c r="G988" s="351"/>
      <c r="H988" s="486"/>
      <c r="I988" s="350"/>
      <c r="J988" s="351"/>
      <c r="K988" s="485" t="s">
        <v>325</v>
      </c>
      <c r="L988" s="350"/>
      <c r="M988" s="351"/>
      <c r="N988" s="491" t="s">
        <v>294</v>
      </c>
      <c r="O988" s="350"/>
      <c r="P988" s="350"/>
      <c r="Q988" s="350"/>
      <c r="R988" s="350"/>
      <c r="S988" s="350"/>
      <c r="T988" s="350"/>
      <c r="U988" s="351"/>
    </row>
    <row r="989" spans="1:21" ht="34.5" customHeight="1">
      <c r="A989" s="24">
        <f t="shared" si="3"/>
        <v>975</v>
      </c>
      <c r="B989" s="488" t="s">
        <v>294</v>
      </c>
      <c r="C989" s="351"/>
      <c r="D989" s="489" t="s">
        <v>294</v>
      </c>
      <c r="E989" s="351"/>
      <c r="F989" s="485" t="s">
        <v>325</v>
      </c>
      <c r="G989" s="351"/>
      <c r="H989" s="487"/>
      <c r="I989" s="350"/>
      <c r="J989" s="351"/>
      <c r="K989" s="485" t="s">
        <v>325</v>
      </c>
      <c r="L989" s="350"/>
      <c r="M989" s="351"/>
      <c r="N989" s="490" t="s">
        <v>294</v>
      </c>
      <c r="O989" s="350"/>
      <c r="P989" s="350"/>
      <c r="Q989" s="350"/>
      <c r="R989" s="350"/>
      <c r="S989" s="350"/>
      <c r="T989" s="350"/>
      <c r="U989" s="351"/>
    </row>
    <row r="990" spans="1:21" ht="34.5" customHeight="1">
      <c r="A990" s="24">
        <f t="shared" si="3"/>
        <v>976</v>
      </c>
      <c r="B990" s="483" t="s">
        <v>294</v>
      </c>
      <c r="C990" s="351"/>
      <c r="D990" s="484" t="s">
        <v>294</v>
      </c>
      <c r="E990" s="351"/>
      <c r="F990" s="485" t="s">
        <v>325</v>
      </c>
      <c r="G990" s="351"/>
      <c r="H990" s="486"/>
      <c r="I990" s="350"/>
      <c r="J990" s="351"/>
      <c r="K990" s="485" t="s">
        <v>325</v>
      </c>
      <c r="L990" s="350"/>
      <c r="M990" s="351"/>
      <c r="N990" s="491" t="s">
        <v>294</v>
      </c>
      <c r="O990" s="350"/>
      <c r="P990" s="350"/>
      <c r="Q990" s="350"/>
      <c r="R990" s="350"/>
      <c r="S990" s="350"/>
      <c r="T990" s="350"/>
      <c r="U990" s="351"/>
    </row>
    <row r="991" spans="1:21" ht="34.5" customHeight="1">
      <c r="A991" s="24">
        <f t="shared" si="3"/>
        <v>977</v>
      </c>
      <c r="B991" s="488" t="s">
        <v>294</v>
      </c>
      <c r="C991" s="351"/>
      <c r="D991" s="489" t="s">
        <v>294</v>
      </c>
      <c r="E991" s="351"/>
      <c r="F991" s="485" t="s">
        <v>325</v>
      </c>
      <c r="G991" s="351"/>
      <c r="H991" s="487"/>
      <c r="I991" s="350"/>
      <c r="J991" s="351"/>
      <c r="K991" s="485" t="s">
        <v>325</v>
      </c>
      <c r="L991" s="350"/>
      <c r="M991" s="351"/>
      <c r="N991" s="490" t="s">
        <v>294</v>
      </c>
      <c r="O991" s="350"/>
      <c r="P991" s="350"/>
      <c r="Q991" s="350"/>
      <c r="R991" s="350"/>
      <c r="S991" s="350"/>
      <c r="T991" s="350"/>
      <c r="U991" s="351"/>
    </row>
    <row r="992" spans="1:21" ht="34.5" customHeight="1">
      <c r="A992" s="24">
        <f t="shared" si="3"/>
        <v>978</v>
      </c>
      <c r="B992" s="483" t="s">
        <v>294</v>
      </c>
      <c r="C992" s="351"/>
      <c r="D992" s="484" t="s">
        <v>294</v>
      </c>
      <c r="E992" s="351"/>
      <c r="F992" s="485" t="s">
        <v>325</v>
      </c>
      <c r="G992" s="351"/>
      <c r="H992" s="486"/>
      <c r="I992" s="350"/>
      <c r="J992" s="351"/>
      <c r="K992" s="485" t="s">
        <v>325</v>
      </c>
      <c r="L992" s="350"/>
      <c r="M992" s="351"/>
      <c r="N992" s="491" t="s">
        <v>294</v>
      </c>
      <c r="O992" s="350"/>
      <c r="P992" s="350"/>
      <c r="Q992" s="350"/>
      <c r="R992" s="350"/>
      <c r="S992" s="350"/>
      <c r="T992" s="350"/>
      <c r="U992" s="351"/>
    </row>
    <row r="993" spans="1:21" ht="34.5" customHeight="1">
      <c r="A993" s="24">
        <f t="shared" si="3"/>
        <v>979</v>
      </c>
      <c r="B993" s="488" t="s">
        <v>335</v>
      </c>
      <c r="C993" s="351"/>
      <c r="D993" s="489" t="s">
        <v>294</v>
      </c>
      <c r="E993" s="351"/>
      <c r="F993" s="485" t="s">
        <v>325</v>
      </c>
      <c r="G993" s="351"/>
      <c r="H993" s="487"/>
      <c r="I993" s="350"/>
      <c r="J993" s="351"/>
      <c r="K993" s="485" t="s">
        <v>325</v>
      </c>
      <c r="L993" s="350"/>
      <c r="M993" s="351"/>
      <c r="N993" s="490" t="s">
        <v>294</v>
      </c>
      <c r="O993" s="350"/>
      <c r="P993" s="350"/>
      <c r="Q993" s="350"/>
      <c r="R993" s="350"/>
      <c r="S993" s="350"/>
      <c r="T993" s="350"/>
      <c r="U993" s="351"/>
    </row>
    <row r="994" spans="1:21" ht="34.5" customHeight="1">
      <c r="A994" s="24">
        <f t="shared" si="3"/>
        <v>980</v>
      </c>
      <c r="B994" s="483" t="s">
        <v>294</v>
      </c>
      <c r="C994" s="351"/>
      <c r="D994" s="484" t="s">
        <v>294</v>
      </c>
      <c r="E994" s="351"/>
      <c r="F994" s="485" t="s">
        <v>325</v>
      </c>
      <c r="G994" s="351"/>
      <c r="H994" s="486"/>
      <c r="I994" s="350"/>
      <c r="J994" s="351"/>
      <c r="K994" s="485" t="s">
        <v>325</v>
      </c>
      <c r="L994" s="350"/>
      <c r="M994" s="351"/>
      <c r="N994" s="491" t="s">
        <v>294</v>
      </c>
      <c r="O994" s="350"/>
      <c r="P994" s="350"/>
      <c r="Q994" s="350"/>
      <c r="R994" s="350"/>
      <c r="S994" s="350"/>
      <c r="T994" s="350"/>
      <c r="U994" s="351"/>
    </row>
    <row r="995" spans="1:21" ht="34.5" customHeight="1">
      <c r="A995" s="24">
        <f t="shared" si="3"/>
        <v>981</v>
      </c>
      <c r="B995" s="488" t="s">
        <v>294</v>
      </c>
      <c r="C995" s="351"/>
      <c r="D995" s="489" t="s">
        <v>294</v>
      </c>
      <c r="E995" s="351"/>
      <c r="F995" s="485" t="s">
        <v>325</v>
      </c>
      <c r="G995" s="351"/>
      <c r="H995" s="487"/>
      <c r="I995" s="350"/>
      <c r="J995" s="351"/>
      <c r="K995" s="485" t="s">
        <v>325</v>
      </c>
      <c r="L995" s="350"/>
      <c r="M995" s="351"/>
      <c r="N995" s="490" t="s">
        <v>294</v>
      </c>
      <c r="O995" s="350"/>
      <c r="P995" s="350"/>
      <c r="Q995" s="350"/>
      <c r="R995" s="350"/>
      <c r="S995" s="350"/>
      <c r="T995" s="350"/>
      <c r="U995" s="351"/>
    </row>
    <row r="996" spans="1:21" ht="34.5" customHeight="1">
      <c r="A996" s="24">
        <f t="shared" si="3"/>
        <v>982</v>
      </c>
      <c r="B996" s="483" t="s">
        <v>294</v>
      </c>
      <c r="C996" s="351"/>
      <c r="D996" s="484" t="s">
        <v>294</v>
      </c>
      <c r="E996" s="351"/>
      <c r="F996" s="485" t="s">
        <v>325</v>
      </c>
      <c r="G996" s="351"/>
      <c r="H996" s="486"/>
      <c r="I996" s="350"/>
      <c r="J996" s="351"/>
      <c r="K996" s="485" t="s">
        <v>325</v>
      </c>
      <c r="L996" s="350"/>
      <c r="M996" s="351"/>
      <c r="N996" s="491" t="s">
        <v>294</v>
      </c>
      <c r="O996" s="350"/>
      <c r="P996" s="350"/>
      <c r="Q996" s="350"/>
      <c r="R996" s="350"/>
      <c r="S996" s="350"/>
      <c r="T996" s="350"/>
      <c r="U996" s="351"/>
    </row>
    <row r="997" spans="1:21" ht="34.5" customHeight="1">
      <c r="A997" s="24">
        <f t="shared" si="3"/>
        <v>983</v>
      </c>
      <c r="B997" s="488" t="s">
        <v>294</v>
      </c>
      <c r="C997" s="351"/>
      <c r="D997" s="489" t="s">
        <v>294</v>
      </c>
      <c r="E997" s="351"/>
      <c r="F997" s="485" t="s">
        <v>325</v>
      </c>
      <c r="G997" s="351"/>
      <c r="H997" s="487"/>
      <c r="I997" s="350"/>
      <c r="J997" s="351"/>
      <c r="K997" s="485" t="s">
        <v>325</v>
      </c>
      <c r="L997" s="350"/>
      <c r="M997" s="351"/>
      <c r="N997" s="490" t="s">
        <v>294</v>
      </c>
      <c r="O997" s="350"/>
      <c r="P997" s="350"/>
      <c r="Q997" s="350"/>
      <c r="R997" s="350"/>
      <c r="S997" s="350"/>
      <c r="T997" s="350"/>
      <c r="U997" s="351"/>
    </row>
    <row r="998" spans="1:21" ht="34.5" customHeight="1">
      <c r="A998" s="24">
        <f t="shared" si="3"/>
        <v>984</v>
      </c>
      <c r="B998" s="483" t="s">
        <v>294</v>
      </c>
      <c r="C998" s="351"/>
      <c r="D998" s="484" t="s">
        <v>294</v>
      </c>
      <c r="E998" s="351"/>
      <c r="F998" s="485" t="s">
        <v>325</v>
      </c>
      <c r="G998" s="351"/>
      <c r="H998" s="486"/>
      <c r="I998" s="350"/>
      <c r="J998" s="351"/>
      <c r="K998" s="485" t="s">
        <v>325</v>
      </c>
      <c r="L998" s="350"/>
      <c r="M998" s="351"/>
      <c r="N998" s="491" t="s">
        <v>294</v>
      </c>
      <c r="O998" s="350"/>
      <c r="P998" s="350"/>
      <c r="Q998" s="350"/>
      <c r="R998" s="350"/>
      <c r="S998" s="350"/>
      <c r="T998" s="350"/>
      <c r="U998" s="351"/>
    </row>
    <row r="999" spans="1:21" ht="34.5" customHeight="1">
      <c r="A999" s="24">
        <f t="shared" si="3"/>
        <v>985</v>
      </c>
      <c r="B999" s="488" t="s">
        <v>294</v>
      </c>
      <c r="C999" s="351"/>
      <c r="D999" s="489" t="s">
        <v>294</v>
      </c>
      <c r="E999" s="351"/>
      <c r="F999" s="485" t="s">
        <v>325</v>
      </c>
      <c r="G999" s="351"/>
      <c r="H999" s="487"/>
      <c r="I999" s="350"/>
      <c r="J999" s="351"/>
      <c r="K999" s="485" t="s">
        <v>325</v>
      </c>
      <c r="L999" s="350"/>
      <c r="M999" s="351"/>
      <c r="N999" s="490" t="s">
        <v>294</v>
      </c>
      <c r="O999" s="350"/>
      <c r="P999" s="350"/>
      <c r="Q999" s="350"/>
      <c r="R999" s="350"/>
      <c r="S999" s="350"/>
      <c r="T999" s="350"/>
      <c r="U999" s="351"/>
    </row>
    <row r="1000" spans="1:21" ht="34.5" customHeight="1">
      <c r="A1000" s="24">
        <f t="shared" si="3"/>
        <v>986</v>
      </c>
      <c r="B1000" s="488" t="s">
        <v>294</v>
      </c>
      <c r="C1000" s="351"/>
      <c r="D1000" s="489" t="s">
        <v>294</v>
      </c>
      <c r="E1000" s="351"/>
      <c r="F1000" s="485" t="s">
        <v>325</v>
      </c>
      <c r="G1000" s="351"/>
      <c r="H1000" s="487"/>
      <c r="I1000" s="350"/>
      <c r="J1000" s="351"/>
      <c r="K1000" s="485" t="s">
        <v>325</v>
      </c>
      <c r="L1000" s="350"/>
      <c r="M1000" s="351"/>
      <c r="N1000" s="490" t="s">
        <v>294</v>
      </c>
      <c r="O1000" s="350"/>
      <c r="P1000" s="350"/>
      <c r="Q1000" s="350"/>
      <c r="R1000" s="350"/>
      <c r="S1000" s="350"/>
      <c r="T1000" s="350"/>
      <c r="U1000" s="351"/>
    </row>
    <row r="1001" spans="1:21" ht="34.5" customHeight="1">
      <c r="A1001" s="24">
        <f t="shared" si="3"/>
        <v>987</v>
      </c>
      <c r="B1001" s="483" t="s">
        <v>294</v>
      </c>
      <c r="C1001" s="351"/>
      <c r="D1001" s="484" t="s">
        <v>294</v>
      </c>
      <c r="E1001" s="351"/>
      <c r="F1001" s="485" t="s">
        <v>325</v>
      </c>
      <c r="G1001" s="351"/>
      <c r="H1001" s="486"/>
      <c r="I1001" s="350"/>
      <c r="J1001" s="351"/>
      <c r="K1001" s="485" t="s">
        <v>325</v>
      </c>
      <c r="L1001" s="350"/>
      <c r="M1001" s="351"/>
      <c r="N1001" s="491"/>
      <c r="O1001" s="350"/>
      <c r="P1001" s="350"/>
      <c r="Q1001" s="350"/>
      <c r="R1001" s="350"/>
      <c r="S1001" s="350"/>
      <c r="T1001" s="350"/>
      <c r="U1001" s="351"/>
    </row>
    <row r="1002" spans="1:21" ht="34.5" customHeight="1">
      <c r="A1002" s="24">
        <f t="shared" si="3"/>
        <v>988</v>
      </c>
      <c r="B1002" s="488" t="s">
        <v>294</v>
      </c>
      <c r="C1002" s="351"/>
      <c r="D1002" s="489" t="s">
        <v>294</v>
      </c>
      <c r="E1002" s="351"/>
      <c r="F1002" s="485" t="s">
        <v>325</v>
      </c>
      <c r="G1002" s="351"/>
      <c r="H1002" s="487"/>
      <c r="I1002" s="350"/>
      <c r="J1002" s="351"/>
      <c r="K1002" s="485" t="s">
        <v>325</v>
      </c>
      <c r="L1002" s="350"/>
      <c r="M1002" s="351"/>
      <c r="N1002" s="490" t="s">
        <v>294</v>
      </c>
      <c r="O1002" s="350"/>
      <c r="P1002" s="350"/>
      <c r="Q1002" s="350"/>
      <c r="R1002" s="350"/>
      <c r="S1002" s="350"/>
      <c r="T1002" s="350"/>
      <c r="U1002" s="351"/>
    </row>
    <row r="1003" spans="1:21" ht="34.5" customHeight="1">
      <c r="A1003" s="24">
        <f t="shared" si="3"/>
        <v>989</v>
      </c>
      <c r="B1003" s="483" t="s">
        <v>294</v>
      </c>
      <c r="C1003" s="351"/>
      <c r="D1003" s="484" t="s">
        <v>294</v>
      </c>
      <c r="E1003" s="351"/>
      <c r="F1003" s="485" t="s">
        <v>325</v>
      </c>
      <c r="G1003" s="351"/>
      <c r="H1003" s="486"/>
      <c r="I1003" s="350"/>
      <c r="J1003" s="351"/>
      <c r="K1003" s="485" t="s">
        <v>325</v>
      </c>
      <c r="L1003" s="350"/>
      <c r="M1003" s="351"/>
      <c r="N1003" s="491" t="s">
        <v>294</v>
      </c>
      <c r="O1003" s="350"/>
      <c r="P1003" s="350"/>
      <c r="Q1003" s="350"/>
      <c r="R1003" s="350"/>
      <c r="S1003" s="350"/>
      <c r="T1003" s="350"/>
      <c r="U1003" s="351"/>
    </row>
    <row r="1004" spans="1:21" ht="34.5" customHeight="1">
      <c r="A1004" s="24">
        <f t="shared" si="3"/>
        <v>990</v>
      </c>
      <c r="B1004" s="488" t="s">
        <v>294</v>
      </c>
      <c r="C1004" s="351"/>
      <c r="D1004" s="489" t="s">
        <v>294</v>
      </c>
      <c r="E1004" s="351"/>
      <c r="F1004" s="485" t="s">
        <v>325</v>
      </c>
      <c r="G1004" s="351"/>
      <c r="H1004" s="487"/>
      <c r="I1004" s="350"/>
      <c r="J1004" s="351"/>
      <c r="K1004" s="485" t="s">
        <v>325</v>
      </c>
      <c r="L1004" s="350"/>
      <c r="M1004" s="351"/>
      <c r="N1004" s="490" t="s">
        <v>294</v>
      </c>
      <c r="O1004" s="350"/>
      <c r="P1004" s="350"/>
      <c r="Q1004" s="350"/>
      <c r="R1004" s="350"/>
      <c r="S1004" s="350"/>
      <c r="T1004" s="350"/>
      <c r="U1004" s="351"/>
    </row>
    <row r="1005" spans="1:21" ht="34.5" customHeight="1">
      <c r="A1005" s="24">
        <f t="shared" si="3"/>
        <v>991</v>
      </c>
      <c r="B1005" s="483" t="s">
        <v>294</v>
      </c>
      <c r="C1005" s="351"/>
      <c r="D1005" s="484" t="s">
        <v>294</v>
      </c>
      <c r="E1005" s="351"/>
      <c r="F1005" s="485" t="s">
        <v>325</v>
      </c>
      <c r="G1005" s="351"/>
      <c r="H1005" s="486"/>
      <c r="I1005" s="350"/>
      <c r="J1005" s="351"/>
      <c r="K1005" s="485" t="s">
        <v>325</v>
      </c>
      <c r="L1005" s="350"/>
      <c r="M1005" s="351"/>
      <c r="N1005" s="491" t="s">
        <v>294</v>
      </c>
      <c r="O1005" s="350"/>
      <c r="P1005" s="350"/>
      <c r="Q1005" s="350"/>
      <c r="R1005" s="350"/>
      <c r="S1005" s="350"/>
      <c r="T1005" s="350"/>
      <c r="U1005" s="351"/>
    </row>
    <row r="1006" spans="1:21" ht="34.5" customHeight="1">
      <c r="A1006" s="24">
        <f t="shared" si="3"/>
        <v>992</v>
      </c>
      <c r="B1006" s="488" t="s">
        <v>294</v>
      </c>
      <c r="C1006" s="351"/>
      <c r="D1006" s="489" t="s">
        <v>294</v>
      </c>
      <c r="E1006" s="351"/>
      <c r="F1006" s="485" t="s">
        <v>325</v>
      </c>
      <c r="G1006" s="351"/>
      <c r="H1006" s="487"/>
      <c r="I1006" s="350"/>
      <c r="J1006" s="351"/>
      <c r="K1006" s="485" t="s">
        <v>325</v>
      </c>
      <c r="L1006" s="350"/>
      <c r="M1006" s="351"/>
      <c r="N1006" s="490" t="s">
        <v>294</v>
      </c>
      <c r="O1006" s="350"/>
      <c r="P1006" s="350"/>
      <c r="Q1006" s="350"/>
      <c r="R1006" s="350"/>
      <c r="S1006" s="350"/>
      <c r="T1006" s="350"/>
      <c r="U1006" s="351"/>
    </row>
    <row r="1007" spans="1:21" ht="34.5" customHeight="1">
      <c r="A1007" s="24">
        <f t="shared" si="3"/>
        <v>993</v>
      </c>
      <c r="B1007" s="483" t="s">
        <v>294</v>
      </c>
      <c r="C1007" s="351"/>
      <c r="D1007" s="484" t="s">
        <v>294</v>
      </c>
      <c r="E1007" s="351"/>
      <c r="F1007" s="485" t="s">
        <v>325</v>
      </c>
      <c r="G1007" s="351"/>
      <c r="H1007" s="486"/>
      <c r="I1007" s="350"/>
      <c r="J1007" s="351"/>
      <c r="K1007" s="485" t="s">
        <v>325</v>
      </c>
      <c r="L1007" s="350"/>
      <c r="M1007" s="351"/>
      <c r="N1007" s="491" t="s">
        <v>294</v>
      </c>
      <c r="O1007" s="350"/>
      <c r="P1007" s="350"/>
      <c r="Q1007" s="350"/>
      <c r="R1007" s="350"/>
      <c r="S1007" s="350"/>
      <c r="T1007" s="350"/>
      <c r="U1007" s="351"/>
    </row>
    <row r="1008" spans="1:21" ht="34.5" customHeight="1">
      <c r="A1008" s="24">
        <f t="shared" si="3"/>
        <v>994</v>
      </c>
      <c r="B1008" s="488" t="s">
        <v>294</v>
      </c>
      <c r="C1008" s="351"/>
      <c r="D1008" s="489" t="s">
        <v>294</v>
      </c>
      <c r="E1008" s="351"/>
      <c r="F1008" s="485" t="s">
        <v>325</v>
      </c>
      <c r="G1008" s="351"/>
      <c r="H1008" s="487"/>
      <c r="I1008" s="350"/>
      <c r="J1008" s="351"/>
      <c r="K1008" s="485" t="s">
        <v>325</v>
      </c>
      <c r="L1008" s="350"/>
      <c r="M1008" s="351"/>
      <c r="N1008" s="490" t="s">
        <v>294</v>
      </c>
      <c r="O1008" s="350"/>
      <c r="P1008" s="350"/>
      <c r="Q1008" s="350"/>
      <c r="R1008" s="350"/>
      <c r="S1008" s="350"/>
      <c r="T1008" s="350"/>
      <c r="U1008" s="351"/>
    </row>
    <row r="1009" spans="1:21" ht="34.5" customHeight="1">
      <c r="A1009" s="24">
        <f t="shared" si="3"/>
        <v>995</v>
      </c>
      <c r="B1009" s="483" t="s">
        <v>294</v>
      </c>
      <c r="C1009" s="351"/>
      <c r="D1009" s="484" t="s">
        <v>294</v>
      </c>
      <c r="E1009" s="351"/>
      <c r="F1009" s="485" t="s">
        <v>325</v>
      </c>
      <c r="G1009" s="351"/>
      <c r="H1009" s="486"/>
      <c r="I1009" s="350"/>
      <c r="J1009" s="351"/>
      <c r="K1009" s="485" t="s">
        <v>325</v>
      </c>
      <c r="L1009" s="350"/>
      <c r="M1009" s="351"/>
      <c r="N1009" s="491" t="s">
        <v>294</v>
      </c>
      <c r="O1009" s="350"/>
      <c r="P1009" s="350"/>
      <c r="Q1009" s="350"/>
      <c r="R1009" s="350"/>
      <c r="S1009" s="350"/>
      <c r="T1009" s="350"/>
      <c r="U1009" s="351"/>
    </row>
    <row r="1010" spans="1:21" ht="34.5" customHeight="1">
      <c r="A1010" s="24">
        <f t="shared" si="3"/>
        <v>996</v>
      </c>
      <c r="B1010" s="488" t="s">
        <v>294</v>
      </c>
      <c r="C1010" s="351"/>
      <c r="D1010" s="489" t="s">
        <v>294</v>
      </c>
      <c r="E1010" s="351"/>
      <c r="F1010" s="485" t="s">
        <v>325</v>
      </c>
      <c r="G1010" s="351"/>
      <c r="H1010" s="487"/>
      <c r="I1010" s="350"/>
      <c r="J1010" s="351"/>
      <c r="K1010" s="485" t="s">
        <v>325</v>
      </c>
      <c r="L1010" s="350"/>
      <c r="M1010" s="351"/>
      <c r="N1010" s="490" t="s">
        <v>294</v>
      </c>
      <c r="O1010" s="350"/>
      <c r="P1010" s="350"/>
      <c r="Q1010" s="350"/>
      <c r="R1010" s="350"/>
      <c r="S1010" s="350"/>
      <c r="T1010" s="350"/>
      <c r="U1010" s="351"/>
    </row>
    <row r="1011" spans="1:21" ht="34.5" customHeight="1">
      <c r="A1011" s="24">
        <f t="shared" si="3"/>
        <v>997</v>
      </c>
      <c r="B1011" s="483" t="s">
        <v>294</v>
      </c>
      <c r="C1011" s="351"/>
      <c r="D1011" s="484" t="s">
        <v>294</v>
      </c>
      <c r="E1011" s="351"/>
      <c r="F1011" s="485" t="s">
        <v>325</v>
      </c>
      <c r="G1011" s="351"/>
      <c r="H1011" s="486"/>
      <c r="I1011" s="350"/>
      <c r="J1011" s="351"/>
      <c r="K1011" s="485" t="s">
        <v>325</v>
      </c>
      <c r="L1011" s="350"/>
      <c r="M1011" s="351"/>
      <c r="N1011" s="491" t="s">
        <v>294</v>
      </c>
      <c r="O1011" s="350"/>
      <c r="P1011" s="350"/>
      <c r="Q1011" s="350"/>
      <c r="R1011" s="350"/>
      <c r="S1011" s="350"/>
      <c r="T1011" s="350"/>
      <c r="U1011" s="351"/>
    </row>
    <row r="1012" spans="1:21" ht="34.5" customHeight="1">
      <c r="A1012" s="24">
        <f t="shared" si="3"/>
        <v>998</v>
      </c>
      <c r="B1012" s="488" t="s">
        <v>294</v>
      </c>
      <c r="C1012" s="351"/>
      <c r="D1012" s="489" t="s">
        <v>294</v>
      </c>
      <c r="E1012" s="351"/>
      <c r="F1012" s="485" t="s">
        <v>325</v>
      </c>
      <c r="G1012" s="351"/>
      <c r="H1012" s="487"/>
      <c r="I1012" s="350"/>
      <c r="J1012" s="351"/>
      <c r="K1012" s="485" t="s">
        <v>325</v>
      </c>
      <c r="L1012" s="350"/>
      <c r="M1012" s="351"/>
      <c r="N1012" s="490" t="s">
        <v>294</v>
      </c>
      <c r="O1012" s="350"/>
      <c r="P1012" s="350"/>
      <c r="Q1012" s="350"/>
      <c r="R1012" s="350"/>
      <c r="S1012" s="350"/>
      <c r="T1012" s="350"/>
      <c r="U1012" s="351"/>
    </row>
    <row r="1013" spans="1:21" ht="34.5" customHeight="1">
      <c r="A1013" s="24">
        <f t="shared" si="3"/>
        <v>999</v>
      </c>
      <c r="B1013" s="483" t="s">
        <v>294</v>
      </c>
      <c r="C1013" s="351"/>
      <c r="D1013" s="484" t="s">
        <v>294</v>
      </c>
      <c r="E1013" s="351"/>
      <c r="F1013" s="485" t="s">
        <v>325</v>
      </c>
      <c r="G1013" s="351"/>
      <c r="H1013" s="486"/>
      <c r="I1013" s="350"/>
      <c r="J1013" s="351"/>
      <c r="K1013" s="485" t="s">
        <v>325</v>
      </c>
      <c r="L1013" s="350"/>
      <c r="M1013" s="351"/>
      <c r="N1013" s="491" t="s">
        <v>294</v>
      </c>
      <c r="O1013" s="350"/>
      <c r="P1013" s="350"/>
      <c r="Q1013" s="350"/>
      <c r="R1013" s="350"/>
      <c r="S1013" s="350"/>
      <c r="T1013" s="350"/>
      <c r="U1013" s="351"/>
    </row>
    <row r="1014" spans="1:21" ht="34.5" customHeight="1">
      <c r="A1014" s="24">
        <f t="shared" si="3"/>
        <v>1000</v>
      </c>
      <c r="B1014" s="488" t="s">
        <v>294</v>
      </c>
      <c r="C1014" s="351"/>
      <c r="D1014" s="489" t="s">
        <v>294</v>
      </c>
      <c r="E1014" s="351"/>
      <c r="F1014" s="485" t="s">
        <v>325</v>
      </c>
      <c r="G1014" s="351"/>
      <c r="H1014" s="487"/>
      <c r="I1014" s="350"/>
      <c r="J1014" s="351"/>
      <c r="K1014" s="485" t="s">
        <v>325</v>
      </c>
      <c r="L1014" s="350"/>
      <c r="M1014" s="351"/>
      <c r="N1014" s="490" t="s">
        <v>294</v>
      </c>
      <c r="O1014" s="350"/>
      <c r="P1014" s="350"/>
      <c r="Q1014" s="350"/>
      <c r="R1014" s="350"/>
      <c r="S1014" s="350"/>
      <c r="T1014" s="350"/>
      <c r="U1014" s="351"/>
    </row>
    <row r="1015" spans="1:21" ht="34.5" customHeight="1">
      <c r="A1015" s="24">
        <f t="shared" si="3"/>
        <v>1001</v>
      </c>
      <c r="B1015" s="483" t="s">
        <v>294</v>
      </c>
      <c r="C1015" s="351"/>
      <c r="D1015" s="484" t="s">
        <v>294</v>
      </c>
      <c r="E1015" s="351"/>
      <c r="F1015" s="485" t="s">
        <v>325</v>
      </c>
      <c r="G1015" s="351"/>
      <c r="H1015" s="486"/>
      <c r="I1015" s="350"/>
      <c r="J1015" s="351"/>
      <c r="K1015" s="485" t="s">
        <v>325</v>
      </c>
      <c r="L1015" s="350"/>
      <c r="M1015" s="351"/>
      <c r="N1015" s="491" t="s">
        <v>294</v>
      </c>
      <c r="O1015" s="350"/>
      <c r="P1015" s="350"/>
      <c r="Q1015" s="350"/>
      <c r="R1015" s="350"/>
      <c r="S1015" s="350"/>
      <c r="T1015" s="350"/>
      <c r="U1015" s="351"/>
    </row>
    <row r="1016" spans="1:21" ht="34.5" customHeight="1">
      <c r="A1016" s="24">
        <f t="shared" si="3"/>
        <v>1002</v>
      </c>
      <c r="B1016" s="488" t="s">
        <v>294</v>
      </c>
      <c r="C1016" s="351"/>
      <c r="D1016" s="489" t="s">
        <v>294</v>
      </c>
      <c r="E1016" s="351"/>
      <c r="F1016" s="485" t="s">
        <v>325</v>
      </c>
      <c r="G1016" s="351"/>
      <c r="H1016" s="487"/>
      <c r="I1016" s="350"/>
      <c r="J1016" s="351"/>
      <c r="K1016" s="485" t="s">
        <v>325</v>
      </c>
      <c r="L1016" s="350"/>
      <c r="M1016" s="351"/>
      <c r="N1016" s="490" t="s">
        <v>294</v>
      </c>
      <c r="O1016" s="350"/>
      <c r="P1016" s="350"/>
      <c r="Q1016" s="350"/>
      <c r="R1016" s="350"/>
      <c r="S1016" s="350"/>
      <c r="T1016" s="350"/>
      <c r="U1016" s="351"/>
    </row>
    <row r="1017" spans="1:21" ht="34.5" customHeight="1">
      <c r="A1017" s="24">
        <f t="shared" si="3"/>
        <v>1003</v>
      </c>
      <c r="B1017" s="483" t="s">
        <v>294</v>
      </c>
      <c r="C1017" s="351"/>
      <c r="D1017" s="484" t="s">
        <v>294</v>
      </c>
      <c r="E1017" s="351"/>
      <c r="F1017" s="485" t="s">
        <v>325</v>
      </c>
      <c r="G1017" s="351"/>
      <c r="H1017" s="486"/>
      <c r="I1017" s="350"/>
      <c r="J1017" s="351"/>
      <c r="K1017" s="485" t="s">
        <v>325</v>
      </c>
      <c r="L1017" s="350"/>
      <c r="M1017" s="351"/>
      <c r="N1017" s="491" t="s">
        <v>294</v>
      </c>
      <c r="O1017" s="350"/>
      <c r="P1017" s="350"/>
      <c r="Q1017" s="350"/>
      <c r="R1017" s="350"/>
      <c r="S1017" s="350"/>
      <c r="T1017" s="350"/>
      <c r="U1017" s="351"/>
    </row>
    <row r="1018" spans="1:21" ht="34.5" customHeight="1">
      <c r="A1018" s="24">
        <f t="shared" si="3"/>
        <v>1004</v>
      </c>
      <c r="B1018" s="488" t="s">
        <v>294</v>
      </c>
      <c r="C1018" s="351"/>
      <c r="D1018" s="489" t="s">
        <v>294</v>
      </c>
      <c r="E1018" s="351"/>
      <c r="F1018" s="485" t="s">
        <v>325</v>
      </c>
      <c r="G1018" s="351"/>
      <c r="H1018" s="487"/>
      <c r="I1018" s="350"/>
      <c r="J1018" s="351"/>
      <c r="K1018" s="485" t="s">
        <v>325</v>
      </c>
      <c r="L1018" s="350"/>
      <c r="M1018" s="351"/>
      <c r="N1018" s="490" t="s">
        <v>294</v>
      </c>
      <c r="O1018" s="350"/>
      <c r="P1018" s="350"/>
      <c r="Q1018" s="350"/>
      <c r="R1018" s="350"/>
      <c r="S1018" s="350"/>
      <c r="T1018" s="350"/>
      <c r="U1018" s="351"/>
    </row>
    <row r="1019" spans="1:21" ht="34.5" customHeight="1">
      <c r="A1019" s="24">
        <f t="shared" si="3"/>
        <v>1005</v>
      </c>
      <c r="B1019" s="483" t="s">
        <v>294</v>
      </c>
      <c r="C1019" s="351"/>
      <c r="D1019" s="484" t="s">
        <v>294</v>
      </c>
      <c r="E1019" s="351"/>
      <c r="F1019" s="485" t="s">
        <v>325</v>
      </c>
      <c r="G1019" s="351"/>
      <c r="H1019" s="486"/>
      <c r="I1019" s="350"/>
      <c r="J1019" s="351"/>
      <c r="K1019" s="485" t="s">
        <v>325</v>
      </c>
      <c r="L1019" s="350"/>
      <c r="M1019" s="351"/>
      <c r="N1019" s="491" t="s">
        <v>294</v>
      </c>
      <c r="O1019" s="350"/>
      <c r="P1019" s="350"/>
      <c r="Q1019" s="350"/>
      <c r="R1019" s="350"/>
      <c r="S1019" s="350"/>
      <c r="T1019" s="350"/>
      <c r="U1019" s="351"/>
    </row>
    <row r="1020" spans="1:21" ht="34.5" customHeight="1">
      <c r="A1020" s="24">
        <f t="shared" si="3"/>
        <v>1006</v>
      </c>
      <c r="B1020" s="488" t="s">
        <v>294</v>
      </c>
      <c r="C1020" s="351"/>
      <c r="D1020" s="489" t="s">
        <v>294</v>
      </c>
      <c r="E1020" s="351"/>
      <c r="F1020" s="485" t="s">
        <v>325</v>
      </c>
      <c r="G1020" s="351"/>
      <c r="H1020" s="487"/>
      <c r="I1020" s="350"/>
      <c r="J1020" s="351"/>
      <c r="K1020" s="485" t="s">
        <v>325</v>
      </c>
      <c r="L1020" s="350"/>
      <c r="M1020" s="351"/>
      <c r="N1020" s="490" t="s">
        <v>294</v>
      </c>
      <c r="O1020" s="350"/>
      <c r="P1020" s="350"/>
      <c r="Q1020" s="350"/>
      <c r="R1020" s="350"/>
      <c r="S1020" s="350"/>
      <c r="T1020" s="350"/>
      <c r="U1020" s="351"/>
    </row>
    <row r="1021" spans="1:21" ht="34.5" customHeight="1">
      <c r="A1021" s="24">
        <f t="shared" si="3"/>
        <v>1007</v>
      </c>
      <c r="B1021" s="483" t="s">
        <v>294</v>
      </c>
      <c r="C1021" s="351"/>
      <c r="D1021" s="484" t="s">
        <v>294</v>
      </c>
      <c r="E1021" s="351"/>
      <c r="F1021" s="485" t="s">
        <v>325</v>
      </c>
      <c r="G1021" s="351"/>
      <c r="H1021" s="486"/>
      <c r="I1021" s="350"/>
      <c r="J1021" s="351"/>
      <c r="K1021" s="485" t="s">
        <v>325</v>
      </c>
      <c r="L1021" s="350"/>
      <c r="M1021" s="351"/>
      <c r="N1021" s="491" t="s">
        <v>294</v>
      </c>
      <c r="O1021" s="350"/>
      <c r="P1021" s="350"/>
      <c r="Q1021" s="350"/>
      <c r="R1021" s="350"/>
      <c r="S1021" s="350"/>
      <c r="T1021" s="350"/>
      <c r="U1021" s="351"/>
    </row>
    <row r="1022" spans="1:21" ht="34.5" customHeight="1">
      <c r="A1022" s="24">
        <f t="shared" si="3"/>
        <v>1008</v>
      </c>
      <c r="B1022" s="488" t="s">
        <v>294</v>
      </c>
      <c r="C1022" s="351"/>
      <c r="D1022" s="489" t="s">
        <v>294</v>
      </c>
      <c r="E1022" s="351"/>
      <c r="F1022" s="485" t="s">
        <v>325</v>
      </c>
      <c r="G1022" s="351"/>
      <c r="H1022" s="487"/>
      <c r="I1022" s="350"/>
      <c r="J1022" s="351"/>
      <c r="K1022" s="485" t="s">
        <v>325</v>
      </c>
      <c r="L1022" s="350"/>
      <c r="M1022" s="351"/>
      <c r="N1022" s="490" t="s">
        <v>294</v>
      </c>
      <c r="O1022" s="350"/>
      <c r="P1022" s="350"/>
      <c r="Q1022" s="350"/>
      <c r="R1022" s="350"/>
      <c r="S1022" s="350"/>
      <c r="T1022" s="350"/>
      <c r="U1022" s="351"/>
    </row>
    <row r="1023" spans="1:21" ht="34.5" customHeight="1">
      <c r="A1023" s="24">
        <f t="shared" si="3"/>
        <v>1009</v>
      </c>
      <c r="B1023" s="483" t="s">
        <v>294</v>
      </c>
      <c r="C1023" s="351"/>
      <c r="D1023" s="484" t="s">
        <v>294</v>
      </c>
      <c r="E1023" s="351"/>
      <c r="F1023" s="485" t="s">
        <v>325</v>
      </c>
      <c r="G1023" s="351"/>
      <c r="H1023" s="486"/>
      <c r="I1023" s="350"/>
      <c r="J1023" s="351"/>
      <c r="K1023" s="485" t="s">
        <v>325</v>
      </c>
      <c r="L1023" s="350"/>
      <c r="M1023" s="351"/>
      <c r="N1023" s="491" t="s">
        <v>294</v>
      </c>
      <c r="O1023" s="350"/>
      <c r="P1023" s="350"/>
      <c r="Q1023" s="350"/>
      <c r="R1023" s="350"/>
      <c r="S1023" s="350"/>
      <c r="T1023" s="350"/>
      <c r="U1023" s="351"/>
    </row>
    <row r="1024" spans="1:21" ht="34.5" customHeight="1">
      <c r="A1024" s="24">
        <f t="shared" si="3"/>
        <v>1010</v>
      </c>
      <c r="B1024" s="488" t="s">
        <v>294</v>
      </c>
      <c r="C1024" s="351"/>
      <c r="D1024" s="489" t="s">
        <v>294</v>
      </c>
      <c r="E1024" s="351"/>
      <c r="F1024" s="485" t="s">
        <v>325</v>
      </c>
      <c r="G1024" s="351"/>
      <c r="H1024" s="487"/>
      <c r="I1024" s="350"/>
      <c r="J1024" s="351"/>
      <c r="K1024" s="485" t="s">
        <v>325</v>
      </c>
      <c r="L1024" s="350"/>
      <c r="M1024" s="351"/>
      <c r="N1024" s="490" t="s">
        <v>294</v>
      </c>
      <c r="O1024" s="350"/>
      <c r="P1024" s="350"/>
      <c r="Q1024" s="350"/>
      <c r="R1024" s="350"/>
      <c r="S1024" s="350"/>
      <c r="T1024" s="350"/>
      <c r="U1024" s="351"/>
    </row>
    <row r="1025" spans="1:21" ht="34.5" customHeight="1">
      <c r="A1025" s="24">
        <f t="shared" si="3"/>
        <v>1011</v>
      </c>
      <c r="B1025" s="483" t="s">
        <v>294</v>
      </c>
      <c r="C1025" s="351"/>
      <c r="D1025" s="484" t="s">
        <v>294</v>
      </c>
      <c r="E1025" s="351"/>
      <c r="F1025" s="485" t="s">
        <v>325</v>
      </c>
      <c r="G1025" s="351"/>
      <c r="H1025" s="486"/>
      <c r="I1025" s="350"/>
      <c r="J1025" s="351"/>
      <c r="K1025" s="485" t="s">
        <v>325</v>
      </c>
      <c r="L1025" s="350"/>
      <c r="M1025" s="351"/>
      <c r="N1025" s="491" t="s">
        <v>294</v>
      </c>
      <c r="O1025" s="350"/>
      <c r="P1025" s="350"/>
      <c r="Q1025" s="350"/>
      <c r="R1025" s="350"/>
      <c r="S1025" s="350"/>
      <c r="T1025" s="350"/>
      <c r="U1025" s="351"/>
    </row>
    <row r="1026" spans="1:21" ht="34.5" customHeight="1">
      <c r="A1026" s="24">
        <f t="shared" si="3"/>
        <v>1012</v>
      </c>
      <c r="B1026" s="488" t="s">
        <v>294</v>
      </c>
      <c r="C1026" s="351"/>
      <c r="D1026" s="489" t="s">
        <v>294</v>
      </c>
      <c r="E1026" s="351"/>
      <c r="F1026" s="485" t="s">
        <v>325</v>
      </c>
      <c r="G1026" s="351"/>
      <c r="H1026" s="487"/>
      <c r="I1026" s="350"/>
      <c r="J1026" s="351"/>
      <c r="K1026" s="485" t="s">
        <v>325</v>
      </c>
      <c r="L1026" s="350"/>
      <c r="M1026" s="351"/>
      <c r="N1026" s="490" t="s">
        <v>294</v>
      </c>
      <c r="O1026" s="350"/>
      <c r="P1026" s="350"/>
      <c r="Q1026" s="350"/>
      <c r="R1026" s="350"/>
      <c r="S1026" s="350"/>
      <c r="T1026" s="350"/>
      <c r="U1026" s="351"/>
    </row>
    <row r="1027" spans="1:21" ht="34.5" customHeight="1">
      <c r="A1027" s="24">
        <f t="shared" si="3"/>
        <v>1013</v>
      </c>
      <c r="B1027" s="483" t="s">
        <v>294</v>
      </c>
      <c r="C1027" s="351"/>
      <c r="D1027" s="484" t="s">
        <v>294</v>
      </c>
      <c r="E1027" s="351"/>
      <c r="F1027" s="485" t="s">
        <v>325</v>
      </c>
      <c r="G1027" s="351"/>
      <c r="H1027" s="486"/>
      <c r="I1027" s="350"/>
      <c r="J1027" s="351"/>
      <c r="K1027" s="485" t="s">
        <v>325</v>
      </c>
      <c r="L1027" s="350"/>
      <c r="M1027" s="351"/>
      <c r="N1027" s="491" t="s">
        <v>294</v>
      </c>
      <c r="O1027" s="350"/>
      <c r="P1027" s="350"/>
      <c r="Q1027" s="350"/>
      <c r="R1027" s="350"/>
      <c r="S1027" s="350"/>
      <c r="T1027" s="350"/>
      <c r="U1027" s="351"/>
    </row>
    <row r="1028" spans="1:21" ht="34.5" customHeight="1">
      <c r="A1028" s="24">
        <f t="shared" si="3"/>
        <v>1014</v>
      </c>
      <c r="B1028" s="488" t="s">
        <v>294</v>
      </c>
      <c r="C1028" s="351"/>
      <c r="D1028" s="489" t="s">
        <v>294</v>
      </c>
      <c r="E1028" s="351"/>
      <c r="F1028" s="485" t="s">
        <v>325</v>
      </c>
      <c r="G1028" s="351"/>
      <c r="H1028" s="487"/>
      <c r="I1028" s="350"/>
      <c r="J1028" s="351"/>
      <c r="K1028" s="485" t="s">
        <v>325</v>
      </c>
      <c r="L1028" s="350"/>
      <c r="M1028" s="351"/>
      <c r="N1028" s="490" t="s">
        <v>294</v>
      </c>
      <c r="O1028" s="350"/>
      <c r="P1028" s="350"/>
      <c r="Q1028" s="350"/>
      <c r="R1028" s="350"/>
      <c r="S1028" s="350"/>
      <c r="T1028" s="350"/>
      <c r="U1028" s="351"/>
    </row>
    <row r="1029" spans="1:21" ht="34.5" customHeight="1">
      <c r="A1029" s="24">
        <f t="shared" si="3"/>
        <v>1015</v>
      </c>
      <c r="B1029" s="483" t="s">
        <v>294</v>
      </c>
      <c r="C1029" s="351"/>
      <c r="D1029" s="484" t="s">
        <v>294</v>
      </c>
      <c r="E1029" s="351"/>
      <c r="F1029" s="485" t="s">
        <v>325</v>
      </c>
      <c r="G1029" s="351"/>
      <c r="H1029" s="486"/>
      <c r="I1029" s="350"/>
      <c r="J1029" s="351"/>
      <c r="K1029" s="485" t="s">
        <v>325</v>
      </c>
      <c r="L1029" s="350"/>
      <c r="M1029" s="351"/>
      <c r="N1029" s="491" t="s">
        <v>294</v>
      </c>
      <c r="O1029" s="350"/>
      <c r="P1029" s="350"/>
      <c r="Q1029" s="350"/>
      <c r="R1029" s="350"/>
      <c r="S1029" s="350"/>
      <c r="T1029" s="350"/>
      <c r="U1029" s="351"/>
    </row>
    <row r="1030" spans="1:21" ht="34.5" customHeight="1">
      <c r="A1030" s="24">
        <f t="shared" si="3"/>
        <v>1016</v>
      </c>
      <c r="B1030" s="488" t="s">
        <v>294</v>
      </c>
      <c r="C1030" s="351"/>
      <c r="D1030" s="489" t="s">
        <v>294</v>
      </c>
      <c r="E1030" s="351"/>
      <c r="F1030" s="485" t="s">
        <v>325</v>
      </c>
      <c r="G1030" s="351"/>
      <c r="H1030" s="487"/>
      <c r="I1030" s="350"/>
      <c r="J1030" s="351"/>
      <c r="K1030" s="485" t="s">
        <v>325</v>
      </c>
      <c r="L1030" s="350"/>
      <c r="M1030" s="351"/>
      <c r="N1030" s="490" t="s">
        <v>294</v>
      </c>
      <c r="O1030" s="350"/>
      <c r="P1030" s="350"/>
      <c r="Q1030" s="350"/>
      <c r="R1030" s="350"/>
      <c r="S1030" s="350"/>
      <c r="T1030" s="350"/>
      <c r="U1030" s="351"/>
    </row>
    <row r="1031" spans="1:21" ht="34.5" customHeight="1">
      <c r="A1031" s="24">
        <f t="shared" si="3"/>
        <v>1017</v>
      </c>
      <c r="B1031" s="483" t="s">
        <v>294</v>
      </c>
      <c r="C1031" s="351"/>
      <c r="D1031" s="484" t="s">
        <v>294</v>
      </c>
      <c r="E1031" s="351"/>
      <c r="F1031" s="485" t="s">
        <v>325</v>
      </c>
      <c r="G1031" s="351"/>
      <c r="H1031" s="486"/>
      <c r="I1031" s="350"/>
      <c r="J1031" s="351"/>
      <c r="K1031" s="485" t="s">
        <v>325</v>
      </c>
      <c r="L1031" s="350"/>
      <c r="M1031" s="351"/>
      <c r="N1031" s="491" t="s">
        <v>294</v>
      </c>
      <c r="O1031" s="350"/>
      <c r="P1031" s="350"/>
      <c r="Q1031" s="350"/>
      <c r="R1031" s="350"/>
      <c r="S1031" s="350"/>
      <c r="T1031" s="350"/>
      <c r="U1031" s="351"/>
    </row>
    <row r="1032" spans="1:21" ht="34.5" customHeight="1">
      <c r="A1032" s="24">
        <f t="shared" si="3"/>
        <v>1018</v>
      </c>
      <c r="B1032" s="488" t="s">
        <v>294</v>
      </c>
      <c r="C1032" s="351"/>
      <c r="D1032" s="489" t="s">
        <v>294</v>
      </c>
      <c r="E1032" s="351"/>
      <c r="F1032" s="485" t="s">
        <v>325</v>
      </c>
      <c r="G1032" s="351"/>
      <c r="H1032" s="487"/>
      <c r="I1032" s="350"/>
      <c r="J1032" s="351"/>
      <c r="K1032" s="485" t="s">
        <v>325</v>
      </c>
      <c r="L1032" s="350"/>
      <c r="M1032" s="351"/>
      <c r="N1032" s="490" t="s">
        <v>294</v>
      </c>
      <c r="O1032" s="350"/>
      <c r="P1032" s="350"/>
      <c r="Q1032" s="350"/>
      <c r="R1032" s="350"/>
      <c r="S1032" s="350"/>
      <c r="T1032" s="350"/>
      <c r="U1032" s="351"/>
    </row>
    <row r="1033" spans="1:21" ht="34.5" customHeight="1">
      <c r="A1033" s="24">
        <f t="shared" si="3"/>
        <v>1019</v>
      </c>
      <c r="B1033" s="483" t="s">
        <v>294</v>
      </c>
      <c r="C1033" s="351"/>
      <c r="D1033" s="484" t="s">
        <v>294</v>
      </c>
      <c r="E1033" s="351"/>
      <c r="F1033" s="485" t="s">
        <v>325</v>
      </c>
      <c r="G1033" s="351"/>
      <c r="H1033" s="486"/>
      <c r="I1033" s="350"/>
      <c r="J1033" s="351"/>
      <c r="K1033" s="485" t="s">
        <v>325</v>
      </c>
      <c r="L1033" s="350"/>
      <c r="M1033" s="351"/>
      <c r="N1033" s="491" t="s">
        <v>294</v>
      </c>
      <c r="O1033" s="350"/>
      <c r="P1033" s="350"/>
      <c r="Q1033" s="350"/>
      <c r="R1033" s="350"/>
      <c r="S1033" s="350"/>
      <c r="T1033" s="350"/>
      <c r="U1033" s="351"/>
    </row>
    <row r="1034" spans="1:21" ht="34.5" customHeight="1">
      <c r="A1034" s="24">
        <f t="shared" si="3"/>
        <v>1020</v>
      </c>
      <c r="B1034" s="488" t="s">
        <v>294</v>
      </c>
      <c r="C1034" s="351"/>
      <c r="D1034" s="489" t="s">
        <v>294</v>
      </c>
      <c r="E1034" s="351"/>
      <c r="F1034" s="485" t="s">
        <v>325</v>
      </c>
      <c r="G1034" s="351"/>
      <c r="H1034" s="487"/>
      <c r="I1034" s="350"/>
      <c r="J1034" s="351"/>
      <c r="K1034" s="485" t="s">
        <v>325</v>
      </c>
      <c r="L1034" s="350"/>
      <c r="M1034" s="351"/>
      <c r="N1034" s="490" t="s">
        <v>294</v>
      </c>
      <c r="O1034" s="350"/>
      <c r="P1034" s="350"/>
      <c r="Q1034" s="350"/>
      <c r="R1034" s="350"/>
      <c r="S1034" s="350"/>
      <c r="T1034" s="350"/>
      <c r="U1034" s="351"/>
    </row>
    <row r="1035" spans="1:21" ht="34.5" customHeight="1">
      <c r="A1035" s="24">
        <f t="shared" ref="A1035:A1289" si="4">ROW(A1021)</f>
        <v>1021</v>
      </c>
      <c r="B1035" s="483" t="s">
        <v>294</v>
      </c>
      <c r="C1035" s="351"/>
      <c r="D1035" s="484" t="s">
        <v>294</v>
      </c>
      <c r="E1035" s="351"/>
      <c r="F1035" s="485" t="s">
        <v>325</v>
      </c>
      <c r="G1035" s="351"/>
      <c r="H1035" s="486"/>
      <c r="I1035" s="350"/>
      <c r="J1035" s="351"/>
      <c r="K1035" s="485" t="s">
        <v>325</v>
      </c>
      <c r="L1035" s="350"/>
      <c r="M1035" s="351"/>
      <c r="N1035" s="491" t="s">
        <v>294</v>
      </c>
      <c r="O1035" s="350"/>
      <c r="P1035" s="350"/>
      <c r="Q1035" s="350"/>
      <c r="R1035" s="350"/>
      <c r="S1035" s="350"/>
      <c r="T1035" s="350"/>
      <c r="U1035" s="351"/>
    </row>
    <row r="1036" spans="1:21" ht="34.5" customHeight="1">
      <c r="A1036" s="24">
        <f t="shared" si="4"/>
        <v>1022</v>
      </c>
      <c r="B1036" s="488" t="s">
        <v>294</v>
      </c>
      <c r="C1036" s="351"/>
      <c r="D1036" s="489" t="s">
        <v>294</v>
      </c>
      <c r="E1036" s="351"/>
      <c r="F1036" s="485" t="s">
        <v>325</v>
      </c>
      <c r="G1036" s="351"/>
      <c r="H1036" s="487"/>
      <c r="I1036" s="350"/>
      <c r="J1036" s="351"/>
      <c r="K1036" s="485" t="s">
        <v>325</v>
      </c>
      <c r="L1036" s="350"/>
      <c r="M1036" s="351"/>
      <c r="N1036" s="490" t="s">
        <v>294</v>
      </c>
      <c r="O1036" s="350"/>
      <c r="P1036" s="350"/>
      <c r="Q1036" s="350"/>
      <c r="R1036" s="350"/>
      <c r="S1036" s="350"/>
      <c r="T1036" s="350"/>
      <c r="U1036" s="351"/>
    </row>
    <row r="1037" spans="1:21" ht="34.5" customHeight="1">
      <c r="A1037" s="24">
        <f t="shared" si="4"/>
        <v>1023</v>
      </c>
      <c r="B1037" s="483" t="s">
        <v>294</v>
      </c>
      <c r="C1037" s="351"/>
      <c r="D1037" s="484" t="s">
        <v>294</v>
      </c>
      <c r="E1037" s="351"/>
      <c r="F1037" s="485" t="s">
        <v>325</v>
      </c>
      <c r="G1037" s="351"/>
      <c r="H1037" s="486"/>
      <c r="I1037" s="350"/>
      <c r="J1037" s="351"/>
      <c r="K1037" s="485" t="s">
        <v>325</v>
      </c>
      <c r="L1037" s="350"/>
      <c r="M1037" s="351"/>
      <c r="N1037" s="491" t="s">
        <v>294</v>
      </c>
      <c r="O1037" s="350"/>
      <c r="P1037" s="350"/>
      <c r="Q1037" s="350"/>
      <c r="R1037" s="350"/>
      <c r="S1037" s="350"/>
      <c r="T1037" s="350"/>
      <c r="U1037" s="351"/>
    </row>
    <row r="1038" spans="1:21" ht="34.5" customHeight="1">
      <c r="A1038" s="24">
        <f t="shared" si="4"/>
        <v>1024</v>
      </c>
      <c r="B1038" s="488" t="s">
        <v>294</v>
      </c>
      <c r="C1038" s="351"/>
      <c r="D1038" s="489" t="s">
        <v>294</v>
      </c>
      <c r="E1038" s="351"/>
      <c r="F1038" s="485" t="s">
        <v>325</v>
      </c>
      <c r="G1038" s="351"/>
      <c r="H1038" s="487"/>
      <c r="I1038" s="350"/>
      <c r="J1038" s="351"/>
      <c r="K1038" s="485" t="s">
        <v>325</v>
      </c>
      <c r="L1038" s="350"/>
      <c r="M1038" s="351"/>
      <c r="N1038" s="490" t="s">
        <v>294</v>
      </c>
      <c r="O1038" s="350"/>
      <c r="P1038" s="350"/>
      <c r="Q1038" s="350"/>
      <c r="R1038" s="350"/>
      <c r="S1038" s="350"/>
      <c r="T1038" s="350"/>
      <c r="U1038" s="351"/>
    </row>
    <row r="1039" spans="1:21" ht="34.5" customHeight="1">
      <c r="A1039" s="24">
        <f t="shared" si="4"/>
        <v>1025</v>
      </c>
      <c r="B1039" s="483" t="s">
        <v>294</v>
      </c>
      <c r="C1039" s="351"/>
      <c r="D1039" s="484" t="s">
        <v>294</v>
      </c>
      <c r="E1039" s="351"/>
      <c r="F1039" s="485" t="s">
        <v>325</v>
      </c>
      <c r="G1039" s="351"/>
      <c r="H1039" s="486"/>
      <c r="I1039" s="350"/>
      <c r="J1039" s="351"/>
      <c r="K1039" s="485" t="s">
        <v>325</v>
      </c>
      <c r="L1039" s="350"/>
      <c r="M1039" s="351"/>
      <c r="N1039" s="491" t="s">
        <v>294</v>
      </c>
      <c r="O1039" s="350"/>
      <c r="P1039" s="350"/>
      <c r="Q1039" s="350"/>
      <c r="R1039" s="350"/>
      <c r="S1039" s="350"/>
      <c r="T1039" s="350"/>
      <c r="U1039" s="351"/>
    </row>
    <row r="1040" spans="1:21" ht="34.5" customHeight="1">
      <c r="A1040" s="24">
        <f t="shared" si="4"/>
        <v>1026</v>
      </c>
      <c r="B1040" s="488" t="s">
        <v>294</v>
      </c>
      <c r="C1040" s="351"/>
      <c r="D1040" s="489" t="s">
        <v>294</v>
      </c>
      <c r="E1040" s="351"/>
      <c r="F1040" s="485" t="s">
        <v>325</v>
      </c>
      <c r="G1040" s="351"/>
      <c r="H1040" s="487"/>
      <c r="I1040" s="350"/>
      <c r="J1040" s="351"/>
      <c r="K1040" s="485" t="s">
        <v>325</v>
      </c>
      <c r="L1040" s="350"/>
      <c r="M1040" s="351"/>
      <c r="N1040" s="490" t="s">
        <v>294</v>
      </c>
      <c r="O1040" s="350"/>
      <c r="P1040" s="350"/>
      <c r="Q1040" s="350"/>
      <c r="R1040" s="350"/>
      <c r="S1040" s="350"/>
      <c r="T1040" s="350"/>
      <c r="U1040" s="351"/>
    </row>
    <row r="1041" spans="1:21" ht="34.5" customHeight="1">
      <c r="A1041" s="24">
        <f t="shared" si="4"/>
        <v>1027</v>
      </c>
      <c r="B1041" s="483" t="s">
        <v>294</v>
      </c>
      <c r="C1041" s="351"/>
      <c r="D1041" s="484" t="s">
        <v>294</v>
      </c>
      <c r="E1041" s="351"/>
      <c r="F1041" s="485" t="s">
        <v>325</v>
      </c>
      <c r="G1041" s="351"/>
      <c r="H1041" s="486"/>
      <c r="I1041" s="350"/>
      <c r="J1041" s="351"/>
      <c r="K1041" s="485" t="s">
        <v>325</v>
      </c>
      <c r="L1041" s="350"/>
      <c r="M1041" s="351"/>
      <c r="N1041" s="491" t="s">
        <v>294</v>
      </c>
      <c r="O1041" s="350"/>
      <c r="P1041" s="350"/>
      <c r="Q1041" s="350"/>
      <c r="R1041" s="350"/>
      <c r="S1041" s="350"/>
      <c r="T1041" s="350"/>
      <c r="U1041" s="351"/>
    </row>
    <row r="1042" spans="1:21" ht="34.5" customHeight="1">
      <c r="A1042" s="24">
        <f t="shared" si="4"/>
        <v>1028</v>
      </c>
      <c r="B1042" s="488" t="s">
        <v>294</v>
      </c>
      <c r="C1042" s="351"/>
      <c r="D1042" s="489" t="s">
        <v>294</v>
      </c>
      <c r="E1042" s="351"/>
      <c r="F1042" s="485" t="s">
        <v>325</v>
      </c>
      <c r="G1042" s="351"/>
      <c r="H1042" s="487"/>
      <c r="I1042" s="350"/>
      <c r="J1042" s="351"/>
      <c r="K1042" s="485" t="s">
        <v>325</v>
      </c>
      <c r="L1042" s="350"/>
      <c r="M1042" s="351"/>
      <c r="N1042" s="490" t="s">
        <v>294</v>
      </c>
      <c r="O1042" s="350"/>
      <c r="P1042" s="350"/>
      <c r="Q1042" s="350"/>
      <c r="R1042" s="350"/>
      <c r="S1042" s="350"/>
      <c r="T1042" s="350"/>
      <c r="U1042" s="351"/>
    </row>
    <row r="1043" spans="1:21" ht="34.5" customHeight="1">
      <c r="A1043" s="24">
        <f t="shared" si="4"/>
        <v>1029</v>
      </c>
      <c r="B1043" s="483" t="s">
        <v>294</v>
      </c>
      <c r="C1043" s="351"/>
      <c r="D1043" s="484" t="s">
        <v>294</v>
      </c>
      <c r="E1043" s="351"/>
      <c r="F1043" s="485" t="s">
        <v>325</v>
      </c>
      <c r="G1043" s="351"/>
      <c r="H1043" s="486"/>
      <c r="I1043" s="350"/>
      <c r="J1043" s="351"/>
      <c r="K1043" s="485" t="s">
        <v>325</v>
      </c>
      <c r="L1043" s="350"/>
      <c r="M1043" s="351"/>
      <c r="N1043" s="491" t="s">
        <v>294</v>
      </c>
      <c r="O1043" s="350"/>
      <c r="P1043" s="350"/>
      <c r="Q1043" s="350"/>
      <c r="R1043" s="350"/>
      <c r="S1043" s="350"/>
      <c r="T1043" s="350"/>
      <c r="U1043" s="351"/>
    </row>
    <row r="1044" spans="1:21" ht="34.5" customHeight="1">
      <c r="A1044" s="24">
        <f t="shared" si="4"/>
        <v>1030</v>
      </c>
      <c r="B1044" s="488" t="s">
        <v>294</v>
      </c>
      <c r="C1044" s="351"/>
      <c r="D1044" s="489" t="s">
        <v>294</v>
      </c>
      <c r="E1044" s="351"/>
      <c r="F1044" s="485" t="s">
        <v>325</v>
      </c>
      <c r="G1044" s="351"/>
      <c r="H1044" s="487"/>
      <c r="I1044" s="350"/>
      <c r="J1044" s="351"/>
      <c r="K1044" s="485" t="s">
        <v>325</v>
      </c>
      <c r="L1044" s="350"/>
      <c r="M1044" s="351"/>
      <c r="N1044" s="490" t="s">
        <v>294</v>
      </c>
      <c r="O1044" s="350"/>
      <c r="P1044" s="350"/>
      <c r="Q1044" s="350"/>
      <c r="R1044" s="350"/>
      <c r="S1044" s="350"/>
      <c r="T1044" s="350"/>
      <c r="U1044" s="351"/>
    </row>
    <row r="1045" spans="1:21" ht="34.5" customHeight="1">
      <c r="A1045" s="24">
        <f t="shared" si="4"/>
        <v>1031</v>
      </c>
      <c r="B1045" s="483" t="s">
        <v>294</v>
      </c>
      <c r="C1045" s="351"/>
      <c r="D1045" s="484" t="s">
        <v>294</v>
      </c>
      <c r="E1045" s="351"/>
      <c r="F1045" s="485" t="s">
        <v>325</v>
      </c>
      <c r="G1045" s="351"/>
      <c r="H1045" s="486"/>
      <c r="I1045" s="350"/>
      <c r="J1045" s="351"/>
      <c r="K1045" s="485" t="s">
        <v>325</v>
      </c>
      <c r="L1045" s="350"/>
      <c r="M1045" s="351"/>
      <c r="N1045" s="491" t="s">
        <v>294</v>
      </c>
      <c r="O1045" s="350"/>
      <c r="P1045" s="350"/>
      <c r="Q1045" s="350"/>
      <c r="R1045" s="350"/>
      <c r="S1045" s="350"/>
      <c r="T1045" s="350"/>
      <c r="U1045" s="351"/>
    </row>
    <row r="1046" spans="1:21" ht="34.5" customHeight="1">
      <c r="A1046" s="24">
        <f t="shared" si="4"/>
        <v>1032</v>
      </c>
      <c r="B1046" s="488" t="s">
        <v>294</v>
      </c>
      <c r="C1046" s="351"/>
      <c r="D1046" s="489" t="s">
        <v>294</v>
      </c>
      <c r="E1046" s="351"/>
      <c r="F1046" s="485" t="s">
        <v>325</v>
      </c>
      <c r="G1046" s="351"/>
      <c r="H1046" s="487"/>
      <c r="I1046" s="350"/>
      <c r="J1046" s="351"/>
      <c r="K1046" s="485" t="s">
        <v>325</v>
      </c>
      <c r="L1046" s="350"/>
      <c r="M1046" s="351"/>
      <c r="N1046" s="490" t="s">
        <v>294</v>
      </c>
      <c r="O1046" s="350"/>
      <c r="P1046" s="350"/>
      <c r="Q1046" s="350"/>
      <c r="R1046" s="350"/>
      <c r="S1046" s="350"/>
      <c r="T1046" s="350"/>
      <c r="U1046" s="351"/>
    </row>
    <row r="1047" spans="1:21" ht="34.5" customHeight="1">
      <c r="A1047" s="24">
        <f t="shared" si="4"/>
        <v>1033</v>
      </c>
      <c r="B1047" s="483" t="s">
        <v>294</v>
      </c>
      <c r="C1047" s="351"/>
      <c r="D1047" s="484" t="s">
        <v>294</v>
      </c>
      <c r="E1047" s="351"/>
      <c r="F1047" s="485" t="s">
        <v>325</v>
      </c>
      <c r="G1047" s="351"/>
      <c r="H1047" s="486"/>
      <c r="I1047" s="350"/>
      <c r="J1047" s="351"/>
      <c r="K1047" s="485" t="s">
        <v>325</v>
      </c>
      <c r="L1047" s="350"/>
      <c r="M1047" s="351"/>
      <c r="N1047" s="491" t="s">
        <v>294</v>
      </c>
      <c r="O1047" s="350"/>
      <c r="P1047" s="350"/>
      <c r="Q1047" s="350"/>
      <c r="R1047" s="350"/>
      <c r="S1047" s="350"/>
      <c r="T1047" s="350"/>
      <c r="U1047" s="351"/>
    </row>
    <row r="1048" spans="1:21" ht="34.5" customHeight="1">
      <c r="A1048" s="24">
        <f t="shared" si="4"/>
        <v>1034</v>
      </c>
      <c r="B1048" s="488" t="s">
        <v>294</v>
      </c>
      <c r="C1048" s="351"/>
      <c r="D1048" s="489" t="s">
        <v>294</v>
      </c>
      <c r="E1048" s="351"/>
      <c r="F1048" s="485" t="s">
        <v>325</v>
      </c>
      <c r="G1048" s="351"/>
      <c r="H1048" s="487"/>
      <c r="I1048" s="350"/>
      <c r="J1048" s="351"/>
      <c r="K1048" s="485" t="s">
        <v>325</v>
      </c>
      <c r="L1048" s="350"/>
      <c r="M1048" s="351"/>
      <c r="N1048" s="490" t="s">
        <v>294</v>
      </c>
      <c r="O1048" s="350"/>
      <c r="P1048" s="350"/>
      <c r="Q1048" s="350"/>
      <c r="R1048" s="350"/>
      <c r="S1048" s="350"/>
      <c r="T1048" s="350"/>
      <c r="U1048" s="351"/>
    </row>
    <row r="1049" spans="1:21" ht="34.5" customHeight="1">
      <c r="A1049" s="24">
        <f t="shared" si="4"/>
        <v>1035</v>
      </c>
      <c r="B1049" s="483" t="s">
        <v>294</v>
      </c>
      <c r="C1049" s="351"/>
      <c r="D1049" s="484" t="s">
        <v>294</v>
      </c>
      <c r="E1049" s="351"/>
      <c r="F1049" s="485" t="s">
        <v>325</v>
      </c>
      <c r="G1049" s="351"/>
      <c r="H1049" s="486"/>
      <c r="I1049" s="350"/>
      <c r="J1049" s="351"/>
      <c r="K1049" s="485" t="s">
        <v>325</v>
      </c>
      <c r="L1049" s="350"/>
      <c r="M1049" s="351"/>
      <c r="N1049" s="491" t="s">
        <v>294</v>
      </c>
      <c r="O1049" s="350"/>
      <c r="P1049" s="350"/>
      <c r="Q1049" s="350"/>
      <c r="R1049" s="350"/>
      <c r="S1049" s="350"/>
      <c r="T1049" s="350"/>
      <c r="U1049" s="351"/>
    </row>
    <row r="1050" spans="1:21" ht="34.5" customHeight="1">
      <c r="A1050" s="24">
        <f t="shared" si="4"/>
        <v>1036</v>
      </c>
      <c r="B1050" s="488" t="s">
        <v>294</v>
      </c>
      <c r="C1050" s="351"/>
      <c r="D1050" s="489" t="s">
        <v>294</v>
      </c>
      <c r="E1050" s="351"/>
      <c r="F1050" s="485" t="s">
        <v>325</v>
      </c>
      <c r="G1050" s="351"/>
      <c r="H1050" s="487"/>
      <c r="I1050" s="350"/>
      <c r="J1050" s="351"/>
      <c r="K1050" s="485" t="s">
        <v>325</v>
      </c>
      <c r="L1050" s="350"/>
      <c r="M1050" s="351"/>
      <c r="N1050" s="490" t="s">
        <v>294</v>
      </c>
      <c r="O1050" s="350"/>
      <c r="P1050" s="350"/>
      <c r="Q1050" s="350"/>
      <c r="R1050" s="350"/>
      <c r="S1050" s="350"/>
      <c r="T1050" s="350"/>
      <c r="U1050" s="351"/>
    </row>
    <row r="1051" spans="1:21" ht="34.5" customHeight="1">
      <c r="A1051" s="24">
        <f t="shared" si="4"/>
        <v>1037</v>
      </c>
      <c r="B1051" s="483" t="s">
        <v>294</v>
      </c>
      <c r="C1051" s="351"/>
      <c r="D1051" s="484" t="s">
        <v>294</v>
      </c>
      <c r="E1051" s="351"/>
      <c r="F1051" s="485" t="s">
        <v>325</v>
      </c>
      <c r="G1051" s="351"/>
      <c r="H1051" s="486"/>
      <c r="I1051" s="350"/>
      <c r="J1051" s="351"/>
      <c r="K1051" s="485" t="s">
        <v>325</v>
      </c>
      <c r="L1051" s="350"/>
      <c r="M1051" s="351"/>
      <c r="N1051" s="491" t="s">
        <v>294</v>
      </c>
      <c r="O1051" s="350"/>
      <c r="P1051" s="350"/>
      <c r="Q1051" s="350"/>
      <c r="R1051" s="350"/>
      <c r="S1051" s="350"/>
      <c r="T1051" s="350"/>
      <c r="U1051" s="351"/>
    </row>
    <row r="1052" spans="1:21" ht="34.5" customHeight="1">
      <c r="A1052" s="24">
        <f t="shared" si="4"/>
        <v>1038</v>
      </c>
      <c r="B1052" s="488" t="s">
        <v>294</v>
      </c>
      <c r="C1052" s="351"/>
      <c r="D1052" s="489" t="s">
        <v>294</v>
      </c>
      <c r="E1052" s="351"/>
      <c r="F1052" s="485" t="s">
        <v>325</v>
      </c>
      <c r="G1052" s="351"/>
      <c r="H1052" s="487"/>
      <c r="I1052" s="350"/>
      <c r="J1052" s="351"/>
      <c r="K1052" s="485" t="s">
        <v>325</v>
      </c>
      <c r="L1052" s="350"/>
      <c r="M1052" s="351"/>
      <c r="N1052" s="490" t="s">
        <v>294</v>
      </c>
      <c r="O1052" s="350"/>
      <c r="P1052" s="350"/>
      <c r="Q1052" s="350"/>
      <c r="R1052" s="350"/>
      <c r="S1052" s="350"/>
      <c r="T1052" s="350"/>
      <c r="U1052" s="351"/>
    </row>
    <row r="1053" spans="1:21" ht="34.5" customHeight="1">
      <c r="A1053" s="24">
        <f t="shared" si="4"/>
        <v>1039</v>
      </c>
      <c r="B1053" s="483" t="s">
        <v>294</v>
      </c>
      <c r="C1053" s="351"/>
      <c r="D1053" s="484" t="s">
        <v>294</v>
      </c>
      <c r="E1053" s="351"/>
      <c r="F1053" s="485" t="s">
        <v>325</v>
      </c>
      <c r="G1053" s="351"/>
      <c r="H1053" s="486"/>
      <c r="I1053" s="350"/>
      <c r="J1053" s="351"/>
      <c r="K1053" s="485" t="s">
        <v>325</v>
      </c>
      <c r="L1053" s="350"/>
      <c r="M1053" s="351"/>
      <c r="N1053" s="491" t="s">
        <v>294</v>
      </c>
      <c r="O1053" s="350"/>
      <c r="P1053" s="350"/>
      <c r="Q1053" s="350"/>
      <c r="R1053" s="350"/>
      <c r="S1053" s="350"/>
      <c r="T1053" s="350"/>
      <c r="U1053" s="351"/>
    </row>
    <row r="1054" spans="1:21" ht="34.5" customHeight="1">
      <c r="A1054" s="24">
        <f t="shared" si="4"/>
        <v>1040</v>
      </c>
      <c r="B1054" s="488" t="s">
        <v>294</v>
      </c>
      <c r="C1054" s="351"/>
      <c r="D1054" s="489" t="s">
        <v>294</v>
      </c>
      <c r="E1054" s="351"/>
      <c r="F1054" s="485" t="s">
        <v>325</v>
      </c>
      <c r="G1054" s="351"/>
      <c r="H1054" s="487"/>
      <c r="I1054" s="350"/>
      <c r="J1054" s="351"/>
      <c r="K1054" s="485" t="s">
        <v>325</v>
      </c>
      <c r="L1054" s="350"/>
      <c r="M1054" s="351"/>
      <c r="N1054" s="490" t="s">
        <v>294</v>
      </c>
      <c r="O1054" s="350"/>
      <c r="P1054" s="350"/>
      <c r="Q1054" s="350"/>
      <c r="R1054" s="350"/>
      <c r="S1054" s="350"/>
      <c r="T1054" s="350"/>
      <c r="U1054" s="351"/>
    </row>
    <row r="1055" spans="1:21" ht="34.5" customHeight="1">
      <c r="A1055" s="24">
        <f t="shared" si="4"/>
        <v>1041</v>
      </c>
      <c r="B1055" s="483" t="s">
        <v>294</v>
      </c>
      <c r="C1055" s="351"/>
      <c r="D1055" s="484" t="s">
        <v>294</v>
      </c>
      <c r="E1055" s="351"/>
      <c r="F1055" s="485" t="s">
        <v>325</v>
      </c>
      <c r="G1055" s="351"/>
      <c r="H1055" s="486"/>
      <c r="I1055" s="350"/>
      <c r="J1055" s="351"/>
      <c r="K1055" s="485" t="s">
        <v>325</v>
      </c>
      <c r="L1055" s="350"/>
      <c r="M1055" s="351"/>
      <c r="N1055" s="491" t="s">
        <v>294</v>
      </c>
      <c r="O1055" s="350"/>
      <c r="P1055" s="350"/>
      <c r="Q1055" s="350"/>
      <c r="R1055" s="350"/>
      <c r="S1055" s="350"/>
      <c r="T1055" s="350"/>
      <c r="U1055" s="351"/>
    </row>
    <row r="1056" spans="1:21" ht="34.5" customHeight="1">
      <c r="A1056" s="24">
        <f t="shared" si="4"/>
        <v>1042</v>
      </c>
      <c r="B1056" s="488" t="s">
        <v>294</v>
      </c>
      <c r="C1056" s="351"/>
      <c r="D1056" s="489" t="s">
        <v>294</v>
      </c>
      <c r="E1056" s="351"/>
      <c r="F1056" s="485" t="s">
        <v>325</v>
      </c>
      <c r="G1056" s="351"/>
      <c r="H1056" s="487"/>
      <c r="I1056" s="350"/>
      <c r="J1056" s="351"/>
      <c r="K1056" s="485" t="s">
        <v>325</v>
      </c>
      <c r="L1056" s="350"/>
      <c r="M1056" s="351"/>
      <c r="N1056" s="490" t="s">
        <v>294</v>
      </c>
      <c r="O1056" s="350"/>
      <c r="P1056" s="350"/>
      <c r="Q1056" s="350"/>
      <c r="R1056" s="350"/>
      <c r="S1056" s="350"/>
      <c r="T1056" s="350"/>
      <c r="U1056" s="351"/>
    </row>
    <row r="1057" spans="1:21" ht="34.5" customHeight="1">
      <c r="A1057" s="24">
        <f t="shared" si="4"/>
        <v>1043</v>
      </c>
      <c r="B1057" s="483" t="s">
        <v>294</v>
      </c>
      <c r="C1057" s="351"/>
      <c r="D1057" s="484" t="s">
        <v>294</v>
      </c>
      <c r="E1057" s="351"/>
      <c r="F1057" s="485" t="s">
        <v>325</v>
      </c>
      <c r="G1057" s="351"/>
      <c r="H1057" s="486"/>
      <c r="I1057" s="350"/>
      <c r="J1057" s="351"/>
      <c r="K1057" s="485" t="s">
        <v>325</v>
      </c>
      <c r="L1057" s="350"/>
      <c r="M1057" s="351"/>
      <c r="N1057" s="491" t="s">
        <v>294</v>
      </c>
      <c r="O1057" s="350"/>
      <c r="P1057" s="350"/>
      <c r="Q1057" s="350"/>
      <c r="R1057" s="350"/>
      <c r="S1057" s="350"/>
      <c r="T1057" s="350"/>
      <c r="U1057" s="351"/>
    </row>
    <row r="1058" spans="1:21" ht="34.5" customHeight="1">
      <c r="A1058" s="24">
        <f t="shared" si="4"/>
        <v>1044</v>
      </c>
      <c r="B1058" s="488" t="s">
        <v>294</v>
      </c>
      <c r="C1058" s="351"/>
      <c r="D1058" s="489" t="s">
        <v>294</v>
      </c>
      <c r="E1058" s="351"/>
      <c r="F1058" s="485" t="s">
        <v>325</v>
      </c>
      <c r="G1058" s="351"/>
      <c r="H1058" s="487"/>
      <c r="I1058" s="350"/>
      <c r="J1058" s="351"/>
      <c r="K1058" s="485" t="s">
        <v>325</v>
      </c>
      <c r="L1058" s="350"/>
      <c r="M1058" s="351"/>
      <c r="N1058" s="490" t="s">
        <v>294</v>
      </c>
      <c r="O1058" s="350"/>
      <c r="P1058" s="350"/>
      <c r="Q1058" s="350"/>
      <c r="R1058" s="350"/>
      <c r="S1058" s="350"/>
      <c r="T1058" s="350"/>
      <c r="U1058" s="351"/>
    </row>
    <row r="1059" spans="1:21" ht="34.5" customHeight="1">
      <c r="A1059" s="24">
        <f t="shared" si="4"/>
        <v>1045</v>
      </c>
      <c r="B1059" s="483" t="s">
        <v>294</v>
      </c>
      <c r="C1059" s="351"/>
      <c r="D1059" s="484" t="s">
        <v>294</v>
      </c>
      <c r="E1059" s="351"/>
      <c r="F1059" s="485" t="s">
        <v>325</v>
      </c>
      <c r="G1059" s="351"/>
      <c r="H1059" s="486"/>
      <c r="I1059" s="350"/>
      <c r="J1059" s="351"/>
      <c r="K1059" s="485" t="s">
        <v>325</v>
      </c>
      <c r="L1059" s="350"/>
      <c r="M1059" s="351"/>
      <c r="N1059" s="491" t="s">
        <v>294</v>
      </c>
      <c r="O1059" s="350"/>
      <c r="P1059" s="350"/>
      <c r="Q1059" s="350"/>
      <c r="R1059" s="350"/>
      <c r="S1059" s="350"/>
      <c r="T1059" s="350"/>
      <c r="U1059" s="351"/>
    </row>
    <row r="1060" spans="1:21" ht="34.5" customHeight="1">
      <c r="A1060" s="24">
        <f t="shared" si="4"/>
        <v>1046</v>
      </c>
      <c r="B1060" s="488" t="s">
        <v>326</v>
      </c>
      <c r="C1060" s="351"/>
      <c r="D1060" s="489" t="s">
        <v>294</v>
      </c>
      <c r="E1060" s="351"/>
      <c r="F1060" s="485" t="s">
        <v>325</v>
      </c>
      <c r="G1060" s="351"/>
      <c r="H1060" s="487"/>
      <c r="I1060" s="350"/>
      <c r="J1060" s="351"/>
      <c r="K1060" s="485" t="s">
        <v>325</v>
      </c>
      <c r="L1060" s="350"/>
      <c r="M1060" s="351"/>
      <c r="N1060" s="490" t="s">
        <v>294</v>
      </c>
      <c r="O1060" s="350"/>
      <c r="P1060" s="350"/>
      <c r="Q1060" s="350"/>
      <c r="R1060" s="350"/>
      <c r="S1060" s="350"/>
      <c r="T1060" s="350"/>
      <c r="U1060" s="351"/>
    </row>
    <row r="1061" spans="1:21" ht="34.5" customHeight="1">
      <c r="A1061" s="24">
        <f t="shared" si="4"/>
        <v>1047</v>
      </c>
      <c r="B1061" s="483" t="s">
        <v>294</v>
      </c>
      <c r="C1061" s="351"/>
      <c r="D1061" s="484" t="s">
        <v>294</v>
      </c>
      <c r="E1061" s="351"/>
      <c r="F1061" s="485" t="s">
        <v>325</v>
      </c>
      <c r="G1061" s="351"/>
      <c r="H1061" s="486"/>
      <c r="I1061" s="350"/>
      <c r="J1061" s="351"/>
      <c r="K1061" s="485" t="s">
        <v>325</v>
      </c>
      <c r="L1061" s="350"/>
      <c r="M1061" s="351"/>
      <c r="N1061" s="491" t="s">
        <v>294</v>
      </c>
      <c r="O1061" s="350"/>
      <c r="P1061" s="350"/>
      <c r="Q1061" s="350"/>
      <c r="R1061" s="350"/>
      <c r="S1061" s="350"/>
      <c r="T1061" s="350"/>
      <c r="U1061" s="351"/>
    </row>
    <row r="1062" spans="1:21" ht="34.5" customHeight="1">
      <c r="A1062" s="24">
        <f t="shared" si="4"/>
        <v>1048</v>
      </c>
      <c r="B1062" s="488" t="s">
        <v>294</v>
      </c>
      <c r="C1062" s="351"/>
      <c r="D1062" s="489" t="s">
        <v>294</v>
      </c>
      <c r="E1062" s="351"/>
      <c r="F1062" s="485" t="s">
        <v>325</v>
      </c>
      <c r="G1062" s="351"/>
      <c r="H1062" s="487"/>
      <c r="I1062" s="350"/>
      <c r="J1062" s="351"/>
      <c r="K1062" s="485" t="s">
        <v>325</v>
      </c>
      <c r="L1062" s="350"/>
      <c r="M1062" s="351"/>
      <c r="N1062" s="490" t="s">
        <v>294</v>
      </c>
      <c r="O1062" s="350"/>
      <c r="P1062" s="350"/>
      <c r="Q1062" s="350"/>
      <c r="R1062" s="350"/>
      <c r="S1062" s="350"/>
      <c r="T1062" s="350"/>
      <c r="U1062" s="351"/>
    </row>
    <row r="1063" spans="1:21" ht="34.5" customHeight="1">
      <c r="A1063" s="24">
        <f t="shared" si="4"/>
        <v>1049</v>
      </c>
      <c r="B1063" s="483" t="s">
        <v>294</v>
      </c>
      <c r="C1063" s="351"/>
      <c r="D1063" s="484" t="s">
        <v>294</v>
      </c>
      <c r="E1063" s="351"/>
      <c r="F1063" s="485" t="s">
        <v>325</v>
      </c>
      <c r="G1063" s="351"/>
      <c r="H1063" s="486"/>
      <c r="I1063" s="350"/>
      <c r="J1063" s="351"/>
      <c r="K1063" s="485" t="s">
        <v>325</v>
      </c>
      <c r="L1063" s="350"/>
      <c r="M1063" s="351"/>
      <c r="N1063" s="491" t="s">
        <v>294</v>
      </c>
      <c r="O1063" s="350"/>
      <c r="P1063" s="350"/>
      <c r="Q1063" s="350"/>
      <c r="R1063" s="350"/>
      <c r="S1063" s="350"/>
      <c r="T1063" s="350"/>
      <c r="U1063" s="351"/>
    </row>
    <row r="1064" spans="1:21" ht="34.5" customHeight="1">
      <c r="A1064" s="24">
        <f t="shared" si="4"/>
        <v>1050</v>
      </c>
      <c r="B1064" s="488" t="s">
        <v>294</v>
      </c>
      <c r="C1064" s="351"/>
      <c r="D1064" s="489" t="s">
        <v>294</v>
      </c>
      <c r="E1064" s="351"/>
      <c r="F1064" s="485" t="s">
        <v>325</v>
      </c>
      <c r="G1064" s="351"/>
      <c r="H1064" s="487"/>
      <c r="I1064" s="350"/>
      <c r="J1064" s="351"/>
      <c r="K1064" s="485" t="s">
        <v>325</v>
      </c>
      <c r="L1064" s="350"/>
      <c r="M1064" s="351"/>
      <c r="N1064" s="490" t="s">
        <v>294</v>
      </c>
      <c r="O1064" s="350"/>
      <c r="P1064" s="350"/>
      <c r="Q1064" s="350"/>
      <c r="R1064" s="350"/>
      <c r="S1064" s="350"/>
      <c r="T1064" s="350"/>
      <c r="U1064" s="351"/>
    </row>
    <row r="1065" spans="1:21" ht="34.5" customHeight="1">
      <c r="A1065" s="24">
        <f t="shared" si="4"/>
        <v>1051</v>
      </c>
      <c r="B1065" s="483" t="s">
        <v>294</v>
      </c>
      <c r="C1065" s="351"/>
      <c r="D1065" s="484" t="s">
        <v>294</v>
      </c>
      <c r="E1065" s="351"/>
      <c r="F1065" s="485" t="s">
        <v>325</v>
      </c>
      <c r="G1065" s="351"/>
      <c r="H1065" s="486"/>
      <c r="I1065" s="350"/>
      <c r="J1065" s="351"/>
      <c r="K1065" s="485" t="s">
        <v>325</v>
      </c>
      <c r="L1065" s="350"/>
      <c r="M1065" s="351"/>
      <c r="N1065" s="491" t="s">
        <v>294</v>
      </c>
      <c r="O1065" s="350"/>
      <c r="P1065" s="350"/>
      <c r="Q1065" s="350"/>
      <c r="R1065" s="350"/>
      <c r="S1065" s="350"/>
      <c r="T1065" s="350"/>
      <c r="U1065" s="351"/>
    </row>
    <row r="1066" spans="1:21" ht="34.5" customHeight="1">
      <c r="A1066" s="24">
        <f t="shared" si="4"/>
        <v>1052</v>
      </c>
      <c r="B1066" s="488" t="s">
        <v>327</v>
      </c>
      <c r="C1066" s="351"/>
      <c r="D1066" s="489" t="s">
        <v>294</v>
      </c>
      <c r="E1066" s="351"/>
      <c r="F1066" s="485" t="s">
        <v>325</v>
      </c>
      <c r="G1066" s="351"/>
      <c r="H1066" s="487"/>
      <c r="I1066" s="350"/>
      <c r="J1066" s="351"/>
      <c r="K1066" s="485" t="s">
        <v>325</v>
      </c>
      <c r="L1066" s="350"/>
      <c r="M1066" s="351"/>
      <c r="N1066" s="490" t="s">
        <v>294</v>
      </c>
      <c r="O1066" s="350"/>
      <c r="P1066" s="350"/>
      <c r="Q1066" s="350"/>
      <c r="R1066" s="350"/>
      <c r="S1066" s="350"/>
      <c r="T1066" s="350"/>
      <c r="U1066" s="351"/>
    </row>
    <row r="1067" spans="1:21" ht="34.5" customHeight="1">
      <c r="A1067" s="24">
        <f t="shared" si="4"/>
        <v>1053</v>
      </c>
      <c r="B1067" s="483" t="s">
        <v>294</v>
      </c>
      <c r="C1067" s="351"/>
      <c r="D1067" s="484" t="s">
        <v>294</v>
      </c>
      <c r="E1067" s="351"/>
      <c r="F1067" s="485" t="s">
        <v>325</v>
      </c>
      <c r="G1067" s="351"/>
      <c r="H1067" s="486"/>
      <c r="I1067" s="350"/>
      <c r="J1067" s="351"/>
      <c r="K1067" s="485" t="s">
        <v>325</v>
      </c>
      <c r="L1067" s="350"/>
      <c r="M1067" s="351"/>
      <c r="N1067" s="491" t="s">
        <v>294</v>
      </c>
      <c r="O1067" s="350"/>
      <c r="P1067" s="350"/>
      <c r="Q1067" s="350"/>
      <c r="R1067" s="350"/>
      <c r="S1067" s="350"/>
      <c r="T1067" s="350"/>
      <c r="U1067" s="351"/>
    </row>
    <row r="1068" spans="1:21" ht="34.5" customHeight="1">
      <c r="A1068" s="24">
        <f t="shared" si="4"/>
        <v>1054</v>
      </c>
      <c r="B1068" s="488" t="s">
        <v>294</v>
      </c>
      <c r="C1068" s="351"/>
      <c r="D1068" s="489" t="s">
        <v>294</v>
      </c>
      <c r="E1068" s="351"/>
      <c r="F1068" s="485" t="s">
        <v>325</v>
      </c>
      <c r="G1068" s="351"/>
      <c r="H1068" s="487"/>
      <c r="I1068" s="350"/>
      <c r="J1068" s="351"/>
      <c r="K1068" s="485" t="s">
        <v>325</v>
      </c>
      <c r="L1068" s="350"/>
      <c r="M1068" s="351"/>
      <c r="N1068" s="490" t="s">
        <v>294</v>
      </c>
      <c r="O1068" s="350"/>
      <c r="P1068" s="350"/>
      <c r="Q1068" s="350"/>
      <c r="R1068" s="350"/>
      <c r="S1068" s="350"/>
      <c r="T1068" s="350"/>
      <c r="U1068" s="351"/>
    </row>
    <row r="1069" spans="1:21" ht="34.5" customHeight="1">
      <c r="A1069" s="24">
        <f t="shared" si="4"/>
        <v>1055</v>
      </c>
      <c r="B1069" s="483" t="s">
        <v>294</v>
      </c>
      <c r="C1069" s="351"/>
      <c r="D1069" s="484" t="s">
        <v>294</v>
      </c>
      <c r="E1069" s="351"/>
      <c r="F1069" s="485" t="s">
        <v>325</v>
      </c>
      <c r="G1069" s="351"/>
      <c r="H1069" s="486"/>
      <c r="I1069" s="350"/>
      <c r="J1069" s="351"/>
      <c r="K1069" s="485" t="s">
        <v>325</v>
      </c>
      <c r="L1069" s="350"/>
      <c r="M1069" s="351"/>
      <c r="N1069" s="491" t="s">
        <v>294</v>
      </c>
      <c r="O1069" s="350"/>
      <c r="P1069" s="350"/>
      <c r="Q1069" s="350"/>
      <c r="R1069" s="350"/>
      <c r="S1069" s="350"/>
      <c r="T1069" s="350"/>
      <c r="U1069" s="351"/>
    </row>
    <row r="1070" spans="1:21" ht="34.5" customHeight="1">
      <c r="A1070" s="24">
        <f t="shared" si="4"/>
        <v>1056</v>
      </c>
      <c r="B1070" s="488" t="s">
        <v>294</v>
      </c>
      <c r="C1070" s="351"/>
      <c r="D1070" s="489" t="s">
        <v>294</v>
      </c>
      <c r="E1070" s="351"/>
      <c r="F1070" s="485" t="s">
        <v>325</v>
      </c>
      <c r="G1070" s="351"/>
      <c r="H1070" s="487"/>
      <c r="I1070" s="350"/>
      <c r="J1070" s="351"/>
      <c r="K1070" s="485" t="s">
        <v>325</v>
      </c>
      <c r="L1070" s="350"/>
      <c r="M1070" s="351"/>
      <c r="N1070" s="490" t="s">
        <v>294</v>
      </c>
      <c r="O1070" s="350"/>
      <c r="P1070" s="350"/>
      <c r="Q1070" s="350"/>
      <c r="R1070" s="350"/>
      <c r="S1070" s="350"/>
      <c r="T1070" s="350"/>
      <c r="U1070" s="351"/>
    </row>
    <row r="1071" spans="1:21" ht="34.5" customHeight="1">
      <c r="A1071" s="24">
        <f t="shared" si="4"/>
        <v>1057</v>
      </c>
      <c r="B1071" s="483" t="s">
        <v>294</v>
      </c>
      <c r="C1071" s="351"/>
      <c r="D1071" s="484" t="s">
        <v>294</v>
      </c>
      <c r="E1071" s="351"/>
      <c r="F1071" s="485" t="s">
        <v>325</v>
      </c>
      <c r="G1071" s="351"/>
      <c r="H1071" s="486"/>
      <c r="I1071" s="350"/>
      <c r="J1071" s="351"/>
      <c r="K1071" s="485" t="s">
        <v>325</v>
      </c>
      <c r="L1071" s="350"/>
      <c r="M1071" s="351"/>
      <c r="N1071" s="491" t="s">
        <v>294</v>
      </c>
      <c r="O1071" s="350"/>
      <c r="P1071" s="350"/>
      <c r="Q1071" s="350"/>
      <c r="R1071" s="350"/>
      <c r="S1071" s="350"/>
      <c r="T1071" s="350"/>
      <c r="U1071" s="351"/>
    </row>
    <row r="1072" spans="1:21" ht="34.5" customHeight="1">
      <c r="A1072" s="24">
        <f t="shared" si="4"/>
        <v>1058</v>
      </c>
      <c r="B1072" s="488" t="s">
        <v>294</v>
      </c>
      <c r="C1072" s="351"/>
      <c r="D1072" s="489" t="s">
        <v>294</v>
      </c>
      <c r="E1072" s="351"/>
      <c r="F1072" s="485" t="s">
        <v>325</v>
      </c>
      <c r="G1072" s="351"/>
      <c r="H1072" s="487"/>
      <c r="I1072" s="350"/>
      <c r="J1072" s="351"/>
      <c r="K1072" s="485" t="s">
        <v>325</v>
      </c>
      <c r="L1072" s="350"/>
      <c r="M1072" s="351"/>
      <c r="N1072" s="490" t="s">
        <v>294</v>
      </c>
      <c r="O1072" s="350"/>
      <c r="P1072" s="350"/>
      <c r="Q1072" s="350"/>
      <c r="R1072" s="350"/>
      <c r="S1072" s="350"/>
      <c r="T1072" s="350"/>
      <c r="U1072" s="351"/>
    </row>
    <row r="1073" spans="1:21" ht="34.5" customHeight="1">
      <c r="A1073" s="24">
        <f t="shared" si="4"/>
        <v>1059</v>
      </c>
      <c r="B1073" s="483" t="s">
        <v>294</v>
      </c>
      <c r="C1073" s="351"/>
      <c r="D1073" s="484" t="s">
        <v>294</v>
      </c>
      <c r="E1073" s="351"/>
      <c r="F1073" s="485" t="s">
        <v>325</v>
      </c>
      <c r="G1073" s="351"/>
      <c r="H1073" s="486"/>
      <c r="I1073" s="350"/>
      <c r="J1073" s="351"/>
      <c r="K1073" s="485" t="s">
        <v>325</v>
      </c>
      <c r="L1073" s="350"/>
      <c r="M1073" s="351"/>
      <c r="N1073" s="491" t="s">
        <v>294</v>
      </c>
      <c r="O1073" s="350"/>
      <c r="P1073" s="350"/>
      <c r="Q1073" s="350"/>
      <c r="R1073" s="350"/>
      <c r="S1073" s="350"/>
      <c r="T1073" s="350"/>
      <c r="U1073" s="351"/>
    </row>
    <row r="1074" spans="1:21" ht="34.5" customHeight="1">
      <c r="A1074" s="24">
        <f t="shared" si="4"/>
        <v>1060</v>
      </c>
      <c r="B1074" s="488" t="s">
        <v>294</v>
      </c>
      <c r="C1074" s="351"/>
      <c r="D1074" s="489" t="s">
        <v>294</v>
      </c>
      <c r="E1074" s="351"/>
      <c r="F1074" s="485" t="s">
        <v>325</v>
      </c>
      <c r="G1074" s="351"/>
      <c r="H1074" s="487"/>
      <c r="I1074" s="350"/>
      <c r="J1074" s="351"/>
      <c r="K1074" s="485" t="s">
        <v>325</v>
      </c>
      <c r="L1074" s="350"/>
      <c r="M1074" s="351"/>
      <c r="N1074" s="490" t="s">
        <v>294</v>
      </c>
      <c r="O1074" s="350"/>
      <c r="P1074" s="350"/>
      <c r="Q1074" s="350"/>
      <c r="R1074" s="350"/>
      <c r="S1074" s="350"/>
      <c r="T1074" s="350"/>
      <c r="U1074" s="351"/>
    </row>
    <row r="1075" spans="1:21" ht="34.5" customHeight="1">
      <c r="A1075" s="24">
        <f t="shared" si="4"/>
        <v>1061</v>
      </c>
      <c r="B1075" s="483" t="s">
        <v>294</v>
      </c>
      <c r="C1075" s="351"/>
      <c r="D1075" s="484" t="s">
        <v>294</v>
      </c>
      <c r="E1075" s="351"/>
      <c r="F1075" s="485" t="s">
        <v>325</v>
      </c>
      <c r="G1075" s="351"/>
      <c r="H1075" s="486"/>
      <c r="I1075" s="350"/>
      <c r="J1075" s="351"/>
      <c r="K1075" s="485" t="s">
        <v>325</v>
      </c>
      <c r="L1075" s="350"/>
      <c r="M1075" s="351"/>
      <c r="N1075" s="491" t="s">
        <v>294</v>
      </c>
      <c r="O1075" s="350"/>
      <c r="P1075" s="350"/>
      <c r="Q1075" s="350"/>
      <c r="R1075" s="350"/>
      <c r="S1075" s="350"/>
      <c r="T1075" s="350"/>
      <c r="U1075" s="351"/>
    </row>
    <row r="1076" spans="1:21" ht="34.5" customHeight="1">
      <c r="A1076" s="24">
        <f t="shared" si="4"/>
        <v>1062</v>
      </c>
      <c r="B1076" s="488" t="s">
        <v>294</v>
      </c>
      <c r="C1076" s="351"/>
      <c r="D1076" s="489" t="s">
        <v>294</v>
      </c>
      <c r="E1076" s="351"/>
      <c r="F1076" s="485" t="s">
        <v>325</v>
      </c>
      <c r="G1076" s="351"/>
      <c r="H1076" s="487"/>
      <c r="I1076" s="350"/>
      <c r="J1076" s="351"/>
      <c r="K1076" s="485" t="s">
        <v>325</v>
      </c>
      <c r="L1076" s="350"/>
      <c r="M1076" s="351"/>
      <c r="N1076" s="490" t="s">
        <v>294</v>
      </c>
      <c r="O1076" s="350"/>
      <c r="P1076" s="350"/>
      <c r="Q1076" s="350"/>
      <c r="R1076" s="350"/>
      <c r="S1076" s="350"/>
      <c r="T1076" s="350"/>
      <c r="U1076" s="351"/>
    </row>
    <row r="1077" spans="1:21" ht="34.5" customHeight="1">
      <c r="A1077" s="24">
        <f t="shared" si="4"/>
        <v>1063</v>
      </c>
      <c r="B1077" s="483" t="s">
        <v>294</v>
      </c>
      <c r="C1077" s="351"/>
      <c r="D1077" s="484" t="s">
        <v>294</v>
      </c>
      <c r="E1077" s="351"/>
      <c r="F1077" s="485" t="s">
        <v>325</v>
      </c>
      <c r="G1077" s="351"/>
      <c r="H1077" s="486"/>
      <c r="I1077" s="350"/>
      <c r="J1077" s="351"/>
      <c r="K1077" s="485" t="s">
        <v>325</v>
      </c>
      <c r="L1077" s="350"/>
      <c r="M1077" s="351"/>
      <c r="N1077" s="491" t="s">
        <v>294</v>
      </c>
      <c r="O1077" s="350"/>
      <c r="P1077" s="350"/>
      <c r="Q1077" s="350"/>
      <c r="R1077" s="350"/>
      <c r="S1077" s="350"/>
      <c r="T1077" s="350"/>
      <c r="U1077" s="351"/>
    </row>
    <row r="1078" spans="1:21" ht="34.5" customHeight="1">
      <c r="A1078" s="24">
        <f t="shared" si="4"/>
        <v>1064</v>
      </c>
      <c r="B1078" s="488" t="s">
        <v>294</v>
      </c>
      <c r="C1078" s="351"/>
      <c r="D1078" s="489" t="s">
        <v>294</v>
      </c>
      <c r="E1078" s="351"/>
      <c r="F1078" s="485" t="s">
        <v>325</v>
      </c>
      <c r="G1078" s="351"/>
      <c r="H1078" s="487"/>
      <c r="I1078" s="350"/>
      <c r="J1078" s="351"/>
      <c r="K1078" s="485" t="s">
        <v>325</v>
      </c>
      <c r="L1078" s="350"/>
      <c r="M1078" s="351"/>
      <c r="N1078" s="490" t="s">
        <v>294</v>
      </c>
      <c r="O1078" s="350"/>
      <c r="P1078" s="350"/>
      <c r="Q1078" s="350"/>
      <c r="R1078" s="350"/>
      <c r="S1078" s="350"/>
      <c r="T1078" s="350"/>
      <c r="U1078" s="351"/>
    </row>
    <row r="1079" spans="1:21" ht="34.5" customHeight="1">
      <c r="A1079" s="24">
        <f t="shared" si="4"/>
        <v>1065</v>
      </c>
      <c r="B1079" s="483" t="s">
        <v>328</v>
      </c>
      <c r="C1079" s="351"/>
      <c r="D1079" s="484" t="s">
        <v>294</v>
      </c>
      <c r="E1079" s="351"/>
      <c r="F1079" s="485" t="s">
        <v>325</v>
      </c>
      <c r="G1079" s="351"/>
      <c r="H1079" s="486"/>
      <c r="I1079" s="350"/>
      <c r="J1079" s="351"/>
      <c r="K1079" s="485" t="s">
        <v>325</v>
      </c>
      <c r="L1079" s="350"/>
      <c r="M1079" s="351"/>
      <c r="N1079" s="491" t="s">
        <v>294</v>
      </c>
      <c r="O1079" s="350"/>
      <c r="P1079" s="350"/>
      <c r="Q1079" s="350"/>
      <c r="R1079" s="350"/>
      <c r="S1079" s="350"/>
      <c r="T1079" s="350"/>
      <c r="U1079" s="351"/>
    </row>
    <row r="1080" spans="1:21" ht="34.5" customHeight="1">
      <c r="A1080" s="24">
        <f t="shared" si="4"/>
        <v>1066</v>
      </c>
      <c r="B1080" s="488" t="s">
        <v>294</v>
      </c>
      <c r="C1080" s="351"/>
      <c r="D1080" s="489" t="s">
        <v>294</v>
      </c>
      <c r="E1080" s="351"/>
      <c r="F1080" s="485" t="s">
        <v>325</v>
      </c>
      <c r="G1080" s="351"/>
      <c r="H1080" s="487"/>
      <c r="I1080" s="350"/>
      <c r="J1080" s="351"/>
      <c r="K1080" s="485" t="s">
        <v>325</v>
      </c>
      <c r="L1080" s="350"/>
      <c r="M1080" s="351"/>
      <c r="N1080" s="490" t="s">
        <v>294</v>
      </c>
      <c r="O1080" s="350"/>
      <c r="P1080" s="350"/>
      <c r="Q1080" s="350"/>
      <c r="R1080" s="350"/>
      <c r="S1080" s="350"/>
      <c r="T1080" s="350"/>
      <c r="U1080" s="351"/>
    </row>
    <row r="1081" spans="1:21" ht="34.5" customHeight="1">
      <c r="A1081" s="24">
        <f t="shared" si="4"/>
        <v>1067</v>
      </c>
      <c r="B1081" s="483" t="s">
        <v>294</v>
      </c>
      <c r="C1081" s="351"/>
      <c r="D1081" s="484" t="s">
        <v>294</v>
      </c>
      <c r="E1081" s="351"/>
      <c r="F1081" s="485" t="s">
        <v>325</v>
      </c>
      <c r="G1081" s="351"/>
      <c r="H1081" s="486"/>
      <c r="I1081" s="350"/>
      <c r="J1081" s="351"/>
      <c r="K1081" s="485" t="s">
        <v>325</v>
      </c>
      <c r="L1081" s="350"/>
      <c r="M1081" s="351"/>
      <c r="N1081" s="491" t="s">
        <v>294</v>
      </c>
      <c r="O1081" s="350"/>
      <c r="P1081" s="350"/>
      <c r="Q1081" s="350"/>
      <c r="R1081" s="350"/>
      <c r="S1081" s="350"/>
      <c r="T1081" s="350"/>
      <c r="U1081" s="351"/>
    </row>
    <row r="1082" spans="1:21" ht="34.5" customHeight="1">
      <c r="A1082" s="24">
        <f t="shared" si="4"/>
        <v>1068</v>
      </c>
      <c r="B1082" s="488" t="s">
        <v>294</v>
      </c>
      <c r="C1082" s="351"/>
      <c r="D1082" s="489" t="s">
        <v>294</v>
      </c>
      <c r="E1082" s="351"/>
      <c r="F1082" s="485" t="s">
        <v>325</v>
      </c>
      <c r="G1082" s="351"/>
      <c r="H1082" s="487"/>
      <c r="I1082" s="350"/>
      <c r="J1082" s="351"/>
      <c r="K1082" s="485" t="s">
        <v>325</v>
      </c>
      <c r="L1082" s="350"/>
      <c r="M1082" s="351"/>
      <c r="N1082" s="490" t="s">
        <v>294</v>
      </c>
      <c r="O1082" s="350"/>
      <c r="P1082" s="350"/>
      <c r="Q1082" s="350"/>
      <c r="R1082" s="350"/>
      <c r="S1082" s="350"/>
      <c r="T1082" s="350"/>
      <c r="U1082" s="351"/>
    </row>
    <row r="1083" spans="1:21" ht="34.5" customHeight="1">
      <c r="A1083" s="24">
        <f t="shared" si="4"/>
        <v>1069</v>
      </c>
      <c r="B1083" s="483" t="s">
        <v>294</v>
      </c>
      <c r="C1083" s="351"/>
      <c r="D1083" s="484" t="s">
        <v>294</v>
      </c>
      <c r="E1083" s="351"/>
      <c r="F1083" s="485" t="s">
        <v>325</v>
      </c>
      <c r="G1083" s="351"/>
      <c r="H1083" s="486"/>
      <c r="I1083" s="350"/>
      <c r="J1083" s="351"/>
      <c r="K1083" s="485" t="s">
        <v>325</v>
      </c>
      <c r="L1083" s="350"/>
      <c r="M1083" s="351"/>
      <c r="N1083" s="491" t="s">
        <v>294</v>
      </c>
      <c r="O1083" s="350"/>
      <c r="P1083" s="350"/>
      <c r="Q1083" s="350"/>
      <c r="R1083" s="350"/>
      <c r="S1083" s="350"/>
      <c r="T1083" s="350"/>
      <c r="U1083" s="351"/>
    </row>
    <row r="1084" spans="1:21" ht="34.5" customHeight="1">
      <c r="A1084" s="24">
        <f t="shared" si="4"/>
        <v>1070</v>
      </c>
      <c r="B1084" s="488" t="s">
        <v>294</v>
      </c>
      <c r="C1084" s="351"/>
      <c r="D1084" s="489" t="s">
        <v>294</v>
      </c>
      <c r="E1084" s="351"/>
      <c r="F1084" s="485" t="s">
        <v>325</v>
      </c>
      <c r="G1084" s="351"/>
      <c r="H1084" s="487"/>
      <c r="I1084" s="350"/>
      <c r="J1084" s="351"/>
      <c r="K1084" s="485" t="s">
        <v>325</v>
      </c>
      <c r="L1084" s="350"/>
      <c r="M1084" s="351"/>
      <c r="N1084" s="490" t="s">
        <v>294</v>
      </c>
      <c r="O1084" s="350"/>
      <c r="P1084" s="350"/>
      <c r="Q1084" s="350"/>
      <c r="R1084" s="350"/>
      <c r="S1084" s="350"/>
      <c r="T1084" s="350"/>
      <c r="U1084" s="351"/>
    </row>
    <row r="1085" spans="1:21" ht="34.5" customHeight="1">
      <c r="A1085" s="24">
        <f t="shared" si="4"/>
        <v>1071</v>
      </c>
      <c r="B1085" s="483" t="s">
        <v>294</v>
      </c>
      <c r="C1085" s="351"/>
      <c r="D1085" s="484" t="s">
        <v>294</v>
      </c>
      <c r="E1085" s="351"/>
      <c r="F1085" s="485" t="s">
        <v>325</v>
      </c>
      <c r="G1085" s="351"/>
      <c r="H1085" s="486"/>
      <c r="I1085" s="350"/>
      <c r="J1085" s="351"/>
      <c r="K1085" s="485" t="s">
        <v>325</v>
      </c>
      <c r="L1085" s="350"/>
      <c r="M1085" s="351"/>
      <c r="N1085" s="491" t="s">
        <v>294</v>
      </c>
      <c r="O1085" s="350"/>
      <c r="P1085" s="350"/>
      <c r="Q1085" s="350"/>
      <c r="R1085" s="350"/>
      <c r="S1085" s="350"/>
      <c r="T1085" s="350"/>
      <c r="U1085" s="351"/>
    </row>
    <row r="1086" spans="1:21" ht="34.5" customHeight="1">
      <c r="A1086" s="24">
        <f t="shared" si="4"/>
        <v>1072</v>
      </c>
      <c r="B1086" s="488" t="s">
        <v>294</v>
      </c>
      <c r="C1086" s="351"/>
      <c r="D1086" s="489" t="s">
        <v>294</v>
      </c>
      <c r="E1086" s="351"/>
      <c r="F1086" s="485" t="s">
        <v>325</v>
      </c>
      <c r="G1086" s="351"/>
      <c r="H1086" s="487"/>
      <c r="I1086" s="350"/>
      <c r="J1086" s="351"/>
      <c r="K1086" s="485" t="s">
        <v>325</v>
      </c>
      <c r="L1086" s="350"/>
      <c r="M1086" s="351"/>
      <c r="N1086" s="490" t="s">
        <v>294</v>
      </c>
      <c r="O1086" s="350"/>
      <c r="P1086" s="350"/>
      <c r="Q1086" s="350"/>
      <c r="R1086" s="350"/>
      <c r="S1086" s="350"/>
      <c r="T1086" s="350"/>
      <c r="U1086" s="351"/>
    </row>
    <row r="1087" spans="1:21" ht="34.5" customHeight="1">
      <c r="A1087" s="24">
        <f t="shared" si="4"/>
        <v>1073</v>
      </c>
      <c r="B1087" s="483" t="s">
        <v>294</v>
      </c>
      <c r="C1087" s="351"/>
      <c r="D1087" s="484" t="s">
        <v>294</v>
      </c>
      <c r="E1087" s="351"/>
      <c r="F1087" s="485" t="s">
        <v>325</v>
      </c>
      <c r="G1087" s="351"/>
      <c r="H1087" s="486"/>
      <c r="I1087" s="350"/>
      <c r="J1087" s="351"/>
      <c r="K1087" s="485" t="s">
        <v>325</v>
      </c>
      <c r="L1087" s="350"/>
      <c r="M1087" s="351"/>
      <c r="N1087" s="491" t="s">
        <v>294</v>
      </c>
      <c r="O1087" s="350"/>
      <c r="P1087" s="350"/>
      <c r="Q1087" s="350"/>
      <c r="R1087" s="350"/>
      <c r="S1087" s="350"/>
      <c r="T1087" s="350"/>
      <c r="U1087" s="351"/>
    </row>
    <row r="1088" spans="1:21" ht="34.5" customHeight="1">
      <c r="A1088" s="24">
        <f t="shared" si="4"/>
        <v>1074</v>
      </c>
      <c r="B1088" s="488" t="s">
        <v>326</v>
      </c>
      <c r="C1088" s="351"/>
      <c r="D1088" s="489" t="s">
        <v>294</v>
      </c>
      <c r="E1088" s="351"/>
      <c r="F1088" s="485" t="s">
        <v>325</v>
      </c>
      <c r="G1088" s="351"/>
      <c r="H1088" s="487"/>
      <c r="I1088" s="350"/>
      <c r="J1088" s="351"/>
      <c r="K1088" s="485" t="s">
        <v>325</v>
      </c>
      <c r="L1088" s="350"/>
      <c r="M1088" s="351"/>
      <c r="N1088" s="490" t="s">
        <v>294</v>
      </c>
      <c r="O1088" s="350"/>
      <c r="P1088" s="350"/>
      <c r="Q1088" s="350"/>
      <c r="R1088" s="350"/>
      <c r="S1088" s="350"/>
      <c r="T1088" s="350"/>
      <c r="U1088" s="351"/>
    </row>
    <row r="1089" spans="1:21" ht="34.5" customHeight="1">
      <c r="A1089" s="24">
        <f t="shared" si="4"/>
        <v>1075</v>
      </c>
      <c r="B1089" s="483" t="s">
        <v>294</v>
      </c>
      <c r="C1089" s="351"/>
      <c r="D1089" s="484" t="s">
        <v>294</v>
      </c>
      <c r="E1089" s="351"/>
      <c r="F1089" s="485" t="s">
        <v>325</v>
      </c>
      <c r="G1089" s="351"/>
      <c r="H1089" s="486"/>
      <c r="I1089" s="350"/>
      <c r="J1089" s="351"/>
      <c r="K1089" s="485" t="s">
        <v>325</v>
      </c>
      <c r="L1089" s="350"/>
      <c r="M1089" s="351"/>
      <c r="N1089" s="491" t="s">
        <v>294</v>
      </c>
      <c r="O1089" s="350"/>
      <c r="P1089" s="350"/>
      <c r="Q1089" s="350"/>
      <c r="R1089" s="350"/>
      <c r="S1089" s="350"/>
      <c r="T1089" s="350"/>
      <c r="U1089" s="351"/>
    </row>
    <row r="1090" spans="1:21" ht="34.5" customHeight="1">
      <c r="A1090" s="24">
        <f t="shared" si="4"/>
        <v>1076</v>
      </c>
      <c r="B1090" s="488" t="s">
        <v>294</v>
      </c>
      <c r="C1090" s="351"/>
      <c r="D1090" s="489" t="s">
        <v>294</v>
      </c>
      <c r="E1090" s="351"/>
      <c r="F1090" s="485" t="s">
        <v>325</v>
      </c>
      <c r="G1090" s="351"/>
      <c r="H1090" s="487"/>
      <c r="I1090" s="350"/>
      <c r="J1090" s="351"/>
      <c r="K1090" s="485" t="s">
        <v>325</v>
      </c>
      <c r="L1090" s="350"/>
      <c r="M1090" s="351"/>
      <c r="N1090" s="490" t="s">
        <v>294</v>
      </c>
      <c r="O1090" s="350"/>
      <c r="P1090" s="350"/>
      <c r="Q1090" s="350"/>
      <c r="R1090" s="350"/>
      <c r="S1090" s="350"/>
      <c r="T1090" s="350"/>
      <c r="U1090" s="351"/>
    </row>
    <row r="1091" spans="1:21" ht="34.5" customHeight="1">
      <c r="A1091" s="24">
        <f t="shared" si="4"/>
        <v>1077</v>
      </c>
      <c r="B1091" s="483" t="s">
        <v>294</v>
      </c>
      <c r="C1091" s="351"/>
      <c r="D1091" s="484" t="s">
        <v>294</v>
      </c>
      <c r="E1091" s="351"/>
      <c r="F1091" s="485" t="s">
        <v>325</v>
      </c>
      <c r="G1091" s="351"/>
      <c r="H1091" s="486"/>
      <c r="I1091" s="350"/>
      <c r="J1091" s="351"/>
      <c r="K1091" s="485" t="s">
        <v>325</v>
      </c>
      <c r="L1091" s="350"/>
      <c r="M1091" s="351"/>
      <c r="N1091" s="491" t="s">
        <v>294</v>
      </c>
      <c r="O1091" s="350"/>
      <c r="P1091" s="350"/>
      <c r="Q1091" s="350"/>
      <c r="R1091" s="350"/>
      <c r="S1091" s="350"/>
      <c r="T1091" s="350"/>
      <c r="U1091" s="351"/>
    </row>
    <row r="1092" spans="1:21" ht="34.5" customHeight="1">
      <c r="A1092" s="24">
        <f t="shared" si="4"/>
        <v>1078</v>
      </c>
      <c r="B1092" s="488" t="s">
        <v>294</v>
      </c>
      <c r="C1092" s="351"/>
      <c r="D1092" s="489" t="s">
        <v>294</v>
      </c>
      <c r="E1092" s="351"/>
      <c r="F1092" s="485" t="s">
        <v>325</v>
      </c>
      <c r="G1092" s="351"/>
      <c r="H1092" s="487"/>
      <c r="I1092" s="350"/>
      <c r="J1092" s="351"/>
      <c r="K1092" s="485" t="s">
        <v>325</v>
      </c>
      <c r="L1092" s="350"/>
      <c r="M1092" s="351"/>
      <c r="N1092" s="490" t="s">
        <v>294</v>
      </c>
      <c r="O1092" s="350"/>
      <c r="P1092" s="350"/>
      <c r="Q1092" s="350"/>
      <c r="R1092" s="350"/>
      <c r="S1092" s="350"/>
      <c r="T1092" s="350"/>
      <c r="U1092" s="351"/>
    </row>
    <row r="1093" spans="1:21" ht="34.5" customHeight="1">
      <c r="A1093" s="24">
        <f t="shared" si="4"/>
        <v>1079</v>
      </c>
      <c r="B1093" s="483" t="s">
        <v>294</v>
      </c>
      <c r="C1093" s="351"/>
      <c r="D1093" s="484" t="s">
        <v>294</v>
      </c>
      <c r="E1093" s="351"/>
      <c r="F1093" s="485" t="s">
        <v>325</v>
      </c>
      <c r="G1093" s="351"/>
      <c r="H1093" s="486"/>
      <c r="I1093" s="350"/>
      <c r="J1093" s="351"/>
      <c r="K1093" s="485" t="s">
        <v>325</v>
      </c>
      <c r="L1093" s="350"/>
      <c r="M1093" s="351"/>
      <c r="N1093" s="491" t="s">
        <v>294</v>
      </c>
      <c r="O1093" s="350"/>
      <c r="P1093" s="350"/>
      <c r="Q1093" s="350"/>
      <c r="R1093" s="350"/>
      <c r="S1093" s="350"/>
      <c r="T1093" s="350"/>
      <c r="U1093" s="351"/>
    </row>
    <row r="1094" spans="1:21" ht="34.5" customHeight="1">
      <c r="A1094" s="24">
        <f t="shared" si="4"/>
        <v>1080</v>
      </c>
      <c r="B1094" s="488" t="s">
        <v>294</v>
      </c>
      <c r="C1094" s="351"/>
      <c r="D1094" s="489" t="s">
        <v>294</v>
      </c>
      <c r="E1094" s="351"/>
      <c r="F1094" s="485" t="s">
        <v>325</v>
      </c>
      <c r="G1094" s="351"/>
      <c r="H1094" s="487"/>
      <c r="I1094" s="350"/>
      <c r="J1094" s="351"/>
      <c r="K1094" s="485" t="s">
        <v>325</v>
      </c>
      <c r="L1094" s="350"/>
      <c r="M1094" s="351"/>
      <c r="N1094" s="490" t="s">
        <v>294</v>
      </c>
      <c r="O1094" s="350"/>
      <c r="P1094" s="350"/>
      <c r="Q1094" s="350"/>
      <c r="R1094" s="350"/>
      <c r="S1094" s="350"/>
      <c r="T1094" s="350"/>
      <c r="U1094" s="351"/>
    </row>
    <row r="1095" spans="1:21" ht="34.5" customHeight="1">
      <c r="A1095" s="24">
        <f t="shared" si="4"/>
        <v>1081</v>
      </c>
      <c r="B1095" s="483" t="s">
        <v>294</v>
      </c>
      <c r="C1095" s="351"/>
      <c r="D1095" s="484" t="s">
        <v>294</v>
      </c>
      <c r="E1095" s="351"/>
      <c r="F1095" s="485" t="s">
        <v>325</v>
      </c>
      <c r="G1095" s="351"/>
      <c r="H1095" s="486"/>
      <c r="I1095" s="350"/>
      <c r="J1095" s="351"/>
      <c r="K1095" s="485" t="s">
        <v>325</v>
      </c>
      <c r="L1095" s="350"/>
      <c r="M1095" s="351"/>
      <c r="N1095" s="491" t="s">
        <v>294</v>
      </c>
      <c r="O1095" s="350"/>
      <c r="P1095" s="350"/>
      <c r="Q1095" s="350"/>
      <c r="R1095" s="350"/>
      <c r="S1095" s="350"/>
      <c r="T1095" s="350"/>
      <c r="U1095" s="351"/>
    </row>
    <row r="1096" spans="1:21" ht="34.5" customHeight="1">
      <c r="A1096" s="24">
        <f t="shared" si="4"/>
        <v>1082</v>
      </c>
      <c r="B1096" s="488" t="s">
        <v>329</v>
      </c>
      <c r="C1096" s="351"/>
      <c r="D1096" s="489" t="s">
        <v>294</v>
      </c>
      <c r="E1096" s="351"/>
      <c r="F1096" s="485" t="s">
        <v>325</v>
      </c>
      <c r="G1096" s="351"/>
      <c r="H1096" s="487"/>
      <c r="I1096" s="350"/>
      <c r="J1096" s="351"/>
      <c r="K1096" s="485" t="s">
        <v>325</v>
      </c>
      <c r="L1096" s="350"/>
      <c r="M1096" s="351"/>
      <c r="N1096" s="490" t="s">
        <v>294</v>
      </c>
      <c r="O1096" s="350"/>
      <c r="P1096" s="350"/>
      <c r="Q1096" s="350"/>
      <c r="R1096" s="350"/>
      <c r="S1096" s="350"/>
      <c r="T1096" s="350"/>
      <c r="U1096" s="351"/>
    </row>
    <row r="1097" spans="1:21" ht="34.5" customHeight="1">
      <c r="A1097" s="24">
        <f t="shared" si="4"/>
        <v>1083</v>
      </c>
      <c r="B1097" s="483" t="s">
        <v>294</v>
      </c>
      <c r="C1097" s="351"/>
      <c r="D1097" s="484" t="s">
        <v>294</v>
      </c>
      <c r="E1097" s="351"/>
      <c r="F1097" s="485" t="s">
        <v>325</v>
      </c>
      <c r="G1097" s="351"/>
      <c r="H1097" s="486"/>
      <c r="I1097" s="350"/>
      <c r="J1097" s="351"/>
      <c r="K1097" s="485" t="s">
        <v>325</v>
      </c>
      <c r="L1097" s="350"/>
      <c r="M1097" s="351"/>
      <c r="N1097" s="491" t="s">
        <v>294</v>
      </c>
      <c r="O1097" s="350"/>
      <c r="P1097" s="350"/>
      <c r="Q1097" s="350"/>
      <c r="R1097" s="350"/>
      <c r="S1097" s="350"/>
      <c r="T1097" s="350"/>
      <c r="U1097" s="351"/>
    </row>
    <row r="1098" spans="1:21" ht="34.5" customHeight="1">
      <c r="A1098" s="24">
        <f t="shared" si="4"/>
        <v>1084</v>
      </c>
      <c r="B1098" s="488" t="s">
        <v>294</v>
      </c>
      <c r="C1098" s="351"/>
      <c r="D1098" s="489" t="s">
        <v>294</v>
      </c>
      <c r="E1098" s="351"/>
      <c r="F1098" s="485" t="s">
        <v>325</v>
      </c>
      <c r="G1098" s="351"/>
      <c r="H1098" s="487"/>
      <c r="I1098" s="350"/>
      <c r="J1098" s="351"/>
      <c r="K1098" s="485" t="s">
        <v>325</v>
      </c>
      <c r="L1098" s="350"/>
      <c r="M1098" s="351"/>
      <c r="N1098" s="490" t="s">
        <v>294</v>
      </c>
      <c r="O1098" s="350"/>
      <c r="P1098" s="350"/>
      <c r="Q1098" s="350"/>
      <c r="R1098" s="350"/>
      <c r="S1098" s="350"/>
      <c r="T1098" s="350"/>
      <c r="U1098" s="351"/>
    </row>
    <row r="1099" spans="1:21" ht="34.5" customHeight="1">
      <c r="A1099" s="24">
        <f t="shared" si="4"/>
        <v>1085</v>
      </c>
      <c r="B1099" s="483" t="s">
        <v>294</v>
      </c>
      <c r="C1099" s="351"/>
      <c r="D1099" s="484" t="s">
        <v>294</v>
      </c>
      <c r="E1099" s="351"/>
      <c r="F1099" s="485" t="s">
        <v>325</v>
      </c>
      <c r="G1099" s="351"/>
      <c r="H1099" s="486"/>
      <c r="I1099" s="350"/>
      <c r="J1099" s="351"/>
      <c r="K1099" s="485" t="s">
        <v>325</v>
      </c>
      <c r="L1099" s="350"/>
      <c r="M1099" s="351"/>
      <c r="N1099" s="491" t="s">
        <v>294</v>
      </c>
      <c r="O1099" s="350"/>
      <c r="P1099" s="350"/>
      <c r="Q1099" s="350"/>
      <c r="R1099" s="350"/>
      <c r="S1099" s="350"/>
      <c r="T1099" s="350"/>
      <c r="U1099" s="351"/>
    </row>
    <row r="1100" spans="1:21" ht="34.5" customHeight="1">
      <c r="A1100" s="24">
        <f t="shared" si="4"/>
        <v>1086</v>
      </c>
      <c r="B1100" s="488" t="s">
        <v>294</v>
      </c>
      <c r="C1100" s="351"/>
      <c r="D1100" s="489" t="s">
        <v>294</v>
      </c>
      <c r="E1100" s="351"/>
      <c r="F1100" s="485" t="s">
        <v>325</v>
      </c>
      <c r="G1100" s="351"/>
      <c r="H1100" s="487"/>
      <c r="I1100" s="350"/>
      <c r="J1100" s="351"/>
      <c r="K1100" s="485" t="s">
        <v>325</v>
      </c>
      <c r="L1100" s="350"/>
      <c r="M1100" s="351"/>
      <c r="N1100" s="490" t="s">
        <v>294</v>
      </c>
      <c r="O1100" s="350"/>
      <c r="P1100" s="350"/>
      <c r="Q1100" s="350"/>
      <c r="R1100" s="350"/>
      <c r="S1100" s="350"/>
      <c r="T1100" s="350"/>
      <c r="U1100" s="351"/>
    </row>
    <row r="1101" spans="1:21" ht="34.5" customHeight="1">
      <c r="A1101" s="24">
        <f t="shared" si="4"/>
        <v>1087</v>
      </c>
      <c r="B1101" s="483" t="s">
        <v>294</v>
      </c>
      <c r="C1101" s="351"/>
      <c r="D1101" s="484" t="s">
        <v>294</v>
      </c>
      <c r="E1101" s="351"/>
      <c r="F1101" s="485" t="s">
        <v>325</v>
      </c>
      <c r="G1101" s="351"/>
      <c r="H1101" s="486"/>
      <c r="I1101" s="350"/>
      <c r="J1101" s="351"/>
      <c r="K1101" s="485" t="s">
        <v>325</v>
      </c>
      <c r="L1101" s="350"/>
      <c r="M1101" s="351"/>
      <c r="N1101" s="491" t="s">
        <v>294</v>
      </c>
      <c r="O1101" s="350"/>
      <c r="P1101" s="350"/>
      <c r="Q1101" s="350"/>
      <c r="R1101" s="350"/>
      <c r="S1101" s="350"/>
      <c r="T1101" s="350"/>
      <c r="U1101" s="351"/>
    </row>
    <row r="1102" spans="1:21" ht="34.5" customHeight="1">
      <c r="A1102" s="24">
        <f t="shared" si="4"/>
        <v>1088</v>
      </c>
      <c r="B1102" s="488" t="s">
        <v>294</v>
      </c>
      <c r="C1102" s="351"/>
      <c r="D1102" s="489" t="s">
        <v>294</v>
      </c>
      <c r="E1102" s="351"/>
      <c r="F1102" s="485" t="s">
        <v>325</v>
      </c>
      <c r="G1102" s="351"/>
      <c r="H1102" s="487"/>
      <c r="I1102" s="350"/>
      <c r="J1102" s="351"/>
      <c r="K1102" s="485" t="s">
        <v>325</v>
      </c>
      <c r="L1102" s="350"/>
      <c r="M1102" s="351"/>
      <c r="N1102" s="490" t="s">
        <v>294</v>
      </c>
      <c r="O1102" s="350"/>
      <c r="P1102" s="350"/>
      <c r="Q1102" s="350"/>
      <c r="R1102" s="350"/>
      <c r="S1102" s="350"/>
      <c r="T1102" s="350"/>
      <c r="U1102" s="351"/>
    </row>
    <row r="1103" spans="1:21" ht="34.5" customHeight="1">
      <c r="A1103" s="24">
        <f t="shared" si="4"/>
        <v>1089</v>
      </c>
      <c r="B1103" s="483" t="s">
        <v>294</v>
      </c>
      <c r="C1103" s="351"/>
      <c r="D1103" s="484" t="s">
        <v>294</v>
      </c>
      <c r="E1103" s="351"/>
      <c r="F1103" s="485" t="s">
        <v>325</v>
      </c>
      <c r="G1103" s="351"/>
      <c r="H1103" s="486"/>
      <c r="I1103" s="350"/>
      <c r="J1103" s="351"/>
      <c r="K1103" s="485" t="s">
        <v>325</v>
      </c>
      <c r="L1103" s="350"/>
      <c r="M1103" s="351"/>
      <c r="N1103" s="491" t="s">
        <v>294</v>
      </c>
      <c r="O1103" s="350"/>
      <c r="P1103" s="350"/>
      <c r="Q1103" s="350"/>
      <c r="R1103" s="350"/>
      <c r="S1103" s="350"/>
      <c r="T1103" s="350"/>
      <c r="U1103" s="351"/>
    </row>
    <row r="1104" spans="1:21" ht="34.5" customHeight="1">
      <c r="A1104" s="24">
        <f t="shared" si="4"/>
        <v>1090</v>
      </c>
      <c r="B1104" s="488" t="s">
        <v>294</v>
      </c>
      <c r="C1104" s="351"/>
      <c r="D1104" s="489" t="s">
        <v>294</v>
      </c>
      <c r="E1104" s="351"/>
      <c r="F1104" s="485" t="s">
        <v>325</v>
      </c>
      <c r="G1104" s="351"/>
      <c r="H1104" s="487"/>
      <c r="I1104" s="350"/>
      <c r="J1104" s="351"/>
      <c r="K1104" s="485" t="s">
        <v>325</v>
      </c>
      <c r="L1104" s="350"/>
      <c r="M1104" s="351"/>
      <c r="N1104" s="490" t="s">
        <v>294</v>
      </c>
      <c r="O1104" s="350"/>
      <c r="P1104" s="350"/>
      <c r="Q1104" s="350"/>
      <c r="R1104" s="350"/>
      <c r="S1104" s="350"/>
      <c r="T1104" s="350"/>
      <c r="U1104" s="351"/>
    </row>
    <row r="1105" spans="1:21" ht="34.5" customHeight="1">
      <c r="A1105" s="24">
        <f t="shared" si="4"/>
        <v>1091</v>
      </c>
      <c r="B1105" s="483" t="s">
        <v>294</v>
      </c>
      <c r="C1105" s="351"/>
      <c r="D1105" s="484" t="s">
        <v>294</v>
      </c>
      <c r="E1105" s="351"/>
      <c r="F1105" s="485" t="s">
        <v>325</v>
      </c>
      <c r="G1105" s="351"/>
      <c r="H1105" s="486"/>
      <c r="I1105" s="350"/>
      <c r="J1105" s="351"/>
      <c r="K1105" s="485" t="s">
        <v>325</v>
      </c>
      <c r="L1105" s="350"/>
      <c r="M1105" s="351"/>
      <c r="N1105" s="491" t="s">
        <v>294</v>
      </c>
      <c r="O1105" s="350"/>
      <c r="P1105" s="350"/>
      <c r="Q1105" s="350"/>
      <c r="R1105" s="350"/>
      <c r="S1105" s="350"/>
      <c r="T1105" s="350"/>
      <c r="U1105" s="351"/>
    </row>
    <row r="1106" spans="1:21" ht="34.5" customHeight="1">
      <c r="A1106" s="24">
        <f t="shared" si="4"/>
        <v>1092</v>
      </c>
      <c r="B1106" s="488" t="s">
        <v>294</v>
      </c>
      <c r="C1106" s="351"/>
      <c r="D1106" s="489" t="s">
        <v>294</v>
      </c>
      <c r="E1106" s="351"/>
      <c r="F1106" s="485" t="s">
        <v>325</v>
      </c>
      <c r="G1106" s="351"/>
      <c r="H1106" s="487"/>
      <c r="I1106" s="350"/>
      <c r="J1106" s="351"/>
      <c r="K1106" s="485" t="s">
        <v>325</v>
      </c>
      <c r="L1106" s="350"/>
      <c r="M1106" s="351"/>
      <c r="N1106" s="490" t="s">
        <v>294</v>
      </c>
      <c r="O1106" s="350"/>
      <c r="P1106" s="350"/>
      <c r="Q1106" s="350"/>
      <c r="R1106" s="350"/>
      <c r="S1106" s="350"/>
      <c r="T1106" s="350"/>
      <c r="U1106" s="351"/>
    </row>
    <row r="1107" spans="1:21" ht="34.5" customHeight="1">
      <c r="A1107" s="24">
        <f t="shared" si="4"/>
        <v>1093</v>
      </c>
      <c r="B1107" s="483" t="s">
        <v>294</v>
      </c>
      <c r="C1107" s="351"/>
      <c r="D1107" s="484" t="s">
        <v>294</v>
      </c>
      <c r="E1107" s="351"/>
      <c r="F1107" s="485" t="s">
        <v>325</v>
      </c>
      <c r="G1107" s="351"/>
      <c r="H1107" s="486"/>
      <c r="I1107" s="350"/>
      <c r="J1107" s="351"/>
      <c r="K1107" s="485" t="s">
        <v>325</v>
      </c>
      <c r="L1107" s="350"/>
      <c r="M1107" s="351"/>
      <c r="N1107" s="491" t="s">
        <v>294</v>
      </c>
      <c r="O1107" s="350"/>
      <c r="P1107" s="350"/>
      <c r="Q1107" s="350"/>
      <c r="R1107" s="350"/>
      <c r="S1107" s="350"/>
      <c r="T1107" s="350"/>
      <c r="U1107" s="351"/>
    </row>
    <row r="1108" spans="1:21" ht="34.5" customHeight="1">
      <c r="A1108" s="24">
        <f t="shared" si="4"/>
        <v>1094</v>
      </c>
      <c r="B1108" s="488" t="s">
        <v>327</v>
      </c>
      <c r="C1108" s="351"/>
      <c r="D1108" s="489" t="s">
        <v>294</v>
      </c>
      <c r="E1108" s="351"/>
      <c r="F1108" s="485" t="s">
        <v>325</v>
      </c>
      <c r="G1108" s="351"/>
      <c r="H1108" s="487"/>
      <c r="I1108" s="350"/>
      <c r="J1108" s="351"/>
      <c r="K1108" s="485" t="s">
        <v>325</v>
      </c>
      <c r="L1108" s="350"/>
      <c r="M1108" s="351"/>
      <c r="N1108" s="490" t="s">
        <v>294</v>
      </c>
      <c r="O1108" s="350"/>
      <c r="P1108" s="350"/>
      <c r="Q1108" s="350"/>
      <c r="R1108" s="350"/>
      <c r="S1108" s="350"/>
      <c r="T1108" s="350"/>
      <c r="U1108" s="351"/>
    </row>
    <row r="1109" spans="1:21" ht="34.5" customHeight="1">
      <c r="A1109" s="24">
        <f t="shared" si="4"/>
        <v>1095</v>
      </c>
      <c r="B1109" s="483" t="s">
        <v>294</v>
      </c>
      <c r="C1109" s="351"/>
      <c r="D1109" s="484" t="s">
        <v>294</v>
      </c>
      <c r="E1109" s="351"/>
      <c r="F1109" s="485" t="s">
        <v>325</v>
      </c>
      <c r="G1109" s="351"/>
      <c r="H1109" s="486"/>
      <c r="I1109" s="350"/>
      <c r="J1109" s="351"/>
      <c r="K1109" s="485" t="s">
        <v>325</v>
      </c>
      <c r="L1109" s="350"/>
      <c r="M1109" s="351"/>
      <c r="N1109" s="491" t="s">
        <v>294</v>
      </c>
      <c r="O1109" s="350"/>
      <c r="P1109" s="350"/>
      <c r="Q1109" s="350"/>
      <c r="R1109" s="350"/>
      <c r="S1109" s="350"/>
      <c r="T1109" s="350"/>
      <c r="U1109" s="351"/>
    </row>
    <row r="1110" spans="1:21" ht="34.5" customHeight="1">
      <c r="A1110" s="24">
        <f t="shared" si="4"/>
        <v>1096</v>
      </c>
      <c r="B1110" s="488" t="s">
        <v>294</v>
      </c>
      <c r="C1110" s="351"/>
      <c r="D1110" s="489" t="s">
        <v>294</v>
      </c>
      <c r="E1110" s="351"/>
      <c r="F1110" s="485" t="s">
        <v>325</v>
      </c>
      <c r="G1110" s="351"/>
      <c r="H1110" s="487"/>
      <c r="I1110" s="350"/>
      <c r="J1110" s="351"/>
      <c r="K1110" s="485" t="s">
        <v>325</v>
      </c>
      <c r="L1110" s="350"/>
      <c r="M1110" s="351"/>
      <c r="N1110" s="490" t="s">
        <v>294</v>
      </c>
      <c r="O1110" s="350"/>
      <c r="P1110" s="350"/>
      <c r="Q1110" s="350"/>
      <c r="R1110" s="350"/>
      <c r="S1110" s="350"/>
      <c r="T1110" s="350"/>
      <c r="U1110" s="351"/>
    </row>
    <row r="1111" spans="1:21" ht="34.5" customHeight="1">
      <c r="A1111" s="24">
        <f t="shared" si="4"/>
        <v>1097</v>
      </c>
      <c r="B1111" s="483" t="s">
        <v>294</v>
      </c>
      <c r="C1111" s="351"/>
      <c r="D1111" s="484" t="s">
        <v>294</v>
      </c>
      <c r="E1111" s="351"/>
      <c r="F1111" s="485" t="s">
        <v>325</v>
      </c>
      <c r="G1111" s="351"/>
      <c r="H1111" s="486"/>
      <c r="I1111" s="350"/>
      <c r="J1111" s="351"/>
      <c r="K1111" s="485" t="s">
        <v>325</v>
      </c>
      <c r="L1111" s="350"/>
      <c r="M1111" s="351"/>
      <c r="N1111" s="491" t="s">
        <v>294</v>
      </c>
      <c r="O1111" s="350"/>
      <c r="P1111" s="350"/>
      <c r="Q1111" s="350"/>
      <c r="R1111" s="350"/>
      <c r="S1111" s="350"/>
      <c r="T1111" s="350"/>
      <c r="U1111" s="351"/>
    </row>
    <row r="1112" spans="1:21" ht="34.5" customHeight="1">
      <c r="A1112" s="24">
        <f t="shared" si="4"/>
        <v>1098</v>
      </c>
      <c r="B1112" s="488" t="s">
        <v>294</v>
      </c>
      <c r="C1112" s="351"/>
      <c r="D1112" s="489" t="s">
        <v>294</v>
      </c>
      <c r="E1112" s="351"/>
      <c r="F1112" s="485" t="s">
        <v>325</v>
      </c>
      <c r="G1112" s="351"/>
      <c r="H1112" s="487"/>
      <c r="I1112" s="350"/>
      <c r="J1112" s="351"/>
      <c r="K1112" s="485" t="s">
        <v>325</v>
      </c>
      <c r="L1112" s="350"/>
      <c r="M1112" s="351"/>
      <c r="N1112" s="490" t="s">
        <v>294</v>
      </c>
      <c r="O1112" s="350"/>
      <c r="P1112" s="350"/>
      <c r="Q1112" s="350"/>
      <c r="R1112" s="350"/>
      <c r="S1112" s="350"/>
      <c r="T1112" s="350"/>
      <c r="U1112" s="351"/>
    </row>
    <row r="1113" spans="1:21" ht="34.5" customHeight="1">
      <c r="A1113" s="24">
        <f t="shared" si="4"/>
        <v>1099</v>
      </c>
      <c r="B1113" s="483" t="s">
        <v>294</v>
      </c>
      <c r="C1113" s="351"/>
      <c r="D1113" s="484" t="s">
        <v>294</v>
      </c>
      <c r="E1113" s="351"/>
      <c r="F1113" s="485" t="s">
        <v>325</v>
      </c>
      <c r="G1113" s="351"/>
      <c r="H1113" s="486"/>
      <c r="I1113" s="350"/>
      <c r="J1113" s="351"/>
      <c r="K1113" s="485" t="s">
        <v>325</v>
      </c>
      <c r="L1113" s="350"/>
      <c r="M1113" s="351"/>
      <c r="N1113" s="491" t="s">
        <v>294</v>
      </c>
      <c r="O1113" s="350"/>
      <c r="P1113" s="350"/>
      <c r="Q1113" s="350"/>
      <c r="R1113" s="350"/>
      <c r="S1113" s="350"/>
      <c r="T1113" s="350"/>
      <c r="U1113" s="351"/>
    </row>
    <row r="1114" spans="1:21" ht="34.5" customHeight="1">
      <c r="A1114" s="24">
        <f t="shared" si="4"/>
        <v>1100</v>
      </c>
      <c r="B1114" s="488" t="s">
        <v>294</v>
      </c>
      <c r="C1114" s="351"/>
      <c r="D1114" s="489" t="s">
        <v>294</v>
      </c>
      <c r="E1114" s="351"/>
      <c r="F1114" s="485" t="s">
        <v>325</v>
      </c>
      <c r="G1114" s="351"/>
      <c r="H1114" s="487"/>
      <c r="I1114" s="350"/>
      <c r="J1114" s="351"/>
      <c r="K1114" s="485" t="s">
        <v>325</v>
      </c>
      <c r="L1114" s="350"/>
      <c r="M1114" s="351"/>
      <c r="N1114" s="490" t="s">
        <v>294</v>
      </c>
      <c r="O1114" s="350"/>
      <c r="P1114" s="350"/>
      <c r="Q1114" s="350"/>
      <c r="R1114" s="350"/>
      <c r="S1114" s="350"/>
      <c r="T1114" s="350"/>
      <c r="U1114" s="351"/>
    </row>
    <row r="1115" spans="1:21" ht="34.5" customHeight="1">
      <c r="A1115" s="24">
        <f t="shared" si="4"/>
        <v>1101</v>
      </c>
      <c r="B1115" s="483" t="s">
        <v>294</v>
      </c>
      <c r="C1115" s="351"/>
      <c r="D1115" s="484" t="s">
        <v>294</v>
      </c>
      <c r="E1115" s="351"/>
      <c r="F1115" s="485" t="s">
        <v>325</v>
      </c>
      <c r="G1115" s="351"/>
      <c r="H1115" s="486"/>
      <c r="I1115" s="350"/>
      <c r="J1115" s="351"/>
      <c r="K1115" s="485" t="s">
        <v>325</v>
      </c>
      <c r="L1115" s="350"/>
      <c r="M1115" s="351"/>
      <c r="N1115" s="491" t="s">
        <v>294</v>
      </c>
      <c r="O1115" s="350"/>
      <c r="P1115" s="350"/>
      <c r="Q1115" s="350"/>
      <c r="R1115" s="350"/>
      <c r="S1115" s="350"/>
      <c r="T1115" s="350"/>
      <c r="U1115" s="351"/>
    </row>
    <row r="1116" spans="1:21" ht="34.5" customHeight="1">
      <c r="A1116" s="24">
        <f t="shared" si="4"/>
        <v>1102</v>
      </c>
      <c r="B1116" s="488" t="s">
        <v>326</v>
      </c>
      <c r="C1116" s="351"/>
      <c r="D1116" s="489" t="s">
        <v>294</v>
      </c>
      <c r="E1116" s="351"/>
      <c r="F1116" s="485" t="s">
        <v>325</v>
      </c>
      <c r="G1116" s="351"/>
      <c r="H1116" s="487"/>
      <c r="I1116" s="350"/>
      <c r="J1116" s="351"/>
      <c r="K1116" s="485" t="s">
        <v>325</v>
      </c>
      <c r="L1116" s="350"/>
      <c r="M1116" s="351"/>
      <c r="N1116" s="490" t="s">
        <v>294</v>
      </c>
      <c r="O1116" s="350"/>
      <c r="P1116" s="350"/>
      <c r="Q1116" s="350"/>
      <c r="R1116" s="350"/>
      <c r="S1116" s="350"/>
      <c r="T1116" s="350"/>
      <c r="U1116" s="351"/>
    </row>
    <row r="1117" spans="1:21" ht="34.5" customHeight="1">
      <c r="A1117" s="24">
        <f t="shared" si="4"/>
        <v>1103</v>
      </c>
      <c r="B1117" s="483" t="s">
        <v>294</v>
      </c>
      <c r="C1117" s="351"/>
      <c r="D1117" s="484" t="s">
        <v>294</v>
      </c>
      <c r="E1117" s="351"/>
      <c r="F1117" s="485" t="s">
        <v>325</v>
      </c>
      <c r="G1117" s="351"/>
      <c r="H1117" s="486"/>
      <c r="I1117" s="350"/>
      <c r="J1117" s="351"/>
      <c r="K1117" s="485" t="s">
        <v>325</v>
      </c>
      <c r="L1117" s="350"/>
      <c r="M1117" s="351"/>
      <c r="N1117" s="491" t="s">
        <v>294</v>
      </c>
      <c r="O1117" s="350"/>
      <c r="P1117" s="350"/>
      <c r="Q1117" s="350"/>
      <c r="R1117" s="350"/>
      <c r="S1117" s="350"/>
      <c r="T1117" s="350"/>
      <c r="U1117" s="351"/>
    </row>
    <row r="1118" spans="1:21" ht="34.5" customHeight="1">
      <c r="A1118" s="24">
        <f t="shared" si="4"/>
        <v>1104</v>
      </c>
      <c r="B1118" s="488" t="s">
        <v>294</v>
      </c>
      <c r="C1118" s="351"/>
      <c r="D1118" s="489" t="s">
        <v>294</v>
      </c>
      <c r="E1118" s="351"/>
      <c r="F1118" s="485" t="s">
        <v>325</v>
      </c>
      <c r="G1118" s="351"/>
      <c r="H1118" s="487"/>
      <c r="I1118" s="350"/>
      <c r="J1118" s="351"/>
      <c r="K1118" s="485" t="s">
        <v>325</v>
      </c>
      <c r="L1118" s="350"/>
      <c r="M1118" s="351"/>
      <c r="N1118" s="490" t="s">
        <v>294</v>
      </c>
      <c r="O1118" s="350"/>
      <c r="P1118" s="350"/>
      <c r="Q1118" s="350"/>
      <c r="R1118" s="350"/>
      <c r="S1118" s="350"/>
      <c r="T1118" s="350"/>
      <c r="U1118" s="351"/>
    </row>
    <row r="1119" spans="1:21" ht="34.5" customHeight="1">
      <c r="A1119" s="24">
        <f t="shared" si="4"/>
        <v>1105</v>
      </c>
      <c r="B1119" s="483" t="s">
        <v>294</v>
      </c>
      <c r="C1119" s="351"/>
      <c r="D1119" s="484" t="s">
        <v>294</v>
      </c>
      <c r="E1119" s="351"/>
      <c r="F1119" s="485" t="s">
        <v>325</v>
      </c>
      <c r="G1119" s="351"/>
      <c r="H1119" s="486"/>
      <c r="I1119" s="350"/>
      <c r="J1119" s="351"/>
      <c r="K1119" s="485" t="s">
        <v>325</v>
      </c>
      <c r="L1119" s="350"/>
      <c r="M1119" s="351"/>
      <c r="N1119" s="491" t="s">
        <v>294</v>
      </c>
      <c r="O1119" s="350"/>
      <c r="P1119" s="350"/>
      <c r="Q1119" s="350"/>
      <c r="R1119" s="350"/>
      <c r="S1119" s="350"/>
      <c r="T1119" s="350"/>
      <c r="U1119" s="351"/>
    </row>
    <row r="1120" spans="1:21" ht="34.5" customHeight="1">
      <c r="A1120" s="24">
        <f t="shared" si="4"/>
        <v>1106</v>
      </c>
      <c r="B1120" s="488" t="s">
        <v>294</v>
      </c>
      <c r="C1120" s="351"/>
      <c r="D1120" s="489" t="s">
        <v>294</v>
      </c>
      <c r="E1120" s="351"/>
      <c r="F1120" s="485" t="s">
        <v>325</v>
      </c>
      <c r="G1120" s="351"/>
      <c r="H1120" s="487"/>
      <c r="I1120" s="350"/>
      <c r="J1120" s="351"/>
      <c r="K1120" s="485" t="s">
        <v>325</v>
      </c>
      <c r="L1120" s="350"/>
      <c r="M1120" s="351"/>
      <c r="N1120" s="490" t="s">
        <v>294</v>
      </c>
      <c r="O1120" s="350"/>
      <c r="P1120" s="350"/>
      <c r="Q1120" s="350"/>
      <c r="R1120" s="350"/>
      <c r="S1120" s="350"/>
      <c r="T1120" s="350"/>
      <c r="U1120" s="351"/>
    </row>
    <row r="1121" spans="1:21" ht="34.5" customHeight="1">
      <c r="A1121" s="24">
        <f t="shared" si="4"/>
        <v>1107</v>
      </c>
      <c r="B1121" s="483" t="s">
        <v>294</v>
      </c>
      <c r="C1121" s="351"/>
      <c r="D1121" s="484" t="s">
        <v>294</v>
      </c>
      <c r="E1121" s="351"/>
      <c r="F1121" s="485" t="s">
        <v>325</v>
      </c>
      <c r="G1121" s="351"/>
      <c r="H1121" s="486"/>
      <c r="I1121" s="350"/>
      <c r="J1121" s="351"/>
      <c r="K1121" s="485" t="s">
        <v>325</v>
      </c>
      <c r="L1121" s="350"/>
      <c r="M1121" s="351"/>
      <c r="N1121" s="491" t="s">
        <v>294</v>
      </c>
      <c r="O1121" s="350"/>
      <c r="P1121" s="350"/>
      <c r="Q1121" s="350"/>
      <c r="R1121" s="350"/>
      <c r="S1121" s="350"/>
      <c r="T1121" s="350"/>
      <c r="U1121" s="351"/>
    </row>
    <row r="1122" spans="1:21" ht="34.5" customHeight="1">
      <c r="A1122" s="24">
        <f t="shared" si="4"/>
        <v>1108</v>
      </c>
      <c r="B1122" s="488" t="s">
        <v>294</v>
      </c>
      <c r="C1122" s="351"/>
      <c r="D1122" s="489" t="s">
        <v>294</v>
      </c>
      <c r="E1122" s="351"/>
      <c r="F1122" s="485" t="s">
        <v>325</v>
      </c>
      <c r="G1122" s="351"/>
      <c r="H1122" s="487"/>
      <c r="I1122" s="350"/>
      <c r="J1122" s="351"/>
      <c r="K1122" s="485" t="s">
        <v>325</v>
      </c>
      <c r="L1122" s="350"/>
      <c r="M1122" s="351"/>
      <c r="N1122" s="490" t="s">
        <v>294</v>
      </c>
      <c r="O1122" s="350"/>
      <c r="P1122" s="350"/>
      <c r="Q1122" s="350"/>
      <c r="R1122" s="350"/>
      <c r="S1122" s="350"/>
      <c r="T1122" s="350"/>
      <c r="U1122" s="351"/>
    </row>
    <row r="1123" spans="1:21" ht="34.5" customHeight="1">
      <c r="A1123" s="24">
        <f t="shared" si="4"/>
        <v>1109</v>
      </c>
      <c r="B1123" s="483" t="s">
        <v>330</v>
      </c>
      <c r="C1123" s="351"/>
      <c r="D1123" s="484" t="s">
        <v>294</v>
      </c>
      <c r="E1123" s="351"/>
      <c r="F1123" s="485" t="s">
        <v>325</v>
      </c>
      <c r="G1123" s="351"/>
      <c r="H1123" s="486"/>
      <c r="I1123" s="350"/>
      <c r="J1123" s="351"/>
      <c r="K1123" s="485" t="s">
        <v>325</v>
      </c>
      <c r="L1123" s="350"/>
      <c r="M1123" s="351"/>
      <c r="N1123" s="491" t="s">
        <v>294</v>
      </c>
      <c r="O1123" s="350"/>
      <c r="P1123" s="350"/>
      <c r="Q1123" s="350"/>
      <c r="R1123" s="350"/>
      <c r="S1123" s="350"/>
      <c r="T1123" s="350"/>
      <c r="U1123" s="351"/>
    </row>
    <row r="1124" spans="1:21" ht="34.5" customHeight="1">
      <c r="A1124" s="24">
        <f t="shared" si="4"/>
        <v>1110</v>
      </c>
      <c r="B1124" s="488" t="s">
        <v>294</v>
      </c>
      <c r="C1124" s="351"/>
      <c r="D1124" s="489" t="s">
        <v>294</v>
      </c>
      <c r="E1124" s="351"/>
      <c r="F1124" s="485" t="s">
        <v>325</v>
      </c>
      <c r="G1124" s="351"/>
      <c r="H1124" s="487"/>
      <c r="I1124" s="350"/>
      <c r="J1124" s="351"/>
      <c r="K1124" s="485" t="s">
        <v>325</v>
      </c>
      <c r="L1124" s="350"/>
      <c r="M1124" s="351"/>
      <c r="N1124" s="490" t="s">
        <v>294</v>
      </c>
      <c r="O1124" s="350"/>
      <c r="P1124" s="350"/>
      <c r="Q1124" s="350"/>
      <c r="R1124" s="350"/>
      <c r="S1124" s="350"/>
      <c r="T1124" s="350"/>
      <c r="U1124" s="351"/>
    </row>
    <row r="1125" spans="1:21" ht="34.5" customHeight="1">
      <c r="A1125" s="24">
        <f t="shared" si="4"/>
        <v>1111</v>
      </c>
      <c r="B1125" s="483" t="s">
        <v>294</v>
      </c>
      <c r="C1125" s="351"/>
      <c r="D1125" s="484" t="s">
        <v>294</v>
      </c>
      <c r="E1125" s="351"/>
      <c r="F1125" s="485" t="s">
        <v>325</v>
      </c>
      <c r="G1125" s="351"/>
      <c r="H1125" s="486"/>
      <c r="I1125" s="350"/>
      <c r="J1125" s="351"/>
      <c r="K1125" s="485" t="s">
        <v>325</v>
      </c>
      <c r="L1125" s="350"/>
      <c r="M1125" s="351"/>
      <c r="N1125" s="491" t="s">
        <v>294</v>
      </c>
      <c r="O1125" s="350"/>
      <c r="P1125" s="350"/>
      <c r="Q1125" s="350"/>
      <c r="R1125" s="350"/>
      <c r="S1125" s="350"/>
      <c r="T1125" s="350"/>
      <c r="U1125" s="351"/>
    </row>
    <row r="1126" spans="1:21" ht="34.5" customHeight="1">
      <c r="A1126" s="24">
        <f t="shared" si="4"/>
        <v>1112</v>
      </c>
      <c r="B1126" s="488" t="s">
        <v>294</v>
      </c>
      <c r="C1126" s="351"/>
      <c r="D1126" s="489" t="s">
        <v>294</v>
      </c>
      <c r="E1126" s="351"/>
      <c r="F1126" s="485" t="s">
        <v>325</v>
      </c>
      <c r="G1126" s="351"/>
      <c r="H1126" s="487"/>
      <c r="I1126" s="350"/>
      <c r="J1126" s="351"/>
      <c r="K1126" s="485" t="s">
        <v>325</v>
      </c>
      <c r="L1126" s="350"/>
      <c r="M1126" s="351"/>
      <c r="N1126" s="490" t="s">
        <v>294</v>
      </c>
      <c r="O1126" s="350"/>
      <c r="P1126" s="350"/>
      <c r="Q1126" s="350"/>
      <c r="R1126" s="350"/>
      <c r="S1126" s="350"/>
      <c r="T1126" s="350"/>
      <c r="U1126" s="351"/>
    </row>
    <row r="1127" spans="1:21" ht="34.5" customHeight="1">
      <c r="A1127" s="24">
        <f t="shared" si="4"/>
        <v>1113</v>
      </c>
      <c r="B1127" s="483" t="s">
        <v>294</v>
      </c>
      <c r="C1127" s="351"/>
      <c r="D1127" s="484" t="s">
        <v>294</v>
      </c>
      <c r="E1127" s="351"/>
      <c r="F1127" s="485" t="s">
        <v>325</v>
      </c>
      <c r="G1127" s="351"/>
      <c r="H1127" s="486"/>
      <c r="I1127" s="350"/>
      <c r="J1127" s="351"/>
      <c r="K1127" s="485" t="s">
        <v>325</v>
      </c>
      <c r="L1127" s="350"/>
      <c r="M1127" s="351"/>
      <c r="N1127" s="491" t="s">
        <v>294</v>
      </c>
      <c r="O1127" s="350"/>
      <c r="P1127" s="350"/>
      <c r="Q1127" s="350"/>
      <c r="R1127" s="350"/>
      <c r="S1127" s="350"/>
      <c r="T1127" s="350"/>
      <c r="U1127" s="351"/>
    </row>
    <row r="1128" spans="1:21" ht="34.5" customHeight="1">
      <c r="A1128" s="24">
        <f t="shared" si="4"/>
        <v>1114</v>
      </c>
      <c r="B1128" s="488" t="s">
        <v>294</v>
      </c>
      <c r="C1128" s="351"/>
      <c r="D1128" s="489" t="s">
        <v>294</v>
      </c>
      <c r="E1128" s="351"/>
      <c r="F1128" s="485" t="s">
        <v>325</v>
      </c>
      <c r="G1128" s="351"/>
      <c r="H1128" s="487"/>
      <c r="I1128" s="350"/>
      <c r="J1128" s="351"/>
      <c r="K1128" s="485" t="s">
        <v>325</v>
      </c>
      <c r="L1128" s="350"/>
      <c r="M1128" s="351"/>
      <c r="N1128" s="490" t="s">
        <v>294</v>
      </c>
      <c r="O1128" s="350"/>
      <c r="P1128" s="350"/>
      <c r="Q1128" s="350"/>
      <c r="R1128" s="350"/>
      <c r="S1128" s="350"/>
      <c r="T1128" s="350"/>
      <c r="U1128" s="351"/>
    </row>
    <row r="1129" spans="1:21" ht="34.5" customHeight="1">
      <c r="A1129" s="24">
        <f t="shared" si="4"/>
        <v>1115</v>
      </c>
      <c r="B1129" s="483" t="s">
        <v>294</v>
      </c>
      <c r="C1129" s="351"/>
      <c r="D1129" s="484" t="s">
        <v>294</v>
      </c>
      <c r="E1129" s="351"/>
      <c r="F1129" s="485" t="s">
        <v>325</v>
      </c>
      <c r="G1129" s="351"/>
      <c r="H1129" s="486"/>
      <c r="I1129" s="350"/>
      <c r="J1129" s="351"/>
      <c r="K1129" s="485" t="s">
        <v>325</v>
      </c>
      <c r="L1129" s="350"/>
      <c r="M1129" s="351"/>
      <c r="N1129" s="491" t="s">
        <v>294</v>
      </c>
      <c r="O1129" s="350"/>
      <c r="P1129" s="350"/>
      <c r="Q1129" s="350"/>
      <c r="R1129" s="350"/>
      <c r="S1129" s="350"/>
      <c r="T1129" s="350"/>
      <c r="U1129" s="351"/>
    </row>
    <row r="1130" spans="1:21" ht="34.5" customHeight="1">
      <c r="A1130" s="24">
        <f t="shared" si="4"/>
        <v>1116</v>
      </c>
      <c r="B1130" s="488" t="s">
        <v>326</v>
      </c>
      <c r="C1130" s="351"/>
      <c r="D1130" s="489" t="s">
        <v>294</v>
      </c>
      <c r="E1130" s="351"/>
      <c r="F1130" s="485" t="s">
        <v>325</v>
      </c>
      <c r="G1130" s="351"/>
      <c r="H1130" s="487"/>
      <c r="I1130" s="350"/>
      <c r="J1130" s="351"/>
      <c r="K1130" s="485" t="s">
        <v>325</v>
      </c>
      <c r="L1130" s="350"/>
      <c r="M1130" s="351"/>
      <c r="N1130" s="490" t="s">
        <v>294</v>
      </c>
      <c r="O1130" s="350"/>
      <c r="P1130" s="350"/>
      <c r="Q1130" s="350"/>
      <c r="R1130" s="350"/>
      <c r="S1130" s="350"/>
      <c r="T1130" s="350"/>
      <c r="U1130" s="351"/>
    </row>
    <row r="1131" spans="1:21" ht="34.5" customHeight="1">
      <c r="A1131" s="24">
        <f t="shared" si="4"/>
        <v>1117</v>
      </c>
      <c r="B1131" s="483" t="s">
        <v>294</v>
      </c>
      <c r="C1131" s="351"/>
      <c r="D1131" s="484" t="s">
        <v>294</v>
      </c>
      <c r="E1131" s="351"/>
      <c r="F1131" s="485" t="s">
        <v>325</v>
      </c>
      <c r="G1131" s="351"/>
      <c r="H1131" s="486"/>
      <c r="I1131" s="350"/>
      <c r="J1131" s="351"/>
      <c r="K1131" s="485" t="s">
        <v>325</v>
      </c>
      <c r="L1131" s="350"/>
      <c r="M1131" s="351"/>
      <c r="N1131" s="491" t="s">
        <v>294</v>
      </c>
      <c r="O1131" s="350"/>
      <c r="P1131" s="350"/>
      <c r="Q1131" s="350"/>
      <c r="R1131" s="350"/>
      <c r="S1131" s="350"/>
      <c r="T1131" s="350"/>
      <c r="U1131" s="351"/>
    </row>
    <row r="1132" spans="1:21" ht="34.5" customHeight="1">
      <c r="A1132" s="24">
        <f t="shared" si="4"/>
        <v>1118</v>
      </c>
      <c r="B1132" s="488" t="s">
        <v>294</v>
      </c>
      <c r="C1132" s="351"/>
      <c r="D1132" s="489" t="s">
        <v>294</v>
      </c>
      <c r="E1132" s="351"/>
      <c r="F1132" s="485" t="s">
        <v>325</v>
      </c>
      <c r="G1132" s="351"/>
      <c r="H1132" s="487"/>
      <c r="I1132" s="350"/>
      <c r="J1132" s="351"/>
      <c r="K1132" s="485" t="s">
        <v>325</v>
      </c>
      <c r="L1132" s="350"/>
      <c r="M1132" s="351"/>
      <c r="N1132" s="490" t="s">
        <v>294</v>
      </c>
      <c r="O1132" s="350"/>
      <c r="P1132" s="350"/>
      <c r="Q1132" s="350"/>
      <c r="R1132" s="350"/>
      <c r="S1132" s="350"/>
      <c r="T1132" s="350"/>
      <c r="U1132" s="351"/>
    </row>
    <row r="1133" spans="1:21" ht="34.5" customHeight="1">
      <c r="A1133" s="24">
        <f t="shared" si="4"/>
        <v>1119</v>
      </c>
      <c r="B1133" s="483" t="s">
        <v>294</v>
      </c>
      <c r="C1133" s="351"/>
      <c r="D1133" s="484" t="s">
        <v>294</v>
      </c>
      <c r="E1133" s="351"/>
      <c r="F1133" s="485" t="s">
        <v>325</v>
      </c>
      <c r="G1133" s="351"/>
      <c r="H1133" s="486"/>
      <c r="I1133" s="350"/>
      <c r="J1133" s="351"/>
      <c r="K1133" s="485" t="s">
        <v>325</v>
      </c>
      <c r="L1133" s="350"/>
      <c r="M1133" s="351"/>
      <c r="N1133" s="491" t="s">
        <v>294</v>
      </c>
      <c r="O1133" s="350"/>
      <c r="P1133" s="350"/>
      <c r="Q1133" s="350"/>
      <c r="R1133" s="350"/>
      <c r="S1133" s="350"/>
      <c r="T1133" s="350"/>
      <c r="U1133" s="351"/>
    </row>
    <row r="1134" spans="1:21" ht="34.5" customHeight="1">
      <c r="A1134" s="24">
        <f t="shared" si="4"/>
        <v>1120</v>
      </c>
      <c r="B1134" s="488" t="s">
        <v>294</v>
      </c>
      <c r="C1134" s="351"/>
      <c r="D1134" s="489" t="s">
        <v>294</v>
      </c>
      <c r="E1134" s="351"/>
      <c r="F1134" s="485" t="s">
        <v>325</v>
      </c>
      <c r="G1134" s="351"/>
      <c r="H1134" s="487"/>
      <c r="I1134" s="350"/>
      <c r="J1134" s="351"/>
      <c r="K1134" s="485" t="s">
        <v>325</v>
      </c>
      <c r="L1134" s="350"/>
      <c r="M1134" s="351"/>
      <c r="N1134" s="490" t="s">
        <v>294</v>
      </c>
      <c r="O1134" s="350"/>
      <c r="P1134" s="350"/>
      <c r="Q1134" s="350"/>
      <c r="R1134" s="350"/>
      <c r="S1134" s="350"/>
      <c r="T1134" s="350"/>
      <c r="U1134" s="351"/>
    </row>
    <row r="1135" spans="1:21" ht="34.5" customHeight="1">
      <c r="A1135" s="24">
        <f t="shared" si="4"/>
        <v>1121</v>
      </c>
      <c r="B1135" s="483" t="s">
        <v>294</v>
      </c>
      <c r="C1135" s="351"/>
      <c r="D1135" s="484" t="s">
        <v>294</v>
      </c>
      <c r="E1135" s="351"/>
      <c r="F1135" s="485" t="s">
        <v>325</v>
      </c>
      <c r="G1135" s="351"/>
      <c r="H1135" s="486"/>
      <c r="I1135" s="350"/>
      <c r="J1135" s="351"/>
      <c r="K1135" s="485" t="s">
        <v>325</v>
      </c>
      <c r="L1135" s="350"/>
      <c r="M1135" s="351"/>
      <c r="N1135" s="491" t="s">
        <v>294</v>
      </c>
      <c r="O1135" s="350"/>
      <c r="P1135" s="350"/>
      <c r="Q1135" s="350"/>
      <c r="R1135" s="350"/>
      <c r="S1135" s="350"/>
      <c r="T1135" s="350"/>
      <c r="U1135" s="351"/>
    </row>
    <row r="1136" spans="1:21" ht="34.5" customHeight="1">
      <c r="A1136" s="24">
        <f t="shared" si="4"/>
        <v>1122</v>
      </c>
      <c r="B1136" s="488" t="s">
        <v>294</v>
      </c>
      <c r="C1136" s="351"/>
      <c r="D1136" s="489" t="s">
        <v>294</v>
      </c>
      <c r="E1136" s="351"/>
      <c r="F1136" s="485" t="s">
        <v>325</v>
      </c>
      <c r="G1136" s="351"/>
      <c r="H1136" s="487"/>
      <c r="I1136" s="350"/>
      <c r="J1136" s="351"/>
      <c r="K1136" s="485" t="s">
        <v>325</v>
      </c>
      <c r="L1136" s="350"/>
      <c r="M1136" s="351"/>
      <c r="N1136" s="490" t="s">
        <v>294</v>
      </c>
      <c r="O1136" s="350"/>
      <c r="P1136" s="350"/>
      <c r="Q1136" s="350"/>
      <c r="R1136" s="350"/>
      <c r="S1136" s="350"/>
      <c r="T1136" s="350"/>
      <c r="U1136" s="351"/>
    </row>
    <row r="1137" spans="1:21" ht="34.5" customHeight="1">
      <c r="A1137" s="24">
        <f t="shared" si="4"/>
        <v>1123</v>
      </c>
      <c r="B1137" s="483" t="s">
        <v>294</v>
      </c>
      <c r="C1137" s="351"/>
      <c r="D1137" s="484" t="s">
        <v>294</v>
      </c>
      <c r="E1137" s="351"/>
      <c r="F1137" s="485" t="s">
        <v>325</v>
      </c>
      <c r="G1137" s="351"/>
      <c r="H1137" s="486"/>
      <c r="I1137" s="350"/>
      <c r="J1137" s="351"/>
      <c r="K1137" s="485" t="s">
        <v>325</v>
      </c>
      <c r="L1137" s="350"/>
      <c r="M1137" s="351"/>
      <c r="N1137" s="491" t="s">
        <v>294</v>
      </c>
      <c r="O1137" s="350"/>
      <c r="P1137" s="350"/>
      <c r="Q1137" s="350"/>
      <c r="R1137" s="350"/>
      <c r="S1137" s="350"/>
      <c r="T1137" s="350"/>
      <c r="U1137" s="351"/>
    </row>
    <row r="1138" spans="1:21" ht="34.5" customHeight="1">
      <c r="A1138" s="24">
        <f t="shared" si="4"/>
        <v>1124</v>
      </c>
      <c r="B1138" s="488" t="s">
        <v>329</v>
      </c>
      <c r="C1138" s="351"/>
      <c r="D1138" s="489" t="s">
        <v>294</v>
      </c>
      <c r="E1138" s="351"/>
      <c r="F1138" s="485" t="s">
        <v>325</v>
      </c>
      <c r="G1138" s="351"/>
      <c r="H1138" s="487"/>
      <c r="I1138" s="350"/>
      <c r="J1138" s="351"/>
      <c r="K1138" s="485" t="s">
        <v>325</v>
      </c>
      <c r="L1138" s="350"/>
      <c r="M1138" s="351"/>
      <c r="N1138" s="490" t="s">
        <v>294</v>
      </c>
      <c r="O1138" s="350"/>
      <c r="P1138" s="350"/>
      <c r="Q1138" s="350"/>
      <c r="R1138" s="350"/>
      <c r="S1138" s="350"/>
      <c r="T1138" s="350"/>
      <c r="U1138" s="351"/>
    </row>
    <row r="1139" spans="1:21" ht="34.5" customHeight="1">
      <c r="A1139" s="24">
        <f t="shared" si="4"/>
        <v>1125</v>
      </c>
      <c r="B1139" s="483" t="s">
        <v>294</v>
      </c>
      <c r="C1139" s="351"/>
      <c r="D1139" s="484" t="s">
        <v>294</v>
      </c>
      <c r="E1139" s="351"/>
      <c r="F1139" s="485" t="s">
        <v>325</v>
      </c>
      <c r="G1139" s="351"/>
      <c r="H1139" s="486"/>
      <c r="I1139" s="350"/>
      <c r="J1139" s="351"/>
      <c r="K1139" s="485" t="s">
        <v>325</v>
      </c>
      <c r="L1139" s="350"/>
      <c r="M1139" s="351"/>
      <c r="N1139" s="491" t="s">
        <v>294</v>
      </c>
      <c r="O1139" s="350"/>
      <c r="P1139" s="350"/>
      <c r="Q1139" s="350"/>
      <c r="R1139" s="350"/>
      <c r="S1139" s="350"/>
      <c r="T1139" s="350"/>
      <c r="U1139" s="351"/>
    </row>
    <row r="1140" spans="1:21" ht="34.5" customHeight="1">
      <c r="A1140" s="24">
        <f t="shared" si="4"/>
        <v>1126</v>
      </c>
      <c r="B1140" s="488" t="s">
        <v>294</v>
      </c>
      <c r="C1140" s="351"/>
      <c r="D1140" s="489" t="s">
        <v>294</v>
      </c>
      <c r="E1140" s="351"/>
      <c r="F1140" s="485" t="s">
        <v>325</v>
      </c>
      <c r="G1140" s="351"/>
      <c r="H1140" s="487"/>
      <c r="I1140" s="350"/>
      <c r="J1140" s="351"/>
      <c r="K1140" s="485" t="s">
        <v>325</v>
      </c>
      <c r="L1140" s="350"/>
      <c r="M1140" s="351"/>
      <c r="N1140" s="490" t="s">
        <v>294</v>
      </c>
      <c r="O1140" s="350"/>
      <c r="P1140" s="350"/>
      <c r="Q1140" s="350"/>
      <c r="R1140" s="350"/>
      <c r="S1140" s="350"/>
      <c r="T1140" s="350"/>
      <c r="U1140" s="351"/>
    </row>
    <row r="1141" spans="1:21" ht="34.5" customHeight="1">
      <c r="A1141" s="24">
        <f t="shared" si="4"/>
        <v>1127</v>
      </c>
      <c r="B1141" s="483" t="s">
        <v>331</v>
      </c>
      <c r="C1141" s="351"/>
      <c r="D1141" s="484" t="s">
        <v>294</v>
      </c>
      <c r="E1141" s="351"/>
      <c r="F1141" s="485" t="s">
        <v>325</v>
      </c>
      <c r="G1141" s="351"/>
      <c r="H1141" s="486"/>
      <c r="I1141" s="350"/>
      <c r="J1141" s="351"/>
      <c r="K1141" s="485" t="s">
        <v>325</v>
      </c>
      <c r="L1141" s="350"/>
      <c r="M1141" s="351"/>
      <c r="N1141" s="491" t="s">
        <v>294</v>
      </c>
      <c r="O1141" s="350"/>
      <c r="P1141" s="350"/>
      <c r="Q1141" s="350"/>
      <c r="R1141" s="350"/>
      <c r="S1141" s="350"/>
      <c r="T1141" s="350"/>
      <c r="U1141" s="351"/>
    </row>
    <row r="1142" spans="1:21" ht="34.5" customHeight="1">
      <c r="A1142" s="24">
        <f t="shared" si="4"/>
        <v>1128</v>
      </c>
      <c r="B1142" s="488" t="s">
        <v>294</v>
      </c>
      <c r="C1142" s="351"/>
      <c r="D1142" s="489" t="s">
        <v>294</v>
      </c>
      <c r="E1142" s="351"/>
      <c r="F1142" s="485" t="s">
        <v>325</v>
      </c>
      <c r="G1142" s="351"/>
      <c r="H1142" s="487"/>
      <c r="I1142" s="350"/>
      <c r="J1142" s="351"/>
      <c r="K1142" s="485" t="s">
        <v>325</v>
      </c>
      <c r="L1142" s="350"/>
      <c r="M1142" s="351"/>
      <c r="N1142" s="490" t="s">
        <v>294</v>
      </c>
      <c r="O1142" s="350"/>
      <c r="P1142" s="350"/>
      <c r="Q1142" s="350"/>
      <c r="R1142" s="350"/>
      <c r="S1142" s="350"/>
      <c r="T1142" s="350"/>
      <c r="U1142" s="351"/>
    </row>
    <row r="1143" spans="1:21" ht="34.5" customHeight="1">
      <c r="A1143" s="24">
        <f t="shared" si="4"/>
        <v>1129</v>
      </c>
      <c r="B1143" s="483" t="s">
        <v>294</v>
      </c>
      <c r="C1143" s="351"/>
      <c r="D1143" s="484" t="s">
        <v>294</v>
      </c>
      <c r="E1143" s="351"/>
      <c r="F1143" s="485" t="s">
        <v>325</v>
      </c>
      <c r="G1143" s="351"/>
      <c r="H1143" s="486"/>
      <c r="I1143" s="350"/>
      <c r="J1143" s="351"/>
      <c r="K1143" s="485" t="s">
        <v>325</v>
      </c>
      <c r="L1143" s="350"/>
      <c r="M1143" s="351"/>
      <c r="N1143" s="491" t="s">
        <v>294</v>
      </c>
      <c r="O1143" s="350"/>
      <c r="P1143" s="350"/>
      <c r="Q1143" s="350"/>
      <c r="R1143" s="350"/>
      <c r="S1143" s="350"/>
      <c r="T1143" s="350"/>
      <c r="U1143" s="351"/>
    </row>
    <row r="1144" spans="1:21" ht="34.5" customHeight="1">
      <c r="A1144" s="24">
        <f t="shared" si="4"/>
        <v>1130</v>
      </c>
      <c r="B1144" s="488" t="s">
        <v>294</v>
      </c>
      <c r="C1144" s="351"/>
      <c r="D1144" s="489" t="s">
        <v>294</v>
      </c>
      <c r="E1144" s="351"/>
      <c r="F1144" s="485" t="s">
        <v>325</v>
      </c>
      <c r="G1144" s="351"/>
      <c r="H1144" s="487"/>
      <c r="I1144" s="350"/>
      <c r="J1144" s="351"/>
      <c r="K1144" s="485" t="s">
        <v>325</v>
      </c>
      <c r="L1144" s="350"/>
      <c r="M1144" s="351"/>
      <c r="N1144" s="490" t="s">
        <v>294</v>
      </c>
      <c r="O1144" s="350"/>
      <c r="P1144" s="350"/>
      <c r="Q1144" s="350"/>
      <c r="R1144" s="350"/>
      <c r="S1144" s="350"/>
      <c r="T1144" s="350"/>
      <c r="U1144" s="351"/>
    </row>
    <row r="1145" spans="1:21" ht="34.5" customHeight="1">
      <c r="A1145" s="24">
        <f t="shared" si="4"/>
        <v>1131</v>
      </c>
      <c r="B1145" s="483" t="s">
        <v>294</v>
      </c>
      <c r="C1145" s="351"/>
      <c r="D1145" s="484" t="s">
        <v>294</v>
      </c>
      <c r="E1145" s="351"/>
      <c r="F1145" s="485" t="s">
        <v>325</v>
      </c>
      <c r="G1145" s="351"/>
      <c r="H1145" s="486"/>
      <c r="I1145" s="350"/>
      <c r="J1145" s="351"/>
      <c r="K1145" s="485" t="s">
        <v>325</v>
      </c>
      <c r="L1145" s="350"/>
      <c r="M1145" s="351"/>
      <c r="N1145" s="491" t="s">
        <v>294</v>
      </c>
      <c r="O1145" s="350"/>
      <c r="P1145" s="350"/>
      <c r="Q1145" s="350"/>
      <c r="R1145" s="350"/>
      <c r="S1145" s="350"/>
      <c r="T1145" s="350"/>
      <c r="U1145" s="351"/>
    </row>
    <row r="1146" spans="1:21" ht="34.5" customHeight="1">
      <c r="A1146" s="24">
        <f t="shared" si="4"/>
        <v>1132</v>
      </c>
      <c r="B1146" s="488" t="s">
        <v>294</v>
      </c>
      <c r="C1146" s="351"/>
      <c r="D1146" s="489" t="s">
        <v>294</v>
      </c>
      <c r="E1146" s="351"/>
      <c r="F1146" s="485" t="s">
        <v>325</v>
      </c>
      <c r="G1146" s="351"/>
      <c r="H1146" s="487"/>
      <c r="I1146" s="350"/>
      <c r="J1146" s="351"/>
      <c r="K1146" s="485" t="s">
        <v>325</v>
      </c>
      <c r="L1146" s="350"/>
      <c r="M1146" s="351"/>
      <c r="N1146" s="490" t="s">
        <v>294</v>
      </c>
      <c r="O1146" s="350"/>
      <c r="P1146" s="350"/>
      <c r="Q1146" s="350"/>
      <c r="R1146" s="350"/>
      <c r="S1146" s="350"/>
      <c r="T1146" s="350"/>
      <c r="U1146" s="351"/>
    </row>
    <row r="1147" spans="1:21" ht="34.5" customHeight="1">
      <c r="A1147" s="24">
        <f t="shared" si="4"/>
        <v>1133</v>
      </c>
      <c r="B1147" s="483" t="s">
        <v>332</v>
      </c>
      <c r="C1147" s="351"/>
      <c r="D1147" s="484" t="s">
        <v>294</v>
      </c>
      <c r="E1147" s="351"/>
      <c r="F1147" s="485" t="s">
        <v>325</v>
      </c>
      <c r="G1147" s="351"/>
      <c r="H1147" s="486"/>
      <c r="I1147" s="350"/>
      <c r="J1147" s="351"/>
      <c r="K1147" s="485" t="s">
        <v>325</v>
      </c>
      <c r="L1147" s="350"/>
      <c r="M1147" s="351"/>
      <c r="N1147" s="491" t="s">
        <v>294</v>
      </c>
      <c r="O1147" s="350"/>
      <c r="P1147" s="350"/>
      <c r="Q1147" s="350"/>
      <c r="R1147" s="350"/>
      <c r="S1147" s="350"/>
      <c r="T1147" s="350"/>
      <c r="U1147" s="351"/>
    </row>
    <row r="1148" spans="1:21" ht="34.5" customHeight="1">
      <c r="A1148" s="24">
        <f t="shared" si="4"/>
        <v>1134</v>
      </c>
      <c r="B1148" s="488" t="s">
        <v>294</v>
      </c>
      <c r="C1148" s="351"/>
      <c r="D1148" s="489" t="s">
        <v>294</v>
      </c>
      <c r="E1148" s="351"/>
      <c r="F1148" s="485" t="s">
        <v>325</v>
      </c>
      <c r="G1148" s="351"/>
      <c r="H1148" s="487"/>
      <c r="I1148" s="350"/>
      <c r="J1148" s="351"/>
      <c r="K1148" s="485" t="s">
        <v>325</v>
      </c>
      <c r="L1148" s="350"/>
      <c r="M1148" s="351"/>
      <c r="N1148" s="490" t="s">
        <v>294</v>
      </c>
      <c r="O1148" s="350"/>
      <c r="P1148" s="350"/>
      <c r="Q1148" s="350"/>
      <c r="R1148" s="350"/>
      <c r="S1148" s="350"/>
      <c r="T1148" s="350"/>
      <c r="U1148" s="351"/>
    </row>
    <row r="1149" spans="1:21" ht="34.5" customHeight="1">
      <c r="A1149" s="24">
        <f t="shared" si="4"/>
        <v>1135</v>
      </c>
      <c r="B1149" s="483" t="s">
        <v>294</v>
      </c>
      <c r="C1149" s="351"/>
      <c r="D1149" s="484" t="s">
        <v>294</v>
      </c>
      <c r="E1149" s="351"/>
      <c r="F1149" s="485" t="s">
        <v>325</v>
      </c>
      <c r="G1149" s="351"/>
      <c r="H1149" s="486"/>
      <c r="I1149" s="350"/>
      <c r="J1149" s="351"/>
      <c r="K1149" s="485" t="s">
        <v>325</v>
      </c>
      <c r="L1149" s="350"/>
      <c r="M1149" s="351"/>
      <c r="N1149" s="491" t="s">
        <v>294</v>
      </c>
      <c r="O1149" s="350"/>
      <c r="P1149" s="350"/>
      <c r="Q1149" s="350"/>
      <c r="R1149" s="350"/>
      <c r="S1149" s="350"/>
      <c r="T1149" s="350"/>
      <c r="U1149" s="351"/>
    </row>
    <row r="1150" spans="1:21" ht="34.5" customHeight="1">
      <c r="A1150" s="24">
        <f t="shared" si="4"/>
        <v>1136</v>
      </c>
      <c r="B1150" s="488" t="s">
        <v>294</v>
      </c>
      <c r="C1150" s="351"/>
      <c r="D1150" s="489" t="s">
        <v>294</v>
      </c>
      <c r="E1150" s="351"/>
      <c r="F1150" s="485" t="s">
        <v>325</v>
      </c>
      <c r="G1150" s="351"/>
      <c r="H1150" s="487"/>
      <c r="I1150" s="350"/>
      <c r="J1150" s="351"/>
      <c r="K1150" s="485" t="s">
        <v>325</v>
      </c>
      <c r="L1150" s="350"/>
      <c r="M1150" s="351"/>
      <c r="N1150" s="490" t="s">
        <v>294</v>
      </c>
      <c r="O1150" s="350"/>
      <c r="P1150" s="350"/>
      <c r="Q1150" s="350"/>
      <c r="R1150" s="350"/>
      <c r="S1150" s="350"/>
      <c r="T1150" s="350"/>
      <c r="U1150" s="351"/>
    </row>
    <row r="1151" spans="1:21" ht="34.5" customHeight="1">
      <c r="A1151" s="24">
        <f t="shared" si="4"/>
        <v>1137</v>
      </c>
      <c r="B1151" s="483" t="s">
        <v>294</v>
      </c>
      <c r="C1151" s="351"/>
      <c r="D1151" s="484" t="s">
        <v>294</v>
      </c>
      <c r="E1151" s="351"/>
      <c r="F1151" s="485" t="s">
        <v>325</v>
      </c>
      <c r="G1151" s="351"/>
      <c r="H1151" s="486"/>
      <c r="I1151" s="350"/>
      <c r="J1151" s="351"/>
      <c r="K1151" s="485" t="s">
        <v>325</v>
      </c>
      <c r="L1151" s="350"/>
      <c r="M1151" s="351"/>
      <c r="N1151" s="491" t="s">
        <v>294</v>
      </c>
      <c r="O1151" s="350"/>
      <c r="P1151" s="350"/>
      <c r="Q1151" s="350"/>
      <c r="R1151" s="350"/>
      <c r="S1151" s="350"/>
      <c r="T1151" s="350"/>
      <c r="U1151" s="351"/>
    </row>
    <row r="1152" spans="1:21" ht="34.5" customHeight="1">
      <c r="A1152" s="24">
        <f t="shared" si="4"/>
        <v>1138</v>
      </c>
      <c r="B1152" s="488" t="s">
        <v>294</v>
      </c>
      <c r="C1152" s="351"/>
      <c r="D1152" s="489" t="s">
        <v>294</v>
      </c>
      <c r="E1152" s="351"/>
      <c r="F1152" s="485" t="s">
        <v>325</v>
      </c>
      <c r="G1152" s="351"/>
      <c r="H1152" s="487"/>
      <c r="I1152" s="350"/>
      <c r="J1152" s="351"/>
      <c r="K1152" s="485" t="s">
        <v>325</v>
      </c>
      <c r="L1152" s="350"/>
      <c r="M1152" s="351"/>
      <c r="N1152" s="490" t="s">
        <v>294</v>
      </c>
      <c r="O1152" s="350"/>
      <c r="P1152" s="350"/>
      <c r="Q1152" s="350"/>
      <c r="R1152" s="350"/>
      <c r="S1152" s="350"/>
      <c r="T1152" s="350"/>
      <c r="U1152" s="351"/>
    </row>
    <row r="1153" spans="1:21" ht="34.5" customHeight="1">
      <c r="A1153" s="24">
        <f t="shared" si="4"/>
        <v>1139</v>
      </c>
      <c r="B1153" s="483" t="s">
        <v>294</v>
      </c>
      <c r="C1153" s="351"/>
      <c r="D1153" s="484" t="s">
        <v>294</v>
      </c>
      <c r="E1153" s="351"/>
      <c r="F1153" s="485" t="s">
        <v>325</v>
      </c>
      <c r="G1153" s="351"/>
      <c r="H1153" s="486"/>
      <c r="I1153" s="350"/>
      <c r="J1153" s="351"/>
      <c r="K1153" s="485" t="s">
        <v>325</v>
      </c>
      <c r="L1153" s="350"/>
      <c r="M1153" s="351"/>
      <c r="N1153" s="491" t="s">
        <v>294</v>
      </c>
      <c r="O1153" s="350"/>
      <c r="P1153" s="350"/>
      <c r="Q1153" s="350"/>
      <c r="R1153" s="350"/>
      <c r="S1153" s="350"/>
      <c r="T1153" s="350"/>
      <c r="U1153" s="351"/>
    </row>
    <row r="1154" spans="1:21" ht="34.5" customHeight="1">
      <c r="A1154" s="24">
        <f t="shared" si="4"/>
        <v>1140</v>
      </c>
      <c r="B1154" s="488" t="s">
        <v>294</v>
      </c>
      <c r="C1154" s="351"/>
      <c r="D1154" s="489" t="s">
        <v>294</v>
      </c>
      <c r="E1154" s="351"/>
      <c r="F1154" s="485" t="s">
        <v>325</v>
      </c>
      <c r="G1154" s="351"/>
      <c r="H1154" s="487"/>
      <c r="I1154" s="350"/>
      <c r="J1154" s="351"/>
      <c r="K1154" s="485" t="s">
        <v>325</v>
      </c>
      <c r="L1154" s="350"/>
      <c r="M1154" s="351"/>
      <c r="N1154" s="490" t="s">
        <v>294</v>
      </c>
      <c r="O1154" s="350"/>
      <c r="P1154" s="350"/>
      <c r="Q1154" s="350"/>
      <c r="R1154" s="350"/>
      <c r="S1154" s="350"/>
      <c r="T1154" s="350"/>
      <c r="U1154" s="351"/>
    </row>
    <row r="1155" spans="1:21" ht="34.5" customHeight="1">
      <c r="A1155" s="24">
        <f t="shared" si="4"/>
        <v>1141</v>
      </c>
      <c r="B1155" s="483" t="s">
        <v>294</v>
      </c>
      <c r="C1155" s="351"/>
      <c r="D1155" s="484" t="s">
        <v>294</v>
      </c>
      <c r="E1155" s="351"/>
      <c r="F1155" s="485" t="s">
        <v>325</v>
      </c>
      <c r="G1155" s="351"/>
      <c r="H1155" s="486"/>
      <c r="I1155" s="350"/>
      <c r="J1155" s="351"/>
      <c r="K1155" s="485" t="s">
        <v>325</v>
      </c>
      <c r="L1155" s="350"/>
      <c r="M1155" s="351"/>
      <c r="N1155" s="491" t="s">
        <v>294</v>
      </c>
      <c r="O1155" s="350"/>
      <c r="P1155" s="350"/>
      <c r="Q1155" s="350"/>
      <c r="R1155" s="350"/>
      <c r="S1155" s="350"/>
      <c r="T1155" s="350"/>
      <c r="U1155" s="351"/>
    </row>
    <row r="1156" spans="1:21" ht="34.5" customHeight="1">
      <c r="A1156" s="24">
        <f t="shared" si="4"/>
        <v>1142</v>
      </c>
      <c r="B1156" s="488" t="s">
        <v>294</v>
      </c>
      <c r="C1156" s="351"/>
      <c r="D1156" s="489" t="s">
        <v>294</v>
      </c>
      <c r="E1156" s="351"/>
      <c r="F1156" s="485" t="s">
        <v>325</v>
      </c>
      <c r="G1156" s="351"/>
      <c r="H1156" s="487"/>
      <c r="I1156" s="350"/>
      <c r="J1156" s="351"/>
      <c r="K1156" s="485" t="s">
        <v>325</v>
      </c>
      <c r="L1156" s="350"/>
      <c r="M1156" s="351"/>
      <c r="N1156" s="490" t="s">
        <v>294</v>
      </c>
      <c r="O1156" s="350"/>
      <c r="P1156" s="350"/>
      <c r="Q1156" s="350"/>
      <c r="R1156" s="350"/>
      <c r="S1156" s="350"/>
      <c r="T1156" s="350"/>
      <c r="U1156" s="351"/>
    </row>
    <row r="1157" spans="1:21" ht="34.5" customHeight="1">
      <c r="A1157" s="24">
        <f t="shared" si="4"/>
        <v>1143</v>
      </c>
      <c r="B1157" s="483" t="s">
        <v>294</v>
      </c>
      <c r="C1157" s="351"/>
      <c r="D1157" s="484" t="s">
        <v>294</v>
      </c>
      <c r="E1157" s="351"/>
      <c r="F1157" s="485" t="s">
        <v>325</v>
      </c>
      <c r="G1157" s="351"/>
      <c r="H1157" s="486"/>
      <c r="I1157" s="350"/>
      <c r="J1157" s="351"/>
      <c r="K1157" s="485" t="s">
        <v>325</v>
      </c>
      <c r="L1157" s="350"/>
      <c r="M1157" s="351"/>
      <c r="N1157" s="491" t="s">
        <v>294</v>
      </c>
      <c r="O1157" s="350"/>
      <c r="P1157" s="350"/>
      <c r="Q1157" s="350"/>
      <c r="R1157" s="350"/>
      <c r="S1157" s="350"/>
      <c r="T1157" s="350"/>
      <c r="U1157" s="351"/>
    </row>
    <row r="1158" spans="1:21" ht="34.5" customHeight="1">
      <c r="A1158" s="24">
        <f t="shared" si="4"/>
        <v>1144</v>
      </c>
      <c r="B1158" s="488" t="s">
        <v>294</v>
      </c>
      <c r="C1158" s="351"/>
      <c r="D1158" s="489" t="s">
        <v>294</v>
      </c>
      <c r="E1158" s="351"/>
      <c r="F1158" s="485" t="s">
        <v>325</v>
      </c>
      <c r="G1158" s="351"/>
      <c r="H1158" s="487"/>
      <c r="I1158" s="350"/>
      <c r="J1158" s="351"/>
      <c r="K1158" s="485" t="s">
        <v>325</v>
      </c>
      <c r="L1158" s="350"/>
      <c r="M1158" s="351"/>
      <c r="N1158" s="490" t="s">
        <v>294</v>
      </c>
      <c r="O1158" s="350"/>
      <c r="P1158" s="350"/>
      <c r="Q1158" s="350"/>
      <c r="R1158" s="350"/>
      <c r="S1158" s="350"/>
      <c r="T1158" s="350"/>
      <c r="U1158" s="351"/>
    </row>
    <row r="1159" spans="1:21" ht="34.5" customHeight="1">
      <c r="A1159" s="24">
        <f t="shared" si="4"/>
        <v>1145</v>
      </c>
      <c r="B1159" s="483" t="s">
        <v>333</v>
      </c>
      <c r="C1159" s="351"/>
      <c r="D1159" s="484" t="s">
        <v>294</v>
      </c>
      <c r="E1159" s="351"/>
      <c r="F1159" s="485" t="s">
        <v>325</v>
      </c>
      <c r="G1159" s="351"/>
      <c r="H1159" s="486"/>
      <c r="I1159" s="350"/>
      <c r="J1159" s="351"/>
      <c r="K1159" s="485" t="s">
        <v>325</v>
      </c>
      <c r="L1159" s="350"/>
      <c r="M1159" s="351"/>
      <c r="N1159" s="491" t="s">
        <v>294</v>
      </c>
      <c r="O1159" s="350"/>
      <c r="P1159" s="350"/>
      <c r="Q1159" s="350"/>
      <c r="R1159" s="350"/>
      <c r="S1159" s="350"/>
      <c r="T1159" s="350"/>
      <c r="U1159" s="351"/>
    </row>
    <row r="1160" spans="1:21" ht="34.5" customHeight="1">
      <c r="A1160" s="24">
        <f t="shared" si="4"/>
        <v>1146</v>
      </c>
      <c r="B1160" s="488" t="s">
        <v>294</v>
      </c>
      <c r="C1160" s="351"/>
      <c r="D1160" s="489" t="s">
        <v>294</v>
      </c>
      <c r="E1160" s="351"/>
      <c r="F1160" s="485" t="s">
        <v>325</v>
      </c>
      <c r="G1160" s="351"/>
      <c r="H1160" s="487"/>
      <c r="I1160" s="350"/>
      <c r="J1160" s="351"/>
      <c r="K1160" s="485" t="s">
        <v>325</v>
      </c>
      <c r="L1160" s="350"/>
      <c r="M1160" s="351"/>
      <c r="N1160" s="490" t="s">
        <v>294</v>
      </c>
      <c r="O1160" s="350"/>
      <c r="P1160" s="350"/>
      <c r="Q1160" s="350"/>
      <c r="R1160" s="350"/>
      <c r="S1160" s="350"/>
      <c r="T1160" s="350"/>
      <c r="U1160" s="351"/>
    </row>
    <row r="1161" spans="1:21" ht="34.5" customHeight="1">
      <c r="A1161" s="24">
        <f t="shared" si="4"/>
        <v>1147</v>
      </c>
      <c r="B1161" s="483" t="s">
        <v>294</v>
      </c>
      <c r="C1161" s="351"/>
      <c r="D1161" s="484" t="s">
        <v>294</v>
      </c>
      <c r="E1161" s="351"/>
      <c r="F1161" s="485" t="s">
        <v>325</v>
      </c>
      <c r="G1161" s="351"/>
      <c r="H1161" s="486"/>
      <c r="I1161" s="350"/>
      <c r="J1161" s="351"/>
      <c r="K1161" s="485" t="s">
        <v>325</v>
      </c>
      <c r="L1161" s="350"/>
      <c r="M1161" s="351"/>
      <c r="N1161" s="491" t="s">
        <v>294</v>
      </c>
      <c r="O1161" s="350"/>
      <c r="P1161" s="350"/>
      <c r="Q1161" s="350"/>
      <c r="R1161" s="350"/>
      <c r="S1161" s="350"/>
      <c r="T1161" s="350"/>
      <c r="U1161" s="351"/>
    </row>
    <row r="1162" spans="1:21" ht="34.5" customHeight="1">
      <c r="A1162" s="24">
        <f t="shared" si="4"/>
        <v>1148</v>
      </c>
      <c r="B1162" s="488" t="s">
        <v>294</v>
      </c>
      <c r="C1162" s="351"/>
      <c r="D1162" s="489" t="s">
        <v>294</v>
      </c>
      <c r="E1162" s="351"/>
      <c r="F1162" s="485" t="s">
        <v>325</v>
      </c>
      <c r="G1162" s="351"/>
      <c r="H1162" s="487"/>
      <c r="I1162" s="350"/>
      <c r="J1162" s="351"/>
      <c r="K1162" s="485" t="s">
        <v>325</v>
      </c>
      <c r="L1162" s="350"/>
      <c r="M1162" s="351"/>
      <c r="N1162" s="490" t="s">
        <v>294</v>
      </c>
      <c r="O1162" s="350"/>
      <c r="P1162" s="350"/>
      <c r="Q1162" s="350"/>
      <c r="R1162" s="350"/>
      <c r="S1162" s="350"/>
      <c r="T1162" s="350"/>
      <c r="U1162" s="351"/>
    </row>
    <row r="1163" spans="1:21" ht="34.5" customHeight="1">
      <c r="A1163" s="24">
        <f t="shared" si="4"/>
        <v>1149</v>
      </c>
      <c r="B1163" s="483" t="s">
        <v>294</v>
      </c>
      <c r="C1163" s="351"/>
      <c r="D1163" s="484" t="s">
        <v>294</v>
      </c>
      <c r="E1163" s="351"/>
      <c r="F1163" s="485" t="s">
        <v>325</v>
      </c>
      <c r="G1163" s="351"/>
      <c r="H1163" s="486"/>
      <c r="I1163" s="350"/>
      <c r="J1163" s="351"/>
      <c r="K1163" s="485" t="s">
        <v>325</v>
      </c>
      <c r="L1163" s="350"/>
      <c r="M1163" s="351"/>
      <c r="N1163" s="491" t="s">
        <v>294</v>
      </c>
      <c r="O1163" s="350"/>
      <c r="P1163" s="350"/>
      <c r="Q1163" s="350"/>
      <c r="R1163" s="350"/>
      <c r="S1163" s="350"/>
      <c r="T1163" s="350"/>
      <c r="U1163" s="351"/>
    </row>
    <row r="1164" spans="1:21" ht="34.5" customHeight="1">
      <c r="A1164" s="24">
        <f t="shared" si="4"/>
        <v>1150</v>
      </c>
      <c r="B1164" s="488" t="s">
        <v>294</v>
      </c>
      <c r="C1164" s="351"/>
      <c r="D1164" s="489" t="s">
        <v>294</v>
      </c>
      <c r="E1164" s="351"/>
      <c r="F1164" s="485" t="s">
        <v>325</v>
      </c>
      <c r="G1164" s="351"/>
      <c r="H1164" s="487"/>
      <c r="I1164" s="350"/>
      <c r="J1164" s="351"/>
      <c r="K1164" s="485" t="s">
        <v>325</v>
      </c>
      <c r="L1164" s="350"/>
      <c r="M1164" s="351"/>
      <c r="N1164" s="490" t="s">
        <v>294</v>
      </c>
      <c r="O1164" s="350"/>
      <c r="P1164" s="350"/>
      <c r="Q1164" s="350"/>
      <c r="R1164" s="350"/>
      <c r="S1164" s="350"/>
      <c r="T1164" s="350"/>
      <c r="U1164" s="351"/>
    </row>
    <row r="1165" spans="1:21" ht="34.5" customHeight="1">
      <c r="A1165" s="24">
        <f t="shared" si="4"/>
        <v>1151</v>
      </c>
      <c r="B1165" s="483" t="s">
        <v>330</v>
      </c>
      <c r="C1165" s="351"/>
      <c r="D1165" s="484" t="s">
        <v>294</v>
      </c>
      <c r="E1165" s="351"/>
      <c r="F1165" s="485" t="s">
        <v>325</v>
      </c>
      <c r="G1165" s="351"/>
      <c r="H1165" s="486"/>
      <c r="I1165" s="350"/>
      <c r="J1165" s="351"/>
      <c r="K1165" s="485" t="s">
        <v>325</v>
      </c>
      <c r="L1165" s="350"/>
      <c r="M1165" s="351"/>
      <c r="N1165" s="491" t="s">
        <v>294</v>
      </c>
      <c r="O1165" s="350"/>
      <c r="P1165" s="350"/>
      <c r="Q1165" s="350"/>
      <c r="R1165" s="350"/>
      <c r="S1165" s="350"/>
      <c r="T1165" s="350"/>
      <c r="U1165" s="351"/>
    </row>
    <row r="1166" spans="1:21" ht="34.5" customHeight="1">
      <c r="A1166" s="24">
        <f t="shared" si="4"/>
        <v>1152</v>
      </c>
      <c r="B1166" s="488" t="s">
        <v>294</v>
      </c>
      <c r="C1166" s="351"/>
      <c r="D1166" s="489" t="s">
        <v>294</v>
      </c>
      <c r="E1166" s="351"/>
      <c r="F1166" s="485" t="s">
        <v>325</v>
      </c>
      <c r="G1166" s="351"/>
      <c r="H1166" s="487"/>
      <c r="I1166" s="350"/>
      <c r="J1166" s="351"/>
      <c r="K1166" s="485" t="s">
        <v>325</v>
      </c>
      <c r="L1166" s="350"/>
      <c r="M1166" s="351"/>
      <c r="N1166" s="490" t="s">
        <v>294</v>
      </c>
      <c r="O1166" s="350"/>
      <c r="P1166" s="350"/>
      <c r="Q1166" s="350"/>
      <c r="R1166" s="350"/>
      <c r="S1166" s="350"/>
      <c r="T1166" s="350"/>
      <c r="U1166" s="351"/>
    </row>
    <row r="1167" spans="1:21" ht="34.5" customHeight="1">
      <c r="A1167" s="24">
        <f t="shared" si="4"/>
        <v>1153</v>
      </c>
      <c r="B1167" s="483" t="s">
        <v>294</v>
      </c>
      <c r="C1167" s="351"/>
      <c r="D1167" s="484" t="s">
        <v>294</v>
      </c>
      <c r="E1167" s="351"/>
      <c r="F1167" s="485" t="s">
        <v>325</v>
      </c>
      <c r="G1167" s="351"/>
      <c r="H1167" s="486"/>
      <c r="I1167" s="350"/>
      <c r="J1167" s="351"/>
      <c r="K1167" s="485" t="s">
        <v>325</v>
      </c>
      <c r="L1167" s="350"/>
      <c r="M1167" s="351"/>
      <c r="N1167" s="491" t="s">
        <v>294</v>
      </c>
      <c r="O1167" s="350"/>
      <c r="P1167" s="350"/>
      <c r="Q1167" s="350"/>
      <c r="R1167" s="350"/>
      <c r="S1167" s="350"/>
      <c r="T1167" s="350"/>
      <c r="U1167" s="351"/>
    </row>
    <row r="1168" spans="1:21" ht="34.5" customHeight="1">
      <c r="A1168" s="24">
        <f t="shared" si="4"/>
        <v>1154</v>
      </c>
      <c r="B1168" s="488" t="s">
        <v>294</v>
      </c>
      <c r="C1168" s="351"/>
      <c r="D1168" s="489" t="s">
        <v>294</v>
      </c>
      <c r="E1168" s="351"/>
      <c r="F1168" s="485" t="s">
        <v>325</v>
      </c>
      <c r="G1168" s="351"/>
      <c r="H1168" s="487"/>
      <c r="I1168" s="350"/>
      <c r="J1168" s="351"/>
      <c r="K1168" s="485" t="s">
        <v>325</v>
      </c>
      <c r="L1168" s="350"/>
      <c r="M1168" s="351"/>
      <c r="N1168" s="490" t="s">
        <v>294</v>
      </c>
      <c r="O1168" s="350"/>
      <c r="P1168" s="350"/>
      <c r="Q1168" s="350"/>
      <c r="R1168" s="350"/>
      <c r="S1168" s="350"/>
      <c r="T1168" s="350"/>
      <c r="U1168" s="351"/>
    </row>
    <row r="1169" spans="1:21" ht="34.5" customHeight="1">
      <c r="A1169" s="24">
        <f t="shared" si="4"/>
        <v>1155</v>
      </c>
      <c r="B1169" s="483" t="s">
        <v>294</v>
      </c>
      <c r="C1169" s="351"/>
      <c r="D1169" s="484" t="s">
        <v>294</v>
      </c>
      <c r="E1169" s="351"/>
      <c r="F1169" s="485" t="s">
        <v>325</v>
      </c>
      <c r="G1169" s="351"/>
      <c r="H1169" s="486"/>
      <c r="I1169" s="350"/>
      <c r="J1169" s="351"/>
      <c r="K1169" s="485" t="s">
        <v>325</v>
      </c>
      <c r="L1169" s="350"/>
      <c r="M1169" s="351"/>
      <c r="N1169" s="491" t="s">
        <v>294</v>
      </c>
      <c r="O1169" s="350"/>
      <c r="P1169" s="350"/>
      <c r="Q1169" s="350"/>
      <c r="R1169" s="350"/>
      <c r="S1169" s="350"/>
      <c r="T1169" s="350"/>
      <c r="U1169" s="351"/>
    </row>
    <row r="1170" spans="1:21" ht="34.5" customHeight="1">
      <c r="A1170" s="24">
        <f t="shared" si="4"/>
        <v>1156</v>
      </c>
      <c r="B1170" s="488" t="s">
        <v>334</v>
      </c>
      <c r="C1170" s="351"/>
      <c r="D1170" s="489" t="s">
        <v>294</v>
      </c>
      <c r="E1170" s="351"/>
      <c r="F1170" s="485" t="s">
        <v>325</v>
      </c>
      <c r="G1170" s="351"/>
      <c r="H1170" s="487"/>
      <c r="I1170" s="350"/>
      <c r="J1170" s="351"/>
      <c r="K1170" s="485" t="s">
        <v>325</v>
      </c>
      <c r="L1170" s="350"/>
      <c r="M1170" s="351"/>
      <c r="N1170" s="490" t="s">
        <v>294</v>
      </c>
      <c r="O1170" s="350"/>
      <c r="P1170" s="350"/>
      <c r="Q1170" s="350"/>
      <c r="R1170" s="350"/>
      <c r="S1170" s="350"/>
      <c r="T1170" s="350"/>
      <c r="U1170" s="351"/>
    </row>
    <row r="1171" spans="1:21" ht="34.5" customHeight="1">
      <c r="A1171" s="24">
        <f t="shared" si="4"/>
        <v>1157</v>
      </c>
      <c r="B1171" s="483" t="s">
        <v>294</v>
      </c>
      <c r="C1171" s="351"/>
      <c r="D1171" s="484" t="s">
        <v>294</v>
      </c>
      <c r="E1171" s="351"/>
      <c r="F1171" s="485" t="s">
        <v>325</v>
      </c>
      <c r="G1171" s="351"/>
      <c r="H1171" s="486"/>
      <c r="I1171" s="350"/>
      <c r="J1171" s="351"/>
      <c r="K1171" s="485" t="s">
        <v>325</v>
      </c>
      <c r="L1171" s="350"/>
      <c r="M1171" s="351"/>
      <c r="N1171" s="491" t="s">
        <v>294</v>
      </c>
      <c r="O1171" s="350"/>
      <c r="P1171" s="350"/>
      <c r="Q1171" s="350"/>
      <c r="R1171" s="350"/>
      <c r="S1171" s="350"/>
      <c r="T1171" s="350"/>
      <c r="U1171" s="351"/>
    </row>
    <row r="1172" spans="1:21" ht="34.5" customHeight="1">
      <c r="A1172" s="24">
        <f t="shared" si="4"/>
        <v>1158</v>
      </c>
      <c r="B1172" s="488" t="s">
        <v>294</v>
      </c>
      <c r="C1172" s="351"/>
      <c r="D1172" s="489" t="s">
        <v>294</v>
      </c>
      <c r="E1172" s="351"/>
      <c r="F1172" s="485" t="s">
        <v>325</v>
      </c>
      <c r="G1172" s="351"/>
      <c r="H1172" s="487"/>
      <c r="I1172" s="350"/>
      <c r="J1172" s="351"/>
      <c r="K1172" s="485" t="s">
        <v>325</v>
      </c>
      <c r="L1172" s="350"/>
      <c r="M1172" s="351"/>
      <c r="N1172" s="490" t="s">
        <v>294</v>
      </c>
      <c r="O1172" s="350"/>
      <c r="P1172" s="350"/>
      <c r="Q1172" s="350"/>
      <c r="R1172" s="350"/>
      <c r="S1172" s="350"/>
      <c r="T1172" s="350"/>
      <c r="U1172" s="351"/>
    </row>
    <row r="1173" spans="1:21" ht="34.5" customHeight="1">
      <c r="A1173" s="24">
        <f t="shared" si="4"/>
        <v>1159</v>
      </c>
      <c r="B1173" s="483" t="s">
        <v>294</v>
      </c>
      <c r="C1173" s="351"/>
      <c r="D1173" s="484" t="s">
        <v>294</v>
      </c>
      <c r="E1173" s="351"/>
      <c r="F1173" s="485" t="s">
        <v>325</v>
      </c>
      <c r="G1173" s="351"/>
      <c r="H1173" s="486"/>
      <c r="I1173" s="350"/>
      <c r="J1173" s="351"/>
      <c r="K1173" s="485" t="s">
        <v>325</v>
      </c>
      <c r="L1173" s="350"/>
      <c r="M1173" s="351"/>
      <c r="N1173" s="491" t="s">
        <v>294</v>
      </c>
      <c r="O1173" s="350"/>
      <c r="P1173" s="350"/>
      <c r="Q1173" s="350"/>
      <c r="R1173" s="350"/>
      <c r="S1173" s="350"/>
      <c r="T1173" s="350"/>
      <c r="U1173" s="351"/>
    </row>
    <row r="1174" spans="1:21" ht="34.5" customHeight="1">
      <c r="A1174" s="24">
        <f t="shared" si="4"/>
        <v>1160</v>
      </c>
      <c r="B1174" s="488" t="s">
        <v>294</v>
      </c>
      <c r="C1174" s="351"/>
      <c r="D1174" s="489" t="s">
        <v>294</v>
      </c>
      <c r="E1174" s="351"/>
      <c r="F1174" s="485" t="s">
        <v>325</v>
      </c>
      <c r="G1174" s="351"/>
      <c r="H1174" s="487"/>
      <c r="I1174" s="350"/>
      <c r="J1174" s="351"/>
      <c r="K1174" s="485" t="s">
        <v>325</v>
      </c>
      <c r="L1174" s="350"/>
      <c r="M1174" s="351"/>
      <c r="N1174" s="490" t="s">
        <v>294</v>
      </c>
      <c r="O1174" s="350"/>
      <c r="P1174" s="350"/>
      <c r="Q1174" s="350"/>
      <c r="R1174" s="350"/>
      <c r="S1174" s="350"/>
      <c r="T1174" s="350"/>
      <c r="U1174" s="351"/>
    </row>
    <row r="1175" spans="1:21" ht="34.5" customHeight="1">
      <c r="A1175" s="24">
        <f t="shared" si="4"/>
        <v>1161</v>
      </c>
      <c r="B1175" s="483" t="s">
        <v>332</v>
      </c>
      <c r="C1175" s="351"/>
      <c r="D1175" s="484" t="s">
        <v>294</v>
      </c>
      <c r="E1175" s="351"/>
      <c r="F1175" s="485" t="s">
        <v>325</v>
      </c>
      <c r="G1175" s="351"/>
      <c r="H1175" s="486"/>
      <c r="I1175" s="350"/>
      <c r="J1175" s="351"/>
      <c r="K1175" s="485" t="s">
        <v>325</v>
      </c>
      <c r="L1175" s="350"/>
      <c r="M1175" s="351"/>
      <c r="N1175" s="491" t="s">
        <v>294</v>
      </c>
      <c r="O1175" s="350"/>
      <c r="P1175" s="350"/>
      <c r="Q1175" s="350"/>
      <c r="R1175" s="350"/>
      <c r="S1175" s="350"/>
      <c r="T1175" s="350"/>
      <c r="U1175" s="351"/>
    </row>
    <row r="1176" spans="1:21" ht="34.5" customHeight="1">
      <c r="A1176" s="24">
        <f t="shared" si="4"/>
        <v>1162</v>
      </c>
      <c r="B1176" s="488" t="s">
        <v>294</v>
      </c>
      <c r="C1176" s="351"/>
      <c r="D1176" s="489" t="s">
        <v>294</v>
      </c>
      <c r="E1176" s="351"/>
      <c r="F1176" s="485" t="s">
        <v>325</v>
      </c>
      <c r="G1176" s="351"/>
      <c r="H1176" s="487"/>
      <c r="I1176" s="350"/>
      <c r="J1176" s="351"/>
      <c r="K1176" s="485" t="s">
        <v>325</v>
      </c>
      <c r="L1176" s="350"/>
      <c r="M1176" s="351"/>
      <c r="N1176" s="490" t="s">
        <v>294</v>
      </c>
      <c r="O1176" s="350"/>
      <c r="P1176" s="350"/>
      <c r="Q1176" s="350"/>
      <c r="R1176" s="350"/>
      <c r="S1176" s="350"/>
      <c r="T1176" s="350"/>
      <c r="U1176" s="351"/>
    </row>
    <row r="1177" spans="1:21" ht="34.5" customHeight="1">
      <c r="A1177" s="24">
        <f t="shared" si="4"/>
        <v>1163</v>
      </c>
      <c r="B1177" s="483" t="s">
        <v>294</v>
      </c>
      <c r="C1177" s="351"/>
      <c r="D1177" s="484" t="s">
        <v>294</v>
      </c>
      <c r="E1177" s="351"/>
      <c r="F1177" s="485" t="s">
        <v>325</v>
      </c>
      <c r="G1177" s="351"/>
      <c r="H1177" s="486"/>
      <c r="I1177" s="350"/>
      <c r="J1177" s="351"/>
      <c r="K1177" s="485" t="s">
        <v>325</v>
      </c>
      <c r="L1177" s="350"/>
      <c r="M1177" s="351"/>
      <c r="N1177" s="491" t="s">
        <v>294</v>
      </c>
      <c r="O1177" s="350"/>
      <c r="P1177" s="350"/>
      <c r="Q1177" s="350"/>
      <c r="R1177" s="350"/>
      <c r="S1177" s="350"/>
      <c r="T1177" s="350"/>
      <c r="U1177" s="351"/>
    </row>
    <row r="1178" spans="1:21" ht="34.5" customHeight="1">
      <c r="A1178" s="24">
        <f t="shared" si="4"/>
        <v>1164</v>
      </c>
      <c r="B1178" s="488" t="s">
        <v>294</v>
      </c>
      <c r="C1178" s="351"/>
      <c r="D1178" s="489" t="s">
        <v>294</v>
      </c>
      <c r="E1178" s="351"/>
      <c r="F1178" s="485" t="s">
        <v>325</v>
      </c>
      <c r="G1178" s="351"/>
      <c r="H1178" s="487"/>
      <c r="I1178" s="350"/>
      <c r="J1178" s="351"/>
      <c r="K1178" s="485" t="s">
        <v>325</v>
      </c>
      <c r="L1178" s="350"/>
      <c r="M1178" s="351"/>
      <c r="N1178" s="490" t="s">
        <v>294</v>
      </c>
      <c r="O1178" s="350"/>
      <c r="P1178" s="350"/>
      <c r="Q1178" s="350"/>
      <c r="R1178" s="350"/>
      <c r="S1178" s="350"/>
      <c r="T1178" s="350"/>
      <c r="U1178" s="351"/>
    </row>
    <row r="1179" spans="1:21" ht="34.5" customHeight="1">
      <c r="A1179" s="24">
        <f t="shared" si="4"/>
        <v>1165</v>
      </c>
      <c r="B1179" s="483" t="s">
        <v>294</v>
      </c>
      <c r="C1179" s="351"/>
      <c r="D1179" s="484" t="s">
        <v>294</v>
      </c>
      <c r="E1179" s="351"/>
      <c r="F1179" s="485" t="s">
        <v>325</v>
      </c>
      <c r="G1179" s="351"/>
      <c r="H1179" s="486"/>
      <c r="I1179" s="350"/>
      <c r="J1179" s="351"/>
      <c r="K1179" s="485" t="s">
        <v>325</v>
      </c>
      <c r="L1179" s="350"/>
      <c r="M1179" s="351"/>
      <c r="N1179" s="491" t="s">
        <v>294</v>
      </c>
      <c r="O1179" s="350"/>
      <c r="P1179" s="350"/>
      <c r="Q1179" s="350"/>
      <c r="R1179" s="350"/>
      <c r="S1179" s="350"/>
      <c r="T1179" s="350"/>
      <c r="U1179" s="351"/>
    </row>
    <row r="1180" spans="1:21" ht="34.5" customHeight="1">
      <c r="A1180" s="24">
        <f t="shared" si="4"/>
        <v>1166</v>
      </c>
      <c r="B1180" s="488" t="s">
        <v>329</v>
      </c>
      <c r="C1180" s="351"/>
      <c r="D1180" s="489" t="s">
        <v>294</v>
      </c>
      <c r="E1180" s="351"/>
      <c r="F1180" s="485" t="s">
        <v>325</v>
      </c>
      <c r="G1180" s="351"/>
      <c r="H1180" s="487"/>
      <c r="I1180" s="350"/>
      <c r="J1180" s="351"/>
      <c r="K1180" s="485" t="s">
        <v>325</v>
      </c>
      <c r="L1180" s="350"/>
      <c r="M1180" s="351"/>
      <c r="N1180" s="490" t="s">
        <v>294</v>
      </c>
      <c r="O1180" s="350"/>
      <c r="P1180" s="350"/>
      <c r="Q1180" s="350"/>
      <c r="R1180" s="350"/>
      <c r="S1180" s="350"/>
      <c r="T1180" s="350"/>
      <c r="U1180" s="351"/>
    </row>
    <row r="1181" spans="1:21" ht="34.5" customHeight="1">
      <c r="A1181" s="24">
        <f t="shared" si="4"/>
        <v>1167</v>
      </c>
      <c r="B1181" s="483" t="s">
        <v>294</v>
      </c>
      <c r="C1181" s="351"/>
      <c r="D1181" s="484" t="s">
        <v>294</v>
      </c>
      <c r="E1181" s="351"/>
      <c r="F1181" s="485" t="s">
        <v>325</v>
      </c>
      <c r="G1181" s="351"/>
      <c r="H1181" s="486"/>
      <c r="I1181" s="350"/>
      <c r="J1181" s="351"/>
      <c r="K1181" s="485" t="s">
        <v>325</v>
      </c>
      <c r="L1181" s="350"/>
      <c r="M1181" s="351"/>
      <c r="N1181" s="491" t="s">
        <v>294</v>
      </c>
      <c r="O1181" s="350"/>
      <c r="P1181" s="350"/>
      <c r="Q1181" s="350"/>
      <c r="R1181" s="350"/>
      <c r="S1181" s="350"/>
      <c r="T1181" s="350"/>
      <c r="U1181" s="351"/>
    </row>
    <row r="1182" spans="1:21" ht="34.5" customHeight="1">
      <c r="A1182" s="24">
        <f t="shared" si="4"/>
        <v>1168</v>
      </c>
      <c r="B1182" s="488" t="s">
        <v>294</v>
      </c>
      <c r="C1182" s="351"/>
      <c r="D1182" s="489" t="s">
        <v>294</v>
      </c>
      <c r="E1182" s="351"/>
      <c r="F1182" s="485" t="s">
        <v>325</v>
      </c>
      <c r="G1182" s="351"/>
      <c r="H1182" s="487"/>
      <c r="I1182" s="350"/>
      <c r="J1182" s="351"/>
      <c r="K1182" s="485" t="s">
        <v>325</v>
      </c>
      <c r="L1182" s="350"/>
      <c r="M1182" s="351"/>
      <c r="N1182" s="490" t="s">
        <v>294</v>
      </c>
      <c r="O1182" s="350"/>
      <c r="P1182" s="350"/>
      <c r="Q1182" s="350"/>
      <c r="R1182" s="350"/>
      <c r="S1182" s="350"/>
      <c r="T1182" s="350"/>
      <c r="U1182" s="351"/>
    </row>
    <row r="1183" spans="1:21" ht="34.5" customHeight="1">
      <c r="A1183" s="24">
        <f t="shared" si="4"/>
        <v>1169</v>
      </c>
      <c r="B1183" s="483" t="s">
        <v>294</v>
      </c>
      <c r="C1183" s="351"/>
      <c r="D1183" s="484" t="s">
        <v>294</v>
      </c>
      <c r="E1183" s="351"/>
      <c r="F1183" s="485" t="s">
        <v>325</v>
      </c>
      <c r="G1183" s="351"/>
      <c r="H1183" s="486"/>
      <c r="I1183" s="350"/>
      <c r="J1183" s="351"/>
      <c r="K1183" s="485" t="s">
        <v>325</v>
      </c>
      <c r="L1183" s="350"/>
      <c r="M1183" s="351"/>
      <c r="N1183" s="491" t="s">
        <v>294</v>
      </c>
      <c r="O1183" s="350"/>
      <c r="P1183" s="350"/>
      <c r="Q1183" s="350"/>
      <c r="R1183" s="350"/>
      <c r="S1183" s="350"/>
      <c r="T1183" s="350"/>
      <c r="U1183" s="351"/>
    </row>
    <row r="1184" spans="1:21" ht="34.5" customHeight="1">
      <c r="A1184" s="24">
        <f t="shared" si="4"/>
        <v>1170</v>
      </c>
      <c r="B1184" s="488" t="s">
        <v>334</v>
      </c>
      <c r="C1184" s="351"/>
      <c r="D1184" s="489" t="s">
        <v>294</v>
      </c>
      <c r="E1184" s="351"/>
      <c r="F1184" s="485" t="s">
        <v>325</v>
      </c>
      <c r="G1184" s="351"/>
      <c r="H1184" s="487"/>
      <c r="I1184" s="350"/>
      <c r="J1184" s="351"/>
      <c r="K1184" s="485" t="s">
        <v>325</v>
      </c>
      <c r="L1184" s="350"/>
      <c r="M1184" s="351"/>
      <c r="N1184" s="490" t="s">
        <v>294</v>
      </c>
      <c r="O1184" s="350"/>
      <c r="P1184" s="350"/>
      <c r="Q1184" s="350"/>
      <c r="R1184" s="350"/>
      <c r="S1184" s="350"/>
      <c r="T1184" s="350"/>
      <c r="U1184" s="351"/>
    </row>
    <row r="1185" spans="1:21" ht="34.5" customHeight="1">
      <c r="A1185" s="24">
        <f t="shared" si="4"/>
        <v>1171</v>
      </c>
      <c r="B1185" s="483" t="s">
        <v>294</v>
      </c>
      <c r="C1185" s="351"/>
      <c r="D1185" s="484" t="s">
        <v>294</v>
      </c>
      <c r="E1185" s="351"/>
      <c r="F1185" s="485" t="s">
        <v>325</v>
      </c>
      <c r="G1185" s="351"/>
      <c r="H1185" s="486"/>
      <c r="I1185" s="350"/>
      <c r="J1185" s="351"/>
      <c r="K1185" s="485" t="s">
        <v>325</v>
      </c>
      <c r="L1185" s="350"/>
      <c r="M1185" s="351"/>
      <c r="N1185" s="491" t="s">
        <v>294</v>
      </c>
      <c r="O1185" s="350"/>
      <c r="P1185" s="350"/>
      <c r="Q1185" s="350"/>
      <c r="R1185" s="350"/>
      <c r="S1185" s="350"/>
      <c r="T1185" s="350"/>
      <c r="U1185" s="351"/>
    </row>
    <row r="1186" spans="1:21" ht="34.5" customHeight="1">
      <c r="A1186" s="24">
        <f t="shared" si="4"/>
        <v>1172</v>
      </c>
      <c r="B1186" s="488" t="s">
        <v>294</v>
      </c>
      <c r="C1186" s="351"/>
      <c r="D1186" s="489" t="s">
        <v>294</v>
      </c>
      <c r="E1186" s="351"/>
      <c r="F1186" s="485" t="s">
        <v>325</v>
      </c>
      <c r="G1186" s="351"/>
      <c r="H1186" s="487"/>
      <c r="I1186" s="350"/>
      <c r="J1186" s="351"/>
      <c r="K1186" s="485" t="s">
        <v>325</v>
      </c>
      <c r="L1186" s="350"/>
      <c r="M1186" s="351"/>
      <c r="N1186" s="490" t="s">
        <v>294</v>
      </c>
      <c r="O1186" s="350"/>
      <c r="P1186" s="350"/>
      <c r="Q1186" s="350"/>
      <c r="R1186" s="350"/>
      <c r="S1186" s="350"/>
      <c r="T1186" s="350"/>
      <c r="U1186" s="351"/>
    </row>
    <row r="1187" spans="1:21" ht="34.5" customHeight="1">
      <c r="A1187" s="24">
        <f t="shared" si="4"/>
        <v>1173</v>
      </c>
      <c r="B1187" s="483" t="s">
        <v>294</v>
      </c>
      <c r="C1187" s="351"/>
      <c r="D1187" s="484" t="s">
        <v>294</v>
      </c>
      <c r="E1187" s="351"/>
      <c r="F1187" s="485" t="s">
        <v>325</v>
      </c>
      <c r="G1187" s="351"/>
      <c r="H1187" s="486"/>
      <c r="I1187" s="350"/>
      <c r="J1187" s="351"/>
      <c r="K1187" s="485" t="s">
        <v>325</v>
      </c>
      <c r="L1187" s="350"/>
      <c r="M1187" s="351"/>
      <c r="N1187" s="491" t="s">
        <v>294</v>
      </c>
      <c r="O1187" s="350"/>
      <c r="P1187" s="350"/>
      <c r="Q1187" s="350"/>
      <c r="R1187" s="350"/>
      <c r="S1187" s="350"/>
      <c r="T1187" s="350"/>
      <c r="U1187" s="351"/>
    </row>
    <row r="1188" spans="1:21" ht="34.5" customHeight="1">
      <c r="A1188" s="24">
        <f t="shared" si="4"/>
        <v>1174</v>
      </c>
      <c r="B1188" s="488" t="s">
        <v>294</v>
      </c>
      <c r="C1188" s="351"/>
      <c r="D1188" s="489" t="s">
        <v>294</v>
      </c>
      <c r="E1188" s="351"/>
      <c r="F1188" s="485" t="s">
        <v>325</v>
      </c>
      <c r="G1188" s="351"/>
      <c r="H1188" s="487"/>
      <c r="I1188" s="350"/>
      <c r="J1188" s="351"/>
      <c r="K1188" s="485" t="s">
        <v>325</v>
      </c>
      <c r="L1188" s="350"/>
      <c r="M1188" s="351"/>
      <c r="N1188" s="490" t="s">
        <v>294</v>
      </c>
      <c r="O1188" s="350"/>
      <c r="P1188" s="350"/>
      <c r="Q1188" s="350"/>
      <c r="R1188" s="350"/>
      <c r="S1188" s="350"/>
      <c r="T1188" s="350"/>
      <c r="U1188" s="351"/>
    </row>
    <row r="1189" spans="1:21" ht="34.5" customHeight="1">
      <c r="A1189" s="24">
        <f t="shared" si="4"/>
        <v>1175</v>
      </c>
      <c r="B1189" s="483" t="s">
        <v>294</v>
      </c>
      <c r="C1189" s="351"/>
      <c r="D1189" s="484" t="s">
        <v>294</v>
      </c>
      <c r="E1189" s="351"/>
      <c r="F1189" s="485" t="s">
        <v>325</v>
      </c>
      <c r="G1189" s="351"/>
      <c r="H1189" s="486"/>
      <c r="I1189" s="350"/>
      <c r="J1189" s="351"/>
      <c r="K1189" s="485" t="s">
        <v>325</v>
      </c>
      <c r="L1189" s="350"/>
      <c r="M1189" s="351"/>
      <c r="N1189" s="491" t="s">
        <v>294</v>
      </c>
      <c r="O1189" s="350"/>
      <c r="P1189" s="350"/>
      <c r="Q1189" s="350"/>
      <c r="R1189" s="350"/>
      <c r="S1189" s="350"/>
      <c r="T1189" s="350"/>
      <c r="U1189" s="351"/>
    </row>
    <row r="1190" spans="1:21" ht="34.5" customHeight="1">
      <c r="A1190" s="24">
        <f t="shared" si="4"/>
        <v>1176</v>
      </c>
      <c r="B1190" s="488" t="s">
        <v>335</v>
      </c>
      <c r="C1190" s="351"/>
      <c r="D1190" s="489" t="s">
        <v>294</v>
      </c>
      <c r="E1190" s="351"/>
      <c r="F1190" s="485" t="s">
        <v>325</v>
      </c>
      <c r="G1190" s="351"/>
      <c r="H1190" s="487"/>
      <c r="I1190" s="350"/>
      <c r="J1190" s="351"/>
      <c r="K1190" s="485" t="s">
        <v>325</v>
      </c>
      <c r="L1190" s="350"/>
      <c r="M1190" s="351"/>
      <c r="N1190" s="490" t="s">
        <v>294</v>
      </c>
      <c r="O1190" s="350"/>
      <c r="P1190" s="350"/>
      <c r="Q1190" s="350"/>
      <c r="R1190" s="350"/>
      <c r="S1190" s="350"/>
      <c r="T1190" s="350"/>
      <c r="U1190" s="351"/>
    </row>
    <row r="1191" spans="1:21" ht="34.5" customHeight="1">
      <c r="A1191" s="24">
        <f t="shared" si="4"/>
        <v>1177</v>
      </c>
      <c r="B1191" s="483" t="s">
        <v>294</v>
      </c>
      <c r="C1191" s="351"/>
      <c r="D1191" s="484" t="s">
        <v>294</v>
      </c>
      <c r="E1191" s="351"/>
      <c r="F1191" s="485" t="s">
        <v>325</v>
      </c>
      <c r="G1191" s="351"/>
      <c r="H1191" s="486"/>
      <c r="I1191" s="350"/>
      <c r="J1191" s="351"/>
      <c r="K1191" s="485" t="s">
        <v>325</v>
      </c>
      <c r="L1191" s="350"/>
      <c r="M1191" s="351"/>
      <c r="N1191" s="491" t="s">
        <v>294</v>
      </c>
      <c r="O1191" s="350"/>
      <c r="P1191" s="350"/>
      <c r="Q1191" s="350"/>
      <c r="R1191" s="350"/>
      <c r="S1191" s="350"/>
      <c r="T1191" s="350"/>
      <c r="U1191" s="351"/>
    </row>
    <row r="1192" spans="1:21" ht="34.5" customHeight="1">
      <c r="A1192" s="24">
        <f t="shared" si="4"/>
        <v>1178</v>
      </c>
      <c r="B1192" s="488" t="s">
        <v>294</v>
      </c>
      <c r="C1192" s="351"/>
      <c r="D1192" s="489" t="s">
        <v>294</v>
      </c>
      <c r="E1192" s="351"/>
      <c r="F1192" s="485" t="s">
        <v>325</v>
      </c>
      <c r="G1192" s="351"/>
      <c r="H1192" s="487"/>
      <c r="I1192" s="350"/>
      <c r="J1192" s="351"/>
      <c r="K1192" s="485" t="s">
        <v>325</v>
      </c>
      <c r="L1192" s="350"/>
      <c r="M1192" s="351"/>
      <c r="N1192" s="490" t="s">
        <v>294</v>
      </c>
      <c r="O1192" s="350"/>
      <c r="P1192" s="350"/>
      <c r="Q1192" s="350"/>
      <c r="R1192" s="350"/>
      <c r="S1192" s="350"/>
      <c r="T1192" s="350"/>
      <c r="U1192" s="351"/>
    </row>
    <row r="1193" spans="1:21" ht="34.5" customHeight="1">
      <c r="A1193" s="24">
        <f t="shared" si="4"/>
        <v>1179</v>
      </c>
      <c r="B1193" s="483" t="s">
        <v>294</v>
      </c>
      <c r="C1193" s="351"/>
      <c r="D1193" s="484" t="s">
        <v>294</v>
      </c>
      <c r="E1193" s="351"/>
      <c r="F1193" s="485" t="s">
        <v>325</v>
      </c>
      <c r="G1193" s="351"/>
      <c r="H1193" s="486"/>
      <c r="I1193" s="350"/>
      <c r="J1193" s="351"/>
      <c r="K1193" s="485" t="s">
        <v>325</v>
      </c>
      <c r="L1193" s="350"/>
      <c r="M1193" s="351"/>
      <c r="N1193" s="491" t="s">
        <v>294</v>
      </c>
      <c r="O1193" s="350"/>
      <c r="P1193" s="350"/>
      <c r="Q1193" s="350"/>
      <c r="R1193" s="350"/>
      <c r="S1193" s="350"/>
      <c r="T1193" s="350"/>
      <c r="U1193" s="351"/>
    </row>
    <row r="1194" spans="1:21" ht="34.5" customHeight="1">
      <c r="A1194" s="24">
        <f t="shared" si="4"/>
        <v>1180</v>
      </c>
      <c r="B1194" s="488" t="s">
        <v>294</v>
      </c>
      <c r="C1194" s="351"/>
      <c r="D1194" s="489" t="s">
        <v>294</v>
      </c>
      <c r="E1194" s="351"/>
      <c r="F1194" s="485" t="s">
        <v>325</v>
      </c>
      <c r="G1194" s="351"/>
      <c r="H1194" s="487"/>
      <c r="I1194" s="350"/>
      <c r="J1194" s="351"/>
      <c r="K1194" s="485" t="s">
        <v>325</v>
      </c>
      <c r="L1194" s="350"/>
      <c r="M1194" s="351"/>
      <c r="N1194" s="490" t="s">
        <v>294</v>
      </c>
      <c r="O1194" s="350"/>
      <c r="P1194" s="350"/>
      <c r="Q1194" s="350"/>
      <c r="R1194" s="350"/>
      <c r="S1194" s="350"/>
      <c r="T1194" s="350"/>
      <c r="U1194" s="351"/>
    </row>
    <row r="1195" spans="1:21" ht="34.5" customHeight="1">
      <c r="A1195" s="24">
        <f t="shared" si="4"/>
        <v>1181</v>
      </c>
      <c r="B1195" s="483" t="s">
        <v>294</v>
      </c>
      <c r="C1195" s="351"/>
      <c r="D1195" s="484" t="s">
        <v>294</v>
      </c>
      <c r="E1195" s="351"/>
      <c r="F1195" s="485" t="s">
        <v>325</v>
      </c>
      <c r="G1195" s="351"/>
      <c r="H1195" s="486"/>
      <c r="I1195" s="350"/>
      <c r="J1195" s="351"/>
      <c r="K1195" s="485" t="s">
        <v>325</v>
      </c>
      <c r="L1195" s="350"/>
      <c r="M1195" s="351"/>
      <c r="N1195" s="491" t="s">
        <v>294</v>
      </c>
      <c r="O1195" s="350"/>
      <c r="P1195" s="350"/>
      <c r="Q1195" s="350"/>
      <c r="R1195" s="350"/>
      <c r="S1195" s="350"/>
      <c r="T1195" s="350"/>
      <c r="U1195" s="351"/>
    </row>
    <row r="1196" spans="1:21" ht="34.5" customHeight="1">
      <c r="A1196" s="24">
        <f t="shared" si="4"/>
        <v>1182</v>
      </c>
      <c r="B1196" s="488" t="s">
        <v>294</v>
      </c>
      <c r="C1196" s="351"/>
      <c r="D1196" s="489" t="s">
        <v>294</v>
      </c>
      <c r="E1196" s="351"/>
      <c r="F1196" s="485" t="s">
        <v>325</v>
      </c>
      <c r="G1196" s="351"/>
      <c r="H1196" s="487"/>
      <c r="I1196" s="350"/>
      <c r="J1196" s="351"/>
      <c r="K1196" s="485" t="s">
        <v>325</v>
      </c>
      <c r="L1196" s="350"/>
      <c r="M1196" s="351"/>
      <c r="N1196" s="490" t="s">
        <v>294</v>
      </c>
      <c r="O1196" s="350"/>
      <c r="P1196" s="350"/>
      <c r="Q1196" s="350"/>
      <c r="R1196" s="350"/>
      <c r="S1196" s="350"/>
      <c r="T1196" s="350"/>
      <c r="U1196" s="351"/>
    </row>
    <row r="1197" spans="1:21" ht="34.5" customHeight="1">
      <c r="A1197" s="24">
        <f t="shared" si="4"/>
        <v>1183</v>
      </c>
      <c r="B1197" s="488" t="s">
        <v>294</v>
      </c>
      <c r="C1197" s="351"/>
      <c r="D1197" s="489" t="s">
        <v>294</v>
      </c>
      <c r="E1197" s="351"/>
      <c r="F1197" s="485" t="s">
        <v>325</v>
      </c>
      <c r="G1197" s="351"/>
      <c r="H1197" s="487"/>
      <c r="I1197" s="350"/>
      <c r="J1197" s="351"/>
      <c r="K1197" s="485" t="s">
        <v>325</v>
      </c>
      <c r="L1197" s="350"/>
      <c r="M1197" s="351"/>
      <c r="N1197" s="490" t="s">
        <v>294</v>
      </c>
      <c r="O1197" s="350"/>
      <c r="P1197" s="350"/>
      <c r="Q1197" s="350"/>
      <c r="R1197" s="350"/>
      <c r="S1197" s="350"/>
      <c r="T1197" s="350"/>
      <c r="U1197" s="351"/>
    </row>
    <row r="1198" spans="1:21" ht="34.5" customHeight="1">
      <c r="A1198" s="24">
        <f t="shared" si="4"/>
        <v>1184</v>
      </c>
      <c r="B1198" s="483" t="s">
        <v>294</v>
      </c>
      <c r="C1198" s="351"/>
      <c r="D1198" s="484" t="s">
        <v>294</v>
      </c>
      <c r="E1198" s="351"/>
      <c r="F1198" s="485" t="s">
        <v>325</v>
      </c>
      <c r="G1198" s="351"/>
      <c r="H1198" s="486"/>
      <c r="I1198" s="350"/>
      <c r="J1198" s="351"/>
      <c r="K1198" s="485" t="s">
        <v>325</v>
      </c>
      <c r="L1198" s="350"/>
      <c r="M1198" s="351"/>
      <c r="N1198" s="491"/>
      <c r="O1198" s="350"/>
      <c r="P1198" s="350"/>
      <c r="Q1198" s="350"/>
      <c r="R1198" s="350"/>
      <c r="S1198" s="350"/>
      <c r="T1198" s="350"/>
      <c r="U1198" s="351"/>
    </row>
    <row r="1199" spans="1:21" ht="34.5" customHeight="1">
      <c r="A1199" s="24">
        <f t="shared" si="4"/>
        <v>1185</v>
      </c>
      <c r="B1199" s="488" t="s">
        <v>294</v>
      </c>
      <c r="C1199" s="351"/>
      <c r="D1199" s="489" t="s">
        <v>294</v>
      </c>
      <c r="E1199" s="351"/>
      <c r="F1199" s="485" t="s">
        <v>325</v>
      </c>
      <c r="G1199" s="351"/>
      <c r="H1199" s="487"/>
      <c r="I1199" s="350"/>
      <c r="J1199" s="351"/>
      <c r="K1199" s="485" t="s">
        <v>325</v>
      </c>
      <c r="L1199" s="350"/>
      <c r="M1199" s="351"/>
      <c r="N1199" s="490" t="s">
        <v>294</v>
      </c>
      <c r="O1199" s="350"/>
      <c r="P1199" s="350"/>
      <c r="Q1199" s="350"/>
      <c r="R1199" s="350"/>
      <c r="S1199" s="350"/>
      <c r="T1199" s="350"/>
      <c r="U1199" s="351"/>
    </row>
    <row r="1200" spans="1:21" ht="34.5" customHeight="1">
      <c r="A1200" s="24">
        <f t="shared" si="4"/>
        <v>1186</v>
      </c>
      <c r="B1200" s="483" t="s">
        <v>294</v>
      </c>
      <c r="C1200" s="351"/>
      <c r="D1200" s="484" t="s">
        <v>294</v>
      </c>
      <c r="E1200" s="351"/>
      <c r="F1200" s="485" t="s">
        <v>325</v>
      </c>
      <c r="G1200" s="351"/>
      <c r="H1200" s="486"/>
      <c r="I1200" s="350"/>
      <c r="J1200" s="351"/>
      <c r="K1200" s="485" t="s">
        <v>325</v>
      </c>
      <c r="L1200" s="350"/>
      <c r="M1200" s="351"/>
      <c r="N1200" s="491" t="s">
        <v>294</v>
      </c>
      <c r="O1200" s="350"/>
      <c r="P1200" s="350"/>
      <c r="Q1200" s="350"/>
      <c r="R1200" s="350"/>
      <c r="S1200" s="350"/>
      <c r="T1200" s="350"/>
      <c r="U1200" s="351"/>
    </row>
    <row r="1201" spans="1:21" ht="34.5" customHeight="1">
      <c r="A1201" s="24">
        <f t="shared" si="4"/>
        <v>1187</v>
      </c>
      <c r="B1201" s="488" t="s">
        <v>294</v>
      </c>
      <c r="C1201" s="351"/>
      <c r="D1201" s="489" t="s">
        <v>294</v>
      </c>
      <c r="E1201" s="351"/>
      <c r="F1201" s="485" t="s">
        <v>325</v>
      </c>
      <c r="G1201" s="351"/>
      <c r="H1201" s="487"/>
      <c r="I1201" s="350"/>
      <c r="J1201" s="351"/>
      <c r="K1201" s="485" t="s">
        <v>325</v>
      </c>
      <c r="L1201" s="350"/>
      <c r="M1201" s="351"/>
      <c r="N1201" s="490" t="s">
        <v>294</v>
      </c>
      <c r="O1201" s="350"/>
      <c r="P1201" s="350"/>
      <c r="Q1201" s="350"/>
      <c r="R1201" s="350"/>
      <c r="S1201" s="350"/>
      <c r="T1201" s="350"/>
      <c r="U1201" s="351"/>
    </row>
    <row r="1202" spans="1:21" ht="34.5" customHeight="1">
      <c r="A1202" s="24">
        <f t="shared" si="4"/>
        <v>1188</v>
      </c>
      <c r="B1202" s="483" t="s">
        <v>294</v>
      </c>
      <c r="C1202" s="351"/>
      <c r="D1202" s="484" t="s">
        <v>294</v>
      </c>
      <c r="E1202" s="351"/>
      <c r="F1202" s="485" t="s">
        <v>325</v>
      </c>
      <c r="G1202" s="351"/>
      <c r="H1202" s="486"/>
      <c r="I1202" s="350"/>
      <c r="J1202" s="351"/>
      <c r="K1202" s="485" t="s">
        <v>325</v>
      </c>
      <c r="L1202" s="350"/>
      <c r="M1202" s="351"/>
      <c r="N1202" s="491" t="s">
        <v>294</v>
      </c>
      <c r="O1202" s="350"/>
      <c r="P1202" s="350"/>
      <c r="Q1202" s="350"/>
      <c r="R1202" s="350"/>
      <c r="S1202" s="350"/>
      <c r="T1202" s="350"/>
      <c r="U1202" s="351"/>
    </row>
    <row r="1203" spans="1:21" ht="34.5" customHeight="1">
      <c r="A1203" s="24">
        <f t="shared" si="4"/>
        <v>1189</v>
      </c>
      <c r="B1203" s="488" t="s">
        <v>294</v>
      </c>
      <c r="C1203" s="351"/>
      <c r="D1203" s="489" t="s">
        <v>294</v>
      </c>
      <c r="E1203" s="351"/>
      <c r="F1203" s="485" t="s">
        <v>325</v>
      </c>
      <c r="G1203" s="351"/>
      <c r="H1203" s="487"/>
      <c r="I1203" s="350"/>
      <c r="J1203" s="351"/>
      <c r="K1203" s="485" t="s">
        <v>325</v>
      </c>
      <c r="L1203" s="350"/>
      <c r="M1203" s="351"/>
      <c r="N1203" s="490" t="s">
        <v>294</v>
      </c>
      <c r="O1203" s="350"/>
      <c r="P1203" s="350"/>
      <c r="Q1203" s="350"/>
      <c r="R1203" s="350"/>
      <c r="S1203" s="350"/>
      <c r="T1203" s="350"/>
      <c r="U1203" s="351"/>
    </row>
    <row r="1204" spans="1:21" ht="34.5" customHeight="1">
      <c r="A1204" s="24">
        <f t="shared" si="4"/>
        <v>1190</v>
      </c>
      <c r="B1204" s="483" t="s">
        <v>294</v>
      </c>
      <c r="C1204" s="351"/>
      <c r="D1204" s="484" t="s">
        <v>294</v>
      </c>
      <c r="E1204" s="351"/>
      <c r="F1204" s="485" t="s">
        <v>325</v>
      </c>
      <c r="G1204" s="351"/>
      <c r="H1204" s="486"/>
      <c r="I1204" s="350"/>
      <c r="J1204" s="351"/>
      <c r="K1204" s="485" t="s">
        <v>325</v>
      </c>
      <c r="L1204" s="350"/>
      <c r="M1204" s="351"/>
      <c r="N1204" s="491" t="s">
        <v>294</v>
      </c>
      <c r="O1204" s="350"/>
      <c r="P1204" s="350"/>
      <c r="Q1204" s="350"/>
      <c r="R1204" s="350"/>
      <c r="S1204" s="350"/>
      <c r="T1204" s="350"/>
      <c r="U1204" s="351"/>
    </row>
    <row r="1205" spans="1:21" ht="34.5" customHeight="1">
      <c r="A1205" s="24">
        <f t="shared" si="4"/>
        <v>1191</v>
      </c>
      <c r="B1205" s="488" t="s">
        <v>294</v>
      </c>
      <c r="C1205" s="351"/>
      <c r="D1205" s="489" t="s">
        <v>294</v>
      </c>
      <c r="E1205" s="351"/>
      <c r="F1205" s="485" t="s">
        <v>325</v>
      </c>
      <c r="G1205" s="351"/>
      <c r="H1205" s="487"/>
      <c r="I1205" s="350"/>
      <c r="J1205" s="351"/>
      <c r="K1205" s="485" t="s">
        <v>325</v>
      </c>
      <c r="L1205" s="350"/>
      <c r="M1205" s="351"/>
      <c r="N1205" s="490" t="s">
        <v>294</v>
      </c>
      <c r="O1205" s="350"/>
      <c r="P1205" s="350"/>
      <c r="Q1205" s="350"/>
      <c r="R1205" s="350"/>
      <c r="S1205" s="350"/>
      <c r="T1205" s="350"/>
      <c r="U1205" s="351"/>
    </row>
    <row r="1206" spans="1:21" ht="34.5" customHeight="1">
      <c r="A1206" s="24">
        <f t="shared" si="4"/>
        <v>1192</v>
      </c>
      <c r="B1206" s="483" t="s">
        <v>294</v>
      </c>
      <c r="C1206" s="351"/>
      <c r="D1206" s="484" t="s">
        <v>294</v>
      </c>
      <c r="E1206" s="351"/>
      <c r="F1206" s="485" t="s">
        <v>325</v>
      </c>
      <c r="G1206" s="351"/>
      <c r="H1206" s="486"/>
      <c r="I1206" s="350"/>
      <c r="J1206" s="351"/>
      <c r="K1206" s="485" t="s">
        <v>325</v>
      </c>
      <c r="L1206" s="350"/>
      <c r="M1206" s="351"/>
      <c r="N1206" s="491" t="s">
        <v>294</v>
      </c>
      <c r="O1206" s="350"/>
      <c r="P1206" s="350"/>
      <c r="Q1206" s="350"/>
      <c r="R1206" s="350"/>
      <c r="S1206" s="350"/>
      <c r="T1206" s="350"/>
      <c r="U1206" s="351"/>
    </row>
    <row r="1207" spans="1:21" ht="34.5" customHeight="1">
      <c r="A1207" s="24">
        <f t="shared" si="4"/>
        <v>1193</v>
      </c>
      <c r="B1207" s="488" t="s">
        <v>294</v>
      </c>
      <c r="C1207" s="351"/>
      <c r="D1207" s="489" t="s">
        <v>294</v>
      </c>
      <c r="E1207" s="351"/>
      <c r="F1207" s="485" t="s">
        <v>325</v>
      </c>
      <c r="G1207" s="351"/>
      <c r="H1207" s="487"/>
      <c r="I1207" s="350"/>
      <c r="J1207" s="351"/>
      <c r="K1207" s="485" t="s">
        <v>325</v>
      </c>
      <c r="L1207" s="350"/>
      <c r="M1207" s="351"/>
      <c r="N1207" s="490" t="s">
        <v>294</v>
      </c>
      <c r="O1207" s="350"/>
      <c r="P1207" s="350"/>
      <c r="Q1207" s="350"/>
      <c r="R1207" s="350"/>
      <c r="S1207" s="350"/>
      <c r="T1207" s="350"/>
      <c r="U1207" s="351"/>
    </row>
    <row r="1208" spans="1:21" ht="34.5" customHeight="1">
      <c r="A1208" s="24">
        <f t="shared" si="4"/>
        <v>1194</v>
      </c>
      <c r="B1208" s="483" t="s">
        <v>294</v>
      </c>
      <c r="C1208" s="351"/>
      <c r="D1208" s="484" t="s">
        <v>294</v>
      </c>
      <c r="E1208" s="351"/>
      <c r="F1208" s="485" t="s">
        <v>325</v>
      </c>
      <c r="G1208" s="351"/>
      <c r="H1208" s="486"/>
      <c r="I1208" s="350"/>
      <c r="J1208" s="351"/>
      <c r="K1208" s="485" t="s">
        <v>325</v>
      </c>
      <c r="L1208" s="350"/>
      <c r="M1208" s="351"/>
      <c r="N1208" s="491" t="s">
        <v>294</v>
      </c>
      <c r="O1208" s="350"/>
      <c r="P1208" s="350"/>
      <c r="Q1208" s="350"/>
      <c r="R1208" s="350"/>
      <c r="S1208" s="350"/>
      <c r="T1208" s="350"/>
      <c r="U1208" s="351"/>
    </row>
    <row r="1209" spans="1:21" ht="34.5" customHeight="1">
      <c r="A1209" s="24">
        <f t="shared" si="4"/>
        <v>1195</v>
      </c>
      <c r="B1209" s="488" t="s">
        <v>294</v>
      </c>
      <c r="C1209" s="351"/>
      <c r="D1209" s="489" t="s">
        <v>294</v>
      </c>
      <c r="E1209" s="351"/>
      <c r="F1209" s="485" t="s">
        <v>325</v>
      </c>
      <c r="G1209" s="351"/>
      <c r="H1209" s="487"/>
      <c r="I1209" s="350"/>
      <c r="J1209" s="351"/>
      <c r="K1209" s="485" t="s">
        <v>325</v>
      </c>
      <c r="L1209" s="350"/>
      <c r="M1209" s="351"/>
      <c r="N1209" s="490" t="s">
        <v>294</v>
      </c>
      <c r="O1209" s="350"/>
      <c r="P1209" s="350"/>
      <c r="Q1209" s="350"/>
      <c r="R1209" s="350"/>
      <c r="S1209" s="350"/>
      <c r="T1209" s="350"/>
      <c r="U1209" s="351"/>
    </row>
    <row r="1210" spans="1:21" ht="34.5" customHeight="1">
      <c r="A1210" s="24">
        <f t="shared" si="4"/>
        <v>1196</v>
      </c>
      <c r="B1210" s="483" t="s">
        <v>294</v>
      </c>
      <c r="C1210" s="351"/>
      <c r="D1210" s="484" t="s">
        <v>294</v>
      </c>
      <c r="E1210" s="351"/>
      <c r="F1210" s="485" t="s">
        <v>325</v>
      </c>
      <c r="G1210" s="351"/>
      <c r="H1210" s="486"/>
      <c r="I1210" s="350"/>
      <c r="J1210" s="351"/>
      <c r="K1210" s="485" t="s">
        <v>325</v>
      </c>
      <c r="L1210" s="350"/>
      <c r="M1210" s="351"/>
      <c r="N1210" s="491" t="s">
        <v>294</v>
      </c>
      <c r="O1210" s="350"/>
      <c r="P1210" s="350"/>
      <c r="Q1210" s="350"/>
      <c r="R1210" s="350"/>
      <c r="S1210" s="350"/>
      <c r="T1210" s="350"/>
      <c r="U1210" s="351"/>
    </row>
    <row r="1211" spans="1:21" ht="34.5" customHeight="1">
      <c r="A1211" s="24">
        <f t="shared" si="4"/>
        <v>1197</v>
      </c>
      <c r="B1211" s="488" t="s">
        <v>294</v>
      </c>
      <c r="C1211" s="351"/>
      <c r="D1211" s="489" t="s">
        <v>294</v>
      </c>
      <c r="E1211" s="351"/>
      <c r="F1211" s="485" t="s">
        <v>325</v>
      </c>
      <c r="G1211" s="351"/>
      <c r="H1211" s="487"/>
      <c r="I1211" s="350"/>
      <c r="J1211" s="351"/>
      <c r="K1211" s="485" t="s">
        <v>325</v>
      </c>
      <c r="L1211" s="350"/>
      <c r="M1211" s="351"/>
      <c r="N1211" s="490" t="s">
        <v>294</v>
      </c>
      <c r="O1211" s="350"/>
      <c r="P1211" s="350"/>
      <c r="Q1211" s="350"/>
      <c r="R1211" s="350"/>
      <c r="S1211" s="350"/>
      <c r="T1211" s="350"/>
      <c r="U1211" s="351"/>
    </row>
    <row r="1212" spans="1:21" ht="34.5" customHeight="1">
      <c r="A1212" s="24">
        <f t="shared" si="4"/>
        <v>1198</v>
      </c>
      <c r="B1212" s="483" t="s">
        <v>294</v>
      </c>
      <c r="C1212" s="351"/>
      <c r="D1212" s="484" t="s">
        <v>294</v>
      </c>
      <c r="E1212" s="351"/>
      <c r="F1212" s="485" t="s">
        <v>325</v>
      </c>
      <c r="G1212" s="351"/>
      <c r="H1212" s="486"/>
      <c r="I1212" s="350"/>
      <c r="J1212" s="351"/>
      <c r="K1212" s="485" t="s">
        <v>325</v>
      </c>
      <c r="L1212" s="350"/>
      <c r="M1212" s="351"/>
      <c r="N1212" s="491" t="s">
        <v>294</v>
      </c>
      <c r="O1212" s="350"/>
      <c r="P1212" s="350"/>
      <c r="Q1212" s="350"/>
      <c r="R1212" s="350"/>
      <c r="S1212" s="350"/>
      <c r="T1212" s="350"/>
      <c r="U1212" s="351"/>
    </row>
    <row r="1213" spans="1:21" ht="34.5" customHeight="1">
      <c r="A1213" s="24">
        <f t="shared" si="4"/>
        <v>1199</v>
      </c>
      <c r="B1213" s="488" t="s">
        <v>294</v>
      </c>
      <c r="C1213" s="351"/>
      <c r="D1213" s="489" t="s">
        <v>294</v>
      </c>
      <c r="E1213" s="351"/>
      <c r="F1213" s="485" t="s">
        <v>325</v>
      </c>
      <c r="G1213" s="351"/>
      <c r="H1213" s="487"/>
      <c r="I1213" s="350"/>
      <c r="J1213" s="351"/>
      <c r="K1213" s="485" t="s">
        <v>325</v>
      </c>
      <c r="L1213" s="350"/>
      <c r="M1213" s="351"/>
      <c r="N1213" s="490" t="s">
        <v>294</v>
      </c>
      <c r="O1213" s="350"/>
      <c r="P1213" s="350"/>
      <c r="Q1213" s="350"/>
      <c r="R1213" s="350"/>
      <c r="S1213" s="350"/>
      <c r="T1213" s="350"/>
      <c r="U1213" s="351"/>
    </row>
    <row r="1214" spans="1:21" ht="34.5" customHeight="1">
      <c r="A1214" s="24">
        <f t="shared" si="4"/>
        <v>1200</v>
      </c>
      <c r="B1214" s="483" t="s">
        <v>294</v>
      </c>
      <c r="C1214" s="351"/>
      <c r="D1214" s="484" t="s">
        <v>294</v>
      </c>
      <c r="E1214" s="351"/>
      <c r="F1214" s="485" t="s">
        <v>325</v>
      </c>
      <c r="G1214" s="351"/>
      <c r="H1214" s="486"/>
      <c r="I1214" s="350"/>
      <c r="J1214" s="351"/>
      <c r="K1214" s="485" t="s">
        <v>325</v>
      </c>
      <c r="L1214" s="350"/>
      <c r="M1214" s="351"/>
      <c r="N1214" s="491" t="s">
        <v>294</v>
      </c>
      <c r="O1214" s="350"/>
      <c r="P1214" s="350"/>
      <c r="Q1214" s="350"/>
      <c r="R1214" s="350"/>
      <c r="S1214" s="350"/>
      <c r="T1214" s="350"/>
      <c r="U1214" s="351"/>
    </row>
    <row r="1215" spans="1:21" ht="34.5" customHeight="1">
      <c r="A1215" s="24">
        <f t="shared" si="4"/>
        <v>1201</v>
      </c>
      <c r="B1215" s="488" t="s">
        <v>294</v>
      </c>
      <c r="C1215" s="351"/>
      <c r="D1215" s="489" t="s">
        <v>294</v>
      </c>
      <c r="E1215" s="351"/>
      <c r="F1215" s="485" t="s">
        <v>325</v>
      </c>
      <c r="G1215" s="351"/>
      <c r="H1215" s="487"/>
      <c r="I1215" s="350"/>
      <c r="J1215" s="351"/>
      <c r="K1215" s="485" t="s">
        <v>325</v>
      </c>
      <c r="L1215" s="350"/>
      <c r="M1215" s="351"/>
      <c r="N1215" s="490" t="s">
        <v>294</v>
      </c>
      <c r="O1215" s="350"/>
      <c r="P1215" s="350"/>
      <c r="Q1215" s="350"/>
      <c r="R1215" s="350"/>
      <c r="S1215" s="350"/>
      <c r="T1215" s="350"/>
      <c r="U1215" s="351"/>
    </row>
    <row r="1216" spans="1:21" ht="34.5" customHeight="1">
      <c r="A1216" s="24">
        <f t="shared" si="4"/>
        <v>1202</v>
      </c>
      <c r="B1216" s="483" t="s">
        <v>294</v>
      </c>
      <c r="C1216" s="351"/>
      <c r="D1216" s="484" t="s">
        <v>294</v>
      </c>
      <c r="E1216" s="351"/>
      <c r="F1216" s="485" t="s">
        <v>325</v>
      </c>
      <c r="G1216" s="351"/>
      <c r="H1216" s="486"/>
      <c r="I1216" s="350"/>
      <c r="J1216" s="351"/>
      <c r="K1216" s="485" t="s">
        <v>325</v>
      </c>
      <c r="L1216" s="350"/>
      <c r="M1216" s="351"/>
      <c r="N1216" s="491" t="s">
        <v>294</v>
      </c>
      <c r="O1216" s="350"/>
      <c r="P1216" s="350"/>
      <c r="Q1216" s="350"/>
      <c r="R1216" s="350"/>
      <c r="S1216" s="350"/>
      <c r="T1216" s="350"/>
      <c r="U1216" s="351"/>
    </row>
    <row r="1217" spans="1:21" ht="34.5" customHeight="1">
      <c r="A1217" s="24">
        <f t="shared" si="4"/>
        <v>1203</v>
      </c>
      <c r="B1217" s="488" t="s">
        <v>294</v>
      </c>
      <c r="C1217" s="351"/>
      <c r="D1217" s="489" t="s">
        <v>294</v>
      </c>
      <c r="E1217" s="351"/>
      <c r="F1217" s="485" t="s">
        <v>325</v>
      </c>
      <c r="G1217" s="351"/>
      <c r="H1217" s="487"/>
      <c r="I1217" s="350"/>
      <c r="J1217" s="351"/>
      <c r="K1217" s="485" t="s">
        <v>325</v>
      </c>
      <c r="L1217" s="350"/>
      <c r="M1217" s="351"/>
      <c r="N1217" s="490" t="s">
        <v>294</v>
      </c>
      <c r="O1217" s="350"/>
      <c r="P1217" s="350"/>
      <c r="Q1217" s="350"/>
      <c r="R1217" s="350"/>
      <c r="S1217" s="350"/>
      <c r="T1217" s="350"/>
      <c r="U1217" s="351"/>
    </row>
    <row r="1218" spans="1:21" ht="34.5" customHeight="1">
      <c r="A1218" s="24">
        <f t="shared" si="4"/>
        <v>1204</v>
      </c>
      <c r="B1218" s="483" t="s">
        <v>294</v>
      </c>
      <c r="C1218" s="351"/>
      <c r="D1218" s="484" t="s">
        <v>294</v>
      </c>
      <c r="E1218" s="351"/>
      <c r="F1218" s="485" t="s">
        <v>325</v>
      </c>
      <c r="G1218" s="351"/>
      <c r="H1218" s="486"/>
      <c r="I1218" s="350"/>
      <c r="J1218" s="351"/>
      <c r="K1218" s="485" t="s">
        <v>325</v>
      </c>
      <c r="L1218" s="350"/>
      <c r="M1218" s="351"/>
      <c r="N1218" s="491" t="s">
        <v>294</v>
      </c>
      <c r="O1218" s="350"/>
      <c r="P1218" s="350"/>
      <c r="Q1218" s="350"/>
      <c r="R1218" s="350"/>
      <c r="S1218" s="350"/>
      <c r="T1218" s="350"/>
      <c r="U1218" s="351"/>
    </row>
    <row r="1219" spans="1:21" ht="34.5" customHeight="1">
      <c r="A1219" s="24">
        <f t="shared" si="4"/>
        <v>1205</v>
      </c>
      <c r="B1219" s="488" t="s">
        <v>294</v>
      </c>
      <c r="C1219" s="351"/>
      <c r="D1219" s="489" t="s">
        <v>294</v>
      </c>
      <c r="E1219" s="351"/>
      <c r="F1219" s="485" t="s">
        <v>325</v>
      </c>
      <c r="G1219" s="351"/>
      <c r="H1219" s="487"/>
      <c r="I1219" s="350"/>
      <c r="J1219" s="351"/>
      <c r="K1219" s="485" t="s">
        <v>325</v>
      </c>
      <c r="L1219" s="350"/>
      <c r="M1219" s="351"/>
      <c r="N1219" s="490" t="s">
        <v>294</v>
      </c>
      <c r="O1219" s="350"/>
      <c r="P1219" s="350"/>
      <c r="Q1219" s="350"/>
      <c r="R1219" s="350"/>
      <c r="S1219" s="350"/>
      <c r="T1219" s="350"/>
      <c r="U1219" s="351"/>
    </row>
    <row r="1220" spans="1:21" ht="34.5" customHeight="1">
      <c r="A1220" s="24">
        <f t="shared" si="4"/>
        <v>1206</v>
      </c>
      <c r="B1220" s="483" t="s">
        <v>294</v>
      </c>
      <c r="C1220" s="351"/>
      <c r="D1220" s="484" t="s">
        <v>294</v>
      </c>
      <c r="E1220" s="351"/>
      <c r="F1220" s="485" t="s">
        <v>325</v>
      </c>
      <c r="G1220" s="351"/>
      <c r="H1220" s="486"/>
      <c r="I1220" s="350"/>
      <c r="J1220" s="351"/>
      <c r="K1220" s="485" t="s">
        <v>325</v>
      </c>
      <c r="L1220" s="350"/>
      <c r="M1220" s="351"/>
      <c r="N1220" s="491" t="s">
        <v>294</v>
      </c>
      <c r="O1220" s="350"/>
      <c r="P1220" s="350"/>
      <c r="Q1220" s="350"/>
      <c r="R1220" s="350"/>
      <c r="S1220" s="350"/>
      <c r="T1220" s="350"/>
      <c r="U1220" s="351"/>
    </row>
    <row r="1221" spans="1:21" ht="34.5" customHeight="1">
      <c r="A1221" s="24">
        <f t="shared" si="4"/>
        <v>1207</v>
      </c>
      <c r="B1221" s="488" t="s">
        <v>294</v>
      </c>
      <c r="C1221" s="351"/>
      <c r="D1221" s="489" t="s">
        <v>294</v>
      </c>
      <c r="E1221" s="351"/>
      <c r="F1221" s="485" t="s">
        <v>325</v>
      </c>
      <c r="G1221" s="351"/>
      <c r="H1221" s="487"/>
      <c r="I1221" s="350"/>
      <c r="J1221" s="351"/>
      <c r="K1221" s="485" t="s">
        <v>325</v>
      </c>
      <c r="L1221" s="350"/>
      <c r="M1221" s="351"/>
      <c r="N1221" s="490" t="s">
        <v>294</v>
      </c>
      <c r="O1221" s="350"/>
      <c r="P1221" s="350"/>
      <c r="Q1221" s="350"/>
      <c r="R1221" s="350"/>
      <c r="S1221" s="350"/>
      <c r="T1221" s="350"/>
      <c r="U1221" s="351"/>
    </row>
    <row r="1222" spans="1:21" ht="34.5" customHeight="1">
      <c r="A1222" s="24">
        <f t="shared" si="4"/>
        <v>1208</v>
      </c>
      <c r="B1222" s="483" t="s">
        <v>294</v>
      </c>
      <c r="C1222" s="351"/>
      <c r="D1222" s="484" t="s">
        <v>294</v>
      </c>
      <c r="E1222" s="351"/>
      <c r="F1222" s="485" t="s">
        <v>325</v>
      </c>
      <c r="G1222" s="351"/>
      <c r="H1222" s="486"/>
      <c r="I1222" s="350"/>
      <c r="J1222" s="351"/>
      <c r="K1222" s="485" t="s">
        <v>325</v>
      </c>
      <c r="L1222" s="350"/>
      <c r="M1222" s="351"/>
      <c r="N1222" s="491" t="s">
        <v>294</v>
      </c>
      <c r="O1222" s="350"/>
      <c r="P1222" s="350"/>
      <c r="Q1222" s="350"/>
      <c r="R1222" s="350"/>
      <c r="S1222" s="350"/>
      <c r="T1222" s="350"/>
      <c r="U1222" s="351"/>
    </row>
    <row r="1223" spans="1:21" ht="34.5" customHeight="1">
      <c r="A1223" s="24">
        <f t="shared" si="4"/>
        <v>1209</v>
      </c>
      <c r="B1223" s="488" t="s">
        <v>294</v>
      </c>
      <c r="C1223" s="351"/>
      <c r="D1223" s="489" t="s">
        <v>294</v>
      </c>
      <c r="E1223" s="351"/>
      <c r="F1223" s="485" t="s">
        <v>325</v>
      </c>
      <c r="G1223" s="351"/>
      <c r="H1223" s="487"/>
      <c r="I1223" s="350"/>
      <c r="J1223" s="351"/>
      <c r="K1223" s="485" t="s">
        <v>325</v>
      </c>
      <c r="L1223" s="350"/>
      <c r="M1223" s="351"/>
      <c r="N1223" s="490" t="s">
        <v>294</v>
      </c>
      <c r="O1223" s="350"/>
      <c r="P1223" s="350"/>
      <c r="Q1223" s="350"/>
      <c r="R1223" s="350"/>
      <c r="S1223" s="350"/>
      <c r="T1223" s="350"/>
      <c r="U1223" s="351"/>
    </row>
    <row r="1224" spans="1:21" ht="34.5" customHeight="1">
      <c r="A1224" s="24">
        <f t="shared" si="4"/>
        <v>1210</v>
      </c>
      <c r="B1224" s="483" t="s">
        <v>294</v>
      </c>
      <c r="C1224" s="351"/>
      <c r="D1224" s="484" t="s">
        <v>294</v>
      </c>
      <c r="E1224" s="351"/>
      <c r="F1224" s="485" t="s">
        <v>325</v>
      </c>
      <c r="G1224" s="351"/>
      <c r="H1224" s="486"/>
      <c r="I1224" s="350"/>
      <c r="J1224" s="351"/>
      <c r="K1224" s="485" t="s">
        <v>325</v>
      </c>
      <c r="L1224" s="350"/>
      <c r="M1224" s="351"/>
      <c r="N1224" s="491" t="s">
        <v>294</v>
      </c>
      <c r="O1224" s="350"/>
      <c r="P1224" s="350"/>
      <c r="Q1224" s="350"/>
      <c r="R1224" s="350"/>
      <c r="S1224" s="350"/>
      <c r="T1224" s="350"/>
      <c r="U1224" s="351"/>
    </row>
    <row r="1225" spans="1:21" ht="34.5" customHeight="1">
      <c r="A1225" s="24">
        <f t="shared" si="4"/>
        <v>1211</v>
      </c>
      <c r="B1225" s="488" t="s">
        <v>294</v>
      </c>
      <c r="C1225" s="351"/>
      <c r="D1225" s="489" t="s">
        <v>294</v>
      </c>
      <c r="E1225" s="351"/>
      <c r="F1225" s="485" t="s">
        <v>325</v>
      </c>
      <c r="G1225" s="351"/>
      <c r="H1225" s="487"/>
      <c r="I1225" s="350"/>
      <c r="J1225" s="351"/>
      <c r="K1225" s="485" t="s">
        <v>325</v>
      </c>
      <c r="L1225" s="350"/>
      <c r="M1225" s="351"/>
      <c r="N1225" s="490" t="s">
        <v>294</v>
      </c>
      <c r="O1225" s="350"/>
      <c r="P1225" s="350"/>
      <c r="Q1225" s="350"/>
      <c r="R1225" s="350"/>
      <c r="S1225" s="350"/>
      <c r="T1225" s="350"/>
      <c r="U1225" s="351"/>
    </row>
    <row r="1226" spans="1:21" ht="34.5" customHeight="1">
      <c r="A1226" s="24">
        <f t="shared" si="4"/>
        <v>1212</v>
      </c>
      <c r="B1226" s="483" t="s">
        <v>294</v>
      </c>
      <c r="C1226" s="351"/>
      <c r="D1226" s="484" t="s">
        <v>294</v>
      </c>
      <c r="E1226" s="351"/>
      <c r="F1226" s="485" t="s">
        <v>325</v>
      </c>
      <c r="G1226" s="351"/>
      <c r="H1226" s="486"/>
      <c r="I1226" s="350"/>
      <c r="J1226" s="351"/>
      <c r="K1226" s="485" t="s">
        <v>325</v>
      </c>
      <c r="L1226" s="350"/>
      <c r="M1226" s="351"/>
      <c r="N1226" s="491" t="s">
        <v>294</v>
      </c>
      <c r="O1226" s="350"/>
      <c r="P1226" s="350"/>
      <c r="Q1226" s="350"/>
      <c r="R1226" s="350"/>
      <c r="S1226" s="350"/>
      <c r="T1226" s="350"/>
      <c r="U1226" s="351"/>
    </row>
    <row r="1227" spans="1:21" ht="34.5" customHeight="1">
      <c r="A1227" s="24">
        <f t="shared" si="4"/>
        <v>1213</v>
      </c>
      <c r="B1227" s="488" t="s">
        <v>294</v>
      </c>
      <c r="C1227" s="351"/>
      <c r="D1227" s="489" t="s">
        <v>294</v>
      </c>
      <c r="E1227" s="351"/>
      <c r="F1227" s="485" t="s">
        <v>325</v>
      </c>
      <c r="G1227" s="351"/>
      <c r="H1227" s="487"/>
      <c r="I1227" s="350"/>
      <c r="J1227" s="351"/>
      <c r="K1227" s="485" t="s">
        <v>325</v>
      </c>
      <c r="L1227" s="350"/>
      <c r="M1227" s="351"/>
      <c r="N1227" s="490" t="s">
        <v>294</v>
      </c>
      <c r="O1227" s="350"/>
      <c r="P1227" s="350"/>
      <c r="Q1227" s="350"/>
      <c r="R1227" s="350"/>
      <c r="S1227" s="350"/>
      <c r="T1227" s="350"/>
      <c r="U1227" s="351"/>
    </row>
    <row r="1228" spans="1:21" ht="34.5" customHeight="1">
      <c r="A1228" s="24">
        <f t="shared" si="4"/>
        <v>1214</v>
      </c>
      <c r="B1228" s="483" t="s">
        <v>294</v>
      </c>
      <c r="C1228" s="351"/>
      <c r="D1228" s="484" t="s">
        <v>294</v>
      </c>
      <c r="E1228" s="351"/>
      <c r="F1228" s="485" t="s">
        <v>325</v>
      </c>
      <c r="G1228" s="351"/>
      <c r="H1228" s="486"/>
      <c r="I1228" s="350"/>
      <c r="J1228" s="351"/>
      <c r="K1228" s="485" t="s">
        <v>325</v>
      </c>
      <c r="L1228" s="350"/>
      <c r="M1228" s="351"/>
      <c r="N1228" s="491" t="s">
        <v>294</v>
      </c>
      <c r="O1228" s="350"/>
      <c r="P1228" s="350"/>
      <c r="Q1228" s="350"/>
      <c r="R1228" s="350"/>
      <c r="S1228" s="350"/>
      <c r="T1228" s="350"/>
      <c r="U1228" s="351"/>
    </row>
    <row r="1229" spans="1:21" ht="34.5" customHeight="1">
      <c r="A1229" s="24">
        <f t="shared" si="4"/>
        <v>1215</v>
      </c>
      <c r="B1229" s="488" t="s">
        <v>294</v>
      </c>
      <c r="C1229" s="351"/>
      <c r="D1229" s="489" t="s">
        <v>294</v>
      </c>
      <c r="E1229" s="351"/>
      <c r="F1229" s="485" t="s">
        <v>325</v>
      </c>
      <c r="G1229" s="351"/>
      <c r="H1229" s="487"/>
      <c r="I1229" s="350"/>
      <c r="J1229" s="351"/>
      <c r="K1229" s="485" t="s">
        <v>325</v>
      </c>
      <c r="L1229" s="350"/>
      <c r="M1229" s="351"/>
      <c r="N1229" s="490" t="s">
        <v>294</v>
      </c>
      <c r="O1229" s="350"/>
      <c r="P1229" s="350"/>
      <c r="Q1229" s="350"/>
      <c r="R1229" s="350"/>
      <c r="S1229" s="350"/>
      <c r="T1229" s="350"/>
      <c r="U1229" s="351"/>
    </row>
    <row r="1230" spans="1:21" ht="34.5" customHeight="1">
      <c r="A1230" s="24">
        <f t="shared" si="4"/>
        <v>1216</v>
      </c>
      <c r="B1230" s="483" t="s">
        <v>294</v>
      </c>
      <c r="C1230" s="351"/>
      <c r="D1230" s="484" t="s">
        <v>294</v>
      </c>
      <c r="E1230" s="351"/>
      <c r="F1230" s="485" t="s">
        <v>325</v>
      </c>
      <c r="G1230" s="351"/>
      <c r="H1230" s="486"/>
      <c r="I1230" s="350"/>
      <c r="J1230" s="351"/>
      <c r="K1230" s="485" t="s">
        <v>325</v>
      </c>
      <c r="L1230" s="350"/>
      <c r="M1230" s="351"/>
      <c r="N1230" s="491" t="s">
        <v>294</v>
      </c>
      <c r="O1230" s="350"/>
      <c r="P1230" s="350"/>
      <c r="Q1230" s="350"/>
      <c r="R1230" s="350"/>
      <c r="S1230" s="350"/>
      <c r="T1230" s="350"/>
      <c r="U1230" s="351"/>
    </row>
    <row r="1231" spans="1:21" ht="34.5" customHeight="1">
      <c r="A1231" s="24">
        <f t="shared" si="4"/>
        <v>1217</v>
      </c>
      <c r="B1231" s="488" t="s">
        <v>294</v>
      </c>
      <c r="C1231" s="351"/>
      <c r="D1231" s="489" t="s">
        <v>294</v>
      </c>
      <c r="E1231" s="351"/>
      <c r="F1231" s="485" t="s">
        <v>325</v>
      </c>
      <c r="G1231" s="351"/>
      <c r="H1231" s="487"/>
      <c r="I1231" s="350"/>
      <c r="J1231" s="351"/>
      <c r="K1231" s="485" t="s">
        <v>325</v>
      </c>
      <c r="L1231" s="350"/>
      <c r="M1231" s="351"/>
      <c r="N1231" s="490" t="s">
        <v>294</v>
      </c>
      <c r="O1231" s="350"/>
      <c r="P1231" s="350"/>
      <c r="Q1231" s="350"/>
      <c r="R1231" s="350"/>
      <c r="S1231" s="350"/>
      <c r="T1231" s="350"/>
      <c r="U1231" s="351"/>
    </row>
    <row r="1232" spans="1:21" ht="34.5" customHeight="1">
      <c r="A1232" s="24">
        <f t="shared" si="4"/>
        <v>1218</v>
      </c>
      <c r="B1232" s="483" t="s">
        <v>294</v>
      </c>
      <c r="C1232" s="351"/>
      <c r="D1232" s="484" t="s">
        <v>294</v>
      </c>
      <c r="E1232" s="351"/>
      <c r="F1232" s="485" t="s">
        <v>325</v>
      </c>
      <c r="G1232" s="351"/>
      <c r="H1232" s="486"/>
      <c r="I1232" s="350"/>
      <c r="J1232" s="351"/>
      <c r="K1232" s="485" t="s">
        <v>325</v>
      </c>
      <c r="L1232" s="350"/>
      <c r="M1232" s="351"/>
      <c r="N1232" s="491" t="s">
        <v>294</v>
      </c>
      <c r="O1232" s="350"/>
      <c r="P1232" s="350"/>
      <c r="Q1232" s="350"/>
      <c r="R1232" s="350"/>
      <c r="S1232" s="350"/>
      <c r="T1232" s="350"/>
      <c r="U1232" s="351"/>
    </row>
    <row r="1233" spans="1:21" ht="34.5" customHeight="1">
      <c r="A1233" s="24">
        <f t="shared" si="4"/>
        <v>1219</v>
      </c>
      <c r="B1233" s="488" t="s">
        <v>294</v>
      </c>
      <c r="C1233" s="351"/>
      <c r="D1233" s="489" t="s">
        <v>294</v>
      </c>
      <c r="E1233" s="351"/>
      <c r="F1233" s="485" t="s">
        <v>325</v>
      </c>
      <c r="G1233" s="351"/>
      <c r="H1233" s="487"/>
      <c r="I1233" s="350"/>
      <c r="J1233" s="351"/>
      <c r="K1233" s="485" t="s">
        <v>325</v>
      </c>
      <c r="L1233" s="350"/>
      <c r="M1233" s="351"/>
      <c r="N1233" s="490" t="s">
        <v>294</v>
      </c>
      <c r="O1233" s="350"/>
      <c r="P1233" s="350"/>
      <c r="Q1233" s="350"/>
      <c r="R1233" s="350"/>
      <c r="S1233" s="350"/>
      <c r="T1233" s="350"/>
      <c r="U1233" s="351"/>
    </row>
    <row r="1234" spans="1:21" ht="34.5" customHeight="1">
      <c r="A1234" s="24">
        <f t="shared" si="4"/>
        <v>1220</v>
      </c>
      <c r="B1234" s="483" t="s">
        <v>294</v>
      </c>
      <c r="C1234" s="351"/>
      <c r="D1234" s="484" t="s">
        <v>294</v>
      </c>
      <c r="E1234" s="351"/>
      <c r="F1234" s="485" t="s">
        <v>325</v>
      </c>
      <c r="G1234" s="351"/>
      <c r="H1234" s="486"/>
      <c r="I1234" s="350"/>
      <c r="J1234" s="351"/>
      <c r="K1234" s="485" t="s">
        <v>325</v>
      </c>
      <c r="L1234" s="350"/>
      <c r="M1234" s="351"/>
      <c r="N1234" s="491" t="s">
        <v>294</v>
      </c>
      <c r="O1234" s="350"/>
      <c r="P1234" s="350"/>
      <c r="Q1234" s="350"/>
      <c r="R1234" s="350"/>
      <c r="S1234" s="350"/>
      <c r="T1234" s="350"/>
      <c r="U1234" s="351"/>
    </row>
    <row r="1235" spans="1:21" ht="34.5" customHeight="1">
      <c r="A1235" s="24">
        <f t="shared" si="4"/>
        <v>1221</v>
      </c>
      <c r="B1235" s="488" t="s">
        <v>294</v>
      </c>
      <c r="C1235" s="351"/>
      <c r="D1235" s="489" t="s">
        <v>294</v>
      </c>
      <c r="E1235" s="351"/>
      <c r="F1235" s="485" t="s">
        <v>325</v>
      </c>
      <c r="G1235" s="351"/>
      <c r="H1235" s="487"/>
      <c r="I1235" s="350"/>
      <c r="J1235" s="351"/>
      <c r="K1235" s="485" t="s">
        <v>325</v>
      </c>
      <c r="L1235" s="350"/>
      <c r="M1235" s="351"/>
      <c r="N1235" s="490" t="s">
        <v>294</v>
      </c>
      <c r="O1235" s="350"/>
      <c r="P1235" s="350"/>
      <c r="Q1235" s="350"/>
      <c r="R1235" s="350"/>
      <c r="S1235" s="350"/>
      <c r="T1235" s="350"/>
      <c r="U1235" s="351"/>
    </row>
    <row r="1236" spans="1:21" ht="34.5" customHeight="1">
      <c r="A1236" s="24">
        <f t="shared" si="4"/>
        <v>1222</v>
      </c>
      <c r="B1236" s="483" t="s">
        <v>294</v>
      </c>
      <c r="C1236" s="351"/>
      <c r="D1236" s="484" t="s">
        <v>294</v>
      </c>
      <c r="E1236" s="351"/>
      <c r="F1236" s="485" t="s">
        <v>325</v>
      </c>
      <c r="G1236" s="351"/>
      <c r="H1236" s="486"/>
      <c r="I1236" s="350"/>
      <c r="J1236" s="351"/>
      <c r="K1236" s="485" t="s">
        <v>325</v>
      </c>
      <c r="L1236" s="350"/>
      <c r="M1236" s="351"/>
      <c r="N1236" s="491" t="s">
        <v>294</v>
      </c>
      <c r="O1236" s="350"/>
      <c r="P1236" s="350"/>
      <c r="Q1236" s="350"/>
      <c r="R1236" s="350"/>
      <c r="S1236" s="350"/>
      <c r="T1236" s="350"/>
      <c r="U1236" s="351"/>
    </row>
    <row r="1237" spans="1:21" ht="34.5" customHeight="1">
      <c r="A1237" s="24">
        <f t="shared" si="4"/>
        <v>1223</v>
      </c>
      <c r="B1237" s="488" t="s">
        <v>294</v>
      </c>
      <c r="C1237" s="351"/>
      <c r="D1237" s="489" t="s">
        <v>294</v>
      </c>
      <c r="E1237" s="351"/>
      <c r="F1237" s="485" t="s">
        <v>325</v>
      </c>
      <c r="G1237" s="351"/>
      <c r="H1237" s="487"/>
      <c r="I1237" s="350"/>
      <c r="J1237" s="351"/>
      <c r="K1237" s="485" t="s">
        <v>325</v>
      </c>
      <c r="L1237" s="350"/>
      <c r="M1237" s="351"/>
      <c r="N1237" s="490" t="s">
        <v>294</v>
      </c>
      <c r="O1237" s="350"/>
      <c r="P1237" s="350"/>
      <c r="Q1237" s="350"/>
      <c r="R1237" s="350"/>
      <c r="S1237" s="350"/>
      <c r="T1237" s="350"/>
      <c r="U1237" s="351"/>
    </row>
    <row r="1238" spans="1:21" ht="34.5" customHeight="1">
      <c r="A1238" s="24">
        <f t="shared" si="4"/>
        <v>1224</v>
      </c>
      <c r="B1238" s="483" t="s">
        <v>294</v>
      </c>
      <c r="C1238" s="351"/>
      <c r="D1238" s="484" t="s">
        <v>294</v>
      </c>
      <c r="E1238" s="351"/>
      <c r="F1238" s="485" t="s">
        <v>325</v>
      </c>
      <c r="G1238" s="351"/>
      <c r="H1238" s="486"/>
      <c r="I1238" s="350"/>
      <c r="J1238" s="351"/>
      <c r="K1238" s="485" t="s">
        <v>325</v>
      </c>
      <c r="L1238" s="350"/>
      <c r="M1238" s="351"/>
      <c r="N1238" s="491" t="s">
        <v>294</v>
      </c>
      <c r="O1238" s="350"/>
      <c r="P1238" s="350"/>
      <c r="Q1238" s="350"/>
      <c r="R1238" s="350"/>
      <c r="S1238" s="350"/>
      <c r="T1238" s="350"/>
      <c r="U1238" s="351"/>
    </row>
    <row r="1239" spans="1:21" ht="34.5" customHeight="1">
      <c r="A1239" s="24">
        <f t="shared" si="4"/>
        <v>1225</v>
      </c>
      <c r="B1239" s="488" t="s">
        <v>294</v>
      </c>
      <c r="C1239" s="351"/>
      <c r="D1239" s="489" t="s">
        <v>294</v>
      </c>
      <c r="E1239" s="351"/>
      <c r="F1239" s="485" t="s">
        <v>325</v>
      </c>
      <c r="G1239" s="351"/>
      <c r="H1239" s="487"/>
      <c r="I1239" s="350"/>
      <c r="J1239" s="351"/>
      <c r="K1239" s="485" t="s">
        <v>325</v>
      </c>
      <c r="L1239" s="350"/>
      <c r="M1239" s="351"/>
      <c r="N1239" s="490" t="s">
        <v>294</v>
      </c>
      <c r="O1239" s="350"/>
      <c r="P1239" s="350"/>
      <c r="Q1239" s="350"/>
      <c r="R1239" s="350"/>
      <c r="S1239" s="350"/>
      <c r="T1239" s="350"/>
      <c r="U1239" s="351"/>
    </row>
    <row r="1240" spans="1:21" ht="34.5" customHeight="1">
      <c r="A1240" s="24">
        <f t="shared" si="4"/>
        <v>1226</v>
      </c>
      <c r="B1240" s="483" t="s">
        <v>294</v>
      </c>
      <c r="C1240" s="351"/>
      <c r="D1240" s="484" t="s">
        <v>294</v>
      </c>
      <c r="E1240" s="351"/>
      <c r="F1240" s="485" t="s">
        <v>325</v>
      </c>
      <c r="G1240" s="351"/>
      <c r="H1240" s="486"/>
      <c r="I1240" s="350"/>
      <c r="J1240" s="351"/>
      <c r="K1240" s="485" t="s">
        <v>325</v>
      </c>
      <c r="L1240" s="350"/>
      <c r="M1240" s="351"/>
      <c r="N1240" s="491" t="s">
        <v>294</v>
      </c>
      <c r="O1240" s="350"/>
      <c r="P1240" s="350"/>
      <c r="Q1240" s="350"/>
      <c r="R1240" s="350"/>
      <c r="S1240" s="350"/>
      <c r="T1240" s="350"/>
      <c r="U1240" s="351"/>
    </row>
    <row r="1241" spans="1:21" ht="34.5" customHeight="1">
      <c r="A1241" s="24">
        <f t="shared" si="4"/>
        <v>1227</v>
      </c>
      <c r="B1241" s="488" t="s">
        <v>294</v>
      </c>
      <c r="C1241" s="351"/>
      <c r="D1241" s="489" t="s">
        <v>294</v>
      </c>
      <c r="E1241" s="351"/>
      <c r="F1241" s="485" t="s">
        <v>325</v>
      </c>
      <c r="G1241" s="351"/>
      <c r="H1241" s="487"/>
      <c r="I1241" s="350"/>
      <c r="J1241" s="351"/>
      <c r="K1241" s="485" t="s">
        <v>325</v>
      </c>
      <c r="L1241" s="350"/>
      <c r="M1241" s="351"/>
      <c r="N1241" s="490" t="s">
        <v>294</v>
      </c>
      <c r="O1241" s="350"/>
      <c r="P1241" s="350"/>
      <c r="Q1241" s="350"/>
      <c r="R1241" s="350"/>
      <c r="S1241" s="350"/>
      <c r="T1241" s="350"/>
      <c r="U1241" s="351"/>
    </row>
    <row r="1242" spans="1:21" ht="34.5" customHeight="1">
      <c r="A1242" s="24">
        <f t="shared" si="4"/>
        <v>1228</v>
      </c>
      <c r="B1242" s="483" t="s">
        <v>294</v>
      </c>
      <c r="C1242" s="351"/>
      <c r="D1242" s="484" t="s">
        <v>294</v>
      </c>
      <c r="E1242" s="351"/>
      <c r="F1242" s="485" t="s">
        <v>325</v>
      </c>
      <c r="G1242" s="351"/>
      <c r="H1242" s="486"/>
      <c r="I1242" s="350"/>
      <c r="J1242" s="351"/>
      <c r="K1242" s="485" t="s">
        <v>325</v>
      </c>
      <c r="L1242" s="350"/>
      <c r="M1242" s="351"/>
      <c r="N1242" s="491" t="s">
        <v>294</v>
      </c>
      <c r="O1242" s="350"/>
      <c r="P1242" s="350"/>
      <c r="Q1242" s="350"/>
      <c r="R1242" s="350"/>
      <c r="S1242" s="350"/>
      <c r="T1242" s="350"/>
      <c r="U1242" s="351"/>
    </row>
    <row r="1243" spans="1:21" ht="34.5" customHeight="1">
      <c r="A1243" s="24">
        <f t="shared" si="4"/>
        <v>1229</v>
      </c>
      <c r="B1243" s="488" t="s">
        <v>294</v>
      </c>
      <c r="C1243" s="351"/>
      <c r="D1243" s="489" t="s">
        <v>294</v>
      </c>
      <c r="E1243" s="351"/>
      <c r="F1243" s="485" t="s">
        <v>325</v>
      </c>
      <c r="G1243" s="351"/>
      <c r="H1243" s="487"/>
      <c r="I1243" s="350"/>
      <c r="J1243" s="351"/>
      <c r="K1243" s="485" t="s">
        <v>325</v>
      </c>
      <c r="L1243" s="350"/>
      <c r="M1243" s="351"/>
      <c r="N1243" s="490" t="s">
        <v>294</v>
      </c>
      <c r="O1243" s="350"/>
      <c r="P1243" s="350"/>
      <c r="Q1243" s="350"/>
      <c r="R1243" s="350"/>
      <c r="S1243" s="350"/>
      <c r="T1243" s="350"/>
      <c r="U1243" s="351"/>
    </row>
    <row r="1244" spans="1:21" ht="34.5" customHeight="1">
      <c r="A1244" s="24">
        <f t="shared" si="4"/>
        <v>1230</v>
      </c>
      <c r="B1244" s="483" t="s">
        <v>294</v>
      </c>
      <c r="C1244" s="351"/>
      <c r="D1244" s="484" t="s">
        <v>294</v>
      </c>
      <c r="E1244" s="351"/>
      <c r="F1244" s="485" t="s">
        <v>325</v>
      </c>
      <c r="G1244" s="351"/>
      <c r="H1244" s="486"/>
      <c r="I1244" s="350"/>
      <c r="J1244" s="351"/>
      <c r="K1244" s="485" t="s">
        <v>325</v>
      </c>
      <c r="L1244" s="350"/>
      <c r="M1244" s="351"/>
      <c r="N1244" s="491" t="s">
        <v>294</v>
      </c>
      <c r="O1244" s="350"/>
      <c r="P1244" s="350"/>
      <c r="Q1244" s="350"/>
      <c r="R1244" s="350"/>
      <c r="S1244" s="350"/>
      <c r="T1244" s="350"/>
      <c r="U1244" s="351"/>
    </row>
    <row r="1245" spans="1:21" ht="34.5" customHeight="1">
      <c r="A1245" s="24">
        <f t="shared" si="4"/>
        <v>1231</v>
      </c>
      <c r="B1245" s="488" t="s">
        <v>294</v>
      </c>
      <c r="C1245" s="351"/>
      <c r="D1245" s="489" t="s">
        <v>294</v>
      </c>
      <c r="E1245" s="351"/>
      <c r="F1245" s="485" t="s">
        <v>325</v>
      </c>
      <c r="G1245" s="351"/>
      <c r="H1245" s="487"/>
      <c r="I1245" s="350"/>
      <c r="J1245" s="351"/>
      <c r="K1245" s="485" t="s">
        <v>325</v>
      </c>
      <c r="L1245" s="350"/>
      <c r="M1245" s="351"/>
      <c r="N1245" s="490" t="s">
        <v>294</v>
      </c>
      <c r="O1245" s="350"/>
      <c r="P1245" s="350"/>
      <c r="Q1245" s="350"/>
      <c r="R1245" s="350"/>
      <c r="S1245" s="350"/>
      <c r="T1245" s="350"/>
      <c r="U1245" s="351"/>
    </row>
    <row r="1246" spans="1:21" ht="34.5" customHeight="1">
      <c r="A1246" s="24">
        <f t="shared" si="4"/>
        <v>1232</v>
      </c>
      <c r="B1246" s="483" t="s">
        <v>294</v>
      </c>
      <c r="C1246" s="351"/>
      <c r="D1246" s="484" t="s">
        <v>294</v>
      </c>
      <c r="E1246" s="351"/>
      <c r="F1246" s="485" t="s">
        <v>325</v>
      </c>
      <c r="G1246" s="351"/>
      <c r="H1246" s="486"/>
      <c r="I1246" s="350"/>
      <c r="J1246" s="351"/>
      <c r="K1246" s="485" t="s">
        <v>325</v>
      </c>
      <c r="L1246" s="350"/>
      <c r="M1246" s="351"/>
      <c r="N1246" s="491" t="s">
        <v>294</v>
      </c>
      <c r="O1246" s="350"/>
      <c r="P1246" s="350"/>
      <c r="Q1246" s="350"/>
      <c r="R1246" s="350"/>
      <c r="S1246" s="350"/>
      <c r="T1246" s="350"/>
      <c r="U1246" s="351"/>
    </row>
    <row r="1247" spans="1:21" ht="34.5" customHeight="1">
      <c r="A1247" s="24">
        <f t="shared" si="4"/>
        <v>1233</v>
      </c>
      <c r="B1247" s="488" t="s">
        <v>294</v>
      </c>
      <c r="C1247" s="351"/>
      <c r="D1247" s="489" t="s">
        <v>294</v>
      </c>
      <c r="E1247" s="351"/>
      <c r="F1247" s="485" t="s">
        <v>325</v>
      </c>
      <c r="G1247" s="351"/>
      <c r="H1247" s="487"/>
      <c r="I1247" s="350"/>
      <c r="J1247" s="351"/>
      <c r="K1247" s="485" t="s">
        <v>325</v>
      </c>
      <c r="L1247" s="350"/>
      <c r="M1247" s="351"/>
      <c r="N1247" s="490" t="s">
        <v>294</v>
      </c>
      <c r="O1247" s="350"/>
      <c r="P1247" s="350"/>
      <c r="Q1247" s="350"/>
      <c r="R1247" s="350"/>
      <c r="S1247" s="350"/>
      <c r="T1247" s="350"/>
      <c r="U1247" s="351"/>
    </row>
    <row r="1248" spans="1:21" ht="34.5" customHeight="1">
      <c r="A1248" s="24">
        <f t="shared" si="4"/>
        <v>1234</v>
      </c>
      <c r="B1248" s="483" t="s">
        <v>294</v>
      </c>
      <c r="C1248" s="351"/>
      <c r="D1248" s="484" t="s">
        <v>294</v>
      </c>
      <c r="E1248" s="351"/>
      <c r="F1248" s="485" t="s">
        <v>325</v>
      </c>
      <c r="G1248" s="351"/>
      <c r="H1248" s="486"/>
      <c r="I1248" s="350"/>
      <c r="J1248" s="351"/>
      <c r="K1248" s="485" t="s">
        <v>325</v>
      </c>
      <c r="L1248" s="350"/>
      <c r="M1248" s="351"/>
      <c r="N1248" s="491" t="s">
        <v>294</v>
      </c>
      <c r="O1248" s="350"/>
      <c r="P1248" s="350"/>
      <c r="Q1248" s="350"/>
      <c r="R1248" s="350"/>
      <c r="S1248" s="350"/>
      <c r="T1248" s="350"/>
      <c r="U1248" s="351"/>
    </row>
    <row r="1249" spans="1:21" ht="34.5" customHeight="1">
      <c r="A1249" s="24">
        <f t="shared" si="4"/>
        <v>1235</v>
      </c>
      <c r="B1249" s="488" t="s">
        <v>294</v>
      </c>
      <c r="C1249" s="351"/>
      <c r="D1249" s="489" t="s">
        <v>294</v>
      </c>
      <c r="E1249" s="351"/>
      <c r="F1249" s="485" t="s">
        <v>325</v>
      </c>
      <c r="G1249" s="351"/>
      <c r="H1249" s="487"/>
      <c r="I1249" s="350"/>
      <c r="J1249" s="351"/>
      <c r="K1249" s="485" t="s">
        <v>325</v>
      </c>
      <c r="L1249" s="350"/>
      <c r="M1249" s="351"/>
      <c r="N1249" s="490" t="s">
        <v>294</v>
      </c>
      <c r="O1249" s="350"/>
      <c r="P1249" s="350"/>
      <c r="Q1249" s="350"/>
      <c r="R1249" s="350"/>
      <c r="S1249" s="350"/>
      <c r="T1249" s="350"/>
      <c r="U1249" s="351"/>
    </row>
    <row r="1250" spans="1:21" ht="34.5" customHeight="1">
      <c r="A1250" s="24">
        <f t="shared" si="4"/>
        <v>1236</v>
      </c>
      <c r="B1250" s="483" t="s">
        <v>294</v>
      </c>
      <c r="C1250" s="351"/>
      <c r="D1250" s="484" t="s">
        <v>294</v>
      </c>
      <c r="E1250" s="351"/>
      <c r="F1250" s="485" t="s">
        <v>325</v>
      </c>
      <c r="G1250" s="351"/>
      <c r="H1250" s="486"/>
      <c r="I1250" s="350"/>
      <c r="J1250" s="351"/>
      <c r="K1250" s="485" t="s">
        <v>325</v>
      </c>
      <c r="L1250" s="350"/>
      <c r="M1250" s="351"/>
      <c r="N1250" s="491" t="s">
        <v>294</v>
      </c>
      <c r="O1250" s="350"/>
      <c r="P1250" s="350"/>
      <c r="Q1250" s="350"/>
      <c r="R1250" s="350"/>
      <c r="S1250" s="350"/>
      <c r="T1250" s="350"/>
      <c r="U1250" s="351"/>
    </row>
    <row r="1251" spans="1:21" ht="34.5" customHeight="1">
      <c r="A1251" s="24">
        <f t="shared" si="4"/>
        <v>1237</v>
      </c>
      <c r="B1251" s="488" t="s">
        <v>294</v>
      </c>
      <c r="C1251" s="351"/>
      <c r="D1251" s="489" t="s">
        <v>294</v>
      </c>
      <c r="E1251" s="351"/>
      <c r="F1251" s="485" t="s">
        <v>325</v>
      </c>
      <c r="G1251" s="351"/>
      <c r="H1251" s="487"/>
      <c r="I1251" s="350"/>
      <c r="J1251" s="351"/>
      <c r="K1251" s="485" t="s">
        <v>325</v>
      </c>
      <c r="L1251" s="350"/>
      <c r="M1251" s="351"/>
      <c r="N1251" s="490" t="s">
        <v>294</v>
      </c>
      <c r="O1251" s="350"/>
      <c r="P1251" s="350"/>
      <c r="Q1251" s="350"/>
      <c r="R1251" s="350"/>
      <c r="S1251" s="350"/>
      <c r="T1251" s="350"/>
      <c r="U1251" s="351"/>
    </row>
    <row r="1252" spans="1:21" ht="34.5" customHeight="1">
      <c r="A1252" s="24">
        <f t="shared" si="4"/>
        <v>1238</v>
      </c>
      <c r="B1252" s="483" t="s">
        <v>294</v>
      </c>
      <c r="C1252" s="351"/>
      <c r="D1252" s="484" t="s">
        <v>294</v>
      </c>
      <c r="E1252" s="351"/>
      <c r="F1252" s="485" t="s">
        <v>325</v>
      </c>
      <c r="G1252" s="351"/>
      <c r="H1252" s="486"/>
      <c r="I1252" s="350"/>
      <c r="J1252" s="351"/>
      <c r="K1252" s="485" t="s">
        <v>325</v>
      </c>
      <c r="L1252" s="350"/>
      <c r="M1252" s="351"/>
      <c r="N1252" s="491" t="s">
        <v>294</v>
      </c>
      <c r="O1252" s="350"/>
      <c r="P1252" s="350"/>
      <c r="Q1252" s="350"/>
      <c r="R1252" s="350"/>
      <c r="S1252" s="350"/>
      <c r="T1252" s="350"/>
      <c r="U1252" s="351"/>
    </row>
    <row r="1253" spans="1:21" ht="34.5" customHeight="1">
      <c r="A1253" s="24">
        <f t="shared" si="4"/>
        <v>1239</v>
      </c>
      <c r="B1253" s="488" t="s">
        <v>294</v>
      </c>
      <c r="C1253" s="351"/>
      <c r="D1253" s="489" t="s">
        <v>294</v>
      </c>
      <c r="E1253" s="351"/>
      <c r="F1253" s="485" t="s">
        <v>325</v>
      </c>
      <c r="G1253" s="351"/>
      <c r="H1253" s="487"/>
      <c r="I1253" s="350"/>
      <c r="J1253" s="351"/>
      <c r="K1253" s="485" t="s">
        <v>325</v>
      </c>
      <c r="L1253" s="350"/>
      <c r="M1253" s="351"/>
      <c r="N1253" s="490" t="s">
        <v>294</v>
      </c>
      <c r="O1253" s="350"/>
      <c r="P1253" s="350"/>
      <c r="Q1253" s="350"/>
      <c r="R1253" s="350"/>
      <c r="S1253" s="350"/>
      <c r="T1253" s="350"/>
      <c r="U1253" s="351"/>
    </row>
    <row r="1254" spans="1:21" ht="34.5" customHeight="1">
      <c r="A1254" s="24">
        <f t="shared" si="4"/>
        <v>1240</v>
      </c>
      <c r="B1254" s="483" t="s">
        <v>294</v>
      </c>
      <c r="C1254" s="351"/>
      <c r="D1254" s="484" t="s">
        <v>294</v>
      </c>
      <c r="E1254" s="351"/>
      <c r="F1254" s="485" t="s">
        <v>325</v>
      </c>
      <c r="G1254" s="351"/>
      <c r="H1254" s="486"/>
      <c r="I1254" s="350"/>
      <c r="J1254" s="351"/>
      <c r="K1254" s="485" t="s">
        <v>325</v>
      </c>
      <c r="L1254" s="350"/>
      <c r="M1254" s="351"/>
      <c r="N1254" s="491" t="s">
        <v>294</v>
      </c>
      <c r="O1254" s="350"/>
      <c r="P1254" s="350"/>
      <c r="Q1254" s="350"/>
      <c r="R1254" s="350"/>
      <c r="S1254" s="350"/>
      <c r="T1254" s="350"/>
      <c r="U1254" s="351"/>
    </row>
    <row r="1255" spans="1:21" ht="34.5" customHeight="1">
      <c r="A1255" s="24">
        <f t="shared" si="4"/>
        <v>1241</v>
      </c>
      <c r="B1255" s="488" t="s">
        <v>294</v>
      </c>
      <c r="C1255" s="351"/>
      <c r="D1255" s="489" t="s">
        <v>294</v>
      </c>
      <c r="E1255" s="351"/>
      <c r="F1255" s="485" t="s">
        <v>325</v>
      </c>
      <c r="G1255" s="351"/>
      <c r="H1255" s="487"/>
      <c r="I1255" s="350"/>
      <c r="J1255" s="351"/>
      <c r="K1255" s="485" t="s">
        <v>325</v>
      </c>
      <c r="L1255" s="350"/>
      <c r="M1255" s="351"/>
      <c r="N1255" s="490" t="s">
        <v>294</v>
      </c>
      <c r="O1255" s="350"/>
      <c r="P1255" s="350"/>
      <c r="Q1255" s="350"/>
      <c r="R1255" s="350"/>
      <c r="S1255" s="350"/>
      <c r="T1255" s="350"/>
      <c r="U1255" s="351"/>
    </row>
    <row r="1256" spans="1:21" ht="34.5" customHeight="1">
      <c r="A1256" s="24">
        <f t="shared" si="4"/>
        <v>1242</v>
      </c>
      <c r="B1256" s="483" t="s">
        <v>294</v>
      </c>
      <c r="C1256" s="351"/>
      <c r="D1256" s="484" t="s">
        <v>294</v>
      </c>
      <c r="E1256" s="351"/>
      <c r="F1256" s="485" t="s">
        <v>325</v>
      </c>
      <c r="G1256" s="351"/>
      <c r="H1256" s="486"/>
      <c r="I1256" s="350"/>
      <c r="J1256" s="351"/>
      <c r="K1256" s="485" t="s">
        <v>325</v>
      </c>
      <c r="L1256" s="350"/>
      <c r="M1256" s="351"/>
      <c r="N1256" s="491" t="s">
        <v>294</v>
      </c>
      <c r="O1256" s="350"/>
      <c r="P1256" s="350"/>
      <c r="Q1256" s="350"/>
      <c r="R1256" s="350"/>
      <c r="S1256" s="350"/>
      <c r="T1256" s="350"/>
      <c r="U1256" s="351"/>
    </row>
    <row r="1257" spans="1:21" ht="34.5" customHeight="1">
      <c r="A1257" s="24">
        <f t="shared" si="4"/>
        <v>1243</v>
      </c>
      <c r="B1257" s="488" t="s">
        <v>326</v>
      </c>
      <c r="C1257" s="351"/>
      <c r="D1257" s="489" t="s">
        <v>294</v>
      </c>
      <c r="E1257" s="351"/>
      <c r="F1257" s="485" t="s">
        <v>325</v>
      </c>
      <c r="G1257" s="351"/>
      <c r="H1257" s="487"/>
      <c r="I1257" s="350"/>
      <c r="J1257" s="351"/>
      <c r="K1257" s="485" t="s">
        <v>325</v>
      </c>
      <c r="L1257" s="350"/>
      <c r="M1257" s="351"/>
      <c r="N1257" s="490" t="s">
        <v>294</v>
      </c>
      <c r="O1257" s="350"/>
      <c r="P1257" s="350"/>
      <c r="Q1257" s="350"/>
      <c r="R1257" s="350"/>
      <c r="S1257" s="350"/>
      <c r="T1257" s="350"/>
      <c r="U1257" s="351"/>
    </row>
    <row r="1258" spans="1:21" ht="34.5" customHeight="1">
      <c r="A1258" s="24">
        <f t="shared" si="4"/>
        <v>1244</v>
      </c>
      <c r="B1258" s="483" t="s">
        <v>294</v>
      </c>
      <c r="C1258" s="351"/>
      <c r="D1258" s="484" t="s">
        <v>294</v>
      </c>
      <c r="E1258" s="351"/>
      <c r="F1258" s="485" t="s">
        <v>325</v>
      </c>
      <c r="G1258" s="351"/>
      <c r="H1258" s="486"/>
      <c r="I1258" s="350"/>
      <c r="J1258" s="351"/>
      <c r="K1258" s="485" t="s">
        <v>325</v>
      </c>
      <c r="L1258" s="350"/>
      <c r="M1258" s="351"/>
      <c r="N1258" s="491" t="s">
        <v>294</v>
      </c>
      <c r="O1258" s="350"/>
      <c r="P1258" s="350"/>
      <c r="Q1258" s="350"/>
      <c r="R1258" s="350"/>
      <c r="S1258" s="350"/>
      <c r="T1258" s="350"/>
      <c r="U1258" s="351"/>
    </row>
    <row r="1259" spans="1:21" ht="34.5" customHeight="1">
      <c r="A1259" s="24">
        <f t="shared" si="4"/>
        <v>1245</v>
      </c>
      <c r="B1259" s="488" t="s">
        <v>294</v>
      </c>
      <c r="C1259" s="351"/>
      <c r="D1259" s="489" t="s">
        <v>294</v>
      </c>
      <c r="E1259" s="351"/>
      <c r="F1259" s="485" t="s">
        <v>325</v>
      </c>
      <c r="G1259" s="351"/>
      <c r="H1259" s="487"/>
      <c r="I1259" s="350"/>
      <c r="J1259" s="351"/>
      <c r="K1259" s="485" t="s">
        <v>325</v>
      </c>
      <c r="L1259" s="350"/>
      <c r="M1259" s="351"/>
      <c r="N1259" s="490" t="s">
        <v>294</v>
      </c>
      <c r="O1259" s="350"/>
      <c r="P1259" s="350"/>
      <c r="Q1259" s="350"/>
      <c r="R1259" s="350"/>
      <c r="S1259" s="350"/>
      <c r="T1259" s="350"/>
      <c r="U1259" s="351"/>
    </row>
    <row r="1260" spans="1:21" ht="34.5" customHeight="1">
      <c r="A1260" s="24">
        <f t="shared" si="4"/>
        <v>1246</v>
      </c>
      <c r="B1260" s="483" t="s">
        <v>294</v>
      </c>
      <c r="C1260" s="351"/>
      <c r="D1260" s="484" t="s">
        <v>294</v>
      </c>
      <c r="E1260" s="351"/>
      <c r="F1260" s="485" t="s">
        <v>325</v>
      </c>
      <c r="G1260" s="351"/>
      <c r="H1260" s="486"/>
      <c r="I1260" s="350"/>
      <c r="J1260" s="351"/>
      <c r="K1260" s="485" t="s">
        <v>325</v>
      </c>
      <c r="L1260" s="350"/>
      <c r="M1260" s="351"/>
      <c r="N1260" s="491" t="s">
        <v>294</v>
      </c>
      <c r="O1260" s="350"/>
      <c r="P1260" s="350"/>
      <c r="Q1260" s="350"/>
      <c r="R1260" s="350"/>
      <c r="S1260" s="350"/>
      <c r="T1260" s="350"/>
      <c r="U1260" s="351"/>
    </row>
    <row r="1261" spans="1:21" ht="34.5" customHeight="1">
      <c r="A1261" s="24">
        <f t="shared" si="4"/>
        <v>1247</v>
      </c>
      <c r="B1261" s="488" t="s">
        <v>294</v>
      </c>
      <c r="C1261" s="351"/>
      <c r="D1261" s="489" t="s">
        <v>294</v>
      </c>
      <c r="E1261" s="351"/>
      <c r="F1261" s="485" t="s">
        <v>325</v>
      </c>
      <c r="G1261" s="351"/>
      <c r="H1261" s="487"/>
      <c r="I1261" s="350"/>
      <c r="J1261" s="351"/>
      <c r="K1261" s="485" t="s">
        <v>325</v>
      </c>
      <c r="L1261" s="350"/>
      <c r="M1261" s="351"/>
      <c r="N1261" s="490" t="s">
        <v>294</v>
      </c>
      <c r="O1261" s="350"/>
      <c r="P1261" s="350"/>
      <c r="Q1261" s="350"/>
      <c r="R1261" s="350"/>
      <c r="S1261" s="350"/>
      <c r="T1261" s="350"/>
      <c r="U1261" s="351"/>
    </row>
    <row r="1262" spans="1:21" ht="34.5" customHeight="1">
      <c r="A1262" s="24">
        <f t="shared" si="4"/>
        <v>1248</v>
      </c>
      <c r="B1262" s="483" t="s">
        <v>294</v>
      </c>
      <c r="C1262" s="351"/>
      <c r="D1262" s="484" t="s">
        <v>294</v>
      </c>
      <c r="E1262" s="351"/>
      <c r="F1262" s="485" t="s">
        <v>325</v>
      </c>
      <c r="G1262" s="351"/>
      <c r="H1262" s="486"/>
      <c r="I1262" s="350"/>
      <c r="J1262" s="351"/>
      <c r="K1262" s="485" t="s">
        <v>325</v>
      </c>
      <c r="L1262" s="350"/>
      <c r="M1262" s="351"/>
      <c r="N1262" s="491" t="s">
        <v>294</v>
      </c>
      <c r="O1262" s="350"/>
      <c r="P1262" s="350"/>
      <c r="Q1262" s="350"/>
      <c r="R1262" s="350"/>
      <c r="S1262" s="350"/>
      <c r="T1262" s="350"/>
      <c r="U1262" s="351"/>
    </row>
    <row r="1263" spans="1:21" ht="34.5" customHeight="1">
      <c r="A1263" s="24">
        <f t="shared" si="4"/>
        <v>1249</v>
      </c>
      <c r="B1263" s="488" t="s">
        <v>327</v>
      </c>
      <c r="C1263" s="351"/>
      <c r="D1263" s="489" t="s">
        <v>294</v>
      </c>
      <c r="E1263" s="351"/>
      <c r="F1263" s="485" t="s">
        <v>325</v>
      </c>
      <c r="G1263" s="351"/>
      <c r="H1263" s="487"/>
      <c r="I1263" s="350"/>
      <c r="J1263" s="351"/>
      <c r="K1263" s="485" t="s">
        <v>325</v>
      </c>
      <c r="L1263" s="350"/>
      <c r="M1263" s="351"/>
      <c r="N1263" s="490" t="s">
        <v>294</v>
      </c>
      <c r="O1263" s="350"/>
      <c r="P1263" s="350"/>
      <c r="Q1263" s="350"/>
      <c r="R1263" s="350"/>
      <c r="S1263" s="350"/>
      <c r="T1263" s="350"/>
      <c r="U1263" s="351"/>
    </row>
    <row r="1264" spans="1:21" ht="34.5" customHeight="1">
      <c r="A1264" s="24">
        <f t="shared" si="4"/>
        <v>1250</v>
      </c>
      <c r="B1264" s="483" t="s">
        <v>294</v>
      </c>
      <c r="C1264" s="351"/>
      <c r="D1264" s="484" t="s">
        <v>294</v>
      </c>
      <c r="E1264" s="351"/>
      <c r="F1264" s="485" t="s">
        <v>325</v>
      </c>
      <c r="G1264" s="351"/>
      <c r="H1264" s="486"/>
      <c r="I1264" s="350"/>
      <c r="J1264" s="351"/>
      <c r="K1264" s="485" t="s">
        <v>325</v>
      </c>
      <c r="L1264" s="350"/>
      <c r="M1264" s="351"/>
      <c r="N1264" s="491" t="s">
        <v>294</v>
      </c>
      <c r="O1264" s="350"/>
      <c r="P1264" s="350"/>
      <c r="Q1264" s="350"/>
      <c r="R1264" s="350"/>
      <c r="S1264" s="350"/>
      <c r="T1264" s="350"/>
      <c r="U1264" s="351"/>
    </row>
    <row r="1265" spans="1:21" ht="34.5" customHeight="1">
      <c r="A1265" s="24">
        <f t="shared" si="4"/>
        <v>1251</v>
      </c>
      <c r="B1265" s="488" t="s">
        <v>294</v>
      </c>
      <c r="C1265" s="351"/>
      <c r="D1265" s="489" t="s">
        <v>294</v>
      </c>
      <c r="E1265" s="351"/>
      <c r="F1265" s="485" t="s">
        <v>325</v>
      </c>
      <c r="G1265" s="351"/>
      <c r="H1265" s="487"/>
      <c r="I1265" s="350"/>
      <c r="J1265" s="351"/>
      <c r="K1265" s="485" t="s">
        <v>325</v>
      </c>
      <c r="L1265" s="350"/>
      <c r="M1265" s="351"/>
      <c r="N1265" s="490" t="s">
        <v>294</v>
      </c>
      <c r="O1265" s="350"/>
      <c r="P1265" s="350"/>
      <c r="Q1265" s="350"/>
      <c r="R1265" s="350"/>
      <c r="S1265" s="350"/>
      <c r="T1265" s="350"/>
      <c r="U1265" s="351"/>
    </row>
    <row r="1266" spans="1:21" ht="34.5" customHeight="1">
      <c r="A1266" s="24">
        <f t="shared" si="4"/>
        <v>1252</v>
      </c>
      <c r="B1266" s="483" t="s">
        <v>294</v>
      </c>
      <c r="C1266" s="351"/>
      <c r="D1266" s="484" t="s">
        <v>294</v>
      </c>
      <c r="E1266" s="351"/>
      <c r="F1266" s="485" t="s">
        <v>325</v>
      </c>
      <c r="G1266" s="351"/>
      <c r="H1266" s="486"/>
      <c r="I1266" s="350"/>
      <c r="J1266" s="351"/>
      <c r="K1266" s="485" t="s">
        <v>325</v>
      </c>
      <c r="L1266" s="350"/>
      <c r="M1266" s="351"/>
      <c r="N1266" s="491" t="s">
        <v>294</v>
      </c>
      <c r="O1266" s="350"/>
      <c r="P1266" s="350"/>
      <c r="Q1266" s="350"/>
      <c r="R1266" s="350"/>
      <c r="S1266" s="350"/>
      <c r="T1266" s="350"/>
      <c r="U1266" s="351"/>
    </row>
    <row r="1267" spans="1:21" ht="34.5" customHeight="1">
      <c r="A1267" s="24">
        <f t="shared" si="4"/>
        <v>1253</v>
      </c>
      <c r="B1267" s="488" t="s">
        <v>294</v>
      </c>
      <c r="C1267" s="351"/>
      <c r="D1267" s="489" t="s">
        <v>294</v>
      </c>
      <c r="E1267" s="351"/>
      <c r="F1267" s="485" t="s">
        <v>325</v>
      </c>
      <c r="G1267" s="351"/>
      <c r="H1267" s="487"/>
      <c r="I1267" s="350"/>
      <c r="J1267" s="351"/>
      <c r="K1267" s="485" t="s">
        <v>325</v>
      </c>
      <c r="L1267" s="350"/>
      <c r="M1267" s="351"/>
      <c r="N1267" s="490" t="s">
        <v>294</v>
      </c>
      <c r="O1267" s="350"/>
      <c r="P1267" s="350"/>
      <c r="Q1267" s="350"/>
      <c r="R1267" s="350"/>
      <c r="S1267" s="350"/>
      <c r="T1267" s="350"/>
      <c r="U1267" s="351"/>
    </row>
    <row r="1268" spans="1:21" ht="34.5" customHeight="1">
      <c r="A1268" s="24">
        <f t="shared" si="4"/>
        <v>1254</v>
      </c>
      <c r="B1268" s="483" t="s">
        <v>294</v>
      </c>
      <c r="C1268" s="351"/>
      <c r="D1268" s="484" t="s">
        <v>294</v>
      </c>
      <c r="E1268" s="351"/>
      <c r="F1268" s="485" t="s">
        <v>325</v>
      </c>
      <c r="G1268" s="351"/>
      <c r="H1268" s="486"/>
      <c r="I1268" s="350"/>
      <c r="J1268" s="351"/>
      <c r="K1268" s="485" t="s">
        <v>325</v>
      </c>
      <c r="L1268" s="350"/>
      <c r="M1268" s="351"/>
      <c r="N1268" s="491" t="s">
        <v>294</v>
      </c>
      <c r="O1268" s="350"/>
      <c r="P1268" s="350"/>
      <c r="Q1268" s="350"/>
      <c r="R1268" s="350"/>
      <c r="S1268" s="350"/>
      <c r="T1268" s="350"/>
      <c r="U1268" s="351"/>
    </row>
    <row r="1269" spans="1:21" ht="34.5" customHeight="1">
      <c r="A1269" s="24">
        <f t="shared" si="4"/>
        <v>1255</v>
      </c>
      <c r="B1269" s="488" t="s">
        <v>294</v>
      </c>
      <c r="C1269" s="351"/>
      <c r="D1269" s="489" t="s">
        <v>294</v>
      </c>
      <c r="E1269" s="351"/>
      <c r="F1269" s="485" t="s">
        <v>325</v>
      </c>
      <c r="G1269" s="351"/>
      <c r="H1269" s="487"/>
      <c r="I1269" s="350"/>
      <c r="J1269" s="351"/>
      <c r="K1269" s="485" t="s">
        <v>325</v>
      </c>
      <c r="L1269" s="350"/>
      <c r="M1269" s="351"/>
      <c r="N1269" s="490" t="s">
        <v>294</v>
      </c>
      <c r="O1269" s="350"/>
      <c r="P1269" s="350"/>
      <c r="Q1269" s="350"/>
      <c r="R1269" s="350"/>
      <c r="S1269" s="350"/>
      <c r="T1269" s="350"/>
      <c r="U1269" s="351"/>
    </row>
    <row r="1270" spans="1:21" ht="34.5" customHeight="1">
      <c r="A1270" s="24">
        <f t="shared" si="4"/>
        <v>1256</v>
      </c>
      <c r="B1270" s="483" t="s">
        <v>294</v>
      </c>
      <c r="C1270" s="351"/>
      <c r="D1270" s="484" t="s">
        <v>294</v>
      </c>
      <c r="E1270" s="351"/>
      <c r="F1270" s="485" t="s">
        <v>325</v>
      </c>
      <c r="G1270" s="351"/>
      <c r="H1270" s="486"/>
      <c r="I1270" s="350"/>
      <c r="J1270" s="351"/>
      <c r="K1270" s="485" t="s">
        <v>325</v>
      </c>
      <c r="L1270" s="350"/>
      <c r="M1270" s="351"/>
      <c r="N1270" s="491" t="s">
        <v>294</v>
      </c>
      <c r="O1270" s="350"/>
      <c r="P1270" s="350"/>
      <c r="Q1270" s="350"/>
      <c r="R1270" s="350"/>
      <c r="S1270" s="350"/>
      <c r="T1270" s="350"/>
      <c r="U1270" s="351"/>
    </row>
    <row r="1271" spans="1:21" ht="34.5" customHeight="1">
      <c r="A1271" s="24">
        <f t="shared" si="4"/>
        <v>1257</v>
      </c>
      <c r="B1271" s="488" t="s">
        <v>294</v>
      </c>
      <c r="C1271" s="351"/>
      <c r="D1271" s="489" t="s">
        <v>294</v>
      </c>
      <c r="E1271" s="351"/>
      <c r="F1271" s="485" t="s">
        <v>325</v>
      </c>
      <c r="G1271" s="351"/>
      <c r="H1271" s="487"/>
      <c r="I1271" s="350"/>
      <c r="J1271" s="351"/>
      <c r="K1271" s="485" t="s">
        <v>325</v>
      </c>
      <c r="L1271" s="350"/>
      <c r="M1271" s="351"/>
      <c r="N1271" s="490" t="s">
        <v>294</v>
      </c>
      <c r="O1271" s="350"/>
      <c r="P1271" s="350"/>
      <c r="Q1271" s="350"/>
      <c r="R1271" s="350"/>
      <c r="S1271" s="350"/>
      <c r="T1271" s="350"/>
      <c r="U1271" s="351"/>
    </row>
    <row r="1272" spans="1:21" ht="34.5" customHeight="1">
      <c r="A1272" s="24">
        <f t="shared" si="4"/>
        <v>1258</v>
      </c>
      <c r="B1272" s="483" t="s">
        <v>294</v>
      </c>
      <c r="C1272" s="351"/>
      <c r="D1272" s="484" t="s">
        <v>294</v>
      </c>
      <c r="E1272" s="351"/>
      <c r="F1272" s="485" t="s">
        <v>325</v>
      </c>
      <c r="G1272" s="351"/>
      <c r="H1272" s="486"/>
      <c r="I1272" s="350"/>
      <c r="J1272" s="351"/>
      <c r="K1272" s="485" t="s">
        <v>325</v>
      </c>
      <c r="L1272" s="350"/>
      <c r="M1272" s="351"/>
      <c r="N1272" s="491" t="s">
        <v>294</v>
      </c>
      <c r="O1272" s="350"/>
      <c r="P1272" s="350"/>
      <c r="Q1272" s="350"/>
      <c r="R1272" s="350"/>
      <c r="S1272" s="350"/>
      <c r="T1272" s="350"/>
      <c r="U1272" s="351"/>
    </row>
    <row r="1273" spans="1:21" ht="34.5" customHeight="1">
      <c r="A1273" s="24">
        <f t="shared" si="4"/>
        <v>1259</v>
      </c>
      <c r="B1273" s="488" t="s">
        <v>294</v>
      </c>
      <c r="C1273" s="351"/>
      <c r="D1273" s="489" t="s">
        <v>294</v>
      </c>
      <c r="E1273" s="351"/>
      <c r="F1273" s="485" t="s">
        <v>325</v>
      </c>
      <c r="G1273" s="351"/>
      <c r="H1273" s="487"/>
      <c r="I1273" s="350"/>
      <c r="J1273" s="351"/>
      <c r="K1273" s="485" t="s">
        <v>325</v>
      </c>
      <c r="L1273" s="350"/>
      <c r="M1273" s="351"/>
      <c r="N1273" s="490" t="s">
        <v>294</v>
      </c>
      <c r="O1273" s="350"/>
      <c r="P1273" s="350"/>
      <c r="Q1273" s="350"/>
      <c r="R1273" s="350"/>
      <c r="S1273" s="350"/>
      <c r="T1273" s="350"/>
      <c r="U1273" s="351"/>
    </row>
    <row r="1274" spans="1:21" ht="34.5" customHeight="1">
      <c r="A1274" s="24">
        <f t="shared" si="4"/>
        <v>1260</v>
      </c>
      <c r="B1274" s="483" t="s">
        <v>294</v>
      </c>
      <c r="C1274" s="351"/>
      <c r="D1274" s="484" t="s">
        <v>294</v>
      </c>
      <c r="E1274" s="351"/>
      <c r="F1274" s="485" t="s">
        <v>325</v>
      </c>
      <c r="G1274" s="351"/>
      <c r="H1274" s="486"/>
      <c r="I1274" s="350"/>
      <c r="J1274" s="351"/>
      <c r="K1274" s="485" t="s">
        <v>325</v>
      </c>
      <c r="L1274" s="350"/>
      <c r="M1274" s="351"/>
      <c r="N1274" s="491" t="s">
        <v>294</v>
      </c>
      <c r="O1274" s="350"/>
      <c r="P1274" s="350"/>
      <c r="Q1274" s="350"/>
      <c r="R1274" s="350"/>
      <c r="S1274" s="350"/>
      <c r="T1274" s="350"/>
      <c r="U1274" s="351"/>
    </row>
    <row r="1275" spans="1:21" ht="34.5" customHeight="1">
      <c r="A1275" s="24">
        <f t="shared" si="4"/>
        <v>1261</v>
      </c>
      <c r="B1275" s="488" t="s">
        <v>294</v>
      </c>
      <c r="C1275" s="351"/>
      <c r="D1275" s="489" t="s">
        <v>294</v>
      </c>
      <c r="E1275" s="351"/>
      <c r="F1275" s="485" t="s">
        <v>325</v>
      </c>
      <c r="G1275" s="351"/>
      <c r="H1275" s="487"/>
      <c r="I1275" s="350"/>
      <c r="J1275" s="351"/>
      <c r="K1275" s="485" t="s">
        <v>325</v>
      </c>
      <c r="L1275" s="350"/>
      <c r="M1275" s="351"/>
      <c r="N1275" s="490" t="s">
        <v>294</v>
      </c>
      <c r="O1275" s="350"/>
      <c r="P1275" s="350"/>
      <c r="Q1275" s="350"/>
      <c r="R1275" s="350"/>
      <c r="S1275" s="350"/>
      <c r="T1275" s="350"/>
      <c r="U1275" s="351"/>
    </row>
    <row r="1276" spans="1:21" ht="34.5" customHeight="1">
      <c r="A1276" s="24">
        <f t="shared" si="4"/>
        <v>1262</v>
      </c>
      <c r="B1276" s="483" t="s">
        <v>328</v>
      </c>
      <c r="C1276" s="351"/>
      <c r="D1276" s="484" t="s">
        <v>294</v>
      </c>
      <c r="E1276" s="351"/>
      <c r="F1276" s="485" t="s">
        <v>325</v>
      </c>
      <c r="G1276" s="351"/>
      <c r="H1276" s="486"/>
      <c r="I1276" s="350"/>
      <c r="J1276" s="351"/>
      <c r="K1276" s="485" t="s">
        <v>325</v>
      </c>
      <c r="L1276" s="350"/>
      <c r="M1276" s="351"/>
      <c r="N1276" s="491" t="s">
        <v>294</v>
      </c>
      <c r="O1276" s="350"/>
      <c r="P1276" s="350"/>
      <c r="Q1276" s="350"/>
      <c r="R1276" s="350"/>
      <c r="S1276" s="350"/>
      <c r="T1276" s="350"/>
      <c r="U1276" s="351"/>
    </row>
    <row r="1277" spans="1:21" ht="34.5" customHeight="1">
      <c r="A1277" s="24">
        <f t="shared" si="4"/>
        <v>1263</v>
      </c>
      <c r="B1277" s="488" t="s">
        <v>294</v>
      </c>
      <c r="C1277" s="351"/>
      <c r="D1277" s="489" t="s">
        <v>294</v>
      </c>
      <c r="E1277" s="351"/>
      <c r="F1277" s="485" t="s">
        <v>325</v>
      </c>
      <c r="G1277" s="351"/>
      <c r="H1277" s="487"/>
      <c r="I1277" s="350"/>
      <c r="J1277" s="351"/>
      <c r="K1277" s="485" t="s">
        <v>325</v>
      </c>
      <c r="L1277" s="350"/>
      <c r="M1277" s="351"/>
      <c r="N1277" s="490" t="s">
        <v>294</v>
      </c>
      <c r="O1277" s="350"/>
      <c r="P1277" s="350"/>
      <c r="Q1277" s="350"/>
      <c r="R1277" s="350"/>
      <c r="S1277" s="350"/>
      <c r="T1277" s="350"/>
      <c r="U1277" s="351"/>
    </row>
    <row r="1278" spans="1:21" ht="34.5" customHeight="1">
      <c r="A1278" s="24">
        <f t="shared" si="4"/>
        <v>1264</v>
      </c>
      <c r="B1278" s="483" t="s">
        <v>294</v>
      </c>
      <c r="C1278" s="351"/>
      <c r="D1278" s="484" t="s">
        <v>294</v>
      </c>
      <c r="E1278" s="351"/>
      <c r="F1278" s="485" t="s">
        <v>325</v>
      </c>
      <c r="G1278" s="351"/>
      <c r="H1278" s="486"/>
      <c r="I1278" s="350"/>
      <c r="J1278" s="351"/>
      <c r="K1278" s="485" t="s">
        <v>325</v>
      </c>
      <c r="L1278" s="350"/>
      <c r="M1278" s="351"/>
      <c r="N1278" s="491" t="s">
        <v>294</v>
      </c>
      <c r="O1278" s="350"/>
      <c r="P1278" s="350"/>
      <c r="Q1278" s="350"/>
      <c r="R1278" s="350"/>
      <c r="S1278" s="350"/>
      <c r="T1278" s="350"/>
      <c r="U1278" s="351"/>
    </row>
    <row r="1279" spans="1:21" ht="34.5" customHeight="1">
      <c r="A1279" s="24">
        <f t="shared" si="4"/>
        <v>1265</v>
      </c>
      <c r="B1279" s="488" t="s">
        <v>294</v>
      </c>
      <c r="C1279" s="351"/>
      <c r="D1279" s="489" t="s">
        <v>294</v>
      </c>
      <c r="E1279" s="351"/>
      <c r="F1279" s="485" t="s">
        <v>325</v>
      </c>
      <c r="G1279" s="351"/>
      <c r="H1279" s="487"/>
      <c r="I1279" s="350"/>
      <c r="J1279" s="351"/>
      <c r="K1279" s="485" t="s">
        <v>325</v>
      </c>
      <c r="L1279" s="350"/>
      <c r="M1279" s="351"/>
      <c r="N1279" s="490" t="s">
        <v>294</v>
      </c>
      <c r="O1279" s="350"/>
      <c r="P1279" s="350"/>
      <c r="Q1279" s="350"/>
      <c r="R1279" s="350"/>
      <c r="S1279" s="350"/>
      <c r="T1279" s="350"/>
      <c r="U1279" s="351"/>
    </row>
    <row r="1280" spans="1:21" ht="34.5" customHeight="1">
      <c r="A1280" s="24">
        <f t="shared" si="4"/>
        <v>1266</v>
      </c>
      <c r="B1280" s="483" t="s">
        <v>294</v>
      </c>
      <c r="C1280" s="351"/>
      <c r="D1280" s="484" t="s">
        <v>294</v>
      </c>
      <c r="E1280" s="351"/>
      <c r="F1280" s="485" t="s">
        <v>325</v>
      </c>
      <c r="G1280" s="351"/>
      <c r="H1280" s="486"/>
      <c r="I1280" s="350"/>
      <c r="J1280" s="351"/>
      <c r="K1280" s="485" t="s">
        <v>325</v>
      </c>
      <c r="L1280" s="350"/>
      <c r="M1280" s="351"/>
      <c r="N1280" s="491" t="s">
        <v>294</v>
      </c>
      <c r="O1280" s="350"/>
      <c r="P1280" s="350"/>
      <c r="Q1280" s="350"/>
      <c r="R1280" s="350"/>
      <c r="S1280" s="350"/>
      <c r="T1280" s="350"/>
      <c r="U1280" s="351"/>
    </row>
    <row r="1281" spans="1:21" ht="34.5" customHeight="1">
      <c r="A1281" s="24">
        <f t="shared" si="4"/>
        <v>1267</v>
      </c>
      <c r="B1281" s="488" t="s">
        <v>294</v>
      </c>
      <c r="C1281" s="351"/>
      <c r="D1281" s="489" t="s">
        <v>294</v>
      </c>
      <c r="E1281" s="351"/>
      <c r="F1281" s="485" t="s">
        <v>325</v>
      </c>
      <c r="G1281" s="351"/>
      <c r="H1281" s="487"/>
      <c r="I1281" s="350"/>
      <c r="J1281" s="351"/>
      <c r="K1281" s="485" t="s">
        <v>325</v>
      </c>
      <c r="L1281" s="350"/>
      <c r="M1281" s="351"/>
      <c r="N1281" s="490" t="s">
        <v>294</v>
      </c>
      <c r="O1281" s="350"/>
      <c r="P1281" s="350"/>
      <c r="Q1281" s="350"/>
      <c r="R1281" s="350"/>
      <c r="S1281" s="350"/>
      <c r="T1281" s="350"/>
      <c r="U1281" s="351"/>
    </row>
    <row r="1282" spans="1:21" ht="34.5" customHeight="1">
      <c r="A1282" s="24">
        <f t="shared" si="4"/>
        <v>1268</v>
      </c>
      <c r="B1282" s="483" t="s">
        <v>294</v>
      </c>
      <c r="C1282" s="351"/>
      <c r="D1282" s="484" t="s">
        <v>294</v>
      </c>
      <c r="E1282" s="351"/>
      <c r="F1282" s="485" t="s">
        <v>325</v>
      </c>
      <c r="G1282" s="351"/>
      <c r="H1282" s="486"/>
      <c r="I1282" s="350"/>
      <c r="J1282" s="351"/>
      <c r="K1282" s="485" t="s">
        <v>325</v>
      </c>
      <c r="L1282" s="350"/>
      <c r="M1282" s="351"/>
      <c r="N1282" s="491" t="s">
        <v>294</v>
      </c>
      <c r="O1282" s="350"/>
      <c r="P1282" s="350"/>
      <c r="Q1282" s="350"/>
      <c r="R1282" s="350"/>
      <c r="S1282" s="350"/>
      <c r="T1282" s="350"/>
      <c r="U1282" s="351"/>
    </row>
    <row r="1283" spans="1:21" ht="34.5" customHeight="1">
      <c r="A1283" s="24">
        <f t="shared" si="4"/>
        <v>1269</v>
      </c>
      <c r="B1283" s="488" t="s">
        <v>294</v>
      </c>
      <c r="C1283" s="351"/>
      <c r="D1283" s="489" t="s">
        <v>294</v>
      </c>
      <c r="E1283" s="351"/>
      <c r="F1283" s="485" t="s">
        <v>325</v>
      </c>
      <c r="G1283" s="351"/>
      <c r="H1283" s="487"/>
      <c r="I1283" s="350"/>
      <c r="J1283" s="351"/>
      <c r="K1283" s="485" t="s">
        <v>325</v>
      </c>
      <c r="L1283" s="350"/>
      <c r="M1283" s="351"/>
      <c r="N1283" s="490" t="s">
        <v>294</v>
      </c>
      <c r="O1283" s="350"/>
      <c r="P1283" s="350"/>
      <c r="Q1283" s="350"/>
      <c r="R1283" s="350"/>
      <c r="S1283" s="350"/>
      <c r="T1283" s="350"/>
      <c r="U1283" s="351"/>
    </row>
    <row r="1284" spans="1:21" ht="34.5" customHeight="1">
      <c r="A1284" s="24">
        <f t="shared" si="4"/>
        <v>1270</v>
      </c>
      <c r="B1284" s="483" t="s">
        <v>294</v>
      </c>
      <c r="C1284" s="351"/>
      <c r="D1284" s="484" t="s">
        <v>294</v>
      </c>
      <c r="E1284" s="351"/>
      <c r="F1284" s="485" t="s">
        <v>325</v>
      </c>
      <c r="G1284" s="351"/>
      <c r="H1284" s="486"/>
      <c r="I1284" s="350"/>
      <c r="J1284" s="351"/>
      <c r="K1284" s="485" t="s">
        <v>325</v>
      </c>
      <c r="L1284" s="350"/>
      <c r="M1284" s="351"/>
      <c r="N1284" s="491" t="s">
        <v>294</v>
      </c>
      <c r="O1284" s="350"/>
      <c r="P1284" s="350"/>
      <c r="Q1284" s="350"/>
      <c r="R1284" s="350"/>
      <c r="S1284" s="350"/>
      <c r="T1284" s="350"/>
      <c r="U1284" s="351"/>
    </row>
    <row r="1285" spans="1:21" ht="34.5" customHeight="1">
      <c r="A1285" s="24">
        <f t="shared" si="4"/>
        <v>1271</v>
      </c>
      <c r="B1285" s="488" t="s">
        <v>326</v>
      </c>
      <c r="C1285" s="351"/>
      <c r="D1285" s="489" t="s">
        <v>294</v>
      </c>
      <c r="E1285" s="351"/>
      <c r="F1285" s="485" t="s">
        <v>325</v>
      </c>
      <c r="G1285" s="351"/>
      <c r="H1285" s="487"/>
      <c r="I1285" s="350"/>
      <c r="J1285" s="351"/>
      <c r="K1285" s="485" t="s">
        <v>325</v>
      </c>
      <c r="L1285" s="350"/>
      <c r="M1285" s="351"/>
      <c r="N1285" s="490" t="s">
        <v>294</v>
      </c>
      <c r="O1285" s="350"/>
      <c r="P1285" s="350"/>
      <c r="Q1285" s="350"/>
      <c r="R1285" s="350"/>
      <c r="S1285" s="350"/>
      <c r="T1285" s="350"/>
      <c r="U1285" s="351"/>
    </row>
    <row r="1286" spans="1:21" ht="34.5" customHeight="1">
      <c r="A1286" s="24">
        <f t="shared" si="4"/>
        <v>1272</v>
      </c>
      <c r="B1286" s="483" t="s">
        <v>294</v>
      </c>
      <c r="C1286" s="351"/>
      <c r="D1286" s="484" t="s">
        <v>294</v>
      </c>
      <c r="E1286" s="351"/>
      <c r="F1286" s="485" t="s">
        <v>325</v>
      </c>
      <c r="G1286" s="351"/>
      <c r="H1286" s="486"/>
      <c r="I1286" s="350"/>
      <c r="J1286" s="351"/>
      <c r="K1286" s="485" t="s">
        <v>325</v>
      </c>
      <c r="L1286" s="350"/>
      <c r="M1286" s="351"/>
      <c r="N1286" s="491" t="s">
        <v>294</v>
      </c>
      <c r="O1286" s="350"/>
      <c r="P1286" s="350"/>
      <c r="Q1286" s="350"/>
      <c r="R1286" s="350"/>
      <c r="S1286" s="350"/>
      <c r="T1286" s="350"/>
      <c r="U1286" s="351"/>
    </row>
    <row r="1287" spans="1:21" ht="34.5" customHeight="1">
      <c r="A1287" s="24">
        <f t="shared" si="4"/>
        <v>1273</v>
      </c>
      <c r="B1287" s="488" t="s">
        <v>294</v>
      </c>
      <c r="C1287" s="351"/>
      <c r="D1287" s="489" t="s">
        <v>294</v>
      </c>
      <c r="E1287" s="351"/>
      <c r="F1287" s="485" t="s">
        <v>325</v>
      </c>
      <c r="G1287" s="351"/>
      <c r="H1287" s="487"/>
      <c r="I1287" s="350"/>
      <c r="J1287" s="351"/>
      <c r="K1287" s="485" t="s">
        <v>325</v>
      </c>
      <c r="L1287" s="350"/>
      <c r="M1287" s="351"/>
      <c r="N1287" s="490" t="s">
        <v>294</v>
      </c>
      <c r="O1287" s="350"/>
      <c r="P1287" s="350"/>
      <c r="Q1287" s="350"/>
      <c r="R1287" s="350"/>
      <c r="S1287" s="350"/>
      <c r="T1287" s="350"/>
      <c r="U1287" s="351"/>
    </row>
    <row r="1288" spans="1:21" ht="34.5" customHeight="1">
      <c r="A1288" s="24">
        <f t="shared" si="4"/>
        <v>1274</v>
      </c>
      <c r="B1288" s="483" t="s">
        <v>294</v>
      </c>
      <c r="C1288" s="351"/>
      <c r="D1288" s="484" t="s">
        <v>294</v>
      </c>
      <c r="E1288" s="351"/>
      <c r="F1288" s="485" t="s">
        <v>325</v>
      </c>
      <c r="G1288" s="351"/>
      <c r="H1288" s="486"/>
      <c r="I1288" s="350"/>
      <c r="J1288" s="351"/>
      <c r="K1288" s="485" t="s">
        <v>325</v>
      </c>
      <c r="L1288" s="350"/>
      <c r="M1288" s="351"/>
      <c r="N1288" s="491" t="s">
        <v>294</v>
      </c>
      <c r="O1288" s="350"/>
      <c r="P1288" s="350"/>
      <c r="Q1288" s="350"/>
      <c r="R1288" s="350"/>
      <c r="S1288" s="350"/>
      <c r="T1288" s="350"/>
      <c r="U1288" s="351"/>
    </row>
    <row r="1289" spans="1:21" ht="34.5" customHeight="1">
      <c r="A1289" s="24">
        <f t="shared" si="4"/>
        <v>1275</v>
      </c>
      <c r="B1289" s="488" t="s">
        <v>294</v>
      </c>
      <c r="C1289" s="351"/>
      <c r="D1289" s="489" t="s">
        <v>294</v>
      </c>
      <c r="E1289" s="351"/>
      <c r="F1289" s="485" t="s">
        <v>325</v>
      </c>
      <c r="G1289" s="351"/>
      <c r="H1289" s="487"/>
      <c r="I1289" s="350"/>
      <c r="J1289" s="351"/>
      <c r="K1289" s="485" t="s">
        <v>325</v>
      </c>
      <c r="L1289" s="350"/>
      <c r="M1289" s="351"/>
      <c r="N1289" s="490" t="s">
        <v>294</v>
      </c>
      <c r="O1289" s="350"/>
      <c r="P1289" s="350"/>
      <c r="Q1289" s="350"/>
      <c r="R1289" s="350"/>
      <c r="S1289" s="350"/>
      <c r="T1289" s="350"/>
      <c r="U1289" s="351"/>
    </row>
    <row r="1290" spans="1:21" ht="34.5" customHeight="1">
      <c r="A1290" s="24">
        <f t="shared" ref="A1290:A1514" si="5">ROW(A1276)</f>
        <v>1276</v>
      </c>
      <c r="B1290" s="483" t="s">
        <v>294</v>
      </c>
      <c r="C1290" s="351"/>
      <c r="D1290" s="484" t="s">
        <v>294</v>
      </c>
      <c r="E1290" s="351"/>
      <c r="F1290" s="485" t="s">
        <v>325</v>
      </c>
      <c r="G1290" s="351"/>
      <c r="H1290" s="486"/>
      <c r="I1290" s="350"/>
      <c r="J1290" s="351"/>
      <c r="K1290" s="485" t="s">
        <v>325</v>
      </c>
      <c r="L1290" s="350"/>
      <c r="M1290" s="351"/>
      <c r="N1290" s="491" t="s">
        <v>294</v>
      </c>
      <c r="O1290" s="350"/>
      <c r="P1290" s="350"/>
      <c r="Q1290" s="350"/>
      <c r="R1290" s="350"/>
      <c r="S1290" s="350"/>
      <c r="T1290" s="350"/>
      <c r="U1290" s="351"/>
    </row>
    <row r="1291" spans="1:21" ht="34.5" customHeight="1">
      <c r="A1291" s="24">
        <f t="shared" si="5"/>
        <v>1277</v>
      </c>
      <c r="B1291" s="488" t="s">
        <v>294</v>
      </c>
      <c r="C1291" s="351"/>
      <c r="D1291" s="489" t="s">
        <v>294</v>
      </c>
      <c r="E1291" s="351"/>
      <c r="F1291" s="485" t="s">
        <v>325</v>
      </c>
      <c r="G1291" s="351"/>
      <c r="H1291" s="487"/>
      <c r="I1291" s="350"/>
      <c r="J1291" s="351"/>
      <c r="K1291" s="485" t="s">
        <v>325</v>
      </c>
      <c r="L1291" s="350"/>
      <c r="M1291" s="351"/>
      <c r="N1291" s="490" t="s">
        <v>294</v>
      </c>
      <c r="O1291" s="350"/>
      <c r="P1291" s="350"/>
      <c r="Q1291" s="350"/>
      <c r="R1291" s="350"/>
      <c r="S1291" s="350"/>
      <c r="T1291" s="350"/>
      <c r="U1291" s="351"/>
    </row>
    <row r="1292" spans="1:21" ht="34.5" customHeight="1">
      <c r="A1292" s="24">
        <f t="shared" si="5"/>
        <v>1278</v>
      </c>
      <c r="B1292" s="483" t="s">
        <v>294</v>
      </c>
      <c r="C1292" s="351"/>
      <c r="D1292" s="484" t="s">
        <v>294</v>
      </c>
      <c r="E1292" s="351"/>
      <c r="F1292" s="485" t="s">
        <v>325</v>
      </c>
      <c r="G1292" s="351"/>
      <c r="H1292" s="486"/>
      <c r="I1292" s="350"/>
      <c r="J1292" s="351"/>
      <c r="K1292" s="485" t="s">
        <v>325</v>
      </c>
      <c r="L1292" s="350"/>
      <c r="M1292" s="351"/>
      <c r="N1292" s="491" t="s">
        <v>294</v>
      </c>
      <c r="O1292" s="350"/>
      <c r="P1292" s="350"/>
      <c r="Q1292" s="350"/>
      <c r="R1292" s="350"/>
      <c r="S1292" s="350"/>
      <c r="T1292" s="350"/>
      <c r="U1292" s="351"/>
    </row>
    <row r="1293" spans="1:21" ht="34.5" customHeight="1">
      <c r="A1293" s="24">
        <f t="shared" si="5"/>
        <v>1279</v>
      </c>
      <c r="B1293" s="488" t="s">
        <v>329</v>
      </c>
      <c r="C1293" s="351"/>
      <c r="D1293" s="489" t="s">
        <v>294</v>
      </c>
      <c r="E1293" s="351"/>
      <c r="F1293" s="485" t="s">
        <v>325</v>
      </c>
      <c r="G1293" s="351"/>
      <c r="H1293" s="487"/>
      <c r="I1293" s="350"/>
      <c r="J1293" s="351"/>
      <c r="K1293" s="485" t="s">
        <v>325</v>
      </c>
      <c r="L1293" s="350"/>
      <c r="M1293" s="351"/>
      <c r="N1293" s="490" t="s">
        <v>294</v>
      </c>
      <c r="O1293" s="350"/>
      <c r="P1293" s="350"/>
      <c r="Q1293" s="350"/>
      <c r="R1293" s="350"/>
      <c r="S1293" s="350"/>
      <c r="T1293" s="350"/>
      <c r="U1293" s="351"/>
    </row>
    <row r="1294" spans="1:21" ht="34.5" customHeight="1">
      <c r="A1294" s="24">
        <f t="shared" si="5"/>
        <v>1280</v>
      </c>
      <c r="B1294" s="483" t="s">
        <v>294</v>
      </c>
      <c r="C1294" s="351"/>
      <c r="D1294" s="484" t="s">
        <v>294</v>
      </c>
      <c r="E1294" s="351"/>
      <c r="F1294" s="485" t="s">
        <v>325</v>
      </c>
      <c r="G1294" s="351"/>
      <c r="H1294" s="486"/>
      <c r="I1294" s="350"/>
      <c r="J1294" s="351"/>
      <c r="K1294" s="485" t="s">
        <v>325</v>
      </c>
      <c r="L1294" s="350"/>
      <c r="M1294" s="351"/>
      <c r="N1294" s="491" t="s">
        <v>294</v>
      </c>
      <c r="O1294" s="350"/>
      <c r="P1294" s="350"/>
      <c r="Q1294" s="350"/>
      <c r="R1294" s="350"/>
      <c r="S1294" s="350"/>
      <c r="T1294" s="350"/>
      <c r="U1294" s="351"/>
    </row>
    <row r="1295" spans="1:21" ht="34.5" customHeight="1">
      <c r="A1295" s="24">
        <f t="shared" si="5"/>
        <v>1281</v>
      </c>
      <c r="B1295" s="488" t="s">
        <v>294</v>
      </c>
      <c r="C1295" s="351"/>
      <c r="D1295" s="489" t="s">
        <v>294</v>
      </c>
      <c r="E1295" s="351"/>
      <c r="F1295" s="485" t="s">
        <v>325</v>
      </c>
      <c r="G1295" s="351"/>
      <c r="H1295" s="487"/>
      <c r="I1295" s="350"/>
      <c r="J1295" s="351"/>
      <c r="K1295" s="485" t="s">
        <v>325</v>
      </c>
      <c r="L1295" s="350"/>
      <c r="M1295" s="351"/>
      <c r="N1295" s="490" t="s">
        <v>294</v>
      </c>
      <c r="O1295" s="350"/>
      <c r="P1295" s="350"/>
      <c r="Q1295" s="350"/>
      <c r="R1295" s="350"/>
      <c r="S1295" s="350"/>
      <c r="T1295" s="350"/>
      <c r="U1295" s="351"/>
    </row>
    <row r="1296" spans="1:21" ht="34.5" customHeight="1">
      <c r="A1296" s="24">
        <f t="shared" si="5"/>
        <v>1282</v>
      </c>
      <c r="B1296" s="483" t="s">
        <v>294</v>
      </c>
      <c r="C1296" s="351"/>
      <c r="D1296" s="484" t="s">
        <v>294</v>
      </c>
      <c r="E1296" s="351"/>
      <c r="F1296" s="485" t="s">
        <v>325</v>
      </c>
      <c r="G1296" s="351"/>
      <c r="H1296" s="486"/>
      <c r="I1296" s="350"/>
      <c r="J1296" s="351"/>
      <c r="K1296" s="485" t="s">
        <v>325</v>
      </c>
      <c r="L1296" s="350"/>
      <c r="M1296" s="351"/>
      <c r="N1296" s="491" t="s">
        <v>294</v>
      </c>
      <c r="O1296" s="350"/>
      <c r="P1296" s="350"/>
      <c r="Q1296" s="350"/>
      <c r="R1296" s="350"/>
      <c r="S1296" s="350"/>
      <c r="T1296" s="350"/>
      <c r="U1296" s="351"/>
    </row>
    <row r="1297" spans="1:21" ht="34.5" customHeight="1">
      <c r="A1297" s="24">
        <f t="shared" si="5"/>
        <v>1283</v>
      </c>
      <c r="B1297" s="488" t="s">
        <v>294</v>
      </c>
      <c r="C1297" s="351"/>
      <c r="D1297" s="489" t="s">
        <v>294</v>
      </c>
      <c r="E1297" s="351"/>
      <c r="F1297" s="485" t="s">
        <v>325</v>
      </c>
      <c r="G1297" s="351"/>
      <c r="H1297" s="487"/>
      <c r="I1297" s="350"/>
      <c r="J1297" s="351"/>
      <c r="K1297" s="485" t="s">
        <v>325</v>
      </c>
      <c r="L1297" s="350"/>
      <c r="M1297" s="351"/>
      <c r="N1297" s="490" t="s">
        <v>294</v>
      </c>
      <c r="O1297" s="350"/>
      <c r="P1297" s="350"/>
      <c r="Q1297" s="350"/>
      <c r="R1297" s="350"/>
      <c r="S1297" s="350"/>
      <c r="T1297" s="350"/>
      <c r="U1297" s="351"/>
    </row>
    <row r="1298" spans="1:21" ht="34.5" customHeight="1">
      <c r="A1298" s="24">
        <f t="shared" si="5"/>
        <v>1284</v>
      </c>
      <c r="B1298" s="483" t="s">
        <v>294</v>
      </c>
      <c r="C1298" s="351"/>
      <c r="D1298" s="484" t="s">
        <v>294</v>
      </c>
      <c r="E1298" s="351"/>
      <c r="F1298" s="485" t="s">
        <v>325</v>
      </c>
      <c r="G1298" s="351"/>
      <c r="H1298" s="486"/>
      <c r="I1298" s="350"/>
      <c r="J1298" s="351"/>
      <c r="K1298" s="485" t="s">
        <v>325</v>
      </c>
      <c r="L1298" s="350"/>
      <c r="M1298" s="351"/>
      <c r="N1298" s="491" t="s">
        <v>294</v>
      </c>
      <c r="O1298" s="350"/>
      <c r="P1298" s="350"/>
      <c r="Q1298" s="350"/>
      <c r="R1298" s="350"/>
      <c r="S1298" s="350"/>
      <c r="T1298" s="350"/>
      <c r="U1298" s="351"/>
    </row>
    <row r="1299" spans="1:21" ht="34.5" customHeight="1">
      <c r="A1299" s="24">
        <f t="shared" si="5"/>
        <v>1285</v>
      </c>
      <c r="B1299" s="488" t="s">
        <v>294</v>
      </c>
      <c r="C1299" s="351"/>
      <c r="D1299" s="489" t="s">
        <v>294</v>
      </c>
      <c r="E1299" s="351"/>
      <c r="F1299" s="485" t="s">
        <v>325</v>
      </c>
      <c r="G1299" s="351"/>
      <c r="H1299" s="487"/>
      <c r="I1299" s="350"/>
      <c r="J1299" s="351"/>
      <c r="K1299" s="485" t="s">
        <v>325</v>
      </c>
      <c r="L1299" s="350"/>
      <c r="M1299" s="351"/>
      <c r="N1299" s="490" t="s">
        <v>294</v>
      </c>
      <c r="O1299" s="350"/>
      <c r="P1299" s="350"/>
      <c r="Q1299" s="350"/>
      <c r="R1299" s="350"/>
      <c r="S1299" s="350"/>
      <c r="T1299" s="350"/>
      <c r="U1299" s="351"/>
    </row>
    <row r="1300" spans="1:21" ht="34.5" customHeight="1">
      <c r="A1300" s="24">
        <f t="shared" si="5"/>
        <v>1286</v>
      </c>
      <c r="B1300" s="483" t="s">
        <v>294</v>
      </c>
      <c r="C1300" s="351"/>
      <c r="D1300" s="484" t="s">
        <v>294</v>
      </c>
      <c r="E1300" s="351"/>
      <c r="F1300" s="485" t="s">
        <v>325</v>
      </c>
      <c r="G1300" s="351"/>
      <c r="H1300" s="486"/>
      <c r="I1300" s="350"/>
      <c r="J1300" s="351"/>
      <c r="K1300" s="485" t="s">
        <v>325</v>
      </c>
      <c r="L1300" s="350"/>
      <c r="M1300" s="351"/>
      <c r="N1300" s="491" t="s">
        <v>294</v>
      </c>
      <c r="O1300" s="350"/>
      <c r="P1300" s="350"/>
      <c r="Q1300" s="350"/>
      <c r="R1300" s="350"/>
      <c r="S1300" s="350"/>
      <c r="T1300" s="350"/>
      <c r="U1300" s="351"/>
    </row>
    <row r="1301" spans="1:21" ht="34.5" customHeight="1">
      <c r="A1301" s="24">
        <f t="shared" si="5"/>
        <v>1287</v>
      </c>
      <c r="B1301" s="488" t="s">
        <v>294</v>
      </c>
      <c r="C1301" s="351"/>
      <c r="D1301" s="489" t="s">
        <v>294</v>
      </c>
      <c r="E1301" s="351"/>
      <c r="F1301" s="485" t="s">
        <v>325</v>
      </c>
      <c r="G1301" s="351"/>
      <c r="H1301" s="487"/>
      <c r="I1301" s="350"/>
      <c r="J1301" s="351"/>
      <c r="K1301" s="485" t="s">
        <v>325</v>
      </c>
      <c r="L1301" s="350"/>
      <c r="M1301" s="351"/>
      <c r="N1301" s="490" t="s">
        <v>294</v>
      </c>
      <c r="O1301" s="350"/>
      <c r="P1301" s="350"/>
      <c r="Q1301" s="350"/>
      <c r="R1301" s="350"/>
      <c r="S1301" s="350"/>
      <c r="T1301" s="350"/>
      <c r="U1301" s="351"/>
    </row>
    <row r="1302" spans="1:21" ht="34.5" customHeight="1">
      <c r="A1302" s="24">
        <f t="shared" si="5"/>
        <v>1288</v>
      </c>
      <c r="B1302" s="483" t="s">
        <v>294</v>
      </c>
      <c r="C1302" s="351"/>
      <c r="D1302" s="484" t="s">
        <v>294</v>
      </c>
      <c r="E1302" s="351"/>
      <c r="F1302" s="485" t="s">
        <v>325</v>
      </c>
      <c r="G1302" s="351"/>
      <c r="H1302" s="486"/>
      <c r="I1302" s="350"/>
      <c r="J1302" s="351"/>
      <c r="K1302" s="485" t="s">
        <v>325</v>
      </c>
      <c r="L1302" s="350"/>
      <c r="M1302" s="351"/>
      <c r="N1302" s="491" t="s">
        <v>294</v>
      </c>
      <c r="O1302" s="350"/>
      <c r="P1302" s="350"/>
      <c r="Q1302" s="350"/>
      <c r="R1302" s="350"/>
      <c r="S1302" s="350"/>
      <c r="T1302" s="350"/>
      <c r="U1302" s="351"/>
    </row>
    <row r="1303" spans="1:21" ht="34.5" customHeight="1">
      <c r="A1303" s="24">
        <f t="shared" si="5"/>
        <v>1289</v>
      </c>
      <c r="B1303" s="488" t="s">
        <v>294</v>
      </c>
      <c r="C1303" s="351"/>
      <c r="D1303" s="489" t="s">
        <v>294</v>
      </c>
      <c r="E1303" s="351"/>
      <c r="F1303" s="485" t="s">
        <v>325</v>
      </c>
      <c r="G1303" s="351"/>
      <c r="H1303" s="487"/>
      <c r="I1303" s="350"/>
      <c r="J1303" s="351"/>
      <c r="K1303" s="485" t="s">
        <v>325</v>
      </c>
      <c r="L1303" s="350"/>
      <c r="M1303" s="351"/>
      <c r="N1303" s="490" t="s">
        <v>294</v>
      </c>
      <c r="O1303" s="350"/>
      <c r="P1303" s="350"/>
      <c r="Q1303" s="350"/>
      <c r="R1303" s="350"/>
      <c r="S1303" s="350"/>
      <c r="T1303" s="350"/>
      <c r="U1303" s="351"/>
    </row>
    <row r="1304" spans="1:21" ht="34.5" customHeight="1">
      <c r="A1304" s="24">
        <f t="shared" si="5"/>
        <v>1290</v>
      </c>
      <c r="B1304" s="483" t="s">
        <v>294</v>
      </c>
      <c r="C1304" s="351"/>
      <c r="D1304" s="484" t="s">
        <v>294</v>
      </c>
      <c r="E1304" s="351"/>
      <c r="F1304" s="485" t="s">
        <v>325</v>
      </c>
      <c r="G1304" s="351"/>
      <c r="H1304" s="486"/>
      <c r="I1304" s="350"/>
      <c r="J1304" s="351"/>
      <c r="K1304" s="485" t="s">
        <v>325</v>
      </c>
      <c r="L1304" s="350"/>
      <c r="M1304" s="351"/>
      <c r="N1304" s="491" t="s">
        <v>294</v>
      </c>
      <c r="O1304" s="350"/>
      <c r="P1304" s="350"/>
      <c r="Q1304" s="350"/>
      <c r="R1304" s="350"/>
      <c r="S1304" s="350"/>
      <c r="T1304" s="350"/>
      <c r="U1304" s="351"/>
    </row>
    <row r="1305" spans="1:21" ht="34.5" customHeight="1">
      <c r="A1305" s="24">
        <f t="shared" si="5"/>
        <v>1291</v>
      </c>
      <c r="B1305" s="488" t="s">
        <v>327</v>
      </c>
      <c r="C1305" s="351"/>
      <c r="D1305" s="489" t="s">
        <v>294</v>
      </c>
      <c r="E1305" s="351"/>
      <c r="F1305" s="485" t="s">
        <v>325</v>
      </c>
      <c r="G1305" s="351"/>
      <c r="H1305" s="487"/>
      <c r="I1305" s="350"/>
      <c r="J1305" s="351"/>
      <c r="K1305" s="485" t="s">
        <v>325</v>
      </c>
      <c r="L1305" s="350"/>
      <c r="M1305" s="351"/>
      <c r="N1305" s="490" t="s">
        <v>294</v>
      </c>
      <c r="O1305" s="350"/>
      <c r="P1305" s="350"/>
      <c r="Q1305" s="350"/>
      <c r="R1305" s="350"/>
      <c r="S1305" s="350"/>
      <c r="T1305" s="350"/>
      <c r="U1305" s="351"/>
    </row>
    <row r="1306" spans="1:21" ht="34.5" customHeight="1">
      <c r="A1306" s="24">
        <f t="shared" si="5"/>
        <v>1292</v>
      </c>
      <c r="B1306" s="483" t="s">
        <v>294</v>
      </c>
      <c r="C1306" s="351"/>
      <c r="D1306" s="484" t="s">
        <v>294</v>
      </c>
      <c r="E1306" s="351"/>
      <c r="F1306" s="485" t="s">
        <v>325</v>
      </c>
      <c r="G1306" s="351"/>
      <c r="H1306" s="486"/>
      <c r="I1306" s="350"/>
      <c r="J1306" s="351"/>
      <c r="K1306" s="485" t="s">
        <v>325</v>
      </c>
      <c r="L1306" s="350"/>
      <c r="M1306" s="351"/>
      <c r="N1306" s="491" t="s">
        <v>294</v>
      </c>
      <c r="O1306" s="350"/>
      <c r="P1306" s="350"/>
      <c r="Q1306" s="350"/>
      <c r="R1306" s="350"/>
      <c r="S1306" s="350"/>
      <c r="T1306" s="350"/>
      <c r="U1306" s="351"/>
    </row>
    <row r="1307" spans="1:21" ht="34.5" customHeight="1">
      <c r="A1307" s="24">
        <f t="shared" si="5"/>
        <v>1293</v>
      </c>
      <c r="B1307" s="488" t="s">
        <v>294</v>
      </c>
      <c r="C1307" s="351"/>
      <c r="D1307" s="489" t="s">
        <v>294</v>
      </c>
      <c r="E1307" s="351"/>
      <c r="F1307" s="485" t="s">
        <v>325</v>
      </c>
      <c r="G1307" s="351"/>
      <c r="H1307" s="487"/>
      <c r="I1307" s="350"/>
      <c r="J1307" s="351"/>
      <c r="K1307" s="485" t="s">
        <v>325</v>
      </c>
      <c r="L1307" s="350"/>
      <c r="M1307" s="351"/>
      <c r="N1307" s="490" t="s">
        <v>294</v>
      </c>
      <c r="O1307" s="350"/>
      <c r="P1307" s="350"/>
      <c r="Q1307" s="350"/>
      <c r="R1307" s="350"/>
      <c r="S1307" s="350"/>
      <c r="T1307" s="350"/>
      <c r="U1307" s="351"/>
    </row>
    <row r="1308" spans="1:21" ht="34.5" customHeight="1">
      <c r="A1308" s="24">
        <f t="shared" si="5"/>
        <v>1294</v>
      </c>
      <c r="B1308" s="483" t="s">
        <v>294</v>
      </c>
      <c r="C1308" s="351"/>
      <c r="D1308" s="484" t="s">
        <v>294</v>
      </c>
      <c r="E1308" s="351"/>
      <c r="F1308" s="485" t="s">
        <v>325</v>
      </c>
      <c r="G1308" s="351"/>
      <c r="H1308" s="486"/>
      <c r="I1308" s="350"/>
      <c r="J1308" s="351"/>
      <c r="K1308" s="485" t="s">
        <v>325</v>
      </c>
      <c r="L1308" s="350"/>
      <c r="M1308" s="351"/>
      <c r="N1308" s="491" t="s">
        <v>294</v>
      </c>
      <c r="O1308" s="350"/>
      <c r="P1308" s="350"/>
      <c r="Q1308" s="350"/>
      <c r="R1308" s="350"/>
      <c r="S1308" s="350"/>
      <c r="T1308" s="350"/>
      <c r="U1308" s="351"/>
    </row>
    <row r="1309" spans="1:21" ht="34.5" customHeight="1">
      <c r="A1309" s="24">
        <f t="shared" si="5"/>
        <v>1295</v>
      </c>
      <c r="B1309" s="488" t="s">
        <v>294</v>
      </c>
      <c r="C1309" s="351"/>
      <c r="D1309" s="489" t="s">
        <v>294</v>
      </c>
      <c r="E1309" s="351"/>
      <c r="F1309" s="485" t="s">
        <v>325</v>
      </c>
      <c r="G1309" s="351"/>
      <c r="H1309" s="487"/>
      <c r="I1309" s="350"/>
      <c r="J1309" s="351"/>
      <c r="K1309" s="485" t="s">
        <v>325</v>
      </c>
      <c r="L1309" s="350"/>
      <c r="M1309" s="351"/>
      <c r="N1309" s="490" t="s">
        <v>294</v>
      </c>
      <c r="O1309" s="350"/>
      <c r="P1309" s="350"/>
      <c r="Q1309" s="350"/>
      <c r="R1309" s="350"/>
      <c r="S1309" s="350"/>
      <c r="T1309" s="350"/>
      <c r="U1309" s="351"/>
    </row>
    <row r="1310" spans="1:21" ht="34.5" customHeight="1">
      <c r="A1310" s="24">
        <f t="shared" si="5"/>
        <v>1296</v>
      </c>
      <c r="B1310" s="483" t="s">
        <v>294</v>
      </c>
      <c r="C1310" s="351"/>
      <c r="D1310" s="484" t="s">
        <v>294</v>
      </c>
      <c r="E1310" s="351"/>
      <c r="F1310" s="485" t="s">
        <v>325</v>
      </c>
      <c r="G1310" s="351"/>
      <c r="H1310" s="486"/>
      <c r="I1310" s="350"/>
      <c r="J1310" s="351"/>
      <c r="K1310" s="485" t="s">
        <v>325</v>
      </c>
      <c r="L1310" s="350"/>
      <c r="M1310" s="351"/>
      <c r="N1310" s="491" t="s">
        <v>294</v>
      </c>
      <c r="O1310" s="350"/>
      <c r="P1310" s="350"/>
      <c r="Q1310" s="350"/>
      <c r="R1310" s="350"/>
      <c r="S1310" s="350"/>
      <c r="T1310" s="350"/>
      <c r="U1310" s="351"/>
    </row>
    <row r="1311" spans="1:21" ht="34.5" customHeight="1">
      <c r="A1311" s="24">
        <f t="shared" si="5"/>
        <v>1297</v>
      </c>
      <c r="B1311" s="488" t="s">
        <v>294</v>
      </c>
      <c r="C1311" s="351"/>
      <c r="D1311" s="489" t="s">
        <v>294</v>
      </c>
      <c r="E1311" s="351"/>
      <c r="F1311" s="485" t="s">
        <v>325</v>
      </c>
      <c r="G1311" s="351"/>
      <c r="H1311" s="487"/>
      <c r="I1311" s="350"/>
      <c r="J1311" s="351"/>
      <c r="K1311" s="485" t="s">
        <v>325</v>
      </c>
      <c r="L1311" s="350"/>
      <c r="M1311" s="351"/>
      <c r="N1311" s="490" t="s">
        <v>294</v>
      </c>
      <c r="O1311" s="350"/>
      <c r="P1311" s="350"/>
      <c r="Q1311" s="350"/>
      <c r="R1311" s="350"/>
      <c r="S1311" s="350"/>
      <c r="T1311" s="350"/>
      <c r="U1311" s="351"/>
    </row>
    <row r="1312" spans="1:21" ht="34.5" customHeight="1">
      <c r="A1312" s="24">
        <f t="shared" si="5"/>
        <v>1298</v>
      </c>
      <c r="B1312" s="483" t="s">
        <v>294</v>
      </c>
      <c r="C1312" s="351"/>
      <c r="D1312" s="484" t="s">
        <v>294</v>
      </c>
      <c r="E1312" s="351"/>
      <c r="F1312" s="485" t="s">
        <v>325</v>
      </c>
      <c r="G1312" s="351"/>
      <c r="H1312" s="486"/>
      <c r="I1312" s="350"/>
      <c r="J1312" s="351"/>
      <c r="K1312" s="485" t="s">
        <v>325</v>
      </c>
      <c r="L1312" s="350"/>
      <c r="M1312" s="351"/>
      <c r="N1312" s="491" t="s">
        <v>294</v>
      </c>
      <c r="O1312" s="350"/>
      <c r="P1312" s="350"/>
      <c r="Q1312" s="350"/>
      <c r="R1312" s="350"/>
      <c r="S1312" s="350"/>
      <c r="T1312" s="350"/>
      <c r="U1312" s="351"/>
    </row>
    <row r="1313" spans="1:21" ht="34.5" customHeight="1">
      <c r="A1313" s="24">
        <f t="shared" si="5"/>
        <v>1299</v>
      </c>
      <c r="B1313" s="488" t="s">
        <v>326</v>
      </c>
      <c r="C1313" s="351"/>
      <c r="D1313" s="489" t="s">
        <v>294</v>
      </c>
      <c r="E1313" s="351"/>
      <c r="F1313" s="485" t="s">
        <v>325</v>
      </c>
      <c r="G1313" s="351"/>
      <c r="H1313" s="487"/>
      <c r="I1313" s="350"/>
      <c r="J1313" s="351"/>
      <c r="K1313" s="485" t="s">
        <v>325</v>
      </c>
      <c r="L1313" s="350"/>
      <c r="M1313" s="351"/>
      <c r="N1313" s="490" t="s">
        <v>294</v>
      </c>
      <c r="O1313" s="350"/>
      <c r="P1313" s="350"/>
      <c r="Q1313" s="350"/>
      <c r="R1313" s="350"/>
      <c r="S1313" s="350"/>
      <c r="T1313" s="350"/>
      <c r="U1313" s="351"/>
    </row>
    <row r="1314" spans="1:21" ht="34.5" customHeight="1">
      <c r="A1314" s="24">
        <f t="shared" si="5"/>
        <v>1300</v>
      </c>
      <c r="B1314" s="483" t="s">
        <v>294</v>
      </c>
      <c r="C1314" s="351"/>
      <c r="D1314" s="484" t="s">
        <v>294</v>
      </c>
      <c r="E1314" s="351"/>
      <c r="F1314" s="485" t="s">
        <v>325</v>
      </c>
      <c r="G1314" s="351"/>
      <c r="H1314" s="486"/>
      <c r="I1314" s="350"/>
      <c r="J1314" s="351"/>
      <c r="K1314" s="485" t="s">
        <v>325</v>
      </c>
      <c r="L1314" s="350"/>
      <c r="M1314" s="351"/>
      <c r="N1314" s="491" t="s">
        <v>294</v>
      </c>
      <c r="O1314" s="350"/>
      <c r="P1314" s="350"/>
      <c r="Q1314" s="350"/>
      <c r="R1314" s="350"/>
      <c r="S1314" s="350"/>
      <c r="T1314" s="350"/>
      <c r="U1314" s="351"/>
    </row>
    <row r="1315" spans="1:21" ht="34.5" customHeight="1">
      <c r="A1315" s="24">
        <f t="shared" si="5"/>
        <v>1301</v>
      </c>
      <c r="B1315" s="488" t="s">
        <v>294</v>
      </c>
      <c r="C1315" s="351"/>
      <c r="D1315" s="489" t="s">
        <v>294</v>
      </c>
      <c r="E1315" s="351"/>
      <c r="F1315" s="485" t="s">
        <v>325</v>
      </c>
      <c r="G1315" s="351"/>
      <c r="H1315" s="487"/>
      <c r="I1315" s="350"/>
      <c r="J1315" s="351"/>
      <c r="K1315" s="485" t="s">
        <v>325</v>
      </c>
      <c r="L1315" s="350"/>
      <c r="M1315" s="351"/>
      <c r="N1315" s="490" t="s">
        <v>294</v>
      </c>
      <c r="O1315" s="350"/>
      <c r="P1315" s="350"/>
      <c r="Q1315" s="350"/>
      <c r="R1315" s="350"/>
      <c r="S1315" s="350"/>
      <c r="T1315" s="350"/>
      <c r="U1315" s="351"/>
    </row>
    <row r="1316" spans="1:21" ht="34.5" customHeight="1">
      <c r="A1316" s="24">
        <f t="shared" si="5"/>
        <v>1302</v>
      </c>
      <c r="B1316" s="483" t="s">
        <v>294</v>
      </c>
      <c r="C1316" s="351"/>
      <c r="D1316" s="484" t="s">
        <v>294</v>
      </c>
      <c r="E1316" s="351"/>
      <c r="F1316" s="485" t="s">
        <v>325</v>
      </c>
      <c r="G1316" s="351"/>
      <c r="H1316" s="486"/>
      <c r="I1316" s="350"/>
      <c r="J1316" s="351"/>
      <c r="K1316" s="485" t="s">
        <v>325</v>
      </c>
      <c r="L1316" s="350"/>
      <c r="M1316" s="351"/>
      <c r="N1316" s="491" t="s">
        <v>294</v>
      </c>
      <c r="O1316" s="350"/>
      <c r="P1316" s="350"/>
      <c r="Q1316" s="350"/>
      <c r="R1316" s="350"/>
      <c r="S1316" s="350"/>
      <c r="T1316" s="350"/>
      <c r="U1316" s="351"/>
    </row>
    <row r="1317" spans="1:21" ht="34.5" customHeight="1">
      <c r="A1317" s="24">
        <f t="shared" si="5"/>
        <v>1303</v>
      </c>
      <c r="B1317" s="488" t="s">
        <v>294</v>
      </c>
      <c r="C1317" s="351"/>
      <c r="D1317" s="489" t="s">
        <v>294</v>
      </c>
      <c r="E1317" s="351"/>
      <c r="F1317" s="485" t="s">
        <v>325</v>
      </c>
      <c r="G1317" s="351"/>
      <c r="H1317" s="487"/>
      <c r="I1317" s="350"/>
      <c r="J1317" s="351"/>
      <c r="K1317" s="485" t="s">
        <v>325</v>
      </c>
      <c r="L1317" s="350"/>
      <c r="M1317" s="351"/>
      <c r="N1317" s="490" t="s">
        <v>294</v>
      </c>
      <c r="O1317" s="350"/>
      <c r="P1317" s="350"/>
      <c r="Q1317" s="350"/>
      <c r="R1317" s="350"/>
      <c r="S1317" s="350"/>
      <c r="T1317" s="350"/>
      <c r="U1317" s="351"/>
    </row>
    <row r="1318" spans="1:21" ht="34.5" customHeight="1">
      <c r="A1318" s="24">
        <f t="shared" si="5"/>
        <v>1304</v>
      </c>
      <c r="B1318" s="483" t="s">
        <v>294</v>
      </c>
      <c r="C1318" s="351"/>
      <c r="D1318" s="484" t="s">
        <v>294</v>
      </c>
      <c r="E1318" s="351"/>
      <c r="F1318" s="485" t="s">
        <v>325</v>
      </c>
      <c r="G1318" s="351"/>
      <c r="H1318" s="486"/>
      <c r="I1318" s="350"/>
      <c r="J1318" s="351"/>
      <c r="K1318" s="485" t="s">
        <v>325</v>
      </c>
      <c r="L1318" s="350"/>
      <c r="M1318" s="351"/>
      <c r="N1318" s="491" t="s">
        <v>294</v>
      </c>
      <c r="O1318" s="350"/>
      <c r="P1318" s="350"/>
      <c r="Q1318" s="350"/>
      <c r="R1318" s="350"/>
      <c r="S1318" s="350"/>
      <c r="T1318" s="350"/>
      <c r="U1318" s="351"/>
    </row>
    <row r="1319" spans="1:21" ht="34.5" customHeight="1">
      <c r="A1319" s="24">
        <f t="shared" si="5"/>
        <v>1305</v>
      </c>
      <c r="B1319" s="488" t="s">
        <v>294</v>
      </c>
      <c r="C1319" s="351"/>
      <c r="D1319" s="489" t="s">
        <v>294</v>
      </c>
      <c r="E1319" s="351"/>
      <c r="F1319" s="485" t="s">
        <v>325</v>
      </c>
      <c r="G1319" s="351"/>
      <c r="H1319" s="487"/>
      <c r="I1319" s="350"/>
      <c r="J1319" s="351"/>
      <c r="K1319" s="485" t="s">
        <v>325</v>
      </c>
      <c r="L1319" s="350"/>
      <c r="M1319" s="351"/>
      <c r="N1319" s="490" t="s">
        <v>294</v>
      </c>
      <c r="O1319" s="350"/>
      <c r="P1319" s="350"/>
      <c r="Q1319" s="350"/>
      <c r="R1319" s="350"/>
      <c r="S1319" s="350"/>
      <c r="T1319" s="350"/>
      <c r="U1319" s="351"/>
    </row>
    <row r="1320" spans="1:21" ht="34.5" customHeight="1">
      <c r="A1320" s="24">
        <f t="shared" si="5"/>
        <v>1306</v>
      </c>
      <c r="B1320" s="483" t="s">
        <v>330</v>
      </c>
      <c r="C1320" s="351"/>
      <c r="D1320" s="484" t="s">
        <v>294</v>
      </c>
      <c r="E1320" s="351"/>
      <c r="F1320" s="485" t="s">
        <v>325</v>
      </c>
      <c r="G1320" s="351"/>
      <c r="H1320" s="486"/>
      <c r="I1320" s="350"/>
      <c r="J1320" s="351"/>
      <c r="K1320" s="485" t="s">
        <v>325</v>
      </c>
      <c r="L1320" s="350"/>
      <c r="M1320" s="351"/>
      <c r="N1320" s="491" t="s">
        <v>294</v>
      </c>
      <c r="O1320" s="350"/>
      <c r="P1320" s="350"/>
      <c r="Q1320" s="350"/>
      <c r="R1320" s="350"/>
      <c r="S1320" s="350"/>
      <c r="T1320" s="350"/>
      <c r="U1320" s="351"/>
    </row>
    <row r="1321" spans="1:21" ht="34.5" customHeight="1">
      <c r="A1321" s="24">
        <f t="shared" si="5"/>
        <v>1307</v>
      </c>
      <c r="B1321" s="488" t="s">
        <v>294</v>
      </c>
      <c r="C1321" s="351"/>
      <c r="D1321" s="489" t="s">
        <v>294</v>
      </c>
      <c r="E1321" s="351"/>
      <c r="F1321" s="485" t="s">
        <v>325</v>
      </c>
      <c r="G1321" s="351"/>
      <c r="H1321" s="487"/>
      <c r="I1321" s="350"/>
      <c r="J1321" s="351"/>
      <c r="K1321" s="485" t="s">
        <v>325</v>
      </c>
      <c r="L1321" s="350"/>
      <c r="M1321" s="351"/>
      <c r="N1321" s="490" t="s">
        <v>294</v>
      </c>
      <c r="O1321" s="350"/>
      <c r="P1321" s="350"/>
      <c r="Q1321" s="350"/>
      <c r="R1321" s="350"/>
      <c r="S1321" s="350"/>
      <c r="T1321" s="350"/>
      <c r="U1321" s="351"/>
    </row>
    <row r="1322" spans="1:21" ht="34.5" customHeight="1">
      <c r="A1322" s="24">
        <f t="shared" si="5"/>
        <v>1308</v>
      </c>
      <c r="B1322" s="483" t="s">
        <v>294</v>
      </c>
      <c r="C1322" s="351"/>
      <c r="D1322" s="484" t="s">
        <v>294</v>
      </c>
      <c r="E1322" s="351"/>
      <c r="F1322" s="485" t="s">
        <v>325</v>
      </c>
      <c r="G1322" s="351"/>
      <c r="H1322" s="486"/>
      <c r="I1322" s="350"/>
      <c r="J1322" s="351"/>
      <c r="K1322" s="485" t="s">
        <v>325</v>
      </c>
      <c r="L1322" s="350"/>
      <c r="M1322" s="351"/>
      <c r="N1322" s="491" t="s">
        <v>294</v>
      </c>
      <c r="O1322" s="350"/>
      <c r="P1322" s="350"/>
      <c r="Q1322" s="350"/>
      <c r="R1322" s="350"/>
      <c r="S1322" s="350"/>
      <c r="T1322" s="350"/>
      <c r="U1322" s="351"/>
    </row>
    <row r="1323" spans="1:21" ht="34.5" customHeight="1">
      <c r="A1323" s="24">
        <f t="shared" si="5"/>
        <v>1309</v>
      </c>
      <c r="B1323" s="488" t="s">
        <v>294</v>
      </c>
      <c r="C1323" s="351"/>
      <c r="D1323" s="489" t="s">
        <v>294</v>
      </c>
      <c r="E1323" s="351"/>
      <c r="F1323" s="485" t="s">
        <v>325</v>
      </c>
      <c r="G1323" s="351"/>
      <c r="H1323" s="487"/>
      <c r="I1323" s="350"/>
      <c r="J1323" s="351"/>
      <c r="K1323" s="485" t="s">
        <v>325</v>
      </c>
      <c r="L1323" s="350"/>
      <c r="M1323" s="351"/>
      <c r="N1323" s="490" t="s">
        <v>294</v>
      </c>
      <c r="O1323" s="350"/>
      <c r="P1323" s="350"/>
      <c r="Q1323" s="350"/>
      <c r="R1323" s="350"/>
      <c r="S1323" s="350"/>
      <c r="T1323" s="350"/>
      <c r="U1323" s="351"/>
    </row>
    <row r="1324" spans="1:21" ht="34.5" customHeight="1">
      <c r="A1324" s="24">
        <f t="shared" si="5"/>
        <v>1310</v>
      </c>
      <c r="B1324" s="483" t="s">
        <v>294</v>
      </c>
      <c r="C1324" s="351"/>
      <c r="D1324" s="484" t="s">
        <v>294</v>
      </c>
      <c r="E1324" s="351"/>
      <c r="F1324" s="485" t="s">
        <v>325</v>
      </c>
      <c r="G1324" s="351"/>
      <c r="H1324" s="486"/>
      <c r="I1324" s="350"/>
      <c r="J1324" s="351"/>
      <c r="K1324" s="485" t="s">
        <v>325</v>
      </c>
      <c r="L1324" s="350"/>
      <c r="M1324" s="351"/>
      <c r="N1324" s="491" t="s">
        <v>294</v>
      </c>
      <c r="O1324" s="350"/>
      <c r="P1324" s="350"/>
      <c r="Q1324" s="350"/>
      <c r="R1324" s="350"/>
      <c r="S1324" s="350"/>
      <c r="T1324" s="350"/>
      <c r="U1324" s="351"/>
    </row>
    <row r="1325" spans="1:21" ht="34.5" customHeight="1">
      <c r="A1325" s="24">
        <f t="shared" si="5"/>
        <v>1311</v>
      </c>
      <c r="B1325" s="488" t="s">
        <v>294</v>
      </c>
      <c r="C1325" s="351"/>
      <c r="D1325" s="489" t="s">
        <v>294</v>
      </c>
      <c r="E1325" s="351"/>
      <c r="F1325" s="485" t="s">
        <v>325</v>
      </c>
      <c r="G1325" s="351"/>
      <c r="H1325" s="487"/>
      <c r="I1325" s="350"/>
      <c r="J1325" s="351"/>
      <c r="K1325" s="485" t="s">
        <v>325</v>
      </c>
      <c r="L1325" s="350"/>
      <c r="M1325" s="351"/>
      <c r="N1325" s="490" t="s">
        <v>294</v>
      </c>
      <c r="O1325" s="350"/>
      <c r="P1325" s="350"/>
      <c r="Q1325" s="350"/>
      <c r="R1325" s="350"/>
      <c r="S1325" s="350"/>
      <c r="T1325" s="350"/>
      <c r="U1325" s="351"/>
    </row>
    <row r="1326" spans="1:21" ht="34.5" customHeight="1">
      <c r="A1326" s="24">
        <f t="shared" si="5"/>
        <v>1312</v>
      </c>
      <c r="B1326" s="483" t="s">
        <v>294</v>
      </c>
      <c r="C1326" s="351"/>
      <c r="D1326" s="484" t="s">
        <v>294</v>
      </c>
      <c r="E1326" s="351"/>
      <c r="F1326" s="485" t="s">
        <v>325</v>
      </c>
      <c r="G1326" s="351"/>
      <c r="H1326" s="486"/>
      <c r="I1326" s="350"/>
      <c r="J1326" s="351"/>
      <c r="K1326" s="485" t="s">
        <v>325</v>
      </c>
      <c r="L1326" s="350"/>
      <c r="M1326" s="351"/>
      <c r="N1326" s="491" t="s">
        <v>294</v>
      </c>
      <c r="O1326" s="350"/>
      <c r="P1326" s="350"/>
      <c r="Q1326" s="350"/>
      <c r="R1326" s="350"/>
      <c r="S1326" s="350"/>
      <c r="T1326" s="350"/>
      <c r="U1326" s="351"/>
    </row>
    <row r="1327" spans="1:21" ht="34.5" customHeight="1">
      <c r="A1327" s="24">
        <f t="shared" si="5"/>
        <v>1313</v>
      </c>
      <c r="B1327" s="488" t="s">
        <v>326</v>
      </c>
      <c r="C1327" s="351"/>
      <c r="D1327" s="489" t="s">
        <v>294</v>
      </c>
      <c r="E1327" s="351"/>
      <c r="F1327" s="485" t="s">
        <v>325</v>
      </c>
      <c r="G1327" s="351"/>
      <c r="H1327" s="487"/>
      <c r="I1327" s="350"/>
      <c r="J1327" s="351"/>
      <c r="K1327" s="485" t="s">
        <v>325</v>
      </c>
      <c r="L1327" s="350"/>
      <c r="M1327" s="351"/>
      <c r="N1327" s="490" t="s">
        <v>294</v>
      </c>
      <c r="O1327" s="350"/>
      <c r="P1327" s="350"/>
      <c r="Q1327" s="350"/>
      <c r="R1327" s="350"/>
      <c r="S1327" s="350"/>
      <c r="T1327" s="350"/>
      <c r="U1327" s="351"/>
    </row>
    <row r="1328" spans="1:21" ht="34.5" customHeight="1">
      <c r="A1328" s="24">
        <f t="shared" si="5"/>
        <v>1314</v>
      </c>
      <c r="B1328" s="483" t="s">
        <v>294</v>
      </c>
      <c r="C1328" s="351"/>
      <c r="D1328" s="484" t="s">
        <v>294</v>
      </c>
      <c r="E1328" s="351"/>
      <c r="F1328" s="485" t="s">
        <v>325</v>
      </c>
      <c r="G1328" s="351"/>
      <c r="H1328" s="486"/>
      <c r="I1328" s="350"/>
      <c r="J1328" s="351"/>
      <c r="K1328" s="485" t="s">
        <v>325</v>
      </c>
      <c r="L1328" s="350"/>
      <c r="M1328" s="351"/>
      <c r="N1328" s="491" t="s">
        <v>294</v>
      </c>
      <c r="O1328" s="350"/>
      <c r="P1328" s="350"/>
      <c r="Q1328" s="350"/>
      <c r="R1328" s="350"/>
      <c r="S1328" s="350"/>
      <c r="T1328" s="350"/>
      <c r="U1328" s="351"/>
    </row>
    <row r="1329" spans="1:21" ht="34.5" customHeight="1">
      <c r="A1329" s="24">
        <f t="shared" si="5"/>
        <v>1315</v>
      </c>
      <c r="B1329" s="488" t="s">
        <v>294</v>
      </c>
      <c r="C1329" s="351"/>
      <c r="D1329" s="489" t="s">
        <v>294</v>
      </c>
      <c r="E1329" s="351"/>
      <c r="F1329" s="485" t="s">
        <v>325</v>
      </c>
      <c r="G1329" s="351"/>
      <c r="H1329" s="487"/>
      <c r="I1329" s="350"/>
      <c r="J1329" s="351"/>
      <c r="K1329" s="485" t="s">
        <v>325</v>
      </c>
      <c r="L1329" s="350"/>
      <c r="M1329" s="351"/>
      <c r="N1329" s="490" t="s">
        <v>294</v>
      </c>
      <c r="O1329" s="350"/>
      <c r="P1329" s="350"/>
      <c r="Q1329" s="350"/>
      <c r="R1329" s="350"/>
      <c r="S1329" s="350"/>
      <c r="T1329" s="350"/>
      <c r="U1329" s="351"/>
    </row>
    <row r="1330" spans="1:21" ht="34.5" customHeight="1">
      <c r="A1330" s="24">
        <f t="shared" si="5"/>
        <v>1316</v>
      </c>
      <c r="B1330" s="483" t="s">
        <v>294</v>
      </c>
      <c r="C1330" s="351"/>
      <c r="D1330" s="484" t="s">
        <v>294</v>
      </c>
      <c r="E1330" s="351"/>
      <c r="F1330" s="485" t="s">
        <v>325</v>
      </c>
      <c r="G1330" s="351"/>
      <c r="H1330" s="486"/>
      <c r="I1330" s="350"/>
      <c r="J1330" s="351"/>
      <c r="K1330" s="485" t="s">
        <v>325</v>
      </c>
      <c r="L1330" s="350"/>
      <c r="M1330" s="351"/>
      <c r="N1330" s="491" t="s">
        <v>294</v>
      </c>
      <c r="O1330" s="350"/>
      <c r="P1330" s="350"/>
      <c r="Q1330" s="350"/>
      <c r="R1330" s="350"/>
      <c r="S1330" s="350"/>
      <c r="T1330" s="350"/>
      <c r="U1330" s="351"/>
    </row>
    <row r="1331" spans="1:21" ht="34.5" customHeight="1">
      <c r="A1331" s="24">
        <f t="shared" si="5"/>
        <v>1317</v>
      </c>
      <c r="B1331" s="488" t="s">
        <v>294</v>
      </c>
      <c r="C1331" s="351"/>
      <c r="D1331" s="489" t="s">
        <v>294</v>
      </c>
      <c r="E1331" s="351"/>
      <c r="F1331" s="485" t="s">
        <v>325</v>
      </c>
      <c r="G1331" s="351"/>
      <c r="H1331" s="487"/>
      <c r="I1331" s="350"/>
      <c r="J1331" s="351"/>
      <c r="K1331" s="485" t="s">
        <v>325</v>
      </c>
      <c r="L1331" s="350"/>
      <c r="M1331" s="351"/>
      <c r="N1331" s="490" t="s">
        <v>294</v>
      </c>
      <c r="O1331" s="350"/>
      <c r="P1331" s="350"/>
      <c r="Q1331" s="350"/>
      <c r="R1331" s="350"/>
      <c r="S1331" s="350"/>
      <c r="T1331" s="350"/>
      <c r="U1331" s="351"/>
    </row>
    <row r="1332" spans="1:21" ht="34.5" customHeight="1">
      <c r="A1332" s="24">
        <f t="shared" si="5"/>
        <v>1318</v>
      </c>
      <c r="B1332" s="483" t="s">
        <v>294</v>
      </c>
      <c r="C1332" s="351"/>
      <c r="D1332" s="484" t="s">
        <v>294</v>
      </c>
      <c r="E1332" s="351"/>
      <c r="F1332" s="485" t="s">
        <v>325</v>
      </c>
      <c r="G1332" s="351"/>
      <c r="H1332" s="486"/>
      <c r="I1332" s="350"/>
      <c r="J1332" s="351"/>
      <c r="K1332" s="485" t="s">
        <v>325</v>
      </c>
      <c r="L1332" s="350"/>
      <c r="M1332" s="351"/>
      <c r="N1332" s="491" t="s">
        <v>294</v>
      </c>
      <c r="O1332" s="350"/>
      <c r="P1332" s="350"/>
      <c r="Q1332" s="350"/>
      <c r="R1332" s="350"/>
      <c r="S1332" s="350"/>
      <c r="T1332" s="350"/>
      <c r="U1332" s="351"/>
    </row>
    <row r="1333" spans="1:21" ht="34.5" customHeight="1">
      <c r="A1333" s="24">
        <f t="shared" si="5"/>
        <v>1319</v>
      </c>
      <c r="B1333" s="488" t="s">
        <v>294</v>
      </c>
      <c r="C1333" s="351"/>
      <c r="D1333" s="489" t="s">
        <v>294</v>
      </c>
      <c r="E1333" s="351"/>
      <c r="F1333" s="485" t="s">
        <v>325</v>
      </c>
      <c r="G1333" s="351"/>
      <c r="H1333" s="487"/>
      <c r="I1333" s="350"/>
      <c r="J1333" s="351"/>
      <c r="K1333" s="485" t="s">
        <v>325</v>
      </c>
      <c r="L1333" s="350"/>
      <c r="M1333" s="351"/>
      <c r="N1333" s="490" t="s">
        <v>294</v>
      </c>
      <c r="O1333" s="350"/>
      <c r="P1333" s="350"/>
      <c r="Q1333" s="350"/>
      <c r="R1333" s="350"/>
      <c r="S1333" s="350"/>
      <c r="T1333" s="350"/>
      <c r="U1333" s="351"/>
    </row>
    <row r="1334" spans="1:21" ht="34.5" customHeight="1">
      <c r="A1334" s="24">
        <f t="shared" si="5"/>
        <v>1320</v>
      </c>
      <c r="B1334" s="483" t="s">
        <v>294</v>
      </c>
      <c r="C1334" s="351"/>
      <c r="D1334" s="484" t="s">
        <v>294</v>
      </c>
      <c r="E1334" s="351"/>
      <c r="F1334" s="485" t="s">
        <v>325</v>
      </c>
      <c r="G1334" s="351"/>
      <c r="H1334" s="486"/>
      <c r="I1334" s="350"/>
      <c r="J1334" s="351"/>
      <c r="K1334" s="485" t="s">
        <v>325</v>
      </c>
      <c r="L1334" s="350"/>
      <c r="M1334" s="351"/>
      <c r="N1334" s="491" t="s">
        <v>294</v>
      </c>
      <c r="O1334" s="350"/>
      <c r="P1334" s="350"/>
      <c r="Q1334" s="350"/>
      <c r="R1334" s="350"/>
      <c r="S1334" s="350"/>
      <c r="T1334" s="350"/>
      <c r="U1334" s="351"/>
    </row>
    <row r="1335" spans="1:21" ht="34.5" customHeight="1">
      <c r="A1335" s="24">
        <f t="shared" si="5"/>
        <v>1321</v>
      </c>
      <c r="B1335" s="488" t="s">
        <v>329</v>
      </c>
      <c r="C1335" s="351"/>
      <c r="D1335" s="489" t="s">
        <v>294</v>
      </c>
      <c r="E1335" s="351"/>
      <c r="F1335" s="485" t="s">
        <v>325</v>
      </c>
      <c r="G1335" s="351"/>
      <c r="H1335" s="487"/>
      <c r="I1335" s="350"/>
      <c r="J1335" s="351"/>
      <c r="K1335" s="485" t="s">
        <v>325</v>
      </c>
      <c r="L1335" s="350"/>
      <c r="M1335" s="351"/>
      <c r="N1335" s="490" t="s">
        <v>294</v>
      </c>
      <c r="O1335" s="350"/>
      <c r="P1335" s="350"/>
      <c r="Q1335" s="350"/>
      <c r="R1335" s="350"/>
      <c r="S1335" s="350"/>
      <c r="T1335" s="350"/>
      <c r="U1335" s="351"/>
    </row>
    <row r="1336" spans="1:21" ht="34.5" customHeight="1">
      <c r="A1336" s="24">
        <f t="shared" si="5"/>
        <v>1322</v>
      </c>
      <c r="B1336" s="483" t="s">
        <v>294</v>
      </c>
      <c r="C1336" s="351"/>
      <c r="D1336" s="484" t="s">
        <v>294</v>
      </c>
      <c r="E1336" s="351"/>
      <c r="F1336" s="485" t="s">
        <v>325</v>
      </c>
      <c r="G1336" s="351"/>
      <c r="H1336" s="486"/>
      <c r="I1336" s="350"/>
      <c r="J1336" s="351"/>
      <c r="K1336" s="485" t="s">
        <v>325</v>
      </c>
      <c r="L1336" s="350"/>
      <c r="M1336" s="351"/>
      <c r="N1336" s="491" t="s">
        <v>294</v>
      </c>
      <c r="O1336" s="350"/>
      <c r="P1336" s="350"/>
      <c r="Q1336" s="350"/>
      <c r="R1336" s="350"/>
      <c r="S1336" s="350"/>
      <c r="T1336" s="350"/>
      <c r="U1336" s="351"/>
    </row>
    <row r="1337" spans="1:21" ht="34.5" customHeight="1">
      <c r="A1337" s="24">
        <f t="shared" si="5"/>
        <v>1323</v>
      </c>
      <c r="B1337" s="488" t="s">
        <v>294</v>
      </c>
      <c r="C1337" s="351"/>
      <c r="D1337" s="489" t="s">
        <v>294</v>
      </c>
      <c r="E1337" s="351"/>
      <c r="F1337" s="485" t="s">
        <v>325</v>
      </c>
      <c r="G1337" s="351"/>
      <c r="H1337" s="487"/>
      <c r="I1337" s="350"/>
      <c r="J1337" s="351"/>
      <c r="K1337" s="485" t="s">
        <v>325</v>
      </c>
      <c r="L1337" s="350"/>
      <c r="M1337" s="351"/>
      <c r="N1337" s="490" t="s">
        <v>294</v>
      </c>
      <c r="O1337" s="350"/>
      <c r="P1337" s="350"/>
      <c r="Q1337" s="350"/>
      <c r="R1337" s="350"/>
      <c r="S1337" s="350"/>
      <c r="T1337" s="350"/>
      <c r="U1337" s="351"/>
    </row>
    <row r="1338" spans="1:21" ht="34.5" customHeight="1">
      <c r="A1338" s="24">
        <f t="shared" si="5"/>
        <v>1324</v>
      </c>
      <c r="B1338" s="483" t="s">
        <v>331</v>
      </c>
      <c r="C1338" s="351"/>
      <c r="D1338" s="484" t="s">
        <v>294</v>
      </c>
      <c r="E1338" s="351"/>
      <c r="F1338" s="485" t="s">
        <v>325</v>
      </c>
      <c r="G1338" s="351"/>
      <c r="H1338" s="486"/>
      <c r="I1338" s="350"/>
      <c r="J1338" s="351"/>
      <c r="K1338" s="485" t="s">
        <v>325</v>
      </c>
      <c r="L1338" s="350"/>
      <c r="M1338" s="351"/>
      <c r="N1338" s="491" t="s">
        <v>294</v>
      </c>
      <c r="O1338" s="350"/>
      <c r="P1338" s="350"/>
      <c r="Q1338" s="350"/>
      <c r="R1338" s="350"/>
      <c r="S1338" s="350"/>
      <c r="T1338" s="350"/>
      <c r="U1338" s="351"/>
    </row>
    <row r="1339" spans="1:21" ht="34.5" customHeight="1">
      <c r="A1339" s="24">
        <f t="shared" si="5"/>
        <v>1325</v>
      </c>
      <c r="B1339" s="488" t="s">
        <v>294</v>
      </c>
      <c r="C1339" s="351"/>
      <c r="D1339" s="489" t="s">
        <v>294</v>
      </c>
      <c r="E1339" s="351"/>
      <c r="F1339" s="485" t="s">
        <v>325</v>
      </c>
      <c r="G1339" s="351"/>
      <c r="H1339" s="487"/>
      <c r="I1339" s="350"/>
      <c r="J1339" s="351"/>
      <c r="K1339" s="485" t="s">
        <v>325</v>
      </c>
      <c r="L1339" s="350"/>
      <c r="M1339" s="351"/>
      <c r="N1339" s="490" t="s">
        <v>294</v>
      </c>
      <c r="O1339" s="350"/>
      <c r="P1339" s="350"/>
      <c r="Q1339" s="350"/>
      <c r="R1339" s="350"/>
      <c r="S1339" s="350"/>
      <c r="T1339" s="350"/>
      <c r="U1339" s="351"/>
    </row>
    <row r="1340" spans="1:21" ht="34.5" customHeight="1">
      <c r="A1340" s="24">
        <f t="shared" si="5"/>
        <v>1326</v>
      </c>
      <c r="B1340" s="483" t="s">
        <v>294</v>
      </c>
      <c r="C1340" s="351"/>
      <c r="D1340" s="484" t="s">
        <v>294</v>
      </c>
      <c r="E1340" s="351"/>
      <c r="F1340" s="485" t="s">
        <v>325</v>
      </c>
      <c r="G1340" s="351"/>
      <c r="H1340" s="486"/>
      <c r="I1340" s="350"/>
      <c r="J1340" s="351"/>
      <c r="K1340" s="485" t="s">
        <v>325</v>
      </c>
      <c r="L1340" s="350"/>
      <c r="M1340" s="351"/>
      <c r="N1340" s="491" t="s">
        <v>294</v>
      </c>
      <c r="O1340" s="350"/>
      <c r="P1340" s="350"/>
      <c r="Q1340" s="350"/>
      <c r="R1340" s="350"/>
      <c r="S1340" s="350"/>
      <c r="T1340" s="350"/>
      <c r="U1340" s="351"/>
    </row>
    <row r="1341" spans="1:21" ht="34.5" customHeight="1">
      <c r="A1341" s="24">
        <f t="shared" si="5"/>
        <v>1327</v>
      </c>
      <c r="B1341" s="488" t="s">
        <v>294</v>
      </c>
      <c r="C1341" s="351"/>
      <c r="D1341" s="489" t="s">
        <v>294</v>
      </c>
      <c r="E1341" s="351"/>
      <c r="F1341" s="485" t="s">
        <v>325</v>
      </c>
      <c r="G1341" s="351"/>
      <c r="H1341" s="487"/>
      <c r="I1341" s="350"/>
      <c r="J1341" s="351"/>
      <c r="K1341" s="485" t="s">
        <v>325</v>
      </c>
      <c r="L1341" s="350"/>
      <c r="M1341" s="351"/>
      <c r="N1341" s="490" t="s">
        <v>294</v>
      </c>
      <c r="O1341" s="350"/>
      <c r="P1341" s="350"/>
      <c r="Q1341" s="350"/>
      <c r="R1341" s="350"/>
      <c r="S1341" s="350"/>
      <c r="T1341" s="350"/>
      <c r="U1341" s="351"/>
    </row>
    <row r="1342" spans="1:21" ht="34.5" customHeight="1">
      <c r="A1342" s="24">
        <f t="shared" si="5"/>
        <v>1328</v>
      </c>
      <c r="B1342" s="483" t="s">
        <v>294</v>
      </c>
      <c r="C1342" s="351"/>
      <c r="D1342" s="484" t="s">
        <v>294</v>
      </c>
      <c r="E1342" s="351"/>
      <c r="F1342" s="485" t="s">
        <v>325</v>
      </c>
      <c r="G1342" s="351"/>
      <c r="H1342" s="486"/>
      <c r="I1342" s="350"/>
      <c r="J1342" s="351"/>
      <c r="K1342" s="485" t="s">
        <v>325</v>
      </c>
      <c r="L1342" s="350"/>
      <c r="M1342" s="351"/>
      <c r="N1342" s="491" t="s">
        <v>294</v>
      </c>
      <c r="O1342" s="350"/>
      <c r="P1342" s="350"/>
      <c r="Q1342" s="350"/>
      <c r="R1342" s="350"/>
      <c r="S1342" s="350"/>
      <c r="T1342" s="350"/>
      <c r="U1342" s="351"/>
    </row>
    <row r="1343" spans="1:21" ht="34.5" customHeight="1">
      <c r="A1343" s="24">
        <f t="shared" si="5"/>
        <v>1329</v>
      </c>
      <c r="B1343" s="488" t="s">
        <v>294</v>
      </c>
      <c r="C1343" s="351"/>
      <c r="D1343" s="489" t="s">
        <v>294</v>
      </c>
      <c r="E1343" s="351"/>
      <c r="F1343" s="485" t="s">
        <v>325</v>
      </c>
      <c r="G1343" s="351"/>
      <c r="H1343" s="487"/>
      <c r="I1343" s="350"/>
      <c r="J1343" s="351"/>
      <c r="K1343" s="485" t="s">
        <v>325</v>
      </c>
      <c r="L1343" s="350"/>
      <c r="M1343" s="351"/>
      <c r="N1343" s="490" t="s">
        <v>294</v>
      </c>
      <c r="O1343" s="350"/>
      <c r="P1343" s="350"/>
      <c r="Q1343" s="350"/>
      <c r="R1343" s="350"/>
      <c r="S1343" s="350"/>
      <c r="T1343" s="350"/>
      <c r="U1343" s="351"/>
    </row>
    <row r="1344" spans="1:21" ht="34.5" customHeight="1">
      <c r="A1344" s="24">
        <f t="shared" si="5"/>
        <v>1330</v>
      </c>
      <c r="B1344" s="483" t="s">
        <v>332</v>
      </c>
      <c r="C1344" s="351"/>
      <c r="D1344" s="484" t="s">
        <v>294</v>
      </c>
      <c r="E1344" s="351"/>
      <c r="F1344" s="485" t="s">
        <v>325</v>
      </c>
      <c r="G1344" s="351"/>
      <c r="H1344" s="486"/>
      <c r="I1344" s="350"/>
      <c r="J1344" s="351"/>
      <c r="K1344" s="485" t="s">
        <v>325</v>
      </c>
      <c r="L1344" s="350"/>
      <c r="M1344" s="351"/>
      <c r="N1344" s="491" t="s">
        <v>294</v>
      </c>
      <c r="O1344" s="350"/>
      <c r="P1344" s="350"/>
      <c r="Q1344" s="350"/>
      <c r="R1344" s="350"/>
      <c r="S1344" s="350"/>
      <c r="T1344" s="350"/>
      <c r="U1344" s="351"/>
    </row>
    <row r="1345" spans="1:21" ht="34.5" customHeight="1">
      <c r="A1345" s="24">
        <f t="shared" si="5"/>
        <v>1331</v>
      </c>
      <c r="B1345" s="488" t="s">
        <v>294</v>
      </c>
      <c r="C1345" s="351"/>
      <c r="D1345" s="489" t="s">
        <v>294</v>
      </c>
      <c r="E1345" s="351"/>
      <c r="F1345" s="485" t="s">
        <v>325</v>
      </c>
      <c r="G1345" s="351"/>
      <c r="H1345" s="487"/>
      <c r="I1345" s="350"/>
      <c r="J1345" s="351"/>
      <c r="K1345" s="485" t="s">
        <v>325</v>
      </c>
      <c r="L1345" s="350"/>
      <c r="M1345" s="351"/>
      <c r="N1345" s="490" t="s">
        <v>294</v>
      </c>
      <c r="O1345" s="350"/>
      <c r="P1345" s="350"/>
      <c r="Q1345" s="350"/>
      <c r="R1345" s="350"/>
      <c r="S1345" s="350"/>
      <c r="T1345" s="350"/>
      <c r="U1345" s="351"/>
    </row>
    <row r="1346" spans="1:21" ht="34.5" customHeight="1">
      <c r="A1346" s="24">
        <f t="shared" si="5"/>
        <v>1332</v>
      </c>
      <c r="B1346" s="483" t="s">
        <v>294</v>
      </c>
      <c r="C1346" s="351"/>
      <c r="D1346" s="484" t="s">
        <v>294</v>
      </c>
      <c r="E1346" s="351"/>
      <c r="F1346" s="485" t="s">
        <v>325</v>
      </c>
      <c r="G1346" s="351"/>
      <c r="H1346" s="486"/>
      <c r="I1346" s="350"/>
      <c r="J1346" s="351"/>
      <c r="K1346" s="485" t="s">
        <v>325</v>
      </c>
      <c r="L1346" s="350"/>
      <c r="M1346" s="351"/>
      <c r="N1346" s="491" t="s">
        <v>294</v>
      </c>
      <c r="O1346" s="350"/>
      <c r="P1346" s="350"/>
      <c r="Q1346" s="350"/>
      <c r="R1346" s="350"/>
      <c r="S1346" s="350"/>
      <c r="T1346" s="350"/>
      <c r="U1346" s="351"/>
    </row>
    <row r="1347" spans="1:21" ht="34.5" customHeight="1">
      <c r="A1347" s="24">
        <f t="shared" si="5"/>
        <v>1333</v>
      </c>
      <c r="B1347" s="488" t="s">
        <v>294</v>
      </c>
      <c r="C1347" s="351"/>
      <c r="D1347" s="489" t="s">
        <v>294</v>
      </c>
      <c r="E1347" s="351"/>
      <c r="F1347" s="485" t="s">
        <v>325</v>
      </c>
      <c r="G1347" s="351"/>
      <c r="H1347" s="487"/>
      <c r="I1347" s="350"/>
      <c r="J1347" s="351"/>
      <c r="K1347" s="485" t="s">
        <v>325</v>
      </c>
      <c r="L1347" s="350"/>
      <c r="M1347" s="351"/>
      <c r="N1347" s="490" t="s">
        <v>294</v>
      </c>
      <c r="O1347" s="350"/>
      <c r="P1347" s="350"/>
      <c r="Q1347" s="350"/>
      <c r="R1347" s="350"/>
      <c r="S1347" s="350"/>
      <c r="T1347" s="350"/>
      <c r="U1347" s="351"/>
    </row>
    <row r="1348" spans="1:21" ht="34.5" customHeight="1">
      <c r="A1348" s="24">
        <f t="shared" si="5"/>
        <v>1334</v>
      </c>
      <c r="B1348" s="483" t="s">
        <v>294</v>
      </c>
      <c r="C1348" s="351"/>
      <c r="D1348" s="484" t="s">
        <v>294</v>
      </c>
      <c r="E1348" s="351"/>
      <c r="F1348" s="485" t="s">
        <v>325</v>
      </c>
      <c r="G1348" s="351"/>
      <c r="H1348" s="486"/>
      <c r="I1348" s="350"/>
      <c r="J1348" s="351"/>
      <c r="K1348" s="485" t="s">
        <v>325</v>
      </c>
      <c r="L1348" s="350"/>
      <c r="M1348" s="351"/>
      <c r="N1348" s="491" t="s">
        <v>294</v>
      </c>
      <c r="O1348" s="350"/>
      <c r="P1348" s="350"/>
      <c r="Q1348" s="350"/>
      <c r="R1348" s="350"/>
      <c r="S1348" s="350"/>
      <c r="T1348" s="350"/>
      <c r="U1348" s="351"/>
    </row>
    <row r="1349" spans="1:21" ht="34.5" customHeight="1">
      <c r="A1349" s="24">
        <f t="shared" si="5"/>
        <v>1335</v>
      </c>
      <c r="B1349" s="488" t="s">
        <v>294</v>
      </c>
      <c r="C1349" s="351"/>
      <c r="D1349" s="489" t="s">
        <v>294</v>
      </c>
      <c r="E1349" s="351"/>
      <c r="F1349" s="485" t="s">
        <v>325</v>
      </c>
      <c r="G1349" s="351"/>
      <c r="H1349" s="487"/>
      <c r="I1349" s="350"/>
      <c r="J1349" s="351"/>
      <c r="K1349" s="485" t="s">
        <v>325</v>
      </c>
      <c r="L1349" s="350"/>
      <c r="M1349" s="351"/>
      <c r="N1349" s="490" t="s">
        <v>294</v>
      </c>
      <c r="O1349" s="350"/>
      <c r="P1349" s="350"/>
      <c r="Q1349" s="350"/>
      <c r="R1349" s="350"/>
      <c r="S1349" s="350"/>
      <c r="T1349" s="350"/>
      <c r="U1349" s="351"/>
    </row>
    <row r="1350" spans="1:21" ht="34.5" customHeight="1">
      <c r="A1350" s="24">
        <f t="shared" si="5"/>
        <v>1336</v>
      </c>
      <c r="B1350" s="483" t="s">
        <v>294</v>
      </c>
      <c r="C1350" s="351"/>
      <c r="D1350" s="484" t="s">
        <v>294</v>
      </c>
      <c r="E1350" s="351"/>
      <c r="F1350" s="485" t="s">
        <v>325</v>
      </c>
      <c r="G1350" s="351"/>
      <c r="H1350" s="486"/>
      <c r="I1350" s="350"/>
      <c r="J1350" s="351"/>
      <c r="K1350" s="485" t="s">
        <v>325</v>
      </c>
      <c r="L1350" s="350"/>
      <c r="M1350" s="351"/>
      <c r="N1350" s="491" t="s">
        <v>294</v>
      </c>
      <c r="O1350" s="350"/>
      <c r="P1350" s="350"/>
      <c r="Q1350" s="350"/>
      <c r="R1350" s="350"/>
      <c r="S1350" s="350"/>
      <c r="T1350" s="350"/>
      <c r="U1350" s="351"/>
    </row>
    <row r="1351" spans="1:21" ht="34.5" customHeight="1">
      <c r="A1351" s="24">
        <f t="shared" si="5"/>
        <v>1337</v>
      </c>
      <c r="B1351" s="488" t="s">
        <v>294</v>
      </c>
      <c r="C1351" s="351"/>
      <c r="D1351" s="489" t="s">
        <v>294</v>
      </c>
      <c r="E1351" s="351"/>
      <c r="F1351" s="485" t="s">
        <v>325</v>
      </c>
      <c r="G1351" s="351"/>
      <c r="H1351" s="487"/>
      <c r="I1351" s="350"/>
      <c r="J1351" s="351"/>
      <c r="K1351" s="485" t="s">
        <v>325</v>
      </c>
      <c r="L1351" s="350"/>
      <c r="M1351" s="351"/>
      <c r="N1351" s="490" t="s">
        <v>294</v>
      </c>
      <c r="O1351" s="350"/>
      <c r="P1351" s="350"/>
      <c r="Q1351" s="350"/>
      <c r="R1351" s="350"/>
      <c r="S1351" s="350"/>
      <c r="T1351" s="350"/>
      <c r="U1351" s="351"/>
    </row>
    <row r="1352" spans="1:21" ht="34.5" customHeight="1">
      <c r="A1352" s="24">
        <f t="shared" si="5"/>
        <v>1338</v>
      </c>
      <c r="B1352" s="483" t="s">
        <v>294</v>
      </c>
      <c r="C1352" s="351"/>
      <c r="D1352" s="484" t="s">
        <v>294</v>
      </c>
      <c r="E1352" s="351"/>
      <c r="F1352" s="485" t="s">
        <v>325</v>
      </c>
      <c r="G1352" s="351"/>
      <c r="H1352" s="486"/>
      <c r="I1352" s="350"/>
      <c r="J1352" s="351"/>
      <c r="K1352" s="485" t="s">
        <v>325</v>
      </c>
      <c r="L1352" s="350"/>
      <c r="M1352" s="351"/>
      <c r="N1352" s="491" t="s">
        <v>294</v>
      </c>
      <c r="O1352" s="350"/>
      <c r="P1352" s="350"/>
      <c r="Q1352" s="350"/>
      <c r="R1352" s="350"/>
      <c r="S1352" s="350"/>
      <c r="T1352" s="350"/>
      <c r="U1352" s="351"/>
    </row>
    <row r="1353" spans="1:21" ht="34.5" customHeight="1">
      <c r="A1353" s="24">
        <f t="shared" si="5"/>
        <v>1339</v>
      </c>
      <c r="B1353" s="488" t="s">
        <v>294</v>
      </c>
      <c r="C1353" s="351"/>
      <c r="D1353" s="489" t="s">
        <v>294</v>
      </c>
      <c r="E1353" s="351"/>
      <c r="F1353" s="485" t="s">
        <v>325</v>
      </c>
      <c r="G1353" s="351"/>
      <c r="H1353" s="487"/>
      <c r="I1353" s="350"/>
      <c r="J1353" s="351"/>
      <c r="K1353" s="485" t="s">
        <v>325</v>
      </c>
      <c r="L1353" s="350"/>
      <c r="M1353" s="351"/>
      <c r="N1353" s="490" t="s">
        <v>294</v>
      </c>
      <c r="O1353" s="350"/>
      <c r="P1353" s="350"/>
      <c r="Q1353" s="350"/>
      <c r="R1353" s="350"/>
      <c r="S1353" s="350"/>
      <c r="T1353" s="350"/>
      <c r="U1353" s="351"/>
    </row>
    <row r="1354" spans="1:21" ht="34.5" customHeight="1">
      <c r="A1354" s="24">
        <f t="shared" si="5"/>
        <v>1340</v>
      </c>
      <c r="B1354" s="483" t="s">
        <v>294</v>
      </c>
      <c r="C1354" s="351"/>
      <c r="D1354" s="484" t="s">
        <v>294</v>
      </c>
      <c r="E1354" s="351"/>
      <c r="F1354" s="485" t="s">
        <v>325</v>
      </c>
      <c r="G1354" s="351"/>
      <c r="H1354" s="486"/>
      <c r="I1354" s="350"/>
      <c r="J1354" s="351"/>
      <c r="K1354" s="485" t="s">
        <v>325</v>
      </c>
      <c r="L1354" s="350"/>
      <c r="M1354" s="351"/>
      <c r="N1354" s="491" t="s">
        <v>294</v>
      </c>
      <c r="O1354" s="350"/>
      <c r="P1354" s="350"/>
      <c r="Q1354" s="350"/>
      <c r="R1354" s="350"/>
      <c r="S1354" s="350"/>
      <c r="T1354" s="350"/>
      <c r="U1354" s="351"/>
    </row>
    <row r="1355" spans="1:21" ht="34.5" customHeight="1">
      <c r="A1355" s="24">
        <f t="shared" si="5"/>
        <v>1341</v>
      </c>
      <c r="B1355" s="488" t="s">
        <v>294</v>
      </c>
      <c r="C1355" s="351"/>
      <c r="D1355" s="489" t="s">
        <v>294</v>
      </c>
      <c r="E1355" s="351"/>
      <c r="F1355" s="485" t="s">
        <v>325</v>
      </c>
      <c r="G1355" s="351"/>
      <c r="H1355" s="487"/>
      <c r="I1355" s="350"/>
      <c r="J1355" s="351"/>
      <c r="K1355" s="485" t="s">
        <v>325</v>
      </c>
      <c r="L1355" s="350"/>
      <c r="M1355" s="351"/>
      <c r="N1355" s="490" t="s">
        <v>294</v>
      </c>
      <c r="O1355" s="350"/>
      <c r="P1355" s="350"/>
      <c r="Q1355" s="350"/>
      <c r="R1355" s="350"/>
      <c r="S1355" s="350"/>
      <c r="T1355" s="350"/>
      <c r="U1355" s="351"/>
    </row>
    <row r="1356" spans="1:21" ht="34.5" customHeight="1">
      <c r="A1356" s="24">
        <f t="shared" si="5"/>
        <v>1342</v>
      </c>
      <c r="B1356" s="483" t="s">
        <v>333</v>
      </c>
      <c r="C1356" s="351"/>
      <c r="D1356" s="484" t="s">
        <v>294</v>
      </c>
      <c r="E1356" s="351"/>
      <c r="F1356" s="485" t="s">
        <v>325</v>
      </c>
      <c r="G1356" s="351"/>
      <c r="H1356" s="486"/>
      <c r="I1356" s="350"/>
      <c r="J1356" s="351"/>
      <c r="K1356" s="485" t="s">
        <v>325</v>
      </c>
      <c r="L1356" s="350"/>
      <c r="M1356" s="351"/>
      <c r="N1356" s="491" t="s">
        <v>294</v>
      </c>
      <c r="O1356" s="350"/>
      <c r="P1356" s="350"/>
      <c r="Q1356" s="350"/>
      <c r="R1356" s="350"/>
      <c r="S1356" s="350"/>
      <c r="T1356" s="350"/>
      <c r="U1356" s="351"/>
    </row>
    <row r="1357" spans="1:21" ht="34.5" customHeight="1">
      <c r="A1357" s="24">
        <f t="shared" si="5"/>
        <v>1343</v>
      </c>
      <c r="B1357" s="488" t="s">
        <v>294</v>
      </c>
      <c r="C1357" s="351"/>
      <c r="D1357" s="489" t="s">
        <v>294</v>
      </c>
      <c r="E1357" s="351"/>
      <c r="F1357" s="485" t="s">
        <v>325</v>
      </c>
      <c r="G1357" s="351"/>
      <c r="H1357" s="487"/>
      <c r="I1357" s="350"/>
      <c r="J1357" s="351"/>
      <c r="K1357" s="485" t="s">
        <v>325</v>
      </c>
      <c r="L1357" s="350"/>
      <c r="M1357" s="351"/>
      <c r="N1357" s="490" t="s">
        <v>294</v>
      </c>
      <c r="O1357" s="350"/>
      <c r="P1357" s="350"/>
      <c r="Q1357" s="350"/>
      <c r="R1357" s="350"/>
      <c r="S1357" s="350"/>
      <c r="T1357" s="350"/>
      <c r="U1357" s="351"/>
    </row>
    <row r="1358" spans="1:21" ht="34.5" customHeight="1">
      <c r="A1358" s="24">
        <f t="shared" si="5"/>
        <v>1344</v>
      </c>
      <c r="B1358" s="483" t="s">
        <v>294</v>
      </c>
      <c r="C1358" s="351"/>
      <c r="D1358" s="484" t="s">
        <v>294</v>
      </c>
      <c r="E1358" s="351"/>
      <c r="F1358" s="485" t="s">
        <v>325</v>
      </c>
      <c r="G1358" s="351"/>
      <c r="H1358" s="486"/>
      <c r="I1358" s="350"/>
      <c r="J1358" s="351"/>
      <c r="K1358" s="485" t="s">
        <v>325</v>
      </c>
      <c r="L1358" s="350"/>
      <c r="M1358" s="351"/>
      <c r="N1358" s="491" t="s">
        <v>294</v>
      </c>
      <c r="O1358" s="350"/>
      <c r="P1358" s="350"/>
      <c r="Q1358" s="350"/>
      <c r="R1358" s="350"/>
      <c r="S1358" s="350"/>
      <c r="T1358" s="350"/>
      <c r="U1358" s="351"/>
    </row>
    <row r="1359" spans="1:21" ht="34.5" customHeight="1">
      <c r="A1359" s="24">
        <f t="shared" si="5"/>
        <v>1345</v>
      </c>
      <c r="B1359" s="488" t="s">
        <v>294</v>
      </c>
      <c r="C1359" s="351"/>
      <c r="D1359" s="489" t="s">
        <v>294</v>
      </c>
      <c r="E1359" s="351"/>
      <c r="F1359" s="485" t="s">
        <v>325</v>
      </c>
      <c r="G1359" s="351"/>
      <c r="H1359" s="487"/>
      <c r="I1359" s="350"/>
      <c r="J1359" s="351"/>
      <c r="K1359" s="485" t="s">
        <v>325</v>
      </c>
      <c r="L1359" s="350"/>
      <c r="M1359" s="351"/>
      <c r="N1359" s="490" t="s">
        <v>294</v>
      </c>
      <c r="O1359" s="350"/>
      <c r="P1359" s="350"/>
      <c r="Q1359" s="350"/>
      <c r="R1359" s="350"/>
      <c r="S1359" s="350"/>
      <c r="T1359" s="350"/>
      <c r="U1359" s="351"/>
    </row>
    <row r="1360" spans="1:21" ht="34.5" customHeight="1">
      <c r="A1360" s="24">
        <f t="shared" si="5"/>
        <v>1346</v>
      </c>
      <c r="B1360" s="483" t="s">
        <v>294</v>
      </c>
      <c r="C1360" s="351"/>
      <c r="D1360" s="484" t="s">
        <v>294</v>
      </c>
      <c r="E1360" s="351"/>
      <c r="F1360" s="485" t="s">
        <v>325</v>
      </c>
      <c r="G1360" s="351"/>
      <c r="H1360" s="486"/>
      <c r="I1360" s="350"/>
      <c r="J1360" s="351"/>
      <c r="K1360" s="485" t="s">
        <v>325</v>
      </c>
      <c r="L1360" s="350"/>
      <c r="M1360" s="351"/>
      <c r="N1360" s="491" t="s">
        <v>294</v>
      </c>
      <c r="O1360" s="350"/>
      <c r="P1360" s="350"/>
      <c r="Q1360" s="350"/>
      <c r="R1360" s="350"/>
      <c r="S1360" s="350"/>
      <c r="T1360" s="350"/>
      <c r="U1360" s="351"/>
    </row>
    <row r="1361" spans="1:21" ht="34.5" customHeight="1">
      <c r="A1361" s="24">
        <f t="shared" si="5"/>
        <v>1347</v>
      </c>
      <c r="B1361" s="488" t="s">
        <v>294</v>
      </c>
      <c r="C1361" s="351"/>
      <c r="D1361" s="489" t="s">
        <v>294</v>
      </c>
      <c r="E1361" s="351"/>
      <c r="F1361" s="485" t="s">
        <v>325</v>
      </c>
      <c r="G1361" s="351"/>
      <c r="H1361" s="487"/>
      <c r="I1361" s="350"/>
      <c r="J1361" s="351"/>
      <c r="K1361" s="485" t="s">
        <v>325</v>
      </c>
      <c r="L1361" s="350"/>
      <c r="M1361" s="351"/>
      <c r="N1361" s="490" t="s">
        <v>294</v>
      </c>
      <c r="O1361" s="350"/>
      <c r="P1361" s="350"/>
      <c r="Q1361" s="350"/>
      <c r="R1361" s="350"/>
      <c r="S1361" s="350"/>
      <c r="T1361" s="350"/>
      <c r="U1361" s="351"/>
    </row>
    <row r="1362" spans="1:21" ht="34.5" customHeight="1">
      <c r="A1362" s="24">
        <f t="shared" si="5"/>
        <v>1348</v>
      </c>
      <c r="B1362" s="483" t="s">
        <v>330</v>
      </c>
      <c r="C1362" s="351"/>
      <c r="D1362" s="484" t="s">
        <v>294</v>
      </c>
      <c r="E1362" s="351"/>
      <c r="F1362" s="485" t="s">
        <v>325</v>
      </c>
      <c r="G1362" s="351"/>
      <c r="H1362" s="486"/>
      <c r="I1362" s="350"/>
      <c r="J1362" s="351"/>
      <c r="K1362" s="485" t="s">
        <v>325</v>
      </c>
      <c r="L1362" s="350"/>
      <c r="M1362" s="351"/>
      <c r="N1362" s="491" t="s">
        <v>294</v>
      </c>
      <c r="O1362" s="350"/>
      <c r="P1362" s="350"/>
      <c r="Q1362" s="350"/>
      <c r="R1362" s="350"/>
      <c r="S1362" s="350"/>
      <c r="T1362" s="350"/>
      <c r="U1362" s="351"/>
    </row>
    <row r="1363" spans="1:21" ht="34.5" customHeight="1">
      <c r="A1363" s="24">
        <f t="shared" si="5"/>
        <v>1349</v>
      </c>
      <c r="B1363" s="488" t="s">
        <v>294</v>
      </c>
      <c r="C1363" s="351"/>
      <c r="D1363" s="489" t="s">
        <v>294</v>
      </c>
      <c r="E1363" s="351"/>
      <c r="F1363" s="485" t="s">
        <v>325</v>
      </c>
      <c r="G1363" s="351"/>
      <c r="H1363" s="487"/>
      <c r="I1363" s="350"/>
      <c r="J1363" s="351"/>
      <c r="K1363" s="485" t="s">
        <v>325</v>
      </c>
      <c r="L1363" s="350"/>
      <c r="M1363" s="351"/>
      <c r="N1363" s="490" t="s">
        <v>294</v>
      </c>
      <c r="O1363" s="350"/>
      <c r="P1363" s="350"/>
      <c r="Q1363" s="350"/>
      <c r="R1363" s="350"/>
      <c r="S1363" s="350"/>
      <c r="T1363" s="350"/>
      <c r="U1363" s="351"/>
    </row>
    <row r="1364" spans="1:21" ht="34.5" customHeight="1">
      <c r="A1364" s="24">
        <f t="shared" si="5"/>
        <v>1350</v>
      </c>
      <c r="B1364" s="483" t="s">
        <v>294</v>
      </c>
      <c r="C1364" s="351"/>
      <c r="D1364" s="484" t="s">
        <v>294</v>
      </c>
      <c r="E1364" s="351"/>
      <c r="F1364" s="485" t="s">
        <v>325</v>
      </c>
      <c r="G1364" s="351"/>
      <c r="H1364" s="486"/>
      <c r="I1364" s="350"/>
      <c r="J1364" s="351"/>
      <c r="K1364" s="485" t="s">
        <v>325</v>
      </c>
      <c r="L1364" s="350"/>
      <c r="M1364" s="351"/>
      <c r="N1364" s="491" t="s">
        <v>294</v>
      </c>
      <c r="O1364" s="350"/>
      <c r="P1364" s="350"/>
      <c r="Q1364" s="350"/>
      <c r="R1364" s="350"/>
      <c r="S1364" s="350"/>
      <c r="T1364" s="350"/>
      <c r="U1364" s="351"/>
    </row>
    <row r="1365" spans="1:21" ht="34.5" customHeight="1">
      <c r="A1365" s="24">
        <f t="shared" si="5"/>
        <v>1351</v>
      </c>
      <c r="B1365" s="488" t="s">
        <v>294</v>
      </c>
      <c r="C1365" s="351"/>
      <c r="D1365" s="489" t="s">
        <v>294</v>
      </c>
      <c r="E1365" s="351"/>
      <c r="F1365" s="485" t="s">
        <v>325</v>
      </c>
      <c r="G1365" s="351"/>
      <c r="H1365" s="487"/>
      <c r="I1365" s="350"/>
      <c r="J1365" s="351"/>
      <c r="K1365" s="485" t="s">
        <v>325</v>
      </c>
      <c r="L1365" s="350"/>
      <c r="M1365" s="351"/>
      <c r="N1365" s="490" t="s">
        <v>294</v>
      </c>
      <c r="O1365" s="350"/>
      <c r="P1365" s="350"/>
      <c r="Q1365" s="350"/>
      <c r="R1365" s="350"/>
      <c r="S1365" s="350"/>
      <c r="T1365" s="350"/>
      <c r="U1365" s="351"/>
    </row>
    <row r="1366" spans="1:21" ht="34.5" customHeight="1">
      <c r="A1366" s="24">
        <f t="shared" si="5"/>
        <v>1352</v>
      </c>
      <c r="B1366" s="483" t="s">
        <v>294</v>
      </c>
      <c r="C1366" s="351"/>
      <c r="D1366" s="484" t="s">
        <v>294</v>
      </c>
      <c r="E1366" s="351"/>
      <c r="F1366" s="485" t="s">
        <v>325</v>
      </c>
      <c r="G1366" s="351"/>
      <c r="H1366" s="486"/>
      <c r="I1366" s="350"/>
      <c r="J1366" s="351"/>
      <c r="K1366" s="485" t="s">
        <v>325</v>
      </c>
      <c r="L1366" s="350"/>
      <c r="M1366" s="351"/>
      <c r="N1366" s="491" t="s">
        <v>294</v>
      </c>
      <c r="O1366" s="350"/>
      <c r="P1366" s="350"/>
      <c r="Q1366" s="350"/>
      <c r="R1366" s="350"/>
      <c r="S1366" s="350"/>
      <c r="T1366" s="350"/>
      <c r="U1366" s="351"/>
    </row>
    <row r="1367" spans="1:21" ht="34.5" customHeight="1">
      <c r="A1367" s="24">
        <f t="shared" si="5"/>
        <v>1353</v>
      </c>
      <c r="B1367" s="488" t="s">
        <v>334</v>
      </c>
      <c r="C1367" s="351"/>
      <c r="D1367" s="489" t="s">
        <v>294</v>
      </c>
      <c r="E1367" s="351"/>
      <c r="F1367" s="485" t="s">
        <v>325</v>
      </c>
      <c r="G1367" s="351"/>
      <c r="H1367" s="487"/>
      <c r="I1367" s="350"/>
      <c r="J1367" s="351"/>
      <c r="K1367" s="485" t="s">
        <v>325</v>
      </c>
      <c r="L1367" s="350"/>
      <c r="M1367" s="351"/>
      <c r="N1367" s="490" t="s">
        <v>294</v>
      </c>
      <c r="O1367" s="350"/>
      <c r="P1367" s="350"/>
      <c r="Q1367" s="350"/>
      <c r="R1367" s="350"/>
      <c r="S1367" s="350"/>
      <c r="T1367" s="350"/>
      <c r="U1367" s="351"/>
    </row>
    <row r="1368" spans="1:21" ht="34.5" customHeight="1">
      <c r="A1368" s="24">
        <f t="shared" si="5"/>
        <v>1354</v>
      </c>
      <c r="B1368" s="483" t="s">
        <v>294</v>
      </c>
      <c r="C1368" s="351"/>
      <c r="D1368" s="484" t="s">
        <v>294</v>
      </c>
      <c r="E1368" s="351"/>
      <c r="F1368" s="485" t="s">
        <v>325</v>
      </c>
      <c r="G1368" s="351"/>
      <c r="H1368" s="486"/>
      <c r="I1368" s="350"/>
      <c r="J1368" s="351"/>
      <c r="K1368" s="485" t="s">
        <v>325</v>
      </c>
      <c r="L1368" s="350"/>
      <c r="M1368" s="351"/>
      <c r="N1368" s="491" t="s">
        <v>294</v>
      </c>
      <c r="O1368" s="350"/>
      <c r="P1368" s="350"/>
      <c r="Q1368" s="350"/>
      <c r="R1368" s="350"/>
      <c r="S1368" s="350"/>
      <c r="T1368" s="350"/>
      <c r="U1368" s="351"/>
    </row>
    <row r="1369" spans="1:21" ht="34.5" customHeight="1">
      <c r="A1369" s="24">
        <f t="shared" si="5"/>
        <v>1355</v>
      </c>
      <c r="B1369" s="488" t="s">
        <v>294</v>
      </c>
      <c r="C1369" s="351"/>
      <c r="D1369" s="489" t="s">
        <v>294</v>
      </c>
      <c r="E1369" s="351"/>
      <c r="F1369" s="485" t="s">
        <v>325</v>
      </c>
      <c r="G1369" s="351"/>
      <c r="H1369" s="487"/>
      <c r="I1369" s="350"/>
      <c r="J1369" s="351"/>
      <c r="K1369" s="485" t="s">
        <v>325</v>
      </c>
      <c r="L1369" s="350"/>
      <c r="M1369" s="351"/>
      <c r="N1369" s="490" t="s">
        <v>294</v>
      </c>
      <c r="O1369" s="350"/>
      <c r="P1369" s="350"/>
      <c r="Q1369" s="350"/>
      <c r="R1369" s="350"/>
      <c r="S1369" s="350"/>
      <c r="T1369" s="350"/>
      <c r="U1369" s="351"/>
    </row>
    <row r="1370" spans="1:21" ht="34.5" customHeight="1">
      <c r="A1370" s="24">
        <f t="shared" si="5"/>
        <v>1356</v>
      </c>
      <c r="B1370" s="483" t="s">
        <v>294</v>
      </c>
      <c r="C1370" s="351"/>
      <c r="D1370" s="484" t="s">
        <v>294</v>
      </c>
      <c r="E1370" s="351"/>
      <c r="F1370" s="485" t="s">
        <v>325</v>
      </c>
      <c r="G1370" s="351"/>
      <c r="H1370" s="486"/>
      <c r="I1370" s="350"/>
      <c r="J1370" s="351"/>
      <c r="K1370" s="485" t="s">
        <v>325</v>
      </c>
      <c r="L1370" s="350"/>
      <c r="M1370" s="351"/>
      <c r="N1370" s="491" t="s">
        <v>294</v>
      </c>
      <c r="O1370" s="350"/>
      <c r="P1370" s="350"/>
      <c r="Q1370" s="350"/>
      <c r="R1370" s="350"/>
      <c r="S1370" s="350"/>
      <c r="T1370" s="350"/>
      <c r="U1370" s="351"/>
    </row>
    <row r="1371" spans="1:21" ht="34.5" customHeight="1">
      <c r="A1371" s="24">
        <f t="shared" si="5"/>
        <v>1357</v>
      </c>
      <c r="B1371" s="488" t="s">
        <v>294</v>
      </c>
      <c r="C1371" s="351"/>
      <c r="D1371" s="489" t="s">
        <v>294</v>
      </c>
      <c r="E1371" s="351"/>
      <c r="F1371" s="485" t="s">
        <v>325</v>
      </c>
      <c r="G1371" s="351"/>
      <c r="H1371" s="487"/>
      <c r="I1371" s="350"/>
      <c r="J1371" s="351"/>
      <c r="K1371" s="485" t="s">
        <v>325</v>
      </c>
      <c r="L1371" s="350"/>
      <c r="M1371" s="351"/>
      <c r="N1371" s="490" t="s">
        <v>294</v>
      </c>
      <c r="O1371" s="350"/>
      <c r="P1371" s="350"/>
      <c r="Q1371" s="350"/>
      <c r="R1371" s="350"/>
      <c r="S1371" s="350"/>
      <c r="T1371" s="350"/>
      <c r="U1371" s="351"/>
    </row>
    <row r="1372" spans="1:21" ht="34.5" customHeight="1">
      <c r="A1372" s="24">
        <f t="shared" si="5"/>
        <v>1358</v>
      </c>
      <c r="B1372" s="483" t="s">
        <v>332</v>
      </c>
      <c r="C1372" s="351"/>
      <c r="D1372" s="484" t="s">
        <v>294</v>
      </c>
      <c r="E1372" s="351"/>
      <c r="F1372" s="485" t="s">
        <v>325</v>
      </c>
      <c r="G1372" s="351"/>
      <c r="H1372" s="486"/>
      <c r="I1372" s="350"/>
      <c r="J1372" s="351"/>
      <c r="K1372" s="485" t="s">
        <v>325</v>
      </c>
      <c r="L1372" s="350"/>
      <c r="M1372" s="351"/>
      <c r="N1372" s="491" t="s">
        <v>294</v>
      </c>
      <c r="O1372" s="350"/>
      <c r="P1372" s="350"/>
      <c r="Q1372" s="350"/>
      <c r="R1372" s="350"/>
      <c r="S1372" s="350"/>
      <c r="T1372" s="350"/>
      <c r="U1372" s="351"/>
    </row>
    <row r="1373" spans="1:21" ht="34.5" customHeight="1">
      <c r="A1373" s="24">
        <f t="shared" si="5"/>
        <v>1359</v>
      </c>
      <c r="B1373" s="488" t="s">
        <v>294</v>
      </c>
      <c r="C1373" s="351"/>
      <c r="D1373" s="489" t="s">
        <v>294</v>
      </c>
      <c r="E1373" s="351"/>
      <c r="F1373" s="485" t="s">
        <v>325</v>
      </c>
      <c r="G1373" s="351"/>
      <c r="H1373" s="487"/>
      <c r="I1373" s="350"/>
      <c r="J1373" s="351"/>
      <c r="K1373" s="485" t="s">
        <v>325</v>
      </c>
      <c r="L1373" s="350"/>
      <c r="M1373" s="351"/>
      <c r="N1373" s="490" t="s">
        <v>294</v>
      </c>
      <c r="O1373" s="350"/>
      <c r="P1373" s="350"/>
      <c r="Q1373" s="350"/>
      <c r="R1373" s="350"/>
      <c r="S1373" s="350"/>
      <c r="T1373" s="350"/>
      <c r="U1373" s="351"/>
    </row>
    <row r="1374" spans="1:21" ht="34.5" customHeight="1">
      <c r="A1374" s="24">
        <f t="shared" si="5"/>
        <v>1360</v>
      </c>
      <c r="B1374" s="483" t="s">
        <v>294</v>
      </c>
      <c r="C1374" s="351"/>
      <c r="D1374" s="484" t="s">
        <v>294</v>
      </c>
      <c r="E1374" s="351"/>
      <c r="F1374" s="485" t="s">
        <v>325</v>
      </c>
      <c r="G1374" s="351"/>
      <c r="H1374" s="486"/>
      <c r="I1374" s="350"/>
      <c r="J1374" s="351"/>
      <c r="K1374" s="485" t="s">
        <v>325</v>
      </c>
      <c r="L1374" s="350"/>
      <c r="M1374" s="351"/>
      <c r="N1374" s="491" t="s">
        <v>294</v>
      </c>
      <c r="O1374" s="350"/>
      <c r="P1374" s="350"/>
      <c r="Q1374" s="350"/>
      <c r="R1374" s="350"/>
      <c r="S1374" s="350"/>
      <c r="T1374" s="350"/>
      <c r="U1374" s="351"/>
    </row>
    <row r="1375" spans="1:21" ht="34.5" customHeight="1">
      <c r="A1375" s="24">
        <f t="shared" si="5"/>
        <v>1361</v>
      </c>
      <c r="B1375" s="488" t="s">
        <v>294</v>
      </c>
      <c r="C1375" s="351"/>
      <c r="D1375" s="489" t="s">
        <v>294</v>
      </c>
      <c r="E1375" s="351"/>
      <c r="F1375" s="485" t="s">
        <v>325</v>
      </c>
      <c r="G1375" s="351"/>
      <c r="H1375" s="487"/>
      <c r="I1375" s="350"/>
      <c r="J1375" s="351"/>
      <c r="K1375" s="485" t="s">
        <v>325</v>
      </c>
      <c r="L1375" s="350"/>
      <c r="M1375" s="351"/>
      <c r="N1375" s="490" t="s">
        <v>294</v>
      </c>
      <c r="O1375" s="350"/>
      <c r="P1375" s="350"/>
      <c r="Q1375" s="350"/>
      <c r="R1375" s="350"/>
      <c r="S1375" s="350"/>
      <c r="T1375" s="350"/>
      <c r="U1375" s="351"/>
    </row>
    <row r="1376" spans="1:21" ht="34.5" customHeight="1">
      <c r="A1376" s="24">
        <f t="shared" si="5"/>
        <v>1362</v>
      </c>
      <c r="B1376" s="483" t="s">
        <v>294</v>
      </c>
      <c r="C1376" s="351"/>
      <c r="D1376" s="484" t="s">
        <v>294</v>
      </c>
      <c r="E1376" s="351"/>
      <c r="F1376" s="485" t="s">
        <v>325</v>
      </c>
      <c r="G1376" s="351"/>
      <c r="H1376" s="486"/>
      <c r="I1376" s="350"/>
      <c r="J1376" s="351"/>
      <c r="K1376" s="485" t="s">
        <v>325</v>
      </c>
      <c r="L1376" s="350"/>
      <c r="M1376" s="351"/>
      <c r="N1376" s="491" t="s">
        <v>294</v>
      </c>
      <c r="O1376" s="350"/>
      <c r="P1376" s="350"/>
      <c r="Q1376" s="350"/>
      <c r="R1376" s="350"/>
      <c r="S1376" s="350"/>
      <c r="T1376" s="350"/>
      <c r="U1376" s="351"/>
    </row>
    <row r="1377" spans="1:21" ht="34.5" customHeight="1">
      <c r="A1377" s="24">
        <f t="shared" si="5"/>
        <v>1363</v>
      </c>
      <c r="B1377" s="488" t="s">
        <v>329</v>
      </c>
      <c r="C1377" s="351"/>
      <c r="D1377" s="489" t="s">
        <v>294</v>
      </c>
      <c r="E1377" s="351"/>
      <c r="F1377" s="485" t="s">
        <v>325</v>
      </c>
      <c r="G1377" s="351"/>
      <c r="H1377" s="487"/>
      <c r="I1377" s="350"/>
      <c r="J1377" s="351"/>
      <c r="K1377" s="485" t="s">
        <v>325</v>
      </c>
      <c r="L1377" s="350"/>
      <c r="M1377" s="351"/>
      <c r="N1377" s="490" t="s">
        <v>294</v>
      </c>
      <c r="O1377" s="350"/>
      <c r="P1377" s="350"/>
      <c r="Q1377" s="350"/>
      <c r="R1377" s="350"/>
      <c r="S1377" s="350"/>
      <c r="T1377" s="350"/>
      <c r="U1377" s="351"/>
    </row>
    <row r="1378" spans="1:21" ht="34.5" customHeight="1">
      <c r="A1378" s="24">
        <f t="shared" si="5"/>
        <v>1364</v>
      </c>
      <c r="B1378" s="483" t="s">
        <v>294</v>
      </c>
      <c r="C1378" s="351"/>
      <c r="D1378" s="484" t="s">
        <v>294</v>
      </c>
      <c r="E1378" s="351"/>
      <c r="F1378" s="485" t="s">
        <v>325</v>
      </c>
      <c r="G1378" s="351"/>
      <c r="H1378" s="486"/>
      <c r="I1378" s="350"/>
      <c r="J1378" s="351"/>
      <c r="K1378" s="485" t="s">
        <v>325</v>
      </c>
      <c r="L1378" s="350"/>
      <c r="M1378" s="351"/>
      <c r="N1378" s="491" t="s">
        <v>294</v>
      </c>
      <c r="O1378" s="350"/>
      <c r="P1378" s="350"/>
      <c r="Q1378" s="350"/>
      <c r="R1378" s="350"/>
      <c r="S1378" s="350"/>
      <c r="T1378" s="350"/>
      <c r="U1378" s="351"/>
    </row>
    <row r="1379" spans="1:21" ht="34.5" customHeight="1">
      <c r="A1379" s="24">
        <f t="shared" si="5"/>
        <v>1365</v>
      </c>
      <c r="B1379" s="488" t="s">
        <v>294</v>
      </c>
      <c r="C1379" s="351"/>
      <c r="D1379" s="489" t="s">
        <v>294</v>
      </c>
      <c r="E1379" s="351"/>
      <c r="F1379" s="485" t="s">
        <v>325</v>
      </c>
      <c r="G1379" s="351"/>
      <c r="H1379" s="487"/>
      <c r="I1379" s="350"/>
      <c r="J1379" s="351"/>
      <c r="K1379" s="485" t="s">
        <v>325</v>
      </c>
      <c r="L1379" s="350"/>
      <c r="M1379" s="351"/>
      <c r="N1379" s="490" t="s">
        <v>294</v>
      </c>
      <c r="O1379" s="350"/>
      <c r="P1379" s="350"/>
      <c r="Q1379" s="350"/>
      <c r="R1379" s="350"/>
      <c r="S1379" s="350"/>
      <c r="T1379" s="350"/>
      <c r="U1379" s="351"/>
    </row>
    <row r="1380" spans="1:21" ht="34.5" customHeight="1">
      <c r="A1380" s="24">
        <f t="shared" si="5"/>
        <v>1366</v>
      </c>
      <c r="B1380" s="483" t="s">
        <v>294</v>
      </c>
      <c r="C1380" s="351"/>
      <c r="D1380" s="484" t="s">
        <v>294</v>
      </c>
      <c r="E1380" s="351"/>
      <c r="F1380" s="485" t="s">
        <v>325</v>
      </c>
      <c r="G1380" s="351"/>
      <c r="H1380" s="486"/>
      <c r="I1380" s="350"/>
      <c r="J1380" s="351"/>
      <c r="K1380" s="485" t="s">
        <v>325</v>
      </c>
      <c r="L1380" s="350"/>
      <c r="M1380" s="351"/>
      <c r="N1380" s="491" t="s">
        <v>294</v>
      </c>
      <c r="O1380" s="350"/>
      <c r="P1380" s="350"/>
      <c r="Q1380" s="350"/>
      <c r="R1380" s="350"/>
      <c r="S1380" s="350"/>
      <c r="T1380" s="350"/>
      <c r="U1380" s="351"/>
    </row>
    <row r="1381" spans="1:21" ht="34.5" customHeight="1">
      <c r="A1381" s="24">
        <f t="shared" si="5"/>
        <v>1367</v>
      </c>
      <c r="B1381" s="488" t="s">
        <v>334</v>
      </c>
      <c r="C1381" s="351"/>
      <c r="D1381" s="489" t="s">
        <v>294</v>
      </c>
      <c r="E1381" s="351"/>
      <c r="F1381" s="485" t="s">
        <v>325</v>
      </c>
      <c r="G1381" s="351"/>
      <c r="H1381" s="487"/>
      <c r="I1381" s="350"/>
      <c r="J1381" s="351"/>
      <c r="K1381" s="485" t="s">
        <v>325</v>
      </c>
      <c r="L1381" s="350"/>
      <c r="M1381" s="351"/>
      <c r="N1381" s="490" t="s">
        <v>294</v>
      </c>
      <c r="O1381" s="350"/>
      <c r="P1381" s="350"/>
      <c r="Q1381" s="350"/>
      <c r="R1381" s="350"/>
      <c r="S1381" s="350"/>
      <c r="T1381" s="350"/>
      <c r="U1381" s="351"/>
    </row>
    <row r="1382" spans="1:21" ht="34.5" customHeight="1">
      <c r="A1382" s="24">
        <f t="shared" si="5"/>
        <v>1368</v>
      </c>
      <c r="B1382" s="483" t="s">
        <v>294</v>
      </c>
      <c r="C1382" s="351"/>
      <c r="D1382" s="484" t="s">
        <v>294</v>
      </c>
      <c r="E1382" s="351"/>
      <c r="F1382" s="485" t="s">
        <v>325</v>
      </c>
      <c r="G1382" s="351"/>
      <c r="H1382" s="486"/>
      <c r="I1382" s="350"/>
      <c r="J1382" s="351"/>
      <c r="K1382" s="485" t="s">
        <v>325</v>
      </c>
      <c r="L1382" s="350"/>
      <c r="M1382" s="351"/>
      <c r="N1382" s="491" t="s">
        <v>294</v>
      </c>
      <c r="O1382" s="350"/>
      <c r="P1382" s="350"/>
      <c r="Q1382" s="350"/>
      <c r="R1382" s="350"/>
      <c r="S1382" s="350"/>
      <c r="T1382" s="350"/>
      <c r="U1382" s="351"/>
    </row>
    <row r="1383" spans="1:21" ht="34.5" customHeight="1">
      <c r="A1383" s="24">
        <f t="shared" si="5"/>
        <v>1369</v>
      </c>
      <c r="B1383" s="488" t="s">
        <v>294</v>
      </c>
      <c r="C1383" s="351"/>
      <c r="D1383" s="489" t="s">
        <v>294</v>
      </c>
      <c r="E1383" s="351"/>
      <c r="F1383" s="485" t="s">
        <v>325</v>
      </c>
      <c r="G1383" s="351"/>
      <c r="H1383" s="487"/>
      <c r="I1383" s="350"/>
      <c r="J1383" s="351"/>
      <c r="K1383" s="485" t="s">
        <v>325</v>
      </c>
      <c r="L1383" s="350"/>
      <c r="M1383" s="351"/>
      <c r="N1383" s="490" t="s">
        <v>294</v>
      </c>
      <c r="O1383" s="350"/>
      <c r="P1383" s="350"/>
      <c r="Q1383" s="350"/>
      <c r="R1383" s="350"/>
      <c r="S1383" s="350"/>
      <c r="T1383" s="350"/>
      <c r="U1383" s="351"/>
    </row>
    <row r="1384" spans="1:21" ht="34.5" customHeight="1">
      <c r="A1384" s="24">
        <f t="shared" si="5"/>
        <v>1370</v>
      </c>
      <c r="B1384" s="483" t="s">
        <v>294</v>
      </c>
      <c r="C1384" s="351"/>
      <c r="D1384" s="484" t="s">
        <v>294</v>
      </c>
      <c r="E1384" s="351"/>
      <c r="F1384" s="485" t="s">
        <v>325</v>
      </c>
      <c r="G1384" s="351"/>
      <c r="H1384" s="486"/>
      <c r="I1384" s="350"/>
      <c r="J1384" s="351"/>
      <c r="K1384" s="485" t="s">
        <v>325</v>
      </c>
      <c r="L1384" s="350"/>
      <c r="M1384" s="351"/>
      <c r="N1384" s="491" t="s">
        <v>294</v>
      </c>
      <c r="O1384" s="350"/>
      <c r="P1384" s="350"/>
      <c r="Q1384" s="350"/>
      <c r="R1384" s="350"/>
      <c r="S1384" s="350"/>
      <c r="T1384" s="350"/>
      <c r="U1384" s="351"/>
    </row>
    <row r="1385" spans="1:21" ht="34.5" customHeight="1">
      <c r="A1385" s="24">
        <f t="shared" si="5"/>
        <v>1371</v>
      </c>
      <c r="B1385" s="488" t="s">
        <v>294</v>
      </c>
      <c r="C1385" s="351"/>
      <c r="D1385" s="489" t="s">
        <v>294</v>
      </c>
      <c r="E1385" s="351"/>
      <c r="F1385" s="485" t="s">
        <v>325</v>
      </c>
      <c r="G1385" s="351"/>
      <c r="H1385" s="487"/>
      <c r="I1385" s="350"/>
      <c r="J1385" s="351"/>
      <c r="K1385" s="485" t="s">
        <v>325</v>
      </c>
      <c r="L1385" s="350"/>
      <c r="M1385" s="351"/>
      <c r="N1385" s="490" t="s">
        <v>294</v>
      </c>
      <c r="O1385" s="350"/>
      <c r="P1385" s="350"/>
      <c r="Q1385" s="350"/>
      <c r="R1385" s="350"/>
      <c r="S1385" s="350"/>
      <c r="T1385" s="350"/>
      <c r="U1385" s="351"/>
    </row>
    <row r="1386" spans="1:21" ht="34.5" customHeight="1">
      <c r="A1386" s="24">
        <f t="shared" si="5"/>
        <v>1372</v>
      </c>
      <c r="B1386" s="483" t="s">
        <v>294</v>
      </c>
      <c r="C1386" s="351"/>
      <c r="D1386" s="484" t="s">
        <v>294</v>
      </c>
      <c r="E1386" s="351"/>
      <c r="F1386" s="485" t="s">
        <v>325</v>
      </c>
      <c r="G1386" s="351"/>
      <c r="H1386" s="486"/>
      <c r="I1386" s="350"/>
      <c r="J1386" s="351"/>
      <c r="K1386" s="485" t="s">
        <v>325</v>
      </c>
      <c r="L1386" s="350"/>
      <c r="M1386" s="351"/>
      <c r="N1386" s="491" t="s">
        <v>294</v>
      </c>
      <c r="O1386" s="350"/>
      <c r="P1386" s="350"/>
      <c r="Q1386" s="350"/>
      <c r="R1386" s="350"/>
      <c r="S1386" s="350"/>
      <c r="T1386" s="350"/>
      <c r="U1386" s="351"/>
    </row>
    <row r="1387" spans="1:21" ht="34.5" customHeight="1">
      <c r="A1387" s="24">
        <f t="shared" si="5"/>
        <v>1373</v>
      </c>
      <c r="B1387" s="488" t="s">
        <v>335</v>
      </c>
      <c r="C1387" s="351"/>
      <c r="D1387" s="489" t="s">
        <v>294</v>
      </c>
      <c r="E1387" s="351"/>
      <c r="F1387" s="485" t="s">
        <v>325</v>
      </c>
      <c r="G1387" s="351"/>
      <c r="H1387" s="487"/>
      <c r="I1387" s="350"/>
      <c r="J1387" s="351"/>
      <c r="K1387" s="485" t="s">
        <v>325</v>
      </c>
      <c r="L1387" s="350"/>
      <c r="M1387" s="351"/>
      <c r="N1387" s="490" t="s">
        <v>294</v>
      </c>
      <c r="O1387" s="350"/>
      <c r="P1387" s="350"/>
      <c r="Q1387" s="350"/>
      <c r="R1387" s="350"/>
      <c r="S1387" s="350"/>
      <c r="T1387" s="350"/>
      <c r="U1387" s="351"/>
    </row>
    <row r="1388" spans="1:21" ht="34.5" customHeight="1">
      <c r="A1388" s="24">
        <f t="shared" si="5"/>
        <v>1374</v>
      </c>
      <c r="B1388" s="483" t="s">
        <v>294</v>
      </c>
      <c r="C1388" s="351"/>
      <c r="D1388" s="484" t="s">
        <v>294</v>
      </c>
      <c r="E1388" s="351"/>
      <c r="F1388" s="485" t="s">
        <v>325</v>
      </c>
      <c r="G1388" s="351"/>
      <c r="H1388" s="486"/>
      <c r="I1388" s="350"/>
      <c r="J1388" s="351"/>
      <c r="K1388" s="485" t="s">
        <v>325</v>
      </c>
      <c r="L1388" s="350"/>
      <c r="M1388" s="351"/>
      <c r="N1388" s="491" t="s">
        <v>294</v>
      </c>
      <c r="O1388" s="350"/>
      <c r="P1388" s="350"/>
      <c r="Q1388" s="350"/>
      <c r="R1388" s="350"/>
      <c r="S1388" s="350"/>
      <c r="T1388" s="350"/>
      <c r="U1388" s="351"/>
    </row>
    <row r="1389" spans="1:21" ht="34.5" customHeight="1">
      <c r="A1389" s="24">
        <f t="shared" si="5"/>
        <v>1375</v>
      </c>
      <c r="B1389" s="488" t="s">
        <v>294</v>
      </c>
      <c r="C1389" s="351"/>
      <c r="D1389" s="489" t="s">
        <v>294</v>
      </c>
      <c r="E1389" s="351"/>
      <c r="F1389" s="485" t="s">
        <v>325</v>
      </c>
      <c r="G1389" s="351"/>
      <c r="H1389" s="487"/>
      <c r="I1389" s="350"/>
      <c r="J1389" s="351"/>
      <c r="K1389" s="485" t="s">
        <v>325</v>
      </c>
      <c r="L1389" s="350"/>
      <c r="M1389" s="351"/>
      <c r="N1389" s="490" t="s">
        <v>294</v>
      </c>
      <c r="O1389" s="350"/>
      <c r="P1389" s="350"/>
      <c r="Q1389" s="350"/>
      <c r="R1389" s="350"/>
      <c r="S1389" s="350"/>
      <c r="T1389" s="350"/>
      <c r="U1389" s="351"/>
    </row>
    <row r="1390" spans="1:21" ht="34.5" customHeight="1">
      <c r="A1390" s="24">
        <f t="shared" si="5"/>
        <v>1376</v>
      </c>
      <c r="B1390" s="483" t="s">
        <v>294</v>
      </c>
      <c r="C1390" s="351"/>
      <c r="D1390" s="484" t="s">
        <v>294</v>
      </c>
      <c r="E1390" s="351"/>
      <c r="F1390" s="485" t="s">
        <v>325</v>
      </c>
      <c r="G1390" s="351"/>
      <c r="H1390" s="486"/>
      <c r="I1390" s="350"/>
      <c r="J1390" s="351"/>
      <c r="K1390" s="485" t="s">
        <v>325</v>
      </c>
      <c r="L1390" s="350"/>
      <c r="M1390" s="351"/>
      <c r="N1390" s="491" t="s">
        <v>294</v>
      </c>
      <c r="O1390" s="350"/>
      <c r="P1390" s="350"/>
      <c r="Q1390" s="350"/>
      <c r="R1390" s="350"/>
      <c r="S1390" s="350"/>
      <c r="T1390" s="350"/>
      <c r="U1390" s="351"/>
    </row>
    <row r="1391" spans="1:21" ht="34.5" customHeight="1">
      <c r="A1391" s="24">
        <f t="shared" si="5"/>
        <v>1377</v>
      </c>
      <c r="B1391" s="488" t="s">
        <v>294</v>
      </c>
      <c r="C1391" s="351"/>
      <c r="D1391" s="489" t="s">
        <v>294</v>
      </c>
      <c r="E1391" s="351"/>
      <c r="F1391" s="485" t="s">
        <v>325</v>
      </c>
      <c r="G1391" s="351"/>
      <c r="H1391" s="487"/>
      <c r="I1391" s="350"/>
      <c r="J1391" s="351"/>
      <c r="K1391" s="485" t="s">
        <v>325</v>
      </c>
      <c r="L1391" s="350"/>
      <c r="M1391" s="351"/>
      <c r="N1391" s="490" t="s">
        <v>294</v>
      </c>
      <c r="O1391" s="350"/>
      <c r="P1391" s="350"/>
      <c r="Q1391" s="350"/>
      <c r="R1391" s="350"/>
      <c r="S1391" s="350"/>
      <c r="T1391" s="350"/>
      <c r="U1391" s="351"/>
    </row>
    <row r="1392" spans="1:21" ht="34.5" customHeight="1">
      <c r="A1392" s="24">
        <f t="shared" si="5"/>
        <v>1378</v>
      </c>
      <c r="B1392" s="483" t="s">
        <v>294</v>
      </c>
      <c r="C1392" s="351"/>
      <c r="D1392" s="484" t="s">
        <v>294</v>
      </c>
      <c r="E1392" s="351"/>
      <c r="F1392" s="485" t="s">
        <v>325</v>
      </c>
      <c r="G1392" s="351"/>
      <c r="H1392" s="486"/>
      <c r="I1392" s="350"/>
      <c r="J1392" s="351"/>
      <c r="K1392" s="485" t="s">
        <v>325</v>
      </c>
      <c r="L1392" s="350"/>
      <c r="M1392" s="351"/>
      <c r="N1392" s="491" t="s">
        <v>294</v>
      </c>
      <c r="O1392" s="350"/>
      <c r="P1392" s="350"/>
      <c r="Q1392" s="350"/>
      <c r="R1392" s="350"/>
      <c r="S1392" s="350"/>
      <c r="T1392" s="350"/>
      <c r="U1392" s="351"/>
    </row>
    <row r="1393" spans="1:21" ht="34.5" customHeight="1">
      <c r="A1393" s="24">
        <f t="shared" si="5"/>
        <v>1379</v>
      </c>
      <c r="B1393" s="488" t="s">
        <v>294</v>
      </c>
      <c r="C1393" s="351"/>
      <c r="D1393" s="489" t="s">
        <v>294</v>
      </c>
      <c r="E1393" s="351"/>
      <c r="F1393" s="485" t="s">
        <v>325</v>
      </c>
      <c r="G1393" s="351"/>
      <c r="H1393" s="487"/>
      <c r="I1393" s="350"/>
      <c r="J1393" s="351"/>
      <c r="K1393" s="485" t="s">
        <v>325</v>
      </c>
      <c r="L1393" s="350"/>
      <c r="M1393" s="351"/>
      <c r="N1393" s="490" t="s">
        <v>294</v>
      </c>
      <c r="O1393" s="350"/>
      <c r="P1393" s="350"/>
      <c r="Q1393" s="350"/>
      <c r="R1393" s="350"/>
      <c r="S1393" s="350"/>
      <c r="T1393" s="350"/>
      <c r="U1393" s="351"/>
    </row>
    <row r="1394" spans="1:21" ht="34.5" customHeight="1">
      <c r="A1394" s="24">
        <f t="shared" si="5"/>
        <v>1380</v>
      </c>
      <c r="B1394" s="488" t="s">
        <v>294</v>
      </c>
      <c r="C1394" s="351"/>
      <c r="D1394" s="489" t="s">
        <v>294</v>
      </c>
      <c r="E1394" s="351"/>
      <c r="F1394" s="485" t="s">
        <v>325</v>
      </c>
      <c r="G1394" s="351"/>
      <c r="H1394" s="487"/>
      <c r="I1394" s="350"/>
      <c r="J1394" s="351"/>
      <c r="K1394" s="485" t="s">
        <v>325</v>
      </c>
      <c r="L1394" s="350"/>
      <c r="M1394" s="351"/>
      <c r="N1394" s="490" t="s">
        <v>294</v>
      </c>
      <c r="O1394" s="350"/>
      <c r="P1394" s="350"/>
      <c r="Q1394" s="350"/>
      <c r="R1394" s="350"/>
      <c r="S1394" s="350"/>
      <c r="T1394" s="350"/>
      <c r="U1394" s="351"/>
    </row>
    <row r="1395" spans="1:21" ht="34.5" customHeight="1">
      <c r="A1395" s="24">
        <f t="shared" si="5"/>
        <v>1381</v>
      </c>
      <c r="B1395" s="483" t="s">
        <v>294</v>
      </c>
      <c r="C1395" s="351"/>
      <c r="D1395" s="484" t="s">
        <v>294</v>
      </c>
      <c r="E1395" s="351"/>
      <c r="F1395" s="485" t="s">
        <v>325</v>
      </c>
      <c r="G1395" s="351"/>
      <c r="H1395" s="486"/>
      <c r="I1395" s="350"/>
      <c r="J1395" s="351"/>
      <c r="K1395" s="485" t="s">
        <v>325</v>
      </c>
      <c r="L1395" s="350"/>
      <c r="M1395" s="351"/>
      <c r="N1395" s="491"/>
      <c r="O1395" s="350"/>
      <c r="P1395" s="350"/>
      <c r="Q1395" s="350"/>
      <c r="R1395" s="350"/>
      <c r="S1395" s="350"/>
      <c r="T1395" s="350"/>
      <c r="U1395" s="351"/>
    </row>
    <row r="1396" spans="1:21" ht="34.5" customHeight="1">
      <c r="A1396" s="24">
        <f t="shared" si="5"/>
        <v>1382</v>
      </c>
      <c r="B1396" s="488" t="s">
        <v>294</v>
      </c>
      <c r="C1396" s="351"/>
      <c r="D1396" s="489" t="s">
        <v>294</v>
      </c>
      <c r="E1396" s="351"/>
      <c r="F1396" s="485" t="s">
        <v>325</v>
      </c>
      <c r="G1396" s="351"/>
      <c r="H1396" s="487"/>
      <c r="I1396" s="350"/>
      <c r="J1396" s="351"/>
      <c r="K1396" s="485" t="s">
        <v>325</v>
      </c>
      <c r="L1396" s="350"/>
      <c r="M1396" s="351"/>
      <c r="N1396" s="490" t="s">
        <v>294</v>
      </c>
      <c r="O1396" s="350"/>
      <c r="P1396" s="350"/>
      <c r="Q1396" s="350"/>
      <c r="R1396" s="350"/>
      <c r="S1396" s="350"/>
      <c r="T1396" s="350"/>
      <c r="U1396" s="351"/>
    </row>
    <row r="1397" spans="1:21" ht="34.5" customHeight="1">
      <c r="A1397" s="24">
        <f t="shared" si="5"/>
        <v>1383</v>
      </c>
      <c r="B1397" s="483" t="s">
        <v>294</v>
      </c>
      <c r="C1397" s="351"/>
      <c r="D1397" s="484" t="s">
        <v>294</v>
      </c>
      <c r="E1397" s="351"/>
      <c r="F1397" s="485" t="s">
        <v>325</v>
      </c>
      <c r="G1397" s="351"/>
      <c r="H1397" s="486"/>
      <c r="I1397" s="350"/>
      <c r="J1397" s="351"/>
      <c r="K1397" s="485" t="s">
        <v>325</v>
      </c>
      <c r="L1397" s="350"/>
      <c r="M1397" s="351"/>
      <c r="N1397" s="491" t="s">
        <v>294</v>
      </c>
      <c r="O1397" s="350"/>
      <c r="P1397" s="350"/>
      <c r="Q1397" s="350"/>
      <c r="R1397" s="350"/>
      <c r="S1397" s="350"/>
      <c r="T1397" s="350"/>
      <c r="U1397" s="351"/>
    </row>
    <row r="1398" spans="1:21" ht="34.5" customHeight="1">
      <c r="A1398" s="24">
        <f t="shared" si="5"/>
        <v>1384</v>
      </c>
      <c r="B1398" s="488" t="s">
        <v>294</v>
      </c>
      <c r="C1398" s="351"/>
      <c r="D1398" s="489" t="s">
        <v>294</v>
      </c>
      <c r="E1398" s="351"/>
      <c r="F1398" s="485" t="s">
        <v>325</v>
      </c>
      <c r="G1398" s="351"/>
      <c r="H1398" s="487"/>
      <c r="I1398" s="350"/>
      <c r="J1398" s="351"/>
      <c r="K1398" s="485" t="s">
        <v>325</v>
      </c>
      <c r="L1398" s="350"/>
      <c r="M1398" s="351"/>
      <c r="N1398" s="490" t="s">
        <v>294</v>
      </c>
      <c r="O1398" s="350"/>
      <c r="P1398" s="350"/>
      <c r="Q1398" s="350"/>
      <c r="R1398" s="350"/>
      <c r="S1398" s="350"/>
      <c r="T1398" s="350"/>
      <c r="U1398" s="351"/>
    </row>
    <row r="1399" spans="1:21" ht="34.5" customHeight="1">
      <c r="A1399" s="24">
        <f t="shared" si="5"/>
        <v>1385</v>
      </c>
      <c r="B1399" s="483" t="s">
        <v>294</v>
      </c>
      <c r="C1399" s="351"/>
      <c r="D1399" s="484" t="s">
        <v>294</v>
      </c>
      <c r="E1399" s="351"/>
      <c r="F1399" s="485" t="s">
        <v>325</v>
      </c>
      <c r="G1399" s="351"/>
      <c r="H1399" s="486"/>
      <c r="I1399" s="350"/>
      <c r="J1399" s="351"/>
      <c r="K1399" s="485" t="s">
        <v>325</v>
      </c>
      <c r="L1399" s="350"/>
      <c r="M1399" s="351"/>
      <c r="N1399" s="491" t="s">
        <v>294</v>
      </c>
      <c r="O1399" s="350"/>
      <c r="P1399" s="350"/>
      <c r="Q1399" s="350"/>
      <c r="R1399" s="350"/>
      <c r="S1399" s="350"/>
      <c r="T1399" s="350"/>
      <c r="U1399" s="351"/>
    </row>
    <row r="1400" spans="1:21" ht="34.5" customHeight="1">
      <c r="A1400" s="24">
        <f t="shared" si="5"/>
        <v>1386</v>
      </c>
      <c r="B1400" s="488" t="s">
        <v>294</v>
      </c>
      <c r="C1400" s="351"/>
      <c r="D1400" s="489" t="s">
        <v>294</v>
      </c>
      <c r="E1400" s="351"/>
      <c r="F1400" s="485" t="s">
        <v>325</v>
      </c>
      <c r="G1400" s="351"/>
      <c r="H1400" s="487"/>
      <c r="I1400" s="350"/>
      <c r="J1400" s="351"/>
      <c r="K1400" s="485" t="s">
        <v>325</v>
      </c>
      <c r="L1400" s="350"/>
      <c r="M1400" s="351"/>
      <c r="N1400" s="490" t="s">
        <v>294</v>
      </c>
      <c r="O1400" s="350"/>
      <c r="P1400" s="350"/>
      <c r="Q1400" s="350"/>
      <c r="R1400" s="350"/>
      <c r="S1400" s="350"/>
      <c r="T1400" s="350"/>
      <c r="U1400" s="351"/>
    </row>
    <row r="1401" spans="1:21" ht="34.5" customHeight="1">
      <c r="A1401" s="24">
        <f t="shared" si="5"/>
        <v>1387</v>
      </c>
      <c r="B1401" s="483" t="s">
        <v>294</v>
      </c>
      <c r="C1401" s="351"/>
      <c r="D1401" s="484" t="s">
        <v>294</v>
      </c>
      <c r="E1401" s="351"/>
      <c r="F1401" s="485" t="s">
        <v>325</v>
      </c>
      <c r="G1401" s="351"/>
      <c r="H1401" s="486"/>
      <c r="I1401" s="350"/>
      <c r="J1401" s="351"/>
      <c r="K1401" s="485" t="s">
        <v>325</v>
      </c>
      <c r="L1401" s="350"/>
      <c r="M1401" s="351"/>
      <c r="N1401" s="491" t="s">
        <v>294</v>
      </c>
      <c r="O1401" s="350"/>
      <c r="P1401" s="350"/>
      <c r="Q1401" s="350"/>
      <c r="R1401" s="350"/>
      <c r="S1401" s="350"/>
      <c r="T1401" s="350"/>
      <c r="U1401" s="351"/>
    </row>
    <row r="1402" spans="1:21" ht="34.5" customHeight="1">
      <c r="A1402" s="24">
        <f t="shared" si="5"/>
        <v>1388</v>
      </c>
      <c r="B1402" s="488" t="s">
        <v>294</v>
      </c>
      <c r="C1402" s="351"/>
      <c r="D1402" s="489" t="s">
        <v>294</v>
      </c>
      <c r="E1402" s="351"/>
      <c r="F1402" s="485" t="s">
        <v>325</v>
      </c>
      <c r="G1402" s="351"/>
      <c r="H1402" s="487"/>
      <c r="I1402" s="350"/>
      <c r="J1402" s="351"/>
      <c r="K1402" s="485" t="s">
        <v>325</v>
      </c>
      <c r="L1402" s="350"/>
      <c r="M1402" s="351"/>
      <c r="N1402" s="490" t="s">
        <v>294</v>
      </c>
      <c r="O1402" s="350"/>
      <c r="P1402" s="350"/>
      <c r="Q1402" s="350"/>
      <c r="R1402" s="350"/>
      <c r="S1402" s="350"/>
      <c r="T1402" s="350"/>
      <c r="U1402" s="351"/>
    </row>
    <row r="1403" spans="1:21" ht="34.5" customHeight="1">
      <c r="A1403" s="24">
        <f t="shared" si="5"/>
        <v>1389</v>
      </c>
      <c r="B1403" s="483" t="s">
        <v>294</v>
      </c>
      <c r="C1403" s="351"/>
      <c r="D1403" s="484" t="s">
        <v>294</v>
      </c>
      <c r="E1403" s="351"/>
      <c r="F1403" s="485" t="s">
        <v>325</v>
      </c>
      <c r="G1403" s="351"/>
      <c r="H1403" s="486"/>
      <c r="I1403" s="350"/>
      <c r="J1403" s="351"/>
      <c r="K1403" s="485" t="s">
        <v>325</v>
      </c>
      <c r="L1403" s="350"/>
      <c r="M1403" s="351"/>
      <c r="N1403" s="491" t="s">
        <v>294</v>
      </c>
      <c r="O1403" s="350"/>
      <c r="P1403" s="350"/>
      <c r="Q1403" s="350"/>
      <c r="R1403" s="350"/>
      <c r="S1403" s="350"/>
      <c r="T1403" s="350"/>
      <c r="U1403" s="351"/>
    </row>
    <row r="1404" spans="1:21" ht="34.5" customHeight="1">
      <c r="A1404" s="24">
        <f t="shared" si="5"/>
        <v>1390</v>
      </c>
      <c r="B1404" s="488" t="s">
        <v>294</v>
      </c>
      <c r="C1404" s="351"/>
      <c r="D1404" s="489" t="s">
        <v>294</v>
      </c>
      <c r="E1404" s="351"/>
      <c r="F1404" s="485" t="s">
        <v>325</v>
      </c>
      <c r="G1404" s="351"/>
      <c r="H1404" s="487"/>
      <c r="I1404" s="350"/>
      <c r="J1404" s="351"/>
      <c r="K1404" s="485" t="s">
        <v>325</v>
      </c>
      <c r="L1404" s="350"/>
      <c r="M1404" s="351"/>
      <c r="N1404" s="490" t="s">
        <v>294</v>
      </c>
      <c r="O1404" s="350"/>
      <c r="P1404" s="350"/>
      <c r="Q1404" s="350"/>
      <c r="R1404" s="350"/>
      <c r="S1404" s="350"/>
      <c r="T1404" s="350"/>
      <c r="U1404" s="351"/>
    </row>
    <row r="1405" spans="1:21" ht="34.5" customHeight="1">
      <c r="A1405" s="24">
        <f t="shared" si="5"/>
        <v>1391</v>
      </c>
      <c r="B1405" s="483" t="s">
        <v>294</v>
      </c>
      <c r="C1405" s="351"/>
      <c r="D1405" s="484" t="s">
        <v>294</v>
      </c>
      <c r="E1405" s="351"/>
      <c r="F1405" s="485" t="s">
        <v>325</v>
      </c>
      <c r="G1405" s="351"/>
      <c r="H1405" s="486"/>
      <c r="I1405" s="350"/>
      <c r="J1405" s="351"/>
      <c r="K1405" s="485" t="s">
        <v>325</v>
      </c>
      <c r="L1405" s="350"/>
      <c r="M1405" s="351"/>
      <c r="N1405" s="491" t="s">
        <v>294</v>
      </c>
      <c r="O1405" s="350"/>
      <c r="P1405" s="350"/>
      <c r="Q1405" s="350"/>
      <c r="R1405" s="350"/>
      <c r="S1405" s="350"/>
      <c r="T1405" s="350"/>
      <c r="U1405" s="351"/>
    </row>
    <row r="1406" spans="1:21" ht="34.5" customHeight="1">
      <c r="A1406" s="24">
        <f t="shared" si="5"/>
        <v>1392</v>
      </c>
      <c r="B1406" s="488" t="s">
        <v>294</v>
      </c>
      <c r="C1406" s="351"/>
      <c r="D1406" s="489" t="s">
        <v>294</v>
      </c>
      <c r="E1406" s="351"/>
      <c r="F1406" s="485" t="s">
        <v>325</v>
      </c>
      <c r="G1406" s="351"/>
      <c r="H1406" s="487"/>
      <c r="I1406" s="350"/>
      <c r="J1406" s="351"/>
      <c r="K1406" s="485" t="s">
        <v>325</v>
      </c>
      <c r="L1406" s="350"/>
      <c r="M1406" s="351"/>
      <c r="N1406" s="490" t="s">
        <v>294</v>
      </c>
      <c r="O1406" s="350"/>
      <c r="P1406" s="350"/>
      <c r="Q1406" s="350"/>
      <c r="R1406" s="350"/>
      <c r="S1406" s="350"/>
      <c r="T1406" s="350"/>
      <c r="U1406" s="351"/>
    </row>
    <row r="1407" spans="1:21" ht="34.5" customHeight="1">
      <c r="A1407" s="24">
        <f t="shared" si="5"/>
        <v>1393</v>
      </c>
      <c r="B1407" s="483" t="s">
        <v>294</v>
      </c>
      <c r="C1407" s="351"/>
      <c r="D1407" s="484" t="s">
        <v>294</v>
      </c>
      <c r="E1407" s="351"/>
      <c r="F1407" s="485" t="s">
        <v>325</v>
      </c>
      <c r="G1407" s="351"/>
      <c r="H1407" s="486"/>
      <c r="I1407" s="350"/>
      <c r="J1407" s="351"/>
      <c r="K1407" s="485" t="s">
        <v>325</v>
      </c>
      <c r="L1407" s="350"/>
      <c r="M1407" s="351"/>
      <c r="N1407" s="491" t="s">
        <v>294</v>
      </c>
      <c r="O1407" s="350"/>
      <c r="P1407" s="350"/>
      <c r="Q1407" s="350"/>
      <c r="R1407" s="350"/>
      <c r="S1407" s="350"/>
      <c r="T1407" s="350"/>
      <c r="U1407" s="351"/>
    </row>
    <row r="1408" spans="1:21" ht="34.5" customHeight="1">
      <c r="A1408" s="24">
        <f t="shared" si="5"/>
        <v>1394</v>
      </c>
      <c r="B1408" s="488" t="s">
        <v>294</v>
      </c>
      <c r="C1408" s="351"/>
      <c r="D1408" s="489" t="s">
        <v>294</v>
      </c>
      <c r="E1408" s="351"/>
      <c r="F1408" s="485" t="s">
        <v>325</v>
      </c>
      <c r="G1408" s="351"/>
      <c r="H1408" s="487"/>
      <c r="I1408" s="350"/>
      <c r="J1408" s="351"/>
      <c r="K1408" s="485" t="s">
        <v>325</v>
      </c>
      <c r="L1408" s="350"/>
      <c r="M1408" s="351"/>
      <c r="N1408" s="490" t="s">
        <v>294</v>
      </c>
      <c r="O1408" s="350"/>
      <c r="P1408" s="350"/>
      <c r="Q1408" s="350"/>
      <c r="R1408" s="350"/>
      <c r="S1408" s="350"/>
      <c r="T1408" s="350"/>
      <c r="U1408" s="351"/>
    </row>
    <row r="1409" spans="1:21" ht="34.5" customHeight="1">
      <c r="A1409" s="24">
        <f t="shared" si="5"/>
        <v>1395</v>
      </c>
      <c r="B1409" s="483" t="s">
        <v>294</v>
      </c>
      <c r="C1409" s="351"/>
      <c r="D1409" s="484" t="s">
        <v>294</v>
      </c>
      <c r="E1409" s="351"/>
      <c r="F1409" s="485" t="s">
        <v>325</v>
      </c>
      <c r="G1409" s="351"/>
      <c r="H1409" s="486"/>
      <c r="I1409" s="350"/>
      <c r="J1409" s="351"/>
      <c r="K1409" s="485" t="s">
        <v>325</v>
      </c>
      <c r="L1409" s="350"/>
      <c r="M1409" s="351"/>
      <c r="N1409" s="491" t="s">
        <v>294</v>
      </c>
      <c r="O1409" s="350"/>
      <c r="P1409" s="350"/>
      <c r="Q1409" s="350"/>
      <c r="R1409" s="350"/>
      <c r="S1409" s="350"/>
      <c r="T1409" s="350"/>
      <c r="U1409" s="351"/>
    </row>
    <row r="1410" spans="1:21" ht="34.5" customHeight="1">
      <c r="A1410" s="24">
        <f t="shared" si="5"/>
        <v>1396</v>
      </c>
      <c r="B1410" s="488" t="s">
        <v>294</v>
      </c>
      <c r="C1410" s="351"/>
      <c r="D1410" s="489" t="s">
        <v>294</v>
      </c>
      <c r="E1410" s="351"/>
      <c r="F1410" s="485" t="s">
        <v>325</v>
      </c>
      <c r="G1410" s="351"/>
      <c r="H1410" s="487"/>
      <c r="I1410" s="350"/>
      <c r="J1410" s="351"/>
      <c r="K1410" s="485" t="s">
        <v>325</v>
      </c>
      <c r="L1410" s="350"/>
      <c r="M1410" s="351"/>
      <c r="N1410" s="490" t="s">
        <v>294</v>
      </c>
      <c r="O1410" s="350"/>
      <c r="P1410" s="350"/>
      <c r="Q1410" s="350"/>
      <c r="R1410" s="350"/>
      <c r="S1410" s="350"/>
      <c r="T1410" s="350"/>
      <c r="U1410" s="351"/>
    </row>
    <row r="1411" spans="1:21" ht="34.5" customHeight="1">
      <c r="A1411" s="24">
        <f t="shared" si="5"/>
        <v>1397</v>
      </c>
      <c r="B1411" s="483" t="s">
        <v>294</v>
      </c>
      <c r="C1411" s="351"/>
      <c r="D1411" s="484" t="s">
        <v>294</v>
      </c>
      <c r="E1411" s="351"/>
      <c r="F1411" s="485" t="s">
        <v>325</v>
      </c>
      <c r="G1411" s="351"/>
      <c r="H1411" s="486"/>
      <c r="I1411" s="350"/>
      <c r="J1411" s="351"/>
      <c r="K1411" s="485" t="s">
        <v>325</v>
      </c>
      <c r="L1411" s="350"/>
      <c r="M1411" s="351"/>
      <c r="N1411" s="491" t="s">
        <v>294</v>
      </c>
      <c r="O1411" s="350"/>
      <c r="P1411" s="350"/>
      <c r="Q1411" s="350"/>
      <c r="R1411" s="350"/>
      <c r="S1411" s="350"/>
      <c r="T1411" s="350"/>
      <c r="U1411" s="351"/>
    </row>
    <row r="1412" spans="1:21" ht="34.5" customHeight="1">
      <c r="A1412" s="24">
        <f t="shared" si="5"/>
        <v>1398</v>
      </c>
      <c r="B1412" s="488" t="s">
        <v>294</v>
      </c>
      <c r="C1412" s="351"/>
      <c r="D1412" s="489" t="s">
        <v>294</v>
      </c>
      <c r="E1412" s="351"/>
      <c r="F1412" s="485" t="s">
        <v>325</v>
      </c>
      <c r="G1412" s="351"/>
      <c r="H1412" s="487"/>
      <c r="I1412" s="350"/>
      <c r="J1412" s="351"/>
      <c r="K1412" s="485" t="s">
        <v>325</v>
      </c>
      <c r="L1412" s="350"/>
      <c r="M1412" s="351"/>
      <c r="N1412" s="490" t="s">
        <v>294</v>
      </c>
      <c r="O1412" s="350"/>
      <c r="P1412" s="350"/>
      <c r="Q1412" s="350"/>
      <c r="R1412" s="350"/>
      <c r="S1412" s="350"/>
      <c r="T1412" s="350"/>
      <c r="U1412" s="351"/>
    </row>
    <row r="1413" spans="1:21" ht="34.5" customHeight="1">
      <c r="A1413" s="24">
        <f t="shared" si="5"/>
        <v>1399</v>
      </c>
      <c r="B1413" s="483" t="s">
        <v>294</v>
      </c>
      <c r="C1413" s="351"/>
      <c r="D1413" s="484" t="s">
        <v>294</v>
      </c>
      <c r="E1413" s="351"/>
      <c r="F1413" s="485" t="s">
        <v>325</v>
      </c>
      <c r="G1413" s="351"/>
      <c r="H1413" s="486"/>
      <c r="I1413" s="350"/>
      <c r="J1413" s="351"/>
      <c r="K1413" s="485" t="s">
        <v>325</v>
      </c>
      <c r="L1413" s="350"/>
      <c r="M1413" s="351"/>
      <c r="N1413" s="491" t="s">
        <v>294</v>
      </c>
      <c r="O1413" s="350"/>
      <c r="P1413" s="350"/>
      <c r="Q1413" s="350"/>
      <c r="R1413" s="350"/>
      <c r="S1413" s="350"/>
      <c r="T1413" s="350"/>
      <c r="U1413" s="351"/>
    </row>
    <row r="1414" spans="1:21" ht="34.5" customHeight="1">
      <c r="A1414" s="24">
        <f t="shared" si="5"/>
        <v>1400</v>
      </c>
      <c r="B1414" s="488" t="s">
        <v>294</v>
      </c>
      <c r="C1414" s="351"/>
      <c r="D1414" s="489" t="s">
        <v>294</v>
      </c>
      <c r="E1414" s="351"/>
      <c r="F1414" s="485" t="s">
        <v>325</v>
      </c>
      <c r="G1414" s="351"/>
      <c r="H1414" s="487"/>
      <c r="I1414" s="350"/>
      <c r="J1414" s="351"/>
      <c r="K1414" s="485" t="s">
        <v>325</v>
      </c>
      <c r="L1414" s="350"/>
      <c r="M1414" s="351"/>
      <c r="N1414" s="490" t="s">
        <v>294</v>
      </c>
      <c r="O1414" s="350"/>
      <c r="P1414" s="350"/>
      <c r="Q1414" s="350"/>
      <c r="R1414" s="350"/>
      <c r="S1414" s="350"/>
      <c r="T1414" s="350"/>
      <c r="U1414" s="351"/>
    </row>
    <row r="1415" spans="1:21" ht="34.5" customHeight="1">
      <c r="A1415" s="24">
        <f t="shared" si="5"/>
        <v>1401</v>
      </c>
      <c r="B1415" s="483" t="s">
        <v>294</v>
      </c>
      <c r="C1415" s="351"/>
      <c r="D1415" s="484" t="s">
        <v>294</v>
      </c>
      <c r="E1415" s="351"/>
      <c r="F1415" s="485" t="s">
        <v>325</v>
      </c>
      <c r="G1415" s="351"/>
      <c r="H1415" s="486"/>
      <c r="I1415" s="350"/>
      <c r="J1415" s="351"/>
      <c r="K1415" s="485" t="s">
        <v>325</v>
      </c>
      <c r="L1415" s="350"/>
      <c r="M1415" s="351"/>
      <c r="N1415" s="491" t="s">
        <v>294</v>
      </c>
      <c r="O1415" s="350"/>
      <c r="P1415" s="350"/>
      <c r="Q1415" s="350"/>
      <c r="R1415" s="350"/>
      <c r="S1415" s="350"/>
      <c r="T1415" s="350"/>
      <c r="U1415" s="351"/>
    </row>
    <row r="1416" spans="1:21" ht="34.5" customHeight="1">
      <c r="A1416" s="24">
        <f t="shared" si="5"/>
        <v>1402</v>
      </c>
      <c r="B1416" s="488" t="s">
        <v>294</v>
      </c>
      <c r="C1416" s="351"/>
      <c r="D1416" s="489" t="s">
        <v>294</v>
      </c>
      <c r="E1416" s="351"/>
      <c r="F1416" s="485" t="s">
        <v>325</v>
      </c>
      <c r="G1416" s="351"/>
      <c r="H1416" s="487"/>
      <c r="I1416" s="350"/>
      <c r="J1416" s="351"/>
      <c r="K1416" s="485" t="s">
        <v>325</v>
      </c>
      <c r="L1416" s="350"/>
      <c r="M1416" s="351"/>
      <c r="N1416" s="490" t="s">
        <v>294</v>
      </c>
      <c r="O1416" s="350"/>
      <c r="P1416" s="350"/>
      <c r="Q1416" s="350"/>
      <c r="R1416" s="350"/>
      <c r="S1416" s="350"/>
      <c r="T1416" s="350"/>
      <c r="U1416" s="351"/>
    </row>
    <row r="1417" spans="1:21" ht="34.5" customHeight="1">
      <c r="A1417" s="24">
        <f t="shared" si="5"/>
        <v>1403</v>
      </c>
      <c r="B1417" s="483" t="s">
        <v>294</v>
      </c>
      <c r="C1417" s="351"/>
      <c r="D1417" s="484" t="s">
        <v>294</v>
      </c>
      <c r="E1417" s="351"/>
      <c r="F1417" s="485" t="s">
        <v>325</v>
      </c>
      <c r="G1417" s="351"/>
      <c r="H1417" s="486"/>
      <c r="I1417" s="350"/>
      <c r="J1417" s="351"/>
      <c r="K1417" s="485" t="s">
        <v>325</v>
      </c>
      <c r="L1417" s="350"/>
      <c r="M1417" s="351"/>
      <c r="N1417" s="491" t="s">
        <v>294</v>
      </c>
      <c r="O1417" s="350"/>
      <c r="P1417" s="350"/>
      <c r="Q1417" s="350"/>
      <c r="R1417" s="350"/>
      <c r="S1417" s="350"/>
      <c r="T1417" s="350"/>
      <c r="U1417" s="351"/>
    </row>
    <row r="1418" spans="1:21" ht="34.5" customHeight="1">
      <c r="A1418" s="24">
        <f t="shared" si="5"/>
        <v>1404</v>
      </c>
      <c r="B1418" s="488" t="s">
        <v>294</v>
      </c>
      <c r="C1418" s="351"/>
      <c r="D1418" s="489" t="s">
        <v>294</v>
      </c>
      <c r="E1418" s="351"/>
      <c r="F1418" s="485" t="s">
        <v>325</v>
      </c>
      <c r="G1418" s="351"/>
      <c r="H1418" s="487"/>
      <c r="I1418" s="350"/>
      <c r="J1418" s="351"/>
      <c r="K1418" s="485" t="s">
        <v>325</v>
      </c>
      <c r="L1418" s="350"/>
      <c r="M1418" s="351"/>
      <c r="N1418" s="490" t="s">
        <v>294</v>
      </c>
      <c r="O1418" s="350"/>
      <c r="P1418" s="350"/>
      <c r="Q1418" s="350"/>
      <c r="R1418" s="350"/>
      <c r="S1418" s="350"/>
      <c r="T1418" s="350"/>
      <c r="U1418" s="351"/>
    </row>
    <row r="1419" spans="1:21" ht="34.5" customHeight="1">
      <c r="A1419" s="24">
        <f t="shared" si="5"/>
        <v>1405</v>
      </c>
      <c r="B1419" s="483" t="s">
        <v>294</v>
      </c>
      <c r="C1419" s="351"/>
      <c r="D1419" s="484" t="s">
        <v>294</v>
      </c>
      <c r="E1419" s="351"/>
      <c r="F1419" s="485" t="s">
        <v>325</v>
      </c>
      <c r="G1419" s="351"/>
      <c r="H1419" s="486"/>
      <c r="I1419" s="350"/>
      <c r="J1419" s="351"/>
      <c r="K1419" s="485" t="s">
        <v>325</v>
      </c>
      <c r="L1419" s="350"/>
      <c r="M1419" s="351"/>
      <c r="N1419" s="491" t="s">
        <v>294</v>
      </c>
      <c r="O1419" s="350"/>
      <c r="P1419" s="350"/>
      <c r="Q1419" s="350"/>
      <c r="R1419" s="350"/>
      <c r="S1419" s="350"/>
      <c r="T1419" s="350"/>
      <c r="U1419" s="351"/>
    </row>
    <row r="1420" spans="1:21" ht="34.5" customHeight="1">
      <c r="A1420" s="24">
        <f t="shared" si="5"/>
        <v>1406</v>
      </c>
      <c r="B1420" s="488" t="s">
        <v>294</v>
      </c>
      <c r="C1420" s="351"/>
      <c r="D1420" s="489" t="s">
        <v>294</v>
      </c>
      <c r="E1420" s="351"/>
      <c r="F1420" s="485" t="s">
        <v>325</v>
      </c>
      <c r="G1420" s="351"/>
      <c r="H1420" s="487"/>
      <c r="I1420" s="350"/>
      <c r="J1420" s="351"/>
      <c r="K1420" s="485" t="s">
        <v>325</v>
      </c>
      <c r="L1420" s="350"/>
      <c r="M1420" s="351"/>
      <c r="N1420" s="490" t="s">
        <v>294</v>
      </c>
      <c r="O1420" s="350"/>
      <c r="P1420" s="350"/>
      <c r="Q1420" s="350"/>
      <c r="R1420" s="350"/>
      <c r="S1420" s="350"/>
      <c r="T1420" s="350"/>
      <c r="U1420" s="351"/>
    </row>
    <row r="1421" spans="1:21" ht="34.5" customHeight="1">
      <c r="A1421" s="24">
        <f t="shared" si="5"/>
        <v>1407</v>
      </c>
      <c r="B1421" s="483" t="s">
        <v>294</v>
      </c>
      <c r="C1421" s="351"/>
      <c r="D1421" s="484" t="s">
        <v>294</v>
      </c>
      <c r="E1421" s="351"/>
      <c r="F1421" s="485" t="s">
        <v>325</v>
      </c>
      <c r="G1421" s="351"/>
      <c r="H1421" s="486"/>
      <c r="I1421" s="350"/>
      <c r="J1421" s="351"/>
      <c r="K1421" s="485" t="s">
        <v>325</v>
      </c>
      <c r="L1421" s="350"/>
      <c r="M1421" s="351"/>
      <c r="N1421" s="491" t="s">
        <v>294</v>
      </c>
      <c r="O1421" s="350"/>
      <c r="P1421" s="350"/>
      <c r="Q1421" s="350"/>
      <c r="R1421" s="350"/>
      <c r="S1421" s="350"/>
      <c r="T1421" s="350"/>
      <c r="U1421" s="351"/>
    </row>
    <row r="1422" spans="1:21" ht="34.5" customHeight="1">
      <c r="A1422" s="24">
        <f t="shared" si="5"/>
        <v>1408</v>
      </c>
      <c r="B1422" s="488" t="s">
        <v>294</v>
      </c>
      <c r="C1422" s="351"/>
      <c r="D1422" s="489" t="s">
        <v>294</v>
      </c>
      <c r="E1422" s="351"/>
      <c r="F1422" s="485" t="s">
        <v>325</v>
      </c>
      <c r="G1422" s="351"/>
      <c r="H1422" s="487"/>
      <c r="I1422" s="350"/>
      <c r="J1422" s="351"/>
      <c r="K1422" s="485" t="s">
        <v>325</v>
      </c>
      <c r="L1422" s="350"/>
      <c r="M1422" s="351"/>
      <c r="N1422" s="490" t="s">
        <v>294</v>
      </c>
      <c r="O1422" s="350"/>
      <c r="P1422" s="350"/>
      <c r="Q1422" s="350"/>
      <c r="R1422" s="350"/>
      <c r="S1422" s="350"/>
      <c r="T1422" s="350"/>
      <c r="U1422" s="351"/>
    </row>
    <row r="1423" spans="1:21" ht="34.5" customHeight="1">
      <c r="A1423" s="24">
        <f t="shared" si="5"/>
        <v>1409</v>
      </c>
      <c r="B1423" s="483" t="s">
        <v>294</v>
      </c>
      <c r="C1423" s="351"/>
      <c r="D1423" s="484" t="s">
        <v>294</v>
      </c>
      <c r="E1423" s="351"/>
      <c r="F1423" s="485" t="s">
        <v>325</v>
      </c>
      <c r="G1423" s="351"/>
      <c r="H1423" s="486"/>
      <c r="I1423" s="350"/>
      <c r="J1423" s="351"/>
      <c r="K1423" s="485" t="s">
        <v>325</v>
      </c>
      <c r="L1423" s="350"/>
      <c r="M1423" s="351"/>
      <c r="N1423" s="491" t="s">
        <v>294</v>
      </c>
      <c r="O1423" s="350"/>
      <c r="P1423" s="350"/>
      <c r="Q1423" s="350"/>
      <c r="R1423" s="350"/>
      <c r="S1423" s="350"/>
      <c r="T1423" s="350"/>
      <c r="U1423" s="351"/>
    </row>
    <row r="1424" spans="1:21" ht="34.5" customHeight="1">
      <c r="A1424" s="24">
        <f t="shared" si="5"/>
        <v>1410</v>
      </c>
      <c r="B1424" s="488" t="s">
        <v>294</v>
      </c>
      <c r="C1424" s="351"/>
      <c r="D1424" s="489" t="s">
        <v>294</v>
      </c>
      <c r="E1424" s="351"/>
      <c r="F1424" s="485" t="s">
        <v>325</v>
      </c>
      <c r="G1424" s="351"/>
      <c r="H1424" s="487"/>
      <c r="I1424" s="350"/>
      <c r="J1424" s="351"/>
      <c r="K1424" s="485" t="s">
        <v>325</v>
      </c>
      <c r="L1424" s="350"/>
      <c r="M1424" s="351"/>
      <c r="N1424" s="490" t="s">
        <v>294</v>
      </c>
      <c r="O1424" s="350"/>
      <c r="P1424" s="350"/>
      <c r="Q1424" s="350"/>
      <c r="R1424" s="350"/>
      <c r="S1424" s="350"/>
      <c r="T1424" s="350"/>
      <c r="U1424" s="351"/>
    </row>
    <row r="1425" spans="1:21" ht="34.5" customHeight="1">
      <c r="A1425" s="24">
        <f t="shared" si="5"/>
        <v>1411</v>
      </c>
      <c r="B1425" s="483" t="s">
        <v>294</v>
      </c>
      <c r="C1425" s="351"/>
      <c r="D1425" s="484" t="s">
        <v>294</v>
      </c>
      <c r="E1425" s="351"/>
      <c r="F1425" s="485" t="s">
        <v>325</v>
      </c>
      <c r="G1425" s="351"/>
      <c r="H1425" s="486"/>
      <c r="I1425" s="350"/>
      <c r="J1425" s="351"/>
      <c r="K1425" s="485" t="s">
        <v>325</v>
      </c>
      <c r="L1425" s="350"/>
      <c r="M1425" s="351"/>
      <c r="N1425" s="491" t="s">
        <v>294</v>
      </c>
      <c r="O1425" s="350"/>
      <c r="P1425" s="350"/>
      <c r="Q1425" s="350"/>
      <c r="R1425" s="350"/>
      <c r="S1425" s="350"/>
      <c r="T1425" s="350"/>
      <c r="U1425" s="351"/>
    </row>
    <row r="1426" spans="1:21" ht="34.5" customHeight="1">
      <c r="A1426" s="24">
        <f t="shared" si="5"/>
        <v>1412</v>
      </c>
      <c r="B1426" s="488" t="s">
        <v>294</v>
      </c>
      <c r="C1426" s="351"/>
      <c r="D1426" s="489" t="s">
        <v>294</v>
      </c>
      <c r="E1426" s="351"/>
      <c r="F1426" s="485" t="s">
        <v>325</v>
      </c>
      <c r="G1426" s="351"/>
      <c r="H1426" s="487"/>
      <c r="I1426" s="350"/>
      <c r="J1426" s="351"/>
      <c r="K1426" s="485" t="s">
        <v>325</v>
      </c>
      <c r="L1426" s="350"/>
      <c r="M1426" s="351"/>
      <c r="N1426" s="490" t="s">
        <v>294</v>
      </c>
      <c r="O1426" s="350"/>
      <c r="P1426" s="350"/>
      <c r="Q1426" s="350"/>
      <c r="R1426" s="350"/>
      <c r="S1426" s="350"/>
      <c r="T1426" s="350"/>
      <c r="U1426" s="351"/>
    </row>
    <row r="1427" spans="1:21" ht="34.5" customHeight="1">
      <c r="A1427" s="24">
        <f t="shared" si="5"/>
        <v>1413</v>
      </c>
      <c r="B1427" s="483" t="s">
        <v>294</v>
      </c>
      <c r="C1427" s="351"/>
      <c r="D1427" s="484" t="s">
        <v>294</v>
      </c>
      <c r="E1427" s="351"/>
      <c r="F1427" s="485" t="s">
        <v>325</v>
      </c>
      <c r="G1427" s="351"/>
      <c r="H1427" s="486"/>
      <c r="I1427" s="350"/>
      <c r="J1427" s="351"/>
      <c r="K1427" s="485" t="s">
        <v>325</v>
      </c>
      <c r="L1427" s="350"/>
      <c r="M1427" s="351"/>
      <c r="N1427" s="491" t="s">
        <v>294</v>
      </c>
      <c r="O1427" s="350"/>
      <c r="P1427" s="350"/>
      <c r="Q1427" s="350"/>
      <c r="R1427" s="350"/>
      <c r="S1427" s="350"/>
      <c r="T1427" s="350"/>
      <c r="U1427" s="351"/>
    </row>
    <row r="1428" spans="1:21" ht="34.5" customHeight="1">
      <c r="A1428" s="24">
        <f t="shared" si="5"/>
        <v>1414</v>
      </c>
      <c r="B1428" s="488" t="s">
        <v>294</v>
      </c>
      <c r="C1428" s="351"/>
      <c r="D1428" s="489" t="s">
        <v>294</v>
      </c>
      <c r="E1428" s="351"/>
      <c r="F1428" s="485" t="s">
        <v>325</v>
      </c>
      <c r="G1428" s="351"/>
      <c r="H1428" s="487"/>
      <c r="I1428" s="350"/>
      <c r="J1428" s="351"/>
      <c r="K1428" s="485" t="s">
        <v>325</v>
      </c>
      <c r="L1428" s="350"/>
      <c r="M1428" s="351"/>
      <c r="N1428" s="490" t="s">
        <v>294</v>
      </c>
      <c r="O1428" s="350"/>
      <c r="P1428" s="350"/>
      <c r="Q1428" s="350"/>
      <c r="R1428" s="350"/>
      <c r="S1428" s="350"/>
      <c r="T1428" s="350"/>
      <c r="U1428" s="351"/>
    </row>
    <row r="1429" spans="1:21" ht="34.5" customHeight="1">
      <c r="A1429" s="24">
        <f t="shared" si="5"/>
        <v>1415</v>
      </c>
      <c r="B1429" s="483" t="s">
        <v>294</v>
      </c>
      <c r="C1429" s="351"/>
      <c r="D1429" s="484" t="s">
        <v>294</v>
      </c>
      <c r="E1429" s="351"/>
      <c r="F1429" s="485" t="s">
        <v>325</v>
      </c>
      <c r="G1429" s="351"/>
      <c r="H1429" s="486"/>
      <c r="I1429" s="350"/>
      <c r="J1429" s="351"/>
      <c r="K1429" s="485" t="s">
        <v>325</v>
      </c>
      <c r="L1429" s="350"/>
      <c r="M1429" s="351"/>
      <c r="N1429" s="491" t="s">
        <v>294</v>
      </c>
      <c r="O1429" s="350"/>
      <c r="P1429" s="350"/>
      <c r="Q1429" s="350"/>
      <c r="R1429" s="350"/>
      <c r="S1429" s="350"/>
      <c r="T1429" s="350"/>
      <c r="U1429" s="351"/>
    </row>
    <row r="1430" spans="1:21" ht="34.5" customHeight="1">
      <c r="A1430" s="24">
        <f t="shared" si="5"/>
        <v>1416</v>
      </c>
      <c r="B1430" s="488" t="s">
        <v>294</v>
      </c>
      <c r="C1430" s="351"/>
      <c r="D1430" s="489" t="s">
        <v>294</v>
      </c>
      <c r="E1430" s="351"/>
      <c r="F1430" s="485" t="s">
        <v>325</v>
      </c>
      <c r="G1430" s="351"/>
      <c r="H1430" s="487"/>
      <c r="I1430" s="350"/>
      <c r="J1430" s="351"/>
      <c r="K1430" s="485" t="s">
        <v>325</v>
      </c>
      <c r="L1430" s="350"/>
      <c r="M1430" s="351"/>
      <c r="N1430" s="490" t="s">
        <v>294</v>
      </c>
      <c r="O1430" s="350"/>
      <c r="P1430" s="350"/>
      <c r="Q1430" s="350"/>
      <c r="R1430" s="350"/>
      <c r="S1430" s="350"/>
      <c r="T1430" s="350"/>
      <c r="U1430" s="351"/>
    </row>
    <row r="1431" spans="1:21" ht="34.5" customHeight="1">
      <c r="A1431" s="24">
        <f t="shared" si="5"/>
        <v>1417</v>
      </c>
      <c r="B1431" s="483" t="s">
        <v>294</v>
      </c>
      <c r="C1431" s="351"/>
      <c r="D1431" s="484" t="s">
        <v>294</v>
      </c>
      <c r="E1431" s="351"/>
      <c r="F1431" s="485" t="s">
        <v>325</v>
      </c>
      <c r="G1431" s="351"/>
      <c r="H1431" s="486"/>
      <c r="I1431" s="350"/>
      <c r="J1431" s="351"/>
      <c r="K1431" s="485" t="s">
        <v>325</v>
      </c>
      <c r="L1431" s="350"/>
      <c r="M1431" s="351"/>
      <c r="N1431" s="491" t="s">
        <v>294</v>
      </c>
      <c r="O1431" s="350"/>
      <c r="P1431" s="350"/>
      <c r="Q1431" s="350"/>
      <c r="R1431" s="350"/>
      <c r="S1431" s="350"/>
      <c r="T1431" s="350"/>
      <c r="U1431" s="351"/>
    </row>
    <row r="1432" spans="1:21" ht="34.5" customHeight="1">
      <c r="A1432" s="24">
        <f t="shared" si="5"/>
        <v>1418</v>
      </c>
      <c r="B1432" s="488" t="s">
        <v>294</v>
      </c>
      <c r="C1432" s="351"/>
      <c r="D1432" s="489" t="s">
        <v>294</v>
      </c>
      <c r="E1432" s="351"/>
      <c r="F1432" s="485" t="s">
        <v>325</v>
      </c>
      <c r="G1432" s="351"/>
      <c r="H1432" s="487"/>
      <c r="I1432" s="350"/>
      <c r="J1432" s="351"/>
      <c r="K1432" s="485" t="s">
        <v>325</v>
      </c>
      <c r="L1432" s="350"/>
      <c r="M1432" s="351"/>
      <c r="N1432" s="490" t="s">
        <v>294</v>
      </c>
      <c r="O1432" s="350"/>
      <c r="P1432" s="350"/>
      <c r="Q1432" s="350"/>
      <c r="R1432" s="350"/>
      <c r="S1432" s="350"/>
      <c r="T1432" s="350"/>
      <c r="U1432" s="351"/>
    </row>
    <row r="1433" spans="1:21" ht="34.5" customHeight="1">
      <c r="A1433" s="24">
        <f t="shared" si="5"/>
        <v>1419</v>
      </c>
      <c r="B1433" s="483" t="s">
        <v>294</v>
      </c>
      <c r="C1433" s="351"/>
      <c r="D1433" s="484" t="s">
        <v>294</v>
      </c>
      <c r="E1433" s="351"/>
      <c r="F1433" s="485" t="s">
        <v>325</v>
      </c>
      <c r="G1433" s="351"/>
      <c r="H1433" s="486"/>
      <c r="I1433" s="350"/>
      <c r="J1433" s="351"/>
      <c r="K1433" s="485" t="s">
        <v>325</v>
      </c>
      <c r="L1433" s="350"/>
      <c r="M1433" s="351"/>
      <c r="N1433" s="491" t="s">
        <v>294</v>
      </c>
      <c r="O1433" s="350"/>
      <c r="P1433" s="350"/>
      <c r="Q1433" s="350"/>
      <c r="R1433" s="350"/>
      <c r="S1433" s="350"/>
      <c r="T1433" s="350"/>
      <c r="U1433" s="351"/>
    </row>
    <row r="1434" spans="1:21" ht="34.5" customHeight="1">
      <c r="A1434" s="24">
        <f t="shared" si="5"/>
        <v>1420</v>
      </c>
      <c r="B1434" s="488" t="s">
        <v>294</v>
      </c>
      <c r="C1434" s="351"/>
      <c r="D1434" s="489" t="s">
        <v>294</v>
      </c>
      <c r="E1434" s="351"/>
      <c r="F1434" s="485" t="s">
        <v>325</v>
      </c>
      <c r="G1434" s="351"/>
      <c r="H1434" s="487"/>
      <c r="I1434" s="350"/>
      <c r="J1434" s="351"/>
      <c r="K1434" s="485" t="s">
        <v>325</v>
      </c>
      <c r="L1434" s="350"/>
      <c r="M1434" s="351"/>
      <c r="N1434" s="490" t="s">
        <v>294</v>
      </c>
      <c r="O1434" s="350"/>
      <c r="P1434" s="350"/>
      <c r="Q1434" s="350"/>
      <c r="R1434" s="350"/>
      <c r="S1434" s="350"/>
      <c r="T1434" s="350"/>
      <c r="U1434" s="351"/>
    </row>
    <row r="1435" spans="1:21" ht="34.5" customHeight="1">
      <c r="A1435" s="24">
        <f t="shared" si="5"/>
        <v>1421</v>
      </c>
      <c r="B1435" s="483" t="s">
        <v>294</v>
      </c>
      <c r="C1435" s="351"/>
      <c r="D1435" s="484" t="s">
        <v>294</v>
      </c>
      <c r="E1435" s="351"/>
      <c r="F1435" s="485" t="s">
        <v>325</v>
      </c>
      <c r="G1435" s="351"/>
      <c r="H1435" s="486"/>
      <c r="I1435" s="350"/>
      <c r="J1435" s="351"/>
      <c r="K1435" s="485" t="s">
        <v>325</v>
      </c>
      <c r="L1435" s="350"/>
      <c r="M1435" s="351"/>
      <c r="N1435" s="491" t="s">
        <v>294</v>
      </c>
      <c r="O1435" s="350"/>
      <c r="P1435" s="350"/>
      <c r="Q1435" s="350"/>
      <c r="R1435" s="350"/>
      <c r="S1435" s="350"/>
      <c r="T1435" s="350"/>
      <c r="U1435" s="351"/>
    </row>
    <row r="1436" spans="1:21" ht="34.5" customHeight="1">
      <c r="A1436" s="24">
        <f t="shared" si="5"/>
        <v>1422</v>
      </c>
      <c r="B1436" s="488" t="s">
        <v>294</v>
      </c>
      <c r="C1436" s="351"/>
      <c r="D1436" s="489" t="s">
        <v>294</v>
      </c>
      <c r="E1436" s="351"/>
      <c r="F1436" s="485" t="s">
        <v>325</v>
      </c>
      <c r="G1436" s="351"/>
      <c r="H1436" s="487"/>
      <c r="I1436" s="350"/>
      <c r="J1436" s="351"/>
      <c r="K1436" s="485" t="s">
        <v>325</v>
      </c>
      <c r="L1436" s="350"/>
      <c r="M1436" s="351"/>
      <c r="N1436" s="490" t="s">
        <v>294</v>
      </c>
      <c r="O1436" s="350"/>
      <c r="P1436" s="350"/>
      <c r="Q1436" s="350"/>
      <c r="R1436" s="350"/>
      <c r="S1436" s="350"/>
      <c r="T1436" s="350"/>
      <c r="U1436" s="351"/>
    </row>
    <row r="1437" spans="1:21" ht="34.5" customHeight="1">
      <c r="A1437" s="24">
        <f t="shared" si="5"/>
        <v>1423</v>
      </c>
      <c r="B1437" s="483" t="s">
        <v>294</v>
      </c>
      <c r="C1437" s="351"/>
      <c r="D1437" s="484" t="s">
        <v>294</v>
      </c>
      <c r="E1437" s="351"/>
      <c r="F1437" s="485" t="s">
        <v>325</v>
      </c>
      <c r="G1437" s="351"/>
      <c r="H1437" s="486"/>
      <c r="I1437" s="350"/>
      <c r="J1437" s="351"/>
      <c r="K1437" s="485" t="s">
        <v>325</v>
      </c>
      <c r="L1437" s="350"/>
      <c r="M1437" s="351"/>
      <c r="N1437" s="491" t="s">
        <v>294</v>
      </c>
      <c r="O1437" s="350"/>
      <c r="P1437" s="350"/>
      <c r="Q1437" s="350"/>
      <c r="R1437" s="350"/>
      <c r="S1437" s="350"/>
      <c r="T1437" s="350"/>
      <c r="U1437" s="351"/>
    </row>
    <row r="1438" spans="1:21" ht="34.5" customHeight="1">
      <c r="A1438" s="24">
        <f t="shared" si="5"/>
        <v>1424</v>
      </c>
      <c r="B1438" s="488" t="s">
        <v>294</v>
      </c>
      <c r="C1438" s="351"/>
      <c r="D1438" s="489" t="s">
        <v>294</v>
      </c>
      <c r="E1438" s="351"/>
      <c r="F1438" s="485" t="s">
        <v>325</v>
      </c>
      <c r="G1438" s="351"/>
      <c r="H1438" s="487"/>
      <c r="I1438" s="350"/>
      <c r="J1438" s="351"/>
      <c r="K1438" s="485" t="s">
        <v>325</v>
      </c>
      <c r="L1438" s="350"/>
      <c r="M1438" s="351"/>
      <c r="N1438" s="490" t="s">
        <v>294</v>
      </c>
      <c r="O1438" s="350"/>
      <c r="P1438" s="350"/>
      <c r="Q1438" s="350"/>
      <c r="R1438" s="350"/>
      <c r="S1438" s="350"/>
      <c r="T1438" s="350"/>
      <c r="U1438" s="351"/>
    </row>
    <row r="1439" spans="1:21" ht="34.5" customHeight="1">
      <c r="A1439" s="24">
        <f t="shared" si="5"/>
        <v>1425</v>
      </c>
      <c r="B1439" s="483" t="s">
        <v>294</v>
      </c>
      <c r="C1439" s="351"/>
      <c r="D1439" s="484" t="s">
        <v>294</v>
      </c>
      <c r="E1439" s="351"/>
      <c r="F1439" s="485" t="s">
        <v>325</v>
      </c>
      <c r="G1439" s="351"/>
      <c r="H1439" s="486"/>
      <c r="I1439" s="350"/>
      <c r="J1439" s="351"/>
      <c r="K1439" s="485" t="s">
        <v>325</v>
      </c>
      <c r="L1439" s="350"/>
      <c r="M1439" s="351"/>
      <c r="N1439" s="491" t="s">
        <v>294</v>
      </c>
      <c r="O1439" s="350"/>
      <c r="P1439" s="350"/>
      <c r="Q1439" s="350"/>
      <c r="R1439" s="350"/>
      <c r="S1439" s="350"/>
      <c r="T1439" s="350"/>
      <c r="U1439" s="351"/>
    </row>
    <row r="1440" spans="1:21" ht="34.5" customHeight="1">
      <c r="A1440" s="24">
        <f t="shared" si="5"/>
        <v>1426</v>
      </c>
      <c r="B1440" s="488" t="s">
        <v>294</v>
      </c>
      <c r="C1440" s="351"/>
      <c r="D1440" s="489" t="s">
        <v>294</v>
      </c>
      <c r="E1440" s="351"/>
      <c r="F1440" s="485" t="s">
        <v>325</v>
      </c>
      <c r="G1440" s="351"/>
      <c r="H1440" s="487"/>
      <c r="I1440" s="350"/>
      <c r="J1440" s="351"/>
      <c r="K1440" s="485" t="s">
        <v>325</v>
      </c>
      <c r="L1440" s="350"/>
      <c r="M1440" s="351"/>
      <c r="N1440" s="490" t="s">
        <v>294</v>
      </c>
      <c r="O1440" s="350"/>
      <c r="P1440" s="350"/>
      <c r="Q1440" s="350"/>
      <c r="R1440" s="350"/>
      <c r="S1440" s="350"/>
      <c r="T1440" s="350"/>
      <c r="U1440" s="351"/>
    </row>
    <row r="1441" spans="1:21" ht="34.5" customHeight="1">
      <c r="A1441" s="24">
        <f t="shared" si="5"/>
        <v>1427</v>
      </c>
      <c r="B1441" s="483" t="s">
        <v>294</v>
      </c>
      <c r="C1441" s="351"/>
      <c r="D1441" s="484" t="s">
        <v>294</v>
      </c>
      <c r="E1441" s="351"/>
      <c r="F1441" s="485" t="s">
        <v>325</v>
      </c>
      <c r="G1441" s="351"/>
      <c r="H1441" s="486"/>
      <c r="I1441" s="350"/>
      <c r="J1441" s="351"/>
      <c r="K1441" s="485" t="s">
        <v>325</v>
      </c>
      <c r="L1441" s="350"/>
      <c r="M1441" s="351"/>
      <c r="N1441" s="491" t="s">
        <v>294</v>
      </c>
      <c r="O1441" s="350"/>
      <c r="P1441" s="350"/>
      <c r="Q1441" s="350"/>
      <c r="R1441" s="350"/>
      <c r="S1441" s="350"/>
      <c r="T1441" s="350"/>
      <c r="U1441" s="351"/>
    </row>
    <row r="1442" spans="1:21" ht="34.5" customHeight="1">
      <c r="A1442" s="24">
        <f t="shared" si="5"/>
        <v>1428</v>
      </c>
      <c r="B1442" s="488" t="s">
        <v>294</v>
      </c>
      <c r="C1442" s="351"/>
      <c r="D1442" s="489" t="s">
        <v>294</v>
      </c>
      <c r="E1442" s="351"/>
      <c r="F1442" s="485" t="s">
        <v>325</v>
      </c>
      <c r="G1442" s="351"/>
      <c r="H1442" s="487"/>
      <c r="I1442" s="350"/>
      <c r="J1442" s="351"/>
      <c r="K1442" s="485" t="s">
        <v>325</v>
      </c>
      <c r="L1442" s="350"/>
      <c r="M1442" s="351"/>
      <c r="N1442" s="490" t="s">
        <v>294</v>
      </c>
      <c r="O1442" s="350"/>
      <c r="P1442" s="350"/>
      <c r="Q1442" s="350"/>
      <c r="R1442" s="350"/>
      <c r="S1442" s="350"/>
      <c r="T1442" s="350"/>
      <c r="U1442" s="351"/>
    </row>
    <row r="1443" spans="1:21" ht="34.5" customHeight="1">
      <c r="A1443" s="24">
        <f t="shared" si="5"/>
        <v>1429</v>
      </c>
      <c r="B1443" s="483" t="s">
        <v>294</v>
      </c>
      <c r="C1443" s="351"/>
      <c r="D1443" s="484" t="s">
        <v>294</v>
      </c>
      <c r="E1443" s="351"/>
      <c r="F1443" s="485" t="s">
        <v>325</v>
      </c>
      <c r="G1443" s="351"/>
      <c r="H1443" s="486"/>
      <c r="I1443" s="350"/>
      <c r="J1443" s="351"/>
      <c r="K1443" s="485" t="s">
        <v>325</v>
      </c>
      <c r="L1443" s="350"/>
      <c r="M1443" s="351"/>
      <c r="N1443" s="491" t="s">
        <v>294</v>
      </c>
      <c r="O1443" s="350"/>
      <c r="P1443" s="350"/>
      <c r="Q1443" s="350"/>
      <c r="R1443" s="350"/>
      <c r="S1443" s="350"/>
      <c r="T1443" s="350"/>
      <c r="U1443" s="351"/>
    </row>
    <row r="1444" spans="1:21" ht="34.5" customHeight="1">
      <c r="A1444" s="24">
        <f t="shared" si="5"/>
        <v>1430</v>
      </c>
      <c r="B1444" s="488" t="s">
        <v>294</v>
      </c>
      <c r="C1444" s="351"/>
      <c r="D1444" s="489" t="s">
        <v>294</v>
      </c>
      <c r="E1444" s="351"/>
      <c r="F1444" s="485" t="s">
        <v>325</v>
      </c>
      <c r="G1444" s="351"/>
      <c r="H1444" s="487"/>
      <c r="I1444" s="350"/>
      <c r="J1444" s="351"/>
      <c r="K1444" s="485" t="s">
        <v>325</v>
      </c>
      <c r="L1444" s="350"/>
      <c r="M1444" s="351"/>
      <c r="N1444" s="490" t="s">
        <v>294</v>
      </c>
      <c r="O1444" s="350"/>
      <c r="P1444" s="350"/>
      <c r="Q1444" s="350"/>
      <c r="R1444" s="350"/>
      <c r="S1444" s="350"/>
      <c r="T1444" s="350"/>
      <c r="U1444" s="351"/>
    </row>
    <row r="1445" spans="1:21" ht="34.5" customHeight="1">
      <c r="A1445" s="24">
        <f t="shared" si="5"/>
        <v>1431</v>
      </c>
      <c r="B1445" s="483" t="s">
        <v>294</v>
      </c>
      <c r="C1445" s="351"/>
      <c r="D1445" s="484" t="s">
        <v>294</v>
      </c>
      <c r="E1445" s="351"/>
      <c r="F1445" s="485" t="s">
        <v>325</v>
      </c>
      <c r="G1445" s="351"/>
      <c r="H1445" s="486"/>
      <c r="I1445" s="350"/>
      <c r="J1445" s="351"/>
      <c r="K1445" s="485" t="s">
        <v>325</v>
      </c>
      <c r="L1445" s="350"/>
      <c r="M1445" s="351"/>
      <c r="N1445" s="491" t="s">
        <v>294</v>
      </c>
      <c r="O1445" s="350"/>
      <c r="P1445" s="350"/>
      <c r="Q1445" s="350"/>
      <c r="R1445" s="350"/>
      <c r="S1445" s="350"/>
      <c r="T1445" s="350"/>
      <c r="U1445" s="351"/>
    </row>
    <row r="1446" spans="1:21" ht="34.5" customHeight="1">
      <c r="A1446" s="24">
        <f t="shared" si="5"/>
        <v>1432</v>
      </c>
      <c r="B1446" s="488" t="s">
        <v>294</v>
      </c>
      <c r="C1446" s="351"/>
      <c r="D1446" s="489" t="s">
        <v>294</v>
      </c>
      <c r="E1446" s="351"/>
      <c r="F1446" s="485" t="s">
        <v>325</v>
      </c>
      <c r="G1446" s="351"/>
      <c r="H1446" s="487"/>
      <c r="I1446" s="350"/>
      <c r="J1446" s="351"/>
      <c r="K1446" s="485" t="s">
        <v>325</v>
      </c>
      <c r="L1446" s="350"/>
      <c r="M1446" s="351"/>
      <c r="N1446" s="490" t="s">
        <v>294</v>
      </c>
      <c r="O1446" s="350"/>
      <c r="P1446" s="350"/>
      <c r="Q1446" s="350"/>
      <c r="R1446" s="350"/>
      <c r="S1446" s="350"/>
      <c r="T1446" s="350"/>
      <c r="U1446" s="351"/>
    </row>
    <row r="1447" spans="1:21" ht="34.5" customHeight="1">
      <c r="A1447" s="24">
        <f t="shared" si="5"/>
        <v>1433</v>
      </c>
      <c r="B1447" s="483" t="s">
        <v>294</v>
      </c>
      <c r="C1447" s="351"/>
      <c r="D1447" s="484" t="s">
        <v>294</v>
      </c>
      <c r="E1447" s="351"/>
      <c r="F1447" s="485" t="s">
        <v>325</v>
      </c>
      <c r="G1447" s="351"/>
      <c r="H1447" s="486"/>
      <c r="I1447" s="350"/>
      <c r="J1447" s="351"/>
      <c r="K1447" s="485" t="s">
        <v>325</v>
      </c>
      <c r="L1447" s="350"/>
      <c r="M1447" s="351"/>
      <c r="N1447" s="491" t="s">
        <v>294</v>
      </c>
      <c r="O1447" s="350"/>
      <c r="P1447" s="350"/>
      <c r="Q1447" s="350"/>
      <c r="R1447" s="350"/>
      <c r="S1447" s="350"/>
      <c r="T1447" s="350"/>
      <c r="U1447" s="351"/>
    </row>
    <row r="1448" spans="1:21" ht="34.5" customHeight="1">
      <c r="A1448" s="24">
        <f t="shared" si="5"/>
        <v>1434</v>
      </c>
      <c r="B1448" s="488" t="s">
        <v>294</v>
      </c>
      <c r="C1448" s="351"/>
      <c r="D1448" s="489" t="s">
        <v>294</v>
      </c>
      <c r="E1448" s="351"/>
      <c r="F1448" s="485" t="s">
        <v>325</v>
      </c>
      <c r="G1448" s="351"/>
      <c r="H1448" s="487"/>
      <c r="I1448" s="350"/>
      <c r="J1448" s="351"/>
      <c r="K1448" s="485" t="s">
        <v>325</v>
      </c>
      <c r="L1448" s="350"/>
      <c r="M1448" s="351"/>
      <c r="N1448" s="490" t="s">
        <v>294</v>
      </c>
      <c r="O1448" s="350"/>
      <c r="P1448" s="350"/>
      <c r="Q1448" s="350"/>
      <c r="R1448" s="350"/>
      <c r="S1448" s="350"/>
      <c r="T1448" s="350"/>
      <c r="U1448" s="351"/>
    </row>
    <row r="1449" spans="1:21" ht="34.5" customHeight="1">
      <c r="A1449" s="24">
        <f t="shared" si="5"/>
        <v>1435</v>
      </c>
      <c r="B1449" s="483" t="s">
        <v>294</v>
      </c>
      <c r="C1449" s="351"/>
      <c r="D1449" s="484" t="s">
        <v>294</v>
      </c>
      <c r="E1449" s="351"/>
      <c r="F1449" s="485" t="s">
        <v>325</v>
      </c>
      <c r="G1449" s="351"/>
      <c r="H1449" s="486"/>
      <c r="I1449" s="350"/>
      <c r="J1449" s="351"/>
      <c r="K1449" s="485" t="s">
        <v>325</v>
      </c>
      <c r="L1449" s="350"/>
      <c r="M1449" s="351"/>
      <c r="N1449" s="491" t="s">
        <v>294</v>
      </c>
      <c r="O1449" s="350"/>
      <c r="P1449" s="350"/>
      <c r="Q1449" s="350"/>
      <c r="R1449" s="350"/>
      <c r="S1449" s="350"/>
      <c r="T1449" s="350"/>
      <c r="U1449" s="351"/>
    </row>
    <row r="1450" spans="1:21" ht="34.5" customHeight="1">
      <c r="A1450" s="24">
        <f t="shared" si="5"/>
        <v>1436</v>
      </c>
      <c r="B1450" s="488" t="s">
        <v>294</v>
      </c>
      <c r="C1450" s="351"/>
      <c r="D1450" s="489" t="s">
        <v>294</v>
      </c>
      <c r="E1450" s="351"/>
      <c r="F1450" s="485" t="s">
        <v>325</v>
      </c>
      <c r="G1450" s="351"/>
      <c r="H1450" s="487"/>
      <c r="I1450" s="350"/>
      <c r="J1450" s="351"/>
      <c r="K1450" s="485" t="s">
        <v>325</v>
      </c>
      <c r="L1450" s="350"/>
      <c r="M1450" s="351"/>
      <c r="N1450" s="490" t="s">
        <v>294</v>
      </c>
      <c r="O1450" s="350"/>
      <c r="P1450" s="350"/>
      <c r="Q1450" s="350"/>
      <c r="R1450" s="350"/>
      <c r="S1450" s="350"/>
      <c r="T1450" s="350"/>
      <c r="U1450" s="351"/>
    </row>
    <row r="1451" spans="1:21" ht="34.5" customHeight="1">
      <c r="A1451" s="24">
        <f t="shared" si="5"/>
        <v>1437</v>
      </c>
      <c r="B1451" s="483" t="s">
        <v>294</v>
      </c>
      <c r="C1451" s="351"/>
      <c r="D1451" s="484" t="s">
        <v>294</v>
      </c>
      <c r="E1451" s="351"/>
      <c r="F1451" s="485" t="s">
        <v>325</v>
      </c>
      <c r="G1451" s="351"/>
      <c r="H1451" s="486"/>
      <c r="I1451" s="350"/>
      <c r="J1451" s="351"/>
      <c r="K1451" s="485" t="s">
        <v>325</v>
      </c>
      <c r="L1451" s="350"/>
      <c r="M1451" s="351"/>
      <c r="N1451" s="491" t="s">
        <v>294</v>
      </c>
      <c r="O1451" s="350"/>
      <c r="P1451" s="350"/>
      <c r="Q1451" s="350"/>
      <c r="R1451" s="350"/>
      <c r="S1451" s="350"/>
      <c r="T1451" s="350"/>
      <c r="U1451" s="351"/>
    </row>
    <row r="1452" spans="1:21" ht="34.5" customHeight="1">
      <c r="A1452" s="24">
        <f t="shared" si="5"/>
        <v>1438</v>
      </c>
      <c r="B1452" s="488" t="s">
        <v>294</v>
      </c>
      <c r="C1452" s="351"/>
      <c r="D1452" s="489" t="s">
        <v>294</v>
      </c>
      <c r="E1452" s="351"/>
      <c r="F1452" s="485" t="s">
        <v>325</v>
      </c>
      <c r="G1452" s="351"/>
      <c r="H1452" s="487"/>
      <c r="I1452" s="350"/>
      <c r="J1452" s="351"/>
      <c r="K1452" s="485" t="s">
        <v>325</v>
      </c>
      <c r="L1452" s="350"/>
      <c r="M1452" s="351"/>
      <c r="N1452" s="490" t="s">
        <v>294</v>
      </c>
      <c r="O1452" s="350"/>
      <c r="P1452" s="350"/>
      <c r="Q1452" s="350"/>
      <c r="R1452" s="350"/>
      <c r="S1452" s="350"/>
      <c r="T1452" s="350"/>
      <c r="U1452" s="351"/>
    </row>
    <row r="1453" spans="1:21" ht="34.5" customHeight="1">
      <c r="A1453" s="24">
        <f t="shared" si="5"/>
        <v>1439</v>
      </c>
      <c r="B1453" s="483" t="s">
        <v>294</v>
      </c>
      <c r="C1453" s="351"/>
      <c r="D1453" s="484" t="s">
        <v>294</v>
      </c>
      <c r="E1453" s="351"/>
      <c r="F1453" s="485" t="s">
        <v>325</v>
      </c>
      <c r="G1453" s="351"/>
      <c r="H1453" s="486"/>
      <c r="I1453" s="350"/>
      <c r="J1453" s="351"/>
      <c r="K1453" s="485" t="s">
        <v>325</v>
      </c>
      <c r="L1453" s="350"/>
      <c r="M1453" s="351"/>
      <c r="N1453" s="491" t="s">
        <v>294</v>
      </c>
      <c r="O1453" s="350"/>
      <c r="P1453" s="350"/>
      <c r="Q1453" s="350"/>
      <c r="R1453" s="350"/>
      <c r="S1453" s="350"/>
      <c r="T1453" s="350"/>
      <c r="U1453" s="351"/>
    </row>
    <row r="1454" spans="1:21" ht="34.5" customHeight="1">
      <c r="A1454" s="24">
        <f t="shared" si="5"/>
        <v>1440</v>
      </c>
      <c r="B1454" s="488" t="s">
        <v>326</v>
      </c>
      <c r="C1454" s="351"/>
      <c r="D1454" s="489" t="s">
        <v>294</v>
      </c>
      <c r="E1454" s="351"/>
      <c r="F1454" s="485" t="s">
        <v>325</v>
      </c>
      <c r="G1454" s="351"/>
      <c r="H1454" s="487"/>
      <c r="I1454" s="350"/>
      <c r="J1454" s="351"/>
      <c r="K1454" s="485" t="s">
        <v>325</v>
      </c>
      <c r="L1454" s="350"/>
      <c r="M1454" s="351"/>
      <c r="N1454" s="490" t="s">
        <v>294</v>
      </c>
      <c r="O1454" s="350"/>
      <c r="P1454" s="350"/>
      <c r="Q1454" s="350"/>
      <c r="R1454" s="350"/>
      <c r="S1454" s="350"/>
      <c r="T1454" s="350"/>
      <c r="U1454" s="351"/>
    </row>
    <row r="1455" spans="1:21" ht="34.5" customHeight="1">
      <c r="A1455" s="24">
        <f t="shared" si="5"/>
        <v>1441</v>
      </c>
      <c r="B1455" s="483" t="s">
        <v>294</v>
      </c>
      <c r="C1455" s="351"/>
      <c r="D1455" s="484" t="s">
        <v>294</v>
      </c>
      <c r="E1455" s="351"/>
      <c r="F1455" s="485" t="s">
        <v>325</v>
      </c>
      <c r="G1455" s="351"/>
      <c r="H1455" s="486"/>
      <c r="I1455" s="350"/>
      <c r="J1455" s="351"/>
      <c r="K1455" s="485" t="s">
        <v>325</v>
      </c>
      <c r="L1455" s="350"/>
      <c r="M1455" s="351"/>
      <c r="N1455" s="491" t="s">
        <v>294</v>
      </c>
      <c r="O1455" s="350"/>
      <c r="P1455" s="350"/>
      <c r="Q1455" s="350"/>
      <c r="R1455" s="350"/>
      <c r="S1455" s="350"/>
      <c r="T1455" s="350"/>
      <c r="U1455" s="351"/>
    </row>
    <row r="1456" spans="1:21" ht="34.5" customHeight="1">
      <c r="A1456" s="24">
        <f t="shared" si="5"/>
        <v>1442</v>
      </c>
      <c r="B1456" s="488" t="s">
        <v>294</v>
      </c>
      <c r="C1456" s="351"/>
      <c r="D1456" s="489" t="s">
        <v>294</v>
      </c>
      <c r="E1456" s="351"/>
      <c r="F1456" s="485" t="s">
        <v>325</v>
      </c>
      <c r="G1456" s="351"/>
      <c r="H1456" s="487"/>
      <c r="I1456" s="350"/>
      <c r="J1456" s="351"/>
      <c r="K1456" s="485" t="s">
        <v>325</v>
      </c>
      <c r="L1456" s="350"/>
      <c r="M1456" s="351"/>
      <c r="N1456" s="490" t="s">
        <v>294</v>
      </c>
      <c r="O1456" s="350"/>
      <c r="P1456" s="350"/>
      <c r="Q1456" s="350"/>
      <c r="R1456" s="350"/>
      <c r="S1456" s="350"/>
      <c r="T1456" s="350"/>
      <c r="U1456" s="351"/>
    </row>
    <row r="1457" spans="1:21" ht="34.5" customHeight="1">
      <c r="A1457" s="24">
        <f t="shared" si="5"/>
        <v>1443</v>
      </c>
      <c r="B1457" s="483" t="s">
        <v>294</v>
      </c>
      <c r="C1457" s="351"/>
      <c r="D1457" s="484" t="s">
        <v>294</v>
      </c>
      <c r="E1457" s="351"/>
      <c r="F1457" s="485" t="s">
        <v>325</v>
      </c>
      <c r="G1457" s="351"/>
      <c r="H1457" s="486"/>
      <c r="I1457" s="350"/>
      <c r="J1457" s="351"/>
      <c r="K1457" s="485" t="s">
        <v>325</v>
      </c>
      <c r="L1457" s="350"/>
      <c r="M1457" s="351"/>
      <c r="N1457" s="491" t="s">
        <v>294</v>
      </c>
      <c r="O1457" s="350"/>
      <c r="P1457" s="350"/>
      <c r="Q1457" s="350"/>
      <c r="R1457" s="350"/>
      <c r="S1457" s="350"/>
      <c r="T1457" s="350"/>
      <c r="U1457" s="351"/>
    </row>
    <row r="1458" spans="1:21" ht="34.5" customHeight="1">
      <c r="A1458" s="24">
        <f t="shared" si="5"/>
        <v>1444</v>
      </c>
      <c r="B1458" s="488" t="s">
        <v>294</v>
      </c>
      <c r="C1458" s="351"/>
      <c r="D1458" s="489" t="s">
        <v>294</v>
      </c>
      <c r="E1458" s="351"/>
      <c r="F1458" s="485" t="s">
        <v>325</v>
      </c>
      <c r="G1458" s="351"/>
      <c r="H1458" s="487"/>
      <c r="I1458" s="350"/>
      <c r="J1458" s="351"/>
      <c r="K1458" s="485" t="s">
        <v>325</v>
      </c>
      <c r="L1458" s="350"/>
      <c r="M1458" s="351"/>
      <c r="N1458" s="490" t="s">
        <v>294</v>
      </c>
      <c r="O1458" s="350"/>
      <c r="P1458" s="350"/>
      <c r="Q1458" s="350"/>
      <c r="R1458" s="350"/>
      <c r="S1458" s="350"/>
      <c r="T1458" s="350"/>
      <c r="U1458" s="351"/>
    </row>
    <row r="1459" spans="1:21" ht="34.5" customHeight="1">
      <c r="A1459" s="24">
        <f t="shared" si="5"/>
        <v>1445</v>
      </c>
      <c r="B1459" s="483" t="s">
        <v>294</v>
      </c>
      <c r="C1459" s="351"/>
      <c r="D1459" s="484" t="s">
        <v>294</v>
      </c>
      <c r="E1459" s="351"/>
      <c r="F1459" s="485" t="s">
        <v>325</v>
      </c>
      <c r="G1459" s="351"/>
      <c r="H1459" s="486"/>
      <c r="I1459" s="350"/>
      <c r="J1459" s="351"/>
      <c r="K1459" s="485" t="s">
        <v>325</v>
      </c>
      <c r="L1459" s="350"/>
      <c r="M1459" s="351"/>
      <c r="N1459" s="491" t="s">
        <v>294</v>
      </c>
      <c r="O1459" s="350"/>
      <c r="P1459" s="350"/>
      <c r="Q1459" s="350"/>
      <c r="R1459" s="350"/>
      <c r="S1459" s="350"/>
      <c r="T1459" s="350"/>
      <c r="U1459" s="351"/>
    </row>
    <row r="1460" spans="1:21" ht="34.5" customHeight="1">
      <c r="A1460" s="24">
        <f t="shared" si="5"/>
        <v>1446</v>
      </c>
      <c r="B1460" s="488" t="s">
        <v>327</v>
      </c>
      <c r="C1460" s="351"/>
      <c r="D1460" s="489" t="s">
        <v>294</v>
      </c>
      <c r="E1460" s="351"/>
      <c r="F1460" s="485" t="s">
        <v>325</v>
      </c>
      <c r="G1460" s="351"/>
      <c r="H1460" s="487"/>
      <c r="I1460" s="350"/>
      <c r="J1460" s="351"/>
      <c r="K1460" s="485" t="s">
        <v>325</v>
      </c>
      <c r="L1460" s="350"/>
      <c r="M1460" s="351"/>
      <c r="N1460" s="490" t="s">
        <v>294</v>
      </c>
      <c r="O1460" s="350"/>
      <c r="P1460" s="350"/>
      <c r="Q1460" s="350"/>
      <c r="R1460" s="350"/>
      <c r="S1460" s="350"/>
      <c r="T1460" s="350"/>
      <c r="U1460" s="351"/>
    </row>
    <row r="1461" spans="1:21" ht="34.5" customHeight="1">
      <c r="A1461" s="24">
        <f t="shared" si="5"/>
        <v>1447</v>
      </c>
      <c r="B1461" s="483" t="s">
        <v>294</v>
      </c>
      <c r="C1461" s="351"/>
      <c r="D1461" s="484" t="s">
        <v>294</v>
      </c>
      <c r="E1461" s="351"/>
      <c r="F1461" s="485" t="s">
        <v>325</v>
      </c>
      <c r="G1461" s="351"/>
      <c r="H1461" s="486"/>
      <c r="I1461" s="350"/>
      <c r="J1461" s="351"/>
      <c r="K1461" s="485" t="s">
        <v>325</v>
      </c>
      <c r="L1461" s="350"/>
      <c r="M1461" s="351"/>
      <c r="N1461" s="491" t="s">
        <v>294</v>
      </c>
      <c r="O1461" s="350"/>
      <c r="P1461" s="350"/>
      <c r="Q1461" s="350"/>
      <c r="R1461" s="350"/>
      <c r="S1461" s="350"/>
      <c r="T1461" s="350"/>
      <c r="U1461" s="351"/>
    </row>
    <row r="1462" spans="1:21" ht="34.5" customHeight="1">
      <c r="A1462" s="24">
        <f t="shared" si="5"/>
        <v>1448</v>
      </c>
      <c r="B1462" s="488" t="s">
        <v>294</v>
      </c>
      <c r="C1462" s="351"/>
      <c r="D1462" s="489" t="s">
        <v>294</v>
      </c>
      <c r="E1462" s="351"/>
      <c r="F1462" s="485" t="s">
        <v>325</v>
      </c>
      <c r="G1462" s="351"/>
      <c r="H1462" s="487"/>
      <c r="I1462" s="350"/>
      <c r="J1462" s="351"/>
      <c r="K1462" s="485" t="s">
        <v>325</v>
      </c>
      <c r="L1462" s="350"/>
      <c r="M1462" s="351"/>
      <c r="N1462" s="490" t="s">
        <v>294</v>
      </c>
      <c r="O1462" s="350"/>
      <c r="P1462" s="350"/>
      <c r="Q1462" s="350"/>
      <c r="R1462" s="350"/>
      <c r="S1462" s="350"/>
      <c r="T1462" s="350"/>
      <c r="U1462" s="351"/>
    </row>
    <row r="1463" spans="1:21" ht="34.5" customHeight="1">
      <c r="A1463" s="24">
        <f t="shared" si="5"/>
        <v>1449</v>
      </c>
      <c r="B1463" s="483" t="s">
        <v>294</v>
      </c>
      <c r="C1463" s="351"/>
      <c r="D1463" s="484" t="s">
        <v>294</v>
      </c>
      <c r="E1463" s="351"/>
      <c r="F1463" s="485" t="s">
        <v>325</v>
      </c>
      <c r="G1463" s="351"/>
      <c r="H1463" s="486"/>
      <c r="I1463" s="350"/>
      <c r="J1463" s="351"/>
      <c r="K1463" s="485" t="s">
        <v>325</v>
      </c>
      <c r="L1463" s="350"/>
      <c r="M1463" s="351"/>
      <c r="N1463" s="491" t="s">
        <v>294</v>
      </c>
      <c r="O1463" s="350"/>
      <c r="P1463" s="350"/>
      <c r="Q1463" s="350"/>
      <c r="R1463" s="350"/>
      <c r="S1463" s="350"/>
      <c r="T1463" s="350"/>
      <c r="U1463" s="351"/>
    </row>
    <row r="1464" spans="1:21" ht="34.5" customHeight="1">
      <c r="A1464" s="24">
        <f t="shared" si="5"/>
        <v>1450</v>
      </c>
      <c r="B1464" s="488" t="s">
        <v>294</v>
      </c>
      <c r="C1464" s="351"/>
      <c r="D1464" s="489" t="s">
        <v>294</v>
      </c>
      <c r="E1464" s="351"/>
      <c r="F1464" s="485" t="s">
        <v>325</v>
      </c>
      <c r="G1464" s="351"/>
      <c r="H1464" s="487"/>
      <c r="I1464" s="350"/>
      <c r="J1464" s="351"/>
      <c r="K1464" s="485" t="s">
        <v>325</v>
      </c>
      <c r="L1464" s="350"/>
      <c r="M1464" s="351"/>
      <c r="N1464" s="490" t="s">
        <v>294</v>
      </c>
      <c r="O1464" s="350"/>
      <c r="P1464" s="350"/>
      <c r="Q1464" s="350"/>
      <c r="R1464" s="350"/>
      <c r="S1464" s="350"/>
      <c r="T1464" s="350"/>
      <c r="U1464" s="351"/>
    </row>
    <row r="1465" spans="1:21" ht="34.5" customHeight="1">
      <c r="A1465" s="24">
        <f t="shared" si="5"/>
        <v>1451</v>
      </c>
      <c r="B1465" s="483" t="s">
        <v>294</v>
      </c>
      <c r="C1465" s="351"/>
      <c r="D1465" s="484" t="s">
        <v>294</v>
      </c>
      <c r="E1465" s="351"/>
      <c r="F1465" s="485" t="s">
        <v>325</v>
      </c>
      <c r="G1465" s="351"/>
      <c r="H1465" s="486"/>
      <c r="I1465" s="350"/>
      <c r="J1465" s="351"/>
      <c r="K1465" s="485" t="s">
        <v>325</v>
      </c>
      <c r="L1465" s="350"/>
      <c r="M1465" s="351"/>
      <c r="N1465" s="491" t="s">
        <v>294</v>
      </c>
      <c r="O1465" s="350"/>
      <c r="P1465" s="350"/>
      <c r="Q1465" s="350"/>
      <c r="R1465" s="350"/>
      <c r="S1465" s="350"/>
      <c r="T1465" s="350"/>
      <c r="U1465" s="351"/>
    </row>
    <row r="1466" spans="1:21" ht="34.5" customHeight="1">
      <c r="A1466" s="24">
        <f t="shared" si="5"/>
        <v>1452</v>
      </c>
      <c r="B1466" s="488" t="s">
        <v>294</v>
      </c>
      <c r="C1466" s="351"/>
      <c r="D1466" s="489" t="s">
        <v>294</v>
      </c>
      <c r="E1466" s="351"/>
      <c r="F1466" s="485" t="s">
        <v>325</v>
      </c>
      <c r="G1466" s="351"/>
      <c r="H1466" s="487"/>
      <c r="I1466" s="350"/>
      <c r="J1466" s="351"/>
      <c r="K1466" s="485" t="s">
        <v>325</v>
      </c>
      <c r="L1466" s="350"/>
      <c r="M1466" s="351"/>
      <c r="N1466" s="490" t="s">
        <v>294</v>
      </c>
      <c r="O1466" s="350"/>
      <c r="P1466" s="350"/>
      <c r="Q1466" s="350"/>
      <c r="R1466" s="350"/>
      <c r="S1466" s="350"/>
      <c r="T1466" s="350"/>
      <c r="U1466" s="351"/>
    </row>
    <row r="1467" spans="1:21" ht="34.5" customHeight="1">
      <c r="A1467" s="24">
        <f t="shared" si="5"/>
        <v>1453</v>
      </c>
      <c r="B1467" s="483" t="s">
        <v>294</v>
      </c>
      <c r="C1467" s="351"/>
      <c r="D1467" s="484" t="s">
        <v>294</v>
      </c>
      <c r="E1467" s="351"/>
      <c r="F1467" s="485" t="s">
        <v>325</v>
      </c>
      <c r="G1467" s="351"/>
      <c r="H1467" s="486"/>
      <c r="I1467" s="350"/>
      <c r="J1467" s="351"/>
      <c r="K1467" s="485" t="s">
        <v>325</v>
      </c>
      <c r="L1467" s="350"/>
      <c r="M1467" s="351"/>
      <c r="N1467" s="491" t="s">
        <v>294</v>
      </c>
      <c r="O1467" s="350"/>
      <c r="P1467" s="350"/>
      <c r="Q1467" s="350"/>
      <c r="R1467" s="350"/>
      <c r="S1467" s="350"/>
      <c r="T1467" s="350"/>
      <c r="U1467" s="351"/>
    </row>
    <row r="1468" spans="1:21" ht="34.5" customHeight="1">
      <c r="A1468" s="24">
        <f t="shared" si="5"/>
        <v>1454</v>
      </c>
      <c r="B1468" s="488" t="s">
        <v>294</v>
      </c>
      <c r="C1468" s="351"/>
      <c r="D1468" s="489" t="s">
        <v>294</v>
      </c>
      <c r="E1468" s="351"/>
      <c r="F1468" s="485" t="s">
        <v>325</v>
      </c>
      <c r="G1468" s="351"/>
      <c r="H1468" s="487"/>
      <c r="I1468" s="350"/>
      <c r="J1468" s="351"/>
      <c r="K1468" s="485" t="s">
        <v>325</v>
      </c>
      <c r="L1468" s="350"/>
      <c r="M1468" s="351"/>
      <c r="N1468" s="490" t="s">
        <v>294</v>
      </c>
      <c r="O1468" s="350"/>
      <c r="P1468" s="350"/>
      <c r="Q1468" s="350"/>
      <c r="R1468" s="350"/>
      <c r="S1468" s="350"/>
      <c r="T1468" s="350"/>
      <c r="U1468" s="351"/>
    </row>
    <row r="1469" spans="1:21" ht="34.5" customHeight="1">
      <c r="A1469" s="24">
        <f t="shared" si="5"/>
        <v>1455</v>
      </c>
      <c r="B1469" s="483" t="s">
        <v>294</v>
      </c>
      <c r="C1469" s="351"/>
      <c r="D1469" s="484" t="s">
        <v>294</v>
      </c>
      <c r="E1469" s="351"/>
      <c r="F1469" s="485" t="s">
        <v>325</v>
      </c>
      <c r="G1469" s="351"/>
      <c r="H1469" s="486"/>
      <c r="I1469" s="350"/>
      <c r="J1469" s="351"/>
      <c r="K1469" s="485" t="s">
        <v>325</v>
      </c>
      <c r="L1469" s="350"/>
      <c r="M1469" s="351"/>
      <c r="N1469" s="491" t="s">
        <v>294</v>
      </c>
      <c r="O1469" s="350"/>
      <c r="P1469" s="350"/>
      <c r="Q1469" s="350"/>
      <c r="R1469" s="350"/>
      <c r="S1469" s="350"/>
      <c r="T1469" s="350"/>
      <c r="U1469" s="351"/>
    </row>
    <row r="1470" spans="1:21" ht="34.5" customHeight="1">
      <c r="A1470" s="24">
        <f t="shared" si="5"/>
        <v>1456</v>
      </c>
      <c r="B1470" s="488" t="s">
        <v>294</v>
      </c>
      <c r="C1470" s="351"/>
      <c r="D1470" s="489" t="s">
        <v>294</v>
      </c>
      <c r="E1470" s="351"/>
      <c r="F1470" s="485" t="s">
        <v>325</v>
      </c>
      <c r="G1470" s="351"/>
      <c r="H1470" s="487"/>
      <c r="I1470" s="350"/>
      <c r="J1470" s="351"/>
      <c r="K1470" s="485" t="s">
        <v>325</v>
      </c>
      <c r="L1470" s="350"/>
      <c r="M1470" s="351"/>
      <c r="N1470" s="490" t="s">
        <v>294</v>
      </c>
      <c r="O1470" s="350"/>
      <c r="P1470" s="350"/>
      <c r="Q1470" s="350"/>
      <c r="R1470" s="350"/>
      <c r="S1470" s="350"/>
      <c r="T1470" s="350"/>
      <c r="U1470" s="351"/>
    </row>
    <row r="1471" spans="1:21" ht="34.5" customHeight="1">
      <c r="A1471" s="24">
        <f t="shared" si="5"/>
        <v>1457</v>
      </c>
      <c r="B1471" s="483" t="s">
        <v>294</v>
      </c>
      <c r="C1471" s="351"/>
      <c r="D1471" s="484" t="s">
        <v>294</v>
      </c>
      <c r="E1471" s="351"/>
      <c r="F1471" s="485" t="s">
        <v>325</v>
      </c>
      <c r="G1471" s="351"/>
      <c r="H1471" s="486"/>
      <c r="I1471" s="350"/>
      <c r="J1471" s="351"/>
      <c r="K1471" s="485" t="s">
        <v>325</v>
      </c>
      <c r="L1471" s="350"/>
      <c r="M1471" s="351"/>
      <c r="N1471" s="491" t="s">
        <v>294</v>
      </c>
      <c r="O1471" s="350"/>
      <c r="P1471" s="350"/>
      <c r="Q1471" s="350"/>
      <c r="R1471" s="350"/>
      <c r="S1471" s="350"/>
      <c r="T1471" s="350"/>
      <c r="U1471" s="351"/>
    </row>
    <row r="1472" spans="1:21" ht="34.5" customHeight="1">
      <c r="A1472" s="24">
        <f t="shared" si="5"/>
        <v>1458</v>
      </c>
      <c r="B1472" s="488" t="s">
        <v>294</v>
      </c>
      <c r="C1472" s="351"/>
      <c r="D1472" s="489" t="s">
        <v>294</v>
      </c>
      <c r="E1472" s="351"/>
      <c r="F1472" s="485" t="s">
        <v>325</v>
      </c>
      <c r="G1472" s="351"/>
      <c r="H1472" s="487"/>
      <c r="I1472" s="350"/>
      <c r="J1472" s="351"/>
      <c r="K1472" s="485" t="s">
        <v>325</v>
      </c>
      <c r="L1472" s="350"/>
      <c r="M1472" s="351"/>
      <c r="N1472" s="490" t="s">
        <v>294</v>
      </c>
      <c r="O1472" s="350"/>
      <c r="P1472" s="350"/>
      <c r="Q1472" s="350"/>
      <c r="R1472" s="350"/>
      <c r="S1472" s="350"/>
      <c r="T1472" s="350"/>
      <c r="U1472" s="351"/>
    </row>
    <row r="1473" spans="1:21" ht="34.5" customHeight="1">
      <c r="A1473" s="24">
        <f t="shared" si="5"/>
        <v>1459</v>
      </c>
      <c r="B1473" s="483" t="s">
        <v>328</v>
      </c>
      <c r="C1473" s="351"/>
      <c r="D1473" s="484" t="s">
        <v>294</v>
      </c>
      <c r="E1473" s="351"/>
      <c r="F1473" s="485" t="s">
        <v>325</v>
      </c>
      <c r="G1473" s="351"/>
      <c r="H1473" s="486"/>
      <c r="I1473" s="350"/>
      <c r="J1473" s="351"/>
      <c r="K1473" s="485" t="s">
        <v>325</v>
      </c>
      <c r="L1473" s="350"/>
      <c r="M1473" s="351"/>
      <c r="N1473" s="491" t="s">
        <v>294</v>
      </c>
      <c r="O1473" s="350"/>
      <c r="P1473" s="350"/>
      <c r="Q1473" s="350"/>
      <c r="R1473" s="350"/>
      <c r="S1473" s="350"/>
      <c r="T1473" s="350"/>
      <c r="U1473" s="351"/>
    </row>
    <row r="1474" spans="1:21" ht="34.5" customHeight="1">
      <c r="A1474" s="24">
        <f t="shared" si="5"/>
        <v>1460</v>
      </c>
      <c r="B1474" s="488" t="s">
        <v>294</v>
      </c>
      <c r="C1474" s="351"/>
      <c r="D1474" s="489" t="s">
        <v>294</v>
      </c>
      <c r="E1474" s="351"/>
      <c r="F1474" s="485" t="s">
        <v>325</v>
      </c>
      <c r="G1474" s="351"/>
      <c r="H1474" s="487"/>
      <c r="I1474" s="350"/>
      <c r="J1474" s="351"/>
      <c r="K1474" s="485" t="s">
        <v>325</v>
      </c>
      <c r="L1474" s="350"/>
      <c r="M1474" s="351"/>
      <c r="N1474" s="490" t="s">
        <v>294</v>
      </c>
      <c r="O1474" s="350"/>
      <c r="P1474" s="350"/>
      <c r="Q1474" s="350"/>
      <c r="R1474" s="350"/>
      <c r="S1474" s="350"/>
      <c r="T1474" s="350"/>
      <c r="U1474" s="351"/>
    </row>
    <row r="1475" spans="1:21" ht="34.5" customHeight="1">
      <c r="A1475" s="24">
        <f t="shared" si="5"/>
        <v>1461</v>
      </c>
      <c r="B1475" s="483" t="s">
        <v>294</v>
      </c>
      <c r="C1475" s="351"/>
      <c r="D1475" s="484" t="s">
        <v>294</v>
      </c>
      <c r="E1475" s="351"/>
      <c r="F1475" s="485" t="s">
        <v>325</v>
      </c>
      <c r="G1475" s="351"/>
      <c r="H1475" s="486"/>
      <c r="I1475" s="350"/>
      <c r="J1475" s="351"/>
      <c r="K1475" s="485" t="s">
        <v>325</v>
      </c>
      <c r="L1475" s="350"/>
      <c r="M1475" s="351"/>
      <c r="N1475" s="491" t="s">
        <v>294</v>
      </c>
      <c r="O1475" s="350"/>
      <c r="P1475" s="350"/>
      <c r="Q1475" s="350"/>
      <c r="R1475" s="350"/>
      <c r="S1475" s="350"/>
      <c r="T1475" s="350"/>
      <c r="U1475" s="351"/>
    </row>
    <row r="1476" spans="1:21" ht="34.5" customHeight="1">
      <c r="A1476" s="24">
        <f t="shared" si="5"/>
        <v>1462</v>
      </c>
      <c r="B1476" s="488" t="s">
        <v>294</v>
      </c>
      <c r="C1476" s="351"/>
      <c r="D1476" s="489" t="s">
        <v>294</v>
      </c>
      <c r="E1476" s="351"/>
      <c r="F1476" s="485" t="s">
        <v>325</v>
      </c>
      <c r="G1476" s="351"/>
      <c r="H1476" s="487"/>
      <c r="I1476" s="350"/>
      <c r="J1476" s="351"/>
      <c r="K1476" s="485" t="s">
        <v>325</v>
      </c>
      <c r="L1476" s="350"/>
      <c r="M1476" s="351"/>
      <c r="N1476" s="490" t="s">
        <v>294</v>
      </c>
      <c r="O1476" s="350"/>
      <c r="P1476" s="350"/>
      <c r="Q1476" s="350"/>
      <c r="R1476" s="350"/>
      <c r="S1476" s="350"/>
      <c r="T1476" s="350"/>
      <c r="U1476" s="351"/>
    </row>
    <row r="1477" spans="1:21" ht="34.5" customHeight="1">
      <c r="A1477" s="24">
        <f t="shared" si="5"/>
        <v>1463</v>
      </c>
      <c r="B1477" s="483" t="s">
        <v>294</v>
      </c>
      <c r="C1477" s="351"/>
      <c r="D1477" s="484" t="s">
        <v>294</v>
      </c>
      <c r="E1477" s="351"/>
      <c r="F1477" s="485" t="s">
        <v>325</v>
      </c>
      <c r="G1477" s="351"/>
      <c r="H1477" s="486"/>
      <c r="I1477" s="350"/>
      <c r="J1477" s="351"/>
      <c r="K1477" s="485" t="s">
        <v>325</v>
      </c>
      <c r="L1477" s="350"/>
      <c r="M1477" s="351"/>
      <c r="N1477" s="491" t="s">
        <v>294</v>
      </c>
      <c r="O1477" s="350"/>
      <c r="P1477" s="350"/>
      <c r="Q1477" s="350"/>
      <c r="R1477" s="350"/>
      <c r="S1477" s="350"/>
      <c r="T1477" s="350"/>
      <c r="U1477" s="351"/>
    </row>
    <row r="1478" spans="1:21" ht="34.5" customHeight="1">
      <c r="A1478" s="24">
        <f t="shared" si="5"/>
        <v>1464</v>
      </c>
      <c r="B1478" s="488" t="s">
        <v>294</v>
      </c>
      <c r="C1478" s="351"/>
      <c r="D1478" s="489" t="s">
        <v>294</v>
      </c>
      <c r="E1478" s="351"/>
      <c r="F1478" s="485" t="s">
        <v>325</v>
      </c>
      <c r="G1478" s="351"/>
      <c r="H1478" s="487"/>
      <c r="I1478" s="350"/>
      <c r="J1478" s="351"/>
      <c r="K1478" s="485" t="s">
        <v>325</v>
      </c>
      <c r="L1478" s="350"/>
      <c r="M1478" s="351"/>
      <c r="N1478" s="490" t="s">
        <v>294</v>
      </c>
      <c r="O1478" s="350"/>
      <c r="P1478" s="350"/>
      <c r="Q1478" s="350"/>
      <c r="R1478" s="350"/>
      <c r="S1478" s="350"/>
      <c r="T1478" s="350"/>
      <c r="U1478" s="351"/>
    </row>
    <row r="1479" spans="1:21" ht="34.5" customHeight="1">
      <c r="A1479" s="24">
        <f t="shared" si="5"/>
        <v>1465</v>
      </c>
      <c r="B1479" s="483" t="s">
        <v>294</v>
      </c>
      <c r="C1479" s="351"/>
      <c r="D1479" s="484" t="s">
        <v>294</v>
      </c>
      <c r="E1479" s="351"/>
      <c r="F1479" s="485" t="s">
        <v>325</v>
      </c>
      <c r="G1479" s="351"/>
      <c r="H1479" s="486"/>
      <c r="I1479" s="350"/>
      <c r="J1479" s="351"/>
      <c r="K1479" s="485" t="s">
        <v>325</v>
      </c>
      <c r="L1479" s="350"/>
      <c r="M1479" s="351"/>
      <c r="N1479" s="491" t="s">
        <v>294</v>
      </c>
      <c r="O1479" s="350"/>
      <c r="P1479" s="350"/>
      <c r="Q1479" s="350"/>
      <c r="R1479" s="350"/>
      <c r="S1479" s="350"/>
      <c r="T1479" s="350"/>
      <c r="U1479" s="351"/>
    </row>
    <row r="1480" spans="1:21" ht="34.5" customHeight="1">
      <c r="A1480" s="24">
        <f t="shared" si="5"/>
        <v>1466</v>
      </c>
      <c r="B1480" s="488" t="s">
        <v>294</v>
      </c>
      <c r="C1480" s="351"/>
      <c r="D1480" s="489" t="s">
        <v>294</v>
      </c>
      <c r="E1480" s="351"/>
      <c r="F1480" s="485" t="s">
        <v>325</v>
      </c>
      <c r="G1480" s="351"/>
      <c r="H1480" s="487"/>
      <c r="I1480" s="350"/>
      <c r="J1480" s="351"/>
      <c r="K1480" s="485" t="s">
        <v>325</v>
      </c>
      <c r="L1480" s="350"/>
      <c r="M1480" s="351"/>
      <c r="N1480" s="490" t="s">
        <v>294</v>
      </c>
      <c r="O1480" s="350"/>
      <c r="P1480" s="350"/>
      <c r="Q1480" s="350"/>
      <c r="R1480" s="350"/>
      <c r="S1480" s="350"/>
      <c r="T1480" s="350"/>
      <c r="U1480" s="351"/>
    </row>
    <row r="1481" spans="1:21" ht="34.5" customHeight="1">
      <c r="A1481" s="24">
        <f t="shared" si="5"/>
        <v>1467</v>
      </c>
      <c r="B1481" s="483" t="s">
        <v>294</v>
      </c>
      <c r="C1481" s="351"/>
      <c r="D1481" s="484" t="s">
        <v>294</v>
      </c>
      <c r="E1481" s="351"/>
      <c r="F1481" s="485" t="s">
        <v>325</v>
      </c>
      <c r="G1481" s="351"/>
      <c r="H1481" s="486"/>
      <c r="I1481" s="350"/>
      <c r="J1481" s="351"/>
      <c r="K1481" s="485" t="s">
        <v>325</v>
      </c>
      <c r="L1481" s="350"/>
      <c r="M1481" s="351"/>
      <c r="N1481" s="491" t="s">
        <v>294</v>
      </c>
      <c r="O1481" s="350"/>
      <c r="P1481" s="350"/>
      <c r="Q1481" s="350"/>
      <c r="R1481" s="350"/>
      <c r="S1481" s="350"/>
      <c r="T1481" s="350"/>
      <c r="U1481" s="351"/>
    </row>
    <row r="1482" spans="1:21" ht="34.5" customHeight="1">
      <c r="A1482" s="24">
        <f t="shared" si="5"/>
        <v>1468</v>
      </c>
      <c r="B1482" s="488" t="s">
        <v>326</v>
      </c>
      <c r="C1482" s="351"/>
      <c r="D1482" s="489" t="s">
        <v>294</v>
      </c>
      <c r="E1482" s="351"/>
      <c r="F1482" s="485" t="s">
        <v>325</v>
      </c>
      <c r="G1482" s="351"/>
      <c r="H1482" s="487"/>
      <c r="I1482" s="350"/>
      <c r="J1482" s="351"/>
      <c r="K1482" s="485" t="s">
        <v>325</v>
      </c>
      <c r="L1482" s="350"/>
      <c r="M1482" s="351"/>
      <c r="N1482" s="490" t="s">
        <v>294</v>
      </c>
      <c r="O1482" s="350"/>
      <c r="P1482" s="350"/>
      <c r="Q1482" s="350"/>
      <c r="R1482" s="350"/>
      <c r="S1482" s="350"/>
      <c r="T1482" s="350"/>
      <c r="U1482" s="351"/>
    </row>
    <row r="1483" spans="1:21" ht="34.5" customHeight="1">
      <c r="A1483" s="24">
        <f t="shared" si="5"/>
        <v>1469</v>
      </c>
      <c r="B1483" s="483" t="s">
        <v>294</v>
      </c>
      <c r="C1483" s="351"/>
      <c r="D1483" s="484" t="s">
        <v>294</v>
      </c>
      <c r="E1483" s="351"/>
      <c r="F1483" s="485" t="s">
        <v>325</v>
      </c>
      <c r="G1483" s="351"/>
      <c r="H1483" s="486"/>
      <c r="I1483" s="350"/>
      <c r="J1483" s="351"/>
      <c r="K1483" s="485" t="s">
        <v>325</v>
      </c>
      <c r="L1483" s="350"/>
      <c r="M1483" s="351"/>
      <c r="N1483" s="491" t="s">
        <v>294</v>
      </c>
      <c r="O1483" s="350"/>
      <c r="P1483" s="350"/>
      <c r="Q1483" s="350"/>
      <c r="R1483" s="350"/>
      <c r="S1483" s="350"/>
      <c r="T1483" s="350"/>
      <c r="U1483" s="351"/>
    </row>
    <row r="1484" spans="1:21" ht="34.5" customHeight="1">
      <c r="A1484" s="24">
        <f t="shared" si="5"/>
        <v>1470</v>
      </c>
      <c r="B1484" s="488" t="s">
        <v>294</v>
      </c>
      <c r="C1484" s="351"/>
      <c r="D1484" s="489" t="s">
        <v>294</v>
      </c>
      <c r="E1484" s="351"/>
      <c r="F1484" s="485" t="s">
        <v>325</v>
      </c>
      <c r="G1484" s="351"/>
      <c r="H1484" s="487"/>
      <c r="I1484" s="350"/>
      <c r="J1484" s="351"/>
      <c r="K1484" s="485" t="s">
        <v>325</v>
      </c>
      <c r="L1484" s="350"/>
      <c r="M1484" s="351"/>
      <c r="N1484" s="490" t="s">
        <v>294</v>
      </c>
      <c r="O1484" s="350"/>
      <c r="P1484" s="350"/>
      <c r="Q1484" s="350"/>
      <c r="R1484" s="350"/>
      <c r="S1484" s="350"/>
      <c r="T1484" s="350"/>
      <c r="U1484" s="351"/>
    </row>
    <row r="1485" spans="1:21" ht="34.5" customHeight="1">
      <c r="A1485" s="24">
        <f t="shared" si="5"/>
        <v>1471</v>
      </c>
      <c r="B1485" s="483" t="s">
        <v>294</v>
      </c>
      <c r="C1485" s="351"/>
      <c r="D1485" s="484" t="s">
        <v>294</v>
      </c>
      <c r="E1485" s="351"/>
      <c r="F1485" s="485" t="s">
        <v>325</v>
      </c>
      <c r="G1485" s="351"/>
      <c r="H1485" s="486"/>
      <c r="I1485" s="350"/>
      <c r="J1485" s="351"/>
      <c r="K1485" s="485" t="s">
        <v>325</v>
      </c>
      <c r="L1485" s="350"/>
      <c r="M1485" s="351"/>
      <c r="N1485" s="491" t="s">
        <v>294</v>
      </c>
      <c r="O1485" s="350"/>
      <c r="P1485" s="350"/>
      <c r="Q1485" s="350"/>
      <c r="R1485" s="350"/>
      <c r="S1485" s="350"/>
      <c r="T1485" s="350"/>
      <c r="U1485" s="351"/>
    </row>
    <row r="1486" spans="1:21" ht="34.5" customHeight="1">
      <c r="A1486" s="24">
        <f t="shared" si="5"/>
        <v>1472</v>
      </c>
      <c r="B1486" s="488" t="s">
        <v>294</v>
      </c>
      <c r="C1486" s="351"/>
      <c r="D1486" s="489" t="s">
        <v>294</v>
      </c>
      <c r="E1486" s="351"/>
      <c r="F1486" s="485" t="s">
        <v>325</v>
      </c>
      <c r="G1486" s="351"/>
      <c r="H1486" s="487"/>
      <c r="I1486" s="350"/>
      <c r="J1486" s="351"/>
      <c r="K1486" s="485" t="s">
        <v>325</v>
      </c>
      <c r="L1486" s="350"/>
      <c r="M1486" s="351"/>
      <c r="N1486" s="490" t="s">
        <v>294</v>
      </c>
      <c r="O1486" s="350"/>
      <c r="P1486" s="350"/>
      <c r="Q1486" s="350"/>
      <c r="R1486" s="350"/>
      <c r="S1486" s="350"/>
      <c r="T1486" s="350"/>
      <c r="U1486" s="351"/>
    </row>
    <row r="1487" spans="1:21" ht="34.5" customHeight="1">
      <c r="A1487" s="24">
        <f t="shared" si="5"/>
        <v>1473</v>
      </c>
      <c r="B1487" s="483" t="s">
        <v>294</v>
      </c>
      <c r="C1487" s="351"/>
      <c r="D1487" s="484" t="s">
        <v>294</v>
      </c>
      <c r="E1487" s="351"/>
      <c r="F1487" s="485" t="s">
        <v>325</v>
      </c>
      <c r="G1487" s="351"/>
      <c r="H1487" s="486"/>
      <c r="I1487" s="350"/>
      <c r="J1487" s="351"/>
      <c r="K1487" s="485" t="s">
        <v>325</v>
      </c>
      <c r="L1487" s="350"/>
      <c r="M1487" s="351"/>
      <c r="N1487" s="491" t="s">
        <v>294</v>
      </c>
      <c r="O1487" s="350"/>
      <c r="P1487" s="350"/>
      <c r="Q1487" s="350"/>
      <c r="R1487" s="350"/>
      <c r="S1487" s="350"/>
      <c r="T1487" s="350"/>
      <c r="U1487" s="351"/>
    </row>
    <row r="1488" spans="1:21" ht="34.5" customHeight="1">
      <c r="A1488" s="24">
        <f t="shared" si="5"/>
        <v>1474</v>
      </c>
      <c r="B1488" s="488" t="s">
        <v>294</v>
      </c>
      <c r="C1488" s="351"/>
      <c r="D1488" s="489" t="s">
        <v>294</v>
      </c>
      <c r="E1488" s="351"/>
      <c r="F1488" s="485" t="s">
        <v>325</v>
      </c>
      <c r="G1488" s="351"/>
      <c r="H1488" s="487"/>
      <c r="I1488" s="350"/>
      <c r="J1488" s="351"/>
      <c r="K1488" s="485" t="s">
        <v>325</v>
      </c>
      <c r="L1488" s="350"/>
      <c r="M1488" s="351"/>
      <c r="N1488" s="490" t="s">
        <v>294</v>
      </c>
      <c r="O1488" s="350"/>
      <c r="P1488" s="350"/>
      <c r="Q1488" s="350"/>
      <c r="R1488" s="350"/>
      <c r="S1488" s="350"/>
      <c r="T1488" s="350"/>
      <c r="U1488" s="351"/>
    </row>
    <row r="1489" spans="1:21" ht="34.5" customHeight="1">
      <c r="A1489" s="24">
        <f t="shared" si="5"/>
        <v>1475</v>
      </c>
      <c r="B1489" s="483" t="s">
        <v>294</v>
      </c>
      <c r="C1489" s="351"/>
      <c r="D1489" s="484" t="s">
        <v>294</v>
      </c>
      <c r="E1489" s="351"/>
      <c r="F1489" s="485" t="s">
        <v>325</v>
      </c>
      <c r="G1489" s="351"/>
      <c r="H1489" s="486"/>
      <c r="I1489" s="350"/>
      <c r="J1489" s="351"/>
      <c r="K1489" s="485" t="s">
        <v>325</v>
      </c>
      <c r="L1489" s="350"/>
      <c r="M1489" s="351"/>
      <c r="N1489" s="491" t="s">
        <v>294</v>
      </c>
      <c r="O1489" s="350"/>
      <c r="P1489" s="350"/>
      <c r="Q1489" s="350"/>
      <c r="R1489" s="350"/>
      <c r="S1489" s="350"/>
      <c r="T1489" s="350"/>
      <c r="U1489" s="351"/>
    </row>
    <row r="1490" spans="1:21" ht="34.5" customHeight="1">
      <c r="A1490" s="24">
        <f t="shared" si="5"/>
        <v>1476</v>
      </c>
      <c r="B1490" s="488" t="s">
        <v>329</v>
      </c>
      <c r="C1490" s="351"/>
      <c r="D1490" s="489" t="s">
        <v>294</v>
      </c>
      <c r="E1490" s="351"/>
      <c r="F1490" s="485" t="s">
        <v>325</v>
      </c>
      <c r="G1490" s="351"/>
      <c r="H1490" s="487"/>
      <c r="I1490" s="350"/>
      <c r="J1490" s="351"/>
      <c r="K1490" s="485" t="s">
        <v>325</v>
      </c>
      <c r="L1490" s="350"/>
      <c r="M1490" s="351"/>
      <c r="N1490" s="490" t="s">
        <v>294</v>
      </c>
      <c r="O1490" s="350"/>
      <c r="P1490" s="350"/>
      <c r="Q1490" s="350"/>
      <c r="R1490" s="350"/>
      <c r="S1490" s="350"/>
      <c r="T1490" s="350"/>
      <c r="U1490" s="351"/>
    </row>
    <row r="1491" spans="1:21" ht="34.5" customHeight="1">
      <c r="A1491" s="24">
        <f t="shared" si="5"/>
        <v>1477</v>
      </c>
      <c r="B1491" s="483" t="s">
        <v>294</v>
      </c>
      <c r="C1491" s="351"/>
      <c r="D1491" s="484" t="s">
        <v>294</v>
      </c>
      <c r="E1491" s="351"/>
      <c r="F1491" s="485" t="s">
        <v>325</v>
      </c>
      <c r="G1491" s="351"/>
      <c r="H1491" s="486"/>
      <c r="I1491" s="350"/>
      <c r="J1491" s="351"/>
      <c r="K1491" s="485" t="s">
        <v>325</v>
      </c>
      <c r="L1491" s="350"/>
      <c r="M1491" s="351"/>
      <c r="N1491" s="491" t="s">
        <v>294</v>
      </c>
      <c r="O1491" s="350"/>
      <c r="P1491" s="350"/>
      <c r="Q1491" s="350"/>
      <c r="R1491" s="350"/>
      <c r="S1491" s="350"/>
      <c r="T1491" s="350"/>
      <c r="U1491" s="351"/>
    </row>
    <row r="1492" spans="1:21" ht="34.5" customHeight="1">
      <c r="A1492" s="24">
        <f t="shared" si="5"/>
        <v>1478</v>
      </c>
      <c r="B1492" s="488" t="s">
        <v>294</v>
      </c>
      <c r="C1492" s="351"/>
      <c r="D1492" s="489" t="s">
        <v>294</v>
      </c>
      <c r="E1492" s="351"/>
      <c r="F1492" s="485" t="s">
        <v>325</v>
      </c>
      <c r="G1492" s="351"/>
      <c r="H1492" s="487"/>
      <c r="I1492" s="350"/>
      <c r="J1492" s="351"/>
      <c r="K1492" s="485" t="s">
        <v>325</v>
      </c>
      <c r="L1492" s="350"/>
      <c r="M1492" s="351"/>
      <c r="N1492" s="490" t="s">
        <v>294</v>
      </c>
      <c r="O1492" s="350"/>
      <c r="P1492" s="350"/>
      <c r="Q1492" s="350"/>
      <c r="R1492" s="350"/>
      <c r="S1492" s="350"/>
      <c r="T1492" s="350"/>
      <c r="U1492" s="351"/>
    </row>
    <row r="1493" spans="1:21" ht="34.5" customHeight="1">
      <c r="A1493" s="24">
        <f t="shared" si="5"/>
        <v>1479</v>
      </c>
      <c r="B1493" s="483" t="s">
        <v>294</v>
      </c>
      <c r="C1493" s="351"/>
      <c r="D1493" s="484" t="s">
        <v>294</v>
      </c>
      <c r="E1493" s="351"/>
      <c r="F1493" s="485" t="s">
        <v>325</v>
      </c>
      <c r="G1493" s="351"/>
      <c r="H1493" s="486"/>
      <c r="I1493" s="350"/>
      <c r="J1493" s="351"/>
      <c r="K1493" s="485" t="s">
        <v>325</v>
      </c>
      <c r="L1493" s="350"/>
      <c r="M1493" s="351"/>
      <c r="N1493" s="491" t="s">
        <v>294</v>
      </c>
      <c r="O1493" s="350"/>
      <c r="P1493" s="350"/>
      <c r="Q1493" s="350"/>
      <c r="R1493" s="350"/>
      <c r="S1493" s="350"/>
      <c r="T1493" s="350"/>
      <c r="U1493" s="351"/>
    </row>
    <row r="1494" spans="1:21" ht="34.5" customHeight="1">
      <c r="A1494" s="24">
        <f t="shared" si="5"/>
        <v>1480</v>
      </c>
      <c r="B1494" s="488" t="s">
        <v>294</v>
      </c>
      <c r="C1494" s="351"/>
      <c r="D1494" s="489" t="s">
        <v>294</v>
      </c>
      <c r="E1494" s="351"/>
      <c r="F1494" s="485" t="s">
        <v>325</v>
      </c>
      <c r="G1494" s="351"/>
      <c r="H1494" s="487"/>
      <c r="I1494" s="350"/>
      <c r="J1494" s="351"/>
      <c r="K1494" s="485" t="s">
        <v>325</v>
      </c>
      <c r="L1494" s="350"/>
      <c r="M1494" s="351"/>
      <c r="N1494" s="490" t="s">
        <v>294</v>
      </c>
      <c r="O1494" s="350"/>
      <c r="P1494" s="350"/>
      <c r="Q1494" s="350"/>
      <c r="R1494" s="350"/>
      <c r="S1494" s="350"/>
      <c r="T1494" s="350"/>
      <c r="U1494" s="351"/>
    </row>
    <row r="1495" spans="1:21" ht="34.5" customHeight="1">
      <c r="A1495" s="24">
        <f t="shared" si="5"/>
        <v>1481</v>
      </c>
      <c r="B1495" s="483" t="s">
        <v>294</v>
      </c>
      <c r="C1495" s="351"/>
      <c r="D1495" s="484" t="s">
        <v>294</v>
      </c>
      <c r="E1495" s="351"/>
      <c r="F1495" s="485" t="s">
        <v>325</v>
      </c>
      <c r="G1495" s="351"/>
      <c r="H1495" s="486"/>
      <c r="I1495" s="350"/>
      <c r="J1495" s="351"/>
      <c r="K1495" s="485" t="s">
        <v>325</v>
      </c>
      <c r="L1495" s="350"/>
      <c r="M1495" s="351"/>
      <c r="N1495" s="491" t="s">
        <v>294</v>
      </c>
      <c r="O1495" s="350"/>
      <c r="P1495" s="350"/>
      <c r="Q1495" s="350"/>
      <c r="R1495" s="350"/>
      <c r="S1495" s="350"/>
      <c r="T1495" s="350"/>
      <c r="U1495" s="351"/>
    </row>
    <row r="1496" spans="1:21" ht="34.5" customHeight="1">
      <c r="A1496" s="24">
        <f t="shared" si="5"/>
        <v>1482</v>
      </c>
      <c r="B1496" s="488" t="s">
        <v>294</v>
      </c>
      <c r="C1496" s="351"/>
      <c r="D1496" s="489" t="s">
        <v>294</v>
      </c>
      <c r="E1496" s="351"/>
      <c r="F1496" s="485" t="s">
        <v>325</v>
      </c>
      <c r="G1496" s="351"/>
      <c r="H1496" s="487"/>
      <c r="I1496" s="350"/>
      <c r="J1496" s="351"/>
      <c r="K1496" s="485" t="s">
        <v>325</v>
      </c>
      <c r="L1496" s="350"/>
      <c r="M1496" s="351"/>
      <c r="N1496" s="490" t="s">
        <v>294</v>
      </c>
      <c r="O1496" s="350"/>
      <c r="P1496" s="350"/>
      <c r="Q1496" s="350"/>
      <c r="R1496" s="350"/>
      <c r="S1496" s="350"/>
      <c r="T1496" s="350"/>
      <c r="U1496" s="351"/>
    </row>
    <row r="1497" spans="1:21" ht="34.5" customHeight="1">
      <c r="A1497" s="24">
        <f t="shared" si="5"/>
        <v>1483</v>
      </c>
      <c r="B1497" s="483" t="s">
        <v>294</v>
      </c>
      <c r="C1497" s="351"/>
      <c r="D1497" s="484" t="s">
        <v>294</v>
      </c>
      <c r="E1497" s="351"/>
      <c r="F1497" s="485" t="s">
        <v>325</v>
      </c>
      <c r="G1497" s="351"/>
      <c r="H1497" s="486"/>
      <c r="I1497" s="350"/>
      <c r="J1497" s="351"/>
      <c r="K1497" s="485" t="s">
        <v>325</v>
      </c>
      <c r="L1497" s="350"/>
      <c r="M1497" s="351"/>
      <c r="N1497" s="491" t="s">
        <v>294</v>
      </c>
      <c r="O1497" s="350"/>
      <c r="P1497" s="350"/>
      <c r="Q1497" s="350"/>
      <c r="R1497" s="350"/>
      <c r="S1497" s="350"/>
      <c r="T1497" s="350"/>
      <c r="U1497" s="351"/>
    </row>
    <row r="1498" spans="1:21" ht="34.5" customHeight="1">
      <c r="A1498" s="24">
        <f t="shared" si="5"/>
        <v>1484</v>
      </c>
      <c r="B1498" s="488" t="s">
        <v>294</v>
      </c>
      <c r="C1498" s="351"/>
      <c r="D1498" s="489" t="s">
        <v>294</v>
      </c>
      <c r="E1498" s="351"/>
      <c r="F1498" s="485" t="s">
        <v>325</v>
      </c>
      <c r="G1498" s="351"/>
      <c r="H1498" s="487"/>
      <c r="I1498" s="350"/>
      <c r="J1498" s="351"/>
      <c r="K1498" s="485" t="s">
        <v>325</v>
      </c>
      <c r="L1498" s="350"/>
      <c r="M1498" s="351"/>
      <c r="N1498" s="490" t="s">
        <v>294</v>
      </c>
      <c r="O1498" s="350"/>
      <c r="P1498" s="350"/>
      <c r="Q1498" s="350"/>
      <c r="R1498" s="350"/>
      <c r="S1498" s="350"/>
      <c r="T1498" s="350"/>
      <c r="U1498" s="351"/>
    </row>
    <row r="1499" spans="1:21" ht="34.5" customHeight="1">
      <c r="A1499" s="24">
        <f t="shared" si="5"/>
        <v>1485</v>
      </c>
      <c r="B1499" s="483" t="s">
        <v>294</v>
      </c>
      <c r="C1499" s="351"/>
      <c r="D1499" s="484" t="s">
        <v>294</v>
      </c>
      <c r="E1499" s="351"/>
      <c r="F1499" s="485" t="s">
        <v>325</v>
      </c>
      <c r="G1499" s="351"/>
      <c r="H1499" s="486"/>
      <c r="I1499" s="350"/>
      <c r="J1499" s="351"/>
      <c r="K1499" s="485" t="s">
        <v>325</v>
      </c>
      <c r="L1499" s="350"/>
      <c r="M1499" s="351"/>
      <c r="N1499" s="491" t="s">
        <v>294</v>
      </c>
      <c r="O1499" s="350"/>
      <c r="P1499" s="350"/>
      <c r="Q1499" s="350"/>
      <c r="R1499" s="350"/>
      <c r="S1499" s="350"/>
      <c r="T1499" s="350"/>
      <c r="U1499" s="351"/>
    </row>
    <row r="1500" spans="1:21" ht="34.5" customHeight="1">
      <c r="A1500" s="24">
        <f t="shared" si="5"/>
        <v>1486</v>
      </c>
      <c r="B1500" s="488" t="s">
        <v>294</v>
      </c>
      <c r="C1500" s="351"/>
      <c r="D1500" s="489" t="s">
        <v>294</v>
      </c>
      <c r="E1500" s="351"/>
      <c r="F1500" s="485" t="s">
        <v>325</v>
      </c>
      <c r="G1500" s="351"/>
      <c r="H1500" s="487"/>
      <c r="I1500" s="350"/>
      <c r="J1500" s="351"/>
      <c r="K1500" s="485" t="s">
        <v>325</v>
      </c>
      <c r="L1500" s="350"/>
      <c r="M1500" s="351"/>
      <c r="N1500" s="490" t="s">
        <v>294</v>
      </c>
      <c r="O1500" s="350"/>
      <c r="P1500" s="350"/>
      <c r="Q1500" s="350"/>
      <c r="R1500" s="350"/>
      <c r="S1500" s="350"/>
      <c r="T1500" s="350"/>
      <c r="U1500" s="351"/>
    </row>
    <row r="1501" spans="1:21" ht="34.5" customHeight="1">
      <c r="A1501" s="24">
        <f t="shared" si="5"/>
        <v>1487</v>
      </c>
      <c r="B1501" s="483" t="s">
        <v>294</v>
      </c>
      <c r="C1501" s="351"/>
      <c r="D1501" s="484" t="s">
        <v>294</v>
      </c>
      <c r="E1501" s="351"/>
      <c r="F1501" s="485" t="s">
        <v>325</v>
      </c>
      <c r="G1501" s="351"/>
      <c r="H1501" s="486"/>
      <c r="I1501" s="350"/>
      <c r="J1501" s="351"/>
      <c r="K1501" s="485" t="s">
        <v>325</v>
      </c>
      <c r="L1501" s="350"/>
      <c r="M1501" s="351"/>
      <c r="N1501" s="491" t="s">
        <v>294</v>
      </c>
      <c r="O1501" s="350"/>
      <c r="P1501" s="350"/>
      <c r="Q1501" s="350"/>
      <c r="R1501" s="350"/>
      <c r="S1501" s="350"/>
      <c r="T1501" s="350"/>
      <c r="U1501" s="351"/>
    </row>
    <row r="1502" spans="1:21" ht="34.5" customHeight="1">
      <c r="A1502" s="24">
        <f t="shared" si="5"/>
        <v>1488</v>
      </c>
      <c r="B1502" s="488" t="s">
        <v>327</v>
      </c>
      <c r="C1502" s="351"/>
      <c r="D1502" s="489" t="s">
        <v>294</v>
      </c>
      <c r="E1502" s="351"/>
      <c r="F1502" s="485" t="s">
        <v>325</v>
      </c>
      <c r="G1502" s="351"/>
      <c r="H1502" s="487"/>
      <c r="I1502" s="350"/>
      <c r="J1502" s="351"/>
      <c r="K1502" s="485" t="s">
        <v>325</v>
      </c>
      <c r="L1502" s="350"/>
      <c r="M1502" s="351"/>
      <c r="N1502" s="490" t="s">
        <v>294</v>
      </c>
      <c r="O1502" s="350"/>
      <c r="P1502" s="350"/>
      <c r="Q1502" s="350"/>
      <c r="R1502" s="350"/>
      <c r="S1502" s="350"/>
      <c r="T1502" s="350"/>
      <c r="U1502" s="351"/>
    </row>
    <row r="1503" spans="1:21" ht="34.5" customHeight="1">
      <c r="A1503" s="24">
        <f t="shared" si="5"/>
        <v>1489</v>
      </c>
      <c r="B1503" s="483" t="s">
        <v>294</v>
      </c>
      <c r="C1503" s="351"/>
      <c r="D1503" s="484" t="s">
        <v>294</v>
      </c>
      <c r="E1503" s="351"/>
      <c r="F1503" s="485" t="s">
        <v>325</v>
      </c>
      <c r="G1503" s="351"/>
      <c r="H1503" s="486"/>
      <c r="I1503" s="350"/>
      <c r="J1503" s="351"/>
      <c r="K1503" s="485" t="s">
        <v>325</v>
      </c>
      <c r="L1503" s="350"/>
      <c r="M1503" s="351"/>
      <c r="N1503" s="491" t="s">
        <v>294</v>
      </c>
      <c r="O1503" s="350"/>
      <c r="P1503" s="350"/>
      <c r="Q1503" s="350"/>
      <c r="R1503" s="350"/>
      <c r="S1503" s="350"/>
      <c r="T1503" s="350"/>
      <c r="U1503" s="351"/>
    </row>
    <row r="1504" spans="1:21" ht="34.5" customHeight="1">
      <c r="A1504" s="24">
        <f t="shared" si="5"/>
        <v>1490</v>
      </c>
      <c r="B1504" s="488" t="s">
        <v>294</v>
      </c>
      <c r="C1504" s="351"/>
      <c r="D1504" s="489" t="s">
        <v>294</v>
      </c>
      <c r="E1504" s="351"/>
      <c r="F1504" s="485" t="s">
        <v>325</v>
      </c>
      <c r="G1504" s="351"/>
      <c r="H1504" s="487"/>
      <c r="I1504" s="350"/>
      <c r="J1504" s="351"/>
      <c r="K1504" s="485" t="s">
        <v>325</v>
      </c>
      <c r="L1504" s="350"/>
      <c r="M1504" s="351"/>
      <c r="N1504" s="490" t="s">
        <v>294</v>
      </c>
      <c r="O1504" s="350"/>
      <c r="P1504" s="350"/>
      <c r="Q1504" s="350"/>
      <c r="R1504" s="350"/>
      <c r="S1504" s="350"/>
      <c r="T1504" s="350"/>
      <c r="U1504" s="351"/>
    </row>
    <row r="1505" spans="1:21" ht="34.5" customHeight="1">
      <c r="A1505" s="24">
        <f t="shared" si="5"/>
        <v>1491</v>
      </c>
      <c r="B1505" s="483" t="s">
        <v>294</v>
      </c>
      <c r="C1505" s="351"/>
      <c r="D1505" s="484" t="s">
        <v>294</v>
      </c>
      <c r="E1505" s="351"/>
      <c r="F1505" s="485" t="s">
        <v>325</v>
      </c>
      <c r="G1505" s="351"/>
      <c r="H1505" s="486"/>
      <c r="I1505" s="350"/>
      <c r="J1505" s="351"/>
      <c r="K1505" s="485" t="s">
        <v>325</v>
      </c>
      <c r="L1505" s="350"/>
      <c r="M1505" s="351"/>
      <c r="N1505" s="491" t="s">
        <v>294</v>
      </c>
      <c r="O1505" s="350"/>
      <c r="P1505" s="350"/>
      <c r="Q1505" s="350"/>
      <c r="R1505" s="350"/>
      <c r="S1505" s="350"/>
      <c r="T1505" s="350"/>
      <c r="U1505" s="351"/>
    </row>
    <row r="1506" spans="1:21" ht="34.5" customHeight="1">
      <c r="A1506" s="24">
        <f t="shared" si="5"/>
        <v>1492</v>
      </c>
      <c r="B1506" s="488" t="s">
        <v>294</v>
      </c>
      <c r="C1506" s="351"/>
      <c r="D1506" s="489" t="s">
        <v>294</v>
      </c>
      <c r="E1506" s="351"/>
      <c r="F1506" s="485" t="s">
        <v>325</v>
      </c>
      <c r="G1506" s="351"/>
      <c r="H1506" s="487"/>
      <c r="I1506" s="350"/>
      <c r="J1506" s="351"/>
      <c r="K1506" s="485" t="s">
        <v>325</v>
      </c>
      <c r="L1506" s="350"/>
      <c r="M1506" s="351"/>
      <c r="N1506" s="490" t="s">
        <v>294</v>
      </c>
      <c r="O1506" s="350"/>
      <c r="P1506" s="350"/>
      <c r="Q1506" s="350"/>
      <c r="R1506" s="350"/>
      <c r="S1506" s="350"/>
      <c r="T1506" s="350"/>
      <c r="U1506" s="351"/>
    </row>
    <row r="1507" spans="1:21" ht="34.5" customHeight="1">
      <c r="A1507" s="24">
        <f t="shared" si="5"/>
        <v>1493</v>
      </c>
      <c r="B1507" s="483" t="s">
        <v>294</v>
      </c>
      <c r="C1507" s="351"/>
      <c r="D1507" s="484" t="s">
        <v>294</v>
      </c>
      <c r="E1507" s="351"/>
      <c r="F1507" s="485" t="s">
        <v>325</v>
      </c>
      <c r="G1507" s="351"/>
      <c r="H1507" s="486"/>
      <c r="I1507" s="350"/>
      <c r="J1507" s="351"/>
      <c r="K1507" s="485" t="s">
        <v>325</v>
      </c>
      <c r="L1507" s="350"/>
      <c r="M1507" s="351"/>
      <c r="N1507" s="491" t="s">
        <v>294</v>
      </c>
      <c r="O1507" s="350"/>
      <c r="P1507" s="350"/>
      <c r="Q1507" s="350"/>
      <c r="R1507" s="350"/>
      <c r="S1507" s="350"/>
      <c r="T1507" s="350"/>
      <c r="U1507" s="351"/>
    </row>
    <row r="1508" spans="1:21" ht="34.5" customHeight="1">
      <c r="A1508" s="24">
        <f t="shared" si="5"/>
        <v>1494</v>
      </c>
      <c r="B1508" s="488" t="s">
        <v>294</v>
      </c>
      <c r="C1508" s="351"/>
      <c r="D1508" s="489" t="s">
        <v>294</v>
      </c>
      <c r="E1508" s="351"/>
      <c r="F1508" s="485" t="s">
        <v>325</v>
      </c>
      <c r="G1508" s="351"/>
      <c r="H1508" s="487"/>
      <c r="I1508" s="350"/>
      <c r="J1508" s="351"/>
      <c r="K1508" s="485" t="s">
        <v>325</v>
      </c>
      <c r="L1508" s="350"/>
      <c r="M1508" s="351"/>
      <c r="N1508" s="490" t="s">
        <v>294</v>
      </c>
      <c r="O1508" s="350"/>
      <c r="P1508" s="350"/>
      <c r="Q1508" s="350"/>
      <c r="R1508" s="350"/>
      <c r="S1508" s="350"/>
      <c r="T1508" s="350"/>
      <c r="U1508" s="351"/>
    </row>
    <row r="1509" spans="1:21" ht="34.5" customHeight="1">
      <c r="A1509" s="24">
        <f t="shared" si="5"/>
        <v>1495</v>
      </c>
      <c r="B1509" s="483" t="s">
        <v>294</v>
      </c>
      <c r="C1509" s="351"/>
      <c r="D1509" s="484" t="s">
        <v>294</v>
      </c>
      <c r="E1509" s="351"/>
      <c r="F1509" s="485" t="s">
        <v>325</v>
      </c>
      <c r="G1509" s="351"/>
      <c r="H1509" s="486"/>
      <c r="I1509" s="350"/>
      <c r="J1509" s="351"/>
      <c r="K1509" s="485" t="s">
        <v>325</v>
      </c>
      <c r="L1509" s="350"/>
      <c r="M1509" s="351"/>
      <c r="N1509" s="491" t="s">
        <v>294</v>
      </c>
      <c r="O1509" s="350"/>
      <c r="P1509" s="350"/>
      <c r="Q1509" s="350"/>
      <c r="R1509" s="350"/>
      <c r="S1509" s="350"/>
      <c r="T1509" s="350"/>
      <c r="U1509" s="351"/>
    </row>
    <row r="1510" spans="1:21" ht="34.5" customHeight="1">
      <c r="A1510" s="24">
        <f t="shared" si="5"/>
        <v>1496</v>
      </c>
      <c r="B1510" s="488" t="s">
        <v>326</v>
      </c>
      <c r="C1510" s="351"/>
      <c r="D1510" s="489" t="s">
        <v>294</v>
      </c>
      <c r="E1510" s="351"/>
      <c r="F1510" s="485" t="s">
        <v>325</v>
      </c>
      <c r="G1510" s="351"/>
      <c r="H1510" s="487"/>
      <c r="I1510" s="350"/>
      <c r="J1510" s="351"/>
      <c r="K1510" s="485" t="s">
        <v>325</v>
      </c>
      <c r="L1510" s="350"/>
      <c r="M1510" s="351"/>
      <c r="N1510" s="490" t="s">
        <v>294</v>
      </c>
      <c r="O1510" s="350"/>
      <c r="P1510" s="350"/>
      <c r="Q1510" s="350"/>
      <c r="R1510" s="350"/>
      <c r="S1510" s="350"/>
      <c r="T1510" s="350"/>
      <c r="U1510" s="351"/>
    </row>
    <row r="1511" spans="1:21" ht="34.5" customHeight="1">
      <c r="A1511" s="24">
        <f t="shared" si="5"/>
        <v>1497</v>
      </c>
      <c r="B1511" s="483" t="s">
        <v>294</v>
      </c>
      <c r="C1511" s="351"/>
      <c r="D1511" s="484" t="s">
        <v>294</v>
      </c>
      <c r="E1511" s="351"/>
      <c r="F1511" s="485" t="s">
        <v>325</v>
      </c>
      <c r="G1511" s="351"/>
      <c r="H1511" s="486"/>
      <c r="I1511" s="350"/>
      <c r="J1511" s="351"/>
      <c r="K1511" s="485" t="s">
        <v>325</v>
      </c>
      <c r="L1511" s="350"/>
      <c r="M1511" s="351"/>
      <c r="N1511" s="491" t="s">
        <v>294</v>
      </c>
      <c r="O1511" s="350"/>
      <c r="P1511" s="350"/>
      <c r="Q1511" s="350"/>
      <c r="R1511" s="350"/>
      <c r="S1511" s="350"/>
      <c r="T1511" s="350"/>
      <c r="U1511" s="351"/>
    </row>
    <row r="1512" spans="1:21" ht="34.5" customHeight="1">
      <c r="A1512" s="24">
        <f t="shared" si="5"/>
        <v>1498</v>
      </c>
      <c r="B1512" s="488" t="s">
        <v>294</v>
      </c>
      <c r="C1512" s="351"/>
      <c r="D1512" s="489" t="s">
        <v>294</v>
      </c>
      <c r="E1512" s="351"/>
      <c r="F1512" s="485" t="s">
        <v>325</v>
      </c>
      <c r="G1512" s="351"/>
      <c r="H1512" s="487"/>
      <c r="I1512" s="350"/>
      <c r="J1512" s="351"/>
      <c r="K1512" s="485" t="s">
        <v>325</v>
      </c>
      <c r="L1512" s="350"/>
      <c r="M1512" s="351"/>
      <c r="N1512" s="490" t="s">
        <v>294</v>
      </c>
      <c r="O1512" s="350"/>
      <c r="P1512" s="350"/>
      <c r="Q1512" s="350"/>
      <c r="R1512" s="350"/>
      <c r="S1512" s="350"/>
      <c r="T1512" s="350"/>
      <c r="U1512" s="351"/>
    </row>
    <row r="1513" spans="1:21" ht="34.5" customHeight="1">
      <c r="A1513" s="24">
        <f t="shared" si="5"/>
        <v>1499</v>
      </c>
      <c r="B1513" s="483" t="s">
        <v>294</v>
      </c>
      <c r="C1513" s="351"/>
      <c r="D1513" s="484" t="s">
        <v>294</v>
      </c>
      <c r="E1513" s="351"/>
      <c r="F1513" s="485" t="s">
        <v>325</v>
      </c>
      <c r="G1513" s="351"/>
      <c r="H1513" s="486"/>
      <c r="I1513" s="350"/>
      <c r="J1513" s="351"/>
      <c r="K1513" s="485" t="s">
        <v>325</v>
      </c>
      <c r="L1513" s="350"/>
      <c r="M1513" s="351"/>
      <c r="N1513" s="491" t="s">
        <v>294</v>
      </c>
      <c r="O1513" s="350"/>
      <c r="P1513" s="350"/>
      <c r="Q1513" s="350"/>
      <c r="R1513" s="350"/>
      <c r="S1513" s="350"/>
      <c r="T1513" s="350"/>
      <c r="U1513" s="351"/>
    </row>
    <row r="1514" spans="1:21" ht="34.5" customHeight="1">
      <c r="A1514" s="24">
        <f t="shared" si="5"/>
        <v>1500</v>
      </c>
      <c r="B1514" s="488" t="s">
        <v>294</v>
      </c>
      <c r="C1514" s="351"/>
      <c r="D1514" s="489" t="s">
        <v>294</v>
      </c>
      <c r="E1514" s="351"/>
      <c r="F1514" s="485" t="s">
        <v>325</v>
      </c>
      <c r="G1514" s="351"/>
      <c r="H1514" s="487"/>
      <c r="I1514" s="350"/>
      <c r="J1514" s="351"/>
      <c r="K1514" s="485" t="s">
        <v>325</v>
      </c>
      <c r="L1514" s="350"/>
      <c r="M1514" s="351"/>
      <c r="N1514" s="490" t="s">
        <v>294</v>
      </c>
      <c r="O1514" s="350"/>
      <c r="P1514" s="350"/>
      <c r="Q1514" s="350"/>
      <c r="R1514" s="350"/>
      <c r="S1514" s="350"/>
      <c r="T1514" s="350"/>
      <c r="U1514" s="351"/>
    </row>
  </sheetData>
  <mergeCells count="9040">
    <mergeCell ref="B1:C1"/>
    <mergeCell ref="D1:E1"/>
    <mergeCell ref="F1:G1"/>
    <mergeCell ref="H1:J1"/>
    <mergeCell ref="K1:M1"/>
    <mergeCell ref="N1:U1"/>
    <mergeCell ref="A2:AU2"/>
    <mergeCell ref="AE5:AJ5"/>
    <mergeCell ref="AE6:AJ6"/>
    <mergeCell ref="AE7:AJ7"/>
    <mergeCell ref="AK7:AU7"/>
    <mergeCell ref="AE8:AJ8"/>
    <mergeCell ref="AK8:AU8"/>
    <mergeCell ref="AE9:AJ9"/>
    <mergeCell ref="AK9:AU9"/>
    <mergeCell ref="A3:AU3"/>
    <mergeCell ref="A4:AU4"/>
    <mergeCell ref="A5:O5"/>
    <mergeCell ref="P5:AC5"/>
    <mergeCell ref="AK5:AU5"/>
    <mergeCell ref="P6:AC6"/>
    <mergeCell ref="AK6:AU6"/>
    <mergeCell ref="A6:O6"/>
    <mergeCell ref="A7:O7"/>
    <mergeCell ref="P7:AC8"/>
    <mergeCell ref="A8:O8"/>
    <mergeCell ref="A9:O9"/>
    <mergeCell ref="P9:Y9"/>
    <mergeCell ref="Z9:AC9"/>
    <mergeCell ref="K14:M14"/>
    <mergeCell ref="N14:U14"/>
    <mergeCell ref="N15:U15"/>
    <mergeCell ref="A10:AU10"/>
    <mergeCell ref="A11:AU11"/>
    <mergeCell ref="A12:E13"/>
    <mergeCell ref="F12:M13"/>
    <mergeCell ref="N12:U13"/>
    <mergeCell ref="B14:C14"/>
    <mergeCell ref="D14:E14"/>
    <mergeCell ref="F14:G14"/>
    <mergeCell ref="H14:J14"/>
    <mergeCell ref="B15:C15"/>
    <mergeCell ref="D15:E15"/>
    <mergeCell ref="F15:G15"/>
    <mergeCell ref="H15:J15"/>
    <mergeCell ref="K15:M15"/>
    <mergeCell ref="H23:J23"/>
    <mergeCell ref="K23:M23"/>
    <mergeCell ref="B22:C22"/>
    <mergeCell ref="D22:E22"/>
    <mergeCell ref="F22:G22"/>
    <mergeCell ref="H22:J22"/>
    <mergeCell ref="K22:M22"/>
    <mergeCell ref="N22:U22"/>
    <mergeCell ref="B23:C23"/>
    <mergeCell ref="N23:U23"/>
    <mergeCell ref="D23:E23"/>
    <mergeCell ref="F23:G23"/>
    <mergeCell ref="D24:E24"/>
    <mergeCell ref="F24:G24"/>
    <mergeCell ref="H24:J24"/>
    <mergeCell ref="K24:M24"/>
    <mergeCell ref="N24:U24"/>
    <mergeCell ref="B24:C24"/>
    <mergeCell ref="B25:C25"/>
    <mergeCell ref="D25:E25"/>
    <mergeCell ref="F25:G25"/>
    <mergeCell ref="H25:J25"/>
    <mergeCell ref="K25:M25"/>
    <mergeCell ref="N25:U25"/>
    <mergeCell ref="H27:J27"/>
    <mergeCell ref="K27:M27"/>
    <mergeCell ref="B26:C26"/>
    <mergeCell ref="D26:E26"/>
    <mergeCell ref="F26:G26"/>
    <mergeCell ref="H26:J26"/>
    <mergeCell ref="K26:M26"/>
    <mergeCell ref="N26:U26"/>
    <mergeCell ref="B27:C27"/>
    <mergeCell ref="N27:U27"/>
    <mergeCell ref="D27:E27"/>
    <mergeCell ref="F27:G27"/>
    <mergeCell ref="D28:E28"/>
    <mergeCell ref="F28:G28"/>
    <mergeCell ref="H28:J28"/>
    <mergeCell ref="K28:M28"/>
    <mergeCell ref="N28:U28"/>
    <mergeCell ref="B28:C28"/>
    <mergeCell ref="B29:C29"/>
    <mergeCell ref="D29:E29"/>
    <mergeCell ref="F29:G29"/>
    <mergeCell ref="H29:J29"/>
    <mergeCell ref="K29:M29"/>
    <mergeCell ref="N29:U29"/>
    <mergeCell ref="H31:J31"/>
    <mergeCell ref="K31:M31"/>
    <mergeCell ref="B30:C30"/>
    <mergeCell ref="D30:E30"/>
    <mergeCell ref="F30:G30"/>
    <mergeCell ref="H30:J30"/>
    <mergeCell ref="K30:M30"/>
    <mergeCell ref="N30:U30"/>
    <mergeCell ref="B31:C31"/>
    <mergeCell ref="N31:U31"/>
    <mergeCell ref="B34:C34"/>
    <mergeCell ref="D34:E34"/>
    <mergeCell ref="F34:G34"/>
    <mergeCell ref="H34:J34"/>
    <mergeCell ref="K34:M34"/>
    <mergeCell ref="N34:U34"/>
    <mergeCell ref="B35:C35"/>
    <mergeCell ref="D31:E31"/>
    <mergeCell ref="F31:G31"/>
    <mergeCell ref="D32:E32"/>
    <mergeCell ref="F32:G32"/>
    <mergeCell ref="H32:J32"/>
    <mergeCell ref="K32:M32"/>
    <mergeCell ref="N32:U32"/>
    <mergeCell ref="B32:C32"/>
    <mergeCell ref="B33:C33"/>
    <mergeCell ref="D33:E33"/>
    <mergeCell ref="F33:G33"/>
    <mergeCell ref="H33:J33"/>
    <mergeCell ref="K33:M33"/>
    <mergeCell ref="N33:U33"/>
    <mergeCell ref="K36:M36"/>
    <mergeCell ref="N36:U36"/>
    <mergeCell ref="D35:E35"/>
    <mergeCell ref="F35:G35"/>
    <mergeCell ref="N35:U35"/>
    <mergeCell ref="B36:C36"/>
    <mergeCell ref="D36:E36"/>
    <mergeCell ref="F36:G36"/>
    <mergeCell ref="H36:J36"/>
    <mergeCell ref="H38:J38"/>
    <mergeCell ref="K38:M38"/>
    <mergeCell ref="B37:C37"/>
    <mergeCell ref="D37:E37"/>
    <mergeCell ref="F37:G37"/>
    <mergeCell ref="H37:J37"/>
    <mergeCell ref="K37:M37"/>
    <mergeCell ref="N37:U37"/>
    <mergeCell ref="B38:C38"/>
    <mergeCell ref="N38:U38"/>
    <mergeCell ref="D38:E38"/>
    <mergeCell ref="F38:G38"/>
    <mergeCell ref="H35:J35"/>
    <mergeCell ref="K35:M35"/>
    <mergeCell ref="D39:E39"/>
    <mergeCell ref="F39:G39"/>
    <mergeCell ref="H39:J39"/>
    <mergeCell ref="K39:M39"/>
    <mergeCell ref="N39:U39"/>
    <mergeCell ref="B39:C39"/>
    <mergeCell ref="B40:C40"/>
    <mergeCell ref="D40:E40"/>
    <mergeCell ref="F40:G40"/>
    <mergeCell ref="H40:J40"/>
    <mergeCell ref="K40:M40"/>
    <mergeCell ref="N40:U40"/>
    <mergeCell ref="H42:J42"/>
    <mergeCell ref="K42:M42"/>
    <mergeCell ref="B41:C41"/>
    <mergeCell ref="D41:E41"/>
    <mergeCell ref="F41:G41"/>
    <mergeCell ref="H41:J41"/>
    <mergeCell ref="K41:M41"/>
    <mergeCell ref="N41:U41"/>
    <mergeCell ref="B42:C42"/>
    <mergeCell ref="N42:U42"/>
    <mergeCell ref="D42:E42"/>
    <mergeCell ref="F42:G42"/>
    <mergeCell ref="N43:U43"/>
    <mergeCell ref="B43:C43"/>
    <mergeCell ref="B44:C44"/>
    <mergeCell ref="D44:E44"/>
    <mergeCell ref="F44:G44"/>
    <mergeCell ref="H44:J44"/>
    <mergeCell ref="K44:M44"/>
    <mergeCell ref="N44:U44"/>
    <mergeCell ref="H46:J46"/>
    <mergeCell ref="K46:M46"/>
    <mergeCell ref="B45:C45"/>
    <mergeCell ref="D45:E45"/>
    <mergeCell ref="F45:G45"/>
    <mergeCell ref="H45:J45"/>
    <mergeCell ref="K45:M45"/>
    <mergeCell ref="N45:U45"/>
    <mergeCell ref="B46:C46"/>
    <mergeCell ref="N46:U46"/>
    <mergeCell ref="D46:E46"/>
    <mergeCell ref="F46:G46"/>
    <mergeCell ref="D58:E58"/>
    <mergeCell ref="F58:G58"/>
    <mergeCell ref="D59:E59"/>
    <mergeCell ref="F59:G59"/>
    <mergeCell ref="H59:J59"/>
    <mergeCell ref="K59:M59"/>
    <mergeCell ref="N59:U59"/>
    <mergeCell ref="B59:C59"/>
    <mergeCell ref="B60:C60"/>
    <mergeCell ref="D60:E60"/>
    <mergeCell ref="F60:G60"/>
    <mergeCell ref="H60:J60"/>
    <mergeCell ref="K60:M60"/>
    <mergeCell ref="N60:U60"/>
    <mergeCell ref="H17:J17"/>
    <mergeCell ref="K17:M17"/>
    <mergeCell ref="H18:J18"/>
    <mergeCell ref="K18:M18"/>
    <mergeCell ref="N18:U18"/>
    <mergeCell ref="B21:C21"/>
    <mergeCell ref="D21:E21"/>
    <mergeCell ref="F21:G21"/>
    <mergeCell ref="H21:J21"/>
    <mergeCell ref="K21:M21"/>
    <mergeCell ref="N21:U21"/>
    <mergeCell ref="K51:M51"/>
    <mergeCell ref="N51:U51"/>
    <mergeCell ref="B51:C51"/>
    <mergeCell ref="B52:C52"/>
    <mergeCell ref="D52:E52"/>
    <mergeCell ref="F52:G52"/>
    <mergeCell ref="H52:J52"/>
    <mergeCell ref="D51:E51"/>
    <mergeCell ref="F51:G51"/>
    <mergeCell ref="H51:J51"/>
    <mergeCell ref="B16:C16"/>
    <mergeCell ref="D16:E16"/>
    <mergeCell ref="F16:G16"/>
    <mergeCell ref="H16:J16"/>
    <mergeCell ref="K16:M16"/>
    <mergeCell ref="N16:U16"/>
    <mergeCell ref="B17:C17"/>
    <mergeCell ref="N17:U17"/>
    <mergeCell ref="F19:G19"/>
    <mergeCell ref="H19:J19"/>
    <mergeCell ref="K19:M19"/>
    <mergeCell ref="N19:U19"/>
    <mergeCell ref="B20:C20"/>
    <mergeCell ref="D20:E20"/>
    <mergeCell ref="F20:G20"/>
    <mergeCell ref="H20:J20"/>
    <mergeCell ref="K20:M20"/>
    <mergeCell ref="N20:U20"/>
    <mergeCell ref="D17:E17"/>
    <mergeCell ref="F17:G17"/>
    <mergeCell ref="B18:C18"/>
    <mergeCell ref="D18:E18"/>
    <mergeCell ref="F18:G18"/>
    <mergeCell ref="B19:C19"/>
    <mergeCell ref="D19:E19"/>
    <mergeCell ref="D43:E43"/>
    <mergeCell ref="F43:G43"/>
    <mergeCell ref="H43:J43"/>
    <mergeCell ref="K43:M43"/>
    <mergeCell ref="D47:E47"/>
    <mergeCell ref="F47:G47"/>
    <mergeCell ref="H47:J47"/>
    <mergeCell ref="K47:M47"/>
    <mergeCell ref="N47:U47"/>
    <mergeCell ref="B47:C47"/>
    <mergeCell ref="B48:C48"/>
    <mergeCell ref="D48:E48"/>
    <mergeCell ref="F48:G48"/>
    <mergeCell ref="H48:J48"/>
    <mergeCell ref="K48:M48"/>
    <mergeCell ref="N48:U48"/>
    <mergeCell ref="H50:J50"/>
    <mergeCell ref="K50:M50"/>
    <mergeCell ref="B49:C49"/>
    <mergeCell ref="D49:E49"/>
    <mergeCell ref="F49:G49"/>
    <mergeCell ref="H49:J49"/>
    <mergeCell ref="K49:M49"/>
    <mergeCell ref="N49:U49"/>
    <mergeCell ref="B50:C50"/>
    <mergeCell ref="N50:U50"/>
    <mergeCell ref="D50:E50"/>
    <mergeCell ref="F50:G50"/>
    <mergeCell ref="N61:U61"/>
    <mergeCell ref="B62:C62"/>
    <mergeCell ref="H62:J62"/>
    <mergeCell ref="K62:M62"/>
    <mergeCell ref="D63:E63"/>
    <mergeCell ref="F63:G63"/>
    <mergeCell ref="H63:J63"/>
    <mergeCell ref="K63:M63"/>
    <mergeCell ref="N63:U63"/>
    <mergeCell ref="K52:M52"/>
    <mergeCell ref="N52:U52"/>
    <mergeCell ref="H54:J54"/>
    <mergeCell ref="K54:M54"/>
    <mergeCell ref="B53:C53"/>
    <mergeCell ref="D53:E53"/>
    <mergeCell ref="F53:G53"/>
    <mergeCell ref="H53:J53"/>
    <mergeCell ref="K53:M53"/>
    <mergeCell ref="N53:U53"/>
    <mergeCell ref="B54:C54"/>
    <mergeCell ref="N54:U54"/>
    <mergeCell ref="D54:E54"/>
    <mergeCell ref="F54:G54"/>
    <mergeCell ref="D55:E55"/>
    <mergeCell ref="F55:G55"/>
    <mergeCell ref="H55:J55"/>
    <mergeCell ref="K55:M55"/>
    <mergeCell ref="N55:U55"/>
    <mergeCell ref="B55:C55"/>
    <mergeCell ref="D62:E62"/>
    <mergeCell ref="F62:G62"/>
    <mergeCell ref="N62:U62"/>
    <mergeCell ref="F86:G86"/>
    <mergeCell ref="B87:C87"/>
    <mergeCell ref="D87:E87"/>
    <mergeCell ref="F87:G87"/>
    <mergeCell ref="B89:C89"/>
    <mergeCell ref="D89:E89"/>
    <mergeCell ref="F89:G89"/>
    <mergeCell ref="H89:J89"/>
    <mergeCell ref="K89:M89"/>
    <mergeCell ref="B56:C56"/>
    <mergeCell ref="D56:E56"/>
    <mergeCell ref="F56:G56"/>
    <mergeCell ref="H56:J56"/>
    <mergeCell ref="K56:M56"/>
    <mergeCell ref="N56:U56"/>
    <mergeCell ref="H58:J58"/>
    <mergeCell ref="K58:M58"/>
    <mergeCell ref="B57:C57"/>
    <mergeCell ref="D57:E57"/>
    <mergeCell ref="F57:G57"/>
    <mergeCell ref="H57:J57"/>
    <mergeCell ref="K57:M57"/>
    <mergeCell ref="N57:U57"/>
    <mergeCell ref="B58:C58"/>
    <mergeCell ref="N58:U58"/>
    <mergeCell ref="F76:G76"/>
    <mergeCell ref="H76:J76"/>
    <mergeCell ref="B61:C61"/>
    <mergeCell ref="D61:E61"/>
    <mergeCell ref="F61:G61"/>
    <mergeCell ref="H61:J61"/>
    <mergeCell ref="K61:M61"/>
    <mergeCell ref="K77:M77"/>
    <mergeCell ref="H78:J78"/>
    <mergeCell ref="K78:M78"/>
    <mergeCell ref="B76:C76"/>
    <mergeCell ref="B77:C77"/>
    <mergeCell ref="D77:E77"/>
    <mergeCell ref="F77:G77"/>
    <mergeCell ref="B78:C78"/>
    <mergeCell ref="D78:E78"/>
    <mergeCell ref="F78:G78"/>
    <mergeCell ref="B93:C93"/>
    <mergeCell ref="D93:E93"/>
    <mergeCell ref="F93:G93"/>
    <mergeCell ref="H93:J93"/>
    <mergeCell ref="K93:M93"/>
    <mergeCell ref="D97:E97"/>
    <mergeCell ref="F97:G97"/>
    <mergeCell ref="B94:C94"/>
    <mergeCell ref="D94:E94"/>
    <mergeCell ref="F94:G94"/>
    <mergeCell ref="H94:J94"/>
    <mergeCell ref="K94:M94"/>
    <mergeCell ref="B81:C81"/>
    <mergeCell ref="D81:E81"/>
    <mergeCell ref="F81:G81"/>
    <mergeCell ref="H81:J81"/>
    <mergeCell ref="K81:M81"/>
    <mergeCell ref="B82:C82"/>
    <mergeCell ref="F82:G82"/>
    <mergeCell ref="B83:C83"/>
    <mergeCell ref="D83:E83"/>
    <mergeCell ref="B95:C95"/>
    <mergeCell ref="B98:C98"/>
    <mergeCell ref="D98:E98"/>
    <mergeCell ref="F98:G98"/>
    <mergeCell ref="H98:J98"/>
    <mergeCell ref="K98:M98"/>
    <mergeCell ref="F105:G105"/>
    <mergeCell ref="H105:J105"/>
    <mergeCell ref="H106:J106"/>
    <mergeCell ref="K106:M106"/>
    <mergeCell ref="D102:E102"/>
    <mergeCell ref="F102:G102"/>
    <mergeCell ref="B104:C104"/>
    <mergeCell ref="D104:E104"/>
    <mergeCell ref="F104:G104"/>
    <mergeCell ref="H104:J104"/>
    <mergeCell ref="K104:M104"/>
    <mergeCell ref="F95:G95"/>
    <mergeCell ref="H95:J95"/>
    <mergeCell ref="H97:J97"/>
    <mergeCell ref="K97:M97"/>
    <mergeCell ref="D95:E95"/>
    <mergeCell ref="K95:M95"/>
    <mergeCell ref="B96:C96"/>
    <mergeCell ref="D96:E96"/>
    <mergeCell ref="F96:G96"/>
    <mergeCell ref="H96:J96"/>
    <mergeCell ref="K96:M96"/>
    <mergeCell ref="B97:C97"/>
    <mergeCell ref="H107:J107"/>
    <mergeCell ref="K107:M107"/>
    <mergeCell ref="B105:C105"/>
    <mergeCell ref="B106:C106"/>
    <mergeCell ref="D106:E106"/>
    <mergeCell ref="F106:G106"/>
    <mergeCell ref="B107:C107"/>
    <mergeCell ref="D107:E107"/>
    <mergeCell ref="F107:G107"/>
    <mergeCell ref="F110:G110"/>
    <mergeCell ref="H110:J110"/>
    <mergeCell ref="B109:C109"/>
    <mergeCell ref="D109:E109"/>
    <mergeCell ref="F109:G109"/>
    <mergeCell ref="H109:J109"/>
    <mergeCell ref="K109:M109"/>
    <mergeCell ref="D110:E110"/>
    <mergeCell ref="K110:M110"/>
    <mergeCell ref="D105:E105"/>
    <mergeCell ref="K105:M105"/>
    <mergeCell ref="B108:C108"/>
    <mergeCell ref="D108:E108"/>
    <mergeCell ref="F108:G108"/>
    <mergeCell ref="H108:J108"/>
    <mergeCell ref="K108:M108"/>
    <mergeCell ref="H112:J112"/>
    <mergeCell ref="K112:M112"/>
    <mergeCell ref="B110:C110"/>
    <mergeCell ref="B111:C111"/>
    <mergeCell ref="D111:E111"/>
    <mergeCell ref="F111:G111"/>
    <mergeCell ref="H111:J111"/>
    <mergeCell ref="K111:M111"/>
    <mergeCell ref="B112:C112"/>
    <mergeCell ref="F100:G100"/>
    <mergeCell ref="H100:J100"/>
    <mergeCell ref="H101:J101"/>
    <mergeCell ref="K101:M101"/>
    <mergeCell ref="H102:J102"/>
    <mergeCell ref="K102:M102"/>
    <mergeCell ref="B99:C99"/>
    <mergeCell ref="D99:E99"/>
    <mergeCell ref="F99:G99"/>
    <mergeCell ref="H99:J99"/>
    <mergeCell ref="K99:M99"/>
    <mergeCell ref="D100:E100"/>
    <mergeCell ref="K100:M100"/>
    <mergeCell ref="B103:C103"/>
    <mergeCell ref="D103:E103"/>
    <mergeCell ref="F103:G103"/>
    <mergeCell ref="H103:J103"/>
    <mergeCell ref="K103:M103"/>
    <mergeCell ref="B100:C100"/>
    <mergeCell ref="B101:C101"/>
    <mergeCell ref="D101:E101"/>
    <mergeCell ref="F101:G101"/>
    <mergeCell ref="B102:C102"/>
    <mergeCell ref="D112:E112"/>
    <mergeCell ref="F112:G112"/>
    <mergeCell ref="B113:C113"/>
    <mergeCell ref="D113:E113"/>
    <mergeCell ref="F113:G113"/>
    <mergeCell ref="H113:J113"/>
    <mergeCell ref="K113:M113"/>
    <mergeCell ref="F125:G125"/>
    <mergeCell ref="H125:J125"/>
    <mergeCell ref="B124:C124"/>
    <mergeCell ref="D124:E124"/>
    <mergeCell ref="F124:G124"/>
    <mergeCell ref="H124:J124"/>
    <mergeCell ref="K124:M124"/>
    <mergeCell ref="D125:E125"/>
    <mergeCell ref="K125:M125"/>
    <mergeCell ref="F120:G120"/>
    <mergeCell ref="H120:J120"/>
    <mergeCell ref="H121:J121"/>
    <mergeCell ref="K121:M121"/>
    <mergeCell ref="H122:J122"/>
    <mergeCell ref="K122:M122"/>
    <mergeCell ref="B120:C120"/>
    <mergeCell ref="B121:C121"/>
    <mergeCell ref="D121:E121"/>
    <mergeCell ref="F121:G121"/>
    <mergeCell ref="B122:C122"/>
    <mergeCell ref="D122:E122"/>
    <mergeCell ref="F122:G122"/>
    <mergeCell ref="D117:E117"/>
    <mergeCell ref="F117:G117"/>
    <mergeCell ref="B119:C119"/>
    <mergeCell ref="F115:G115"/>
    <mergeCell ref="H115:J115"/>
    <mergeCell ref="H116:J116"/>
    <mergeCell ref="K116:M116"/>
    <mergeCell ref="H117:J117"/>
    <mergeCell ref="K117:M117"/>
    <mergeCell ref="B114:C114"/>
    <mergeCell ref="D114:E114"/>
    <mergeCell ref="F114:G114"/>
    <mergeCell ref="H114:J114"/>
    <mergeCell ref="K114:M114"/>
    <mergeCell ref="D115:E115"/>
    <mergeCell ref="K115:M115"/>
    <mergeCell ref="B118:C118"/>
    <mergeCell ref="D118:E118"/>
    <mergeCell ref="F118:G118"/>
    <mergeCell ref="H118:J118"/>
    <mergeCell ref="K118:M118"/>
    <mergeCell ref="B115:C115"/>
    <mergeCell ref="B116:C116"/>
    <mergeCell ref="D116:E116"/>
    <mergeCell ref="F116:G116"/>
    <mergeCell ref="B117:C117"/>
    <mergeCell ref="D119:E119"/>
    <mergeCell ref="F119:G119"/>
    <mergeCell ref="H119:J119"/>
    <mergeCell ref="K119:M119"/>
    <mergeCell ref="D120:E120"/>
    <mergeCell ref="K120:M120"/>
    <mergeCell ref="B123:C123"/>
    <mergeCell ref="D123:E123"/>
    <mergeCell ref="F123:G123"/>
    <mergeCell ref="H123:J123"/>
    <mergeCell ref="K123:M123"/>
    <mergeCell ref="D127:E127"/>
    <mergeCell ref="F127:G127"/>
    <mergeCell ref="B128:C128"/>
    <mergeCell ref="D128:E128"/>
    <mergeCell ref="F128:G128"/>
    <mergeCell ref="H128:J128"/>
    <mergeCell ref="K128:M128"/>
    <mergeCell ref="H127:J127"/>
    <mergeCell ref="K127:M127"/>
    <mergeCell ref="B125:C125"/>
    <mergeCell ref="B126:C126"/>
    <mergeCell ref="D126:E126"/>
    <mergeCell ref="F126:G126"/>
    <mergeCell ref="H126:J126"/>
    <mergeCell ref="K126:M126"/>
    <mergeCell ref="B127:C127"/>
    <mergeCell ref="H137:J137"/>
    <mergeCell ref="F130:G130"/>
    <mergeCell ref="H130:J130"/>
    <mergeCell ref="H131:J131"/>
    <mergeCell ref="K131:M131"/>
    <mergeCell ref="H132:J132"/>
    <mergeCell ref="K132:M132"/>
    <mergeCell ref="B129:C129"/>
    <mergeCell ref="D129:E129"/>
    <mergeCell ref="F129:G129"/>
    <mergeCell ref="H129:J129"/>
    <mergeCell ref="K129:M129"/>
    <mergeCell ref="D130:E130"/>
    <mergeCell ref="K130:M130"/>
    <mergeCell ref="B133:C133"/>
    <mergeCell ref="D133:E133"/>
    <mergeCell ref="F133:G133"/>
    <mergeCell ref="H133:J133"/>
    <mergeCell ref="K133:M133"/>
    <mergeCell ref="B130:C130"/>
    <mergeCell ref="B131:C131"/>
    <mergeCell ref="D131:E131"/>
    <mergeCell ref="F131:G131"/>
    <mergeCell ref="B132:C132"/>
    <mergeCell ref="K137:M137"/>
    <mergeCell ref="B135:C135"/>
    <mergeCell ref="B136:C136"/>
    <mergeCell ref="D136:E136"/>
    <mergeCell ref="F136:G136"/>
    <mergeCell ref="B137:C137"/>
    <mergeCell ref="D137:E137"/>
    <mergeCell ref="F137:G137"/>
    <mergeCell ref="B138:C138"/>
    <mergeCell ref="D138:E138"/>
    <mergeCell ref="F138:G138"/>
    <mergeCell ref="H138:J138"/>
    <mergeCell ref="K138:M138"/>
    <mergeCell ref="D142:E142"/>
    <mergeCell ref="F142:G142"/>
    <mergeCell ref="B143:C143"/>
    <mergeCell ref="D143:E143"/>
    <mergeCell ref="F143:G143"/>
    <mergeCell ref="H143:J143"/>
    <mergeCell ref="K143:M143"/>
    <mergeCell ref="H142:J142"/>
    <mergeCell ref="K142:M142"/>
    <mergeCell ref="B140:C140"/>
    <mergeCell ref="B141:C141"/>
    <mergeCell ref="D141:E141"/>
    <mergeCell ref="F141:G141"/>
    <mergeCell ref="H141:J141"/>
    <mergeCell ref="K141:M141"/>
    <mergeCell ref="B142:C142"/>
    <mergeCell ref="F140:G140"/>
    <mergeCell ref="H140:J140"/>
    <mergeCell ref="B139:C139"/>
    <mergeCell ref="D139:E139"/>
    <mergeCell ref="F139:G139"/>
    <mergeCell ref="H139:J139"/>
    <mergeCell ref="K139:M139"/>
    <mergeCell ref="D140:E140"/>
    <mergeCell ref="K140:M140"/>
    <mergeCell ref="H172:J172"/>
    <mergeCell ref="K172:M172"/>
    <mergeCell ref="B170:C170"/>
    <mergeCell ref="B171:C171"/>
    <mergeCell ref="D171:E171"/>
    <mergeCell ref="F171:G171"/>
    <mergeCell ref="H171:J171"/>
    <mergeCell ref="K171:M171"/>
    <mergeCell ref="B172:C172"/>
    <mergeCell ref="F160:G160"/>
    <mergeCell ref="H160:J160"/>
    <mergeCell ref="H161:J161"/>
    <mergeCell ref="K161:M161"/>
    <mergeCell ref="H162:J162"/>
    <mergeCell ref="K162:M162"/>
    <mergeCell ref="B159:C159"/>
    <mergeCell ref="D159:E159"/>
    <mergeCell ref="F159:G159"/>
    <mergeCell ref="H159:J159"/>
    <mergeCell ref="K159:M159"/>
    <mergeCell ref="D160:E160"/>
    <mergeCell ref="K160:M160"/>
    <mergeCell ref="B163:C163"/>
    <mergeCell ref="D163:E163"/>
    <mergeCell ref="F163:G163"/>
    <mergeCell ref="H163:J163"/>
    <mergeCell ref="K163:M163"/>
    <mergeCell ref="B160:C160"/>
    <mergeCell ref="B161:C161"/>
    <mergeCell ref="D161:E161"/>
    <mergeCell ref="F161:G161"/>
    <mergeCell ref="B162:C162"/>
    <mergeCell ref="D162:E162"/>
    <mergeCell ref="F162:G162"/>
    <mergeCell ref="B164:C164"/>
    <mergeCell ref="D164:E164"/>
    <mergeCell ref="F164:G164"/>
    <mergeCell ref="H164:J164"/>
    <mergeCell ref="K164:M164"/>
    <mergeCell ref="D165:E165"/>
    <mergeCell ref="K165:M165"/>
    <mergeCell ref="B168:C168"/>
    <mergeCell ref="D168:E168"/>
    <mergeCell ref="F168:G168"/>
    <mergeCell ref="H168:J168"/>
    <mergeCell ref="K168:M168"/>
    <mergeCell ref="D172:E172"/>
    <mergeCell ref="F172:G172"/>
    <mergeCell ref="B173:C173"/>
    <mergeCell ref="D173:E173"/>
    <mergeCell ref="F173:G173"/>
    <mergeCell ref="H173:J173"/>
    <mergeCell ref="K173:M173"/>
    <mergeCell ref="H167:J167"/>
    <mergeCell ref="K167:M167"/>
    <mergeCell ref="B167:C167"/>
    <mergeCell ref="D167:E167"/>
    <mergeCell ref="F167:G167"/>
    <mergeCell ref="F170:G170"/>
    <mergeCell ref="H170:J170"/>
    <mergeCell ref="B169:C169"/>
    <mergeCell ref="D169:E169"/>
    <mergeCell ref="F169:G169"/>
    <mergeCell ref="H169:J169"/>
    <mergeCell ref="H412:J412"/>
    <mergeCell ref="K412:M412"/>
    <mergeCell ref="B410:C410"/>
    <mergeCell ref="B411:C411"/>
    <mergeCell ref="D411:E411"/>
    <mergeCell ref="F411:G411"/>
    <mergeCell ref="H411:J411"/>
    <mergeCell ref="K411:M411"/>
    <mergeCell ref="B412:C412"/>
    <mergeCell ref="F400:G400"/>
    <mergeCell ref="H400:J400"/>
    <mergeCell ref="H401:J401"/>
    <mergeCell ref="K401:M401"/>
    <mergeCell ref="H402:J402"/>
    <mergeCell ref="K402:M402"/>
    <mergeCell ref="B399:C399"/>
    <mergeCell ref="D399:E399"/>
    <mergeCell ref="F399:G399"/>
    <mergeCell ref="H399:J399"/>
    <mergeCell ref="K399:M399"/>
    <mergeCell ref="D400:E400"/>
    <mergeCell ref="K400:M400"/>
    <mergeCell ref="B403:C403"/>
    <mergeCell ref="D403:E403"/>
    <mergeCell ref="F403:G403"/>
    <mergeCell ref="H403:J403"/>
    <mergeCell ref="K403:M403"/>
    <mergeCell ref="B400:C400"/>
    <mergeCell ref="B401:C401"/>
    <mergeCell ref="D401:E401"/>
    <mergeCell ref="F401:G401"/>
    <mergeCell ref="B402:C402"/>
    <mergeCell ref="D402:E402"/>
    <mergeCell ref="F402:G402"/>
    <mergeCell ref="B404:C404"/>
    <mergeCell ref="D404:E404"/>
    <mergeCell ref="F404:G404"/>
    <mergeCell ref="H404:J404"/>
    <mergeCell ref="K404:M404"/>
    <mergeCell ref="D405:E405"/>
    <mergeCell ref="K405:M405"/>
    <mergeCell ref="B408:C408"/>
    <mergeCell ref="D408:E408"/>
    <mergeCell ref="F408:G408"/>
    <mergeCell ref="H408:J408"/>
    <mergeCell ref="K408:M408"/>
    <mergeCell ref="D412:E412"/>
    <mergeCell ref="F412:G412"/>
    <mergeCell ref="B413:C413"/>
    <mergeCell ref="D413:E413"/>
    <mergeCell ref="F413:G413"/>
    <mergeCell ref="H413:J413"/>
    <mergeCell ref="K413:M413"/>
    <mergeCell ref="F405:G405"/>
    <mergeCell ref="H405:J405"/>
    <mergeCell ref="H406:J406"/>
    <mergeCell ref="K406:M406"/>
    <mergeCell ref="H407:J407"/>
    <mergeCell ref="K407:M407"/>
    <mergeCell ref="B405:C405"/>
    <mergeCell ref="B406:C406"/>
    <mergeCell ref="D406:E406"/>
    <mergeCell ref="F406:G406"/>
    <mergeCell ref="B407:C407"/>
    <mergeCell ref="H392:J392"/>
    <mergeCell ref="K392:M392"/>
    <mergeCell ref="B390:C390"/>
    <mergeCell ref="B391:C391"/>
    <mergeCell ref="D391:E391"/>
    <mergeCell ref="F391:G391"/>
    <mergeCell ref="B392:C392"/>
    <mergeCell ref="D392:E392"/>
    <mergeCell ref="F392:G392"/>
    <mergeCell ref="F395:G395"/>
    <mergeCell ref="H395:J395"/>
    <mergeCell ref="B394:C394"/>
    <mergeCell ref="D394:E394"/>
    <mergeCell ref="F394:G394"/>
    <mergeCell ref="H394:J394"/>
    <mergeCell ref="K394:M394"/>
    <mergeCell ref="D395:E395"/>
    <mergeCell ref="K395:M395"/>
    <mergeCell ref="F385:G385"/>
    <mergeCell ref="H385:J385"/>
    <mergeCell ref="H386:J386"/>
    <mergeCell ref="K386:M386"/>
    <mergeCell ref="H387:J387"/>
    <mergeCell ref="K387:M387"/>
    <mergeCell ref="B384:C384"/>
    <mergeCell ref="D384:E384"/>
    <mergeCell ref="F384:G384"/>
    <mergeCell ref="H384:J384"/>
    <mergeCell ref="K384:M384"/>
    <mergeCell ref="D385:E385"/>
    <mergeCell ref="K385:M385"/>
    <mergeCell ref="B388:C388"/>
    <mergeCell ref="D388:E388"/>
    <mergeCell ref="F388:G388"/>
    <mergeCell ref="H388:J388"/>
    <mergeCell ref="K388:M388"/>
    <mergeCell ref="B385:C385"/>
    <mergeCell ref="B386:C386"/>
    <mergeCell ref="D386:E386"/>
    <mergeCell ref="F386:G386"/>
    <mergeCell ref="B387:C387"/>
    <mergeCell ref="D387:E387"/>
    <mergeCell ref="F387:G387"/>
    <mergeCell ref="B389:C389"/>
    <mergeCell ref="D389:E389"/>
    <mergeCell ref="F389:G389"/>
    <mergeCell ref="H389:J389"/>
    <mergeCell ref="K389:M389"/>
    <mergeCell ref="D390:E390"/>
    <mergeCell ref="K390:M390"/>
    <mergeCell ref="B393:C393"/>
    <mergeCell ref="D393:E393"/>
    <mergeCell ref="F393:G393"/>
    <mergeCell ref="H393:J393"/>
    <mergeCell ref="K393:M393"/>
    <mergeCell ref="D397:E397"/>
    <mergeCell ref="F397:G397"/>
    <mergeCell ref="B398:C398"/>
    <mergeCell ref="D398:E398"/>
    <mergeCell ref="F398:G398"/>
    <mergeCell ref="H398:J398"/>
    <mergeCell ref="K398:M398"/>
    <mergeCell ref="H397:J397"/>
    <mergeCell ref="K397:M397"/>
    <mergeCell ref="B395:C395"/>
    <mergeCell ref="B396:C396"/>
    <mergeCell ref="D396:E396"/>
    <mergeCell ref="F396:G396"/>
    <mergeCell ref="H396:J396"/>
    <mergeCell ref="K396:M396"/>
    <mergeCell ref="B397:C397"/>
    <mergeCell ref="F390:G390"/>
    <mergeCell ref="H390:J390"/>
    <mergeCell ref="H391:J391"/>
    <mergeCell ref="K391:M391"/>
    <mergeCell ref="D407:E407"/>
    <mergeCell ref="F407:G407"/>
    <mergeCell ref="F410:G410"/>
    <mergeCell ref="H410:J410"/>
    <mergeCell ref="B409:C409"/>
    <mergeCell ref="D409:E409"/>
    <mergeCell ref="F409:G409"/>
    <mergeCell ref="H409:J409"/>
    <mergeCell ref="K409:M409"/>
    <mergeCell ref="D410:E410"/>
    <mergeCell ref="K410:M410"/>
    <mergeCell ref="F425:G425"/>
    <mergeCell ref="H425:J425"/>
    <mergeCell ref="B424:C424"/>
    <mergeCell ref="D424:E424"/>
    <mergeCell ref="F424:G424"/>
    <mergeCell ref="H424:J424"/>
    <mergeCell ref="K424:M424"/>
    <mergeCell ref="D425:E425"/>
    <mergeCell ref="K425:M425"/>
    <mergeCell ref="F420:G420"/>
    <mergeCell ref="H420:J420"/>
    <mergeCell ref="H421:J421"/>
    <mergeCell ref="K421:M421"/>
    <mergeCell ref="H422:J422"/>
    <mergeCell ref="K422:M422"/>
    <mergeCell ref="B420:C420"/>
    <mergeCell ref="B421:C421"/>
    <mergeCell ref="D421:E421"/>
    <mergeCell ref="F421:G421"/>
    <mergeCell ref="B422:C422"/>
    <mergeCell ref="D422:E422"/>
    <mergeCell ref="H292:J292"/>
    <mergeCell ref="K292:M292"/>
    <mergeCell ref="B290:C290"/>
    <mergeCell ref="B291:C291"/>
    <mergeCell ref="D291:E291"/>
    <mergeCell ref="F291:G291"/>
    <mergeCell ref="H291:J291"/>
    <mergeCell ref="K291:M291"/>
    <mergeCell ref="B292:C292"/>
    <mergeCell ref="F280:G280"/>
    <mergeCell ref="H280:J280"/>
    <mergeCell ref="H281:J281"/>
    <mergeCell ref="K281:M281"/>
    <mergeCell ref="H282:J282"/>
    <mergeCell ref="K282:M282"/>
    <mergeCell ref="B279:C279"/>
    <mergeCell ref="D279:E279"/>
    <mergeCell ref="F279:G279"/>
    <mergeCell ref="H279:J279"/>
    <mergeCell ref="K279:M279"/>
    <mergeCell ref="D280:E280"/>
    <mergeCell ref="K280:M280"/>
    <mergeCell ref="B283:C283"/>
    <mergeCell ref="D283:E283"/>
    <mergeCell ref="F283:G283"/>
    <mergeCell ref="H283:J283"/>
    <mergeCell ref="K283:M283"/>
    <mergeCell ref="B280:C280"/>
    <mergeCell ref="B281:C281"/>
    <mergeCell ref="D281:E281"/>
    <mergeCell ref="F281:G281"/>
    <mergeCell ref="B282:C282"/>
    <mergeCell ref="D282:E282"/>
    <mergeCell ref="F282:G282"/>
    <mergeCell ref="B284:C284"/>
    <mergeCell ref="D284:E284"/>
    <mergeCell ref="F284:G284"/>
    <mergeCell ref="H284:J284"/>
    <mergeCell ref="K284:M284"/>
    <mergeCell ref="D285:E285"/>
    <mergeCell ref="K285:M285"/>
    <mergeCell ref="B288:C288"/>
    <mergeCell ref="D288:E288"/>
    <mergeCell ref="F288:G288"/>
    <mergeCell ref="H288:J288"/>
    <mergeCell ref="K288:M288"/>
    <mergeCell ref="D292:E292"/>
    <mergeCell ref="F292:G292"/>
    <mergeCell ref="B293:C293"/>
    <mergeCell ref="D293:E293"/>
    <mergeCell ref="F293:G293"/>
    <mergeCell ref="H293:J293"/>
    <mergeCell ref="K293:M293"/>
    <mergeCell ref="F285:G285"/>
    <mergeCell ref="H285:J285"/>
    <mergeCell ref="H286:J286"/>
    <mergeCell ref="K286:M286"/>
    <mergeCell ref="H287:J287"/>
    <mergeCell ref="K287:M287"/>
    <mergeCell ref="B285:C285"/>
    <mergeCell ref="B286:C286"/>
    <mergeCell ref="D286:E286"/>
    <mergeCell ref="F286:G286"/>
    <mergeCell ref="B287:C287"/>
    <mergeCell ref="H272:J272"/>
    <mergeCell ref="K272:M272"/>
    <mergeCell ref="B270:C270"/>
    <mergeCell ref="B271:C271"/>
    <mergeCell ref="D271:E271"/>
    <mergeCell ref="F271:G271"/>
    <mergeCell ref="B272:C272"/>
    <mergeCell ref="D272:E272"/>
    <mergeCell ref="F272:G272"/>
    <mergeCell ref="F275:G275"/>
    <mergeCell ref="H275:J275"/>
    <mergeCell ref="B274:C274"/>
    <mergeCell ref="D274:E274"/>
    <mergeCell ref="F274:G274"/>
    <mergeCell ref="H274:J274"/>
    <mergeCell ref="K274:M274"/>
    <mergeCell ref="D275:E275"/>
    <mergeCell ref="K275:M275"/>
    <mergeCell ref="F265:G265"/>
    <mergeCell ref="H265:J265"/>
    <mergeCell ref="H266:J266"/>
    <mergeCell ref="K266:M266"/>
    <mergeCell ref="H267:J267"/>
    <mergeCell ref="K267:M267"/>
    <mergeCell ref="B264:C264"/>
    <mergeCell ref="D264:E264"/>
    <mergeCell ref="F264:G264"/>
    <mergeCell ref="H264:J264"/>
    <mergeCell ref="K264:M264"/>
    <mergeCell ref="D265:E265"/>
    <mergeCell ref="K265:M265"/>
    <mergeCell ref="B268:C268"/>
    <mergeCell ref="D268:E268"/>
    <mergeCell ref="F268:G268"/>
    <mergeCell ref="H268:J268"/>
    <mergeCell ref="K268:M268"/>
    <mergeCell ref="B265:C265"/>
    <mergeCell ref="B266:C266"/>
    <mergeCell ref="D266:E266"/>
    <mergeCell ref="F266:G266"/>
    <mergeCell ref="B267:C267"/>
    <mergeCell ref="D267:E267"/>
    <mergeCell ref="F267:G267"/>
    <mergeCell ref="B269:C269"/>
    <mergeCell ref="D269:E269"/>
    <mergeCell ref="F269:G269"/>
    <mergeCell ref="H269:J269"/>
    <mergeCell ref="K269:M269"/>
    <mergeCell ref="D270:E270"/>
    <mergeCell ref="K270:M270"/>
    <mergeCell ref="B273:C273"/>
    <mergeCell ref="D273:E273"/>
    <mergeCell ref="F273:G273"/>
    <mergeCell ref="H273:J273"/>
    <mergeCell ref="K273:M273"/>
    <mergeCell ref="D277:E277"/>
    <mergeCell ref="F277:G277"/>
    <mergeCell ref="B278:C278"/>
    <mergeCell ref="D278:E278"/>
    <mergeCell ref="F278:G278"/>
    <mergeCell ref="H278:J278"/>
    <mergeCell ref="K278:M278"/>
    <mergeCell ref="H277:J277"/>
    <mergeCell ref="K277:M277"/>
    <mergeCell ref="B275:C275"/>
    <mergeCell ref="B276:C276"/>
    <mergeCell ref="D276:E276"/>
    <mergeCell ref="F276:G276"/>
    <mergeCell ref="H276:J276"/>
    <mergeCell ref="K276:M276"/>
    <mergeCell ref="B277:C277"/>
    <mergeCell ref="F270:G270"/>
    <mergeCell ref="H270:J270"/>
    <mergeCell ref="H271:J271"/>
    <mergeCell ref="K271:M271"/>
    <mergeCell ref="D287:E287"/>
    <mergeCell ref="F287:G287"/>
    <mergeCell ref="F290:G290"/>
    <mergeCell ref="H290:J290"/>
    <mergeCell ref="B289:C289"/>
    <mergeCell ref="D289:E289"/>
    <mergeCell ref="F289:G289"/>
    <mergeCell ref="H289:J289"/>
    <mergeCell ref="K289:M289"/>
    <mergeCell ref="D290:E290"/>
    <mergeCell ref="K290:M290"/>
    <mergeCell ref="F305:G305"/>
    <mergeCell ref="H305:J305"/>
    <mergeCell ref="B304:C304"/>
    <mergeCell ref="D304:E304"/>
    <mergeCell ref="F304:G304"/>
    <mergeCell ref="H304:J304"/>
    <mergeCell ref="K304:M304"/>
    <mergeCell ref="D305:E305"/>
    <mergeCell ref="K305:M305"/>
    <mergeCell ref="F300:G300"/>
    <mergeCell ref="H300:J300"/>
    <mergeCell ref="H301:J301"/>
    <mergeCell ref="K301:M301"/>
    <mergeCell ref="H302:J302"/>
    <mergeCell ref="K302:M302"/>
    <mergeCell ref="B300:C300"/>
    <mergeCell ref="B301:C301"/>
    <mergeCell ref="D301:E301"/>
    <mergeCell ref="F301:G301"/>
    <mergeCell ref="B302:C302"/>
    <mergeCell ref="D302:E302"/>
    <mergeCell ref="F295:G295"/>
    <mergeCell ref="H295:J295"/>
    <mergeCell ref="H296:J296"/>
    <mergeCell ref="K296:M296"/>
    <mergeCell ref="H297:J297"/>
    <mergeCell ref="K297:M297"/>
    <mergeCell ref="B294:C294"/>
    <mergeCell ref="D294:E294"/>
    <mergeCell ref="F294:G294"/>
    <mergeCell ref="H294:J294"/>
    <mergeCell ref="K294:M294"/>
    <mergeCell ref="D295:E295"/>
    <mergeCell ref="K295:M295"/>
    <mergeCell ref="B298:C298"/>
    <mergeCell ref="D298:E298"/>
    <mergeCell ref="F298:G298"/>
    <mergeCell ref="H298:J298"/>
    <mergeCell ref="K298:M298"/>
    <mergeCell ref="B295:C295"/>
    <mergeCell ref="B296:C296"/>
    <mergeCell ref="D296:E296"/>
    <mergeCell ref="F296:G296"/>
    <mergeCell ref="B297:C297"/>
    <mergeCell ref="D297:E297"/>
    <mergeCell ref="F297:G297"/>
    <mergeCell ref="B299:C299"/>
    <mergeCell ref="D299:E299"/>
    <mergeCell ref="F299:G299"/>
    <mergeCell ref="H299:J299"/>
    <mergeCell ref="K299:M299"/>
    <mergeCell ref="D300:E300"/>
    <mergeCell ref="K300:M300"/>
    <mergeCell ref="B303:C303"/>
    <mergeCell ref="D303:E303"/>
    <mergeCell ref="F303:G303"/>
    <mergeCell ref="H303:J303"/>
    <mergeCell ref="K303:M303"/>
    <mergeCell ref="D307:E307"/>
    <mergeCell ref="F307:G307"/>
    <mergeCell ref="F302:G302"/>
    <mergeCell ref="H307:J307"/>
    <mergeCell ref="K307:M307"/>
    <mergeCell ref="B305:C305"/>
    <mergeCell ref="B306:C306"/>
    <mergeCell ref="D306:E306"/>
    <mergeCell ref="F306:G306"/>
    <mergeCell ref="H306:J306"/>
    <mergeCell ref="K306:M306"/>
    <mergeCell ref="B307:C307"/>
    <mergeCell ref="B308:C308"/>
    <mergeCell ref="D308:E308"/>
    <mergeCell ref="F308:G308"/>
    <mergeCell ref="H308:J308"/>
    <mergeCell ref="K308:M308"/>
    <mergeCell ref="F315:G315"/>
    <mergeCell ref="H315:J315"/>
    <mergeCell ref="H316:J316"/>
    <mergeCell ref="K316:M316"/>
    <mergeCell ref="H317:J317"/>
    <mergeCell ref="K317:M317"/>
    <mergeCell ref="B315:C315"/>
    <mergeCell ref="B316:C316"/>
    <mergeCell ref="D316:E316"/>
    <mergeCell ref="F316:G316"/>
    <mergeCell ref="B317:C317"/>
    <mergeCell ref="D317:E317"/>
    <mergeCell ref="F317:G317"/>
    <mergeCell ref="F310:G310"/>
    <mergeCell ref="H310:J310"/>
    <mergeCell ref="H311:J311"/>
    <mergeCell ref="K311:M311"/>
    <mergeCell ref="H312:J312"/>
    <mergeCell ref="K312:M312"/>
    <mergeCell ref="B309:C309"/>
    <mergeCell ref="D309:E309"/>
    <mergeCell ref="F309:G309"/>
    <mergeCell ref="H309:J309"/>
    <mergeCell ref="K309:M309"/>
    <mergeCell ref="D310:E310"/>
    <mergeCell ref="K310:M310"/>
    <mergeCell ref="B313:C313"/>
    <mergeCell ref="F313:G313"/>
    <mergeCell ref="H313:J313"/>
    <mergeCell ref="K313:M313"/>
    <mergeCell ref="B310:C310"/>
    <mergeCell ref="B311:C311"/>
    <mergeCell ref="D311:E311"/>
    <mergeCell ref="F311:G311"/>
    <mergeCell ref="B312:C312"/>
    <mergeCell ref="D312:E312"/>
    <mergeCell ref="F312:G312"/>
    <mergeCell ref="B314:C314"/>
    <mergeCell ref="D314:E314"/>
    <mergeCell ref="F314:G314"/>
    <mergeCell ref="H314:J314"/>
    <mergeCell ref="K314:M314"/>
    <mergeCell ref="D315:E315"/>
    <mergeCell ref="K315:M315"/>
    <mergeCell ref="D313:E313"/>
    <mergeCell ref="H352:J352"/>
    <mergeCell ref="K352:M352"/>
    <mergeCell ref="B350:C350"/>
    <mergeCell ref="B351:C351"/>
    <mergeCell ref="D351:E351"/>
    <mergeCell ref="F351:G351"/>
    <mergeCell ref="H351:J351"/>
    <mergeCell ref="K351:M351"/>
    <mergeCell ref="B352:C352"/>
    <mergeCell ref="F340:G340"/>
    <mergeCell ref="H340:J340"/>
    <mergeCell ref="H341:J341"/>
    <mergeCell ref="K341:M341"/>
    <mergeCell ref="H342:J342"/>
    <mergeCell ref="K342:M342"/>
    <mergeCell ref="B339:C339"/>
    <mergeCell ref="D339:E339"/>
    <mergeCell ref="F339:G339"/>
    <mergeCell ref="H339:J339"/>
    <mergeCell ref="K339:M339"/>
    <mergeCell ref="F342:G342"/>
    <mergeCell ref="B344:C344"/>
    <mergeCell ref="D344:E344"/>
    <mergeCell ref="F344:G344"/>
    <mergeCell ref="H344:J344"/>
    <mergeCell ref="K344:M344"/>
    <mergeCell ref="B348:C348"/>
    <mergeCell ref="D348:E348"/>
    <mergeCell ref="F348:G348"/>
    <mergeCell ref="H348:J348"/>
    <mergeCell ref="K348:M348"/>
    <mergeCell ref="D352:E352"/>
    <mergeCell ref="B318:C318"/>
    <mergeCell ref="D318:E318"/>
    <mergeCell ref="F318:G318"/>
    <mergeCell ref="H318:J318"/>
    <mergeCell ref="K318:M318"/>
    <mergeCell ref="D322:E322"/>
    <mergeCell ref="F322:G322"/>
    <mergeCell ref="B323:C323"/>
    <mergeCell ref="D323:E323"/>
    <mergeCell ref="F323:G323"/>
    <mergeCell ref="H323:J323"/>
    <mergeCell ref="K323:M323"/>
    <mergeCell ref="F320:G320"/>
    <mergeCell ref="H320:J320"/>
    <mergeCell ref="B319:C319"/>
    <mergeCell ref="D319:E319"/>
    <mergeCell ref="F319:G319"/>
    <mergeCell ref="H319:J319"/>
    <mergeCell ref="K319:M319"/>
    <mergeCell ref="D320:E320"/>
    <mergeCell ref="K320:M320"/>
    <mergeCell ref="H322:J322"/>
    <mergeCell ref="K322:M322"/>
    <mergeCell ref="B320:C320"/>
    <mergeCell ref="B321:C321"/>
    <mergeCell ref="D321:E321"/>
    <mergeCell ref="F321:G321"/>
    <mergeCell ref="H321:J321"/>
    <mergeCell ref="K321:M321"/>
    <mergeCell ref="B322:C322"/>
    <mergeCell ref="F352:G352"/>
    <mergeCell ref="B353:C353"/>
    <mergeCell ref="D353:E353"/>
    <mergeCell ref="F353:G353"/>
    <mergeCell ref="H353:J353"/>
    <mergeCell ref="K353:M353"/>
    <mergeCell ref="F330:G330"/>
    <mergeCell ref="H330:J330"/>
    <mergeCell ref="H331:J331"/>
    <mergeCell ref="K331:M331"/>
    <mergeCell ref="H332:J332"/>
    <mergeCell ref="K332:M332"/>
    <mergeCell ref="B330:C330"/>
    <mergeCell ref="B331:C331"/>
    <mergeCell ref="D331:E331"/>
    <mergeCell ref="F331:G331"/>
    <mergeCell ref="B332:C332"/>
    <mergeCell ref="D332:E332"/>
    <mergeCell ref="F332:G332"/>
    <mergeCell ref="F335:G335"/>
    <mergeCell ref="H335:J335"/>
    <mergeCell ref="B334:C334"/>
    <mergeCell ref="D334:E334"/>
    <mergeCell ref="F334:G334"/>
    <mergeCell ref="D340:E340"/>
    <mergeCell ref="K340:M340"/>
    <mergeCell ref="H334:J334"/>
    <mergeCell ref="K334:M334"/>
    <mergeCell ref="D335:E335"/>
    <mergeCell ref="K335:M335"/>
    <mergeCell ref="H337:J337"/>
    <mergeCell ref="K337:M337"/>
    <mergeCell ref="B335:C335"/>
    <mergeCell ref="B336:C336"/>
    <mergeCell ref="D336:E336"/>
    <mergeCell ref="F336:G336"/>
    <mergeCell ref="H336:J336"/>
    <mergeCell ref="K336:M336"/>
    <mergeCell ref="B337:C337"/>
    <mergeCell ref="F325:G325"/>
    <mergeCell ref="H325:J325"/>
    <mergeCell ref="H326:J326"/>
    <mergeCell ref="K326:M326"/>
    <mergeCell ref="H327:J327"/>
    <mergeCell ref="K327:M327"/>
    <mergeCell ref="B329:C329"/>
    <mergeCell ref="D329:E329"/>
    <mergeCell ref="F329:G329"/>
    <mergeCell ref="H329:J329"/>
    <mergeCell ref="K329:M329"/>
    <mergeCell ref="D330:E330"/>
    <mergeCell ref="K330:M330"/>
    <mergeCell ref="B333:C333"/>
    <mergeCell ref="D333:E333"/>
    <mergeCell ref="F333:G333"/>
    <mergeCell ref="H333:J333"/>
    <mergeCell ref="K333:M333"/>
    <mergeCell ref="D337:E337"/>
    <mergeCell ref="F337:G337"/>
    <mergeCell ref="B324:C324"/>
    <mergeCell ref="D324:E324"/>
    <mergeCell ref="F324:G324"/>
    <mergeCell ref="H324:J324"/>
    <mergeCell ref="K324:M324"/>
    <mergeCell ref="D325:E325"/>
    <mergeCell ref="K325:M325"/>
    <mergeCell ref="B328:C328"/>
    <mergeCell ref="D328:E328"/>
    <mergeCell ref="F328:G328"/>
    <mergeCell ref="H328:J328"/>
    <mergeCell ref="K328:M328"/>
    <mergeCell ref="B325:C325"/>
    <mergeCell ref="B326:C326"/>
    <mergeCell ref="D326:E326"/>
    <mergeCell ref="F326:G326"/>
    <mergeCell ref="B327:C327"/>
    <mergeCell ref="D327:E327"/>
    <mergeCell ref="F327:G327"/>
    <mergeCell ref="B338:C338"/>
    <mergeCell ref="D338:E338"/>
    <mergeCell ref="F338:G338"/>
    <mergeCell ref="H338:J338"/>
    <mergeCell ref="K338:M338"/>
    <mergeCell ref="F345:G345"/>
    <mergeCell ref="H345:J345"/>
    <mergeCell ref="H346:J346"/>
    <mergeCell ref="K346:M346"/>
    <mergeCell ref="H347:J347"/>
    <mergeCell ref="K347:M347"/>
    <mergeCell ref="B345:C345"/>
    <mergeCell ref="B346:C346"/>
    <mergeCell ref="D346:E346"/>
    <mergeCell ref="F346:G346"/>
    <mergeCell ref="B347:C347"/>
    <mergeCell ref="D347:E347"/>
    <mergeCell ref="F347:G347"/>
    <mergeCell ref="D345:E345"/>
    <mergeCell ref="K345:M345"/>
    <mergeCell ref="B343:C343"/>
    <mergeCell ref="D343:E343"/>
    <mergeCell ref="F343:G343"/>
    <mergeCell ref="H343:J343"/>
    <mergeCell ref="K343:M343"/>
    <mergeCell ref="B340:C340"/>
    <mergeCell ref="B341:C341"/>
    <mergeCell ref="D341:E341"/>
    <mergeCell ref="F341:G341"/>
    <mergeCell ref="B342:C342"/>
    <mergeCell ref="D342:E342"/>
    <mergeCell ref="F350:G350"/>
    <mergeCell ref="H350:J350"/>
    <mergeCell ref="B349:C349"/>
    <mergeCell ref="D349:E349"/>
    <mergeCell ref="F349:G349"/>
    <mergeCell ref="H349:J349"/>
    <mergeCell ref="K349:M349"/>
    <mergeCell ref="D350:E350"/>
    <mergeCell ref="K350:M350"/>
    <mergeCell ref="F365:G365"/>
    <mergeCell ref="H365:J365"/>
    <mergeCell ref="B364:C364"/>
    <mergeCell ref="D364:E364"/>
    <mergeCell ref="F364:G364"/>
    <mergeCell ref="H364:J364"/>
    <mergeCell ref="K364:M364"/>
    <mergeCell ref="D365:E365"/>
    <mergeCell ref="K365:M365"/>
    <mergeCell ref="F360:G360"/>
    <mergeCell ref="H360:J360"/>
    <mergeCell ref="H361:J361"/>
    <mergeCell ref="K361:M361"/>
    <mergeCell ref="H362:J362"/>
    <mergeCell ref="K362:M362"/>
    <mergeCell ref="B360:C360"/>
    <mergeCell ref="B361:C361"/>
    <mergeCell ref="D361:E361"/>
    <mergeCell ref="F361:G361"/>
    <mergeCell ref="B362:C362"/>
    <mergeCell ref="D362:E362"/>
    <mergeCell ref="F362:G362"/>
    <mergeCell ref="D357:E357"/>
    <mergeCell ref="F355:G355"/>
    <mergeCell ref="H355:J355"/>
    <mergeCell ref="H356:J356"/>
    <mergeCell ref="K356:M356"/>
    <mergeCell ref="H357:J357"/>
    <mergeCell ref="K357:M357"/>
    <mergeCell ref="B354:C354"/>
    <mergeCell ref="D354:E354"/>
    <mergeCell ref="F354:G354"/>
    <mergeCell ref="H354:J354"/>
    <mergeCell ref="K354:M354"/>
    <mergeCell ref="D355:E355"/>
    <mergeCell ref="K355:M355"/>
    <mergeCell ref="B358:C358"/>
    <mergeCell ref="D358:E358"/>
    <mergeCell ref="F358:G358"/>
    <mergeCell ref="H358:J358"/>
    <mergeCell ref="K358:M358"/>
    <mergeCell ref="B355:C355"/>
    <mergeCell ref="B356:C356"/>
    <mergeCell ref="D356:E356"/>
    <mergeCell ref="F356:G356"/>
    <mergeCell ref="B357:C357"/>
    <mergeCell ref="F357:G357"/>
    <mergeCell ref="B359:C359"/>
    <mergeCell ref="D359:E359"/>
    <mergeCell ref="F359:G359"/>
    <mergeCell ref="H359:J359"/>
    <mergeCell ref="K359:M359"/>
    <mergeCell ref="D360:E360"/>
    <mergeCell ref="K360:M360"/>
    <mergeCell ref="B363:C363"/>
    <mergeCell ref="D363:E363"/>
    <mergeCell ref="F363:G363"/>
    <mergeCell ref="H363:J363"/>
    <mergeCell ref="K363:M363"/>
    <mergeCell ref="D367:E367"/>
    <mergeCell ref="F367:G367"/>
    <mergeCell ref="B368:C368"/>
    <mergeCell ref="D368:E368"/>
    <mergeCell ref="F368:G368"/>
    <mergeCell ref="H368:J368"/>
    <mergeCell ref="K368:M368"/>
    <mergeCell ref="H367:J367"/>
    <mergeCell ref="K367:M367"/>
    <mergeCell ref="B365:C365"/>
    <mergeCell ref="B366:C366"/>
    <mergeCell ref="D366:E366"/>
    <mergeCell ref="F366:G366"/>
    <mergeCell ref="H366:J366"/>
    <mergeCell ref="K366:M366"/>
    <mergeCell ref="B367:C367"/>
    <mergeCell ref="H377:J377"/>
    <mergeCell ref="K377:M377"/>
    <mergeCell ref="B375:C375"/>
    <mergeCell ref="B376:C376"/>
    <mergeCell ref="D376:E376"/>
    <mergeCell ref="F376:G376"/>
    <mergeCell ref="B377:C377"/>
    <mergeCell ref="D377:E377"/>
    <mergeCell ref="F377:G377"/>
    <mergeCell ref="F380:G380"/>
    <mergeCell ref="H380:J380"/>
    <mergeCell ref="B379:C379"/>
    <mergeCell ref="D379:E379"/>
    <mergeCell ref="F379:G379"/>
    <mergeCell ref="H379:J379"/>
    <mergeCell ref="K379:M379"/>
    <mergeCell ref="D380:E380"/>
    <mergeCell ref="K380:M380"/>
    <mergeCell ref="F370:G370"/>
    <mergeCell ref="H370:J370"/>
    <mergeCell ref="H371:J371"/>
    <mergeCell ref="K371:M371"/>
    <mergeCell ref="H372:J372"/>
    <mergeCell ref="K372:M372"/>
    <mergeCell ref="B369:C369"/>
    <mergeCell ref="D369:E369"/>
    <mergeCell ref="F369:G369"/>
    <mergeCell ref="H369:J369"/>
    <mergeCell ref="K369:M369"/>
    <mergeCell ref="D370:E370"/>
    <mergeCell ref="K370:M370"/>
    <mergeCell ref="B373:C373"/>
    <mergeCell ref="D373:E373"/>
    <mergeCell ref="F373:G373"/>
    <mergeCell ref="H373:J373"/>
    <mergeCell ref="K373:M373"/>
    <mergeCell ref="B370:C370"/>
    <mergeCell ref="B371:C371"/>
    <mergeCell ref="D371:E371"/>
    <mergeCell ref="F371:G371"/>
    <mergeCell ref="B372:C372"/>
    <mergeCell ref="D372:E372"/>
    <mergeCell ref="F372:G372"/>
    <mergeCell ref="B374:C374"/>
    <mergeCell ref="D374:E374"/>
    <mergeCell ref="F374:G374"/>
    <mergeCell ref="H374:J374"/>
    <mergeCell ref="K374:M374"/>
    <mergeCell ref="D375:E375"/>
    <mergeCell ref="K375:M375"/>
    <mergeCell ref="B378:C378"/>
    <mergeCell ref="D378:E378"/>
    <mergeCell ref="F378:G378"/>
    <mergeCell ref="H378:J378"/>
    <mergeCell ref="K378:M378"/>
    <mergeCell ref="D382:E382"/>
    <mergeCell ref="F382:G382"/>
    <mergeCell ref="B383:C383"/>
    <mergeCell ref="D383:E383"/>
    <mergeCell ref="F383:G383"/>
    <mergeCell ref="H383:J383"/>
    <mergeCell ref="K383:M383"/>
    <mergeCell ref="H382:J382"/>
    <mergeCell ref="K382:M382"/>
    <mergeCell ref="B380:C380"/>
    <mergeCell ref="B381:C381"/>
    <mergeCell ref="D381:E381"/>
    <mergeCell ref="F381:G381"/>
    <mergeCell ref="H381:J381"/>
    <mergeCell ref="K381:M381"/>
    <mergeCell ref="B382:C382"/>
    <mergeCell ref="F375:G375"/>
    <mergeCell ref="H375:J375"/>
    <mergeCell ref="H376:J376"/>
    <mergeCell ref="K376:M376"/>
    <mergeCell ref="F415:G415"/>
    <mergeCell ref="H415:J415"/>
    <mergeCell ref="H416:J416"/>
    <mergeCell ref="K416:M416"/>
    <mergeCell ref="H417:J417"/>
    <mergeCell ref="K417:M417"/>
    <mergeCell ref="B414:C414"/>
    <mergeCell ref="D414:E414"/>
    <mergeCell ref="F414:G414"/>
    <mergeCell ref="H414:J414"/>
    <mergeCell ref="K414:M414"/>
    <mergeCell ref="D415:E415"/>
    <mergeCell ref="K415:M415"/>
    <mergeCell ref="B418:C418"/>
    <mergeCell ref="D418:E418"/>
    <mergeCell ref="F418:G418"/>
    <mergeCell ref="H418:J418"/>
    <mergeCell ref="K418:M418"/>
    <mergeCell ref="B415:C415"/>
    <mergeCell ref="B416:C416"/>
    <mergeCell ref="D416:E416"/>
    <mergeCell ref="F416:G416"/>
    <mergeCell ref="B417:C417"/>
    <mergeCell ref="D417:E417"/>
    <mergeCell ref="F417:G417"/>
    <mergeCell ref="B419:C419"/>
    <mergeCell ref="D419:E419"/>
    <mergeCell ref="F419:G419"/>
    <mergeCell ref="H419:J419"/>
    <mergeCell ref="K419:M419"/>
    <mergeCell ref="D420:E420"/>
    <mergeCell ref="K420:M420"/>
    <mergeCell ref="B423:C423"/>
    <mergeCell ref="D423:E423"/>
    <mergeCell ref="F423:G423"/>
    <mergeCell ref="H423:J423"/>
    <mergeCell ref="K423:M423"/>
    <mergeCell ref="D427:E427"/>
    <mergeCell ref="F427:G427"/>
    <mergeCell ref="F422:G422"/>
    <mergeCell ref="H427:J427"/>
    <mergeCell ref="K427:M427"/>
    <mergeCell ref="B425:C425"/>
    <mergeCell ref="B426:C426"/>
    <mergeCell ref="D426:E426"/>
    <mergeCell ref="F426:G426"/>
    <mergeCell ref="H426:J426"/>
    <mergeCell ref="K426:M426"/>
    <mergeCell ref="B427:C427"/>
    <mergeCell ref="B428:C428"/>
    <mergeCell ref="D428:E428"/>
    <mergeCell ref="F428:G428"/>
    <mergeCell ref="H428:J428"/>
    <mergeCell ref="K428:M428"/>
    <mergeCell ref="F435:G435"/>
    <mergeCell ref="H435:J435"/>
    <mergeCell ref="H436:J436"/>
    <mergeCell ref="K436:M436"/>
    <mergeCell ref="H437:J437"/>
    <mergeCell ref="K437:M437"/>
    <mergeCell ref="B435:C435"/>
    <mergeCell ref="B436:C436"/>
    <mergeCell ref="D436:E436"/>
    <mergeCell ref="F436:G436"/>
    <mergeCell ref="B437:C437"/>
    <mergeCell ref="D437:E437"/>
    <mergeCell ref="F437:G437"/>
    <mergeCell ref="F430:G430"/>
    <mergeCell ref="H430:J430"/>
    <mergeCell ref="H431:J431"/>
    <mergeCell ref="K431:M431"/>
    <mergeCell ref="H432:J432"/>
    <mergeCell ref="K432:M432"/>
    <mergeCell ref="B429:C429"/>
    <mergeCell ref="D429:E429"/>
    <mergeCell ref="F429:G429"/>
    <mergeCell ref="H429:J429"/>
    <mergeCell ref="K429:M429"/>
    <mergeCell ref="D430:E430"/>
    <mergeCell ref="K430:M430"/>
    <mergeCell ref="B433:C433"/>
    <mergeCell ref="F433:G433"/>
    <mergeCell ref="H433:J433"/>
    <mergeCell ref="K433:M433"/>
    <mergeCell ref="B430:C430"/>
    <mergeCell ref="B431:C431"/>
    <mergeCell ref="D431:E431"/>
    <mergeCell ref="F431:G431"/>
    <mergeCell ref="B432:C432"/>
    <mergeCell ref="D432:E432"/>
    <mergeCell ref="F432:G432"/>
    <mergeCell ref="B434:C434"/>
    <mergeCell ref="D434:E434"/>
    <mergeCell ref="F434:G434"/>
    <mergeCell ref="H434:J434"/>
    <mergeCell ref="K434:M434"/>
    <mergeCell ref="D435:E435"/>
    <mergeCell ref="K435:M435"/>
    <mergeCell ref="D433:E433"/>
    <mergeCell ref="H592:J592"/>
    <mergeCell ref="K592:M592"/>
    <mergeCell ref="B590:C590"/>
    <mergeCell ref="B591:C591"/>
    <mergeCell ref="D591:E591"/>
    <mergeCell ref="F591:G591"/>
    <mergeCell ref="H591:J591"/>
    <mergeCell ref="K591:M591"/>
    <mergeCell ref="B592:C592"/>
    <mergeCell ref="F580:G580"/>
    <mergeCell ref="H580:J580"/>
    <mergeCell ref="H581:J581"/>
    <mergeCell ref="K581:M581"/>
    <mergeCell ref="H582:J582"/>
    <mergeCell ref="K582:M582"/>
    <mergeCell ref="B579:C579"/>
    <mergeCell ref="D579:E579"/>
    <mergeCell ref="F579:G579"/>
    <mergeCell ref="H579:J579"/>
    <mergeCell ref="K579:M579"/>
    <mergeCell ref="F582:G582"/>
    <mergeCell ref="B584:C584"/>
    <mergeCell ref="D584:E584"/>
    <mergeCell ref="F584:G584"/>
    <mergeCell ref="H584:J584"/>
    <mergeCell ref="K584:M584"/>
    <mergeCell ref="B588:C588"/>
    <mergeCell ref="D588:E588"/>
    <mergeCell ref="F588:G588"/>
    <mergeCell ref="H588:J588"/>
    <mergeCell ref="K588:M588"/>
    <mergeCell ref="D592:E592"/>
    <mergeCell ref="B438:C438"/>
    <mergeCell ref="D438:E438"/>
    <mergeCell ref="F438:G438"/>
    <mergeCell ref="H438:J438"/>
    <mergeCell ref="K438:M438"/>
    <mergeCell ref="D442:E442"/>
    <mergeCell ref="F442:G442"/>
    <mergeCell ref="B443:C443"/>
    <mergeCell ref="D443:E443"/>
    <mergeCell ref="F443:G443"/>
    <mergeCell ref="H443:J443"/>
    <mergeCell ref="K443:M443"/>
    <mergeCell ref="F440:G440"/>
    <mergeCell ref="H440:J440"/>
    <mergeCell ref="B439:C439"/>
    <mergeCell ref="D439:E439"/>
    <mergeCell ref="F439:G439"/>
    <mergeCell ref="H439:J439"/>
    <mergeCell ref="K439:M439"/>
    <mergeCell ref="D440:E440"/>
    <mergeCell ref="K440:M440"/>
    <mergeCell ref="H442:J442"/>
    <mergeCell ref="K442:M442"/>
    <mergeCell ref="B440:C440"/>
    <mergeCell ref="B441:C441"/>
    <mergeCell ref="D441:E441"/>
    <mergeCell ref="F441:G441"/>
    <mergeCell ref="H441:J441"/>
    <mergeCell ref="K441:M441"/>
    <mergeCell ref="B442:C442"/>
    <mergeCell ref="F592:G592"/>
    <mergeCell ref="B593:C593"/>
    <mergeCell ref="D593:E593"/>
    <mergeCell ref="F593:G593"/>
    <mergeCell ref="H593:J593"/>
    <mergeCell ref="K593:M593"/>
    <mergeCell ref="F570:G570"/>
    <mergeCell ref="H570:J570"/>
    <mergeCell ref="H571:J571"/>
    <mergeCell ref="K571:M571"/>
    <mergeCell ref="H572:J572"/>
    <mergeCell ref="K572:M572"/>
    <mergeCell ref="B570:C570"/>
    <mergeCell ref="B571:C571"/>
    <mergeCell ref="D571:E571"/>
    <mergeCell ref="F571:G571"/>
    <mergeCell ref="B572:C572"/>
    <mergeCell ref="D572:E572"/>
    <mergeCell ref="F572:G572"/>
    <mergeCell ref="F575:G575"/>
    <mergeCell ref="H575:J575"/>
    <mergeCell ref="B574:C574"/>
    <mergeCell ref="D574:E574"/>
    <mergeCell ref="F574:G574"/>
    <mergeCell ref="D580:E580"/>
    <mergeCell ref="K580:M580"/>
    <mergeCell ref="H574:J574"/>
    <mergeCell ref="K574:M574"/>
    <mergeCell ref="D575:E575"/>
    <mergeCell ref="K575:M575"/>
    <mergeCell ref="H577:J577"/>
    <mergeCell ref="K577:M577"/>
    <mergeCell ref="B575:C575"/>
    <mergeCell ref="B576:C576"/>
    <mergeCell ref="D576:E576"/>
    <mergeCell ref="F576:G576"/>
    <mergeCell ref="H576:J576"/>
    <mergeCell ref="K576:M576"/>
    <mergeCell ref="B577:C577"/>
    <mergeCell ref="F565:G565"/>
    <mergeCell ref="H565:J565"/>
    <mergeCell ref="H566:J566"/>
    <mergeCell ref="K566:M566"/>
    <mergeCell ref="H567:J567"/>
    <mergeCell ref="K567:M567"/>
    <mergeCell ref="B569:C569"/>
    <mergeCell ref="D569:E569"/>
    <mergeCell ref="F569:G569"/>
    <mergeCell ref="H569:J569"/>
    <mergeCell ref="K569:M569"/>
    <mergeCell ref="D570:E570"/>
    <mergeCell ref="K570:M570"/>
    <mergeCell ref="B573:C573"/>
    <mergeCell ref="D573:E573"/>
    <mergeCell ref="F573:G573"/>
    <mergeCell ref="H573:J573"/>
    <mergeCell ref="K573:M573"/>
    <mergeCell ref="D577:E577"/>
    <mergeCell ref="F577:G577"/>
    <mergeCell ref="B564:C564"/>
    <mergeCell ref="D564:E564"/>
    <mergeCell ref="F564:G564"/>
    <mergeCell ref="H564:J564"/>
    <mergeCell ref="K564:M564"/>
    <mergeCell ref="D565:E565"/>
    <mergeCell ref="K565:M565"/>
    <mergeCell ref="B568:C568"/>
    <mergeCell ref="D568:E568"/>
    <mergeCell ref="F568:G568"/>
    <mergeCell ref="H568:J568"/>
    <mergeCell ref="K568:M568"/>
    <mergeCell ref="B565:C565"/>
    <mergeCell ref="B566:C566"/>
    <mergeCell ref="D566:E566"/>
    <mergeCell ref="F566:G566"/>
    <mergeCell ref="B567:C567"/>
    <mergeCell ref="D567:E567"/>
    <mergeCell ref="F567:G567"/>
    <mergeCell ref="B578:C578"/>
    <mergeCell ref="D578:E578"/>
    <mergeCell ref="F578:G578"/>
    <mergeCell ref="H578:J578"/>
    <mergeCell ref="K578:M578"/>
    <mergeCell ref="F585:G585"/>
    <mergeCell ref="H585:J585"/>
    <mergeCell ref="H586:J586"/>
    <mergeCell ref="K586:M586"/>
    <mergeCell ref="H587:J587"/>
    <mergeCell ref="K587:M587"/>
    <mergeCell ref="B585:C585"/>
    <mergeCell ref="B586:C586"/>
    <mergeCell ref="D586:E586"/>
    <mergeCell ref="F586:G586"/>
    <mergeCell ref="B587:C587"/>
    <mergeCell ref="D587:E587"/>
    <mergeCell ref="F587:G587"/>
    <mergeCell ref="D585:E585"/>
    <mergeCell ref="K585:M585"/>
    <mergeCell ref="B583:C583"/>
    <mergeCell ref="D583:E583"/>
    <mergeCell ref="F583:G583"/>
    <mergeCell ref="H583:J583"/>
    <mergeCell ref="K583:M583"/>
    <mergeCell ref="B580:C580"/>
    <mergeCell ref="B581:C581"/>
    <mergeCell ref="D581:E581"/>
    <mergeCell ref="F581:G581"/>
    <mergeCell ref="B582:C582"/>
    <mergeCell ref="D582:E582"/>
    <mergeCell ref="F590:G590"/>
    <mergeCell ref="H590:J590"/>
    <mergeCell ref="B589:C589"/>
    <mergeCell ref="D589:E589"/>
    <mergeCell ref="F589:G589"/>
    <mergeCell ref="H589:J589"/>
    <mergeCell ref="K589:M589"/>
    <mergeCell ref="D590:E590"/>
    <mergeCell ref="K590:M590"/>
    <mergeCell ref="F605:G605"/>
    <mergeCell ref="H605:J605"/>
    <mergeCell ref="B604:C604"/>
    <mergeCell ref="D604:E604"/>
    <mergeCell ref="F604:G604"/>
    <mergeCell ref="H604:J604"/>
    <mergeCell ref="K604:M604"/>
    <mergeCell ref="D605:E605"/>
    <mergeCell ref="K605:M605"/>
    <mergeCell ref="F600:G600"/>
    <mergeCell ref="H600:J600"/>
    <mergeCell ref="H601:J601"/>
    <mergeCell ref="K601:M601"/>
    <mergeCell ref="H602:J602"/>
    <mergeCell ref="K602:M602"/>
    <mergeCell ref="B600:C600"/>
    <mergeCell ref="B601:C601"/>
    <mergeCell ref="D601:E601"/>
    <mergeCell ref="F601:G601"/>
    <mergeCell ref="B602:C602"/>
    <mergeCell ref="D602:E602"/>
    <mergeCell ref="F602:G602"/>
    <mergeCell ref="D597:E597"/>
    <mergeCell ref="H472:J472"/>
    <mergeCell ref="K472:M472"/>
    <mergeCell ref="B470:C470"/>
    <mergeCell ref="B471:C471"/>
    <mergeCell ref="D471:E471"/>
    <mergeCell ref="F471:G471"/>
    <mergeCell ref="H471:J471"/>
    <mergeCell ref="K471:M471"/>
    <mergeCell ref="B472:C472"/>
    <mergeCell ref="F460:G460"/>
    <mergeCell ref="H460:J460"/>
    <mergeCell ref="H461:J461"/>
    <mergeCell ref="K461:M461"/>
    <mergeCell ref="H462:J462"/>
    <mergeCell ref="K462:M462"/>
    <mergeCell ref="B459:C459"/>
    <mergeCell ref="D459:E459"/>
    <mergeCell ref="F459:G459"/>
    <mergeCell ref="H459:J459"/>
    <mergeCell ref="K459:M459"/>
    <mergeCell ref="D460:E460"/>
    <mergeCell ref="K460:M460"/>
    <mergeCell ref="B463:C463"/>
    <mergeCell ref="D463:E463"/>
    <mergeCell ref="F463:G463"/>
    <mergeCell ref="H463:J463"/>
    <mergeCell ref="K463:M463"/>
    <mergeCell ref="B460:C460"/>
    <mergeCell ref="B461:C461"/>
    <mergeCell ref="D461:E461"/>
    <mergeCell ref="F461:G461"/>
    <mergeCell ref="B462:C462"/>
    <mergeCell ref="D462:E462"/>
    <mergeCell ref="F462:G462"/>
    <mergeCell ref="B464:C464"/>
    <mergeCell ref="D464:E464"/>
    <mergeCell ref="F464:G464"/>
    <mergeCell ref="H464:J464"/>
    <mergeCell ref="K464:M464"/>
    <mergeCell ref="D465:E465"/>
    <mergeCell ref="K465:M465"/>
    <mergeCell ref="B468:C468"/>
    <mergeCell ref="D468:E468"/>
    <mergeCell ref="F468:G468"/>
    <mergeCell ref="H468:J468"/>
    <mergeCell ref="K468:M468"/>
    <mergeCell ref="D472:E472"/>
    <mergeCell ref="F472:G472"/>
    <mergeCell ref="B473:C473"/>
    <mergeCell ref="D473:E473"/>
    <mergeCell ref="F473:G473"/>
    <mergeCell ref="H473:J473"/>
    <mergeCell ref="K473:M473"/>
    <mergeCell ref="F465:G465"/>
    <mergeCell ref="H465:J465"/>
    <mergeCell ref="H466:J466"/>
    <mergeCell ref="K466:M466"/>
    <mergeCell ref="H467:J467"/>
    <mergeCell ref="K467:M467"/>
    <mergeCell ref="B465:C465"/>
    <mergeCell ref="B466:C466"/>
    <mergeCell ref="D466:E466"/>
    <mergeCell ref="F466:G466"/>
    <mergeCell ref="B467:C467"/>
    <mergeCell ref="H452:J452"/>
    <mergeCell ref="K452:M452"/>
    <mergeCell ref="B450:C450"/>
    <mergeCell ref="B451:C451"/>
    <mergeCell ref="D451:E451"/>
    <mergeCell ref="F451:G451"/>
    <mergeCell ref="B452:C452"/>
    <mergeCell ref="D452:E452"/>
    <mergeCell ref="F452:G452"/>
    <mergeCell ref="F455:G455"/>
    <mergeCell ref="H455:J455"/>
    <mergeCell ref="B454:C454"/>
    <mergeCell ref="D454:E454"/>
    <mergeCell ref="F454:G454"/>
    <mergeCell ref="H454:J454"/>
    <mergeCell ref="K454:M454"/>
    <mergeCell ref="D455:E455"/>
    <mergeCell ref="K455:M455"/>
    <mergeCell ref="F445:G445"/>
    <mergeCell ref="H445:J445"/>
    <mergeCell ref="H446:J446"/>
    <mergeCell ref="K446:M446"/>
    <mergeCell ref="H447:J447"/>
    <mergeCell ref="K447:M447"/>
    <mergeCell ref="B444:C444"/>
    <mergeCell ref="D444:E444"/>
    <mergeCell ref="F444:G444"/>
    <mergeCell ref="H444:J444"/>
    <mergeCell ref="K444:M444"/>
    <mergeCell ref="D445:E445"/>
    <mergeCell ref="K445:M445"/>
    <mergeCell ref="B448:C448"/>
    <mergeCell ref="D448:E448"/>
    <mergeCell ref="F448:G448"/>
    <mergeCell ref="H448:J448"/>
    <mergeCell ref="K448:M448"/>
    <mergeCell ref="B445:C445"/>
    <mergeCell ref="B446:C446"/>
    <mergeCell ref="D446:E446"/>
    <mergeCell ref="F446:G446"/>
    <mergeCell ref="B447:C447"/>
    <mergeCell ref="D447:E447"/>
    <mergeCell ref="F447:G447"/>
    <mergeCell ref="B449:C449"/>
    <mergeCell ref="D449:E449"/>
    <mergeCell ref="F449:G449"/>
    <mergeCell ref="H449:J449"/>
    <mergeCell ref="K449:M449"/>
    <mergeCell ref="D450:E450"/>
    <mergeCell ref="K450:M450"/>
    <mergeCell ref="B453:C453"/>
    <mergeCell ref="D453:E453"/>
    <mergeCell ref="F453:G453"/>
    <mergeCell ref="H453:J453"/>
    <mergeCell ref="K453:M453"/>
    <mergeCell ref="D457:E457"/>
    <mergeCell ref="F457:G457"/>
    <mergeCell ref="B458:C458"/>
    <mergeCell ref="D458:E458"/>
    <mergeCell ref="F458:G458"/>
    <mergeCell ref="H458:J458"/>
    <mergeCell ref="K458:M458"/>
    <mergeCell ref="H457:J457"/>
    <mergeCell ref="K457:M457"/>
    <mergeCell ref="B455:C455"/>
    <mergeCell ref="B456:C456"/>
    <mergeCell ref="D456:E456"/>
    <mergeCell ref="F456:G456"/>
    <mergeCell ref="H456:J456"/>
    <mergeCell ref="K456:M456"/>
    <mergeCell ref="B457:C457"/>
    <mergeCell ref="F450:G450"/>
    <mergeCell ref="H450:J450"/>
    <mergeCell ref="H451:J451"/>
    <mergeCell ref="K451:M451"/>
    <mergeCell ref="D467:E467"/>
    <mergeCell ref="F467:G467"/>
    <mergeCell ref="F470:G470"/>
    <mergeCell ref="H470:J470"/>
    <mergeCell ref="B469:C469"/>
    <mergeCell ref="D469:E469"/>
    <mergeCell ref="F469:G469"/>
    <mergeCell ref="H469:J469"/>
    <mergeCell ref="K469:M469"/>
    <mergeCell ref="D470:E470"/>
    <mergeCell ref="K470:M470"/>
    <mergeCell ref="F485:G485"/>
    <mergeCell ref="H485:J485"/>
    <mergeCell ref="B484:C484"/>
    <mergeCell ref="D484:E484"/>
    <mergeCell ref="F484:G484"/>
    <mergeCell ref="H484:J484"/>
    <mergeCell ref="K484:M484"/>
    <mergeCell ref="D485:E485"/>
    <mergeCell ref="K485:M485"/>
    <mergeCell ref="F480:G480"/>
    <mergeCell ref="H480:J480"/>
    <mergeCell ref="H481:J481"/>
    <mergeCell ref="K481:M481"/>
    <mergeCell ref="H482:J482"/>
    <mergeCell ref="K482:M482"/>
    <mergeCell ref="B480:C480"/>
    <mergeCell ref="B481:C481"/>
    <mergeCell ref="D481:E481"/>
    <mergeCell ref="F481:G481"/>
    <mergeCell ref="B482:C482"/>
    <mergeCell ref="D482:E482"/>
    <mergeCell ref="F475:G475"/>
    <mergeCell ref="H475:J475"/>
    <mergeCell ref="H476:J476"/>
    <mergeCell ref="K476:M476"/>
    <mergeCell ref="H477:J477"/>
    <mergeCell ref="K477:M477"/>
    <mergeCell ref="B474:C474"/>
    <mergeCell ref="D474:E474"/>
    <mergeCell ref="F474:G474"/>
    <mergeCell ref="H474:J474"/>
    <mergeCell ref="K474:M474"/>
    <mergeCell ref="D475:E475"/>
    <mergeCell ref="K475:M475"/>
    <mergeCell ref="B478:C478"/>
    <mergeCell ref="D478:E478"/>
    <mergeCell ref="F478:G478"/>
    <mergeCell ref="H478:J478"/>
    <mergeCell ref="K478:M478"/>
    <mergeCell ref="B475:C475"/>
    <mergeCell ref="B476:C476"/>
    <mergeCell ref="D476:E476"/>
    <mergeCell ref="F476:G476"/>
    <mergeCell ref="B477:C477"/>
    <mergeCell ref="D477:E477"/>
    <mergeCell ref="F477:G477"/>
    <mergeCell ref="B479:C479"/>
    <mergeCell ref="D479:E479"/>
    <mergeCell ref="F479:G479"/>
    <mergeCell ref="H479:J479"/>
    <mergeCell ref="K479:M479"/>
    <mergeCell ref="D480:E480"/>
    <mergeCell ref="K480:M480"/>
    <mergeCell ref="B483:C483"/>
    <mergeCell ref="D483:E483"/>
    <mergeCell ref="F483:G483"/>
    <mergeCell ref="H483:J483"/>
    <mergeCell ref="K483:M483"/>
    <mergeCell ref="D487:E487"/>
    <mergeCell ref="F487:G487"/>
    <mergeCell ref="F482:G482"/>
    <mergeCell ref="H487:J487"/>
    <mergeCell ref="K487:M487"/>
    <mergeCell ref="B485:C485"/>
    <mergeCell ref="B486:C486"/>
    <mergeCell ref="D486:E486"/>
    <mergeCell ref="F486:G486"/>
    <mergeCell ref="H486:J486"/>
    <mergeCell ref="K486:M486"/>
    <mergeCell ref="B487:C487"/>
    <mergeCell ref="B488:C488"/>
    <mergeCell ref="D488:E488"/>
    <mergeCell ref="F488:G488"/>
    <mergeCell ref="H488:J488"/>
    <mergeCell ref="K488:M488"/>
    <mergeCell ref="F495:G495"/>
    <mergeCell ref="H495:J495"/>
    <mergeCell ref="H496:J496"/>
    <mergeCell ref="K496:M496"/>
    <mergeCell ref="H497:J497"/>
    <mergeCell ref="K497:M497"/>
    <mergeCell ref="B495:C495"/>
    <mergeCell ref="B496:C496"/>
    <mergeCell ref="D496:E496"/>
    <mergeCell ref="F496:G496"/>
    <mergeCell ref="B497:C497"/>
    <mergeCell ref="D497:E497"/>
    <mergeCell ref="F497:G497"/>
    <mergeCell ref="F490:G490"/>
    <mergeCell ref="H490:J490"/>
    <mergeCell ref="H491:J491"/>
    <mergeCell ref="K491:M491"/>
    <mergeCell ref="H492:J492"/>
    <mergeCell ref="K492:M492"/>
    <mergeCell ref="B489:C489"/>
    <mergeCell ref="D489:E489"/>
    <mergeCell ref="F489:G489"/>
    <mergeCell ref="H489:J489"/>
    <mergeCell ref="K489:M489"/>
    <mergeCell ref="D490:E490"/>
    <mergeCell ref="K490:M490"/>
    <mergeCell ref="B493:C493"/>
    <mergeCell ref="F493:G493"/>
    <mergeCell ref="H493:J493"/>
    <mergeCell ref="K493:M493"/>
    <mergeCell ref="B490:C490"/>
    <mergeCell ref="B491:C491"/>
    <mergeCell ref="D491:E491"/>
    <mergeCell ref="F491:G491"/>
    <mergeCell ref="B492:C492"/>
    <mergeCell ref="D492:E492"/>
    <mergeCell ref="F492:G492"/>
    <mergeCell ref="B494:C494"/>
    <mergeCell ref="D494:E494"/>
    <mergeCell ref="F494:G494"/>
    <mergeCell ref="H494:J494"/>
    <mergeCell ref="K494:M494"/>
    <mergeCell ref="D495:E495"/>
    <mergeCell ref="K495:M495"/>
    <mergeCell ref="D493:E493"/>
    <mergeCell ref="H532:J532"/>
    <mergeCell ref="K532:M532"/>
    <mergeCell ref="B530:C530"/>
    <mergeCell ref="B531:C531"/>
    <mergeCell ref="D531:E531"/>
    <mergeCell ref="F531:G531"/>
    <mergeCell ref="H531:J531"/>
    <mergeCell ref="K531:M531"/>
    <mergeCell ref="B532:C532"/>
    <mergeCell ref="F520:G520"/>
    <mergeCell ref="H520:J520"/>
    <mergeCell ref="H521:J521"/>
    <mergeCell ref="K521:M521"/>
    <mergeCell ref="H522:J522"/>
    <mergeCell ref="K522:M522"/>
    <mergeCell ref="B519:C519"/>
    <mergeCell ref="D519:E519"/>
    <mergeCell ref="F519:G519"/>
    <mergeCell ref="H519:J519"/>
    <mergeCell ref="K519:M519"/>
    <mergeCell ref="F522:G522"/>
    <mergeCell ref="B524:C524"/>
    <mergeCell ref="D524:E524"/>
    <mergeCell ref="F524:G524"/>
    <mergeCell ref="H524:J524"/>
    <mergeCell ref="K524:M524"/>
    <mergeCell ref="B528:C528"/>
    <mergeCell ref="D528:E528"/>
    <mergeCell ref="F528:G528"/>
    <mergeCell ref="H528:J528"/>
    <mergeCell ref="K528:M528"/>
    <mergeCell ref="D532:E532"/>
    <mergeCell ref="B498:C498"/>
    <mergeCell ref="D498:E498"/>
    <mergeCell ref="F498:G498"/>
    <mergeCell ref="H498:J498"/>
    <mergeCell ref="K498:M498"/>
    <mergeCell ref="D502:E502"/>
    <mergeCell ref="F502:G502"/>
    <mergeCell ref="B503:C503"/>
    <mergeCell ref="D503:E503"/>
    <mergeCell ref="F503:G503"/>
    <mergeCell ref="H503:J503"/>
    <mergeCell ref="K503:M503"/>
    <mergeCell ref="F500:G500"/>
    <mergeCell ref="H500:J500"/>
    <mergeCell ref="B499:C499"/>
    <mergeCell ref="D499:E499"/>
    <mergeCell ref="F499:G499"/>
    <mergeCell ref="H499:J499"/>
    <mergeCell ref="K499:M499"/>
    <mergeCell ref="D500:E500"/>
    <mergeCell ref="K500:M500"/>
    <mergeCell ref="H502:J502"/>
    <mergeCell ref="K502:M502"/>
    <mergeCell ref="B500:C500"/>
    <mergeCell ref="B501:C501"/>
    <mergeCell ref="D501:E501"/>
    <mergeCell ref="F501:G501"/>
    <mergeCell ref="H501:J501"/>
    <mergeCell ref="K501:M501"/>
    <mergeCell ref="B502:C502"/>
    <mergeCell ref="F532:G532"/>
    <mergeCell ref="B533:C533"/>
    <mergeCell ref="D533:E533"/>
    <mergeCell ref="F533:G533"/>
    <mergeCell ref="H533:J533"/>
    <mergeCell ref="K533:M533"/>
    <mergeCell ref="F510:G510"/>
    <mergeCell ref="H510:J510"/>
    <mergeCell ref="H511:J511"/>
    <mergeCell ref="K511:M511"/>
    <mergeCell ref="H512:J512"/>
    <mergeCell ref="K512:M512"/>
    <mergeCell ref="B510:C510"/>
    <mergeCell ref="B511:C511"/>
    <mergeCell ref="D511:E511"/>
    <mergeCell ref="F511:G511"/>
    <mergeCell ref="B512:C512"/>
    <mergeCell ref="D512:E512"/>
    <mergeCell ref="F512:G512"/>
    <mergeCell ref="F515:G515"/>
    <mergeCell ref="H515:J515"/>
    <mergeCell ref="B514:C514"/>
    <mergeCell ref="D514:E514"/>
    <mergeCell ref="F514:G514"/>
    <mergeCell ref="D520:E520"/>
    <mergeCell ref="K520:M520"/>
    <mergeCell ref="H514:J514"/>
    <mergeCell ref="K514:M514"/>
    <mergeCell ref="D515:E515"/>
    <mergeCell ref="K515:M515"/>
    <mergeCell ref="H517:J517"/>
    <mergeCell ref="K517:M517"/>
    <mergeCell ref="B515:C515"/>
    <mergeCell ref="B516:C516"/>
    <mergeCell ref="D516:E516"/>
    <mergeCell ref="F516:G516"/>
    <mergeCell ref="H516:J516"/>
    <mergeCell ref="K516:M516"/>
    <mergeCell ref="B517:C517"/>
    <mergeCell ref="F505:G505"/>
    <mergeCell ref="H505:J505"/>
    <mergeCell ref="H506:J506"/>
    <mergeCell ref="K506:M506"/>
    <mergeCell ref="H507:J507"/>
    <mergeCell ref="K507:M507"/>
    <mergeCell ref="B509:C509"/>
    <mergeCell ref="D509:E509"/>
    <mergeCell ref="F509:G509"/>
    <mergeCell ref="H509:J509"/>
    <mergeCell ref="K509:M509"/>
    <mergeCell ref="D510:E510"/>
    <mergeCell ref="K510:M510"/>
    <mergeCell ref="B513:C513"/>
    <mergeCell ref="D513:E513"/>
    <mergeCell ref="F513:G513"/>
    <mergeCell ref="H513:J513"/>
    <mergeCell ref="K513:M513"/>
    <mergeCell ref="D517:E517"/>
    <mergeCell ref="F517:G517"/>
    <mergeCell ref="B504:C504"/>
    <mergeCell ref="D504:E504"/>
    <mergeCell ref="F504:G504"/>
    <mergeCell ref="H504:J504"/>
    <mergeCell ref="K504:M504"/>
    <mergeCell ref="D505:E505"/>
    <mergeCell ref="K505:M505"/>
    <mergeCell ref="B508:C508"/>
    <mergeCell ref="D508:E508"/>
    <mergeCell ref="F508:G508"/>
    <mergeCell ref="H508:J508"/>
    <mergeCell ref="K508:M508"/>
    <mergeCell ref="B505:C505"/>
    <mergeCell ref="B506:C506"/>
    <mergeCell ref="D506:E506"/>
    <mergeCell ref="F506:G506"/>
    <mergeCell ref="B507:C507"/>
    <mergeCell ref="D507:E507"/>
    <mergeCell ref="F507:G507"/>
    <mergeCell ref="B518:C518"/>
    <mergeCell ref="D518:E518"/>
    <mergeCell ref="F518:G518"/>
    <mergeCell ref="H518:J518"/>
    <mergeCell ref="K518:M518"/>
    <mergeCell ref="F525:G525"/>
    <mergeCell ref="H525:J525"/>
    <mergeCell ref="H526:J526"/>
    <mergeCell ref="K526:M526"/>
    <mergeCell ref="H527:J527"/>
    <mergeCell ref="K527:M527"/>
    <mergeCell ref="B525:C525"/>
    <mergeCell ref="B526:C526"/>
    <mergeCell ref="D526:E526"/>
    <mergeCell ref="F526:G526"/>
    <mergeCell ref="B527:C527"/>
    <mergeCell ref="D527:E527"/>
    <mergeCell ref="F527:G527"/>
    <mergeCell ref="D525:E525"/>
    <mergeCell ref="K525:M525"/>
    <mergeCell ref="B523:C523"/>
    <mergeCell ref="D523:E523"/>
    <mergeCell ref="F523:G523"/>
    <mergeCell ref="H523:J523"/>
    <mergeCell ref="K523:M523"/>
    <mergeCell ref="B520:C520"/>
    <mergeCell ref="B521:C521"/>
    <mergeCell ref="D521:E521"/>
    <mergeCell ref="F521:G521"/>
    <mergeCell ref="B522:C522"/>
    <mergeCell ref="D522:E522"/>
    <mergeCell ref="F530:G530"/>
    <mergeCell ref="H530:J530"/>
    <mergeCell ref="B529:C529"/>
    <mergeCell ref="D529:E529"/>
    <mergeCell ref="F529:G529"/>
    <mergeCell ref="H529:J529"/>
    <mergeCell ref="K529:M529"/>
    <mergeCell ref="D530:E530"/>
    <mergeCell ref="K530:M530"/>
    <mergeCell ref="F545:G545"/>
    <mergeCell ref="H545:J545"/>
    <mergeCell ref="B544:C544"/>
    <mergeCell ref="D544:E544"/>
    <mergeCell ref="F544:G544"/>
    <mergeCell ref="H544:J544"/>
    <mergeCell ref="K544:M544"/>
    <mergeCell ref="D545:E545"/>
    <mergeCell ref="K545:M545"/>
    <mergeCell ref="F540:G540"/>
    <mergeCell ref="H540:J540"/>
    <mergeCell ref="H541:J541"/>
    <mergeCell ref="K541:M541"/>
    <mergeCell ref="H542:J542"/>
    <mergeCell ref="K542:M542"/>
    <mergeCell ref="B540:C540"/>
    <mergeCell ref="B541:C541"/>
    <mergeCell ref="D541:E541"/>
    <mergeCell ref="F541:G541"/>
    <mergeCell ref="B542:C542"/>
    <mergeCell ref="D542:E542"/>
    <mergeCell ref="F542:G542"/>
    <mergeCell ref="D537:E537"/>
    <mergeCell ref="F535:G535"/>
    <mergeCell ref="H535:J535"/>
    <mergeCell ref="H536:J536"/>
    <mergeCell ref="K536:M536"/>
    <mergeCell ref="H537:J537"/>
    <mergeCell ref="K537:M537"/>
    <mergeCell ref="B534:C534"/>
    <mergeCell ref="D534:E534"/>
    <mergeCell ref="F534:G534"/>
    <mergeCell ref="H534:J534"/>
    <mergeCell ref="K534:M534"/>
    <mergeCell ref="D535:E535"/>
    <mergeCell ref="K535:M535"/>
    <mergeCell ref="B538:C538"/>
    <mergeCell ref="D538:E538"/>
    <mergeCell ref="F538:G538"/>
    <mergeCell ref="H538:J538"/>
    <mergeCell ref="K538:M538"/>
    <mergeCell ref="B535:C535"/>
    <mergeCell ref="B536:C536"/>
    <mergeCell ref="D536:E536"/>
    <mergeCell ref="F536:G536"/>
    <mergeCell ref="B537:C537"/>
    <mergeCell ref="F537:G537"/>
    <mergeCell ref="B539:C539"/>
    <mergeCell ref="D539:E539"/>
    <mergeCell ref="F539:G539"/>
    <mergeCell ref="H539:J539"/>
    <mergeCell ref="K539:M539"/>
    <mergeCell ref="D540:E540"/>
    <mergeCell ref="K540:M540"/>
    <mergeCell ref="B543:C543"/>
    <mergeCell ref="D543:E543"/>
    <mergeCell ref="F543:G543"/>
    <mergeCell ref="H543:J543"/>
    <mergeCell ref="K543:M543"/>
    <mergeCell ref="D547:E547"/>
    <mergeCell ref="F547:G547"/>
    <mergeCell ref="B548:C548"/>
    <mergeCell ref="D548:E548"/>
    <mergeCell ref="F548:G548"/>
    <mergeCell ref="H548:J548"/>
    <mergeCell ref="K548:M548"/>
    <mergeCell ref="H547:J547"/>
    <mergeCell ref="K547:M547"/>
    <mergeCell ref="B545:C545"/>
    <mergeCell ref="B546:C546"/>
    <mergeCell ref="D546:E546"/>
    <mergeCell ref="F546:G546"/>
    <mergeCell ref="H546:J546"/>
    <mergeCell ref="K546:M546"/>
    <mergeCell ref="B547:C547"/>
    <mergeCell ref="H557:J557"/>
    <mergeCell ref="K557:M557"/>
    <mergeCell ref="B555:C555"/>
    <mergeCell ref="B556:C556"/>
    <mergeCell ref="D556:E556"/>
    <mergeCell ref="F556:G556"/>
    <mergeCell ref="B557:C557"/>
    <mergeCell ref="D557:E557"/>
    <mergeCell ref="F557:G557"/>
    <mergeCell ref="F560:G560"/>
    <mergeCell ref="H560:J560"/>
    <mergeCell ref="B559:C559"/>
    <mergeCell ref="D559:E559"/>
    <mergeCell ref="F559:G559"/>
    <mergeCell ref="H559:J559"/>
    <mergeCell ref="K559:M559"/>
    <mergeCell ref="D560:E560"/>
    <mergeCell ref="K560:M560"/>
    <mergeCell ref="F550:G550"/>
    <mergeCell ref="H550:J550"/>
    <mergeCell ref="H551:J551"/>
    <mergeCell ref="K551:M551"/>
    <mergeCell ref="H552:J552"/>
    <mergeCell ref="K552:M552"/>
    <mergeCell ref="B549:C549"/>
    <mergeCell ref="D549:E549"/>
    <mergeCell ref="F549:G549"/>
    <mergeCell ref="H549:J549"/>
    <mergeCell ref="K549:M549"/>
    <mergeCell ref="D550:E550"/>
    <mergeCell ref="K550:M550"/>
    <mergeCell ref="B553:C553"/>
    <mergeCell ref="D553:E553"/>
    <mergeCell ref="F553:G553"/>
    <mergeCell ref="H553:J553"/>
    <mergeCell ref="K553:M553"/>
    <mergeCell ref="B550:C550"/>
    <mergeCell ref="B551:C551"/>
    <mergeCell ref="D551:E551"/>
    <mergeCell ref="F551:G551"/>
    <mergeCell ref="B552:C552"/>
    <mergeCell ref="D552:E552"/>
    <mergeCell ref="F552:G552"/>
    <mergeCell ref="B554:C554"/>
    <mergeCell ref="D554:E554"/>
    <mergeCell ref="F554:G554"/>
    <mergeCell ref="H554:J554"/>
    <mergeCell ref="K554:M554"/>
    <mergeCell ref="D555:E555"/>
    <mergeCell ref="K555:M555"/>
    <mergeCell ref="B558:C558"/>
    <mergeCell ref="D558:E558"/>
    <mergeCell ref="F558:G558"/>
    <mergeCell ref="H558:J558"/>
    <mergeCell ref="K558:M558"/>
    <mergeCell ref="D562:E562"/>
    <mergeCell ref="F562:G562"/>
    <mergeCell ref="B563:C563"/>
    <mergeCell ref="D563:E563"/>
    <mergeCell ref="F563:G563"/>
    <mergeCell ref="H563:J563"/>
    <mergeCell ref="K563:M563"/>
    <mergeCell ref="H562:J562"/>
    <mergeCell ref="K562:M562"/>
    <mergeCell ref="B560:C560"/>
    <mergeCell ref="B561:C561"/>
    <mergeCell ref="D561:E561"/>
    <mergeCell ref="F561:G561"/>
    <mergeCell ref="H561:J561"/>
    <mergeCell ref="K561:M561"/>
    <mergeCell ref="B562:C562"/>
    <mergeCell ref="F555:G555"/>
    <mergeCell ref="H555:J555"/>
    <mergeCell ref="H556:J556"/>
    <mergeCell ref="K556:M556"/>
    <mergeCell ref="F595:G595"/>
    <mergeCell ref="H595:J595"/>
    <mergeCell ref="H596:J596"/>
    <mergeCell ref="K596:M596"/>
    <mergeCell ref="H597:J597"/>
    <mergeCell ref="K597:M597"/>
    <mergeCell ref="B594:C594"/>
    <mergeCell ref="D594:E594"/>
    <mergeCell ref="F594:G594"/>
    <mergeCell ref="H594:J594"/>
    <mergeCell ref="K594:M594"/>
    <mergeCell ref="D595:E595"/>
    <mergeCell ref="K595:M595"/>
    <mergeCell ref="B598:C598"/>
    <mergeCell ref="D598:E598"/>
    <mergeCell ref="F598:G598"/>
    <mergeCell ref="H598:J598"/>
    <mergeCell ref="K598:M598"/>
    <mergeCell ref="B595:C595"/>
    <mergeCell ref="B596:C596"/>
    <mergeCell ref="D596:E596"/>
    <mergeCell ref="F596:G596"/>
    <mergeCell ref="B597:C597"/>
    <mergeCell ref="F597:G597"/>
    <mergeCell ref="B599:C599"/>
    <mergeCell ref="D599:E599"/>
    <mergeCell ref="F599:G599"/>
    <mergeCell ref="H599:J599"/>
    <mergeCell ref="K599:M599"/>
    <mergeCell ref="D600:E600"/>
    <mergeCell ref="K600:M600"/>
    <mergeCell ref="B603:C603"/>
    <mergeCell ref="D603:E603"/>
    <mergeCell ref="F603:G603"/>
    <mergeCell ref="H603:J603"/>
    <mergeCell ref="K603:M603"/>
    <mergeCell ref="D607:E607"/>
    <mergeCell ref="F607:G607"/>
    <mergeCell ref="B608:C608"/>
    <mergeCell ref="D608:E608"/>
    <mergeCell ref="F608:G608"/>
    <mergeCell ref="H608:J608"/>
    <mergeCell ref="K608:M608"/>
    <mergeCell ref="H607:J607"/>
    <mergeCell ref="K607:M607"/>
    <mergeCell ref="B605:C605"/>
    <mergeCell ref="B606:C606"/>
    <mergeCell ref="D606:E606"/>
    <mergeCell ref="F606:G606"/>
    <mergeCell ref="H606:J606"/>
    <mergeCell ref="K606:M606"/>
    <mergeCell ref="B607:C607"/>
    <mergeCell ref="H617:J617"/>
    <mergeCell ref="K617:M617"/>
    <mergeCell ref="B615:C615"/>
    <mergeCell ref="B616:C616"/>
    <mergeCell ref="D616:E616"/>
    <mergeCell ref="F616:G616"/>
    <mergeCell ref="B617:C617"/>
    <mergeCell ref="D617:E617"/>
    <mergeCell ref="F617:G617"/>
    <mergeCell ref="F620:G620"/>
    <mergeCell ref="H620:J620"/>
    <mergeCell ref="B619:C619"/>
    <mergeCell ref="D619:E619"/>
    <mergeCell ref="F619:G619"/>
    <mergeCell ref="H619:J619"/>
    <mergeCell ref="K619:M619"/>
    <mergeCell ref="D620:E620"/>
    <mergeCell ref="K620:M620"/>
    <mergeCell ref="F610:G610"/>
    <mergeCell ref="H610:J610"/>
    <mergeCell ref="H611:J611"/>
    <mergeCell ref="K611:M611"/>
    <mergeCell ref="H612:J612"/>
    <mergeCell ref="K612:M612"/>
    <mergeCell ref="B609:C609"/>
    <mergeCell ref="D609:E609"/>
    <mergeCell ref="F609:G609"/>
    <mergeCell ref="H609:J609"/>
    <mergeCell ref="K609:M609"/>
    <mergeCell ref="D610:E610"/>
    <mergeCell ref="K610:M610"/>
    <mergeCell ref="B613:C613"/>
    <mergeCell ref="D613:E613"/>
    <mergeCell ref="F613:G613"/>
    <mergeCell ref="H613:J613"/>
    <mergeCell ref="K613:M613"/>
    <mergeCell ref="B610:C610"/>
    <mergeCell ref="B611:C611"/>
    <mergeCell ref="D611:E611"/>
    <mergeCell ref="F611:G611"/>
    <mergeCell ref="B612:C612"/>
    <mergeCell ref="D612:E612"/>
    <mergeCell ref="F612:G612"/>
    <mergeCell ref="B614:C614"/>
    <mergeCell ref="D614:E614"/>
    <mergeCell ref="F614:G614"/>
    <mergeCell ref="H614:J614"/>
    <mergeCell ref="K614:M614"/>
    <mergeCell ref="D615:E615"/>
    <mergeCell ref="K615:M615"/>
    <mergeCell ref="B618:C618"/>
    <mergeCell ref="D618:E618"/>
    <mergeCell ref="F618:G618"/>
    <mergeCell ref="H618:J618"/>
    <mergeCell ref="K618:M618"/>
    <mergeCell ref="D622:E622"/>
    <mergeCell ref="F622:G622"/>
    <mergeCell ref="B623:C623"/>
    <mergeCell ref="D623:E623"/>
    <mergeCell ref="F623:G623"/>
    <mergeCell ref="H623:J623"/>
    <mergeCell ref="K623:M623"/>
    <mergeCell ref="H622:J622"/>
    <mergeCell ref="K622:M622"/>
    <mergeCell ref="B620:C620"/>
    <mergeCell ref="B621:C621"/>
    <mergeCell ref="D621:E621"/>
    <mergeCell ref="F621:G621"/>
    <mergeCell ref="H621:J621"/>
    <mergeCell ref="K621:M621"/>
    <mergeCell ref="B622:C622"/>
    <mergeCell ref="F615:G615"/>
    <mergeCell ref="H615:J615"/>
    <mergeCell ref="H616:J616"/>
    <mergeCell ref="K616:M616"/>
    <mergeCell ref="H772:J772"/>
    <mergeCell ref="K772:M772"/>
    <mergeCell ref="B770:C770"/>
    <mergeCell ref="B771:C771"/>
    <mergeCell ref="D771:E771"/>
    <mergeCell ref="F771:G771"/>
    <mergeCell ref="H771:J771"/>
    <mergeCell ref="K771:M771"/>
    <mergeCell ref="B772:C772"/>
    <mergeCell ref="F760:G760"/>
    <mergeCell ref="H760:J760"/>
    <mergeCell ref="H761:J761"/>
    <mergeCell ref="K761:M761"/>
    <mergeCell ref="H762:J762"/>
    <mergeCell ref="K762:M762"/>
    <mergeCell ref="B759:C759"/>
    <mergeCell ref="D759:E759"/>
    <mergeCell ref="F759:G759"/>
    <mergeCell ref="H759:J759"/>
    <mergeCell ref="K759:M759"/>
    <mergeCell ref="D760:E760"/>
    <mergeCell ref="K760:M760"/>
    <mergeCell ref="B763:C763"/>
    <mergeCell ref="D763:E763"/>
    <mergeCell ref="F763:G763"/>
    <mergeCell ref="H763:J763"/>
    <mergeCell ref="K763:M763"/>
    <mergeCell ref="B760:C760"/>
    <mergeCell ref="B761:C761"/>
    <mergeCell ref="D761:E761"/>
    <mergeCell ref="F761:G761"/>
    <mergeCell ref="B762:C762"/>
    <mergeCell ref="D762:E762"/>
    <mergeCell ref="F762:G762"/>
    <mergeCell ref="B764:C764"/>
    <mergeCell ref="D764:E764"/>
    <mergeCell ref="F764:G764"/>
    <mergeCell ref="H764:J764"/>
    <mergeCell ref="K764:M764"/>
    <mergeCell ref="D765:E765"/>
    <mergeCell ref="K765:M765"/>
    <mergeCell ref="B768:C768"/>
    <mergeCell ref="D768:E768"/>
    <mergeCell ref="F768:G768"/>
    <mergeCell ref="H768:J768"/>
    <mergeCell ref="K768:M768"/>
    <mergeCell ref="D772:E772"/>
    <mergeCell ref="F772:G772"/>
    <mergeCell ref="B773:C773"/>
    <mergeCell ref="D773:E773"/>
    <mergeCell ref="F773:G773"/>
    <mergeCell ref="H773:J773"/>
    <mergeCell ref="K773:M773"/>
    <mergeCell ref="F765:G765"/>
    <mergeCell ref="H765:J765"/>
    <mergeCell ref="H766:J766"/>
    <mergeCell ref="K766:M766"/>
    <mergeCell ref="H767:J767"/>
    <mergeCell ref="K767:M767"/>
    <mergeCell ref="B765:C765"/>
    <mergeCell ref="B766:C766"/>
    <mergeCell ref="D766:E766"/>
    <mergeCell ref="F766:G766"/>
    <mergeCell ref="B767:C767"/>
    <mergeCell ref="H752:J752"/>
    <mergeCell ref="K752:M752"/>
    <mergeCell ref="B750:C750"/>
    <mergeCell ref="B751:C751"/>
    <mergeCell ref="D751:E751"/>
    <mergeCell ref="F751:G751"/>
    <mergeCell ref="B752:C752"/>
    <mergeCell ref="D752:E752"/>
    <mergeCell ref="F752:G752"/>
    <mergeCell ref="F755:G755"/>
    <mergeCell ref="H755:J755"/>
    <mergeCell ref="B754:C754"/>
    <mergeCell ref="D754:E754"/>
    <mergeCell ref="F754:G754"/>
    <mergeCell ref="H754:J754"/>
    <mergeCell ref="K754:M754"/>
    <mergeCell ref="D755:E755"/>
    <mergeCell ref="K755:M755"/>
    <mergeCell ref="F745:G745"/>
    <mergeCell ref="H745:J745"/>
    <mergeCell ref="H746:J746"/>
    <mergeCell ref="K746:M746"/>
    <mergeCell ref="H747:J747"/>
    <mergeCell ref="K747:M747"/>
    <mergeCell ref="B744:C744"/>
    <mergeCell ref="D744:E744"/>
    <mergeCell ref="F744:G744"/>
    <mergeCell ref="H744:J744"/>
    <mergeCell ref="K744:M744"/>
    <mergeCell ref="D745:E745"/>
    <mergeCell ref="K745:M745"/>
    <mergeCell ref="B748:C748"/>
    <mergeCell ref="D748:E748"/>
    <mergeCell ref="F748:G748"/>
    <mergeCell ref="H748:J748"/>
    <mergeCell ref="K748:M748"/>
    <mergeCell ref="B745:C745"/>
    <mergeCell ref="B746:C746"/>
    <mergeCell ref="D746:E746"/>
    <mergeCell ref="F746:G746"/>
    <mergeCell ref="B747:C747"/>
    <mergeCell ref="D747:E747"/>
    <mergeCell ref="F747:G747"/>
    <mergeCell ref="B749:C749"/>
    <mergeCell ref="D749:E749"/>
    <mergeCell ref="F749:G749"/>
    <mergeCell ref="H749:J749"/>
    <mergeCell ref="K749:M749"/>
    <mergeCell ref="D750:E750"/>
    <mergeCell ref="K750:M750"/>
    <mergeCell ref="B753:C753"/>
    <mergeCell ref="D753:E753"/>
    <mergeCell ref="F753:G753"/>
    <mergeCell ref="H753:J753"/>
    <mergeCell ref="K753:M753"/>
    <mergeCell ref="D757:E757"/>
    <mergeCell ref="F757:G757"/>
    <mergeCell ref="B758:C758"/>
    <mergeCell ref="D758:E758"/>
    <mergeCell ref="F758:G758"/>
    <mergeCell ref="H758:J758"/>
    <mergeCell ref="K758:M758"/>
    <mergeCell ref="H757:J757"/>
    <mergeCell ref="K757:M757"/>
    <mergeCell ref="B755:C755"/>
    <mergeCell ref="B756:C756"/>
    <mergeCell ref="D756:E756"/>
    <mergeCell ref="F756:G756"/>
    <mergeCell ref="H756:J756"/>
    <mergeCell ref="K756:M756"/>
    <mergeCell ref="B757:C757"/>
    <mergeCell ref="F750:G750"/>
    <mergeCell ref="H750:J750"/>
    <mergeCell ref="H751:J751"/>
    <mergeCell ref="K751:M751"/>
    <mergeCell ref="D767:E767"/>
    <mergeCell ref="F767:G767"/>
    <mergeCell ref="F770:G770"/>
    <mergeCell ref="H770:J770"/>
    <mergeCell ref="B769:C769"/>
    <mergeCell ref="D769:E769"/>
    <mergeCell ref="F769:G769"/>
    <mergeCell ref="H769:J769"/>
    <mergeCell ref="K769:M769"/>
    <mergeCell ref="D770:E770"/>
    <mergeCell ref="K770:M770"/>
    <mergeCell ref="F785:G785"/>
    <mergeCell ref="H785:J785"/>
    <mergeCell ref="B784:C784"/>
    <mergeCell ref="D784:E784"/>
    <mergeCell ref="F784:G784"/>
    <mergeCell ref="H784:J784"/>
    <mergeCell ref="K784:M784"/>
    <mergeCell ref="D785:E785"/>
    <mergeCell ref="K785:M785"/>
    <mergeCell ref="F780:G780"/>
    <mergeCell ref="H780:J780"/>
    <mergeCell ref="H781:J781"/>
    <mergeCell ref="K781:M781"/>
    <mergeCell ref="H782:J782"/>
    <mergeCell ref="K782:M782"/>
    <mergeCell ref="B780:C780"/>
    <mergeCell ref="B781:C781"/>
    <mergeCell ref="D781:E781"/>
    <mergeCell ref="F781:G781"/>
    <mergeCell ref="B782:C782"/>
    <mergeCell ref="D782:E782"/>
    <mergeCell ref="F820:G820"/>
    <mergeCell ref="H820:J820"/>
    <mergeCell ref="H821:J821"/>
    <mergeCell ref="K821:M821"/>
    <mergeCell ref="H822:J822"/>
    <mergeCell ref="K822:M822"/>
    <mergeCell ref="B819:C819"/>
    <mergeCell ref="D819:E819"/>
    <mergeCell ref="F819:G819"/>
    <mergeCell ref="H819:J819"/>
    <mergeCell ref="K819:M819"/>
    <mergeCell ref="D820:E820"/>
    <mergeCell ref="K820:M820"/>
    <mergeCell ref="B823:C823"/>
    <mergeCell ref="D823:E823"/>
    <mergeCell ref="F823:G823"/>
    <mergeCell ref="H823:J823"/>
    <mergeCell ref="K823:M823"/>
    <mergeCell ref="B820:C820"/>
    <mergeCell ref="B821:C821"/>
    <mergeCell ref="D821:E821"/>
    <mergeCell ref="F821:G821"/>
    <mergeCell ref="B822:C822"/>
    <mergeCell ref="D822:E822"/>
    <mergeCell ref="F822:G822"/>
    <mergeCell ref="B824:C824"/>
    <mergeCell ref="D824:E824"/>
    <mergeCell ref="F824:G824"/>
    <mergeCell ref="H824:J824"/>
    <mergeCell ref="K824:M824"/>
    <mergeCell ref="D825:E825"/>
    <mergeCell ref="K825:M825"/>
    <mergeCell ref="B828:C828"/>
    <mergeCell ref="D828:E828"/>
    <mergeCell ref="F828:G828"/>
    <mergeCell ref="H828:J828"/>
    <mergeCell ref="K828:M828"/>
    <mergeCell ref="D832:E832"/>
    <mergeCell ref="F832:G832"/>
    <mergeCell ref="H826:J826"/>
    <mergeCell ref="K826:M826"/>
    <mergeCell ref="H827:J827"/>
    <mergeCell ref="K827:M827"/>
    <mergeCell ref="B826:C826"/>
    <mergeCell ref="D826:E826"/>
    <mergeCell ref="F826:G826"/>
    <mergeCell ref="B827:C827"/>
    <mergeCell ref="D827:E827"/>
    <mergeCell ref="F827:G827"/>
    <mergeCell ref="F830:G830"/>
    <mergeCell ref="H830:J830"/>
    <mergeCell ref="B829:C829"/>
    <mergeCell ref="D829:E829"/>
    <mergeCell ref="F829:G829"/>
    <mergeCell ref="B810:C810"/>
    <mergeCell ref="B811:C811"/>
    <mergeCell ref="D811:E811"/>
    <mergeCell ref="F811:G811"/>
    <mergeCell ref="B812:C812"/>
    <mergeCell ref="D812:E812"/>
    <mergeCell ref="F812:G812"/>
    <mergeCell ref="F815:G815"/>
    <mergeCell ref="H815:J815"/>
    <mergeCell ref="B814:C814"/>
    <mergeCell ref="D814:E814"/>
    <mergeCell ref="F814:G814"/>
    <mergeCell ref="H814:J814"/>
    <mergeCell ref="K814:M814"/>
    <mergeCell ref="D815:E815"/>
    <mergeCell ref="K815:M815"/>
    <mergeCell ref="H817:J817"/>
    <mergeCell ref="K817:M817"/>
    <mergeCell ref="B815:C815"/>
    <mergeCell ref="B816:C816"/>
    <mergeCell ref="D816:E816"/>
    <mergeCell ref="F805:G805"/>
    <mergeCell ref="H805:J805"/>
    <mergeCell ref="H806:J806"/>
    <mergeCell ref="K806:M806"/>
    <mergeCell ref="H807:J807"/>
    <mergeCell ref="K807:M807"/>
    <mergeCell ref="B804:C804"/>
    <mergeCell ref="D804:E804"/>
    <mergeCell ref="F804:G804"/>
    <mergeCell ref="H804:J804"/>
    <mergeCell ref="K804:M804"/>
    <mergeCell ref="D805:E805"/>
    <mergeCell ref="K805:M805"/>
    <mergeCell ref="B808:C808"/>
    <mergeCell ref="D808:E808"/>
    <mergeCell ref="F808:G808"/>
    <mergeCell ref="H808:J808"/>
    <mergeCell ref="K808:M808"/>
    <mergeCell ref="B805:C805"/>
    <mergeCell ref="B806:C806"/>
    <mergeCell ref="D806:E806"/>
    <mergeCell ref="F806:G806"/>
    <mergeCell ref="B807:C807"/>
    <mergeCell ref="D807:E807"/>
    <mergeCell ref="F807:G807"/>
    <mergeCell ref="H809:J809"/>
    <mergeCell ref="K809:M809"/>
    <mergeCell ref="D810:E810"/>
    <mergeCell ref="K810:M810"/>
    <mergeCell ref="B813:C813"/>
    <mergeCell ref="D813:E813"/>
    <mergeCell ref="F813:G813"/>
    <mergeCell ref="H813:J813"/>
    <mergeCell ref="K813:M813"/>
    <mergeCell ref="D817:E817"/>
    <mergeCell ref="F817:G817"/>
    <mergeCell ref="B818:C818"/>
    <mergeCell ref="D818:E818"/>
    <mergeCell ref="F818:G818"/>
    <mergeCell ref="H818:J818"/>
    <mergeCell ref="K818:M818"/>
    <mergeCell ref="F825:G825"/>
    <mergeCell ref="H825:J825"/>
    <mergeCell ref="B825:C825"/>
    <mergeCell ref="F816:G816"/>
    <mergeCell ref="H816:J816"/>
    <mergeCell ref="K816:M816"/>
    <mergeCell ref="B817:C817"/>
    <mergeCell ref="B809:C809"/>
    <mergeCell ref="D809:E809"/>
    <mergeCell ref="F809:G809"/>
    <mergeCell ref="F810:G810"/>
    <mergeCell ref="H810:J810"/>
    <mergeCell ref="H811:J811"/>
    <mergeCell ref="K811:M811"/>
    <mergeCell ref="H812:J812"/>
    <mergeCell ref="K812:M812"/>
    <mergeCell ref="D910:E910"/>
    <mergeCell ref="F910:G910"/>
    <mergeCell ref="H910:J910"/>
    <mergeCell ref="K910:M910"/>
    <mergeCell ref="D887:E887"/>
    <mergeCell ref="F887:G887"/>
    <mergeCell ref="H887:J887"/>
    <mergeCell ref="K887:M887"/>
    <mergeCell ref="H905:J905"/>
    <mergeCell ref="K905:M905"/>
    <mergeCell ref="B904:C904"/>
    <mergeCell ref="D904:E904"/>
    <mergeCell ref="F904:G904"/>
    <mergeCell ref="H904:J904"/>
    <mergeCell ref="K904:M904"/>
    <mergeCell ref="H909:J909"/>
    <mergeCell ref="K909:M909"/>
    <mergeCell ref="B908:C908"/>
    <mergeCell ref="D908:E908"/>
    <mergeCell ref="F908:G908"/>
    <mergeCell ref="H908:J908"/>
    <mergeCell ref="K908:M908"/>
    <mergeCell ref="D890:E890"/>
    <mergeCell ref="F890:G890"/>
    <mergeCell ref="H890:J890"/>
    <mergeCell ref="K890:M890"/>
    <mergeCell ref="B886:C886"/>
    <mergeCell ref="D886:E886"/>
    <mergeCell ref="F886:G886"/>
    <mergeCell ref="H886:J886"/>
    <mergeCell ref="K886:M886"/>
    <mergeCell ref="N886:U886"/>
    <mergeCell ref="B887:C887"/>
    <mergeCell ref="H829:J829"/>
    <mergeCell ref="K829:M829"/>
    <mergeCell ref="D830:E830"/>
    <mergeCell ref="K830:M830"/>
    <mergeCell ref="F835:G835"/>
    <mergeCell ref="H835:J835"/>
    <mergeCell ref="B834:C834"/>
    <mergeCell ref="D834:E834"/>
    <mergeCell ref="F834:G834"/>
    <mergeCell ref="H834:J834"/>
    <mergeCell ref="K834:M834"/>
    <mergeCell ref="B835:C835"/>
    <mergeCell ref="D835:E835"/>
    <mergeCell ref="K835:M835"/>
    <mergeCell ref="B833:C833"/>
    <mergeCell ref="D833:E833"/>
    <mergeCell ref="F833:G833"/>
    <mergeCell ref="H833:J833"/>
    <mergeCell ref="K833:M833"/>
    <mergeCell ref="H832:J832"/>
    <mergeCell ref="K832:M832"/>
    <mergeCell ref="N835:U835"/>
    <mergeCell ref="B830:C830"/>
    <mergeCell ref="B831:C831"/>
    <mergeCell ref="D831:E831"/>
    <mergeCell ref="H883:J883"/>
    <mergeCell ref="K883:M883"/>
    <mergeCell ref="H884:J884"/>
    <mergeCell ref="K884:M884"/>
    <mergeCell ref="N884:U884"/>
    <mergeCell ref="B882:C882"/>
    <mergeCell ref="D882:E882"/>
    <mergeCell ref="F882:G882"/>
    <mergeCell ref="H882:J882"/>
    <mergeCell ref="K882:M882"/>
    <mergeCell ref="N882:U882"/>
    <mergeCell ref="B883:C883"/>
    <mergeCell ref="N883:U883"/>
    <mergeCell ref="F885:G885"/>
    <mergeCell ref="H885:J885"/>
    <mergeCell ref="K885:M885"/>
    <mergeCell ref="N885:U885"/>
    <mergeCell ref="N913:U913"/>
    <mergeCell ref="D897:E897"/>
    <mergeCell ref="F897:G897"/>
    <mergeCell ref="D898:E898"/>
    <mergeCell ref="F898:G898"/>
    <mergeCell ref="H898:J898"/>
    <mergeCell ref="K898:M898"/>
    <mergeCell ref="N898:U898"/>
    <mergeCell ref="B898:C898"/>
    <mergeCell ref="B899:C899"/>
    <mergeCell ref="D899:E899"/>
    <mergeCell ref="F899:G899"/>
    <mergeCell ref="H899:J899"/>
    <mergeCell ref="K899:M899"/>
    <mergeCell ref="N899:U899"/>
    <mergeCell ref="H901:J901"/>
    <mergeCell ref="K901:M901"/>
    <mergeCell ref="B900:C900"/>
    <mergeCell ref="D900:E900"/>
    <mergeCell ref="F900:G900"/>
    <mergeCell ref="H900:J900"/>
    <mergeCell ref="K900:M900"/>
    <mergeCell ref="N910:U910"/>
    <mergeCell ref="B910:C910"/>
    <mergeCell ref="B911:C911"/>
    <mergeCell ref="D911:E911"/>
    <mergeCell ref="F911:G911"/>
    <mergeCell ref="H911:J911"/>
    <mergeCell ref="K911:M911"/>
    <mergeCell ref="N911:U911"/>
    <mergeCell ref="D909:E909"/>
    <mergeCell ref="F909:G909"/>
    <mergeCell ref="N900:U900"/>
    <mergeCell ref="B901:C901"/>
    <mergeCell ref="N901:U901"/>
    <mergeCell ref="D901:E901"/>
    <mergeCell ref="F901:G901"/>
    <mergeCell ref="D902:E902"/>
    <mergeCell ref="F902:G902"/>
    <mergeCell ref="H902:J902"/>
    <mergeCell ref="K902:M902"/>
    <mergeCell ref="N902:U902"/>
    <mergeCell ref="B902:C902"/>
    <mergeCell ref="B903:C903"/>
    <mergeCell ref="D903:E903"/>
    <mergeCell ref="F903:G903"/>
    <mergeCell ref="H903:J903"/>
    <mergeCell ref="K903:M903"/>
    <mergeCell ref="N903:U903"/>
    <mergeCell ref="N918:U918"/>
    <mergeCell ref="B916:C916"/>
    <mergeCell ref="D916:E916"/>
    <mergeCell ref="F916:G916"/>
    <mergeCell ref="H916:J916"/>
    <mergeCell ref="K916:M916"/>
    <mergeCell ref="N916:U916"/>
    <mergeCell ref="B926:C926"/>
    <mergeCell ref="D925:E925"/>
    <mergeCell ref="F925:G925"/>
    <mergeCell ref="B917:C917"/>
    <mergeCell ref="N917:U917"/>
    <mergeCell ref="F919:G919"/>
    <mergeCell ref="N904:U904"/>
    <mergeCell ref="B905:C905"/>
    <mergeCell ref="N905:U905"/>
    <mergeCell ref="D905:E905"/>
    <mergeCell ref="F905:G905"/>
    <mergeCell ref="D906:E906"/>
    <mergeCell ref="F906:G906"/>
    <mergeCell ref="H906:J906"/>
    <mergeCell ref="K906:M906"/>
    <mergeCell ref="N906:U906"/>
    <mergeCell ref="B906:C906"/>
    <mergeCell ref="B907:C907"/>
    <mergeCell ref="D907:E907"/>
    <mergeCell ref="F907:G907"/>
    <mergeCell ref="H907:J907"/>
    <mergeCell ref="K907:M907"/>
    <mergeCell ref="N907:U907"/>
    <mergeCell ref="D913:E913"/>
    <mergeCell ref="F913:G913"/>
    <mergeCell ref="F939:G939"/>
    <mergeCell ref="H939:J939"/>
    <mergeCell ref="K939:M939"/>
    <mergeCell ref="B936:C936"/>
    <mergeCell ref="B937:C937"/>
    <mergeCell ref="D937:E937"/>
    <mergeCell ref="F937:G937"/>
    <mergeCell ref="B938:C938"/>
    <mergeCell ref="D941:E941"/>
    <mergeCell ref="K941:M941"/>
    <mergeCell ref="B944:C944"/>
    <mergeCell ref="D944:E944"/>
    <mergeCell ref="F944:G944"/>
    <mergeCell ref="H944:J944"/>
    <mergeCell ref="K944:M944"/>
    <mergeCell ref="N908:U908"/>
    <mergeCell ref="B909:C909"/>
    <mergeCell ref="N909:U909"/>
    <mergeCell ref="F927:G927"/>
    <mergeCell ref="H927:J927"/>
    <mergeCell ref="H928:J928"/>
    <mergeCell ref="K928:M928"/>
    <mergeCell ref="H929:J929"/>
    <mergeCell ref="K929:M929"/>
    <mergeCell ref="B927:C927"/>
    <mergeCell ref="B928:C928"/>
    <mergeCell ref="D928:E928"/>
    <mergeCell ref="F928:G928"/>
    <mergeCell ref="B929:C929"/>
    <mergeCell ref="D929:E929"/>
    <mergeCell ref="F929:G929"/>
    <mergeCell ref="K917:M917"/>
    <mergeCell ref="D948:E948"/>
    <mergeCell ref="F948:G948"/>
    <mergeCell ref="B949:C949"/>
    <mergeCell ref="D949:E949"/>
    <mergeCell ref="F949:G949"/>
    <mergeCell ref="H949:J949"/>
    <mergeCell ref="K949:M949"/>
    <mergeCell ref="H943:J943"/>
    <mergeCell ref="K943:M943"/>
    <mergeCell ref="B943:C943"/>
    <mergeCell ref="D943:E943"/>
    <mergeCell ref="F943:G943"/>
    <mergeCell ref="F946:G946"/>
    <mergeCell ref="H946:J946"/>
    <mergeCell ref="B945:C945"/>
    <mergeCell ref="D945:E945"/>
    <mergeCell ref="F945:G945"/>
    <mergeCell ref="H945:J945"/>
    <mergeCell ref="H948:J948"/>
    <mergeCell ref="K948:M948"/>
    <mergeCell ref="B946:C946"/>
    <mergeCell ref="B947:C947"/>
    <mergeCell ref="D947:E947"/>
    <mergeCell ref="F947:G947"/>
    <mergeCell ref="H947:J947"/>
    <mergeCell ref="K947:M947"/>
    <mergeCell ref="B948:C948"/>
    <mergeCell ref="H958:J958"/>
    <mergeCell ref="K958:M958"/>
    <mergeCell ref="B956:C956"/>
    <mergeCell ref="B957:C957"/>
    <mergeCell ref="D957:E957"/>
    <mergeCell ref="F957:G957"/>
    <mergeCell ref="B958:C958"/>
    <mergeCell ref="D958:E958"/>
    <mergeCell ref="F958:G958"/>
    <mergeCell ref="F961:G961"/>
    <mergeCell ref="H961:J961"/>
    <mergeCell ref="B960:C960"/>
    <mergeCell ref="D960:E960"/>
    <mergeCell ref="F960:G960"/>
    <mergeCell ref="H960:J960"/>
    <mergeCell ref="K960:M960"/>
    <mergeCell ref="D961:E961"/>
    <mergeCell ref="K961:M961"/>
    <mergeCell ref="F951:G951"/>
    <mergeCell ref="H951:J951"/>
    <mergeCell ref="H952:J952"/>
    <mergeCell ref="K952:M952"/>
    <mergeCell ref="H953:J953"/>
    <mergeCell ref="K953:M953"/>
    <mergeCell ref="B950:C950"/>
    <mergeCell ref="D950:E950"/>
    <mergeCell ref="F950:G950"/>
    <mergeCell ref="H950:J950"/>
    <mergeCell ref="K950:M950"/>
    <mergeCell ref="D951:E951"/>
    <mergeCell ref="K951:M951"/>
    <mergeCell ref="B954:C954"/>
    <mergeCell ref="D954:E954"/>
    <mergeCell ref="F954:G954"/>
    <mergeCell ref="H954:J954"/>
    <mergeCell ref="K954:M954"/>
    <mergeCell ref="B951:C951"/>
    <mergeCell ref="B952:C952"/>
    <mergeCell ref="D952:E952"/>
    <mergeCell ref="F952:G952"/>
    <mergeCell ref="B953:C953"/>
    <mergeCell ref="D953:E953"/>
    <mergeCell ref="F953:G953"/>
    <mergeCell ref="B955:C955"/>
    <mergeCell ref="D955:E955"/>
    <mergeCell ref="F955:G955"/>
    <mergeCell ref="H955:J955"/>
    <mergeCell ref="K955:M955"/>
    <mergeCell ref="D956:E956"/>
    <mergeCell ref="K956:M956"/>
    <mergeCell ref="B959:C959"/>
    <mergeCell ref="D959:E959"/>
    <mergeCell ref="F959:G959"/>
    <mergeCell ref="H959:J959"/>
    <mergeCell ref="K959:M959"/>
    <mergeCell ref="D963:E963"/>
    <mergeCell ref="F963:G963"/>
    <mergeCell ref="B964:C964"/>
    <mergeCell ref="D964:E964"/>
    <mergeCell ref="F964:G964"/>
    <mergeCell ref="H964:J964"/>
    <mergeCell ref="K964:M964"/>
    <mergeCell ref="H963:J963"/>
    <mergeCell ref="K963:M963"/>
    <mergeCell ref="B961:C961"/>
    <mergeCell ref="B962:C962"/>
    <mergeCell ref="D962:E962"/>
    <mergeCell ref="F962:G962"/>
    <mergeCell ref="H962:J962"/>
    <mergeCell ref="K962:M962"/>
    <mergeCell ref="B963:C963"/>
    <mergeCell ref="F956:G956"/>
    <mergeCell ref="H956:J956"/>
    <mergeCell ref="H957:J957"/>
    <mergeCell ref="K957:M957"/>
    <mergeCell ref="F975:G975"/>
    <mergeCell ref="H975:J975"/>
    <mergeCell ref="K975:M975"/>
    <mergeCell ref="D976:E976"/>
    <mergeCell ref="K976:M976"/>
    <mergeCell ref="F971:G971"/>
    <mergeCell ref="H971:J971"/>
    <mergeCell ref="H972:J972"/>
    <mergeCell ref="K972:M972"/>
    <mergeCell ref="H973:J973"/>
    <mergeCell ref="K973:M973"/>
    <mergeCell ref="B971:C971"/>
    <mergeCell ref="B972:C972"/>
    <mergeCell ref="D972:E972"/>
    <mergeCell ref="F972:G972"/>
    <mergeCell ref="B973:C973"/>
    <mergeCell ref="D973:E973"/>
    <mergeCell ref="F973:G973"/>
    <mergeCell ref="F966:G966"/>
    <mergeCell ref="H966:J966"/>
    <mergeCell ref="H967:J967"/>
    <mergeCell ref="K967:M967"/>
    <mergeCell ref="H968:J968"/>
    <mergeCell ref="K968:M968"/>
    <mergeCell ref="B965:C965"/>
    <mergeCell ref="D965:E965"/>
    <mergeCell ref="F965:G965"/>
    <mergeCell ref="H965:J965"/>
    <mergeCell ref="K965:M965"/>
    <mergeCell ref="D966:E966"/>
    <mergeCell ref="K966:M966"/>
    <mergeCell ref="B969:C969"/>
    <mergeCell ref="D969:E969"/>
    <mergeCell ref="F969:G969"/>
    <mergeCell ref="H969:J969"/>
    <mergeCell ref="K969:M969"/>
    <mergeCell ref="B966:C966"/>
    <mergeCell ref="B967:C967"/>
    <mergeCell ref="D967:E967"/>
    <mergeCell ref="F967:G967"/>
    <mergeCell ref="B968:C968"/>
    <mergeCell ref="D968:E968"/>
    <mergeCell ref="F968:G968"/>
    <mergeCell ref="B970:C970"/>
    <mergeCell ref="D970:E970"/>
    <mergeCell ref="F970:G970"/>
    <mergeCell ref="H970:J970"/>
    <mergeCell ref="K970:M970"/>
    <mergeCell ref="D971:E971"/>
    <mergeCell ref="K971:M971"/>
    <mergeCell ref="B974:C974"/>
    <mergeCell ref="D974:E974"/>
    <mergeCell ref="F974:G974"/>
    <mergeCell ref="H974:J974"/>
    <mergeCell ref="K974:M974"/>
    <mergeCell ref="D978:E978"/>
    <mergeCell ref="F978:G978"/>
    <mergeCell ref="B979:C979"/>
    <mergeCell ref="D979:E979"/>
    <mergeCell ref="F979:G979"/>
    <mergeCell ref="H979:J979"/>
    <mergeCell ref="K979:M979"/>
    <mergeCell ref="H978:J978"/>
    <mergeCell ref="K978:M978"/>
    <mergeCell ref="B976:C976"/>
    <mergeCell ref="B977:C977"/>
    <mergeCell ref="D977:E977"/>
    <mergeCell ref="F977:G977"/>
    <mergeCell ref="H977:J977"/>
    <mergeCell ref="K977:M977"/>
    <mergeCell ref="B978:C978"/>
    <mergeCell ref="F976:G976"/>
    <mergeCell ref="H976:J976"/>
    <mergeCell ref="B975:C975"/>
    <mergeCell ref="D975:E975"/>
    <mergeCell ref="H988:J988"/>
    <mergeCell ref="K988:M988"/>
    <mergeCell ref="B986:C986"/>
    <mergeCell ref="B987:C987"/>
    <mergeCell ref="D987:E987"/>
    <mergeCell ref="F987:G987"/>
    <mergeCell ref="B988:C988"/>
    <mergeCell ref="D988:E988"/>
    <mergeCell ref="F988:G988"/>
    <mergeCell ref="F991:G991"/>
    <mergeCell ref="H991:J991"/>
    <mergeCell ref="B990:C990"/>
    <mergeCell ref="D990:E990"/>
    <mergeCell ref="F990:G990"/>
    <mergeCell ref="H990:J990"/>
    <mergeCell ref="K990:M990"/>
    <mergeCell ref="D991:E991"/>
    <mergeCell ref="K991:M991"/>
    <mergeCell ref="F981:G981"/>
    <mergeCell ref="H981:J981"/>
    <mergeCell ref="H982:J982"/>
    <mergeCell ref="K982:M982"/>
    <mergeCell ref="H983:J983"/>
    <mergeCell ref="K983:M983"/>
    <mergeCell ref="B980:C980"/>
    <mergeCell ref="D980:E980"/>
    <mergeCell ref="F980:G980"/>
    <mergeCell ref="H980:J980"/>
    <mergeCell ref="K980:M980"/>
    <mergeCell ref="D981:E981"/>
    <mergeCell ref="K981:M981"/>
    <mergeCell ref="B984:C984"/>
    <mergeCell ref="D984:E984"/>
    <mergeCell ref="F984:G984"/>
    <mergeCell ref="H984:J984"/>
    <mergeCell ref="K984:M984"/>
    <mergeCell ref="B981:C981"/>
    <mergeCell ref="B982:C982"/>
    <mergeCell ref="D982:E982"/>
    <mergeCell ref="F982:G982"/>
    <mergeCell ref="B983:C983"/>
    <mergeCell ref="D983:E983"/>
    <mergeCell ref="F983:G983"/>
    <mergeCell ref="B985:C985"/>
    <mergeCell ref="D985:E985"/>
    <mergeCell ref="F985:G985"/>
    <mergeCell ref="H985:J985"/>
    <mergeCell ref="K985:M985"/>
    <mergeCell ref="D986:E986"/>
    <mergeCell ref="K986:M986"/>
    <mergeCell ref="B989:C989"/>
    <mergeCell ref="D989:E989"/>
    <mergeCell ref="F989:G989"/>
    <mergeCell ref="H989:J989"/>
    <mergeCell ref="K989:M989"/>
    <mergeCell ref="D993:E993"/>
    <mergeCell ref="F993:G993"/>
    <mergeCell ref="B994:C994"/>
    <mergeCell ref="D994:E994"/>
    <mergeCell ref="F994:G994"/>
    <mergeCell ref="H994:J994"/>
    <mergeCell ref="K994:M994"/>
    <mergeCell ref="H993:J993"/>
    <mergeCell ref="K993:M993"/>
    <mergeCell ref="B991:C991"/>
    <mergeCell ref="B992:C992"/>
    <mergeCell ref="D992:E992"/>
    <mergeCell ref="F992:G992"/>
    <mergeCell ref="H992:J992"/>
    <mergeCell ref="K992:M992"/>
    <mergeCell ref="B993:C993"/>
    <mergeCell ref="F986:G986"/>
    <mergeCell ref="H986:J986"/>
    <mergeCell ref="H987:J987"/>
    <mergeCell ref="K987:M987"/>
    <mergeCell ref="N971:U971"/>
    <mergeCell ref="N972:U972"/>
    <mergeCell ref="N973:U973"/>
    <mergeCell ref="N974:U974"/>
    <mergeCell ref="N975:U975"/>
    <mergeCell ref="N976:U976"/>
    <mergeCell ref="N977:U977"/>
    <mergeCell ref="N978:U978"/>
    <mergeCell ref="N979:U979"/>
    <mergeCell ref="N980:U980"/>
    <mergeCell ref="N981:U981"/>
    <mergeCell ref="N982:U982"/>
    <mergeCell ref="N983:U983"/>
    <mergeCell ref="N984:U984"/>
    <mergeCell ref="N985:U985"/>
    <mergeCell ref="N986:U986"/>
    <mergeCell ref="N987:U987"/>
    <mergeCell ref="N988:U988"/>
    <mergeCell ref="N989:U989"/>
    <mergeCell ref="N990:U990"/>
    <mergeCell ref="N991:U991"/>
    <mergeCell ref="N992:U992"/>
    <mergeCell ref="N993:U993"/>
    <mergeCell ref="N994:U994"/>
    <mergeCell ref="N995:U995"/>
    <mergeCell ref="N996:U996"/>
    <mergeCell ref="N997:U997"/>
    <mergeCell ref="N998:U998"/>
    <mergeCell ref="N999:U999"/>
    <mergeCell ref="N1000:U1000"/>
    <mergeCell ref="N1001:U1001"/>
    <mergeCell ref="N1002:U1002"/>
    <mergeCell ref="N1003:U1003"/>
    <mergeCell ref="N1004:U1004"/>
    <mergeCell ref="N1005:U1005"/>
    <mergeCell ref="N1006:U1006"/>
    <mergeCell ref="N1007:U1007"/>
    <mergeCell ref="N1008:U1008"/>
    <mergeCell ref="N1009:U1009"/>
    <mergeCell ref="N1010:U1010"/>
    <mergeCell ref="N1011:U1011"/>
    <mergeCell ref="N1012:U1012"/>
    <mergeCell ref="N1013:U1013"/>
    <mergeCell ref="N1014:U1014"/>
    <mergeCell ref="N1015:U1015"/>
    <mergeCell ref="N1016:U1016"/>
    <mergeCell ref="N1017:U1017"/>
    <mergeCell ref="N1018:U1018"/>
    <mergeCell ref="N1019:U1019"/>
    <mergeCell ref="N1020:U1020"/>
    <mergeCell ref="N1021:U1021"/>
    <mergeCell ref="N1022:U1022"/>
    <mergeCell ref="N1023:U1023"/>
    <mergeCell ref="N1024:U1024"/>
    <mergeCell ref="N1025:U1025"/>
    <mergeCell ref="N1026:U1026"/>
    <mergeCell ref="N1027:U1027"/>
    <mergeCell ref="N1028:U1028"/>
    <mergeCell ref="N1029:U1029"/>
    <mergeCell ref="N1030:U1030"/>
    <mergeCell ref="N1031:U1031"/>
    <mergeCell ref="N1032:U1032"/>
    <mergeCell ref="N1033:U1033"/>
    <mergeCell ref="N1034:U1034"/>
    <mergeCell ref="N1035:U1035"/>
    <mergeCell ref="N1036:U1036"/>
    <mergeCell ref="N1037:U1037"/>
    <mergeCell ref="N1038:U1038"/>
    <mergeCell ref="N1039:U1039"/>
    <mergeCell ref="N1040:U1040"/>
    <mergeCell ref="N1041:U1041"/>
    <mergeCell ref="N1042:U1042"/>
    <mergeCell ref="N1043:U1043"/>
    <mergeCell ref="N1044:U1044"/>
    <mergeCell ref="N1045:U1045"/>
    <mergeCell ref="N1046:U1046"/>
    <mergeCell ref="N1047:U1047"/>
    <mergeCell ref="N1048:U1048"/>
    <mergeCell ref="N1049:U1049"/>
    <mergeCell ref="N1050:U1050"/>
    <mergeCell ref="N1051:U1051"/>
    <mergeCell ref="N1052:U1052"/>
    <mergeCell ref="N1053:U1053"/>
    <mergeCell ref="N1054:U1054"/>
    <mergeCell ref="N1055:U1055"/>
    <mergeCell ref="N1056:U1056"/>
    <mergeCell ref="N1057:U1057"/>
    <mergeCell ref="N1058:U1058"/>
    <mergeCell ref="N1059:U1059"/>
    <mergeCell ref="N1060:U1060"/>
    <mergeCell ref="N1061:U1061"/>
    <mergeCell ref="N1062:U1062"/>
    <mergeCell ref="N1063:U1063"/>
    <mergeCell ref="N1064:U1064"/>
    <mergeCell ref="N1065:U1065"/>
    <mergeCell ref="N1066:U1066"/>
    <mergeCell ref="N1067:U1067"/>
    <mergeCell ref="N1068:U1068"/>
    <mergeCell ref="N1069:U1069"/>
    <mergeCell ref="N1070:U1070"/>
    <mergeCell ref="N1071:U1071"/>
    <mergeCell ref="N1072:U1072"/>
    <mergeCell ref="N1073:U1073"/>
    <mergeCell ref="N1074:U1074"/>
    <mergeCell ref="N1075:U1075"/>
    <mergeCell ref="N1076:U1076"/>
    <mergeCell ref="N1077:U1077"/>
    <mergeCell ref="N1078:U1078"/>
    <mergeCell ref="N1079:U1079"/>
    <mergeCell ref="N1080:U1080"/>
    <mergeCell ref="N1081:U1081"/>
    <mergeCell ref="N1082:U1082"/>
    <mergeCell ref="N1083:U1083"/>
    <mergeCell ref="N1084:U1084"/>
    <mergeCell ref="N1085:U1085"/>
    <mergeCell ref="N1086:U1086"/>
    <mergeCell ref="N1087:U1087"/>
    <mergeCell ref="N1088:U1088"/>
    <mergeCell ref="N1089:U1089"/>
    <mergeCell ref="N1090:U1090"/>
    <mergeCell ref="N1091:U1091"/>
    <mergeCell ref="N1092:U1092"/>
    <mergeCell ref="N1093:U1093"/>
    <mergeCell ref="N1094:U1094"/>
    <mergeCell ref="N1095:U1095"/>
    <mergeCell ref="N1096:U1096"/>
    <mergeCell ref="N1097:U1097"/>
    <mergeCell ref="N1098:U1098"/>
    <mergeCell ref="N1099:U1099"/>
    <mergeCell ref="N1100:U1100"/>
    <mergeCell ref="N1101:U1101"/>
    <mergeCell ref="N1102:U1102"/>
    <mergeCell ref="N1103:U1103"/>
    <mergeCell ref="N1104:U1104"/>
    <mergeCell ref="N1105:U1105"/>
    <mergeCell ref="N1106:U1106"/>
    <mergeCell ref="N1107:U1107"/>
    <mergeCell ref="N1108:U1108"/>
    <mergeCell ref="N1109:U1109"/>
    <mergeCell ref="N1110:U1110"/>
    <mergeCell ref="N1111:U1111"/>
    <mergeCell ref="N1112:U1112"/>
    <mergeCell ref="N1113:U1113"/>
    <mergeCell ref="N1114:U1114"/>
    <mergeCell ref="N1115:U1115"/>
    <mergeCell ref="N1116:U1116"/>
    <mergeCell ref="N1117:U1117"/>
    <mergeCell ref="N1118:U1118"/>
    <mergeCell ref="N1119:U1119"/>
    <mergeCell ref="N1120:U1120"/>
    <mergeCell ref="N1121:U1121"/>
    <mergeCell ref="N1122:U1122"/>
    <mergeCell ref="N1123:U1123"/>
    <mergeCell ref="N1124:U1124"/>
    <mergeCell ref="N1125:U1125"/>
    <mergeCell ref="N1126:U1126"/>
    <mergeCell ref="N1127:U1127"/>
    <mergeCell ref="N1128:U1128"/>
    <mergeCell ref="N1129:U1129"/>
    <mergeCell ref="N1130:U1130"/>
    <mergeCell ref="N1131:U1131"/>
    <mergeCell ref="N1132:U1132"/>
    <mergeCell ref="N1133:U1133"/>
    <mergeCell ref="N1134:U1134"/>
    <mergeCell ref="N1135:U1135"/>
    <mergeCell ref="N1136:U1136"/>
    <mergeCell ref="N1137:U1137"/>
    <mergeCell ref="N1138:U1138"/>
    <mergeCell ref="N1139:U1139"/>
    <mergeCell ref="N1140:U1140"/>
    <mergeCell ref="N1141:U1141"/>
    <mergeCell ref="N1142:U1142"/>
    <mergeCell ref="N1143:U1143"/>
    <mergeCell ref="N1144:U1144"/>
    <mergeCell ref="N1145:U1145"/>
    <mergeCell ref="N1146:U1146"/>
    <mergeCell ref="N1147:U1147"/>
    <mergeCell ref="N1148:U1148"/>
    <mergeCell ref="N1149:U1149"/>
    <mergeCell ref="N1150:U1150"/>
    <mergeCell ref="N1151:U1151"/>
    <mergeCell ref="N1152:U1152"/>
    <mergeCell ref="N1153:U1153"/>
    <mergeCell ref="N1154:U1154"/>
    <mergeCell ref="N1155:U1155"/>
    <mergeCell ref="N1156:U1156"/>
    <mergeCell ref="N1157:U1157"/>
    <mergeCell ref="N1158:U1158"/>
    <mergeCell ref="N1159:U1159"/>
    <mergeCell ref="N1160:U1160"/>
    <mergeCell ref="N1161:U1161"/>
    <mergeCell ref="N1162:U1162"/>
    <mergeCell ref="N1163:U1163"/>
    <mergeCell ref="N1164:U1164"/>
    <mergeCell ref="N1165:U1165"/>
    <mergeCell ref="N1166:U1166"/>
    <mergeCell ref="N1216:U1216"/>
    <mergeCell ref="N1217:U1217"/>
    <mergeCell ref="N1218:U1218"/>
    <mergeCell ref="N1219:U1219"/>
    <mergeCell ref="N1220:U1220"/>
    <mergeCell ref="N1221:U1221"/>
    <mergeCell ref="N1222:U1222"/>
    <mergeCell ref="N1223:U1223"/>
    <mergeCell ref="N1191:U1191"/>
    <mergeCell ref="N1192:U1192"/>
    <mergeCell ref="N1193:U1193"/>
    <mergeCell ref="N1194:U1194"/>
    <mergeCell ref="N1195:U1195"/>
    <mergeCell ref="N1196:U1196"/>
    <mergeCell ref="N1197:U1197"/>
    <mergeCell ref="N1198:U1198"/>
    <mergeCell ref="N1199:U1199"/>
    <mergeCell ref="N1200:U1200"/>
    <mergeCell ref="N1201:U1201"/>
    <mergeCell ref="N1202:U1202"/>
    <mergeCell ref="N1203:U1203"/>
    <mergeCell ref="N1204:U1204"/>
    <mergeCell ref="N1205:U1205"/>
    <mergeCell ref="N1224:U1224"/>
    <mergeCell ref="N1225:U1225"/>
    <mergeCell ref="N1226:U1226"/>
    <mergeCell ref="N1227:U1227"/>
    <mergeCell ref="N1228:U1228"/>
    <mergeCell ref="N1229:U1229"/>
    <mergeCell ref="N1230:U1230"/>
    <mergeCell ref="N1231:U1231"/>
    <mergeCell ref="N1232:U1232"/>
    <mergeCell ref="N1233:U1233"/>
    <mergeCell ref="N1234:U1234"/>
    <mergeCell ref="N1235:U1235"/>
    <mergeCell ref="N1236:U1236"/>
    <mergeCell ref="N1237:U1237"/>
    <mergeCell ref="N1238:U1238"/>
    <mergeCell ref="N1239:U1239"/>
    <mergeCell ref="N1240:U1240"/>
    <mergeCell ref="N1241:U1241"/>
    <mergeCell ref="N1242:U1242"/>
    <mergeCell ref="N1243:U1243"/>
    <mergeCell ref="N1244:U1244"/>
    <mergeCell ref="N1245:U1245"/>
    <mergeCell ref="N1246:U1246"/>
    <mergeCell ref="N1247:U1247"/>
    <mergeCell ref="N1248:U1248"/>
    <mergeCell ref="N1249:U1249"/>
    <mergeCell ref="N1250:U1250"/>
    <mergeCell ref="N1258:U1258"/>
    <mergeCell ref="N1259:U1259"/>
    <mergeCell ref="N1260:U1260"/>
    <mergeCell ref="N1261:U1261"/>
    <mergeCell ref="N1262:U1262"/>
    <mergeCell ref="N1263:U1263"/>
    <mergeCell ref="N1264:U1264"/>
    <mergeCell ref="N1265:U1265"/>
    <mergeCell ref="N1251:U1251"/>
    <mergeCell ref="N1252:U1252"/>
    <mergeCell ref="N1253:U1253"/>
    <mergeCell ref="N1254:U1254"/>
    <mergeCell ref="N1255:U1255"/>
    <mergeCell ref="N1256:U1256"/>
    <mergeCell ref="N1257:U1257"/>
    <mergeCell ref="N1167:U1167"/>
    <mergeCell ref="N1168:U1168"/>
    <mergeCell ref="N1169:U1169"/>
    <mergeCell ref="N1170:U1170"/>
    <mergeCell ref="N1171:U1171"/>
    <mergeCell ref="N1172:U1172"/>
    <mergeCell ref="N1173:U1173"/>
    <mergeCell ref="N1174:U1174"/>
    <mergeCell ref="N1175:U1175"/>
    <mergeCell ref="N1176:U1176"/>
    <mergeCell ref="N1177:U1177"/>
    <mergeCell ref="N1178:U1178"/>
    <mergeCell ref="N1179:U1179"/>
    <mergeCell ref="N1180:U1180"/>
    <mergeCell ref="N1181:U1181"/>
    <mergeCell ref="N1182:U1182"/>
    <mergeCell ref="N1183:U1183"/>
    <mergeCell ref="N1184:U1184"/>
    <mergeCell ref="N1185:U1185"/>
    <mergeCell ref="N1186:U1186"/>
    <mergeCell ref="N1187:U1187"/>
    <mergeCell ref="N1188:U1188"/>
    <mergeCell ref="N1189:U1189"/>
    <mergeCell ref="N1190:U1190"/>
    <mergeCell ref="N1206:U1206"/>
    <mergeCell ref="N1207:U1207"/>
    <mergeCell ref="N1208:U1208"/>
    <mergeCell ref="N1209:U1209"/>
    <mergeCell ref="N1210:U1210"/>
    <mergeCell ref="N1211:U1211"/>
    <mergeCell ref="N1212:U1212"/>
    <mergeCell ref="N1213:U1213"/>
    <mergeCell ref="N1214:U1214"/>
    <mergeCell ref="N1215:U1215"/>
    <mergeCell ref="B912:C912"/>
    <mergeCell ref="D912:E912"/>
    <mergeCell ref="F912:G912"/>
    <mergeCell ref="H912:J912"/>
    <mergeCell ref="K912:M912"/>
    <mergeCell ref="N912:U912"/>
    <mergeCell ref="B913:C913"/>
    <mergeCell ref="H913:J913"/>
    <mergeCell ref="K913:M913"/>
    <mergeCell ref="D914:E914"/>
    <mergeCell ref="F914:G914"/>
    <mergeCell ref="H914:J914"/>
    <mergeCell ref="K914:M914"/>
    <mergeCell ref="N914:U914"/>
    <mergeCell ref="B914:C914"/>
    <mergeCell ref="B915:C915"/>
    <mergeCell ref="D915:E915"/>
    <mergeCell ref="F915:G915"/>
    <mergeCell ref="H915:J915"/>
    <mergeCell ref="K915:M915"/>
    <mergeCell ref="N915:U915"/>
    <mergeCell ref="B925:C925"/>
    <mergeCell ref="N919:U919"/>
    <mergeCell ref="B920:C920"/>
    <mergeCell ref="D920:E920"/>
    <mergeCell ref="F920:G920"/>
    <mergeCell ref="H920:J920"/>
    <mergeCell ref="K920:M920"/>
    <mergeCell ref="N920:U920"/>
    <mergeCell ref="N921:U921"/>
    <mergeCell ref="F931:G931"/>
    <mergeCell ref="H931:J931"/>
    <mergeCell ref="B930:C930"/>
    <mergeCell ref="D930:E930"/>
    <mergeCell ref="F930:G930"/>
    <mergeCell ref="H930:J930"/>
    <mergeCell ref="K930:M930"/>
    <mergeCell ref="D931:E931"/>
    <mergeCell ref="K931:M931"/>
    <mergeCell ref="H925:J925"/>
    <mergeCell ref="K925:M925"/>
    <mergeCell ref="B922:C922"/>
    <mergeCell ref="B923:C923"/>
    <mergeCell ref="D923:E923"/>
    <mergeCell ref="F923:G923"/>
    <mergeCell ref="B924:C924"/>
    <mergeCell ref="K927:M927"/>
    <mergeCell ref="B931:C931"/>
    <mergeCell ref="D917:E917"/>
    <mergeCell ref="F917:G917"/>
    <mergeCell ref="B918:C918"/>
    <mergeCell ref="D918:E918"/>
    <mergeCell ref="F918:G918"/>
    <mergeCell ref="B919:C919"/>
    <mergeCell ref="D919:E919"/>
    <mergeCell ref="F922:G922"/>
    <mergeCell ref="H922:J922"/>
    <mergeCell ref="H923:J923"/>
    <mergeCell ref="K923:M923"/>
    <mergeCell ref="H924:J924"/>
    <mergeCell ref="K924:M924"/>
    <mergeCell ref="B921:C921"/>
    <mergeCell ref="D921:E921"/>
    <mergeCell ref="F921:G921"/>
    <mergeCell ref="H921:J921"/>
    <mergeCell ref="K921:M921"/>
    <mergeCell ref="D922:E922"/>
    <mergeCell ref="K922:M922"/>
    <mergeCell ref="D924:E924"/>
    <mergeCell ref="F924:G924"/>
    <mergeCell ref="H917:J917"/>
    <mergeCell ref="H919:J919"/>
    <mergeCell ref="K919:M919"/>
    <mergeCell ref="H918:J918"/>
    <mergeCell ref="K918:M918"/>
    <mergeCell ref="D933:E933"/>
    <mergeCell ref="F933:G933"/>
    <mergeCell ref="B934:C934"/>
    <mergeCell ref="D934:E934"/>
    <mergeCell ref="F934:G934"/>
    <mergeCell ref="H934:J934"/>
    <mergeCell ref="K934:M934"/>
    <mergeCell ref="F941:G941"/>
    <mergeCell ref="H941:J941"/>
    <mergeCell ref="H942:J942"/>
    <mergeCell ref="K942:M942"/>
    <mergeCell ref="B941:C941"/>
    <mergeCell ref="B942:C942"/>
    <mergeCell ref="D942:E942"/>
    <mergeCell ref="F942:G942"/>
    <mergeCell ref="H933:J933"/>
    <mergeCell ref="K933:M933"/>
    <mergeCell ref="F936:G936"/>
    <mergeCell ref="H936:J936"/>
    <mergeCell ref="H937:J937"/>
    <mergeCell ref="K937:M937"/>
    <mergeCell ref="H938:J938"/>
    <mergeCell ref="K938:M938"/>
    <mergeCell ref="B935:C935"/>
    <mergeCell ref="D935:E935"/>
    <mergeCell ref="F935:G935"/>
    <mergeCell ref="H935:J935"/>
    <mergeCell ref="K935:M935"/>
    <mergeCell ref="D936:E936"/>
    <mergeCell ref="K936:M936"/>
    <mergeCell ref="B939:C939"/>
    <mergeCell ref="D939:E939"/>
    <mergeCell ref="B932:C932"/>
    <mergeCell ref="D932:E932"/>
    <mergeCell ref="F932:G932"/>
    <mergeCell ref="H932:J932"/>
    <mergeCell ref="K932:M932"/>
    <mergeCell ref="B933:C933"/>
    <mergeCell ref="D938:E938"/>
    <mergeCell ref="F938:G938"/>
    <mergeCell ref="B940:C940"/>
    <mergeCell ref="D940:E940"/>
    <mergeCell ref="F940:G940"/>
    <mergeCell ref="H940:J940"/>
    <mergeCell ref="K940:M940"/>
    <mergeCell ref="D946:E946"/>
    <mergeCell ref="K946:M946"/>
    <mergeCell ref="N922:U922"/>
    <mergeCell ref="N923:U923"/>
    <mergeCell ref="N924:U924"/>
    <mergeCell ref="N925:U925"/>
    <mergeCell ref="N926:U926"/>
    <mergeCell ref="N927:U927"/>
    <mergeCell ref="N928:U928"/>
    <mergeCell ref="N929:U929"/>
    <mergeCell ref="N930:U930"/>
    <mergeCell ref="N931:U931"/>
    <mergeCell ref="N932:U932"/>
    <mergeCell ref="N933:U933"/>
    <mergeCell ref="N934:U934"/>
    <mergeCell ref="N935:U935"/>
    <mergeCell ref="N936:U936"/>
    <mergeCell ref="N937:U937"/>
    <mergeCell ref="N938:U938"/>
    <mergeCell ref="N939:U939"/>
    <mergeCell ref="N940:U940"/>
    <mergeCell ref="N941:U941"/>
    <mergeCell ref="N942:U942"/>
    <mergeCell ref="N943:U943"/>
    <mergeCell ref="N944:U944"/>
    <mergeCell ref="N945:U945"/>
    <mergeCell ref="N946:U946"/>
    <mergeCell ref="D926:E926"/>
    <mergeCell ref="F926:G926"/>
    <mergeCell ref="H926:J926"/>
    <mergeCell ref="K926:M926"/>
    <mergeCell ref="D927:E927"/>
    <mergeCell ref="F1032:G1032"/>
    <mergeCell ref="B1033:C1033"/>
    <mergeCell ref="D1033:E1033"/>
    <mergeCell ref="F1033:G1033"/>
    <mergeCell ref="D1028:E1028"/>
    <mergeCell ref="F1028:G1028"/>
    <mergeCell ref="B1030:C1030"/>
    <mergeCell ref="D1030:E1030"/>
    <mergeCell ref="F1030:G1030"/>
    <mergeCell ref="H1030:J1030"/>
    <mergeCell ref="K1030:M1030"/>
    <mergeCell ref="D1031:E1031"/>
    <mergeCell ref="K1031:M1031"/>
    <mergeCell ref="H1023:J1023"/>
    <mergeCell ref="K1023:M1023"/>
    <mergeCell ref="B1021:C1021"/>
    <mergeCell ref="N947:U947"/>
    <mergeCell ref="N948:U948"/>
    <mergeCell ref="N949:U949"/>
    <mergeCell ref="N950:U950"/>
    <mergeCell ref="N951:U951"/>
    <mergeCell ref="N952:U952"/>
    <mergeCell ref="N953:U953"/>
    <mergeCell ref="N954:U954"/>
    <mergeCell ref="N955:U955"/>
    <mergeCell ref="N956:U956"/>
    <mergeCell ref="N957:U957"/>
    <mergeCell ref="N958:U958"/>
    <mergeCell ref="N959:U959"/>
    <mergeCell ref="N960:U960"/>
    <mergeCell ref="N961:U961"/>
    <mergeCell ref="N962:U962"/>
    <mergeCell ref="H1038:J1038"/>
    <mergeCell ref="K1038:M1038"/>
    <mergeCell ref="B1036:C1036"/>
    <mergeCell ref="B1037:C1037"/>
    <mergeCell ref="D1037:E1037"/>
    <mergeCell ref="F1037:G1037"/>
    <mergeCell ref="H1037:J1037"/>
    <mergeCell ref="K1037:M1037"/>
    <mergeCell ref="B1038:C1038"/>
    <mergeCell ref="F1026:G1026"/>
    <mergeCell ref="H1026:J1026"/>
    <mergeCell ref="H1027:J1027"/>
    <mergeCell ref="K1027:M1027"/>
    <mergeCell ref="H1028:J1028"/>
    <mergeCell ref="K1028:M1028"/>
    <mergeCell ref="B1025:C1025"/>
    <mergeCell ref="D1025:E1025"/>
    <mergeCell ref="F1025:G1025"/>
    <mergeCell ref="H1025:J1025"/>
    <mergeCell ref="K1025:M1025"/>
    <mergeCell ref="D1026:E1026"/>
    <mergeCell ref="K1026:M1026"/>
    <mergeCell ref="B1029:C1029"/>
    <mergeCell ref="D1029:E1029"/>
    <mergeCell ref="F1029:G1029"/>
    <mergeCell ref="H1029:J1029"/>
    <mergeCell ref="K1029:M1029"/>
    <mergeCell ref="B1026:C1026"/>
    <mergeCell ref="B1027:C1027"/>
    <mergeCell ref="D1027:E1027"/>
    <mergeCell ref="F1027:G1027"/>
    <mergeCell ref="B1028:C1028"/>
    <mergeCell ref="D1052:E1052"/>
    <mergeCell ref="F1052:G1052"/>
    <mergeCell ref="H1052:J1052"/>
    <mergeCell ref="K1052:M1052"/>
    <mergeCell ref="D1041:E1041"/>
    <mergeCell ref="K1041:M1041"/>
    <mergeCell ref="B1044:C1044"/>
    <mergeCell ref="D1044:E1044"/>
    <mergeCell ref="F1044:G1044"/>
    <mergeCell ref="H1044:J1044"/>
    <mergeCell ref="K1044:M1044"/>
    <mergeCell ref="B1041:C1041"/>
    <mergeCell ref="B1042:C1042"/>
    <mergeCell ref="D1042:E1042"/>
    <mergeCell ref="F1042:G1042"/>
    <mergeCell ref="B1043:C1043"/>
    <mergeCell ref="D1043:E1043"/>
    <mergeCell ref="F1043:G1043"/>
    <mergeCell ref="H1042:J1042"/>
    <mergeCell ref="B1034:C1034"/>
    <mergeCell ref="D1034:E1034"/>
    <mergeCell ref="F1034:G1034"/>
    <mergeCell ref="H1034:J1034"/>
    <mergeCell ref="K1034:M1034"/>
    <mergeCell ref="D1038:E1038"/>
    <mergeCell ref="F1038:G1038"/>
    <mergeCell ref="B1039:C1039"/>
    <mergeCell ref="D1039:E1039"/>
    <mergeCell ref="F1039:G1039"/>
    <mergeCell ref="H1039:J1039"/>
    <mergeCell ref="K1039:M1039"/>
    <mergeCell ref="F1046:G1046"/>
    <mergeCell ref="H1046:J1046"/>
    <mergeCell ref="H1047:J1047"/>
    <mergeCell ref="K1047:M1047"/>
    <mergeCell ref="H1048:J1048"/>
    <mergeCell ref="K1048:M1048"/>
    <mergeCell ref="B1046:C1046"/>
    <mergeCell ref="B1047:C1047"/>
    <mergeCell ref="D1047:E1047"/>
    <mergeCell ref="F1047:G1047"/>
    <mergeCell ref="B1048:C1048"/>
    <mergeCell ref="D1048:E1048"/>
    <mergeCell ref="F1048:G1048"/>
    <mergeCell ref="F1041:G1041"/>
    <mergeCell ref="H1041:J1041"/>
    <mergeCell ref="D1040:E1040"/>
    <mergeCell ref="F1040:G1040"/>
    <mergeCell ref="H1040:J1040"/>
    <mergeCell ref="K1040:M1040"/>
    <mergeCell ref="K1042:M1042"/>
    <mergeCell ref="H1043:J1043"/>
    <mergeCell ref="K1043:M1043"/>
    <mergeCell ref="B1040:C1040"/>
    <mergeCell ref="B1045:C1045"/>
    <mergeCell ref="D1045:E1045"/>
    <mergeCell ref="F1045:G1045"/>
    <mergeCell ref="H1045:J1045"/>
    <mergeCell ref="K1045:M1045"/>
    <mergeCell ref="D1046:E1046"/>
    <mergeCell ref="K1046:M1046"/>
    <mergeCell ref="B1049:C1049"/>
    <mergeCell ref="D1049:E1049"/>
    <mergeCell ref="F1049:G1049"/>
    <mergeCell ref="H1049:J1049"/>
    <mergeCell ref="K1049:M1049"/>
    <mergeCell ref="D1053:E1053"/>
    <mergeCell ref="F1053:G1053"/>
    <mergeCell ref="B1053:C1053"/>
    <mergeCell ref="B1054:C1054"/>
    <mergeCell ref="D1054:E1054"/>
    <mergeCell ref="F1054:G1054"/>
    <mergeCell ref="H1054:J1054"/>
    <mergeCell ref="K1054:M1054"/>
    <mergeCell ref="F1051:G1051"/>
    <mergeCell ref="H1051:J1051"/>
    <mergeCell ref="B1050:C1050"/>
    <mergeCell ref="D1050:E1050"/>
    <mergeCell ref="F1050:G1050"/>
    <mergeCell ref="H1050:J1050"/>
    <mergeCell ref="K1050:M1050"/>
    <mergeCell ref="D1051:E1051"/>
    <mergeCell ref="K1051:M1051"/>
    <mergeCell ref="H1053:J1053"/>
    <mergeCell ref="K1053:M1053"/>
    <mergeCell ref="B1051:C1051"/>
    <mergeCell ref="B1052:C1052"/>
    <mergeCell ref="H1083:J1083"/>
    <mergeCell ref="K1083:M1083"/>
    <mergeCell ref="B1081:C1081"/>
    <mergeCell ref="B1082:C1082"/>
    <mergeCell ref="D1082:E1082"/>
    <mergeCell ref="F1082:G1082"/>
    <mergeCell ref="H1082:J1082"/>
    <mergeCell ref="K1082:M1082"/>
    <mergeCell ref="B1083:C1083"/>
    <mergeCell ref="F1071:G1071"/>
    <mergeCell ref="H1071:J1071"/>
    <mergeCell ref="H1072:J1072"/>
    <mergeCell ref="K1072:M1072"/>
    <mergeCell ref="H1073:J1073"/>
    <mergeCell ref="K1073:M1073"/>
    <mergeCell ref="B1070:C1070"/>
    <mergeCell ref="D1070:E1070"/>
    <mergeCell ref="F1070:G1070"/>
    <mergeCell ref="H1070:J1070"/>
    <mergeCell ref="K1070:M1070"/>
    <mergeCell ref="D1071:E1071"/>
    <mergeCell ref="K1071:M1071"/>
    <mergeCell ref="B1074:C1074"/>
    <mergeCell ref="D1074:E1074"/>
    <mergeCell ref="F1074:G1074"/>
    <mergeCell ref="H1074:J1074"/>
    <mergeCell ref="K1074:M1074"/>
    <mergeCell ref="B1071:C1071"/>
    <mergeCell ref="B1072:C1072"/>
    <mergeCell ref="D1072:E1072"/>
    <mergeCell ref="F1072:G1072"/>
    <mergeCell ref="B1073:C1073"/>
    <mergeCell ref="D1073:E1073"/>
    <mergeCell ref="F1073:G1073"/>
    <mergeCell ref="B1075:C1075"/>
    <mergeCell ref="D1075:E1075"/>
    <mergeCell ref="F1075:G1075"/>
    <mergeCell ref="H1075:J1075"/>
    <mergeCell ref="K1075:M1075"/>
    <mergeCell ref="D1076:E1076"/>
    <mergeCell ref="K1076:M1076"/>
    <mergeCell ref="B1079:C1079"/>
    <mergeCell ref="D1079:E1079"/>
    <mergeCell ref="F1079:G1079"/>
    <mergeCell ref="H1079:J1079"/>
    <mergeCell ref="K1079:M1079"/>
    <mergeCell ref="D1083:E1083"/>
    <mergeCell ref="F1083:G1083"/>
    <mergeCell ref="B1084:C1084"/>
    <mergeCell ref="D1084:E1084"/>
    <mergeCell ref="F1084:G1084"/>
    <mergeCell ref="H1084:J1084"/>
    <mergeCell ref="K1084:M1084"/>
    <mergeCell ref="F1076:G1076"/>
    <mergeCell ref="H1076:J1076"/>
    <mergeCell ref="H1077:J1077"/>
    <mergeCell ref="K1077:M1077"/>
    <mergeCell ref="H1078:J1078"/>
    <mergeCell ref="K1078:M1078"/>
    <mergeCell ref="B1076:C1076"/>
    <mergeCell ref="B1077:C1077"/>
    <mergeCell ref="D1077:E1077"/>
    <mergeCell ref="F1077:G1077"/>
    <mergeCell ref="B1078:C1078"/>
    <mergeCell ref="H1063:J1063"/>
    <mergeCell ref="K1063:M1063"/>
    <mergeCell ref="B1061:C1061"/>
    <mergeCell ref="B1062:C1062"/>
    <mergeCell ref="D1062:E1062"/>
    <mergeCell ref="F1062:G1062"/>
    <mergeCell ref="B1063:C1063"/>
    <mergeCell ref="D1063:E1063"/>
    <mergeCell ref="F1063:G1063"/>
    <mergeCell ref="F1066:G1066"/>
    <mergeCell ref="H1066:J1066"/>
    <mergeCell ref="B1065:C1065"/>
    <mergeCell ref="D1065:E1065"/>
    <mergeCell ref="F1065:G1065"/>
    <mergeCell ref="H1065:J1065"/>
    <mergeCell ref="K1065:M1065"/>
    <mergeCell ref="D1066:E1066"/>
    <mergeCell ref="K1066:M1066"/>
    <mergeCell ref="F1056:G1056"/>
    <mergeCell ref="H1056:J1056"/>
    <mergeCell ref="H1057:J1057"/>
    <mergeCell ref="K1057:M1057"/>
    <mergeCell ref="H1058:J1058"/>
    <mergeCell ref="K1058:M1058"/>
    <mergeCell ref="B1055:C1055"/>
    <mergeCell ref="D1055:E1055"/>
    <mergeCell ref="F1055:G1055"/>
    <mergeCell ref="H1055:J1055"/>
    <mergeCell ref="K1055:M1055"/>
    <mergeCell ref="D1056:E1056"/>
    <mergeCell ref="K1056:M1056"/>
    <mergeCell ref="B1059:C1059"/>
    <mergeCell ref="D1059:E1059"/>
    <mergeCell ref="F1059:G1059"/>
    <mergeCell ref="H1059:J1059"/>
    <mergeCell ref="K1059:M1059"/>
    <mergeCell ref="B1056:C1056"/>
    <mergeCell ref="B1057:C1057"/>
    <mergeCell ref="D1057:E1057"/>
    <mergeCell ref="F1057:G1057"/>
    <mergeCell ref="B1058:C1058"/>
    <mergeCell ref="D1058:E1058"/>
    <mergeCell ref="F1058:G1058"/>
    <mergeCell ref="B1060:C1060"/>
    <mergeCell ref="D1060:E1060"/>
    <mergeCell ref="F1060:G1060"/>
    <mergeCell ref="H1060:J1060"/>
    <mergeCell ref="K1060:M1060"/>
    <mergeCell ref="D1061:E1061"/>
    <mergeCell ref="K1061:M1061"/>
    <mergeCell ref="B1064:C1064"/>
    <mergeCell ref="D1064:E1064"/>
    <mergeCell ref="F1064:G1064"/>
    <mergeCell ref="H1064:J1064"/>
    <mergeCell ref="K1064:M1064"/>
    <mergeCell ref="D1068:E1068"/>
    <mergeCell ref="F1068:G1068"/>
    <mergeCell ref="B1069:C1069"/>
    <mergeCell ref="D1069:E1069"/>
    <mergeCell ref="F1069:G1069"/>
    <mergeCell ref="H1069:J1069"/>
    <mergeCell ref="K1069:M1069"/>
    <mergeCell ref="H1068:J1068"/>
    <mergeCell ref="K1068:M1068"/>
    <mergeCell ref="B1066:C1066"/>
    <mergeCell ref="B1067:C1067"/>
    <mergeCell ref="D1067:E1067"/>
    <mergeCell ref="F1067:G1067"/>
    <mergeCell ref="H1067:J1067"/>
    <mergeCell ref="K1067:M1067"/>
    <mergeCell ref="B1068:C1068"/>
    <mergeCell ref="F1061:G1061"/>
    <mergeCell ref="H1061:J1061"/>
    <mergeCell ref="H1062:J1062"/>
    <mergeCell ref="K1062:M1062"/>
    <mergeCell ref="D1078:E1078"/>
    <mergeCell ref="F1078:G1078"/>
    <mergeCell ref="F1081:G1081"/>
    <mergeCell ref="H1081:J1081"/>
    <mergeCell ref="B1080:C1080"/>
    <mergeCell ref="D1080:E1080"/>
    <mergeCell ref="F1080:G1080"/>
    <mergeCell ref="H1080:J1080"/>
    <mergeCell ref="K1080:M1080"/>
    <mergeCell ref="D1081:E1081"/>
    <mergeCell ref="K1081:M1081"/>
    <mergeCell ref="F1096:G1096"/>
    <mergeCell ref="H1096:J1096"/>
    <mergeCell ref="B1095:C1095"/>
    <mergeCell ref="D1095:E1095"/>
    <mergeCell ref="F1095:G1095"/>
    <mergeCell ref="H1095:J1095"/>
    <mergeCell ref="K1095:M1095"/>
    <mergeCell ref="D1096:E1096"/>
    <mergeCell ref="K1096:M1096"/>
    <mergeCell ref="F1091:G1091"/>
    <mergeCell ref="H1091:J1091"/>
    <mergeCell ref="H1092:J1092"/>
    <mergeCell ref="K1092:M1092"/>
    <mergeCell ref="H1093:J1093"/>
    <mergeCell ref="K1093:M1093"/>
    <mergeCell ref="B1091:C1091"/>
    <mergeCell ref="B1092:C1092"/>
    <mergeCell ref="D1092:E1092"/>
    <mergeCell ref="F1092:G1092"/>
    <mergeCell ref="B1093:C1093"/>
    <mergeCell ref="D1093:E1093"/>
    <mergeCell ref="F1086:G1086"/>
    <mergeCell ref="H1086:J1086"/>
    <mergeCell ref="H1087:J1087"/>
    <mergeCell ref="K1087:M1087"/>
    <mergeCell ref="H1088:J1088"/>
    <mergeCell ref="K1088:M1088"/>
    <mergeCell ref="B1085:C1085"/>
    <mergeCell ref="D1085:E1085"/>
    <mergeCell ref="F1085:G1085"/>
    <mergeCell ref="H1085:J1085"/>
    <mergeCell ref="K1085:M1085"/>
    <mergeCell ref="D1086:E1086"/>
    <mergeCell ref="K1086:M1086"/>
    <mergeCell ref="B1089:C1089"/>
    <mergeCell ref="D1089:E1089"/>
    <mergeCell ref="F1089:G1089"/>
    <mergeCell ref="H1089:J1089"/>
    <mergeCell ref="K1089:M1089"/>
    <mergeCell ref="B1086:C1086"/>
    <mergeCell ref="B1087:C1087"/>
    <mergeCell ref="D1087:E1087"/>
    <mergeCell ref="F1087:G1087"/>
    <mergeCell ref="B1088:C1088"/>
    <mergeCell ref="D1088:E1088"/>
    <mergeCell ref="F1088:G1088"/>
    <mergeCell ref="B1090:C1090"/>
    <mergeCell ref="D1090:E1090"/>
    <mergeCell ref="F1090:G1090"/>
    <mergeCell ref="H1090:J1090"/>
    <mergeCell ref="K1090:M1090"/>
    <mergeCell ref="D1091:E1091"/>
    <mergeCell ref="K1091:M1091"/>
    <mergeCell ref="B1094:C1094"/>
    <mergeCell ref="D1094:E1094"/>
    <mergeCell ref="F1094:G1094"/>
    <mergeCell ref="H1094:J1094"/>
    <mergeCell ref="K1094:M1094"/>
    <mergeCell ref="D1098:E1098"/>
    <mergeCell ref="F1098:G1098"/>
    <mergeCell ref="F1093:G1093"/>
    <mergeCell ref="H1098:J1098"/>
    <mergeCell ref="K1098:M1098"/>
    <mergeCell ref="B1096:C1096"/>
    <mergeCell ref="B1097:C1097"/>
    <mergeCell ref="D1097:E1097"/>
    <mergeCell ref="F1097:G1097"/>
    <mergeCell ref="H1097:J1097"/>
    <mergeCell ref="K1097:M1097"/>
    <mergeCell ref="B1098:C1098"/>
    <mergeCell ref="B1099:C1099"/>
    <mergeCell ref="D1099:E1099"/>
    <mergeCell ref="F1099:G1099"/>
    <mergeCell ref="H1099:J1099"/>
    <mergeCell ref="K1099:M1099"/>
    <mergeCell ref="F1106:G1106"/>
    <mergeCell ref="H1106:J1106"/>
    <mergeCell ref="H1107:J1107"/>
    <mergeCell ref="K1107:M1107"/>
    <mergeCell ref="H1108:J1108"/>
    <mergeCell ref="K1108:M1108"/>
    <mergeCell ref="B1106:C1106"/>
    <mergeCell ref="B1107:C1107"/>
    <mergeCell ref="D1107:E1107"/>
    <mergeCell ref="F1107:G1107"/>
    <mergeCell ref="B1108:C1108"/>
    <mergeCell ref="D1108:E1108"/>
    <mergeCell ref="F1108:G1108"/>
    <mergeCell ref="F1101:G1101"/>
    <mergeCell ref="H1101:J1101"/>
    <mergeCell ref="H1102:J1102"/>
    <mergeCell ref="K1102:M1102"/>
    <mergeCell ref="H1103:J1103"/>
    <mergeCell ref="K1103:M1103"/>
    <mergeCell ref="B1100:C1100"/>
    <mergeCell ref="D1100:E1100"/>
    <mergeCell ref="F1100:G1100"/>
    <mergeCell ref="H1100:J1100"/>
    <mergeCell ref="K1100:M1100"/>
    <mergeCell ref="D1101:E1101"/>
    <mergeCell ref="K1101:M1101"/>
    <mergeCell ref="B1104:C1104"/>
    <mergeCell ref="F1104:G1104"/>
    <mergeCell ref="H1104:J1104"/>
    <mergeCell ref="K1104:M1104"/>
    <mergeCell ref="B1101:C1101"/>
    <mergeCell ref="B1102:C1102"/>
    <mergeCell ref="D1102:E1102"/>
    <mergeCell ref="F1102:G1102"/>
    <mergeCell ref="B1103:C1103"/>
    <mergeCell ref="D1103:E1103"/>
    <mergeCell ref="F1103:G1103"/>
    <mergeCell ref="B1105:C1105"/>
    <mergeCell ref="D1105:E1105"/>
    <mergeCell ref="F1105:G1105"/>
    <mergeCell ref="H1105:J1105"/>
    <mergeCell ref="K1105:M1105"/>
    <mergeCell ref="D1106:E1106"/>
    <mergeCell ref="K1106:M1106"/>
    <mergeCell ref="D1104:E1104"/>
    <mergeCell ref="H1143:J1143"/>
    <mergeCell ref="K1143:M1143"/>
    <mergeCell ref="B1141:C1141"/>
    <mergeCell ref="B1142:C1142"/>
    <mergeCell ref="D1142:E1142"/>
    <mergeCell ref="F1142:G1142"/>
    <mergeCell ref="H1142:J1142"/>
    <mergeCell ref="K1142:M1142"/>
    <mergeCell ref="B1143:C1143"/>
    <mergeCell ref="F1131:G1131"/>
    <mergeCell ref="H1131:J1131"/>
    <mergeCell ref="H1132:J1132"/>
    <mergeCell ref="K1132:M1132"/>
    <mergeCell ref="H1133:J1133"/>
    <mergeCell ref="K1133:M1133"/>
    <mergeCell ref="B1130:C1130"/>
    <mergeCell ref="D1130:E1130"/>
    <mergeCell ref="F1130:G1130"/>
    <mergeCell ref="H1130:J1130"/>
    <mergeCell ref="K1130:M1130"/>
    <mergeCell ref="F1133:G1133"/>
    <mergeCell ref="B1135:C1135"/>
    <mergeCell ref="D1135:E1135"/>
    <mergeCell ref="F1135:G1135"/>
    <mergeCell ref="H1135:J1135"/>
    <mergeCell ref="K1135:M1135"/>
    <mergeCell ref="B1139:C1139"/>
    <mergeCell ref="D1139:E1139"/>
    <mergeCell ref="F1139:G1139"/>
    <mergeCell ref="H1139:J1139"/>
    <mergeCell ref="K1139:M1139"/>
    <mergeCell ref="D1143:E1143"/>
    <mergeCell ref="B1109:C1109"/>
    <mergeCell ref="D1109:E1109"/>
    <mergeCell ref="F1109:G1109"/>
    <mergeCell ref="H1109:J1109"/>
    <mergeCell ref="K1109:M1109"/>
    <mergeCell ref="D1113:E1113"/>
    <mergeCell ref="F1113:G1113"/>
    <mergeCell ref="B1114:C1114"/>
    <mergeCell ref="D1114:E1114"/>
    <mergeCell ref="F1114:G1114"/>
    <mergeCell ref="H1114:J1114"/>
    <mergeCell ref="K1114:M1114"/>
    <mergeCell ref="F1111:G1111"/>
    <mergeCell ref="H1111:J1111"/>
    <mergeCell ref="B1110:C1110"/>
    <mergeCell ref="D1110:E1110"/>
    <mergeCell ref="F1110:G1110"/>
    <mergeCell ref="H1110:J1110"/>
    <mergeCell ref="K1110:M1110"/>
    <mergeCell ref="D1111:E1111"/>
    <mergeCell ref="K1111:M1111"/>
    <mergeCell ref="H1113:J1113"/>
    <mergeCell ref="K1113:M1113"/>
    <mergeCell ref="B1111:C1111"/>
    <mergeCell ref="B1112:C1112"/>
    <mergeCell ref="D1112:E1112"/>
    <mergeCell ref="F1112:G1112"/>
    <mergeCell ref="H1112:J1112"/>
    <mergeCell ref="K1112:M1112"/>
    <mergeCell ref="B1113:C1113"/>
    <mergeCell ref="F1143:G1143"/>
    <mergeCell ref="B1144:C1144"/>
    <mergeCell ref="D1144:E1144"/>
    <mergeCell ref="F1144:G1144"/>
    <mergeCell ref="H1144:J1144"/>
    <mergeCell ref="K1144:M1144"/>
    <mergeCell ref="F1121:G1121"/>
    <mergeCell ref="H1121:J1121"/>
    <mergeCell ref="H1122:J1122"/>
    <mergeCell ref="K1122:M1122"/>
    <mergeCell ref="H1123:J1123"/>
    <mergeCell ref="K1123:M1123"/>
    <mergeCell ref="B1121:C1121"/>
    <mergeCell ref="B1122:C1122"/>
    <mergeCell ref="D1122:E1122"/>
    <mergeCell ref="F1122:G1122"/>
    <mergeCell ref="B1123:C1123"/>
    <mergeCell ref="D1123:E1123"/>
    <mergeCell ref="F1123:G1123"/>
    <mergeCell ref="F1126:G1126"/>
    <mergeCell ref="H1126:J1126"/>
    <mergeCell ref="B1125:C1125"/>
    <mergeCell ref="D1125:E1125"/>
    <mergeCell ref="F1125:G1125"/>
    <mergeCell ref="D1131:E1131"/>
    <mergeCell ref="K1131:M1131"/>
    <mergeCell ref="H1125:J1125"/>
    <mergeCell ref="K1125:M1125"/>
    <mergeCell ref="D1126:E1126"/>
    <mergeCell ref="K1126:M1126"/>
    <mergeCell ref="H1128:J1128"/>
    <mergeCell ref="K1128:M1128"/>
    <mergeCell ref="B1126:C1126"/>
    <mergeCell ref="B1127:C1127"/>
    <mergeCell ref="D1127:E1127"/>
    <mergeCell ref="F1127:G1127"/>
    <mergeCell ref="H1127:J1127"/>
    <mergeCell ref="K1127:M1127"/>
    <mergeCell ref="B1128:C1128"/>
    <mergeCell ref="F1116:G1116"/>
    <mergeCell ref="H1116:J1116"/>
    <mergeCell ref="H1117:J1117"/>
    <mergeCell ref="K1117:M1117"/>
    <mergeCell ref="H1118:J1118"/>
    <mergeCell ref="K1118:M1118"/>
    <mergeCell ref="B1120:C1120"/>
    <mergeCell ref="D1120:E1120"/>
    <mergeCell ref="F1120:G1120"/>
    <mergeCell ref="H1120:J1120"/>
    <mergeCell ref="K1120:M1120"/>
    <mergeCell ref="D1121:E1121"/>
    <mergeCell ref="K1121:M1121"/>
    <mergeCell ref="B1124:C1124"/>
    <mergeCell ref="D1124:E1124"/>
    <mergeCell ref="F1124:G1124"/>
    <mergeCell ref="H1124:J1124"/>
    <mergeCell ref="K1124:M1124"/>
    <mergeCell ref="D1128:E1128"/>
    <mergeCell ref="F1128:G1128"/>
    <mergeCell ref="B1115:C1115"/>
    <mergeCell ref="D1115:E1115"/>
    <mergeCell ref="F1115:G1115"/>
    <mergeCell ref="H1115:J1115"/>
    <mergeCell ref="K1115:M1115"/>
    <mergeCell ref="D1116:E1116"/>
    <mergeCell ref="K1116:M1116"/>
    <mergeCell ref="B1119:C1119"/>
    <mergeCell ref="D1119:E1119"/>
    <mergeCell ref="F1119:G1119"/>
    <mergeCell ref="H1119:J1119"/>
    <mergeCell ref="K1119:M1119"/>
    <mergeCell ref="B1116:C1116"/>
    <mergeCell ref="B1117:C1117"/>
    <mergeCell ref="D1117:E1117"/>
    <mergeCell ref="F1117:G1117"/>
    <mergeCell ref="B1118:C1118"/>
    <mergeCell ref="D1118:E1118"/>
    <mergeCell ref="F1118:G1118"/>
    <mergeCell ref="B1129:C1129"/>
    <mergeCell ref="D1129:E1129"/>
    <mergeCell ref="F1129:G1129"/>
    <mergeCell ref="H1129:J1129"/>
    <mergeCell ref="K1129:M1129"/>
    <mergeCell ref="F1136:G1136"/>
    <mergeCell ref="H1136:J1136"/>
    <mergeCell ref="H1137:J1137"/>
    <mergeCell ref="K1137:M1137"/>
    <mergeCell ref="H1138:J1138"/>
    <mergeCell ref="K1138:M1138"/>
    <mergeCell ref="B1136:C1136"/>
    <mergeCell ref="B1137:C1137"/>
    <mergeCell ref="D1137:E1137"/>
    <mergeCell ref="F1137:G1137"/>
    <mergeCell ref="B1138:C1138"/>
    <mergeCell ref="D1138:E1138"/>
    <mergeCell ref="F1138:G1138"/>
    <mergeCell ref="D1136:E1136"/>
    <mergeCell ref="K1136:M1136"/>
    <mergeCell ref="B1134:C1134"/>
    <mergeCell ref="D1134:E1134"/>
    <mergeCell ref="F1134:G1134"/>
    <mergeCell ref="H1134:J1134"/>
    <mergeCell ref="K1134:M1134"/>
    <mergeCell ref="B1131:C1131"/>
    <mergeCell ref="B1132:C1132"/>
    <mergeCell ref="D1132:E1132"/>
    <mergeCell ref="F1132:G1132"/>
    <mergeCell ref="B1133:C1133"/>
    <mergeCell ref="D1133:E1133"/>
    <mergeCell ref="F1141:G1141"/>
    <mergeCell ref="H1141:J1141"/>
    <mergeCell ref="B1140:C1140"/>
    <mergeCell ref="D1140:E1140"/>
    <mergeCell ref="F1140:G1140"/>
    <mergeCell ref="H1140:J1140"/>
    <mergeCell ref="K1140:M1140"/>
    <mergeCell ref="D1141:E1141"/>
    <mergeCell ref="K1141:M1141"/>
    <mergeCell ref="F1156:G1156"/>
    <mergeCell ref="H1156:J1156"/>
    <mergeCell ref="B1155:C1155"/>
    <mergeCell ref="D1155:E1155"/>
    <mergeCell ref="F1155:G1155"/>
    <mergeCell ref="H1155:J1155"/>
    <mergeCell ref="K1155:M1155"/>
    <mergeCell ref="D1156:E1156"/>
    <mergeCell ref="K1156:M1156"/>
    <mergeCell ref="F1151:G1151"/>
    <mergeCell ref="H1151:J1151"/>
    <mergeCell ref="H1152:J1152"/>
    <mergeCell ref="K1152:M1152"/>
    <mergeCell ref="H1153:J1153"/>
    <mergeCell ref="K1153:M1153"/>
    <mergeCell ref="B1151:C1151"/>
    <mergeCell ref="B1152:C1152"/>
    <mergeCell ref="D1152:E1152"/>
    <mergeCell ref="F1152:G1152"/>
    <mergeCell ref="B1153:C1153"/>
    <mergeCell ref="D1153:E1153"/>
    <mergeCell ref="F1153:G1153"/>
    <mergeCell ref="D1148:E1148"/>
    <mergeCell ref="F1146:G1146"/>
    <mergeCell ref="H1146:J1146"/>
    <mergeCell ref="H1147:J1147"/>
    <mergeCell ref="K1147:M1147"/>
    <mergeCell ref="H1148:J1148"/>
    <mergeCell ref="K1148:M1148"/>
    <mergeCell ref="B1145:C1145"/>
    <mergeCell ref="D1145:E1145"/>
    <mergeCell ref="F1145:G1145"/>
    <mergeCell ref="H1145:J1145"/>
    <mergeCell ref="K1145:M1145"/>
    <mergeCell ref="D1146:E1146"/>
    <mergeCell ref="K1146:M1146"/>
    <mergeCell ref="B1149:C1149"/>
    <mergeCell ref="D1149:E1149"/>
    <mergeCell ref="F1149:G1149"/>
    <mergeCell ref="H1149:J1149"/>
    <mergeCell ref="K1149:M1149"/>
    <mergeCell ref="B1146:C1146"/>
    <mergeCell ref="B1147:C1147"/>
    <mergeCell ref="D1147:E1147"/>
    <mergeCell ref="F1147:G1147"/>
    <mergeCell ref="B1148:C1148"/>
    <mergeCell ref="F1148:G1148"/>
    <mergeCell ref="B1150:C1150"/>
    <mergeCell ref="D1150:E1150"/>
    <mergeCell ref="F1150:G1150"/>
    <mergeCell ref="H1150:J1150"/>
    <mergeCell ref="K1150:M1150"/>
    <mergeCell ref="D1151:E1151"/>
    <mergeCell ref="K1151:M1151"/>
    <mergeCell ref="B1154:C1154"/>
    <mergeCell ref="D1154:E1154"/>
    <mergeCell ref="F1154:G1154"/>
    <mergeCell ref="H1154:J1154"/>
    <mergeCell ref="K1154:M1154"/>
    <mergeCell ref="D1158:E1158"/>
    <mergeCell ref="F1158:G1158"/>
    <mergeCell ref="B1159:C1159"/>
    <mergeCell ref="D1159:E1159"/>
    <mergeCell ref="F1159:G1159"/>
    <mergeCell ref="H1159:J1159"/>
    <mergeCell ref="K1159:M1159"/>
    <mergeCell ref="H1158:J1158"/>
    <mergeCell ref="K1158:M1158"/>
    <mergeCell ref="B1156:C1156"/>
    <mergeCell ref="B1157:C1157"/>
    <mergeCell ref="D1157:E1157"/>
    <mergeCell ref="F1157:G1157"/>
    <mergeCell ref="H1157:J1157"/>
    <mergeCell ref="K1157:M1157"/>
    <mergeCell ref="B1158:C1158"/>
    <mergeCell ref="H1166:J1166"/>
    <mergeCell ref="H1167:J1167"/>
    <mergeCell ref="K1167:M1167"/>
    <mergeCell ref="H1168:J1168"/>
    <mergeCell ref="K1168:M1168"/>
    <mergeCell ref="B1166:C1166"/>
    <mergeCell ref="B1167:C1167"/>
    <mergeCell ref="D1167:E1167"/>
    <mergeCell ref="F1167:G1167"/>
    <mergeCell ref="B1168:C1168"/>
    <mergeCell ref="D1168:E1168"/>
    <mergeCell ref="F1168:G1168"/>
    <mergeCell ref="F1171:G1171"/>
    <mergeCell ref="H1171:J1171"/>
    <mergeCell ref="B1170:C1170"/>
    <mergeCell ref="D1170:E1170"/>
    <mergeCell ref="F1170:G1170"/>
    <mergeCell ref="H1170:J1170"/>
    <mergeCell ref="K1170:M1170"/>
    <mergeCell ref="D1171:E1171"/>
    <mergeCell ref="K1171:M1171"/>
    <mergeCell ref="K1173:M1173"/>
    <mergeCell ref="B1171:C1171"/>
    <mergeCell ref="B1172:C1172"/>
    <mergeCell ref="D1172:E1172"/>
    <mergeCell ref="F1172:G1172"/>
    <mergeCell ref="H1172:J1172"/>
    <mergeCell ref="K1172:M1172"/>
    <mergeCell ref="B1173:C1173"/>
    <mergeCell ref="F1161:G1161"/>
    <mergeCell ref="H1161:J1161"/>
    <mergeCell ref="H1162:J1162"/>
    <mergeCell ref="K1162:M1162"/>
    <mergeCell ref="H1163:J1163"/>
    <mergeCell ref="K1163:M1163"/>
    <mergeCell ref="B1160:C1160"/>
    <mergeCell ref="D1160:E1160"/>
    <mergeCell ref="F1160:G1160"/>
    <mergeCell ref="H1160:J1160"/>
    <mergeCell ref="K1160:M1160"/>
    <mergeCell ref="D1161:E1161"/>
    <mergeCell ref="K1161:M1161"/>
    <mergeCell ref="B1164:C1164"/>
    <mergeCell ref="D1164:E1164"/>
    <mergeCell ref="F1164:G1164"/>
    <mergeCell ref="H1164:J1164"/>
    <mergeCell ref="K1164:M1164"/>
    <mergeCell ref="B1161:C1161"/>
    <mergeCell ref="B1162:C1162"/>
    <mergeCell ref="D1162:E1162"/>
    <mergeCell ref="F1162:G1162"/>
    <mergeCell ref="B1163:C1163"/>
    <mergeCell ref="F1166:G1166"/>
    <mergeCell ref="F1213:G1213"/>
    <mergeCell ref="H1218:J1218"/>
    <mergeCell ref="K1218:M1218"/>
    <mergeCell ref="B1216:C1216"/>
    <mergeCell ref="B1217:C1217"/>
    <mergeCell ref="D1217:E1217"/>
    <mergeCell ref="F1217:G1217"/>
    <mergeCell ref="H1217:J1217"/>
    <mergeCell ref="K1217:M1217"/>
    <mergeCell ref="B1218:C1218"/>
    <mergeCell ref="D1163:E1163"/>
    <mergeCell ref="F1163:G1163"/>
    <mergeCell ref="B1165:C1165"/>
    <mergeCell ref="D1165:E1165"/>
    <mergeCell ref="F1165:G1165"/>
    <mergeCell ref="H1165:J1165"/>
    <mergeCell ref="K1165:M1165"/>
    <mergeCell ref="D1166:E1166"/>
    <mergeCell ref="K1166:M1166"/>
    <mergeCell ref="B1169:C1169"/>
    <mergeCell ref="D1169:E1169"/>
    <mergeCell ref="F1169:G1169"/>
    <mergeCell ref="H1169:J1169"/>
    <mergeCell ref="K1169:M1169"/>
    <mergeCell ref="D1173:E1173"/>
    <mergeCell ref="F1173:G1173"/>
    <mergeCell ref="B1174:C1174"/>
    <mergeCell ref="D1174:E1174"/>
    <mergeCell ref="F1174:G1174"/>
    <mergeCell ref="H1174:J1174"/>
    <mergeCell ref="K1174:M1174"/>
    <mergeCell ref="H1173:J1173"/>
    <mergeCell ref="B1205:C1205"/>
    <mergeCell ref="D1205:E1205"/>
    <mergeCell ref="F1205:G1205"/>
    <mergeCell ref="H1205:J1205"/>
    <mergeCell ref="K1205:M1205"/>
    <mergeCell ref="D1206:E1206"/>
    <mergeCell ref="K1206:M1206"/>
    <mergeCell ref="B1209:C1209"/>
    <mergeCell ref="D1209:E1209"/>
    <mergeCell ref="F1209:G1209"/>
    <mergeCell ref="H1209:J1209"/>
    <mergeCell ref="K1209:M1209"/>
    <mergeCell ref="B1206:C1206"/>
    <mergeCell ref="B1207:C1207"/>
    <mergeCell ref="D1207:E1207"/>
    <mergeCell ref="F1207:G1207"/>
    <mergeCell ref="B1208:C1208"/>
    <mergeCell ref="D1208:E1208"/>
    <mergeCell ref="F1208:G1208"/>
    <mergeCell ref="D1211:E1211"/>
    <mergeCell ref="K1211:M1211"/>
    <mergeCell ref="B1214:C1214"/>
    <mergeCell ref="D1214:E1214"/>
    <mergeCell ref="F1214:G1214"/>
    <mergeCell ref="H1214:J1214"/>
    <mergeCell ref="K1214:M1214"/>
    <mergeCell ref="D1218:E1218"/>
    <mergeCell ref="F1218:G1218"/>
    <mergeCell ref="B1219:C1219"/>
    <mergeCell ref="D1219:E1219"/>
    <mergeCell ref="F1219:G1219"/>
    <mergeCell ref="H1219:J1219"/>
    <mergeCell ref="K1219:M1219"/>
    <mergeCell ref="F1206:G1206"/>
    <mergeCell ref="H1206:J1206"/>
    <mergeCell ref="H1207:J1207"/>
    <mergeCell ref="K1207:M1207"/>
    <mergeCell ref="H1208:J1208"/>
    <mergeCell ref="K1208:M1208"/>
    <mergeCell ref="F1211:G1211"/>
    <mergeCell ref="H1211:J1211"/>
    <mergeCell ref="H1212:J1212"/>
    <mergeCell ref="K1212:M1212"/>
    <mergeCell ref="H1213:J1213"/>
    <mergeCell ref="K1213:M1213"/>
    <mergeCell ref="B1211:C1211"/>
    <mergeCell ref="B1212:C1212"/>
    <mergeCell ref="D1212:E1212"/>
    <mergeCell ref="F1212:G1212"/>
    <mergeCell ref="B1213:C1213"/>
    <mergeCell ref="D1213:E1213"/>
    <mergeCell ref="H1228:J1228"/>
    <mergeCell ref="K1228:M1228"/>
    <mergeCell ref="B1226:C1226"/>
    <mergeCell ref="B1227:C1227"/>
    <mergeCell ref="D1227:E1227"/>
    <mergeCell ref="F1227:G1227"/>
    <mergeCell ref="B1228:C1228"/>
    <mergeCell ref="D1228:E1228"/>
    <mergeCell ref="F1228:G1228"/>
    <mergeCell ref="F1231:G1231"/>
    <mergeCell ref="H1231:J1231"/>
    <mergeCell ref="B1230:C1230"/>
    <mergeCell ref="D1230:E1230"/>
    <mergeCell ref="F1230:G1230"/>
    <mergeCell ref="H1230:J1230"/>
    <mergeCell ref="K1230:M1230"/>
    <mergeCell ref="D1231:E1231"/>
    <mergeCell ref="K1231:M1231"/>
    <mergeCell ref="F1221:G1221"/>
    <mergeCell ref="H1221:J1221"/>
    <mergeCell ref="H1222:J1222"/>
    <mergeCell ref="K1222:M1222"/>
    <mergeCell ref="H1223:J1223"/>
    <mergeCell ref="K1223:M1223"/>
    <mergeCell ref="B1220:C1220"/>
    <mergeCell ref="D1220:E1220"/>
    <mergeCell ref="F1220:G1220"/>
    <mergeCell ref="H1220:J1220"/>
    <mergeCell ref="K1220:M1220"/>
    <mergeCell ref="D1221:E1221"/>
    <mergeCell ref="K1221:M1221"/>
    <mergeCell ref="B1224:C1224"/>
    <mergeCell ref="D1224:E1224"/>
    <mergeCell ref="F1224:G1224"/>
    <mergeCell ref="H1224:J1224"/>
    <mergeCell ref="K1224:M1224"/>
    <mergeCell ref="B1221:C1221"/>
    <mergeCell ref="B1222:C1222"/>
    <mergeCell ref="D1222:E1222"/>
    <mergeCell ref="F1222:G1222"/>
    <mergeCell ref="B1223:C1223"/>
    <mergeCell ref="D1223:E1223"/>
    <mergeCell ref="F1223:G1223"/>
    <mergeCell ref="B1225:C1225"/>
    <mergeCell ref="D1225:E1225"/>
    <mergeCell ref="F1225:G1225"/>
    <mergeCell ref="H1225:J1225"/>
    <mergeCell ref="K1225:M1225"/>
    <mergeCell ref="D1226:E1226"/>
    <mergeCell ref="K1226:M1226"/>
    <mergeCell ref="B1229:C1229"/>
    <mergeCell ref="D1229:E1229"/>
    <mergeCell ref="F1229:G1229"/>
    <mergeCell ref="H1229:J1229"/>
    <mergeCell ref="K1229:M1229"/>
    <mergeCell ref="D1233:E1233"/>
    <mergeCell ref="F1233:G1233"/>
    <mergeCell ref="B1234:C1234"/>
    <mergeCell ref="D1234:E1234"/>
    <mergeCell ref="F1234:G1234"/>
    <mergeCell ref="H1234:J1234"/>
    <mergeCell ref="K1234:M1234"/>
    <mergeCell ref="H1233:J1233"/>
    <mergeCell ref="K1233:M1233"/>
    <mergeCell ref="B1231:C1231"/>
    <mergeCell ref="B1232:C1232"/>
    <mergeCell ref="D1232:E1232"/>
    <mergeCell ref="F1232:G1232"/>
    <mergeCell ref="H1232:J1232"/>
    <mergeCell ref="K1232:M1232"/>
    <mergeCell ref="B1233:C1233"/>
    <mergeCell ref="F1226:G1226"/>
    <mergeCell ref="H1226:J1226"/>
    <mergeCell ref="H1227:J1227"/>
    <mergeCell ref="K1227:M1227"/>
    <mergeCell ref="F1251:G1251"/>
    <mergeCell ref="H1251:J1251"/>
    <mergeCell ref="H1252:J1252"/>
    <mergeCell ref="K1252:M1252"/>
    <mergeCell ref="H1253:J1253"/>
    <mergeCell ref="K1253:M1253"/>
    <mergeCell ref="B1250:C1250"/>
    <mergeCell ref="D1250:E1250"/>
    <mergeCell ref="F1250:G1250"/>
    <mergeCell ref="H1250:J1250"/>
    <mergeCell ref="K1250:M1250"/>
    <mergeCell ref="D1251:E1251"/>
    <mergeCell ref="K1251:M1251"/>
    <mergeCell ref="B1254:C1254"/>
    <mergeCell ref="D1254:E1254"/>
    <mergeCell ref="F1254:G1254"/>
    <mergeCell ref="H1254:J1254"/>
    <mergeCell ref="K1254:M1254"/>
    <mergeCell ref="B1251:C1251"/>
    <mergeCell ref="B1252:C1252"/>
    <mergeCell ref="D1252:E1252"/>
    <mergeCell ref="F1252:G1252"/>
    <mergeCell ref="B1253:C1253"/>
    <mergeCell ref="D1253:E1253"/>
    <mergeCell ref="F1253:G1253"/>
    <mergeCell ref="B1255:C1255"/>
    <mergeCell ref="D1255:E1255"/>
    <mergeCell ref="F1255:G1255"/>
    <mergeCell ref="H1255:J1255"/>
    <mergeCell ref="K1255:M1255"/>
    <mergeCell ref="D1256:E1256"/>
    <mergeCell ref="K1256:M1256"/>
    <mergeCell ref="B1259:C1259"/>
    <mergeCell ref="D1259:E1259"/>
    <mergeCell ref="F1259:G1259"/>
    <mergeCell ref="H1259:J1259"/>
    <mergeCell ref="K1259:M1259"/>
    <mergeCell ref="D1263:E1263"/>
    <mergeCell ref="F1263:G1263"/>
    <mergeCell ref="B1264:C1264"/>
    <mergeCell ref="D1264:E1264"/>
    <mergeCell ref="F1264:G1264"/>
    <mergeCell ref="H1264:J1264"/>
    <mergeCell ref="K1264:M1264"/>
    <mergeCell ref="B1261:C1261"/>
    <mergeCell ref="B1262:C1262"/>
    <mergeCell ref="D1262:E1262"/>
    <mergeCell ref="F1262:G1262"/>
    <mergeCell ref="H1262:J1262"/>
    <mergeCell ref="K1262:M1262"/>
    <mergeCell ref="B1263:C1263"/>
    <mergeCell ref="H1263:J1263"/>
    <mergeCell ref="K1263:M1263"/>
    <mergeCell ref="F1256:G1256"/>
    <mergeCell ref="H1256:J1256"/>
    <mergeCell ref="H1257:J1257"/>
    <mergeCell ref="K1257:M1257"/>
    <mergeCell ref="N1266:U1266"/>
    <mergeCell ref="N1267:U1267"/>
    <mergeCell ref="N1268:U1268"/>
    <mergeCell ref="N1269:U1269"/>
    <mergeCell ref="N1270:U1270"/>
    <mergeCell ref="N1271:U1271"/>
    <mergeCell ref="N1272:U1272"/>
    <mergeCell ref="N1273:U1273"/>
    <mergeCell ref="N1274:U1274"/>
    <mergeCell ref="N1275:U1275"/>
    <mergeCell ref="N1276:U1276"/>
    <mergeCell ref="N1277:U1277"/>
    <mergeCell ref="N1278:U1278"/>
    <mergeCell ref="N1279:U1279"/>
    <mergeCell ref="N1280:U1280"/>
    <mergeCell ref="N1281:U1281"/>
    <mergeCell ref="N1282:U1282"/>
    <mergeCell ref="N1283:U1283"/>
    <mergeCell ref="N1284:U1284"/>
    <mergeCell ref="N1285:U1285"/>
    <mergeCell ref="N1286:U1286"/>
    <mergeCell ref="N1287:U1287"/>
    <mergeCell ref="N1288:U1288"/>
    <mergeCell ref="N1289:U1289"/>
    <mergeCell ref="N1290:U1290"/>
    <mergeCell ref="N1291:U1291"/>
    <mergeCell ref="N1292:U1292"/>
    <mergeCell ref="N1293:U1293"/>
    <mergeCell ref="N1294:U1294"/>
    <mergeCell ref="N1295:U1295"/>
    <mergeCell ref="N1296:U1296"/>
    <mergeCell ref="N1297:U1297"/>
    <mergeCell ref="N1298:U1298"/>
    <mergeCell ref="N1299:U1299"/>
    <mergeCell ref="N1300:U1300"/>
    <mergeCell ref="N1301:U1301"/>
    <mergeCell ref="N1302:U1302"/>
    <mergeCell ref="N1303:U1303"/>
    <mergeCell ref="N1304:U1304"/>
    <mergeCell ref="N1305:U1305"/>
    <mergeCell ref="N1306:U1306"/>
    <mergeCell ref="N1307:U1307"/>
    <mergeCell ref="N1308:U1308"/>
    <mergeCell ref="N1309:U1309"/>
    <mergeCell ref="N1310:U1310"/>
    <mergeCell ref="N1311:U1311"/>
    <mergeCell ref="N1312:U1312"/>
    <mergeCell ref="N1313:U1313"/>
    <mergeCell ref="N1314:U1314"/>
    <mergeCell ref="N1315:U1315"/>
    <mergeCell ref="N1316:U1316"/>
    <mergeCell ref="N1317:U1317"/>
    <mergeCell ref="N1318:U1318"/>
    <mergeCell ref="N1319:U1319"/>
    <mergeCell ref="N1320:U1320"/>
    <mergeCell ref="N1321:U1321"/>
    <mergeCell ref="N1322:U1322"/>
    <mergeCell ref="N1323:U1323"/>
    <mergeCell ref="N1324:U1324"/>
    <mergeCell ref="N1325:U1325"/>
    <mergeCell ref="N1326:U1326"/>
    <mergeCell ref="N1327:U1327"/>
    <mergeCell ref="N1328:U1328"/>
    <mergeCell ref="N1329:U1329"/>
    <mergeCell ref="N1330:U1330"/>
    <mergeCell ref="N1331:U1331"/>
    <mergeCell ref="N1332:U1332"/>
    <mergeCell ref="N1333:U1333"/>
    <mergeCell ref="N1334:U1334"/>
    <mergeCell ref="N1335:U1335"/>
    <mergeCell ref="N1336:U1336"/>
    <mergeCell ref="N1337:U1337"/>
    <mergeCell ref="N1338:U1338"/>
    <mergeCell ref="N1339:U1339"/>
    <mergeCell ref="N1340:U1340"/>
    <mergeCell ref="N1341:U1341"/>
    <mergeCell ref="N1342:U1342"/>
    <mergeCell ref="N1343:U1343"/>
    <mergeCell ref="N1344:U1344"/>
    <mergeCell ref="N1345:U1345"/>
    <mergeCell ref="N1346:U1346"/>
    <mergeCell ref="N1347:U1347"/>
    <mergeCell ref="N1348:U1348"/>
    <mergeCell ref="N1349:U1349"/>
    <mergeCell ref="N1350:U1350"/>
    <mergeCell ref="N1351:U1351"/>
    <mergeCell ref="N1352:U1352"/>
    <mergeCell ref="N1353:U1353"/>
    <mergeCell ref="N1354:U1354"/>
    <mergeCell ref="N1404:U1404"/>
    <mergeCell ref="N1405:U1405"/>
    <mergeCell ref="N1406:U1406"/>
    <mergeCell ref="N1407:U1407"/>
    <mergeCell ref="N1408:U1408"/>
    <mergeCell ref="N1409:U1409"/>
    <mergeCell ref="N1410:U1410"/>
    <mergeCell ref="N1411:U1411"/>
    <mergeCell ref="N1412:U1412"/>
    <mergeCell ref="N1413:U1413"/>
    <mergeCell ref="N1414:U1414"/>
    <mergeCell ref="N1415:U1415"/>
    <mergeCell ref="N1416:U1416"/>
    <mergeCell ref="N1375:U1375"/>
    <mergeCell ref="N1376:U1376"/>
    <mergeCell ref="N1377:U1377"/>
    <mergeCell ref="N1378:U1378"/>
    <mergeCell ref="N1379:U1379"/>
    <mergeCell ref="N1380:U1380"/>
    <mergeCell ref="N1381:U1381"/>
    <mergeCell ref="N1382:U1382"/>
    <mergeCell ref="N1383:U1383"/>
    <mergeCell ref="N1384:U1384"/>
    <mergeCell ref="N1385:U1385"/>
    <mergeCell ref="N1386:U1386"/>
    <mergeCell ref="N1387:U1387"/>
    <mergeCell ref="N1388:U1388"/>
    <mergeCell ref="N1389:U1389"/>
    <mergeCell ref="N1417:U1417"/>
    <mergeCell ref="N1418:U1418"/>
    <mergeCell ref="N1419:U1419"/>
    <mergeCell ref="N1420:U1420"/>
    <mergeCell ref="N1421:U1421"/>
    <mergeCell ref="N1422:U1422"/>
    <mergeCell ref="N1423:U1423"/>
    <mergeCell ref="N1424:U1424"/>
    <mergeCell ref="N1425:U1425"/>
    <mergeCell ref="N1426:U1426"/>
    <mergeCell ref="N1427:U1427"/>
    <mergeCell ref="N1428:U1428"/>
    <mergeCell ref="N1429:U1429"/>
    <mergeCell ref="N1430:U1430"/>
    <mergeCell ref="N1431:U1431"/>
    <mergeCell ref="N1439:U1439"/>
    <mergeCell ref="N1440:U1440"/>
    <mergeCell ref="N1441:U1441"/>
    <mergeCell ref="N1442:U1442"/>
    <mergeCell ref="N1443:U1443"/>
    <mergeCell ref="N1444:U1444"/>
    <mergeCell ref="N1445:U1445"/>
    <mergeCell ref="N1432:U1432"/>
    <mergeCell ref="N1433:U1433"/>
    <mergeCell ref="N1434:U1434"/>
    <mergeCell ref="N1435:U1435"/>
    <mergeCell ref="N1436:U1436"/>
    <mergeCell ref="N1437:U1437"/>
    <mergeCell ref="N1438:U1438"/>
    <mergeCell ref="N1355:U1355"/>
    <mergeCell ref="N1356:U1356"/>
    <mergeCell ref="N1357:U1357"/>
    <mergeCell ref="N1358:U1358"/>
    <mergeCell ref="N1359:U1359"/>
    <mergeCell ref="N1360:U1360"/>
    <mergeCell ref="N1361:U1361"/>
    <mergeCell ref="N1362:U1362"/>
    <mergeCell ref="N1363:U1363"/>
    <mergeCell ref="N1364:U1364"/>
    <mergeCell ref="N1365:U1365"/>
    <mergeCell ref="N1366:U1366"/>
    <mergeCell ref="N1367:U1367"/>
    <mergeCell ref="N1368:U1368"/>
    <mergeCell ref="N1369:U1369"/>
    <mergeCell ref="N1370:U1370"/>
    <mergeCell ref="N1371:U1371"/>
    <mergeCell ref="N1372:U1372"/>
    <mergeCell ref="N1373:U1373"/>
    <mergeCell ref="N1374:U1374"/>
    <mergeCell ref="N1395:U1395"/>
    <mergeCell ref="N1396:U1396"/>
    <mergeCell ref="N1397:U1397"/>
    <mergeCell ref="N1398:U1398"/>
    <mergeCell ref="N1399:U1399"/>
    <mergeCell ref="N1400:U1400"/>
    <mergeCell ref="N1401:U1401"/>
    <mergeCell ref="N1402:U1402"/>
    <mergeCell ref="N1403:U1403"/>
    <mergeCell ref="F1361:G1361"/>
    <mergeCell ref="H1361:J1361"/>
    <mergeCell ref="H1362:J1362"/>
    <mergeCell ref="K1362:M1362"/>
    <mergeCell ref="H1363:J1363"/>
    <mergeCell ref="K1363:M1363"/>
    <mergeCell ref="F1376:G1376"/>
    <mergeCell ref="H1376:J1376"/>
    <mergeCell ref="H1377:J1377"/>
    <mergeCell ref="K1377:M1377"/>
    <mergeCell ref="H1378:J1378"/>
    <mergeCell ref="K1378:M1378"/>
    <mergeCell ref="H1398:J1398"/>
    <mergeCell ref="K1398:M1398"/>
    <mergeCell ref="K1365:M1365"/>
    <mergeCell ref="H1364:J1364"/>
    <mergeCell ref="K1364:M1364"/>
    <mergeCell ref="N1390:U1390"/>
    <mergeCell ref="N1391:U1391"/>
    <mergeCell ref="N1392:U1392"/>
    <mergeCell ref="N1393:U1393"/>
    <mergeCell ref="N1394:U1394"/>
    <mergeCell ref="K1367:M1367"/>
    <mergeCell ref="F1356:G1356"/>
    <mergeCell ref="H1356:J1356"/>
    <mergeCell ref="H1357:J1357"/>
    <mergeCell ref="K1357:M1357"/>
    <mergeCell ref="H1358:J1358"/>
    <mergeCell ref="K1358:M1358"/>
    <mergeCell ref="B1360:C1360"/>
    <mergeCell ref="D1360:E1360"/>
    <mergeCell ref="F1360:G1360"/>
    <mergeCell ref="H1360:J1360"/>
    <mergeCell ref="K1360:M1360"/>
    <mergeCell ref="D1361:E1361"/>
    <mergeCell ref="K1361:M1361"/>
    <mergeCell ref="B1364:C1364"/>
    <mergeCell ref="D1364:E1364"/>
    <mergeCell ref="F1364:G1364"/>
    <mergeCell ref="B1355:C1355"/>
    <mergeCell ref="D1355:E1355"/>
    <mergeCell ref="F1355:G1355"/>
    <mergeCell ref="H1355:J1355"/>
    <mergeCell ref="K1355:M1355"/>
    <mergeCell ref="D1356:E1356"/>
    <mergeCell ref="K1356:M1356"/>
    <mergeCell ref="B1359:C1359"/>
    <mergeCell ref="D1359:E1359"/>
    <mergeCell ref="F1359:G1359"/>
    <mergeCell ref="H1359:J1359"/>
    <mergeCell ref="K1359:M1359"/>
    <mergeCell ref="B1356:C1356"/>
    <mergeCell ref="B1357:C1357"/>
    <mergeCell ref="D1357:E1357"/>
    <mergeCell ref="F1357:G1357"/>
    <mergeCell ref="B1358:C1358"/>
    <mergeCell ref="D1358:E1358"/>
    <mergeCell ref="F1358:G1358"/>
    <mergeCell ref="D1368:E1368"/>
    <mergeCell ref="F1368:G1368"/>
    <mergeCell ref="B1369:C1369"/>
    <mergeCell ref="D1369:E1369"/>
    <mergeCell ref="F1369:G1369"/>
    <mergeCell ref="H1369:J1369"/>
    <mergeCell ref="K1369:M1369"/>
    <mergeCell ref="B1361:C1361"/>
    <mergeCell ref="B1362:C1362"/>
    <mergeCell ref="D1362:E1362"/>
    <mergeCell ref="F1362:G1362"/>
    <mergeCell ref="B1363:C1363"/>
    <mergeCell ref="D1363:E1363"/>
    <mergeCell ref="F1363:G1363"/>
    <mergeCell ref="F1366:G1366"/>
    <mergeCell ref="H1366:J1366"/>
    <mergeCell ref="B1365:C1365"/>
    <mergeCell ref="D1365:E1365"/>
    <mergeCell ref="F1365:G1365"/>
    <mergeCell ref="H1365:J1365"/>
    <mergeCell ref="D1366:E1366"/>
    <mergeCell ref="K1366:M1366"/>
    <mergeCell ref="H1368:J1368"/>
    <mergeCell ref="K1368:M1368"/>
    <mergeCell ref="B1366:C1366"/>
    <mergeCell ref="B1367:C1367"/>
    <mergeCell ref="D1367:E1367"/>
    <mergeCell ref="F1367:G1367"/>
    <mergeCell ref="H1367:J1367"/>
    <mergeCell ref="B1368:C1368"/>
    <mergeCell ref="B1376:C1376"/>
    <mergeCell ref="B1377:C1377"/>
    <mergeCell ref="D1377:E1377"/>
    <mergeCell ref="F1377:G1377"/>
    <mergeCell ref="B1378:C1378"/>
    <mergeCell ref="D1378:E1378"/>
    <mergeCell ref="F1378:G1378"/>
    <mergeCell ref="F1381:G1381"/>
    <mergeCell ref="H1381:J1381"/>
    <mergeCell ref="B1380:C1380"/>
    <mergeCell ref="D1380:E1380"/>
    <mergeCell ref="F1380:G1380"/>
    <mergeCell ref="H1380:J1380"/>
    <mergeCell ref="K1380:M1380"/>
    <mergeCell ref="D1381:E1381"/>
    <mergeCell ref="K1381:M1381"/>
    <mergeCell ref="D1371:E1371"/>
    <mergeCell ref="K1371:M1371"/>
    <mergeCell ref="B1374:C1374"/>
    <mergeCell ref="D1374:E1374"/>
    <mergeCell ref="F1374:G1374"/>
    <mergeCell ref="H1374:J1374"/>
    <mergeCell ref="K1374:M1374"/>
    <mergeCell ref="B1371:C1371"/>
    <mergeCell ref="B1372:C1372"/>
    <mergeCell ref="D1372:E1372"/>
    <mergeCell ref="F1372:G1372"/>
    <mergeCell ref="B1373:C1373"/>
    <mergeCell ref="D1373:E1373"/>
    <mergeCell ref="F1373:G1373"/>
    <mergeCell ref="B1375:C1375"/>
    <mergeCell ref="F1396:G1396"/>
    <mergeCell ref="H1396:J1396"/>
    <mergeCell ref="B1395:C1395"/>
    <mergeCell ref="D1395:E1395"/>
    <mergeCell ref="F1395:G1395"/>
    <mergeCell ref="H1395:J1395"/>
    <mergeCell ref="K1395:M1395"/>
    <mergeCell ref="D1396:E1396"/>
    <mergeCell ref="K1396:M1396"/>
    <mergeCell ref="D1376:E1376"/>
    <mergeCell ref="K1376:M1376"/>
    <mergeCell ref="B1379:C1379"/>
    <mergeCell ref="D1379:E1379"/>
    <mergeCell ref="F1379:G1379"/>
    <mergeCell ref="H1379:J1379"/>
    <mergeCell ref="K1379:M1379"/>
    <mergeCell ref="H1243:J1243"/>
    <mergeCell ref="K1243:M1243"/>
    <mergeCell ref="H1244:J1244"/>
    <mergeCell ref="K1244:M1244"/>
    <mergeCell ref="D1248:E1248"/>
    <mergeCell ref="F1248:G1248"/>
    <mergeCell ref="B1249:C1249"/>
    <mergeCell ref="D1249:E1249"/>
    <mergeCell ref="F1249:G1249"/>
    <mergeCell ref="H1249:J1249"/>
    <mergeCell ref="K1249:M1249"/>
    <mergeCell ref="H1248:J1248"/>
    <mergeCell ref="K1248:M1248"/>
    <mergeCell ref="B1246:C1246"/>
    <mergeCell ref="B1247:C1247"/>
    <mergeCell ref="D1247:E1247"/>
    <mergeCell ref="K1246:M1246"/>
    <mergeCell ref="F1236:G1236"/>
    <mergeCell ref="H1236:J1236"/>
    <mergeCell ref="H1237:J1237"/>
    <mergeCell ref="K1237:M1237"/>
    <mergeCell ref="H1238:J1238"/>
    <mergeCell ref="K1238:M1238"/>
    <mergeCell ref="B1240:C1240"/>
    <mergeCell ref="D1240:E1240"/>
    <mergeCell ref="F1240:G1240"/>
    <mergeCell ref="H1240:J1240"/>
    <mergeCell ref="K1240:M1240"/>
    <mergeCell ref="D1241:E1241"/>
    <mergeCell ref="K1241:M1241"/>
    <mergeCell ref="B1244:C1244"/>
    <mergeCell ref="D1244:E1244"/>
    <mergeCell ref="F1244:G1244"/>
    <mergeCell ref="B1235:C1235"/>
    <mergeCell ref="D1235:E1235"/>
    <mergeCell ref="F1235:G1235"/>
    <mergeCell ref="H1235:J1235"/>
    <mergeCell ref="K1235:M1235"/>
    <mergeCell ref="D1236:E1236"/>
    <mergeCell ref="K1236:M1236"/>
    <mergeCell ref="B1239:C1239"/>
    <mergeCell ref="D1239:E1239"/>
    <mergeCell ref="F1239:G1239"/>
    <mergeCell ref="H1239:J1239"/>
    <mergeCell ref="K1239:M1239"/>
    <mergeCell ref="B1236:C1236"/>
    <mergeCell ref="B1237:C1237"/>
    <mergeCell ref="D1237:E1237"/>
    <mergeCell ref="F1237:G1237"/>
    <mergeCell ref="B1238:C1238"/>
    <mergeCell ref="D1238:E1238"/>
    <mergeCell ref="F1238:G1238"/>
    <mergeCell ref="F1247:G1247"/>
    <mergeCell ref="H1247:J1247"/>
    <mergeCell ref="K1247:M1247"/>
    <mergeCell ref="B1248:C1248"/>
    <mergeCell ref="F1241:G1241"/>
    <mergeCell ref="H1241:J1241"/>
    <mergeCell ref="H1242:J1242"/>
    <mergeCell ref="K1242:M1242"/>
    <mergeCell ref="H1258:J1258"/>
    <mergeCell ref="K1258:M1258"/>
    <mergeCell ref="B1256:C1256"/>
    <mergeCell ref="B1257:C1257"/>
    <mergeCell ref="D1257:E1257"/>
    <mergeCell ref="F1257:G1257"/>
    <mergeCell ref="B1258:C1258"/>
    <mergeCell ref="D1258:E1258"/>
    <mergeCell ref="F1258:G1258"/>
    <mergeCell ref="B1241:C1241"/>
    <mergeCell ref="B1242:C1242"/>
    <mergeCell ref="D1242:E1242"/>
    <mergeCell ref="F1242:G1242"/>
    <mergeCell ref="B1243:C1243"/>
    <mergeCell ref="D1243:E1243"/>
    <mergeCell ref="F1243:G1243"/>
    <mergeCell ref="F1246:G1246"/>
    <mergeCell ref="H1246:J1246"/>
    <mergeCell ref="B1245:C1245"/>
    <mergeCell ref="D1245:E1245"/>
    <mergeCell ref="F1245:G1245"/>
    <mergeCell ref="H1245:J1245"/>
    <mergeCell ref="K1245:M1245"/>
    <mergeCell ref="D1246:E1246"/>
    <mergeCell ref="F1261:G1261"/>
    <mergeCell ref="H1261:J1261"/>
    <mergeCell ref="B1260:C1260"/>
    <mergeCell ref="D1260:E1260"/>
    <mergeCell ref="F1260:G1260"/>
    <mergeCell ref="H1260:J1260"/>
    <mergeCell ref="K1260:M1260"/>
    <mergeCell ref="D1261:E1261"/>
    <mergeCell ref="K1261:M1261"/>
    <mergeCell ref="F1275:G1275"/>
    <mergeCell ref="H1275:J1275"/>
    <mergeCell ref="K1275:M1275"/>
    <mergeCell ref="D1276:E1276"/>
    <mergeCell ref="K1276:M1276"/>
    <mergeCell ref="F1271:G1271"/>
    <mergeCell ref="H1271:J1271"/>
    <mergeCell ref="H1272:J1272"/>
    <mergeCell ref="K1272:M1272"/>
    <mergeCell ref="H1273:J1273"/>
    <mergeCell ref="K1273:M1273"/>
    <mergeCell ref="B1271:C1271"/>
    <mergeCell ref="B1272:C1272"/>
    <mergeCell ref="D1272:E1272"/>
    <mergeCell ref="F1272:G1272"/>
    <mergeCell ref="B1273:C1273"/>
    <mergeCell ref="D1273:E1273"/>
    <mergeCell ref="F1273:G1273"/>
    <mergeCell ref="F1266:G1266"/>
    <mergeCell ref="H1266:J1266"/>
    <mergeCell ref="H1267:J1267"/>
    <mergeCell ref="K1267:M1267"/>
    <mergeCell ref="H1268:J1268"/>
    <mergeCell ref="K1268:M1268"/>
    <mergeCell ref="B1265:C1265"/>
    <mergeCell ref="D1265:E1265"/>
    <mergeCell ref="F1265:G1265"/>
    <mergeCell ref="H1265:J1265"/>
    <mergeCell ref="K1265:M1265"/>
    <mergeCell ref="D1266:E1266"/>
    <mergeCell ref="K1266:M1266"/>
    <mergeCell ref="B1269:C1269"/>
    <mergeCell ref="D1269:E1269"/>
    <mergeCell ref="F1269:G1269"/>
    <mergeCell ref="H1269:J1269"/>
    <mergeCell ref="K1269:M1269"/>
    <mergeCell ref="B1266:C1266"/>
    <mergeCell ref="B1267:C1267"/>
    <mergeCell ref="D1267:E1267"/>
    <mergeCell ref="F1267:G1267"/>
    <mergeCell ref="B1268:C1268"/>
    <mergeCell ref="D1268:E1268"/>
    <mergeCell ref="F1268:G1268"/>
    <mergeCell ref="B1270:C1270"/>
    <mergeCell ref="D1270:E1270"/>
    <mergeCell ref="F1270:G1270"/>
    <mergeCell ref="H1270:J1270"/>
    <mergeCell ref="K1270:M1270"/>
    <mergeCell ref="D1271:E1271"/>
    <mergeCell ref="K1271:M1271"/>
    <mergeCell ref="B1274:C1274"/>
    <mergeCell ref="D1274:E1274"/>
    <mergeCell ref="F1274:G1274"/>
    <mergeCell ref="H1274:J1274"/>
    <mergeCell ref="K1274:M1274"/>
    <mergeCell ref="D1278:E1278"/>
    <mergeCell ref="F1278:G1278"/>
    <mergeCell ref="B1279:C1279"/>
    <mergeCell ref="D1279:E1279"/>
    <mergeCell ref="F1279:G1279"/>
    <mergeCell ref="H1279:J1279"/>
    <mergeCell ref="K1279:M1279"/>
    <mergeCell ref="H1278:J1278"/>
    <mergeCell ref="K1278:M1278"/>
    <mergeCell ref="B1276:C1276"/>
    <mergeCell ref="B1277:C1277"/>
    <mergeCell ref="D1277:E1277"/>
    <mergeCell ref="F1277:G1277"/>
    <mergeCell ref="H1277:J1277"/>
    <mergeCell ref="K1277:M1277"/>
    <mergeCell ref="B1278:C1278"/>
    <mergeCell ref="F1276:G1276"/>
    <mergeCell ref="H1276:J1276"/>
    <mergeCell ref="B1275:C1275"/>
    <mergeCell ref="D1275:E1275"/>
    <mergeCell ref="H1288:J1288"/>
    <mergeCell ref="K1288:M1288"/>
    <mergeCell ref="B1286:C1286"/>
    <mergeCell ref="B1287:C1287"/>
    <mergeCell ref="D1287:E1287"/>
    <mergeCell ref="F1287:G1287"/>
    <mergeCell ref="B1288:C1288"/>
    <mergeCell ref="D1288:E1288"/>
    <mergeCell ref="F1288:G1288"/>
    <mergeCell ref="F1291:G1291"/>
    <mergeCell ref="H1291:J1291"/>
    <mergeCell ref="B1290:C1290"/>
    <mergeCell ref="D1290:E1290"/>
    <mergeCell ref="F1290:G1290"/>
    <mergeCell ref="H1290:J1290"/>
    <mergeCell ref="K1290:M1290"/>
    <mergeCell ref="D1291:E1291"/>
    <mergeCell ref="K1291:M1291"/>
    <mergeCell ref="F1281:G1281"/>
    <mergeCell ref="H1281:J1281"/>
    <mergeCell ref="H1282:J1282"/>
    <mergeCell ref="K1282:M1282"/>
    <mergeCell ref="H1283:J1283"/>
    <mergeCell ref="K1283:M1283"/>
    <mergeCell ref="B1280:C1280"/>
    <mergeCell ref="D1280:E1280"/>
    <mergeCell ref="F1280:G1280"/>
    <mergeCell ref="H1280:J1280"/>
    <mergeCell ref="K1280:M1280"/>
    <mergeCell ref="D1281:E1281"/>
    <mergeCell ref="K1281:M1281"/>
    <mergeCell ref="B1284:C1284"/>
    <mergeCell ref="D1284:E1284"/>
    <mergeCell ref="F1284:G1284"/>
    <mergeCell ref="H1284:J1284"/>
    <mergeCell ref="K1284:M1284"/>
    <mergeCell ref="B1281:C1281"/>
    <mergeCell ref="B1282:C1282"/>
    <mergeCell ref="D1282:E1282"/>
    <mergeCell ref="F1282:G1282"/>
    <mergeCell ref="B1283:C1283"/>
    <mergeCell ref="D1283:E1283"/>
    <mergeCell ref="F1283:G1283"/>
    <mergeCell ref="B1285:C1285"/>
    <mergeCell ref="D1285:E1285"/>
    <mergeCell ref="F1285:G1285"/>
    <mergeCell ref="H1285:J1285"/>
    <mergeCell ref="K1285:M1285"/>
    <mergeCell ref="D1286:E1286"/>
    <mergeCell ref="K1286:M1286"/>
    <mergeCell ref="B1289:C1289"/>
    <mergeCell ref="D1289:E1289"/>
    <mergeCell ref="F1289:G1289"/>
    <mergeCell ref="H1289:J1289"/>
    <mergeCell ref="K1289:M1289"/>
    <mergeCell ref="D1293:E1293"/>
    <mergeCell ref="F1293:G1293"/>
    <mergeCell ref="B1294:C1294"/>
    <mergeCell ref="D1294:E1294"/>
    <mergeCell ref="F1294:G1294"/>
    <mergeCell ref="H1294:J1294"/>
    <mergeCell ref="K1294:M1294"/>
    <mergeCell ref="H1293:J1293"/>
    <mergeCell ref="K1293:M1293"/>
    <mergeCell ref="B1291:C1291"/>
    <mergeCell ref="B1292:C1292"/>
    <mergeCell ref="D1292:E1292"/>
    <mergeCell ref="F1292:G1292"/>
    <mergeCell ref="H1292:J1292"/>
    <mergeCell ref="K1292:M1292"/>
    <mergeCell ref="B1293:C1293"/>
    <mergeCell ref="F1286:G1286"/>
    <mergeCell ref="H1286:J1286"/>
    <mergeCell ref="H1287:J1287"/>
    <mergeCell ref="K1287:M1287"/>
    <mergeCell ref="H1323:J1323"/>
    <mergeCell ref="K1323:M1323"/>
    <mergeCell ref="B1321:C1321"/>
    <mergeCell ref="B1322:C1322"/>
    <mergeCell ref="D1322:E1322"/>
    <mergeCell ref="F1322:G1322"/>
    <mergeCell ref="H1322:J1322"/>
    <mergeCell ref="K1322:M1322"/>
    <mergeCell ref="B1323:C1323"/>
    <mergeCell ref="F1311:G1311"/>
    <mergeCell ref="H1311:J1311"/>
    <mergeCell ref="H1312:J1312"/>
    <mergeCell ref="K1312:M1312"/>
    <mergeCell ref="H1313:J1313"/>
    <mergeCell ref="K1313:M1313"/>
    <mergeCell ref="B1310:C1310"/>
    <mergeCell ref="D1310:E1310"/>
    <mergeCell ref="F1310:G1310"/>
    <mergeCell ref="H1310:J1310"/>
    <mergeCell ref="K1310:M1310"/>
    <mergeCell ref="D1311:E1311"/>
    <mergeCell ref="K1311:M1311"/>
    <mergeCell ref="B1314:C1314"/>
    <mergeCell ref="D1314:E1314"/>
    <mergeCell ref="F1314:G1314"/>
    <mergeCell ref="H1314:J1314"/>
    <mergeCell ref="K1314:M1314"/>
    <mergeCell ref="B1311:C1311"/>
    <mergeCell ref="B1312:C1312"/>
    <mergeCell ref="D1312:E1312"/>
    <mergeCell ref="F1312:G1312"/>
    <mergeCell ref="B1313:C1313"/>
    <mergeCell ref="D1313:E1313"/>
    <mergeCell ref="F1313:G1313"/>
    <mergeCell ref="B1315:C1315"/>
    <mergeCell ref="D1315:E1315"/>
    <mergeCell ref="F1315:G1315"/>
    <mergeCell ref="H1315:J1315"/>
    <mergeCell ref="K1315:M1315"/>
    <mergeCell ref="D1316:E1316"/>
    <mergeCell ref="K1316:M1316"/>
    <mergeCell ref="B1319:C1319"/>
    <mergeCell ref="D1319:E1319"/>
    <mergeCell ref="F1319:G1319"/>
    <mergeCell ref="H1319:J1319"/>
    <mergeCell ref="K1319:M1319"/>
    <mergeCell ref="D1323:E1323"/>
    <mergeCell ref="F1323:G1323"/>
    <mergeCell ref="B1324:C1324"/>
    <mergeCell ref="D1324:E1324"/>
    <mergeCell ref="F1324:G1324"/>
    <mergeCell ref="H1324:J1324"/>
    <mergeCell ref="K1324:M1324"/>
    <mergeCell ref="F1316:G1316"/>
    <mergeCell ref="H1316:J1316"/>
    <mergeCell ref="H1317:J1317"/>
    <mergeCell ref="K1317:M1317"/>
    <mergeCell ref="H1318:J1318"/>
    <mergeCell ref="K1318:M1318"/>
    <mergeCell ref="B1316:C1316"/>
    <mergeCell ref="B1317:C1317"/>
    <mergeCell ref="D1317:E1317"/>
    <mergeCell ref="F1317:G1317"/>
    <mergeCell ref="B1318:C1318"/>
    <mergeCell ref="H1303:J1303"/>
    <mergeCell ref="K1303:M1303"/>
    <mergeCell ref="B1301:C1301"/>
    <mergeCell ref="B1302:C1302"/>
    <mergeCell ref="D1302:E1302"/>
    <mergeCell ref="F1302:G1302"/>
    <mergeCell ref="B1303:C1303"/>
    <mergeCell ref="D1303:E1303"/>
    <mergeCell ref="F1303:G1303"/>
    <mergeCell ref="F1306:G1306"/>
    <mergeCell ref="H1306:J1306"/>
    <mergeCell ref="B1305:C1305"/>
    <mergeCell ref="D1305:E1305"/>
    <mergeCell ref="F1305:G1305"/>
    <mergeCell ref="H1305:J1305"/>
    <mergeCell ref="K1305:M1305"/>
    <mergeCell ref="D1306:E1306"/>
    <mergeCell ref="K1306:M1306"/>
    <mergeCell ref="F1296:G1296"/>
    <mergeCell ref="H1296:J1296"/>
    <mergeCell ref="H1297:J1297"/>
    <mergeCell ref="K1297:M1297"/>
    <mergeCell ref="H1298:J1298"/>
    <mergeCell ref="K1298:M1298"/>
    <mergeCell ref="B1295:C1295"/>
    <mergeCell ref="D1295:E1295"/>
    <mergeCell ref="F1295:G1295"/>
    <mergeCell ref="H1295:J1295"/>
    <mergeCell ref="K1295:M1295"/>
    <mergeCell ref="D1296:E1296"/>
    <mergeCell ref="K1296:M1296"/>
    <mergeCell ref="B1299:C1299"/>
    <mergeCell ref="D1299:E1299"/>
    <mergeCell ref="F1299:G1299"/>
    <mergeCell ref="H1299:J1299"/>
    <mergeCell ref="K1299:M1299"/>
    <mergeCell ref="B1296:C1296"/>
    <mergeCell ref="B1297:C1297"/>
    <mergeCell ref="D1297:E1297"/>
    <mergeCell ref="F1297:G1297"/>
    <mergeCell ref="B1298:C1298"/>
    <mergeCell ref="D1298:E1298"/>
    <mergeCell ref="F1298:G1298"/>
    <mergeCell ref="B1300:C1300"/>
    <mergeCell ref="D1300:E1300"/>
    <mergeCell ref="F1300:G1300"/>
    <mergeCell ref="H1300:J1300"/>
    <mergeCell ref="K1300:M1300"/>
    <mergeCell ref="D1301:E1301"/>
    <mergeCell ref="K1301:M1301"/>
    <mergeCell ref="B1304:C1304"/>
    <mergeCell ref="D1304:E1304"/>
    <mergeCell ref="F1304:G1304"/>
    <mergeCell ref="H1304:J1304"/>
    <mergeCell ref="K1304:M1304"/>
    <mergeCell ref="D1308:E1308"/>
    <mergeCell ref="F1308:G1308"/>
    <mergeCell ref="B1309:C1309"/>
    <mergeCell ref="D1309:E1309"/>
    <mergeCell ref="F1309:G1309"/>
    <mergeCell ref="H1309:J1309"/>
    <mergeCell ref="K1309:M1309"/>
    <mergeCell ref="H1308:J1308"/>
    <mergeCell ref="K1308:M1308"/>
    <mergeCell ref="B1306:C1306"/>
    <mergeCell ref="B1307:C1307"/>
    <mergeCell ref="D1307:E1307"/>
    <mergeCell ref="F1307:G1307"/>
    <mergeCell ref="H1307:J1307"/>
    <mergeCell ref="K1307:M1307"/>
    <mergeCell ref="B1308:C1308"/>
    <mergeCell ref="F1301:G1301"/>
    <mergeCell ref="H1301:J1301"/>
    <mergeCell ref="H1302:J1302"/>
    <mergeCell ref="K1302:M1302"/>
    <mergeCell ref="D1318:E1318"/>
    <mergeCell ref="F1318:G1318"/>
    <mergeCell ref="F1321:G1321"/>
    <mergeCell ref="H1321:J1321"/>
    <mergeCell ref="B1320:C1320"/>
    <mergeCell ref="D1320:E1320"/>
    <mergeCell ref="F1320:G1320"/>
    <mergeCell ref="H1320:J1320"/>
    <mergeCell ref="K1320:M1320"/>
    <mergeCell ref="D1321:E1321"/>
    <mergeCell ref="K1321:M1321"/>
    <mergeCell ref="F1336:G1336"/>
    <mergeCell ref="H1336:J1336"/>
    <mergeCell ref="B1335:C1335"/>
    <mergeCell ref="D1335:E1335"/>
    <mergeCell ref="F1335:G1335"/>
    <mergeCell ref="H1335:J1335"/>
    <mergeCell ref="K1335:M1335"/>
    <mergeCell ref="D1336:E1336"/>
    <mergeCell ref="K1336:M1336"/>
    <mergeCell ref="F1331:G1331"/>
    <mergeCell ref="H1331:J1331"/>
    <mergeCell ref="H1332:J1332"/>
    <mergeCell ref="K1332:M1332"/>
    <mergeCell ref="H1333:J1333"/>
    <mergeCell ref="K1333:M1333"/>
    <mergeCell ref="B1331:C1331"/>
    <mergeCell ref="B1332:C1332"/>
    <mergeCell ref="D1332:E1332"/>
    <mergeCell ref="F1332:G1332"/>
    <mergeCell ref="B1333:C1333"/>
    <mergeCell ref="D1333:E1333"/>
    <mergeCell ref="F1326:G1326"/>
    <mergeCell ref="H1326:J1326"/>
    <mergeCell ref="H1327:J1327"/>
    <mergeCell ref="K1327:M1327"/>
    <mergeCell ref="H1328:J1328"/>
    <mergeCell ref="K1328:M1328"/>
    <mergeCell ref="B1325:C1325"/>
    <mergeCell ref="D1325:E1325"/>
    <mergeCell ref="F1325:G1325"/>
    <mergeCell ref="H1325:J1325"/>
    <mergeCell ref="K1325:M1325"/>
    <mergeCell ref="D1326:E1326"/>
    <mergeCell ref="K1326:M1326"/>
    <mergeCell ref="B1329:C1329"/>
    <mergeCell ref="D1329:E1329"/>
    <mergeCell ref="F1329:G1329"/>
    <mergeCell ref="H1329:J1329"/>
    <mergeCell ref="K1329:M1329"/>
    <mergeCell ref="B1326:C1326"/>
    <mergeCell ref="B1327:C1327"/>
    <mergeCell ref="D1327:E1327"/>
    <mergeCell ref="F1327:G1327"/>
    <mergeCell ref="B1328:C1328"/>
    <mergeCell ref="D1328:E1328"/>
    <mergeCell ref="F1328:G1328"/>
    <mergeCell ref="B1330:C1330"/>
    <mergeCell ref="D1330:E1330"/>
    <mergeCell ref="F1330:G1330"/>
    <mergeCell ref="H1330:J1330"/>
    <mergeCell ref="K1330:M1330"/>
    <mergeCell ref="D1331:E1331"/>
    <mergeCell ref="K1331:M1331"/>
    <mergeCell ref="B1334:C1334"/>
    <mergeCell ref="D1334:E1334"/>
    <mergeCell ref="F1334:G1334"/>
    <mergeCell ref="H1334:J1334"/>
    <mergeCell ref="K1334:M1334"/>
    <mergeCell ref="D1338:E1338"/>
    <mergeCell ref="F1338:G1338"/>
    <mergeCell ref="F1333:G1333"/>
    <mergeCell ref="H1338:J1338"/>
    <mergeCell ref="K1338:M1338"/>
    <mergeCell ref="B1336:C1336"/>
    <mergeCell ref="B1337:C1337"/>
    <mergeCell ref="D1337:E1337"/>
    <mergeCell ref="F1337:G1337"/>
    <mergeCell ref="H1337:J1337"/>
    <mergeCell ref="K1337:M1337"/>
    <mergeCell ref="B1338:C1338"/>
    <mergeCell ref="B1339:C1339"/>
    <mergeCell ref="D1339:E1339"/>
    <mergeCell ref="F1339:G1339"/>
    <mergeCell ref="H1339:J1339"/>
    <mergeCell ref="K1339:M1339"/>
    <mergeCell ref="F1346:G1346"/>
    <mergeCell ref="H1346:J1346"/>
    <mergeCell ref="H1347:J1347"/>
    <mergeCell ref="K1347:M1347"/>
    <mergeCell ref="H1348:J1348"/>
    <mergeCell ref="K1348:M1348"/>
    <mergeCell ref="B1346:C1346"/>
    <mergeCell ref="B1347:C1347"/>
    <mergeCell ref="D1347:E1347"/>
    <mergeCell ref="F1347:G1347"/>
    <mergeCell ref="B1348:C1348"/>
    <mergeCell ref="D1348:E1348"/>
    <mergeCell ref="F1348:G1348"/>
    <mergeCell ref="F1341:G1341"/>
    <mergeCell ref="H1341:J1341"/>
    <mergeCell ref="H1342:J1342"/>
    <mergeCell ref="K1342:M1342"/>
    <mergeCell ref="H1343:J1343"/>
    <mergeCell ref="K1343:M1343"/>
    <mergeCell ref="B1340:C1340"/>
    <mergeCell ref="D1340:E1340"/>
    <mergeCell ref="F1340:G1340"/>
    <mergeCell ref="H1340:J1340"/>
    <mergeCell ref="K1340:M1340"/>
    <mergeCell ref="D1341:E1341"/>
    <mergeCell ref="K1341:M1341"/>
    <mergeCell ref="B1344:C1344"/>
    <mergeCell ref="F1351:G1351"/>
    <mergeCell ref="H1351:J1351"/>
    <mergeCell ref="B1350:C1350"/>
    <mergeCell ref="D1350:E1350"/>
    <mergeCell ref="F1350:G1350"/>
    <mergeCell ref="H1350:J1350"/>
    <mergeCell ref="K1350:M1350"/>
    <mergeCell ref="D1351:E1351"/>
    <mergeCell ref="K1351:M1351"/>
    <mergeCell ref="H1353:J1353"/>
    <mergeCell ref="K1353:M1353"/>
    <mergeCell ref="B1351:C1351"/>
    <mergeCell ref="B1352:C1352"/>
    <mergeCell ref="D1352:E1352"/>
    <mergeCell ref="F1352:G1352"/>
    <mergeCell ref="H1352:J1352"/>
    <mergeCell ref="K1352:M1352"/>
    <mergeCell ref="B1353:C1353"/>
    <mergeCell ref="D1344:E1344"/>
    <mergeCell ref="F1344:G1344"/>
    <mergeCell ref="H1344:J1344"/>
    <mergeCell ref="K1344:M1344"/>
    <mergeCell ref="B1341:C1341"/>
    <mergeCell ref="B1342:C1342"/>
    <mergeCell ref="D1342:E1342"/>
    <mergeCell ref="F1342:G1342"/>
    <mergeCell ref="B1343:C1343"/>
    <mergeCell ref="D1343:E1343"/>
    <mergeCell ref="F1343:G1343"/>
    <mergeCell ref="B1345:C1345"/>
    <mergeCell ref="D1345:E1345"/>
    <mergeCell ref="F1345:G1345"/>
    <mergeCell ref="H1345:J1345"/>
    <mergeCell ref="K1345:M1345"/>
    <mergeCell ref="D1346:E1346"/>
    <mergeCell ref="K1346:M1346"/>
    <mergeCell ref="B1349:C1349"/>
    <mergeCell ref="D1349:E1349"/>
    <mergeCell ref="F1349:G1349"/>
    <mergeCell ref="H1349:J1349"/>
    <mergeCell ref="K1349:M1349"/>
    <mergeCell ref="D1353:E1353"/>
    <mergeCell ref="F1353:G1353"/>
    <mergeCell ref="B1354:C1354"/>
    <mergeCell ref="D1354:E1354"/>
    <mergeCell ref="F1354:G1354"/>
    <mergeCell ref="H1354:J1354"/>
    <mergeCell ref="K1354:M1354"/>
    <mergeCell ref="H1383:J1383"/>
    <mergeCell ref="K1383:M1383"/>
    <mergeCell ref="B1381:C1381"/>
    <mergeCell ref="B1382:C1382"/>
    <mergeCell ref="D1382:E1382"/>
    <mergeCell ref="F1382:G1382"/>
    <mergeCell ref="H1382:J1382"/>
    <mergeCell ref="K1382:M1382"/>
    <mergeCell ref="B1383:C1383"/>
    <mergeCell ref="F1371:G1371"/>
    <mergeCell ref="H1371:J1371"/>
    <mergeCell ref="H1372:J1372"/>
    <mergeCell ref="K1372:M1372"/>
    <mergeCell ref="H1373:J1373"/>
    <mergeCell ref="K1373:M1373"/>
    <mergeCell ref="B1370:C1370"/>
    <mergeCell ref="D1370:E1370"/>
    <mergeCell ref="F1370:G1370"/>
    <mergeCell ref="H1370:J1370"/>
    <mergeCell ref="K1370:M1370"/>
    <mergeCell ref="D1375:E1375"/>
    <mergeCell ref="F1375:G1375"/>
    <mergeCell ref="H1375:J1375"/>
    <mergeCell ref="K1375:M1375"/>
    <mergeCell ref="D1383:E1383"/>
    <mergeCell ref="F1383:G1383"/>
    <mergeCell ref="B1384:C1384"/>
    <mergeCell ref="D1384:E1384"/>
    <mergeCell ref="F1384:G1384"/>
    <mergeCell ref="H1384:J1384"/>
    <mergeCell ref="K1384:M1384"/>
    <mergeCell ref="F1391:G1391"/>
    <mergeCell ref="H1391:J1391"/>
    <mergeCell ref="H1392:J1392"/>
    <mergeCell ref="K1392:M1392"/>
    <mergeCell ref="H1393:J1393"/>
    <mergeCell ref="K1393:M1393"/>
    <mergeCell ref="B1391:C1391"/>
    <mergeCell ref="B1392:C1392"/>
    <mergeCell ref="D1392:E1392"/>
    <mergeCell ref="F1392:G1392"/>
    <mergeCell ref="B1393:C1393"/>
    <mergeCell ref="D1393:E1393"/>
    <mergeCell ref="F1393:G1393"/>
    <mergeCell ref="B1390:C1390"/>
    <mergeCell ref="D1390:E1390"/>
    <mergeCell ref="F1390:G1390"/>
    <mergeCell ref="H1390:J1390"/>
    <mergeCell ref="K1390:M1390"/>
    <mergeCell ref="D1391:E1391"/>
    <mergeCell ref="K1391:M1391"/>
    <mergeCell ref="B1396:C1396"/>
    <mergeCell ref="B1397:C1397"/>
    <mergeCell ref="D1397:E1397"/>
    <mergeCell ref="F1397:G1397"/>
    <mergeCell ref="H1397:J1397"/>
    <mergeCell ref="K1397:M1397"/>
    <mergeCell ref="B1398:C1398"/>
    <mergeCell ref="F1386:G1386"/>
    <mergeCell ref="H1386:J1386"/>
    <mergeCell ref="H1387:J1387"/>
    <mergeCell ref="K1387:M1387"/>
    <mergeCell ref="H1388:J1388"/>
    <mergeCell ref="K1388:M1388"/>
    <mergeCell ref="B1385:C1385"/>
    <mergeCell ref="D1385:E1385"/>
    <mergeCell ref="F1385:G1385"/>
    <mergeCell ref="H1385:J1385"/>
    <mergeCell ref="K1385:M1385"/>
    <mergeCell ref="D1386:E1386"/>
    <mergeCell ref="K1386:M1386"/>
    <mergeCell ref="B1389:C1389"/>
    <mergeCell ref="D1389:E1389"/>
    <mergeCell ref="F1389:G1389"/>
    <mergeCell ref="H1389:J1389"/>
    <mergeCell ref="K1389:M1389"/>
    <mergeCell ref="B1386:C1386"/>
    <mergeCell ref="B1387:C1387"/>
    <mergeCell ref="D1387:E1387"/>
    <mergeCell ref="F1387:G1387"/>
    <mergeCell ref="B1388:C1388"/>
    <mergeCell ref="D1388:E1388"/>
    <mergeCell ref="F1388:G1388"/>
    <mergeCell ref="D1412:E1412"/>
    <mergeCell ref="F1412:G1412"/>
    <mergeCell ref="H1412:J1412"/>
    <mergeCell ref="K1412:M1412"/>
    <mergeCell ref="B1413:C1413"/>
    <mergeCell ref="B1394:C1394"/>
    <mergeCell ref="D1394:E1394"/>
    <mergeCell ref="F1394:G1394"/>
    <mergeCell ref="H1394:J1394"/>
    <mergeCell ref="K1394:M1394"/>
    <mergeCell ref="D1398:E1398"/>
    <mergeCell ref="F1398:G1398"/>
    <mergeCell ref="B1399:C1399"/>
    <mergeCell ref="D1399:E1399"/>
    <mergeCell ref="F1399:G1399"/>
    <mergeCell ref="H1399:J1399"/>
    <mergeCell ref="K1399:M1399"/>
    <mergeCell ref="F1406:G1406"/>
    <mergeCell ref="H1406:J1406"/>
    <mergeCell ref="H1407:J1407"/>
    <mergeCell ref="K1407:M1407"/>
    <mergeCell ref="H1408:J1408"/>
    <mergeCell ref="K1408:M1408"/>
    <mergeCell ref="B1406:C1406"/>
    <mergeCell ref="B1407:C1407"/>
    <mergeCell ref="D1407:E1407"/>
    <mergeCell ref="F1407:G1407"/>
    <mergeCell ref="B1408:C1408"/>
    <mergeCell ref="D1408:E1408"/>
    <mergeCell ref="F1408:G1408"/>
    <mergeCell ref="F1401:G1401"/>
    <mergeCell ref="H1401:J1401"/>
    <mergeCell ref="D1400:E1400"/>
    <mergeCell ref="F1400:G1400"/>
    <mergeCell ref="H1400:J1400"/>
    <mergeCell ref="K1400:M1400"/>
    <mergeCell ref="D1401:E1401"/>
    <mergeCell ref="K1401:M1401"/>
    <mergeCell ref="B1404:C1404"/>
    <mergeCell ref="D1404:E1404"/>
    <mergeCell ref="F1404:G1404"/>
    <mergeCell ref="H1404:J1404"/>
    <mergeCell ref="K1404:M1404"/>
    <mergeCell ref="B1401:C1401"/>
    <mergeCell ref="B1402:C1402"/>
    <mergeCell ref="D1402:E1402"/>
    <mergeCell ref="F1402:G1402"/>
    <mergeCell ref="B1403:C1403"/>
    <mergeCell ref="D1403:E1403"/>
    <mergeCell ref="F1403:G1403"/>
    <mergeCell ref="H1402:J1402"/>
    <mergeCell ref="K1402:M1402"/>
    <mergeCell ref="H1403:J1403"/>
    <mergeCell ref="K1403:M1403"/>
    <mergeCell ref="B1400:C1400"/>
    <mergeCell ref="B1405:C1405"/>
    <mergeCell ref="D1405:E1405"/>
    <mergeCell ref="F1405:G1405"/>
    <mergeCell ref="H1405:J1405"/>
    <mergeCell ref="K1405:M1405"/>
    <mergeCell ref="D1406:E1406"/>
    <mergeCell ref="K1406:M1406"/>
    <mergeCell ref="B1409:C1409"/>
    <mergeCell ref="D1409:E1409"/>
    <mergeCell ref="F1409:G1409"/>
    <mergeCell ref="H1409:J1409"/>
    <mergeCell ref="K1409:M1409"/>
    <mergeCell ref="D1413:E1413"/>
    <mergeCell ref="F1413:G1413"/>
    <mergeCell ref="B1414:C1414"/>
    <mergeCell ref="D1414:E1414"/>
    <mergeCell ref="F1414:G1414"/>
    <mergeCell ref="H1414:J1414"/>
    <mergeCell ref="K1414:M1414"/>
    <mergeCell ref="F1411:G1411"/>
    <mergeCell ref="H1411:J1411"/>
    <mergeCell ref="B1410:C1410"/>
    <mergeCell ref="D1410:E1410"/>
    <mergeCell ref="F1410:G1410"/>
    <mergeCell ref="H1410:J1410"/>
    <mergeCell ref="K1410:M1410"/>
    <mergeCell ref="D1411:E1411"/>
    <mergeCell ref="K1411:M1411"/>
    <mergeCell ref="H1413:J1413"/>
    <mergeCell ref="K1413:M1413"/>
    <mergeCell ref="B1411:C1411"/>
    <mergeCell ref="B1412:C1412"/>
    <mergeCell ref="H652:J652"/>
    <mergeCell ref="K652:M652"/>
    <mergeCell ref="B650:C650"/>
    <mergeCell ref="B651:C651"/>
    <mergeCell ref="D651:E651"/>
    <mergeCell ref="F651:G651"/>
    <mergeCell ref="H651:J651"/>
    <mergeCell ref="K651:M651"/>
    <mergeCell ref="B652:C652"/>
    <mergeCell ref="F640:G640"/>
    <mergeCell ref="H640:J640"/>
    <mergeCell ref="H641:J641"/>
    <mergeCell ref="K641:M641"/>
    <mergeCell ref="H642:J642"/>
    <mergeCell ref="K642:M642"/>
    <mergeCell ref="B639:C639"/>
    <mergeCell ref="D639:E639"/>
    <mergeCell ref="F639:G639"/>
    <mergeCell ref="H639:J639"/>
    <mergeCell ref="K639:M639"/>
    <mergeCell ref="D640:E640"/>
    <mergeCell ref="K640:M640"/>
    <mergeCell ref="B643:C643"/>
    <mergeCell ref="D643:E643"/>
    <mergeCell ref="F643:G643"/>
    <mergeCell ref="H643:J643"/>
    <mergeCell ref="K643:M643"/>
    <mergeCell ref="B640:C640"/>
    <mergeCell ref="B641:C641"/>
    <mergeCell ref="D641:E641"/>
    <mergeCell ref="F641:G641"/>
    <mergeCell ref="B642:C642"/>
    <mergeCell ref="D642:E642"/>
    <mergeCell ref="F642:G642"/>
    <mergeCell ref="B644:C644"/>
    <mergeCell ref="D644:E644"/>
    <mergeCell ref="F644:G644"/>
    <mergeCell ref="H644:J644"/>
    <mergeCell ref="K644:M644"/>
    <mergeCell ref="D645:E645"/>
    <mergeCell ref="K645:M645"/>
    <mergeCell ref="B648:C648"/>
    <mergeCell ref="D648:E648"/>
    <mergeCell ref="F648:G648"/>
    <mergeCell ref="H648:J648"/>
    <mergeCell ref="K648:M648"/>
    <mergeCell ref="D652:E652"/>
    <mergeCell ref="F652:G652"/>
    <mergeCell ref="B653:C653"/>
    <mergeCell ref="D653:E653"/>
    <mergeCell ref="F653:G653"/>
    <mergeCell ref="H653:J653"/>
    <mergeCell ref="K653:M653"/>
    <mergeCell ref="F645:G645"/>
    <mergeCell ref="H645:J645"/>
    <mergeCell ref="H646:J646"/>
    <mergeCell ref="K646:M646"/>
    <mergeCell ref="H647:J647"/>
    <mergeCell ref="K647:M647"/>
    <mergeCell ref="B645:C645"/>
    <mergeCell ref="B646:C646"/>
    <mergeCell ref="D646:E646"/>
    <mergeCell ref="F646:G646"/>
    <mergeCell ref="B647:C647"/>
    <mergeCell ref="H632:J632"/>
    <mergeCell ref="K632:M632"/>
    <mergeCell ref="B630:C630"/>
    <mergeCell ref="B631:C631"/>
    <mergeCell ref="D631:E631"/>
    <mergeCell ref="F631:G631"/>
    <mergeCell ref="B632:C632"/>
    <mergeCell ref="D632:E632"/>
    <mergeCell ref="F632:G632"/>
    <mergeCell ref="F635:G635"/>
    <mergeCell ref="H635:J635"/>
    <mergeCell ref="B634:C634"/>
    <mergeCell ref="D634:E634"/>
    <mergeCell ref="F634:G634"/>
    <mergeCell ref="H634:J634"/>
    <mergeCell ref="K634:M634"/>
    <mergeCell ref="D635:E635"/>
    <mergeCell ref="K635:M635"/>
    <mergeCell ref="F625:G625"/>
    <mergeCell ref="H625:J625"/>
    <mergeCell ref="H626:J626"/>
    <mergeCell ref="K626:M626"/>
    <mergeCell ref="H627:J627"/>
    <mergeCell ref="K627:M627"/>
    <mergeCell ref="B624:C624"/>
    <mergeCell ref="D624:E624"/>
    <mergeCell ref="F624:G624"/>
    <mergeCell ref="H624:J624"/>
    <mergeCell ref="K624:M624"/>
    <mergeCell ref="D625:E625"/>
    <mergeCell ref="K625:M625"/>
    <mergeCell ref="B628:C628"/>
    <mergeCell ref="D628:E628"/>
    <mergeCell ref="F628:G628"/>
    <mergeCell ref="H628:J628"/>
    <mergeCell ref="K628:M628"/>
    <mergeCell ref="B625:C625"/>
    <mergeCell ref="B626:C626"/>
    <mergeCell ref="D626:E626"/>
    <mergeCell ref="F626:G626"/>
    <mergeCell ref="B627:C627"/>
    <mergeCell ref="D627:E627"/>
    <mergeCell ref="F627:G627"/>
    <mergeCell ref="B629:C629"/>
    <mergeCell ref="D629:E629"/>
    <mergeCell ref="F629:G629"/>
    <mergeCell ref="H629:J629"/>
    <mergeCell ref="K629:M629"/>
    <mergeCell ref="D630:E630"/>
    <mergeCell ref="K630:M630"/>
    <mergeCell ref="B633:C633"/>
    <mergeCell ref="D633:E633"/>
    <mergeCell ref="F633:G633"/>
    <mergeCell ref="H633:J633"/>
    <mergeCell ref="K633:M633"/>
    <mergeCell ref="D637:E637"/>
    <mergeCell ref="F637:G637"/>
    <mergeCell ref="B638:C638"/>
    <mergeCell ref="D638:E638"/>
    <mergeCell ref="F638:G638"/>
    <mergeCell ref="H638:J638"/>
    <mergeCell ref="K638:M638"/>
    <mergeCell ref="H637:J637"/>
    <mergeCell ref="K637:M637"/>
    <mergeCell ref="B635:C635"/>
    <mergeCell ref="B636:C636"/>
    <mergeCell ref="D636:E636"/>
    <mergeCell ref="F636:G636"/>
    <mergeCell ref="H636:J636"/>
    <mergeCell ref="K636:M636"/>
    <mergeCell ref="B637:C637"/>
    <mergeCell ref="F630:G630"/>
    <mergeCell ref="H630:J630"/>
    <mergeCell ref="H631:J631"/>
    <mergeCell ref="K631:M631"/>
    <mergeCell ref="D647:E647"/>
    <mergeCell ref="F647:G647"/>
    <mergeCell ref="F650:G650"/>
    <mergeCell ref="H650:J650"/>
    <mergeCell ref="B649:C649"/>
    <mergeCell ref="D649:E649"/>
    <mergeCell ref="F649:G649"/>
    <mergeCell ref="H649:J649"/>
    <mergeCell ref="K649:M649"/>
    <mergeCell ref="D650:E650"/>
    <mergeCell ref="K650:M650"/>
    <mergeCell ref="F665:G665"/>
    <mergeCell ref="H665:J665"/>
    <mergeCell ref="B664:C664"/>
    <mergeCell ref="D664:E664"/>
    <mergeCell ref="F664:G664"/>
    <mergeCell ref="H664:J664"/>
    <mergeCell ref="K664:M664"/>
    <mergeCell ref="D665:E665"/>
    <mergeCell ref="K665:M665"/>
    <mergeCell ref="F660:G660"/>
    <mergeCell ref="H660:J660"/>
    <mergeCell ref="H661:J661"/>
    <mergeCell ref="K661:M661"/>
    <mergeCell ref="H662:J662"/>
    <mergeCell ref="K662:M662"/>
    <mergeCell ref="B660:C660"/>
    <mergeCell ref="B661:C661"/>
    <mergeCell ref="D661:E661"/>
    <mergeCell ref="F661:G661"/>
    <mergeCell ref="B662:C662"/>
    <mergeCell ref="D662:E662"/>
    <mergeCell ref="F655:G655"/>
    <mergeCell ref="H655:J655"/>
    <mergeCell ref="H656:J656"/>
    <mergeCell ref="K656:M656"/>
    <mergeCell ref="H657:J657"/>
    <mergeCell ref="K657:M657"/>
    <mergeCell ref="B654:C654"/>
    <mergeCell ref="D654:E654"/>
    <mergeCell ref="F654:G654"/>
    <mergeCell ref="H654:J654"/>
    <mergeCell ref="K654:M654"/>
    <mergeCell ref="D655:E655"/>
    <mergeCell ref="K655:M655"/>
    <mergeCell ref="B658:C658"/>
    <mergeCell ref="D658:E658"/>
    <mergeCell ref="F658:G658"/>
    <mergeCell ref="H658:J658"/>
    <mergeCell ref="K658:M658"/>
    <mergeCell ref="B655:C655"/>
    <mergeCell ref="B656:C656"/>
    <mergeCell ref="D656:E656"/>
    <mergeCell ref="F656:G656"/>
    <mergeCell ref="B657:C657"/>
    <mergeCell ref="D657:E657"/>
    <mergeCell ref="F657:G657"/>
    <mergeCell ref="B659:C659"/>
    <mergeCell ref="D659:E659"/>
    <mergeCell ref="F659:G659"/>
    <mergeCell ref="H659:J659"/>
    <mergeCell ref="K659:M659"/>
    <mergeCell ref="D660:E660"/>
    <mergeCell ref="K660:M660"/>
    <mergeCell ref="B663:C663"/>
    <mergeCell ref="D663:E663"/>
    <mergeCell ref="F663:G663"/>
    <mergeCell ref="H663:J663"/>
    <mergeCell ref="K663:M663"/>
    <mergeCell ref="D667:E667"/>
    <mergeCell ref="F667:G667"/>
    <mergeCell ref="F662:G662"/>
    <mergeCell ref="H667:J667"/>
    <mergeCell ref="K667:M667"/>
    <mergeCell ref="B665:C665"/>
    <mergeCell ref="B666:C666"/>
    <mergeCell ref="D666:E666"/>
    <mergeCell ref="F666:G666"/>
    <mergeCell ref="H666:J666"/>
    <mergeCell ref="K666:M666"/>
    <mergeCell ref="B667:C667"/>
    <mergeCell ref="B668:C668"/>
    <mergeCell ref="D668:E668"/>
    <mergeCell ref="F668:G668"/>
    <mergeCell ref="H668:J668"/>
    <mergeCell ref="K668:M668"/>
    <mergeCell ref="F675:G675"/>
    <mergeCell ref="H675:J675"/>
    <mergeCell ref="H676:J676"/>
    <mergeCell ref="K676:M676"/>
    <mergeCell ref="H677:J677"/>
    <mergeCell ref="K677:M677"/>
    <mergeCell ref="B675:C675"/>
    <mergeCell ref="B676:C676"/>
    <mergeCell ref="D676:E676"/>
    <mergeCell ref="F676:G676"/>
    <mergeCell ref="B677:C677"/>
    <mergeCell ref="D677:E677"/>
    <mergeCell ref="F677:G677"/>
    <mergeCell ref="F670:G670"/>
    <mergeCell ref="H670:J670"/>
    <mergeCell ref="H671:J671"/>
    <mergeCell ref="K671:M671"/>
    <mergeCell ref="H672:J672"/>
    <mergeCell ref="K672:M672"/>
    <mergeCell ref="B669:C669"/>
    <mergeCell ref="D669:E669"/>
    <mergeCell ref="F669:G669"/>
    <mergeCell ref="H669:J669"/>
    <mergeCell ref="K669:M669"/>
    <mergeCell ref="D670:E670"/>
    <mergeCell ref="K670:M670"/>
    <mergeCell ref="B673:C673"/>
    <mergeCell ref="F673:G673"/>
    <mergeCell ref="H673:J673"/>
    <mergeCell ref="K673:M673"/>
    <mergeCell ref="B670:C670"/>
    <mergeCell ref="B671:C671"/>
    <mergeCell ref="D671:E671"/>
    <mergeCell ref="F671:G671"/>
    <mergeCell ref="B672:C672"/>
    <mergeCell ref="D672:E672"/>
    <mergeCell ref="F672:G672"/>
    <mergeCell ref="B674:C674"/>
    <mergeCell ref="D674:E674"/>
    <mergeCell ref="F674:G674"/>
    <mergeCell ref="H674:J674"/>
    <mergeCell ref="K674:M674"/>
    <mergeCell ref="D675:E675"/>
    <mergeCell ref="K675:M675"/>
    <mergeCell ref="D673:E673"/>
    <mergeCell ref="H712:J712"/>
    <mergeCell ref="K712:M712"/>
    <mergeCell ref="B710:C710"/>
    <mergeCell ref="B711:C711"/>
    <mergeCell ref="D711:E711"/>
    <mergeCell ref="F711:G711"/>
    <mergeCell ref="H711:J711"/>
    <mergeCell ref="K711:M711"/>
    <mergeCell ref="B712:C712"/>
    <mergeCell ref="F700:G700"/>
    <mergeCell ref="H700:J700"/>
    <mergeCell ref="H701:J701"/>
    <mergeCell ref="K701:M701"/>
    <mergeCell ref="H702:J702"/>
    <mergeCell ref="K702:M702"/>
    <mergeCell ref="B699:C699"/>
    <mergeCell ref="D699:E699"/>
    <mergeCell ref="F699:G699"/>
    <mergeCell ref="H699:J699"/>
    <mergeCell ref="K699:M699"/>
    <mergeCell ref="F702:G702"/>
    <mergeCell ref="B704:C704"/>
    <mergeCell ref="D704:E704"/>
    <mergeCell ref="F704:G704"/>
    <mergeCell ref="H704:J704"/>
    <mergeCell ref="K704:M704"/>
    <mergeCell ref="B708:C708"/>
    <mergeCell ref="D708:E708"/>
    <mergeCell ref="F708:G708"/>
    <mergeCell ref="H708:J708"/>
    <mergeCell ref="K708:M708"/>
    <mergeCell ref="D712:E712"/>
    <mergeCell ref="B678:C678"/>
    <mergeCell ref="D678:E678"/>
    <mergeCell ref="F678:G678"/>
    <mergeCell ref="H678:J678"/>
    <mergeCell ref="K678:M678"/>
    <mergeCell ref="D682:E682"/>
    <mergeCell ref="F682:G682"/>
    <mergeCell ref="B683:C683"/>
    <mergeCell ref="D683:E683"/>
    <mergeCell ref="F683:G683"/>
    <mergeCell ref="H683:J683"/>
    <mergeCell ref="K683:M683"/>
    <mergeCell ref="F680:G680"/>
    <mergeCell ref="H680:J680"/>
    <mergeCell ref="B679:C679"/>
    <mergeCell ref="D679:E679"/>
    <mergeCell ref="F679:G679"/>
    <mergeCell ref="H679:J679"/>
    <mergeCell ref="K679:M679"/>
    <mergeCell ref="D680:E680"/>
    <mergeCell ref="K680:M680"/>
    <mergeCell ref="H682:J682"/>
    <mergeCell ref="K682:M682"/>
    <mergeCell ref="B680:C680"/>
    <mergeCell ref="B681:C681"/>
    <mergeCell ref="D681:E681"/>
    <mergeCell ref="F681:G681"/>
    <mergeCell ref="H681:J681"/>
    <mergeCell ref="K681:M681"/>
    <mergeCell ref="B682:C682"/>
    <mergeCell ref="F712:G712"/>
    <mergeCell ref="B713:C713"/>
    <mergeCell ref="D713:E713"/>
    <mergeCell ref="F713:G713"/>
    <mergeCell ref="H713:J713"/>
    <mergeCell ref="K713:M713"/>
    <mergeCell ref="F690:G690"/>
    <mergeCell ref="H690:J690"/>
    <mergeCell ref="H691:J691"/>
    <mergeCell ref="K691:M691"/>
    <mergeCell ref="H692:J692"/>
    <mergeCell ref="K692:M692"/>
    <mergeCell ref="B690:C690"/>
    <mergeCell ref="B691:C691"/>
    <mergeCell ref="D691:E691"/>
    <mergeCell ref="F691:G691"/>
    <mergeCell ref="B692:C692"/>
    <mergeCell ref="D692:E692"/>
    <mergeCell ref="F692:G692"/>
    <mergeCell ref="F695:G695"/>
    <mergeCell ref="H695:J695"/>
    <mergeCell ref="B694:C694"/>
    <mergeCell ref="D694:E694"/>
    <mergeCell ref="F694:G694"/>
    <mergeCell ref="D700:E700"/>
    <mergeCell ref="K700:M700"/>
    <mergeCell ref="H694:J694"/>
    <mergeCell ref="K694:M694"/>
    <mergeCell ref="D695:E695"/>
    <mergeCell ref="K695:M695"/>
    <mergeCell ref="H697:J697"/>
    <mergeCell ref="K697:M697"/>
    <mergeCell ref="B695:C695"/>
    <mergeCell ref="B696:C696"/>
    <mergeCell ref="D696:E696"/>
    <mergeCell ref="F696:G696"/>
    <mergeCell ref="H696:J696"/>
    <mergeCell ref="K696:M696"/>
    <mergeCell ref="B697:C697"/>
    <mergeCell ref="F685:G685"/>
    <mergeCell ref="H685:J685"/>
    <mergeCell ref="H686:J686"/>
    <mergeCell ref="K686:M686"/>
    <mergeCell ref="H687:J687"/>
    <mergeCell ref="K687:M687"/>
    <mergeCell ref="B689:C689"/>
    <mergeCell ref="D689:E689"/>
    <mergeCell ref="F689:G689"/>
    <mergeCell ref="H689:J689"/>
    <mergeCell ref="K689:M689"/>
    <mergeCell ref="D690:E690"/>
    <mergeCell ref="K690:M690"/>
    <mergeCell ref="B693:C693"/>
    <mergeCell ref="D693:E693"/>
    <mergeCell ref="F693:G693"/>
    <mergeCell ref="H693:J693"/>
    <mergeCell ref="K693:M693"/>
    <mergeCell ref="D697:E697"/>
    <mergeCell ref="F697:G697"/>
    <mergeCell ref="B684:C684"/>
    <mergeCell ref="D684:E684"/>
    <mergeCell ref="F684:G684"/>
    <mergeCell ref="H684:J684"/>
    <mergeCell ref="K684:M684"/>
    <mergeCell ref="D685:E685"/>
    <mergeCell ref="K685:M685"/>
    <mergeCell ref="B688:C688"/>
    <mergeCell ref="D688:E688"/>
    <mergeCell ref="F688:G688"/>
    <mergeCell ref="H688:J688"/>
    <mergeCell ref="K688:M688"/>
    <mergeCell ref="B685:C685"/>
    <mergeCell ref="B686:C686"/>
    <mergeCell ref="D686:E686"/>
    <mergeCell ref="F686:G686"/>
    <mergeCell ref="B687:C687"/>
    <mergeCell ref="D687:E687"/>
    <mergeCell ref="F687:G687"/>
    <mergeCell ref="B698:C698"/>
    <mergeCell ref="D698:E698"/>
    <mergeCell ref="F698:G698"/>
    <mergeCell ref="H698:J698"/>
    <mergeCell ref="K698:M698"/>
    <mergeCell ref="F705:G705"/>
    <mergeCell ref="H705:J705"/>
    <mergeCell ref="H706:J706"/>
    <mergeCell ref="K706:M706"/>
    <mergeCell ref="H707:J707"/>
    <mergeCell ref="K707:M707"/>
    <mergeCell ref="B705:C705"/>
    <mergeCell ref="B706:C706"/>
    <mergeCell ref="D706:E706"/>
    <mergeCell ref="F706:G706"/>
    <mergeCell ref="B707:C707"/>
    <mergeCell ref="D707:E707"/>
    <mergeCell ref="F707:G707"/>
    <mergeCell ref="D705:E705"/>
    <mergeCell ref="K705:M705"/>
    <mergeCell ref="B703:C703"/>
    <mergeCell ref="D703:E703"/>
    <mergeCell ref="F703:G703"/>
    <mergeCell ref="H703:J703"/>
    <mergeCell ref="K703:M703"/>
    <mergeCell ref="B700:C700"/>
    <mergeCell ref="B701:C701"/>
    <mergeCell ref="D701:E701"/>
    <mergeCell ref="F701:G701"/>
    <mergeCell ref="B702:C702"/>
    <mergeCell ref="D702:E702"/>
    <mergeCell ref="F710:G710"/>
    <mergeCell ref="H710:J710"/>
    <mergeCell ref="B709:C709"/>
    <mergeCell ref="D709:E709"/>
    <mergeCell ref="F709:G709"/>
    <mergeCell ref="H709:J709"/>
    <mergeCell ref="K709:M709"/>
    <mergeCell ref="D710:E710"/>
    <mergeCell ref="K710:M710"/>
    <mergeCell ref="F725:G725"/>
    <mergeCell ref="H725:J725"/>
    <mergeCell ref="B724:C724"/>
    <mergeCell ref="D724:E724"/>
    <mergeCell ref="F724:G724"/>
    <mergeCell ref="H724:J724"/>
    <mergeCell ref="K724:M724"/>
    <mergeCell ref="D725:E725"/>
    <mergeCell ref="K725:M725"/>
    <mergeCell ref="F720:G720"/>
    <mergeCell ref="H720:J720"/>
    <mergeCell ref="H721:J721"/>
    <mergeCell ref="K721:M721"/>
    <mergeCell ref="H722:J722"/>
    <mergeCell ref="K722:M722"/>
    <mergeCell ref="B720:C720"/>
    <mergeCell ref="B721:C721"/>
    <mergeCell ref="D721:E721"/>
    <mergeCell ref="F721:G721"/>
    <mergeCell ref="B722:C722"/>
    <mergeCell ref="D722:E722"/>
    <mergeCell ref="F722:G722"/>
    <mergeCell ref="D717:E717"/>
    <mergeCell ref="F715:G715"/>
    <mergeCell ref="H715:J715"/>
    <mergeCell ref="H716:J716"/>
    <mergeCell ref="K716:M716"/>
    <mergeCell ref="H717:J717"/>
    <mergeCell ref="K717:M717"/>
    <mergeCell ref="B714:C714"/>
    <mergeCell ref="D714:E714"/>
    <mergeCell ref="F714:G714"/>
    <mergeCell ref="H714:J714"/>
    <mergeCell ref="K714:M714"/>
    <mergeCell ref="D715:E715"/>
    <mergeCell ref="K715:M715"/>
    <mergeCell ref="B718:C718"/>
    <mergeCell ref="D718:E718"/>
    <mergeCell ref="F718:G718"/>
    <mergeCell ref="H718:J718"/>
    <mergeCell ref="K718:M718"/>
    <mergeCell ref="B715:C715"/>
    <mergeCell ref="B716:C716"/>
    <mergeCell ref="D716:E716"/>
    <mergeCell ref="F716:G716"/>
    <mergeCell ref="B717:C717"/>
    <mergeCell ref="F717:G717"/>
    <mergeCell ref="B719:C719"/>
    <mergeCell ref="D719:E719"/>
    <mergeCell ref="F719:G719"/>
    <mergeCell ref="H719:J719"/>
    <mergeCell ref="K719:M719"/>
    <mergeCell ref="D720:E720"/>
    <mergeCell ref="K720:M720"/>
    <mergeCell ref="B723:C723"/>
    <mergeCell ref="D723:E723"/>
    <mergeCell ref="F723:G723"/>
    <mergeCell ref="H723:J723"/>
    <mergeCell ref="K723:M723"/>
    <mergeCell ref="D727:E727"/>
    <mergeCell ref="F727:G727"/>
    <mergeCell ref="B728:C728"/>
    <mergeCell ref="D728:E728"/>
    <mergeCell ref="F728:G728"/>
    <mergeCell ref="H728:J728"/>
    <mergeCell ref="K728:M728"/>
    <mergeCell ref="H727:J727"/>
    <mergeCell ref="K727:M727"/>
    <mergeCell ref="B725:C725"/>
    <mergeCell ref="B726:C726"/>
    <mergeCell ref="D726:E726"/>
    <mergeCell ref="F726:G726"/>
    <mergeCell ref="H726:J726"/>
    <mergeCell ref="K726:M726"/>
    <mergeCell ref="B727:C727"/>
    <mergeCell ref="H737:J737"/>
    <mergeCell ref="K737:M737"/>
    <mergeCell ref="B735:C735"/>
    <mergeCell ref="B736:C736"/>
    <mergeCell ref="D736:E736"/>
    <mergeCell ref="F736:G736"/>
    <mergeCell ref="B737:C737"/>
    <mergeCell ref="D737:E737"/>
    <mergeCell ref="F737:G737"/>
    <mergeCell ref="F740:G740"/>
    <mergeCell ref="H740:J740"/>
    <mergeCell ref="B739:C739"/>
    <mergeCell ref="D739:E739"/>
    <mergeCell ref="F739:G739"/>
    <mergeCell ref="H739:J739"/>
    <mergeCell ref="K739:M739"/>
    <mergeCell ref="D740:E740"/>
    <mergeCell ref="K740:M740"/>
    <mergeCell ref="F730:G730"/>
    <mergeCell ref="H730:J730"/>
    <mergeCell ref="H731:J731"/>
    <mergeCell ref="K731:M731"/>
    <mergeCell ref="H732:J732"/>
    <mergeCell ref="K732:M732"/>
    <mergeCell ref="B729:C729"/>
    <mergeCell ref="D729:E729"/>
    <mergeCell ref="F729:G729"/>
    <mergeCell ref="H729:J729"/>
    <mergeCell ref="K729:M729"/>
    <mergeCell ref="D730:E730"/>
    <mergeCell ref="K730:M730"/>
    <mergeCell ref="B733:C733"/>
    <mergeCell ref="D733:E733"/>
    <mergeCell ref="F733:G733"/>
    <mergeCell ref="H733:J733"/>
    <mergeCell ref="K733:M733"/>
    <mergeCell ref="B730:C730"/>
    <mergeCell ref="B731:C731"/>
    <mergeCell ref="D731:E731"/>
    <mergeCell ref="F731:G731"/>
    <mergeCell ref="B732:C732"/>
    <mergeCell ref="D732:E732"/>
    <mergeCell ref="F732:G732"/>
    <mergeCell ref="B734:C734"/>
    <mergeCell ref="D734:E734"/>
    <mergeCell ref="F734:G734"/>
    <mergeCell ref="H734:J734"/>
    <mergeCell ref="K734:M734"/>
    <mergeCell ref="D735:E735"/>
    <mergeCell ref="K735:M735"/>
    <mergeCell ref="B738:C738"/>
    <mergeCell ref="D738:E738"/>
    <mergeCell ref="F738:G738"/>
    <mergeCell ref="H738:J738"/>
    <mergeCell ref="K738:M738"/>
    <mergeCell ref="D742:E742"/>
    <mergeCell ref="F742:G742"/>
    <mergeCell ref="B743:C743"/>
    <mergeCell ref="D743:E743"/>
    <mergeCell ref="F743:G743"/>
    <mergeCell ref="H743:J743"/>
    <mergeCell ref="K743:M743"/>
    <mergeCell ref="H742:J742"/>
    <mergeCell ref="K742:M742"/>
    <mergeCell ref="B740:C740"/>
    <mergeCell ref="B741:C741"/>
    <mergeCell ref="D741:E741"/>
    <mergeCell ref="F741:G741"/>
    <mergeCell ref="H741:J741"/>
    <mergeCell ref="K741:M741"/>
    <mergeCell ref="B742:C742"/>
    <mergeCell ref="F735:G735"/>
    <mergeCell ref="H735:J735"/>
    <mergeCell ref="H736:J736"/>
    <mergeCell ref="K736:M736"/>
    <mergeCell ref="B787:C787"/>
    <mergeCell ref="F775:G775"/>
    <mergeCell ref="H775:J775"/>
    <mergeCell ref="H776:J776"/>
    <mergeCell ref="K776:M776"/>
    <mergeCell ref="H777:J777"/>
    <mergeCell ref="K777:M777"/>
    <mergeCell ref="B774:C774"/>
    <mergeCell ref="D774:E774"/>
    <mergeCell ref="F774:G774"/>
    <mergeCell ref="H774:J774"/>
    <mergeCell ref="K774:M774"/>
    <mergeCell ref="D775:E775"/>
    <mergeCell ref="K775:M775"/>
    <mergeCell ref="B778:C778"/>
    <mergeCell ref="D778:E778"/>
    <mergeCell ref="F778:G778"/>
    <mergeCell ref="H778:J778"/>
    <mergeCell ref="K778:M778"/>
    <mergeCell ref="B775:C775"/>
    <mergeCell ref="B776:C776"/>
    <mergeCell ref="D776:E776"/>
    <mergeCell ref="F776:G776"/>
    <mergeCell ref="F789:G789"/>
    <mergeCell ref="H789:J789"/>
    <mergeCell ref="K789:M789"/>
    <mergeCell ref="D790:E790"/>
    <mergeCell ref="K790:M790"/>
    <mergeCell ref="B793:C793"/>
    <mergeCell ref="B777:C777"/>
    <mergeCell ref="D777:E777"/>
    <mergeCell ref="F777:G777"/>
    <mergeCell ref="B779:C779"/>
    <mergeCell ref="D779:E779"/>
    <mergeCell ref="F779:G779"/>
    <mergeCell ref="H779:J779"/>
    <mergeCell ref="K779:M779"/>
    <mergeCell ref="D780:E780"/>
    <mergeCell ref="K780:M780"/>
    <mergeCell ref="B783:C783"/>
    <mergeCell ref="D783:E783"/>
    <mergeCell ref="F783:G783"/>
    <mergeCell ref="H783:J783"/>
    <mergeCell ref="K783:M783"/>
    <mergeCell ref="D787:E787"/>
    <mergeCell ref="F787:G787"/>
    <mergeCell ref="F782:G782"/>
    <mergeCell ref="H787:J787"/>
    <mergeCell ref="K787:M787"/>
    <mergeCell ref="B785:C785"/>
    <mergeCell ref="B786:C786"/>
    <mergeCell ref="D786:E786"/>
    <mergeCell ref="F786:G786"/>
    <mergeCell ref="H786:J786"/>
    <mergeCell ref="K786:M786"/>
    <mergeCell ref="B800:C800"/>
    <mergeCell ref="B801:C801"/>
    <mergeCell ref="D801:E801"/>
    <mergeCell ref="F801:G801"/>
    <mergeCell ref="H801:J801"/>
    <mergeCell ref="K801:M801"/>
    <mergeCell ref="B802:C802"/>
    <mergeCell ref="B788:C788"/>
    <mergeCell ref="D788:E788"/>
    <mergeCell ref="F788:G788"/>
    <mergeCell ref="H788:J788"/>
    <mergeCell ref="K788:M788"/>
    <mergeCell ref="F795:G795"/>
    <mergeCell ref="H795:J795"/>
    <mergeCell ref="H796:J796"/>
    <mergeCell ref="K796:M796"/>
    <mergeCell ref="H797:J797"/>
    <mergeCell ref="K797:M797"/>
    <mergeCell ref="B795:C795"/>
    <mergeCell ref="B796:C796"/>
    <mergeCell ref="D796:E796"/>
    <mergeCell ref="F796:G796"/>
    <mergeCell ref="B797:C797"/>
    <mergeCell ref="D797:E797"/>
    <mergeCell ref="F797:G797"/>
    <mergeCell ref="F790:G790"/>
    <mergeCell ref="H790:J790"/>
    <mergeCell ref="H791:J791"/>
    <mergeCell ref="K791:M791"/>
    <mergeCell ref="H792:J792"/>
    <mergeCell ref="K792:M792"/>
    <mergeCell ref="B789:C789"/>
    <mergeCell ref="B803:C803"/>
    <mergeCell ref="D803:E803"/>
    <mergeCell ref="F803:G803"/>
    <mergeCell ref="H803:J803"/>
    <mergeCell ref="K803:M803"/>
    <mergeCell ref="N120:U120"/>
    <mergeCell ref="N121:U121"/>
    <mergeCell ref="N122:U122"/>
    <mergeCell ref="N123:U123"/>
    <mergeCell ref="N124:U124"/>
    <mergeCell ref="N125:U125"/>
    <mergeCell ref="N126:U126"/>
    <mergeCell ref="N127:U127"/>
    <mergeCell ref="N128:U128"/>
    <mergeCell ref="N129:U129"/>
    <mergeCell ref="N130:U130"/>
    <mergeCell ref="N131:U131"/>
    <mergeCell ref="N132:U132"/>
    <mergeCell ref="N133:U133"/>
    <mergeCell ref="N134:U134"/>
    <mergeCell ref="N135:U135"/>
    <mergeCell ref="N136:U136"/>
    <mergeCell ref="N137:U137"/>
    <mergeCell ref="N138:U138"/>
    <mergeCell ref="N139:U139"/>
    <mergeCell ref="D793:E793"/>
    <mergeCell ref="F793:G793"/>
    <mergeCell ref="H793:J793"/>
    <mergeCell ref="K793:M793"/>
    <mergeCell ref="B790:C790"/>
    <mergeCell ref="B791:C791"/>
    <mergeCell ref="D791:E791"/>
    <mergeCell ref="N146:U146"/>
    <mergeCell ref="N147:U147"/>
    <mergeCell ref="N148:U148"/>
    <mergeCell ref="N149:U149"/>
    <mergeCell ref="N150:U150"/>
    <mergeCell ref="N151:U151"/>
    <mergeCell ref="N152:U152"/>
    <mergeCell ref="N153:U153"/>
    <mergeCell ref="N154:U154"/>
    <mergeCell ref="N155:U155"/>
    <mergeCell ref="N156:U156"/>
    <mergeCell ref="B798:C798"/>
    <mergeCell ref="D798:E798"/>
    <mergeCell ref="F798:G798"/>
    <mergeCell ref="H798:J798"/>
    <mergeCell ref="K798:M798"/>
    <mergeCell ref="D802:E802"/>
    <mergeCell ref="F802:G802"/>
    <mergeCell ref="F791:G791"/>
    <mergeCell ref="B792:C792"/>
    <mergeCell ref="D792:E792"/>
    <mergeCell ref="F792:G792"/>
    <mergeCell ref="B794:C794"/>
    <mergeCell ref="D794:E794"/>
    <mergeCell ref="F794:G794"/>
    <mergeCell ref="H794:J794"/>
    <mergeCell ref="K794:M794"/>
    <mergeCell ref="D795:E795"/>
    <mergeCell ref="K795:M795"/>
    <mergeCell ref="F800:G800"/>
    <mergeCell ref="H800:J800"/>
    <mergeCell ref="B799:C799"/>
    <mergeCell ref="N157:U157"/>
    <mergeCell ref="N158:U158"/>
    <mergeCell ref="N159:U159"/>
    <mergeCell ref="N160:U160"/>
    <mergeCell ref="N161:U161"/>
    <mergeCell ref="N162:U162"/>
    <mergeCell ref="N163:U163"/>
    <mergeCell ref="N164:U164"/>
    <mergeCell ref="N165:U165"/>
    <mergeCell ref="N166:U166"/>
    <mergeCell ref="N167:U167"/>
    <mergeCell ref="N168:U168"/>
    <mergeCell ref="N169:U169"/>
    <mergeCell ref="N170:U170"/>
    <mergeCell ref="N171:U171"/>
    <mergeCell ref="N172:U172"/>
    <mergeCell ref="N173:U173"/>
    <mergeCell ref="N174:U174"/>
    <mergeCell ref="N175:U175"/>
    <mergeCell ref="N176:U176"/>
    <mergeCell ref="N177:U177"/>
    <mergeCell ref="N178:U178"/>
    <mergeCell ref="N179:U179"/>
    <mergeCell ref="N180:U180"/>
    <mergeCell ref="N181:U181"/>
    <mergeCell ref="N182:U182"/>
    <mergeCell ref="N183:U183"/>
    <mergeCell ref="N184:U184"/>
    <mergeCell ref="N185:U185"/>
    <mergeCell ref="N186:U186"/>
    <mergeCell ref="N187:U187"/>
    <mergeCell ref="N188:U188"/>
    <mergeCell ref="N189:U189"/>
    <mergeCell ref="N190:U190"/>
    <mergeCell ref="N191:U191"/>
    <mergeCell ref="N192:U192"/>
    <mergeCell ref="N193:U193"/>
    <mergeCell ref="N194:U194"/>
    <mergeCell ref="N195:U195"/>
    <mergeCell ref="N196:U196"/>
    <mergeCell ref="N197:U197"/>
    <mergeCell ref="N198:U198"/>
    <mergeCell ref="N199:U199"/>
    <mergeCell ref="N200:U200"/>
    <mergeCell ref="N201:U201"/>
    <mergeCell ref="N202:U202"/>
    <mergeCell ref="N203:U203"/>
    <mergeCell ref="N204:U204"/>
    <mergeCell ref="N205:U205"/>
    <mergeCell ref="N206:U206"/>
    <mergeCell ref="N207:U207"/>
    <mergeCell ref="N208:U208"/>
    <mergeCell ref="N209:U209"/>
    <mergeCell ref="N210:U210"/>
    <mergeCell ref="N211:U211"/>
    <mergeCell ref="N212:U212"/>
    <mergeCell ref="N213:U213"/>
    <mergeCell ref="N214:U214"/>
    <mergeCell ref="N215:U215"/>
    <mergeCell ref="N216:U216"/>
    <mergeCell ref="N217:U217"/>
    <mergeCell ref="N218:U218"/>
    <mergeCell ref="N219:U219"/>
    <mergeCell ref="N220:U220"/>
    <mergeCell ref="N221:U221"/>
    <mergeCell ref="N222:U222"/>
    <mergeCell ref="N223:U223"/>
    <mergeCell ref="N224:U224"/>
    <mergeCell ref="N225:U225"/>
    <mergeCell ref="N226:U226"/>
    <mergeCell ref="N227:U227"/>
    <mergeCell ref="N228:U228"/>
    <mergeCell ref="N229:U229"/>
    <mergeCell ref="N230:U230"/>
    <mergeCell ref="N231:U231"/>
    <mergeCell ref="N232:U232"/>
    <mergeCell ref="N233:U233"/>
    <mergeCell ref="N234:U234"/>
    <mergeCell ref="N235:U235"/>
    <mergeCell ref="N236:U236"/>
    <mergeCell ref="N237:U237"/>
    <mergeCell ref="N238:U238"/>
    <mergeCell ref="N239:U239"/>
    <mergeCell ref="N240:U240"/>
    <mergeCell ref="N241:U241"/>
    <mergeCell ref="N242:U242"/>
    <mergeCell ref="N243:U243"/>
    <mergeCell ref="N244:U244"/>
    <mergeCell ref="N245:U245"/>
    <mergeCell ref="N246:U246"/>
    <mergeCell ref="N247:U247"/>
    <mergeCell ref="N248:U248"/>
    <mergeCell ref="N249:U249"/>
    <mergeCell ref="N250:U250"/>
    <mergeCell ref="N251:U251"/>
    <mergeCell ref="N252:U252"/>
    <mergeCell ref="N253:U253"/>
    <mergeCell ref="N254:U254"/>
    <mergeCell ref="N255:U255"/>
    <mergeCell ref="N256:U256"/>
    <mergeCell ref="N257:U257"/>
    <mergeCell ref="N258:U258"/>
    <mergeCell ref="N259:U259"/>
    <mergeCell ref="N260:U260"/>
    <mergeCell ref="N261:U261"/>
    <mergeCell ref="N262:U262"/>
    <mergeCell ref="N263:U263"/>
    <mergeCell ref="N264:U264"/>
    <mergeCell ref="N265:U265"/>
    <mergeCell ref="N266:U266"/>
    <mergeCell ref="N267:U267"/>
    <mergeCell ref="N268:U268"/>
    <mergeCell ref="N269:U269"/>
    <mergeCell ref="N270:U270"/>
    <mergeCell ref="N271:U271"/>
    <mergeCell ref="N272:U272"/>
    <mergeCell ref="N273:U273"/>
    <mergeCell ref="N274:U274"/>
    <mergeCell ref="N275:U275"/>
    <mergeCell ref="N276:U276"/>
    <mergeCell ref="N277:U277"/>
    <mergeCell ref="N278:U278"/>
    <mergeCell ref="N279:U279"/>
    <mergeCell ref="N280:U280"/>
    <mergeCell ref="N281:U281"/>
    <mergeCell ref="N282:U282"/>
    <mergeCell ref="N283:U283"/>
    <mergeCell ref="N284:U284"/>
    <mergeCell ref="N285:U285"/>
    <mergeCell ref="N286:U286"/>
    <mergeCell ref="N287:U287"/>
    <mergeCell ref="N288:U288"/>
    <mergeCell ref="N289:U289"/>
    <mergeCell ref="N290:U290"/>
    <mergeCell ref="N291:U291"/>
    <mergeCell ref="N292:U292"/>
    <mergeCell ref="N293:U293"/>
    <mergeCell ref="N294:U294"/>
    <mergeCell ref="N295:U295"/>
    <mergeCell ref="N296:U296"/>
    <mergeCell ref="N297:U297"/>
    <mergeCell ref="N298:U298"/>
    <mergeCell ref="N299:U299"/>
    <mergeCell ref="N300:U300"/>
    <mergeCell ref="N301:U301"/>
    <mergeCell ref="N302:U302"/>
    <mergeCell ref="N303:U303"/>
    <mergeCell ref="N304:U304"/>
    <mergeCell ref="N305:U305"/>
    <mergeCell ref="N306:U306"/>
    <mergeCell ref="N307:U307"/>
    <mergeCell ref="N308:U308"/>
    <mergeCell ref="N309:U309"/>
    <mergeCell ref="N310:U310"/>
    <mergeCell ref="N311:U311"/>
    <mergeCell ref="N312:U312"/>
    <mergeCell ref="N313:U313"/>
    <mergeCell ref="N314:U314"/>
    <mergeCell ref="N315:U315"/>
    <mergeCell ref="N316:U316"/>
    <mergeCell ref="N317:U317"/>
    <mergeCell ref="N318:U318"/>
    <mergeCell ref="N319:U319"/>
    <mergeCell ref="N320:U320"/>
    <mergeCell ref="N321:U321"/>
    <mergeCell ref="N322:U322"/>
    <mergeCell ref="N323:U323"/>
    <mergeCell ref="N324:U324"/>
    <mergeCell ref="N325:U325"/>
    <mergeCell ref="N326:U326"/>
    <mergeCell ref="N327:U327"/>
    <mergeCell ref="N328:U328"/>
    <mergeCell ref="N329:U329"/>
    <mergeCell ref="N330:U330"/>
    <mergeCell ref="N331:U331"/>
    <mergeCell ref="N332:U332"/>
    <mergeCell ref="N333:U333"/>
    <mergeCell ref="N334:U334"/>
    <mergeCell ref="N335:U335"/>
    <mergeCell ref="N336:U336"/>
    <mergeCell ref="N337:U337"/>
    <mergeCell ref="N338:U338"/>
    <mergeCell ref="N339:U339"/>
    <mergeCell ref="N340:U340"/>
    <mergeCell ref="N341:U341"/>
    <mergeCell ref="N342:U342"/>
    <mergeCell ref="N343:U343"/>
    <mergeCell ref="N344:U344"/>
    <mergeCell ref="N345:U345"/>
    <mergeCell ref="N346:U346"/>
    <mergeCell ref="N347:U347"/>
    <mergeCell ref="N348:U348"/>
    <mergeCell ref="N349:U349"/>
    <mergeCell ref="N350:U350"/>
    <mergeCell ref="N351:U351"/>
    <mergeCell ref="N352:U352"/>
    <mergeCell ref="N353:U353"/>
    <mergeCell ref="N354:U354"/>
    <mergeCell ref="N355:U355"/>
    <mergeCell ref="N356:U356"/>
    <mergeCell ref="N357:U357"/>
    <mergeCell ref="N358:U358"/>
    <mergeCell ref="N359:U359"/>
    <mergeCell ref="N360:U360"/>
    <mergeCell ref="N361:U361"/>
    <mergeCell ref="N362:U362"/>
    <mergeCell ref="N363:U363"/>
    <mergeCell ref="N364:U364"/>
    <mergeCell ref="N365:U365"/>
    <mergeCell ref="N366:U366"/>
    <mergeCell ref="N367:U367"/>
    <mergeCell ref="N368:U368"/>
    <mergeCell ref="N369:U369"/>
    <mergeCell ref="N370:U370"/>
    <mergeCell ref="N371:U371"/>
    <mergeCell ref="N372:U372"/>
    <mergeCell ref="N373:U373"/>
    <mergeCell ref="N374:U374"/>
    <mergeCell ref="N375:U375"/>
    <mergeCell ref="N376:U376"/>
    <mergeCell ref="N377:U377"/>
    <mergeCell ref="N378:U378"/>
    <mergeCell ref="N379:U379"/>
    <mergeCell ref="N380:U380"/>
    <mergeCell ref="N381:U381"/>
    <mergeCell ref="N382:U382"/>
    <mergeCell ref="N383:U383"/>
    <mergeCell ref="N384:U384"/>
    <mergeCell ref="N385:U385"/>
    <mergeCell ref="N386:U386"/>
    <mergeCell ref="N387:U387"/>
    <mergeCell ref="N388:U388"/>
    <mergeCell ref="N389:U389"/>
    <mergeCell ref="N390:U390"/>
    <mergeCell ref="N391:U391"/>
    <mergeCell ref="N392:U392"/>
    <mergeCell ref="N393:U393"/>
    <mergeCell ref="N394:U394"/>
    <mergeCell ref="N395:U395"/>
    <mergeCell ref="N396:U396"/>
    <mergeCell ref="N397:U397"/>
    <mergeCell ref="N398:U398"/>
    <mergeCell ref="N399:U399"/>
    <mergeCell ref="N400:U400"/>
    <mergeCell ref="N401:U401"/>
    <mergeCell ref="N402:U402"/>
    <mergeCell ref="N403:U403"/>
    <mergeCell ref="N404:U404"/>
    <mergeCell ref="N405:U405"/>
    <mergeCell ref="N406:U406"/>
    <mergeCell ref="N407:U407"/>
    <mergeCell ref="N408:U408"/>
    <mergeCell ref="N409:U409"/>
    <mergeCell ref="N410:U410"/>
    <mergeCell ref="N411:U411"/>
    <mergeCell ref="N412:U412"/>
    <mergeCell ref="N413:U413"/>
    <mergeCell ref="N414:U414"/>
    <mergeCell ref="N415:U415"/>
    <mergeCell ref="N416:U416"/>
    <mergeCell ref="N417:U417"/>
    <mergeCell ref="N418:U418"/>
    <mergeCell ref="N419:U419"/>
    <mergeCell ref="N420:U420"/>
    <mergeCell ref="N421:U421"/>
    <mergeCell ref="N422:U422"/>
    <mergeCell ref="N423:U423"/>
    <mergeCell ref="N424:U424"/>
    <mergeCell ref="N425:U425"/>
    <mergeCell ref="N426:U426"/>
    <mergeCell ref="N427:U427"/>
    <mergeCell ref="N428:U428"/>
    <mergeCell ref="N429:U429"/>
    <mergeCell ref="N430:U430"/>
    <mergeCell ref="N431:U431"/>
    <mergeCell ref="N432:U432"/>
    <mergeCell ref="N433:U433"/>
    <mergeCell ref="N434:U434"/>
    <mergeCell ref="N435:U435"/>
    <mergeCell ref="N436:U436"/>
    <mergeCell ref="N437:U437"/>
    <mergeCell ref="N438:U438"/>
    <mergeCell ref="N439:U439"/>
    <mergeCell ref="N440:U440"/>
    <mergeCell ref="N441:U441"/>
    <mergeCell ref="N442:U442"/>
    <mergeCell ref="N443:U443"/>
    <mergeCell ref="N444:U444"/>
    <mergeCell ref="N445:U445"/>
    <mergeCell ref="N446:U446"/>
    <mergeCell ref="N447:U447"/>
    <mergeCell ref="N448:U448"/>
    <mergeCell ref="N449:U449"/>
    <mergeCell ref="N450:U450"/>
    <mergeCell ref="N451:U451"/>
    <mergeCell ref="N452:U452"/>
    <mergeCell ref="N453:U453"/>
    <mergeCell ref="N454:U454"/>
    <mergeCell ref="N455:U455"/>
    <mergeCell ref="N456:U456"/>
    <mergeCell ref="N457:U457"/>
    <mergeCell ref="N458:U458"/>
    <mergeCell ref="N459:U459"/>
    <mergeCell ref="N460:U460"/>
    <mergeCell ref="N461:U461"/>
    <mergeCell ref="N462:U462"/>
    <mergeCell ref="N463:U463"/>
    <mergeCell ref="N464:U464"/>
    <mergeCell ref="N465:U465"/>
    <mergeCell ref="N466:U466"/>
    <mergeCell ref="N467:U467"/>
    <mergeCell ref="N468:U468"/>
    <mergeCell ref="N469:U469"/>
    <mergeCell ref="N470:U470"/>
    <mergeCell ref="N471:U471"/>
    <mergeCell ref="N472:U472"/>
    <mergeCell ref="N473:U473"/>
    <mergeCell ref="N474:U474"/>
    <mergeCell ref="N475:U475"/>
    <mergeCell ref="N476:U476"/>
    <mergeCell ref="N477:U477"/>
    <mergeCell ref="N478:U478"/>
    <mergeCell ref="N479:U479"/>
    <mergeCell ref="N480:U480"/>
    <mergeCell ref="N481:U481"/>
    <mergeCell ref="N482:U482"/>
    <mergeCell ref="N483:U483"/>
    <mergeCell ref="N484:U484"/>
    <mergeCell ref="N485:U485"/>
    <mergeCell ref="N486:U486"/>
    <mergeCell ref="N487:U487"/>
    <mergeCell ref="N488:U488"/>
    <mergeCell ref="N489:U489"/>
    <mergeCell ref="N490:U490"/>
    <mergeCell ref="N491:U491"/>
    <mergeCell ref="N492:U492"/>
    <mergeCell ref="N493:U493"/>
    <mergeCell ref="N494:U494"/>
    <mergeCell ref="N495:U495"/>
    <mergeCell ref="N496:U496"/>
    <mergeCell ref="N497:U497"/>
    <mergeCell ref="N498:U498"/>
    <mergeCell ref="N499:U499"/>
    <mergeCell ref="N500:U500"/>
    <mergeCell ref="N501:U501"/>
    <mergeCell ref="N502:U502"/>
    <mergeCell ref="N503:U503"/>
    <mergeCell ref="N504:U504"/>
    <mergeCell ref="N505:U505"/>
    <mergeCell ref="N506:U506"/>
    <mergeCell ref="N507:U507"/>
    <mergeCell ref="N508:U508"/>
    <mergeCell ref="N509:U509"/>
    <mergeCell ref="N510:U510"/>
    <mergeCell ref="N511:U511"/>
    <mergeCell ref="N512:U512"/>
    <mergeCell ref="N513:U513"/>
    <mergeCell ref="N514:U514"/>
    <mergeCell ref="N515:U515"/>
    <mergeCell ref="N516:U516"/>
    <mergeCell ref="N517:U517"/>
    <mergeCell ref="N518:U518"/>
    <mergeCell ref="N519:U519"/>
    <mergeCell ref="N520:U520"/>
    <mergeCell ref="N521:U521"/>
    <mergeCell ref="N522:U522"/>
    <mergeCell ref="N523:U523"/>
    <mergeCell ref="N524:U524"/>
    <mergeCell ref="N525:U525"/>
    <mergeCell ref="N526:U526"/>
    <mergeCell ref="N527:U527"/>
    <mergeCell ref="N528:U528"/>
    <mergeCell ref="N529:U529"/>
    <mergeCell ref="N530:U530"/>
    <mergeCell ref="N531:U531"/>
    <mergeCell ref="N532:U532"/>
    <mergeCell ref="N533:U533"/>
    <mergeCell ref="N534:U534"/>
    <mergeCell ref="N535:U535"/>
    <mergeCell ref="N536:U536"/>
    <mergeCell ref="N537:U537"/>
    <mergeCell ref="N538:U538"/>
    <mergeCell ref="N539:U539"/>
    <mergeCell ref="N540:U540"/>
    <mergeCell ref="N541:U541"/>
    <mergeCell ref="N542:U542"/>
    <mergeCell ref="N543:U543"/>
    <mergeCell ref="N544:U544"/>
    <mergeCell ref="N545:U545"/>
    <mergeCell ref="N546:U546"/>
    <mergeCell ref="N547:U547"/>
    <mergeCell ref="N548:U548"/>
    <mergeCell ref="N549:U549"/>
    <mergeCell ref="N550:U550"/>
    <mergeCell ref="N551:U551"/>
    <mergeCell ref="N552:U552"/>
    <mergeCell ref="N553:U553"/>
    <mergeCell ref="N554:U554"/>
    <mergeCell ref="N555:U555"/>
    <mergeCell ref="N556:U556"/>
    <mergeCell ref="N557:U557"/>
    <mergeCell ref="N558:U558"/>
    <mergeCell ref="N559:U559"/>
    <mergeCell ref="N560:U560"/>
    <mergeCell ref="N561:U561"/>
    <mergeCell ref="N562:U562"/>
    <mergeCell ref="N563:U563"/>
    <mergeCell ref="N564:U564"/>
    <mergeCell ref="N565:U565"/>
    <mergeCell ref="N566:U566"/>
    <mergeCell ref="N567:U567"/>
    <mergeCell ref="N568:U568"/>
    <mergeCell ref="N569:U569"/>
    <mergeCell ref="N570:U570"/>
    <mergeCell ref="N571:U571"/>
    <mergeCell ref="N572:U572"/>
    <mergeCell ref="N573:U573"/>
    <mergeCell ref="N574:U574"/>
    <mergeCell ref="N575:U575"/>
    <mergeCell ref="N576:U576"/>
    <mergeCell ref="N577:U577"/>
    <mergeCell ref="N578:U578"/>
    <mergeCell ref="N579:U579"/>
    <mergeCell ref="N580:U580"/>
    <mergeCell ref="N581:U581"/>
    <mergeCell ref="N582:U582"/>
    <mergeCell ref="N583:U583"/>
    <mergeCell ref="N584:U584"/>
    <mergeCell ref="N585:U585"/>
    <mergeCell ref="N586:U586"/>
    <mergeCell ref="N587:U587"/>
    <mergeCell ref="N588:U588"/>
    <mergeCell ref="N589:U589"/>
    <mergeCell ref="N590:U590"/>
    <mergeCell ref="N591:U591"/>
    <mergeCell ref="N592:U592"/>
    <mergeCell ref="N593:U593"/>
    <mergeCell ref="N594:U594"/>
    <mergeCell ref="N595:U595"/>
    <mergeCell ref="N596:U596"/>
    <mergeCell ref="N597:U597"/>
    <mergeCell ref="N598:U598"/>
    <mergeCell ref="N599:U599"/>
    <mergeCell ref="N600:U600"/>
    <mergeCell ref="N601:U601"/>
    <mergeCell ref="N602:U602"/>
    <mergeCell ref="N603:U603"/>
    <mergeCell ref="N604:U604"/>
    <mergeCell ref="N605:U605"/>
    <mergeCell ref="N606:U606"/>
    <mergeCell ref="N607:U607"/>
    <mergeCell ref="N608:U608"/>
    <mergeCell ref="N609:U609"/>
    <mergeCell ref="N610:U610"/>
    <mergeCell ref="N611:U611"/>
    <mergeCell ref="N612:U612"/>
    <mergeCell ref="N613:U613"/>
    <mergeCell ref="N614:U614"/>
    <mergeCell ref="N615:U615"/>
    <mergeCell ref="N616:U616"/>
    <mergeCell ref="N617:U617"/>
    <mergeCell ref="N618:U618"/>
    <mergeCell ref="N619:U619"/>
    <mergeCell ref="N620:U620"/>
    <mergeCell ref="N621:U621"/>
    <mergeCell ref="N622:U622"/>
    <mergeCell ref="N623:U623"/>
    <mergeCell ref="N624:U624"/>
    <mergeCell ref="N625:U625"/>
    <mergeCell ref="N626:U626"/>
    <mergeCell ref="N627:U627"/>
    <mergeCell ref="N628:U628"/>
    <mergeCell ref="N629:U629"/>
    <mergeCell ref="N630:U630"/>
    <mergeCell ref="N631:U631"/>
    <mergeCell ref="N632:U632"/>
    <mergeCell ref="N633:U633"/>
    <mergeCell ref="N634:U634"/>
    <mergeCell ref="N635:U635"/>
    <mergeCell ref="N636:U636"/>
    <mergeCell ref="N637:U637"/>
    <mergeCell ref="N638:U638"/>
    <mergeCell ref="N639:U639"/>
    <mergeCell ref="N640:U640"/>
    <mergeCell ref="N641:U641"/>
    <mergeCell ref="N642:U642"/>
    <mergeCell ref="N643:U643"/>
    <mergeCell ref="N644:U644"/>
    <mergeCell ref="N645:U645"/>
    <mergeCell ref="N646:U646"/>
    <mergeCell ref="N647:U647"/>
    <mergeCell ref="N648:U648"/>
    <mergeCell ref="N649:U649"/>
    <mergeCell ref="N650:U650"/>
    <mergeCell ref="N651:U651"/>
    <mergeCell ref="N652:U652"/>
    <mergeCell ref="N653:U653"/>
    <mergeCell ref="N654:U654"/>
    <mergeCell ref="N655:U655"/>
    <mergeCell ref="N656:U656"/>
    <mergeCell ref="N657:U657"/>
    <mergeCell ref="N658:U658"/>
    <mergeCell ref="N659:U659"/>
    <mergeCell ref="N660:U660"/>
    <mergeCell ref="N661:U661"/>
    <mergeCell ref="N662:U662"/>
    <mergeCell ref="N663:U663"/>
    <mergeCell ref="N664:U664"/>
    <mergeCell ref="N665:U665"/>
    <mergeCell ref="N666:U666"/>
    <mergeCell ref="N667:U667"/>
    <mergeCell ref="N668:U668"/>
    <mergeCell ref="N669:U669"/>
    <mergeCell ref="N670:U670"/>
    <mergeCell ref="N671:U671"/>
    <mergeCell ref="N672:U672"/>
    <mergeCell ref="N673:U673"/>
    <mergeCell ref="N674:U674"/>
    <mergeCell ref="N675:U675"/>
    <mergeCell ref="N676:U676"/>
    <mergeCell ref="N677:U677"/>
    <mergeCell ref="N678:U678"/>
    <mergeCell ref="N679:U679"/>
    <mergeCell ref="N680:U680"/>
    <mergeCell ref="N681:U681"/>
    <mergeCell ref="N682:U682"/>
    <mergeCell ref="N683:U683"/>
    <mergeCell ref="N684:U684"/>
    <mergeCell ref="N685:U685"/>
    <mergeCell ref="N686:U686"/>
    <mergeCell ref="N687:U687"/>
    <mergeCell ref="N688:U688"/>
    <mergeCell ref="N689:U689"/>
    <mergeCell ref="N690:U690"/>
    <mergeCell ref="N691:U691"/>
    <mergeCell ref="N692:U692"/>
    <mergeCell ref="N693:U693"/>
    <mergeCell ref="N694:U694"/>
    <mergeCell ref="N695:U695"/>
    <mergeCell ref="N696:U696"/>
    <mergeCell ref="N697:U697"/>
    <mergeCell ref="N698:U698"/>
    <mergeCell ref="N699:U699"/>
    <mergeCell ref="N700:U700"/>
    <mergeCell ref="N701:U701"/>
    <mergeCell ref="N702:U702"/>
    <mergeCell ref="N703:U703"/>
    <mergeCell ref="N704:U704"/>
    <mergeCell ref="N705:U705"/>
    <mergeCell ref="N706:U706"/>
    <mergeCell ref="N707:U707"/>
    <mergeCell ref="N708:U708"/>
    <mergeCell ref="N709:U709"/>
    <mergeCell ref="N710:U710"/>
    <mergeCell ref="N711:U711"/>
    <mergeCell ref="N712:U712"/>
    <mergeCell ref="N713:U713"/>
    <mergeCell ref="N714:U714"/>
    <mergeCell ref="N715:U715"/>
    <mergeCell ref="N716:U716"/>
    <mergeCell ref="N717:U717"/>
    <mergeCell ref="N718:U718"/>
    <mergeCell ref="N719:U719"/>
    <mergeCell ref="N720:U720"/>
    <mergeCell ref="N721:U721"/>
    <mergeCell ref="N722:U722"/>
    <mergeCell ref="N723:U723"/>
    <mergeCell ref="N724:U724"/>
    <mergeCell ref="N725:U725"/>
    <mergeCell ref="N726:U726"/>
    <mergeCell ref="N727:U727"/>
    <mergeCell ref="N728:U728"/>
    <mergeCell ref="N729:U729"/>
    <mergeCell ref="N730:U730"/>
    <mergeCell ref="N731:U731"/>
    <mergeCell ref="N732:U732"/>
    <mergeCell ref="N733:U733"/>
    <mergeCell ref="N734:U734"/>
    <mergeCell ref="N735:U735"/>
    <mergeCell ref="N736:U736"/>
    <mergeCell ref="N737:U737"/>
    <mergeCell ref="N738:U738"/>
    <mergeCell ref="N739:U739"/>
    <mergeCell ref="N740:U740"/>
    <mergeCell ref="N741:U741"/>
    <mergeCell ref="N742:U742"/>
    <mergeCell ref="N743:U743"/>
    <mergeCell ref="N744:U744"/>
    <mergeCell ref="N745:U745"/>
    <mergeCell ref="N746:U746"/>
    <mergeCell ref="N747:U747"/>
    <mergeCell ref="N748:U748"/>
    <mergeCell ref="N749:U749"/>
    <mergeCell ref="N750:U750"/>
    <mergeCell ref="N751:U751"/>
    <mergeCell ref="N752:U752"/>
    <mergeCell ref="N753:U753"/>
    <mergeCell ref="N754:U754"/>
    <mergeCell ref="N755:U755"/>
    <mergeCell ref="N756:U756"/>
    <mergeCell ref="N757:U757"/>
    <mergeCell ref="N758:U758"/>
    <mergeCell ref="N759:U759"/>
    <mergeCell ref="N760:U760"/>
    <mergeCell ref="N761:U761"/>
    <mergeCell ref="N762:U762"/>
    <mergeCell ref="N763:U763"/>
    <mergeCell ref="N764:U764"/>
    <mergeCell ref="N765:U765"/>
    <mergeCell ref="N766:U766"/>
    <mergeCell ref="N767:U767"/>
    <mergeCell ref="N768:U768"/>
    <mergeCell ref="N769:U769"/>
    <mergeCell ref="N770:U770"/>
    <mergeCell ref="N771:U771"/>
    <mergeCell ref="N772:U772"/>
    <mergeCell ref="N773:U773"/>
    <mergeCell ref="N774:U774"/>
    <mergeCell ref="N775:U775"/>
    <mergeCell ref="N776:U776"/>
    <mergeCell ref="N777:U777"/>
    <mergeCell ref="N778:U778"/>
    <mergeCell ref="N779:U779"/>
    <mergeCell ref="N780:U780"/>
    <mergeCell ref="N781:U781"/>
    <mergeCell ref="N782:U782"/>
    <mergeCell ref="N783:U783"/>
    <mergeCell ref="N784:U784"/>
    <mergeCell ref="N785:U785"/>
    <mergeCell ref="D855:E855"/>
    <mergeCell ref="F855:G855"/>
    <mergeCell ref="H855:J855"/>
    <mergeCell ref="K855:M855"/>
    <mergeCell ref="D856:E856"/>
    <mergeCell ref="K856:M856"/>
    <mergeCell ref="N786:U786"/>
    <mergeCell ref="N787:U787"/>
    <mergeCell ref="N788:U788"/>
    <mergeCell ref="N789:U789"/>
    <mergeCell ref="N790:U790"/>
    <mergeCell ref="N791:U791"/>
    <mergeCell ref="N792:U792"/>
    <mergeCell ref="N793:U793"/>
    <mergeCell ref="N794:U794"/>
    <mergeCell ref="N795:U795"/>
    <mergeCell ref="N796:U796"/>
    <mergeCell ref="N797:U797"/>
    <mergeCell ref="N798:U798"/>
    <mergeCell ref="N799:U799"/>
    <mergeCell ref="N800:U800"/>
    <mergeCell ref="N801:U801"/>
    <mergeCell ref="N802:U802"/>
    <mergeCell ref="D799:E799"/>
    <mergeCell ref="F799:G799"/>
    <mergeCell ref="H799:J799"/>
    <mergeCell ref="K799:M799"/>
    <mergeCell ref="D800:E800"/>
    <mergeCell ref="K800:M800"/>
    <mergeCell ref="H802:J802"/>
    <mergeCell ref="K802:M802"/>
    <mergeCell ref="D789:E789"/>
    <mergeCell ref="F858:G858"/>
    <mergeCell ref="B860:C860"/>
    <mergeCell ref="D860:E860"/>
    <mergeCell ref="F860:G860"/>
    <mergeCell ref="H860:J860"/>
    <mergeCell ref="K860:M860"/>
    <mergeCell ref="N803:U803"/>
    <mergeCell ref="N804:U804"/>
    <mergeCell ref="N805:U805"/>
    <mergeCell ref="H867:J867"/>
    <mergeCell ref="K867:M867"/>
    <mergeCell ref="B865:C865"/>
    <mergeCell ref="B866:C866"/>
    <mergeCell ref="D866:E866"/>
    <mergeCell ref="F866:G866"/>
    <mergeCell ref="H866:J866"/>
    <mergeCell ref="K866:M866"/>
    <mergeCell ref="B867:C867"/>
    <mergeCell ref="D851:E851"/>
    <mergeCell ref="F851:G851"/>
    <mergeCell ref="B852:C852"/>
    <mergeCell ref="D852:E852"/>
    <mergeCell ref="F852:G852"/>
    <mergeCell ref="B853:C853"/>
    <mergeCell ref="D853:E853"/>
    <mergeCell ref="F856:G856"/>
    <mergeCell ref="H856:J856"/>
    <mergeCell ref="H857:J857"/>
    <mergeCell ref="K857:M857"/>
    <mergeCell ref="H858:J858"/>
    <mergeCell ref="K858:M858"/>
    <mergeCell ref="B855:C855"/>
    <mergeCell ref="D867:E867"/>
    <mergeCell ref="F867:G867"/>
    <mergeCell ref="B868:C868"/>
    <mergeCell ref="D868:E868"/>
    <mergeCell ref="F868:G868"/>
    <mergeCell ref="H868:J868"/>
    <mergeCell ref="K868:M868"/>
    <mergeCell ref="N806:U806"/>
    <mergeCell ref="N807:U807"/>
    <mergeCell ref="N808:U808"/>
    <mergeCell ref="N809:U809"/>
    <mergeCell ref="N810:U810"/>
    <mergeCell ref="N811:U811"/>
    <mergeCell ref="N812:U812"/>
    <mergeCell ref="N813:U813"/>
    <mergeCell ref="N814:U814"/>
    <mergeCell ref="N815:U815"/>
    <mergeCell ref="N816:U816"/>
    <mergeCell ref="N817:U817"/>
    <mergeCell ref="N818:U818"/>
    <mergeCell ref="N819:U819"/>
    <mergeCell ref="N820:U820"/>
    <mergeCell ref="N821:U821"/>
    <mergeCell ref="N822:U822"/>
    <mergeCell ref="N823:U823"/>
    <mergeCell ref="N824:U824"/>
    <mergeCell ref="N825:U825"/>
    <mergeCell ref="N826:U826"/>
    <mergeCell ref="N827:U827"/>
    <mergeCell ref="N828:U828"/>
    <mergeCell ref="B859:C859"/>
    <mergeCell ref="D859:E859"/>
    <mergeCell ref="N829:U829"/>
    <mergeCell ref="N830:U830"/>
    <mergeCell ref="N831:U831"/>
    <mergeCell ref="N832:U832"/>
    <mergeCell ref="N833:U833"/>
    <mergeCell ref="N834:U834"/>
    <mergeCell ref="B836:C836"/>
    <mergeCell ref="D836:E836"/>
    <mergeCell ref="F836:G836"/>
    <mergeCell ref="H836:J836"/>
    <mergeCell ref="K836:M836"/>
    <mergeCell ref="N836:U836"/>
    <mergeCell ref="B837:C837"/>
    <mergeCell ref="D837:E837"/>
    <mergeCell ref="F837:G837"/>
    <mergeCell ref="H837:J837"/>
    <mergeCell ref="K837:M837"/>
    <mergeCell ref="N837:U837"/>
    <mergeCell ref="F831:G831"/>
    <mergeCell ref="H831:J831"/>
    <mergeCell ref="K831:M831"/>
    <mergeCell ref="B832:C832"/>
    <mergeCell ref="B838:C838"/>
    <mergeCell ref="N838:U838"/>
    <mergeCell ref="N842:U842"/>
    <mergeCell ref="N843:U843"/>
    <mergeCell ref="N844:U844"/>
    <mergeCell ref="N845:U845"/>
    <mergeCell ref="N846:U846"/>
    <mergeCell ref="N847:U847"/>
    <mergeCell ref="H838:J838"/>
    <mergeCell ref="K838:M838"/>
    <mergeCell ref="H839:J839"/>
    <mergeCell ref="K839:M839"/>
    <mergeCell ref="N839:U839"/>
    <mergeCell ref="N840:U840"/>
    <mergeCell ref="N841:U841"/>
    <mergeCell ref="F840:G840"/>
    <mergeCell ref="H840:J840"/>
    <mergeCell ref="K840:M840"/>
    <mergeCell ref="B841:C841"/>
    <mergeCell ref="D841:E841"/>
    <mergeCell ref="F841:G841"/>
    <mergeCell ref="H841:J841"/>
    <mergeCell ref="K841:M841"/>
    <mergeCell ref="D838:E838"/>
    <mergeCell ref="F838:G838"/>
    <mergeCell ref="B839:C839"/>
    <mergeCell ref="D839:E839"/>
    <mergeCell ref="F839:G839"/>
    <mergeCell ref="B840:C840"/>
    <mergeCell ref="D840:E840"/>
    <mergeCell ref="F843:G843"/>
    <mergeCell ref="H843:J843"/>
    <mergeCell ref="H844:J844"/>
    <mergeCell ref="K844:M844"/>
    <mergeCell ref="H845:J845"/>
    <mergeCell ref="K845:M845"/>
    <mergeCell ref="B842:C842"/>
    <mergeCell ref="D842:E842"/>
    <mergeCell ref="F842:G842"/>
    <mergeCell ref="H842:J842"/>
    <mergeCell ref="K842:M842"/>
    <mergeCell ref="D843:E843"/>
    <mergeCell ref="K843:M843"/>
    <mergeCell ref="B846:C846"/>
    <mergeCell ref="D846:E846"/>
    <mergeCell ref="F846:G846"/>
    <mergeCell ref="H846:J846"/>
    <mergeCell ref="K846:M846"/>
    <mergeCell ref="B843:C843"/>
    <mergeCell ref="B844:C844"/>
    <mergeCell ref="D844:E844"/>
    <mergeCell ref="F844:G844"/>
    <mergeCell ref="B845:C845"/>
    <mergeCell ref="D845:E845"/>
    <mergeCell ref="F845:G845"/>
    <mergeCell ref="F861:G861"/>
    <mergeCell ref="H861:J861"/>
    <mergeCell ref="H862:J862"/>
    <mergeCell ref="K862:M862"/>
    <mergeCell ref="H863:J863"/>
    <mergeCell ref="K863:M863"/>
    <mergeCell ref="B861:C861"/>
    <mergeCell ref="B862:C862"/>
    <mergeCell ref="D862:E862"/>
    <mergeCell ref="F862:G862"/>
    <mergeCell ref="B863:C863"/>
    <mergeCell ref="D863:E863"/>
    <mergeCell ref="F863:G863"/>
    <mergeCell ref="N856:U856"/>
    <mergeCell ref="N857:U857"/>
    <mergeCell ref="N858:U858"/>
    <mergeCell ref="N859:U859"/>
    <mergeCell ref="N860:U860"/>
    <mergeCell ref="N861:U861"/>
    <mergeCell ref="N862:U862"/>
    <mergeCell ref="N863:U863"/>
    <mergeCell ref="D861:E861"/>
    <mergeCell ref="K861:M861"/>
    <mergeCell ref="F859:G859"/>
    <mergeCell ref="H859:J859"/>
    <mergeCell ref="K859:M859"/>
    <mergeCell ref="B856:C856"/>
    <mergeCell ref="B857:C857"/>
    <mergeCell ref="D857:E857"/>
    <mergeCell ref="F857:G857"/>
    <mergeCell ref="B858:C858"/>
    <mergeCell ref="D858:E858"/>
    <mergeCell ref="N864:U864"/>
    <mergeCell ref="N865:U865"/>
    <mergeCell ref="N866:U866"/>
    <mergeCell ref="N867:U867"/>
    <mergeCell ref="N868:U868"/>
    <mergeCell ref="N869:U869"/>
    <mergeCell ref="N877:U877"/>
    <mergeCell ref="N878:U878"/>
    <mergeCell ref="N879:U879"/>
    <mergeCell ref="N880:U880"/>
    <mergeCell ref="N870:U870"/>
    <mergeCell ref="N871:U871"/>
    <mergeCell ref="N872:U872"/>
    <mergeCell ref="N873:U873"/>
    <mergeCell ref="N874:U874"/>
    <mergeCell ref="N875:U875"/>
    <mergeCell ref="N876:U876"/>
    <mergeCell ref="F848:G848"/>
    <mergeCell ref="H848:J848"/>
    <mergeCell ref="N848:U848"/>
    <mergeCell ref="B847:C847"/>
    <mergeCell ref="D847:E847"/>
    <mergeCell ref="F847:G847"/>
    <mergeCell ref="H847:J847"/>
    <mergeCell ref="K847:M847"/>
    <mergeCell ref="D848:E848"/>
    <mergeCell ref="K848:M848"/>
    <mergeCell ref="B848:C848"/>
    <mergeCell ref="B849:C849"/>
    <mergeCell ref="D849:E849"/>
    <mergeCell ref="F849:G849"/>
    <mergeCell ref="H849:J849"/>
    <mergeCell ref="K849:M849"/>
    <mergeCell ref="N849:U849"/>
    <mergeCell ref="H851:J851"/>
    <mergeCell ref="K851:M851"/>
    <mergeCell ref="H852:J852"/>
    <mergeCell ref="K852:M852"/>
    <mergeCell ref="N852:U852"/>
    <mergeCell ref="B850:C850"/>
    <mergeCell ref="D850:E850"/>
    <mergeCell ref="F850:G850"/>
    <mergeCell ref="H850:J850"/>
    <mergeCell ref="K850:M850"/>
    <mergeCell ref="N850:U850"/>
    <mergeCell ref="B851:C851"/>
    <mergeCell ref="N851:U851"/>
    <mergeCell ref="F853:G853"/>
    <mergeCell ref="H853:J853"/>
    <mergeCell ref="K853:M853"/>
    <mergeCell ref="N853:U853"/>
    <mergeCell ref="B854:C854"/>
    <mergeCell ref="D854:E854"/>
    <mergeCell ref="F854:G854"/>
    <mergeCell ref="H854:J854"/>
    <mergeCell ref="K854:M854"/>
    <mergeCell ref="N854:U854"/>
    <mergeCell ref="N855:U855"/>
    <mergeCell ref="F865:G865"/>
    <mergeCell ref="H865:J865"/>
    <mergeCell ref="B864:C864"/>
    <mergeCell ref="D864:E864"/>
    <mergeCell ref="F864:G864"/>
    <mergeCell ref="H864:J864"/>
    <mergeCell ref="K864:M864"/>
    <mergeCell ref="D865:E865"/>
    <mergeCell ref="K865:M865"/>
    <mergeCell ref="F880:G880"/>
    <mergeCell ref="H880:J880"/>
    <mergeCell ref="B879:C879"/>
    <mergeCell ref="D879:E879"/>
    <mergeCell ref="F879:G879"/>
    <mergeCell ref="H879:J879"/>
    <mergeCell ref="K879:M879"/>
    <mergeCell ref="D880:E880"/>
    <mergeCell ref="K880:M880"/>
    <mergeCell ref="D869:E869"/>
    <mergeCell ref="F869:G869"/>
    <mergeCell ref="H869:J869"/>
    <mergeCell ref="K869:M869"/>
    <mergeCell ref="D870:E870"/>
    <mergeCell ref="K870:M870"/>
    <mergeCell ref="B873:C873"/>
    <mergeCell ref="B63:C63"/>
    <mergeCell ref="B64:C64"/>
    <mergeCell ref="D64:E64"/>
    <mergeCell ref="F64:G64"/>
    <mergeCell ref="H64:J64"/>
    <mergeCell ref="K64:M64"/>
    <mergeCell ref="N64:U64"/>
    <mergeCell ref="H66:J66"/>
    <mergeCell ref="K66:M66"/>
    <mergeCell ref="H67:J67"/>
    <mergeCell ref="K67:M67"/>
    <mergeCell ref="N67:U67"/>
    <mergeCell ref="B65:C65"/>
    <mergeCell ref="D65:E65"/>
    <mergeCell ref="F65:G65"/>
    <mergeCell ref="H65:J65"/>
    <mergeCell ref="K65:M65"/>
    <mergeCell ref="N65:U65"/>
    <mergeCell ref="B66:C66"/>
    <mergeCell ref="N66:U66"/>
    <mergeCell ref="D66:E66"/>
    <mergeCell ref="F66:G66"/>
    <mergeCell ref="B67:C67"/>
    <mergeCell ref="D67:E67"/>
    <mergeCell ref="F67:G67"/>
    <mergeCell ref="N68:U68"/>
    <mergeCell ref="B69:C69"/>
    <mergeCell ref="D69:E69"/>
    <mergeCell ref="F69:G69"/>
    <mergeCell ref="H69:J69"/>
    <mergeCell ref="K69:M69"/>
    <mergeCell ref="N69:U69"/>
    <mergeCell ref="N70:U70"/>
    <mergeCell ref="F80:G80"/>
    <mergeCell ref="H80:J80"/>
    <mergeCell ref="B79:C79"/>
    <mergeCell ref="D79:E79"/>
    <mergeCell ref="F79:G79"/>
    <mergeCell ref="H79:J79"/>
    <mergeCell ref="K79:M79"/>
    <mergeCell ref="D80:E80"/>
    <mergeCell ref="K80:M80"/>
    <mergeCell ref="H74:J74"/>
    <mergeCell ref="K74:M74"/>
    <mergeCell ref="B71:C71"/>
    <mergeCell ref="B72:C72"/>
    <mergeCell ref="D72:E72"/>
    <mergeCell ref="F72:G72"/>
    <mergeCell ref="B73:C73"/>
    <mergeCell ref="D73:E73"/>
    <mergeCell ref="F73:G73"/>
    <mergeCell ref="B75:C75"/>
    <mergeCell ref="D75:E75"/>
    <mergeCell ref="F75:G75"/>
    <mergeCell ref="B80:C80"/>
    <mergeCell ref="B68:C68"/>
    <mergeCell ref="H77:J77"/>
    <mergeCell ref="D68:E68"/>
    <mergeCell ref="F71:G71"/>
    <mergeCell ref="H71:J71"/>
    <mergeCell ref="H72:J72"/>
    <mergeCell ref="K72:M72"/>
    <mergeCell ref="H73:J73"/>
    <mergeCell ref="K73:M73"/>
    <mergeCell ref="B70:C70"/>
    <mergeCell ref="D70:E70"/>
    <mergeCell ref="F70:G70"/>
    <mergeCell ref="H70:J70"/>
    <mergeCell ref="K70:M70"/>
    <mergeCell ref="D71:E71"/>
    <mergeCell ref="K71:M71"/>
    <mergeCell ref="B74:C74"/>
    <mergeCell ref="D74:E74"/>
    <mergeCell ref="F74:G74"/>
    <mergeCell ref="F68:G68"/>
    <mergeCell ref="H68:J68"/>
    <mergeCell ref="K68:M68"/>
    <mergeCell ref="B90:C90"/>
    <mergeCell ref="B91:C91"/>
    <mergeCell ref="D91:E91"/>
    <mergeCell ref="F91:G91"/>
    <mergeCell ref="B92:C92"/>
    <mergeCell ref="D92:E92"/>
    <mergeCell ref="F92:G92"/>
    <mergeCell ref="H82:J82"/>
    <mergeCell ref="K82:M82"/>
    <mergeCell ref="D90:E90"/>
    <mergeCell ref="K90:M90"/>
    <mergeCell ref="K85:M85"/>
    <mergeCell ref="B88:C88"/>
    <mergeCell ref="D88:E88"/>
    <mergeCell ref="F88:G88"/>
    <mergeCell ref="H88:J88"/>
    <mergeCell ref="K88:M88"/>
    <mergeCell ref="B85:C85"/>
    <mergeCell ref="B86:C86"/>
    <mergeCell ref="D86:E86"/>
    <mergeCell ref="F85:G85"/>
    <mergeCell ref="H85:J85"/>
    <mergeCell ref="H86:J86"/>
    <mergeCell ref="K86:M86"/>
    <mergeCell ref="H87:J87"/>
    <mergeCell ref="K87:M87"/>
    <mergeCell ref="B84:C84"/>
    <mergeCell ref="D84:E84"/>
    <mergeCell ref="F84:G84"/>
    <mergeCell ref="H84:J84"/>
    <mergeCell ref="K84:M84"/>
    <mergeCell ref="D85:E85"/>
    <mergeCell ref="H75:J75"/>
    <mergeCell ref="K75:M75"/>
    <mergeCell ref="D76:E76"/>
    <mergeCell ref="K76:M76"/>
    <mergeCell ref="D82:E82"/>
    <mergeCell ref="B144:C144"/>
    <mergeCell ref="D144:E144"/>
    <mergeCell ref="F144:G144"/>
    <mergeCell ref="H144:J144"/>
    <mergeCell ref="K144:M144"/>
    <mergeCell ref="B134:C134"/>
    <mergeCell ref="N71:U71"/>
    <mergeCell ref="N72:U72"/>
    <mergeCell ref="N73:U73"/>
    <mergeCell ref="N74:U74"/>
    <mergeCell ref="N75:U75"/>
    <mergeCell ref="N76:U76"/>
    <mergeCell ref="N77:U77"/>
    <mergeCell ref="N78:U78"/>
    <mergeCell ref="N79:U79"/>
    <mergeCell ref="N80:U80"/>
    <mergeCell ref="N81:U81"/>
    <mergeCell ref="N82:U82"/>
    <mergeCell ref="N83:U83"/>
    <mergeCell ref="N84:U84"/>
    <mergeCell ref="N85:U85"/>
    <mergeCell ref="N86:U86"/>
    <mergeCell ref="N87:U87"/>
    <mergeCell ref="F83:G83"/>
    <mergeCell ref="H83:J83"/>
    <mergeCell ref="K83:M83"/>
    <mergeCell ref="F90:G90"/>
    <mergeCell ref="N140:U140"/>
    <mergeCell ref="N141:U141"/>
    <mergeCell ref="N142:U142"/>
    <mergeCell ref="N143:U143"/>
    <mergeCell ref="N144:U144"/>
    <mergeCell ref="N145:U145"/>
    <mergeCell ref="D132:E132"/>
    <mergeCell ref="F132:G132"/>
    <mergeCell ref="K145:M145"/>
    <mergeCell ref="N88:U88"/>
    <mergeCell ref="N89:U89"/>
    <mergeCell ref="N90:U90"/>
    <mergeCell ref="N91:U91"/>
    <mergeCell ref="N92:U92"/>
    <mergeCell ref="N93:U93"/>
    <mergeCell ref="N94:U94"/>
    <mergeCell ref="N95:U95"/>
    <mergeCell ref="H90:J90"/>
    <mergeCell ref="H91:J91"/>
    <mergeCell ref="K91:M91"/>
    <mergeCell ref="H92:J92"/>
    <mergeCell ref="K92:M92"/>
    <mergeCell ref="D134:E134"/>
    <mergeCell ref="F134:G134"/>
    <mergeCell ref="H134:J134"/>
    <mergeCell ref="K134:M134"/>
    <mergeCell ref="D135:E135"/>
    <mergeCell ref="K135:M135"/>
    <mergeCell ref="F135:G135"/>
    <mergeCell ref="H135:J135"/>
    <mergeCell ref="H136:J136"/>
    <mergeCell ref="K136:M136"/>
    <mergeCell ref="N96:U96"/>
    <mergeCell ref="N97:U97"/>
    <mergeCell ref="N98:U98"/>
    <mergeCell ref="N99:U99"/>
    <mergeCell ref="N100:U100"/>
    <mergeCell ref="N101:U101"/>
    <mergeCell ref="N102:U102"/>
    <mergeCell ref="N103:U103"/>
    <mergeCell ref="N104:U104"/>
    <mergeCell ref="N105:U105"/>
    <mergeCell ref="N106:U106"/>
    <mergeCell ref="N107:U107"/>
    <mergeCell ref="N108:U108"/>
    <mergeCell ref="N109:U109"/>
    <mergeCell ref="N110:U110"/>
    <mergeCell ref="N111:U111"/>
    <mergeCell ref="N112:U112"/>
    <mergeCell ref="K157:M157"/>
    <mergeCell ref="B155:C155"/>
    <mergeCell ref="B156:C156"/>
    <mergeCell ref="D156:E156"/>
    <mergeCell ref="F156:G156"/>
    <mergeCell ref="H156:J156"/>
    <mergeCell ref="K156:M156"/>
    <mergeCell ref="B157:C157"/>
    <mergeCell ref="N113:U113"/>
    <mergeCell ref="N114:U114"/>
    <mergeCell ref="N115:U115"/>
    <mergeCell ref="N116:U116"/>
    <mergeCell ref="N117:U117"/>
    <mergeCell ref="N118:U118"/>
    <mergeCell ref="N119:U119"/>
    <mergeCell ref="F150:G150"/>
    <mergeCell ref="H150:J150"/>
    <mergeCell ref="H151:J151"/>
    <mergeCell ref="K151:M151"/>
    <mergeCell ref="H152:J152"/>
    <mergeCell ref="K152:M152"/>
    <mergeCell ref="B150:C150"/>
    <mergeCell ref="B151:C151"/>
    <mergeCell ref="D151:E151"/>
    <mergeCell ref="F151:G151"/>
    <mergeCell ref="B152:C152"/>
    <mergeCell ref="D152:E152"/>
    <mergeCell ref="F152:G152"/>
    <mergeCell ref="F145:G145"/>
    <mergeCell ref="H145:J145"/>
    <mergeCell ref="H146:J146"/>
    <mergeCell ref="K146:M146"/>
    <mergeCell ref="B148:C148"/>
    <mergeCell ref="D148:E148"/>
    <mergeCell ref="F148:G148"/>
    <mergeCell ref="H148:J148"/>
    <mergeCell ref="K148:M148"/>
    <mergeCell ref="B145:C145"/>
    <mergeCell ref="B146:C146"/>
    <mergeCell ref="D146:E146"/>
    <mergeCell ref="F146:G146"/>
    <mergeCell ref="B147:C147"/>
    <mergeCell ref="D147:E147"/>
    <mergeCell ref="F147:G147"/>
    <mergeCell ref="B149:C149"/>
    <mergeCell ref="D149:E149"/>
    <mergeCell ref="F149:G149"/>
    <mergeCell ref="H149:J149"/>
    <mergeCell ref="K149:M149"/>
    <mergeCell ref="H147:J147"/>
    <mergeCell ref="K147:M147"/>
    <mergeCell ref="D145:E145"/>
    <mergeCell ref="D150:E150"/>
    <mergeCell ref="K150:M150"/>
    <mergeCell ref="B153:C153"/>
    <mergeCell ref="D153:E153"/>
    <mergeCell ref="F153:G153"/>
    <mergeCell ref="H153:J153"/>
    <mergeCell ref="K153:M153"/>
    <mergeCell ref="D157:E157"/>
    <mergeCell ref="F157:G157"/>
    <mergeCell ref="B158:C158"/>
    <mergeCell ref="D158:E158"/>
    <mergeCell ref="F158:G158"/>
    <mergeCell ref="H158:J158"/>
    <mergeCell ref="K158:M158"/>
    <mergeCell ref="F165:G165"/>
    <mergeCell ref="H165:J165"/>
    <mergeCell ref="H166:J166"/>
    <mergeCell ref="K166:M166"/>
    <mergeCell ref="B165:C165"/>
    <mergeCell ref="B166:C166"/>
    <mergeCell ref="D166:E166"/>
    <mergeCell ref="F166:G166"/>
    <mergeCell ref="F155:G155"/>
    <mergeCell ref="H155:J155"/>
    <mergeCell ref="B154:C154"/>
    <mergeCell ref="D154:E154"/>
    <mergeCell ref="F154:G154"/>
    <mergeCell ref="H154:J154"/>
    <mergeCell ref="K154:M154"/>
    <mergeCell ref="D155:E155"/>
    <mergeCell ref="K155:M155"/>
    <mergeCell ref="H157:J157"/>
    <mergeCell ref="K169:M169"/>
    <mergeCell ref="D170:E170"/>
    <mergeCell ref="K170:M170"/>
    <mergeCell ref="F185:G185"/>
    <mergeCell ref="H185:J185"/>
    <mergeCell ref="B184:C184"/>
    <mergeCell ref="D184:E184"/>
    <mergeCell ref="F184:G184"/>
    <mergeCell ref="H184:J184"/>
    <mergeCell ref="K184:M184"/>
    <mergeCell ref="D185:E185"/>
    <mergeCell ref="K185:M185"/>
    <mergeCell ref="F180:G180"/>
    <mergeCell ref="H180:J180"/>
    <mergeCell ref="H181:J181"/>
    <mergeCell ref="K181:M181"/>
    <mergeCell ref="H182:J182"/>
    <mergeCell ref="K182:M182"/>
    <mergeCell ref="B180:C180"/>
    <mergeCell ref="B181:C181"/>
    <mergeCell ref="D181:E181"/>
    <mergeCell ref="F181:G181"/>
    <mergeCell ref="B182:C182"/>
    <mergeCell ref="D182:E182"/>
    <mergeCell ref="F182:G182"/>
    <mergeCell ref="D177:E177"/>
    <mergeCell ref="F177:G177"/>
    <mergeCell ref="B179:C179"/>
    <mergeCell ref="D179:E179"/>
    <mergeCell ref="F179:G179"/>
    <mergeCell ref="H179:J179"/>
    <mergeCell ref="K179:M179"/>
    <mergeCell ref="K186:M186"/>
    <mergeCell ref="B187:C187"/>
    <mergeCell ref="F175:G175"/>
    <mergeCell ref="H175:J175"/>
    <mergeCell ref="H176:J176"/>
    <mergeCell ref="K176:M176"/>
    <mergeCell ref="H177:J177"/>
    <mergeCell ref="K177:M177"/>
    <mergeCell ref="B174:C174"/>
    <mergeCell ref="D174:E174"/>
    <mergeCell ref="F174:G174"/>
    <mergeCell ref="H174:J174"/>
    <mergeCell ref="K174:M174"/>
    <mergeCell ref="D175:E175"/>
    <mergeCell ref="K175:M175"/>
    <mergeCell ref="B178:C178"/>
    <mergeCell ref="D178:E178"/>
    <mergeCell ref="F178:G178"/>
    <mergeCell ref="H178:J178"/>
    <mergeCell ref="K178:M178"/>
    <mergeCell ref="B175:C175"/>
    <mergeCell ref="B176:C176"/>
    <mergeCell ref="D176:E176"/>
    <mergeCell ref="F176:G176"/>
    <mergeCell ref="B177:C177"/>
    <mergeCell ref="D180:E180"/>
    <mergeCell ref="K180:M180"/>
    <mergeCell ref="B183:C183"/>
    <mergeCell ref="D183:E183"/>
    <mergeCell ref="F183:G183"/>
    <mergeCell ref="H183:J183"/>
    <mergeCell ref="K183:M183"/>
    <mergeCell ref="B188:C188"/>
    <mergeCell ref="D188:E188"/>
    <mergeCell ref="F188:G188"/>
    <mergeCell ref="H188:J188"/>
    <mergeCell ref="K188:M188"/>
    <mergeCell ref="F195:G195"/>
    <mergeCell ref="H195:J195"/>
    <mergeCell ref="H196:J196"/>
    <mergeCell ref="K196:M196"/>
    <mergeCell ref="D192:E192"/>
    <mergeCell ref="F192:G192"/>
    <mergeCell ref="B194:C194"/>
    <mergeCell ref="D194:E194"/>
    <mergeCell ref="F194:G194"/>
    <mergeCell ref="H194:J194"/>
    <mergeCell ref="K194:M194"/>
    <mergeCell ref="H187:J187"/>
    <mergeCell ref="K187:M187"/>
    <mergeCell ref="B185:C185"/>
    <mergeCell ref="B186:C186"/>
    <mergeCell ref="D186:E186"/>
    <mergeCell ref="F186:G186"/>
    <mergeCell ref="H186:J186"/>
    <mergeCell ref="H197:J197"/>
    <mergeCell ref="K197:M197"/>
    <mergeCell ref="B195:C195"/>
    <mergeCell ref="B196:C196"/>
    <mergeCell ref="D196:E196"/>
    <mergeCell ref="F196:G196"/>
    <mergeCell ref="B197:C197"/>
    <mergeCell ref="D197:E197"/>
    <mergeCell ref="F197:G197"/>
    <mergeCell ref="F200:G200"/>
    <mergeCell ref="H200:J200"/>
    <mergeCell ref="B199:C199"/>
    <mergeCell ref="D199:E199"/>
    <mergeCell ref="F199:G199"/>
    <mergeCell ref="H199:J199"/>
    <mergeCell ref="K199:M199"/>
    <mergeCell ref="D200:E200"/>
    <mergeCell ref="K200:M200"/>
    <mergeCell ref="D195:E195"/>
    <mergeCell ref="K195:M195"/>
    <mergeCell ref="B198:C198"/>
    <mergeCell ref="D198:E198"/>
    <mergeCell ref="F198:G198"/>
    <mergeCell ref="H198:J198"/>
    <mergeCell ref="K198:M198"/>
    <mergeCell ref="D187:E187"/>
    <mergeCell ref="F187:G187"/>
    <mergeCell ref="H202:J202"/>
    <mergeCell ref="K202:M202"/>
    <mergeCell ref="B200:C200"/>
    <mergeCell ref="B201:C201"/>
    <mergeCell ref="D201:E201"/>
    <mergeCell ref="F201:G201"/>
    <mergeCell ref="H201:J201"/>
    <mergeCell ref="K201:M201"/>
    <mergeCell ref="B202:C202"/>
    <mergeCell ref="F190:G190"/>
    <mergeCell ref="H190:J190"/>
    <mergeCell ref="H191:J191"/>
    <mergeCell ref="K191:M191"/>
    <mergeCell ref="H192:J192"/>
    <mergeCell ref="K192:M192"/>
    <mergeCell ref="B189:C189"/>
    <mergeCell ref="D189:E189"/>
    <mergeCell ref="F189:G189"/>
    <mergeCell ref="H189:J189"/>
    <mergeCell ref="K189:M189"/>
    <mergeCell ref="D190:E190"/>
    <mergeCell ref="K190:M190"/>
    <mergeCell ref="B193:C193"/>
    <mergeCell ref="D193:E193"/>
    <mergeCell ref="F193:G193"/>
    <mergeCell ref="H193:J193"/>
    <mergeCell ref="K193:M193"/>
    <mergeCell ref="B190:C190"/>
    <mergeCell ref="B191:C191"/>
    <mergeCell ref="D191:E191"/>
    <mergeCell ref="F191:G191"/>
    <mergeCell ref="B192:C192"/>
    <mergeCell ref="D202:E202"/>
    <mergeCell ref="F202:G202"/>
    <mergeCell ref="B203:C203"/>
    <mergeCell ref="D203:E203"/>
    <mergeCell ref="F203:G203"/>
    <mergeCell ref="H203:J203"/>
    <mergeCell ref="K203:M203"/>
    <mergeCell ref="H232:J232"/>
    <mergeCell ref="K232:M232"/>
    <mergeCell ref="B230:C230"/>
    <mergeCell ref="B231:C231"/>
    <mergeCell ref="D231:E231"/>
    <mergeCell ref="F231:G231"/>
    <mergeCell ref="H231:J231"/>
    <mergeCell ref="K231:M231"/>
    <mergeCell ref="B232:C232"/>
    <mergeCell ref="F220:G220"/>
    <mergeCell ref="H220:J220"/>
    <mergeCell ref="H221:J221"/>
    <mergeCell ref="K221:M221"/>
    <mergeCell ref="H222:J222"/>
    <mergeCell ref="K222:M222"/>
    <mergeCell ref="B219:C219"/>
    <mergeCell ref="D219:E219"/>
    <mergeCell ref="F219:G219"/>
    <mergeCell ref="H219:J219"/>
    <mergeCell ref="K219:M219"/>
    <mergeCell ref="D220:E220"/>
    <mergeCell ref="K220:M220"/>
    <mergeCell ref="B223:C223"/>
    <mergeCell ref="D223:E223"/>
    <mergeCell ref="F223:G223"/>
    <mergeCell ref="H223:J223"/>
    <mergeCell ref="K223:M223"/>
    <mergeCell ref="B220:C220"/>
    <mergeCell ref="B221:C221"/>
    <mergeCell ref="D221:E221"/>
    <mergeCell ref="F221:G221"/>
    <mergeCell ref="B222:C222"/>
    <mergeCell ref="D222:E222"/>
    <mergeCell ref="F222:G222"/>
    <mergeCell ref="B224:C224"/>
    <mergeCell ref="D224:E224"/>
    <mergeCell ref="F224:G224"/>
    <mergeCell ref="H224:J224"/>
    <mergeCell ref="K224:M224"/>
    <mergeCell ref="D225:E225"/>
    <mergeCell ref="K225:M225"/>
    <mergeCell ref="B228:C228"/>
    <mergeCell ref="D228:E228"/>
    <mergeCell ref="F228:G228"/>
    <mergeCell ref="H228:J228"/>
    <mergeCell ref="K228:M228"/>
    <mergeCell ref="F225:G225"/>
    <mergeCell ref="H225:J225"/>
    <mergeCell ref="H226:J226"/>
    <mergeCell ref="K226:M226"/>
    <mergeCell ref="H227:J227"/>
    <mergeCell ref="K227:M227"/>
    <mergeCell ref="B225:C225"/>
    <mergeCell ref="B226:C226"/>
    <mergeCell ref="D226:E226"/>
    <mergeCell ref="F226:G226"/>
    <mergeCell ref="B227:C227"/>
    <mergeCell ref="D232:E232"/>
    <mergeCell ref="F232:G232"/>
    <mergeCell ref="B233:C233"/>
    <mergeCell ref="D233:E233"/>
    <mergeCell ref="F233:G233"/>
    <mergeCell ref="H233:J233"/>
    <mergeCell ref="K233:M233"/>
    <mergeCell ref="F210:G210"/>
    <mergeCell ref="H210:J210"/>
    <mergeCell ref="H211:J211"/>
    <mergeCell ref="K211:M211"/>
    <mergeCell ref="H212:J212"/>
    <mergeCell ref="K212:M212"/>
    <mergeCell ref="B210:C210"/>
    <mergeCell ref="B211:C211"/>
    <mergeCell ref="D211:E211"/>
    <mergeCell ref="F211:G211"/>
    <mergeCell ref="B212:C212"/>
    <mergeCell ref="D212:E212"/>
    <mergeCell ref="F212:G212"/>
    <mergeCell ref="F215:G215"/>
    <mergeCell ref="H215:J215"/>
    <mergeCell ref="B214:C214"/>
    <mergeCell ref="D214:E214"/>
    <mergeCell ref="F214:G214"/>
    <mergeCell ref="H214:J214"/>
    <mergeCell ref="K214:M214"/>
    <mergeCell ref="D215:E215"/>
    <mergeCell ref="K215:M215"/>
    <mergeCell ref="H217:J217"/>
    <mergeCell ref="K217:M217"/>
    <mergeCell ref="B215:C215"/>
    <mergeCell ref="F205:G205"/>
    <mergeCell ref="H205:J205"/>
    <mergeCell ref="H206:J206"/>
    <mergeCell ref="K206:M206"/>
    <mergeCell ref="H207:J207"/>
    <mergeCell ref="K207:M207"/>
    <mergeCell ref="B204:C204"/>
    <mergeCell ref="D204:E204"/>
    <mergeCell ref="F204:G204"/>
    <mergeCell ref="H204:J204"/>
    <mergeCell ref="K204:M204"/>
    <mergeCell ref="D205:E205"/>
    <mergeCell ref="K205:M205"/>
    <mergeCell ref="B208:C208"/>
    <mergeCell ref="D208:E208"/>
    <mergeCell ref="F208:G208"/>
    <mergeCell ref="H208:J208"/>
    <mergeCell ref="K208:M208"/>
    <mergeCell ref="B205:C205"/>
    <mergeCell ref="B206:C206"/>
    <mergeCell ref="D206:E206"/>
    <mergeCell ref="F206:G206"/>
    <mergeCell ref="B207:C207"/>
    <mergeCell ref="D207:E207"/>
    <mergeCell ref="F207:G207"/>
    <mergeCell ref="D209:E209"/>
    <mergeCell ref="F209:G209"/>
    <mergeCell ref="H209:J209"/>
    <mergeCell ref="K209:M209"/>
    <mergeCell ref="D210:E210"/>
    <mergeCell ref="K210:M210"/>
    <mergeCell ref="B213:C213"/>
    <mergeCell ref="D213:E213"/>
    <mergeCell ref="F213:G213"/>
    <mergeCell ref="H213:J213"/>
    <mergeCell ref="K213:M213"/>
    <mergeCell ref="D217:E217"/>
    <mergeCell ref="F217:G217"/>
    <mergeCell ref="B218:C218"/>
    <mergeCell ref="D218:E218"/>
    <mergeCell ref="F218:G218"/>
    <mergeCell ref="H218:J218"/>
    <mergeCell ref="K218:M218"/>
    <mergeCell ref="B216:C216"/>
    <mergeCell ref="D216:E216"/>
    <mergeCell ref="F216:G216"/>
    <mergeCell ref="H216:J216"/>
    <mergeCell ref="K216:M216"/>
    <mergeCell ref="B217:C217"/>
    <mergeCell ref="B209:C209"/>
    <mergeCell ref="D227:E227"/>
    <mergeCell ref="F227:G227"/>
    <mergeCell ref="F230:G230"/>
    <mergeCell ref="H230:J230"/>
    <mergeCell ref="B229:C229"/>
    <mergeCell ref="D229:E229"/>
    <mergeCell ref="F229:G229"/>
    <mergeCell ref="H229:J229"/>
    <mergeCell ref="K229:M229"/>
    <mergeCell ref="D230:E230"/>
    <mergeCell ref="K230:M230"/>
    <mergeCell ref="F245:G245"/>
    <mergeCell ref="H245:J245"/>
    <mergeCell ref="B244:C244"/>
    <mergeCell ref="D244:E244"/>
    <mergeCell ref="F244:G244"/>
    <mergeCell ref="H244:J244"/>
    <mergeCell ref="K244:M244"/>
    <mergeCell ref="D245:E245"/>
    <mergeCell ref="K245:M245"/>
    <mergeCell ref="F240:G240"/>
    <mergeCell ref="H240:J240"/>
    <mergeCell ref="H241:J241"/>
    <mergeCell ref="K241:M241"/>
    <mergeCell ref="H242:J242"/>
    <mergeCell ref="K242:M242"/>
    <mergeCell ref="B240:C240"/>
    <mergeCell ref="B241:C241"/>
    <mergeCell ref="D241:E241"/>
    <mergeCell ref="F241:G241"/>
    <mergeCell ref="B242:C242"/>
    <mergeCell ref="D242:E242"/>
    <mergeCell ref="F235:G235"/>
    <mergeCell ref="H235:J235"/>
    <mergeCell ref="H236:J236"/>
    <mergeCell ref="K236:M236"/>
    <mergeCell ref="H237:J237"/>
    <mergeCell ref="K237:M237"/>
    <mergeCell ref="B234:C234"/>
    <mergeCell ref="D234:E234"/>
    <mergeCell ref="F234:G234"/>
    <mergeCell ref="H234:J234"/>
    <mergeCell ref="K234:M234"/>
    <mergeCell ref="D235:E235"/>
    <mergeCell ref="K235:M235"/>
    <mergeCell ref="B238:C238"/>
    <mergeCell ref="D238:E238"/>
    <mergeCell ref="F238:G238"/>
    <mergeCell ref="H238:J238"/>
    <mergeCell ref="K238:M238"/>
    <mergeCell ref="B235:C235"/>
    <mergeCell ref="B236:C236"/>
    <mergeCell ref="D236:E236"/>
    <mergeCell ref="F236:G236"/>
    <mergeCell ref="B237:C237"/>
    <mergeCell ref="D237:E237"/>
    <mergeCell ref="F237:G237"/>
    <mergeCell ref="B239:C239"/>
    <mergeCell ref="D239:E239"/>
    <mergeCell ref="F239:G239"/>
    <mergeCell ref="H239:J239"/>
    <mergeCell ref="K239:M239"/>
    <mergeCell ref="D240:E240"/>
    <mergeCell ref="K240:M240"/>
    <mergeCell ref="B243:C243"/>
    <mergeCell ref="D243:E243"/>
    <mergeCell ref="F243:G243"/>
    <mergeCell ref="H243:J243"/>
    <mergeCell ref="K243:M243"/>
    <mergeCell ref="D247:E247"/>
    <mergeCell ref="F247:G247"/>
    <mergeCell ref="F242:G242"/>
    <mergeCell ref="H247:J247"/>
    <mergeCell ref="K247:M247"/>
    <mergeCell ref="B245:C245"/>
    <mergeCell ref="B246:C246"/>
    <mergeCell ref="D246:E246"/>
    <mergeCell ref="F246:G246"/>
    <mergeCell ref="H246:J246"/>
    <mergeCell ref="K246:M246"/>
    <mergeCell ref="B247:C247"/>
    <mergeCell ref="B248:C248"/>
    <mergeCell ref="D248:E248"/>
    <mergeCell ref="F248:G248"/>
    <mergeCell ref="H248:J248"/>
    <mergeCell ref="K248:M248"/>
    <mergeCell ref="F255:G255"/>
    <mergeCell ref="H255:J255"/>
    <mergeCell ref="H256:J256"/>
    <mergeCell ref="K256:M256"/>
    <mergeCell ref="H257:J257"/>
    <mergeCell ref="K257:M257"/>
    <mergeCell ref="B255:C255"/>
    <mergeCell ref="B256:C256"/>
    <mergeCell ref="D256:E256"/>
    <mergeCell ref="F256:G256"/>
    <mergeCell ref="B257:C257"/>
    <mergeCell ref="D257:E257"/>
    <mergeCell ref="F257:G257"/>
    <mergeCell ref="F250:G250"/>
    <mergeCell ref="H250:J250"/>
    <mergeCell ref="H251:J251"/>
    <mergeCell ref="K251:M251"/>
    <mergeCell ref="H252:J252"/>
    <mergeCell ref="K252:M252"/>
    <mergeCell ref="B249:C249"/>
    <mergeCell ref="D249:E249"/>
    <mergeCell ref="F249:G249"/>
    <mergeCell ref="H249:J249"/>
    <mergeCell ref="K249:M249"/>
    <mergeCell ref="D250:E250"/>
    <mergeCell ref="K250:M250"/>
    <mergeCell ref="B253:C253"/>
    <mergeCell ref="F260:G260"/>
    <mergeCell ref="H260:J260"/>
    <mergeCell ref="B259:C259"/>
    <mergeCell ref="D259:E259"/>
    <mergeCell ref="F259:G259"/>
    <mergeCell ref="H259:J259"/>
    <mergeCell ref="K259:M259"/>
    <mergeCell ref="D260:E260"/>
    <mergeCell ref="K260:M260"/>
    <mergeCell ref="H262:J262"/>
    <mergeCell ref="K262:M262"/>
    <mergeCell ref="B260:C260"/>
    <mergeCell ref="B261:C261"/>
    <mergeCell ref="D261:E261"/>
    <mergeCell ref="F261:G261"/>
    <mergeCell ref="H261:J261"/>
    <mergeCell ref="K261:M261"/>
    <mergeCell ref="B262:C262"/>
    <mergeCell ref="D253:E253"/>
    <mergeCell ref="F253:G253"/>
    <mergeCell ref="H253:J253"/>
    <mergeCell ref="K253:M253"/>
    <mergeCell ref="B250:C250"/>
    <mergeCell ref="B251:C251"/>
    <mergeCell ref="D251:E251"/>
    <mergeCell ref="F251:G251"/>
    <mergeCell ref="B252:C252"/>
    <mergeCell ref="D252:E252"/>
    <mergeCell ref="F252:G252"/>
    <mergeCell ref="B254:C254"/>
    <mergeCell ref="D254:E254"/>
    <mergeCell ref="F254:G254"/>
    <mergeCell ref="H254:J254"/>
    <mergeCell ref="K254:M254"/>
    <mergeCell ref="D255:E255"/>
    <mergeCell ref="K255:M255"/>
    <mergeCell ref="B258:C258"/>
    <mergeCell ref="D258:E258"/>
    <mergeCell ref="F258:G258"/>
    <mergeCell ref="H258:J258"/>
    <mergeCell ref="K258:M258"/>
    <mergeCell ref="D262:E262"/>
    <mergeCell ref="F262:G262"/>
    <mergeCell ref="B263:C263"/>
    <mergeCell ref="D263:E263"/>
    <mergeCell ref="F263:G263"/>
    <mergeCell ref="H263:J263"/>
    <mergeCell ref="K263:M263"/>
    <mergeCell ref="F875:G875"/>
    <mergeCell ref="H875:J875"/>
    <mergeCell ref="H876:J876"/>
    <mergeCell ref="K876:M876"/>
    <mergeCell ref="H877:J877"/>
    <mergeCell ref="K877:M877"/>
    <mergeCell ref="B875:C875"/>
    <mergeCell ref="B876:C876"/>
    <mergeCell ref="D876:E876"/>
    <mergeCell ref="F876:G876"/>
    <mergeCell ref="B877:C877"/>
    <mergeCell ref="D877:E877"/>
    <mergeCell ref="F877:G877"/>
    <mergeCell ref="F870:G870"/>
    <mergeCell ref="H870:J870"/>
    <mergeCell ref="H871:J871"/>
    <mergeCell ref="K871:M871"/>
    <mergeCell ref="H872:J872"/>
    <mergeCell ref="K872:M872"/>
    <mergeCell ref="B869:C869"/>
    <mergeCell ref="D873:E873"/>
    <mergeCell ref="F873:G873"/>
    <mergeCell ref="H873:J873"/>
    <mergeCell ref="K873:M873"/>
    <mergeCell ref="B870:C870"/>
    <mergeCell ref="B871:C871"/>
    <mergeCell ref="D871:E871"/>
    <mergeCell ref="F871:G871"/>
    <mergeCell ref="B872:C872"/>
    <mergeCell ref="D872:E872"/>
    <mergeCell ref="F872:G872"/>
    <mergeCell ref="B874:C874"/>
    <mergeCell ref="D874:E874"/>
    <mergeCell ref="F874:G874"/>
    <mergeCell ref="H874:J874"/>
    <mergeCell ref="K874:M874"/>
    <mergeCell ref="D875:E875"/>
    <mergeCell ref="K875:M875"/>
    <mergeCell ref="B878:C878"/>
    <mergeCell ref="D878:E878"/>
    <mergeCell ref="F878:G878"/>
    <mergeCell ref="H878:J878"/>
    <mergeCell ref="K878:M878"/>
    <mergeCell ref="B880:C880"/>
    <mergeCell ref="B881:C881"/>
    <mergeCell ref="D881:E881"/>
    <mergeCell ref="F881:G881"/>
    <mergeCell ref="H881:J881"/>
    <mergeCell ref="K881:M881"/>
    <mergeCell ref="N881:U881"/>
    <mergeCell ref="H889:J889"/>
    <mergeCell ref="K889:M889"/>
    <mergeCell ref="B888:C888"/>
    <mergeCell ref="D888:E888"/>
    <mergeCell ref="F888:G888"/>
    <mergeCell ref="H888:J888"/>
    <mergeCell ref="K888:M888"/>
    <mergeCell ref="N888:U888"/>
    <mergeCell ref="B889:C889"/>
    <mergeCell ref="N889:U889"/>
    <mergeCell ref="D889:E889"/>
    <mergeCell ref="F889:G889"/>
    <mergeCell ref="N887:U887"/>
    <mergeCell ref="D883:E883"/>
    <mergeCell ref="F883:G883"/>
    <mergeCell ref="B884:C884"/>
    <mergeCell ref="D884:E884"/>
    <mergeCell ref="F884:G884"/>
    <mergeCell ref="B885:C885"/>
    <mergeCell ref="D885:E885"/>
    <mergeCell ref="N890:U890"/>
    <mergeCell ref="B890:C890"/>
    <mergeCell ref="B891:C891"/>
    <mergeCell ref="D891:E891"/>
    <mergeCell ref="F891:G891"/>
    <mergeCell ref="H891:J891"/>
    <mergeCell ref="K891:M891"/>
    <mergeCell ref="N891:U891"/>
    <mergeCell ref="H893:J893"/>
    <mergeCell ref="K893:M893"/>
    <mergeCell ref="B892:C892"/>
    <mergeCell ref="D892:E892"/>
    <mergeCell ref="F892:G892"/>
    <mergeCell ref="H892:J892"/>
    <mergeCell ref="K892:M892"/>
    <mergeCell ref="N892:U892"/>
    <mergeCell ref="B893:C893"/>
    <mergeCell ref="N893:U893"/>
    <mergeCell ref="D893:E893"/>
    <mergeCell ref="F893:G893"/>
    <mergeCell ref="B1015:C1015"/>
    <mergeCell ref="D894:E894"/>
    <mergeCell ref="F894:G894"/>
    <mergeCell ref="H894:J894"/>
    <mergeCell ref="K894:M894"/>
    <mergeCell ref="N894:U894"/>
    <mergeCell ref="B894:C894"/>
    <mergeCell ref="B895:C895"/>
    <mergeCell ref="D895:E895"/>
    <mergeCell ref="F895:G895"/>
    <mergeCell ref="H895:J895"/>
    <mergeCell ref="K895:M895"/>
    <mergeCell ref="N895:U895"/>
    <mergeCell ref="H897:J897"/>
    <mergeCell ref="K897:M897"/>
    <mergeCell ref="B896:C896"/>
    <mergeCell ref="D896:E896"/>
    <mergeCell ref="F896:G896"/>
    <mergeCell ref="H896:J896"/>
    <mergeCell ref="K896:M896"/>
    <mergeCell ref="N896:U896"/>
    <mergeCell ref="B897:C897"/>
    <mergeCell ref="N897:U897"/>
    <mergeCell ref="N964:U964"/>
    <mergeCell ref="N965:U965"/>
    <mergeCell ref="N966:U966"/>
    <mergeCell ref="N967:U967"/>
    <mergeCell ref="N968:U968"/>
    <mergeCell ref="N969:U969"/>
    <mergeCell ref="N970:U970"/>
    <mergeCell ref="N963:U963"/>
    <mergeCell ref="K945:M945"/>
    <mergeCell ref="F1011:G1011"/>
    <mergeCell ref="H1011:J1011"/>
    <mergeCell ref="H1012:J1012"/>
    <mergeCell ref="K1012:M1012"/>
    <mergeCell ref="H1013:J1013"/>
    <mergeCell ref="K1013:M1013"/>
    <mergeCell ref="B1010:C1010"/>
    <mergeCell ref="D1010:E1010"/>
    <mergeCell ref="F1010:G1010"/>
    <mergeCell ref="H1010:J1010"/>
    <mergeCell ref="K1010:M1010"/>
    <mergeCell ref="D1011:E1011"/>
    <mergeCell ref="K1011:M1011"/>
    <mergeCell ref="B1014:C1014"/>
    <mergeCell ref="D1014:E1014"/>
    <mergeCell ref="F1014:G1014"/>
    <mergeCell ref="H1014:J1014"/>
    <mergeCell ref="K1014:M1014"/>
    <mergeCell ref="B1011:C1011"/>
    <mergeCell ref="B1012:C1012"/>
    <mergeCell ref="D1012:E1012"/>
    <mergeCell ref="F1012:G1012"/>
    <mergeCell ref="B1013:C1013"/>
    <mergeCell ref="D1013:E1013"/>
    <mergeCell ref="F1013:G1013"/>
    <mergeCell ref="D1015:E1015"/>
    <mergeCell ref="F1015:G1015"/>
    <mergeCell ref="H1015:J1015"/>
    <mergeCell ref="K1015:M1015"/>
    <mergeCell ref="D1016:E1016"/>
    <mergeCell ref="K1016:M1016"/>
    <mergeCell ref="B1019:C1019"/>
    <mergeCell ref="D1019:E1019"/>
    <mergeCell ref="F1019:G1019"/>
    <mergeCell ref="H1019:J1019"/>
    <mergeCell ref="K1019:M1019"/>
    <mergeCell ref="D1023:E1023"/>
    <mergeCell ref="F1023:G1023"/>
    <mergeCell ref="B1024:C1024"/>
    <mergeCell ref="D1024:E1024"/>
    <mergeCell ref="F1024:G1024"/>
    <mergeCell ref="H1024:J1024"/>
    <mergeCell ref="K1024:M1024"/>
    <mergeCell ref="F1016:G1016"/>
    <mergeCell ref="H1016:J1016"/>
    <mergeCell ref="H1017:J1017"/>
    <mergeCell ref="K1017:M1017"/>
    <mergeCell ref="H1018:J1018"/>
    <mergeCell ref="K1018:M1018"/>
    <mergeCell ref="B1016:C1016"/>
    <mergeCell ref="B1017:C1017"/>
    <mergeCell ref="D1017:E1017"/>
    <mergeCell ref="F1017:G1017"/>
    <mergeCell ref="B1018:C1018"/>
    <mergeCell ref="D1018:E1018"/>
    <mergeCell ref="F1018:G1018"/>
    <mergeCell ref="F1021:G1021"/>
    <mergeCell ref="H1003:J1003"/>
    <mergeCell ref="K1003:M1003"/>
    <mergeCell ref="B1001:C1001"/>
    <mergeCell ref="B1002:C1002"/>
    <mergeCell ref="D1002:E1002"/>
    <mergeCell ref="F1002:G1002"/>
    <mergeCell ref="B1003:C1003"/>
    <mergeCell ref="D1003:E1003"/>
    <mergeCell ref="F1003:G1003"/>
    <mergeCell ref="F1006:G1006"/>
    <mergeCell ref="H1006:J1006"/>
    <mergeCell ref="B1005:C1005"/>
    <mergeCell ref="D1005:E1005"/>
    <mergeCell ref="F1005:G1005"/>
    <mergeCell ref="H1005:J1005"/>
    <mergeCell ref="K1005:M1005"/>
    <mergeCell ref="D1006:E1006"/>
    <mergeCell ref="K1006:M1006"/>
    <mergeCell ref="F996:G996"/>
    <mergeCell ref="H996:J996"/>
    <mergeCell ref="H997:J997"/>
    <mergeCell ref="K997:M997"/>
    <mergeCell ref="H998:J998"/>
    <mergeCell ref="K998:M998"/>
    <mergeCell ref="B995:C995"/>
    <mergeCell ref="D995:E995"/>
    <mergeCell ref="F995:G995"/>
    <mergeCell ref="H995:J995"/>
    <mergeCell ref="K995:M995"/>
    <mergeCell ref="D996:E996"/>
    <mergeCell ref="K996:M996"/>
    <mergeCell ref="B999:C999"/>
    <mergeCell ref="D999:E999"/>
    <mergeCell ref="F999:G999"/>
    <mergeCell ref="H999:J999"/>
    <mergeCell ref="K999:M999"/>
    <mergeCell ref="B996:C996"/>
    <mergeCell ref="B997:C997"/>
    <mergeCell ref="D997:E997"/>
    <mergeCell ref="F997:G997"/>
    <mergeCell ref="B998:C998"/>
    <mergeCell ref="D998:E998"/>
    <mergeCell ref="F998:G998"/>
    <mergeCell ref="B1000:C1000"/>
    <mergeCell ref="D1000:E1000"/>
    <mergeCell ref="F1000:G1000"/>
    <mergeCell ref="H1000:J1000"/>
    <mergeCell ref="K1000:M1000"/>
    <mergeCell ref="D1001:E1001"/>
    <mergeCell ref="K1001:M1001"/>
    <mergeCell ref="B1004:C1004"/>
    <mergeCell ref="D1004:E1004"/>
    <mergeCell ref="F1004:G1004"/>
    <mergeCell ref="H1004:J1004"/>
    <mergeCell ref="K1004:M1004"/>
    <mergeCell ref="D1008:E1008"/>
    <mergeCell ref="F1008:G1008"/>
    <mergeCell ref="B1009:C1009"/>
    <mergeCell ref="D1009:E1009"/>
    <mergeCell ref="F1009:G1009"/>
    <mergeCell ref="H1009:J1009"/>
    <mergeCell ref="K1009:M1009"/>
    <mergeCell ref="H1008:J1008"/>
    <mergeCell ref="K1008:M1008"/>
    <mergeCell ref="B1006:C1006"/>
    <mergeCell ref="B1007:C1007"/>
    <mergeCell ref="D1007:E1007"/>
    <mergeCell ref="F1007:G1007"/>
    <mergeCell ref="H1007:J1007"/>
    <mergeCell ref="K1007:M1007"/>
    <mergeCell ref="B1008:C1008"/>
    <mergeCell ref="F1001:G1001"/>
    <mergeCell ref="H1001:J1001"/>
    <mergeCell ref="H1002:J1002"/>
    <mergeCell ref="K1002:M1002"/>
    <mergeCell ref="H1021:J1021"/>
    <mergeCell ref="B1020:C1020"/>
    <mergeCell ref="D1020:E1020"/>
    <mergeCell ref="F1020:G1020"/>
    <mergeCell ref="H1020:J1020"/>
    <mergeCell ref="K1020:M1020"/>
    <mergeCell ref="D1021:E1021"/>
    <mergeCell ref="K1021:M1021"/>
    <mergeCell ref="F1036:G1036"/>
    <mergeCell ref="H1036:J1036"/>
    <mergeCell ref="B1035:C1035"/>
    <mergeCell ref="D1035:E1035"/>
    <mergeCell ref="F1035:G1035"/>
    <mergeCell ref="H1035:J1035"/>
    <mergeCell ref="K1035:M1035"/>
    <mergeCell ref="D1036:E1036"/>
    <mergeCell ref="K1036:M1036"/>
    <mergeCell ref="B1022:C1022"/>
    <mergeCell ref="D1022:E1022"/>
    <mergeCell ref="F1022:G1022"/>
    <mergeCell ref="H1022:J1022"/>
    <mergeCell ref="K1022:M1022"/>
    <mergeCell ref="B1023:C1023"/>
    <mergeCell ref="F1031:G1031"/>
    <mergeCell ref="H1031:J1031"/>
    <mergeCell ref="H1032:J1032"/>
    <mergeCell ref="K1032:M1032"/>
    <mergeCell ref="H1033:J1033"/>
    <mergeCell ref="K1033:M1033"/>
    <mergeCell ref="B1031:C1031"/>
    <mergeCell ref="B1032:C1032"/>
    <mergeCell ref="D1032:E1032"/>
    <mergeCell ref="F1191:G1191"/>
    <mergeCell ref="H1191:J1191"/>
    <mergeCell ref="H1192:J1192"/>
    <mergeCell ref="K1192:M1192"/>
    <mergeCell ref="H1193:J1193"/>
    <mergeCell ref="K1193:M1193"/>
    <mergeCell ref="B1190:C1190"/>
    <mergeCell ref="D1190:E1190"/>
    <mergeCell ref="F1190:G1190"/>
    <mergeCell ref="H1190:J1190"/>
    <mergeCell ref="K1190:M1190"/>
    <mergeCell ref="D1191:E1191"/>
    <mergeCell ref="K1191:M1191"/>
    <mergeCell ref="B1194:C1194"/>
    <mergeCell ref="D1194:E1194"/>
    <mergeCell ref="F1194:G1194"/>
    <mergeCell ref="H1194:J1194"/>
    <mergeCell ref="K1194:M1194"/>
    <mergeCell ref="B1191:C1191"/>
    <mergeCell ref="B1192:C1192"/>
    <mergeCell ref="D1192:E1192"/>
    <mergeCell ref="F1192:G1192"/>
    <mergeCell ref="B1193:C1193"/>
    <mergeCell ref="D1193:E1193"/>
    <mergeCell ref="F1193:G1193"/>
    <mergeCell ref="B1195:C1195"/>
    <mergeCell ref="D1195:E1195"/>
    <mergeCell ref="F1195:G1195"/>
    <mergeCell ref="H1195:J1195"/>
    <mergeCell ref="K1195:M1195"/>
    <mergeCell ref="D1196:E1196"/>
    <mergeCell ref="K1196:M1196"/>
    <mergeCell ref="B1199:C1199"/>
    <mergeCell ref="D1199:E1199"/>
    <mergeCell ref="F1199:G1199"/>
    <mergeCell ref="H1199:J1199"/>
    <mergeCell ref="K1199:M1199"/>
    <mergeCell ref="D1203:E1203"/>
    <mergeCell ref="F1203:G1203"/>
    <mergeCell ref="B1204:C1204"/>
    <mergeCell ref="D1204:E1204"/>
    <mergeCell ref="F1204:G1204"/>
    <mergeCell ref="H1204:J1204"/>
    <mergeCell ref="K1204:M1204"/>
    <mergeCell ref="F1196:G1196"/>
    <mergeCell ref="H1196:J1196"/>
    <mergeCell ref="H1197:J1197"/>
    <mergeCell ref="K1197:M1197"/>
    <mergeCell ref="H1198:J1198"/>
    <mergeCell ref="K1198:M1198"/>
    <mergeCell ref="B1196:C1196"/>
    <mergeCell ref="B1197:C1197"/>
    <mergeCell ref="D1197:E1197"/>
    <mergeCell ref="F1197:G1197"/>
    <mergeCell ref="B1198:C1198"/>
    <mergeCell ref="D1198:E1198"/>
    <mergeCell ref="F1198:G1198"/>
    <mergeCell ref="H1183:J1183"/>
    <mergeCell ref="K1183:M1183"/>
    <mergeCell ref="B1181:C1181"/>
    <mergeCell ref="B1182:C1182"/>
    <mergeCell ref="D1182:E1182"/>
    <mergeCell ref="F1182:G1182"/>
    <mergeCell ref="B1183:C1183"/>
    <mergeCell ref="D1183:E1183"/>
    <mergeCell ref="F1183:G1183"/>
    <mergeCell ref="F1186:G1186"/>
    <mergeCell ref="H1186:J1186"/>
    <mergeCell ref="B1185:C1185"/>
    <mergeCell ref="D1185:E1185"/>
    <mergeCell ref="F1185:G1185"/>
    <mergeCell ref="H1185:J1185"/>
    <mergeCell ref="K1185:M1185"/>
    <mergeCell ref="D1186:E1186"/>
    <mergeCell ref="K1186:M1186"/>
    <mergeCell ref="F1176:G1176"/>
    <mergeCell ref="H1176:J1176"/>
    <mergeCell ref="H1177:J1177"/>
    <mergeCell ref="K1177:M1177"/>
    <mergeCell ref="H1178:J1178"/>
    <mergeCell ref="K1178:M1178"/>
    <mergeCell ref="B1175:C1175"/>
    <mergeCell ref="D1175:E1175"/>
    <mergeCell ref="F1175:G1175"/>
    <mergeCell ref="H1175:J1175"/>
    <mergeCell ref="K1175:M1175"/>
    <mergeCell ref="D1176:E1176"/>
    <mergeCell ref="K1176:M1176"/>
    <mergeCell ref="B1179:C1179"/>
    <mergeCell ref="D1179:E1179"/>
    <mergeCell ref="F1179:G1179"/>
    <mergeCell ref="H1179:J1179"/>
    <mergeCell ref="K1179:M1179"/>
    <mergeCell ref="B1176:C1176"/>
    <mergeCell ref="B1177:C1177"/>
    <mergeCell ref="D1177:E1177"/>
    <mergeCell ref="F1177:G1177"/>
    <mergeCell ref="B1178:C1178"/>
    <mergeCell ref="D1178:E1178"/>
    <mergeCell ref="F1178:G1178"/>
    <mergeCell ref="B1180:C1180"/>
    <mergeCell ref="D1180:E1180"/>
    <mergeCell ref="F1180:G1180"/>
    <mergeCell ref="H1180:J1180"/>
    <mergeCell ref="K1180:M1180"/>
    <mergeCell ref="D1181:E1181"/>
    <mergeCell ref="K1181:M1181"/>
    <mergeCell ref="B1184:C1184"/>
    <mergeCell ref="D1184:E1184"/>
    <mergeCell ref="F1184:G1184"/>
    <mergeCell ref="H1184:J1184"/>
    <mergeCell ref="K1184:M1184"/>
    <mergeCell ref="D1188:E1188"/>
    <mergeCell ref="F1188:G1188"/>
    <mergeCell ref="B1189:C1189"/>
    <mergeCell ref="D1189:E1189"/>
    <mergeCell ref="F1189:G1189"/>
    <mergeCell ref="H1189:J1189"/>
    <mergeCell ref="K1189:M1189"/>
    <mergeCell ref="H1188:J1188"/>
    <mergeCell ref="K1188:M1188"/>
    <mergeCell ref="B1186:C1186"/>
    <mergeCell ref="B1187:C1187"/>
    <mergeCell ref="D1187:E1187"/>
    <mergeCell ref="F1187:G1187"/>
    <mergeCell ref="H1187:J1187"/>
    <mergeCell ref="K1187:M1187"/>
    <mergeCell ref="B1188:C1188"/>
    <mergeCell ref="F1181:G1181"/>
    <mergeCell ref="H1181:J1181"/>
    <mergeCell ref="H1182:J1182"/>
    <mergeCell ref="K1182:M1182"/>
    <mergeCell ref="F1201:G1201"/>
    <mergeCell ref="H1201:J1201"/>
    <mergeCell ref="B1200:C1200"/>
    <mergeCell ref="D1200:E1200"/>
    <mergeCell ref="F1200:G1200"/>
    <mergeCell ref="H1200:J1200"/>
    <mergeCell ref="K1200:M1200"/>
    <mergeCell ref="D1201:E1201"/>
    <mergeCell ref="K1201:M1201"/>
    <mergeCell ref="F1216:G1216"/>
    <mergeCell ref="H1216:J1216"/>
    <mergeCell ref="B1215:C1215"/>
    <mergeCell ref="D1215:E1215"/>
    <mergeCell ref="F1215:G1215"/>
    <mergeCell ref="H1215:J1215"/>
    <mergeCell ref="K1215:M1215"/>
    <mergeCell ref="D1216:E1216"/>
    <mergeCell ref="K1216:M1216"/>
    <mergeCell ref="H1203:J1203"/>
    <mergeCell ref="K1203:M1203"/>
    <mergeCell ref="B1201:C1201"/>
    <mergeCell ref="B1202:C1202"/>
    <mergeCell ref="D1202:E1202"/>
    <mergeCell ref="F1202:G1202"/>
    <mergeCell ref="H1202:J1202"/>
    <mergeCell ref="K1202:M1202"/>
    <mergeCell ref="B1203:C1203"/>
    <mergeCell ref="B1210:C1210"/>
    <mergeCell ref="D1210:E1210"/>
    <mergeCell ref="F1210:G1210"/>
    <mergeCell ref="H1210:J1210"/>
    <mergeCell ref="K1210:M1210"/>
    <mergeCell ref="F1431:G1431"/>
    <mergeCell ref="H1431:J1431"/>
    <mergeCell ref="H1432:J1432"/>
    <mergeCell ref="K1432:M1432"/>
    <mergeCell ref="H1433:J1433"/>
    <mergeCell ref="K1433:M1433"/>
    <mergeCell ref="B1430:C1430"/>
    <mergeCell ref="D1430:E1430"/>
    <mergeCell ref="F1430:G1430"/>
    <mergeCell ref="H1430:J1430"/>
    <mergeCell ref="K1430:M1430"/>
    <mergeCell ref="D1431:E1431"/>
    <mergeCell ref="K1431:M1431"/>
    <mergeCell ref="B1434:C1434"/>
    <mergeCell ref="D1434:E1434"/>
    <mergeCell ref="F1434:G1434"/>
    <mergeCell ref="H1434:J1434"/>
    <mergeCell ref="K1434:M1434"/>
    <mergeCell ref="B1431:C1431"/>
    <mergeCell ref="B1432:C1432"/>
    <mergeCell ref="D1432:E1432"/>
    <mergeCell ref="F1432:G1432"/>
    <mergeCell ref="B1433:C1433"/>
    <mergeCell ref="D1433:E1433"/>
    <mergeCell ref="F1433:G1433"/>
    <mergeCell ref="H1435:J1435"/>
    <mergeCell ref="K1435:M1435"/>
    <mergeCell ref="D1436:E1436"/>
    <mergeCell ref="K1436:M1436"/>
    <mergeCell ref="B1439:C1439"/>
    <mergeCell ref="D1439:E1439"/>
    <mergeCell ref="F1439:G1439"/>
    <mergeCell ref="H1439:J1439"/>
    <mergeCell ref="K1439:M1439"/>
    <mergeCell ref="D1443:E1443"/>
    <mergeCell ref="F1443:G1443"/>
    <mergeCell ref="B1444:C1444"/>
    <mergeCell ref="D1444:E1444"/>
    <mergeCell ref="F1444:G1444"/>
    <mergeCell ref="H1444:J1444"/>
    <mergeCell ref="K1444:M1444"/>
    <mergeCell ref="B1436:C1436"/>
    <mergeCell ref="B1437:C1437"/>
    <mergeCell ref="D1437:E1437"/>
    <mergeCell ref="B1438:C1438"/>
    <mergeCell ref="D1438:E1438"/>
    <mergeCell ref="B1440:C1440"/>
    <mergeCell ref="D1440:E1440"/>
    <mergeCell ref="D1441:E1441"/>
    <mergeCell ref="N1486:U1486"/>
    <mergeCell ref="N1487:U1487"/>
    <mergeCell ref="N1488:U1488"/>
    <mergeCell ref="N1489:U1489"/>
    <mergeCell ref="N1490:U1490"/>
    <mergeCell ref="N1491:U1491"/>
    <mergeCell ref="N1492:U1492"/>
    <mergeCell ref="N1493:U1493"/>
    <mergeCell ref="N1494:U1494"/>
    <mergeCell ref="N1495:U1495"/>
    <mergeCell ref="N1496:U1496"/>
    <mergeCell ref="N1497:U1497"/>
    <mergeCell ref="N1498:U1498"/>
    <mergeCell ref="N1499:U1499"/>
    <mergeCell ref="N1507:U1507"/>
    <mergeCell ref="N1508:U1508"/>
    <mergeCell ref="N1509:U1509"/>
    <mergeCell ref="N1510:U1510"/>
    <mergeCell ref="N1511:U1511"/>
    <mergeCell ref="N1512:U1512"/>
    <mergeCell ref="N1513:U1513"/>
    <mergeCell ref="N1514:U1514"/>
    <mergeCell ref="N1500:U1500"/>
    <mergeCell ref="N1501:U1501"/>
    <mergeCell ref="N1502:U1502"/>
    <mergeCell ref="N1503:U1503"/>
    <mergeCell ref="N1504:U1504"/>
    <mergeCell ref="N1505:U1505"/>
    <mergeCell ref="N1506:U1506"/>
    <mergeCell ref="B1441:C1441"/>
    <mergeCell ref="B1442:C1442"/>
    <mergeCell ref="D1442:E1442"/>
    <mergeCell ref="F1442:G1442"/>
    <mergeCell ref="H1442:J1442"/>
    <mergeCell ref="K1442:M1442"/>
    <mergeCell ref="B1443:C1443"/>
    <mergeCell ref="H1443:J1443"/>
    <mergeCell ref="K1443:M1443"/>
    <mergeCell ref="N1446:U1446"/>
    <mergeCell ref="N1447:U1447"/>
    <mergeCell ref="N1448:U1448"/>
    <mergeCell ref="N1449:U1449"/>
    <mergeCell ref="N1450:U1450"/>
    <mergeCell ref="N1451:U1451"/>
    <mergeCell ref="N1452:U1452"/>
    <mergeCell ref="N1453:U1453"/>
    <mergeCell ref="N1454:U1454"/>
    <mergeCell ref="N1455:U1455"/>
    <mergeCell ref="N1456:U1456"/>
    <mergeCell ref="N1479:U1479"/>
    <mergeCell ref="N1480:U1480"/>
    <mergeCell ref="N1481:U1481"/>
    <mergeCell ref="N1482:U1482"/>
    <mergeCell ref="N1483:U1483"/>
    <mergeCell ref="N1484:U1484"/>
    <mergeCell ref="N1485:U1485"/>
    <mergeCell ref="F1421:G1421"/>
    <mergeCell ref="H1421:J1421"/>
    <mergeCell ref="H1422:J1422"/>
    <mergeCell ref="K1422:M1422"/>
    <mergeCell ref="H1423:J1423"/>
    <mergeCell ref="K1423:M1423"/>
    <mergeCell ref="F1436:G1436"/>
    <mergeCell ref="H1436:J1436"/>
    <mergeCell ref="H1437:J1437"/>
    <mergeCell ref="K1437:M1437"/>
    <mergeCell ref="H1438:J1438"/>
    <mergeCell ref="K1438:M1438"/>
    <mergeCell ref="F1437:G1437"/>
    <mergeCell ref="F1438:G1438"/>
    <mergeCell ref="F1441:G1441"/>
    <mergeCell ref="H1441:J1441"/>
    <mergeCell ref="F1440:G1440"/>
    <mergeCell ref="H1440:J1440"/>
    <mergeCell ref="K1440:M1440"/>
    <mergeCell ref="K1441:M1441"/>
    <mergeCell ref="N1457:U1457"/>
    <mergeCell ref="N1458:U1458"/>
    <mergeCell ref="N1459:U1459"/>
    <mergeCell ref="N1460:U1460"/>
    <mergeCell ref="N1461:U1461"/>
    <mergeCell ref="K1425:M1425"/>
    <mergeCell ref="D1426:E1426"/>
    <mergeCell ref="K1426:M1426"/>
    <mergeCell ref="H1428:J1428"/>
    <mergeCell ref="K1428:M1428"/>
    <mergeCell ref="B1426:C1426"/>
    <mergeCell ref="B1427:C1427"/>
    <mergeCell ref="D1427:E1427"/>
    <mergeCell ref="F1427:G1427"/>
    <mergeCell ref="H1427:J1427"/>
    <mergeCell ref="K1427:M1427"/>
    <mergeCell ref="B1428:C1428"/>
    <mergeCell ref="N1474:U1474"/>
    <mergeCell ref="N1475:U1475"/>
    <mergeCell ref="N1476:U1476"/>
    <mergeCell ref="N1477:U1477"/>
    <mergeCell ref="N1478:U1478"/>
    <mergeCell ref="N1462:U1462"/>
    <mergeCell ref="N1463:U1463"/>
    <mergeCell ref="N1464:U1464"/>
    <mergeCell ref="N1465:U1465"/>
    <mergeCell ref="N1466:U1466"/>
    <mergeCell ref="N1467:U1467"/>
    <mergeCell ref="N1468:U1468"/>
    <mergeCell ref="N1469:U1469"/>
    <mergeCell ref="N1470:U1470"/>
    <mergeCell ref="N1471:U1471"/>
    <mergeCell ref="N1472:U1472"/>
    <mergeCell ref="N1473:U1473"/>
    <mergeCell ref="B1435:C1435"/>
    <mergeCell ref="D1435:E1435"/>
    <mergeCell ref="F1435:G1435"/>
    <mergeCell ref="F1416:G1416"/>
    <mergeCell ref="H1416:J1416"/>
    <mergeCell ref="H1417:J1417"/>
    <mergeCell ref="K1417:M1417"/>
    <mergeCell ref="H1418:J1418"/>
    <mergeCell ref="K1418:M1418"/>
    <mergeCell ref="B1415:C1415"/>
    <mergeCell ref="D1415:E1415"/>
    <mergeCell ref="F1415:G1415"/>
    <mergeCell ref="H1415:J1415"/>
    <mergeCell ref="K1415:M1415"/>
    <mergeCell ref="D1416:E1416"/>
    <mergeCell ref="K1416:M1416"/>
    <mergeCell ref="B1419:C1419"/>
    <mergeCell ref="D1419:E1419"/>
    <mergeCell ref="F1419:G1419"/>
    <mergeCell ref="H1419:J1419"/>
    <mergeCell ref="K1419:M1419"/>
    <mergeCell ref="B1416:C1416"/>
    <mergeCell ref="B1417:C1417"/>
    <mergeCell ref="D1417:E1417"/>
    <mergeCell ref="F1417:G1417"/>
    <mergeCell ref="B1418:C1418"/>
    <mergeCell ref="D1418:E1418"/>
    <mergeCell ref="F1418:G1418"/>
    <mergeCell ref="B1420:C1420"/>
    <mergeCell ref="D1420:E1420"/>
    <mergeCell ref="F1420:G1420"/>
    <mergeCell ref="H1420:J1420"/>
    <mergeCell ref="K1420:M1420"/>
    <mergeCell ref="D1421:E1421"/>
    <mergeCell ref="K1421:M1421"/>
    <mergeCell ref="B1424:C1424"/>
    <mergeCell ref="D1424:E1424"/>
    <mergeCell ref="F1424:G1424"/>
    <mergeCell ref="H1424:J1424"/>
    <mergeCell ref="K1424:M1424"/>
    <mergeCell ref="D1428:E1428"/>
    <mergeCell ref="F1428:G1428"/>
    <mergeCell ref="B1429:C1429"/>
    <mergeCell ref="D1429:E1429"/>
    <mergeCell ref="F1429:G1429"/>
    <mergeCell ref="H1429:J1429"/>
    <mergeCell ref="K1429:M1429"/>
    <mergeCell ref="B1421:C1421"/>
    <mergeCell ref="B1422:C1422"/>
    <mergeCell ref="D1422:E1422"/>
    <mergeCell ref="F1422:G1422"/>
    <mergeCell ref="B1423:C1423"/>
    <mergeCell ref="D1423:E1423"/>
    <mergeCell ref="F1423:G1423"/>
    <mergeCell ref="F1426:G1426"/>
    <mergeCell ref="H1426:J1426"/>
    <mergeCell ref="B1425:C1425"/>
    <mergeCell ref="D1425:E1425"/>
    <mergeCell ref="F1425:G1425"/>
    <mergeCell ref="H1425:J1425"/>
    <mergeCell ref="F1455:G1455"/>
    <mergeCell ref="H1455:J1455"/>
    <mergeCell ref="K1455:M1455"/>
    <mergeCell ref="D1456:E1456"/>
    <mergeCell ref="K1456:M1456"/>
    <mergeCell ref="F1451:G1451"/>
    <mergeCell ref="H1451:J1451"/>
    <mergeCell ref="H1452:J1452"/>
    <mergeCell ref="K1452:M1452"/>
    <mergeCell ref="H1453:J1453"/>
    <mergeCell ref="K1453:M1453"/>
    <mergeCell ref="B1451:C1451"/>
    <mergeCell ref="B1452:C1452"/>
    <mergeCell ref="D1452:E1452"/>
    <mergeCell ref="F1452:G1452"/>
    <mergeCell ref="B1453:C1453"/>
    <mergeCell ref="D1453:E1453"/>
    <mergeCell ref="F1453:G1453"/>
    <mergeCell ref="F1446:G1446"/>
    <mergeCell ref="H1446:J1446"/>
    <mergeCell ref="H1447:J1447"/>
    <mergeCell ref="K1447:M1447"/>
    <mergeCell ref="H1448:J1448"/>
    <mergeCell ref="K1448:M1448"/>
    <mergeCell ref="B1445:C1445"/>
    <mergeCell ref="D1445:E1445"/>
    <mergeCell ref="F1445:G1445"/>
    <mergeCell ref="H1445:J1445"/>
    <mergeCell ref="K1445:M1445"/>
    <mergeCell ref="D1446:E1446"/>
    <mergeCell ref="K1446:M1446"/>
    <mergeCell ref="B1449:C1449"/>
    <mergeCell ref="D1449:E1449"/>
    <mergeCell ref="F1449:G1449"/>
    <mergeCell ref="H1449:J1449"/>
    <mergeCell ref="K1449:M1449"/>
    <mergeCell ref="B1446:C1446"/>
    <mergeCell ref="B1447:C1447"/>
    <mergeCell ref="D1447:E1447"/>
    <mergeCell ref="F1447:G1447"/>
    <mergeCell ref="B1448:C1448"/>
    <mergeCell ref="D1448:E1448"/>
    <mergeCell ref="F1448:G1448"/>
    <mergeCell ref="B1450:C1450"/>
    <mergeCell ref="D1450:E1450"/>
    <mergeCell ref="F1450:G1450"/>
    <mergeCell ref="H1450:J1450"/>
    <mergeCell ref="K1450:M1450"/>
    <mergeCell ref="D1451:E1451"/>
    <mergeCell ref="K1451:M1451"/>
    <mergeCell ref="B1454:C1454"/>
    <mergeCell ref="D1454:E1454"/>
    <mergeCell ref="F1454:G1454"/>
    <mergeCell ref="H1454:J1454"/>
    <mergeCell ref="K1454:M1454"/>
    <mergeCell ref="D1458:E1458"/>
    <mergeCell ref="F1458:G1458"/>
    <mergeCell ref="B1459:C1459"/>
    <mergeCell ref="D1459:E1459"/>
    <mergeCell ref="F1459:G1459"/>
    <mergeCell ref="H1459:J1459"/>
    <mergeCell ref="K1459:M1459"/>
    <mergeCell ref="H1458:J1458"/>
    <mergeCell ref="K1458:M1458"/>
    <mergeCell ref="B1456:C1456"/>
    <mergeCell ref="B1457:C1457"/>
    <mergeCell ref="D1457:E1457"/>
    <mergeCell ref="F1457:G1457"/>
    <mergeCell ref="H1457:J1457"/>
    <mergeCell ref="K1457:M1457"/>
    <mergeCell ref="B1458:C1458"/>
    <mergeCell ref="F1456:G1456"/>
    <mergeCell ref="H1456:J1456"/>
    <mergeCell ref="B1455:C1455"/>
    <mergeCell ref="D1455:E1455"/>
    <mergeCell ref="H1468:J1468"/>
    <mergeCell ref="K1468:M1468"/>
    <mergeCell ref="B1466:C1466"/>
    <mergeCell ref="B1467:C1467"/>
    <mergeCell ref="D1467:E1467"/>
    <mergeCell ref="F1467:G1467"/>
    <mergeCell ref="B1468:C1468"/>
    <mergeCell ref="D1468:E1468"/>
    <mergeCell ref="F1468:G1468"/>
    <mergeCell ref="F1471:G1471"/>
    <mergeCell ref="H1471:J1471"/>
    <mergeCell ref="B1470:C1470"/>
    <mergeCell ref="D1470:E1470"/>
    <mergeCell ref="F1470:G1470"/>
    <mergeCell ref="H1470:J1470"/>
    <mergeCell ref="K1470:M1470"/>
    <mergeCell ref="D1471:E1471"/>
    <mergeCell ref="K1471:M1471"/>
    <mergeCell ref="F1461:G1461"/>
    <mergeCell ref="H1461:J1461"/>
    <mergeCell ref="H1462:J1462"/>
    <mergeCell ref="K1462:M1462"/>
    <mergeCell ref="H1463:J1463"/>
    <mergeCell ref="K1463:M1463"/>
    <mergeCell ref="B1460:C1460"/>
    <mergeCell ref="D1460:E1460"/>
    <mergeCell ref="F1460:G1460"/>
    <mergeCell ref="H1460:J1460"/>
    <mergeCell ref="K1460:M1460"/>
    <mergeCell ref="D1461:E1461"/>
    <mergeCell ref="K1461:M1461"/>
    <mergeCell ref="B1464:C1464"/>
    <mergeCell ref="D1464:E1464"/>
    <mergeCell ref="F1464:G1464"/>
    <mergeCell ref="H1464:J1464"/>
    <mergeCell ref="K1464:M1464"/>
    <mergeCell ref="B1461:C1461"/>
    <mergeCell ref="B1462:C1462"/>
    <mergeCell ref="D1462:E1462"/>
    <mergeCell ref="F1462:G1462"/>
    <mergeCell ref="B1463:C1463"/>
    <mergeCell ref="D1463:E1463"/>
    <mergeCell ref="F1463:G1463"/>
    <mergeCell ref="B1465:C1465"/>
    <mergeCell ref="D1465:E1465"/>
    <mergeCell ref="F1465:G1465"/>
    <mergeCell ref="H1465:J1465"/>
    <mergeCell ref="K1465:M1465"/>
    <mergeCell ref="D1466:E1466"/>
    <mergeCell ref="K1466:M1466"/>
    <mergeCell ref="B1469:C1469"/>
    <mergeCell ref="D1469:E1469"/>
    <mergeCell ref="F1469:G1469"/>
    <mergeCell ref="H1469:J1469"/>
    <mergeCell ref="K1469:M1469"/>
    <mergeCell ref="D1473:E1473"/>
    <mergeCell ref="F1473:G1473"/>
    <mergeCell ref="B1474:C1474"/>
    <mergeCell ref="D1474:E1474"/>
    <mergeCell ref="F1474:G1474"/>
    <mergeCell ref="H1474:J1474"/>
    <mergeCell ref="K1474:M1474"/>
    <mergeCell ref="H1473:J1473"/>
    <mergeCell ref="K1473:M1473"/>
    <mergeCell ref="B1471:C1471"/>
    <mergeCell ref="B1472:C1472"/>
    <mergeCell ref="D1472:E1472"/>
    <mergeCell ref="F1472:G1472"/>
    <mergeCell ref="H1472:J1472"/>
    <mergeCell ref="K1472:M1472"/>
    <mergeCell ref="B1473:C1473"/>
    <mergeCell ref="F1466:G1466"/>
    <mergeCell ref="H1466:J1466"/>
    <mergeCell ref="H1467:J1467"/>
    <mergeCell ref="K1467:M1467"/>
    <mergeCell ref="B1503:C1503"/>
    <mergeCell ref="F1491:G1491"/>
    <mergeCell ref="H1491:J1491"/>
    <mergeCell ref="H1492:J1492"/>
    <mergeCell ref="K1492:M1492"/>
    <mergeCell ref="H1493:J1493"/>
    <mergeCell ref="K1493:M1493"/>
    <mergeCell ref="B1490:C1490"/>
    <mergeCell ref="D1490:E1490"/>
    <mergeCell ref="F1490:G1490"/>
    <mergeCell ref="H1490:J1490"/>
    <mergeCell ref="K1490:M1490"/>
    <mergeCell ref="D1491:E1491"/>
    <mergeCell ref="K1491:M1491"/>
    <mergeCell ref="B1494:C1494"/>
    <mergeCell ref="D1494:E1494"/>
    <mergeCell ref="F1494:G1494"/>
    <mergeCell ref="H1494:J1494"/>
    <mergeCell ref="K1494:M1494"/>
    <mergeCell ref="B1491:C1491"/>
    <mergeCell ref="B1492:C1492"/>
    <mergeCell ref="D1492:E1492"/>
    <mergeCell ref="F1492:G1492"/>
    <mergeCell ref="B1493:C1493"/>
    <mergeCell ref="D1493:E1493"/>
    <mergeCell ref="F1493:G1493"/>
    <mergeCell ref="B1495:C1495"/>
    <mergeCell ref="D1495:E1495"/>
    <mergeCell ref="F1495:G1495"/>
    <mergeCell ref="H1495:J1495"/>
    <mergeCell ref="K1495:M1495"/>
    <mergeCell ref="D1496:E1496"/>
    <mergeCell ref="K1496:M1496"/>
    <mergeCell ref="B1499:C1499"/>
    <mergeCell ref="D1499:E1499"/>
    <mergeCell ref="F1499:G1499"/>
    <mergeCell ref="H1499:J1499"/>
    <mergeCell ref="K1499:M1499"/>
    <mergeCell ref="D1503:E1503"/>
    <mergeCell ref="F1503:G1503"/>
    <mergeCell ref="B1504:C1504"/>
    <mergeCell ref="D1504:E1504"/>
    <mergeCell ref="F1504:G1504"/>
    <mergeCell ref="H1504:J1504"/>
    <mergeCell ref="K1504:M1504"/>
    <mergeCell ref="F1496:G1496"/>
    <mergeCell ref="H1496:J1496"/>
    <mergeCell ref="H1497:J1497"/>
    <mergeCell ref="K1497:M1497"/>
    <mergeCell ref="H1498:J1498"/>
    <mergeCell ref="K1498:M1498"/>
    <mergeCell ref="B1496:C1496"/>
    <mergeCell ref="B1497:C1497"/>
    <mergeCell ref="D1497:E1497"/>
    <mergeCell ref="F1497:G1497"/>
    <mergeCell ref="B1498:C1498"/>
    <mergeCell ref="D1498:E1498"/>
    <mergeCell ref="F1498:G1498"/>
    <mergeCell ref="F1501:G1501"/>
    <mergeCell ref="H1501:J1501"/>
    <mergeCell ref="B1500:C1500"/>
    <mergeCell ref="D1500:E1500"/>
    <mergeCell ref="F1500:G1500"/>
    <mergeCell ref="H1500:J1500"/>
    <mergeCell ref="F1478:G1478"/>
    <mergeCell ref="H1482:J1482"/>
    <mergeCell ref="K1482:M1482"/>
    <mergeCell ref="H1483:J1483"/>
    <mergeCell ref="K1483:M1483"/>
    <mergeCell ref="B1481:C1481"/>
    <mergeCell ref="B1482:C1482"/>
    <mergeCell ref="D1482:E1482"/>
    <mergeCell ref="F1482:G1482"/>
    <mergeCell ref="B1483:C1483"/>
    <mergeCell ref="D1483:E1483"/>
    <mergeCell ref="F1483:G1483"/>
    <mergeCell ref="F1486:G1486"/>
    <mergeCell ref="H1486:J1486"/>
    <mergeCell ref="B1485:C1485"/>
    <mergeCell ref="D1485:E1485"/>
    <mergeCell ref="F1485:G1485"/>
    <mergeCell ref="H1485:J1485"/>
    <mergeCell ref="K1485:M1485"/>
    <mergeCell ref="D1486:E1486"/>
    <mergeCell ref="K1486:M1486"/>
    <mergeCell ref="B1486:C1486"/>
    <mergeCell ref="B1487:C1487"/>
    <mergeCell ref="D1487:E1487"/>
    <mergeCell ref="F1487:G1487"/>
    <mergeCell ref="H1487:J1487"/>
    <mergeCell ref="K1487:M1487"/>
    <mergeCell ref="B1488:C1488"/>
    <mergeCell ref="F1481:G1481"/>
    <mergeCell ref="H1481:J1481"/>
    <mergeCell ref="F1476:G1476"/>
    <mergeCell ref="H1476:J1476"/>
    <mergeCell ref="H1477:J1477"/>
    <mergeCell ref="K1477:M1477"/>
    <mergeCell ref="H1478:J1478"/>
    <mergeCell ref="K1478:M1478"/>
    <mergeCell ref="B1475:C1475"/>
    <mergeCell ref="D1475:E1475"/>
    <mergeCell ref="F1475:G1475"/>
    <mergeCell ref="H1475:J1475"/>
    <mergeCell ref="K1475:M1475"/>
    <mergeCell ref="D1476:E1476"/>
    <mergeCell ref="K1476:M1476"/>
    <mergeCell ref="B1479:C1479"/>
    <mergeCell ref="D1479:E1479"/>
    <mergeCell ref="F1479:G1479"/>
    <mergeCell ref="H1479:J1479"/>
    <mergeCell ref="K1479:M1479"/>
    <mergeCell ref="B1476:C1476"/>
    <mergeCell ref="B1477:C1477"/>
    <mergeCell ref="D1477:E1477"/>
    <mergeCell ref="F1477:G1477"/>
    <mergeCell ref="B1478:C1478"/>
    <mergeCell ref="D1478:E1478"/>
    <mergeCell ref="D1502:E1502"/>
    <mergeCell ref="F1502:G1502"/>
    <mergeCell ref="H1502:J1502"/>
    <mergeCell ref="K1502:M1502"/>
    <mergeCell ref="B1506:C1506"/>
    <mergeCell ref="B1507:C1507"/>
    <mergeCell ref="D1507:E1507"/>
    <mergeCell ref="F1507:G1507"/>
    <mergeCell ref="B1508:C1508"/>
    <mergeCell ref="D1508:E1508"/>
    <mergeCell ref="F1508:G1508"/>
    <mergeCell ref="B1480:C1480"/>
    <mergeCell ref="D1480:E1480"/>
    <mergeCell ref="F1480:G1480"/>
    <mergeCell ref="H1480:J1480"/>
    <mergeCell ref="K1480:M1480"/>
    <mergeCell ref="D1481:E1481"/>
    <mergeCell ref="K1481:M1481"/>
    <mergeCell ref="B1484:C1484"/>
    <mergeCell ref="D1484:E1484"/>
    <mergeCell ref="F1484:G1484"/>
    <mergeCell ref="H1484:J1484"/>
    <mergeCell ref="K1484:M1484"/>
    <mergeCell ref="D1488:E1488"/>
    <mergeCell ref="F1488:G1488"/>
    <mergeCell ref="B1489:C1489"/>
    <mergeCell ref="D1489:E1489"/>
    <mergeCell ref="F1489:G1489"/>
    <mergeCell ref="H1489:J1489"/>
    <mergeCell ref="K1489:M1489"/>
    <mergeCell ref="H1488:J1488"/>
    <mergeCell ref="K1488:M1488"/>
    <mergeCell ref="B1514:C1514"/>
    <mergeCell ref="D1514:E1514"/>
    <mergeCell ref="F1514:G1514"/>
    <mergeCell ref="H1514:J1514"/>
    <mergeCell ref="K1514:M1514"/>
    <mergeCell ref="B1511:C1511"/>
    <mergeCell ref="B1512:C1512"/>
    <mergeCell ref="D1512:E1512"/>
    <mergeCell ref="F1512:G1512"/>
    <mergeCell ref="B1513:C1513"/>
    <mergeCell ref="D1513:E1513"/>
    <mergeCell ref="F1513:G1513"/>
    <mergeCell ref="K1500:M1500"/>
    <mergeCell ref="D1501:E1501"/>
    <mergeCell ref="K1501:M1501"/>
    <mergeCell ref="F1506:G1506"/>
    <mergeCell ref="H1506:J1506"/>
    <mergeCell ref="H1507:J1507"/>
    <mergeCell ref="K1507:M1507"/>
    <mergeCell ref="H1508:J1508"/>
    <mergeCell ref="K1508:M1508"/>
    <mergeCell ref="B1505:C1505"/>
    <mergeCell ref="D1505:E1505"/>
    <mergeCell ref="F1505:G1505"/>
    <mergeCell ref="H1505:J1505"/>
    <mergeCell ref="K1505:M1505"/>
    <mergeCell ref="D1506:E1506"/>
    <mergeCell ref="K1506:M1506"/>
    <mergeCell ref="H1503:J1503"/>
    <mergeCell ref="K1503:M1503"/>
    <mergeCell ref="B1501:C1501"/>
    <mergeCell ref="B1502:C1502"/>
    <mergeCell ref="B1509:C1509"/>
    <mergeCell ref="D1509:E1509"/>
    <mergeCell ref="F1509:G1509"/>
    <mergeCell ref="H1509:J1509"/>
    <mergeCell ref="K1509:M1509"/>
    <mergeCell ref="F1511:G1511"/>
    <mergeCell ref="H1511:J1511"/>
    <mergeCell ref="H1512:J1512"/>
    <mergeCell ref="K1512:M1512"/>
    <mergeCell ref="H1513:J1513"/>
    <mergeCell ref="K1513:M1513"/>
    <mergeCell ref="B1510:C1510"/>
    <mergeCell ref="D1510:E1510"/>
    <mergeCell ref="F1510:G1510"/>
    <mergeCell ref="H1510:J1510"/>
    <mergeCell ref="K1510:M1510"/>
    <mergeCell ref="D1511:E1511"/>
    <mergeCell ref="K1511:M1511"/>
  </mergeCells>
  <conditionalFormatting sqref="A16:A211">
    <cfRule type="expression" dxfId="5" priority="24">
      <formula>#REF!="YES"</formula>
    </cfRule>
  </conditionalFormatting>
  <conditionalFormatting sqref="A15:E15">
    <cfRule type="expression" dxfId="4" priority="1">
      <formula>#REF!="YES"</formula>
    </cfRule>
  </conditionalFormatting>
  <conditionalFormatting sqref="A212:E1514">
    <cfRule type="expression" dxfId="3" priority="33">
      <formula>#REF!="YES"</formula>
    </cfRule>
  </conditionalFormatting>
  <conditionalFormatting sqref="B16:C29">
    <cfRule type="expression" dxfId="2" priority="2">
      <formula>#REF!="YES"</formula>
    </cfRule>
  </conditionalFormatting>
  <conditionalFormatting sqref="B30:E211">
    <cfRule type="expression" dxfId="1" priority="4">
      <formula>#REF!="YES"</formula>
    </cfRule>
  </conditionalFormatting>
  <conditionalFormatting sqref="D16:E29">
    <cfRule type="expression" dxfId="0" priority="3">
      <formula>#REF!="YES"</formula>
    </cfRule>
  </conditionalFormatting>
  <pageMargins left="0" right="0" top="0.75" bottom="0.75" header="0" footer="0"/>
  <pageSetup paperSize="3"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200-000000000000}">
          <x14:formula1>
            <xm:f>'Drop-Down Boxes '!$H$3:$H$11</xm:f>
          </x14:formula1>
          <xm:sqref>Z9</xm:sqref>
        </x14:dataValidation>
        <x14:dataValidation type="list" allowBlank="1" showErrorMessage="1" xr:uid="{00000000-0002-0000-0200-000001000000}">
          <x14:formula1>
            <xm:f>'Drop-Down Boxes '!$D$3:$D$14</xm:f>
          </x14:formula1>
          <xm:sqref>P9</xm:sqref>
        </x14:dataValidation>
        <x14:dataValidation type="list" allowBlank="1" showErrorMessage="1" xr:uid="{00000000-0002-0000-0200-000002000000}">
          <x14:formula1>
            <xm:f>'Drop-Down Boxes '!$O$84:$O$86</xm:f>
          </x14:formula1>
          <xm:sqref>H15:H1514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V1724"/>
  <sheetViews>
    <sheetView workbookViewId="0">
      <pane ySplit="1" topLeftCell="A2" activePane="bottomLeft" state="frozen"/>
      <selection pane="bottomLeft" activeCell="A3" sqref="A3:BV3"/>
    </sheetView>
  </sheetViews>
  <sheetFormatPr defaultColWidth="14.42578125" defaultRowHeight="15" customHeight="1"/>
  <cols>
    <col min="1" max="1" width="5.28515625" customWidth="1"/>
    <col min="2" max="6" width="5.7109375" customWidth="1"/>
    <col min="7" max="7" width="4.85546875" customWidth="1"/>
    <col min="8" max="11" width="5.7109375" customWidth="1"/>
    <col min="12" max="12" width="6.7109375" customWidth="1"/>
    <col min="13" max="13" width="6.85546875" customWidth="1"/>
    <col min="14" max="14" width="6.5703125" customWidth="1"/>
    <col min="15" max="15" width="6" customWidth="1"/>
    <col min="16" max="19" width="5.7109375" customWidth="1"/>
    <col min="20" max="20" width="4.85546875" customWidth="1"/>
    <col min="21" max="21" width="4.42578125" customWidth="1"/>
    <col min="22" max="33" width="5.7109375" customWidth="1"/>
    <col min="34" max="34" width="6.5703125" customWidth="1"/>
    <col min="35" max="35" width="6.7109375" customWidth="1"/>
    <col min="36" max="36" width="7.28515625" customWidth="1"/>
    <col min="37" max="37" width="7.5703125" customWidth="1"/>
    <col min="38" max="42" width="5.7109375" customWidth="1"/>
    <col min="43" max="43" width="6.7109375" customWidth="1"/>
    <col min="44" max="44" width="6.5703125" customWidth="1"/>
    <col min="45" max="45" width="7.140625" customWidth="1"/>
    <col min="46" max="49" width="5.7109375" customWidth="1"/>
    <col min="50" max="52" width="4.7109375" customWidth="1"/>
    <col min="53" max="54" width="5.7109375" customWidth="1"/>
    <col min="55" max="55" width="6.140625" customWidth="1"/>
    <col min="56" max="56" width="4.7109375" customWidth="1"/>
    <col min="57" max="57" width="6.140625" customWidth="1"/>
    <col min="58" max="63" width="4.7109375" customWidth="1"/>
    <col min="64" max="64" width="5.85546875" customWidth="1"/>
    <col min="65" max="74" width="4.7109375" customWidth="1"/>
  </cols>
  <sheetData>
    <row r="1" spans="1:74" ht="64.5" customHeight="1">
      <c r="A1" s="24" t="s">
        <v>287</v>
      </c>
      <c r="B1" s="565" t="s">
        <v>310</v>
      </c>
      <c r="C1" s="351"/>
      <c r="D1" s="566" t="s">
        <v>311</v>
      </c>
      <c r="E1" s="351"/>
      <c r="F1" s="506" t="s">
        <v>336</v>
      </c>
      <c r="G1" s="351"/>
      <c r="H1" s="506" t="s">
        <v>337</v>
      </c>
      <c r="I1" s="351"/>
      <c r="J1" s="567" t="s">
        <v>338</v>
      </c>
      <c r="K1" s="351"/>
      <c r="L1" s="568" t="s">
        <v>339</v>
      </c>
      <c r="M1" s="351"/>
      <c r="N1" s="26" t="s">
        <v>340</v>
      </c>
      <c r="O1" s="27" t="s">
        <v>341</v>
      </c>
      <c r="P1" s="526" t="s">
        <v>342</v>
      </c>
      <c r="Q1" s="351"/>
      <c r="R1" s="535" t="s">
        <v>343</v>
      </c>
      <c r="S1" s="351"/>
      <c r="T1" s="569" t="s">
        <v>344</v>
      </c>
      <c r="U1" s="351"/>
      <c r="V1" s="570" t="s">
        <v>345</v>
      </c>
      <c r="W1" s="351"/>
      <c r="X1" s="571" t="s">
        <v>346</v>
      </c>
      <c r="Y1" s="350"/>
      <c r="Z1" s="350"/>
      <c r="AA1" s="351"/>
      <c r="AB1" s="506" t="s">
        <v>347</v>
      </c>
      <c r="AC1" s="350"/>
      <c r="AD1" s="350"/>
      <c r="AE1" s="351"/>
      <c r="AF1" s="572" t="s">
        <v>348</v>
      </c>
      <c r="AG1" s="351"/>
      <c r="AH1" s="573" t="s">
        <v>349</v>
      </c>
      <c r="AI1" s="351"/>
      <c r="AJ1" s="574" t="s">
        <v>350</v>
      </c>
      <c r="AK1" s="351"/>
      <c r="AL1" s="506" t="s">
        <v>351</v>
      </c>
      <c r="AM1" s="351"/>
      <c r="AN1" s="571" t="s">
        <v>352</v>
      </c>
      <c r="AO1" s="351"/>
      <c r="AP1" s="567" t="s">
        <v>353</v>
      </c>
      <c r="AQ1" s="351"/>
      <c r="AR1" s="574" t="s">
        <v>354</v>
      </c>
      <c r="AS1" s="351"/>
      <c r="AT1" s="567" t="s">
        <v>355</v>
      </c>
      <c r="AU1" s="351"/>
      <c r="AV1" s="506" t="s">
        <v>356</v>
      </c>
      <c r="AW1" s="351"/>
      <c r="AX1" s="576" t="s">
        <v>357</v>
      </c>
      <c r="AY1" s="350"/>
      <c r="AZ1" s="351"/>
      <c r="BA1" s="577" t="s">
        <v>358</v>
      </c>
      <c r="BB1" s="351"/>
      <c r="BC1" s="28" t="s">
        <v>359</v>
      </c>
      <c r="BD1" s="578" t="s">
        <v>360</v>
      </c>
      <c r="BE1" s="351"/>
      <c r="BF1" s="577" t="s">
        <v>361</v>
      </c>
      <c r="BG1" s="350"/>
      <c r="BH1" s="350"/>
      <c r="BI1" s="351"/>
      <c r="BJ1" s="504" t="s">
        <v>362</v>
      </c>
      <c r="BK1" s="350"/>
      <c r="BL1" s="350"/>
      <c r="BM1" s="351"/>
      <c r="BN1" s="579" t="s">
        <v>315</v>
      </c>
      <c r="BO1" s="350"/>
      <c r="BP1" s="350"/>
      <c r="BQ1" s="350"/>
      <c r="BR1" s="350"/>
      <c r="BS1" s="350"/>
      <c r="BT1" s="350"/>
      <c r="BU1" s="350"/>
      <c r="BV1" s="351"/>
    </row>
    <row r="2" spans="1:74" ht="19.5" customHeight="1">
      <c r="A2" s="466" t="str">
        <f>'GRANTEE SET UP INFO &amp; DATE '!A1</f>
        <v>WV Bureau for Behavioral Health  - Peer Recovery Support Services  V 20200110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428"/>
    </row>
    <row r="3" spans="1:74" ht="19.5" customHeight="1">
      <c r="A3" s="467" t="str">
        <f>'GRANTEE SET UP INFO &amp; DATE '!A2</f>
        <v xml:space="preserve">Program reports need to be submitted electronically, via e-mail to DHHRBBHReporting@wv.gov  within 25 calendar days of the end of each month </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428"/>
    </row>
    <row r="4" spans="1:74" ht="9.75"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row>
    <row r="5" spans="1:74" ht="27.75" customHeight="1">
      <c r="A5" s="514" t="s">
        <v>363</v>
      </c>
      <c r="B5" s="381"/>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428"/>
      <c r="AP5" s="8"/>
      <c r="AQ5" s="8"/>
      <c r="AR5" s="57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6"/>
    </row>
    <row r="6" spans="1:74" ht="30" customHeight="1">
      <c r="A6" s="515" t="s">
        <v>364</v>
      </c>
      <c r="B6" s="384"/>
      <c r="C6" s="384"/>
      <c r="D6" s="384"/>
      <c r="E6" s="384"/>
      <c r="F6" s="384"/>
      <c r="G6" s="436"/>
      <c r="H6" s="516" t="str">
        <f>'GRANTEE SET UP INFO &amp; DATE '!H4</f>
        <v>Recovery Community Organization (RCO)</v>
      </c>
      <c r="I6" s="361"/>
      <c r="J6" s="361"/>
      <c r="K6" s="361"/>
      <c r="L6" s="361"/>
      <c r="M6" s="361"/>
      <c r="N6" s="361"/>
      <c r="O6" s="361"/>
      <c r="P6" s="361"/>
      <c r="Q6" s="361"/>
      <c r="R6" s="361"/>
      <c r="S6" s="361"/>
      <c r="T6" s="361"/>
      <c r="U6" s="362"/>
      <c r="V6" s="509" t="s">
        <v>32</v>
      </c>
      <c r="W6" s="350"/>
      <c r="X6" s="350"/>
      <c r="Y6" s="350"/>
      <c r="Z6" s="350"/>
      <c r="AA6" s="350"/>
      <c r="AB6" s="351"/>
      <c r="AC6" s="517">
        <f>'GRANTEE SET UP INFO &amp; DATE '!Z4</f>
        <v>0</v>
      </c>
      <c r="AD6" s="350"/>
      <c r="AE6" s="350"/>
      <c r="AF6" s="350"/>
      <c r="AG6" s="350"/>
      <c r="AH6" s="350"/>
      <c r="AI6" s="350"/>
      <c r="AJ6" s="350"/>
      <c r="AK6" s="350"/>
      <c r="AL6" s="350"/>
      <c r="AM6" s="350"/>
      <c r="AN6" s="350"/>
      <c r="AO6" s="350"/>
      <c r="AP6" s="350"/>
      <c r="AQ6" s="351"/>
      <c r="AR6" s="357"/>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358"/>
      <c r="BQ6" s="358"/>
      <c r="BR6" s="358"/>
      <c r="BS6" s="358"/>
      <c r="BT6" s="358"/>
      <c r="BU6" s="358"/>
      <c r="BV6" s="359"/>
    </row>
    <row r="7" spans="1:74">
      <c r="A7" s="511" t="s">
        <v>365</v>
      </c>
      <c r="B7" s="350"/>
      <c r="C7" s="350"/>
      <c r="D7" s="350"/>
      <c r="E7" s="350"/>
      <c r="F7" s="350"/>
      <c r="G7" s="370"/>
      <c r="H7" s="412">
        <f>'GRANTEE SET UP INFO &amp; DATE '!H5</f>
        <v>0</v>
      </c>
      <c r="I7" s="350"/>
      <c r="J7" s="350"/>
      <c r="K7" s="350"/>
      <c r="L7" s="350"/>
      <c r="M7" s="350"/>
      <c r="N7" s="350"/>
      <c r="O7" s="350"/>
      <c r="P7" s="350"/>
      <c r="Q7" s="350"/>
      <c r="R7" s="350"/>
      <c r="S7" s="350"/>
      <c r="T7" s="350"/>
      <c r="U7" s="351"/>
      <c r="V7" s="510" t="s">
        <v>36</v>
      </c>
      <c r="W7" s="350"/>
      <c r="X7" s="350"/>
      <c r="Y7" s="350"/>
      <c r="Z7" s="350"/>
      <c r="AA7" s="350"/>
      <c r="AB7" s="351"/>
      <c r="AC7" s="413" t="str">
        <f>'GRANTEE SET UP INFO &amp; DATE '!Z5</f>
        <v xml:space="preserve">Names of Contact(s): </v>
      </c>
      <c r="AD7" s="350"/>
      <c r="AE7" s="350"/>
      <c r="AF7" s="350"/>
      <c r="AG7" s="350"/>
      <c r="AH7" s="350"/>
      <c r="AI7" s="350"/>
      <c r="AJ7" s="350"/>
      <c r="AK7" s="350"/>
      <c r="AL7" s="350"/>
      <c r="AM7" s="350"/>
      <c r="AN7" s="350"/>
      <c r="AO7" s="350"/>
      <c r="AP7" s="350"/>
      <c r="AQ7" s="351"/>
      <c r="AR7" s="357"/>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c r="BR7" s="358"/>
      <c r="BS7" s="358"/>
      <c r="BT7" s="358"/>
      <c r="BU7" s="358"/>
      <c r="BV7" s="359"/>
    </row>
    <row r="8" spans="1:74" ht="14.25" customHeight="1">
      <c r="A8" s="518" t="s">
        <v>38</v>
      </c>
      <c r="B8" s="378"/>
      <c r="C8" s="378"/>
      <c r="D8" s="378"/>
      <c r="E8" s="378"/>
      <c r="F8" s="378"/>
      <c r="G8" s="495"/>
      <c r="H8" s="519">
        <f>'GRANTEE SET UP INFO &amp; DATE '!H6</f>
        <v>0</v>
      </c>
      <c r="I8" s="355"/>
      <c r="J8" s="355"/>
      <c r="K8" s="355"/>
      <c r="L8" s="355"/>
      <c r="M8" s="355"/>
      <c r="N8" s="355"/>
      <c r="O8" s="355"/>
      <c r="P8" s="355"/>
      <c r="Q8" s="355"/>
      <c r="R8" s="355"/>
      <c r="S8" s="355"/>
      <c r="T8" s="355"/>
      <c r="U8" s="356"/>
      <c r="V8" s="511" t="s">
        <v>366</v>
      </c>
      <c r="W8" s="350"/>
      <c r="X8" s="350"/>
      <c r="Y8" s="350"/>
      <c r="Z8" s="350"/>
      <c r="AA8" s="350"/>
      <c r="AB8" s="351"/>
      <c r="AC8" s="412">
        <f>'GRANTEE SET UP INFO &amp; DATE '!Z6</f>
        <v>0</v>
      </c>
      <c r="AD8" s="350"/>
      <c r="AE8" s="350"/>
      <c r="AF8" s="350"/>
      <c r="AG8" s="350"/>
      <c r="AH8" s="350"/>
      <c r="AI8" s="350"/>
      <c r="AJ8" s="350"/>
      <c r="AK8" s="350"/>
      <c r="AL8" s="350"/>
      <c r="AM8" s="350"/>
      <c r="AN8" s="350"/>
      <c r="AO8" s="350"/>
      <c r="AP8" s="350"/>
      <c r="AQ8" s="351"/>
      <c r="AR8" s="357"/>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c r="BT8" s="358"/>
      <c r="BU8" s="358"/>
      <c r="BV8" s="359"/>
    </row>
    <row r="9" spans="1:74">
      <c r="A9" s="520"/>
      <c r="B9" s="384"/>
      <c r="C9" s="384"/>
      <c r="D9" s="384"/>
      <c r="E9" s="384"/>
      <c r="F9" s="384"/>
      <c r="G9" s="436"/>
      <c r="H9" s="360"/>
      <c r="I9" s="361"/>
      <c r="J9" s="361"/>
      <c r="K9" s="361"/>
      <c r="L9" s="361"/>
      <c r="M9" s="361"/>
      <c r="N9" s="361"/>
      <c r="O9" s="361"/>
      <c r="P9" s="361"/>
      <c r="Q9" s="361"/>
      <c r="R9" s="361"/>
      <c r="S9" s="361"/>
      <c r="T9" s="361"/>
      <c r="U9" s="362"/>
      <c r="V9" s="511" t="s">
        <v>367</v>
      </c>
      <c r="W9" s="350"/>
      <c r="X9" s="350"/>
      <c r="Y9" s="350"/>
      <c r="Z9" s="350"/>
      <c r="AA9" s="350"/>
      <c r="AB9" s="351"/>
      <c r="AC9" s="412">
        <f>'GRANTEE SET UP INFO &amp; DATE '!Z7</f>
        <v>0</v>
      </c>
      <c r="AD9" s="350"/>
      <c r="AE9" s="350"/>
      <c r="AF9" s="350"/>
      <c r="AG9" s="350"/>
      <c r="AH9" s="350"/>
      <c r="AI9" s="350"/>
      <c r="AJ9" s="350"/>
      <c r="AK9" s="350"/>
      <c r="AL9" s="350"/>
      <c r="AM9" s="350"/>
      <c r="AN9" s="350"/>
      <c r="AO9" s="350"/>
      <c r="AP9" s="350"/>
      <c r="AQ9" s="351"/>
      <c r="AR9" s="357"/>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9"/>
    </row>
    <row r="10" spans="1:74" ht="19.5" customHeight="1">
      <c r="A10" s="521" t="s">
        <v>368</v>
      </c>
      <c r="B10" s="350"/>
      <c r="C10" s="350"/>
      <c r="D10" s="350"/>
      <c r="E10" s="350"/>
      <c r="F10" s="350"/>
      <c r="G10" s="370"/>
      <c r="H10" s="454" t="str">
        <f>'GRANTEE SET UP INFO &amp; DATE '!H8</f>
        <v>June 1 - 30</v>
      </c>
      <c r="I10" s="350"/>
      <c r="J10" s="350"/>
      <c r="K10" s="350"/>
      <c r="L10" s="350"/>
      <c r="M10" s="350"/>
      <c r="N10" s="350"/>
      <c r="O10" s="350"/>
      <c r="P10" s="350"/>
      <c r="Q10" s="351"/>
      <c r="R10" s="454">
        <f>'GRANTEE SET UP INFO &amp; DATE '!P8</f>
        <v>2022</v>
      </c>
      <c r="S10" s="350"/>
      <c r="T10" s="350"/>
      <c r="U10" s="351"/>
      <c r="V10" s="512" t="s">
        <v>369</v>
      </c>
      <c r="W10" s="350"/>
      <c r="X10" s="350"/>
      <c r="Y10" s="350"/>
      <c r="Z10" s="350"/>
      <c r="AA10" s="350"/>
      <c r="AB10" s="351"/>
      <c r="AC10" s="513">
        <f>'GRANTEE SET UP INFO &amp; DATE '!Z8</f>
        <v>0</v>
      </c>
      <c r="AD10" s="350"/>
      <c r="AE10" s="350"/>
      <c r="AF10" s="350"/>
      <c r="AG10" s="350"/>
      <c r="AH10" s="350"/>
      <c r="AI10" s="350"/>
      <c r="AJ10" s="350"/>
      <c r="AK10" s="350"/>
      <c r="AL10" s="350"/>
      <c r="AM10" s="350"/>
      <c r="AN10" s="350"/>
      <c r="AO10" s="350"/>
      <c r="AP10" s="350"/>
      <c r="AQ10" s="351"/>
      <c r="AR10" s="357"/>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58"/>
      <c r="BU10" s="358"/>
      <c r="BV10" s="359"/>
    </row>
    <row r="11" spans="1:74" ht="34.5" customHeight="1">
      <c r="A11" s="580" t="s">
        <v>370</v>
      </c>
      <c r="B11" s="581"/>
      <c r="C11" s="581"/>
      <c r="D11" s="581"/>
      <c r="E11" s="581"/>
      <c r="F11" s="581"/>
      <c r="G11" s="581"/>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c r="AE11" s="582"/>
      <c r="AF11" s="30"/>
      <c r="AG11" s="30"/>
      <c r="AH11" s="30"/>
      <c r="AI11" s="30"/>
      <c r="AJ11" s="9"/>
      <c r="AK11" s="9"/>
      <c r="AL11" s="9"/>
      <c r="AM11" s="9"/>
      <c r="AN11" s="9"/>
      <c r="AO11" s="9"/>
      <c r="AP11" s="9"/>
      <c r="AQ11" s="9"/>
      <c r="AR11" s="357"/>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9"/>
    </row>
    <row r="12" spans="1:74" ht="39.75" customHeight="1">
      <c r="A12" s="496" t="s">
        <v>371</v>
      </c>
      <c r="B12" s="381"/>
      <c r="C12" s="381"/>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428"/>
      <c r="AQ12" s="8"/>
      <c r="AR12" s="360"/>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2"/>
    </row>
    <row r="13" spans="1:74" ht="90" customHeight="1">
      <c r="A13" s="585" t="s">
        <v>323</v>
      </c>
      <c r="B13" s="350"/>
      <c r="C13" s="350"/>
      <c r="D13" s="350"/>
      <c r="E13" s="351"/>
      <c r="F13" s="586" t="s">
        <v>372</v>
      </c>
      <c r="G13" s="350"/>
      <c r="H13" s="350"/>
      <c r="I13" s="350"/>
      <c r="J13" s="350"/>
      <c r="K13" s="350"/>
      <c r="L13" s="350"/>
      <c r="M13" s="350"/>
      <c r="N13" s="350"/>
      <c r="O13" s="350"/>
      <c r="P13" s="350"/>
      <c r="Q13" s="350"/>
      <c r="R13" s="350"/>
      <c r="S13" s="350"/>
      <c r="T13" s="350"/>
      <c r="U13" s="350"/>
      <c r="V13" s="350"/>
      <c r="W13" s="351"/>
      <c r="X13" s="587" t="s">
        <v>373</v>
      </c>
      <c r="Y13" s="350"/>
      <c r="Z13" s="350"/>
      <c r="AA13" s="370"/>
      <c r="AB13" s="588" t="s">
        <v>374</v>
      </c>
      <c r="AC13" s="350"/>
      <c r="AD13" s="350"/>
      <c r="AE13" s="351"/>
      <c r="AF13" s="589" t="s">
        <v>375</v>
      </c>
      <c r="AG13" s="382"/>
      <c r="AH13" s="590" t="s">
        <v>376</v>
      </c>
      <c r="AI13" s="351"/>
      <c r="AJ13" s="583" t="s">
        <v>377</v>
      </c>
      <c r="AK13" s="350"/>
      <c r="AL13" s="350"/>
      <c r="AM13" s="350"/>
      <c r="AN13" s="350"/>
      <c r="AO13" s="351"/>
      <c r="AP13" s="583" t="s">
        <v>378</v>
      </c>
      <c r="AQ13" s="350"/>
      <c r="AR13" s="350"/>
      <c r="AS13" s="350"/>
      <c r="AT13" s="350"/>
      <c r="AU13" s="350"/>
      <c r="AV13" s="350"/>
      <c r="AW13" s="350"/>
      <c r="AX13" s="350"/>
      <c r="AY13" s="350"/>
      <c r="AZ13" s="350"/>
      <c r="BA13" s="350"/>
      <c r="BB13" s="351"/>
      <c r="BC13" s="583" t="s">
        <v>379</v>
      </c>
      <c r="BD13" s="350"/>
      <c r="BE13" s="350"/>
      <c r="BF13" s="350"/>
      <c r="BG13" s="350"/>
      <c r="BH13" s="350"/>
      <c r="BI13" s="350"/>
      <c r="BJ13" s="350"/>
      <c r="BK13" s="350"/>
      <c r="BL13" s="350"/>
      <c r="BM13" s="351"/>
      <c r="BN13" s="584" t="s">
        <v>315</v>
      </c>
      <c r="BO13" s="350"/>
      <c r="BP13" s="350"/>
      <c r="BQ13" s="350"/>
      <c r="BR13" s="350"/>
      <c r="BS13" s="350"/>
      <c r="BT13" s="350"/>
      <c r="BU13" s="350"/>
      <c r="BV13" s="351"/>
    </row>
    <row r="14" spans="1:74" ht="69.75" customHeight="1">
      <c r="A14" s="25" t="s">
        <v>287</v>
      </c>
      <c r="B14" s="599" t="s">
        <v>310</v>
      </c>
      <c r="C14" s="351"/>
      <c r="D14" s="600" t="s">
        <v>311</v>
      </c>
      <c r="E14" s="351"/>
      <c r="F14" s="502" t="s">
        <v>380</v>
      </c>
      <c r="G14" s="351"/>
      <c r="H14" s="492" t="s">
        <v>337</v>
      </c>
      <c r="I14" s="351"/>
      <c r="J14" s="567" t="s">
        <v>381</v>
      </c>
      <c r="K14" s="351"/>
      <c r="L14" s="568" t="s">
        <v>382</v>
      </c>
      <c r="M14" s="351"/>
      <c r="N14" s="31" t="s">
        <v>340</v>
      </c>
      <c r="O14" s="32" t="s">
        <v>341</v>
      </c>
      <c r="P14" s="601" t="s">
        <v>342</v>
      </c>
      <c r="Q14" s="351"/>
      <c r="R14" s="603" t="s">
        <v>343</v>
      </c>
      <c r="S14" s="351"/>
      <c r="T14" s="604" t="s">
        <v>344</v>
      </c>
      <c r="U14" s="351"/>
      <c r="V14" s="570" t="s">
        <v>345</v>
      </c>
      <c r="W14" s="351"/>
      <c r="X14" s="605" t="s">
        <v>383</v>
      </c>
      <c r="Y14" s="350"/>
      <c r="Z14" s="350"/>
      <c r="AA14" s="351"/>
      <c r="AB14" s="492" t="s">
        <v>384</v>
      </c>
      <c r="AC14" s="350"/>
      <c r="AD14" s="350"/>
      <c r="AE14" s="351"/>
      <c r="AF14" s="572" t="s">
        <v>348</v>
      </c>
      <c r="AG14" s="351"/>
      <c r="AH14" s="573" t="s">
        <v>349</v>
      </c>
      <c r="AI14" s="351"/>
      <c r="AJ14" s="529" t="s">
        <v>350</v>
      </c>
      <c r="AK14" s="351"/>
      <c r="AL14" s="602" t="s">
        <v>351</v>
      </c>
      <c r="AM14" s="351"/>
      <c r="AN14" s="593" t="s">
        <v>352</v>
      </c>
      <c r="AO14" s="351"/>
      <c r="AP14" s="567" t="s">
        <v>385</v>
      </c>
      <c r="AQ14" s="351"/>
      <c r="AR14" s="594" t="s">
        <v>386</v>
      </c>
      <c r="AS14" s="351"/>
      <c r="AT14" s="595" t="s">
        <v>387</v>
      </c>
      <c r="AU14" s="351"/>
      <c r="AV14" s="506" t="s">
        <v>388</v>
      </c>
      <c r="AW14" s="351"/>
      <c r="AX14" s="596" t="s">
        <v>389</v>
      </c>
      <c r="AY14" s="350"/>
      <c r="AZ14" s="351"/>
      <c r="BA14" s="597" t="s">
        <v>390</v>
      </c>
      <c r="BB14" s="351"/>
      <c r="BC14" s="33" t="s">
        <v>359</v>
      </c>
      <c r="BD14" s="591" t="s">
        <v>360</v>
      </c>
      <c r="BE14" s="385"/>
      <c r="BF14" s="592" t="s">
        <v>361</v>
      </c>
      <c r="BG14" s="384"/>
      <c r="BH14" s="384"/>
      <c r="BI14" s="385"/>
      <c r="BJ14" s="598" t="s">
        <v>391</v>
      </c>
      <c r="BK14" s="384"/>
      <c r="BL14" s="384"/>
      <c r="BM14" s="385"/>
      <c r="BN14" s="579" t="s">
        <v>315</v>
      </c>
      <c r="BO14" s="350"/>
      <c r="BP14" s="350"/>
      <c r="BQ14" s="350"/>
      <c r="BR14" s="350"/>
      <c r="BS14" s="350"/>
      <c r="BT14" s="350"/>
      <c r="BU14" s="350"/>
      <c r="BV14" s="351"/>
    </row>
    <row r="15" spans="1:74" ht="45" customHeight="1">
      <c r="A15" s="24">
        <f t="shared" ref="A15:A269" si="0">ROW(A1)</f>
        <v>1</v>
      </c>
      <c r="B15" s="558" t="s">
        <v>294</v>
      </c>
      <c r="C15" s="351"/>
      <c r="D15" s="559" t="s">
        <v>298</v>
      </c>
      <c r="E15" s="351"/>
      <c r="F15" s="524" t="s">
        <v>325</v>
      </c>
      <c r="G15" s="351"/>
      <c r="H15" s="561" t="s">
        <v>325</v>
      </c>
      <c r="I15" s="351"/>
      <c r="J15" s="562"/>
      <c r="K15" s="351"/>
      <c r="L15" s="562"/>
      <c r="M15" s="351"/>
      <c r="N15" s="34"/>
      <c r="O15" s="35"/>
      <c r="P15" s="526"/>
      <c r="Q15" s="351"/>
      <c r="R15" s="535"/>
      <c r="S15" s="351"/>
      <c r="T15" s="536"/>
      <c r="U15" s="351"/>
      <c r="V15" s="537"/>
      <c r="W15" s="351"/>
      <c r="X15" s="538" t="s">
        <v>294</v>
      </c>
      <c r="Y15" s="350"/>
      <c r="Z15" s="350"/>
      <c r="AA15" s="351"/>
      <c r="AB15" s="539" t="s">
        <v>294</v>
      </c>
      <c r="AC15" s="350"/>
      <c r="AD15" s="350"/>
      <c r="AE15" s="351"/>
      <c r="AF15" s="540"/>
      <c r="AG15" s="351"/>
      <c r="AH15" s="540"/>
      <c r="AI15" s="351"/>
      <c r="AJ15" s="532"/>
      <c r="AK15" s="351"/>
      <c r="AL15" s="555" t="s">
        <v>325</v>
      </c>
      <c r="AM15" s="351"/>
      <c r="AN15" s="531" t="s">
        <v>325</v>
      </c>
      <c r="AO15" s="351"/>
      <c r="AP15" s="532"/>
      <c r="AQ15" s="351"/>
      <c r="AR15" s="533"/>
      <c r="AS15" s="351"/>
      <c r="AT15" s="534"/>
      <c r="AU15" s="351"/>
      <c r="AV15" s="531" t="s">
        <v>325</v>
      </c>
      <c r="AW15" s="351"/>
      <c r="AX15" s="553"/>
      <c r="AY15" s="350"/>
      <c r="AZ15" s="351"/>
      <c r="BA15" s="545"/>
      <c r="BB15" s="351"/>
      <c r="BC15" s="36"/>
      <c r="BD15" s="556" t="s">
        <v>392</v>
      </c>
      <c r="BE15" s="351"/>
      <c r="BF15" s="529"/>
      <c r="BG15" s="350"/>
      <c r="BH15" s="350"/>
      <c r="BI15" s="351"/>
      <c r="BJ15" s="506" t="s">
        <v>294</v>
      </c>
      <c r="BK15" s="350"/>
      <c r="BL15" s="350"/>
      <c r="BM15" s="351"/>
      <c r="BN15" s="530" t="s">
        <v>294</v>
      </c>
      <c r="BO15" s="350"/>
      <c r="BP15" s="350"/>
      <c r="BQ15" s="350"/>
      <c r="BR15" s="350"/>
      <c r="BS15" s="350"/>
      <c r="BT15" s="350"/>
      <c r="BU15" s="350"/>
      <c r="BV15" s="351"/>
    </row>
    <row r="16" spans="1:74" ht="45" customHeight="1">
      <c r="A16" s="24">
        <f t="shared" si="0"/>
        <v>2</v>
      </c>
      <c r="B16" s="522" t="s">
        <v>294</v>
      </c>
      <c r="C16" s="351"/>
      <c r="D16" s="523" t="s">
        <v>298</v>
      </c>
      <c r="E16" s="351"/>
      <c r="F16" s="524" t="s">
        <v>325</v>
      </c>
      <c r="G16" s="351"/>
      <c r="H16" s="525" t="s">
        <v>325</v>
      </c>
      <c r="I16" s="351"/>
      <c r="J16" s="563"/>
      <c r="K16" s="351"/>
      <c r="L16" s="563"/>
      <c r="M16" s="351"/>
      <c r="N16" s="37"/>
      <c r="O16" s="38"/>
      <c r="P16" s="560"/>
      <c r="Q16" s="351"/>
      <c r="R16" s="527"/>
      <c r="S16" s="351"/>
      <c r="T16" s="528"/>
      <c r="U16" s="351"/>
      <c r="V16" s="541"/>
      <c r="W16" s="351"/>
      <c r="X16" s="542" t="s">
        <v>294</v>
      </c>
      <c r="Y16" s="350"/>
      <c r="Z16" s="350"/>
      <c r="AA16" s="351"/>
      <c r="AB16" s="543" t="s">
        <v>294</v>
      </c>
      <c r="AC16" s="350"/>
      <c r="AD16" s="350"/>
      <c r="AE16" s="351"/>
      <c r="AF16" s="544"/>
      <c r="AG16" s="351"/>
      <c r="AH16" s="544"/>
      <c r="AI16" s="351"/>
      <c r="AJ16" s="545"/>
      <c r="AK16" s="351"/>
      <c r="AL16" s="524" t="s">
        <v>325</v>
      </c>
      <c r="AM16" s="351"/>
      <c r="AN16" s="549" t="s">
        <v>325</v>
      </c>
      <c r="AO16" s="351"/>
      <c r="AP16" s="550"/>
      <c r="AQ16" s="351"/>
      <c r="AR16" s="551"/>
      <c r="AS16" s="351"/>
      <c r="AT16" s="534"/>
      <c r="AU16" s="351"/>
      <c r="AV16" s="549" t="s">
        <v>325</v>
      </c>
      <c r="AW16" s="351"/>
      <c r="AX16" s="553"/>
      <c r="AY16" s="350"/>
      <c r="AZ16" s="351"/>
      <c r="BA16" s="554"/>
      <c r="BB16" s="351"/>
      <c r="BC16" s="39"/>
      <c r="BD16" s="546" t="s">
        <v>325</v>
      </c>
      <c r="BE16" s="351"/>
      <c r="BF16" s="547"/>
      <c r="BG16" s="350"/>
      <c r="BH16" s="350"/>
      <c r="BI16" s="351"/>
      <c r="BJ16" s="548" t="s">
        <v>294</v>
      </c>
      <c r="BK16" s="350"/>
      <c r="BL16" s="350"/>
      <c r="BM16" s="351"/>
      <c r="BN16" s="530" t="s">
        <v>294</v>
      </c>
      <c r="BO16" s="350"/>
      <c r="BP16" s="350"/>
      <c r="BQ16" s="350"/>
      <c r="BR16" s="350"/>
      <c r="BS16" s="350"/>
      <c r="BT16" s="350"/>
      <c r="BU16" s="350"/>
      <c r="BV16" s="351"/>
    </row>
    <row r="17" spans="1:74" ht="45" customHeight="1">
      <c r="A17" s="24">
        <f t="shared" si="0"/>
        <v>3</v>
      </c>
      <c r="B17" s="558" t="s">
        <v>294</v>
      </c>
      <c r="C17" s="351"/>
      <c r="D17" s="559" t="s">
        <v>298</v>
      </c>
      <c r="E17" s="351"/>
      <c r="F17" s="524" t="s">
        <v>325</v>
      </c>
      <c r="G17" s="351"/>
      <c r="H17" s="561" t="s">
        <v>325</v>
      </c>
      <c r="I17" s="351"/>
      <c r="J17" s="562"/>
      <c r="K17" s="351"/>
      <c r="L17" s="562"/>
      <c r="M17" s="351"/>
      <c r="N17" s="34"/>
      <c r="O17" s="35"/>
      <c r="P17" s="526"/>
      <c r="Q17" s="351"/>
      <c r="R17" s="535"/>
      <c r="S17" s="351"/>
      <c r="T17" s="536"/>
      <c r="U17" s="351"/>
      <c r="V17" s="537"/>
      <c r="W17" s="351"/>
      <c r="X17" s="538" t="s">
        <v>294</v>
      </c>
      <c r="Y17" s="350"/>
      <c r="Z17" s="350"/>
      <c r="AA17" s="351"/>
      <c r="AB17" s="539" t="s">
        <v>294</v>
      </c>
      <c r="AC17" s="350"/>
      <c r="AD17" s="350"/>
      <c r="AE17" s="351"/>
      <c r="AF17" s="540"/>
      <c r="AG17" s="351"/>
      <c r="AH17" s="540"/>
      <c r="AI17" s="351"/>
      <c r="AJ17" s="532"/>
      <c r="AK17" s="351"/>
      <c r="AL17" s="555" t="s">
        <v>325</v>
      </c>
      <c r="AM17" s="351"/>
      <c r="AN17" s="531" t="s">
        <v>325</v>
      </c>
      <c r="AO17" s="351"/>
      <c r="AP17" s="532"/>
      <c r="AQ17" s="351"/>
      <c r="AR17" s="533"/>
      <c r="AS17" s="351"/>
      <c r="AT17" s="534"/>
      <c r="AU17" s="351"/>
      <c r="AV17" s="531" t="s">
        <v>325</v>
      </c>
      <c r="AW17" s="351"/>
      <c r="AX17" s="553"/>
      <c r="AY17" s="350"/>
      <c r="AZ17" s="351"/>
      <c r="BA17" s="545"/>
      <c r="BB17" s="351"/>
      <c r="BC17" s="36"/>
      <c r="BD17" s="556" t="s">
        <v>392</v>
      </c>
      <c r="BE17" s="351"/>
      <c r="BF17" s="557"/>
      <c r="BG17" s="350"/>
      <c r="BH17" s="350"/>
      <c r="BI17" s="351"/>
      <c r="BJ17" s="506" t="s">
        <v>294</v>
      </c>
      <c r="BK17" s="350"/>
      <c r="BL17" s="350"/>
      <c r="BM17" s="351"/>
      <c r="BN17" s="530" t="s">
        <v>294</v>
      </c>
      <c r="BO17" s="350"/>
      <c r="BP17" s="350"/>
      <c r="BQ17" s="350"/>
      <c r="BR17" s="350"/>
      <c r="BS17" s="350"/>
      <c r="BT17" s="350"/>
      <c r="BU17" s="350"/>
      <c r="BV17" s="351"/>
    </row>
    <row r="18" spans="1:74" ht="45" customHeight="1">
      <c r="A18" s="24">
        <f t="shared" si="0"/>
        <v>4</v>
      </c>
      <c r="B18" s="522" t="s">
        <v>294</v>
      </c>
      <c r="C18" s="351"/>
      <c r="D18" s="523" t="s">
        <v>298</v>
      </c>
      <c r="E18" s="351"/>
      <c r="F18" s="524" t="s">
        <v>325</v>
      </c>
      <c r="G18" s="351"/>
      <c r="H18" s="525" t="s">
        <v>325</v>
      </c>
      <c r="I18" s="351"/>
      <c r="J18" s="563"/>
      <c r="K18" s="351"/>
      <c r="L18" s="563"/>
      <c r="M18" s="351"/>
      <c r="N18" s="37"/>
      <c r="O18" s="38"/>
      <c r="P18" s="560"/>
      <c r="Q18" s="351"/>
      <c r="R18" s="527"/>
      <c r="S18" s="351"/>
      <c r="T18" s="528"/>
      <c r="U18" s="351"/>
      <c r="V18" s="541"/>
      <c r="W18" s="351"/>
      <c r="X18" s="542" t="s">
        <v>294</v>
      </c>
      <c r="Y18" s="350"/>
      <c r="Z18" s="350"/>
      <c r="AA18" s="351"/>
      <c r="AB18" s="543" t="s">
        <v>294</v>
      </c>
      <c r="AC18" s="350"/>
      <c r="AD18" s="350"/>
      <c r="AE18" s="351"/>
      <c r="AF18" s="544"/>
      <c r="AG18" s="351"/>
      <c r="AH18" s="544"/>
      <c r="AI18" s="351"/>
      <c r="AJ18" s="545"/>
      <c r="AK18" s="351"/>
      <c r="AL18" s="524" t="s">
        <v>325</v>
      </c>
      <c r="AM18" s="351"/>
      <c r="AN18" s="549" t="s">
        <v>325</v>
      </c>
      <c r="AO18" s="351"/>
      <c r="AP18" s="550"/>
      <c r="AQ18" s="351"/>
      <c r="AR18" s="551"/>
      <c r="AS18" s="351"/>
      <c r="AT18" s="534"/>
      <c r="AU18" s="351"/>
      <c r="AV18" s="549" t="s">
        <v>325</v>
      </c>
      <c r="AW18" s="351"/>
      <c r="AX18" s="553"/>
      <c r="AY18" s="350"/>
      <c r="AZ18" s="351"/>
      <c r="BA18" s="554"/>
      <c r="BB18" s="351"/>
      <c r="BC18" s="39"/>
      <c r="BD18" s="546" t="s">
        <v>325</v>
      </c>
      <c r="BE18" s="351"/>
      <c r="BF18" s="547"/>
      <c r="BG18" s="350"/>
      <c r="BH18" s="350"/>
      <c r="BI18" s="351"/>
      <c r="BJ18" s="548" t="s">
        <v>294</v>
      </c>
      <c r="BK18" s="350"/>
      <c r="BL18" s="350"/>
      <c r="BM18" s="351"/>
      <c r="BN18" s="530" t="s">
        <v>294</v>
      </c>
      <c r="BO18" s="350"/>
      <c r="BP18" s="350"/>
      <c r="BQ18" s="350"/>
      <c r="BR18" s="350"/>
      <c r="BS18" s="350"/>
      <c r="BT18" s="350"/>
      <c r="BU18" s="350"/>
      <c r="BV18" s="351"/>
    </row>
    <row r="19" spans="1:74" ht="45" customHeight="1">
      <c r="A19" s="24">
        <f t="shared" si="0"/>
        <v>5</v>
      </c>
      <c r="B19" s="558" t="s">
        <v>294</v>
      </c>
      <c r="C19" s="351"/>
      <c r="D19" s="559" t="s">
        <v>298</v>
      </c>
      <c r="E19" s="351"/>
      <c r="F19" s="524" t="s">
        <v>325</v>
      </c>
      <c r="G19" s="351"/>
      <c r="H19" s="561" t="s">
        <v>325</v>
      </c>
      <c r="I19" s="351"/>
      <c r="J19" s="562"/>
      <c r="K19" s="351"/>
      <c r="L19" s="562"/>
      <c r="M19" s="351"/>
      <c r="N19" s="34"/>
      <c r="O19" s="35"/>
      <c r="P19" s="526"/>
      <c r="Q19" s="351"/>
      <c r="R19" s="535"/>
      <c r="S19" s="351"/>
      <c r="T19" s="536"/>
      <c r="U19" s="351"/>
      <c r="V19" s="537"/>
      <c r="W19" s="351"/>
      <c r="X19" s="538" t="s">
        <v>294</v>
      </c>
      <c r="Y19" s="350"/>
      <c r="Z19" s="350"/>
      <c r="AA19" s="351"/>
      <c r="AB19" s="539" t="s">
        <v>294</v>
      </c>
      <c r="AC19" s="350"/>
      <c r="AD19" s="350"/>
      <c r="AE19" s="351"/>
      <c r="AF19" s="540"/>
      <c r="AG19" s="351"/>
      <c r="AH19" s="540"/>
      <c r="AI19" s="351"/>
      <c r="AJ19" s="532"/>
      <c r="AK19" s="351"/>
      <c r="AL19" s="555" t="s">
        <v>325</v>
      </c>
      <c r="AM19" s="351"/>
      <c r="AN19" s="531" t="s">
        <v>325</v>
      </c>
      <c r="AO19" s="351"/>
      <c r="AP19" s="532"/>
      <c r="AQ19" s="351"/>
      <c r="AR19" s="533"/>
      <c r="AS19" s="351"/>
      <c r="AT19" s="534"/>
      <c r="AU19" s="351"/>
      <c r="AV19" s="531" t="s">
        <v>325</v>
      </c>
      <c r="AW19" s="351"/>
      <c r="AX19" s="553"/>
      <c r="AY19" s="350"/>
      <c r="AZ19" s="351"/>
      <c r="BA19" s="545"/>
      <c r="BB19" s="351"/>
      <c r="BC19" s="36"/>
      <c r="BD19" s="556" t="s">
        <v>392</v>
      </c>
      <c r="BE19" s="351"/>
      <c r="BF19" s="529"/>
      <c r="BG19" s="350"/>
      <c r="BH19" s="350"/>
      <c r="BI19" s="351"/>
      <c r="BJ19" s="506" t="s">
        <v>294</v>
      </c>
      <c r="BK19" s="350"/>
      <c r="BL19" s="350"/>
      <c r="BM19" s="351"/>
      <c r="BN19" s="530" t="s">
        <v>294</v>
      </c>
      <c r="BO19" s="350"/>
      <c r="BP19" s="350"/>
      <c r="BQ19" s="350"/>
      <c r="BR19" s="350"/>
      <c r="BS19" s="350"/>
      <c r="BT19" s="350"/>
      <c r="BU19" s="350"/>
      <c r="BV19" s="351"/>
    </row>
    <row r="20" spans="1:74" ht="45" customHeight="1">
      <c r="A20" s="24">
        <f t="shared" si="0"/>
        <v>6</v>
      </c>
      <c r="B20" s="522" t="s">
        <v>294</v>
      </c>
      <c r="C20" s="351"/>
      <c r="D20" s="523" t="s">
        <v>298</v>
      </c>
      <c r="E20" s="351"/>
      <c r="F20" s="524" t="s">
        <v>325</v>
      </c>
      <c r="G20" s="351"/>
      <c r="H20" s="525" t="s">
        <v>325</v>
      </c>
      <c r="I20" s="351"/>
      <c r="J20" s="563"/>
      <c r="K20" s="351"/>
      <c r="L20" s="563"/>
      <c r="M20" s="351"/>
      <c r="N20" s="37"/>
      <c r="O20" s="38"/>
      <c r="P20" s="560"/>
      <c r="Q20" s="351"/>
      <c r="R20" s="527"/>
      <c r="S20" s="351"/>
      <c r="T20" s="528"/>
      <c r="U20" s="351"/>
      <c r="V20" s="541"/>
      <c r="W20" s="351"/>
      <c r="X20" s="542" t="s">
        <v>294</v>
      </c>
      <c r="Y20" s="350"/>
      <c r="Z20" s="350"/>
      <c r="AA20" s="351"/>
      <c r="AB20" s="543" t="s">
        <v>294</v>
      </c>
      <c r="AC20" s="350"/>
      <c r="AD20" s="350"/>
      <c r="AE20" s="351"/>
      <c r="AF20" s="544"/>
      <c r="AG20" s="351"/>
      <c r="AH20" s="544"/>
      <c r="AI20" s="351"/>
      <c r="AJ20" s="545"/>
      <c r="AK20" s="351"/>
      <c r="AL20" s="524" t="s">
        <v>325</v>
      </c>
      <c r="AM20" s="351"/>
      <c r="AN20" s="549" t="s">
        <v>325</v>
      </c>
      <c r="AO20" s="351"/>
      <c r="AP20" s="550"/>
      <c r="AQ20" s="351"/>
      <c r="AR20" s="551"/>
      <c r="AS20" s="351"/>
      <c r="AT20" s="534"/>
      <c r="AU20" s="351"/>
      <c r="AV20" s="549" t="s">
        <v>325</v>
      </c>
      <c r="AW20" s="351"/>
      <c r="AX20" s="553"/>
      <c r="AY20" s="350"/>
      <c r="AZ20" s="351"/>
      <c r="BA20" s="554"/>
      <c r="BB20" s="351"/>
      <c r="BC20" s="39"/>
      <c r="BD20" s="546" t="s">
        <v>325</v>
      </c>
      <c r="BE20" s="351"/>
      <c r="BF20" s="547"/>
      <c r="BG20" s="350"/>
      <c r="BH20" s="350"/>
      <c r="BI20" s="351"/>
      <c r="BJ20" s="548" t="s">
        <v>294</v>
      </c>
      <c r="BK20" s="350"/>
      <c r="BL20" s="350"/>
      <c r="BM20" s="351"/>
      <c r="BN20" s="530" t="s">
        <v>294</v>
      </c>
      <c r="BO20" s="350"/>
      <c r="BP20" s="350"/>
      <c r="BQ20" s="350"/>
      <c r="BR20" s="350"/>
      <c r="BS20" s="350"/>
      <c r="BT20" s="350"/>
      <c r="BU20" s="350"/>
      <c r="BV20" s="351"/>
    </row>
    <row r="21" spans="1:74" ht="45" customHeight="1">
      <c r="A21" s="24">
        <f t="shared" si="0"/>
        <v>7</v>
      </c>
      <c r="B21" s="558" t="s">
        <v>294</v>
      </c>
      <c r="C21" s="351"/>
      <c r="D21" s="559" t="s">
        <v>298</v>
      </c>
      <c r="E21" s="351"/>
      <c r="F21" s="524" t="s">
        <v>325</v>
      </c>
      <c r="G21" s="351"/>
      <c r="H21" s="561" t="s">
        <v>325</v>
      </c>
      <c r="I21" s="351"/>
      <c r="J21" s="562"/>
      <c r="K21" s="351"/>
      <c r="L21" s="562"/>
      <c r="M21" s="351"/>
      <c r="N21" s="34"/>
      <c r="O21" s="35"/>
      <c r="P21" s="526"/>
      <c r="Q21" s="351"/>
      <c r="R21" s="535"/>
      <c r="S21" s="351"/>
      <c r="T21" s="536"/>
      <c r="U21" s="351"/>
      <c r="V21" s="537"/>
      <c r="W21" s="351"/>
      <c r="X21" s="538" t="s">
        <v>294</v>
      </c>
      <c r="Y21" s="350"/>
      <c r="Z21" s="350"/>
      <c r="AA21" s="351"/>
      <c r="AB21" s="539" t="s">
        <v>294</v>
      </c>
      <c r="AC21" s="350"/>
      <c r="AD21" s="350"/>
      <c r="AE21" s="351"/>
      <c r="AF21" s="540"/>
      <c r="AG21" s="351"/>
      <c r="AH21" s="540"/>
      <c r="AI21" s="351"/>
      <c r="AJ21" s="532"/>
      <c r="AK21" s="351"/>
      <c r="AL21" s="555" t="s">
        <v>325</v>
      </c>
      <c r="AM21" s="351"/>
      <c r="AN21" s="531" t="s">
        <v>325</v>
      </c>
      <c r="AO21" s="351"/>
      <c r="AP21" s="532"/>
      <c r="AQ21" s="351"/>
      <c r="AR21" s="533"/>
      <c r="AS21" s="351"/>
      <c r="AT21" s="534"/>
      <c r="AU21" s="351"/>
      <c r="AV21" s="531" t="s">
        <v>325</v>
      </c>
      <c r="AW21" s="351"/>
      <c r="AX21" s="553"/>
      <c r="AY21" s="350"/>
      <c r="AZ21" s="351"/>
      <c r="BA21" s="545"/>
      <c r="BB21" s="351"/>
      <c r="BC21" s="36"/>
      <c r="BD21" s="556" t="s">
        <v>392</v>
      </c>
      <c r="BE21" s="351"/>
      <c r="BF21" s="557"/>
      <c r="BG21" s="350"/>
      <c r="BH21" s="350"/>
      <c r="BI21" s="351"/>
      <c r="BJ21" s="506" t="s">
        <v>294</v>
      </c>
      <c r="BK21" s="350"/>
      <c r="BL21" s="350"/>
      <c r="BM21" s="351"/>
      <c r="BN21" s="530" t="s">
        <v>294</v>
      </c>
      <c r="BO21" s="350"/>
      <c r="BP21" s="350"/>
      <c r="BQ21" s="350"/>
      <c r="BR21" s="350"/>
      <c r="BS21" s="350"/>
      <c r="BT21" s="350"/>
      <c r="BU21" s="350"/>
      <c r="BV21" s="351"/>
    </row>
    <row r="22" spans="1:74" ht="45" customHeight="1">
      <c r="A22" s="24">
        <f t="shared" si="0"/>
        <v>8</v>
      </c>
      <c r="B22" s="522" t="s">
        <v>294</v>
      </c>
      <c r="C22" s="351"/>
      <c r="D22" s="523" t="s">
        <v>298</v>
      </c>
      <c r="E22" s="351"/>
      <c r="F22" s="524" t="s">
        <v>325</v>
      </c>
      <c r="G22" s="351"/>
      <c r="H22" s="525" t="s">
        <v>325</v>
      </c>
      <c r="I22" s="351"/>
      <c r="J22" s="563"/>
      <c r="K22" s="351"/>
      <c r="L22" s="563"/>
      <c r="M22" s="351"/>
      <c r="N22" s="37"/>
      <c r="O22" s="38"/>
      <c r="P22" s="560"/>
      <c r="Q22" s="351"/>
      <c r="R22" s="527"/>
      <c r="S22" s="351"/>
      <c r="T22" s="528"/>
      <c r="U22" s="351"/>
      <c r="V22" s="541"/>
      <c r="W22" s="351"/>
      <c r="X22" s="542" t="s">
        <v>294</v>
      </c>
      <c r="Y22" s="350"/>
      <c r="Z22" s="350"/>
      <c r="AA22" s="351"/>
      <c r="AB22" s="543" t="s">
        <v>294</v>
      </c>
      <c r="AC22" s="350"/>
      <c r="AD22" s="350"/>
      <c r="AE22" s="351"/>
      <c r="AF22" s="544"/>
      <c r="AG22" s="351"/>
      <c r="AH22" s="544"/>
      <c r="AI22" s="351"/>
      <c r="AJ22" s="545"/>
      <c r="AK22" s="351"/>
      <c r="AL22" s="524" t="s">
        <v>325</v>
      </c>
      <c r="AM22" s="351"/>
      <c r="AN22" s="549" t="s">
        <v>325</v>
      </c>
      <c r="AO22" s="351"/>
      <c r="AP22" s="550"/>
      <c r="AQ22" s="351"/>
      <c r="AR22" s="551"/>
      <c r="AS22" s="351"/>
      <c r="AT22" s="534"/>
      <c r="AU22" s="351"/>
      <c r="AV22" s="549" t="s">
        <v>325</v>
      </c>
      <c r="AW22" s="351"/>
      <c r="AX22" s="553"/>
      <c r="AY22" s="350"/>
      <c r="AZ22" s="351"/>
      <c r="BA22" s="554"/>
      <c r="BB22" s="351"/>
      <c r="BC22" s="39"/>
      <c r="BD22" s="546" t="s">
        <v>325</v>
      </c>
      <c r="BE22" s="351"/>
      <c r="BF22" s="547"/>
      <c r="BG22" s="350"/>
      <c r="BH22" s="350"/>
      <c r="BI22" s="351"/>
      <c r="BJ22" s="548" t="s">
        <v>294</v>
      </c>
      <c r="BK22" s="350"/>
      <c r="BL22" s="350"/>
      <c r="BM22" s="351"/>
      <c r="BN22" s="530" t="s">
        <v>294</v>
      </c>
      <c r="BO22" s="350"/>
      <c r="BP22" s="350"/>
      <c r="BQ22" s="350"/>
      <c r="BR22" s="350"/>
      <c r="BS22" s="350"/>
      <c r="BT22" s="350"/>
      <c r="BU22" s="350"/>
      <c r="BV22" s="351"/>
    </row>
    <row r="23" spans="1:74" ht="45" customHeight="1">
      <c r="A23" s="24">
        <f t="shared" si="0"/>
        <v>9</v>
      </c>
      <c r="B23" s="558" t="s">
        <v>294</v>
      </c>
      <c r="C23" s="351"/>
      <c r="D23" s="559" t="s">
        <v>298</v>
      </c>
      <c r="E23" s="351"/>
      <c r="F23" s="524" t="s">
        <v>325</v>
      </c>
      <c r="G23" s="351"/>
      <c r="H23" s="561" t="s">
        <v>325</v>
      </c>
      <c r="I23" s="351"/>
      <c r="J23" s="562"/>
      <c r="K23" s="351"/>
      <c r="L23" s="562"/>
      <c r="M23" s="351"/>
      <c r="N23" s="34"/>
      <c r="O23" s="35"/>
      <c r="P23" s="526"/>
      <c r="Q23" s="351"/>
      <c r="R23" s="535"/>
      <c r="S23" s="351"/>
      <c r="T23" s="536"/>
      <c r="U23" s="351"/>
      <c r="V23" s="537"/>
      <c r="W23" s="351"/>
      <c r="X23" s="538" t="s">
        <v>294</v>
      </c>
      <c r="Y23" s="350"/>
      <c r="Z23" s="350"/>
      <c r="AA23" s="351"/>
      <c r="AB23" s="539" t="s">
        <v>294</v>
      </c>
      <c r="AC23" s="350"/>
      <c r="AD23" s="350"/>
      <c r="AE23" s="351"/>
      <c r="AF23" s="540"/>
      <c r="AG23" s="351"/>
      <c r="AH23" s="540"/>
      <c r="AI23" s="351"/>
      <c r="AJ23" s="532"/>
      <c r="AK23" s="351"/>
      <c r="AL23" s="555" t="s">
        <v>325</v>
      </c>
      <c r="AM23" s="351"/>
      <c r="AN23" s="531" t="s">
        <v>325</v>
      </c>
      <c r="AO23" s="351"/>
      <c r="AP23" s="532"/>
      <c r="AQ23" s="351"/>
      <c r="AR23" s="533"/>
      <c r="AS23" s="351"/>
      <c r="AT23" s="534"/>
      <c r="AU23" s="351"/>
      <c r="AV23" s="531" t="s">
        <v>325</v>
      </c>
      <c r="AW23" s="351"/>
      <c r="AX23" s="553"/>
      <c r="AY23" s="350"/>
      <c r="AZ23" s="351"/>
      <c r="BA23" s="545"/>
      <c r="BB23" s="351"/>
      <c r="BC23" s="36"/>
      <c r="BD23" s="556" t="s">
        <v>392</v>
      </c>
      <c r="BE23" s="351"/>
      <c r="BF23" s="529"/>
      <c r="BG23" s="350"/>
      <c r="BH23" s="350"/>
      <c r="BI23" s="351"/>
      <c r="BJ23" s="506" t="s">
        <v>294</v>
      </c>
      <c r="BK23" s="350"/>
      <c r="BL23" s="350"/>
      <c r="BM23" s="351"/>
      <c r="BN23" s="530" t="s">
        <v>294</v>
      </c>
      <c r="BO23" s="350"/>
      <c r="BP23" s="350"/>
      <c r="BQ23" s="350"/>
      <c r="BR23" s="350"/>
      <c r="BS23" s="350"/>
      <c r="BT23" s="350"/>
      <c r="BU23" s="350"/>
      <c r="BV23" s="351"/>
    </row>
    <row r="24" spans="1:74" ht="45" customHeight="1">
      <c r="A24" s="24">
        <f t="shared" si="0"/>
        <v>10</v>
      </c>
      <c r="B24" s="522" t="s">
        <v>294</v>
      </c>
      <c r="C24" s="351"/>
      <c r="D24" s="523" t="s">
        <v>298</v>
      </c>
      <c r="E24" s="351"/>
      <c r="F24" s="524" t="s">
        <v>325</v>
      </c>
      <c r="G24" s="351"/>
      <c r="H24" s="525" t="s">
        <v>325</v>
      </c>
      <c r="I24" s="351"/>
      <c r="J24" s="563"/>
      <c r="K24" s="351"/>
      <c r="L24" s="563"/>
      <c r="M24" s="351"/>
      <c r="N24" s="37"/>
      <c r="O24" s="38"/>
      <c r="P24" s="560"/>
      <c r="Q24" s="351"/>
      <c r="R24" s="527"/>
      <c r="S24" s="351"/>
      <c r="T24" s="528"/>
      <c r="U24" s="351"/>
      <c r="V24" s="541"/>
      <c r="W24" s="351"/>
      <c r="X24" s="542" t="s">
        <v>294</v>
      </c>
      <c r="Y24" s="350"/>
      <c r="Z24" s="350"/>
      <c r="AA24" s="351"/>
      <c r="AB24" s="543" t="s">
        <v>294</v>
      </c>
      <c r="AC24" s="350"/>
      <c r="AD24" s="350"/>
      <c r="AE24" s="351"/>
      <c r="AF24" s="544"/>
      <c r="AG24" s="351"/>
      <c r="AH24" s="544"/>
      <c r="AI24" s="351"/>
      <c r="AJ24" s="545"/>
      <c r="AK24" s="351"/>
      <c r="AL24" s="524" t="s">
        <v>325</v>
      </c>
      <c r="AM24" s="351"/>
      <c r="AN24" s="549" t="s">
        <v>325</v>
      </c>
      <c r="AO24" s="351"/>
      <c r="AP24" s="550"/>
      <c r="AQ24" s="351"/>
      <c r="AR24" s="551"/>
      <c r="AS24" s="351"/>
      <c r="AT24" s="534"/>
      <c r="AU24" s="351"/>
      <c r="AV24" s="549" t="s">
        <v>325</v>
      </c>
      <c r="AW24" s="351"/>
      <c r="AX24" s="553"/>
      <c r="AY24" s="350"/>
      <c r="AZ24" s="351"/>
      <c r="BA24" s="554"/>
      <c r="BB24" s="351"/>
      <c r="BC24" s="39"/>
      <c r="BD24" s="546" t="s">
        <v>325</v>
      </c>
      <c r="BE24" s="351"/>
      <c r="BF24" s="547"/>
      <c r="BG24" s="350"/>
      <c r="BH24" s="350"/>
      <c r="BI24" s="351"/>
      <c r="BJ24" s="548" t="s">
        <v>294</v>
      </c>
      <c r="BK24" s="350"/>
      <c r="BL24" s="350"/>
      <c r="BM24" s="351"/>
      <c r="BN24" s="530" t="s">
        <v>294</v>
      </c>
      <c r="BO24" s="350"/>
      <c r="BP24" s="350"/>
      <c r="BQ24" s="350"/>
      <c r="BR24" s="350"/>
      <c r="BS24" s="350"/>
      <c r="BT24" s="350"/>
      <c r="BU24" s="350"/>
      <c r="BV24" s="351"/>
    </row>
    <row r="25" spans="1:74" ht="45" customHeight="1">
      <c r="A25" s="24">
        <f t="shared" si="0"/>
        <v>11</v>
      </c>
      <c r="B25" s="558" t="s">
        <v>294</v>
      </c>
      <c r="C25" s="351"/>
      <c r="D25" s="559" t="s">
        <v>298</v>
      </c>
      <c r="E25" s="351"/>
      <c r="F25" s="524" t="s">
        <v>325</v>
      </c>
      <c r="G25" s="351"/>
      <c r="H25" s="561" t="s">
        <v>325</v>
      </c>
      <c r="I25" s="351"/>
      <c r="J25" s="562"/>
      <c r="K25" s="351"/>
      <c r="L25" s="562"/>
      <c r="M25" s="351"/>
      <c r="N25" s="34"/>
      <c r="O25" s="35"/>
      <c r="P25" s="526"/>
      <c r="Q25" s="351"/>
      <c r="R25" s="535"/>
      <c r="S25" s="351"/>
      <c r="T25" s="536"/>
      <c r="U25" s="351"/>
      <c r="V25" s="537"/>
      <c r="W25" s="351"/>
      <c r="X25" s="538" t="s">
        <v>294</v>
      </c>
      <c r="Y25" s="350"/>
      <c r="Z25" s="350"/>
      <c r="AA25" s="351"/>
      <c r="AB25" s="539" t="s">
        <v>294</v>
      </c>
      <c r="AC25" s="350"/>
      <c r="AD25" s="350"/>
      <c r="AE25" s="351"/>
      <c r="AF25" s="540"/>
      <c r="AG25" s="351"/>
      <c r="AH25" s="540"/>
      <c r="AI25" s="351"/>
      <c r="AJ25" s="532"/>
      <c r="AK25" s="351"/>
      <c r="AL25" s="555" t="s">
        <v>325</v>
      </c>
      <c r="AM25" s="351"/>
      <c r="AN25" s="531" t="s">
        <v>325</v>
      </c>
      <c r="AO25" s="351"/>
      <c r="AP25" s="532"/>
      <c r="AQ25" s="351"/>
      <c r="AR25" s="533"/>
      <c r="AS25" s="351"/>
      <c r="AT25" s="534"/>
      <c r="AU25" s="351"/>
      <c r="AV25" s="531" t="s">
        <v>325</v>
      </c>
      <c r="AW25" s="351"/>
      <c r="AX25" s="553"/>
      <c r="AY25" s="350"/>
      <c r="AZ25" s="351"/>
      <c r="BA25" s="545"/>
      <c r="BB25" s="351"/>
      <c r="BC25" s="36"/>
      <c r="BD25" s="556" t="s">
        <v>392</v>
      </c>
      <c r="BE25" s="351"/>
      <c r="BF25" s="529"/>
      <c r="BG25" s="350"/>
      <c r="BH25" s="350"/>
      <c r="BI25" s="351"/>
      <c r="BJ25" s="506" t="s">
        <v>294</v>
      </c>
      <c r="BK25" s="350"/>
      <c r="BL25" s="350"/>
      <c r="BM25" s="351"/>
      <c r="BN25" s="530" t="s">
        <v>294</v>
      </c>
      <c r="BO25" s="350"/>
      <c r="BP25" s="350"/>
      <c r="BQ25" s="350"/>
      <c r="BR25" s="350"/>
      <c r="BS25" s="350"/>
      <c r="BT25" s="350"/>
      <c r="BU25" s="350"/>
      <c r="BV25" s="351"/>
    </row>
    <row r="26" spans="1:74" ht="45" customHeight="1">
      <c r="A26" s="24">
        <f t="shared" si="0"/>
        <v>12</v>
      </c>
      <c r="B26" s="522" t="s">
        <v>294</v>
      </c>
      <c r="C26" s="351"/>
      <c r="D26" s="523" t="s">
        <v>298</v>
      </c>
      <c r="E26" s="351"/>
      <c r="F26" s="524" t="s">
        <v>325</v>
      </c>
      <c r="G26" s="351"/>
      <c r="H26" s="525" t="s">
        <v>325</v>
      </c>
      <c r="I26" s="351"/>
      <c r="J26" s="563"/>
      <c r="K26" s="351"/>
      <c r="L26" s="563"/>
      <c r="M26" s="351"/>
      <c r="N26" s="37"/>
      <c r="O26" s="38"/>
      <c r="P26" s="560"/>
      <c r="Q26" s="351"/>
      <c r="R26" s="527"/>
      <c r="S26" s="351"/>
      <c r="T26" s="528"/>
      <c r="U26" s="351"/>
      <c r="V26" s="541"/>
      <c r="W26" s="351"/>
      <c r="X26" s="542" t="s">
        <v>294</v>
      </c>
      <c r="Y26" s="350"/>
      <c r="Z26" s="350"/>
      <c r="AA26" s="351"/>
      <c r="AB26" s="543" t="s">
        <v>294</v>
      </c>
      <c r="AC26" s="350"/>
      <c r="AD26" s="350"/>
      <c r="AE26" s="351"/>
      <c r="AF26" s="544"/>
      <c r="AG26" s="351"/>
      <c r="AH26" s="544"/>
      <c r="AI26" s="351"/>
      <c r="AJ26" s="545"/>
      <c r="AK26" s="351"/>
      <c r="AL26" s="524" t="s">
        <v>325</v>
      </c>
      <c r="AM26" s="351"/>
      <c r="AN26" s="549" t="s">
        <v>325</v>
      </c>
      <c r="AO26" s="351"/>
      <c r="AP26" s="550"/>
      <c r="AQ26" s="351"/>
      <c r="AR26" s="551"/>
      <c r="AS26" s="351"/>
      <c r="AT26" s="534"/>
      <c r="AU26" s="351"/>
      <c r="AV26" s="549" t="s">
        <v>325</v>
      </c>
      <c r="AW26" s="351"/>
      <c r="AX26" s="553"/>
      <c r="AY26" s="350"/>
      <c r="AZ26" s="351"/>
      <c r="BA26" s="554"/>
      <c r="BB26" s="351"/>
      <c r="BC26" s="39"/>
      <c r="BD26" s="546" t="s">
        <v>325</v>
      </c>
      <c r="BE26" s="351"/>
      <c r="BF26" s="547"/>
      <c r="BG26" s="350"/>
      <c r="BH26" s="350"/>
      <c r="BI26" s="351"/>
      <c r="BJ26" s="548" t="s">
        <v>294</v>
      </c>
      <c r="BK26" s="350"/>
      <c r="BL26" s="350"/>
      <c r="BM26" s="351"/>
      <c r="BN26" s="530" t="s">
        <v>294</v>
      </c>
      <c r="BO26" s="350"/>
      <c r="BP26" s="350"/>
      <c r="BQ26" s="350"/>
      <c r="BR26" s="350"/>
      <c r="BS26" s="350"/>
      <c r="BT26" s="350"/>
      <c r="BU26" s="350"/>
      <c r="BV26" s="351"/>
    </row>
    <row r="27" spans="1:74" ht="45" customHeight="1">
      <c r="A27" s="24">
        <f t="shared" si="0"/>
        <v>13</v>
      </c>
      <c r="B27" s="558" t="s">
        <v>294</v>
      </c>
      <c r="C27" s="351"/>
      <c r="D27" s="559" t="s">
        <v>298</v>
      </c>
      <c r="E27" s="351"/>
      <c r="F27" s="524" t="s">
        <v>325</v>
      </c>
      <c r="G27" s="351"/>
      <c r="H27" s="561" t="s">
        <v>325</v>
      </c>
      <c r="I27" s="351"/>
      <c r="J27" s="562"/>
      <c r="K27" s="351"/>
      <c r="L27" s="562"/>
      <c r="M27" s="351"/>
      <c r="N27" s="34"/>
      <c r="O27" s="35"/>
      <c r="P27" s="526"/>
      <c r="Q27" s="351"/>
      <c r="R27" s="535"/>
      <c r="S27" s="351"/>
      <c r="T27" s="536"/>
      <c r="U27" s="351"/>
      <c r="V27" s="537"/>
      <c r="W27" s="351"/>
      <c r="X27" s="538" t="s">
        <v>294</v>
      </c>
      <c r="Y27" s="350"/>
      <c r="Z27" s="350"/>
      <c r="AA27" s="351"/>
      <c r="AB27" s="539" t="s">
        <v>294</v>
      </c>
      <c r="AC27" s="350"/>
      <c r="AD27" s="350"/>
      <c r="AE27" s="351"/>
      <c r="AF27" s="540"/>
      <c r="AG27" s="351"/>
      <c r="AH27" s="540"/>
      <c r="AI27" s="351"/>
      <c r="AJ27" s="532"/>
      <c r="AK27" s="351"/>
      <c r="AL27" s="555" t="s">
        <v>325</v>
      </c>
      <c r="AM27" s="351"/>
      <c r="AN27" s="531" t="s">
        <v>325</v>
      </c>
      <c r="AO27" s="351"/>
      <c r="AP27" s="532"/>
      <c r="AQ27" s="351"/>
      <c r="AR27" s="533"/>
      <c r="AS27" s="351"/>
      <c r="AT27" s="534"/>
      <c r="AU27" s="351"/>
      <c r="AV27" s="531" t="s">
        <v>325</v>
      </c>
      <c r="AW27" s="351"/>
      <c r="AX27" s="553"/>
      <c r="AY27" s="350"/>
      <c r="AZ27" s="351"/>
      <c r="BA27" s="545"/>
      <c r="BB27" s="351"/>
      <c r="BC27" s="36"/>
      <c r="BD27" s="556" t="s">
        <v>392</v>
      </c>
      <c r="BE27" s="351"/>
      <c r="BF27" s="557"/>
      <c r="BG27" s="350"/>
      <c r="BH27" s="350"/>
      <c r="BI27" s="351"/>
      <c r="BJ27" s="506" t="s">
        <v>294</v>
      </c>
      <c r="BK27" s="350"/>
      <c r="BL27" s="350"/>
      <c r="BM27" s="351"/>
      <c r="BN27" s="530" t="s">
        <v>294</v>
      </c>
      <c r="BO27" s="350"/>
      <c r="BP27" s="350"/>
      <c r="BQ27" s="350"/>
      <c r="BR27" s="350"/>
      <c r="BS27" s="350"/>
      <c r="BT27" s="350"/>
      <c r="BU27" s="350"/>
      <c r="BV27" s="351"/>
    </row>
    <row r="28" spans="1:74" ht="45" customHeight="1">
      <c r="A28" s="24">
        <f t="shared" si="0"/>
        <v>14</v>
      </c>
      <c r="B28" s="522" t="s">
        <v>294</v>
      </c>
      <c r="C28" s="351"/>
      <c r="D28" s="523" t="s">
        <v>298</v>
      </c>
      <c r="E28" s="351"/>
      <c r="F28" s="524" t="s">
        <v>325</v>
      </c>
      <c r="G28" s="351"/>
      <c r="H28" s="525" t="s">
        <v>325</v>
      </c>
      <c r="I28" s="351"/>
      <c r="J28" s="563"/>
      <c r="K28" s="351"/>
      <c r="L28" s="563"/>
      <c r="M28" s="351"/>
      <c r="N28" s="37"/>
      <c r="O28" s="38"/>
      <c r="P28" s="560"/>
      <c r="Q28" s="351"/>
      <c r="R28" s="527"/>
      <c r="S28" s="351"/>
      <c r="T28" s="528"/>
      <c r="U28" s="351"/>
      <c r="V28" s="541"/>
      <c r="W28" s="351"/>
      <c r="X28" s="542" t="s">
        <v>294</v>
      </c>
      <c r="Y28" s="350"/>
      <c r="Z28" s="350"/>
      <c r="AA28" s="351"/>
      <c r="AB28" s="543" t="s">
        <v>294</v>
      </c>
      <c r="AC28" s="350"/>
      <c r="AD28" s="350"/>
      <c r="AE28" s="351"/>
      <c r="AF28" s="544"/>
      <c r="AG28" s="351"/>
      <c r="AH28" s="544"/>
      <c r="AI28" s="351"/>
      <c r="AJ28" s="545"/>
      <c r="AK28" s="351"/>
      <c r="AL28" s="524" t="s">
        <v>325</v>
      </c>
      <c r="AM28" s="351"/>
      <c r="AN28" s="549" t="s">
        <v>325</v>
      </c>
      <c r="AO28" s="351"/>
      <c r="AP28" s="550"/>
      <c r="AQ28" s="351"/>
      <c r="AR28" s="551"/>
      <c r="AS28" s="351"/>
      <c r="AT28" s="534"/>
      <c r="AU28" s="351"/>
      <c r="AV28" s="549" t="s">
        <v>325</v>
      </c>
      <c r="AW28" s="351"/>
      <c r="AX28" s="553"/>
      <c r="AY28" s="350"/>
      <c r="AZ28" s="351"/>
      <c r="BA28" s="554"/>
      <c r="BB28" s="351"/>
      <c r="BC28" s="39"/>
      <c r="BD28" s="546" t="s">
        <v>325</v>
      </c>
      <c r="BE28" s="351"/>
      <c r="BF28" s="547"/>
      <c r="BG28" s="350"/>
      <c r="BH28" s="350"/>
      <c r="BI28" s="351"/>
      <c r="BJ28" s="548" t="s">
        <v>294</v>
      </c>
      <c r="BK28" s="350"/>
      <c r="BL28" s="350"/>
      <c r="BM28" s="351"/>
      <c r="BN28" s="530" t="s">
        <v>294</v>
      </c>
      <c r="BO28" s="350"/>
      <c r="BP28" s="350"/>
      <c r="BQ28" s="350"/>
      <c r="BR28" s="350"/>
      <c r="BS28" s="350"/>
      <c r="BT28" s="350"/>
      <c r="BU28" s="350"/>
      <c r="BV28" s="351"/>
    </row>
    <row r="29" spans="1:74" ht="45" customHeight="1">
      <c r="A29" s="24">
        <f t="shared" si="0"/>
        <v>15</v>
      </c>
      <c r="B29" s="558" t="s">
        <v>294</v>
      </c>
      <c r="C29" s="351"/>
      <c r="D29" s="559" t="s">
        <v>298</v>
      </c>
      <c r="E29" s="351"/>
      <c r="F29" s="524" t="s">
        <v>325</v>
      </c>
      <c r="G29" s="351"/>
      <c r="H29" s="561" t="s">
        <v>325</v>
      </c>
      <c r="I29" s="351"/>
      <c r="J29" s="562"/>
      <c r="K29" s="351"/>
      <c r="L29" s="562"/>
      <c r="M29" s="351"/>
      <c r="N29" s="34"/>
      <c r="O29" s="35"/>
      <c r="P29" s="526"/>
      <c r="Q29" s="351"/>
      <c r="R29" s="535"/>
      <c r="S29" s="351"/>
      <c r="T29" s="536"/>
      <c r="U29" s="351"/>
      <c r="V29" s="537"/>
      <c r="W29" s="351"/>
      <c r="X29" s="538" t="s">
        <v>294</v>
      </c>
      <c r="Y29" s="350"/>
      <c r="Z29" s="350"/>
      <c r="AA29" s="351"/>
      <c r="AB29" s="539" t="s">
        <v>294</v>
      </c>
      <c r="AC29" s="350"/>
      <c r="AD29" s="350"/>
      <c r="AE29" s="351"/>
      <c r="AF29" s="540"/>
      <c r="AG29" s="351"/>
      <c r="AH29" s="540"/>
      <c r="AI29" s="351"/>
      <c r="AJ29" s="532"/>
      <c r="AK29" s="351"/>
      <c r="AL29" s="555" t="s">
        <v>325</v>
      </c>
      <c r="AM29" s="351"/>
      <c r="AN29" s="531" t="s">
        <v>325</v>
      </c>
      <c r="AO29" s="351"/>
      <c r="AP29" s="532"/>
      <c r="AQ29" s="351"/>
      <c r="AR29" s="533"/>
      <c r="AS29" s="351"/>
      <c r="AT29" s="534"/>
      <c r="AU29" s="351"/>
      <c r="AV29" s="531" t="s">
        <v>325</v>
      </c>
      <c r="AW29" s="351"/>
      <c r="AX29" s="553"/>
      <c r="AY29" s="350"/>
      <c r="AZ29" s="351"/>
      <c r="BA29" s="545"/>
      <c r="BB29" s="351"/>
      <c r="BC29" s="36"/>
      <c r="BD29" s="556" t="s">
        <v>392</v>
      </c>
      <c r="BE29" s="351"/>
      <c r="BF29" s="529"/>
      <c r="BG29" s="350"/>
      <c r="BH29" s="350"/>
      <c r="BI29" s="351"/>
      <c r="BJ29" s="506" t="s">
        <v>294</v>
      </c>
      <c r="BK29" s="350"/>
      <c r="BL29" s="350"/>
      <c r="BM29" s="351"/>
      <c r="BN29" s="530" t="s">
        <v>294</v>
      </c>
      <c r="BO29" s="350"/>
      <c r="BP29" s="350"/>
      <c r="BQ29" s="350"/>
      <c r="BR29" s="350"/>
      <c r="BS29" s="350"/>
      <c r="BT29" s="350"/>
      <c r="BU29" s="350"/>
      <c r="BV29" s="351"/>
    </row>
    <row r="30" spans="1:74" ht="45" customHeight="1">
      <c r="A30" s="24">
        <f t="shared" si="0"/>
        <v>16</v>
      </c>
      <c r="B30" s="522" t="s">
        <v>294</v>
      </c>
      <c r="C30" s="351"/>
      <c r="D30" s="523" t="s">
        <v>298</v>
      </c>
      <c r="E30" s="351"/>
      <c r="F30" s="524" t="s">
        <v>325</v>
      </c>
      <c r="G30" s="351"/>
      <c r="H30" s="525" t="s">
        <v>325</v>
      </c>
      <c r="I30" s="351"/>
      <c r="J30" s="563"/>
      <c r="K30" s="351"/>
      <c r="L30" s="563"/>
      <c r="M30" s="351"/>
      <c r="N30" s="37"/>
      <c r="O30" s="38"/>
      <c r="P30" s="560"/>
      <c r="Q30" s="351"/>
      <c r="R30" s="527"/>
      <c r="S30" s="351"/>
      <c r="T30" s="528"/>
      <c r="U30" s="351"/>
      <c r="V30" s="541"/>
      <c r="W30" s="351"/>
      <c r="X30" s="542" t="s">
        <v>294</v>
      </c>
      <c r="Y30" s="350"/>
      <c r="Z30" s="350"/>
      <c r="AA30" s="351"/>
      <c r="AB30" s="543" t="s">
        <v>294</v>
      </c>
      <c r="AC30" s="350"/>
      <c r="AD30" s="350"/>
      <c r="AE30" s="351"/>
      <c r="AF30" s="544"/>
      <c r="AG30" s="351"/>
      <c r="AH30" s="544"/>
      <c r="AI30" s="351"/>
      <c r="AJ30" s="545"/>
      <c r="AK30" s="351"/>
      <c r="AL30" s="524" t="s">
        <v>325</v>
      </c>
      <c r="AM30" s="351"/>
      <c r="AN30" s="549" t="s">
        <v>325</v>
      </c>
      <c r="AO30" s="351"/>
      <c r="AP30" s="550"/>
      <c r="AQ30" s="351"/>
      <c r="AR30" s="551"/>
      <c r="AS30" s="351"/>
      <c r="AT30" s="534"/>
      <c r="AU30" s="351"/>
      <c r="AV30" s="549" t="s">
        <v>325</v>
      </c>
      <c r="AW30" s="351"/>
      <c r="AX30" s="553"/>
      <c r="AY30" s="350"/>
      <c r="AZ30" s="351"/>
      <c r="BA30" s="554"/>
      <c r="BB30" s="351"/>
      <c r="BC30" s="39"/>
      <c r="BD30" s="546" t="s">
        <v>325</v>
      </c>
      <c r="BE30" s="351"/>
      <c r="BF30" s="547"/>
      <c r="BG30" s="350"/>
      <c r="BH30" s="350"/>
      <c r="BI30" s="351"/>
      <c r="BJ30" s="548" t="s">
        <v>294</v>
      </c>
      <c r="BK30" s="350"/>
      <c r="BL30" s="350"/>
      <c r="BM30" s="351"/>
      <c r="BN30" s="530" t="s">
        <v>294</v>
      </c>
      <c r="BO30" s="350"/>
      <c r="BP30" s="350"/>
      <c r="BQ30" s="350"/>
      <c r="BR30" s="350"/>
      <c r="BS30" s="350"/>
      <c r="BT30" s="350"/>
      <c r="BU30" s="350"/>
      <c r="BV30" s="351"/>
    </row>
    <row r="31" spans="1:74" ht="45" customHeight="1">
      <c r="A31" s="24">
        <f t="shared" si="0"/>
        <v>17</v>
      </c>
      <c r="B31" s="558" t="s">
        <v>294</v>
      </c>
      <c r="C31" s="351"/>
      <c r="D31" s="559" t="s">
        <v>298</v>
      </c>
      <c r="E31" s="351"/>
      <c r="F31" s="524" t="s">
        <v>325</v>
      </c>
      <c r="G31" s="351"/>
      <c r="H31" s="561" t="s">
        <v>325</v>
      </c>
      <c r="I31" s="351"/>
      <c r="J31" s="562"/>
      <c r="K31" s="351"/>
      <c r="L31" s="562"/>
      <c r="M31" s="351"/>
      <c r="N31" s="34"/>
      <c r="O31" s="35"/>
      <c r="P31" s="526"/>
      <c r="Q31" s="351"/>
      <c r="R31" s="535"/>
      <c r="S31" s="351"/>
      <c r="T31" s="536"/>
      <c r="U31" s="351"/>
      <c r="V31" s="537"/>
      <c r="W31" s="351"/>
      <c r="X31" s="538" t="s">
        <v>294</v>
      </c>
      <c r="Y31" s="350"/>
      <c r="Z31" s="350"/>
      <c r="AA31" s="351"/>
      <c r="AB31" s="539" t="s">
        <v>294</v>
      </c>
      <c r="AC31" s="350"/>
      <c r="AD31" s="350"/>
      <c r="AE31" s="351"/>
      <c r="AF31" s="540"/>
      <c r="AG31" s="351"/>
      <c r="AH31" s="540"/>
      <c r="AI31" s="351"/>
      <c r="AJ31" s="532"/>
      <c r="AK31" s="351"/>
      <c r="AL31" s="555" t="s">
        <v>325</v>
      </c>
      <c r="AM31" s="351"/>
      <c r="AN31" s="531" t="s">
        <v>325</v>
      </c>
      <c r="AO31" s="351"/>
      <c r="AP31" s="532"/>
      <c r="AQ31" s="351"/>
      <c r="AR31" s="533"/>
      <c r="AS31" s="351"/>
      <c r="AT31" s="534"/>
      <c r="AU31" s="351"/>
      <c r="AV31" s="531" t="s">
        <v>325</v>
      </c>
      <c r="AW31" s="351"/>
      <c r="AX31" s="553"/>
      <c r="AY31" s="350"/>
      <c r="AZ31" s="351"/>
      <c r="BA31" s="545"/>
      <c r="BB31" s="351"/>
      <c r="BC31" s="36"/>
      <c r="BD31" s="556" t="s">
        <v>392</v>
      </c>
      <c r="BE31" s="351"/>
      <c r="BF31" s="557"/>
      <c r="BG31" s="350"/>
      <c r="BH31" s="350"/>
      <c r="BI31" s="351"/>
      <c r="BJ31" s="506" t="s">
        <v>294</v>
      </c>
      <c r="BK31" s="350"/>
      <c r="BL31" s="350"/>
      <c r="BM31" s="351"/>
      <c r="BN31" s="530" t="s">
        <v>294</v>
      </c>
      <c r="BO31" s="350"/>
      <c r="BP31" s="350"/>
      <c r="BQ31" s="350"/>
      <c r="BR31" s="350"/>
      <c r="BS31" s="350"/>
      <c r="BT31" s="350"/>
      <c r="BU31" s="350"/>
      <c r="BV31" s="351"/>
    </row>
    <row r="32" spans="1:74" ht="45" customHeight="1">
      <c r="A32" s="24">
        <f t="shared" si="0"/>
        <v>18</v>
      </c>
      <c r="B32" s="522" t="s">
        <v>294</v>
      </c>
      <c r="C32" s="351"/>
      <c r="D32" s="523" t="s">
        <v>298</v>
      </c>
      <c r="E32" s="351"/>
      <c r="F32" s="524" t="s">
        <v>325</v>
      </c>
      <c r="G32" s="351"/>
      <c r="H32" s="525" t="s">
        <v>325</v>
      </c>
      <c r="I32" s="351"/>
      <c r="J32" s="563"/>
      <c r="K32" s="351"/>
      <c r="L32" s="563"/>
      <c r="M32" s="351"/>
      <c r="N32" s="37"/>
      <c r="O32" s="38"/>
      <c r="P32" s="560"/>
      <c r="Q32" s="351"/>
      <c r="R32" s="527"/>
      <c r="S32" s="351"/>
      <c r="T32" s="528"/>
      <c r="U32" s="351"/>
      <c r="V32" s="541"/>
      <c r="W32" s="351"/>
      <c r="X32" s="542" t="s">
        <v>294</v>
      </c>
      <c r="Y32" s="350"/>
      <c r="Z32" s="350"/>
      <c r="AA32" s="351"/>
      <c r="AB32" s="543" t="s">
        <v>294</v>
      </c>
      <c r="AC32" s="350"/>
      <c r="AD32" s="350"/>
      <c r="AE32" s="351"/>
      <c r="AF32" s="544"/>
      <c r="AG32" s="351"/>
      <c r="AH32" s="544"/>
      <c r="AI32" s="351"/>
      <c r="AJ32" s="545"/>
      <c r="AK32" s="351"/>
      <c r="AL32" s="524" t="s">
        <v>325</v>
      </c>
      <c r="AM32" s="351"/>
      <c r="AN32" s="549" t="s">
        <v>325</v>
      </c>
      <c r="AO32" s="351"/>
      <c r="AP32" s="550"/>
      <c r="AQ32" s="351"/>
      <c r="AR32" s="551"/>
      <c r="AS32" s="351"/>
      <c r="AT32" s="534"/>
      <c r="AU32" s="351"/>
      <c r="AV32" s="549" t="s">
        <v>325</v>
      </c>
      <c r="AW32" s="351"/>
      <c r="AX32" s="553"/>
      <c r="AY32" s="350"/>
      <c r="AZ32" s="351"/>
      <c r="BA32" s="554"/>
      <c r="BB32" s="351"/>
      <c r="BC32" s="39"/>
      <c r="BD32" s="546" t="s">
        <v>325</v>
      </c>
      <c r="BE32" s="351"/>
      <c r="BF32" s="547"/>
      <c r="BG32" s="350"/>
      <c r="BH32" s="350"/>
      <c r="BI32" s="351"/>
      <c r="BJ32" s="548" t="s">
        <v>294</v>
      </c>
      <c r="BK32" s="350"/>
      <c r="BL32" s="350"/>
      <c r="BM32" s="351"/>
      <c r="BN32" s="530" t="s">
        <v>294</v>
      </c>
      <c r="BO32" s="350"/>
      <c r="BP32" s="350"/>
      <c r="BQ32" s="350"/>
      <c r="BR32" s="350"/>
      <c r="BS32" s="350"/>
      <c r="BT32" s="350"/>
      <c r="BU32" s="350"/>
      <c r="BV32" s="351"/>
    </row>
    <row r="33" spans="1:74" ht="45" customHeight="1">
      <c r="A33" s="24">
        <f t="shared" si="0"/>
        <v>19</v>
      </c>
      <c r="B33" s="558" t="s">
        <v>294</v>
      </c>
      <c r="C33" s="351"/>
      <c r="D33" s="559" t="s">
        <v>298</v>
      </c>
      <c r="E33" s="351"/>
      <c r="F33" s="524" t="s">
        <v>325</v>
      </c>
      <c r="G33" s="351"/>
      <c r="H33" s="561" t="s">
        <v>325</v>
      </c>
      <c r="I33" s="351"/>
      <c r="J33" s="562"/>
      <c r="K33" s="351"/>
      <c r="L33" s="562"/>
      <c r="M33" s="351"/>
      <c r="N33" s="34"/>
      <c r="O33" s="35"/>
      <c r="P33" s="526"/>
      <c r="Q33" s="351"/>
      <c r="R33" s="535"/>
      <c r="S33" s="351"/>
      <c r="T33" s="536"/>
      <c r="U33" s="351"/>
      <c r="V33" s="537"/>
      <c r="W33" s="351"/>
      <c r="X33" s="538" t="s">
        <v>294</v>
      </c>
      <c r="Y33" s="350"/>
      <c r="Z33" s="350"/>
      <c r="AA33" s="351"/>
      <c r="AB33" s="539" t="s">
        <v>294</v>
      </c>
      <c r="AC33" s="350"/>
      <c r="AD33" s="350"/>
      <c r="AE33" s="351"/>
      <c r="AF33" s="540"/>
      <c r="AG33" s="351"/>
      <c r="AH33" s="540"/>
      <c r="AI33" s="351"/>
      <c r="AJ33" s="532"/>
      <c r="AK33" s="351"/>
      <c r="AL33" s="555" t="s">
        <v>325</v>
      </c>
      <c r="AM33" s="351"/>
      <c r="AN33" s="531" t="s">
        <v>325</v>
      </c>
      <c r="AO33" s="351"/>
      <c r="AP33" s="532"/>
      <c r="AQ33" s="351"/>
      <c r="AR33" s="533"/>
      <c r="AS33" s="351"/>
      <c r="AT33" s="534"/>
      <c r="AU33" s="351"/>
      <c r="AV33" s="531" t="s">
        <v>325</v>
      </c>
      <c r="AW33" s="351"/>
      <c r="AX33" s="553"/>
      <c r="AY33" s="350"/>
      <c r="AZ33" s="351"/>
      <c r="BA33" s="545"/>
      <c r="BB33" s="351"/>
      <c r="BC33" s="36"/>
      <c r="BD33" s="556" t="s">
        <v>392</v>
      </c>
      <c r="BE33" s="351"/>
      <c r="BF33" s="529"/>
      <c r="BG33" s="350"/>
      <c r="BH33" s="350"/>
      <c r="BI33" s="351"/>
      <c r="BJ33" s="506" t="s">
        <v>294</v>
      </c>
      <c r="BK33" s="350"/>
      <c r="BL33" s="350"/>
      <c r="BM33" s="351"/>
      <c r="BN33" s="530" t="s">
        <v>294</v>
      </c>
      <c r="BO33" s="350"/>
      <c r="BP33" s="350"/>
      <c r="BQ33" s="350"/>
      <c r="BR33" s="350"/>
      <c r="BS33" s="350"/>
      <c r="BT33" s="350"/>
      <c r="BU33" s="350"/>
      <c r="BV33" s="351"/>
    </row>
    <row r="34" spans="1:74" ht="45" customHeight="1">
      <c r="A34" s="24">
        <f t="shared" si="0"/>
        <v>20</v>
      </c>
      <c r="B34" s="522" t="s">
        <v>294</v>
      </c>
      <c r="C34" s="351"/>
      <c r="D34" s="523" t="s">
        <v>298</v>
      </c>
      <c r="E34" s="351"/>
      <c r="F34" s="524" t="s">
        <v>325</v>
      </c>
      <c r="G34" s="351"/>
      <c r="H34" s="525" t="s">
        <v>325</v>
      </c>
      <c r="I34" s="351"/>
      <c r="J34" s="563"/>
      <c r="K34" s="351"/>
      <c r="L34" s="563"/>
      <c r="M34" s="351"/>
      <c r="N34" s="37"/>
      <c r="O34" s="38"/>
      <c r="P34" s="560"/>
      <c r="Q34" s="351"/>
      <c r="R34" s="527"/>
      <c r="S34" s="351"/>
      <c r="T34" s="528"/>
      <c r="U34" s="351"/>
      <c r="V34" s="541"/>
      <c r="W34" s="351"/>
      <c r="X34" s="542" t="s">
        <v>294</v>
      </c>
      <c r="Y34" s="350"/>
      <c r="Z34" s="350"/>
      <c r="AA34" s="351"/>
      <c r="AB34" s="543" t="s">
        <v>294</v>
      </c>
      <c r="AC34" s="350"/>
      <c r="AD34" s="350"/>
      <c r="AE34" s="351"/>
      <c r="AF34" s="544"/>
      <c r="AG34" s="351"/>
      <c r="AH34" s="544"/>
      <c r="AI34" s="351"/>
      <c r="AJ34" s="545"/>
      <c r="AK34" s="351"/>
      <c r="AL34" s="524" t="s">
        <v>325</v>
      </c>
      <c r="AM34" s="351"/>
      <c r="AN34" s="549" t="s">
        <v>325</v>
      </c>
      <c r="AO34" s="351"/>
      <c r="AP34" s="550"/>
      <c r="AQ34" s="351"/>
      <c r="AR34" s="551"/>
      <c r="AS34" s="351"/>
      <c r="AT34" s="534"/>
      <c r="AU34" s="351"/>
      <c r="AV34" s="549" t="s">
        <v>325</v>
      </c>
      <c r="AW34" s="351"/>
      <c r="AX34" s="553"/>
      <c r="AY34" s="350"/>
      <c r="AZ34" s="351"/>
      <c r="BA34" s="554"/>
      <c r="BB34" s="351"/>
      <c r="BC34" s="39"/>
      <c r="BD34" s="546" t="s">
        <v>325</v>
      </c>
      <c r="BE34" s="351"/>
      <c r="BF34" s="547"/>
      <c r="BG34" s="350"/>
      <c r="BH34" s="350"/>
      <c r="BI34" s="351"/>
      <c r="BJ34" s="548" t="s">
        <v>294</v>
      </c>
      <c r="BK34" s="350"/>
      <c r="BL34" s="350"/>
      <c r="BM34" s="351"/>
      <c r="BN34" s="530" t="s">
        <v>294</v>
      </c>
      <c r="BO34" s="350"/>
      <c r="BP34" s="350"/>
      <c r="BQ34" s="350"/>
      <c r="BR34" s="350"/>
      <c r="BS34" s="350"/>
      <c r="BT34" s="350"/>
      <c r="BU34" s="350"/>
      <c r="BV34" s="351"/>
    </row>
    <row r="35" spans="1:74" ht="45" customHeight="1">
      <c r="A35" s="24">
        <f t="shared" si="0"/>
        <v>21</v>
      </c>
      <c r="B35" s="558" t="s">
        <v>294</v>
      </c>
      <c r="C35" s="351"/>
      <c r="D35" s="559" t="s">
        <v>298</v>
      </c>
      <c r="E35" s="351"/>
      <c r="F35" s="524" t="s">
        <v>325</v>
      </c>
      <c r="G35" s="351"/>
      <c r="H35" s="561" t="s">
        <v>325</v>
      </c>
      <c r="I35" s="351"/>
      <c r="J35" s="562"/>
      <c r="K35" s="351"/>
      <c r="L35" s="562"/>
      <c r="M35" s="351"/>
      <c r="N35" s="34"/>
      <c r="O35" s="35"/>
      <c r="P35" s="526"/>
      <c r="Q35" s="351"/>
      <c r="R35" s="535"/>
      <c r="S35" s="351"/>
      <c r="T35" s="536"/>
      <c r="U35" s="351"/>
      <c r="V35" s="537"/>
      <c r="W35" s="351"/>
      <c r="X35" s="538" t="s">
        <v>294</v>
      </c>
      <c r="Y35" s="350"/>
      <c r="Z35" s="350"/>
      <c r="AA35" s="351"/>
      <c r="AB35" s="539" t="s">
        <v>294</v>
      </c>
      <c r="AC35" s="350"/>
      <c r="AD35" s="350"/>
      <c r="AE35" s="351"/>
      <c r="AF35" s="540"/>
      <c r="AG35" s="351"/>
      <c r="AH35" s="540"/>
      <c r="AI35" s="351"/>
      <c r="AJ35" s="532"/>
      <c r="AK35" s="351"/>
      <c r="AL35" s="555" t="s">
        <v>325</v>
      </c>
      <c r="AM35" s="351"/>
      <c r="AN35" s="531" t="s">
        <v>325</v>
      </c>
      <c r="AO35" s="351"/>
      <c r="AP35" s="532"/>
      <c r="AQ35" s="351"/>
      <c r="AR35" s="533"/>
      <c r="AS35" s="351"/>
      <c r="AT35" s="534"/>
      <c r="AU35" s="351"/>
      <c r="AV35" s="531" t="s">
        <v>325</v>
      </c>
      <c r="AW35" s="351"/>
      <c r="AX35" s="553"/>
      <c r="AY35" s="350"/>
      <c r="AZ35" s="351"/>
      <c r="BA35" s="545"/>
      <c r="BB35" s="351"/>
      <c r="BC35" s="36"/>
      <c r="BD35" s="556" t="s">
        <v>392</v>
      </c>
      <c r="BE35" s="351"/>
      <c r="BF35" s="529"/>
      <c r="BG35" s="350"/>
      <c r="BH35" s="350"/>
      <c r="BI35" s="351"/>
      <c r="BJ35" s="506" t="s">
        <v>294</v>
      </c>
      <c r="BK35" s="350"/>
      <c r="BL35" s="350"/>
      <c r="BM35" s="351"/>
      <c r="BN35" s="530" t="s">
        <v>294</v>
      </c>
      <c r="BO35" s="350"/>
      <c r="BP35" s="350"/>
      <c r="BQ35" s="350"/>
      <c r="BR35" s="350"/>
      <c r="BS35" s="350"/>
      <c r="BT35" s="350"/>
      <c r="BU35" s="350"/>
      <c r="BV35" s="351"/>
    </row>
    <row r="36" spans="1:74" ht="45" customHeight="1">
      <c r="A36" s="24">
        <f t="shared" si="0"/>
        <v>22</v>
      </c>
      <c r="B36" s="522" t="s">
        <v>294</v>
      </c>
      <c r="C36" s="351"/>
      <c r="D36" s="523" t="s">
        <v>298</v>
      </c>
      <c r="E36" s="351"/>
      <c r="F36" s="524" t="s">
        <v>325</v>
      </c>
      <c r="G36" s="351"/>
      <c r="H36" s="525" t="s">
        <v>325</v>
      </c>
      <c r="I36" s="351"/>
      <c r="J36" s="563"/>
      <c r="K36" s="351"/>
      <c r="L36" s="563"/>
      <c r="M36" s="351"/>
      <c r="N36" s="37"/>
      <c r="O36" s="38"/>
      <c r="P36" s="560"/>
      <c r="Q36" s="351"/>
      <c r="R36" s="527"/>
      <c r="S36" s="351"/>
      <c r="T36" s="528"/>
      <c r="U36" s="351"/>
      <c r="V36" s="541"/>
      <c r="W36" s="351"/>
      <c r="X36" s="542" t="s">
        <v>294</v>
      </c>
      <c r="Y36" s="350"/>
      <c r="Z36" s="350"/>
      <c r="AA36" s="351"/>
      <c r="AB36" s="543" t="s">
        <v>294</v>
      </c>
      <c r="AC36" s="350"/>
      <c r="AD36" s="350"/>
      <c r="AE36" s="351"/>
      <c r="AF36" s="544"/>
      <c r="AG36" s="351"/>
      <c r="AH36" s="544"/>
      <c r="AI36" s="351"/>
      <c r="AJ36" s="545"/>
      <c r="AK36" s="351"/>
      <c r="AL36" s="524" t="s">
        <v>325</v>
      </c>
      <c r="AM36" s="351"/>
      <c r="AN36" s="549" t="s">
        <v>325</v>
      </c>
      <c r="AO36" s="351"/>
      <c r="AP36" s="550"/>
      <c r="AQ36" s="351"/>
      <c r="AR36" s="551"/>
      <c r="AS36" s="351"/>
      <c r="AT36" s="534"/>
      <c r="AU36" s="351"/>
      <c r="AV36" s="549" t="s">
        <v>325</v>
      </c>
      <c r="AW36" s="351"/>
      <c r="AX36" s="553"/>
      <c r="AY36" s="350"/>
      <c r="AZ36" s="351"/>
      <c r="BA36" s="554"/>
      <c r="BB36" s="351"/>
      <c r="BC36" s="39"/>
      <c r="BD36" s="546" t="s">
        <v>325</v>
      </c>
      <c r="BE36" s="351"/>
      <c r="BF36" s="547"/>
      <c r="BG36" s="350"/>
      <c r="BH36" s="350"/>
      <c r="BI36" s="351"/>
      <c r="BJ36" s="548" t="s">
        <v>294</v>
      </c>
      <c r="BK36" s="350"/>
      <c r="BL36" s="350"/>
      <c r="BM36" s="351"/>
      <c r="BN36" s="530" t="s">
        <v>294</v>
      </c>
      <c r="BO36" s="350"/>
      <c r="BP36" s="350"/>
      <c r="BQ36" s="350"/>
      <c r="BR36" s="350"/>
      <c r="BS36" s="350"/>
      <c r="BT36" s="350"/>
      <c r="BU36" s="350"/>
      <c r="BV36" s="351"/>
    </row>
    <row r="37" spans="1:74" ht="45" customHeight="1">
      <c r="A37" s="24">
        <f t="shared" si="0"/>
        <v>23</v>
      </c>
      <c r="B37" s="558" t="s">
        <v>294</v>
      </c>
      <c r="C37" s="351"/>
      <c r="D37" s="559" t="s">
        <v>298</v>
      </c>
      <c r="E37" s="351"/>
      <c r="F37" s="524" t="s">
        <v>325</v>
      </c>
      <c r="G37" s="351"/>
      <c r="H37" s="561" t="s">
        <v>325</v>
      </c>
      <c r="I37" s="351"/>
      <c r="J37" s="562"/>
      <c r="K37" s="351"/>
      <c r="L37" s="562"/>
      <c r="M37" s="351"/>
      <c r="N37" s="34"/>
      <c r="O37" s="35"/>
      <c r="P37" s="526"/>
      <c r="Q37" s="351"/>
      <c r="R37" s="535"/>
      <c r="S37" s="351"/>
      <c r="T37" s="536"/>
      <c r="U37" s="351"/>
      <c r="V37" s="537"/>
      <c r="W37" s="351"/>
      <c r="X37" s="538" t="s">
        <v>294</v>
      </c>
      <c r="Y37" s="350"/>
      <c r="Z37" s="350"/>
      <c r="AA37" s="351"/>
      <c r="AB37" s="539" t="s">
        <v>294</v>
      </c>
      <c r="AC37" s="350"/>
      <c r="AD37" s="350"/>
      <c r="AE37" s="351"/>
      <c r="AF37" s="540"/>
      <c r="AG37" s="351"/>
      <c r="AH37" s="540"/>
      <c r="AI37" s="351"/>
      <c r="AJ37" s="532"/>
      <c r="AK37" s="351"/>
      <c r="AL37" s="555" t="s">
        <v>325</v>
      </c>
      <c r="AM37" s="351"/>
      <c r="AN37" s="531" t="s">
        <v>325</v>
      </c>
      <c r="AO37" s="351"/>
      <c r="AP37" s="532"/>
      <c r="AQ37" s="351"/>
      <c r="AR37" s="533"/>
      <c r="AS37" s="351"/>
      <c r="AT37" s="534"/>
      <c r="AU37" s="351"/>
      <c r="AV37" s="531" t="s">
        <v>325</v>
      </c>
      <c r="AW37" s="351"/>
      <c r="AX37" s="553"/>
      <c r="AY37" s="350"/>
      <c r="AZ37" s="351"/>
      <c r="BA37" s="545"/>
      <c r="BB37" s="351"/>
      <c r="BC37" s="36"/>
      <c r="BD37" s="556" t="s">
        <v>392</v>
      </c>
      <c r="BE37" s="351"/>
      <c r="BF37" s="557"/>
      <c r="BG37" s="350"/>
      <c r="BH37" s="350"/>
      <c r="BI37" s="351"/>
      <c r="BJ37" s="506" t="s">
        <v>294</v>
      </c>
      <c r="BK37" s="350"/>
      <c r="BL37" s="350"/>
      <c r="BM37" s="351"/>
      <c r="BN37" s="530" t="s">
        <v>294</v>
      </c>
      <c r="BO37" s="350"/>
      <c r="BP37" s="350"/>
      <c r="BQ37" s="350"/>
      <c r="BR37" s="350"/>
      <c r="BS37" s="350"/>
      <c r="BT37" s="350"/>
      <c r="BU37" s="350"/>
      <c r="BV37" s="351"/>
    </row>
    <row r="38" spans="1:74" ht="45" customHeight="1">
      <c r="A38" s="24">
        <f t="shared" si="0"/>
        <v>24</v>
      </c>
      <c r="B38" s="522" t="s">
        <v>294</v>
      </c>
      <c r="C38" s="351"/>
      <c r="D38" s="523" t="s">
        <v>298</v>
      </c>
      <c r="E38" s="351"/>
      <c r="F38" s="524" t="s">
        <v>325</v>
      </c>
      <c r="G38" s="351"/>
      <c r="H38" s="525" t="s">
        <v>325</v>
      </c>
      <c r="I38" s="351"/>
      <c r="J38" s="563"/>
      <c r="K38" s="351"/>
      <c r="L38" s="563"/>
      <c r="M38" s="351"/>
      <c r="N38" s="37"/>
      <c r="O38" s="38"/>
      <c r="P38" s="560"/>
      <c r="Q38" s="351"/>
      <c r="R38" s="527"/>
      <c r="S38" s="351"/>
      <c r="T38" s="528"/>
      <c r="U38" s="351"/>
      <c r="V38" s="541"/>
      <c r="W38" s="351"/>
      <c r="X38" s="542" t="s">
        <v>294</v>
      </c>
      <c r="Y38" s="350"/>
      <c r="Z38" s="350"/>
      <c r="AA38" s="351"/>
      <c r="AB38" s="543" t="s">
        <v>294</v>
      </c>
      <c r="AC38" s="350"/>
      <c r="AD38" s="350"/>
      <c r="AE38" s="351"/>
      <c r="AF38" s="544"/>
      <c r="AG38" s="351"/>
      <c r="AH38" s="544"/>
      <c r="AI38" s="351"/>
      <c r="AJ38" s="545"/>
      <c r="AK38" s="351"/>
      <c r="AL38" s="524" t="s">
        <v>325</v>
      </c>
      <c r="AM38" s="351"/>
      <c r="AN38" s="549" t="s">
        <v>325</v>
      </c>
      <c r="AO38" s="351"/>
      <c r="AP38" s="550"/>
      <c r="AQ38" s="351"/>
      <c r="AR38" s="551"/>
      <c r="AS38" s="351"/>
      <c r="AT38" s="534"/>
      <c r="AU38" s="351"/>
      <c r="AV38" s="549" t="s">
        <v>325</v>
      </c>
      <c r="AW38" s="351"/>
      <c r="AX38" s="553"/>
      <c r="AY38" s="350"/>
      <c r="AZ38" s="351"/>
      <c r="BA38" s="554"/>
      <c r="BB38" s="351"/>
      <c r="BC38" s="39"/>
      <c r="BD38" s="546" t="s">
        <v>325</v>
      </c>
      <c r="BE38" s="351"/>
      <c r="BF38" s="547"/>
      <c r="BG38" s="350"/>
      <c r="BH38" s="350"/>
      <c r="BI38" s="351"/>
      <c r="BJ38" s="548" t="s">
        <v>294</v>
      </c>
      <c r="BK38" s="350"/>
      <c r="BL38" s="350"/>
      <c r="BM38" s="351"/>
      <c r="BN38" s="530" t="s">
        <v>294</v>
      </c>
      <c r="BO38" s="350"/>
      <c r="BP38" s="350"/>
      <c r="BQ38" s="350"/>
      <c r="BR38" s="350"/>
      <c r="BS38" s="350"/>
      <c r="BT38" s="350"/>
      <c r="BU38" s="350"/>
      <c r="BV38" s="351"/>
    </row>
    <row r="39" spans="1:74" ht="45" customHeight="1">
      <c r="A39" s="24">
        <f t="shared" si="0"/>
        <v>25</v>
      </c>
      <c r="B39" s="558" t="s">
        <v>294</v>
      </c>
      <c r="C39" s="351"/>
      <c r="D39" s="559" t="s">
        <v>298</v>
      </c>
      <c r="E39" s="351"/>
      <c r="F39" s="524" t="s">
        <v>325</v>
      </c>
      <c r="G39" s="351"/>
      <c r="H39" s="561" t="s">
        <v>325</v>
      </c>
      <c r="I39" s="351"/>
      <c r="J39" s="562"/>
      <c r="K39" s="351"/>
      <c r="L39" s="562"/>
      <c r="M39" s="351"/>
      <c r="N39" s="34"/>
      <c r="O39" s="35"/>
      <c r="P39" s="526"/>
      <c r="Q39" s="351"/>
      <c r="R39" s="535"/>
      <c r="S39" s="351"/>
      <c r="T39" s="536"/>
      <c r="U39" s="351"/>
      <c r="V39" s="537"/>
      <c r="W39" s="351"/>
      <c r="X39" s="538" t="s">
        <v>294</v>
      </c>
      <c r="Y39" s="350"/>
      <c r="Z39" s="350"/>
      <c r="AA39" s="351"/>
      <c r="AB39" s="539" t="s">
        <v>294</v>
      </c>
      <c r="AC39" s="350"/>
      <c r="AD39" s="350"/>
      <c r="AE39" s="351"/>
      <c r="AF39" s="540"/>
      <c r="AG39" s="351"/>
      <c r="AH39" s="540"/>
      <c r="AI39" s="351"/>
      <c r="AJ39" s="532"/>
      <c r="AK39" s="351"/>
      <c r="AL39" s="555" t="s">
        <v>325</v>
      </c>
      <c r="AM39" s="351"/>
      <c r="AN39" s="531" t="s">
        <v>325</v>
      </c>
      <c r="AO39" s="351"/>
      <c r="AP39" s="532"/>
      <c r="AQ39" s="351"/>
      <c r="AR39" s="533"/>
      <c r="AS39" s="351"/>
      <c r="AT39" s="534"/>
      <c r="AU39" s="351"/>
      <c r="AV39" s="531" t="s">
        <v>325</v>
      </c>
      <c r="AW39" s="351"/>
      <c r="AX39" s="553"/>
      <c r="AY39" s="350"/>
      <c r="AZ39" s="351"/>
      <c r="BA39" s="545"/>
      <c r="BB39" s="351"/>
      <c r="BC39" s="36"/>
      <c r="BD39" s="556" t="s">
        <v>392</v>
      </c>
      <c r="BE39" s="351"/>
      <c r="BF39" s="529"/>
      <c r="BG39" s="350"/>
      <c r="BH39" s="350"/>
      <c r="BI39" s="351"/>
      <c r="BJ39" s="506" t="s">
        <v>294</v>
      </c>
      <c r="BK39" s="350"/>
      <c r="BL39" s="350"/>
      <c r="BM39" s="351"/>
      <c r="BN39" s="530" t="s">
        <v>294</v>
      </c>
      <c r="BO39" s="350"/>
      <c r="BP39" s="350"/>
      <c r="BQ39" s="350"/>
      <c r="BR39" s="350"/>
      <c r="BS39" s="350"/>
      <c r="BT39" s="350"/>
      <c r="BU39" s="350"/>
      <c r="BV39" s="351"/>
    </row>
    <row r="40" spans="1:74" ht="45" customHeight="1">
      <c r="A40" s="24">
        <f t="shared" si="0"/>
        <v>26</v>
      </c>
      <c r="B40" s="522" t="s">
        <v>294</v>
      </c>
      <c r="C40" s="351"/>
      <c r="D40" s="523" t="s">
        <v>298</v>
      </c>
      <c r="E40" s="351"/>
      <c r="F40" s="524" t="s">
        <v>325</v>
      </c>
      <c r="G40" s="351"/>
      <c r="H40" s="525" t="s">
        <v>325</v>
      </c>
      <c r="I40" s="351"/>
      <c r="J40" s="563"/>
      <c r="K40" s="351"/>
      <c r="L40" s="563"/>
      <c r="M40" s="351"/>
      <c r="N40" s="37"/>
      <c r="O40" s="38"/>
      <c r="P40" s="560"/>
      <c r="Q40" s="351"/>
      <c r="R40" s="527"/>
      <c r="S40" s="351"/>
      <c r="T40" s="528"/>
      <c r="U40" s="351"/>
      <c r="V40" s="541"/>
      <c r="W40" s="351"/>
      <c r="X40" s="542" t="s">
        <v>294</v>
      </c>
      <c r="Y40" s="350"/>
      <c r="Z40" s="350"/>
      <c r="AA40" s="351"/>
      <c r="AB40" s="543" t="s">
        <v>294</v>
      </c>
      <c r="AC40" s="350"/>
      <c r="AD40" s="350"/>
      <c r="AE40" s="351"/>
      <c r="AF40" s="544"/>
      <c r="AG40" s="351"/>
      <c r="AH40" s="544"/>
      <c r="AI40" s="351"/>
      <c r="AJ40" s="545"/>
      <c r="AK40" s="351"/>
      <c r="AL40" s="524" t="s">
        <v>325</v>
      </c>
      <c r="AM40" s="351"/>
      <c r="AN40" s="549" t="s">
        <v>325</v>
      </c>
      <c r="AO40" s="351"/>
      <c r="AP40" s="550"/>
      <c r="AQ40" s="351"/>
      <c r="AR40" s="551"/>
      <c r="AS40" s="351"/>
      <c r="AT40" s="534"/>
      <c r="AU40" s="351"/>
      <c r="AV40" s="549" t="s">
        <v>325</v>
      </c>
      <c r="AW40" s="351"/>
      <c r="AX40" s="553"/>
      <c r="AY40" s="350"/>
      <c r="AZ40" s="351"/>
      <c r="BA40" s="554"/>
      <c r="BB40" s="351"/>
      <c r="BC40" s="39"/>
      <c r="BD40" s="546" t="s">
        <v>325</v>
      </c>
      <c r="BE40" s="351"/>
      <c r="BF40" s="547"/>
      <c r="BG40" s="350"/>
      <c r="BH40" s="350"/>
      <c r="BI40" s="351"/>
      <c r="BJ40" s="548" t="s">
        <v>294</v>
      </c>
      <c r="BK40" s="350"/>
      <c r="BL40" s="350"/>
      <c r="BM40" s="351"/>
      <c r="BN40" s="530" t="s">
        <v>294</v>
      </c>
      <c r="BO40" s="350"/>
      <c r="BP40" s="350"/>
      <c r="BQ40" s="350"/>
      <c r="BR40" s="350"/>
      <c r="BS40" s="350"/>
      <c r="BT40" s="350"/>
      <c r="BU40" s="350"/>
      <c r="BV40" s="351"/>
    </row>
    <row r="41" spans="1:74" ht="45" customHeight="1">
      <c r="A41" s="24">
        <f t="shared" si="0"/>
        <v>27</v>
      </c>
      <c r="B41" s="558" t="s">
        <v>294</v>
      </c>
      <c r="C41" s="351"/>
      <c r="D41" s="559" t="s">
        <v>298</v>
      </c>
      <c r="E41" s="351"/>
      <c r="F41" s="524" t="s">
        <v>325</v>
      </c>
      <c r="G41" s="351"/>
      <c r="H41" s="561" t="s">
        <v>325</v>
      </c>
      <c r="I41" s="351"/>
      <c r="J41" s="562"/>
      <c r="K41" s="351"/>
      <c r="L41" s="562"/>
      <c r="M41" s="351"/>
      <c r="N41" s="34"/>
      <c r="O41" s="35"/>
      <c r="P41" s="526"/>
      <c r="Q41" s="351"/>
      <c r="R41" s="535"/>
      <c r="S41" s="351"/>
      <c r="T41" s="536"/>
      <c r="U41" s="351"/>
      <c r="V41" s="537"/>
      <c r="W41" s="351"/>
      <c r="X41" s="538" t="s">
        <v>294</v>
      </c>
      <c r="Y41" s="350"/>
      <c r="Z41" s="350"/>
      <c r="AA41" s="351"/>
      <c r="AB41" s="539" t="s">
        <v>294</v>
      </c>
      <c r="AC41" s="350"/>
      <c r="AD41" s="350"/>
      <c r="AE41" s="351"/>
      <c r="AF41" s="540"/>
      <c r="AG41" s="351"/>
      <c r="AH41" s="540"/>
      <c r="AI41" s="351"/>
      <c r="AJ41" s="532"/>
      <c r="AK41" s="351"/>
      <c r="AL41" s="555" t="s">
        <v>325</v>
      </c>
      <c r="AM41" s="351"/>
      <c r="AN41" s="531" t="s">
        <v>325</v>
      </c>
      <c r="AO41" s="351"/>
      <c r="AP41" s="532"/>
      <c r="AQ41" s="351"/>
      <c r="AR41" s="533"/>
      <c r="AS41" s="351"/>
      <c r="AT41" s="534"/>
      <c r="AU41" s="351"/>
      <c r="AV41" s="531" t="s">
        <v>325</v>
      </c>
      <c r="AW41" s="351"/>
      <c r="AX41" s="553"/>
      <c r="AY41" s="350"/>
      <c r="AZ41" s="351"/>
      <c r="BA41" s="545"/>
      <c r="BB41" s="351"/>
      <c r="BC41" s="36"/>
      <c r="BD41" s="556" t="s">
        <v>392</v>
      </c>
      <c r="BE41" s="351"/>
      <c r="BF41" s="557"/>
      <c r="BG41" s="350"/>
      <c r="BH41" s="350"/>
      <c r="BI41" s="351"/>
      <c r="BJ41" s="506" t="s">
        <v>294</v>
      </c>
      <c r="BK41" s="350"/>
      <c r="BL41" s="350"/>
      <c r="BM41" s="351"/>
      <c r="BN41" s="530" t="s">
        <v>294</v>
      </c>
      <c r="BO41" s="350"/>
      <c r="BP41" s="350"/>
      <c r="BQ41" s="350"/>
      <c r="BR41" s="350"/>
      <c r="BS41" s="350"/>
      <c r="BT41" s="350"/>
      <c r="BU41" s="350"/>
      <c r="BV41" s="351"/>
    </row>
    <row r="42" spans="1:74" ht="45" customHeight="1">
      <c r="A42" s="24">
        <f t="shared" si="0"/>
        <v>28</v>
      </c>
      <c r="B42" s="522" t="s">
        <v>294</v>
      </c>
      <c r="C42" s="351"/>
      <c r="D42" s="523" t="s">
        <v>298</v>
      </c>
      <c r="E42" s="351"/>
      <c r="F42" s="524" t="s">
        <v>325</v>
      </c>
      <c r="G42" s="351"/>
      <c r="H42" s="525" t="s">
        <v>325</v>
      </c>
      <c r="I42" s="351"/>
      <c r="J42" s="563"/>
      <c r="K42" s="351"/>
      <c r="L42" s="563"/>
      <c r="M42" s="351"/>
      <c r="N42" s="37"/>
      <c r="O42" s="38"/>
      <c r="P42" s="560"/>
      <c r="Q42" s="351"/>
      <c r="R42" s="527"/>
      <c r="S42" s="351"/>
      <c r="T42" s="528"/>
      <c r="U42" s="351"/>
      <c r="V42" s="541"/>
      <c r="W42" s="351"/>
      <c r="X42" s="542" t="s">
        <v>294</v>
      </c>
      <c r="Y42" s="350"/>
      <c r="Z42" s="350"/>
      <c r="AA42" s="351"/>
      <c r="AB42" s="543" t="s">
        <v>294</v>
      </c>
      <c r="AC42" s="350"/>
      <c r="AD42" s="350"/>
      <c r="AE42" s="351"/>
      <c r="AF42" s="544"/>
      <c r="AG42" s="351"/>
      <c r="AH42" s="544"/>
      <c r="AI42" s="351"/>
      <c r="AJ42" s="545"/>
      <c r="AK42" s="351"/>
      <c r="AL42" s="524" t="s">
        <v>325</v>
      </c>
      <c r="AM42" s="351"/>
      <c r="AN42" s="549" t="s">
        <v>325</v>
      </c>
      <c r="AO42" s="351"/>
      <c r="AP42" s="550"/>
      <c r="AQ42" s="351"/>
      <c r="AR42" s="551"/>
      <c r="AS42" s="351"/>
      <c r="AT42" s="534"/>
      <c r="AU42" s="351"/>
      <c r="AV42" s="549" t="s">
        <v>325</v>
      </c>
      <c r="AW42" s="351"/>
      <c r="AX42" s="553"/>
      <c r="AY42" s="350"/>
      <c r="AZ42" s="351"/>
      <c r="BA42" s="554"/>
      <c r="BB42" s="351"/>
      <c r="BC42" s="39"/>
      <c r="BD42" s="546" t="s">
        <v>325</v>
      </c>
      <c r="BE42" s="351"/>
      <c r="BF42" s="547"/>
      <c r="BG42" s="350"/>
      <c r="BH42" s="350"/>
      <c r="BI42" s="351"/>
      <c r="BJ42" s="548" t="s">
        <v>294</v>
      </c>
      <c r="BK42" s="350"/>
      <c r="BL42" s="350"/>
      <c r="BM42" s="351"/>
      <c r="BN42" s="530" t="s">
        <v>294</v>
      </c>
      <c r="BO42" s="350"/>
      <c r="BP42" s="350"/>
      <c r="BQ42" s="350"/>
      <c r="BR42" s="350"/>
      <c r="BS42" s="350"/>
      <c r="BT42" s="350"/>
      <c r="BU42" s="350"/>
      <c r="BV42" s="351"/>
    </row>
    <row r="43" spans="1:74" ht="45" customHeight="1">
      <c r="A43" s="24">
        <f t="shared" si="0"/>
        <v>29</v>
      </c>
      <c r="B43" s="558" t="s">
        <v>294</v>
      </c>
      <c r="C43" s="351"/>
      <c r="D43" s="559" t="s">
        <v>298</v>
      </c>
      <c r="E43" s="351"/>
      <c r="F43" s="524" t="s">
        <v>325</v>
      </c>
      <c r="G43" s="351"/>
      <c r="H43" s="561" t="s">
        <v>325</v>
      </c>
      <c r="I43" s="351"/>
      <c r="J43" s="562"/>
      <c r="K43" s="351"/>
      <c r="L43" s="562"/>
      <c r="M43" s="351"/>
      <c r="N43" s="34"/>
      <c r="O43" s="35"/>
      <c r="P43" s="526"/>
      <c r="Q43" s="351"/>
      <c r="R43" s="535"/>
      <c r="S43" s="351"/>
      <c r="T43" s="536"/>
      <c r="U43" s="351"/>
      <c r="V43" s="537"/>
      <c r="W43" s="351"/>
      <c r="X43" s="538" t="s">
        <v>294</v>
      </c>
      <c r="Y43" s="350"/>
      <c r="Z43" s="350"/>
      <c r="AA43" s="351"/>
      <c r="AB43" s="539" t="s">
        <v>294</v>
      </c>
      <c r="AC43" s="350"/>
      <c r="AD43" s="350"/>
      <c r="AE43" s="351"/>
      <c r="AF43" s="540"/>
      <c r="AG43" s="351"/>
      <c r="AH43" s="540"/>
      <c r="AI43" s="351"/>
      <c r="AJ43" s="532"/>
      <c r="AK43" s="351"/>
      <c r="AL43" s="555" t="s">
        <v>325</v>
      </c>
      <c r="AM43" s="351"/>
      <c r="AN43" s="531" t="s">
        <v>325</v>
      </c>
      <c r="AO43" s="351"/>
      <c r="AP43" s="532"/>
      <c r="AQ43" s="351"/>
      <c r="AR43" s="533"/>
      <c r="AS43" s="351"/>
      <c r="AT43" s="534"/>
      <c r="AU43" s="351"/>
      <c r="AV43" s="531" t="s">
        <v>325</v>
      </c>
      <c r="AW43" s="351"/>
      <c r="AX43" s="553"/>
      <c r="AY43" s="350"/>
      <c r="AZ43" s="351"/>
      <c r="BA43" s="545"/>
      <c r="BB43" s="351"/>
      <c r="BC43" s="36"/>
      <c r="BD43" s="556" t="s">
        <v>392</v>
      </c>
      <c r="BE43" s="351"/>
      <c r="BF43" s="529"/>
      <c r="BG43" s="350"/>
      <c r="BH43" s="350"/>
      <c r="BI43" s="351"/>
      <c r="BJ43" s="506" t="s">
        <v>294</v>
      </c>
      <c r="BK43" s="350"/>
      <c r="BL43" s="350"/>
      <c r="BM43" s="351"/>
      <c r="BN43" s="530" t="s">
        <v>294</v>
      </c>
      <c r="BO43" s="350"/>
      <c r="BP43" s="350"/>
      <c r="BQ43" s="350"/>
      <c r="BR43" s="350"/>
      <c r="BS43" s="350"/>
      <c r="BT43" s="350"/>
      <c r="BU43" s="350"/>
      <c r="BV43" s="351"/>
    </row>
    <row r="44" spans="1:74" ht="45" customHeight="1">
      <c r="A44" s="24">
        <f t="shared" si="0"/>
        <v>30</v>
      </c>
      <c r="B44" s="522" t="s">
        <v>294</v>
      </c>
      <c r="C44" s="351"/>
      <c r="D44" s="523" t="s">
        <v>298</v>
      </c>
      <c r="E44" s="351"/>
      <c r="F44" s="524" t="s">
        <v>325</v>
      </c>
      <c r="G44" s="351"/>
      <c r="H44" s="525" t="s">
        <v>325</v>
      </c>
      <c r="I44" s="351"/>
      <c r="J44" s="563"/>
      <c r="K44" s="351"/>
      <c r="L44" s="563"/>
      <c r="M44" s="351"/>
      <c r="N44" s="37"/>
      <c r="O44" s="38"/>
      <c r="P44" s="560"/>
      <c r="Q44" s="351"/>
      <c r="R44" s="527"/>
      <c r="S44" s="351"/>
      <c r="T44" s="528"/>
      <c r="U44" s="351"/>
      <c r="V44" s="541"/>
      <c r="W44" s="351"/>
      <c r="X44" s="542" t="s">
        <v>294</v>
      </c>
      <c r="Y44" s="350"/>
      <c r="Z44" s="350"/>
      <c r="AA44" s="351"/>
      <c r="AB44" s="543" t="s">
        <v>294</v>
      </c>
      <c r="AC44" s="350"/>
      <c r="AD44" s="350"/>
      <c r="AE44" s="351"/>
      <c r="AF44" s="544"/>
      <c r="AG44" s="351"/>
      <c r="AH44" s="544"/>
      <c r="AI44" s="351"/>
      <c r="AJ44" s="545"/>
      <c r="AK44" s="351"/>
      <c r="AL44" s="524" t="s">
        <v>325</v>
      </c>
      <c r="AM44" s="351"/>
      <c r="AN44" s="549" t="s">
        <v>325</v>
      </c>
      <c r="AO44" s="351"/>
      <c r="AP44" s="550"/>
      <c r="AQ44" s="351"/>
      <c r="AR44" s="551"/>
      <c r="AS44" s="351"/>
      <c r="AT44" s="534"/>
      <c r="AU44" s="351"/>
      <c r="AV44" s="549" t="s">
        <v>325</v>
      </c>
      <c r="AW44" s="351"/>
      <c r="AX44" s="553"/>
      <c r="AY44" s="350"/>
      <c r="AZ44" s="351"/>
      <c r="BA44" s="554"/>
      <c r="BB44" s="351"/>
      <c r="BC44" s="39"/>
      <c r="BD44" s="546" t="s">
        <v>325</v>
      </c>
      <c r="BE44" s="351"/>
      <c r="BF44" s="547"/>
      <c r="BG44" s="350"/>
      <c r="BH44" s="350"/>
      <c r="BI44" s="351"/>
      <c r="BJ44" s="548" t="s">
        <v>294</v>
      </c>
      <c r="BK44" s="350"/>
      <c r="BL44" s="350"/>
      <c r="BM44" s="351"/>
      <c r="BN44" s="530" t="s">
        <v>294</v>
      </c>
      <c r="BO44" s="350"/>
      <c r="BP44" s="350"/>
      <c r="BQ44" s="350"/>
      <c r="BR44" s="350"/>
      <c r="BS44" s="350"/>
      <c r="BT44" s="350"/>
      <c r="BU44" s="350"/>
      <c r="BV44" s="351"/>
    </row>
    <row r="45" spans="1:74" ht="45" customHeight="1">
      <c r="A45" s="24">
        <f t="shared" si="0"/>
        <v>31</v>
      </c>
      <c r="B45" s="558" t="s">
        <v>294</v>
      </c>
      <c r="C45" s="351"/>
      <c r="D45" s="559" t="s">
        <v>298</v>
      </c>
      <c r="E45" s="351"/>
      <c r="F45" s="524" t="s">
        <v>325</v>
      </c>
      <c r="G45" s="351"/>
      <c r="H45" s="561" t="s">
        <v>325</v>
      </c>
      <c r="I45" s="351"/>
      <c r="J45" s="562"/>
      <c r="K45" s="351"/>
      <c r="L45" s="562"/>
      <c r="M45" s="351"/>
      <c r="N45" s="34"/>
      <c r="O45" s="35"/>
      <c r="P45" s="526"/>
      <c r="Q45" s="351"/>
      <c r="R45" s="535"/>
      <c r="S45" s="351"/>
      <c r="T45" s="536"/>
      <c r="U45" s="351"/>
      <c r="V45" s="537"/>
      <c r="W45" s="351"/>
      <c r="X45" s="538" t="s">
        <v>294</v>
      </c>
      <c r="Y45" s="350"/>
      <c r="Z45" s="350"/>
      <c r="AA45" s="351"/>
      <c r="AB45" s="539" t="s">
        <v>294</v>
      </c>
      <c r="AC45" s="350"/>
      <c r="AD45" s="350"/>
      <c r="AE45" s="351"/>
      <c r="AF45" s="540"/>
      <c r="AG45" s="351"/>
      <c r="AH45" s="540"/>
      <c r="AI45" s="351"/>
      <c r="AJ45" s="532"/>
      <c r="AK45" s="351"/>
      <c r="AL45" s="555" t="s">
        <v>325</v>
      </c>
      <c r="AM45" s="351"/>
      <c r="AN45" s="531" t="s">
        <v>325</v>
      </c>
      <c r="AO45" s="351"/>
      <c r="AP45" s="532"/>
      <c r="AQ45" s="351"/>
      <c r="AR45" s="533"/>
      <c r="AS45" s="351"/>
      <c r="AT45" s="534"/>
      <c r="AU45" s="351"/>
      <c r="AV45" s="531" t="s">
        <v>325</v>
      </c>
      <c r="AW45" s="351"/>
      <c r="AX45" s="553"/>
      <c r="AY45" s="350"/>
      <c r="AZ45" s="351"/>
      <c r="BA45" s="545"/>
      <c r="BB45" s="351"/>
      <c r="BC45" s="36"/>
      <c r="BD45" s="556" t="s">
        <v>392</v>
      </c>
      <c r="BE45" s="351"/>
      <c r="BF45" s="529"/>
      <c r="BG45" s="350"/>
      <c r="BH45" s="350"/>
      <c r="BI45" s="351"/>
      <c r="BJ45" s="506" t="s">
        <v>294</v>
      </c>
      <c r="BK45" s="350"/>
      <c r="BL45" s="350"/>
      <c r="BM45" s="351"/>
      <c r="BN45" s="530" t="s">
        <v>294</v>
      </c>
      <c r="BO45" s="350"/>
      <c r="BP45" s="350"/>
      <c r="BQ45" s="350"/>
      <c r="BR45" s="350"/>
      <c r="BS45" s="350"/>
      <c r="BT45" s="350"/>
      <c r="BU45" s="350"/>
      <c r="BV45" s="351"/>
    </row>
    <row r="46" spans="1:74" ht="45" customHeight="1">
      <c r="A46" s="24">
        <f t="shared" si="0"/>
        <v>32</v>
      </c>
      <c r="B46" s="522" t="s">
        <v>294</v>
      </c>
      <c r="C46" s="351"/>
      <c r="D46" s="523" t="s">
        <v>298</v>
      </c>
      <c r="E46" s="351"/>
      <c r="F46" s="524" t="s">
        <v>325</v>
      </c>
      <c r="G46" s="351"/>
      <c r="H46" s="525" t="s">
        <v>325</v>
      </c>
      <c r="I46" s="351"/>
      <c r="J46" s="563"/>
      <c r="K46" s="351"/>
      <c r="L46" s="563"/>
      <c r="M46" s="351"/>
      <c r="N46" s="37"/>
      <c r="O46" s="38"/>
      <c r="P46" s="560"/>
      <c r="Q46" s="351"/>
      <c r="R46" s="527"/>
      <c r="S46" s="351"/>
      <c r="T46" s="528"/>
      <c r="U46" s="351"/>
      <c r="V46" s="541"/>
      <c r="W46" s="351"/>
      <c r="X46" s="542" t="s">
        <v>294</v>
      </c>
      <c r="Y46" s="350"/>
      <c r="Z46" s="350"/>
      <c r="AA46" s="351"/>
      <c r="AB46" s="543" t="s">
        <v>294</v>
      </c>
      <c r="AC46" s="350"/>
      <c r="AD46" s="350"/>
      <c r="AE46" s="351"/>
      <c r="AF46" s="544"/>
      <c r="AG46" s="351"/>
      <c r="AH46" s="544"/>
      <c r="AI46" s="351"/>
      <c r="AJ46" s="545"/>
      <c r="AK46" s="351"/>
      <c r="AL46" s="524" t="s">
        <v>325</v>
      </c>
      <c r="AM46" s="351"/>
      <c r="AN46" s="549" t="s">
        <v>325</v>
      </c>
      <c r="AO46" s="351"/>
      <c r="AP46" s="550"/>
      <c r="AQ46" s="351"/>
      <c r="AR46" s="551"/>
      <c r="AS46" s="351"/>
      <c r="AT46" s="534"/>
      <c r="AU46" s="351"/>
      <c r="AV46" s="549" t="s">
        <v>325</v>
      </c>
      <c r="AW46" s="351"/>
      <c r="AX46" s="553"/>
      <c r="AY46" s="350"/>
      <c r="AZ46" s="351"/>
      <c r="BA46" s="554"/>
      <c r="BB46" s="351"/>
      <c r="BC46" s="39"/>
      <c r="BD46" s="546" t="s">
        <v>325</v>
      </c>
      <c r="BE46" s="351"/>
      <c r="BF46" s="547"/>
      <c r="BG46" s="350"/>
      <c r="BH46" s="350"/>
      <c r="BI46" s="351"/>
      <c r="BJ46" s="548" t="s">
        <v>294</v>
      </c>
      <c r="BK46" s="350"/>
      <c r="BL46" s="350"/>
      <c r="BM46" s="351"/>
      <c r="BN46" s="530" t="s">
        <v>294</v>
      </c>
      <c r="BO46" s="350"/>
      <c r="BP46" s="350"/>
      <c r="BQ46" s="350"/>
      <c r="BR46" s="350"/>
      <c r="BS46" s="350"/>
      <c r="BT46" s="350"/>
      <c r="BU46" s="350"/>
      <c r="BV46" s="351"/>
    </row>
    <row r="47" spans="1:74" ht="45" customHeight="1">
      <c r="A47" s="24">
        <f t="shared" si="0"/>
        <v>33</v>
      </c>
      <c r="B47" s="558" t="s">
        <v>294</v>
      </c>
      <c r="C47" s="351"/>
      <c r="D47" s="559" t="s">
        <v>298</v>
      </c>
      <c r="E47" s="351"/>
      <c r="F47" s="524" t="s">
        <v>325</v>
      </c>
      <c r="G47" s="351"/>
      <c r="H47" s="561" t="s">
        <v>325</v>
      </c>
      <c r="I47" s="351"/>
      <c r="J47" s="562"/>
      <c r="K47" s="351"/>
      <c r="L47" s="562"/>
      <c r="M47" s="351"/>
      <c r="N47" s="34"/>
      <c r="O47" s="35"/>
      <c r="P47" s="526"/>
      <c r="Q47" s="351"/>
      <c r="R47" s="535"/>
      <c r="S47" s="351"/>
      <c r="T47" s="536"/>
      <c r="U47" s="351"/>
      <c r="V47" s="537"/>
      <c r="W47" s="351"/>
      <c r="X47" s="538" t="s">
        <v>294</v>
      </c>
      <c r="Y47" s="350"/>
      <c r="Z47" s="350"/>
      <c r="AA47" s="351"/>
      <c r="AB47" s="539" t="s">
        <v>294</v>
      </c>
      <c r="AC47" s="350"/>
      <c r="AD47" s="350"/>
      <c r="AE47" s="351"/>
      <c r="AF47" s="540"/>
      <c r="AG47" s="351"/>
      <c r="AH47" s="540"/>
      <c r="AI47" s="351"/>
      <c r="AJ47" s="532"/>
      <c r="AK47" s="351"/>
      <c r="AL47" s="555" t="s">
        <v>325</v>
      </c>
      <c r="AM47" s="351"/>
      <c r="AN47" s="531" t="s">
        <v>325</v>
      </c>
      <c r="AO47" s="351"/>
      <c r="AP47" s="532"/>
      <c r="AQ47" s="351"/>
      <c r="AR47" s="533"/>
      <c r="AS47" s="351"/>
      <c r="AT47" s="534"/>
      <c r="AU47" s="351"/>
      <c r="AV47" s="531" t="s">
        <v>325</v>
      </c>
      <c r="AW47" s="351"/>
      <c r="AX47" s="553"/>
      <c r="AY47" s="350"/>
      <c r="AZ47" s="351"/>
      <c r="BA47" s="545"/>
      <c r="BB47" s="351"/>
      <c r="BC47" s="36"/>
      <c r="BD47" s="556" t="s">
        <v>392</v>
      </c>
      <c r="BE47" s="351"/>
      <c r="BF47" s="557"/>
      <c r="BG47" s="350"/>
      <c r="BH47" s="350"/>
      <c r="BI47" s="351"/>
      <c r="BJ47" s="506" t="s">
        <v>294</v>
      </c>
      <c r="BK47" s="350"/>
      <c r="BL47" s="350"/>
      <c r="BM47" s="351"/>
      <c r="BN47" s="530" t="s">
        <v>294</v>
      </c>
      <c r="BO47" s="350"/>
      <c r="BP47" s="350"/>
      <c r="BQ47" s="350"/>
      <c r="BR47" s="350"/>
      <c r="BS47" s="350"/>
      <c r="BT47" s="350"/>
      <c r="BU47" s="350"/>
      <c r="BV47" s="351"/>
    </row>
    <row r="48" spans="1:74" ht="45" customHeight="1">
      <c r="A48" s="24">
        <f t="shared" si="0"/>
        <v>34</v>
      </c>
      <c r="B48" s="522" t="s">
        <v>294</v>
      </c>
      <c r="C48" s="351"/>
      <c r="D48" s="523" t="s">
        <v>298</v>
      </c>
      <c r="E48" s="351"/>
      <c r="F48" s="524" t="s">
        <v>325</v>
      </c>
      <c r="G48" s="351"/>
      <c r="H48" s="525" t="s">
        <v>325</v>
      </c>
      <c r="I48" s="351"/>
      <c r="J48" s="563"/>
      <c r="K48" s="351"/>
      <c r="L48" s="563"/>
      <c r="M48" s="351"/>
      <c r="N48" s="37"/>
      <c r="O48" s="38"/>
      <c r="P48" s="560"/>
      <c r="Q48" s="351"/>
      <c r="R48" s="527"/>
      <c r="S48" s="351"/>
      <c r="T48" s="528"/>
      <c r="U48" s="351"/>
      <c r="V48" s="541"/>
      <c r="W48" s="351"/>
      <c r="X48" s="542" t="s">
        <v>294</v>
      </c>
      <c r="Y48" s="350"/>
      <c r="Z48" s="350"/>
      <c r="AA48" s="351"/>
      <c r="AB48" s="543" t="s">
        <v>294</v>
      </c>
      <c r="AC48" s="350"/>
      <c r="AD48" s="350"/>
      <c r="AE48" s="351"/>
      <c r="AF48" s="544"/>
      <c r="AG48" s="351"/>
      <c r="AH48" s="544"/>
      <c r="AI48" s="351"/>
      <c r="AJ48" s="545"/>
      <c r="AK48" s="351"/>
      <c r="AL48" s="524" t="s">
        <v>325</v>
      </c>
      <c r="AM48" s="351"/>
      <c r="AN48" s="549" t="s">
        <v>325</v>
      </c>
      <c r="AO48" s="351"/>
      <c r="AP48" s="550"/>
      <c r="AQ48" s="351"/>
      <c r="AR48" s="551"/>
      <c r="AS48" s="351"/>
      <c r="AT48" s="534"/>
      <c r="AU48" s="351"/>
      <c r="AV48" s="549" t="s">
        <v>325</v>
      </c>
      <c r="AW48" s="351"/>
      <c r="AX48" s="553"/>
      <c r="AY48" s="350"/>
      <c r="AZ48" s="351"/>
      <c r="BA48" s="554"/>
      <c r="BB48" s="351"/>
      <c r="BC48" s="39"/>
      <c r="BD48" s="546" t="s">
        <v>325</v>
      </c>
      <c r="BE48" s="351"/>
      <c r="BF48" s="547"/>
      <c r="BG48" s="350"/>
      <c r="BH48" s="350"/>
      <c r="BI48" s="351"/>
      <c r="BJ48" s="548" t="s">
        <v>294</v>
      </c>
      <c r="BK48" s="350"/>
      <c r="BL48" s="350"/>
      <c r="BM48" s="351"/>
      <c r="BN48" s="530" t="s">
        <v>294</v>
      </c>
      <c r="BO48" s="350"/>
      <c r="BP48" s="350"/>
      <c r="BQ48" s="350"/>
      <c r="BR48" s="350"/>
      <c r="BS48" s="350"/>
      <c r="BT48" s="350"/>
      <c r="BU48" s="350"/>
      <c r="BV48" s="351"/>
    </row>
    <row r="49" spans="1:74" ht="45" customHeight="1">
      <c r="A49" s="24">
        <f t="shared" si="0"/>
        <v>35</v>
      </c>
      <c r="B49" s="558" t="s">
        <v>294</v>
      </c>
      <c r="C49" s="351"/>
      <c r="D49" s="559" t="s">
        <v>298</v>
      </c>
      <c r="E49" s="351"/>
      <c r="F49" s="524" t="s">
        <v>325</v>
      </c>
      <c r="G49" s="351"/>
      <c r="H49" s="561" t="s">
        <v>325</v>
      </c>
      <c r="I49" s="351"/>
      <c r="J49" s="562"/>
      <c r="K49" s="351"/>
      <c r="L49" s="562"/>
      <c r="M49" s="351"/>
      <c r="N49" s="34"/>
      <c r="O49" s="35"/>
      <c r="P49" s="526"/>
      <c r="Q49" s="351"/>
      <c r="R49" s="535"/>
      <c r="S49" s="351"/>
      <c r="T49" s="536"/>
      <c r="U49" s="351"/>
      <c r="V49" s="537"/>
      <c r="W49" s="351"/>
      <c r="X49" s="538" t="s">
        <v>294</v>
      </c>
      <c r="Y49" s="350"/>
      <c r="Z49" s="350"/>
      <c r="AA49" s="351"/>
      <c r="AB49" s="539" t="s">
        <v>294</v>
      </c>
      <c r="AC49" s="350"/>
      <c r="AD49" s="350"/>
      <c r="AE49" s="351"/>
      <c r="AF49" s="540"/>
      <c r="AG49" s="351"/>
      <c r="AH49" s="540"/>
      <c r="AI49" s="351"/>
      <c r="AJ49" s="532"/>
      <c r="AK49" s="351"/>
      <c r="AL49" s="555" t="s">
        <v>325</v>
      </c>
      <c r="AM49" s="351"/>
      <c r="AN49" s="531" t="s">
        <v>325</v>
      </c>
      <c r="AO49" s="351"/>
      <c r="AP49" s="532"/>
      <c r="AQ49" s="351"/>
      <c r="AR49" s="533"/>
      <c r="AS49" s="351"/>
      <c r="AT49" s="534"/>
      <c r="AU49" s="351"/>
      <c r="AV49" s="531" t="s">
        <v>325</v>
      </c>
      <c r="AW49" s="351"/>
      <c r="AX49" s="553"/>
      <c r="AY49" s="350"/>
      <c r="AZ49" s="351"/>
      <c r="BA49" s="545"/>
      <c r="BB49" s="351"/>
      <c r="BC49" s="36"/>
      <c r="BD49" s="556" t="s">
        <v>392</v>
      </c>
      <c r="BE49" s="351"/>
      <c r="BF49" s="529"/>
      <c r="BG49" s="350"/>
      <c r="BH49" s="350"/>
      <c r="BI49" s="351"/>
      <c r="BJ49" s="506" t="s">
        <v>294</v>
      </c>
      <c r="BK49" s="350"/>
      <c r="BL49" s="350"/>
      <c r="BM49" s="351"/>
      <c r="BN49" s="530" t="s">
        <v>294</v>
      </c>
      <c r="BO49" s="350"/>
      <c r="BP49" s="350"/>
      <c r="BQ49" s="350"/>
      <c r="BR49" s="350"/>
      <c r="BS49" s="350"/>
      <c r="BT49" s="350"/>
      <c r="BU49" s="350"/>
      <c r="BV49" s="351"/>
    </row>
    <row r="50" spans="1:74" ht="45" customHeight="1">
      <c r="A50" s="24">
        <f t="shared" si="0"/>
        <v>36</v>
      </c>
      <c r="B50" s="522" t="s">
        <v>294</v>
      </c>
      <c r="C50" s="351"/>
      <c r="D50" s="523" t="s">
        <v>298</v>
      </c>
      <c r="E50" s="351"/>
      <c r="F50" s="524" t="s">
        <v>325</v>
      </c>
      <c r="G50" s="351"/>
      <c r="H50" s="525" t="s">
        <v>325</v>
      </c>
      <c r="I50" s="351"/>
      <c r="J50" s="563"/>
      <c r="K50" s="351"/>
      <c r="L50" s="563"/>
      <c r="M50" s="351"/>
      <c r="N50" s="37"/>
      <c r="O50" s="38"/>
      <c r="P50" s="560"/>
      <c r="Q50" s="351"/>
      <c r="R50" s="527"/>
      <c r="S50" s="351"/>
      <c r="T50" s="528"/>
      <c r="U50" s="351"/>
      <c r="V50" s="541"/>
      <c r="W50" s="351"/>
      <c r="X50" s="542" t="s">
        <v>294</v>
      </c>
      <c r="Y50" s="350"/>
      <c r="Z50" s="350"/>
      <c r="AA50" s="351"/>
      <c r="AB50" s="543" t="s">
        <v>294</v>
      </c>
      <c r="AC50" s="350"/>
      <c r="AD50" s="350"/>
      <c r="AE50" s="351"/>
      <c r="AF50" s="544"/>
      <c r="AG50" s="351"/>
      <c r="AH50" s="544"/>
      <c r="AI50" s="351"/>
      <c r="AJ50" s="545"/>
      <c r="AK50" s="351"/>
      <c r="AL50" s="524" t="s">
        <v>325</v>
      </c>
      <c r="AM50" s="351"/>
      <c r="AN50" s="549" t="s">
        <v>325</v>
      </c>
      <c r="AO50" s="351"/>
      <c r="AP50" s="550"/>
      <c r="AQ50" s="351"/>
      <c r="AR50" s="551"/>
      <c r="AS50" s="351"/>
      <c r="AT50" s="534"/>
      <c r="AU50" s="351"/>
      <c r="AV50" s="549" t="s">
        <v>325</v>
      </c>
      <c r="AW50" s="351"/>
      <c r="AX50" s="553"/>
      <c r="AY50" s="350"/>
      <c r="AZ50" s="351"/>
      <c r="BA50" s="554"/>
      <c r="BB50" s="351"/>
      <c r="BC50" s="39"/>
      <c r="BD50" s="546" t="s">
        <v>325</v>
      </c>
      <c r="BE50" s="351"/>
      <c r="BF50" s="547"/>
      <c r="BG50" s="350"/>
      <c r="BH50" s="350"/>
      <c r="BI50" s="351"/>
      <c r="BJ50" s="548" t="s">
        <v>294</v>
      </c>
      <c r="BK50" s="350"/>
      <c r="BL50" s="350"/>
      <c r="BM50" s="351"/>
      <c r="BN50" s="530" t="s">
        <v>294</v>
      </c>
      <c r="BO50" s="350"/>
      <c r="BP50" s="350"/>
      <c r="BQ50" s="350"/>
      <c r="BR50" s="350"/>
      <c r="BS50" s="350"/>
      <c r="BT50" s="350"/>
      <c r="BU50" s="350"/>
      <c r="BV50" s="351"/>
    </row>
    <row r="51" spans="1:74" ht="45" customHeight="1">
      <c r="A51" s="24">
        <f t="shared" si="0"/>
        <v>37</v>
      </c>
      <c r="B51" s="558" t="s">
        <v>294</v>
      </c>
      <c r="C51" s="351"/>
      <c r="D51" s="559" t="s">
        <v>298</v>
      </c>
      <c r="E51" s="351"/>
      <c r="F51" s="524" t="s">
        <v>325</v>
      </c>
      <c r="G51" s="351"/>
      <c r="H51" s="561" t="s">
        <v>325</v>
      </c>
      <c r="I51" s="351"/>
      <c r="J51" s="562"/>
      <c r="K51" s="351"/>
      <c r="L51" s="562"/>
      <c r="M51" s="351"/>
      <c r="N51" s="34"/>
      <c r="O51" s="35"/>
      <c r="P51" s="526"/>
      <c r="Q51" s="351"/>
      <c r="R51" s="535"/>
      <c r="S51" s="351"/>
      <c r="T51" s="536"/>
      <c r="U51" s="351"/>
      <c r="V51" s="537"/>
      <c r="W51" s="351"/>
      <c r="X51" s="538" t="s">
        <v>294</v>
      </c>
      <c r="Y51" s="350"/>
      <c r="Z51" s="350"/>
      <c r="AA51" s="351"/>
      <c r="AB51" s="539" t="s">
        <v>294</v>
      </c>
      <c r="AC51" s="350"/>
      <c r="AD51" s="350"/>
      <c r="AE51" s="351"/>
      <c r="AF51" s="540"/>
      <c r="AG51" s="351"/>
      <c r="AH51" s="540"/>
      <c r="AI51" s="351"/>
      <c r="AJ51" s="532"/>
      <c r="AK51" s="351"/>
      <c r="AL51" s="555" t="s">
        <v>325</v>
      </c>
      <c r="AM51" s="351"/>
      <c r="AN51" s="531" t="s">
        <v>325</v>
      </c>
      <c r="AO51" s="351"/>
      <c r="AP51" s="532"/>
      <c r="AQ51" s="351"/>
      <c r="AR51" s="533"/>
      <c r="AS51" s="351"/>
      <c r="AT51" s="534"/>
      <c r="AU51" s="351"/>
      <c r="AV51" s="531" t="s">
        <v>325</v>
      </c>
      <c r="AW51" s="351"/>
      <c r="AX51" s="553"/>
      <c r="AY51" s="350"/>
      <c r="AZ51" s="351"/>
      <c r="BA51" s="545"/>
      <c r="BB51" s="351"/>
      <c r="BC51" s="36"/>
      <c r="BD51" s="556" t="s">
        <v>392</v>
      </c>
      <c r="BE51" s="351"/>
      <c r="BF51" s="557"/>
      <c r="BG51" s="350"/>
      <c r="BH51" s="350"/>
      <c r="BI51" s="351"/>
      <c r="BJ51" s="506" t="s">
        <v>294</v>
      </c>
      <c r="BK51" s="350"/>
      <c r="BL51" s="350"/>
      <c r="BM51" s="351"/>
      <c r="BN51" s="530" t="s">
        <v>294</v>
      </c>
      <c r="BO51" s="350"/>
      <c r="BP51" s="350"/>
      <c r="BQ51" s="350"/>
      <c r="BR51" s="350"/>
      <c r="BS51" s="350"/>
      <c r="BT51" s="350"/>
      <c r="BU51" s="350"/>
      <c r="BV51" s="351"/>
    </row>
    <row r="52" spans="1:74" ht="45" customHeight="1">
      <c r="A52" s="24">
        <f t="shared" si="0"/>
        <v>38</v>
      </c>
      <c r="B52" s="522" t="s">
        <v>294</v>
      </c>
      <c r="C52" s="351"/>
      <c r="D52" s="523" t="s">
        <v>298</v>
      </c>
      <c r="E52" s="351"/>
      <c r="F52" s="524" t="s">
        <v>325</v>
      </c>
      <c r="G52" s="351"/>
      <c r="H52" s="525" t="s">
        <v>325</v>
      </c>
      <c r="I52" s="351"/>
      <c r="J52" s="563"/>
      <c r="K52" s="351"/>
      <c r="L52" s="563"/>
      <c r="M52" s="351"/>
      <c r="N52" s="37"/>
      <c r="O52" s="38"/>
      <c r="P52" s="560"/>
      <c r="Q52" s="351"/>
      <c r="R52" s="527"/>
      <c r="S52" s="351"/>
      <c r="T52" s="528"/>
      <c r="U52" s="351"/>
      <c r="V52" s="541"/>
      <c r="W52" s="351"/>
      <c r="X52" s="542" t="s">
        <v>294</v>
      </c>
      <c r="Y52" s="350"/>
      <c r="Z52" s="350"/>
      <c r="AA52" s="351"/>
      <c r="AB52" s="543" t="s">
        <v>294</v>
      </c>
      <c r="AC52" s="350"/>
      <c r="AD52" s="350"/>
      <c r="AE52" s="351"/>
      <c r="AF52" s="544"/>
      <c r="AG52" s="351"/>
      <c r="AH52" s="544"/>
      <c r="AI52" s="351"/>
      <c r="AJ52" s="545"/>
      <c r="AK52" s="351"/>
      <c r="AL52" s="524" t="s">
        <v>325</v>
      </c>
      <c r="AM52" s="351"/>
      <c r="AN52" s="549" t="s">
        <v>325</v>
      </c>
      <c r="AO52" s="351"/>
      <c r="AP52" s="550"/>
      <c r="AQ52" s="351"/>
      <c r="AR52" s="551"/>
      <c r="AS52" s="351"/>
      <c r="AT52" s="534"/>
      <c r="AU52" s="351"/>
      <c r="AV52" s="549" t="s">
        <v>325</v>
      </c>
      <c r="AW52" s="351"/>
      <c r="AX52" s="553"/>
      <c r="AY52" s="350"/>
      <c r="AZ52" s="351"/>
      <c r="BA52" s="554"/>
      <c r="BB52" s="351"/>
      <c r="BC52" s="39"/>
      <c r="BD52" s="546" t="s">
        <v>325</v>
      </c>
      <c r="BE52" s="351"/>
      <c r="BF52" s="547"/>
      <c r="BG52" s="350"/>
      <c r="BH52" s="350"/>
      <c r="BI52" s="351"/>
      <c r="BJ52" s="548" t="s">
        <v>294</v>
      </c>
      <c r="BK52" s="350"/>
      <c r="BL52" s="350"/>
      <c r="BM52" s="351"/>
      <c r="BN52" s="530" t="s">
        <v>294</v>
      </c>
      <c r="BO52" s="350"/>
      <c r="BP52" s="350"/>
      <c r="BQ52" s="350"/>
      <c r="BR52" s="350"/>
      <c r="BS52" s="350"/>
      <c r="BT52" s="350"/>
      <c r="BU52" s="350"/>
      <c r="BV52" s="351"/>
    </row>
    <row r="53" spans="1:74" ht="45" customHeight="1">
      <c r="A53" s="24">
        <f t="shared" si="0"/>
        <v>39</v>
      </c>
      <c r="B53" s="558" t="s">
        <v>294</v>
      </c>
      <c r="C53" s="351"/>
      <c r="D53" s="559" t="s">
        <v>298</v>
      </c>
      <c r="E53" s="351"/>
      <c r="F53" s="524" t="s">
        <v>325</v>
      </c>
      <c r="G53" s="351"/>
      <c r="H53" s="561" t="s">
        <v>325</v>
      </c>
      <c r="I53" s="351"/>
      <c r="J53" s="562"/>
      <c r="K53" s="351"/>
      <c r="L53" s="562"/>
      <c r="M53" s="351"/>
      <c r="N53" s="34"/>
      <c r="O53" s="35"/>
      <c r="P53" s="526"/>
      <c r="Q53" s="351"/>
      <c r="R53" s="535"/>
      <c r="S53" s="351"/>
      <c r="T53" s="536"/>
      <c r="U53" s="351"/>
      <c r="V53" s="537"/>
      <c r="W53" s="351"/>
      <c r="X53" s="538" t="s">
        <v>294</v>
      </c>
      <c r="Y53" s="350"/>
      <c r="Z53" s="350"/>
      <c r="AA53" s="351"/>
      <c r="AB53" s="539" t="s">
        <v>294</v>
      </c>
      <c r="AC53" s="350"/>
      <c r="AD53" s="350"/>
      <c r="AE53" s="351"/>
      <c r="AF53" s="540"/>
      <c r="AG53" s="351"/>
      <c r="AH53" s="540"/>
      <c r="AI53" s="351"/>
      <c r="AJ53" s="532"/>
      <c r="AK53" s="351"/>
      <c r="AL53" s="555" t="s">
        <v>325</v>
      </c>
      <c r="AM53" s="351"/>
      <c r="AN53" s="531" t="s">
        <v>325</v>
      </c>
      <c r="AO53" s="351"/>
      <c r="AP53" s="532"/>
      <c r="AQ53" s="351"/>
      <c r="AR53" s="533"/>
      <c r="AS53" s="351"/>
      <c r="AT53" s="534"/>
      <c r="AU53" s="351"/>
      <c r="AV53" s="531" t="s">
        <v>325</v>
      </c>
      <c r="AW53" s="351"/>
      <c r="AX53" s="553"/>
      <c r="AY53" s="350"/>
      <c r="AZ53" s="351"/>
      <c r="BA53" s="545"/>
      <c r="BB53" s="351"/>
      <c r="BC53" s="36"/>
      <c r="BD53" s="556" t="s">
        <v>392</v>
      </c>
      <c r="BE53" s="351"/>
      <c r="BF53" s="529"/>
      <c r="BG53" s="350"/>
      <c r="BH53" s="350"/>
      <c r="BI53" s="351"/>
      <c r="BJ53" s="506" t="s">
        <v>294</v>
      </c>
      <c r="BK53" s="350"/>
      <c r="BL53" s="350"/>
      <c r="BM53" s="351"/>
      <c r="BN53" s="530" t="s">
        <v>294</v>
      </c>
      <c r="BO53" s="350"/>
      <c r="BP53" s="350"/>
      <c r="BQ53" s="350"/>
      <c r="BR53" s="350"/>
      <c r="BS53" s="350"/>
      <c r="BT53" s="350"/>
      <c r="BU53" s="350"/>
      <c r="BV53" s="351"/>
    </row>
    <row r="54" spans="1:74" ht="45" customHeight="1">
      <c r="A54" s="24">
        <f t="shared" si="0"/>
        <v>40</v>
      </c>
      <c r="B54" s="522" t="s">
        <v>294</v>
      </c>
      <c r="C54" s="351"/>
      <c r="D54" s="523" t="s">
        <v>298</v>
      </c>
      <c r="E54" s="351"/>
      <c r="F54" s="524" t="s">
        <v>325</v>
      </c>
      <c r="G54" s="351"/>
      <c r="H54" s="525" t="s">
        <v>325</v>
      </c>
      <c r="I54" s="351"/>
      <c r="J54" s="563"/>
      <c r="K54" s="351"/>
      <c r="L54" s="563"/>
      <c r="M54" s="351"/>
      <c r="N54" s="37"/>
      <c r="O54" s="38"/>
      <c r="P54" s="560"/>
      <c r="Q54" s="351"/>
      <c r="R54" s="527"/>
      <c r="S54" s="351"/>
      <c r="T54" s="528"/>
      <c r="U54" s="351"/>
      <c r="V54" s="541"/>
      <c r="W54" s="351"/>
      <c r="X54" s="542" t="s">
        <v>294</v>
      </c>
      <c r="Y54" s="350"/>
      <c r="Z54" s="350"/>
      <c r="AA54" s="351"/>
      <c r="AB54" s="543" t="s">
        <v>294</v>
      </c>
      <c r="AC54" s="350"/>
      <c r="AD54" s="350"/>
      <c r="AE54" s="351"/>
      <c r="AF54" s="544"/>
      <c r="AG54" s="351"/>
      <c r="AH54" s="544"/>
      <c r="AI54" s="351"/>
      <c r="AJ54" s="545"/>
      <c r="AK54" s="351"/>
      <c r="AL54" s="524" t="s">
        <v>325</v>
      </c>
      <c r="AM54" s="351"/>
      <c r="AN54" s="549" t="s">
        <v>325</v>
      </c>
      <c r="AO54" s="351"/>
      <c r="AP54" s="550"/>
      <c r="AQ54" s="351"/>
      <c r="AR54" s="551"/>
      <c r="AS54" s="351"/>
      <c r="AT54" s="534"/>
      <c r="AU54" s="351"/>
      <c r="AV54" s="549" t="s">
        <v>325</v>
      </c>
      <c r="AW54" s="351"/>
      <c r="AX54" s="553"/>
      <c r="AY54" s="350"/>
      <c r="AZ54" s="351"/>
      <c r="BA54" s="554"/>
      <c r="BB54" s="351"/>
      <c r="BC54" s="39"/>
      <c r="BD54" s="546" t="s">
        <v>325</v>
      </c>
      <c r="BE54" s="351"/>
      <c r="BF54" s="547"/>
      <c r="BG54" s="350"/>
      <c r="BH54" s="350"/>
      <c r="BI54" s="351"/>
      <c r="BJ54" s="548" t="s">
        <v>294</v>
      </c>
      <c r="BK54" s="350"/>
      <c r="BL54" s="350"/>
      <c r="BM54" s="351"/>
      <c r="BN54" s="530" t="s">
        <v>294</v>
      </c>
      <c r="BO54" s="350"/>
      <c r="BP54" s="350"/>
      <c r="BQ54" s="350"/>
      <c r="BR54" s="350"/>
      <c r="BS54" s="350"/>
      <c r="BT54" s="350"/>
      <c r="BU54" s="350"/>
      <c r="BV54" s="351"/>
    </row>
    <row r="55" spans="1:74" ht="45" customHeight="1">
      <c r="A55" s="24">
        <f t="shared" si="0"/>
        <v>41</v>
      </c>
      <c r="B55" s="558" t="s">
        <v>294</v>
      </c>
      <c r="C55" s="351"/>
      <c r="D55" s="559" t="s">
        <v>298</v>
      </c>
      <c r="E55" s="351"/>
      <c r="F55" s="524" t="s">
        <v>325</v>
      </c>
      <c r="G55" s="351"/>
      <c r="H55" s="561" t="s">
        <v>325</v>
      </c>
      <c r="I55" s="351"/>
      <c r="J55" s="562"/>
      <c r="K55" s="351"/>
      <c r="L55" s="562"/>
      <c r="M55" s="351"/>
      <c r="N55" s="34"/>
      <c r="O55" s="35"/>
      <c r="P55" s="526"/>
      <c r="Q55" s="351"/>
      <c r="R55" s="535"/>
      <c r="S55" s="351"/>
      <c r="T55" s="536"/>
      <c r="U55" s="351"/>
      <c r="V55" s="537"/>
      <c r="W55" s="351"/>
      <c r="X55" s="538" t="s">
        <v>294</v>
      </c>
      <c r="Y55" s="350"/>
      <c r="Z55" s="350"/>
      <c r="AA55" s="351"/>
      <c r="AB55" s="539" t="s">
        <v>294</v>
      </c>
      <c r="AC55" s="350"/>
      <c r="AD55" s="350"/>
      <c r="AE55" s="351"/>
      <c r="AF55" s="540"/>
      <c r="AG55" s="351"/>
      <c r="AH55" s="540"/>
      <c r="AI55" s="351"/>
      <c r="AJ55" s="532"/>
      <c r="AK55" s="351"/>
      <c r="AL55" s="555" t="s">
        <v>325</v>
      </c>
      <c r="AM55" s="351"/>
      <c r="AN55" s="531" t="s">
        <v>325</v>
      </c>
      <c r="AO55" s="351"/>
      <c r="AP55" s="532"/>
      <c r="AQ55" s="351"/>
      <c r="AR55" s="533"/>
      <c r="AS55" s="351"/>
      <c r="AT55" s="534"/>
      <c r="AU55" s="351"/>
      <c r="AV55" s="531" t="s">
        <v>325</v>
      </c>
      <c r="AW55" s="351"/>
      <c r="AX55" s="553"/>
      <c r="AY55" s="350"/>
      <c r="AZ55" s="351"/>
      <c r="BA55" s="545"/>
      <c r="BB55" s="351"/>
      <c r="BC55" s="36"/>
      <c r="BD55" s="556" t="s">
        <v>392</v>
      </c>
      <c r="BE55" s="351"/>
      <c r="BF55" s="529"/>
      <c r="BG55" s="350"/>
      <c r="BH55" s="350"/>
      <c r="BI55" s="351"/>
      <c r="BJ55" s="506" t="s">
        <v>294</v>
      </c>
      <c r="BK55" s="350"/>
      <c r="BL55" s="350"/>
      <c r="BM55" s="351"/>
      <c r="BN55" s="530" t="s">
        <v>294</v>
      </c>
      <c r="BO55" s="350"/>
      <c r="BP55" s="350"/>
      <c r="BQ55" s="350"/>
      <c r="BR55" s="350"/>
      <c r="BS55" s="350"/>
      <c r="BT55" s="350"/>
      <c r="BU55" s="350"/>
      <c r="BV55" s="351"/>
    </row>
    <row r="56" spans="1:74" ht="45" customHeight="1">
      <c r="A56" s="24">
        <f t="shared" si="0"/>
        <v>42</v>
      </c>
      <c r="B56" s="522" t="s">
        <v>294</v>
      </c>
      <c r="C56" s="351"/>
      <c r="D56" s="523" t="s">
        <v>298</v>
      </c>
      <c r="E56" s="351"/>
      <c r="F56" s="524" t="s">
        <v>325</v>
      </c>
      <c r="G56" s="351"/>
      <c r="H56" s="525" t="s">
        <v>325</v>
      </c>
      <c r="I56" s="351"/>
      <c r="J56" s="563"/>
      <c r="K56" s="351"/>
      <c r="L56" s="563"/>
      <c r="M56" s="351"/>
      <c r="N56" s="37"/>
      <c r="O56" s="38"/>
      <c r="P56" s="560"/>
      <c r="Q56" s="351"/>
      <c r="R56" s="527"/>
      <c r="S56" s="351"/>
      <c r="T56" s="528"/>
      <c r="U56" s="351"/>
      <c r="V56" s="541"/>
      <c r="W56" s="351"/>
      <c r="X56" s="542" t="s">
        <v>294</v>
      </c>
      <c r="Y56" s="350"/>
      <c r="Z56" s="350"/>
      <c r="AA56" s="351"/>
      <c r="AB56" s="543" t="s">
        <v>294</v>
      </c>
      <c r="AC56" s="350"/>
      <c r="AD56" s="350"/>
      <c r="AE56" s="351"/>
      <c r="AF56" s="544"/>
      <c r="AG56" s="351"/>
      <c r="AH56" s="544"/>
      <c r="AI56" s="351"/>
      <c r="AJ56" s="545"/>
      <c r="AK56" s="351"/>
      <c r="AL56" s="524" t="s">
        <v>325</v>
      </c>
      <c r="AM56" s="351"/>
      <c r="AN56" s="549" t="s">
        <v>325</v>
      </c>
      <c r="AO56" s="351"/>
      <c r="AP56" s="550"/>
      <c r="AQ56" s="351"/>
      <c r="AR56" s="551"/>
      <c r="AS56" s="351"/>
      <c r="AT56" s="534"/>
      <c r="AU56" s="351"/>
      <c r="AV56" s="549" t="s">
        <v>325</v>
      </c>
      <c r="AW56" s="351"/>
      <c r="AX56" s="553"/>
      <c r="AY56" s="350"/>
      <c r="AZ56" s="351"/>
      <c r="BA56" s="554"/>
      <c r="BB56" s="351"/>
      <c r="BC56" s="39"/>
      <c r="BD56" s="546" t="s">
        <v>325</v>
      </c>
      <c r="BE56" s="351"/>
      <c r="BF56" s="547"/>
      <c r="BG56" s="350"/>
      <c r="BH56" s="350"/>
      <c r="BI56" s="351"/>
      <c r="BJ56" s="548" t="s">
        <v>294</v>
      </c>
      <c r="BK56" s="350"/>
      <c r="BL56" s="350"/>
      <c r="BM56" s="351"/>
      <c r="BN56" s="530" t="s">
        <v>294</v>
      </c>
      <c r="BO56" s="350"/>
      <c r="BP56" s="350"/>
      <c r="BQ56" s="350"/>
      <c r="BR56" s="350"/>
      <c r="BS56" s="350"/>
      <c r="BT56" s="350"/>
      <c r="BU56" s="350"/>
      <c r="BV56" s="351"/>
    </row>
    <row r="57" spans="1:74" ht="45" customHeight="1">
      <c r="A57" s="24">
        <f t="shared" si="0"/>
        <v>43</v>
      </c>
      <c r="B57" s="558" t="s">
        <v>294</v>
      </c>
      <c r="C57" s="351"/>
      <c r="D57" s="559" t="s">
        <v>298</v>
      </c>
      <c r="E57" s="351"/>
      <c r="F57" s="524" t="s">
        <v>325</v>
      </c>
      <c r="G57" s="351"/>
      <c r="H57" s="561" t="s">
        <v>325</v>
      </c>
      <c r="I57" s="351"/>
      <c r="J57" s="562"/>
      <c r="K57" s="351"/>
      <c r="L57" s="562"/>
      <c r="M57" s="351"/>
      <c r="N57" s="34"/>
      <c r="O57" s="35"/>
      <c r="P57" s="526"/>
      <c r="Q57" s="351"/>
      <c r="R57" s="535"/>
      <c r="S57" s="351"/>
      <c r="T57" s="536"/>
      <c r="U57" s="351"/>
      <c r="V57" s="537"/>
      <c r="W57" s="351"/>
      <c r="X57" s="538" t="s">
        <v>294</v>
      </c>
      <c r="Y57" s="350"/>
      <c r="Z57" s="350"/>
      <c r="AA57" s="351"/>
      <c r="AB57" s="539" t="s">
        <v>294</v>
      </c>
      <c r="AC57" s="350"/>
      <c r="AD57" s="350"/>
      <c r="AE57" s="351"/>
      <c r="AF57" s="540"/>
      <c r="AG57" s="351"/>
      <c r="AH57" s="540"/>
      <c r="AI57" s="351"/>
      <c r="AJ57" s="532"/>
      <c r="AK57" s="351"/>
      <c r="AL57" s="555" t="s">
        <v>325</v>
      </c>
      <c r="AM57" s="351"/>
      <c r="AN57" s="531" t="s">
        <v>325</v>
      </c>
      <c r="AO57" s="351"/>
      <c r="AP57" s="532"/>
      <c r="AQ57" s="351"/>
      <c r="AR57" s="533"/>
      <c r="AS57" s="351"/>
      <c r="AT57" s="534"/>
      <c r="AU57" s="351"/>
      <c r="AV57" s="531" t="s">
        <v>325</v>
      </c>
      <c r="AW57" s="351"/>
      <c r="AX57" s="553"/>
      <c r="AY57" s="350"/>
      <c r="AZ57" s="351"/>
      <c r="BA57" s="545"/>
      <c r="BB57" s="351"/>
      <c r="BC57" s="36"/>
      <c r="BD57" s="556" t="s">
        <v>392</v>
      </c>
      <c r="BE57" s="351"/>
      <c r="BF57" s="557"/>
      <c r="BG57" s="350"/>
      <c r="BH57" s="350"/>
      <c r="BI57" s="351"/>
      <c r="BJ57" s="506" t="s">
        <v>294</v>
      </c>
      <c r="BK57" s="350"/>
      <c r="BL57" s="350"/>
      <c r="BM57" s="351"/>
      <c r="BN57" s="530" t="s">
        <v>294</v>
      </c>
      <c r="BO57" s="350"/>
      <c r="BP57" s="350"/>
      <c r="BQ57" s="350"/>
      <c r="BR57" s="350"/>
      <c r="BS57" s="350"/>
      <c r="BT57" s="350"/>
      <c r="BU57" s="350"/>
      <c r="BV57" s="351"/>
    </row>
    <row r="58" spans="1:74" ht="45" customHeight="1">
      <c r="A58" s="24">
        <f t="shared" si="0"/>
        <v>44</v>
      </c>
      <c r="B58" s="522" t="s">
        <v>294</v>
      </c>
      <c r="C58" s="351"/>
      <c r="D58" s="523" t="s">
        <v>298</v>
      </c>
      <c r="E58" s="351"/>
      <c r="F58" s="524" t="s">
        <v>325</v>
      </c>
      <c r="G58" s="351"/>
      <c r="H58" s="525" t="s">
        <v>325</v>
      </c>
      <c r="I58" s="351"/>
      <c r="J58" s="563"/>
      <c r="K58" s="351"/>
      <c r="L58" s="563"/>
      <c r="M58" s="351"/>
      <c r="N58" s="37"/>
      <c r="O58" s="38"/>
      <c r="P58" s="560"/>
      <c r="Q58" s="351"/>
      <c r="R58" s="527"/>
      <c r="S58" s="351"/>
      <c r="T58" s="528"/>
      <c r="U58" s="351"/>
      <c r="V58" s="541"/>
      <c r="W58" s="351"/>
      <c r="X58" s="542" t="s">
        <v>294</v>
      </c>
      <c r="Y58" s="350"/>
      <c r="Z58" s="350"/>
      <c r="AA58" s="351"/>
      <c r="AB58" s="543" t="s">
        <v>294</v>
      </c>
      <c r="AC58" s="350"/>
      <c r="AD58" s="350"/>
      <c r="AE58" s="351"/>
      <c r="AF58" s="544"/>
      <c r="AG58" s="351"/>
      <c r="AH58" s="544"/>
      <c r="AI58" s="351"/>
      <c r="AJ58" s="545"/>
      <c r="AK58" s="351"/>
      <c r="AL58" s="524" t="s">
        <v>325</v>
      </c>
      <c r="AM58" s="351"/>
      <c r="AN58" s="549" t="s">
        <v>325</v>
      </c>
      <c r="AO58" s="351"/>
      <c r="AP58" s="550"/>
      <c r="AQ58" s="351"/>
      <c r="AR58" s="551"/>
      <c r="AS58" s="351"/>
      <c r="AT58" s="534"/>
      <c r="AU58" s="351"/>
      <c r="AV58" s="549" t="s">
        <v>325</v>
      </c>
      <c r="AW58" s="351"/>
      <c r="AX58" s="553"/>
      <c r="AY58" s="350"/>
      <c r="AZ58" s="351"/>
      <c r="BA58" s="554"/>
      <c r="BB58" s="351"/>
      <c r="BC58" s="39"/>
      <c r="BD58" s="546" t="s">
        <v>325</v>
      </c>
      <c r="BE58" s="351"/>
      <c r="BF58" s="547"/>
      <c r="BG58" s="350"/>
      <c r="BH58" s="350"/>
      <c r="BI58" s="351"/>
      <c r="BJ58" s="548" t="s">
        <v>294</v>
      </c>
      <c r="BK58" s="350"/>
      <c r="BL58" s="350"/>
      <c r="BM58" s="351"/>
      <c r="BN58" s="530" t="s">
        <v>294</v>
      </c>
      <c r="BO58" s="350"/>
      <c r="BP58" s="350"/>
      <c r="BQ58" s="350"/>
      <c r="BR58" s="350"/>
      <c r="BS58" s="350"/>
      <c r="BT58" s="350"/>
      <c r="BU58" s="350"/>
      <c r="BV58" s="351"/>
    </row>
    <row r="59" spans="1:74" ht="45" customHeight="1">
      <c r="A59" s="24">
        <f t="shared" si="0"/>
        <v>45</v>
      </c>
      <c r="B59" s="558" t="s">
        <v>294</v>
      </c>
      <c r="C59" s="351"/>
      <c r="D59" s="559" t="s">
        <v>298</v>
      </c>
      <c r="E59" s="351"/>
      <c r="F59" s="524" t="s">
        <v>325</v>
      </c>
      <c r="G59" s="351"/>
      <c r="H59" s="561" t="s">
        <v>325</v>
      </c>
      <c r="I59" s="351"/>
      <c r="J59" s="562"/>
      <c r="K59" s="351"/>
      <c r="L59" s="562"/>
      <c r="M59" s="351"/>
      <c r="N59" s="34"/>
      <c r="O59" s="35"/>
      <c r="P59" s="526"/>
      <c r="Q59" s="351"/>
      <c r="R59" s="535"/>
      <c r="S59" s="351"/>
      <c r="T59" s="536"/>
      <c r="U59" s="351"/>
      <c r="V59" s="537"/>
      <c r="W59" s="351"/>
      <c r="X59" s="538" t="s">
        <v>294</v>
      </c>
      <c r="Y59" s="350"/>
      <c r="Z59" s="350"/>
      <c r="AA59" s="351"/>
      <c r="AB59" s="539" t="s">
        <v>294</v>
      </c>
      <c r="AC59" s="350"/>
      <c r="AD59" s="350"/>
      <c r="AE59" s="351"/>
      <c r="AF59" s="540"/>
      <c r="AG59" s="351"/>
      <c r="AH59" s="540"/>
      <c r="AI59" s="351"/>
      <c r="AJ59" s="532"/>
      <c r="AK59" s="351"/>
      <c r="AL59" s="555" t="s">
        <v>325</v>
      </c>
      <c r="AM59" s="351"/>
      <c r="AN59" s="531" t="s">
        <v>325</v>
      </c>
      <c r="AO59" s="351"/>
      <c r="AP59" s="532"/>
      <c r="AQ59" s="351"/>
      <c r="AR59" s="533"/>
      <c r="AS59" s="351"/>
      <c r="AT59" s="534"/>
      <c r="AU59" s="351"/>
      <c r="AV59" s="531" t="s">
        <v>325</v>
      </c>
      <c r="AW59" s="351"/>
      <c r="AX59" s="553"/>
      <c r="AY59" s="350"/>
      <c r="AZ59" s="351"/>
      <c r="BA59" s="545"/>
      <c r="BB59" s="351"/>
      <c r="BC59" s="36"/>
      <c r="BD59" s="556" t="s">
        <v>392</v>
      </c>
      <c r="BE59" s="351"/>
      <c r="BF59" s="529"/>
      <c r="BG59" s="350"/>
      <c r="BH59" s="350"/>
      <c r="BI59" s="351"/>
      <c r="BJ59" s="506" t="s">
        <v>294</v>
      </c>
      <c r="BK59" s="350"/>
      <c r="BL59" s="350"/>
      <c r="BM59" s="351"/>
      <c r="BN59" s="530" t="s">
        <v>294</v>
      </c>
      <c r="BO59" s="350"/>
      <c r="BP59" s="350"/>
      <c r="BQ59" s="350"/>
      <c r="BR59" s="350"/>
      <c r="BS59" s="350"/>
      <c r="BT59" s="350"/>
      <c r="BU59" s="350"/>
      <c r="BV59" s="351"/>
    </row>
    <row r="60" spans="1:74" ht="45" customHeight="1">
      <c r="A60" s="24">
        <f t="shared" si="0"/>
        <v>46</v>
      </c>
      <c r="B60" s="522" t="s">
        <v>294</v>
      </c>
      <c r="C60" s="351"/>
      <c r="D60" s="523" t="s">
        <v>298</v>
      </c>
      <c r="E60" s="351"/>
      <c r="F60" s="524" t="s">
        <v>325</v>
      </c>
      <c r="G60" s="351"/>
      <c r="H60" s="525" t="s">
        <v>325</v>
      </c>
      <c r="I60" s="351"/>
      <c r="J60" s="563"/>
      <c r="K60" s="351"/>
      <c r="L60" s="563"/>
      <c r="M60" s="351"/>
      <c r="N60" s="37"/>
      <c r="O60" s="38"/>
      <c r="P60" s="560"/>
      <c r="Q60" s="351"/>
      <c r="R60" s="527"/>
      <c r="S60" s="351"/>
      <c r="T60" s="528"/>
      <c r="U60" s="351"/>
      <c r="V60" s="541"/>
      <c r="W60" s="351"/>
      <c r="X60" s="542" t="s">
        <v>294</v>
      </c>
      <c r="Y60" s="350"/>
      <c r="Z60" s="350"/>
      <c r="AA60" s="351"/>
      <c r="AB60" s="543" t="s">
        <v>294</v>
      </c>
      <c r="AC60" s="350"/>
      <c r="AD60" s="350"/>
      <c r="AE60" s="351"/>
      <c r="AF60" s="544"/>
      <c r="AG60" s="351"/>
      <c r="AH60" s="544"/>
      <c r="AI60" s="351"/>
      <c r="AJ60" s="545"/>
      <c r="AK60" s="351"/>
      <c r="AL60" s="524" t="s">
        <v>325</v>
      </c>
      <c r="AM60" s="351"/>
      <c r="AN60" s="549" t="s">
        <v>325</v>
      </c>
      <c r="AO60" s="351"/>
      <c r="AP60" s="550"/>
      <c r="AQ60" s="351"/>
      <c r="AR60" s="551"/>
      <c r="AS60" s="351"/>
      <c r="AT60" s="534"/>
      <c r="AU60" s="351"/>
      <c r="AV60" s="549" t="s">
        <v>325</v>
      </c>
      <c r="AW60" s="351"/>
      <c r="AX60" s="553"/>
      <c r="AY60" s="350"/>
      <c r="AZ60" s="351"/>
      <c r="BA60" s="554"/>
      <c r="BB60" s="351"/>
      <c r="BC60" s="39"/>
      <c r="BD60" s="546" t="s">
        <v>325</v>
      </c>
      <c r="BE60" s="351"/>
      <c r="BF60" s="547"/>
      <c r="BG60" s="350"/>
      <c r="BH60" s="350"/>
      <c r="BI60" s="351"/>
      <c r="BJ60" s="548" t="s">
        <v>294</v>
      </c>
      <c r="BK60" s="350"/>
      <c r="BL60" s="350"/>
      <c r="BM60" s="351"/>
      <c r="BN60" s="530" t="s">
        <v>294</v>
      </c>
      <c r="BO60" s="350"/>
      <c r="BP60" s="350"/>
      <c r="BQ60" s="350"/>
      <c r="BR60" s="350"/>
      <c r="BS60" s="350"/>
      <c r="BT60" s="350"/>
      <c r="BU60" s="350"/>
      <c r="BV60" s="351"/>
    </row>
    <row r="61" spans="1:74" ht="45" customHeight="1">
      <c r="A61" s="24">
        <f t="shared" si="0"/>
        <v>47</v>
      </c>
      <c r="B61" s="558" t="s">
        <v>294</v>
      </c>
      <c r="C61" s="351"/>
      <c r="D61" s="559" t="s">
        <v>298</v>
      </c>
      <c r="E61" s="351"/>
      <c r="F61" s="524" t="s">
        <v>325</v>
      </c>
      <c r="G61" s="351"/>
      <c r="H61" s="561" t="s">
        <v>325</v>
      </c>
      <c r="I61" s="351"/>
      <c r="J61" s="562"/>
      <c r="K61" s="351"/>
      <c r="L61" s="562"/>
      <c r="M61" s="351"/>
      <c r="N61" s="34"/>
      <c r="O61" s="35"/>
      <c r="P61" s="526"/>
      <c r="Q61" s="351"/>
      <c r="R61" s="535"/>
      <c r="S61" s="351"/>
      <c r="T61" s="536"/>
      <c r="U61" s="351"/>
      <c r="V61" s="537"/>
      <c r="W61" s="351"/>
      <c r="X61" s="538" t="s">
        <v>294</v>
      </c>
      <c r="Y61" s="350"/>
      <c r="Z61" s="350"/>
      <c r="AA61" s="351"/>
      <c r="AB61" s="539" t="s">
        <v>294</v>
      </c>
      <c r="AC61" s="350"/>
      <c r="AD61" s="350"/>
      <c r="AE61" s="351"/>
      <c r="AF61" s="540"/>
      <c r="AG61" s="351"/>
      <c r="AH61" s="540"/>
      <c r="AI61" s="351"/>
      <c r="AJ61" s="532"/>
      <c r="AK61" s="351"/>
      <c r="AL61" s="555" t="s">
        <v>325</v>
      </c>
      <c r="AM61" s="351"/>
      <c r="AN61" s="531" t="s">
        <v>325</v>
      </c>
      <c r="AO61" s="351"/>
      <c r="AP61" s="532"/>
      <c r="AQ61" s="351"/>
      <c r="AR61" s="533"/>
      <c r="AS61" s="351"/>
      <c r="AT61" s="534"/>
      <c r="AU61" s="351"/>
      <c r="AV61" s="531" t="s">
        <v>325</v>
      </c>
      <c r="AW61" s="351"/>
      <c r="AX61" s="553"/>
      <c r="AY61" s="350"/>
      <c r="AZ61" s="351"/>
      <c r="BA61" s="545"/>
      <c r="BB61" s="351"/>
      <c r="BC61" s="36"/>
      <c r="BD61" s="556" t="s">
        <v>392</v>
      </c>
      <c r="BE61" s="351"/>
      <c r="BF61" s="557"/>
      <c r="BG61" s="350"/>
      <c r="BH61" s="350"/>
      <c r="BI61" s="351"/>
      <c r="BJ61" s="506" t="s">
        <v>294</v>
      </c>
      <c r="BK61" s="350"/>
      <c r="BL61" s="350"/>
      <c r="BM61" s="351"/>
      <c r="BN61" s="530" t="s">
        <v>294</v>
      </c>
      <c r="BO61" s="350"/>
      <c r="BP61" s="350"/>
      <c r="BQ61" s="350"/>
      <c r="BR61" s="350"/>
      <c r="BS61" s="350"/>
      <c r="BT61" s="350"/>
      <c r="BU61" s="350"/>
      <c r="BV61" s="351"/>
    </row>
    <row r="62" spans="1:74" ht="45" customHeight="1">
      <c r="A62" s="24">
        <f t="shared" si="0"/>
        <v>48</v>
      </c>
      <c r="B62" s="522" t="s">
        <v>294</v>
      </c>
      <c r="C62" s="351"/>
      <c r="D62" s="523" t="s">
        <v>298</v>
      </c>
      <c r="E62" s="351"/>
      <c r="F62" s="524" t="s">
        <v>325</v>
      </c>
      <c r="G62" s="351"/>
      <c r="H62" s="525" t="s">
        <v>325</v>
      </c>
      <c r="I62" s="351"/>
      <c r="J62" s="563"/>
      <c r="K62" s="351"/>
      <c r="L62" s="563"/>
      <c r="M62" s="351"/>
      <c r="N62" s="37"/>
      <c r="O62" s="38"/>
      <c r="P62" s="560"/>
      <c r="Q62" s="351"/>
      <c r="R62" s="527"/>
      <c r="S62" s="351"/>
      <c r="T62" s="528"/>
      <c r="U62" s="351"/>
      <c r="V62" s="541"/>
      <c r="W62" s="351"/>
      <c r="X62" s="542" t="s">
        <v>294</v>
      </c>
      <c r="Y62" s="350"/>
      <c r="Z62" s="350"/>
      <c r="AA62" s="351"/>
      <c r="AB62" s="543" t="s">
        <v>294</v>
      </c>
      <c r="AC62" s="350"/>
      <c r="AD62" s="350"/>
      <c r="AE62" s="351"/>
      <c r="AF62" s="544"/>
      <c r="AG62" s="351"/>
      <c r="AH62" s="544"/>
      <c r="AI62" s="351"/>
      <c r="AJ62" s="545"/>
      <c r="AK62" s="351"/>
      <c r="AL62" s="524" t="s">
        <v>325</v>
      </c>
      <c r="AM62" s="351"/>
      <c r="AN62" s="549" t="s">
        <v>325</v>
      </c>
      <c r="AO62" s="351"/>
      <c r="AP62" s="550"/>
      <c r="AQ62" s="351"/>
      <c r="AR62" s="551"/>
      <c r="AS62" s="351"/>
      <c r="AT62" s="534"/>
      <c r="AU62" s="351"/>
      <c r="AV62" s="549" t="s">
        <v>325</v>
      </c>
      <c r="AW62" s="351"/>
      <c r="AX62" s="553"/>
      <c r="AY62" s="350"/>
      <c r="AZ62" s="351"/>
      <c r="BA62" s="554"/>
      <c r="BB62" s="351"/>
      <c r="BC62" s="39"/>
      <c r="BD62" s="546" t="s">
        <v>325</v>
      </c>
      <c r="BE62" s="351"/>
      <c r="BF62" s="547"/>
      <c r="BG62" s="350"/>
      <c r="BH62" s="350"/>
      <c r="BI62" s="351"/>
      <c r="BJ62" s="548" t="s">
        <v>294</v>
      </c>
      <c r="BK62" s="350"/>
      <c r="BL62" s="350"/>
      <c r="BM62" s="351"/>
      <c r="BN62" s="530" t="s">
        <v>294</v>
      </c>
      <c r="BO62" s="350"/>
      <c r="BP62" s="350"/>
      <c r="BQ62" s="350"/>
      <c r="BR62" s="350"/>
      <c r="BS62" s="350"/>
      <c r="BT62" s="350"/>
      <c r="BU62" s="350"/>
      <c r="BV62" s="351"/>
    </row>
    <row r="63" spans="1:74" ht="45" customHeight="1">
      <c r="A63" s="24">
        <f t="shared" si="0"/>
        <v>49</v>
      </c>
      <c r="B63" s="558" t="s">
        <v>294</v>
      </c>
      <c r="C63" s="351"/>
      <c r="D63" s="559" t="s">
        <v>298</v>
      </c>
      <c r="E63" s="351"/>
      <c r="F63" s="524" t="s">
        <v>325</v>
      </c>
      <c r="G63" s="351"/>
      <c r="H63" s="561" t="s">
        <v>325</v>
      </c>
      <c r="I63" s="351"/>
      <c r="J63" s="562"/>
      <c r="K63" s="351"/>
      <c r="L63" s="562"/>
      <c r="M63" s="351"/>
      <c r="N63" s="34"/>
      <c r="O63" s="35"/>
      <c r="P63" s="526"/>
      <c r="Q63" s="351"/>
      <c r="R63" s="535"/>
      <c r="S63" s="351"/>
      <c r="T63" s="536"/>
      <c r="U63" s="351"/>
      <c r="V63" s="537"/>
      <c r="W63" s="351"/>
      <c r="X63" s="538" t="s">
        <v>294</v>
      </c>
      <c r="Y63" s="350"/>
      <c r="Z63" s="350"/>
      <c r="AA63" s="351"/>
      <c r="AB63" s="539" t="s">
        <v>294</v>
      </c>
      <c r="AC63" s="350"/>
      <c r="AD63" s="350"/>
      <c r="AE63" s="351"/>
      <c r="AF63" s="540"/>
      <c r="AG63" s="351"/>
      <c r="AH63" s="540"/>
      <c r="AI63" s="351"/>
      <c r="AJ63" s="532"/>
      <c r="AK63" s="351"/>
      <c r="AL63" s="555" t="s">
        <v>325</v>
      </c>
      <c r="AM63" s="351"/>
      <c r="AN63" s="531" t="s">
        <v>325</v>
      </c>
      <c r="AO63" s="351"/>
      <c r="AP63" s="532"/>
      <c r="AQ63" s="351"/>
      <c r="AR63" s="533"/>
      <c r="AS63" s="351"/>
      <c r="AT63" s="534"/>
      <c r="AU63" s="351"/>
      <c r="AV63" s="531" t="s">
        <v>325</v>
      </c>
      <c r="AW63" s="351"/>
      <c r="AX63" s="553"/>
      <c r="AY63" s="350"/>
      <c r="AZ63" s="351"/>
      <c r="BA63" s="545"/>
      <c r="BB63" s="351"/>
      <c r="BC63" s="36"/>
      <c r="BD63" s="556" t="s">
        <v>392</v>
      </c>
      <c r="BE63" s="351"/>
      <c r="BF63" s="529"/>
      <c r="BG63" s="350"/>
      <c r="BH63" s="350"/>
      <c r="BI63" s="351"/>
      <c r="BJ63" s="506" t="s">
        <v>294</v>
      </c>
      <c r="BK63" s="350"/>
      <c r="BL63" s="350"/>
      <c r="BM63" s="351"/>
      <c r="BN63" s="530" t="s">
        <v>294</v>
      </c>
      <c r="BO63" s="350"/>
      <c r="BP63" s="350"/>
      <c r="BQ63" s="350"/>
      <c r="BR63" s="350"/>
      <c r="BS63" s="350"/>
      <c r="BT63" s="350"/>
      <c r="BU63" s="350"/>
      <c r="BV63" s="351"/>
    </row>
    <row r="64" spans="1:74" ht="45" customHeight="1">
      <c r="A64" s="24">
        <f t="shared" si="0"/>
        <v>50</v>
      </c>
      <c r="B64" s="522" t="s">
        <v>294</v>
      </c>
      <c r="C64" s="351"/>
      <c r="D64" s="523" t="s">
        <v>298</v>
      </c>
      <c r="E64" s="351"/>
      <c r="F64" s="524" t="s">
        <v>325</v>
      </c>
      <c r="G64" s="351"/>
      <c r="H64" s="525" t="s">
        <v>325</v>
      </c>
      <c r="I64" s="351"/>
      <c r="J64" s="563"/>
      <c r="K64" s="351"/>
      <c r="L64" s="563"/>
      <c r="M64" s="351"/>
      <c r="N64" s="37"/>
      <c r="O64" s="38"/>
      <c r="P64" s="560"/>
      <c r="Q64" s="351"/>
      <c r="R64" s="527"/>
      <c r="S64" s="351"/>
      <c r="T64" s="528"/>
      <c r="U64" s="351"/>
      <c r="V64" s="541"/>
      <c r="W64" s="351"/>
      <c r="X64" s="542" t="s">
        <v>294</v>
      </c>
      <c r="Y64" s="350"/>
      <c r="Z64" s="350"/>
      <c r="AA64" s="351"/>
      <c r="AB64" s="543" t="s">
        <v>294</v>
      </c>
      <c r="AC64" s="350"/>
      <c r="AD64" s="350"/>
      <c r="AE64" s="351"/>
      <c r="AF64" s="544"/>
      <c r="AG64" s="351"/>
      <c r="AH64" s="544"/>
      <c r="AI64" s="351"/>
      <c r="AJ64" s="545"/>
      <c r="AK64" s="351"/>
      <c r="AL64" s="524" t="s">
        <v>325</v>
      </c>
      <c r="AM64" s="351"/>
      <c r="AN64" s="549" t="s">
        <v>325</v>
      </c>
      <c r="AO64" s="351"/>
      <c r="AP64" s="550"/>
      <c r="AQ64" s="351"/>
      <c r="AR64" s="551"/>
      <c r="AS64" s="351"/>
      <c r="AT64" s="534"/>
      <c r="AU64" s="351"/>
      <c r="AV64" s="549" t="s">
        <v>325</v>
      </c>
      <c r="AW64" s="351"/>
      <c r="AX64" s="553"/>
      <c r="AY64" s="350"/>
      <c r="AZ64" s="351"/>
      <c r="BA64" s="554"/>
      <c r="BB64" s="351"/>
      <c r="BC64" s="39"/>
      <c r="BD64" s="546" t="s">
        <v>325</v>
      </c>
      <c r="BE64" s="351"/>
      <c r="BF64" s="547"/>
      <c r="BG64" s="350"/>
      <c r="BH64" s="350"/>
      <c r="BI64" s="351"/>
      <c r="BJ64" s="548" t="s">
        <v>294</v>
      </c>
      <c r="BK64" s="350"/>
      <c r="BL64" s="350"/>
      <c r="BM64" s="351"/>
      <c r="BN64" s="530" t="s">
        <v>294</v>
      </c>
      <c r="BO64" s="350"/>
      <c r="BP64" s="350"/>
      <c r="BQ64" s="350"/>
      <c r="BR64" s="350"/>
      <c r="BS64" s="350"/>
      <c r="BT64" s="350"/>
      <c r="BU64" s="350"/>
      <c r="BV64" s="351"/>
    </row>
    <row r="65" spans="1:74" ht="45" customHeight="1">
      <c r="A65" s="24">
        <f t="shared" si="0"/>
        <v>51</v>
      </c>
      <c r="B65" s="558" t="s">
        <v>294</v>
      </c>
      <c r="C65" s="351"/>
      <c r="D65" s="559" t="s">
        <v>298</v>
      </c>
      <c r="E65" s="351"/>
      <c r="F65" s="524" t="s">
        <v>325</v>
      </c>
      <c r="G65" s="351"/>
      <c r="H65" s="561" t="s">
        <v>325</v>
      </c>
      <c r="I65" s="351"/>
      <c r="J65" s="562"/>
      <c r="K65" s="351"/>
      <c r="L65" s="562"/>
      <c r="M65" s="351"/>
      <c r="N65" s="34"/>
      <c r="O65" s="35"/>
      <c r="P65" s="526"/>
      <c r="Q65" s="351"/>
      <c r="R65" s="535"/>
      <c r="S65" s="351"/>
      <c r="T65" s="536"/>
      <c r="U65" s="351"/>
      <c r="V65" s="537"/>
      <c r="W65" s="351"/>
      <c r="X65" s="538" t="s">
        <v>294</v>
      </c>
      <c r="Y65" s="350"/>
      <c r="Z65" s="350"/>
      <c r="AA65" s="351"/>
      <c r="AB65" s="539" t="s">
        <v>294</v>
      </c>
      <c r="AC65" s="350"/>
      <c r="AD65" s="350"/>
      <c r="AE65" s="351"/>
      <c r="AF65" s="540"/>
      <c r="AG65" s="351"/>
      <c r="AH65" s="540"/>
      <c r="AI65" s="351"/>
      <c r="AJ65" s="532"/>
      <c r="AK65" s="351"/>
      <c r="AL65" s="555" t="s">
        <v>325</v>
      </c>
      <c r="AM65" s="351"/>
      <c r="AN65" s="531" t="s">
        <v>325</v>
      </c>
      <c r="AO65" s="351"/>
      <c r="AP65" s="532"/>
      <c r="AQ65" s="351"/>
      <c r="AR65" s="533"/>
      <c r="AS65" s="351"/>
      <c r="AT65" s="534"/>
      <c r="AU65" s="351"/>
      <c r="AV65" s="531" t="s">
        <v>325</v>
      </c>
      <c r="AW65" s="351"/>
      <c r="AX65" s="553"/>
      <c r="AY65" s="350"/>
      <c r="AZ65" s="351"/>
      <c r="BA65" s="545"/>
      <c r="BB65" s="351"/>
      <c r="BC65" s="36"/>
      <c r="BD65" s="556" t="s">
        <v>392</v>
      </c>
      <c r="BE65" s="351"/>
      <c r="BF65" s="529"/>
      <c r="BG65" s="350"/>
      <c r="BH65" s="350"/>
      <c r="BI65" s="351"/>
      <c r="BJ65" s="506" t="s">
        <v>294</v>
      </c>
      <c r="BK65" s="350"/>
      <c r="BL65" s="350"/>
      <c r="BM65" s="351"/>
      <c r="BN65" s="530" t="s">
        <v>294</v>
      </c>
      <c r="BO65" s="350"/>
      <c r="BP65" s="350"/>
      <c r="BQ65" s="350"/>
      <c r="BR65" s="350"/>
      <c r="BS65" s="350"/>
      <c r="BT65" s="350"/>
      <c r="BU65" s="350"/>
      <c r="BV65" s="351"/>
    </row>
    <row r="66" spans="1:74" ht="45" customHeight="1">
      <c r="A66" s="24">
        <f t="shared" si="0"/>
        <v>52</v>
      </c>
      <c r="B66" s="522" t="s">
        <v>294</v>
      </c>
      <c r="C66" s="351"/>
      <c r="D66" s="523" t="s">
        <v>298</v>
      </c>
      <c r="E66" s="351"/>
      <c r="F66" s="524" t="s">
        <v>325</v>
      </c>
      <c r="G66" s="351"/>
      <c r="H66" s="525" t="s">
        <v>325</v>
      </c>
      <c r="I66" s="351"/>
      <c r="J66" s="563"/>
      <c r="K66" s="351"/>
      <c r="L66" s="563"/>
      <c r="M66" s="351"/>
      <c r="N66" s="37"/>
      <c r="O66" s="38"/>
      <c r="P66" s="560"/>
      <c r="Q66" s="351"/>
      <c r="R66" s="527"/>
      <c r="S66" s="351"/>
      <c r="T66" s="528"/>
      <c r="U66" s="351"/>
      <c r="V66" s="541"/>
      <c r="W66" s="351"/>
      <c r="X66" s="542" t="s">
        <v>294</v>
      </c>
      <c r="Y66" s="350"/>
      <c r="Z66" s="350"/>
      <c r="AA66" s="351"/>
      <c r="AB66" s="543" t="s">
        <v>294</v>
      </c>
      <c r="AC66" s="350"/>
      <c r="AD66" s="350"/>
      <c r="AE66" s="351"/>
      <c r="AF66" s="544"/>
      <c r="AG66" s="351"/>
      <c r="AH66" s="544"/>
      <c r="AI66" s="351"/>
      <c r="AJ66" s="545"/>
      <c r="AK66" s="351"/>
      <c r="AL66" s="524" t="s">
        <v>325</v>
      </c>
      <c r="AM66" s="351"/>
      <c r="AN66" s="549" t="s">
        <v>325</v>
      </c>
      <c r="AO66" s="351"/>
      <c r="AP66" s="550"/>
      <c r="AQ66" s="351"/>
      <c r="AR66" s="551"/>
      <c r="AS66" s="351"/>
      <c r="AT66" s="534"/>
      <c r="AU66" s="351"/>
      <c r="AV66" s="549" t="s">
        <v>325</v>
      </c>
      <c r="AW66" s="351"/>
      <c r="AX66" s="553"/>
      <c r="AY66" s="350"/>
      <c r="AZ66" s="351"/>
      <c r="BA66" s="554"/>
      <c r="BB66" s="351"/>
      <c r="BC66" s="39"/>
      <c r="BD66" s="546" t="s">
        <v>325</v>
      </c>
      <c r="BE66" s="351"/>
      <c r="BF66" s="547"/>
      <c r="BG66" s="350"/>
      <c r="BH66" s="350"/>
      <c r="BI66" s="351"/>
      <c r="BJ66" s="548" t="s">
        <v>294</v>
      </c>
      <c r="BK66" s="350"/>
      <c r="BL66" s="350"/>
      <c r="BM66" s="351"/>
      <c r="BN66" s="530" t="s">
        <v>294</v>
      </c>
      <c r="BO66" s="350"/>
      <c r="BP66" s="350"/>
      <c r="BQ66" s="350"/>
      <c r="BR66" s="350"/>
      <c r="BS66" s="350"/>
      <c r="BT66" s="350"/>
      <c r="BU66" s="350"/>
      <c r="BV66" s="351"/>
    </row>
    <row r="67" spans="1:74" ht="45" customHeight="1">
      <c r="A67" s="24">
        <f t="shared" si="0"/>
        <v>53</v>
      </c>
      <c r="B67" s="558" t="s">
        <v>294</v>
      </c>
      <c r="C67" s="351"/>
      <c r="D67" s="559" t="s">
        <v>298</v>
      </c>
      <c r="E67" s="351"/>
      <c r="F67" s="524" t="s">
        <v>325</v>
      </c>
      <c r="G67" s="351"/>
      <c r="H67" s="561" t="s">
        <v>325</v>
      </c>
      <c r="I67" s="351"/>
      <c r="J67" s="562"/>
      <c r="K67" s="351"/>
      <c r="L67" s="562"/>
      <c r="M67" s="351"/>
      <c r="N67" s="34"/>
      <c r="O67" s="38"/>
      <c r="P67" s="526"/>
      <c r="Q67" s="351"/>
      <c r="R67" s="535"/>
      <c r="S67" s="351"/>
      <c r="T67" s="536"/>
      <c r="U67" s="351"/>
      <c r="V67" s="537"/>
      <c r="W67" s="351"/>
      <c r="X67" s="538" t="s">
        <v>294</v>
      </c>
      <c r="Y67" s="350"/>
      <c r="Z67" s="350"/>
      <c r="AA67" s="351"/>
      <c r="AB67" s="539" t="s">
        <v>294</v>
      </c>
      <c r="AC67" s="350"/>
      <c r="AD67" s="350"/>
      <c r="AE67" s="351"/>
      <c r="AF67" s="540"/>
      <c r="AG67" s="351"/>
      <c r="AH67" s="540"/>
      <c r="AI67" s="351"/>
      <c r="AJ67" s="532"/>
      <c r="AK67" s="351"/>
      <c r="AL67" s="555" t="s">
        <v>325</v>
      </c>
      <c r="AM67" s="351"/>
      <c r="AN67" s="531" t="s">
        <v>325</v>
      </c>
      <c r="AO67" s="351"/>
      <c r="AP67" s="532"/>
      <c r="AQ67" s="351"/>
      <c r="AR67" s="533"/>
      <c r="AS67" s="351"/>
      <c r="AT67" s="534"/>
      <c r="AU67" s="351"/>
      <c r="AV67" s="531" t="s">
        <v>325</v>
      </c>
      <c r="AW67" s="351"/>
      <c r="AX67" s="553"/>
      <c r="AY67" s="350"/>
      <c r="AZ67" s="351"/>
      <c r="BA67" s="545"/>
      <c r="BB67" s="351"/>
      <c r="BC67" s="36"/>
      <c r="BD67" s="556" t="s">
        <v>392</v>
      </c>
      <c r="BE67" s="351"/>
      <c r="BF67" s="557"/>
      <c r="BG67" s="350"/>
      <c r="BH67" s="350"/>
      <c r="BI67" s="351"/>
      <c r="BJ67" s="506" t="s">
        <v>294</v>
      </c>
      <c r="BK67" s="350"/>
      <c r="BL67" s="350"/>
      <c r="BM67" s="351"/>
      <c r="BN67" s="530" t="s">
        <v>294</v>
      </c>
      <c r="BO67" s="350"/>
      <c r="BP67" s="350"/>
      <c r="BQ67" s="350"/>
      <c r="BR67" s="350"/>
      <c r="BS67" s="350"/>
      <c r="BT67" s="350"/>
      <c r="BU67" s="350"/>
      <c r="BV67" s="351"/>
    </row>
    <row r="68" spans="1:74" ht="45" customHeight="1">
      <c r="A68" s="24">
        <f t="shared" si="0"/>
        <v>54</v>
      </c>
      <c r="B68" s="522" t="s">
        <v>294</v>
      </c>
      <c r="C68" s="351"/>
      <c r="D68" s="523" t="s">
        <v>298</v>
      </c>
      <c r="E68" s="351"/>
      <c r="F68" s="524" t="s">
        <v>325</v>
      </c>
      <c r="G68" s="351"/>
      <c r="H68" s="525" t="s">
        <v>325</v>
      </c>
      <c r="I68" s="351"/>
      <c r="J68" s="563"/>
      <c r="K68" s="351"/>
      <c r="L68" s="563"/>
      <c r="M68" s="351"/>
      <c r="N68" s="37"/>
      <c r="O68" s="35"/>
      <c r="P68" s="560"/>
      <c r="Q68" s="351"/>
      <c r="R68" s="527"/>
      <c r="S68" s="351"/>
      <c r="T68" s="528"/>
      <c r="U68" s="351"/>
      <c r="V68" s="541"/>
      <c r="W68" s="351"/>
      <c r="X68" s="542" t="s">
        <v>294</v>
      </c>
      <c r="Y68" s="350"/>
      <c r="Z68" s="350"/>
      <c r="AA68" s="351"/>
      <c r="AB68" s="543" t="s">
        <v>294</v>
      </c>
      <c r="AC68" s="350"/>
      <c r="AD68" s="350"/>
      <c r="AE68" s="351"/>
      <c r="AF68" s="544"/>
      <c r="AG68" s="351"/>
      <c r="AH68" s="544"/>
      <c r="AI68" s="351"/>
      <c r="AJ68" s="545"/>
      <c r="AK68" s="351"/>
      <c r="AL68" s="524" t="s">
        <v>325</v>
      </c>
      <c r="AM68" s="351"/>
      <c r="AN68" s="549" t="s">
        <v>325</v>
      </c>
      <c r="AO68" s="351"/>
      <c r="AP68" s="550"/>
      <c r="AQ68" s="351"/>
      <c r="AR68" s="551"/>
      <c r="AS68" s="351"/>
      <c r="AT68" s="534"/>
      <c r="AU68" s="351"/>
      <c r="AV68" s="549" t="s">
        <v>325</v>
      </c>
      <c r="AW68" s="351"/>
      <c r="AX68" s="553"/>
      <c r="AY68" s="350"/>
      <c r="AZ68" s="351"/>
      <c r="BA68" s="554"/>
      <c r="BB68" s="351"/>
      <c r="BC68" s="39"/>
      <c r="BD68" s="546" t="s">
        <v>325</v>
      </c>
      <c r="BE68" s="351"/>
      <c r="BF68" s="547"/>
      <c r="BG68" s="350"/>
      <c r="BH68" s="350"/>
      <c r="BI68" s="351"/>
      <c r="BJ68" s="548" t="s">
        <v>294</v>
      </c>
      <c r="BK68" s="350"/>
      <c r="BL68" s="350"/>
      <c r="BM68" s="351"/>
      <c r="BN68" s="530" t="s">
        <v>294</v>
      </c>
      <c r="BO68" s="350"/>
      <c r="BP68" s="350"/>
      <c r="BQ68" s="350"/>
      <c r="BR68" s="350"/>
      <c r="BS68" s="350"/>
      <c r="BT68" s="350"/>
      <c r="BU68" s="350"/>
      <c r="BV68" s="351"/>
    </row>
    <row r="69" spans="1:74" ht="45" customHeight="1">
      <c r="A69" s="24">
        <f t="shared" si="0"/>
        <v>55</v>
      </c>
      <c r="B69" s="558" t="s">
        <v>294</v>
      </c>
      <c r="C69" s="351"/>
      <c r="D69" s="559" t="s">
        <v>298</v>
      </c>
      <c r="E69" s="351"/>
      <c r="F69" s="524" t="s">
        <v>325</v>
      </c>
      <c r="G69" s="351"/>
      <c r="H69" s="561" t="s">
        <v>325</v>
      </c>
      <c r="I69" s="351"/>
      <c r="J69" s="562"/>
      <c r="K69" s="351"/>
      <c r="L69" s="562"/>
      <c r="M69" s="351"/>
      <c r="N69" s="34"/>
      <c r="O69" s="38"/>
      <c r="P69" s="526"/>
      <c r="Q69" s="351"/>
      <c r="R69" s="535"/>
      <c r="S69" s="351"/>
      <c r="T69" s="536"/>
      <c r="U69" s="351"/>
      <c r="V69" s="537"/>
      <c r="W69" s="351"/>
      <c r="X69" s="538" t="s">
        <v>294</v>
      </c>
      <c r="Y69" s="350"/>
      <c r="Z69" s="350"/>
      <c r="AA69" s="351"/>
      <c r="AB69" s="539" t="s">
        <v>294</v>
      </c>
      <c r="AC69" s="350"/>
      <c r="AD69" s="350"/>
      <c r="AE69" s="351"/>
      <c r="AF69" s="540"/>
      <c r="AG69" s="351"/>
      <c r="AH69" s="540"/>
      <c r="AI69" s="351"/>
      <c r="AJ69" s="532"/>
      <c r="AK69" s="351"/>
      <c r="AL69" s="555" t="s">
        <v>325</v>
      </c>
      <c r="AM69" s="351"/>
      <c r="AN69" s="531" t="s">
        <v>325</v>
      </c>
      <c r="AO69" s="351"/>
      <c r="AP69" s="532"/>
      <c r="AQ69" s="351"/>
      <c r="AR69" s="533"/>
      <c r="AS69" s="351"/>
      <c r="AT69" s="534"/>
      <c r="AU69" s="351"/>
      <c r="AV69" s="531" t="s">
        <v>325</v>
      </c>
      <c r="AW69" s="351"/>
      <c r="AX69" s="553"/>
      <c r="AY69" s="350"/>
      <c r="AZ69" s="351"/>
      <c r="BA69" s="545"/>
      <c r="BB69" s="351"/>
      <c r="BC69" s="36"/>
      <c r="BD69" s="556" t="s">
        <v>392</v>
      </c>
      <c r="BE69" s="351"/>
      <c r="BF69" s="529"/>
      <c r="BG69" s="350"/>
      <c r="BH69" s="350"/>
      <c r="BI69" s="351"/>
      <c r="BJ69" s="506" t="s">
        <v>294</v>
      </c>
      <c r="BK69" s="350"/>
      <c r="BL69" s="350"/>
      <c r="BM69" s="351"/>
      <c r="BN69" s="530" t="s">
        <v>294</v>
      </c>
      <c r="BO69" s="350"/>
      <c r="BP69" s="350"/>
      <c r="BQ69" s="350"/>
      <c r="BR69" s="350"/>
      <c r="BS69" s="350"/>
      <c r="BT69" s="350"/>
      <c r="BU69" s="350"/>
      <c r="BV69" s="351"/>
    </row>
    <row r="70" spans="1:74" ht="45" customHeight="1">
      <c r="A70" s="24">
        <f t="shared" si="0"/>
        <v>56</v>
      </c>
      <c r="B70" s="522" t="s">
        <v>294</v>
      </c>
      <c r="C70" s="351"/>
      <c r="D70" s="523" t="s">
        <v>298</v>
      </c>
      <c r="E70" s="351"/>
      <c r="F70" s="524" t="s">
        <v>325</v>
      </c>
      <c r="G70" s="351"/>
      <c r="H70" s="525" t="s">
        <v>325</v>
      </c>
      <c r="I70" s="351"/>
      <c r="J70" s="563"/>
      <c r="K70" s="351"/>
      <c r="L70" s="563"/>
      <c r="M70" s="351"/>
      <c r="N70" s="37"/>
      <c r="O70" s="35"/>
      <c r="P70" s="560"/>
      <c r="Q70" s="351"/>
      <c r="R70" s="527"/>
      <c r="S70" s="351"/>
      <c r="T70" s="528"/>
      <c r="U70" s="351"/>
      <c r="V70" s="541"/>
      <c r="W70" s="351"/>
      <c r="X70" s="542" t="s">
        <v>294</v>
      </c>
      <c r="Y70" s="350"/>
      <c r="Z70" s="350"/>
      <c r="AA70" s="351"/>
      <c r="AB70" s="543" t="s">
        <v>294</v>
      </c>
      <c r="AC70" s="350"/>
      <c r="AD70" s="350"/>
      <c r="AE70" s="351"/>
      <c r="AF70" s="544"/>
      <c r="AG70" s="351"/>
      <c r="AH70" s="544"/>
      <c r="AI70" s="351"/>
      <c r="AJ70" s="545"/>
      <c r="AK70" s="351"/>
      <c r="AL70" s="524" t="s">
        <v>325</v>
      </c>
      <c r="AM70" s="351"/>
      <c r="AN70" s="549" t="s">
        <v>325</v>
      </c>
      <c r="AO70" s="351"/>
      <c r="AP70" s="550"/>
      <c r="AQ70" s="351"/>
      <c r="AR70" s="551"/>
      <c r="AS70" s="351"/>
      <c r="AT70" s="534"/>
      <c r="AU70" s="351"/>
      <c r="AV70" s="549" t="s">
        <v>325</v>
      </c>
      <c r="AW70" s="351"/>
      <c r="AX70" s="553"/>
      <c r="AY70" s="350"/>
      <c r="AZ70" s="351"/>
      <c r="BA70" s="554"/>
      <c r="BB70" s="351"/>
      <c r="BC70" s="39"/>
      <c r="BD70" s="546" t="s">
        <v>325</v>
      </c>
      <c r="BE70" s="351"/>
      <c r="BF70" s="547"/>
      <c r="BG70" s="350"/>
      <c r="BH70" s="350"/>
      <c r="BI70" s="351"/>
      <c r="BJ70" s="548" t="s">
        <v>294</v>
      </c>
      <c r="BK70" s="350"/>
      <c r="BL70" s="350"/>
      <c r="BM70" s="351"/>
      <c r="BN70" s="530" t="s">
        <v>294</v>
      </c>
      <c r="BO70" s="350"/>
      <c r="BP70" s="350"/>
      <c r="BQ70" s="350"/>
      <c r="BR70" s="350"/>
      <c r="BS70" s="350"/>
      <c r="BT70" s="350"/>
      <c r="BU70" s="350"/>
      <c r="BV70" s="351"/>
    </row>
    <row r="71" spans="1:74" ht="45" customHeight="1">
      <c r="A71" s="24">
        <f t="shared" si="0"/>
        <v>57</v>
      </c>
      <c r="B71" s="558" t="s">
        <v>294</v>
      </c>
      <c r="C71" s="351"/>
      <c r="D71" s="559" t="s">
        <v>298</v>
      </c>
      <c r="E71" s="351"/>
      <c r="F71" s="524" t="s">
        <v>325</v>
      </c>
      <c r="G71" s="351"/>
      <c r="H71" s="561" t="s">
        <v>325</v>
      </c>
      <c r="I71" s="351"/>
      <c r="J71" s="562"/>
      <c r="K71" s="351"/>
      <c r="L71" s="562"/>
      <c r="M71" s="351"/>
      <c r="N71" s="34"/>
      <c r="O71" s="38"/>
      <c r="P71" s="526"/>
      <c r="Q71" s="351"/>
      <c r="R71" s="535"/>
      <c r="S71" s="351"/>
      <c r="T71" s="536"/>
      <c r="U71" s="351"/>
      <c r="V71" s="537"/>
      <c r="W71" s="351"/>
      <c r="X71" s="538" t="s">
        <v>294</v>
      </c>
      <c r="Y71" s="350"/>
      <c r="Z71" s="350"/>
      <c r="AA71" s="351"/>
      <c r="AB71" s="539" t="s">
        <v>294</v>
      </c>
      <c r="AC71" s="350"/>
      <c r="AD71" s="350"/>
      <c r="AE71" s="351"/>
      <c r="AF71" s="540"/>
      <c r="AG71" s="351"/>
      <c r="AH71" s="540"/>
      <c r="AI71" s="351"/>
      <c r="AJ71" s="532"/>
      <c r="AK71" s="351"/>
      <c r="AL71" s="555" t="s">
        <v>325</v>
      </c>
      <c r="AM71" s="351"/>
      <c r="AN71" s="531" t="s">
        <v>325</v>
      </c>
      <c r="AO71" s="351"/>
      <c r="AP71" s="532"/>
      <c r="AQ71" s="351"/>
      <c r="AR71" s="533"/>
      <c r="AS71" s="351"/>
      <c r="AT71" s="534"/>
      <c r="AU71" s="351"/>
      <c r="AV71" s="531" t="s">
        <v>325</v>
      </c>
      <c r="AW71" s="351"/>
      <c r="AX71" s="553"/>
      <c r="AY71" s="350"/>
      <c r="AZ71" s="351"/>
      <c r="BA71" s="545"/>
      <c r="BB71" s="351"/>
      <c r="BC71" s="36"/>
      <c r="BD71" s="556" t="s">
        <v>392</v>
      </c>
      <c r="BE71" s="351"/>
      <c r="BF71" s="557"/>
      <c r="BG71" s="350"/>
      <c r="BH71" s="350"/>
      <c r="BI71" s="351"/>
      <c r="BJ71" s="506" t="s">
        <v>294</v>
      </c>
      <c r="BK71" s="350"/>
      <c r="BL71" s="350"/>
      <c r="BM71" s="351"/>
      <c r="BN71" s="530" t="s">
        <v>294</v>
      </c>
      <c r="BO71" s="350"/>
      <c r="BP71" s="350"/>
      <c r="BQ71" s="350"/>
      <c r="BR71" s="350"/>
      <c r="BS71" s="350"/>
      <c r="BT71" s="350"/>
      <c r="BU71" s="350"/>
      <c r="BV71" s="351"/>
    </row>
    <row r="72" spans="1:74" ht="45" customHeight="1">
      <c r="A72" s="24">
        <f t="shared" si="0"/>
        <v>58</v>
      </c>
      <c r="B72" s="522" t="s">
        <v>294</v>
      </c>
      <c r="C72" s="351"/>
      <c r="D72" s="523" t="s">
        <v>298</v>
      </c>
      <c r="E72" s="351"/>
      <c r="F72" s="524" t="s">
        <v>325</v>
      </c>
      <c r="G72" s="351"/>
      <c r="H72" s="525" t="s">
        <v>325</v>
      </c>
      <c r="I72" s="351"/>
      <c r="J72" s="563"/>
      <c r="K72" s="351"/>
      <c r="L72" s="563"/>
      <c r="M72" s="351"/>
      <c r="N72" s="37"/>
      <c r="O72" s="35"/>
      <c r="P72" s="560"/>
      <c r="Q72" s="351"/>
      <c r="R72" s="527"/>
      <c r="S72" s="351"/>
      <c r="T72" s="528"/>
      <c r="U72" s="351"/>
      <c r="V72" s="541"/>
      <c r="W72" s="351"/>
      <c r="X72" s="542" t="s">
        <v>294</v>
      </c>
      <c r="Y72" s="350"/>
      <c r="Z72" s="350"/>
      <c r="AA72" s="351"/>
      <c r="AB72" s="543" t="s">
        <v>294</v>
      </c>
      <c r="AC72" s="350"/>
      <c r="AD72" s="350"/>
      <c r="AE72" s="351"/>
      <c r="AF72" s="544"/>
      <c r="AG72" s="351"/>
      <c r="AH72" s="544"/>
      <c r="AI72" s="351"/>
      <c r="AJ72" s="545"/>
      <c r="AK72" s="351"/>
      <c r="AL72" s="524" t="s">
        <v>325</v>
      </c>
      <c r="AM72" s="351"/>
      <c r="AN72" s="549" t="s">
        <v>325</v>
      </c>
      <c r="AO72" s="351"/>
      <c r="AP72" s="550"/>
      <c r="AQ72" s="351"/>
      <c r="AR72" s="551"/>
      <c r="AS72" s="351"/>
      <c r="AT72" s="534"/>
      <c r="AU72" s="351"/>
      <c r="AV72" s="549" t="s">
        <v>325</v>
      </c>
      <c r="AW72" s="351"/>
      <c r="AX72" s="553"/>
      <c r="AY72" s="350"/>
      <c r="AZ72" s="351"/>
      <c r="BA72" s="554"/>
      <c r="BB72" s="351"/>
      <c r="BC72" s="39"/>
      <c r="BD72" s="546" t="s">
        <v>325</v>
      </c>
      <c r="BE72" s="351"/>
      <c r="BF72" s="547"/>
      <c r="BG72" s="350"/>
      <c r="BH72" s="350"/>
      <c r="BI72" s="351"/>
      <c r="BJ72" s="548" t="s">
        <v>294</v>
      </c>
      <c r="BK72" s="350"/>
      <c r="BL72" s="350"/>
      <c r="BM72" s="351"/>
      <c r="BN72" s="530" t="s">
        <v>294</v>
      </c>
      <c r="BO72" s="350"/>
      <c r="BP72" s="350"/>
      <c r="BQ72" s="350"/>
      <c r="BR72" s="350"/>
      <c r="BS72" s="350"/>
      <c r="BT72" s="350"/>
      <c r="BU72" s="350"/>
      <c r="BV72" s="351"/>
    </row>
    <row r="73" spans="1:74" ht="45" customHeight="1">
      <c r="A73" s="24">
        <f t="shared" si="0"/>
        <v>59</v>
      </c>
      <c r="B73" s="558" t="s">
        <v>294</v>
      </c>
      <c r="C73" s="351"/>
      <c r="D73" s="559" t="s">
        <v>298</v>
      </c>
      <c r="E73" s="351"/>
      <c r="F73" s="524" t="s">
        <v>325</v>
      </c>
      <c r="G73" s="351"/>
      <c r="H73" s="561" t="s">
        <v>325</v>
      </c>
      <c r="I73" s="351"/>
      <c r="J73" s="562"/>
      <c r="K73" s="351"/>
      <c r="L73" s="562"/>
      <c r="M73" s="351"/>
      <c r="N73" s="34"/>
      <c r="O73" s="38"/>
      <c r="P73" s="526"/>
      <c r="Q73" s="351"/>
      <c r="R73" s="535"/>
      <c r="S73" s="351"/>
      <c r="T73" s="536"/>
      <c r="U73" s="351"/>
      <c r="V73" s="537"/>
      <c r="W73" s="351"/>
      <c r="X73" s="538" t="s">
        <v>294</v>
      </c>
      <c r="Y73" s="350"/>
      <c r="Z73" s="350"/>
      <c r="AA73" s="351"/>
      <c r="AB73" s="539" t="s">
        <v>294</v>
      </c>
      <c r="AC73" s="350"/>
      <c r="AD73" s="350"/>
      <c r="AE73" s="351"/>
      <c r="AF73" s="540"/>
      <c r="AG73" s="351"/>
      <c r="AH73" s="540"/>
      <c r="AI73" s="351"/>
      <c r="AJ73" s="532"/>
      <c r="AK73" s="351"/>
      <c r="AL73" s="555" t="s">
        <v>325</v>
      </c>
      <c r="AM73" s="351"/>
      <c r="AN73" s="531" t="s">
        <v>325</v>
      </c>
      <c r="AO73" s="351"/>
      <c r="AP73" s="532"/>
      <c r="AQ73" s="351"/>
      <c r="AR73" s="533"/>
      <c r="AS73" s="351"/>
      <c r="AT73" s="534"/>
      <c r="AU73" s="351"/>
      <c r="AV73" s="531" t="s">
        <v>325</v>
      </c>
      <c r="AW73" s="351"/>
      <c r="AX73" s="553"/>
      <c r="AY73" s="350"/>
      <c r="AZ73" s="351"/>
      <c r="BA73" s="545"/>
      <c r="BB73" s="351"/>
      <c r="BC73" s="36"/>
      <c r="BD73" s="556" t="s">
        <v>392</v>
      </c>
      <c r="BE73" s="351"/>
      <c r="BF73" s="529"/>
      <c r="BG73" s="350"/>
      <c r="BH73" s="350"/>
      <c r="BI73" s="351"/>
      <c r="BJ73" s="506" t="s">
        <v>294</v>
      </c>
      <c r="BK73" s="350"/>
      <c r="BL73" s="350"/>
      <c r="BM73" s="351"/>
      <c r="BN73" s="530" t="s">
        <v>294</v>
      </c>
      <c r="BO73" s="350"/>
      <c r="BP73" s="350"/>
      <c r="BQ73" s="350"/>
      <c r="BR73" s="350"/>
      <c r="BS73" s="350"/>
      <c r="BT73" s="350"/>
      <c r="BU73" s="350"/>
      <c r="BV73" s="351"/>
    </row>
    <row r="74" spans="1:74" ht="45" customHeight="1">
      <c r="A74" s="24">
        <f t="shared" si="0"/>
        <v>60</v>
      </c>
      <c r="B74" s="522" t="s">
        <v>294</v>
      </c>
      <c r="C74" s="351"/>
      <c r="D74" s="523" t="s">
        <v>298</v>
      </c>
      <c r="E74" s="351"/>
      <c r="F74" s="524" t="s">
        <v>325</v>
      </c>
      <c r="G74" s="351"/>
      <c r="H74" s="525" t="s">
        <v>325</v>
      </c>
      <c r="I74" s="351"/>
      <c r="J74" s="563"/>
      <c r="K74" s="351"/>
      <c r="L74" s="563"/>
      <c r="M74" s="351"/>
      <c r="N74" s="37"/>
      <c r="O74" s="35"/>
      <c r="P74" s="560"/>
      <c r="Q74" s="351"/>
      <c r="R74" s="527"/>
      <c r="S74" s="351"/>
      <c r="T74" s="528"/>
      <c r="U74" s="351"/>
      <c r="V74" s="541"/>
      <c r="W74" s="351"/>
      <c r="X74" s="542" t="s">
        <v>294</v>
      </c>
      <c r="Y74" s="350"/>
      <c r="Z74" s="350"/>
      <c r="AA74" s="351"/>
      <c r="AB74" s="543" t="s">
        <v>294</v>
      </c>
      <c r="AC74" s="350"/>
      <c r="AD74" s="350"/>
      <c r="AE74" s="351"/>
      <c r="AF74" s="544"/>
      <c r="AG74" s="351"/>
      <c r="AH74" s="544"/>
      <c r="AI74" s="351"/>
      <c r="AJ74" s="545"/>
      <c r="AK74" s="351"/>
      <c r="AL74" s="524" t="s">
        <v>325</v>
      </c>
      <c r="AM74" s="351"/>
      <c r="AN74" s="549" t="s">
        <v>325</v>
      </c>
      <c r="AO74" s="351"/>
      <c r="AP74" s="550"/>
      <c r="AQ74" s="351"/>
      <c r="AR74" s="551"/>
      <c r="AS74" s="351"/>
      <c r="AT74" s="534"/>
      <c r="AU74" s="351"/>
      <c r="AV74" s="549" t="s">
        <v>325</v>
      </c>
      <c r="AW74" s="351"/>
      <c r="AX74" s="553"/>
      <c r="AY74" s="350"/>
      <c r="AZ74" s="351"/>
      <c r="BA74" s="554"/>
      <c r="BB74" s="351"/>
      <c r="BC74" s="39"/>
      <c r="BD74" s="546" t="s">
        <v>325</v>
      </c>
      <c r="BE74" s="351"/>
      <c r="BF74" s="547"/>
      <c r="BG74" s="350"/>
      <c r="BH74" s="350"/>
      <c r="BI74" s="351"/>
      <c r="BJ74" s="548" t="s">
        <v>294</v>
      </c>
      <c r="BK74" s="350"/>
      <c r="BL74" s="350"/>
      <c r="BM74" s="351"/>
      <c r="BN74" s="530" t="s">
        <v>294</v>
      </c>
      <c r="BO74" s="350"/>
      <c r="BP74" s="350"/>
      <c r="BQ74" s="350"/>
      <c r="BR74" s="350"/>
      <c r="BS74" s="350"/>
      <c r="BT74" s="350"/>
      <c r="BU74" s="350"/>
      <c r="BV74" s="351"/>
    </row>
    <row r="75" spans="1:74" ht="45" customHeight="1">
      <c r="A75" s="24">
        <f t="shared" si="0"/>
        <v>61</v>
      </c>
      <c r="B75" s="558" t="s">
        <v>294</v>
      </c>
      <c r="C75" s="351"/>
      <c r="D75" s="559" t="s">
        <v>298</v>
      </c>
      <c r="E75" s="351"/>
      <c r="F75" s="524" t="s">
        <v>325</v>
      </c>
      <c r="G75" s="351"/>
      <c r="H75" s="561" t="s">
        <v>325</v>
      </c>
      <c r="I75" s="351"/>
      <c r="J75" s="562"/>
      <c r="K75" s="351"/>
      <c r="L75" s="562"/>
      <c r="M75" s="351"/>
      <c r="N75" s="34"/>
      <c r="O75" s="38"/>
      <c r="P75" s="526"/>
      <c r="Q75" s="351"/>
      <c r="R75" s="535"/>
      <c r="S75" s="351"/>
      <c r="T75" s="536"/>
      <c r="U75" s="351"/>
      <c r="V75" s="537"/>
      <c r="W75" s="351"/>
      <c r="X75" s="538" t="s">
        <v>294</v>
      </c>
      <c r="Y75" s="350"/>
      <c r="Z75" s="350"/>
      <c r="AA75" s="351"/>
      <c r="AB75" s="539" t="s">
        <v>294</v>
      </c>
      <c r="AC75" s="350"/>
      <c r="AD75" s="350"/>
      <c r="AE75" s="351"/>
      <c r="AF75" s="540"/>
      <c r="AG75" s="351"/>
      <c r="AH75" s="540"/>
      <c r="AI75" s="351"/>
      <c r="AJ75" s="532"/>
      <c r="AK75" s="351"/>
      <c r="AL75" s="555" t="s">
        <v>325</v>
      </c>
      <c r="AM75" s="351"/>
      <c r="AN75" s="531" t="s">
        <v>325</v>
      </c>
      <c r="AO75" s="351"/>
      <c r="AP75" s="532"/>
      <c r="AQ75" s="351"/>
      <c r="AR75" s="533"/>
      <c r="AS75" s="351"/>
      <c r="AT75" s="534"/>
      <c r="AU75" s="351"/>
      <c r="AV75" s="531" t="s">
        <v>325</v>
      </c>
      <c r="AW75" s="351"/>
      <c r="AX75" s="553"/>
      <c r="AY75" s="350"/>
      <c r="AZ75" s="351"/>
      <c r="BA75" s="545"/>
      <c r="BB75" s="351"/>
      <c r="BC75" s="36"/>
      <c r="BD75" s="556" t="s">
        <v>392</v>
      </c>
      <c r="BE75" s="351"/>
      <c r="BF75" s="529"/>
      <c r="BG75" s="350"/>
      <c r="BH75" s="350"/>
      <c r="BI75" s="351"/>
      <c r="BJ75" s="506" t="s">
        <v>294</v>
      </c>
      <c r="BK75" s="350"/>
      <c r="BL75" s="350"/>
      <c r="BM75" s="351"/>
      <c r="BN75" s="530" t="s">
        <v>294</v>
      </c>
      <c r="BO75" s="350"/>
      <c r="BP75" s="350"/>
      <c r="BQ75" s="350"/>
      <c r="BR75" s="350"/>
      <c r="BS75" s="350"/>
      <c r="BT75" s="350"/>
      <c r="BU75" s="350"/>
      <c r="BV75" s="351"/>
    </row>
    <row r="76" spans="1:74" ht="45" customHeight="1">
      <c r="A76" s="24">
        <f t="shared" si="0"/>
        <v>62</v>
      </c>
      <c r="B76" s="522" t="s">
        <v>294</v>
      </c>
      <c r="C76" s="351"/>
      <c r="D76" s="523" t="s">
        <v>298</v>
      </c>
      <c r="E76" s="351"/>
      <c r="F76" s="524" t="s">
        <v>325</v>
      </c>
      <c r="G76" s="351"/>
      <c r="H76" s="525" t="s">
        <v>325</v>
      </c>
      <c r="I76" s="351"/>
      <c r="J76" s="563"/>
      <c r="K76" s="351"/>
      <c r="L76" s="563"/>
      <c r="M76" s="351"/>
      <c r="N76" s="37"/>
      <c r="O76" s="35"/>
      <c r="P76" s="560"/>
      <c r="Q76" s="351"/>
      <c r="R76" s="527"/>
      <c r="S76" s="351"/>
      <c r="T76" s="528"/>
      <c r="U76" s="351"/>
      <c r="V76" s="541"/>
      <c r="W76" s="351"/>
      <c r="X76" s="542" t="s">
        <v>294</v>
      </c>
      <c r="Y76" s="350"/>
      <c r="Z76" s="350"/>
      <c r="AA76" s="351"/>
      <c r="AB76" s="543" t="s">
        <v>294</v>
      </c>
      <c r="AC76" s="350"/>
      <c r="AD76" s="350"/>
      <c r="AE76" s="351"/>
      <c r="AF76" s="544"/>
      <c r="AG76" s="351"/>
      <c r="AH76" s="544"/>
      <c r="AI76" s="351"/>
      <c r="AJ76" s="545"/>
      <c r="AK76" s="351"/>
      <c r="AL76" s="524" t="s">
        <v>325</v>
      </c>
      <c r="AM76" s="351"/>
      <c r="AN76" s="549" t="s">
        <v>325</v>
      </c>
      <c r="AO76" s="351"/>
      <c r="AP76" s="550"/>
      <c r="AQ76" s="351"/>
      <c r="AR76" s="551"/>
      <c r="AS76" s="351"/>
      <c r="AT76" s="534"/>
      <c r="AU76" s="351"/>
      <c r="AV76" s="549" t="s">
        <v>325</v>
      </c>
      <c r="AW76" s="351"/>
      <c r="AX76" s="553"/>
      <c r="AY76" s="350"/>
      <c r="AZ76" s="351"/>
      <c r="BA76" s="554"/>
      <c r="BB76" s="351"/>
      <c r="BC76" s="39"/>
      <c r="BD76" s="546" t="s">
        <v>325</v>
      </c>
      <c r="BE76" s="351"/>
      <c r="BF76" s="547"/>
      <c r="BG76" s="350"/>
      <c r="BH76" s="350"/>
      <c r="BI76" s="351"/>
      <c r="BJ76" s="548" t="s">
        <v>294</v>
      </c>
      <c r="BK76" s="350"/>
      <c r="BL76" s="350"/>
      <c r="BM76" s="351"/>
      <c r="BN76" s="530" t="s">
        <v>294</v>
      </c>
      <c r="BO76" s="350"/>
      <c r="BP76" s="350"/>
      <c r="BQ76" s="350"/>
      <c r="BR76" s="350"/>
      <c r="BS76" s="350"/>
      <c r="BT76" s="350"/>
      <c r="BU76" s="350"/>
      <c r="BV76" s="351"/>
    </row>
    <row r="77" spans="1:74" ht="45" customHeight="1">
      <c r="A77" s="24">
        <f t="shared" si="0"/>
        <v>63</v>
      </c>
      <c r="B77" s="558" t="s">
        <v>294</v>
      </c>
      <c r="C77" s="351"/>
      <c r="D77" s="559" t="s">
        <v>298</v>
      </c>
      <c r="E77" s="351"/>
      <c r="F77" s="524" t="s">
        <v>325</v>
      </c>
      <c r="G77" s="351"/>
      <c r="H77" s="561" t="s">
        <v>325</v>
      </c>
      <c r="I77" s="351"/>
      <c r="J77" s="562"/>
      <c r="K77" s="351"/>
      <c r="L77" s="562"/>
      <c r="M77" s="351"/>
      <c r="N77" s="34"/>
      <c r="O77" s="38"/>
      <c r="P77" s="526"/>
      <c r="Q77" s="351"/>
      <c r="R77" s="535"/>
      <c r="S77" s="351"/>
      <c r="T77" s="536"/>
      <c r="U77" s="351"/>
      <c r="V77" s="537"/>
      <c r="W77" s="351"/>
      <c r="X77" s="538" t="s">
        <v>294</v>
      </c>
      <c r="Y77" s="350"/>
      <c r="Z77" s="350"/>
      <c r="AA77" s="351"/>
      <c r="AB77" s="539" t="s">
        <v>294</v>
      </c>
      <c r="AC77" s="350"/>
      <c r="AD77" s="350"/>
      <c r="AE77" s="351"/>
      <c r="AF77" s="540"/>
      <c r="AG77" s="351"/>
      <c r="AH77" s="540"/>
      <c r="AI77" s="351"/>
      <c r="AJ77" s="532"/>
      <c r="AK77" s="351"/>
      <c r="AL77" s="555" t="s">
        <v>325</v>
      </c>
      <c r="AM77" s="351"/>
      <c r="AN77" s="531" t="s">
        <v>325</v>
      </c>
      <c r="AO77" s="351"/>
      <c r="AP77" s="532"/>
      <c r="AQ77" s="351"/>
      <c r="AR77" s="533"/>
      <c r="AS77" s="351"/>
      <c r="AT77" s="534"/>
      <c r="AU77" s="351"/>
      <c r="AV77" s="531" t="s">
        <v>325</v>
      </c>
      <c r="AW77" s="351"/>
      <c r="AX77" s="553"/>
      <c r="AY77" s="350"/>
      <c r="AZ77" s="351"/>
      <c r="BA77" s="545"/>
      <c r="BB77" s="351"/>
      <c r="BC77" s="36"/>
      <c r="BD77" s="556" t="s">
        <v>392</v>
      </c>
      <c r="BE77" s="351"/>
      <c r="BF77" s="557"/>
      <c r="BG77" s="350"/>
      <c r="BH77" s="350"/>
      <c r="BI77" s="351"/>
      <c r="BJ77" s="506" t="s">
        <v>294</v>
      </c>
      <c r="BK77" s="350"/>
      <c r="BL77" s="350"/>
      <c r="BM77" s="351"/>
      <c r="BN77" s="530" t="s">
        <v>294</v>
      </c>
      <c r="BO77" s="350"/>
      <c r="BP77" s="350"/>
      <c r="BQ77" s="350"/>
      <c r="BR77" s="350"/>
      <c r="BS77" s="350"/>
      <c r="BT77" s="350"/>
      <c r="BU77" s="350"/>
      <c r="BV77" s="351"/>
    </row>
    <row r="78" spans="1:74" ht="45" customHeight="1">
      <c r="A78" s="24">
        <f t="shared" si="0"/>
        <v>64</v>
      </c>
      <c r="B78" s="522" t="s">
        <v>294</v>
      </c>
      <c r="C78" s="351"/>
      <c r="D78" s="523" t="s">
        <v>298</v>
      </c>
      <c r="E78" s="351"/>
      <c r="F78" s="524" t="s">
        <v>325</v>
      </c>
      <c r="G78" s="351"/>
      <c r="H78" s="525" t="s">
        <v>325</v>
      </c>
      <c r="I78" s="351"/>
      <c r="J78" s="563"/>
      <c r="K78" s="351"/>
      <c r="L78" s="563"/>
      <c r="M78" s="351"/>
      <c r="N78" s="37"/>
      <c r="O78" s="35"/>
      <c r="P78" s="560"/>
      <c r="Q78" s="351"/>
      <c r="R78" s="527"/>
      <c r="S78" s="351"/>
      <c r="T78" s="528"/>
      <c r="U78" s="351"/>
      <c r="V78" s="541"/>
      <c r="W78" s="351"/>
      <c r="X78" s="542" t="s">
        <v>294</v>
      </c>
      <c r="Y78" s="350"/>
      <c r="Z78" s="350"/>
      <c r="AA78" s="351"/>
      <c r="AB78" s="543" t="s">
        <v>294</v>
      </c>
      <c r="AC78" s="350"/>
      <c r="AD78" s="350"/>
      <c r="AE78" s="351"/>
      <c r="AF78" s="544"/>
      <c r="AG78" s="351"/>
      <c r="AH78" s="544"/>
      <c r="AI78" s="351"/>
      <c r="AJ78" s="545"/>
      <c r="AK78" s="351"/>
      <c r="AL78" s="524" t="s">
        <v>325</v>
      </c>
      <c r="AM78" s="351"/>
      <c r="AN78" s="549" t="s">
        <v>325</v>
      </c>
      <c r="AO78" s="351"/>
      <c r="AP78" s="550"/>
      <c r="AQ78" s="351"/>
      <c r="AR78" s="551"/>
      <c r="AS78" s="351"/>
      <c r="AT78" s="534"/>
      <c r="AU78" s="351"/>
      <c r="AV78" s="549" t="s">
        <v>325</v>
      </c>
      <c r="AW78" s="351"/>
      <c r="AX78" s="553"/>
      <c r="AY78" s="350"/>
      <c r="AZ78" s="351"/>
      <c r="BA78" s="554"/>
      <c r="BB78" s="351"/>
      <c r="BC78" s="39"/>
      <c r="BD78" s="546" t="s">
        <v>325</v>
      </c>
      <c r="BE78" s="351"/>
      <c r="BF78" s="547"/>
      <c r="BG78" s="350"/>
      <c r="BH78" s="350"/>
      <c r="BI78" s="351"/>
      <c r="BJ78" s="548" t="s">
        <v>294</v>
      </c>
      <c r="BK78" s="350"/>
      <c r="BL78" s="350"/>
      <c r="BM78" s="351"/>
      <c r="BN78" s="530" t="s">
        <v>294</v>
      </c>
      <c r="BO78" s="350"/>
      <c r="BP78" s="350"/>
      <c r="BQ78" s="350"/>
      <c r="BR78" s="350"/>
      <c r="BS78" s="350"/>
      <c r="BT78" s="350"/>
      <c r="BU78" s="350"/>
      <c r="BV78" s="351"/>
    </row>
    <row r="79" spans="1:74" ht="45" customHeight="1">
      <c r="A79" s="24">
        <f t="shared" si="0"/>
        <v>65</v>
      </c>
      <c r="B79" s="558" t="s">
        <v>294</v>
      </c>
      <c r="C79" s="351"/>
      <c r="D79" s="559" t="s">
        <v>298</v>
      </c>
      <c r="E79" s="351"/>
      <c r="F79" s="524" t="s">
        <v>325</v>
      </c>
      <c r="G79" s="351"/>
      <c r="H79" s="561" t="s">
        <v>325</v>
      </c>
      <c r="I79" s="351"/>
      <c r="J79" s="562"/>
      <c r="K79" s="351"/>
      <c r="L79" s="562"/>
      <c r="M79" s="351"/>
      <c r="N79" s="34"/>
      <c r="O79" s="38"/>
      <c r="P79" s="526"/>
      <c r="Q79" s="351"/>
      <c r="R79" s="535"/>
      <c r="S79" s="351"/>
      <c r="T79" s="536"/>
      <c r="U79" s="351"/>
      <c r="V79" s="537"/>
      <c r="W79" s="351"/>
      <c r="X79" s="538" t="s">
        <v>294</v>
      </c>
      <c r="Y79" s="350"/>
      <c r="Z79" s="350"/>
      <c r="AA79" s="351"/>
      <c r="AB79" s="539" t="s">
        <v>294</v>
      </c>
      <c r="AC79" s="350"/>
      <c r="AD79" s="350"/>
      <c r="AE79" s="351"/>
      <c r="AF79" s="540"/>
      <c r="AG79" s="351"/>
      <c r="AH79" s="540"/>
      <c r="AI79" s="351"/>
      <c r="AJ79" s="532"/>
      <c r="AK79" s="351"/>
      <c r="AL79" s="555" t="s">
        <v>325</v>
      </c>
      <c r="AM79" s="351"/>
      <c r="AN79" s="531" t="s">
        <v>325</v>
      </c>
      <c r="AO79" s="351"/>
      <c r="AP79" s="532"/>
      <c r="AQ79" s="351"/>
      <c r="AR79" s="533"/>
      <c r="AS79" s="351"/>
      <c r="AT79" s="534"/>
      <c r="AU79" s="351"/>
      <c r="AV79" s="531" t="s">
        <v>325</v>
      </c>
      <c r="AW79" s="351"/>
      <c r="AX79" s="553"/>
      <c r="AY79" s="350"/>
      <c r="AZ79" s="351"/>
      <c r="BA79" s="545"/>
      <c r="BB79" s="351"/>
      <c r="BC79" s="36"/>
      <c r="BD79" s="556" t="s">
        <v>392</v>
      </c>
      <c r="BE79" s="351"/>
      <c r="BF79" s="529"/>
      <c r="BG79" s="350"/>
      <c r="BH79" s="350"/>
      <c r="BI79" s="351"/>
      <c r="BJ79" s="506" t="s">
        <v>294</v>
      </c>
      <c r="BK79" s="350"/>
      <c r="BL79" s="350"/>
      <c r="BM79" s="351"/>
      <c r="BN79" s="530" t="s">
        <v>294</v>
      </c>
      <c r="BO79" s="350"/>
      <c r="BP79" s="350"/>
      <c r="BQ79" s="350"/>
      <c r="BR79" s="350"/>
      <c r="BS79" s="350"/>
      <c r="BT79" s="350"/>
      <c r="BU79" s="350"/>
      <c r="BV79" s="351"/>
    </row>
    <row r="80" spans="1:74" ht="45" customHeight="1">
      <c r="A80" s="24">
        <f t="shared" si="0"/>
        <v>66</v>
      </c>
      <c r="B80" s="522" t="s">
        <v>294</v>
      </c>
      <c r="C80" s="351"/>
      <c r="D80" s="523" t="s">
        <v>298</v>
      </c>
      <c r="E80" s="351"/>
      <c r="F80" s="524" t="s">
        <v>325</v>
      </c>
      <c r="G80" s="351"/>
      <c r="H80" s="525" t="s">
        <v>325</v>
      </c>
      <c r="I80" s="351"/>
      <c r="J80" s="563"/>
      <c r="K80" s="351"/>
      <c r="L80" s="563"/>
      <c r="M80" s="351"/>
      <c r="N80" s="37"/>
      <c r="O80" s="35"/>
      <c r="P80" s="560"/>
      <c r="Q80" s="351"/>
      <c r="R80" s="527"/>
      <c r="S80" s="351"/>
      <c r="T80" s="528"/>
      <c r="U80" s="351"/>
      <c r="V80" s="541"/>
      <c r="W80" s="351"/>
      <c r="X80" s="542" t="s">
        <v>294</v>
      </c>
      <c r="Y80" s="350"/>
      <c r="Z80" s="350"/>
      <c r="AA80" s="351"/>
      <c r="AB80" s="543" t="s">
        <v>294</v>
      </c>
      <c r="AC80" s="350"/>
      <c r="AD80" s="350"/>
      <c r="AE80" s="351"/>
      <c r="AF80" s="544"/>
      <c r="AG80" s="351"/>
      <c r="AH80" s="544"/>
      <c r="AI80" s="351"/>
      <c r="AJ80" s="545"/>
      <c r="AK80" s="351"/>
      <c r="AL80" s="524" t="s">
        <v>325</v>
      </c>
      <c r="AM80" s="351"/>
      <c r="AN80" s="549" t="s">
        <v>325</v>
      </c>
      <c r="AO80" s="351"/>
      <c r="AP80" s="550"/>
      <c r="AQ80" s="351"/>
      <c r="AR80" s="551"/>
      <c r="AS80" s="351"/>
      <c r="AT80" s="534"/>
      <c r="AU80" s="351"/>
      <c r="AV80" s="549" t="s">
        <v>325</v>
      </c>
      <c r="AW80" s="351"/>
      <c r="AX80" s="553"/>
      <c r="AY80" s="350"/>
      <c r="AZ80" s="351"/>
      <c r="BA80" s="554"/>
      <c r="BB80" s="351"/>
      <c r="BC80" s="39"/>
      <c r="BD80" s="546" t="s">
        <v>325</v>
      </c>
      <c r="BE80" s="351"/>
      <c r="BF80" s="547"/>
      <c r="BG80" s="350"/>
      <c r="BH80" s="350"/>
      <c r="BI80" s="351"/>
      <c r="BJ80" s="548" t="s">
        <v>294</v>
      </c>
      <c r="BK80" s="350"/>
      <c r="BL80" s="350"/>
      <c r="BM80" s="351"/>
      <c r="BN80" s="530" t="s">
        <v>294</v>
      </c>
      <c r="BO80" s="350"/>
      <c r="BP80" s="350"/>
      <c r="BQ80" s="350"/>
      <c r="BR80" s="350"/>
      <c r="BS80" s="350"/>
      <c r="BT80" s="350"/>
      <c r="BU80" s="350"/>
      <c r="BV80" s="351"/>
    </row>
    <row r="81" spans="1:74" ht="45" customHeight="1">
      <c r="A81" s="24">
        <f t="shared" si="0"/>
        <v>67</v>
      </c>
      <c r="B81" s="558" t="s">
        <v>294</v>
      </c>
      <c r="C81" s="351"/>
      <c r="D81" s="559" t="s">
        <v>298</v>
      </c>
      <c r="E81" s="351"/>
      <c r="F81" s="524" t="s">
        <v>325</v>
      </c>
      <c r="G81" s="351"/>
      <c r="H81" s="561" t="s">
        <v>325</v>
      </c>
      <c r="I81" s="351"/>
      <c r="J81" s="562"/>
      <c r="K81" s="351"/>
      <c r="L81" s="562"/>
      <c r="M81" s="351"/>
      <c r="N81" s="34"/>
      <c r="O81" s="38"/>
      <c r="P81" s="526"/>
      <c r="Q81" s="351"/>
      <c r="R81" s="535"/>
      <c r="S81" s="351"/>
      <c r="T81" s="536"/>
      <c r="U81" s="351"/>
      <c r="V81" s="537"/>
      <c r="W81" s="351"/>
      <c r="X81" s="538" t="s">
        <v>294</v>
      </c>
      <c r="Y81" s="350"/>
      <c r="Z81" s="350"/>
      <c r="AA81" s="351"/>
      <c r="AB81" s="539" t="s">
        <v>294</v>
      </c>
      <c r="AC81" s="350"/>
      <c r="AD81" s="350"/>
      <c r="AE81" s="351"/>
      <c r="AF81" s="540"/>
      <c r="AG81" s="351"/>
      <c r="AH81" s="540"/>
      <c r="AI81" s="351"/>
      <c r="AJ81" s="532"/>
      <c r="AK81" s="351"/>
      <c r="AL81" s="555" t="s">
        <v>325</v>
      </c>
      <c r="AM81" s="351"/>
      <c r="AN81" s="531" t="s">
        <v>325</v>
      </c>
      <c r="AO81" s="351"/>
      <c r="AP81" s="532"/>
      <c r="AQ81" s="351"/>
      <c r="AR81" s="533"/>
      <c r="AS81" s="351"/>
      <c r="AT81" s="534"/>
      <c r="AU81" s="351"/>
      <c r="AV81" s="531" t="s">
        <v>325</v>
      </c>
      <c r="AW81" s="351"/>
      <c r="AX81" s="553"/>
      <c r="AY81" s="350"/>
      <c r="AZ81" s="351"/>
      <c r="BA81" s="545"/>
      <c r="BB81" s="351"/>
      <c r="BC81" s="36"/>
      <c r="BD81" s="556" t="s">
        <v>392</v>
      </c>
      <c r="BE81" s="351"/>
      <c r="BF81" s="557"/>
      <c r="BG81" s="350"/>
      <c r="BH81" s="350"/>
      <c r="BI81" s="351"/>
      <c r="BJ81" s="506" t="s">
        <v>294</v>
      </c>
      <c r="BK81" s="350"/>
      <c r="BL81" s="350"/>
      <c r="BM81" s="351"/>
      <c r="BN81" s="530" t="s">
        <v>294</v>
      </c>
      <c r="BO81" s="350"/>
      <c r="BP81" s="350"/>
      <c r="BQ81" s="350"/>
      <c r="BR81" s="350"/>
      <c r="BS81" s="350"/>
      <c r="BT81" s="350"/>
      <c r="BU81" s="350"/>
      <c r="BV81" s="351"/>
    </row>
    <row r="82" spans="1:74" ht="45" customHeight="1">
      <c r="A82" s="24">
        <f t="shared" si="0"/>
        <v>68</v>
      </c>
      <c r="B82" s="522" t="s">
        <v>294</v>
      </c>
      <c r="C82" s="351"/>
      <c r="D82" s="523" t="s">
        <v>298</v>
      </c>
      <c r="E82" s="351"/>
      <c r="F82" s="524" t="s">
        <v>325</v>
      </c>
      <c r="G82" s="351"/>
      <c r="H82" s="525" t="s">
        <v>325</v>
      </c>
      <c r="I82" s="351"/>
      <c r="J82" s="563"/>
      <c r="K82" s="351"/>
      <c r="L82" s="563"/>
      <c r="M82" s="351"/>
      <c r="N82" s="37"/>
      <c r="O82" s="35"/>
      <c r="P82" s="560"/>
      <c r="Q82" s="351"/>
      <c r="R82" s="527"/>
      <c r="S82" s="351"/>
      <c r="T82" s="528"/>
      <c r="U82" s="351"/>
      <c r="V82" s="541"/>
      <c r="W82" s="351"/>
      <c r="X82" s="542" t="s">
        <v>294</v>
      </c>
      <c r="Y82" s="350"/>
      <c r="Z82" s="350"/>
      <c r="AA82" s="351"/>
      <c r="AB82" s="543" t="s">
        <v>294</v>
      </c>
      <c r="AC82" s="350"/>
      <c r="AD82" s="350"/>
      <c r="AE82" s="351"/>
      <c r="AF82" s="544"/>
      <c r="AG82" s="351"/>
      <c r="AH82" s="544"/>
      <c r="AI82" s="351"/>
      <c r="AJ82" s="545"/>
      <c r="AK82" s="351"/>
      <c r="AL82" s="524" t="s">
        <v>325</v>
      </c>
      <c r="AM82" s="351"/>
      <c r="AN82" s="549" t="s">
        <v>325</v>
      </c>
      <c r="AO82" s="351"/>
      <c r="AP82" s="550"/>
      <c r="AQ82" s="351"/>
      <c r="AR82" s="551"/>
      <c r="AS82" s="351"/>
      <c r="AT82" s="534"/>
      <c r="AU82" s="351"/>
      <c r="AV82" s="549" t="s">
        <v>325</v>
      </c>
      <c r="AW82" s="351"/>
      <c r="AX82" s="553"/>
      <c r="AY82" s="350"/>
      <c r="AZ82" s="351"/>
      <c r="BA82" s="554"/>
      <c r="BB82" s="351"/>
      <c r="BC82" s="39"/>
      <c r="BD82" s="546" t="s">
        <v>325</v>
      </c>
      <c r="BE82" s="351"/>
      <c r="BF82" s="547"/>
      <c r="BG82" s="350"/>
      <c r="BH82" s="350"/>
      <c r="BI82" s="351"/>
      <c r="BJ82" s="548" t="s">
        <v>294</v>
      </c>
      <c r="BK82" s="350"/>
      <c r="BL82" s="350"/>
      <c r="BM82" s="351"/>
      <c r="BN82" s="530" t="s">
        <v>294</v>
      </c>
      <c r="BO82" s="350"/>
      <c r="BP82" s="350"/>
      <c r="BQ82" s="350"/>
      <c r="BR82" s="350"/>
      <c r="BS82" s="350"/>
      <c r="BT82" s="350"/>
      <c r="BU82" s="350"/>
      <c r="BV82" s="351"/>
    </row>
    <row r="83" spans="1:74" ht="45" customHeight="1">
      <c r="A83" s="24">
        <f t="shared" si="0"/>
        <v>69</v>
      </c>
      <c r="B83" s="558" t="s">
        <v>294</v>
      </c>
      <c r="C83" s="351"/>
      <c r="D83" s="559" t="s">
        <v>298</v>
      </c>
      <c r="E83" s="351"/>
      <c r="F83" s="524" t="s">
        <v>325</v>
      </c>
      <c r="G83" s="351"/>
      <c r="H83" s="561" t="s">
        <v>325</v>
      </c>
      <c r="I83" s="351"/>
      <c r="J83" s="562"/>
      <c r="K83" s="351"/>
      <c r="L83" s="562"/>
      <c r="M83" s="351"/>
      <c r="N83" s="34"/>
      <c r="O83" s="38"/>
      <c r="P83" s="526"/>
      <c r="Q83" s="351"/>
      <c r="R83" s="535"/>
      <c r="S83" s="351"/>
      <c r="T83" s="536"/>
      <c r="U83" s="351"/>
      <c r="V83" s="537"/>
      <c r="W83" s="351"/>
      <c r="X83" s="538" t="s">
        <v>294</v>
      </c>
      <c r="Y83" s="350"/>
      <c r="Z83" s="350"/>
      <c r="AA83" s="351"/>
      <c r="AB83" s="539" t="s">
        <v>294</v>
      </c>
      <c r="AC83" s="350"/>
      <c r="AD83" s="350"/>
      <c r="AE83" s="351"/>
      <c r="AF83" s="540"/>
      <c r="AG83" s="351"/>
      <c r="AH83" s="540"/>
      <c r="AI83" s="351"/>
      <c r="AJ83" s="532"/>
      <c r="AK83" s="351"/>
      <c r="AL83" s="555" t="s">
        <v>325</v>
      </c>
      <c r="AM83" s="351"/>
      <c r="AN83" s="531" t="s">
        <v>325</v>
      </c>
      <c r="AO83" s="351"/>
      <c r="AP83" s="532"/>
      <c r="AQ83" s="351"/>
      <c r="AR83" s="533"/>
      <c r="AS83" s="351"/>
      <c r="AT83" s="534"/>
      <c r="AU83" s="351"/>
      <c r="AV83" s="531" t="s">
        <v>325</v>
      </c>
      <c r="AW83" s="351"/>
      <c r="AX83" s="553"/>
      <c r="AY83" s="350"/>
      <c r="AZ83" s="351"/>
      <c r="BA83" s="545"/>
      <c r="BB83" s="351"/>
      <c r="BC83" s="36"/>
      <c r="BD83" s="556" t="s">
        <v>325</v>
      </c>
      <c r="BE83" s="351"/>
      <c r="BF83" s="529"/>
      <c r="BG83" s="350"/>
      <c r="BH83" s="350"/>
      <c r="BI83" s="351"/>
      <c r="BJ83" s="506" t="s">
        <v>294</v>
      </c>
      <c r="BK83" s="350"/>
      <c r="BL83" s="350"/>
      <c r="BM83" s="351"/>
      <c r="BN83" s="530" t="s">
        <v>294</v>
      </c>
      <c r="BO83" s="350"/>
      <c r="BP83" s="350"/>
      <c r="BQ83" s="350"/>
      <c r="BR83" s="350"/>
      <c r="BS83" s="350"/>
      <c r="BT83" s="350"/>
      <c r="BU83" s="350"/>
      <c r="BV83" s="351"/>
    </row>
    <row r="84" spans="1:74" ht="45" customHeight="1">
      <c r="A84" s="24">
        <f t="shared" si="0"/>
        <v>70</v>
      </c>
      <c r="B84" s="522" t="s">
        <v>294</v>
      </c>
      <c r="C84" s="351"/>
      <c r="D84" s="523" t="s">
        <v>298</v>
      </c>
      <c r="E84" s="351"/>
      <c r="F84" s="524" t="s">
        <v>325</v>
      </c>
      <c r="G84" s="351"/>
      <c r="H84" s="525" t="s">
        <v>325</v>
      </c>
      <c r="I84" s="351"/>
      <c r="J84" s="563"/>
      <c r="K84" s="351"/>
      <c r="L84" s="563"/>
      <c r="M84" s="351"/>
      <c r="N84" s="37"/>
      <c r="O84" s="35"/>
      <c r="P84" s="560"/>
      <c r="Q84" s="351"/>
      <c r="R84" s="527"/>
      <c r="S84" s="351"/>
      <c r="T84" s="528"/>
      <c r="U84" s="351"/>
      <c r="V84" s="541"/>
      <c r="W84" s="351"/>
      <c r="X84" s="542" t="s">
        <v>294</v>
      </c>
      <c r="Y84" s="350"/>
      <c r="Z84" s="350"/>
      <c r="AA84" s="351"/>
      <c r="AB84" s="543" t="s">
        <v>294</v>
      </c>
      <c r="AC84" s="350"/>
      <c r="AD84" s="350"/>
      <c r="AE84" s="351"/>
      <c r="AF84" s="544"/>
      <c r="AG84" s="351"/>
      <c r="AH84" s="544"/>
      <c r="AI84" s="351"/>
      <c r="AJ84" s="545"/>
      <c r="AK84" s="351"/>
      <c r="AL84" s="524" t="s">
        <v>325</v>
      </c>
      <c r="AM84" s="351"/>
      <c r="AN84" s="549" t="s">
        <v>325</v>
      </c>
      <c r="AO84" s="351"/>
      <c r="AP84" s="550"/>
      <c r="AQ84" s="351"/>
      <c r="AR84" s="551"/>
      <c r="AS84" s="351"/>
      <c r="AT84" s="534"/>
      <c r="AU84" s="351"/>
      <c r="AV84" s="549" t="s">
        <v>325</v>
      </c>
      <c r="AW84" s="351"/>
      <c r="AX84" s="553"/>
      <c r="AY84" s="350"/>
      <c r="AZ84" s="351"/>
      <c r="BA84" s="554"/>
      <c r="BB84" s="351"/>
      <c r="BC84" s="39"/>
      <c r="BD84" s="546" t="s">
        <v>325</v>
      </c>
      <c r="BE84" s="351"/>
      <c r="BF84" s="547"/>
      <c r="BG84" s="350"/>
      <c r="BH84" s="350"/>
      <c r="BI84" s="351"/>
      <c r="BJ84" s="548" t="s">
        <v>294</v>
      </c>
      <c r="BK84" s="350"/>
      <c r="BL84" s="350"/>
      <c r="BM84" s="351"/>
      <c r="BN84" s="530" t="s">
        <v>294</v>
      </c>
      <c r="BO84" s="350"/>
      <c r="BP84" s="350"/>
      <c r="BQ84" s="350"/>
      <c r="BR84" s="350"/>
      <c r="BS84" s="350"/>
      <c r="BT84" s="350"/>
      <c r="BU84" s="350"/>
      <c r="BV84" s="351"/>
    </row>
    <row r="85" spans="1:74" ht="45" customHeight="1">
      <c r="A85" s="24">
        <f t="shared" si="0"/>
        <v>71</v>
      </c>
      <c r="B85" s="558" t="s">
        <v>294</v>
      </c>
      <c r="C85" s="351"/>
      <c r="D85" s="559" t="s">
        <v>298</v>
      </c>
      <c r="E85" s="351"/>
      <c r="F85" s="524" t="s">
        <v>325</v>
      </c>
      <c r="G85" s="351"/>
      <c r="H85" s="561" t="s">
        <v>325</v>
      </c>
      <c r="I85" s="351"/>
      <c r="J85" s="562"/>
      <c r="K85" s="351"/>
      <c r="L85" s="562"/>
      <c r="M85" s="351"/>
      <c r="N85" s="34"/>
      <c r="O85" s="38"/>
      <c r="P85" s="526"/>
      <c r="Q85" s="351"/>
      <c r="R85" s="535"/>
      <c r="S85" s="351"/>
      <c r="T85" s="536"/>
      <c r="U85" s="351"/>
      <c r="V85" s="537"/>
      <c r="W85" s="351"/>
      <c r="X85" s="538" t="s">
        <v>294</v>
      </c>
      <c r="Y85" s="350"/>
      <c r="Z85" s="350"/>
      <c r="AA85" s="351"/>
      <c r="AB85" s="539" t="s">
        <v>294</v>
      </c>
      <c r="AC85" s="350"/>
      <c r="AD85" s="350"/>
      <c r="AE85" s="351"/>
      <c r="AF85" s="540"/>
      <c r="AG85" s="351"/>
      <c r="AH85" s="540"/>
      <c r="AI85" s="351"/>
      <c r="AJ85" s="532"/>
      <c r="AK85" s="351"/>
      <c r="AL85" s="555" t="s">
        <v>325</v>
      </c>
      <c r="AM85" s="351"/>
      <c r="AN85" s="531" t="s">
        <v>325</v>
      </c>
      <c r="AO85" s="351"/>
      <c r="AP85" s="532"/>
      <c r="AQ85" s="351"/>
      <c r="AR85" s="533"/>
      <c r="AS85" s="351"/>
      <c r="AT85" s="534"/>
      <c r="AU85" s="351"/>
      <c r="AV85" s="531" t="s">
        <v>325</v>
      </c>
      <c r="AW85" s="351"/>
      <c r="AX85" s="553"/>
      <c r="AY85" s="350"/>
      <c r="AZ85" s="351"/>
      <c r="BA85" s="545"/>
      <c r="BB85" s="351"/>
      <c r="BC85" s="36"/>
      <c r="BD85" s="556" t="s">
        <v>325</v>
      </c>
      <c r="BE85" s="351"/>
      <c r="BF85" s="529"/>
      <c r="BG85" s="350"/>
      <c r="BH85" s="350"/>
      <c r="BI85" s="351"/>
      <c r="BJ85" s="506" t="s">
        <v>294</v>
      </c>
      <c r="BK85" s="350"/>
      <c r="BL85" s="350"/>
      <c r="BM85" s="351"/>
      <c r="BN85" s="530" t="s">
        <v>294</v>
      </c>
      <c r="BO85" s="350"/>
      <c r="BP85" s="350"/>
      <c r="BQ85" s="350"/>
      <c r="BR85" s="350"/>
      <c r="BS85" s="350"/>
      <c r="BT85" s="350"/>
      <c r="BU85" s="350"/>
      <c r="BV85" s="351"/>
    </row>
    <row r="86" spans="1:74" ht="45" customHeight="1">
      <c r="A86" s="24">
        <f t="shared" si="0"/>
        <v>72</v>
      </c>
      <c r="B86" s="522" t="s">
        <v>294</v>
      </c>
      <c r="C86" s="351"/>
      <c r="D86" s="523" t="s">
        <v>298</v>
      </c>
      <c r="E86" s="351"/>
      <c r="F86" s="524" t="s">
        <v>325</v>
      </c>
      <c r="G86" s="351"/>
      <c r="H86" s="525" t="s">
        <v>325</v>
      </c>
      <c r="I86" s="351"/>
      <c r="J86" s="563"/>
      <c r="K86" s="351"/>
      <c r="L86" s="563"/>
      <c r="M86" s="351"/>
      <c r="N86" s="37"/>
      <c r="O86" s="35"/>
      <c r="P86" s="560"/>
      <c r="Q86" s="351"/>
      <c r="R86" s="527"/>
      <c r="S86" s="351"/>
      <c r="T86" s="528"/>
      <c r="U86" s="351"/>
      <c r="V86" s="541"/>
      <c r="W86" s="351"/>
      <c r="X86" s="542" t="s">
        <v>294</v>
      </c>
      <c r="Y86" s="350"/>
      <c r="Z86" s="350"/>
      <c r="AA86" s="351"/>
      <c r="AB86" s="543" t="s">
        <v>294</v>
      </c>
      <c r="AC86" s="350"/>
      <c r="AD86" s="350"/>
      <c r="AE86" s="351"/>
      <c r="AF86" s="544"/>
      <c r="AG86" s="351"/>
      <c r="AH86" s="544"/>
      <c r="AI86" s="351"/>
      <c r="AJ86" s="545"/>
      <c r="AK86" s="351"/>
      <c r="AL86" s="524" t="s">
        <v>325</v>
      </c>
      <c r="AM86" s="351"/>
      <c r="AN86" s="549" t="s">
        <v>325</v>
      </c>
      <c r="AO86" s="351"/>
      <c r="AP86" s="550"/>
      <c r="AQ86" s="351"/>
      <c r="AR86" s="551"/>
      <c r="AS86" s="351"/>
      <c r="AT86" s="534"/>
      <c r="AU86" s="351"/>
      <c r="AV86" s="549" t="s">
        <v>325</v>
      </c>
      <c r="AW86" s="351"/>
      <c r="AX86" s="553"/>
      <c r="AY86" s="350"/>
      <c r="AZ86" s="351"/>
      <c r="BA86" s="554"/>
      <c r="BB86" s="351"/>
      <c r="BC86" s="39"/>
      <c r="BD86" s="546" t="s">
        <v>325</v>
      </c>
      <c r="BE86" s="351"/>
      <c r="BF86" s="547"/>
      <c r="BG86" s="350"/>
      <c r="BH86" s="350"/>
      <c r="BI86" s="351"/>
      <c r="BJ86" s="548" t="s">
        <v>294</v>
      </c>
      <c r="BK86" s="350"/>
      <c r="BL86" s="350"/>
      <c r="BM86" s="351"/>
      <c r="BN86" s="530" t="s">
        <v>294</v>
      </c>
      <c r="BO86" s="350"/>
      <c r="BP86" s="350"/>
      <c r="BQ86" s="350"/>
      <c r="BR86" s="350"/>
      <c r="BS86" s="350"/>
      <c r="BT86" s="350"/>
      <c r="BU86" s="350"/>
      <c r="BV86" s="351"/>
    </row>
    <row r="87" spans="1:74" ht="45" customHeight="1">
      <c r="A87" s="24">
        <f t="shared" si="0"/>
        <v>73</v>
      </c>
      <c r="B87" s="558" t="s">
        <v>294</v>
      </c>
      <c r="C87" s="351"/>
      <c r="D87" s="559" t="s">
        <v>298</v>
      </c>
      <c r="E87" s="351"/>
      <c r="F87" s="524" t="s">
        <v>325</v>
      </c>
      <c r="G87" s="351"/>
      <c r="H87" s="561" t="s">
        <v>325</v>
      </c>
      <c r="I87" s="351"/>
      <c r="J87" s="562"/>
      <c r="K87" s="351"/>
      <c r="L87" s="562"/>
      <c r="M87" s="351"/>
      <c r="N87" s="34"/>
      <c r="O87" s="38"/>
      <c r="P87" s="526"/>
      <c r="Q87" s="351"/>
      <c r="R87" s="535"/>
      <c r="S87" s="351"/>
      <c r="T87" s="536"/>
      <c r="U87" s="351"/>
      <c r="V87" s="537"/>
      <c r="W87" s="351"/>
      <c r="X87" s="538" t="s">
        <v>294</v>
      </c>
      <c r="Y87" s="350"/>
      <c r="Z87" s="350"/>
      <c r="AA87" s="351"/>
      <c r="AB87" s="539" t="s">
        <v>294</v>
      </c>
      <c r="AC87" s="350"/>
      <c r="AD87" s="350"/>
      <c r="AE87" s="351"/>
      <c r="AF87" s="540"/>
      <c r="AG87" s="351"/>
      <c r="AH87" s="540"/>
      <c r="AI87" s="351"/>
      <c r="AJ87" s="532"/>
      <c r="AK87" s="351"/>
      <c r="AL87" s="555" t="s">
        <v>325</v>
      </c>
      <c r="AM87" s="351"/>
      <c r="AN87" s="531" t="s">
        <v>325</v>
      </c>
      <c r="AO87" s="351"/>
      <c r="AP87" s="532"/>
      <c r="AQ87" s="351"/>
      <c r="AR87" s="533"/>
      <c r="AS87" s="351"/>
      <c r="AT87" s="534"/>
      <c r="AU87" s="351"/>
      <c r="AV87" s="531" t="s">
        <v>325</v>
      </c>
      <c r="AW87" s="351"/>
      <c r="AX87" s="553"/>
      <c r="AY87" s="350"/>
      <c r="AZ87" s="351"/>
      <c r="BA87" s="545"/>
      <c r="BB87" s="351"/>
      <c r="BC87" s="36"/>
      <c r="BD87" s="556" t="s">
        <v>325</v>
      </c>
      <c r="BE87" s="351"/>
      <c r="BF87" s="557"/>
      <c r="BG87" s="350"/>
      <c r="BH87" s="350"/>
      <c r="BI87" s="351"/>
      <c r="BJ87" s="506" t="s">
        <v>294</v>
      </c>
      <c r="BK87" s="350"/>
      <c r="BL87" s="350"/>
      <c r="BM87" s="351"/>
      <c r="BN87" s="530" t="s">
        <v>294</v>
      </c>
      <c r="BO87" s="350"/>
      <c r="BP87" s="350"/>
      <c r="BQ87" s="350"/>
      <c r="BR87" s="350"/>
      <c r="BS87" s="350"/>
      <c r="BT87" s="350"/>
      <c r="BU87" s="350"/>
      <c r="BV87" s="351"/>
    </row>
    <row r="88" spans="1:74" ht="45" customHeight="1">
      <c r="A88" s="24">
        <f t="shared" si="0"/>
        <v>74</v>
      </c>
      <c r="B88" s="522" t="s">
        <v>294</v>
      </c>
      <c r="C88" s="351"/>
      <c r="D88" s="523" t="s">
        <v>298</v>
      </c>
      <c r="E88" s="351"/>
      <c r="F88" s="524" t="s">
        <v>325</v>
      </c>
      <c r="G88" s="351"/>
      <c r="H88" s="525" t="s">
        <v>325</v>
      </c>
      <c r="I88" s="351"/>
      <c r="J88" s="563"/>
      <c r="K88" s="351"/>
      <c r="L88" s="563"/>
      <c r="M88" s="351"/>
      <c r="N88" s="37"/>
      <c r="O88" s="35"/>
      <c r="P88" s="560"/>
      <c r="Q88" s="351"/>
      <c r="R88" s="527"/>
      <c r="S88" s="351"/>
      <c r="T88" s="528"/>
      <c r="U88" s="351"/>
      <c r="V88" s="541"/>
      <c r="W88" s="351"/>
      <c r="X88" s="542" t="s">
        <v>294</v>
      </c>
      <c r="Y88" s="350"/>
      <c r="Z88" s="350"/>
      <c r="AA88" s="351"/>
      <c r="AB88" s="543" t="s">
        <v>294</v>
      </c>
      <c r="AC88" s="350"/>
      <c r="AD88" s="350"/>
      <c r="AE88" s="351"/>
      <c r="AF88" s="544"/>
      <c r="AG88" s="351"/>
      <c r="AH88" s="544"/>
      <c r="AI88" s="351"/>
      <c r="AJ88" s="545"/>
      <c r="AK88" s="351"/>
      <c r="AL88" s="524" t="s">
        <v>325</v>
      </c>
      <c r="AM88" s="351"/>
      <c r="AN88" s="549" t="s">
        <v>325</v>
      </c>
      <c r="AO88" s="351"/>
      <c r="AP88" s="550"/>
      <c r="AQ88" s="351"/>
      <c r="AR88" s="551"/>
      <c r="AS88" s="351"/>
      <c r="AT88" s="534"/>
      <c r="AU88" s="351"/>
      <c r="AV88" s="549" t="s">
        <v>325</v>
      </c>
      <c r="AW88" s="351"/>
      <c r="AX88" s="553"/>
      <c r="AY88" s="350"/>
      <c r="AZ88" s="351"/>
      <c r="BA88" s="554"/>
      <c r="BB88" s="351"/>
      <c r="BC88" s="39"/>
      <c r="BD88" s="546" t="s">
        <v>325</v>
      </c>
      <c r="BE88" s="351"/>
      <c r="BF88" s="547"/>
      <c r="BG88" s="350"/>
      <c r="BH88" s="350"/>
      <c r="BI88" s="351"/>
      <c r="BJ88" s="548" t="s">
        <v>294</v>
      </c>
      <c r="BK88" s="350"/>
      <c r="BL88" s="350"/>
      <c r="BM88" s="351"/>
      <c r="BN88" s="530" t="s">
        <v>294</v>
      </c>
      <c r="BO88" s="350"/>
      <c r="BP88" s="350"/>
      <c r="BQ88" s="350"/>
      <c r="BR88" s="350"/>
      <c r="BS88" s="350"/>
      <c r="BT88" s="350"/>
      <c r="BU88" s="350"/>
      <c r="BV88" s="351"/>
    </row>
    <row r="89" spans="1:74" ht="45" customHeight="1">
      <c r="A89" s="24">
        <f t="shared" si="0"/>
        <v>75</v>
      </c>
      <c r="B89" s="558" t="s">
        <v>294</v>
      </c>
      <c r="C89" s="351"/>
      <c r="D89" s="559" t="s">
        <v>298</v>
      </c>
      <c r="E89" s="351"/>
      <c r="F89" s="524" t="s">
        <v>325</v>
      </c>
      <c r="G89" s="351"/>
      <c r="H89" s="561" t="s">
        <v>325</v>
      </c>
      <c r="I89" s="351"/>
      <c r="J89" s="562"/>
      <c r="K89" s="351"/>
      <c r="L89" s="562"/>
      <c r="M89" s="351"/>
      <c r="N89" s="34"/>
      <c r="O89" s="38"/>
      <c r="P89" s="526"/>
      <c r="Q89" s="351"/>
      <c r="R89" s="535"/>
      <c r="S89" s="351"/>
      <c r="T89" s="536"/>
      <c r="U89" s="351"/>
      <c r="V89" s="537"/>
      <c r="W89" s="351"/>
      <c r="X89" s="538" t="s">
        <v>294</v>
      </c>
      <c r="Y89" s="350"/>
      <c r="Z89" s="350"/>
      <c r="AA89" s="351"/>
      <c r="AB89" s="539" t="s">
        <v>294</v>
      </c>
      <c r="AC89" s="350"/>
      <c r="AD89" s="350"/>
      <c r="AE89" s="351"/>
      <c r="AF89" s="540"/>
      <c r="AG89" s="351"/>
      <c r="AH89" s="540"/>
      <c r="AI89" s="351"/>
      <c r="AJ89" s="532"/>
      <c r="AK89" s="351"/>
      <c r="AL89" s="555" t="s">
        <v>325</v>
      </c>
      <c r="AM89" s="351"/>
      <c r="AN89" s="531" t="s">
        <v>325</v>
      </c>
      <c r="AO89" s="351"/>
      <c r="AP89" s="532"/>
      <c r="AQ89" s="351"/>
      <c r="AR89" s="533"/>
      <c r="AS89" s="351"/>
      <c r="AT89" s="534"/>
      <c r="AU89" s="351"/>
      <c r="AV89" s="531" t="s">
        <v>325</v>
      </c>
      <c r="AW89" s="351"/>
      <c r="AX89" s="553"/>
      <c r="AY89" s="350"/>
      <c r="AZ89" s="351"/>
      <c r="BA89" s="545"/>
      <c r="BB89" s="351"/>
      <c r="BC89" s="36"/>
      <c r="BD89" s="556" t="s">
        <v>325</v>
      </c>
      <c r="BE89" s="351"/>
      <c r="BF89" s="529"/>
      <c r="BG89" s="350"/>
      <c r="BH89" s="350"/>
      <c r="BI89" s="351"/>
      <c r="BJ89" s="506" t="s">
        <v>294</v>
      </c>
      <c r="BK89" s="350"/>
      <c r="BL89" s="350"/>
      <c r="BM89" s="351"/>
      <c r="BN89" s="530" t="s">
        <v>294</v>
      </c>
      <c r="BO89" s="350"/>
      <c r="BP89" s="350"/>
      <c r="BQ89" s="350"/>
      <c r="BR89" s="350"/>
      <c r="BS89" s="350"/>
      <c r="BT89" s="350"/>
      <c r="BU89" s="350"/>
      <c r="BV89" s="351"/>
    </row>
    <row r="90" spans="1:74" ht="45" customHeight="1">
      <c r="A90" s="24">
        <f t="shared" si="0"/>
        <v>76</v>
      </c>
      <c r="B90" s="522" t="s">
        <v>294</v>
      </c>
      <c r="C90" s="351"/>
      <c r="D90" s="523" t="s">
        <v>298</v>
      </c>
      <c r="E90" s="351"/>
      <c r="F90" s="524" t="s">
        <v>325</v>
      </c>
      <c r="G90" s="351"/>
      <c r="H90" s="525" t="s">
        <v>325</v>
      </c>
      <c r="I90" s="351"/>
      <c r="J90" s="563"/>
      <c r="K90" s="351"/>
      <c r="L90" s="563"/>
      <c r="M90" s="351"/>
      <c r="N90" s="37"/>
      <c r="O90" s="35"/>
      <c r="P90" s="560"/>
      <c r="Q90" s="351"/>
      <c r="R90" s="527"/>
      <c r="S90" s="351"/>
      <c r="T90" s="528"/>
      <c r="U90" s="351"/>
      <c r="V90" s="541"/>
      <c r="W90" s="351"/>
      <c r="X90" s="542" t="s">
        <v>294</v>
      </c>
      <c r="Y90" s="350"/>
      <c r="Z90" s="350"/>
      <c r="AA90" s="351"/>
      <c r="AB90" s="543" t="s">
        <v>294</v>
      </c>
      <c r="AC90" s="350"/>
      <c r="AD90" s="350"/>
      <c r="AE90" s="351"/>
      <c r="AF90" s="544"/>
      <c r="AG90" s="351"/>
      <c r="AH90" s="544"/>
      <c r="AI90" s="351"/>
      <c r="AJ90" s="545"/>
      <c r="AK90" s="351"/>
      <c r="AL90" s="524" t="s">
        <v>325</v>
      </c>
      <c r="AM90" s="351"/>
      <c r="AN90" s="549" t="s">
        <v>325</v>
      </c>
      <c r="AO90" s="351"/>
      <c r="AP90" s="550"/>
      <c r="AQ90" s="351"/>
      <c r="AR90" s="551"/>
      <c r="AS90" s="351"/>
      <c r="AT90" s="534"/>
      <c r="AU90" s="351"/>
      <c r="AV90" s="549" t="s">
        <v>325</v>
      </c>
      <c r="AW90" s="351"/>
      <c r="AX90" s="553"/>
      <c r="AY90" s="350"/>
      <c r="AZ90" s="351"/>
      <c r="BA90" s="554"/>
      <c r="BB90" s="351"/>
      <c r="BC90" s="39"/>
      <c r="BD90" s="546" t="s">
        <v>325</v>
      </c>
      <c r="BE90" s="351"/>
      <c r="BF90" s="547"/>
      <c r="BG90" s="350"/>
      <c r="BH90" s="350"/>
      <c r="BI90" s="351"/>
      <c r="BJ90" s="548" t="s">
        <v>294</v>
      </c>
      <c r="BK90" s="350"/>
      <c r="BL90" s="350"/>
      <c r="BM90" s="351"/>
      <c r="BN90" s="530" t="s">
        <v>294</v>
      </c>
      <c r="BO90" s="350"/>
      <c r="BP90" s="350"/>
      <c r="BQ90" s="350"/>
      <c r="BR90" s="350"/>
      <c r="BS90" s="350"/>
      <c r="BT90" s="350"/>
      <c r="BU90" s="350"/>
      <c r="BV90" s="351"/>
    </row>
    <row r="91" spans="1:74" ht="45" customHeight="1">
      <c r="A91" s="24">
        <f t="shared" si="0"/>
        <v>77</v>
      </c>
      <c r="B91" s="558" t="s">
        <v>294</v>
      </c>
      <c r="C91" s="351"/>
      <c r="D91" s="559" t="s">
        <v>298</v>
      </c>
      <c r="E91" s="351"/>
      <c r="F91" s="524" t="s">
        <v>325</v>
      </c>
      <c r="G91" s="351"/>
      <c r="H91" s="561" t="s">
        <v>325</v>
      </c>
      <c r="I91" s="351"/>
      <c r="J91" s="562"/>
      <c r="K91" s="351"/>
      <c r="L91" s="562"/>
      <c r="M91" s="351"/>
      <c r="N91" s="34"/>
      <c r="O91" s="38"/>
      <c r="P91" s="526"/>
      <c r="Q91" s="351"/>
      <c r="R91" s="535"/>
      <c r="S91" s="351"/>
      <c r="T91" s="536"/>
      <c r="U91" s="351"/>
      <c r="V91" s="537"/>
      <c r="W91" s="351"/>
      <c r="X91" s="538" t="s">
        <v>294</v>
      </c>
      <c r="Y91" s="350"/>
      <c r="Z91" s="350"/>
      <c r="AA91" s="351"/>
      <c r="AB91" s="539" t="s">
        <v>294</v>
      </c>
      <c r="AC91" s="350"/>
      <c r="AD91" s="350"/>
      <c r="AE91" s="351"/>
      <c r="AF91" s="540"/>
      <c r="AG91" s="351"/>
      <c r="AH91" s="540"/>
      <c r="AI91" s="351"/>
      <c r="AJ91" s="532"/>
      <c r="AK91" s="351"/>
      <c r="AL91" s="555" t="s">
        <v>325</v>
      </c>
      <c r="AM91" s="351"/>
      <c r="AN91" s="531" t="s">
        <v>325</v>
      </c>
      <c r="AO91" s="351"/>
      <c r="AP91" s="532"/>
      <c r="AQ91" s="351"/>
      <c r="AR91" s="533"/>
      <c r="AS91" s="351"/>
      <c r="AT91" s="534"/>
      <c r="AU91" s="351"/>
      <c r="AV91" s="531" t="s">
        <v>325</v>
      </c>
      <c r="AW91" s="351"/>
      <c r="AX91" s="553"/>
      <c r="AY91" s="350"/>
      <c r="AZ91" s="351"/>
      <c r="BA91" s="545"/>
      <c r="BB91" s="351"/>
      <c r="BC91" s="36"/>
      <c r="BD91" s="556" t="s">
        <v>325</v>
      </c>
      <c r="BE91" s="351"/>
      <c r="BF91" s="557"/>
      <c r="BG91" s="350"/>
      <c r="BH91" s="350"/>
      <c r="BI91" s="351"/>
      <c r="BJ91" s="506" t="s">
        <v>294</v>
      </c>
      <c r="BK91" s="350"/>
      <c r="BL91" s="350"/>
      <c r="BM91" s="351"/>
      <c r="BN91" s="530" t="s">
        <v>294</v>
      </c>
      <c r="BO91" s="350"/>
      <c r="BP91" s="350"/>
      <c r="BQ91" s="350"/>
      <c r="BR91" s="350"/>
      <c r="BS91" s="350"/>
      <c r="BT91" s="350"/>
      <c r="BU91" s="350"/>
      <c r="BV91" s="351"/>
    </row>
    <row r="92" spans="1:74" ht="45" customHeight="1">
      <c r="A92" s="24">
        <f t="shared" si="0"/>
        <v>78</v>
      </c>
      <c r="B92" s="522" t="s">
        <v>294</v>
      </c>
      <c r="C92" s="351"/>
      <c r="D92" s="523" t="s">
        <v>298</v>
      </c>
      <c r="E92" s="351"/>
      <c r="F92" s="524" t="s">
        <v>325</v>
      </c>
      <c r="G92" s="351"/>
      <c r="H92" s="525" t="s">
        <v>325</v>
      </c>
      <c r="I92" s="351"/>
      <c r="J92" s="563"/>
      <c r="K92" s="351"/>
      <c r="L92" s="563"/>
      <c r="M92" s="351"/>
      <c r="N92" s="37"/>
      <c r="O92" s="35"/>
      <c r="P92" s="560"/>
      <c r="Q92" s="351"/>
      <c r="R92" s="527"/>
      <c r="S92" s="351"/>
      <c r="T92" s="528"/>
      <c r="U92" s="351"/>
      <c r="V92" s="541"/>
      <c r="W92" s="351"/>
      <c r="X92" s="542" t="s">
        <v>294</v>
      </c>
      <c r="Y92" s="350"/>
      <c r="Z92" s="350"/>
      <c r="AA92" s="351"/>
      <c r="AB92" s="543" t="s">
        <v>294</v>
      </c>
      <c r="AC92" s="350"/>
      <c r="AD92" s="350"/>
      <c r="AE92" s="351"/>
      <c r="AF92" s="544"/>
      <c r="AG92" s="351"/>
      <c r="AH92" s="544"/>
      <c r="AI92" s="351"/>
      <c r="AJ92" s="545"/>
      <c r="AK92" s="351"/>
      <c r="AL92" s="524" t="s">
        <v>325</v>
      </c>
      <c r="AM92" s="351"/>
      <c r="AN92" s="549" t="s">
        <v>325</v>
      </c>
      <c r="AO92" s="351"/>
      <c r="AP92" s="550"/>
      <c r="AQ92" s="351"/>
      <c r="AR92" s="551"/>
      <c r="AS92" s="351"/>
      <c r="AT92" s="534"/>
      <c r="AU92" s="351"/>
      <c r="AV92" s="549" t="s">
        <v>325</v>
      </c>
      <c r="AW92" s="351"/>
      <c r="AX92" s="553"/>
      <c r="AY92" s="350"/>
      <c r="AZ92" s="351"/>
      <c r="BA92" s="554"/>
      <c r="BB92" s="351"/>
      <c r="BC92" s="39"/>
      <c r="BD92" s="546" t="s">
        <v>325</v>
      </c>
      <c r="BE92" s="351"/>
      <c r="BF92" s="547"/>
      <c r="BG92" s="350"/>
      <c r="BH92" s="350"/>
      <c r="BI92" s="351"/>
      <c r="BJ92" s="548" t="s">
        <v>294</v>
      </c>
      <c r="BK92" s="350"/>
      <c r="BL92" s="350"/>
      <c r="BM92" s="351"/>
      <c r="BN92" s="530" t="s">
        <v>294</v>
      </c>
      <c r="BO92" s="350"/>
      <c r="BP92" s="350"/>
      <c r="BQ92" s="350"/>
      <c r="BR92" s="350"/>
      <c r="BS92" s="350"/>
      <c r="BT92" s="350"/>
      <c r="BU92" s="350"/>
      <c r="BV92" s="351"/>
    </row>
    <row r="93" spans="1:74" ht="45" customHeight="1">
      <c r="A93" s="24">
        <f t="shared" si="0"/>
        <v>79</v>
      </c>
      <c r="B93" s="558" t="s">
        <v>294</v>
      </c>
      <c r="C93" s="351"/>
      <c r="D93" s="559" t="s">
        <v>298</v>
      </c>
      <c r="E93" s="351"/>
      <c r="F93" s="524" t="s">
        <v>325</v>
      </c>
      <c r="G93" s="351"/>
      <c r="H93" s="561" t="s">
        <v>325</v>
      </c>
      <c r="I93" s="351"/>
      <c r="J93" s="562"/>
      <c r="K93" s="351"/>
      <c r="L93" s="562"/>
      <c r="M93" s="351"/>
      <c r="N93" s="34"/>
      <c r="O93" s="38"/>
      <c r="P93" s="526"/>
      <c r="Q93" s="351"/>
      <c r="R93" s="535"/>
      <c r="S93" s="351"/>
      <c r="T93" s="536"/>
      <c r="U93" s="351"/>
      <c r="V93" s="537"/>
      <c r="W93" s="351"/>
      <c r="X93" s="538" t="s">
        <v>294</v>
      </c>
      <c r="Y93" s="350"/>
      <c r="Z93" s="350"/>
      <c r="AA93" s="351"/>
      <c r="AB93" s="539" t="s">
        <v>294</v>
      </c>
      <c r="AC93" s="350"/>
      <c r="AD93" s="350"/>
      <c r="AE93" s="351"/>
      <c r="AF93" s="540"/>
      <c r="AG93" s="351"/>
      <c r="AH93" s="540"/>
      <c r="AI93" s="351"/>
      <c r="AJ93" s="532"/>
      <c r="AK93" s="351"/>
      <c r="AL93" s="555" t="s">
        <v>325</v>
      </c>
      <c r="AM93" s="351"/>
      <c r="AN93" s="531" t="s">
        <v>325</v>
      </c>
      <c r="AO93" s="351"/>
      <c r="AP93" s="532"/>
      <c r="AQ93" s="351"/>
      <c r="AR93" s="533"/>
      <c r="AS93" s="351"/>
      <c r="AT93" s="534"/>
      <c r="AU93" s="351"/>
      <c r="AV93" s="531" t="s">
        <v>325</v>
      </c>
      <c r="AW93" s="351"/>
      <c r="AX93" s="553"/>
      <c r="AY93" s="350"/>
      <c r="AZ93" s="351"/>
      <c r="BA93" s="545"/>
      <c r="BB93" s="351"/>
      <c r="BC93" s="36"/>
      <c r="BD93" s="556" t="s">
        <v>325</v>
      </c>
      <c r="BE93" s="351"/>
      <c r="BF93" s="529"/>
      <c r="BG93" s="350"/>
      <c r="BH93" s="350"/>
      <c r="BI93" s="351"/>
      <c r="BJ93" s="506" t="s">
        <v>294</v>
      </c>
      <c r="BK93" s="350"/>
      <c r="BL93" s="350"/>
      <c r="BM93" s="351"/>
      <c r="BN93" s="530" t="s">
        <v>294</v>
      </c>
      <c r="BO93" s="350"/>
      <c r="BP93" s="350"/>
      <c r="BQ93" s="350"/>
      <c r="BR93" s="350"/>
      <c r="BS93" s="350"/>
      <c r="BT93" s="350"/>
      <c r="BU93" s="350"/>
      <c r="BV93" s="351"/>
    </row>
    <row r="94" spans="1:74" ht="45" customHeight="1">
      <c r="A94" s="24">
        <f t="shared" si="0"/>
        <v>80</v>
      </c>
      <c r="B94" s="522" t="s">
        <v>294</v>
      </c>
      <c r="C94" s="351"/>
      <c r="D94" s="523" t="s">
        <v>298</v>
      </c>
      <c r="E94" s="351"/>
      <c r="F94" s="524" t="s">
        <v>325</v>
      </c>
      <c r="G94" s="351"/>
      <c r="H94" s="525" t="s">
        <v>325</v>
      </c>
      <c r="I94" s="351"/>
      <c r="J94" s="563"/>
      <c r="K94" s="351"/>
      <c r="L94" s="563"/>
      <c r="M94" s="351"/>
      <c r="N94" s="37"/>
      <c r="O94" s="35"/>
      <c r="P94" s="560"/>
      <c r="Q94" s="351"/>
      <c r="R94" s="527"/>
      <c r="S94" s="351"/>
      <c r="T94" s="528"/>
      <c r="U94" s="351"/>
      <c r="V94" s="541"/>
      <c r="W94" s="351"/>
      <c r="X94" s="542" t="s">
        <v>294</v>
      </c>
      <c r="Y94" s="350"/>
      <c r="Z94" s="350"/>
      <c r="AA94" s="351"/>
      <c r="AB94" s="543" t="s">
        <v>294</v>
      </c>
      <c r="AC94" s="350"/>
      <c r="AD94" s="350"/>
      <c r="AE94" s="351"/>
      <c r="AF94" s="544"/>
      <c r="AG94" s="351"/>
      <c r="AH94" s="544"/>
      <c r="AI94" s="351"/>
      <c r="AJ94" s="545"/>
      <c r="AK94" s="351"/>
      <c r="AL94" s="524" t="s">
        <v>325</v>
      </c>
      <c r="AM94" s="351"/>
      <c r="AN94" s="549" t="s">
        <v>325</v>
      </c>
      <c r="AO94" s="351"/>
      <c r="AP94" s="550"/>
      <c r="AQ94" s="351"/>
      <c r="AR94" s="551"/>
      <c r="AS94" s="351"/>
      <c r="AT94" s="534"/>
      <c r="AU94" s="351"/>
      <c r="AV94" s="549" t="s">
        <v>325</v>
      </c>
      <c r="AW94" s="351"/>
      <c r="AX94" s="553"/>
      <c r="AY94" s="350"/>
      <c r="AZ94" s="351"/>
      <c r="BA94" s="554"/>
      <c r="BB94" s="351"/>
      <c r="BC94" s="39"/>
      <c r="BD94" s="546" t="s">
        <v>325</v>
      </c>
      <c r="BE94" s="351"/>
      <c r="BF94" s="547"/>
      <c r="BG94" s="350"/>
      <c r="BH94" s="350"/>
      <c r="BI94" s="351"/>
      <c r="BJ94" s="548" t="s">
        <v>294</v>
      </c>
      <c r="BK94" s="350"/>
      <c r="BL94" s="350"/>
      <c r="BM94" s="351"/>
      <c r="BN94" s="530" t="s">
        <v>294</v>
      </c>
      <c r="BO94" s="350"/>
      <c r="BP94" s="350"/>
      <c r="BQ94" s="350"/>
      <c r="BR94" s="350"/>
      <c r="BS94" s="350"/>
      <c r="BT94" s="350"/>
      <c r="BU94" s="350"/>
      <c r="BV94" s="351"/>
    </row>
    <row r="95" spans="1:74" ht="45" customHeight="1">
      <c r="A95" s="24">
        <f t="shared" si="0"/>
        <v>81</v>
      </c>
      <c r="B95" s="558" t="s">
        <v>294</v>
      </c>
      <c r="C95" s="351"/>
      <c r="D95" s="559" t="s">
        <v>298</v>
      </c>
      <c r="E95" s="351"/>
      <c r="F95" s="524" t="s">
        <v>325</v>
      </c>
      <c r="G95" s="351"/>
      <c r="H95" s="561" t="s">
        <v>325</v>
      </c>
      <c r="I95" s="351"/>
      <c r="J95" s="562"/>
      <c r="K95" s="351"/>
      <c r="L95" s="562"/>
      <c r="M95" s="351"/>
      <c r="N95" s="34"/>
      <c r="O95" s="38"/>
      <c r="P95" s="526"/>
      <c r="Q95" s="351"/>
      <c r="R95" s="535"/>
      <c r="S95" s="351"/>
      <c r="T95" s="536"/>
      <c r="U95" s="351"/>
      <c r="V95" s="537"/>
      <c r="W95" s="351"/>
      <c r="X95" s="538" t="s">
        <v>294</v>
      </c>
      <c r="Y95" s="350"/>
      <c r="Z95" s="350"/>
      <c r="AA95" s="351"/>
      <c r="AB95" s="539" t="s">
        <v>294</v>
      </c>
      <c r="AC95" s="350"/>
      <c r="AD95" s="350"/>
      <c r="AE95" s="351"/>
      <c r="AF95" s="540"/>
      <c r="AG95" s="351"/>
      <c r="AH95" s="540"/>
      <c r="AI95" s="351"/>
      <c r="AJ95" s="532"/>
      <c r="AK95" s="351"/>
      <c r="AL95" s="555" t="s">
        <v>325</v>
      </c>
      <c r="AM95" s="351"/>
      <c r="AN95" s="531" t="s">
        <v>325</v>
      </c>
      <c r="AO95" s="351"/>
      <c r="AP95" s="532"/>
      <c r="AQ95" s="351"/>
      <c r="AR95" s="533"/>
      <c r="AS95" s="351"/>
      <c r="AT95" s="534"/>
      <c r="AU95" s="351"/>
      <c r="AV95" s="531" t="s">
        <v>325</v>
      </c>
      <c r="AW95" s="351"/>
      <c r="AX95" s="553"/>
      <c r="AY95" s="350"/>
      <c r="AZ95" s="351"/>
      <c r="BA95" s="545"/>
      <c r="BB95" s="351"/>
      <c r="BC95" s="36"/>
      <c r="BD95" s="556" t="s">
        <v>325</v>
      </c>
      <c r="BE95" s="351"/>
      <c r="BF95" s="529"/>
      <c r="BG95" s="350"/>
      <c r="BH95" s="350"/>
      <c r="BI95" s="351"/>
      <c r="BJ95" s="506" t="s">
        <v>294</v>
      </c>
      <c r="BK95" s="350"/>
      <c r="BL95" s="350"/>
      <c r="BM95" s="351"/>
      <c r="BN95" s="530" t="s">
        <v>294</v>
      </c>
      <c r="BO95" s="350"/>
      <c r="BP95" s="350"/>
      <c r="BQ95" s="350"/>
      <c r="BR95" s="350"/>
      <c r="BS95" s="350"/>
      <c r="BT95" s="350"/>
      <c r="BU95" s="350"/>
      <c r="BV95" s="351"/>
    </row>
    <row r="96" spans="1:74" ht="45" customHeight="1">
      <c r="A96" s="24">
        <f t="shared" si="0"/>
        <v>82</v>
      </c>
      <c r="B96" s="522" t="s">
        <v>294</v>
      </c>
      <c r="C96" s="351"/>
      <c r="D96" s="523" t="s">
        <v>298</v>
      </c>
      <c r="E96" s="351"/>
      <c r="F96" s="524" t="s">
        <v>325</v>
      </c>
      <c r="G96" s="351"/>
      <c r="H96" s="525" t="s">
        <v>325</v>
      </c>
      <c r="I96" s="351"/>
      <c r="J96" s="563"/>
      <c r="K96" s="351"/>
      <c r="L96" s="563"/>
      <c r="M96" s="351"/>
      <c r="N96" s="37"/>
      <c r="O96" s="35"/>
      <c r="P96" s="560"/>
      <c r="Q96" s="351"/>
      <c r="R96" s="527"/>
      <c r="S96" s="351"/>
      <c r="T96" s="528"/>
      <c r="U96" s="351"/>
      <c r="V96" s="541"/>
      <c r="W96" s="351"/>
      <c r="X96" s="542" t="s">
        <v>294</v>
      </c>
      <c r="Y96" s="350"/>
      <c r="Z96" s="350"/>
      <c r="AA96" s="351"/>
      <c r="AB96" s="543" t="s">
        <v>294</v>
      </c>
      <c r="AC96" s="350"/>
      <c r="AD96" s="350"/>
      <c r="AE96" s="351"/>
      <c r="AF96" s="544"/>
      <c r="AG96" s="351"/>
      <c r="AH96" s="544"/>
      <c r="AI96" s="351"/>
      <c r="AJ96" s="545"/>
      <c r="AK96" s="351"/>
      <c r="AL96" s="524" t="s">
        <v>325</v>
      </c>
      <c r="AM96" s="351"/>
      <c r="AN96" s="549" t="s">
        <v>325</v>
      </c>
      <c r="AO96" s="351"/>
      <c r="AP96" s="550"/>
      <c r="AQ96" s="351"/>
      <c r="AR96" s="551"/>
      <c r="AS96" s="351"/>
      <c r="AT96" s="534"/>
      <c r="AU96" s="351"/>
      <c r="AV96" s="549" t="s">
        <v>325</v>
      </c>
      <c r="AW96" s="351"/>
      <c r="AX96" s="553"/>
      <c r="AY96" s="350"/>
      <c r="AZ96" s="351"/>
      <c r="BA96" s="554"/>
      <c r="BB96" s="351"/>
      <c r="BC96" s="39"/>
      <c r="BD96" s="546" t="s">
        <v>325</v>
      </c>
      <c r="BE96" s="351"/>
      <c r="BF96" s="547"/>
      <c r="BG96" s="350"/>
      <c r="BH96" s="350"/>
      <c r="BI96" s="351"/>
      <c r="BJ96" s="548" t="s">
        <v>294</v>
      </c>
      <c r="BK96" s="350"/>
      <c r="BL96" s="350"/>
      <c r="BM96" s="351"/>
      <c r="BN96" s="530" t="s">
        <v>294</v>
      </c>
      <c r="BO96" s="350"/>
      <c r="BP96" s="350"/>
      <c r="BQ96" s="350"/>
      <c r="BR96" s="350"/>
      <c r="BS96" s="350"/>
      <c r="BT96" s="350"/>
      <c r="BU96" s="350"/>
      <c r="BV96" s="351"/>
    </row>
    <row r="97" spans="1:74" ht="45" customHeight="1">
      <c r="A97" s="24">
        <f t="shared" si="0"/>
        <v>83</v>
      </c>
      <c r="B97" s="558" t="s">
        <v>294</v>
      </c>
      <c r="C97" s="351"/>
      <c r="D97" s="559" t="s">
        <v>298</v>
      </c>
      <c r="E97" s="351"/>
      <c r="F97" s="524" t="s">
        <v>325</v>
      </c>
      <c r="G97" s="351"/>
      <c r="H97" s="561" t="s">
        <v>325</v>
      </c>
      <c r="I97" s="351"/>
      <c r="J97" s="562"/>
      <c r="K97" s="351"/>
      <c r="L97" s="562"/>
      <c r="M97" s="351"/>
      <c r="N97" s="34"/>
      <c r="O97" s="38"/>
      <c r="P97" s="526"/>
      <c r="Q97" s="351"/>
      <c r="R97" s="535"/>
      <c r="S97" s="351"/>
      <c r="T97" s="536"/>
      <c r="U97" s="351"/>
      <c r="V97" s="537"/>
      <c r="W97" s="351"/>
      <c r="X97" s="538" t="s">
        <v>294</v>
      </c>
      <c r="Y97" s="350"/>
      <c r="Z97" s="350"/>
      <c r="AA97" s="351"/>
      <c r="AB97" s="539" t="s">
        <v>294</v>
      </c>
      <c r="AC97" s="350"/>
      <c r="AD97" s="350"/>
      <c r="AE97" s="351"/>
      <c r="AF97" s="540"/>
      <c r="AG97" s="351"/>
      <c r="AH97" s="540"/>
      <c r="AI97" s="351"/>
      <c r="AJ97" s="532"/>
      <c r="AK97" s="351"/>
      <c r="AL97" s="555" t="s">
        <v>325</v>
      </c>
      <c r="AM97" s="351"/>
      <c r="AN97" s="531" t="s">
        <v>325</v>
      </c>
      <c r="AO97" s="351"/>
      <c r="AP97" s="532"/>
      <c r="AQ97" s="351"/>
      <c r="AR97" s="533"/>
      <c r="AS97" s="351"/>
      <c r="AT97" s="534"/>
      <c r="AU97" s="351"/>
      <c r="AV97" s="531" t="s">
        <v>325</v>
      </c>
      <c r="AW97" s="351"/>
      <c r="AX97" s="553"/>
      <c r="AY97" s="350"/>
      <c r="AZ97" s="351"/>
      <c r="BA97" s="545"/>
      <c r="BB97" s="351"/>
      <c r="BC97" s="36"/>
      <c r="BD97" s="556" t="s">
        <v>325</v>
      </c>
      <c r="BE97" s="351"/>
      <c r="BF97" s="557"/>
      <c r="BG97" s="350"/>
      <c r="BH97" s="350"/>
      <c r="BI97" s="351"/>
      <c r="BJ97" s="506" t="s">
        <v>294</v>
      </c>
      <c r="BK97" s="350"/>
      <c r="BL97" s="350"/>
      <c r="BM97" s="351"/>
      <c r="BN97" s="530" t="s">
        <v>294</v>
      </c>
      <c r="BO97" s="350"/>
      <c r="BP97" s="350"/>
      <c r="BQ97" s="350"/>
      <c r="BR97" s="350"/>
      <c r="BS97" s="350"/>
      <c r="BT97" s="350"/>
      <c r="BU97" s="350"/>
      <c r="BV97" s="351"/>
    </row>
    <row r="98" spans="1:74" ht="45" customHeight="1">
      <c r="A98" s="24">
        <f t="shared" si="0"/>
        <v>84</v>
      </c>
      <c r="B98" s="522" t="s">
        <v>294</v>
      </c>
      <c r="C98" s="351"/>
      <c r="D98" s="523" t="s">
        <v>298</v>
      </c>
      <c r="E98" s="351"/>
      <c r="F98" s="524" t="s">
        <v>325</v>
      </c>
      <c r="G98" s="351"/>
      <c r="H98" s="525" t="s">
        <v>325</v>
      </c>
      <c r="I98" s="351"/>
      <c r="J98" s="563"/>
      <c r="K98" s="351"/>
      <c r="L98" s="563"/>
      <c r="M98" s="351"/>
      <c r="N98" s="37"/>
      <c r="O98" s="35"/>
      <c r="P98" s="560"/>
      <c r="Q98" s="351"/>
      <c r="R98" s="527"/>
      <c r="S98" s="351"/>
      <c r="T98" s="528"/>
      <c r="U98" s="351"/>
      <c r="V98" s="541"/>
      <c r="W98" s="351"/>
      <c r="X98" s="542" t="s">
        <v>294</v>
      </c>
      <c r="Y98" s="350"/>
      <c r="Z98" s="350"/>
      <c r="AA98" s="351"/>
      <c r="AB98" s="543" t="s">
        <v>294</v>
      </c>
      <c r="AC98" s="350"/>
      <c r="AD98" s="350"/>
      <c r="AE98" s="351"/>
      <c r="AF98" s="544"/>
      <c r="AG98" s="351"/>
      <c r="AH98" s="544"/>
      <c r="AI98" s="351"/>
      <c r="AJ98" s="545"/>
      <c r="AK98" s="351"/>
      <c r="AL98" s="524" t="s">
        <v>325</v>
      </c>
      <c r="AM98" s="351"/>
      <c r="AN98" s="549" t="s">
        <v>325</v>
      </c>
      <c r="AO98" s="351"/>
      <c r="AP98" s="550"/>
      <c r="AQ98" s="351"/>
      <c r="AR98" s="551"/>
      <c r="AS98" s="351"/>
      <c r="AT98" s="534"/>
      <c r="AU98" s="351"/>
      <c r="AV98" s="549" t="s">
        <v>325</v>
      </c>
      <c r="AW98" s="351"/>
      <c r="AX98" s="553"/>
      <c r="AY98" s="350"/>
      <c r="AZ98" s="351"/>
      <c r="BA98" s="554"/>
      <c r="BB98" s="351"/>
      <c r="BC98" s="39"/>
      <c r="BD98" s="546" t="s">
        <v>325</v>
      </c>
      <c r="BE98" s="351"/>
      <c r="BF98" s="547"/>
      <c r="BG98" s="350"/>
      <c r="BH98" s="350"/>
      <c r="BI98" s="351"/>
      <c r="BJ98" s="548" t="s">
        <v>294</v>
      </c>
      <c r="BK98" s="350"/>
      <c r="BL98" s="350"/>
      <c r="BM98" s="351"/>
      <c r="BN98" s="530" t="s">
        <v>294</v>
      </c>
      <c r="BO98" s="350"/>
      <c r="BP98" s="350"/>
      <c r="BQ98" s="350"/>
      <c r="BR98" s="350"/>
      <c r="BS98" s="350"/>
      <c r="BT98" s="350"/>
      <c r="BU98" s="350"/>
      <c r="BV98" s="351"/>
    </row>
    <row r="99" spans="1:74" ht="45" customHeight="1">
      <c r="A99" s="24">
        <f t="shared" si="0"/>
        <v>85</v>
      </c>
      <c r="B99" s="558" t="s">
        <v>294</v>
      </c>
      <c r="C99" s="351"/>
      <c r="D99" s="559" t="s">
        <v>298</v>
      </c>
      <c r="E99" s="351"/>
      <c r="F99" s="524" t="s">
        <v>325</v>
      </c>
      <c r="G99" s="351"/>
      <c r="H99" s="561" t="s">
        <v>325</v>
      </c>
      <c r="I99" s="351"/>
      <c r="J99" s="562"/>
      <c r="K99" s="351"/>
      <c r="L99" s="562"/>
      <c r="M99" s="351"/>
      <c r="N99" s="34"/>
      <c r="O99" s="38"/>
      <c r="P99" s="526"/>
      <c r="Q99" s="351"/>
      <c r="R99" s="535"/>
      <c r="S99" s="351"/>
      <c r="T99" s="536"/>
      <c r="U99" s="351"/>
      <c r="V99" s="537"/>
      <c r="W99" s="351"/>
      <c r="X99" s="538" t="s">
        <v>294</v>
      </c>
      <c r="Y99" s="350"/>
      <c r="Z99" s="350"/>
      <c r="AA99" s="351"/>
      <c r="AB99" s="539" t="s">
        <v>294</v>
      </c>
      <c r="AC99" s="350"/>
      <c r="AD99" s="350"/>
      <c r="AE99" s="351"/>
      <c r="AF99" s="540"/>
      <c r="AG99" s="351"/>
      <c r="AH99" s="540"/>
      <c r="AI99" s="351"/>
      <c r="AJ99" s="532"/>
      <c r="AK99" s="351"/>
      <c r="AL99" s="555" t="s">
        <v>325</v>
      </c>
      <c r="AM99" s="351"/>
      <c r="AN99" s="531" t="s">
        <v>325</v>
      </c>
      <c r="AO99" s="351"/>
      <c r="AP99" s="532"/>
      <c r="AQ99" s="351"/>
      <c r="AR99" s="533"/>
      <c r="AS99" s="351"/>
      <c r="AT99" s="534"/>
      <c r="AU99" s="351"/>
      <c r="AV99" s="531" t="s">
        <v>325</v>
      </c>
      <c r="AW99" s="351"/>
      <c r="AX99" s="553"/>
      <c r="AY99" s="350"/>
      <c r="AZ99" s="351"/>
      <c r="BA99" s="545"/>
      <c r="BB99" s="351"/>
      <c r="BC99" s="36"/>
      <c r="BD99" s="556" t="s">
        <v>325</v>
      </c>
      <c r="BE99" s="351"/>
      <c r="BF99" s="529"/>
      <c r="BG99" s="350"/>
      <c r="BH99" s="350"/>
      <c r="BI99" s="351"/>
      <c r="BJ99" s="506" t="s">
        <v>294</v>
      </c>
      <c r="BK99" s="350"/>
      <c r="BL99" s="350"/>
      <c r="BM99" s="351"/>
      <c r="BN99" s="530" t="s">
        <v>294</v>
      </c>
      <c r="BO99" s="350"/>
      <c r="BP99" s="350"/>
      <c r="BQ99" s="350"/>
      <c r="BR99" s="350"/>
      <c r="BS99" s="350"/>
      <c r="BT99" s="350"/>
      <c r="BU99" s="350"/>
      <c r="BV99" s="351"/>
    </row>
    <row r="100" spans="1:74" ht="45" customHeight="1">
      <c r="A100" s="24">
        <f t="shared" si="0"/>
        <v>86</v>
      </c>
      <c r="B100" s="522" t="s">
        <v>294</v>
      </c>
      <c r="C100" s="351"/>
      <c r="D100" s="523" t="s">
        <v>298</v>
      </c>
      <c r="E100" s="351"/>
      <c r="F100" s="524" t="s">
        <v>325</v>
      </c>
      <c r="G100" s="351"/>
      <c r="H100" s="525" t="s">
        <v>325</v>
      </c>
      <c r="I100" s="351"/>
      <c r="J100" s="563"/>
      <c r="K100" s="351"/>
      <c r="L100" s="563"/>
      <c r="M100" s="351"/>
      <c r="N100" s="37"/>
      <c r="O100" s="35"/>
      <c r="P100" s="560"/>
      <c r="Q100" s="351"/>
      <c r="R100" s="527"/>
      <c r="S100" s="351"/>
      <c r="T100" s="528"/>
      <c r="U100" s="351"/>
      <c r="V100" s="541"/>
      <c r="W100" s="351"/>
      <c r="X100" s="542" t="s">
        <v>294</v>
      </c>
      <c r="Y100" s="350"/>
      <c r="Z100" s="350"/>
      <c r="AA100" s="351"/>
      <c r="AB100" s="543" t="s">
        <v>294</v>
      </c>
      <c r="AC100" s="350"/>
      <c r="AD100" s="350"/>
      <c r="AE100" s="351"/>
      <c r="AF100" s="544"/>
      <c r="AG100" s="351"/>
      <c r="AH100" s="544"/>
      <c r="AI100" s="351"/>
      <c r="AJ100" s="545"/>
      <c r="AK100" s="351"/>
      <c r="AL100" s="524" t="s">
        <v>325</v>
      </c>
      <c r="AM100" s="351"/>
      <c r="AN100" s="549" t="s">
        <v>325</v>
      </c>
      <c r="AO100" s="351"/>
      <c r="AP100" s="550"/>
      <c r="AQ100" s="351"/>
      <c r="AR100" s="551"/>
      <c r="AS100" s="351"/>
      <c r="AT100" s="534"/>
      <c r="AU100" s="351"/>
      <c r="AV100" s="549" t="s">
        <v>325</v>
      </c>
      <c r="AW100" s="351"/>
      <c r="AX100" s="553"/>
      <c r="AY100" s="350"/>
      <c r="AZ100" s="351"/>
      <c r="BA100" s="554"/>
      <c r="BB100" s="351"/>
      <c r="BC100" s="39"/>
      <c r="BD100" s="546" t="s">
        <v>325</v>
      </c>
      <c r="BE100" s="351"/>
      <c r="BF100" s="547"/>
      <c r="BG100" s="350"/>
      <c r="BH100" s="350"/>
      <c r="BI100" s="351"/>
      <c r="BJ100" s="548" t="s">
        <v>294</v>
      </c>
      <c r="BK100" s="350"/>
      <c r="BL100" s="350"/>
      <c r="BM100" s="351"/>
      <c r="BN100" s="530" t="s">
        <v>294</v>
      </c>
      <c r="BO100" s="350"/>
      <c r="BP100" s="350"/>
      <c r="BQ100" s="350"/>
      <c r="BR100" s="350"/>
      <c r="BS100" s="350"/>
      <c r="BT100" s="350"/>
      <c r="BU100" s="350"/>
      <c r="BV100" s="351"/>
    </row>
    <row r="101" spans="1:74" ht="45" customHeight="1">
      <c r="A101" s="24">
        <f t="shared" si="0"/>
        <v>87</v>
      </c>
      <c r="B101" s="558" t="s">
        <v>294</v>
      </c>
      <c r="C101" s="351"/>
      <c r="D101" s="559" t="s">
        <v>298</v>
      </c>
      <c r="E101" s="351"/>
      <c r="F101" s="524" t="s">
        <v>325</v>
      </c>
      <c r="G101" s="351"/>
      <c r="H101" s="561" t="s">
        <v>325</v>
      </c>
      <c r="I101" s="351"/>
      <c r="J101" s="562"/>
      <c r="K101" s="351"/>
      <c r="L101" s="562"/>
      <c r="M101" s="351"/>
      <c r="N101" s="34"/>
      <c r="O101" s="38"/>
      <c r="P101" s="526"/>
      <c r="Q101" s="351"/>
      <c r="R101" s="535"/>
      <c r="S101" s="351"/>
      <c r="T101" s="536"/>
      <c r="U101" s="351"/>
      <c r="V101" s="537"/>
      <c r="W101" s="351"/>
      <c r="X101" s="538" t="s">
        <v>294</v>
      </c>
      <c r="Y101" s="350"/>
      <c r="Z101" s="350"/>
      <c r="AA101" s="351"/>
      <c r="AB101" s="539" t="s">
        <v>294</v>
      </c>
      <c r="AC101" s="350"/>
      <c r="AD101" s="350"/>
      <c r="AE101" s="351"/>
      <c r="AF101" s="540"/>
      <c r="AG101" s="351"/>
      <c r="AH101" s="540"/>
      <c r="AI101" s="351"/>
      <c r="AJ101" s="532"/>
      <c r="AK101" s="351"/>
      <c r="AL101" s="555" t="s">
        <v>325</v>
      </c>
      <c r="AM101" s="351"/>
      <c r="AN101" s="531" t="s">
        <v>325</v>
      </c>
      <c r="AO101" s="351"/>
      <c r="AP101" s="532"/>
      <c r="AQ101" s="351"/>
      <c r="AR101" s="533"/>
      <c r="AS101" s="351"/>
      <c r="AT101" s="534"/>
      <c r="AU101" s="351"/>
      <c r="AV101" s="531" t="s">
        <v>325</v>
      </c>
      <c r="AW101" s="351"/>
      <c r="AX101" s="553"/>
      <c r="AY101" s="350"/>
      <c r="AZ101" s="351"/>
      <c r="BA101" s="545"/>
      <c r="BB101" s="351"/>
      <c r="BC101" s="36"/>
      <c r="BD101" s="556" t="s">
        <v>325</v>
      </c>
      <c r="BE101" s="351"/>
      <c r="BF101" s="557"/>
      <c r="BG101" s="350"/>
      <c r="BH101" s="350"/>
      <c r="BI101" s="351"/>
      <c r="BJ101" s="506" t="s">
        <v>294</v>
      </c>
      <c r="BK101" s="350"/>
      <c r="BL101" s="350"/>
      <c r="BM101" s="351"/>
      <c r="BN101" s="530" t="s">
        <v>294</v>
      </c>
      <c r="BO101" s="350"/>
      <c r="BP101" s="350"/>
      <c r="BQ101" s="350"/>
      <c r="BR101" s="350"/>
      <c r="BS101" s="350"/>
      <c r="BT101" s="350"/>
      <c r="BU101" s="350"/>
      <c r="BV101" s="351"/>
    </row>
    <row r="102" spans="1:74" ht="45" customHeight="1">
      <c r="A102" s="24">
        <f t="shared" si="0"/>
        <v>88</v>
      </c>
      <c r="B102" s="522" t="s">
        <v>294</v>
      </c>
      <c r="C102" s="351"/>
      <c r="D102" s="523" t="s">
        <v>298</v>
      </c>
      <c r="E102" s="351"/>
      <c r="F102" s="524" t="s">
        <v>325</v>
      </c>
      <c r="G102" s="351"/>
      <c r="H102" s="525" t="s">
        <v>325</v>
      </c>
      <c r="I102" s="351"/>
      <c r="J102" s="563"/>
      <c r="K102" s="351"/>
      <c r="L102" s="563"/>
      <c r="M102" s="351"/>
      <c r="N102" s="37"/>
      <c r="O102" s="35"/>
      <c r="P102" s="560"/>
      <c r="Q102" s="351"/>
      <c r="R102" s="527"/>
      <c r="S102" s="351"/>
      <c r="T102" s="528"/>
      <c r="U102" s="351"/>
      <c r="V102" s="541"/>
      <c r="W102" s="351"/>
      <c r="X102" s="542" t="s">
        <v>294</v>
      </c>
      <c r="Y102" s="350"/>
      <c r="Z102" s="350"/>
      <c r="AA102" s="351"/>
      <c r="AB102" s="543" t="s">
        <v>294</v>
      </c>
      <c r="AC102" s="350"/>
      <c r="AD102" s="350"/>
      <c r="AE102" s="351"/>
      <c r="AF102" s="544"/>
      <c r="AG102" s="351"/>
      <c r="AH102" s="544"/>
      <c r="AI102" s="351"/>
      <c r="AJ102" s="545"/>
      <c r="AK102" s="351"/>
      <c r="AL102" s="524" t="s">
        <v>325</v>
      </c>
      <c r="AM102" s="351"/>
      <c r="AN102" s="549" t="s">
        <v>325</v>
      </c>
      <c r="AO102" s="351"/>
      <c r="AP102" s="550"/>
      <c r="AQ102" s="351"/>
      <c r="AR102" s="551"/>
      <c r="AS102" s="351"/>
      <c r="AT102" s="534"/>
      <c r="AU102" s="351"/>
      <c r="AV102" s="549" t="s">
        <v>325</v>
      </c>
      <c r="AW102" s="351"/>
      <c r="AX102" s="553"/>
      <c r="AY102" s="350"/>
      <c r="AZ102" s="351"/>
      <c r="BA102" s="554"/>
      <c r="BB102" s="351"/>
      <c r="BC102" s="39"/>
      <c r="BD102" s="546" t="s">
        <v>325</v>
      </c>
      <c r="BE102" s="351"/>
      <c r="BF102" s="547"/>
      <c r="BG102" s="350"/>
      <c r="BH102" s="350"/>
      <c r="BI102" s="351"/>
      <c r="BJ102" s="548" t="s">
        <v>294</v>
      </c>
      <c r="BK102" s="350"/>
      <c r="BL102" s="350"/>
      <c r="BM102" s="351"/>
      <c r="BN102" s="530" t="s">
        <v>294</v>
      </c>
      <c r="BO102" s="350"/>
      <c r="BP102" s="350"/>
      <c r="BQ102" s="350"/>
      <c r="BR102" s="350"/>
      <c r="BS102" s="350"/>
      <c r="BT102" s="350"/>
      <c r="BU102" s="350"/>
      <c r="BV102" s="351"/>
    </row>
    <row r="103" spans="1:74" ht="45" customHeight="1">
      <c r="A103" s="24">
        <f t="shared" si="0"/>
        <v>89</v>
      </c>
      <c r="B103" s="558" t="s">
        <v>294</v>
      </c>
      <c r="C103" s="351"/>
      <c r="D103" s="559" t="s">
        <v>298</v>
      </c>
      <c r="E103" s="351"/>
      <c r="F103" s="524" t="s">
        <v>325</v>
      </c>
      <c r="G103" s="351"/>
      <c r="H103" s="561" t="s">
        <v>325</v>
      </c>
      <c r="I103" s="351"/>
      <c r="J103" s="562"/>
      <c r="K103" s="351"/>
      <c r="L103" s="562"/>
      <c r="M103" s="351"/>
      <c r="N103" s="34"/>
      <c r="O103" s="38"/>
      <c r="P103" s="526"/>
      <c r="Q103" s="351"/>
      <c r="R103" s="535"/>
      <c r="S103" s="351"/>
      <c r="T103" s="536"/>
      <c r="U103" s="351"/>
      <c r="V103" s="537"/>
      <c r="W103" s="351"/>
      <c r="X103" s="538" t="s">
        <v>294</v>
      </c>
      <c r="Y103" s="350"/>
      <c r="Z103" s="350"/>
      <c r="AA103" s="351"/>
      <c r="AB103" s="539" t="s">
        <v>294</v>
      </c>
      <c r="AC103" s="350"/>
      <c r="AD103" s="350"/>
      <c r="AE103" s="351"/>
      <c r="AF103" s="540"/>
      <c r="AG103" s="351"/>
      <c r="AH103" s="540"/>
      <c r="AI103" s="351"/>
      <c r="AJ103" s="532"/>
      <c r="AK103" s="351"/>
      <c r="AL103" s="555" t="s">
        <v>325</v>
      </c>
      <c r="AM103" s="351"/>
      <c r="AN103" s="531" t="s">
        <v>325</v>
      </c>
      <c r="AO103" s="351"/>
      <c r="AP103" s="532"/>
      <c r="AQ103" s="351"/>
      <c r="AR103" s="533"/>
      <c r="AS103" s="351"/>
      <c r="AT103" s="534"/>
      <c r="AU103" s="351"/>
      <c r="AV103" s="531" t="s">
        <v>325</v>
      </c>
      <c r="AW103" s="351"/>
      <c r="AX103" s="553"/>
      <c r="AY103" s="350"/>
      <c r="AZ103" s="351"/>
      <c r="BA103" s="545"/>
      <c r="BB103" s="351"/>
      <c r="BC103" s="36"/>
      <c r="BD103" s="556" t="s">
        <v>325</v>
      </c>
      <c r="BE103" s="351"/>
      <c r="BF103" s="529"/>
      <c r="BG103" s="350"/>
      <c r="BH103" s="350"/>
      <c r="BI103" s="351"/>
      <c r="BJ103" s="506" t="s">
        <v>294</v>
      </c>
      <c r="BK103" s="350"/>
      <c r="BL103" s="350"/>
      <c r="BM103" s="351"/>
      <c r="BN103" s="530" t="s">
        <v>294</v>
      </c>
      <c r="BO103" s="350"/>
      <c r="BP103" s="350"/>
      <c r="BQ103" s="350"/>
      <c r="BR103" s="350"/>
      <c r="BS103" s="350"/>
      <c r="BT103" s="350"/>
      <c r="BU103" s="350"/>
      <c r="BV103" s="351"/>
    </row>
    <row r="104" spans="1:74" ht="45" customHeight="1">
      <c r="A104" s="24">
        <f t="shared" si="0"/>
        <v>90</v>
      </c>
      <c r="B104" s="522" t="s">
        <v>294</v>
      </c>
      <c r="C104" s="351"/>
      <c r="D104" s="523" t="s">
        <v>298</v>
      </c>
      <c r="E104" s="351"/>
      <c r="F104" s="524" t="s">
        <v>325</v>
      </c>
      <c r="G104" s="351"/>
      <c r="H104" s="525" t="s">
        <v>325</v>
      </c>
      <c r="I104" s="351"/>
      <c r="J104" s="563"/>
      <c r="K104" s="351"/>
      <c r="L104" s="563"/>
      <c r="M104" s="351"/>
      <c r="N104" s="37"/>
      <c r="O104" s="35"/>
      <c r="P104" s="560"/>
      <c r="Q104" s="351"/>
      <c r="R104" s="527"/>
      <c r="S104" s="351"/>
      <c r="T104" s="528"/>
      <c r="U104" s="351"/>
      <c r="V104" s="541"/>
      <c r="W104" s="351"/>
      <c r="X104" s="542" t="s">
        <v>294</v>
      </c>
      <c r="Y104" s="350"/>
      <c r="Z104" s="350"/>
      <c r="AA104" s="351"/>
      <c r="AB104" s="543" t="s">
        <v>294</v>
      </c>
      <c r="AC104" s="350"/>
      <c r="AD104" s="350"/>
      <c r="AE104" s="351"/>
      <c r="AF104" s="544"/>
      <c r="AG104" s="351"/>
      <c r="AH104" s="544"/>
      <c r="AI104" s="351"/>
      <c r="AJ104" s="545"/>
      <c r="AK104" s="351"/>
      <c r="AL104" s="524" t="s">
        <v>325</v>
      </c>
      <c r="AM104" s="351"/>
      <c r="AN104" s="549" t="s">
        <v>325</v>
      </c>
      <c r="AO104" s="351"/>
      <c r="AP104" s="550"/>
      <c r="AQ104" s="351"/>
      <c r="AR104" s="551"/>
      <c r="AS104" s="351"/>
      <c r="AT104" s="534"/>
      <c r="AU104" s="351"/>
      <c r="AV104" s="549" t="s">
        <v>325</v>
      </c>
      <c r="AW104" s="351"/>
      <c r="AX104" s="553"/>
      <c r="AY104" s="350"/>
      <c r="AZ104" s="351"/>
      <c r="BA104" s="554"/>
      <c r="BB104" s="351"/>
      <c r="BC104" s="39"/>
      <c r="BD104" s="546" t="s">
        <v>325</v>
      </c>
      <c r="BE104" s="351"/>
      <c r="BF104" s="547"/>
      <c r="BG104" s="350"/>
      <c r="BH104" s="350"/>
      <c r="BI104" s="351"/>
      <c r="BJ104" s="548" t="s">
        <v>294</v>
      </c>
      <c r="BK104" s="350"/>
      <c r="BL104" s="350"/>
      <c r="BM104" s="351"/>
      <c r="BN104" s="530" t="s">
        <v>294</v>
      </c>
      <c r="BO104" s="350"/>
      <c r="BP104" s="350"/>
      <c r="BQ104" s="350"/>
      <c r="BR104" s="350"/>
      <c r="BS104" s="350"/>
      <c r="BT104" s="350"/>
      <c r="BU104" s="350"/>
      <c r="BV104" s="351"/>
    </row>
    <row r="105" spans="1:74" ht="45" customHeight="1">
      <c r="A105" s="24">
        <f t="shared" si="0"/>
        <v>91</v>
      </c>
      <c r="B105" s="558" t="s">
        <v>294</v>
      </c>
      <c r="C105" s="351"/>
      <c r="D105" s="559" t="s">
        <v>298</v>
      </c>
      <c r="E105" s="351"/>
      <c r="F105" s="524" t="s">
        <v>325</v>
      </c>
      <c r="G105" s="351"/>
      <c r="H105" s="561" t="s">
        <v>325</v>
      </c>
      <c r="I105" s="351"/>
      <c r="J105" s="562"/>
      <c r="K105" s="351"/>
      <c r="L105" s="562"/>
      <c r="M105" s="351"/>
      <c r="N105" s="34"/>
      <c r="O105" s="38"/>
      <c r="P105" s="526"/>
      <c r="Q105" s="351"/>
      <c r="R105" s="535"/>
      <c r="S105" s="351"/>
      <c r="T105" s="536"/>
      <c r="U105" s="351"/>
      <c r="V105" s="537"/>
      <c r="W105" s="351"/>
      <c r="X105" s="538" t="s">
        <v>294</v>
      </c>
      <c r="Y105" s="350"/>
      <c r="Z105" s="350"/>
      <c r="AA105" s="351"/>
      <c r="AB105" s="539" t="s">
        <v>294</v>
      </c>
      <c r="AC105" s="350"/>
      <c r="AD105" s="350"/>
      <c r="AE105" s="351"/>
      <c r="AF105" s="540"/>
      <c r="AG105" s="351"/>
      <c r="AH105" s="540"/>
      <c r="AI105" s="351"/>
      <c r="AJ105" s="532"/>
      <c r="AK105" s="351"/>
      <c r="AL105" s="555" t="s">
        <v>325</v>
      </c>
      <c r="AM105" s="351"/>
      <c r="AN105" s="531" t="s">
        <v>325</v>
      </c>
      <c r="AO105" s="351"/>
      <c r="AP105" s="532"/>
      <c r="AQ105" s="351"/>
      <c r="AR105" s="533"/>
      <c r="AS105" s="351"/>
      <c r="AT105" s="534"/>
      <c r="AU105" s="351"/>
      <c r="AV105" s="531" t="s">
        <v>325</v>
      </c>
      <c r="AW105" s="351"/>
      <c r="AX105" s="553"/>
      <c r="AY105" s="350"/>
      <c r="AZ105" s="351"/>
      <c r="BA105" s="545"/>
      <c r="BB105" s="351"/>
      <c r="BC105" s="36"/>
      <c r="BD105" s="556" t="s">
        <v>325</v>
      </c>
      <c r="BE105" s="351"/>
      <c r="BF105" s="529"/>
      <c r="BG105" s="350"/>
      <c r="BH105" s="350"/>
      <c r="BI105" s="351"/>
      <c r="BJ105" s="506" t="s">
        <v>294</v>
      </c>
      <c r="BK105" s="350"/>
      <c r="BL105" s="350"/>
      <c r="BM105" s="351"/>
      <c r="BN105" s="530" t="s">
        <v>294</v>
      </c>
      <c r="BO105" s="350"/>
      <c r="BP105" s="350"/>
      <c r="BQ105" s="350"/>
      <c r="BR105" s="350"/>
      <c r="BS105" s="350"/>
      <c r="BT105" s="350"/>
      <c r="BU105" s="350"/>
      <c r="BV105" s="351"/>
    </row>
    <row r="106" spans="1:74" ht="45" customHeight="1">
      <c r="A106" s="24">
        <f t="shared" si="0"/>
        <v>92</v>
      </c>
      <c r="B106" s="522" t="s">
        <v>294</v>
      </c>
      <c r="C106" s="351"/>
      <c r="D106" s="523" t="s">
        <v>298</v>
      </c>
      <c r="E106" s="351"/>
      <c r="F106" s="524" t="s">
        <v>325</v>
      </c>
      <c r="G106" s="351"/>
      <c r="H106" s="525" t="s">
        <v>325</v>
      </c>
      <c r="I106" s="351"/>
      <c r="J106" s="563"/>
      <c r="K106" s="351"/>
      <c r="L106" s="563"/>
      <c r="M106" s="351"/>
      <c r="N106" s="37"/>
      <c r="O106" s="35"/>
      <c r="P106" s="560"/>
      <c r="Q106" s="351"/>
      <c r="R106" s="527"/>
      <c r="S106" s="351"/>
      <c r="T106" s="528"/>
      <c r="U106" s="351"/>
      <c r="V106" s="541"/>
      <c r="W106" s="351"/>
      <c r="X106" s="542" t="s">
        <v>294</v>
      </c>
      <c r="Y106" s="350"/>
      <c r="Z106" s="350"/>
      <c r="AA106" s="351"/>
      <c r="AB106" s="543" t="s">
        <v>294</v>
      </c>
      <c r="AC106" s="350"/>
      <c r="AD106" s="350"/>
      <c r="AE106" s="351"/>
      <c r="AF106" s="544"/>
      <c r="AG106" s="351"/>
      <c r="AH106" s="544"/>
      <c r="AI106" s="351"/>
      <c r="AJ106" s="545"/>
      <c r="AK106" s="351"/>
      <c r="AL106" s="524" t="s">
        <v>325</v>
      </c>
      <c r="AM106" s="351"/>
      <c r="AN106" s="549" t="s">
        <v>325</v>
      </c>
      <c r="AO106" s="351"/>
      <c r="AP106" s="550"/>
      <c r="AQ106" s="351"/>
      <c r="AR106" s="551"/>
      <c r="AS106" s="351"/>
      <c r="AT106" s="534"/>
      <c r="AU106" s="351"/>
      <c r="AV106" s="549" t="s">
        <v>325</v>
      </c>
      <c r="AW106" s="351"/>
      <c r="AX106" s="553"/>
      <c r="AY106" s="350"/>
      <c r="AZ106" s="351"/>
      <c r="BA106" s="554"/>
      <c r="BB106" s="351"/>
      <c r="BC106" s="39"/>
      <c r="BD106" s="546" t="s">
        <v>325</v>
      </c>
      <c r="BE106" s="351"/>
      <c r="BF106" s="547"/>
      <c r="BG106" s="350"/>
      <c r="BH106" s="350"/>
      <c r="BI106" s="351"/>
      <c r="BJ106" s="548" t="s">
        <v>294</v>
      </c>
      <c r="BK106" s="350"/>
      <c r="BL106" s="350"/>
      <c r="BM106" s="351"/>
      <c r="BN106" s="530" t="s">
        <v>294</v>
      </c>
      <c r="BO106" s="350"/>
      <c r="BP106" s="350"/>
      <c r="BQ106" s="350"/>
      <c r="BR106" s="350"/>
      <c r="BS106" s="350"/>
      <c r="BT106" s="350"/>
      <c r="BU106" s="350"/>
      <c r="BV106" s="351"/>
    </row>
    <row r="107" spans="1:74" ht="45" customHeight="1">
      <c r="A107" s="24">
        <f t="shared" si="0"/>
        <v>93</v>
      </c>
      <c r="B107" s="558" t="s">
        <v>294</v>
      </c>
      <c r="C107" s="351"/>
      <c r="D107" s="559" t="s">
        <v>298</v>
      </c>
      <c r="E107" s="351"/>
      <c r="F107" s="524" t="s">
        <v>325</v>
      </c>
      <c r="G107" s="351"/>
      <c r="H107" s="561" t="s">
        <v>325</v>
      </c>
      <c r="I107" s="351"/>
      <c r="J107" s="562"/>
      <c r="K107" s="351"/>
      <c r="L107" s="562"/>
      <c r="M107" s="351"/>
      <c r="N107" s="34"/>
      <c r="O107" s="38"/>
      <c r="P107" s="526"/>
      <c r="Q107" s="351"/>
      <c r="R107" s="535"/>
      <c r="S107" s="351"/>
      <c r="T107" s="536"/>
      <c r="U107" s="351"/>
      <c r="V107" s="537"/>
      <c r="W107" s="351"/>
      <c r="X107" s="538" t="s">
        <v>294</v>
      </c>
      <c r="Y107" s="350"/>
      <c r="Z107" s="350"/>
      <c r="AA107" s="351"/>
      <c r="AB107" s="539" t="s">
        <v>294</v>
      </c>
      <c r="AC107" s="350"/>
      <c r="AD107" s="350"/>
      <c r="AE107" s="351"/>
      <c r="AF107" s="540"/>
      <c r="AG107" s="351"/>
      <c r="AH107" s="540"/>
      <c r="AI107" s="351"/>
      <c r="AJ107" s="532"/>
      <c r="AK107" s="351"/>
      <c r="AL107" s="555" t="s">
        <v>325</v>
      </c>
      <c r="AM107" s="351"/>
      <c r="AN107" s="531" t="s">
        <v>325</v>
      </c>
      <c r="AO107" s="351"/>
      <c r="AP107" s="532"/>
      <c r="AQ107" s="351"/>
      <c r="AR107" s="533"/>
      <c r="AS107" s="351"/>
      <c r="AT107" s="534"/>
      <c r="AU107" s="351"/>
      <c r="AV107" s="531" t="s">
        <v>325</v>
      </c>
      <c r="AW107" s="351"/>
      <c r="AX107" s="553"/>
      <c r="AY107" s="350"/>
      <c r="AZ107" s="351"/>
      <c r="BA107" s="545"/>
      <c r="BB107" s="351"/>
      <c r="BC107" s="36"/>
      <c r="BD107" s="556" t="s">
        <v>325</v>
      </c>
      <c r="BE107" s="351"/>
      <c r="BF107" s="557"/>
      <c r="BG107" s="350"/>
      <c r="BH107" s="350"/>
      <c r="BI107" s="351"/>
      <c r="BJ107" s="506" t="s">
        <v>294</v>
      </c>
      <c r="BK107" s="350"/>
      <c r="BL107" s="350"/>
      <c r="BM107" s="351"/>
      <c r="BN107" s="530" t="s">
        <v>294</v>
      </c>
      <c r="BO107" s="350"/>
      <c r="BP107" s="350"/>
      <c r="BQ107" s="350"/>
      <c r="BR107" s="350"/>
      <c r="BS107" s="350"/>
      <c r="BT107" s="350"/>
      <c r="BU107" s="350"/>
      <c r="BV107" s="351"/>
    </row>
    <row r="108" spans="1:74" ht="45" customHeight="1">
      <c r="A108" s="24">
        <f t="shared" si="0"/>
        <v>94</v>
      </c>
      <c r="B108" s="522" t="s">
        <v>294</v>
      </c>
      <c r="C108" s="351"/>
      <c r="D108" s="523" t="s">
        <v>298</v>
      </c>
      <c r="E108" s="351"/>
      <c r="F108" s="524" t="s">
        <v>325</v>
      </c>
      <c r="G108" s="351"/>
      <c r="H108" s="525" t="s">
        <v>325</v>
      </c>
      <c r="I108" s="351"/>
      <c r="J108" s="563"/>
      <c r="K108" s="351"/>
      <c r="L108" s="563"/>
      <c r="M108" s="351"/>
      <c r="N108" s="37"/>
      <c r="O108" s="35"/>
      <c r="P108" s="560"/>
      <c r="Q108" s="351"/>
      <c r="R108" s="527"/>
      <c r="S108" s="351"/>
      <c r="T108" s="528"/>
      <c r="U108" s="351"/>
      <c r="V108" s="541"/>
      <c r="W108" s="351"/>
      <c r="X108" s="542" t="s">
        <v>294</v>
      </c>
      <c r="Y108" s="350"/>
      <c r="Z108" s="350"/>
      <c r="AA108" s="351"/>
      <c r="AB108" s="543" t="s">
        <v>294</v>
      </c>
      <c r="AC108" s="350"/>
      <c r="AD108" s="350"/>
      <c r="AE108" s="351"/>
      <c r="AF108" s="544"/>
      <c r="AG108" s="351"/>
      <c r="AH108" s="544"/>
      <c r="AI108" s="351"/>
      <c r="AJ108" s="545"/>
      <c r="AK108" s="351"/>
      <c r="AL108" s="524" t="s">
        <v>325</v>
      </c>
      <c r="AM108" s="351"/>
      <c r="AN108" s="549" t="s">
        <v>325</v>
      </c>
      <c r="AO108" s="351"/>
      <c r="AP108" s="550"/>
      <c r="AQ108" s="351"/>
      <c r="AR108" s="551"/>
      <c r="AS108" s="351"/>
      <c r="AT108" s="534"/>
      <c r="AU108" s="351"/>
      <c r="AV108" s="549" t="s">
        <v>325</v>
      </c>
      <c r="AW108" s="351"/>
      <c r="AX108" s="553"/>
      <c r="AY108" s="350"/>
      <c r="AZ108" s="351"/>
      <c r="BA108" s="554"/>
      <c r="BB108" s="351"/>
      <c r="BC108" s="39"/>
      <c r="BD108" s="546" t="s">
        <v>325</v>
      </c>
      <c r="BE108" s="351"/>
      <c r="BF108" s="547"/>
      <c r="BG108" s="350"/>
      <c r="BH108" s="350"/>
      <c r="BI108" s="351"/>
      <c r="BJ108" s="548" t="s">
        <v>294</v>
      </c>
      <c r="BK108" s="350"/>
      <c r="BL108" s="350"/>
      <c r="BM108" s="351"/>
      <c r="BN108" s="530" t="s">
        <v>294</v>
      </c>
      <c r="BO108" s="350"/>
      <c r="BP108" s="350"/>
      <c r="BQ108" s="350"/>
      <c r="BR108" s="350"/>
      <c r="BS108" s="350"/>
      <c r="BT108" s="350"/>
      <c r="BU108" s="350"/>
      <c r="BV108" s="351"/>
    </row>
    <row r="109" spans="1:74" ht="45" customHeight="1">
      <c r="A109" s="24">
        <f t="shared" si="0"/>
        <v>95</v>
      </c>
      <c r="B109" s="558" t="s">
        <v>294</v>
      </c>
      <c r="C109" s="351"/>
      <c r="D109" s="559" t="s">
        <v>298</v>
      </c>
      <c r="E109" s="351"/>
      <c r="F109" s="524" t="s">
        <v>325</v>
      </c>
      <c r="G109" s="351"/>
      <c r="H109" s="561" t="s">
        <v>325</v>
      </c>
      <c r="I109" s="351"/>
      <c r="J109" s="562"/>
      <c r="K109" s="351"/>
      <c r="L109" s="562"/>
      <c r="M109" s="351"/>
      <c r="N109" s="34"/>
      <c r="O109" s="38"/>
      <c r="P109" s="526"/>
      <c r="Q109" s="351"/>
      <c r="R109" s="535"/>
      <c r="S109" s="351"/>
      <c r="T109" s="536"/>
      <c r="U109" s="351"/>
      <c r="V109" s="537"/>
      <c r="W109" s="351"/>
      <c r="X109" s="538" t="s">
        <v>294</v>
      </c>
      <c r="Y109" s="350"/>
      <c r="Z109" s="350"/>
      <c r="AA109" s="351"/>
      <c r="AB109" s="539" t="s">
        <v>294</v>
      </c>
      <c r="AC109" s="350"/>
      <c r="AD109" s="350"/>
      <c r="AE109" s="351"/>
      <c r="AF109" s="540"/>
      <c r="AG109" s="351"/>
      <c r="AH109" s="540"/>
      <c r="AI109" s="351"/>
      <c r="AJ109" s="532"/>
      <c r="AK109" s="351"/>
      <c r="AL109" s="555" t="s">
        <v>325</v>
      </c>
      <c r="AM109" s="351"/>
      <c r="AN109" s="531" t="s">
        <v>325</v>
      </c>
      <c r="AO109" s="351"/>
      <c r="AP109" s="532"/>
      <c r="AQ109" s="351"/>
      <c r="AR109" s="533"/>
      <c r="AS109" s="351"/>
      <c r="AT109" s="534"/>
      <c r="AU109" s="351"/>
      <c r="AV109" s="531" t="s">
        <v>325</v>
      </c>
      <c r="AW109" s="351"/>
      <c r="AX109" s="553"/>
      <c r="AY109" s="350"/>
      <c r="AZ109" s="351"/>
      <c r="BA109" s="545"/>
      <c r="BB109" s="351"/>
      <c r="BC109" s="36"/>
      <c r="BD109" s="556" t="s">
        <v>325</v>
      </c>
      <c r="BE109" s="351"/>
      <c r="BF109" s="529"/>
      <c r="BG109" s="350"/>
      <c r="BH109" s="350"/>
      <c r="BI109" s="351"/>
      <c r="BJ109" s="506" t="s">
        <v>294</v>
      </c>
      <c r="BK109" s="350"/>
      <c r="BL109" s="350"/>
      <c r="BM109" s="351"/>
      <c r="BN109" s="530" t="s">
        <v>294</v>
      </c>
      <c r="BO109" s="350"/>
      <c r="BP109" s="350"/>
      <c r="BQ109" s="350"/>
      <c r="BR109" s="350"/>
      <c r="BS109" s="350"/>
      <c r="BT109" s="350"/>
      <c r="BU109" s="350"/>
      <c r="BV109" s="351"/>
    </row>
    <row r="110" spans="1:74" ht="45" customHeight="1">
      <c r="A110" s="24">
        <f t="shared" si="0"/>
        <v>96</v>
      </c>
      <c r="B110" s="522" t="s">
        <v>294</v>
      </c>
      <c r="C110" s="351"/>
      <c r="D110" s="523" t="s">
        <v>298</v>
      </c>
      <c r="E110" s="351"/>
      <c r="F110" s="524" t="s">
        <v>325</v>
      </c>
      <c r="G110" s="351"/>
      <c r="H110" s="525" t="s">
        <v>325</v>
      </c>
      <c r="I110" s="351"/>
      <c r="J110" s="563"/>
      <c r="K110" s="351"/>
      <c r="L110" s="563"/>
      <c r="M110" s="351"/>
      <c r="N110" s="37"/>
      <c r="O110" s="35"/>
      <c r="P110" s="560"/>
      <c r="Q110" s="351"/>
      <c r="R110" s="527"/>
      <c r="S110" s="351"/>
      <c r="T110" s="528"/>
      <c r="U110" s="351"/>
      <c r="V110" s="541"/>
      <c r="W110" s="351"/>
      <c r="X110" s="542" t="s">
        <v>294</v>
      </c>
      <c r="Y110" s="350"/>
      <c r="Z110" s="350"/>
      <c r="AA110" s="351"/>
      <c r="AB110" s="543" t="s">
        <v>294</v>
      </c>
      <c r="AC110" s="350"/>
      <c r="AD110" s="350"/>
      <c r="AE110" s="351"/>
      <c r="AF110" s="544"/>
      <c r="AG110" s="351"/>
      <c r="AH110" s="544"/>
      <c r="AI110" s="351"/>
      <c r="AJ110" s="545"/>
      <c r="AK110" s="351"/>
      <c r="AL110" s="524" t="s">
        <v>325</v>
      </c>
      <c r="AM110" s="351"/>
      <c r="AN110" s="549" t="s">
        <v>325</v>
      </c>
      <c r="AO110" s="351"/>
      <c r="AP110" s="550"/>
      <c r="AQ110" s="351"/>
      <c r="AR110" s="551"/>
      <c r="AS110" s="351"/>
      <c r="AT110" s="534"/>
      <c r="AU110" s="351"/>
      <c r="AV110" s="549" t="s">
        <v>325</v>
      </c>
      <c r="AW110" s="351"/>
      <c r="AX110" s="553"/>
      <c r="AY110" s="350"/>
      <c r="AZ110" s="351"/>
      <c r="BA110" s="554"/>
      <c r="BB110" s="351"/>
      <c r="BC110" s="39"/>
      <c r="BD110" s="546" t="s">
        <v>325</v>
      </c>
      <c r="BE110" s="351"/>
      <c r="BF110" s="547"/>
      <c r="BG110" s="350"/>
      <c r="BH110" s="350"/>
      <c r="BI110" s="351"/>
      <c r="BJ110" s="548" t="s">
        <v>294</v>
      </c>
      <c r="BK110" s="350"/>
      <c r="BL110" s="350"/>
      <c r="BM110" s="351"/>
      <c r="BN110" s="530" t="s">
        <v>294</v>
      </c>
      <c r="BO110" s="350"/>
      <c r="BP110" s="350"/>
      <c r="BQ110" s="350"/>
      <c r="BR110" s="350"/>
      <c r="BS110" s="350"/>
      <c r="BT110" s="350"/>
      <c r="BU110" s="350"/>
      <c r="BV110" s="351"/>
    </row>
    <row r="111" spans="1:74" ht="45" customHeight="1">
      <c r="A111" s="24">
        <f t="shared" si="0"/>
        <v>97</v>
      </c>
      <c r="B111" s="558" t="s">
        <v>294</v>
      </c>
      <c r="C111" s="351"/>
      <c r="D111" s="559" t="s">
        <v>298</v>
      </c>
      <c r="E111" s="351"/>
      <c r="F111" s="524" t="s">
        <v>325</v>
      </c>
      <c r="G111" s="351"/>
      <c r="H111" s="561" t="s">
        <v>325</v>
      </c>
      <c r="I111" s="351"/>
      <c r="J111" s="562"/>
      <c r="K111" s="351"/>
      <c r="L111" s="562"/>
      <c r="M111" s="351"/>
      <c r="N111" s="34"/>
      <c r="O111" s="38"/>
      <c r="P111" s="526"/>
      <c r="Q111" s="351"/>
      <c r="R111" s="535"/>
      <c r="S111" s="351"/>
      <c r="T111" s="536"/>
      <c r="U111" s="351"/>
      <c r="V111" s="537"/>
      <c r="W111" s="351"/>
      <c r="X111" s="538" t="s">
        <v>294</v>
      </c>
      <c r="Y111" s="350"/>
      <c r="Z111" s="350"/>
      <c r="AA111" s="351"/>
      <c r="AB111" s="539" t="s">
        <v>294</v>
      </c>
      <c r="AC111" s="350"/>
      <c r="AD111" s="350"/>
      <c r="AE111" s="351"/>
      <c r="AF111" s="540"/>
      <c r="AG111" s="351"/>
      <c r="AH111" s="540"/>
      <c r="AI111" s="351"/>
      <c r="AJ111" s="532"/>
      <c r="AK111" s="351"/>
      <c r="AL111" s="555" t="s">
        <v>325</v>
      </c>
      <c r="AM111" s="351"/>
      <c r="AN111" s="531" t="s">
        <v>325</v>
      </c>
      <c r="AO111" s="351"/>
      <c r="AP111" s="532"/>
      <c r="AQ111" s="351"/>
      <c r="AR111" s="533"/>
      <c r="AS111" s="351"/>
      <c r="AT111" s="534"/>
      <c r="AU111" s="351"/>
      <c r="AV111" s="531" t="s">
        <v>325</v>
      </c>
      <c r="AW111" s="351"/>
      <c r="AX111" s="553"/>
      <c r="AY111" s="350"/>
      <c r="AZ111" s="351"/>
      <c r="BA111" s="545"/>
      <c r="BB111" s="351"/>
      <c r="BC111" s="36"/>
      <c r="BD111" s="556" t="s">
        <v>325</v>
      </c>
      <c r="BE111" s="351"/>
      <c r="BF111" s="557"/>
      <c r="BG111" s="350"/>
      <c r="BH111" s="350"/>
      <c r="BI111" s="351"/>
      <c r="BJ111" s="506" t="s">
        <v>294</v>
      </c>
      <c r="BK111" s="350"/>
      <c r="BL111" s="350"/>
      <c r="BM111" s="351"/>
      <c r="BN111" s="530" t="s">
        <v>294</v>
      </c>
      <c r="BO111" s="350"/>
      <c r="BP111" s="350"/>
      <c r="BQ111" s="350"/>
      <c r="BR111" s="350"/>
      <c r="BS111" s="350"/>
      <c r="BT111" s="350"/>
      <c r="BU111" s="350"/>
      <c r="BV111" s="351"/>
    </row>
    <row r="112" spans="1:74" ht="45" customHeight="1">
      <c r="A112" s="24">
        <f t="shared" si="0"/>
        <v>98</v>
      </c>
      <c r="B112" s="522" t="s">
        <v>294</v>
      </c>
      <c r="C112" s="351"/>
      <c r="D112" s="523" t="s">
        <v>298</v>
      </c>
      <c r="E112" s="351"/>
      <c r="F112" s="524" t="s">
        <v>325</v>
      </c>
      <c r="G112" s="351"/>
      <c r="H112" s="525" t="s">
        <v>325</v>
      </c>
      <c r="I112" s="351"/>
      <c r="J112" s="563"/>
      <c r="K112" s="351"/>
      <c r="L112" s="563"/>
      <c r="M112" s="351"/>
      <c r="N112" s="37"/>
      <c r="O112" s="35"/>
      <c r="P112" s="560"/>
      <c r="Q112" s="351"/>
      <c r="R112" s="527"/>
      <c r="S112" s="351"/>
      <c r="T112" s="528"/>
      <c r="U112" s="351"/>
      <c r="V112" s="541"/>
      <c r="W112" s="351"/>
      <c r="X112" s="542" t="s">
        <v>294</v>
      </c>
      <c r="Y112" s="350"/>
      <c r="Z112" s="350"/>
      <c r="AA112" s="351"/>
      <c r="AB112" s="543" t="s">
        <v>294</v>
      </c>
      <c r="AC112" s="350"/>
      <c r="AD112" s="350"/>
      <c r="AE112" s="351"/>
      <c r="AF112" s="544"/>
      <c r="AG112" s="351"/>
      <c r="AH112" s="544"/>
      <c r="AI112" s="351"/>
      <c r="AJ112" s="545"/>
      <c r="AK112" s="351"/>
      <c r="AL112" s="524" t="s">
        <v>325</v>
      </c>
      <c r="AM112" s="351"/>
      <c r="AN112" s="549" t="s">
        <v>325</v>
      </c>
      <c r="AO112" s="351"/>
      <c r="AP112" s="550"/>
      <c r="AQ112" s="351"/>
      <c r="AR112" s="551"/>
      <c r="AS112" s="351"/>
      <c r="AT112" s="534"/>
      <c r="AU112" s="351"/>
      <c r="AV112" s="549" t="s">
        <v>325</v>
      </c>
      <c r="AW112" s="351"/>
      <c r="AX112" s="553"/>
      <c r="AY112" s="350"/>
      <c r="AZ112" s="351"/>
      <c r="BA112" s="554"/>
      <c r="BB112" s="351"/>
      <c r="BC112" s="39"/>
      <c r="BD112" s="546" t="s">
        <v>325</v>
      </c>
      <c r="BE112" s="351"/>
      <c r="BF112" s="547"/>
      <c r="BG112" s="350"/>
      <c r="BH112" s="350"/>
      <c r="BI112" s="351"/>
      <c r="BJ112" s="548" t="s">
        <v>294</v>
      </c>
      <c r="BK112" s="350"/>
      <c r="BL112" s="350"/>
      <c r="BM112" s="351"/>
      <c r="BN112" s="530" t="s">
        <v>294</v>
      </c>
      <c r="BO112" s="350"/>
      <c r="BP112" s="350"/>
      <c r="BQ112" s="350"/>
      <c r="BR112" s="350"/>
      <c r="BS112" s="350"/>
      <c r="BT112" s="350"/>
      <c r="BU112" s="350"/>
      <c r="BV112" s="351"/>
    </row>
    <row r="113" spans="1:74" ht="45" customHeight="1">
      <c r="A113" s="24">
        <f t="shared" si="0"/>
        <v>99</v>
      </c>
      <c r="B113" s="558" t="s">
        <v>294</v>
      </c>
      <c r="C113" s="351"/>
      <c r="D113" s="559" t="s">
        <v>298</v>
      </c>
      <c r="E113" s="351"/>
      <c r="F113" s="524" t="s">
        <v>325</v>
      </c>
      <c r="G113" s="351"/>
      <c r="H113" s="561" t="s">
        <v>325</v>
      </c>
      <c r="I113" s="351"/>
      <c r="J113" s="562"/>
      <c r="K113" s="351"/>
      <c r="L113" s="562"/>
      <c r="M113" s="351"/>
      <c r="N113" s="34"/>
      <c r="O113" s="38"/>
      <c r="P113" s="526"/>
      <c r="Q113" s="351"/>
      <c r="R113" s="535"/>
      <c r="S113" s="351"/>
      <c r="T113" s="536"/>
      <c r="U113" s="351"/>
      <c r="V113" s="537"/>
      <c r="W113" s="351"/>
      <c r="X113" s="538" t="s">
        <v>294</v>
      </c>
      <c r="Y113" s="350"/>
      <c r="Z113" s="350"/>
      <c r="AA113" s="351"/>
      <c r="AB113" s="539" t="s">
        <v>294</v>
      </c>
      <c r="AC113" s="350"/>
      <c r="AD113" s="350"/>
      <c r="AE113" s="351"/>
      <c r="AF113" s="540"/>
      <c r="AG113" s="351"/>
      <c r="AH113" s="540"/>
      <c r="AI113" s="351"/>
      <c r="AJ113" s="532"/>
      <c r="AK113" s="351"/>
      <c r="AL113" s="555" t="s">
        <v>325</v>
      </c>
      <c r="AM113" s="351"/>
      <c r="AN113" s="531" t="s">
        <v>325</v>
      </c>
      <c r="AO113" s="351"/>
      <c r="AP113" s="532"/>
      <c r="AQ113" s="351"/>
      <c r="AR113" s="533"/>
      <c r="AS113" s="351"/>
      <c r="AT113" s="534"/>
      <c r="AU113" s="351"/>
      <c r="AV113" s="531" t="s">
        <v>325</v>
      </c>
      <c r="AW113" s="351"/>
      <c r="AX113" s="553"/>
      <c r="AY113" s="350"/>
      <c r="AZ113" s="351"/>
      <c r="BA113" s="545"/>
      <c r="BB113" s="351"/>
      <c r="BC113" s="36"/>
      <c r="BD113" s="556" t="s">
        <v>325</v>
      </c>
      <c r="BE113" s="351"/>
      <c r="BF113" s="529"/>
      <c r="BG113" s="350"/>
      <c r="BH113" s="350"/>
      <c r="BI113" s="351"/>
      <c r="BJ113" s="506" t="s">
        <v>294</v>
      </c>
      <c r="BK113" s="350"/>
      <c r="BL113" s="350"/>
      <c r="BM113" s="351"/>
      <c r="BN113" s="530" t="s">
        <v>294</v>
      </c>
      <c r="BO113" s="350"/>
      <c r="BP113" s="350"/>
      <c r="BQ113" s="350"/>
      <c r="BR113" s="350"/>
      <c r="BS113" s="350"/>
      <c r="BT113" s="350"/>
      <c r="BU113" s="350"/>
      <c r="BV113" s="351"/>
    </row>
    <row r="114" spans="1:74" ht="45" customHeight="1">
      <c r="A114" s="24">
        <f t="shared" si="0"/>
        <v>100</v>
      </c>
      <c r="B114" s="522" t="s">
        <v>294</v>
      </c>
      <c r="C114" s="351"/>
      <c r="D114" s="523" t="s">
        <v>298</v>
      </c>
      <c r="E114" s="351"/>
      <c r="F114" s="524" t="s">
        <v>325</v>
      </c>
      <c r="G114" s="351"/>
      <c r="H114" s="525" t="s">
        <v>325</v>
      </c>
      <c r="I114" s="351"/>
      <c r="J114" s="563"/>
      <c r="K114" s="351"/>
      <c r="L114" s="563"/>
      <c r="M114" s="351"/>
      <c r="N114" s="37"/>
      <c r="O114" s="35"/>
      <c r="P114" s="560"/>
      <c r="Q114" s="351"/>
      <c r="R114" s="527"/>
      <c r="S114" s="351"/>
      <c r="T114" s="528"/>
      <c r="U114" s="351"/>
      <c r="V114" s="541"/>
      <c r="W114" s="351"/>
      <c r="X114" s="542" t="s">
        <v>294</v>
      </c>
      <c r="Y114" s="350"/>
      <c r="Z114" s="350"/>
      <c r="AA114" s="351"/>
      <c r="AB114" s="543" t="s">
        <v>294</v>
      </c>
      <c r="AC114" s="350"/>
      <c r="AD114" s="350"/>
      <c r="AE114" s="351"/>
      <c r="AF114" s="544"/>
      <c r="AG114" s="351"/>
      <c r="AH114" s="544"/>
      <c r="AI114" s="351"/>
      <c r="AJ114" s="545"/>
      <c r="AK114" s="351"/>
      <c r="AL114" s="524" t="s">
        <v>325</v>
      </c>
      <c r="AM114" s="351"/>
      <c r="AN114" s="549" t="s">
        <v>325</v>
      </c>
      <c r="AO114" s="351"/>
      <c r="AP114" s="550"/>
      <c r="AQ114" s="351"/>
      <c r="AR114" s="551"/>
      <c r="AS114" s="351"/>
      <c r="AT114" s="534"/>
      <c r="AU114" s="351"/>
      <c r="AV114" s="549" t="s">
        <v>325</v>
      </c>
      <c r="AW114" s="351"/>
      <c r="AX114" s="553"/>
      <c r="AY114" s="350"/>
      <c r="AZ114" s="351"/>
      <c r="BA114" s="554"/>
      <c r="BB114" s="351"/>
      <c r="BC114" s="39"/>
      <c r="BD114" s="546" t="s">
        <v>325</v>
      </c>
      <c r="BE114" s="351"/>
      <c r="BF114" s="547"/>
      <c r="BG114" s="350"/>
      <c r="BH114" s="350"/>
      <c r="BI114" s="351"/>
      <c r="BJ114" s="548" t="s">
        <v>294</v>
      </c>
      <c r="BK114" s="350"/>
      <c r="BL114" s="350"/>
      <c r="BM114" s="351"/>
      <c r="BN114" s="530" t="s">
        <v>294</v>
      </c>
      <c r="BO114" s="350"/>
      <c r="BP114" s="350"/>
      <c r="BQ114" s="350"/>
      <c r="BR114" s="350"/>
      <c r="BS114" s="350"/>
      <c r="BT114" s="350"/>
      <c r="BU114" s="350"/>
      <c r="BV114" s="351"/>
    </row>
    <row r="115" spans="1:74" ht="45" customHeight="1">
      <c r="A115" s="24">
        <f t="shared" si="0"/>
        <v>101</v>
      </c>
      <c r="B115" s="558" t="s">
        <v>294</v>
      </c>
      <c r="C115" s="351"/>
      <c r="D115" s="559" t="s">
        <v>298</v>
      </c>
      <c r="E115" s="351"/>
      <c r="F115" s="524" t="s">
        <v>325</v>
      </c>
      <c r="G115" s="351"/>
      <c r="H115" s="561" t="s">
        <v>325</v>
      </c>
      <c r="I115" s="351"/>
      <c r="J115" s="562"/>
      <c r="K115" s="351"/>
      <c r="L115" s="562"/>
      <c r="M115" s="351"/>
      <c r="N115" s="34"/>
      <c r="O115" s="38"/>
      <c r="P115" s="526"/>
      <c r="Q115" s="351"/>
      <c r="R115" s="535"/>
      <c r="S115" s="351"/>
      <c r="T115" s="536"/>
      <c r="U115" s="351"/>
      <c r="V115" s="537"/>
      <c r="W115" s="351"/>
      <c r="X115" s="538" t="s">
        <v>294</v>
      </c>
      <c r="Y115" s="350"/>
      <c r="Z115" s="350"/>
      <c r="AA115" s="351"/>
      <c r="AB115" s="539" t="s">
        <v>294</v>
      </c>
      <c r="AC115" s="350"/>
      <c r="AD115" s="350"/>
      <c r="AE115" s="351"/>
      <c r="AF115" s="540"/>
      <c r="AG115" s="351"/>
      <c r="AH115" s="540"/>
      <c r="AI115" s="351"/>
      <c r="AJ115" s="532"/>
      <c r="AK115" s="351"/>
      <c r="AL115" s="555" t="s">
        <v>325</v>
      </c>
      <c r="AM115" s="351"/>
      <c r="AN115" s="531" t="s">
        <v>325</v>
      </c>
      <c r="AO115" s="351"/>
      <c r="AP115" s="532"/>
      <c r="AQ115" s="351"/>
      <c r="AR115" s="533"/>
      <c r="AS115" s="351"/>
      <c r="AT115" s="534"/>
      <c r="AU115" s="351"/>
      <c r="AV115" s="531" t="s">
        <v>325</v>
      </c>
      <c r="AW115" s="351"/>
      <c r="AX115" s="553"/>
      <c r="AY115" s="350"/>
      <c r="AZ115" s="351"/>
      <c r="BA115" s="545"/>
      <c r="BB115" s="351"/>
      <c r="BC115" s="36"/>
      <c r="BD115" s="556" t="s">
        <v>325</v>
      </c>
      <c r="BE115" s="351"/>
      <c r="BF115" s="529"/>
      <c r="BG115" s="350"/>
      <c r="BH115" s="350"/>
      <c r="BI115" s="351"/>
      <c r="BJ115" s="506" t="s">
        <v>294</v>
      </c>
      <c r="BK115" s="350"/>
      <c r="BL115" s="350"/>
      <c r="BM115" s="351"/>
      <c r="BN115" s="530" t="s">
        <v>294</v>
      </c>
      <c r="BO115" s="350"/>
      <c r="BP115" s="350"/>
      <c r="BQ115" s="350"/>
      <c r="BR115" s="350"/>
      <c r="BS115" s="350"/>
      <c r="BT115" s="350"/>
      <c r="BU115" s="350"/>
      <c r="BV115" s="351"/>
    </row>
    <row r="116" spans="1:74" ht="45" customHeight="1">
      <c r="A116" s="24">
        <f t="shared" si="0"/>
        <v>102</v>
      </c>
      <c r="B116" s="522" t="s">
        <v>294</v>
      </c>
      <c r="C116" s="351"/>
      <c r="D116" s="523" t="s">
        <v>298</v>
      </c>
      <c r="E116" s="351"/>
      <c r="F116" s="524" t="s">
        <v>325</v>
      </c>
      <c r="G116" s="351"/>
      <c r="H116" s="525" t="s">
        <v>325</v>
      </c>
      <c r="I116" s="351"/>
      <c r="J116" s="563"/>
      <c r="K116" s="351"/>
      <c r="L116" s="563"/>
      <c r="M116" s="351"/>
      <c r="N116" s="37"/>
      <c r="O116" s="35"/>
      <c r="P116" s="560"/>
      <c r="Q116" s="351"/>
      <c r="R116" s="527"/>
      <c r="S116" s="351"/>
      <c r="T116" s="528"/>
      <c r="U116" s="351"/>
      <c r="V116" s="541"/>
      <c r="W116" s="351"/>
      <c r="X116" s="542" t="s">
        <v>294</v>
      </c>
      <c r="Y116" s="350"/>
      <c r="Z116" s="350"/>
      <c r="AA116" s="351"/>
      <c r="AB116" s="543" t="s">
        <v>294</v>
      </c>
      <c r="AC116" s="350"/>
      <c r="AD116" s="350"/>
      <c r="AE116" s="351"/>
      <c r="AF116" s="544"/>
      <c r="AG116" s="351"/>
      <c r="AH116" s="544"/>
      <c r="AI116" s="351"/>
      <c r="AJ116" s="545"/>
      <c r="AK116" s="351"/>
      <c r="AL116" s="524" t="s">
        <v>325</v>
      </c>
      <c r="AM116" s="351"/>
      <c r="AN116" s="549" t="s">
        <v>325</v>
      </c>
      <c r="AO116" s="351"/>
      <c r="AP116" s="550"/>
      <c r="AQ116" s="351"/>
      <c r="AR116" s="551"/>
      <c r="AS116" s="351"/>
      <c r="AT116" s="534"/>
      <c r="AU116" s="351"/>
      <c r="AV116" s="549" t="s">
        <v>325</v>
      </c>
      <c r="AW116" s="351"/>
      <c r="AX116" s="553"/>
      <c r="AY116" s="350"/>
      <c r="AZ116" s="351"/>
      <c r="BA116" s="554"/>
      <c r="BB116" s="351"/>
      <c r="BC116" s="39"/>
      <c r="BD116" s="546" t="s">
        <v>325</v>
      </c>
      <c r="BE116" s="351"/>
      <c r="BF116" s="547"/>
      <c r="BG116" s="350"/>
      <c r="BH116" s="350"/>
      <c r="BI116" s="351"/>
      <c r="BJ116" s="548" t="s">
        <v>294</v>
      </c>
      <c r="BK116" s="350"/>
      <c r="BL116" s="350"/>
      <c r="BM116" s="351"/>
      <c r="BN116" s="530" t="s">
        <v>294</v>
      </c>
      <c r="BO116" s="350"/>
      <c r="BP116" s="350"/>
      <c r="BQ116" s="350"/>
      <c r="BR116" s="350"/>
      <c r="BS116" s="350"/>
      <c r="BT116" s="350"/>
      <c r="BU116" s="350"/>
      <c r="BV116" s="351"/>
    </row>
    <row r="117" spans="1:74" ht="45" customHeight="1">
      <c r="A117" s="24">
        <f t="shared" si="0"/>
        <v>103</v>
      </c>
      <c r="B117" s="558" t="s">
        <v>294</v>
      </c>
      <c r="C117" s="351"/>
      <c r="D117" s="559" t="s">
        <v>298</v>
      </c>
      <c r="E117" s="351"/>
      <c r="F117" s="524" t="s">
        <v>325</v>
      </c>
      <c r="G117" s="351"/>
      <c r="H117" s="561" t="s">
        <v>325</v>
      </c>
      <c r="I117" s="351"/>
      <c r="J117" s="562"/>
      <c r="K117" s="351"/>
      <c r="L117" s="562"/>
      <c r="M117" s="351"/>
      <c r="N117" s="34"/>
      <c r="O117" s="38"/>
      <c r="P117" s="526"/>
      <c r="Q117" s="351"/>
      <c r="R117" s="535"/>
      <c r="S117" s="351"/>
      <c r="T117" s="536"/>
      <c r="U117" s="351"/>
      <c r="V117" s="537"/>
      <c r="W117" s="351"/>
      <c r="X117" s="538" t="s">
        <v>294</v>
      </c>
      <c r="Y117" s="350"/>
      <c r="Z117" s="350"/>
      <c r="AA117" s="351"/>
      <c r="AB117" s="539" t="s">
        <v>294</v>
      </c>
      <c r="AC117" s="350"/>
      <c r="AD117" s="350"/>
      <c r="AE117" s="351"/>
      <c r="AF117" s="540"/>
      <c r="AG117" s="351"/>
      <c r="AH117" s="540"/>
      <c r="AI117" s="351"/>
      <c r="AJ117" s="532"/>
      <c r="AK117" s="351"/>
      <c r="AL117" s="555" t="s">
        <v>325</v>
      </c>
      <c r="AM117" s="351"/>
      <c r="AN117" s="531" t="s">
        <v>325</v>
      </c>
      <c r="AO117" s="351"/>
      <c r="AP117" s="532"/>
      <c r="AQ117" s="351"/>
      <c r="AR117" s="533"/>
      <c r="AS117" s="351"/>
      <c r="AT117" s="534"/>
      <c r="AU117" s="351"/>
      <c r="AV117" s="531" t="s">
        <v>325</v>
      </c>
      <c r="AW117" s="351"/>
      <c r="AX117" s="553"/>
      <c r="AY117" s="350"/>
      <c r="AZ117" s="351"/>
      <c r="BA117" s="545"/>
      <c r="BB117" s="351"/>
      <c r="BC117" s="36"/>
      <c r="BD117" s="556" t="s">
        <v>325</v>
      </c>
      <c r="BE117" s="351"/>
      <c r="BF117" s="557"/>
      <c r="BG117" s="350"/>
      <c r="BH117" s="350"/>
      <c r="BI117" s="351"/>
      <c r="BJ117" s="506" t="s">
        <v>294</v>
      </c>
      <c r="BK117" s="350"/>
      <c r="BL117" s="350"/>
      <c r="BM117" s="351"/>
      <c r="BN117" s="530" t="s">
        <v>294</v>
      </c>
      <c r="BO117" s="350"/>
      <c r="BP117" s="350"/>
      <c r="BQ117" s="350"/>
      <c r="BR117" s="350"/>
      <c r="BS117" s="350"/>
      <c r="BT117" s="350"/>
      <c r="BU117" s="350"/>
      <c r="BV117" s="351"/>
    </row>
    <row r="118" spans="1:74" ht="45" customHeight="1">
      <c r="A118" s="24">
        <f t="shared" si="0"/>
        <v>104</v>
      </c>
      <c r="B118" s="522" t="s">
        <v>294</v>
      </c>
      <c r="C118" s="351"/>
      <c r="D118" s="523" t="s">
        <v>298</v>
      </c>
      <c r="E118" s="351"/>
      <c r="F118" s="524" t="s">
        <v>325</v>
      </c>
      <c r="G118" s="351"/>
      <c r="H118" s="525" t="s">
        <v>325</v>
      </c>
      <c r="I118" s="351"/>
      <c r="J118" s="563"/>
      <c r="K118" s="351"/>
      <c r="L118" s="563"/>
      <c r="M118" s="351"/>
      <c r="N118" s="37"/>
      <c r="O118" s="35"/>
      <c r="P118" s="560"/>
      <c r="Q118" s="351"/>
      <c r="R118" s="527"/>
      <c r="S118" s="351"/>
      <c r="T118" s="528"/>
      <c r="U118" s="351"/>
      <c r="V118" s="541"/>
      <c r="W118" s="351"/>
      <c r="X118" s="542" t="s">
        <v>294</v>
      </c>
      <c r="Y118" s="350"/>
      <c r="Z118" s="350"/>
      <c r="AA118" s="351"/>
      <c r="AB118" s="543" t="s">
        <v>294</v>
      </c>
      <c r="AC118" s="350"/>
      <c r="AD118" s="350"/>
      <c r="AE118" s="351"/>
      <c r="AF118" s="544"/>
      <c r="AG118" s="351"/>
      <c r="AH118" s="544"/>
      <c r="AI118" s="351"/>
      <c r="AJ118" s="545"/>
      <c r="AK118" s="351"/>
      <c r="AL118" s="524" t="s">
        <v>325</v>
      </c>
      <c r="AM118" s="351"/>
      <c r="AN118" s="549" t="s">
        <v>325</v>
      </c>
      <c r="AO118" s="351"/>
      <c r="AP118" s="550"/>
      <c r="AQ118" s="351"/>
      <c r="AR118" s="551"/>
      <c r="AS118" s="351"/>
      <c r="AT118" s="534"/>
      <c r="AU118" s="351"/>
      <c r="AV118" s="549" t="s">
        <v>325</v>
      </c>
      <c r="AW118" s="351"/>
      <c r="AX118" s="553"/>
      <c r="AY118" s="350"/>
      <c r="AZ118" s="351"/>
      <c r="BA118" s="554"/>
      <c r="BB118" s="351"/>
      <c r="BC118" s="39"/>
      <c r="BD118" s="546" t="s">
        <v>325</v>
      </c>
      <c r="BE118" s="351"/>
      <c r="BF118" s="547"/>
      <c r="BG118" s="350"/>
      <c r="BH118" s="350"/>
      <c r="BI118" s="351"/>
      <c r="BJ118" s="548" t="s">
        <v>294</v>
      </c>
      <c r="BK118" s="350"/>
      <c r="BL118" s="350"/>
      <c r="BM118" s="351"/>
      <c r="BN118" s="530" t="s">
        <v>294</v>
      </c>
      <c r="BO118" s="350"/>
      <c r="BP118" s="350"/>
      <c r="BQ118" s="350"/>
      <c r="BR118" s="350"/>
      <c r="BS118" s="350"/>
      <c r="BT118" s="350"/>
      <c r="BU118" s="350"/>
      <c r="BV118" s="351"/>
    </row>
    <row r="119" spans="1:74" ht="45" customHeight="1">
      <c r="A119" s="24">
        <f t="shared" si="0"/>
        <v>105</v>
      </c>
      <c r="B119" s="558" t="s">
        <v>294</v>
      </c>
      <c r="C119" s="351"/>
      <c r="D119" s="559" t="s">
        <v>298</v>
      </c>
      <c r="E119" s="351"/>
      <c r="F119" s="524" t="s">
        <v>325</v>
      </c>
      <c r="G119" s="351"/>
      <c r="H119" s="561" t="s">
        <v>325</v>
      </c>
      <c r="I119" s="351"/>
      <c r="J119" s="562"/>
      <c r="K119" s="351"/>
      <c r="L119" s="562"/>
      <c r="M119" s="351"/>
      <c r="N119" s="34"/>
      <c r="O119" s="38"/>
      <c r="P119" s="526"/>
      <c r="Q119" s="351"/>
      <c r="R119" s="535"/>
      <c r="S119" s="351"/>
      <c r="T119" s="536"/>
      <c r="U119" s="351"/>
      <c r="V119" s="537"/>
      <c r="W119" s="351"/>
      <c r="X119" s="538" t="s">
        <v>294</v>
      </c>
      <c r="Y119" s="350"/>
      <c r="Z119" s="350"/>
      <c r="AA119" s="351"/>
      <c r="AB119" s="539" t="s">
        <v>294</v>
      </c>
      <c r="AC119" s="350"/>
      <c r="AD119" s="350"/>
      <c r="AE119" s="351"/>
      <c r="AF119" s="540"/>
      <c r="AG119" s="351"/>
      <c r="AH119" s="540"/>
      <c r="AI119" s="351"/>
      <c r="AJ119" s="532"/>
      <c r="AK119" s="351"/>
      <c r="AL119" s="555" t="s">
        <v>325</v>
      </c>
      <c r="AM119" s="351"/>
      <c r="AN119" s="531" t="s">
        <v>325</v>
      </c>
      <c r="AO119" s="351"/>
      <c r="AP119" s="532"/>
      <c r="AQ119" s="351"/>
      <c r="AR119" s="533"/>
      <c r="AS119" s="351"/>
      <c r="AT119" s="534"/>
      <c r="AU119" s="351"/>
      <c r="AV119" s="531" t="s">
        <v>325</v>
      </c>
      <c r="AW119" s="351"/>
      <c r="AX119" s="553"/>
      <c r="AY119" s="350"/>
      <c r="AZ119" s="351"/>
      <c r="BA119" s="545"/>
      <c r="BB119" s="351"/>
      <c r="BC119" s="36"/>
      <c r="BD119" s="556" t="s">
        <v>325</v>
      </c>
      <c r="BE119" s="351"/>
      <c r="BF119" s="529"/>
      <c r="BG119" s="350"/>
      <c r="BH119" s="350"/>
      <c r="BI119" s="351"/>
      <c r="BJ119" s="506" t="s">
        <v>294</v>
      </c>
      <c r="BK119" s="350"/>
      <c r="BL119" s="350"/>
      <c r="BM119" s="351"/>
      <c r="BN119" s="530" t="s">
        <v>294</v>
      </c>
      <c r="BO119" s="350"/>
      <c r="BP119" s="350"/>
      <c r="BQ119" s="350"/>
      <c r="BR119" s="350"/>
      <c r="BS119" s="350"/>
      <c r="BT119" s="350"/>
      <c r="BU119" s="350"/>
      <c r="BV119" s="351"/>
    </row>
    <row r="120" spans="1:74" ht="45" customHeight="1">
      <c r="A120" s="24">
        <f t="shared" si="0"/>
        <v>106</v>
      </c>
      <c r="B120" s="522" t="s">
        <v>294</v>
      </c>
      <c r="C120" s="351"/>
      <c r="D120" s="523" t="s">
        <v>298</v>
      </c>
      <c r="E120" s="351"/>
      <c r="F120" s="524" t="s">
        <v>325</v>
      </c>
      <c r="G120" s="351"/>
      <c r="H120" s="525" t="s">
        <v>325</v>
      </c>
      <c r="I120" s="351"/>
      <c r="J120" s="563"/>
      <c r="K120" s="351"/>
      <c r="L120" s="563"/>
      <c r="M120" s="351"/>
      <c r="N120" s="37"/>
      <c r="O120" s="35"/>
      <c r="P120" s="560"/>
      <c r="Q120" s="351"/>
      <c r="R120" s="527"/>
      <c r="S120" s="351"/>
      <c r="T120" s="528"/>
      <c r="U120" s="351"/>
      <c r="V120" s="541"/>
      <c r="W120" s="351"/>
      <c r="X120" s="542" t="s">
        <v>294</v>
      </c>
      <c r="Y120" s="350"/>
      <c r="Z120" s="350"/>
      <c r="AA120" s="351"/>
      <c r="AB120" s="543" t="s">
        <v>294</v>
      </c>
      <c r="AC120" s="350"/>
      <c r="AD120" s="350"/>
      <c r="AE120" s="351"/>
      <c r="AF120" s="544"/>
      <c r="AG120" s="351"/>
      <c r="AH120" s="544"/>
      <c r="AI120" s="351"/>
      <c r="AJ120" s="545"/>
      <c r="AK120" s="351"/>
      <c r="AL120" s="524" t="s">
        <v>325</v>
      </c>
      <c r="AM120" s="351"/>
      <c r="AN120" s="549" t="s">
        <v>325</v>
      </c>
      <c r="AO120" s="351"/>
      <c r="AP120" s="550"/>
      <c r="AQ120" s="351"/>
      <c r="AR120" s="551"/>
      <c r="AS120" s="351"/>
      <c r="AT120" s="534"/>
      <c r="AU120" s="351"/>
      <c r="AV120" s="549" t="s">
        <v>325</v>
      </c>
      <c r="AW120" s="351"/>
      <c r="AX120" s="553"/>
      <c r="AY120" s="350"/>
      <c r="AZ120" s="351"/>
      <c r="BA120" s="554"/>
      <c r="BB120" s="351"/>
      <c r="BC120" s="39"/>
      <c r="BD120" s="546" t="s">
        <v>325</v>
      </c>
      <c r="BE120" s="351"/>
      <c r="BF120" s="547"/>
      <c r="BG120" s="350"/>
      <c r="BH120" s="350"/>
      <c r="BI120" s="351"/>
      <c r="BJ120" s="548" t="s">
        <v>294</v>
      </c>
      <c r="BK120" s="350"/>
      <c r="BL120" s="350"/>
      <c r="BM120" s="351"/>
      <c r="BN120" s="530" t="s">
        <v>294</v>
      </c>
      <c r="BO120" s="350"/>
      <c r="BP120" s="350"/>
      <c r="BQ120" s="350"/>
      <c r="BR120" s="350"/>
      <c r="BS120" s="350"/>
      <c r="BT120" s="350"/>
      <c r="BU120" s="350"/>
      <c r="BV120" s="351"/>
    </row>
    <row r="121" spans="1:74" ht="45" customHeight="1">
      <c r="A121" s="24">
        <f t="shared" si="0"/>
        <v>107</v>
      </c>
      <c r="B121" s="558" t="s">
        <v>294</v>
      </c>
      <c r="C121" s="351"/>
      <c r="D121" s="559" t="s">
        <v>298</v>
      </c>
      <c r="E121" s="351"/>
      <c r="F121" s="524" t="s">
        <v>325</v>
      </c>
      <c r="G121" s="351"/>
      <c r="H121" s="561" t="s">
        <v>325</v>
      </c>
      <c r="I121" s="351"/>
      <c r="J121" s="562"/>
      <c r="K121" s="351"/>
      <c r="L121" s="562"/>
      <c r="M121" s="351"/>
      <c r="N121" s="34"/>
      <c r="O121" s="38"/>
      <c r="P121" s="526"/>
      <c r="Q121" s="351"/>
      <c r="R121" s="535"/>
      <c r="S121" s="351"/>
      <c r="T121" s="536"/>
      <c r="U121" s="351"/>
      <c r="V121" s="537"/>
      <c r="W121" s="351"/>
      <c r="X121" s="538" t="s">
        <v>294</v>
      </c>
      <c r="Y121" s="350"/>
      <c r="Z121" s="350"/>
      <c r="AA121" s="351"/>
      <c r="AB121" s="539" t="s">
        <v>294</v>
      </c>
      <c r="AC121" s="350"/>
      <c r="AD121" s="350"/>
      <c r="AE121" s="351"/>
      <c r="AF121" s="540"/>
      <c r="AG121" s="351"/>
      <c r="AH121" s="540"/>
      <c r="AI121" s="351"/>
      <c r="AJ121" s="532"/>
      <c r="AK121" s="351"/>
      <c r="AL121" s="555" t="s">
        <v>325</v>
      </c>
      <c r="AM121" s="351"/>
      <c r="AN121" s="531" t="s">
        <v>325</v>
      </c>
      <c r="AO121" s="351"/>
      <c r="AP121" s="532"/>
      <c r="AQ121" s="351"/>
      <c r="AR121" s="533"/>
      <c r="AS121" s="351"/>
      <c r="AT121" s="534"/>
      <c r="AU121" s="351"/>
      <c r="AV121" s="531" t="s">
        <v>325</v>
      </c>
      <c r="AW121" s="351"/>
      <c r="AX121" s="553"/>
      <c r="AY121" s="350"/>
      <c r="AZ121" s="351"/>
      <c r="BA121" s="545"/>
      <c r="BB121" s="351"/>
      <c r="BC121" s="36"/>
      <c r="BD121" s="556" t="s">
        <v>325</v>
      </c>
      <c r="BE121" s="351"/>
      <c r="BF121" s="557"/>
      <c r="BG121" s="350"/>
      <c r="BH121" s="350"/>
      <c r="BI121" s="351"/>
      <c r="BJ121" s="506" t="s">
        <v>294</v>
      </c>
      <c r="BK121" s="350"/>
      <c r="BL121" s="350"/>
      <c r="BM121" s="351"/>
      <c r="BN121" s="530" t="s">
        <v>294</v>
      </c>
      <c r="BO121" s="350"/>
      <c r="BP121" s="350"/>
      <c r="BQ121" s="350"/>
      <c r="BR121" s="350"/>
      <c r="BS121" s="350"/>
      <c r="BT121" s="350"/>
      <c r="BU121" s="350"/>
      <c r="BV121" s="351"/>
    </row>
    <row r="122" spans="1:74" ht="45" customHeight="1">
      <c r="A122" s="24">
        <f t="shared" si="0"/>
        <v>108</v>
      </c>
      <c r="B122" s="522" t="s">
        <v>294</v>
      </c>
      <c r="C122" s="351"/>
      <c r="D122" s="523" t="s">
        <v>298</v>
      </c>
      <c r="E122" s="351"/>
      <c r="F122" s="524" t="s">
        <v>325</v>
      </c>
      <c r="G122" s="351"/>
      <c r="H122" s="525" t="s">
        <v>325</v>
      </c>
      <c r="I122" s="351"/>
      <c r="J122" s="563"/>
      <c r="K122" s="351"/>
      <c r="L122" s="563"/>
      <c r="M122" s="351"/>
      <c r="N122" s="37"/>
      <c r="O122" s="35"/>
      <c r="P122" s="560"/>
      <c r="Q122" s="351"/>
      <c r="R122" s="527"/>
      <c r="S122" s="351"/>
      <c r="T122" s="528"/>
      <c r="U122" s="351"/>
      <c r="V122" s="541"/>
      <c r="W122" s="351"/>
      <c r="X122" s="542" t="s">
        <v>294</v>
      </c>
      <c r="Y122" s="350"/>
      <c r="Z122" s="350"/>
      <c r="AA122" s="351"/>
      <c r="AB122" s="543" t="s">
        <v>294</v>
      </c>
      <c r="AC122" s="350"/>
      <c r="AD122" s="350"/>
      <c r="AE122" s="351"/>
      <c r="AF122" s="544"/>
      <c r="AG122" s="351"/>
      <c r="AH122" s="544"/>
      <c r="AI122" s="351"/>
      <c r="AJ122" s="545"/>
      <c r="AK122" s="351"/>
      <c r="AL122" s="524" t="s">
        <v>325</v>
      </c>
      <c r="AM122" s="351"/>
      <c r="AN122" s="549" t="s">
        <v>325</v>
      </c>
      <c r="AO122" s="351"/>
      <c r="AP122" s="550"/>
      <c r="AQ122" s="351"/>
      <c r="AR122" s="551"/>
      <c r="AS122" s="351"/>
      <c r="AT122" s="534"/>
      <c r="AU122" s="351"/>
      <c r="AV122" s="549" t="s">
        <v>325</v>
      </c>
      <c r="AW122" s="351"/>
      <c r="AX122" s="553"/>
      <c r="AY122" s="350"/>
      <c r="AZ122" s="351"/>
      <c r="BA122" s="554"/>
      <c r="BB122" s="351"/>
      <c r="BC122" s="39"/>
      <c r="BD122" s="546" t="s">
        <v>325</v>
      </c>
      <c r="BE122" s="351"/>
      <c r="BF122" s="547"/>
      <c r="BG122" s="350"/>
      <c r="BH122" s="350"/>
      <c r="BI122" s="351"/>
      <c r="BJ122" s="548" t="s">
        <v>294</v>
      </c>
      <c r="BK122" s="350"/>
      <c r="BL122" s="350"/>
      <c r="BM122" s="351"/>
      <c r="BN122" s="530" t="s">
        <v>294</v>
      </c>
      <c r="BO122" s="350"/>
      <c r="BP122" s="350"/>
      <c r="BQ122" s="350"/>
      <c r="BR122" s="350"/>
      <c r="BS122" s="350"/>
      <c r="BT122" s="350"/>
      <c r="BU122" s="350"/>
      <c r="BV122" s="351"/>
    </row>
    <row r="123" spans="1:74" ht="45" customHeight="1">
      <c r="A123" s="24">
        <f t="shared" si="0"/>
        <v>109</v>
      </c>
      <c r="B123" s="558" t="s">
        <v>294</v>
      </c>
      <c r="C123" s="351"/>
      <c r="D123" s="559" t="s">
        <v>298</v>
      </c>
      <c r="E123" s="351"/>
      <c r="F123" s="524" t="s">
        <v>325</v>
      </c>
      <c r="G123" s="351"/>
      <c r="H123" s="561" t="s">
        <v>325</v>
      </c>
      <c r="I123" s="351"/>
      <c r="J123" s="562"/>
      <c r="K123" s="351"/>
      <c r="L123" s="562"/>
      <c r="M123" s="351"/>
      <c r="N123" s="34"/>
      <c r="O123" s="38"/>
      <c r="P123" s="526"/>
      <c r="Q123" s="351"/>
      <c r="R123" s="535"/>
      <c r="S123" s="351"/>
      <c r="T123" s="536"/>
      <c r="U123" s="351"/>
      <c r="V123" s="537"/>
      <c r="W123" s="351"/>
      <c r="X123" s="538" t="s">
        <v>294</v>
      </c>
      <c r="Y123" s="350"/>
      <c r="Z123" s="350"/>
      <c r="AA123" s="351"/>
      <c r="AB123" s="539" t="s">
        <v>294</v>
      </c>
      <c r="AC123" s="350"/>
      <c r="AD123" s="350"/>
      <c r="AE123" s="351"/>
      <c r="AF123" s="540"/>
      <c r="AG123" s="351"/>
      <c r="AH123" s="540"/>
      <c r="AI123" s="351"/>
      <c r="AJ123" s="532"/>
      <c r="AK123" s="351"/>
      <c r="AL123" s="555" t="s">
        <v>325</v>
      </c>
      <c r="AM123" s="351"/>
      <c r="AN123" s="531" t="s">
        <v>325</v>
      </c>
      <c r="AO123" s="351"/>
      <c r="AP123" s="532"/>
      <c r="AQ123" s="351"/>
      <c r="AR123" s="533"/>
      <c r="AS123" s="351"/>
      <c r="AT123" s="534"/>
      <c r="AU123" s="351"/>
      <c r="AV123" s="531" t="s">
        <v>325</v>
      </c>
      <c r="AW123" s="351"/>
      <c r="AX123" s="553"/>
      <c r="AY123" s="350"/>
      <c r="AZ123" s="351"/>
      <c r="BA123" s="545"/>
      <c r="BB123" s="351"/>
      <c r="BC123" s="36"/>
      <c r="BD123" s="556" t="s">
        <v>325</v>
      </c>
      <c r="BE123" s="351"/>
      <c r="BF123" s="529"/>
      <c r="BG123" s="350"/>
      <c r="BH123" s="350"/>
      <c r="BI123" s="351"/>
      <c r="BJ123" s="506" t="s">
        <v>294</v>
      </c>
      <c r="BK123" s="350"/>
      <c r="BL123" s="350"/>
      <c r="BM123" s="351"/>
      <c r="BN123" s="530" t="s">
        <v>294</v>
      </c>
      <c r="BO123" s="350"/>
      <c r="BP123" s="350"/>
      <c r="BQ123" s="350"/>
      <c r="BR123" s="350"/>
      <c r="BS123" s="350"/>
      <c r="BT123" s="350"/>
      <c r="BU123" s="350"/>
      <c r="BV123" s="351"/>
    </row>
    <row r="124" spans="1:74" ht="45" customHeight="1">
      <c r="A124" s="24">
        <f t="shared" si="0"/>
        <v>110</v>
      </c>
      <c r="B124" s="522" t="s">
        <v>294</v>
      </c>
      <c r="C124" s="351"/>
      <c r="D124" s="523" t="s">
        <v>298</v>
      </c>
      <c r="E124" s="351"/>
      <c r="F124" s="524" t="s">
        <v>325</v>
      </c>
      <c r="G124" s="351"/>
      <c r="H124" s="525" t="s">
        <v>325</v>
      </c>
      <c r="I124" s="351"/>
      <c r="J124" s="563"/>
      <c r="K124" s="351"/>
      <c r="L124" s="563"/>
      <c r="M124" s="351"/>
      <c r="N124" s="37"/>
      <c r="O124" s="35"/>
      <c r="P124" s="560"/>
      <c r="Q124" s="351"/>
      <c r="R124" s="527"/>
      <c r="S124" s="351"/>
      <c r="T124" s="528"/>
      <c r="U124" s="351"/>
      <c r="V124" s="541"/>
      <c r="W124" s="351"/>
      <c r="X124" s="542" t="s">
        <v>294</v>
      </c>
      <c r="Y124" s="350"/>
      <c r="Z124" s="350"/>
      <c r="AA124" s="351"/>
      <c r="AB124" s="543" t="s">
        <v>294</v>
      </c>
      <c r="AC124" s="350"/>
      <c r="AD124" s="350"/>
      <c r="AE124" s="351"/>
      <c r="AF124" s="544"/>
      <c r="AG124" s="351"/>
      <c r="AH124" s="544"/>
      <c r="AI124" s="351"/>
      <c r="AJ124" s="545"/>
      <c r="AK124" s="351"/>
      <c r="AL124" s="524" t="s">
        <v>325</v>
      </c>
      <c r="AM124" s="351"/>
      <c r="AN124" s="549" t="s">
        <v>325</v>
      </c>
      <c r="AO124" s="351"/>
      <c r="AP124" s="550"/>
      <c r="AQ124" s="351"/>
      <c r="AR124" s="551"/>
      <c r="AS124" s="351"/>
      <c r="AT124" s="534"/>
      <c r="AU124" s="351"/>
      <c r="AV124" s="549" t="s">
        <v>325</v>
      </c>
      <c r="AW124" s="351"/>
      <c r="AX124" s="553"/>
      <c r="AY124" s="350"/>
      <c r="AZ124" s="351"/>
      <c r="BA124" s="554"/>
      <c r="BB124" s="351"/>
      <c r="BC124" s="39"/>
      <c r="BD124" s="546" t="s">
        <v>325</v>
      </c>
      <c r="BE124" s="351"/>
      <c r="BF124" s="547"/>
      <c r="BG124" s="350"/>
      <c r="BH124" s="350"/>
      <c r="BI124" s="351"/>
      <c r="BJ124" s="548" t="s">
        <v>294</v>
      </c>
      <c r="BK124" s="350"/>
      <c r="BL124" s="350"/>
      <c r="BM124" s="351"/>
      <c r="BN124" s="530" t="s">
        <v>294</v>
      </c>
      <c r="BO124" s="350"/>
      <c r="BP124" s="350"/>
      <c r="BQ124" s="350"/>
      <c r="BR124" s="350"/>
      <c r="BS124" s="350"/>
      <c r="BT124" s="350"/>
      <c r="BU124" s="350"/>
      <c r="BV124" s="351"/>
    </row>
    <row r="125" spans="1:74" ht="45" customHeight="1">
      <c r="A125" s="24">
        <f t="shared" si="0"/>
        <v>111</v>
      </c>
      <c r="B125" s="558" t="s">
        <v>294</v>
      </c>
      <c r="C125" s="351"/>
      <c r="D125" s="559" t="s">
        <v>298</v>
      </c>
      <c r="E125" s="351"/>
      <c r="F125" s="524" t="s">
        <v>325</v>
      </c>
      <c r="G125" s="351"/>
      <c r="H125" s="561" t="s">
        <v>325</v>
      </c>
      <c r="I125" s="351"/>
      <c r="J125" s="562"/>
      <c r="K125" s="351"/>
      <c r="L125" s="562"/>
      <c r="M125" s="351"/>
      <c r="N125" s="34"/>
      <c r="O125" s="38"/>
      <c r="P125" s="526"/>
      <c r="Q125" s="351"/>
      <c r="R125" s="535"/>
      <c r="S125" s="351"/>
      <c r="T125" s="536"/>
      <c r="U125" s="351"/>
      <c r="V125" s="537"/>
      <c r="W125" s="351"/>
      <c r="X125" s="538" t="s">
        <v>294</v>
      </c>
      <c r="Y125" s="350"/>
      <c r="Z125" s="350"/>
      <c r="AA125" s="351"/>
      <c r="AB125" s="539" t="s">
        <v>294</v>
      </c>
      <c r="AC125" s="350"/>
      <c r="AD125" s="350"/>
      <c r="AE125" s="351"/>
      <c r="AF125" s="540"/>
      <c r="AG125" s="351"/>
      <c r="AH125" s="540"/>
      <c r="AI125" s="351"/>
      <c r="AJ125" s="532"/>
      <c r="AK125" s="351"/>
      <c r="AL125" s="555" t="s">
        <v>325</v>
      </c>
      <c r="AM125" s="351"/>
      <c r="AN125" s="531" t="s">
        <v>325</v>
      </c>
      <c r="AO125" s="351"/>
      <c r="AP125" s="532"/>
      <c r="AQ125" s="351"/>
      <c r="AR125" s="533"/>
      <c r="AS125" s="351"/>
      <c r="AT125" s="534"/>
      <c r="AU125" s="351"/>
      <c r="AV125" s="531" t="s">
        <v>325</v>
      </c>
      <c r="AW125" s="351"/>
      <c r="AX125" s="553"/>
      <c r="AY125" s="350"/>
      <c r="AZ125" s="351"/>
      <c r="BA125" s="545"/>
      <c r="BB125" s="351"/>
      <c r="BC125" s="36"/>
      <c r="BD125" s="556" t="s">
        <v>325</v>
      </c>
      <c r="BE125" s="351"/>
      <c r="BF125" s="529"/>
      <c r="BG125" s="350"/>
      <c r="BH125" s="350"/>
      <c r="BI125" s="351"/>
      <c r="BJ125" s="506" t="s">
        <v>294</v>
      </c>
      <c r="BK125" s="350"/>
      <c r="BL125" s="350"/>
      <c r="BM125" s="351"/>
      <c r="BN125" s="530" t="s">
        <v>294</v>
      </c>
      <c r="BO125" s="350"/>
      <c r="BP125" s="350"/>
      <c r="BQ125" s="350"/>
      <c r="BR125" s="350"/>
      <c r="BS125" s="350"/>
      <c r="BT125" s="350"/>
      <c r="BU125" s="350"/>
      <c r="BV125" s="351"/>
    </row>
    <row r="126" spans="1:74" ht="45" customHeight="1">
      <c r="A126" s="24">
        <f t="shared" si="0"/>
        <v>112</v>
      </c>
      <c r="B126" s="522" t="s">
        <v>294</v>
      </c>
      <c r="C126" s="351"/>
      <c r="D126" s="523" t="s">
        <v>298</v>
      </c>
      <c r="E126" s="351"/>
      <c r="F126" s="524" t="s">
        <v>325</v>
      </c>
      <c r="G126" s="351"/>
      <c r="H126" s="525" t="s">
        <v>325</v>
      </c>
      <c r="I126" s="351"/>
      <c r="J126" s="563"/>
      <c r="K126" s="351"/>
      <c r="L126" s="563"/>
      <c r="M126" s="351"/>
      <c r="N126" s="37"/>
      <c r="O126" s="35"/>
      <c r="P126" s="560"/>
      <c r="Q126" s="351"/>
      <c r="R126" s="527"/>
      <c r="S126" s="351"/>
      <c r="T126" s="528"/>
      <c r="U126" s="351"/>
      <c r="V126" s="541"/>
      <c r="W126" s="351"/>
      <c r="X126" s="542" t="s">
        <v>294</v>
      </c>
      <c r="Y126" s="350"/>
      <c r="Z126" s="350"/>
      <c r="AA126" s="351"/>
      <c r="AB126" s="543" t="s">
        <v>294</v>
      </c>
      <c r="AC126" s="350"/>
      <c r="AD126" s="350"/>
      <c r="AE126" s="351"/>
      <c r="AF126" s="544"/>
      <c r="AG126" s="351"/>
      <c r="AH126" s="544"/>
      <c r="AI126" s="351"/>
      <c r="AJ126" s="545"/>
      <c r="AK126" s="351"/>
      <c r="AL126" s="524" t="s">
        <v>325</v>
      </c>
      <c r="AM126" s="351"/>
      <c r="AN126" s="549" t="s">
        <v>325</v>
      </c>
      <c r="AO126" s="351"/>
      <c r="AP126" s="550"/>
      <c r="AQ126" s="351"/>
      <c r="AR126" s="551"/>
      <c r="AS126" s="351"/>
      <c r="AT126" s="534"/>
      <c r="AU126" s="351"/>
      <c r="AV126" s="549" t="s">
        <v>325</v>
      </c>
      <c r="AW126" s="351"/>
      <c r="AX126" s="553"/>
      <c r="AY126" s="350"/>
      <c r="AZ126" s="351"/>
      <c r="BA126" s="554"/>
      <c r="BB126" s="351"/>
      <c r="BC126" s="39"/>
      <c r="BD126" s="546" t="s">
        <v>325</v>
      </c>
      <c r="BE126" s="351"/>
      <c r="BF126" s="547"/>
      <c r="BG126" s="350"/>
      <c r="BH126" s="350"/>
      <c r="BI126" s="351"/>
      <c r="BJ126" s="548" t="s">
        <v>294</v>
      </c>
      <c r="BK126" s="350"/>
      <c r="BL126" s="350"/>
      <c r="BM126" s="351"/>
      <c r="BN126" s="530" t="s">
        <v>294</v>
      </c>
      <c r="BO126" s="350"/>
      <c r="BP126" s="350"/>
      <c r="BQ126" s="350"/>
      <c r="BR126" s="350"/>
      <c r="BS126" s="350"/>
      <c r="BT126" s="350"/>
      <c r="BU126" s="350"/>
      <c r="BV126" s="351"/>
    </row>
    <row r="127" spans="1:74" ht="45" customHeight="1">
      <c r="A127" s="24">
        <f t="shared" si="0"/>
        <v>113</v>
      </c>
      <c r="B127" s="558" t="s">
        <v>294</v>
      </c>
      <c r="C127" s="351"/>
      <c r="D127" s="559" t="s">
        <v>298</v>
      </c>
      <c r="E127" s="351"/>
      <c r="F127" s="524" t="s">
        <v>325</v>
      </c>
      <c r="G127" s="351"/>
      <c r="H127" s="561" t="s">
        <v>325</v>
      </c>
      <c r="I127" s="351"/>
      <c r="J127" s="562"/>
      <c r="K127" s="351"/>
      <c r="L127" s="562"/>
      <c r="M127" s="351"/>
      <c r="N127" s="34"/>
      <c r="O127" s="38"/>
      <c r="P127" s="526"/>
      <c r="Q127" s="351"/>
      <c r="R127" s="535"/>
      <c r="S127" s="351"/>
      <c r="T127" s="536"/>
      <c r="U127" s="351"/>
      <c r="V127" s="537"/>
      <c r="W127" s="351"/>
      <c r="X127" s="538" t="s">
        <v>294</v>
      </c>
      <c r="Y127" s="350"/>
      <c r="Z127" s="350"/>
      <c r="AA127" s="351"/>
      <c r="AB127" s="539" t="s">
        <v>294</v>
      </c>
      <c r="AC127" s="350"/>
      <c r="AD127" s="350"/>
      <c r="AE127" s="351"/>
      <c r="AF127" s="540"/>
      <c r="AG127" s="351"/>
      <c r="AH127" s="540"/>
      <c r="AI127" s="351"/>
      <c r="AJ127" s="532"/>
      <c r="AK127" s="351"/>
      <c r="AL127" s="555" t="s">
        <v>325</v>
      </c>
      <c r="AM127" s="351"/>
      <c r="AN127" s="531" t="s">
        <v>325</v>
      </c>
      <c r="AO127" s="351"/>
      <c r="AP127" s="532"/>
      <c r="AQ127" s="351"/>
      <c r="AR127" s="533"/>
      <c r="AS127" s="351"/>
      <c r="AT127" s="534"/>
      <c r="AU127" s="351"/>
      <c r="AV127" s="531" t="s">
        <v>325</v>
      </c>
      <c r="AW127" s="351"/>
      <c r="AX127" s="553"/>
      <c r="AY127" s="350"/>
      <c r="AZ127" s="351"/>
      <c r="BA127" s="545"/>
      <c r="BB127" s="351"/>
      <c r="BC127" s="36"/>
      <c r="BD127" s="556" t="s">
        <v>325</v>
      </c>
      <c r="BE127" s="351"/>
      <c r="BF127" s="557"/>
      <c r="BG127" s="350"/>
      <c r="BH127" s="350"/>
      <c r="BI127" s="351"/>
      <c r="BJ127" s="506" t="s">
        <v>294</v>
      </c>
      <c r="BK127" s="350"/>
      <c r="BL127" s="350"/>
      <c r="BM127" s="351"/>
      <c r="BN127" s="530" t="s">
        <v>294</v>
      </c>
      <c r="BO127" s="350"/>
      <c r="BP127" s="350"/>
      <c r="BQ127" s="350"/>
      <c r="BR127" s="350"/>
      <c r="BS127" s="350"/>
      <c r="BT127" s="350"/>
      <c r="BU127" s="350"/>
      <c r="BV127" s="351"/>
    </row>
    <row r="128" spans="1:74" ht="45" customHeight="1">
      <c r="A128" s="24">
        <f t="shared" si="0"/>
        <v>114</v>
      </c>
      <c r="B128" s="522" t="s">
        <v>294</v>
      </c>
      <c r="C128" s="351"/>
      <c r="D128" s="523" t="s">
        <v>298</v>
      </c>
      <c r="E128" s="351"/>
      <c r="F128" s="524" t="s">
        <v>325</v>
      </c>
      <c r="G128" s="351"/>
      <c r="H128" s="525" t="s">
        <v>325</v>
      </c>
      <c r="I128" s="351"/>
      <c r="J128" s="563"/>
      <c r="K128" s="351"/>
      <c r="L128" s="563"/>
      <c r="M128" s="351"/>
      <c r="N128" s="37"/>
      <c r="O128" s="35"/>
      <c r="P128" s="560"/>
      <c r="Q128" s="351"/>
      <c r="R128" s="527"/>
      <c r="S128" s="351"/>
      <c r="T128" s="528"/>
      <c r="U128" s="351"/>
      <c r="V128" s="541"/>
      <c r="W128" s="351"/>
      <c r="X128" s="542" t="s">
        <v>294</v>
      </c>
      <c r="Y128" s="350"/>
      <c r="Z128" s="350"/>
      <c r="AA128" s="351"/>
      <c r="AB128" s="543" t="s">
        <v>294</v>
      </c>
      <c r="AC128" s="350"/>
      <c r="AD128" s="350"/>
      <c r="AE128" s="351"/>
      <c r="AF128" s="544"/>
      <c r="AG128" s="351"/>
      <c r="AH128" s="544"/>
      <c r="AI128" s="351"/>
      <c r="AJ128" s="545"/>
      <c r="AK128" s="351"/>
      <c r="AL128" s="524" t="s">
        <v>325</v>
      </c>
      <c r="AM128" s="351"/>
      <c r="AN128" s="549" t="s">
        <v>325</v>
      </c>
      <c r="AO128" s="351"/>
      <c r="AP128" s="550"/>
      <c r="AQ128" s="351"/>
      <c r="AR128" s="551"/>
      <c r="AS128" s="351"/>
      <c r="AT128" s="534"/>
      <c r="AU128" s="351"/>
      <c r="AV128" s="549" t="s">
        <v>325</v>
      </c>
      <c r="AW128" s="351"/>
      <c r="AX128" s="553"/>
      <c r="AY128" s="350"/>
      <c r="AZ128" s="351"/>
      <c r="BA128" s="554"/>
      <c r="BB128" s="351"/>
      <c r="BC128" s="39"/>
      <c r="BD128" s="546" t="s">
        <v>325</v>
      </c>
      <c r="BE128" s="351"/>
      <c r="BF128" s="547"/>
      <c r="BG128" s="350"/>
      <c r="BH128" s="350"/>
      <c r="BI128" s="351"/>
      <c r="BJ128" s="548" t="s">
        <v>294</v>
      </c>
      <c r="BK128" s="350"/>
      <c r="BL128" s="350"/>
      <c r="BM128" s="351"/>
      <c r="BN128" s="530" t="s">
        <v>294</v>
      </c>
      <c r="BO128" s="350"/>
      <c r="BP128" s="350"/>
      <c r="BQ128" s="350"/>
      <c r="BR128" s="350"/>
      <c r="BS128" s="350"/>
      <c r="BT128" s="350"/>
      <c r="BU128" s="350"/>
      <c r="BV128" s="351"/>
    </row>
    <row r="129" spans="1:74" ht="45" customHeight="1">
      <c r="A129" s="24">
        <f t="shared" si="0"/>
        <v>115</v>
      </c>
      <c r="B129" s="558" t="s">
        <v>294</v>
      </c>
      <c r="C129" s="351"/>
      <c r="D129" s="559" t="s">
        <v>298</v>
      </c>
      <c r="E129" s="351"/>
      <c r="F129" s="524" t="s">
        <v>325</v>
      </c>
      <c r="G129" s="351"/>
      <c r="H129" s="561" t="s">
        <v>325</v>
      </c>
      <c r="I129" s="351"/>
      <c r="J129" s="562"/>
      <c r="K129" s="351"/>
      <c r="L129" s="562"/>
      <c r="M129" s="351"/>
      <c r="N129" s="34"/>
      <c r="O129" s="38"/>
      <c r="P129" s="526"/>
      <c r="Q129" s="351"/>
      <c r="R129" s="535"/>
      <c r="S129" s="351"/>
      <c r="T129" s="536"/>
      <c r="U129" s="351"/>
      <c r="V129" s="537"/>
      <c r="W129" s="351"/>
      <c r="X129" s="538" t="s">
        <v>294</v>
      </c>
      <c r="Y129" s="350"/>
      <c r="Z129" s="350"/>
      <c r="AA129" s="351"/>
      <c r="AB129" s="539" t="s">
        <v>294</v>
      </c>
      <c r="AC129" s="350"/>
      <c r="AD129" s="350"/>
      <c r="AE129" s="351"/>
      <c r="AF129" s="540"/>
      <c r="AG129" s="351"/>
      <c r="AH129" s="540"/>
      <c r="AI129" s="351"/>
      <c r="AJ129" s="532"/>
      <c r="AK129" s="351"/>
      <c r="AL129" s="555" t="s">
        <v>325</v>
      </c>
      <c r="AM129" s="351"/>
      <c r="AN129" s="531" t="s">
        <v>325</v>
      </c>
      <c r="AO129" s="351"/>
      <c r="AP129" s="532"/>
      <c r="AQ129" s="351"/>
      <c r="AR129" s="533"/>
      <c r="AS129" s="351"/>
      <c r="AT129" s="534"/>
      <c r="AU129" s="351"/>
      <c r="AV129" s="531" t="s">
        <v>325</v>
      </c>
      <c r="AW129" s="351"/>
      <c r="AX129" s="553"/>
      <c r="AY129" s="350"/>
      <c r="AZ129" s="351"/>
      <c r="BA129" s="545"/>
      <c r="BB129" s="351"/>
      <c r="BC129" s="36"/>
      <c r="BD129" s="556" t="s">
        <v>325</v>
      </c>
      <c r="BE129" s="351"/>
      <c r="BF129" s="529"/>
      <c r="BG129" s="350"/>
      <c r="BH129" s="350"/>
      <c r="BI129" s="351"/>
      <c r="BJ129" s="506" t="s">
        <v>294</v>
      </c>
      <c r="BK129" s="350"/>
      <c r="BL129" s="350"/>
      <c r="BM129" s="351"/>
      <c r="BN129" s="530" t="s">
        <v>294</v>
      </c>
      <c r="BO129" s="350"/>
      <c r="BP129" s="350"/>
      <c r="BQ129" s="350"/>
      <c r="BR129" s="350"/>
      <c r="BS129" s="350"/>
      <c r="BT129" s="350"/>
      <c r="BU129" s="350"/>
      <c r="BV129" s="351"/>
    </row>
    <row r="130" spans="1:74" ht="45" customHeight="1">
      <c r="A130" s="24">
        <f t="shared" si="0"/>
        <v>116</v>
      </c>
      <c r="B130" s="522" t="s">
        <v>294</v>
      </c>
      <c r="C130" s="351"/>
      <c r="D130" s="523" t="s">
        <v>298</v>
      </c>
      <c r="E130" s="351"/>
      <c r="F130" s="524" t="s">
        <v>325</v>
      </c>
      <c r="G130" s="351"/>
      <c r="H130" s="525" t="s">
        <v>325</v>
      </c>
      <c r="I130" s="351"/>
      <c r="J130" s="563"/>
      <c r="K130" s="351"/>
      <c r="L130" s="563"/>
      <c r="M130" s="351"/>
      <c r="N130" s="37"/>
      <c r="O130" s="38"/>
      <c r="P130" s="560"/>
      <c r="Q130" s="351"/>
      <c r="R130" s="527"/>
      <c r="S130" s="351"/>
      <c r="T130" s="528"/>
      <c r="U130" s="351"/>
      <c r="V130" s="541"/>
      <c r="W130" s="351"/>
      <c r="X130" s="542" t="s">
        <v>294</v>
      </c>
      <c r="Y130" s="350"/>
      <c r="Z130" s="350"/>
      <c r="AA130" s="351"/>
      <c r="AB130" s="543" t="s">
        <v>294</v>
      </c>
      <c r="AC130" s="350"/>
      <c r="AD130" s="350"/>
      <c r="AE130" s="351"/>
      <c r="AF130" s="544"/>
      <c r="AG130" s="351"/>
      <c r="AH130" s="544"/>
      <c r="AI130" s="351"/>
      <c r="AJ130" s="545"/>
      <c r="AK130" s="351"/>
      <c r="AL130" s="524" t="s">
        <v>325</v>
      </c>
      <c r="AM130" s="351"/>
      <c r="AN130" s="549" t="s">
        <v>325</v>
      </c>
      <c r="AO130" s="351"/>
      <c r="AP130" s="550"/>
      <c r="AQ130" s="351"/>
      <c r="AR130" s="551"/>
      <c r="AS130" s="351"/>
      <c r="AT130" s="534"/>
      <c r="AU130" s="351"/>
      <c r="AV130" s="549" t="s">
        <v>325</v>
      </c>
      <c r="AW130" s="351"/>
      <c r="AX130" s="553"/>
      <c r="AY130" s="350"/>
      <c r="AZ130" s="351"/>
      <c r="BA130" s="554"/>
      <c r="BB130" s="351"/>
      <c r="BC130" s="39"/>
      <c r="BD130" s="546" t="s">
        <v>325</v>
      </c>
      <c r="BE130" s="351"/>
      <c r="BF130" s="547"/>
      <c r="BG130" s="350"/>
      <c r="BH130" s="350"/>
      <c r="BI130" s="351"/>
      <c r="BJ130" s="548" t="s">
        <v>294</v>
      </c>
      <c r="BK130" s="350"/>
      <c r="BL130" s="350"/>
      <c r="BM130" s="351"/>
      <c r="BN130" s="530" t="s">
        <v>294</v>
      </c>
      <c r="BO130" s="350"/>
      <c r="BP130" s="350"/>
      <c r="BQ130" s="350"/>
      <c r="BR130" s="350"/>
      <c r="BS130" s="350"/>
      <c r="BT130" s="350"/>
      <c r="BU130" s="350"/>
      <c r="BV130" s="351"/>
    </row>
    <row r="131" spans="1:74" ht="45" customHeight="1">
      <c r="A131" s="24">
        <f t="shared" si="0"/>
        <v>117</v>
      </c>
      <c r="B131" s="558" t="s">
        <v>294</v>
      </c>
      <c r="C131" s="351"/>
      <c r="D131" s="559" t="s">
        <v>298</v>
      </c>
      <c r="E131" s="351"/>
      <c r="F131" s="524" t="s">
        <v>325</v>
      </c>
      <c r="G131" s="351"/>
      <c r="H131" s="561" t="s">
        <v>325</v>
      </c>
      <c r="I131" s="351"/>
      <c r="J131" s="562"/>
      <c r="K131" s="351"/>
      <c r="L131" s="562"/>
      <c r="M131" s="351"/>
      <c r="N131" s="34"/>
      <c r="O131" s="35"/>
      <c r="P131" s="526"/>
      <c r="Q131" s="351"/>
      <c r="R131" s="535"/>
      <c r="S131" s="351"/>
      <c r="T131" s="536"/>
      <c r="U131" s="351"/>
      <c r="V131" s="537"/>
      <c r="W131" s="351"/>
      <c r="X131" s="538" t="s">
        <v>294</v>
      </c>
      <c r="Y131" s="350"/>
      <c r="Z131" s="350"/>
      <c r="AA131" s="351"/>
      <c r="AB131" s="539" t="s">
        <v>294</v>
      </c>
      <c r="AC131" s="350"/>
      <c r="AD131" s="350"/>
      <c r="AE131" s="351"/>
      <c r="AF131" s="540"/>
      <c r="AG131" s="351"/>
      <c r="AH131" s="540"/>
      <c r="AI131" s="351"/>
      <c r="AJ131" s="532"/>
      <c r="AK131" s="351"/>
      <c r="AL131" s="555" t="s">
        <v>325</v>
      </c>
      <c r="AM131" s="351"/>
      <c r="AN131" s="531" t="s">
        <v>325</v>
      </c>
      <c r="AO131" s="351"/>
      <c r="AP131" s="532"/>
      <c r="AQ131" s="351"/>
      <c r="AR131" s="533"/>
      <c r="AS131" s="351"/>
      <c r="AT131" s="534"/>
      <c r="AU131" s="351"/>
      <c r="AV131" s="531" t="s">
        <v>325</v>
      </c>
      <c r="AW131" s="351"/>
      <c r="AX131" s="553"/>
      <c r="AY131" s="350"/>
      <c r="AZ131" s="351"/>
      <c r="BA131" s="545"/>
      <c r="BB131" s="351"/>
      <c r="BC131" s="36"/>
      <c r="BD131" s="556" t="s">
        <v>325</v>
      </c>
      <c r="BE131" s="351"/>
      <c r="BF131" s="557"/>
      <c r="BG131" s="350"/>
      <c r="BH131" s="350"/>
      <c r="BI131" s="351"/>
      <c r="BJ131" s="506" t="s">
        <v>294</v>
      </c>
      <c r="BK131" s="350"/>
      <c r="BL131" s="350"/>
      <c r="BM131" s="351"/>
      <c r="BN131" s="530" t="s">
        <v>294</v>
      </c>
      <c r="BO131" s="350"/>
      <c r="BP131" s="350"/>
      <c r="BQ131" s="350"/>
      <c r="BR131" s="350"/>
      <c r="BS131" s="350"/>
      <c r="BT131" s="350"/>
      <c r="BU131" s="350"/>
      <c r="BV131" s="351"/>
    </row>
    <row r="132" spans="1:74" ht="45" customHeight="1">
      <c r="A132" s="24">
        <f t="shared" si="0"/>
        <v>118</v>
      </c>
      <c r="B132" s="522" t="s">
        <v>294</v>
      </c>
      <c r="C132" s="351"/>
      <c r="D132" s="523" t="s">
        <v>298</v>
      </c>
      <c r="E132" s="351"/>
      <c r="F132" s="524" t="s">
        <v>325</v>
      </c>
      <c r="G132" s="351"/>
      <c r="H132" s="525" t="s">
        <v>325</v>
      </c>
      <c r="I132" s="351"/>
      <c r="J132" s="563"/>
      <c r="K132" s="351"/>
      <c r="L132" s="563"/>
      <c r="M132" s="351"/>
      <c r="N132" s="37"/>
      <c r="O132" s="38"/>
      <c r="P132" s="560"/>
      <c r="Q132" s="351"/>
      <c r="R132" s="527"/>
      <c r="S132" s="351"/>
      <c r="T132" s="528"/>
      <c r="U132" s="351"/>
      <c r="V132" s="541"/>
      <c r="W132" s="351"/>
      <c r="X132" s="542" t="s">
        <v>294</v>
      </c>
      <c r="Y132" s="350"/>
      <c r="Z132" s="350"/>
      <c r="AA132" s="351"/>
      <c r="AB132" s="543" t="s">
        <v>294</v>
      </c>
      <c r="AC132" s="350"/>
      <c r="AD132" s="350"/>
      <c r="AE132" s="351"/>
      <c r="AF132" s="544"/>
      <c r="AG132" s="351"/>
      <c r="AH132" s="544"/>
      <c r="AI132" s="351"/>
      <c r="AJ132" s="545"/>
      <c r="AK132" s="351"/>
      <c r="AL132" s="524" t="s">
        <v>325</v>
      </c>
      <c r="AM132" s="351"/>
      <c r="AN132" s="549" t="s">
        <v>325</v>
      </c>
      <c r="AO132" s="351"/>
      <c r="AP132" s="550"/>
      <c r="AQ132" s="351"/>
      <c r="AR132" s="551"/>
      <c r="AS132" s="351"/>
      <c r="AT132" s="534"/>
      <c r="AU132" s="351"/>
      <c r="AV132" s="549" t="s">
        <v>325</v>
      </c>
      <c r="AW132" s="351"/>
      <c r="AX132" s="553"/>
      <c r="AY132" s="350"/>
      <c r="AZ132" s="351"/>
      <c r="BA132" s="554"/>
      <c r="BB132" s="351"/>
      <c r="BC132" s="39"/>
      <c r="BD132" s="546" t="s">
        <v>325</v>
      </c>
      <c r="BE132" s="351"/>
      <c r="BF132" s="547"/>
      <c r="BG132" s="350"/>
      <c r="BH132" s="350"/>
      <c r="BI132" s="351"/>
      <c r="BJ132" s="548" t="s">
        <v>294</v>
      </c>
      <c r="BK132" s="350"/>
      <c r="BL132" s="350"/>
      <c r="BM132" s="351"/>
      <c r="BN132" s="530" t="s">
        <v>294</v>
      </c>
      <c r="BO132" s="350"/>
      <c r="BP132" s="350"/>
      <c r="BQ132" s="350"/>
      <c r="BR132" s="350"/>
      <c r="BS132" s="350"/>
      <c r="BT132" s="350"/>
      <c r="BU132" s="350"/>
      <c r="BV132" s="351"/>
    </row>
    <row r="133" spans="1:74" ht="45" customHeight="1">
      <c r="A133" s="24">
        <f t="shared" si="0"/>
        <v>119</v>
      </c>
      <c r="B133" s="558" t="s">
        <v>294</v>
      </c>
      <c r="C133" s="351"/>
      <c r="D133" s="559" t="s">
        <v>298</v>
      </c>
      <c r="E133" s="351"/>
      <c r="F133" s="524" t="s">
        <v>325</v>
      </c>
      <c r="G133" s="351"/>
      <c r="H133" s="561" t="s">
        <v>325</v>
      </c>
      <c r="I133" s="351"/>
      <c r="J133" s="562"/>
      <c r="K133" s="351"/>
      <c r="L133" s="562"/>
      <c r="M133" s="351"/>
      <c r="N133" s="34"/>
      <c r="O133" s="35"/>
      <c r="P133" s="526"/>
      <c r="Q133" s="351"/>
      <c r="R133" s="535"/>
      <c r="S133" s="351"/>
      <c r="T133" s="536"/>
      <c r="U133" s="351"/>
      <c r="V133" s="537"/>
      <c r="W133" s="351"/>
      <c r="X133" s="538" t="s">
        <v>294</v>
      </c>
      <c r="Y133" s="350"/>
      <c r="Z133" s="350"/>
      <c r="AA133" s="351"/>
      <c r="AB133" s="539" t="s">
        <v>294</v>
      </c>
      <c r="AC133" s="350"/>
      <c r="AD133" s="350"/>
      <c r="AE133" s="351"/>
      <c r="AF133" s="540"/>
      <c r="AG133" s="351"/>
      <c r="AH133" s="540"/>
      <c r="AI133" s="351"/>
      <c r="AJ133" s="532"/>
      <c r="AK133" s="351"/>
      <c r="AL133" s="555" t="s">
        <v>325</v>
      </c>
      <c r="AM133" s="351"/>
      <c r="AN133" s="531" t="s">
        <v>325</v>
      </c>
      <c r="AO133" s="351"/>
      <c r="AP133" s="532"/>
      <c r="AQ133" s="351"/>
      <c r="AR133" s="533"/>
      <c r="AS133" s="351"/>
      <c r="AT133" s="534"/>
      <c r="AU133" s="351"/>
      <c r="AV133" s="531" t="s">
        <v>325</v>
      </c>
      <c r="AW133" s="351"/>
      <c r="AX133" s="553"/>
      <c r="AY133" s="350"/>
      <c r="AZ133" s="351"/>
      <c r="BA133" s="545"/>
      <c r="BB133" s="351"/>
      <c r="BC133" s="36"/>
      <c r="BD133" s="556" t="s">
        <v>325</v>
      </c>
      <c r="BE133" s="351"/>
      <c r="BF133" s="529"/>
      <c r="BG133" s="350"/>
      <c r="BH133" s="350"/>
      <c r="BI133" s="351"/>
      <c r="BJ133" s="506" t="s">
        <v>294</v>
      </c>
      <c r="BK133" s="350"/>
      <c r="BL133" s="350"/>
      <c r="BM133" s="351"/>
      <c r="BN133" s="530" t="s">
        <v>294</v>
      </c>
      <c r="BO133" s="350"/>
      <c r="BP133" s="350"/>
      <c r="BQ133" s="350"/>
      <c r="BR133" s="350"/>
      <c r="BS133" s="350"/>
      <c r="BT133" s="350"/>
      <c r="BU133" s="350"/>
      <c r="BV133" s="351"/>
    </row>
    <row r="134" spans="1:74" ht="45" customHeight="1">
      <c r="A134" s="24">
        <f t="shared" si="0"/>
        <v>120</v>
      </c>
      <c r="B134" s="522" t="s">
        <v>294</v>
      </c>
      <c r="C134" s="351"/>
      <c r="D134" s="523" t="s">
        <v>298</v>
      </c>
      <c r="E134" s="351"/>
      <c r="F134" s="524" t="s">
        <v>325</v>
      </c>
      <c r="G134" s="351"/>
      <c r="H134" s="525" t="s">
        <v>325</v>
      </c>
      <c r="I134" s="351"/>
      <c r="J134" s="563"/>
      <c r="K134" s="351"/>
      <c r="L134" s="563"/>
      <c r="M134" s="351"/>
      <c r="N134" s="37"/>
      <c r="O134" s="38"/>
      <c r="P134" s="560"/>
      <c r="Q134" s="351"/>
      <c r="R134" s="527"/>
      <c r="S134" s="351"/>
      <c r="T134" s="528"/>
      <c r="U134" s="351"/>
      <c r="V134" s="541"/>
      <c r="W134" s="351"/>
      <c r="X134" s="542" t="s">
        <v>294</v>
      </c>
      <c r="Y134" s="350"/>
      <c r="Z134" s="350"/>
      <c r="AA134" s="351"/>
      <c r="AB134" s="543" t="s">
        <v>294</v>
      </c>
      <c r="AC134" s="350"/>
      <c r="AD134" s="350"/>
      <c r="AE134" s="351"/>
      <c r="AF134" s="544"/>
      <c r="AG134" s="351"/>
      <c r="AH134" s="544"/>
      <c r="AI134" s="351"/>
      <c r="AJ134" s="545"/>
      <c r="AK134" s="351"/>
      <c r="AL134" s="524" t="s">
        <v>325</v>
      </c>
      <c r="AM134" s="351"/>
      <c r="AN134" s="549" t="s">
        <v>325</v>
      </c>
      <c r="AO134" s="351"/>
      <c r="AP134" s="550"/>
      <c r="AQ134" s="351"/>
      <c r="AR134" s="551"/>
      <c r="AS134" s="351"/>
      <c r="AT134" s="534"/>
      <c r="AU134" s="351"/>
      <c r="AV134" s="549" t="s">
        <v>325</v>
      </c>
      <c r="AW134" s="351"/>
      <c r="AX134" s="553"/>
      <c r="AY134" s="350"/>
      <c r="AZ134" s="351"/>
      <c r="BA134" s="554"/>
      <c r="BB134" s="351"/>
      <c r="BC134" s="39"/>
      <c r="BD134" s="546" t="s">
        <v>325</v>
      </c>
      <c r="BE134" s="351"/>
      <c r="BF134" s="547"/>
      <c r="BG134" s="350"/>
      <c r="BH134" s="350"/>
      <c r="BI134" s="351"/>
      <c r="BJ134" s="548" t="s">
        <v>294</v>
      </c>
      <c r="BK134" s="350"/>
      <c r="BL134" s="350"/>
      <c r="BM134" s="351"/>
      <c r="BN134" s="530" t="s">
        <v>294</v>
      </c>
      <c r="BO134" s="350"/>
      <c r="BP134" s="350"/>
      <c r="BQ134" s="350"/>
      <c r="BR134" s="350"/>
      <c r="BS134" s="350"/>
      <c r="BT134" s="350"/>
      <c r="BU134" s="350"/>
      <c r="BV134" s="351"/>
    </row>
    <row r="135" spans="1:74" ht="45" customHeight="1">
      <c r="A135" s="24">
        <f t="shared" si="0"/>
        <v>121</v>
      </c>
      <c r="B135" s="558" t="s">
        <v>294</v>
      </c>
      <c r="C135" s="351"/>
      <c r="D135" s="559" t="s">
        <v>298</v>
      </c>
      <c r="E135" s="351"/>
      <c r="F135" s="524" t="s">
        <v>325</v>
      </c>
      <c r="G135" s="351"/>
      <c r="H135" s="561" t="s">
        <v>325</v>
      </c>
      <c r="I135" s="351"/>
      <c r="J135" s="562"/>
      <c r="K135" s="351"/>
      <c r="L135" s="562"/>
      <c r="M135" s="351"/>
      <c r="N135" s="34"/>
      <c r="O135" s="35"/>
      <c r="P135" s="526"/>
      <c r="Q135" s="351"/>
      <c r="R135" s="535"/>
      <c r="S135" s="351"/>
      <c r="T135" s="536"/>
      <c r="U135" s="351"/>
      <c r="V135" s="537"/>
      <c r="W135" s="351"/>
      <c r="X135" s="538" t="s">
        <v>294</v>
      </c>
      <c r="Y135" s="350"/>
      <c r="Z135" s="350"/>
      <c r="AA135" s="351"/>
      <c r="AB135" s="539" t="s">
        <v>294</v>
      </c>
      <c r="AC135" s="350"/>
      <c r="AD135" s="350"/>
      <c r="AE135" s="351"/>
      <c r="AF135" s="540"/>
      <c r="AG135" s="351"/>
      <c r="AH135" s="540"/>
      <c r="AI135" s="351"/>
      <c r="AJ135" s="532"/>
      <c r="AK135" s="351"/>
      <c r="AL135" s="555" t="s">
        <v>325</v>
      </c>
      <c r="AM135" s="351"/>
      <c r="AN135" s="531" t="s">
        <v>325</v>
      </c>
      <c r="AO135" s="351"/>
      <c r="AP135" s="532"/>
      <c r="AQ135" s="351"/>
      <c r="AR135" s="533"/>
      <c r="AS135" s="351"/>
      <c r="AT135" s="534"/>
      <c r="AU135" s="351"/>
      <c r="AV135" s="531" t="s">
        <v>325</v>
      </c>
      <c r="AW135" s="351"/>
      <c r="AX135" s="553"/>
      <c r="AY135" s="350"/>
      <c r="AZ135" s="351"/>
      <c r="BA135" s="545"/>
      <c r="BB135" s="351"/>
      <c r="BC135" s="36"/>
      <c r="BD135" s="556" t="s">
        <v>325</v>
      </c>
      <c r="BE135" s="351"/>
      <c r="BF135" s="529"/>
      <c r="BG135" s="350"/>
      <c r="BH135" s="350"/>
      <c r="BI135" s="351"/>
      <c r="BJ135" s="506" t="s">
        <v>294</v>
      </c>
      <c r="BK135" s="350"/>
      <c r="BL135" s="350"/>
      <c r="BM135" s="351"/>
      <c r="BN135" s="530" t="s">
        <v>294</v>
      </c>
      <c r="BO135" s="350"/>
      <c r="BP135" s="350"/>
      <c r="BQ135" s="350"/>
      <c r="BR135" s="350"/>
      <c r="BS135" s="350"/>
      <c r="BT135" s="350"/>
      <c r="BU135" s="350"/>
      <c r="BV135" s="351"/>
    </row>
    <row r="136" spans="1:74" ht="45" customHeight="1">
      <c r="A136" s="24">
        <f t="shared" si="0"/>
        <v>122</v>
      </c>
      <c r="B136" s="522" t="s">
        <v>294</v>
      </c>
      <c r="C136" s="351"/>
      <c r="D136" s="523" t="s">
        <v>298</v>
      </c>
      <c r="E136" s="351"/>
      <c r="F136" s="524" t="s">
        <v>325</v>
      </c>
      <c r="G136" s="351"/>
      <c r="H136" s="525" t="s">
        <v>325</v>
      </c>
      <c r="I136" s="351"/>
      <c r="J136" s="563"/>
      <c r="K136" s="351"/>
      <c r="L136" s="563"/>
      <c r="M136" s="351"/>
      <c r="N136" s="37"/>
      <c r="O136" s="38"/>
      <c r="P136" s="560"/>
      <c r="Q136" s="351"/>
      <c r="R136" s="527"/>
      <c r="S136" s="351"/>
      <c r="T136" s="528"/>
      <c r="U136" s="351"/>
      <c r="V136" s="541"/>
      <c r="W136" s="351"/>
      <c r="X136" s="542" t="s">
        <v>294</v>
      </c>
      <c r="Y136" s="350"/>
      <c r="Z136" s="350"/>
      <c r="AA136" s="351"/>
      <c r="AB136" s="543" t="s">
        <v>294</v>
      </c>
      <c r="AC136" s="350"/>
      <c r="AD136" s="350"/>
      <c r="AE136" s="351"/>
      <c r="AF136" s="544"/>
      <c r="AG136" s="351"/>
      <c r="AH136" s="544"/>
      <c r="AI136" s="351"/>
      <c r="AJ136" s="545"/>
      <c r="AK136" s="351"/>
      <c r="AL136" s="524" t="s">
        <v>325</v>
      </c>
      <c r="AM136" s="351"/>
      <c r="AN136" s="549" t="s">
        <v>325</v>
      </c>
      <c r="AO136" s="351"/>
      <c r="AP136" s="550"/>
      <c r="AQ136" s="351"/>
      <c r="AR136" s="551"/>
      <c r="AS136" s="351"/>
      <c r="AT136" s="534"/>
      <c r="AU136" s="351"/>
      <c r="AV136" s="549" t="s">
        <v>325</v>
      </c>
      <c r="AW136" s="351"/>
      <c r="AX136" s="553"/>
      <c r="AY136" s="350"/>
      <c r="AZ136" s="351"/>
      <c r="BA136" s="554"/>
      <c r="BB136" s="351"/>
      <c r="BC136" s="39"/>
      <c r="BD136" s="546" t="s">
        <v>325</v>
      </c>
      <c r="BE136" s="351"/>
      <c r="BF136" s="547"/>
      <c r="BG136" s="350"/>
      <c r="BH136" s="350"/>
      <c r="BI136" s="351"/>
      <c r="BJ136" s="548" t="s">
        <v>294</v>
      </c>
      <c r="BK136" s="350"/>
      <c r="BL136" s="350"/>
      <c r="BM136" s="351"/>
      <c r="BN136" s="530" t="s">
        <v>294</v>
      </c>
      <c r="BO136" s="350"/>
      <c r="BP136" s="350"/>
      <c r="BQ136" s="350"/>
      <c r="BR136" s="350"/>
      <c r="BS136" s="350"/>
      <c r="BT136" s="350"/>
      <c r="BU136" s="350"/>
      <c r="BV136" s="351"/>
    </row>
    <row r="137" spans="1:74" ht="45" customHeight="1">
      <c r="A137" s="24">
        <f t="shared" si="0"/>
        <v>123</v>
      </c>
      <c r="B137" s="558" t="s">
        <v>294</v>
      </c>
      <c r="C137" s="351"/>
      <c r="D137" s="559" t="s">
        <v>298</v>
      </c>
      <c r="E137" s="351"/>
      <c r="F137" s="524" t="s">
        <v>325</v>
      </c>
      <c r="G137" s="351"/>
      <c r="H137" s="561" t="s">
        <v>325</v>
      </c>
      <c r="I137" s="351"/>
      <c r="J137" s="562"/>
      <c r="K137" s="351"/>
      <c r="L137" s="562"/>
      <c r="M137" s="351"/>
      <c r="N137" s="34"/>
      <c r="O137" s="35"/>
      <c r="P137" s="526"/>
      <c r="Q137" s="351"/>
      <c r="R137" s="535"/>
      <c r="S137" s="351"/>
      <c r="T137" s="536"/>
      <c r="U137" s="351"/>
      <c r="V137" s="537"/>
      <c r="W137" s="351"/>
      <c r="X137" s="538" t="s">
        <v>294</v>
      </c>
      <c r="Y137" s="350"/>
      <c r="Z137" s="350"/>
      <c r="AA137" s="351"/>
      <c r="AB137" s="539" t="s">
        <v>294</v>
      </c>
      <c r="AC137" s="350"/>
      <c r="AD137" s="350"/>
      <c r="AE137" s="351"/>
      <c r="AF137" s="540"/>
      <c r="AG137" s="351"/>
      <c r="AH137" s="540"/>
      <c r="AI137" s="351"/>
      <c r="AJ137" s="532"/>
      <c r="AK137" s="351"/>
      <c r="AL137" s="555" t="s">
        <v>325</v>
      </c>
      <c r="AM137" s="351"/>
      <c r="AN137" s="531" t="s">
        <v>325</v>
      </c>
      <c r="AO137" s="351"/>
      <c r="AP137" s="532"/>
      <c r="AQ137" s="351"/>
      <c r="AR137" s="533"/>
      <c r="AS137" s="351"/>
      <c r="AT137" s="534"/>
      <c r="AU137" s="351"/>
      <c r="AV137" s="531" t="s">
        <v>325</v>
      </c>
      <c r="AW137" s="351"/>
      <c r="AX137" s="553"/>
      <c r="AY137" s="350"/>
      <c r="AZ137" s="351"/>
      <c r="BA137" s="545"/>
      <c r="BB137" s="351"/>
      <c r="BC137" s="36"/>
      <c r="BD137" s="556" t="s">
        <v>325</v>
      </c>
      <c r="BE137" s="351"/>
      <c r="BF137" s="557"/>
      <c r="BG137" s="350"/>
      <c r="BH137" s="350"/>
      <c r="BI137" s="351"/>
      <c r="BJ137" s="506" t="s">
        <v>294</v>
      </c>
      <c r="BK137" s="350"/>
      <c r="BL137" s="350"/>
      <c r="BM137" s="351"/>
      <c r="BN137" s="530" t="s">
        <v>294</v>
      </c>
      <c r="BO137" s="350"/>
      <c r="BP137" s="350"/>
      <c r="BQ137" s="350"/>
      <c r="BR137" s="350"/>
      <c r="BS137" s="350"/>
      <c r="BT137" s="350"/>
      <c r="BU137" s="350"/>
      <c r="BV137" s="351"/>
    </row>
    <row r="138" spans="1:74" ht="45" customHeight="1">
      <c r="A138" s="24">
        <f t="shared" si="0"/>
        <v>124</v>
      </c>
      <c r="B138" s="522" t="s">
        <v>294</v>
      </c>
      <c r="C138" s="351"/>
      <c r="D138" s="523" t="s">
        <v>298</v>
      </c>
      <c r="E138" s="351"/>
      <c r="F138" s="524" t="s">
        <v>325</v>
      </c>
      <c r="G138" s="351"/>
      <c r="H138" s="525" t="s">
        <v>325</v>
      </c>
      <c r="I138" s="351"/>
      <c r="J138" s="563"/>
      <c r="K138" s="351"/>
      <c r="L138" s="563"/>
      <c r="M138" s="351"/>
      <c r="N138" s="37"/>
      <c r="O138" s="38"/>
      <c r="P138" s="560"/>
      <c r="Q138" s="351"/>
      <c r="R138" s="527"/>
      <c r="S138" s="351"/>
      <c r="T138" s="528"/>
      <c r="U138" s="351"/>
      <c r="V138" s="541"/>
      <c r="W138" s="351"/>
      <c r="X138" s="542" t="s">
        <v>294</v>
      </c>
      <c r="Y138" s="350"/>
      <c r="Z138" s="350"/>
      <c r="AA138" s="351"/>
      <c r="AB138" s="543" t="s">
        <v>294</v>
      </c>
      <c r="AC138" s="350"/>
      <c r="AD138" s="350"/>
      <c r="AE138" s="351"/>
      <c r="AF138" s="544"/>
      <c r="AG138" s="351"/>
      <c r="AH138" s="544"/>
      <c r="AI138" s="351"/>
      <c r="AJ138" s="545"/>
      <c r="AK138" s="351"/>
      <c r="AL138" s="524" t="s">
        <v>325</v>
      </c>
      <c r="AM138" s="351"/>
      <c r="AN138" s="549" t="s">
        <v>325</v>
      </c>
      <c r="AO138" s="351"/>
      <c r="AP138" s="550"/>
      <c r="AQ138" s="351"/>
      <c r="AR138" s="551"/>
      <c r="AS138" s="351"/>
      <c r="AT138" s="534"/>
      <c r="AU138" s="351"/>
      <c r="AV138" s="549" t="s">
        <v>325</v>
      </c>
      <c r="AW138" s="351"/>
      <c r="AX138" s="553"/>
      <c r="AY138" s="350"/>
      <c r="AZ138" s="351"/>
      <c r="BA138" s="554"/>
      <c r="BB138" s="351"/>
      <c r="BC138" s="39"/>
      <c r="BD138" s="546" t="s">
        <v>325</v>
      </c>
      <c r="BE138" s="351"/>
      <c r="BF138" s="547"/>
      <c r="BG138" s="350"/>
      <c r="BH138" s="350"/>
      <c r="BI138" s="351"/>
      <c r="BJ138" s="548" t="s">
        <v>294</v>
      </c>
      <c r="BK138" s="350"/>
      <c r="BL138" s="350"/>
      <c r="BM138" s="351"/>
      <c r="BN138" s="530" t="s">
        <v>294</v>
      </c>
      <c r="BO138" s="350"/>
      <c r="BP138" s="350"/>
      <c r="BQ138" s="350"/>
      <c r="BR138" s="350"/>
      <c r="BS138" s="350"/>
      <c r="BT138" s="350"/>
      <c r="BU138" s="350"/>
      <c r="BV138" s="351"/>
    </row>
    <row r="139" spans="1:74" ht="45" customHeight="1">
      <c r="A139" s="24">
        <f t="shared" si="0"/>
        <v>125</v>
      </c>
      <c r="B139" s="558" t="s">
        <v>294</v>
      </c>
      <c r="C139" s="351"/>
      <c r="D139" s="559" t="s">
        <v>298</v>
      </c>
      <c r="E139" s="351"/>
      <c r="F139" s="524" t="s">
        <v>325</v>
      </c>
      <c r="G139" s="351"/>
      <c r="H139" s="561" t="s">
        <v>325</v>
      </c>
      <c r="I139" s="351"/>
      <c r="J139" s="562"/>
      <c r="K139" s="351"/>
      <c r="L139" s="562"/>
      <c r="M139" s="351"/>
      <c r="N139" s="34"/>
      <c r="O139" s="35"/>
      <c r="P139" s="526"/>
      <c r="Q139" s="351"/>
      <c r="R139" s="535"/>
      <c r="S139" s="351"/>
      <c r="T139" s="536"/>
      <c r="U139" s="351"/>
      <c r="V139" s="537"/>
      <c r="W139" s="351"/>
      <c r="X139" s="538" t="s">
        <v>294</v>
      </c>
      <c r="Y139" s="350"/>
      <c r="Z139" s="350"/>
      <c r="AA139" s="351"/>
      <c r="AB139" s="539" t="s">
        <v>294</v>
      </c>
      <c r="AC139" s="350"/>
      <c r="AD139" s="350"/>
      <c r="AE139" s="351"/>
      <c r="AF139" s="540"/>
      <c r="AG139" s="351"/>
      <c r="AH139" s="540"/>
      <c r="AI139" s="351"/>
      <c r="AJ139" s="532"/>
      <c r="AK139" s="351"/>
      <c r="AL139" s="555" t="s">
        <v>325</v>
      </c>
      <c r="AM139" s="351"/>
      <c r="AN139" s="531" t="s">
        <v>325</v>
      </c>
      <c r="AO139" s="351"/>
      <c r="AP139" s="532"/>
      <c r="AQ139" s="351"/>
      <c r="AR139" s="533"/>
      <c r="AS139" s="351"/>
      <c r="AT139" s="534"/>
      <c r="AU139" s="351"/>
      <c r="AV139" s="531" t="s">
        <v>325</v>
      </c>
      <c r="AW139" s="351"/>
      <c r="AX139" s="553"/>
      <c r="AY139" s="350"/>
      <c r="AZ139" s="351"/>
      <c r="BA139" s="545"/>
      <c r="BB139" s="351"/>
      <c r="BC139" s="36"/>
      <c r="BD139" s="556" t="s">
        <v>325</v>
      </c>
      <c r="BE139" s="351"/>
      <c r="BF139" s="529"/>
      <c r="BG139" s="350"/>
      <c r="BH139" s="350"/>
      <c r="BI139" s="351"/>
      <c r="BJ139" s="506" t="s">
        <v>294</v>
      </c>
      <c r="BK139" s="350"/>
      <c r="BL139" s="350"/>
      <c r="BM139" s="351"/>
      <c r="BN139" s="530" t="s">
        <v>294</v>
      </c>
      <c r="BO139" s="350"/>
      <c r="BP139" s="350"/>
      <c r="BQ139" s="350"/>
      <c r="BR139" s="350"/>
      <c r="BS139" s="350"/>
      <c r="BT139" s="350"/>
      <c r="BU139" s="350"/>
      <c r="BV139" s="351"/>
    </row>
    <row r="140" spans="1:74" ht="45" customHeight="1">
      <c r="A140" s="24">
        <f t="shared" si="0"/>
        <v>126</v>
      </c>
      <c r="B140" s="522" t="s">
        <v>294</v>
      </c>
      <c r="C140" s="351"/>
      <c r="D140" s="523" t="s">
        <v>298</v>
      </c>
      <c r="E140" s="351"/>
      <c r="F140" s="524" t="s">
        <v>325</v>
      </c>
      <c r="G140" s="351"/>
      <c r="H140" s="525" t="s">
        <v>325</v>
      </c>
      <c r="I140" s="351"/>
      <c r="J140" s="563"/>
      <c r="K140" s="351"/>
      <c r="L140" s="563"/>
      <c r="M140" s="351"/>
      <c r="N140" s="37"/>
      <c r="O140" s="38"/>
      <c r="P140" s="560"/>
      <c r="Q140" s="351"/>
      <c r="R140" s="527"/>
      <c r="S140" s="351"/>
      <c r="T140" s="528"/>
      <c r="U140" s="351"/>
      <c r="V140" s="541"/>
      <c r="W140" s="351"/>
      <c r="X140" s="542" t="s">
        <v>294</v>
      </c>
      <c r="Y140" s="350"/>
      <c r="Z140" s="350"/>
      <c r="AA140" s="351"/>
      <c r="AB140" s="543" t="s">
        <v>294</v>
      </c>
      <c r="AC140" s="350"/>
      <c r="AD140" s="350"/>
      <c r="AE140" s="351"/>
      <c r="AF140" s="544"/>
      <c r="AG140" s="351"/>
      <c r="AH140" s="544"/>
      <c r="AI140" s="351"/>
      <c r="AJ140" s="545"/>
      <c r="AK140" s="351"/>
      <c r="AL140" s="524" t="s">
        <v>325</v>
      </c>
      <c r="AM140" s="351"/>
      <c r="AN140" s="549" t="s">
        <v>325</v>
      </c>
      <c r="AO140" s="351"/>
      <c r="AP140" s="550"/>
      <c r="AQ140" s="351"/>
      <c r="AR140" s="551"/>
      <c r="AS140" s="351"/>
      <c r="AT140" s="534"/>
      <c r="AU140" s="351"/>
      <c r="AV140" s="549" t="s">
        <v>325</v>
      </c>
      <c r="AW140" s="351"/>
      <c r="AX140" s="553"/>
      <c r="AY140" s="350"/>
      <c r="AZ140" s="351"/>
      <c r="BA140" s="554"/>
      <c r="BB140" s="351"/>
      <c r="BC140" s="39"/>
      <c r="BD140" s="546" t="s">
        <v>325</v>
      </c>
      <c r="BE140" s="351"/>
      <c r="BF140" s="547"/>
      <c r="BG140" s="350"/>
      <c r="BH140" s="350"/>
      <c r="BI140" s="351"/>
      <c r="BJ140" s="548" t="s">
        <v>294</v>
      </c>
      <c r="BK140" s="350"/>
      <c r="BL140" s="350"/>
      <c r="BM140" s="351"/>
      <c r="BN140" s="530" t="s">
        <v>294</v>
      </c>
      <c r="BO140" s="350"/>
      <c r="BP140" s="350"/>
      <c r="BQ140" s="350"/>
      <c r="BR140" s="350"/>
      <c r="BS140" s="350"/>
      <c r="BT140" s="350"/>
      <c r="BU140" s="350"/>
      <c r="BV140" s="351"/>
    </row>
    <row r="141" spans="1:74" ht="45" customHeight="1">
      <c r="A141" s="24">
        <f t="shared" si="0"/>
        <v>127</v>
      </c>
      <c r="B141" s="558" t="s">
        <v>294</v>
      </c>
      <c r="C141" s="351"/>
      <c r="D141" s="559" t="s">
        <v>298</v>
      </c>
      <c r="E141" s="351"/>
      <c r="F141" s="524" t="s">
        <v>325</v>
      </c>
      <c r="G141" s="351"/>
      <c r="H141" s="561" t="s">
        <v>325</v>
      </c>
      <c r="I141" s="351"/>
      <c r="J141" s="562"/>
      <c r="K141" s="351"/>
      <c r="L141" s="562"/>
      <c r="M141" s="351"/>
      <c r="N141" s="34"/>
      <c r="O141" s="35"/>
      <c r="P141" s="526"/>
      <c r="Q141" s="351"/>
      <c r="R141" s="535"/>
      <c r="S141" s="351"/>
      <c r="T141" s="536"/>
      <c r="U141" s="351"/>
      <c r="V141" s="537"/>
      <c r="W141" s="351"/>
      <c r="X141" s="538" t="s">
        <v>294</v>
      </c>
      <c r="Y141" s="350"/>
      <c r="Z141" s="350"/>
      <c r="AA141" s="351"/>
      <c r="AB141" s="539" t="s">
        <v>294</v>
      </c>
      <c r="AC141" s="350"/>
      <c r="AD141" s="350"/>
      <c r="AE141" s="351"/>
      <c r="AF141" s="540"/>
      <c r="AG141" s="351"/>
      <c r="AH141" s="540"/>
      <c r="AI141" s="351"/>
      <c r="AJ141" s="532"/>
      <c r="AK141" s="351"/>
      <c r="AL141" s="555" t="s">
        <v>325</v>
      </c>
      <c r="AM141" s="351"/>
      <c r="AN141" s="531" t="s">
        <v>325</v>
      </c>
      <c r="AO141" s="351"/>
      <c r="AP141" s="532"/>
      <c r="AQ141" s="351"/>
      <c r="AR141" s="533"/>
      <c r="AS141" s="351"/>
      <c r="AT141" s="534"/>
      <c r="AU141" s="351"/>
      <c r="AV141" s="531" t="s">
        <v>325</v>
      </c>
      <c r="AW141" s="351"/>
      <c r="AX141" s="553"/>
      <c r="AY141" s="350"/>
      <c r="AZ141" s="351"/>
      <c r="BA141" s="545"/>
      <c r="BB141" s="351"/>
      <c r="BC141" s="36"/>
      <c r="BD141" s="556" t="s">
        <v>325</v>
      </c>
      <c r="BE141" s="351"/>
      <c r="BF141" s="557"/>
      <c r="BG141" s="350"/>
      <c r="BH141" s="350"/>
      <c r="BI141" s="351"/>
      <c r="BJ141" s="506" t="s">
        <v>294</v>
      </c>
      <c r="BK141" s="350"/>
      <c r="BL141" s="350"/>
      <c r="BM141" s="351"/>
      <c r="BN141" s="530" t="s">
        <v>294</v>
      </c>
      <c r="BO141" s="350"/>
      <c r="BP141" s="350"/>
      <c r="BQ141" s="350"/>
      <c r="BR141" s="350"/>
      <c r="BS141" s="350"/>
      <c r="BT141" s="350"/>
      <c r="BU141" s="350"/>
      <c r="BV141" s="351"/>
    </row>
    <row r="142" spans="1:74" ht="45" customHeight="1">
      <c r="A142" s="24">
        <f t="shared" si="0"/>
        <v>128</v>
      </c>
      <c r="B142" s="522" t="s">
        <v>294</v>
      </c>
      <c r="C142" s="351"/>
      <c r="D142" s="523" t="s">
        <v>298</v>
      </c>
      <c r="E142" s="351"/>
      <c r="F142" s="524" t="s">
        <v>325</v>
      </c>
      <c r="G142" s="351"/>
      <c r="H142" s="525" t="s">
        <v>325</v>
      </c>
      <c r="I142" s="351"/>
      <c r="J142" s="563"/>
      <c r="K142" s="351"/>
      <c r="L142" s="563"/>
      <c r="M142" s="351"/>
      <c r="N142" s="37"/>
      <c r="O142" s="38"/>
      <c r="P142" s="560"/>
      <c r="Q142" s="351"/>
      <c r="R142" s="527"/>
      <c r="S142" s="351"/>
      <c r="T142" s="528"/>
      <c r="U142" s="351"/>
      <c r="V142" s="541"/>
      <c r="W142" s="351"/>
      <c r="X142" s="542" t="s">
        <v>294</v>
      </c>
      <c r="Y142" s="350"/>
      <c r="Z142" s="350"/>
      <c r="AA142" s="351"/>
      <c r="AB142" s="543" t="s">
        <v>294</v>
      </c>
      <c r="AC142" s="350"/>
      <c r="AD142" s="350"/>
      <c r="AE142" s="351"/>
      <c r="AF142" s="544"/>
      <c r="AG142" s="351"/>
      <c r="AH142" s="544"/>
      <c r="AI142" s="351"/>
      <c r="AJ142" s="545"/>
      <c r="AK142" s="351"/>
      <c r="AL142" s="524" t="s">
        <v>325</v>
      </c>
      <c r="AM142" s="351"/>
      <c r="AN142" s="549" t="s">
        <v>325</v>
      </c>
      <c r="AO142" s="351"/>
      <c r="AP142" s="550"/>
      <c r="AQ142" s="351"/>
      <c r="AR142" s="551"/>
      <c r="AS142" s="351"/>
      <c r="AT142" s="534"/>
      <c r="AU142" s="351"/>
      <c r="AV142" s="549" t="s">
        <v>325</v>
      </c>
      <c r="AW142" s="351"/>
      <c r="AX142" s="553"/>
      <c r="AY142" s="350"/>
      <c r="AZ142" s="351"/>
      <c r="BA142" s="554"/>
      <c r="BB142" s="351"/>
      <c r="BC142" s="39"/>
      <c r="BD142" s="546" t="s">
        <v>325</v>
      </c>
      <c r="BE142" s="351"/>
      <c r="BF142" s="547"/>
      <c r="BG142" s="350"/>
      <c r="BH142" s="350"/>
      <c r="BI142" s="351"/>
      <c r="BJ142" s="548" t="s">
        <v>294</v>
      </c>
      <c r="BK142" s="350"/>
      <c r="BL142" s="350"/>
      <c r="BM142" s="351"/>
      <c r="BN142" s="530" t="s">
        <v>294</v>
      </c>
      <c r="BO142" s="350"/>
      <c r="BP142" s="350"/>
      <c r="BQ142" s="350"/>
      <c r="BR142" s="350"/>
      <c r="BS142" s="350"/>
      <c r="BT142" s="350"/>
      <c r="BU142" s="350"/>
      <c r="BV142" s="351"/>
    </row>
    <row r="143" spans="1:74" ht="45" customHeight="1">
      <c r="A143" s="24">
        <f t="shared" si="0"/>
        <v>129</v>
      </c>
      <c r="B143" s="558" t="s">
        <v>294</v>
      </c>
      <c r="C143" s="351"/>
      <c r="D143" s="559" t="s">
        <v>298</v>
      </c>
      <c r="E143" s="351"/>
      <c r="F143" s="524" t="s">
        <v>325</v>
      </c>
      <c r="G143" s="351"/>
      <c r="H143" s="561" t="s">
        <v>325</v>
      </c>
      <c r="I143" s="351"/>
      <c r="J143" s="562"/>
      <c r="K143" s="351"/>
      <c r="L143" s="562"/>
      <c r="M143" s="351"/>
      <c r="N143" s="34"/>
      <c r="O143" s="35"/>
      <c r="P143" s="526"/>
      <c r="Q143" s="351"/>
      <c r="R143" s="535"/>
      <c r="S143" s="351"/>
      <c r="T143" s="536"/>
      <c r="U143" s="351"/>
      <c r="V143" s="537"/>
      <c r="W143" s="351"/>
      <c r="X143" s="538" t="s">
        <v>294</v>
      </c>
      <c r="Y143" s="350"/>
      <c r="Z143" s="350"/>
      <c r="AA143" s="351"/>
      <c r="AB143" s="539" t="s">
        <v>294</v>
      </c>
      <c r="AC143" s="350"/>
      <c r="AD143" s="350"/>
      <c r="AE143" s="351"/>
      <c r="AF143" s="540"/>
      <c r="AG143" s="351"/>
      <c r="AH143" s="540"/>
      <c r="AI143" s="351"/>
      <c r="AJ143" s="532"/>
      <c r="AK143" s="351"/>
      <c r="AL143" s="555" t="s">
        <v>325</v>
      </c>
      <c r="AM143" s="351"/>
      <c r="AN143" s="531" t="s">
        <v>325</v>
      </c>
      <c r="AO143" s="351"/>
      <c r="AP143" s="532"/>
      <c r="AQ143" s="351"/>
      <c r="AR143" s="533"/>
      <c r="AS143" s="351"/>
      <c r="AT143" s="534"/>
      <c r="AU143" s="351"/>
      <c r="AV143" s="531" t="s">
        <v>325</v>
      </c>
      <c r="AW143" s="351"/>
      <c r="AX143" s="553"/>
      <c r="AY143" s="350"/>
      <c r="AZ143" s="351"/>
      <c r="BA143" s="545"/>
      <c r="BB143" s="351"/>
      <c r="BC143" s="36"/>
      <c r="BD143" s="556" t="s">
        <v>325</v>
      </c>
      <c r="BE143" s="351"/>
      <c r="BF143" s="529"/>
      <c r="BG143" s="350"/>
      <c r="BH143" s="350"/>
      <c r="BI143" s="351"/>
      <c r="BJ143" s="506" t="s">
        <v>294</v>
      </c>
      <c r="BK143" s="350"/>
      <c r="BL143" s="350"/>
      <c r="BM143" s="351"/>
      <c r="BN143" s="530" t="s">
        <v>294</v>
      </c>
      <c r="BO143" s="350"/>
      <c r="BP143" s="350"/>
      <c r="BQ143" s="350"/>
      <c r="BR143" s="350"/>
      <c r="BS143" s="350"/>
      <c r="BT143" s="350"/>
      <c r="BU143" s="350"/>
      <c r="BV143" s="351"/>
    </row>
    <row r="144" spans="1:74" ht="45" customHeight="1">
      <c r="A144" s="24">
        <f t="shared" si="0"/>
        <v>130</v>
      </c>
      <c r="B144" s="522" t="s">
        <v>294</v>
      </c>
      <c r="C144" s="351"/>
      <c r="D144" s="523" t="s">
        <v>298</v>
      </c>
      <c r="E144" s="351"/>
      <c r="F144" s="524" t="s">
        <v>325</v>
      </c>
      <c r="G144" s="351"/>
      <c r="H144" s="525" t="s">
        <v>325</v>
      </c>
      <c r="I144" s="351"/>
      <c r="J144" s="563"/>
      <c r="K144" s="351"/>
      <c r="L144" s="563"/>
      <c r="M144" s="351"/>
      <c r="N144" s="37"/>
      <c r="O144" s="38"/>
      <c r="P144" s="560"/>
      <c r="Q144" s="351"/>
      <c r="R144" s="527"/>
      <c r="S144" s="351"/>
      <c r="T144" s="528"/>
      <c r="U144" s="351"/>
      <c r="V144" s="541"/>
      <c r="W144" s="351"/>
      <c r="X144" s="542" t="s">
        <v>294</v>
      </c>
      <c r="Y144" s="350"/>
      <c r="Z144" s="350"/>
      <c r="AA144" s="351"/>
      <c r="AB144" s="543" t="s">
        <v>294</v>
      </c>
      <c r="AC144" s="350"/>
      <c r="AD144" s="350"/>
      <c r="AE144" s="351"/>
      <c r="AF144" s="544"/>
      <c r="AG144" s="351"/>
      <c r="AH144" s="544"/>
      <c r="AI144" s="351"/>
      <c r="AJ144" s="545"/>
      <c r="AK144" s="351"/>
      <c r="AL144" s="524" t="s">
        <v>325</v>
      </c>
      <c r="AM144" s="351"/>
      <c r="AN144" s="549" t="s">
        <v>325</v>
      </c>
      <c r="AO144" s="351"/>
      <c r="AP144" s="550"/>
      <c r="AQ144" s="351"/>
      <c r="AR144" s="551"/>
      <c r="AS144" s="351"/>
      <c r="AT144" s="534"/>
      <c r="AU144" s="351"/>
      <c r="AV144" s="549" t="s">
        <v>325</v>
      </c>
      <c r="AW144" s="351"/>
      <c r="AX144" s="553"/>
      <c r="AY144" s="350"/>
      <c r="AZ144" s="351"/>
      <c r="BA144" s="554"/>
      <c r="BB144" s="351"/>
      <c r="BC144" s="39"/>
      <c r="BD144" s="546" t="s">
        <v>325</v>
      </c>
      <c r="BE144" s="351"/>
      <c r="BF144" s="547"/>
      <c r="BG144" s="350"/>
      <c r="BH144" s="350"/>
      <c r="BI144" s="351"/>
      <c r="BJ144" s="548" t="s">
        <v>294</v>
      </c>
      <c r="BK144" s="350"/>
      <c r="BL144" s="350"/>
      <c r="BM144" s="351"/>
      <c r="BN144" s="530" t="s">
        <v>294</v>
      </c>
      <c r="BO144" s="350"/>
      <c r="BP144" s="350"/>
      <c r="BQ144" s="350"/>
      <c r="BR144" s="350"/>
      <c r="BS144" s="350"/>
      <c r="BT144" s="350"/>
      <c r="BU144" s="350"/>
      <c r="BV144" s="351"/>
    </row>
    <row r="145" spans="1:74" ht="45" customHeight="1">
      <c r="A145" s="24">
        <f t="shared" si="0"/>
        <v>131</v>
      </c>
      <c r="B145" s="558" t="s">
        <v>294</v>
      </c>
      <c r="C145" s="351"/>
      <c r="D145" s="559" t="s">
        <v>298</v>
      </c>
      <c r="E145" s="351"/>
      <c r="F145" s="524" t="s">
        <v>325</v>
      </c>
      <c r="G145" s="351"/>
      <c r="H145" s="561" t="s">
        <v>325</v>
      </c>
      <c r="I145" s="351"/>
      <c r="J145" s="562"/>
      <c r="K145" s="351"/>
      <c r="L145" s="562"/>
      <c r="M145" s="351"/>
      <c r="N145" s="34"/>
      <c r="O145" s="35"/>
      <c r="P145" s="526"/>
      <c r="Q145" s="351"/>
      <c r="R145" s="535"/>
      <c r="S145" s="351"/>
      <c r="T145" s="536"/>
      <c r="U145" s="351"/>
      <c r="V145" s="537"/>
      <c r="W145" s="351"/>
      <c r="X145" s="538" t="s">
        <v>294</v>
      </c>
      <c r="Y145" s="350"/>
      <c r="Z145" s="350"/>
      <c r="AA145" s="351"/>
      <c r="AB145" s="539" t="s">
        <v>294</v>
      </c>
      <c r="AC145" s="350"/>
      <c r="AD145" s="350"/>
      <c r="AE145" s="351"/>
      <c r="AF145" s="540"/>
      <c r="AG145" s="351"/>
      <c r="AH145" s="540"/>
      <c r="AI145" s="351"/>
      <c r="AJ145" s="532"/>
      <c r="AK145" s="351"/>
      <c r="AL145" s="555" t="s">
        <v>325</v>
      </c>
      <c r="AM145" s="351"/>
      <c r="AN145" s="531" t="s">
        <v>325</v>
      </c>
      <c r="AO145" s="351"/>
      <c r="AP145" s="532"/>
      <c r="AQ145" s="351"/>
      <c r="AR145" s="533"/>
      <c r="AS145" s="351"/>
      <c r="AT145" s="534"/>
      <c r="AU145" s="351"/>
      <c r="AV145" s="531" t="s">
        <v>325</v>
      </c>
      <c r="AW145" s="351"/>
      <c r="AX145" s="553"/>
      <c r="AY145" s="350"/>
      <c r="AZ145" s="351"/>
      <c r="BA145" s="545"/>
      <c r="BB145" s="351"/>
      <c r="BC145" s="36"/>
      <c r="BD145" s="556" t="s">
        <v>325</v>
      </c>
      <c r="BE145" s="351"/>
      <c r="BF145" s="529"/>
      <c r="BG145" s="350"/>
      <c r="BH145" s="350"/>
      <c r="BI145" s="351"/>
      <c r="BJ145" s="506" t="s">
        <v>294</v>
      </c>
      <c r="BK145" s="350"/>
      <c r="BL145" s="350"/>
      <c r="BM145" s="351"/>
      <c r="BN145" s="530" t="s">
        <v>294</v>
      </c>
      <c r="BO145" s="350"/>
      <c r="BP145" s="350"/>
      <c r="BQ145" s="350"/>
      <c r="BR145" s="350"/>
      <c r="BS145" s="350"/>
      <c r="BT145" s="350"/>
      <c r="BU145" s="350"/>
      <c r="BV145" s="351"/>
    </row>
    <row r="146" spans="1:74" ht="45" customHeight="1">
      <c r="A146" s="24">
        <f t="shared" si="0"/>
        <v>132</v>
      </c>
      <c r="B146" s="522" t="s">
        <v>294</v>
      </c>
      <c r="C146" s="351"/>
      <c r="D146" s="523" t="s">
        <v>298</v>
      </c>
      <c r="E146" s="351"/>
      <c r="F146" s="524" t="s">
        <v>325</v>
      </c>
      <c r="G146" s="351"/>
      <c r="H146" s="525" t="s">
        <v>325</v>
      </c>
      <c r="I146" s="351"/>
      <c r="J146" s="563"/>
      <c r="K146" s="351"/>
      <c r="L146" s="563"/>
      <c r="M146" s="351"/>
      <c r="N146" s="37"/>
      <c r="O146" s="38"/>
      <c r="P146" s="560"/>
      <c r="Q146" s="351"/>
      <c r="R146" s="527"/>
      <c r="S146" s="351"/>
      <c r="T146" s="528"/>
      <c r="U146" s="351"/>
      <c r="V146" s="541"/>
      <c r="W146" s="351"/>
      <c r="X146" s="542" t="s">
        <v>294</v>
      </c>
      <c r="Y146" s="350"/>
      <c r="Z146" s="350"/>
      <c r="AA146" s="351"/>
      <c r="AB146" s="543" t="s">
        <v>294</v>
      </c>
      <c r="AC146" s="350"/>
      <c r="AD146" s="350"/>
      <c r="AE146" s="351"/>
      <c r="AF146" s="544"/>
      <c r="AG146" s="351"/>
      <c r="AH146" s="544"/>
      <c r="AI146" s="351"/>
      <c r="AJ146" s="545"/>
      <c r="AK146" s="351"/>
      <c r="AL146" s="524" t="s">
        <v>325</v>
      </c>
      <c r="AM146" s="351"/>
      <c r="AN146" s="549" t="s">
        <v>325</v>
      </c>
      <c r="AO146" s="351"/>
      <c r="AP146" s="550"/>
      <c r="AQ146" s="351"/>
      <c r="AR146" s="551"/>
      <c r="AS146" s="351"/>
      <c r="AT146" s="534"/>
      <c r="AU146" s="351"/>
      <c r="AV146" s="549" t="s">
        <v>325</v>
      </c>
      <c r="AW146" s="351"/>
      <c r="AX146" s="553"/>
      <c r="AY146" s="350"/>
      <c r="AZ146" s="351"/>
      <c r="BA146" s="554"/>
      <c r="BB146" s="351"/>
      <c r="BC146" s="39"/>
      <c r="BD146" s="546" t="s">
        <v>325</v>
      </c>
      <c r="BE146" s="351"/>
      <c r="BF146" s="547"/>
      <c r="BG146" s="350"/>
      <c r="BH146" s="350"/>
      <c r="BI146" s="351"/>
      <c r="BJ146" s="548" t="s">
        <v>294</v>
      </c>
      <c r="BK146" s="350"/>
      <c r="BL146" s="350"/>
      <c r="BM146" s="351"/>
      <c r="BN146" s="530" t="s">
        <v>294</v>
      </c>
      <c r="BO146" s="350"/>
      <c r="BP146" s="350"/>
      <c r="BQ146" s="350"/>
      <c r="BR146" s="350"/>
      <c r="BS146" s="350"/>
      <c r="BT146" s="350"/>
      <c r="BU146" s="350"/>
      <c r="BV146" s="351"/>
    </row>
    <row r="147" spans="1:74" ht="45" customHeight="1">
      <c r="A147" s="24">
        <f t="shared" si="0"/>
        <v>133</v>
      </c>
      <c r="B147" s="558" t="s">
        <v>294</v>
      </c>
      <c r="C147" s="351"/>
      <c r="D147" s="559" t="s">
        <v>298</v>
      </c>
      <c r="E147" s="351"/>
      <c r="F147" s="524" t="s">
        <v>325</v>
      </c>
      <c r="G147" s="351"/>
      <c r="H147" s="561" t="s">
        <v>325</v>
      </c>
      <c r="I147" s="351"/>
      <c r="J147" s="562"/>
      <c r="K147" s="351"/>
      <c r="L147" s="562"/>
      <c r="M147" s="351"/>
      <c r="N147" s="34"/>
      <c r="O147" s="35"/>
      <c r="P147" s="526"/>
      <c r="Q147" s="351"/>
      <c r="R147" s="535"/>
      <c r="S147" s="351"/>
      <c r="T147" s="536"/>
      <c r="U147" s="351"/>
      <c r="V147" s="537"/>
      <c r="W147" s="351"/>
      <c r="X147" s="538" t="s">
        <v>294</v>
      </c>
      <c r="Y147" s="350"/>
      <c r="Z147" s="350"/>
      <c r="AA147" s="351"/>
      <c r="AB147" s="539" t="s">
        <v>294</v>
      </c>
      <c r="AC147" s="350"/>
      <c r="AD147" s="350"/>
      <c r="AE147" s="351"/>
      <c r="AF147" s="540"/>
      <c r="AG147" s="351"/>
      <c r="AH147" s="540"/>
      <c r="AI147" s="351"/>
      <c r="AJ147" s="532"/>
      <c r="AK147" s="351"/>
      <c r="AL147" s="555" t="s">
        <v>325</v>
      </c>
      <c r="AM147" s="351"/>
      <c r="AN147" s="531" t="s">
        <v>325</v>
      </c>
      <c r="AO147" s="351"/>
      <c r="AP147" s="532"/>
      <c r="AQ147" s="351"/>
      <c r="AR147" s="533"/>
      <c r="AS147" s="351"/>
      <c r="AT147" s="534"/>
      <c r="AU147" s="351"/>
      <c r="AV147" s="531" t="s">
        <v>325</v>
      </c>
      <c r="AW147" s="351"/>
      <c r="AX147" s="553"/>
      <c r="AY147" s="350"/>
      <c r="AZ147" s="351"/>
      <c r="BA147" s="545"/>
      <c r="BB147" s="351"/>
      <c r="BC147" s="36"/>
      <c r="BD147" s="556" t="s">
        <v>325</v>
      </c>
      <c r="BE147" s="351"/>
      <c r="BF147" s="557"/>
      <c r="BG147" s="350"/>
      <c r="BH147" s="350"/>
      <c r="BI147" s="351"/>
      <c r="BJ147" s="506" t="s">
        <v>294</v>
      </c>
      <c r="BK147" s="350"/>
      <c r="BL147" s="350"/>
      <c r="BM147" s="351"/>
      <c r="BN147" s="530" t="s">
        <v>294</v>
      </c>
      <c r="BO147" s="350"/>
      <c r="BP147" s="350"/>
      <c r="BQ147" s="350"/>
      <c r="BR147" s="350"/>
      <c r="BS147" s="350"/>
      <c r="BT147" s="350"/>
      <c r="BU147" s="350"/>
      <c r="BV147" s="351"/>
    </row>
    <row r="148" spans="1:74" ht="45" customHeight="1">
      <c r="A148" s="24">
        <f t="shared" si="0"/>
        <v>134</v>
      </c>
      <c r="B148" s="522" t="s">
        <v>294</v>
      </c>
      <c r="C148" s="351"/>
      <c r="D148" s="523" t="s">
        <v>298</v>
      </c>
      <c r="E148" s="351"/>
      <c r="F148" s="524" t="s">
        <v>325</v>
      </c>
      <c r="G148" s="351"/>
      <c r="H148" s="525" t="s">
        <v>325</v>
      </c>
      <c r="I148" s="351"/>
      <c r="J148" s="563"/>
      <c r="K148" s="351"/>
      <c r="L148" s="563"/>
      <c r="M148" s="351"/>
      <c r="N148" s="37"/>
      <c r="O148" s="38"/>
      <c r="P148" s="560"/>
      <c r="Q148" s="351"/>
      <c r="R148" s="527"/>
      <c r="S148" s="351"/>
      <c r="T148" s="528"/>
      <c r="U148" s="351"/>
      <c r="V148" s="541"/>
      <c r="W148" s="351"/>
      <c r="X148" s="542" t="s">
        <v>294</v>
      </c>
      <c r="Y148" s="350"/>
      <c r="Z148" s="350"/>
      <c r="AA148" s="351"/>
      <c r="AB148" s="543" t="s">
        <v>294</v>
      </c>
      <c r="AC148" s="350"/>
      <c r="AD148" s="350"/>
      <c r="AE148" s="351"/>
      <c r="AF148" s="544"/>
      <c r="AG148" s="351"/>
      <c r="AH148" s="544"/>
      <c r="AI148" s="351"/>
      <c r="AJ148" s="545"/>
      <c r="AK148" s="351"/>
      <c r="AL148" s="524" t="s">
        <v>325</v>
      </c>
      <c r="AM148" s="351"/>
      <c r="AN148" s="549" t="s">
        <v>325</v>
      </c>
      <c r="AO148" s="351"/>
      <c r="AP148" s="550"/>
      <c r="AQ148" s="351"/>
      <c r="AR148" s="551"/>
      <c r="AS148" s="351"/>
      <c r="AT148" s="534"/>
      <c r="AU148" s="351"/>
      <c r="AV148" s="549" t="s">
        <v>325</v>
      </c>
      <c r="AW148" s="351"/>
      <c r="AX148" s="553"/>
      <c r="AY148" s="350"/>
      <c r="AZ148" s="351"/>
      <c r="BA148" s="554"/>
      <c r="BB148" s="351"/>
      <c r="BC148" s="39"/>
      <c r="BD148" s="546" t="s">
        <v>325</v>
      </c>
      <c r="BE148" s="351"/>
      <c r="BF148" s="547"/>
      <c r="BG148" s="350"/>
      <c r="BH148" s="350"/>
      <c r="BI148" s="351"/>
      <c r="BJ148" s="548" t="s">
        <v>294</v>
      </c>
      <c r="BK148" s="350"/>
      <c r="BL148" s="350"/>
      <c r="BM148" s="351"/>
      <c r="BN148" s="530" t="s">
        <v>294</v>
      </c>
      <c r="BO148" s="350"/>
      <c r="BP148" s="350"/>
      <c r="BQ148" s="350"/>
      <c r="BR148" s="350"/>
      <c r="BS148" s="350"/>
      <c r="BT148" s="350"/>
      <c r="BU148" s="350"/>
      <c r="BV148" s="351"/>
    </row>
    <row r="149" spans="1:74" ht="45" customHeight="1">
      <c r="A149" s="24">
        <f t="shared" si="0"/>
        <v>135</v>
      </c>
      <c r="B149" s="558" t="s">
        <v>294</v>
      </c>
      <c r="C149" s="351"/>
      <c r="D149" s="559" t="s">
        <v>298</v>
      </c>
      <c r="E149" s="351"/>
      <c r="F149" s="524" t="s">
        <v>325</v>
      </c>
      <c r="G149" s="351"/>
      <c r="H149" s="561" t="s">
        <v>325</v>
      </c>
      <c r="I149" s="351"/>
      <c r="J149" s="562"/>
      <c r="K149" s="351"/>
      <c r="L149" s="562"/>
      <c r="M149" s="351"/>
      <c r="N149" s="34"/>
      <c r="O149" s="35"/>
      <c r="P149" s="526"/>
      <c r="Q149" s="351"/>
      <c r="R149" s="535"/>
      <c r="S149" s="351"/>
      <c r="T149" s="536"/>
      <c r="U149" s="351"/>
      <c r="V149" s="537"/>
      <c r="W149" s="351"/>
      <c r="X149" s="538" t="s">
        <v>294</v>
      </c>
      <c r="Y149" s="350"/>
      <c r="Z149" s="350"/>
      <c r="AA149" s="351"/>
      <c r="AB149" s="539" t="s">
        <v>294</v>
      </c>
      <c r="AC149" s="350"/>
      <c r="AD149" s="350"/>
      <c r="AE149" s="351"/>
      <c r="AF149" s="540"/>
      <c r="AG149" s="351"/>
      <c r="AH149" s="540"/>
      <c r="AI149" s="351"/>
      <c r="AJ149" s="532"/>
      <c r="AK149" s="351"/>
      <c r="AL149" s="555" t="s">
        <v>325</v>
      </c>
      <c r="AM149" s="351"/>
      <c r="AN149" s="531" t="s">
        <v>325</v>
      </c>
      <c r="AO149" s="351"/>
      <c r="AP149" s="532"/>
      <c r="AQ149" s="351"/>
      <c r="AR149" s="533"/>
      <c r="AS149" s="351"/>
      <c r="AT149" s="534"/>
      <c r="AU149" s="351"/>
      <c r="AV149" s="531" t="s">
        <v>325</v>
      </c>
      <c r="AW149" s="351"/>
      <c r="AX149" s="553"/>
      <c r="AY149" s="350"/>
      <c r="AZ149" s="351"/>
      <c r="BA149" s="545"/>
      <c r="BB149" s="351"/>
      <c r="BC149" s="36"/>
      <c r="BD149" s="556" t="s">
        <v>325</v>
      </c>
      <c r="BE149" s="351"/>
      <c r="BF149" s="529"/>
      <c r="BG149" s="350"/>
      <c r="BH149" s="350"/>
      <c r="BI149" s="351"/>
      <c r="BJ149" s="506" t="s">
        <v>294</v>
      </c>
      <c r="BK149" s="350"/>
      <c r="BL149" s="350"/>
      <c r="BM149" s="351"/>
      <c r="BN149" s="530" t="s">
        <v>294</v>
      </c>
      <c r="BO149" s="350"/>
      <c r="BP149" s="350"/>
      <c r="BQ149" s="350"/>
      <c r="BR149" s="350"/>
      <c r="BS149" s="350"/>
      <c r="BT149" s="350"/>
      <c r="BU149" s="350"/>
      <c r="BV149" s="351"/>
    </row>
    <row r="150" spans="1:74" ht="45" customHeight="1">
      <c r="A150" s="24">
        <f t="shared" si="0"/>
        <v>136</v>
      </c>
      <c r="B150" s="522" t="s">
        <v>294</v>
      </c>
      <c r="C150" s="351"/>
      <c r="D150" s="523" t="s">
        <v>298</v>
      </c>
      <c r="E150" s="351"/>
      <c r="F150" s="524" t="s">
        <v>325</v>
      </c>
      <c r="G150" s="351"/>
      <c r="H150" s="525" t="s">
        <v>325</v>
      </c>
      <c r="I150" s="351"/>
      <c r="J150" s="563"/>
      <c r="K150" s="351"/>
      <c r="L150" s="563"/>
      <c r="M150" s="351"/>
      <c r="N150" s="37"/>
      <c r="O150" s="38"/>
      <c r="P150" s="560"/>
      <c r="Q150" s="351"/>
      <c r="R150" s="527"/>
      <c r="S150" s="351"/>
      <c r="T150" s="528"/>
      <c r="U150" s="351"/>
      <c r="V150" s="541"/>
      <c r="W150" s="351"/>
      <c r="X150" s="542" t="s">
        <v>294</v>
      </c>
      <c r="Y150" s="350"/>
      <c r="Z150" s="350"/>
      <c r="AA150" s="351"/>
      <c r="AB150" s="543" t="s">
        <v>294</v>
      </c>
      <c r="AC150" s="350"/>
      <c r="AD150" s="350"/>
      <c r="AE150" s="351"/>
      <c r="AF150" s="544"/>
      <c r="AG150" s="351"/>
      <c r="AH150" s="544"/>
      <c r="AI150" s="351"/>
      <c r="AJ150" s="545"/>
      <c r="AK150" s="351"/>
      <c r="AL150" s="524" t="s">
        <v>325</v>
      </c>
      <c r="AM150" s="351"/>
      <c r="AN150" s="549" t="s">
        <v>325</v>
      </c>
      <c r="AO150" s="351"/>
      <c r="AP150" s="550"/>
      <c r="AQ150" s="351"/>
      <c r="AR150" s="551"/>
      <c r="AS150" s="351"/>
      <c r="AT150" s="534"/>
      <c r="AU150" s="351"/>
      <c r="AV150" s="549" t="s">
        <v>325</v>
      </c>
      <c r="AW150" s="351"/>
      <c r="AX150" s="553"/>
      <c r="AY150" s="350"/>
      <c r="AZ150" s="351"/>
      <c r="BA150" s="554"/>
      <c r="BB150" s="351"/>
      <c r="BC150" s="39"/>
      <c r="BD150" s="546" t="s">
        <v>325</v>
      </c>
      <c r="BE150" s="351"/>
      <c r="BF150" s="547"/>
      <c r="BG150" s="350"/>
      <c r="BH150" s="350"/>
      <c r="BI150" s="351"/>
      <c r="BJ150" s="548" t="s">
        <v>294</v>
      </c>
      <c r="BK150" s="350"/>
      <c r="BL150" s="350"/>
      <c r="BM150" s="351"/>
      <c r="BN150" s="530" t="s">
        <v>294</v>
      </c>
      <c r="BO150" s="350"/>
      <c r="BP150" s="350"/>
      <c r="BQ150" s="350"/>
      <c r="BR150" s="350"/>
      <c r="BS150" s="350"/>
      <c r="BT150" s="350"/>
      <c r="BU150" s="350"/>
      <c r="BV150" s="351"/>
    </row>
    <row r="151" spans="1:74" ht="45" customHeight="1">
      <c r="A151" s="24">
        <f t="shared" si="0"/>
        <v>137</v>
      </c>
      <c r="B151" s="558" t="s">
        <v>294</v>
      </c>
      <c r="C151" s="351"/>
      <c r="D151" s="559" t="s">
        <v>298</v>
      </c>
      <c r="E151" s="351"/>
      <c r="F151" s="524" t="s">
        <v>325</v>
      </c>
      <c r="G151" s="351"/>
      <c r="H151" s="561" t="s">
        <v>325</v>
      </c>
      <c r="I151" s="351"/>
      <c r="J151" s="562"/>
      <c r="K151" s="351"/>
      <c r="L151" s="562"/>
      <c r="M151" s="351"/>
      <c r="N151" s="34"/>
      <c r="O151" s="35"/>
      <c r="P151" s="526"/>
      <c r="Q151" s="351"/>
      <c r="R151" s="535"/>
      <c r="S151" s="351"/>
      <c r="T151" s="536"/>
      <c r="U151" s="351"/>
      <c r="V151" s="537"/>
      <c r="W151" s="351"/>
      <c r="X151" s="538" t="s">
        <v>294</v>
      </c>
      <c r="Y151" s="350"/>
      <c r="Z151" s="350"/>
      <c r="AA151" s="351"/>
      <c r="AB151" s="539" t="s">
        <v>294</v>
      </c>
      <c r="AC151" s="350"/>
      <c r="AD151" s="350"/>
      <c r="AE151" s="351"/>
      <c r="AF151" s="540"/>
      <c r="AG151" s="351"/>
      <c r="AH151" s="540"/>
      <c r="AI151" s="351"/>
      <c r="AJ151" s="532"/>
      <c r="AK151" s="351"/>
      <c r="AL151" s="555" t="s">
        <v>325</v>
      </c>
      <c r="AM151" s="351"/>
      <c r="AN151" s="531" t="s">
        <v>325</v>
      </c>
      <c r="AO151" s="351"/>
      <c r="AP151" s="532"/>
      <c r="AQ151" s="351"/>
      <c r="AR151" s="533"/>
      <c r="AS151" s="351"/>
      <c r="AT151" s="534"/>
      <c r="AU151" s="351"/>
      <c r="AV151" s="531" t="s">
        <v>325</v>
      </c>
      <c r="AW151" s="351"/>
      <c r="AX151" s="553"/>
      <c r="AY151" s="350"/>
      <c r="AZ151" s="351"/>
      <c r="BA151" s="545"/>
      <c r="BB151" s="351"/>
      <c r="BC151" s="36"/>
      <c r="BD151" s="556" t="s">
        <v>325</v>
      </c>
      <c r="BE151" s="351"/>
      <c r="BF151" s="557"/>
      <c r="BG151" s="350"/>
      <c r="BH151" s="350"/>
      <c r="BI151" s="351"/>
      <c r="BJ151" s="506" t="s">
        <v>294</v>
      </c>
      <c r="BK151" s="350"/>
      <c r="BL151" s="350"/>
      <c r="BM151" s="351"/>
      <c r="BN151" s="530" t="s">
        <v>294</v>
      </c>
      <c r="BO151" s="350"/>
      <c r="BP151" s="350"/>
      <c r="BQ151" s="350"/>
      <c r="BR151" s="350"/>
      <c r="BS151" s="350"/>
      <c r="BT151" s="350"/>
      <c r="BU151" s="350"/>
      <c r="BV151" s="351"/>
    </row>
    <row r="152" spans="1:74" ht="45" customHeight="1">
      <c r="A152" s="24">
        <f t="shared" si="0"/>
        <v>138</v>
      </c>
      <c r="B152" s="522" t="s">
        <v>294</v>
      </c>
      <c r="C152" s="351"/>
      <c r="D152" s="523" t="s">
        <v>298</v>
      </c>
      <c r="E152" s="351"/>
      <c r="F152" s="524" t="s">
        <v>325</v>
      </c>
      <c r="G152" s="351"/>
      <c r="H152" s="525" t="s">
        <v>325</v>
      </c>
      <c r="I152" s="351"/>
      <c r="J152" s="563"/>
      <c r="K152" s="351"/>
      <c r="L152" s="563"/>
      <c r="M152" s="351"/>
      <c r="N152" s="37"/>
      <c r="O152" s="38"/>
      <c r="P152" s="560"/>
      <c r="Q152" s="351"/>
      <c r="R152" s="527"/>
      <c r="S152" s="351"/>
      <c r="T152" s="528"/>
      <c r="U152" s="351"/>
      <c r="V152" s="541"/>
      <c r="W152" s="351"/>
      <c r="X152" s="542" t="s">
        <v>294</v>
      </c>
      <c r="Y152" s="350"/>
      <c r="Z152" s="350"/>
      <c r="AA152" s="351"/>
      <c r="AB152" s="543" t="s">
        <v>294</v>
      </c>
      <c r="AC152" s="350"/>
      <c r="AD152" s="350"/>
      <c r="AE152" s="351"/>
      <c r="AF152" s="544"/>
      <c r="AG152" s="351"/>
      <c r="AH152" s="544"/>
      <c r="AI152" s="351"/>
      <c r="AJ152" s="545"/>
      <c r="AK152" s="351"/>
      <c r="AL152" s="524" t="s">
        <v>325</v>
      </c>
      <c r="AM152" s="351"/>
      <c r="AN152" s="549" t="s">
        <v>325</v>
      </c>
      <c r="AO152" s="351"/>
      <c r="AP152" s="550"/>
      <c r="AQ152" s="351"/>
      <c r="AR152" s="551"/>
      <c r="AS152" s="351"/>
      <c r="AT152" s="534"/>
      <c r="AU152" s="351"/>
      <c r="AV152" s="549" t="s">
        <v>325</v>
      </c>
      <c r="AW152" s="351"/>
      <c r="AX152" s="553"/>
      <c r="AY152" s="350"/>
      <c r="AZ152" s="351"/>
      <c r="BA152" s="554"/>
      <c r="BB152" s="351"/>
      <c r="BC152" s="39"/>
      <c r="BD152" s="556" t="s">
        <v>325</v>
      </c>
      <c r="BE152" s="351"/>
      <c r="BF152" s="547"/>
      <c r="BG152" s="350"/>
      <c r="BH152" s="350"/>
      <c r="BI152" s="351"/>
      <c r="BJ152" s="548" t="s">
        <v>294</v>
      </c>
      <c r="BK152" s="350"/>
      <c r="BL152" s="350"/>
      <c r="BM152" s="351"/>
      <c r="BN152" s="530" t="s">
        <v>294</v>
      </c>
      <c r="BO152" s="350"/>
      <c r="BP152" s="350"/>
      <c r="BQ152" s="350"/>
      <c r="BR152" s="350"/>
      <c r="BS152" s="350"/>
      <c r="BT152" s="350"/>
      <c r="BU152" s="350"/>
      <c r="BV152" s="351"/>
    </row>
    <row r="153" spans="1:74" ht="45" customHeight="1">
      <c r="A153" s="24">
        <f t="shared" si="0"/>
        <v>139</v>
      </c>
      <c r="B153" s="558" t="s">
        <v>294</v>
      </c>
      <c r="C153" s="351"/>
      <c r="D153" s="559" t="s">
        <v>298</v>
      </c>
      <c r="E153" s="351"/>
      <c r="F153" s="524" t="s">
        <v>325</v>
      </c>
      <c r="G153" s="351"/>
      <c r="H153" s="561" t="s">
        <v>325</v>
      </c>
      <c r="I153" s="351"/>
      <c r="J153" s="562"/>
      <c r="K153" s="351"/>
      <c r="L153" s="562"/>
      <c r="M153" s="351"/>
      <c r="N153" s="34"/>
      <c r="O153" s="35"/>
      <c r="P153" s="526"/>
      <c r="Q153" s="351"/>
      <c r="R153" s="535"/>
      <c r="S153" s="351"/>
      <c r="T153" s="536"/>
      <c r="U153" s="351"/>
      <c r="V153" s="537"/>
      <c r="W153" s="351"/>
      <c r="X153" s="538" t="s">
        <v>294</v>
      </c>
      <c r="Y153" s="350"/>
      <c r="Z153" s="350"/>
      <c r="AA153" s="351"/>
      <c r="AB153" s="539" t="s">
        <v>294</v>
      </c>
      <c r="AC153" s="350"/>
      <c r="AD153" s="350"/>
      <c r="AE153" s="351"/>
      <c r="AF153" s="540"/>
      <c r="AG153" s="351"/>
      <c r="AH153" s="540"/>
      <c r="AI153" s="351"/>
      <c r="AJ153" s="532"/>
      <c r="AK153" s="351"/>
      <c r="AL153" s="555" t="s">
        <v>325</v>
      </c>
      <c r="AM153" s="351"/>
      <c r="AN153" s="531" t="s">
        <v>325</v>
      </c>
      <c r="AO153" s="351"/>
      <c r="AP153" s="532"/>
      <c r="AQ153" s="351"/>
      <c r="AR153" s="533"/>
      <c r="AS153" s="351"/>
      <c r="AT153" s="534"/>
      <c r="AU153" s="351"/>
      <c r="AV153" s="531" t="s">
        <v>325</v>
      </c>
      <c r="AW153" s="351"/>
      <c r="AX153" s="553"/>
      <c r="AY153" s="350"/>
      <c r="AZ153" s="351"/>
      <c r="BA153" s="545"/>
      <c r="BB153" s="351"/>
      <c r="BC153" s="36"/>
      <c r="BD153" s="546" t="s">
        <v>325</v>
      </c>
      <c r="BE153" s="351"/>
      <c r="BF153" s="529"/>
      <c r="BG153" s="350"/>
      <c r="BH153" s="350"/>
      <c r="BI153" s="351"/>
      <c r="BJ153" s="506" t="s">
        <v>294</v>
      </c>
      <c r="BK153" s="350"/>
      <c r="BL153" s="350"/>
      <c r="BM153" s="351"/>
      <c r="BN153" s="530" t="s">
        <v>294</v>
      </c>
      <c r="BO153" s="350"/>
      <c r="BP153" s="350"/>
      <c r="BQ153" s="350"/>
      <c r="BR153" s="350"/>
      <c r="BS153" s="350"/>
      <c r="BT153" s="350"/>
      <c r="BU153" s="350"/>
      <c r="BV153" s="351"/>
    </row>
    <row r="154" spans="1:74" ht="45" customHeight="1">
      <c r="A154" s="24">
        <f t="shared" si="0"/>
        <v>140</v>
      </c>
      <c r="B154" s="522" t="s">
        <v>294</v>
      </c>
      <c r="C154" s="351"/>
      <c r="D154" s="523" t="s">
        <v>298</v>
      </c>
      <c r="E154" s="351"/>
      <c r="F154" s="524" t="s">
        <v>325</v>
      </c>
      <c r="G154" s="351"/>
      <c r="H154" s="525" t="s">
        <v>325</v>
      </c>
      <c r="I154" s="351"/>
      <c r="J154" s="563"/>
      <c r="K154" s="351"/>
      <c r="L154" s="563"/>
      <c r="M154" s="351"/>
      <c r="N154" s="37"/>
      <c r="O154" s="38"/>
      <c r="P154" s="560"/>
      <c r="Q154" s="351"/>
      <c r="R154" s="527"/>
      <c r="S154" s="351"/>
      <c r="T154" s="528"/>
      <c r="U154" s="351"/>
      <c r="V154" s="541"/>
      <c r="W154" s="351"/>
      <c r="X154" s="542" t="s">
        <v>294</v>
      </c>
      <c r="Y154" s="350"/>
      <c r="Z154" s="350"/>
      <c r="AA154" s="351"/>
      <c r="AB154" s="543" t="s">
        <v>294</v>
      </c>
      <c r="AC154" s="350"/>
      <c r="AD154" s="350"/>
      <c r="AE154" s="351"/>
      <c r="AF154" s="544"/>
      <c r="AG154" s="351"/>
      <c r="AH154" s="544"/>
      <c r="AI154" s="351"/>
      <c r="AJ154" s="545"/>
      <c r="AK154" s="351"/>
      <c r="AL154" s="524" t="s">
        <v>325</v>
      </c>
      <c r="AM154" s="351"/>
      <c r="AN154" s="549" t="s">
        <v>325</v>
      </c>
      <c r="AO154" s="351"/>
      <c r="AP154" s="550"/>
      <c r="AQ154" s="351"/>
      <c r="AR154" s="551"/>
      <c r="AS154" s="351"/>
      <c r="AT154" s="534"/>
      <c r="AU154" s="351"/>
      <c r="AV154" s="549" t="s">
        <v>325</v>
      </c>
      <c r="AW154" s="351"/>
      <c r="AX154" s="553"/>
      <c r="AY154" s="350"/>
      <c r="AZ154" s="351"/>
      <c r="BA154" s="554"/>
      <c r="BB154" s="351"/>
      <c r="BC154" s="39"/>
      <c r="BD154" s="556" t="s">
        <v>325</v>
      </c>
      <c r="BE154" s="351"/>
      <c r="BF154" s="547"/>
      <c r="BG154" s="350"/>
      <c r="BH154" s="350"/>
      <c r="BI154" s="351"/>
      <c r="BJ154" s="548" t="s">
        <v>294</v>
      </c>
      <c r="BK154" s="350"/>
      <c r="BL154" s="350"/>
      <c r="BM154" s="351"/>
      <c r="BN154" s="530" t="s">
        <v>294</v>
      </c>
      <c r="BO154" s="350"/>
      <c r="BP154" s="350"/>
      <c r="BQ154" s="350"/>
      <c r="BR154" s="350"/>
      <c r="BS154" s="350"/>
      <c r="BT154" s="350"/>
      <c r="BU154" s="350"/>
      <c r="BV154" s="351"/>
    </row>
    <row r="155" spans="1:74" ht="45" customHeight="1">
      <c r="A155" s="24">
        <f t="shared" si="0"/>
        <v>141</v>
      </c>
      <c r="B155" s="558" t="s">
        <v>294</v>
      </c>
      <c r="C155" s="351"/>
      <c r="D155" s="559" t="s">
        <v>298</v>
      </c>
      <c r="E155" s="351"/>
      <c r="F155" s="524" t="s">
        <v>325</v>
      </c>
      <c r="G155" s="351"/>
      <c r="H155" s="561" t="s">
        <v>325</v>
      </c>
      <c r="I155" s="351"/>
      <c r="J155" s="562"/>
      <c r="K155" s="351"/>
      <c r="L155" s="562"/>
      <c r="M155" s="351"/>
      <c r="N155" s="34"/>
      <c r="O155" s="35"/>
      <c r="P155" s="526"/>
      <c r="Q155" s="351"/>
      <c r="R155" s="535"/>
      <c r="S155" s="351"/>
      <c r="T155" s="536"/>
      <c r="U155" s="351"/>
      <c r="V155" s="537"/>
      <c r="W155" s="351"/>
      <c r="X155" s="538" t="s">
        <v>294</v>
      </c>
      <c r="Y155" s="350"/>
      <c r="Z155" s="350"/>
      <c r="AA155" s="351"/>
      <c r="AB155" s="539" t="s">
        <v>294</v>
      </c>
      <c r="AC155" s="350"/>
      <c r="AD155" s="350"/>
      <c r="AE155" s="351"/>
      <c r="AF155" s="540"/>
      <c r="AG155" s="351"/>
      <c r="AH155" s="540"/>
      <c r="AI155" s="351"/>
      <c r="AJ155" s="532"/>
      <c r="AK155" s="351"/>
      <c r="AL155" s="555" t="s">
        <v>325</v>
      </c>
      <c r="AM155" s="351"/>
      <c r="AN155" s="531" t="s">
        <v>325</v>
      </c>
      <c r="AO155" s="351"/>
      <c r="AP155" s="532"/>
      <c r="AQ155" s="351"/>
      <c r="AR155" s="533"/>
      <c r="AS155" s="351"/>
      <c r="AT155" s="534"/>
      <c r="AU155" s="351"/>
      <c r="AV155" s="531" t="s">
        <v>325</v>
      </c>
      <c r="AW155" s="351"/>
      <c r="AX155" s="553"/>
      <c r="AY155" s="350"/>
      <c r="AZ155" s="351"/>
      <c r="BA155" s="545"/>
      <c r="BB155" s="351"/>
      <c r="BC155" s="36"/>
      <c r="BD155" s="556" t="s">
        <v>325</v>
      </c>
      <c r="BE155" s="351"/>
      <c r="BF155" s="529"/>
      <c r="BG155" s="350"/>
      <c r="BH155" s="350"/>
      <c r="BI155" s="351"/>
      <c r="BJ155" s="506" t="s">
        <v>294</v>
      </c>
      <c r="BK155" s="350"/>
      <c r="BL155" s="350"/>
      <c r="BM155" s="351"/>
      <c r="BN155" s="530" t="s">
        <v>294</v>
      </c>
      <c r="BO155" s="350"/>
      <c r="BP155" s="350"/>
      <c r="BQ155" s="350"/>
      <c r="BR155" s="350"/>
      <c r="BS155" s="350"/>
      <c r="BT155" s="350"/>
      <c r="BU155" s="350"/>
      <c r="BV155" s="351"/>
    </row>
    <row r="156" spans="1:74" ht="45" customHeight="1">
      <c r="A156" s="24">
        <f t="shared" si="0"/>
        <v>142</v>
      </c>
      <c r="B156" s="522" t="s">
        <v>294</v>
      </c>
      <c r="C156" s="351"/>
      <c r="D156" s="523" t="s">
        <v>298</v>
      </c>
      <c r="E156" s="351"/>
      <c r="F156" s="524" t="s">
        <v>325</v>
      </c>
      <c r="G156" s="351"/>
      <c r="H156" s="525" t="s">
        <v>325</v>
      </c>
      <c r="I156" s="351"/>
      <c r="J156" s="563"/>
      <c r="K156" s="351"/>
      <c r="L156" s="563"/>
      <c r="M156" s="351"/>
      <c r="N156" s="37"/>
      <c r="O156" s="38"/>
      <c r="P156" s="560"/>
      <c r="Q156" s="351"/>
      <c r="R156" s="527"/>
      <c r="S156" s="351"/>
      <c r="T156" s="528"/>
      <c r="U156" s="351"/>
      <c r="V156" s="541"/>
      <c r="W156" s="351"/>
      <c r="X156" s="542" t="s">
        <v>294</v>
      </c>
      <c r="Y156" s="350"/>
      <c r="Z156" s="350"/>
      <c r="AA156" s="351"/>
      <c r="AB156" s="543" t="s">
        <v>294</v>
      </c>
      <c r="AC156" s="350"/>
      <c r="AD156" s="350"/>
      <c r="AE156" s="351"/>
      <c r="AF156" s="544"/>
      <c r="AG156" s="351"/>
      <c r="AH156" s="544"/>
      <c r="AI156" s="351"/>
      <c r="AJ156" s="545"/>
      <c r="AK156" s="351"/>
      <c r="AL156" s="524" t="s">
        <v>325</v>
      </c>
      <c r="AM156" s="351"/>
      <c r="AN156" s="549" t="s">
        <v>325</v>
      </c>
      <c r="AO156" s="351"/>
      <c r="AP156" s="550"/>
      <c r="AQ156" s="351"/>
      <c r="AR156" s="551"/>
      <c r="AS156" s="351"/>
      <c r="AT156" s="534"/>
      <c r="AU156" s="351"/>
      <c r="AV156" s="549" t="s">
        <v>325</v>
      </c>
      <c r="AW156" s="351"/>
      <c r="AX156" s="553"/>
      <c r="AY156" s="350"/>
      <c r="AZ156" s="351"/>
      <c r="BA156" s="554"/>
      <c r="BB156" s="351"/>
      <c r="BC156" s="39"/>
      <c r="BD156" s="546" t="s">
        <v>325</v>
      </c>
      <c r="BE156" s="351"/>
      <c r="BF156" s="547"/>
      <c r="BG156" s="350"/>
      <c r="BH156" s="350"/>
      <c r="BI156" s="351"/>
      <c r="BJ156" s="548" t="s">
        <v>294</v>
      </c>
      <c r="BK156" s="350"/>
      <c r="BL156" s="350"/>
      <c r="BM156" s="351"/>
      <c r="BN156" s="530" t="s">
        <v>294</v>
      </c>
      <c r="BO156" s="350"/>
      <c r="BP156" s="350"/>
      <c r="BQ156" s="350"/>
      <c r="BR156" s="350"/>
      <c r="BS156" s="350"/>
      <c r="BT156" s="350"/>
      <c r="BU156" s="350"/>
      <c r="BV156" s="351"/>
    </row>
    <row r="157" spans="1:74" ht="45" customHeight="1">
      <c r="A157" s="24">
        <f t="shared" si="0"/>
        <v>143</v>
      </c>
      <c r="B157" s="558" t="s">
        <v>294</v>
      </c>
      <c r="C157" s="351"/>
      <c r="D157" s="559" t="s">
        <v>298</v>
      </c>
      <c r="E157" s="351"/>
      <c r="F157" s="524" t="s">
        <v>325</v>
      </c>
      <c r="G157" s="351"/>
      <c r="H157" s="561" t="s">
        <v>325</v>
      </c>
      <c r="I157" s="351"/>
      <c r="J157" s="562"/>
      <c r="K157" s="351"/>
      <c r="L157" s="562"/>
      <c r="M157" s="351"/>
      <c r="N157" s="34"/>
      <c r="O157" s="35"/>
      <c r="P157" s="526"/>
      <c r="Q157" s="351"/>
      <c r="R157" s="535"/>
      <c r="S157" s="351"/>
      <c r="T157" s="536"/>
      <c r="U157" s="351"/>
      <c r="V157" s="537"/>
      <c r="W157" s="351"/>
      <c r="X157" s="538" t="s">
        <v>294</v>
      </c>
      <c r="Y157" s="350"/>
      <c r="Z157" s="350"/>
      <c r="AA157" s="351"/>
      <c r="AB157" s="539" t="s">
        <v>294</v>
      </c>
      <c r="AC157" s="350"/>
      <c r="AD157" s="350"/>
      <c r="AE157" s="351"/>
      <c r="AF157" s="540"/>
      <c r="AG157" s="351"/>
      <c r="AH157" s="540"/>
      <c r="AI157" s="351"/>
      <c r="AJ157" s="532"/>
      <c r="AK157" s="351"/>
      <c r="AL157" s="555" t="s">
        <v>325</v>
      </c>
      <c r="AM157" s="351"/>
      <c r="AN157" s="531" t="s">
        <v>325</v>
      </c>
      <c r="AO157" s="351"/>
      <c r="AP157" s="532"/>
      <c r="AQ157" s="351"/>
      <c r="AR157" s="533"/>
      <c r="AS157" s="351"/>
      <c r="AT157" s="534"/>
      <c r="AU157" s="351"/>
      <c r="AV157" s="531" t="s">
        <v>325</v>
      </c>
      <c r="AW157" s="351"/>
      <c r="AX157" s="553"/>
      <c r="AY157" s="350"/>
      <c r="AZ157" s="351"/>
      <c r="BA157" s="545"/>
      <c r="BB157" s="351"/>
      <c r="BC157" s="36"/>
      <c r="BD157" s="556" t="s">
        <v>325</v>
      </c>
      <c r="BE157" s="351"/>
      <c r="BF157" s="557"/>
      <c r="BG157" s="350"/>
      <c r="BH157" s="350"/>
      <c r="BI157" s="351"/>
      <c r="BJ157" s="506" t="s">
        <v>294</v>
      </c>
      <c r="BK157" s="350"/>
      <c r="BL157" s="350"/>
      <c r="BM157" s="351"/>
      <c r="BN157" s="530" t="s">
        <v>294</v>
      </c>
      <c r="BO157" s="350"/>
      <c r="BP157" s="350"/>
      <c r="BQ157" s="350"/>
      <c r="BR157" s="350"/>
      <c r="BS157" s="350"/>
      <c r="BT157" s="350"/>
      <c r="BU157" s="350"/>
      <c r="BV157" s="351"/>
    </row>
    <row r="158" spans="1:74" ht="45" customHeight="1">
      <c r="A158" s="24">
        <f t="shared" si="0"/>
        <v>144</v>
      </c>
      <c r="B158" s="522" t="s">
        <v>294</v>
      </c>
      <c r="C158" s="351"/>
      <c r="D158" s="523" t="s">
        <v>298</v>
      </c>
      <c r="E158" s="351"/>
      <c r="F158" s="524" t="s">
        <v>325</v>
      </c>
      <c r="G158" s="351"/>
      <c r="H158" s="525" t="s">
        <v>325</v>
      </c>
      <c r="I158" s="351"/>
      <c r="J158" s="563"/>
      <c r="K158" s="351"/>
      <c r="L158" s="563"/>
      <c r="M158" s="351"/>
      <c r="N158" s="37"/>
      <c r="O158" s="38"/>
      <c r="P158" s="560"/>
      <c r="Q158" s="351"/>
      <c r="R158" s="527"/>
      <c r="S158" s="351"/>
      <c r="T158" s="528"/>
      <c r="U158" s="351"/>
      <c r="V158" s="541"/>
      <c r="W158" s="351"/>
      <c r="X158" s="542" t="s">
        <v>294</v>
      </c>
      <c r="Y158" s="350"/>
      <c r="Z158" s="350"/>
      <c r="AA158" s="351"/>
      <c r="AB158" s="543" t="s">
        <v>294</v>
      </c>
      <c r="AC158" s="350"/>
      <c r="AD158" s="350"/>
      <c r="AE158" s="351"/>
      <c r="AF158" s="544"/>
      <c r="AG158" s="351"/>
      <c r="AH158" s="544"/>
      <c r="AI158" s="351"/>
      <c r="AJ158" s="545"/>
      <c r="AK158" s="351"/>
      <c r="AL158" s="524" t="s">
        <v>325</v>
      </c>
      <c r="AM158" s="351"/>
      <c r="AN158" s="549" t="s">
        <v>325</v>
      </c>
      <c r="AO158" s="351"/>
      <c r="AP158" s="550"/>
      <c r="AQ158" s="351"/>
      <c r="AR158" s="551"/>
      <c r="AS158" s="351"/>
      <c r="AT158" s="534"/>
      <c r="AU158" s="351"/>
      <c r="AV158" s="549" t="s">
        <v>325</v>
      </c>
      <c r="AW158" s="351"/>
      <c r="AX158" s="553"/>
      <c r="AY158" s="350"/>
      <c r="AZ158" s="351"/>
      <c r="BA158" s="554"/>
      <c r="BB158" s="351"/>
      <c r="BC158" s="39"/>
      <c r="BD158" s="546" t="s">
        <v>325</v>
      </c>
      <c r="BE158" s="351"/>
      <c r="BF158" s="547"/>
      <c r="BG158" s="350"/>
      <c r="BH158" s="350"/>
      <c r="BI158" s="351"/>
      <c r="BJ158" s="548" t="s">
        <v>294</v>
      </c>
      <c r="BK158" s="350"/>
      <c r="BL158" s="350"/>
      <c r="BM158" s="351"/>
      <c r="BN158" s="530" t="s">
        <v>294</v>
      </c>
      <c r="BO158" s="350"/>
      <c r="BP158" s="350"/>
      <c r="BQ158" s="350"/>
      <c r="BR158" s="350"/>
      <c r="BS158" s="350"/>
      <c r="BT158" s="350"/>
      <c r="BU158" s="350"/>
      <c r="BV158" s="351"/>
    </row>
    <row r="159" spans="1:74" ht="45" customHeight="1">
      <c r="A159" s="24">
        <f t="shared" si="0"/>
        <v>145</v>
      </c>
      <c r="B159" s="558" t="s">
        <v>294</v>
      </c>
      <c r="C159" s="351"/>
      <c r="D159" s="559" t="s">
        <v>298</v>
      </c>
      <c r="E159" s="351"/>
      <c r="F159" s="524" t="s">
        <v>325</v>
      </c>
      <c r="G159" s="351"/>
      <c r="H159" s="561" t="s">
        <v>325</v>
      </c>
      <c r="I159" s="351"/>
      <c r="J159" s="562"/>
      <c r="K159" s="351"/>
      <c r="L159" s="562"/>
      <c r="M159" s="351"/>
      <c r="N159" s="34"/>
      <c r="O159" s="35"/>
      <c r="P159" s="526"/>
      <c r="Q159" s="351"/>
      <c r="R159" s="535"/>
      <c r="S159" s="351"/>
      <c r="T159" s="536"/>
      <c r="U159" s="351"/>
      <c r="V159" s="537"/>
      <c r="W159" s="351"/>
      <c r="X159" s="538" t="s">
        <v>294</v>
      </c>
      <c r="Y159" s="350"/>
      <c r="Z159" s="350"/>
      <c r="AA159" s="351"/>
      <c r="AB159" s="539" t="s">
        <v>294</v>
      </c>
      <c r="AC159" s="350"/>
      <c r="AD159" s="350"/>
      <c r="AE159" s="351"/>
      <c r="AF159" s="540"/>
      <c r="AG159" s="351"/>
      <c r="AH159" s="540"/>
      <c r="AI159" s="351"/>
      <c r="AJ159" s="532"/>
      <c r="AK159" s="351"/>
      <c r="AL159" s="555" t="s">
        <v>325</v>
      </c>
      <c r="AM159" s="351"/>
      <c r="AN159" s="531" t="s">
        <v>325</v>
      </c>
      <c r="AO159" s="351"/>
      <c r="AP159" s="532"/>
      <c r="AQ159" s="351"/>
      <c r="AR159" s="533"/>
      <c r="AS159" s="351"/>
      <c r="AT159" s="534"/>
      <c r="AU159" s="351"/>
      <c r="AV159" s="531" t="s">
        <v>325</v>
      </c>
      <c r="AW159" s="351"/>
      <c r="AX159" s="553"/>
      <c r="AY159" s="350"/>
      <c r="AZ159" s="351"/>
      <c r="BA159" s="545"/>
      <c r="BB159" s="351"/>
      <c r="BC159" s="36"/>
      <c r="BD159" s="556" t="s">
        <v>325</v>
      </c>
      <c r="BE159" s="351"/>
      <c r="BF159" s="529"/>
      <c r="BG159" s="350"/>
      <c r="BH159" s="350"/>
      <c r="BI159" s="351"/>
      <c r="BJ159" s="506" t="s">
        <v>294</v>
      </c>
      <c r="BK159" s="350"/>
      <c r="BL159" s="350"/>
      <c r="BM159" s="351"/>
      <c r="BN159" s="530" t="s">
        <v>294</v>
      </c>
      <c r="BO159" s="350"/>
      <c r="BP159" s="350"/>
      <c r="BQ159" s="350"/>
      <c r="BR159" s="350"/>
      <c r="BS159" s="350"/>
      <c r="BT159" s="350"/>
      <c r="BU159" s="350"/>
      <c r="BV159" s="351"/>
    </row>
    <row r="160" spans="1:74" ht="45" customHeight="1">
      <c r="A160" s="24">
        <f t="shared" si="0"/>
        <v>146</v>
      </c>
      <c r="B160" s="522" t="s">
        <v>294</v>
      </c>
      <c r="C160" s="351"/>
      <c r="D160" s="523" t="s">
        <v>298</v>
      </c>
      <c r="E160" s="351"/>
      <c r="F160" s="524" t="s">
        <v>325</v>
      </c>
      <c r="G160" s="351"/>
      <c r="H160" s="525" t="s">
        <v>325</v>
      </c>
      <c r="I160" s="351"/>
      <c r="J160" s="563"/>
      <c r="K160" s="351"/>
      <c r="L160" s="563"/>
      <c r="M160" s="351"/>
      <c r="N160" s="37"/>
      <c r="O160" s="38"/>
      <c r="P160" s="560"/>
      <c r="Q160" s="351"/>
      <c r="R160" s="527"/>
      <c r="S160" s="351"/>
      <c r="T160" s="528"/>
      <c r="U160" s="351"/>
      <c r="V160" s="541"/>
      <c r="W160" s="351"/>
      <c r="X160" s="542" t="s">
        <v>294</v>
      </c>
      <c r="Y160" s="350"/>
      <c r="Z160" s="350"/>
      <c r="AA160" s="351"/>
      <c r="AB160" s="543" t="s">
        <v>294</v>
      </c>
      <c r="AC160" s="350"/>
      <c r="AD160" s="350"/>
      <c r="AE160" s="351"/>
      <c r="AF160" s="544"/>
      <c r="AG160" s="351"/>
      <c r="AH160" s="544"/>
      <c r="AI160" s="351"/>
      <c r="AJ160" s="545"/>
      <c r="AK160" s="351"/>
      <c r="AL160" s="524" t="s">
        <v>325</v>
      </c>
      <c r="AM160" s="351"/>
      <c r="AN160" s="549" t="s">
        <v>325</v>
      </c>
      <c r="AO160" s="351"/>
      <c r="AP160" s="550"/>
      <c r="AQ160" s="351"/>
      <c r="AR160" s="551"/>
      <c r="AS160" s="351"/>
      <c r="AT160" s="534"/>
      <c r="AU160" s="351"/>
      <c r="AV160" s="549" t="s">
        <v>325</v>
      </c>
      <c r="AW160" s="351"/>
      <c r="AX160" s="553"/>
      <c r="AY160" s="350"/>
      <c r="AZ160" s="351"/>
      <c r="BA160" s="554"/>
      <c r="BB160" s="351"/>
      <c r="BC160" s="39"/>
      <c r="BD160" s="546" t="s">
        <v>325</v>
      </c>
      <c r="BE160" s="351"/>
      <c r="BF160" s="547"/>
      <c r="BG160" s="350"/>
      <c r="BH160" s="350"/>
      <c r="BI160" s="351"/>
      <c r="BJ160" s="548" t="s">
        <v>294</v>
      </c>
      <c r="BK160" s="350"/>
      <c r="BL160" s="350"/>
      <c r="BM160" s="351"/>
      <c r="BN160" s="530" t="s">
        <v>294</v>
      </c>
      <c r="BO160" s="350"/>
      <c r="BP160" s="350"/>
      <c r="BQ160" s="350"/>
      <c r="BR160" s="350"/>
      <c r="BS160" s="350"/>
      <c r="BT160" s="350"/>
      <c r="BU160" s="350"/>
      <c r="BV160" s="351"/>
    </row>
    <row r="161" spans="1:74" ht="45" customHeight="1">
      <c r="A161" s="24">
        <f t="shared" si="0"/>
        <v>147</v>
      </c>
      <c r="B161" s="558" t="s">
        <v>294</v>
      </c>
      <c r="C161" s="351"/>
      <c r="D161" s="559" t="s">
        <v>298</v>
      </c>
      <c r="E161" s="351"/>
      <c r="F161" s="524" t="s">
        <v>325</v>
      </c>
      <c r="G161" s="351"/>
      <c r="H161" s="561" t="s">
        <v>325</v>
      </c>
      <c r="I161" s="351"/>
      <c r="J161" s="562"/>
      <c r="K161" s="351"/>
      <c r="L161" s="562"/>
      <c r="M161" s="351"/>
      <c r="N161" s="34"/>
      <c r="O161" s="35"/>
      <c r="P161" s="526"/>
      <c r="Q161" s="351"/>
      <c r="R161" s="535"/>
      <c r="S161" s="351"/>
      <c r="T161" s="536"/>
      <c r="U161" s="351"/>
      <c r="V161" s="537"/>
      <c r="W161" s="351"/>
      <c r="X161" s="538" t="s">
        <v>294</v>
      </c>
      <c r="Y161" s="350"/>
      <c r="Z161" s="350"/>
      <c r="AA161" s="351"/>
      <c r="AB161" s="539" t="s">
        <v>294</v>
      </c>
      <c r="AC161" s="350"/>
      <c r="AD161" s="350"/>
      <c r="AE161" s="351"/>
      <c r="AF161" s="540"/>
      <c r="AG161" s="351"/>
      <c r="AH161" s="540"/>
      <c r="AI161" s="351"/>
      <c r="AJ161" s="532"/>
      <c r="AK161" s="351"/>
      <c r="AL161" s="555" t="s">
        <v>325</v>
      </c>
      <c r="AM161" s="351"/>
      <c r="AN161" s="531" t="s">
        <v>325</v>
      </c>
      <c r="AO161" s="351"/>
      <c r="AP161" s="532"/>
      <c r="AQ161" s="351"/>
      <c r="AR161" s="533"/>
      <c r="AS161" s="351"/>
      <c r="AT161" s="534"/>
      <c r="AU161" s="351"/>
      <c r="AV161" s="531" t="s">
        <v>325</v>
      </c>
      <c r="AW161" s="351"/>
      <c r="AX161" s="553"/>
      <c r="AY161" s="350"/>
      <c r="AZ161" s="351"/>
      <c r="BA161" s="545"/>
      <c r="BB161" s="351"/>
      <c r="BC161" s="36"/>
      <c r="BD161" s="556" t="s">
        <v>325</v>
      </c>
      <c r="BE161" s="351"/>
      <c r="BF161" s="557"/>
      <c r="BG161" s="350"/>
      <c r="BH161" s="350"/>
      <c r="BI161" s="351"/>
      <c r="BJ161" s="506" t="s">
        <v>294</v>
      </c>
      <c r="BK161" s="350"/>
      <c r="BL161" s="350"/>
      <c r="BM161" s="351"/>
      <c r="BN161" s="530" t="s">
        <v>294</v>
      </c>
      <c r="BO161" s="350"/>
      <c r="BP161" s="350"/>
      <c r="BQ161" s="350"/>
      <c r="BR161" s="350"/>
      <c r="BS161" s="350"/>
      <c r="BT161" s="350"/>
      <c r="BU161" s="350"/>
      <c r="BV161" s="351"/>
    </row>
    <row r="162" spans="1:74" ht="45" customHeight="1">
      <c r="A162" s="24">
        <f t="shared" si="0"/>
        <v>148</v>
      </c>
      <c r="B162" s="522" t="s">
        <v>294</v>
      </c>
      <c r="C162" s="351"/>
      <c r="D162" s="523" t="s">
        <v>298</v>
      </c>
      <c r="E162" s="351"/>
      <c r="F162" s="524" t="s">
        <v>325</v>
      </c>
      <c r="G162" s="351"/>
      <c r="H162" s="525" t="s">
        <v>325</v>
      </c>
      <c r="I162" s="351"/>
      <c r="J162" s="563"/>
      <c r="K162" s="351"/>
      <c r="L162" s="563"/>
      <c r="M162" s="351"/>
      <c r="N162" s="37"/>
      <c r="O162" s="38"/>
      <c r="P162" s="560"/>
      <c r="Q162" s="351"/>
      <c r="R162" s="527"/>
      <c r="S162" s="351"/>
      <c r="T162" s="528"/>
      <c r="U162" s="351"/>
      <c r="V162" s="541"/>
      <c r="W162" s="351"/>
      <c r="X162" s="542" t="s">
        <v>294</v>
      </c>
      <c r="Y162" s="350"/>
      <c r="Z162" s="350"/>
      <c r="AA162" s="351"/>
      <c r="AB162" s="543" t="s">
        <v>294</v>
      </c>
      <c r="AC162" s="350"/>
      <c r="AD162" s="350"/>
      <c r="AE162" s="351"/>
      <c r="AF162" s="544"/>
      <c r="AG162" s="351"/>
      <c r="AH162" s="544"/>
      <c r="AI162" s="351"/>
      <c r="AJ162" s="545"/>
      <c r="AK162" s="351"/>
      <c r="AL162" s="524" t="s">
        <v>325</v>
      </c>
      <c r="AM162" s="351"/>
      <c r="AN162" s="549" t="s">
        <v>325</v>
      </c>
      <c r="AO162" s="351"/>
      <c r="AP162" s="550"/>
      <c r="AQ162" s="351"/>
      <c r="AR162" s="551"/>
      <c r="AS162" s="351"/>
      <c r="AT162" s="534"/>
      <c r="AU162" s="351"/>
      <c r="AV162" s="549" t="s">
        <v>325</v>
      </c>
      <c r="AW162" s="351"/>
      <c r="AX162" s="553"/>
      <c r="AY162" s="350"/>
      <c r="AZ162" s="351"/>
      <c r="BA162" s="554"/>
      <c r="BB162" s="351"/>
      <c r="BC162" s="39"/>
      <c r="BD162" s="546" t="s">
        <v>325</v>
      </c>
      <c r="BE162" s="351"/>
      <c r="BF162" s="547"/>
      <c r="BG162" s="350"/>
      <c r="BH162" s="350"/>
      <c r="BI162" s="351"/>
      <c r="BJ162" s="548" t="s">
        <v>294</v>
      </c>
      <c r="BK162" s="350"/>
      <c r="BL162" s="350"/>
      <c r="BM162" s="351"/>
      <c r="BN162" s="530" t="s">
        <v>294</v>
      </c>
      <c r="BO162" s="350"/>
      <c r="BP162" s="350"/>
      <c r="BQ162" s="350"/>
      <c r="BR162" s="350"/>
      <c r="BS162" s="350"/>
      <c r="BT162" s="350"/>
      <c r="BU162" s="350"/>
      <c r="BV162" s="351"/>
    </row>
    <row r="163" spans="1:74" ht="45" customHeight="1">
      <c r="A163" s="24">
        <f t="shared" si="0"/>
        <v>149</v>
      </c>
      <c r="B163" s="558" t="s">
        <v>294</v>
      </c>
      <c r="C163" s="351"/>
      <c r="D163" s="559" t="s">
        <v>298</v>
      </c>
      <c r="E163" s="351"/>
      <c r="F163" s="524" t="s">
        <v>325</v>
      </c>
      <c r="G163" s="351"/>
      <c r="H163" s="561" t="s">
        <v>325</v>
      </c>
      <c r="I163" s="351"/>
      <c r="J163" s="562"/>
      <c r="K163" s="351"/>
      <c r="L163" s="562"/>
      <c r="M163" s="351"/>
      <c r="N163" s="34"/>
      <c r="O163" s="35"/>
      <c r="P163" s="526"/>
      <c r="Q163" s="351"/>
      <c r="R163" s="535"/>
      <c r="S163" s="351"/>
      <c r="T163" s="536"/>
      <c r="U163" s="351"/>
      <c r="V163" s="537"/>
      <c r="W163" s="351"/>
      <c r="X163" s="538" t="s">
        <v>294</v>
      </c>
      <c r="Y163" s="350"/>
      <c r="Z163" s="350"/>
      <c r="AA163" s="351"/>
      <c r="AB163" s="539" t="s">
        <v>294</v>
      </c>
      <c r="AC163" s="350"/>
      <c r="AD163" s="350"/>
      <c r="AE163" s="351"/>
      <c r="AF163" s="540"/>
      <c r="AG163" s="351"/>
      <c r="AH163" s="540"/>
      <c r="AI163" s="351"/>
      <c r="AJ163" s="532"/>
      <c r="AK163" s="351"/>
      <c r="AL163" s="555" t="s">
        <v>325</v>
      </c>
      <c r="AM163" s="351"/>
      <c r="AN163" s="531" t="s">
        <v>325</v>
      </c>
      <c r="AO163" s="351"/>
      <c r="AP163" s="532"/>
      <c r="AQ163" s="351"/>
      <c r="AR163" s="533"/>
      <c r="AS163" s="351"/>
      <c r="AT163" s="534"/>
      <c r="AU163" s="351"/>
      <c r="AV163" s="531" t="s">
        <v>325</v>
      </c>
      <c r="AW163" s="351"/>
      <c r="AX163" s="553"/>
      <c r="AY163" s="350"/>
      <c r="AZ163" s="351"/>
      <c r="BA163" s="545"/>
      <c r="BB163" s="351"/>
      <c r="BC163" s="36"/>
      <c r="BD163" s="556" t="s">
        <v>325</v>
      </c>
      <c r="BE163" s="351"/>
      <c r="BF163" s="529"/>
      <c r="BG163" s="350"/>
      <c r="BH163" s="350"/>
      <c r="BI163" s="351"/>
      <c r="BJ163" s="506" t="s">
        <v>294</v>
      </c>
      <c r="BK163" s="350"/>
      <c r="BL163" s="350"/>
      <c r="BM163" s="351"/>
      <c r="BN163" s="530" t="s">
        <v>294</v>
      </c>
      <c r="BO163" s="350"/>
      <c r="BP163" s="350"/>
      <c r="BQ163" s="350"/>
      <c r="BR163" s="350"/>
      <c r="BS163" s="350"/>
      <c r="BT163" s="350"/>
      <c r="BU163" s="350"/>
      <c r="BV163" s="351"/>
    </row>
    <row r="164" spans="1:74" ht="45" customHeight="1">
      <c r="A164" s="24">
        <f t="shared" si="0"/>
        <v>150</v>
      </c>
      <c r="B164" s="522" t="s">
        <v>294</v>
      </c>
      <c r="C164" s="351"/>
      <c r="D164" s="523" t="s">
        <v>298</v>
      </c>
      <c r="E164" s="351"/>
      <c r="F164" s="524" t="s">
        <v>325</v>
      </c>
      <c r="G164" s="351"/>
      <c r="H164" s="525" t="s">
        <v>325</v>
      </c>
      <c r="I164" s="351"/>
      <c r="J164" s="563"/>
      <c r="K164" s="351"/>
      <c r="L164" s="563"/>
      <c r="M164" s="351"/>
      <c r="N164" s="37"/>
      <c r="O164" s="38"/>
      <c r="P164" s="560"/>
      <c r="Q164" s="351"/>
      <c r="R164" s="527"/>
      <c r="S164" s="351"/>
      <c r="T164" s="528"/>
      <c r="U164" s="351"/>
      <c r="V164" s="541"/>
      <c r="W164" s="351"/>
      <c r="X164" s="542" t="s">
        <v>294</v>
      </c>
      <c r="Y164" s="350"/>
      <c r="Z164" s="350"/>
      <c r="AA164" s="351"/>
      <c r="AB164" s="543" t="s">
        <v>294</v>
      </c>
      <c r="AC164" s="350"/>
      <c r="AD164" s="350"/>
      <c r="AE164" s="351"/>
      <c r="AF164" s="544"/>
      <c r="AG164" s="351"/>
      <c r="AH164" s="544"/>
      <c r="AI164" s="351"/>
      <c r="AJ164" s="545"/>
      <c r="AK164" s="351"/>
      <c r="AL164" s="524" t="s">
        <v>325</v>
      </c>
      <c r="AM164" s="351"/>
      <c r="AN164" s="549" t="s">
        <v>325</v>
      </c>
      <c r="AO164" s="351"/>
      <c r="AP164" s="550"/>
      <c r="AQ164" s="351"/>
      <c r="AR164" s="551"/>
      <c r="AS164" s="351"/>
      <c r="AT164" s="534"/>
      <c r="AU164" s="351"/>
      <c r="AV164" s="549" t="s">
        <v>325</v>
      </c>
      <c r="AW164" s="351"/>
      <c r="AX164" s="553"/>
      <c r="AY164" s="350"/>
      <c r="AZ164" s="351"/>
      <c r="BA164" s="554"/>
      <c r="BB164" s="351"/>
      <c r="BC164" s="39"/>
      <c r="BD164" s="546" t="s">
        <v>325</v>
      </c>
      <c r="BE164" s="351"/>
      <c r="BF164" s="547"/>
      <c r="BG164" s="350"/>
      <c r="BH164" s="350"/>
      <c r="BI164" s="351"/>
      <c r="BJ164" s="548" t="s">
        <v>294</v>
      </c>
      <c r="BK164" s="350"/>
      <c r="BL164" s="350"/>
      <c r="BM164" s="351"/>
      <c r="BN164" s="530" t="s">
        <v>294</v>
      </c>
      <c r="BO164" s="350"/>
      <c r="BP164" s="350"/>
      <c r="BQ164" s="350"/>
      <c r="BR164" s="350"/>
      <c r="BS164" s="350"/>
      <c r="BT164" s="350"/>
      <c r="BU164" s="350"/>
      <c r="BV164" s="351"/>
    </row>
    <row r="165" spans="1:74" ht="45" customHeight="1">
      <c r="A165" s="24">
        <f t="shared" si="0"/>
        <v>151</v>
      </c>
      <c r="B165" s="558" t="s">
        <v>294</v>
      </c>
      <c r="C165" s="351"/>
      <c r="D165" s="559" t="s">
        <v>298</v>
      </c>
      <c r="E165" s="351"/>
      <c r="F165" s="524" t="s">
        <v>325</v>
      </c>
      <c r="G165" s="351"/>
      <c r="H165" s="561" t="s">
        <v>325</v>
      </c>
      <c r="I165" s="351"/>
      <c r="J165" s="562"/>
      <c r="K165" s="351"/>
      <c r="L165" s="562"/>
      <c r="M165" s="351"/>
      <c r="N165" s="34"/>
      <c r="O165" s="35"/>
      <c r="P165" s="526"/>
      <c r="Q165" s="351"/>
      <c r="R165" s="535"/>
      <c r="S165" s="351"/>
      <c r="T165" s="536"/>
      <c r="U165" s="351"/>
      <c r="V165" s="537"/>
      <c r="W165" s="351"/>
      <c r="X165" s="538" t="s">
        <v>294</v>
      </c>
      <c r="Y165" s="350"/>
      <c r="Z165" s="350"/>
      <c r="AA165" s="351"/>
      <c r="AB165" s="539" t="s">
        <v>294</v>
      </c>
      <c r="AC165" s="350"/>
      <c r="AD165" s="350"/>
      <c r="AE165" s="351"/>
      <c r="AF165" s="540"/>
      <c r="AG165" s="351"/>
      <c r="AH165" s="540"/>
      <c r="AI165" s="351"/>
      <c r="AJ165" s="532"/>
      <c r="AK165" s="351"/>
      <c r="AL165" s="555" t="s">
        <v>325</v>
      </c>
      <c r="AM165" s="351"/>
      <c r="AN165" s="531" t="s">
        <v>325</v>
      </c>
      <c r="AO165" s="351"/>
      <c r="AP165" s="532"/>
      <c r="AQ165" s="351"/>
      <c r="AR165" s="533"/>
      <c r="AS165" s="351"/>
      <c r="AT165" s="534"/>
      <c r="AU165" s="351"/>
      <c r="AV165" s="531" t="s">
        <v>325</v>
      </c>
      <c r="AW165" s="351"/>
      <c r="AX165" s="553"/>
      <c r="AY165" s="350"/>
      <c r="AZ165" s="351"/>
      <c r="BA165" s="545"/>
      <c r="BB165" s="351"/>
      <c r="BC165" s="36"/>
      <c r="BD165" s="556" t="s">
        <v>325</v>
      </c>
      <c r="BE165" s="351"/>
      <c r="BF165" s="529"/>
      <c r="BG165" s="350"/>
      <c r="BH165" s="350"/>
      <c r="BI165" s="351"/>
      <c r="BJ165" s="506" t="s">
        <v>294</v>
      </c>
      <c r="BK165" s="350"/>
      <c r="BL165" s="350"/>
      <c r="BM165" s="351"/>
      <c r="BN165" s="530" t="s">
        <v>294</v>
      </c>
      <c r="BO165" s="350"/>
      <c r="BP165" s="350"/>
      <c r="BQ165" s="350"/>
      <c r="BR165" s="350"/>
      <c r="BS165" s="350"/>
      <c r="BT165" s="350"/>
      <c r="BU165" s="350"/>
      <c r="BV165" s="351"/>
    </row>
    <row r="166" spans="1:74" ht="45" customHeight="1">
      <c r="A166" s="24">
        <f t="shared" si="0"/>
        <v>152</v>
      </c>
      <c r="B166" s="522" t="s">
        <v>294</v>
      </c>
      <c r="C166" s="351"/>
      <c r="D166" s="523" t="s">
        <v>298</v>
      </c>
      <c r="E166" s="351"/>
      <c r="F166" s="524" t="s">
        <v>325</v>
      </c>
      <c r="G166" s="351"/>
      <c r="H166" s="525" t="s">
        <v>325</v>
      </c>
      <c r="I166" s="351"/>
      <c r="J166" s="563"/>
      <c r="K166" s="351"/>
      <c r="L166" s="563"/>
      <c r="M166" s="351"/>
      <c r="N166" s="37"/>
      <c r="O166" s="38"/>
      <c r="P166" s="560"/>
      <c r="Q166" s="351"/>
      <c r="R166" s="527"/>
      <c r="S166" s="351"/>
      <c r="T166" s="528"/>
      <c r="U166" s="351"/>
      <c r="V166" s="541"/>
      <c r="W166" s="351"/>
      <c r="X166" s="542" t="s">
        <v>294</v>
      </c>
      <c r="Y166" s="350"/>
      <c r="Z166" s="350"/>
      <c r="AA166" s="351"/>
      <c r="AB166" s="543" t="s">
        <v>294</v>
      </c>
      <c r="AC166" s="350"/>
      <c r="AD166" s="350"/>
      <c r="AE166" s="351"/>
      <c r="AF166" s="544"/>
      <c r="AG166" s="351"/>
      <c r="AH166" s="544"/>
      <c r="AI166" s="351"/>
      <c r="AJ166" s="545"/>
      <c r="AK166" s="351"/>
      <c r="AL166" s="524" t="s">
        <v>325</v>
      </c>
      <c r="AM166" s="351"/>
      <c r="AN166" s="549" t="s">
        <v>325</v>
      </c>
      <c r="AO166" s="351"/>
      <c r="AP166" s="550"/>
      <c r="AQ166" s="351"/>
      <c r="AR166" s="551"/>
      <c r="AS166" s="351"/>
      <c r="AT166" s="534"/>
      <c r="AU166" s="351"/>
      <c r="AV166" s="549" t="s">
        <v>325</v>
      </c>
      <c r="AW166" s="351"/>
      <c r="AX166" s="553"/>
      <c r="AY166" s="350"/>
      <c r="AZ166" s="351"/>
      <c r="BA166" s="554"/>
      <c r="BB166" s="351"/>
      <c r="BC166" s="39"/>
      <c r="BD166" s="546" t="s">
        <v>325</v>
      </c>
      <c r="BE166" s="351"/>
      <c r="BF166" s="547"/>
      <c r="BG166" s="350"/>
      <c r="BH166" s="350"/>
      <c r="BI166" s="351"/>
      <c r="BJ166" s="548" t="s">
        <v>294</v>
      </c>
      <c r="BK166" s="350"/>
      <c r="BL166" s="350"/>
      <c r="BM166" s="351"/>
      <c r="BN166" s="530" t="s">
        <v>294</v>
      </c>
      <c r="BO166" s="350"/>
      <c r="BP166" s="350"/>
      <c r="BQ166" s="350"/>
      <c r="BR166" s="350"/>
      <c r="BS166" s="350"/>
      <c r="BT166" s="350"/>
      <c r="BU166" s="350"/>
      <c r="BV166" s="351"/>
    </row>
    <row r="167" spans="1:74" ht="45" customHeight="1">
      <c r="A167" s="24">
        <f t="shared" si="0"/>
        <v>153</v>
      </c>
      <c r="B167" s="558" t="s">
        <v>294</v>
      </c>
      <c r="C167" s="351"/>
      <c r="D167" s="559" t="s">
        <v>298</v>
      </c>
      <c r="E167" s="351"/>
      <c r="F167" s="524" t="s">
        <v>325</v>
      </c>
      <c r="G167" s="351"/>
      <c r="H167" s="561" t="s">
        <v>325</v>
      </c>
      <c r="I167" s="351"/>
      <c r="J167" s="562"/>
      <c r="K167" s="351"/>
      <c r="L167" s="562"/>
      <c r="M167" s="351"/>
      <c r="N167" s="34"/>
      <c r="O167" s="35"/>
      <c r="P167" s="526"/>
      <c r="Q167" s="351"/>
      <c r="R167" s="535"/>
      <c r="S167" s="351"/>
      <c r="T167" s="536"/>
      <c r="U167" s="351"/>
      <c r="V167" s="537"/>
      <c r="W167" s="351"/>
      <c r="X167" s="538" t="s">
        <v>294</v>
      </c>
      <c r="Y167" s="350"/>
      <c r="Z167" s="350"/>
      <c r="AA167" s="351"/>
      <c r="AB167" s="539" t="s">
        <v>294</v>
      </c>
      <c r="AC167" s="350"/>
      <c r="AD167" s="350"/>
      <c r="AE167" s="351"/>
      <c r="AF167" s="540"/>
      <c r="AG167" s="351"/>
      <c r="AH167" s="540"/>
      <c r="AI167" s="351"/>
      <c r="AJ167" s="532"/>
      <c r="AK167" s="351"/>
      <c r="AL167" s="555" t="s">
        <v>325</v>
      </c>
      <c r="AM167" s="351"/>
      <c r="AN167" s="531" t="s">
        <v>325</v>
      </c>
      <c r="AO167" s="351"/>
      <c r="AP167" s="532"/>
      <c r="AQ167" s="351"/>
      <c r="AR167" s="533"/>
      <c r="AS167" s="351"/>
      <c r="AT167" s="534"/>
      <c r="AU167" s="351"/>
      <c r="AV167" s="531" t="s">
        <v>325</v>
      </c>
      <c r="AW167" s="351"/>
      <c r="AX167" s="553"/>
      <c r="AY167" s="350"/>
      <c r="AZ167" s="351"/>
      <c r="BA167" s="545"/>
      <c r="BB167" s="351"/>
      <c r="BC167" s="36"/>
      <c r="BD167" s="556" t="s">
        <v>325</v>
      </c>
      <c r="BE167" s="351"/>
      <c r="BF167" s="557"/>
      <c r="BG167" s="350"/>
      <c r="BH167" s="350"/>
      <c r="BI167" s="351"/>
      <c r="BJ167" s="506" t="s">
        <v>294</v>
      </c>
      <c r="BK167" s="350"/>
      <c r="BL167" s="350"/>
      <c r="BM167" s="351"/>
      <c r="BN167" s="530" t="s">
        <v>294</v>
      </c>
      <c r="BO167" s="350"/>
      <c r="BP167" s="350"/>
      <c r="BQ167" s="350"/>
      <c r="BR167" s="350"/>
      <c r="BS167" s="350"/>
      <c r="BT167" s="350"/>
      <c r="BU167" s="350"/>
      <c r="BV167" s="351"/>
    </row>
    <row r="168" spans="1:74" ht="45" customHeight="1">
      <c r="A168" s="24">
        <f t="shared" si="0"/>
        <v>154</v>
      </c>
      <c r="B168" s="522" t="s">
        <v>294</v>
      </c>
      <c r="C168" s="351"/>
      <c r="D168" s="523" t="s">
        <v>298</v>
      </c>
      <c r="E168" s="351"/>
      <c r="F168" s="524" t="s">
        <v>325</v>
      </c>
      <c r="G168" s="351"/>
      <c r="H168" s="525" t="s">
        <v>325</v>
      </c>
      <c r="I168" s="351"/>
      <c r="J168" s="563"/>
      <c r="K168" s="351"/>
      <c r="L168" s="563"/>
      <c r="M168" s="351"/>
      <c r="N168" s="37"/>
      <c r="O168" s="38"/>
      <c r="P168" s="560"/>
      <c r="Q168" s="351"/>
      <c r="R168" s="527"/>
      <c r="S168" s="351"/>
      <c r="T168" s="528"/>
      <c r="U168" s="351"/>
      <c r="V168" s="541"/>
      <c r="W168" s="351"/>
      <c r="X168" s="542" t="s">
        <v>294</v>
      </c>
      <c r="Y168" s="350"/>
      <c r="Z168" s="350"/>
      <c r="AA168" s="351"/>
      <c r="AB168" s="543" t="s">
        <v>294</v>
      </c>
      <c r="AC168" s="350"/>
      <c r="AD168" s="350"/>
      <c r="AE168" s="351"/>
      <c r="AF168" s="544"/>
      <c r="AG168" s="351"/>
      <c r="AH168" s="544"/>
      <c r="AI168" s="351"/>
      <c r="AJ168" s="545"/>
      <c r="AK168" s="351"/>
      <c r="AL168" s="524" t="s">
        <v>325</v>
      </c>
      <c r="AM168" s="351"/>
      <c r="AN168" s="549" t="s">
        <v>325</v>
      </c>
      <c r="AO168" s="351"/>
      <c r="AP168" s="550"/>
      <c r="AQ168" s="351"/>
      <c r="AR168" s="551"/>
      <c r="AS168" s="351"/>
      <c r="AT168" s="534"/>
      <c r="AU168" s="351"/>
      <c r="AV168" s="549" t="s">
        <v>325</v>
      </c>
      <c r="AW168" s="351"/>
      <c r="AX168" s="553"/>
      <c r="AY168" s="350"/>
      <c r="AZ168" s="351"/>
      <c r="BA168" s="554"/>
      <c r="BB168" s="351"/>
      <c r="BC168" s="39"/>
      <c r="BD168" s="546" t="s">
        <v>325</v>
      </c>
      <c r="BE168" s="351"/>
      <c r="BF168" s="547"/>
      <c r="BG168" s="350"/>
      <c r="BH168" s="350"/>
      <c r="BI168" s="351"/>
      <c r="BJ168" s="548" t="s">
        <v>294</v>
      </c>
      <c r="BK168" s="350"/>
      <c r="BL168" s="350"/>
      <c r="BM168" s="351"/>
      <c r="BN168" s="530" t="s">
        <v>294</v>
      </c>
      <c r="BO168" s="350"/>
      <c r="BP168" s="350"/>
      <c r="BQ168" s="350"/>
      <c r="BR168" s="350"/>
      <c r="BS168" s="350"/>
      <c r="BT168" s="350"/>
      <c r="BU168" s="350"/>
      <c r="BV168" s="351"/>
    </row>
    <row r="169" spans="1:74" ht="45" customHeight="1">
      <c r="A169" s="24">
        <f t="shared" si="0"/>
        <v>155</v>
      </c>
      <c r="B169" s="558" t="s">
        <v>294</v>
      </c>
      <c r="C169" s="351"/>
      <c r="D169" s="559" t="s">
        <v>298</v>
      </c>
      <c r="E169" s="351"/>
      <c r="F169" s="524" t="s">
        <v>325</v>
      </c>
      <c r="G169" s="351"/>
      <c r="H169" s="561" t="s">
        <v>325</v>
      </c>
      <c r="I169" s="351"/>
      <c r="J169" s="562"/>
      <c r="K169" s="351"/>
      <c r="L169" s="562"/>
      <c r="M169" s="351"/>
      <c r="N169" s="34"/>
      <c r="O169" s="35"/>
      <c r="P169" s="526"/>
      <c r="Q169" s="351"/>
      <c r="R169" s="535"/>
      <c r="S169" s="351"/>
      <c r="T169" s="536"/>
      <c r="U169" s="351"/>
      <c r="V169" s="537"/>
      <c r="W169" s="351"/>
      <c r="X169" s="538" t="s">
        <v>294</v>
      </c>
      <c r="Y169" s="350"/>
      <c r="Z169" s="350"/>
      <c r="AA169" s="351"/>
      <c r="AB169" s="539" t="s">
        <v>294</v>
      </c>
      <c r="AC169" s="350"/>
      <c r="AD169" s="350"/>
      <c r="AE169" s="351"/>
      <c r="AF169" s="540"/>
      <c r="AG169" s="351"/>
      <c r="AH169" s="540"/>
      <c r="AI169" s="351"/>
      <c r="AJ169" s="532"/>
      <c r="AK169" s="351"/>
      <c r="AL169" s="555" t="s">
        <v>325</v>
      </c>
      <c r="AM169" s="351"/>
      <c r="AN169" s="531" t="s">
        <v>325</v>
      </c>
      <c r="AO169" s="351"/>
      <c r="AP169" s="532"/>
      <c r="AQ169" s="351"/>
      <c r="AR169" s="533"/>
      <c r="AS169" s="351"/>
      <c r="AT169" s="534"/>
      <c r="AU169" s="351"/>
      <c r="AV169" s="531" t="s">
        <v>325</v>
      </c>
      <c r="AW169" s="351"/>
      <c r="AX169" s="553"/>
      <c r="AY169" s="350"/>
      <c r="AZ169" s="351"/>
      <c r="BA169" s="545"/>
      <c r="BB169" s="351"/>
      <c r="BC169" s="36"/>
      <c r="BD169" s="556" t="s">
        <v>325</v>
      </c>
      <c r="BE169" s="351"/>
      <c r="BF169" s="529"/>
      <c r="BG169" s="350"/>
      <c r="BH169" s="350"/>
      <c r="BI169" s="351"/>
      <c r="BJ169" s="506" t="s">
        <v>294</v>
      </c>
      <c r="BK169" s="350"/>
      <c r="BL169" s="350"/>
      <c r="BM169" s="351"/>
      <c r="BN169" s="530" t="s">
        <v>294</v>
      </c>
      <c r="BO169" s="350"/>
      <c r="BP169" s="350"/>
      <c r="BQ169" s="350"/>
      <c r="BR169" s="350"/>
      <c r="BS169" s="350"/>
      <c r="BT169" s="350"/>
      <c r="BU169" s="350"/>
      <c r="BV169" s="351"/>
    </row>
    <row r="170" spans="1:74" ht="45" customHeight="1">
      <c r="A170" s="24">
        <f t="shared" si="0"/>
        <v>156</v>
      </c>
      <c r="B170" s="522" t="s">
        <v>294</v>
      </c>
      <c r="C170" s="351"/>
      <c r="D170" s="523" t="s">
        <v>298</v>
      </c>
      <c r="E170" s="351"/>
      <c r="F170" s="524" t="s">
        <v>325</v>
      </c>
      <c r="G170" s="351"/>
      <c r="H170" s="525" t="s">
        <v>325</v>
      </c>
      <c r="I170" s="351"/>
      <c r="J170" s="563"/>
      <c r="K170" s="351"/>
      <c r="L170" s="563"/>
      <c r="M170" s="351"/>
      <c r="N170" s="37"/>
      <c r="O170" s="38"/>
      <c r="P170" s="560"/>
      <c r="Q170" s="351"/>
      <c r="R170" s="527"/>
      <c r="S170" s="351"/>
      <c r="T170" s="528"/>
      <c r="U170" s="351"/>
      <c r="V170" s="541"/>
      <c r="W170" s="351"/>
      <c r="X170" s="542" t="s">
        <v>294</v>
      </c>
      <c r="Y170" s="350"/>
      <c r="Z170" s="350"/>
      <c r="AA170" s="351"/>
      <c r="AB170" s="543" t="s">
        <v>294</v>
      </c>
      <c r="AC170" s="350"/>
      <c r="AD170" s="350"/>
      <c r="AE170" s="351"/>
      <c r="AF170" s="544"/>
      <c r="AG170" s="351"/>
      <c r="AH170" s="544"/>
      <c r="AI170" s="351"/>
      <c r="AJ170" s="545"/>
      <c r="AK170" s="351"/>
      <c r="AL170" s="524" t="s">
        <v>325</v>
      </c>
      <c r="AM170" s="351"/>
      <c r="AN170" s="549" t="s">
        <v>325</v>
      </c>
      <c r="AO170" s="351"/>
      <c r="AP170" s="550"/>
      <c r="AQ170" s="351"/>
      <c r="AR170" s="551"/>
      <c r="AS170" s="351"/>
      <c r="AT170" s="534"/>
      <c r="AU170" s="351"/>
      <c r="AV170" s="549" t="s">
        <v>325</v>
      </c>
      <c r="AW170" s="351"/>
      <c r="AX170" s="553"/>
      <c r="AY170" s="350"/>
      <c r="AZ170" s="351"/>
      <c r="BA170" s="554"/>
      <c r="BB170" s="351"/>
      <c r="BC170" s="39"/>
      <c r="BD170" s="546" t="s">
        <v>325</v>
      </c>
      <c r="BE170" s="351"/>
      <c r="BF170" s="547"/>
      <c r="BG170" s="350"/>
      <c r="BH170" s="350"/>
      <c r="BI170" s="351"/>
      <c r="BJ170" s="548" t="s">
        <v>294</v>
      </c>
      <c r="BK170" s="350"/>
      <c r="BL170" s="350"/>
      <c r="BM170" s="351"/>
      <c r="BN170" s="530" t="s">
        <v>294</v>
      </c>
      <c r="BO170" s="350"/>
      <c r="BP170" s="350"/>
      <c r="BQ170" s="350"/>
      <c r="BR170" s="350"/>
      <c r="BS170" s="350"/>
      <c r="BT170" s="350"/>
      <c r="BU170" s="350"/>
      <c r="BV170" s="351"/>
    </row>
    <row r="171" spans="1:74" ht="45" customHeight="1">
      <c r="A171" s="24">
        <f t="shared" si="0"/>
        <v>157</v>
      </c>
      <c r="B171" s="558" t="s">
        <v>294</v>
      </c>
      <c r="C171" s="351"/>
      <c r="D171" s="559" t="s">
        <v>298</v>
      </c>
      <c r="E171" s="351"/>
      <c r="F171" s="524" t="s">
        <v>325</v>
      </c>
      <c r="G171" s="351"/>
      <c r="H171" s="561" t="s">
        <v>325</v>
      </c>
      <c r="I171" s="351"/>
      <c r="J171" s="562"/>
      <c r="K171" s="351"/>
      <c r="L171" s="562"/>
      <c r="M171" s="351"/>
      <c r="N171" s="34"/>
      <c r="O171" s="35"/>
      <c r="P171" s="526"/>
      <c r="Q171" s="351"/>
      <c r="R171" s="535"/>
      <c r="S171" s="351"/>
      <c r="T171" s="536"/>
      <c r="U171" s="351"/>
      <c r="V171" s="537"/>
      <c r="W171" s="351"/>
      <c r="X171" s="538" t="s">
        <v>294</v>
      </c>
      <c r="Y171" s="350"/>
      <c r="Z171" s="350"/>
      <c r="AA171" s="351"/>
      <c r="AB171" s="539" t="s">
        <v>294</v>
      </c>
      <c r="AC171" s="350"/>
      <c r="AD171" s="350"/>
      <c r="AE171" s="351"/>
      <c r="AF171" s="540"/>
      <c r="AG171" s="351"/>
      <c r="AH171" s="540"/>
      <c r="AI171" s="351"/>
      <c r="AJ171" s="532"/>
      <c r="AK171" s="351"/>
      <c r="AL171" s="555" t="s">
        <v>325</v>
      </c>
      <c r="AM171" s="351"/>
      <c r="AN171" s="531" t="s">
        <v>325</v>
      </c>
      <c r="AO171" s="351"/>
      <c r="AP171" s="532"/>
      <c r="AQ171" s="351"/>
      <c r="AR171" s="533"/>
      <c r="AS171" s="351"/>
      <c r="AT171" s="534"/>
      <c r="AU171" s="351"/>
      <c r="AV171" s="531" t="s">
        <v>325</v>
      </c>
      <c r="AW171" s="351"/>
      <c r="AX171" s="553"/>
      <c r="AY171" s="350"/>
      <c r="AZ171" s="351"/>
      <c r="BA171" s="545"/>
      <c r="BB171" s="351"/>
      <c r="BC171" s="36"/>
      <c r="BD171" s="556" t="s">
        <v>325</v>
      </c>
      <c r="BE171" s="351"/>
      <c r="BF171" s="557"/>
      <c r="BG171" s="350"/>
      <c r="BH171" s="350"/>
      <c r="BI171" s="351"/>
      <c r="BJ171" s="506" t="s">
        <v>294</v>
      </c>
      <c r="BK171" s="350"/>
      <c r="BL171" s="350"/>
      <c r="BM171" s="351"/>
      <c r="BN171" s="530" t="s">
        <v>294</v>
      </c>
      <c r="BO171" s="350"/>
      <c r="BP171" s="350"/>
      <c r="BQ171" s="350"/>
      <c r="BR171" s="350"/>
      <c r="BS171" s="350"/>
      <c r="BT171" s="350"/>
      <c r="BU171" s="350"/>
      <c r="BV171" s="351"/>
    </row>
    <row r="172" spans="1:74" ht="45" customHeight="1">
      <c r="A172" s="24">
        <f t="shared" si="0"/>
        <v>158</v>
      </c>
      <c r="B172" s="522" t="s">
        <v>294</v>
      </c>
      <c r="C172" s="351"/>
      <c r="D172" s="523" t="s">
        <v>298</v>
      </c>
      <c r="E172" s="351"/>
      <c r="F172" s="524" t="s">
        <v>325</v>
      </c>
      <c r="G172" s="351"/>
      <c r="H172" s="525" t="s">
        <v>325</v>
      </c>
      <c r="I172" s="351"/>
      <c r="J172" s="563"/>
      <c r="K172" s="351"/>
      <c r="L172" s="563"/>
      <c r="M172" s="351"/>
      <c r="N172" s="37"/>
      <c r="O172" s="38"/>
      <c r="P172" s="560"/>
      <c r="Q172" s="351"/>
      <c r="R172" s="527"/>
      <c r="S172" s="351"/>
      <c r="T172" s="528"/>
      <c r="U172" s="351"/>
      <c r="V172" s="541"/>
      <c r="W172" s="351"/>
      <c r="X172" s="542" t="s">
        <v>294</v>
      </c>
      <c r="Y172" s="350"/>
      <c r="Z172" s="350"/>
      <c r="AA172" s="351"/>
      <c r="AB172" s="543" t="s">
        <v>294</v>
      </c>
      <c r="AC172" s="350"/>
      <c r="AD172" s="350"/>
      <c r="AE172" s="351"/>
      <c r="AF172" s="544"/>
      <c r="AG172" s="351"/>
      <c r="AH172" s="544"/>
      <c r="AI172" s="351"/>
      <c r="AJ172" s="545"/>
      <c r="AK172" s="351"/>
      <c r="AL172" s="524" t="s">
        <v>325</v>
      </c>
      <c r="AM172" s="351"/>
      <c r="AN172" s="549" t="s">
        <v>325</v>
      </c>
      <c r="AO172" s="351"/>
      <c r="AP172" s="550"/>
      <c r="AQ172" s="351"/>
      <c r="AR172" s="551"/>
      <c r="AS172" s="351"/>
      <c r="AT172" s="534"/>
      <c r="AU172" s="351"/>
      <c r="AV172" s="549" t="s">
        <v>325</v>
      </c>
      <c r="AW172" s="351"/>
      <c r="AX172" s="553"/>
      <c r="AY172" s="350"/>
      <c r="AZ172" s="351"/>
      <c r="BA172" s="554"/>
      <c r="BB172" s="351"/>
      <c r="BC172" s="39"/>
      <c r="BD172" s="546" t="s">
        <v>325</v>
      </c>
      <c r="BE172" s="351"/>
      <c r="BF172" s="547"/>
      <c r="BG172" s="350"/>
      <c r="BH172" s="350"/>
      <c r="BI172" s="351"/>
      <c r="BJ172" s="548" t="s">
        <v>294</v>
      </c>
      <c r="BK172" s="350"/>
      <c r="BL172" s="350"/>
      <c r="BM172" s="351"/>
      <c r="BN172" s="530" t="s">
        <v>294</v>
      </c>
      <c r="BO172" s="350"/>
      <c r="BP172" s="350"/>
      <c r="BQ172" s="350"/>
      <c r="BR172" s="350"/>
      <c r="BS172" s="350"/>
      <c r="BT172" s="350"/>
      <c r="BU172" s="350"/>
      <c r="BV172" s="351"/>
    </row>
    <row r="173" spans="1:74" ht="45" customHeight="1">
      <c r="A173" s="24">
        <f t="shared" si="0"/>
        <v>159</v>
      </c>
      <c r="B173" s="558" t="s">
        <v>294</v>
      </c>
      <c r="C173" s="351"/>
      <c r="D173" s="559" t="s">
        <v>298</v>
      </c>
      <c r="E173" s="351"/>
      <c r="F173" s="524" t="s">
        <v>325</v>
      </c>
      <c r="G173" s="351"/>
      <c r="H173" s="561" t="s">
        <v>325</v>
      </c>
      <c r="I173" s="351"/>
      <c r="J173" s="562"/>
      <c r="K173" s="351"/>
      <c r="L173" s="562"/>
      <c r="M173" s="351"/>
      <c r="N173" s="34"/>
      <c r="O173" s="35"/>
      <c r="P173" s="526"/>
      <c r="Q173" s="351"/>
      <c r="R173" s="535"/>
      <c r="S173" s="351"/>
      <c r="T173" s="536"/>
      <c r="U173" s="351"/>
      <c r="V173" s="537"/>
      <c r="W173" s="351"/>
      <c r="X173" s="538" t="s">
        <v>294</v>
      </c>
      <c r="Y173" s="350"/>
      <c r="Z173" s="350"/>
      <c r="AA173" s="351"/>
      <c r="AB173" s="539" t="s">
        <v>294</v>
      </c>
      <c r="AC173" s="350"/>
      <c r="AD173" s="350"/>
      <c r="AE173" s="351"/>
      <c r="AF173" s="540"/>
      <c r="AG173" s="351"/>
      <c r="AH173" s="540"/>
      <c r="AI173" s="351"/>
      <c r="AJ173" s="532"/>
      <c r="AK173" s="351"/>
      <c r="AL173" s="555" t="s">
        <v>325</v>
      </c>
      <c r="AM173" s="351"/>
      <c r="AN173" s="531" t="s">
        <v>325</v>
      </c>
      <c r="AO173" s="351"/>
      <c r="AP173" s="532"/>
      <c r="AQ173" s="351"/>
      <c r="AR173" s="533"/>
      <c r="AS173" s="351"/>
      <c r="AT173" s="534"/>
      <c r="AU173" s="351"/>
      <c r="AV173" s="531" t="s">
        <v>325</v>
      </c>
      <c r="AW173" s="351"/>
      <c r="AX173" s="553"/>
      <c r="AY173" s="350"/>
      <c r="AZ173" s="351"/>
      <c r="BA173" s="545"/>
      <c r="BB173" s="351"/>
      <c r="BC173" s="36"/>
      <c r="BD173" s="556" t="s">
        <v>325</v>
      </c>
      <c r="BE173" s="351"/>
      <c r="BF173" s="529"/>
      <c r="BG173" s="350"/>
      <c r="BH173" s="350"/>
      <c r="BI173" s="351"/>
      <c r="BJ173" s="506" t="s">
        <v>294</v>
      </c>
      <c r="BK173" s="350"/>
      <c r="BL173" s="350"/>
      <c r="BM173" s="351"/>
      <c r="BN173" s="530" t="s">
        <v>294</v>
      </c>
      <c r="BO173" s="350"/>
      <c r="BP173" s="350"/>
      <c r="BQ173" s="350"/>
      <c r="BR173" s="350"/>
      <c r="BS173" s="350"/>
      <c r="BT173" s="350"/>
      <c r="BU173" s="350"/>
      <c r="BV173" s="351"/>
    </row>
    <row r="174" spans="1:74" ht="45" customHeight="1">
      <c r="A174" s="24">
        <f t="shared" si="0"/>
        <v>160</v>
      </c>
      <c r="B174" s="522" t="s">
        <v>294</v>
      </c>
      <c r="C174" s="351"/>
      <c r="D174" s="523" t="s">
        <v>298</v>
      </c>
      <c r="E174" s="351"/>
      <c r="F174" s="524" t="s">
        <v>325</v>
      </c>
      <c r="G174" s="351"/>
      <c r="H174" s="525" t="s">
        <v>325</v>
      </c>
      <c r="I174" s="351"/>
      <c r="J174" s="563"/>
      <c r="K174" s="351"/>
      <c r="L174" s="563"/>
      <c r="M174" s="351"/>
      <c r="N174" s="37"/>
      <c r="O174" s="38"/>
      <c r="P174" s="560"/>
      <c r="Q174" s="351"/>
      <c r="R174" s="527"/>
      <c r="S174" s="351"/>
      <c r="T174" s="528"/>
      <c r="U174" s="351"/>
      <c r="V174" s="541"/>
      <c r="W174" s="351"/>
      <c r="X174" s="542" t="s">
        <v>294</v>
      </c>
      <c r="Y174" s="350"/>
      <c r="Z174" s="350"/>
      <c r="AA174" s="351"/>
      <c r="AB174" s="543" t="s">
        <v>294</v>
      </c>
      <c r="AC174" s="350"/>
      <c r="AD174" s="350"/>
      <c r="AE174" s="351"/>
      <c r="AF174" s="544"/>
      <c r="AG174" s="351"/>
      <c r="AH174" s="544"/>
      <c r="AI174" s="351"/>
      <c r="AJ174" s="545"/>
      <c r="AK174" s="351"/>
      <c r="AL174" s="524" t="s">
        <v>325</v>
      </c>
      <c r="AM174" s="351"/>
      <c r="AN174" s="549" t="s">
        <v>325</v>
      </c>
      <c r="AO174" s="351"/>
      <c r="AP174" s="550"/>
      <c r="AQ174" s="351"/>
      <c r="AR174" s="551"/>
      <c r="AS174" s="351"/>
      <c r="AT174" s="534"/>
      <c r="AU174" s="351"/>
      <c r="AV174" s="549" t="s">
        <v>325</v>
      </c>
      <c r="AW174" s="351"/>
      <c r="AX174" s="553"/>
      <c r="AY174" s="350"/>
      <c r="AZ174" s="351"/>
      <c r="BA174" s="554"/>
      <c r="BB174" s="351"/>
      <c r="BC174" s="39"/>
      <c r="BD174" s="546" t="s">
        <v>325</v>
      </c>
      <c r="BE174" s="351"/>
      <c r="BF174" s="547"/>
      <c r="BG174" s="350"/>
      <c r="BH174" s="350"/>
      <c r="BI174" s="351"/>
      <c r="BJ174" s="548" t="s">
        <v>294</v>
      </c>
      <c r="BK174" s="350"/>
      <c r="BL174" s="350"/>
      <c r="BM174" s="351"/>
      <c r="BN174" s="530" t="s">
        <v>294</v>
      </c>
      <c r="BO174" s="350"/>
      <c r="BP174" s="350"/>
      <c r="BQ174" s="350"/>
      <c r="BR174" s="350"/>
      <c r="BS174" s="350"/>
      <c r="BT174" s="350"/>
      <c r="BU174" s="350"/>
      <c r="BV174" s="351"/>
    </row>
    <row r="175" spans="1:74" ht="45" customHeight="1">
      <c r="A175" s="24">
        <f t="shared" si="0"/>
        <v>161</v>
      </c>
      <c r="B175" s="558" t="s">
        <v>294</v>
      </c>
      <c r="C175" s="351"/>
      <c r="D175" s="559" t="s">
        <v>298</v>
      </c>
      <c r="E175" s="351"/>
      <c r="F175" s="524" t="s">
        <v>325</v>
      </c>
      <c r="G175" s="351"/>
      <c r="H175" s="561" t="s">
        <v>325</v>
      </c>
      <c r="I175" s="351"/>
      <c r="J175" s="562"/>
      <c r="K175" s="351"/>
      <c r="L175" s="562"/>
      <c r="M175" s="351"/>
      <c r="N175" s="34"/>
      <c r="O175" s="35"/>
      <c r="P175" s="526"/>
      <c r="Q175" s="351"/>
      <c r="R175" s="535"/>
      <c r="S175" s="351"/>
      <c r="T175" s="536"/>
      <c r="U175" s="351"/>
      <c r="V175" s="537"/>
      <c r="W175" s="351"/>
      <c r="X175" s="538" t="s">
        <v>294</v>
      </c>
      <c r="Y175" s="350"/>
      <c r="Z175" s="350"/>
      <c r="AA175" s="351"/>
      <c r="AB175" s="539" t="s">
        <v>294</v>
      </c>
      <c r="AC175" s="350"/>
      <c r="AD175" s="350"/>
      <c r="AE175" s="351"/>
      <c r="AF175" s="540"/>
      <c r="AG175" s="351"/>
      <c r="AH175" s="540"/>
      <c r="AI175" s="351"/>
      <c r="AJ175" s="532"/>
      <c r="AK175" s="351"/>
      <c r="AL175" s="555" t="s">
        <v>325</v>
      </c>
      <c r="AM175" s="351"/>
      <c r="AN175" s="531" t="s">
        <v>325</v>
      </c>
      <c r="AO175" s="351"/>
      <c r="AP175" s="532"/>
      <c r="AQ175" s="351"/>
      <c r="AR175" s="533"/>
      <c r="AS175" s="351"/>
      <c r="AT175" s="534"/>
      <c r="AU175" s="351"/>
      <c r="AV175" s="531" t="s">
        <v>325</v>
      </c>
      <c r="AW175" s="351"/>
      <c r="AX175" s="553"/>
      <c r="AY175" s="350"/>
      <c r="AZ175" s="351"/>
      <c r="BA175" s="545"/>
      <c r="BB175" s="351"/>
      <c r="BC175" s="36"/>
      <c r="BD175" s="556" t="s">
        <v>325</v>
      </c>
      <c r="BE175" s="351"/>
      <c r="BF175" s="529"/>
      <c r="BG175" s="350"/>
      <c r="BH175" s="350"/>
      <c r="BI175" s="351"/>
      <c r="BJ175" s="506" t="s">
        <v>294</v>
      </c>
      <c r="BK175" s="350"/>
      <c r="BL175" s="350"/>
      <c r="BM175" s="351"/>
      <c r="BN175" s="530" t="s">
        <v>294</v>
      </c>
      <c r="BO175" s="350"/>
      <c r="BP175" s="350"/>
      <c r="BQ175" s="350"/>
      <c r="BR175" s="350"/>
      <c r="BS175" s="350"/>
      <c r="BT175" s="350"/>
      <c r="BU175" s="350"/>
      <c r="BV175" s="351"/>
    </row>
    <row r="176" spans="1:74" ht="45" customHeight="1">
      <c r="A176" s="24">
        <f t="shared" si="0"/>
        <v>162</v>
      </c>
      <c r="B176" s="522" t="s">
        <v>294</v>
      </c>
      <c r="C176" s="351"/>
      <c r="D176" s="523" t="s">
        <v>298</v>
      </c>
      <c r="E176" s="351"/>
      <c r="F176" s="524" t="s">
        <v>325</v>
      </c>
      <c r="G176" s="351"/>
      <c r="H176" s="525" t="s">
        <v>325</v>
      </c>
      <c r="I176" s="351"/>
      <c r="J176" s="563"/>
      <c r="K176" s="351"/>
      <c r="L176" s="563"/>
      <c r="M176" s="351"/>
      <c r="N176" s="37"/>
      <c r="O176" s="38"/>
      <c r="P176" s="560"/>
      <c r="Q176" s="351"/>
      <c r="R176" s="527"/>
      <c r="S176" s="351"/>
      <c r="T176" s="528"/>
      <c r="U176" s="351"/>
      <c r="V176" s="541"/>
      <c r="W176" s="351"/>
      <c r="X176" s="542" t="s">
        <v>294</v>
      </c>
      <c r="Y176" s="350"/>
      <c r="Z176" s="350"/>
      <c r="AA176" s="351"/>
      <c r="AB176" s="543" t="s">
        <v>294</v>
      </c>
      <c r="AC176" s="350"/>
      <c r="AD176" s="350"/>
      <c r="AE176" s="351"/>
      <c r="AF176" s="544"/>
      <c r="AG176" s="351"/>
      <c r="AH176" s="544"/>
      <c r="AI176" s="351"/>
      <c r="AJ176" s="545"/>
      <c r="AK176" s="351"/>
      <c r="AL176" s="524" t="s">
        <v>325</v>
      </c>
      <c r="AM176" s="351"/>
      <c r="AN176" s="549" t="s">
        <v>325</v>
      </c>
      <c r="AO176" s="351"/>
      <c r="AP176" s="550"/>
      <c r="AQ176" s="351"/>
      <c r="AR176" s="551"/>
      <c r="AS176" s="351"/>
      <c r="AT176" s="534"/>
      <c r="AU176" s="351"/>
      <c r="AV176" s="549" t="s">
        <v>325</v>
      </c>
      <c r="AW176" s="351"/>
      <c r="AX176" s="553"/>
      <c r="AY176" s="350"/>
      <c r="AZ176" s="351"/>
      <c r="BA176" s="554"/>
      <c r="BB176" s="351"/>
      <c r="BC176" s="39"/>
      <c r="BD176" s="546" t="s">
        <v>325</v>
      </c>
      <c r="BE176" s="351"/>
      <c r="BF176" s="547"/>
      <c r="BG176" s="350"/>
      <c r="BH176" s="350"/>
      <c r="BI176" s="351"/>
      <c r="BJ176" s="548" t="s">
        <v>294</v>
      </c>
      <c r="BK176" s="350"/>
      <c r="BL176" s="350"/>
      <c r="BM176" s="351"/>
      <c r="BN176" s="530" t="s">
        <v>294</v>
      </c>
      <c r="BO176" s="350"/>
      <c r="BP176" s="350"/>
      <c r="BQ176" s="350"/>
      <c r="BR176" s="350"/>
      <c r="BS176" s="350"/>
      <c r="BT176" s="350"/>
      <c r="BU176" s="350"/>
      <c r="BV176" s="351"/>
    </row>
    <row r="177" spans="1:74" ht="45" customHeight="1">
      <c r="A177" s="24">
        <f t="shared" si="0"/>
        <v>163</v>
      </c>
      <c r="B177" s="558" t="s">
        <v>294</v>
      </c>
      <c r="C177" s="351"/>
      <c r="D177" s="559" t="s">
        <v>298</v>
      </c>
      <c r="E177" s="351"/>
      <c r="F177" s="524" t="s">
        <v>325</v>
      </c>
      <c r="G177" s="351"/>
      <c r="H177" s="561" t="s">
        <v>325</v>
      </c>
      <c r="I177" s="351"/>
      <c r="J177" s="562"/>
      <c r="K177" s="351"/>
      <c r="L177" s="562"/>
      <c r="M177" s="351"/>
      <c r="N177" s="34"/>
      <c r="O177" s="35"/>
      <c r="P177" s="526"/>
      <c r="Q177" s="351"/>
      <c r="R177" s="535"/>
      <c r="S177" s="351"/>
      <c r="T177" s="536"/>
      <c r="U177" s="351"/>
      <c r="V177" s="537"/>
      <c r="W177" s="351"/>
      <c r="X177" s="538" t="s">
        <v>294</v>
      </c>
      <c r="Y177" s="350"/>
      <c r="Z177" s="350"/>
      <c r="AA177" s="351"/>
      <c r="AB177" s="539" t="s">
        <v>294</v>
      </c>
      <c r="AC177" s="350"/>
      <c r="AD177" s="350"/>
      <c r="AE177" s="351"/>
      <c r="AF177" s="540"/>
      <c r="AG177" s="351"/>
      <c r="AH177" s="540"/>
      <c r="AI177" s="351"/>
      <c r="AJ177" s="532"/>
      <c r="AK177" s="351"/>
      <c r="AL177" s="555" t="s">
        <v>325</v>
      </c>
      <c r="AM177" s="351"/>
      <c r="AN177" s="531" t="s">
        <v>325</v>
      </c>
      <c r="AO177" s="351"/>
      <c r="AP177" s="532"/>
      <c r="AQ177" s="351"/>
      <c r="AR177" s="533"/>
      <c r="AS177" s="351"/>
      <c r="AT177" s="534"/>
      <c r="AU177" s="351"/>
      <c r="AV177" s="531" t="s">
        <v>325</v>
      </c>
      <c r="AW177" s="351"/>
      <c r="AX177" s="553"/>
      <c r="AY177" s="350"/>
      <c r="AZ177" s="351"/>
      <c r="BA177" s="545"/>
      <c r="BB177" s="351"/>
      <c r="BC177" s="36"/>
      <c r="BD177" s="556" t="s">
        <v>325</v>
      </c>
      <c r="BE177" s="351"/>
      <c r="BF177" s="557"/>
      <c r="BG177" s="350"/>
      <c r="BH177" s="350"/>
      <c r="BI177" s="351"/>
      <c r="BJ177" s="506" t="s">
        <v>294</v>
      </c>
      <c r="BK177" s="350"/>
      <c r="BL177" s="350"/>
      <c r="BM177" s="351"/>
      <c r="BN177" s="530" t="s">
        <v>294</v>
      </c>
      <c r="BO177" s="350"/>
      <c r="BP177" s="350"/>
      <c r="BQ177" s="350"/>
      <c r="BR177" s="350"/>
      <c r="BS177" s="350"/>
      <c r="BT177" s="350"/>
      <c r="BU177" s="350"/>
      <c r="BV177" s="351"/>
    </row>
    <row r="178" spans="1:74" ht="45" customHeight="1">
      <c r="A178" s="24">
        <f t="shared" si="0"/>
        <v>164</v>
      </c>
      <c r="B178" s="522" t="s">
        <v>294</v>
      </c>
      <c r="C178" s="351"/>
      <c r="D178" s="523" t="s">
        <v>298</v>
      </c>
      <c r="E178" s="351"/>
      <c r="F178" s="524" t="s">
        <v>325</v>
      </c>
      <c r="G178" s="351"/>
      <c r="H178" s="525" t="s">
        <v>325</v>
      </c>
      <c r="I178" s="351"/>
      <c r="J178" s="563"/>
      <c r="K178" s="351"/>
      <c r="L178" s="563"/>
      <c r="M178" s="351"/>
      <c r="N178" s="37"/>
      <c r="O178" s="38"/>
      <c r="P178" s="560"/>
      <c r="Q178" s="351"/>
      <c r="R178" s="527"/>
      <c r="S178" s="351"/>
      <c r="T178" s="528"/>
      <c r="U178" s="351"/>
      <c r="V178" s="541"/>
      <c r="W178" s="351"/>
      <c r="X178" s="542" t="s">
        <v>294</v>
      </c>
      <c r="Y178" s="350"/>
      <c r="Z178" s="350"/>
      <c r="AA178" s="351"/>
      <c r="AB178" s="543" t="s">
        <v>294</v>
      </c>
      <c r="AC178" s="350"/>
      <c r="AD178" s="350"/>
      <c r="AE178" s="351"/>
      <c r="AF178" s="544"/>
      <c r="AG178" s="351"/>
      <c r="AH178" s="544"/>
      <c r="AI178" s="351"/>
      <c r="AJ178" s="545"/>
      <c r="AK178" s="351"/>
      <c r="AL178" s="524" t="s">
        <v>325</v>
      </c>
      <c r="AM178" s="351"/>
      <c r="AN178" s="549" t="s">
        <v>325</v>
      </c>
      <c r="AO178" s="351"/>
      <c r="AP178" s="550"/>
      <c r="AQ178" s="351"/>
      <c r="AR178" s="551"/>
      <c r="AS178" s="351"/>
      <c r="AT178" s="534"/>
      <c r="AU178" s="351"/>
      <c r="AV178" s="549" t="s">
        <v>325</v>
      </c>
      <c r="AW178" s="351"/>
      <c r="AX178" s="553"/>
      <c r="AY178" s="350"/>
      <c r="AZ178" s="351"/>
      <c r="BA178" s="554"/>
      <c r="BB178" s="351"/>
      <c r="BC178" s="39"/>
      <c r="BD178" s="546" t="s">
        <v>325</v>
      </c>
      <c r="BE178" s="351"/>
      <c r="BF178" s="547"/>
      <c r="BG178" s="350"/>
      <c r="BH178" s="350"/>
      <c r="BI178" s="351"/>
      <c r="BJ178" s="548" t="s">
        <v>294</v>
      </c>
      <c r="BK178" s="350"/>
      <c r="BL178" s="350"/>
      <c r="BM178" s="351"/>
      <c r="BN178" s="530" t="s">
        <v>294</v>
      </c>
      <c r="BO178" s="350"/>
      <c r="BP178" s="350"/>
      <c r="BQ178" s="350"/>
      <c r="BR178" s="350"/>
      <c r="BS178" s="350"/>
      <c r="BT178" s="350"/>
      <c r="BU178" s="350"/>
      <c r="BV178" s="351"/>
    </row>
    <row r="179" spans="1:74" ht="45" customHeight="1">
      <c r="A179" s="24">
        <f t="shared" si="0"/>
        <v>165</v>
      </c>
      <c r="B179" s="558" t="s">
        <v>294</v>
      </c>
      <c r="C179" s="351"/>
      <c r="D179" s="559" t="s">
        <v>298</v>
      </c>
      <c r="E179" s="351"/>
      <c r="F179" s="524" t="s">
        <v>325</v>
      </c>
      <c r="G179" s="351"/>
      <c r="H179" s="561" t="s">
        <v>325</v>
      </c>
      <c r="I179" s="351"/>
      <c r="J179" s="562"/>
      <c r="K179" s="351"/>
      <c r="L179" s="562"/>
      <c r="M179" s="351"/>
      <c r="N179" s="34"/>
      <c r="O179" s="35"/>
      <c r="P179" s="526"/>
      <c r="Q179" s="351"/>
      <c r="R179" s="535"/>
      <c r="S179" s="351"/>
      <c r="T179" s="536"/>
      <c r="U179" s="351"/>
      <c r="V179" s="537"/>
      <c r="W179" s="351"/>
      <c r="X179" s="538" t="s">
        <v>294</v>
      </c>
      <c r="Y179" s="350"/>
      <c r="Z179" s="350"/>
      <c r="AA179" s="351"/>
      <c r="AB179" s="539" t="s">
        <v>294</v>
      </c>
      <c r="AC179" s="350"/>
      <c r="AD179" s="350"/>
      <c r="AE179" s="351"/>
      <c r="AF179" s="540"/>
      <c r="AG179" s="351"/>
      <c r="AH179" s="540"/>
      <c r="AI179" s="351"/>
      <c r="AJ179" s="532"/>
      <c r="AK179" s="351"/>
      <c r="AL179" s="555" t="s">
        <v>325</v>
      </c>
      <c r="AM179" s="351"/>
      <c r="AN179" s="531" t="s">
        <v>325</v>
      </c>
      <c r="AO179" s="351"/>
      <c r="AP179" s="532"/>
      <c r="AQ179" s="351"/>
      <c r="AR179" s="533"/>
      <c r="AS179" s="351"/>
      <c r="AT179" s="534"/>
      <c r="AU179" s="351"/>
      <c r="AV179" s="531" t="s">
        <v>325</v>
      </c>
      <c r="AW179" s="351"/>
      <c r="AX179" s="553"/>
      <c r="AY179" s="350"/>
      <c r="AZ179" s="351"/>
      <c r="BA179" s="545"/>
      <c r="BB179" s="351"/>
      <c r="BC179" s="36"/>
      <c r="BD179" s="556" t="s">
        <v>325</v>
      </c>
      <c r="BE179" s="351"/>
      <c r="BF179" s="529"/>
      <c r="BG179" s="350"/>
      <c r="BH179" s="350"/>
      <c r="BI179" s="351"/>
      <c r="BJ179" s="506" t="s">
        <v>294</v>
      </c>
      <c r="BK179" s="350"/>
      <c r="BL179" s="350"/>
      <c r="BM179" s="351"/>
      <c r="BN179" s="530" t="s">
        <v>294</v>
      </c>
      <c r="BO179" s="350"/>
      <c r="BP179" s="350"/>
      <c r="BQ179" s="350"/>
      <c r="BR179" s="350"/>
      <c r="BS179" s="350"/>
      <c r="BT179" s="350"/>
      <c r="BU179" s="350"/>
      <c r="BV179" s="351"/>
    </row>
    <row r="180" spans="1:74" ht="45" customHeight="1">
      <c r="A180" s="24">
        <f t="shared" si="0"/>
        <v>166</v>
      </c>
      <c r="B180" s="522" t="s">
        <v>294</v>
      </c>
      <c r="C180" s="351"/>
      <c r="D180" s="523" t="s">
        <v>298</v>
      </c>
      <c r="E180" s="351"/>
      <c r="F180" s="524" t="s">
        <v>325</v>
      </c>
      <c r="G180" s="351"/>
      <c r="H180" s="525" t="s">
        <v>325</v>
      </c>
      <c r="I180" s="351"/>
      <c r="J180" s="563"/>
      <c r="K180" s="351"/>
      <c r="L180" s="563"/>
      <c r="M180" s="351"/>
      <c r="N180" s="37"/>
      <c r="O180" s="38"/>
      <c r="P180" s="560"/>
      <c r="Q180" s="351"/>
      <c r="R180" s="527"/>
      <c r="S180" s="351"/>
      <c r="T180" s="528"/>
      <c r="U180" s="351"/>
      <c r="V180" s="541"/>
      <c r="W180" s="351"/>
      <c r="X180" s="542" t="s">
        <v>294</v>
      </c>
      <c r="Y180" s="350"/>
      <c r="Z180" s="350"/>
      <c r="AA180" s="351"/>
      <c r="AB180" s="543" t="s">
        <v>294</v>
      </c>
      <c r="AC180" s="350"/>
      <c r="AD180" s="350"/>
      <c r="AE180" s="351"/>
      <c r="AF180" s="544"/>
      <c r="AG180" s="351"/>
      <c r="AH180" s="544"/>
      <c r="AI180" s="351"/>
      <c r="AJ180" s="545"/>
      <c r="AK180" s="351"/>
      <c r="AL180" s="524" t="s">
        <v>325</v>
      </c>
      <c r="AM180" s="351"/>
      <c r="AN180" s="549" t="s">
        <v>325</v>
      </c>
      <c r="AO180" s="351"/>
      <c r="AP180" s="550"/>
      <c r="AQ180" s="351"/>
      <c r="AR180" s="551"/>
      <c r="AS180" s="351"/>
      <c r="AT180" s="534"/>
      <c r="AU180" s="351"/>
      <c r="AV180" s="549" t="s">
        <v>325</v>
      </c>
      <c r="AW180" s="351"/>
      <c r="AX180" s="553"/>
      <c r="AY180" s="350"/>
      <c r="AZ180" s="351"/>
      <c r="BA180" s="554"/>
      <c r="BB180" s="351"/>
      <c r="BC180" s="39"/>
      <c r="BD180" s="546" t="s">
        <v>325</v>
      </c>
      <c r="BE180" s="351"/>
      <c r="BF180" s="547"/>
      <c r="BG180" s="350"/>
      <c r="BH180" s="350"/>
      <c r="BI180" s="351"/>
      <c r="BJ180" s="548" t="s">
        <v>294</v>
      </c>
      <c r="BK180" s="350"/>
      <c r="BL180" s="350"/>
      <c r="BM180" s="351"/>
      <c r="BN180" s="530" t="s">
        <v>294</v>
      </c>
      <c r="BO180" s="350"/>
      <c r="BP180" s="350"/>
      <c r="BQ180" s="350"/>
      <c r="BR180" s="350"/>
      <c r="BS180" s="350"/>
      <c r="BT180" s="350"/>
      <c r="BU180" s="350"/>
      <c r="BV180" s="351"/>
    </row>
    <row r="181" spans="1:74" ht="45" customHeight="1">
      <c r="A181" s="24">
        <f t="shared" si="0"/>
        <v>167</v>
      </c>
      <c r="B181" s="558" t="s">
        <v>294</v>
      </c>
      <c r="C181" s="351"/>
      <c r="D181" s="559" t="s">
        <v>298</v>
      </c>
      <c r="E181" s="351"/>
      <c r="F181" s="524" t="s">
        <v>325</v>
      </c>
      <c r="G181" s="351"/>
      <c r="H181" s="561" t="s">
        <v>325</v>
      </c>
      <c r="I181" s="351"/>
      <c r="J181" s="562"/>
      <c r="K181" s="351"/>
      <c r="L181" s="562"/>
      <c r="M181" s="351"/>
      <c r="N181" s="34"/>
      <c r="O181" s="35"/>
      <c r="P181" s="526"/>
      <c r="Q181" s="351"/>
      <c r="R181" s="535"/>
      <c r="S181" s="351"/>
      <c r="T181" s="536"/>
      <c r="U181" s="351"/>
      <c r="V181" s="537"/>
      <c r="W181" s="351"/>
      <c r="X181" s="538" t="s">
        <v>294</v>
      </c>
      <c r="Y181" s="350"/>
      <c r="Z181" s="350"/>
      <c r="AA181" s="351"/>
      <c r="AB181" s="539" t="s">
        <v>294</v>
      </c>
      <c r="AC181" s="350"/>
      <c r="AD181" s="350"/>
      <c r="AE181" s="351"/>
      <c r="AF181" s="540"/>
      <c r="AG181" s="351"/>
      <c r="AH181" s="540"/>
      <c r="AI181" s="351"/>
      <c r="AJ181" s="532"/>
      <c r="AK181" s="351"/>
      <c r="AL181" s="555" t="s">
        <v>325</v>
      </c>
      <c r="AM181" s="351"/>
      <c r="AN181" s="531" t="s">
        <v>325</v>
      </c>
      <c r="AO181" s="351"/>
      <c r="AP181" s="532"/>
      <c r="AQ181" s="351"/>
      <c r="AR181" s="533"/>
      <c r="AS181" s="351"/>
      <c r="AT181" s="534"/>
      <c r="AU181" s="351"/>
      <c r="AV181" s="531" t="s">
        <v>325</v>
      </c>
      <c r="AW181" s="351"/>
      <c r="AX181" s="553"/>
      <c r="AY181" s="350"/>
      <c r="AZ181" s="351"/>
      <c r="BA181" s="545"/>
      <c r="BB181" s="351"/>
      <c r="BC181" s="36"/>
      <c r="BD181" s="556" t="s">
        <v>325</v>
      </c>
      <c r="BE181" s="351"/>
      <c r="BF181" s="557"/>
      <c r="BG181" s="350"/>
      <c r="BH181" s="350"/>
      <c r="BI181" s="351"/>
      <c r="BJ181" s="506" t="s">
        <v>294</v>
      </c>
      <c r="BK181" s="350"/>
      <c r="BL181" s="350"/>
      <c r="BM181" s="351"/>
      <c r="BN181" s="530" t="s">
        <v>294</v>
      </c>
      <c r="BO181" s="350"/>
      <c r="BP181" s="350"/>
      <c r="BQ181" s="350"/>
      <c r="BR181" s="350"/>
      <c r="BS181" s="350"/>
      <c r="BT181" s="350"/>
      <c r="BU181" s="350"/>
      <c r="BV181" s="351"/>
    </row>
    <row r="182" spans="1:74" ht="45" customHeight="1">
      <c r="A182" s="24">
        <f t="shared" si="0"/>
        <v>168</v>
      </c>
      <c r="B182" s="522" t="s">
        <v>294</v>
      </c>
      <c r="C182" s="351"/>
      <c r="D182" s="523" t="s">
        <v>298</v>
      </c>
      <c r="E182" s="351"/>
      <c r="F182" s="524" t="s">
        <v>325</v>
      </c>
      <c r="G182" s="351"/>
      <c r="H182" s="525" t="s">
        <v>325</v>
      </c>
      <c r="I182" s="351"/>
      <c r="J182" s="563"/>
      <c r="K182" s="351"/>
      <c r="L182" s="563"/>
      <c r="M182" s="351"/>
      <c r="N182" s="37"/>
      <c r="O182" s="38"/>
      <c r="P182" s="560"/>
      <c r="Q182" s="351"/>
      <c r="R182" s="527"/>
      <c r="S182" s="351"/>
      <c r="T182" s="528"/>
      <c r="U182" s="351"/>
      <c r="V182" s="541"/>
      <c r="W182" s="351"/>
      <c r="X182" s="542" t="s">
        <v>294</v>
      </c>
      <c r="Y182" s="350"/>
      <c r="Z182" s="350"/>
      <c r="AA182" s="351"/>
      <c r="AB182" s="543" t="s">
        <v>294</v>
      </c>
      <c r="AC182" s="350"/>
      <c r="AD182" s="350"/>
      <c r="AE182" s="351"/>
      <c r="AF182" s="544"/>
      <c r="AG182" s="351"/>
      <c r="AH182" s="544"/>
      <c r="AI182" s="351"/>
      <c r="AJ182" s="545"/>
      <c r="AK182" s="351"/>
      <c r="AL182" s="524" t="s">
        <v>325</v>
      </c>
      <c r="AM182" s="351"/>
      <c r="AN182" s="549" t="s">
        <v>325</v>
      </c>
      <c r="AO182" s="351"/>
      <c r="AP182" s="550"/>
      <c r="AQ182" s="351"/>
      <c r="AR182" s="551"/>
      <c r="AS182" s="351"/>
      <c r="AT182" s="534"/>
      <c r="AU182" s="351"/>
      <c r="AV182" s="549" t="s">
        <v>325</v>
      </c>
      <c r="AW182" s="351"/>
      <c r="AX182" s="553"/>
      <c r="AY182" s="350"/>
      <c r="AZ182" s="351"/>
      <c r="BA182" s="554"/>
      <c r="BB182" s="351"/>
      <c r="BC182" s="39"/>
      <c r="BD182" s="546" t="s">
        <v>325</v>
      </c>
      <c r="BE182" s="351"/>
      <c r="BF182" s="547"/>
      <c r="BG182" s="350"/>
      <c r="BH182" s="350"/>
      <c r="BI182" s="351"/>
      <c r="BJ182" s="548" t="s">
        <v>294</v>
      </c>
      <c r="BK182" s="350"/>
      <c r="BL182" s="350"/>
      <c r="BM182" s="351"/>
      <c r="BN182" s="530" t="s">
        <v>294</v>
      </c>
      <c r="BO182" s="350"/>
      <c r="BP182" s="350"/>
      <c r="BQ182" s="350"/>
      <c r="BR182" s="350"/>
      <c r="BS182" s="350"/>
      <c r="BT182" s="350"/>
      <c r="BU182" s="350"/>
      <c r="BV182" s="351"/>
    </row>
    <row r="183" spans="1:74" ht="45" customHeight="1">
      <c r="A183" s="24">
        <f t="shared" si="0"/>
        <v>169</v>
      </c>
      <c r="B183" s="558" t="s">
        <v>294</v>
      </c>
      <c r="C183" s="351"/>
      <c r="D183" s="559" t="s">
        <v>298</v>
      </c>
      <c r="E183" s="351"/>
      <c r="F183" s="524" t="s">
        <v>325</v>
      </c>
      <c r="G183" s="351"/>
      <c r="H183" s="561" t="s">
        <v>325</v>
      </c>
      <c r="I183" s="351"/>
      <c r="J183" s="562"/>
      <c r="K183" s="351"/>
      <c r="L183" s="562"/>
      <c r="M183" s="351"/>
      <c r="N183" s="34"/>
      <c r="O183" s="35"/>
      <c r="P183" s="526"/>
      <c r="Q183" s="351"/>
      <c r="R183" s="535"/>
      <c r="S183" s="351"/>
      <c r="T183" s="536"/>
      <c r="U183" s="351"/>
      <c r="V183" s="537"/>
      <c r="W183" s="351"/>
      <c r="X183" s="538" t="s">
        <v>294</v>
      </c>
      <c r="Y183" s="350"/>
      <c r="Z183" s="350"/>
      <c r="AA183" s="351"/>
      <c r="AB183" s="539" t="s">
        <v>294</v>
      </c>
      <c r="AC183" s="350"/>
      <c r="AD183" s="350"/>
      <c r="AE183" s="351"/>
      <c r="AF183" s="540"/>
      <c r="AG183" s="351"/>
      <c r="AH183" s="540"/>
      <c r="AI183" s="351"/>
      <c r="AJ183" s="532"/>
      <c r="AK183" s="351"/>
      <c r="AL183" s="555" t="s">
        <v>325</v>
      </c>
      <c r="AM183" s="351"/>
      <c r="AN183" s="531" t="s">
        <v>325</v>
      </c>
      <c r="AO183" s="351"/>
      <c r="AP183" s="532"/>
      <c r="AQ183" s="351"/>
      <c r="AR183" s="533"/>
      <c r="AS183" s="351"/>
      <c r="AT183" s="534"/>
      <c r="AU183" s="351"/>
      <c r="AV183" s="531" t="s">
        <v>325</v>
      </c>
      <c r="AW183" s="351"/>
      <c r="AX183" s="553"/>
      <c r="AY183" s="350"/>
      <c r="AZ183" s="351"/>
      <c r="BA183" s="545"/>
      <c r="BB183" s="351"/>
      <c r="BC183" s="36"/>
      <c r="BD183" s="556" t="s">
        <v>325</v>
      </c>
      <c r="BE183" s="351"/>
      <c r="BF183" s="529"/>
      <c r="BG183" s="350"/>
      <c r="BH183" s="350"/>
      <c r="BI183" s="351"/>
      <c r="BJ183" s="506" t="s">
        <v>294</v>
      </c>
      <c r="BK183" s="350"/>
      <c r="BL183" s="350"/>
      <c r="BM183" s="351"/>
      <c r="BN183" s="530" t="s">
        <v>294</v>
      </c>
      <c r="BO183" s="350"/>
      <c r="BP183" s="350"/>
      <c r="BQ183" s="350"/>
      <c r="BR183" s="350"/>
      <c r="BS183" s="350"/>
      <c r="BT183" s="350"/>
      <c r="BU183" s="350"/>
      <c r="BV183" s="351"/>
    </row>
    <row r="184" spans="1:74" ht="45" customHeight="1">
      <c r="A184" s="24">
        <f t="shared" si="0"/>
        <v>170</v>
      </c>
      <c r="B184" s="522" t="s">
        <v>294</v>
      </c>
      <c r="C184" s="351"/>
      <c r="D184" s="523" t="s">
        <v>298</v>
      </c>
      <c r="E184" s="351"/>
      <c r="F184" s="524" t="s">
        <v>325</v>
      </c>
      <c r="G184" s="351"/>
      <c r="H184" s="525" t="s">
        <v>325</v>
      </c>
      <c r="I184" s="351"/>
      <c r="J184" s="563"/>
      <c r="K184" s="351"/>
      <c r="L184" s="563"/>
      <c r="M184" s="351"/>
      <c r="N184" s="37"/>
      <c r="O184" s="38"/>
      <c r="P184" s="560"/>
      <c r="Q184" s="351"/>
      <c r="R184" s="527"/>
      <c r="S184" s="351"/>
      <c r="T184" s="528"/>
      <c r="U184" s="351"/>
      <c r="V184" s="541"/>
      <c r="W184" s="351"/>
      <c r="X184" s="542" t="s">
        <v>294</v>
      </c>
      <c r="Y184" s="350"/>
      <c r="Z184" s="350"/>
      <c r="AA184" s="351"/>
      <c r="AB184" s="543" t="s">
        <v>294</v>
      </c>
      <c r="AC184" s="350"/>
      <c r="AD184" s="350"/>
      <c r="AE184" s="351"/>
      <c r="AF184" s="544"/>
      <c r="AG184" s="351"/>
      <c r="AH184" s="544"/>
      <c r="AI184" s="351"/>
      <c r="AJ184" s="545"/>
      <c r="AK184" s="351"/>
      <c r="AL184" s="524" t="s">
        <v>325</v>
      </c>
      <c r="AM184" s="351"/>
      <c r="AN184" s="549" t="s">
        <v>325</v>
      </c>
      <c r="AO184" s="351"/>
      <c r="AP184" s="550"/>
      <c r="AQ184" s="351"/>
      <c r="AR184" s="551"/>
      <c r="AS184" s="351"/>
      <c r="AT184" s="534"/>
      <c r="AU184" s="351"/>
      <c r="AV184" s="549" t="s">
        <v>325</v>
      </c>
      <c r="AW184" s="351"/>
      <c r="AX184" s="553"/>
      <c r="AY184" s="350"/>
      <c r="AZ184" s="351"/>
      <c r="BA184" s="554"/>
      <c r="BB184" s="351"/>
      <c r="BC184" s="39"/>
      <c r="BD184" s="546" t="s">
        <v>325</v>
      </c>
      <c r="BE184" s="351"/>
      <c r="BF184" s="547"/>
      <c r="BG184" s="350"/>
      <c r="BH184" s="350"/>
      <c r="BI184" s="351"/>
      <c r="BJ184" s="548" t="s">
        <v>294</v>
      </c>
      <c r="BK184" s="350"/>
      <c r="BL184" s="350"/>
      <c r="BM184" s="351"/>
      <c r="BN184" s="530" t="s">
        <v>294</v>
      </c>
      <c r="BO184" s="350"/>
      <c r="BP184" s="350"/>
      <c r="BQ184" s="350"/>
      <c r="BR184" s="350"/>
      <c r="BS184" s="350"/>
      <c r="BT184" s="350"/>
      <c r="BU184" s="350"/>
      <c r="BV184" s="351"/>
    </row>
    <row r="185" spans="1:74" ht="45" customHeight="1">
      <c r="A185" s="24">
        <f t="shared" si="0"/>
        <v>171</v>
      </c>
      <c r="B185" s="558" t="s">
        <v>294</v>
      </c>
      <c r="C185" s="351"/>
      <c r="D185" s="559" t="s">
        <v>298</v>
      </c>
      <c r="E185" s="351"/>
      <c r="F185" s="524" t="s">
        <v>325</v>
      </c>
      <c r="G185" s="351"/>
      <c r="H185" s="561" t="s">
        <v>325</v>
      </c>
      <c r="I185" s="351"/>
      <c r="J185" s="562"/>
      <c r="K185" s="351"/>
      <c r="L185" s="562"/>
      <c r="M185" s="351"/>
      <c r="N185" s="34"/>
      <c r="O185" s="35"/>
      <c r="P185" s="526"/>
      <c r="Q185" s="351"/>
      <c r="R185" s="535"/>
      <c r="S185" s="351"/>
      <c r="T185" s="536"/>
      <c r="U185" s="351"/>
      <c r="V185" s="537"/>
      <c r="W185" s="351"/>
      <c r="X185" s="538" t="s">
        <v>294</v>
      </c>
      <c r="Y185" s="350"/>
      <c r="Z185" s="350"/>
      <c r="AA185" s="351"/>
      <c r="AB185" s="539" t="s">
        <v>294</v>
      </c>
      <c r="AC185" s="350"/>
      <c r="AD185" s="350"/>
      <c r="AE185" s="351"/>
      <c r="AF185" s="540"/>
      <c r="AG185" s="351"/>
      <c r="AH185" s="540"/>
      <c r="AI185" s="351"/>
      <c r="AJ185" s="532"/>
      <c r="AK185" s="351"/>
      <c r="AL185" s="555" t="s">
        <v>325</v>
      </c>
      <c r="AM185" s="351"/>
      <c r="AN185" s="531" t="s">
        <v>325</v>
      </c>
      <c r="AO185" s="351"/>
      <c r="AP185" s="532"/>
      <c r="AQ185" s="351"/>
      <c r="AR185" s="533"/>
      <c r="AS185" s="351"/>
      <c r="AT185" s="534"/>
      <c r="AU185" s="351"/>
      <c r="AV185" s="531" t="s">
        <v>325</v>
      </c>
      <c r="AW185" s="351"/>
      <c r="AX185" s="553"/>
      <c r="AY185" s="350"/>
      <c r="AZ185" s="351"/>
      <c r="BA185" s="545"/>
      <c r="BB185" s="351"/>
      <c r="BC185" s="36"/>
      <c r="BD185" s="556" t="s">
        <v>325</v>
      </c>
      <c r="BE185" s="351"/>
      <c r="BF185" s="529"/>
      <c r="BG185" s="350"/>
      <c r="BH185" s="350"/>
      <c r="BI185" s="351"/>
      <c r="BJ185" s="506" t="s">
        <v>294</v>
      </c>
      <c r="BK185" s="350"/>
      <c r="BL185" s="350"/>
      <c r="BM185" s="351"/>
      <c r="BN185" s="530" t="s">
        <v>294</v>
      </c>
      <c r="BO185" s="350"/>
      <c r="BP185" s="350"/>
      <c r="BQ185" s="350"/>
      <c r="BR185" s="350"/>
      <c r="BS185" s="350"/>
      <c r="BT185" s="350"/>
      <c r="BU185" s="350"/>
      <c r="BV185" s="351"/>
    </row>
    <row r="186" spans="1:74" ht="45" customHeight="1">
      <c r="A186" s="24">
        <f t="shared" si="0"/>
        <v>172</v>
      </c>
      <c r="B186" s="522" t="s">
        <v>294</v>
      </c>
      <c r="C186" s="351"/>
      <c r="D186" s="523" t="s">
        <v>298</v>
      </c>
      <c r="E186" s="351"/>
      <c r="F186" s="524" t="s">
        <v>325</v>
      </c>
      <c r="G186" s="351"/>
      <c r="H186" s="525" t="s">
        <v>325</v>
      </c>
      <c r="I186" s="351"/>
      <c r="J186" s="563"/>
      <c r="K186" s="351"/>
      <c r="L186" s="563"/>
      <c r="M186" s="351"/>
      <c r="N186" s="37"/>
      <c r="O186" s="38"/>
      <c r="P186" s="560"/>
      <c r="Q186" s="351"/>
      <c r="R186" s="527"/>
      <c r="S186" s="351"/>
      <c r="T186" s="528"/>
      <c r="U186" s="351"/>
      <c r="V186" s="541"/>
      <c r="W186" s="351"/>
      <c r="X186" s="542" t="s">
        <v>294</v>
      </c>
      <c r="Y186" s="350"/>
      <c r="Z186" s="350"/>
      <c r="AA186" s="351"/>
      <c r="AB186" s="543" t="s">
        <v>294</v>
      </c>
      <c r="AC186" s="350"/>
      <c r="AD186" s="350"/>
      <c r="AE186" s="351"/>
      <c r="AF186" s="544"/>
      <c r="AG186" s="351"/>
      <c r="AH186" s="544"/>
      <c r="AI186" s="351"/>
      <c r="AJ186" s="545"/>
      <c r="AK186" s="351"/>
      <c r="AL186" s="524" t="s">
        <v>325</v>
      </c>
      <c r="AM186" s="351"/>
      <c r="AN186" s="549" t="s">
        <v>325</v>
      </c>
      <c r="AO186" s="351"/>
      <c r="AP186" s="550"/>
      <c r="AQ186" s="351"/>
      <c r="AR186" s="551"/>
      <c r="AS186" s="351"/>
      <c r="AT186" s="534"/>
      <c r="AU186" s="351"/>
      <c r="AV186" s="549" t="s">
        <v>325</v>
      </c>
      <c r="AW186" s="351"/>
      <c r="AX186" s="553"/>
      <c r="AY186" s="350"/>
      <c r="AZ186" s="351"/>
      <c r="BA186" s="554"/>
      <c r="BB186" s="351"/>
      <c r="BC186" s="39"/>
      <c r="BD186" s="546" t="s">
        <v>325</v>
      </c>
      <c r="BE186" s="351"/>
      <c r="BF186" s="547"/>
      <c r="BG186" s="350"/>
      <c r="BH186" s="350"/>
      <c r="BI186" s="351"/>
      <c r="BJ186" s="548" t="s">
        <v>294</v>
      </c>
      <c r="BK186" s="350"/>
      <c r="BL186" s="350"/>
      <c r="BM186" s="351"/>
      <c r="BN186" s="530" t="s">
        <v>294</v>
      </c>
      <c r="BO186" s="350"/>
      <c r="BP186" s="350"/>
      <c r="BQ186" s="350"/>
      <c r="BR186" s="350"/>
      <c r="BS186" s="350"/>
      <c r="BT186" s="350"/>
      <c r="BU186" s="350"/>
      <c r="BV186" s="351"/>
    </row>
    <row r="187" spans="1:74" ht="45" customHeight="1">
      <c r="A187" s="24">
        <f t="shared" si="0"/>
        <v>173</v>
      </c>
      <c r="B187" s="558" t="s">
        <v>294</v>
      </c>
      <c r="C187" s="351"/>
      <c r="D187" s="559" t="s">
        <v>298</v>
      </c>
      <c r="E187" s="351"/>
      <c r="F187" s="524" t="s">
        <v>325</v>
      </c>
      <c r="G187" s="351"/>
      <c r="H187" s="561" t="s">
        <v>325</v>
      </c>
      <c r="I187" s="351"/>
      <c r="J187" s="562"/>
      <c r="K187" s="351"/>
      <c r="L187" s="562"/>
      <c r="M187" s="351"/>
      <c r="N187" s="34"/>
      <c r="O187" s="35"/>
      <c r="P187" s="526"/>
      <c r="Q187" s="351"/>
      <c r="R187" s="535"/>
      <c r="S187" s="351"/>
      <c r="T187" s="536"/>
      <c r="U187" s="351"/>
      <c r="V187" s="537"/>
      <c r="W187" s="351"/>
      <c r="X187" s="538" t="s">
        <v>294</v>
      </c>
      <c r="Y187" s="350"/>
      <c r="Z187" s="350"/>
      <c r="AA187" s="351"/>
      <c r="AB187" s="539" t="s">
        <v>294</v>
      </c>
      <c r="AC187" s="350"/>
      <c r="AD187" s="350"/>
      <c r="AE187" s="351"/>
      <c r="AF187" s="540"/>
      <c r="AG187" s="351"/>
      <c r="AH187" s="540"/>
      <c r="AI187" s="351"/>
      <c r="AJ187" s="532"/>
      <c r="AK187" s="351"/>
      <c r="AL187" s="555" t="s">
        <v>325</v>
      </c>
      <c r="AM187" s="351"/>
      <c r="AN187" s="531" t="s">
        <v>325</v>
      </c>
      <c r="AO187" s="351"/>
      <c r="AP187" s="532"/>
      <c r="AQ187" s="351"/>
      <c r="AR187" s="533"/>
      <c r="AS187" s="351"/>
      <c r="AT187" s="534"/>
      <c r="AU187" s="351"/>
      <c r="AV187" s="531" t="s">
        <v>325</v>
      </c>
      <c r="AW187" s="351"/>
      <c r="AX187" s="553"/>
      <c r="AY187" s="350"/>
      <c r="AZ187" s="351"/>
      <c r="BA187" s="545"/>
      <c r="BB187" s="351"/>
      <c r="BC187" s="36"/>
      <c r="BD187" s="556" t="s">
        <v>325</v>
      </c>
      <c r="BE187" s="351"/>
      <c r="BF187" s="557"/>
      <c r="BG187" s="350"/>
      <c r="BH187" s="350"/>
      <c r="BI187" s="351"/>
      <c r="BJ187" s="506" t="s">
        <v>294</v>
      </c>
      <c r="BK187" s="350"/>
      <c r="BL187" s="350"/>
      <c r="BM187" s="351"/>
      <c r="BN187" s="530" t="s">
        <v>294</v>
      </c>
      <c r="BO187" s="350"/>
      <c r="BP187" s="350"/>
      <c r="BQ187" s="350"/>
      <c r="BR187" s="350"/>
      <c r="BS187" s="350"/>
      <c r="BT187" s="350"/>
      <c r="BU187" s="350"/>
      <c r="BV187" s="351"/>
    </row>
    <row r="188" spans="1:74" ht="45" customHeight="1">
      <c r="A188" s="24">
        <f t="shared" si="0"/>
        <v>174</v>
      </c>
      <c r="B188" s="522" t="s">
        <v>294</v>
      </c>
      <c r="C188" s="351"/>
      <c r="D188" s="523" t="s">
        <v>298</v>
      </c>
      <c r="E188" s="351"/>
      <c r="F188" s="524" t="s">
        <v>325</v>
      </c>
      <c r="G188" s="351"/>
      <c r="H188" s="525" t="s">
        <v>325</v>
      </c>
      <c r="I188" s="351"/>
      <c r="J188" s="563"/>
      <c r="K188" s="351"/>
      <c r="L188" s="563"/>
      <c r="M188" s="351"/>
      <c r="N188" s="37"/>
      <c r="O188" s="38"/>
      <c r="P188" s="560"/>
      <c r="Q188" s="351"/>
      <c r="R188" s="527"/>
      <c r="S188" s="351"/>
      <c r="T188" s="528"/>
      <c r="U188" s="351"/>
      <c r="V188" s="541"/>
      <c r="W188" s="351"/>
      <c r="X188" s="542" t="s">
        <v>294</v>
      </c>
      <c r="Y188" s="350"/>
      <c r="Z188" s="350"/>
      <c r="AA188" s="351"/>
      <c r="AB188" s="543" t="s">
        <v>294</v>
      </c>
      <c r="AC188" s="350"/>
      <c r="AD188" s="350"/>
      <c r="AE188" s="351"/>
      <c r="AF188" s="544"/>
      <c r="AG188" s="351"/>
      <c r="AH188" s="544"/>
      <c r="AI188" s="351"/>
      <c r="AJ188" s="545"/>
      <c r="AK188" s="351"/>
      <c r="AL188" s="524" t="s">
        <v>325</v>
      </c>
      <c r="AM188" s="351"/>
      <c r="AN188" s="549" t="s">
        <v>325</v>
      </c>
      <c r="AO188" s="351"/>
      <c r="AP188" s="550"/>
      <c r="AQ188" s="351"/>
      <c r="AR188" s="551"/>
      <c r="AS188" s="351"/>
      <c r="AT188" s="534"/>
      <c r="AU188" s="351"/>
      <c r="AV188" s="549" t="s">
        <v>325</v>
      </c>
      <c r="AW188" s="351"/>
      <c r="AX188" s="553"/>
      <c r="AY188" s="350"/>
      <c r="AZ188" s="351"/>
      <c r="BA188" s="554"/>
      <c r="BB188" s="351"/>
      <c r="BC188" s="39"/>
      <c r="BD188" s="546" t="s">
        <v>325</v>
      </c>
      <c r="BE188" s="351"/>
      <c r="BF188" s="547"/>
      <c r="BG188" s="350"/>
      <c r="BH188" s="350"/>
      <c r="BI188" s="351"/>
      <c r="BJ188" s="548" t="s">
        <v>294</v>
      </c>
      <c r="BK188" s="350"/>
      <c r="BL188" s="350"/>
      <c r="BM188" s="351"/>
      <c r="BN188" s="530" t="s">
        <v>294</v>
      </c>
      <c r="BO188" s="350"/>
      <c r="BP188" s="350"/>
      <c r="BQ188" s="350"/>
      <c r="BR188" s="350"/>
      <c r="BS188" s="350"/>
      <c r="BT188" s="350"/>
      <c r="BU188" s="350"/>
      <c r="BV188" s="351"/>
    </row>
    <row r="189" spans="1:74" ht="45" customHeight="1">
      <c r="A189" s="24">
        <f t="shared" si="0"/>
        <v>175</v>
      </c>
      <c r="B189" s="558" t="s">
        <v>294</v>
      </c>
      <c r="C189" s="351"/>
      <c r="D189" s="559" t="s">
        <v>298</v>
      </c>
      <c r="E189" s="351"/>
      <c r="F189" s="524" t="s">
        <v>325</v>
      </c>
      <c r="G189" s="351"/>
      <c r="H189" s="561" t="s">
        <v>325</v>
      </c>
      <c r="I189" s="351"/>
      <c r="J189" s="562"/>
      <c r="K189" s="351"/>
      <c r="L189" s="562"/>
      <c r="M189" s="351"/>
      <c r="N189" s="34"/>
      <c r="O189" s="35"/>
      <c r="P189" s="526"/>
      <c r="Q189" s="351"/>
      <c r="R189" s="535"/>
      <c r="S189" s="351"/>
      <c r="T189" s="536"/>
      <c r="U189" s="351"/>
      <c r="V189" s="537"/>
      <c r="W189" s="351"/>
      <c r="X189" s="538" t="s">
        <v>294</v>
      </c>
      <c r="Y189" s="350"/>
      <c r="Z189" s="350"/>
      <c r="AA189" s="351"/>
      <c r="AB189" s="539" t="s">
        <v>294</v>
      </c>
      <c r="AC189" s="350"/>
      <c r="AD189" s="350"/>
      <c r="AE189" s="351"/>
      <c r="AF189" s="540"/>
      <c r="AG189" s="351"/>
      <c r="AH189" s="540"/>
      <c r="AI189" s="351"/>
      <c r="AJ189" s="532"/>
      <c r="AK189" s="351"/>
      <c r="AL189" s="555" t="s">
        <v>325</v>
      </c>
      <c r="AM189" s="351"/>
      <c r="AN189" s="531" t="s">
        <v>325</v>
      </c>
      <c r="AO189" s="351"/>
      <c r="AP189" s="532"/>
      <c r="AQ189" s="351"/>
      <c r="AR189" s="533"/>
      <c r="AS189" s="351"/>
      <c r="AT189" s="534"/>
      <c r="AU189" s="351"/>
      <c r="AV189" s="531" t="s">
        <v>325</v>
      </c>
      <c r="AW189" s="351"/>
      <c r="AX189" s="553"/>
      <c r="AY189" s="350"/>
      <c r="AZ189" s="351"/>
      <c r="BA189" s="545"/>
      <c r="BB189" s="351"/>
      <c r="BC189" s="36"/>
      <c r="BD189" s="556" t="s">
        <v>325</v>
      </c>
      <c r="BE189" s="351"/>
      <c r="BF189" s="529"/>
      <c r="BG189" s="350"/>
      <c r="BH189" s="350"/>
      <c r="BI189" s="351"/>
      <c r="BJ189" s="506" t="s">
        <v>294</v>
      </c>
      <c r="BK189" s="350"/>
      <c r="BL189" s="350"/>
      <c r="BM189" s="351"/>
      <c r="BN189" s="530" t="s">
        <v>294</v>
      </c>
      <c r="BO189" s="350"/>
      <c r="BP189" s="350"/>
      <c r="BQ189" s="350"/>
      <c r="BR189" s="350"/>
      <c r="BS189" s="350"/>
      <c r="BT189" s="350"/>
      <c r="BU189" s="350"/>
      <c r="BV189" s="351"/>
    </row>
    <row r="190" spans="1:74" ht="45" customHeight="1">
      <c r="A190" s="24">
        <f t="shared" si="0"/>
        <v>176</v>
      </c>
      <c r="B190" s="522" t="s">
        <v>294</v>
      </c>
      <c r="C190" s="351"/>
      <c r="D190" s="523" t="s">
        <v>298</v>
      </c>
      <c r="E190" s="351"/>
      <c r="F190" s="524" t="s">
        <v>325</v>
      </c>
      <c r="G190" s="351"/>
      <c r="H190" s="525" t="s">
        <v>325</v>
      </c>
      <c r="I190" s="351"/>
      <c r="J190" s="563"/>
      <c r="K190" s="351"/>
      <c r="L190" s="563"/>
      <c r="M190" s="351"/>
      <c r="N190" s="37"/>
      <c r="O190" s="38"/>
      <c r="P190" s="560"/>
      <c r="Q190" s="351"/>
      <c r="R190" s="527"/>
      <c r="S190" s="351"/>
      <c r="T190" s="528"/>
      <c r="U190" s="351"/>
      <c r="V190" s="541"/>
      <c r="W190" s="351"/>
      <c r="X190" s="542" t="s">
        <v>294</v>
      </c>
      <c r="Y190" s="350"/>
      <c r="Z190" s="350"/>
      <c r="AA190" s="351"/>
      <c r="AB190" s="543" t="s">
        <v>294</v>
      </c>
      <c r="AC190" s="350"/>
      <c r="AD190" s="350"/>
      <c r="AE190" s="351"/>
      <c r="AF190" s="544"/>
      <c r="AG190" s="351"/>
      <c r="AH190" s="544"/>
      <c r="AI190" s="351"/>
      <c r="AJ190" s="545"/>
      <c r="AK190" s="351"/>
      <c r="AL190" s="524" t="s">
        <v>325</v>
      </c>
      <c r="AM190" s="351"/>
      <c r="AN190" s="549" t="s">
        <v>325</v>
      </c>
      <c r="AO190" s="351"/>
      <c r="AP190" s="550"/>
      <c r="AQ190" s="351"/>
      <c r="AR190" s="551"/>
      <c r="AS190" s="351"/>
      <c r="AT190" s="534"/>
      <c r="AU190" s="351"/>
      <c r="AV190" s="549" t="s">
        <v>325</v>
      </c>
      <c r="AW190" s="351"/>
      <c r="AX190" s="553"/>
      <c r="AY190" s="350"/>
      <c r="AZ190" s="351"/>
      <c r="BA190" s="554"/>
      <c r="BB190" s="351"/>
      <c r="BC190" s="39"/>
      <c r="BD190" s="546" t="s">
        <v>325</v>
      </c>
      <c r="BE190" s="351"/>
      <c r="BF190" s="547"/>
      <c r="BG190" s="350"/>
      <c r="BH190" s="350"/>
      <c r="BI190" s="351"/>
      <c r="BJ190" s="548" t="s">
        <v>294</v>
      </c>
      <c r="BK190" s="350"/>
      <c r="BL190" s="350"/>
      <c r="BM190" s="351"/>
      <c r="BN190" s="530" t="s">
        <v>294</v>
      </c>
      <c r="BO190" s="350"/>
      <c r="BP190" s="350"/>
      <c r="BQ190" s="350"/>
      <c r="BR190" s="350"/>
      <c r="BS190" s="350"/>
      <c r="BT190" s="350"/>
      <c r="BU190" s="350"/>
      <c r="BV190" s="351"/>
    </row>
    <row r="191" spans="1:74" ht="45" customHeight="1">
      <c r="A191" s="24">
        <f t="shared" si="0"/>
        <v>177</v>
      </c>
      <c r="B191" s="558" t="s">
        <v>294</v>
      </c>
      <c r="C191" s="351"/>
      <c r="D191" s="559" t="s">
        <v>298</v>
      </c>
      <c r="E191" s="351"/>
      <c r="F191" s="524" t="s">
        <v>325</v>
      </c>
      <c r="G191" s="351"/>
      <c r="H191" s="561" t="s">
        <v>325</v>
      </c>
      <c r="I191" s="351"/>
      <c r="J191" s="562"/>
      <c r="K191" s="351"/>
      <c r="L191" s="562"/>
      <c r="M191" s="351"/>
      <c r="N191" s="34"/>
      <c r="O191" s="35"/>
      <c r="P191" s="526"/>
      <c r="Q191" s="351"/>
      <c r="R191" s="535"/>
      <c r="S191" s="351"/>
      <c r="T191" s="536"/>
      <c r="U191" s="351"/>
      <c r="V191" s="537"/>
      <c r="W191" s="351"/>
      <c r="X191" s="538" t="s">
        <v>294</v>
      </c>
      <c r="Y191" s="350"/>
      <c r="Z191" s="350"/>
      <c r="AA191" s="351"/>
      <c r="AB191" s="539" t="s">
        <v>294</v>
      </c>
      <c r="AC191" s="350"/>
      <c r="AD191" s="350"/>
      <c r="AE191" s="351"/>
      <c r="AF191" s="540"/>
      <c r="AG191" s="351"/>
      <c r="AH191" s="540"/>
      <c r="AI191" s="351"/>
      <c r="AJ191" s="532"/>
      <c r="AK191" s="351"/>
      <c r="AL191" s="555" t="s">
        <v>325</v>
      </c>
      <c r="AM191" s="351"/>
      <c r="AN191" s="531" t="s">
        <v>325</v>
      </c>
      <c r="AO191" s="351"/>
      <c r="AP191" s="532"/>
      <c r="AQ191" s="351"/>
      <c r="AR191" s="533"/>
      <c r="AS191" s="351"/>
      <c r="AT191" s="534"/>
      <c r="AU191" s="351"/>
      <c r="AV191" s="531" t="s">
        <v>325</v>
      </c>
      <c r="AW191" s="351"/>
      <c r="AX191" s="553"/>
      <c r="AY191" s="350"/>
      <c r="AZ191" s="351"/>
      <c r="BA191" s="545"/>
      <c r="BB191" s="351"/>
      <c r="BC191" s="36"/>
      <c r="BD191" s="556" t="s">
        <v>325</v>
      </c>
      <c r="BE191" s="351"/>
      <c r="BF191" s="557"/>
      <c r="BG191" s="350"/>
      <c r="BH191" s="350"/>
      <c r="BI191" s="351"/>
      <c r="BJ191" s="506" t="s">
        <v>294</v>
      </c>
      <c r="BK191" s="350"/>
      <c r="BL191" s="350"/>
      <c r="BM191" s="351"/>
      <c r="BN191" s="530" t="s">
        <v>294</v>
      </c>
      <c r="BO191" s="350"/>
      <c r="BP191" s="350"/>
      <c r="BQ191" s="350"/>
      <c r="BR191" s="350"/>
      <c r="BS191" s="350"/>
      <c r="BT191" s="350"/>
      <c r="BU191" s="350"/>
      <c r="BV191" s="351"/>
    </row>
    <row r="192" spans="1:74" ht="45" customHeight="1">
      <c r="A192" s="24">
        <f t="shared" si="0"/>
        <v>178</v>
      </c>
      <c r="B192" s="522" t="s">
        <v>294</v>
      </c>
      <c r="C192" s="351"/>
      <c r="D192" s="523" t="s">
        <v>298</v>
      </c>
      <c r="E192" s="351"/>
      <c r="F192" s="524" t="s">
        <v>325</v>
      </c>
      <c r="G192" s="351"/>
      <c r="H192" s="525" t="s">
        <v>325</v>
      </c>
      <c r="I192" s="351"/>
      <c r="J192" s="563"/>
      <c r="K192" s="351"/>
      <c r="L192" s="563"/>
      <c r="M192" s="351"/>
      <c r="N192" s="37"/>
      <c r="O192" s="38"/>
      <c r="P192" s="560"/>
      <c r="Q192" s="351"/>
      <c r="R192" s="527"/>
      <c r="S192" s="351"/>
      <c r="T192" s="528"/>
      <c r="U192" s="351"/>
      <c r="V192" s="541"/>
      <c r="W192" s="351"/>
      <c r="X192" s="542" t="s">
        <v>294</v>
      </c>
      <c r="Y192" s="350"/>
      <c r="Z192" s="350"/>
      <c r="AA192" s="351"/>
      <c r="AB192" s="543" t="s">
        <v>294</v>
      </c>
      <c r="AC192" s="350"/>
      <c r="AD192" s="350"/>
      <c r="AE192" s="351"/>
      <c r="AF192" s="544"/>
      <c r="AG192" s="351"/>
      <c r="AH192" s="544"/>
      <c r="AI192" s="351"/>
      <c r="AJ192" s="545"/>
      <c r="AK192" s="351"/>
      <c r="AL192" s="524" t="s">
        <v>325</v>
      </c>
      <c r="AM192" s="351"/>
      <c r="AN192" s="549" t="s">
        <v>325</v>
      </c>
      <c r="AO192" s="351"/>
      <c r="AP192" s="550"/>
      <c r="AQ192" s="351"/>
      <c r="AR192" s="551"/>
      <c r="AS192" s="351"/>
      <c r="AT192" s="534"/>
      <c r="AU192" s="351"/>
      <c r="AV192" s="549" t="s">
        <v>325</v>
      </c>
      <c r="AW192" s="351"/>
      <c r="AX192" s="553"/>
      <c r="AY192" s="350"/>
      <c r="AZ192" s="351"/>
      <c r="BA192" s="554"/>
      <c r="BB192" s="351"/>
      <c r="BC192" s="39"/>
      <c r="BD192" s="546" t="s">
        <v>325</v>
      </c>
      <c r="BE192" s="351"/>
      <c r="BF192" s="547"/>
      <c r="BG192" s="350"/>
      <c r="BH192" s="350"/>
      <c r="BI192" s="351"/>
      <c r="BJ192" s="548" t="s">
        <v>294</v>
      </c>
      <c r="BK192" s="350"/>
      <c r="BL192" s="350"/>
      <c r="BM192" s="351"/>
      <c r="BN192" s="530" t="s">
        <v>294</v>
      </c>
      <c r="BO192" s="350"/>
      <c r="BP192" s="350"/>
      <c r="BQ192" s="350"/>
      <c r="BR192" s="350"/>
      <c r="BS192" s="350"/>
      <c r="BT192" s="350"/>
      <c r="BU192" s="350"/>
      <c r="BV192" s="351"/>
    </row>
    <row r="193" spans="1:74" ht="45" customHeight="1">
      <c r="A193" s="24">
        <f t="shared" si="0"/>
        <v>179</v>
      </c>
      <c r="B193" s="558" t="s">
        <v>294</v>
      </c>
      <c r="C193" s="351"/>
      <c r="D193" s="559" t="s">
        <v>298</v>
      </c>
      <c r="E193" s="351"/>
      <c r="F193" s="524" t="s">
        <v>325</v>
      </c>
      <c r="G193" s="351"/>
      <c r="H193" s="561" t="s">
        <v>325</v>
      </c>
      <c r="I193" s="351"/>
      <c r="J193" s="562"/>
      <c r="K193" s="351"/>
      <c r="L193" s="562"/>
      <c r="M193" s="351"/>
      <c r="N193" s="34"/>
      <c r="O193" s="38"/>
      <c r="P193" s="526"/>
      <c r="Q193" s="351"/>
      <c r="R193" s="535"/>
      <c r="S193" s="351"/>
      <c r="T193" s="536"/>
      <c r="U193" s="351"/>
      <c r="V193" s="537"/>
      <c r="W193" s="351"/>
      <c r="X193" s="538" t="s">
        <v>294</v>
      </c>
      <c r="Y193" s="350"/>
      <c r="Z193" s="350"/>
      <c r="AA193" s="351"/>
      <c r="AB193" s="539" t="s">
        <v>294</v>
      </c>
      <c r="AC193" s="350"/>
      <c r="AD193" s="350"/>
      <c r="AE193" s="351"/>
      <c r="AF193" s="540"/>
      <c r="AG193" s="351"/>
      <c r="AH193" s="540"/>
      <c r="AI193" s="351"/>
      <c r="AJ193" s="532"/>
      <c r="AK193" s="351"/>
      <c r="AL193" s="555" t="s">
        <v>325</v>
      </c>
      <c r="AM193" s="351"/>
      <c r="AN193" s="531" t="s">
        <v>325</v>
      </c>
      <c r="AO193" s="351"/>
      <c r="AP193" s="532"/>
      <c r="AQ193" s="351"/>
      <c r="AR193" s="533"/>
      <c r="AS193" s="351"/>
      <c r="AT193" s="534"/>
      <c r="AU193" s="351"/>
      <c r="AV193" s="531" t="s">
        <v>325</v>
      </c>
      <c r="AW193" s="351"/>
      <c r="AX193" s="553"/>
      <c r="AY193" s="350"/>
      <c r="AZ193" s="351"/>
      <c r="BA193" s="545"/>
      <c r="BB193" s="351"/>
      <c r="BC193" s="36"/>
      <c r="BD193" s="556" t="s">
        <v>325</v>
      </c>
      <c r="BE193" s="351"/>
      <c r="BF193" s="529"/>
      <c r="BG193" s="350"/>
      <c r="BH193" s="350"/>
      <c r="BI193" s="351"/>
      <c r="BJ193" s="506" t="s">
        <v>294</v>
      </c>
      <c r="BK193" s="350"/>
      <c r="BL193" s="350"/>
      <c r="BM193" s="351"/>
      <c r="BN193" s="530" t="s">
        <v>294</v>
      </c>
      <c r="BO193" s="350"/>
      <c r="BP193" s="350"/>
      <c r="BQ193" s="350"/>
      <c r="BR193" s="350"/>
      <c r="BS193" s="350"/>
      <c r="BT193" s="350"/>
      <c r="BU193" s="350"/>
      <c r="BV193" s="351"/>
    </row>
    <row r="194" spans="1:74" ht="45" customHeight="1">
      <c r="A194" s="24">
        <f t="shared" si="0"/>
        <v>180</v>
      </c>
      <c r="B194" s="522" t="s">
        <v>294</v>
      </c>
      <c r="C194" s="351"/>
      <c r="D194" s="523" t="s">
        <v>298</v>
      </c>
      <c r="E194" s="351"/>
      <c r="F194" s="524" t="s">
        <v>325</v>
      </c>
      <c r="G194" s="351"/>
      <c r="H194" s="525" t="s">
        <v>325</v>
      </c>
      <c r="I194" s="351"/>
      <c r="J194" s="563"/>
      <c r="K194" s="351"/>
      <c r="L194" s="563"/>
      <c r="M194" s="351"/>
      <c r="N194" s="37"/>
      <c r="O194" s="35"/>
      <c r="P194" s="560"/>
      <c r="Q194" s="351"/>
      <c r="R194" s="527"/>
      <c r="S194" s="351"/>
      <c r="T194" s="528"/>
      <c r="U194" s="351"/>
      <c r="V194" s="541"/>
      <c r="W194" s="351"/>
      <c r="X194" s="542" t="s">
        <v>294</v>
      </c>
      <c r="Y194" s="350"/>
      <c r="Z194" s="350"/>
      <c r="AA194" s="351"/>
      <c r="AB194" s="543" t="s">
        <v>294</v>
      </c>
      <c r="AC194" s="350"/>
      <c r="AD194" s="350"/>
      <c r="AE194" s="351"/>
      <c r="AF194" s="544"/>
      <c r="AG194" s="351"/>
      <c r="AH194" s="544"/>
      <c r="AI194" s="351"/>
      <c r="AJ194" s="545"/>
      <c r="AK194" s="351"/>
      <c r="AL194" s="524" t="s">
        <v>325</v>
      </c>
      <c r="AM194" s="351"/>
      <c r="AN194" s="549" t="s">
        <v>325</v>
      </c>
      <c r="AO194" s="351"/>
      <c r="AP194" s="550"/>
      <c r="AQ194" s="351"/>
      <c r="AR194" s="551"/>
      <c r="AS194" s="351"/>
      <c r="AT194" s="534"/>
      <c r="AU194" s="351"/>
      <c r="AV194" s="549" t="s">
        <v>325</v>
      </c>
      <c r="AW194" s="351"/>
      <c r="AX194" s="553"/>
      <c r="AY194" s="350"/>
      <c r="AZ194" s="351"/>
      <c r="BA194" s="554"/>
      <c r="BB194" s="351"/>
      <c r="BC194" s="39"/>
      <c r="BD194" s="546" t="s">
        <v>325</v>
      </c>
      <c r="BE194" s="351"/>
      <c r="BF194" s="547"/>
      <c r="BG194" s="350"/>
      <c r="BH194" s="350"/>
      <c r="BI194" s="351"/>
      <c r="BJ194" s="548" t="s">
        <v>294</v>
      </c>
      <c r="BK194" s="350"/>
      <c r="BL194" s="350"/>
      <c r="BM194" s="351"/>
      <c r="BN194" s="530" t="s">
        <v>294</v>
      </c>
      <c r="BO194" s="350"/>
      <c r="BP194" s="350"/>
      <c r="BQ194" s="350"/>
      <c r="BR194" s="350"/>
      <c r="BS194" s="350"/>
      <c r="BT194" s="350"/>
      <c r="BU194" s="350"/>
      <c r="BV194" s="351"/>
    </row>
    <row r="195" spans="1:74" ht="45" customHeight="1">
      <c r="A195" s="24">
        <f t="shared" si="0"/>
        <v>181</v>
      </c>
      <c r="B195" s="558" t="s">
        <v>294</v>
      </c>
      <c r="C195" s="351"/>
      <c r="D195" s="559" t="s">
        <v>298</v>
      </c>
      <c r="E195" s="351"/>
      <c r="F195" s="524" t="s">
        <v>325</v>
      </c>
      <c r="G195" s="351"/>
      <c r="H195" s="561" t="s">
        <v>325</v>
      </c>
      <c r="I195" s="351"/>
      <c r="J195" s="562"/>
      <c r="K195" s="351"/>
      <c r="L195" s="562"/>
      <c r="M195" s="351"/>
      <c r="N195" s="34"/>
      <c r="O195" s="38"/>
      <c r="P195" s="526"/>
      <c r="Q195" s="351"/>
      <c r="R195" s="535"/>
      <c r="S195" s="351"/>
      <c r="T195" s="536"/>
      <c r="U195" s="351"/>
      <c r="V195" s="537"/>
      <c r="W195" s="351"/>
      <c r="X195" s="538" t="s">
        <v>294</v>
      </c>
      <c r="Y195" s="350"/>
      <c r="Z195" s="350"/>
      <c r="AA195" s="351"/>
      <c r="AB195" s="539" t="s">
        <v>294</v>
      </c>
      <c r="AC195" s="350"/>
      <c r="AD195" s="350"/>
      <c r="AE195" s="351"/>
      <c r="AF195" s="540"/>
      <c r="AG195" s="351"/>
      <c r="AH195" s="540"/>
      <c r="AI195" s="351"/>
      <c r="AJ195" s="532"/>
      <c r="AK195" s="351"/>
      <c r="AL195" s="555" t="s">
        <v>325</v>
      </c>
      <c r="AM195" s="351"/>
      <c r="AN195" s="531" t="s">
        <v>325</v>
      </c>
      <c r="AO195" s="351"/>
      <c r="AP195" s="532"/>
      <c r="AQ195" s="351"/>
      <c r="AR195" s="533"/>
      <c r="AS195" s="351"/>
      <c r="AT195" s="534"/>
      <c r="AU195" s="351"/>
      <c r="AV195" s="531" t="s">
        <v>325</v>
      </c>
      <c r="AW195" s="351"/>
      <c r="AX195" s="553"/>
      <c r="AY195" s="350"/>
      <c r="AZ195" s="351"/>
      <c r="BA195" s="545"/>
      <c r="BB195" s="351"/>
      <c r="BC195" s="36"/>
      <c r="BD195" s="556" t="s">
        <v>325</v>
      </c>
      <c r="BE195" s="351"/>
      <c r="BF195" s="529"/>
      <c r="BG195" s="350"/>
      <c r="BH195" s="350"/>
      <c r="BI195" s="351"/>
      <c r="BJ195" s="506" t="s">
        <v>294</v>
      </c>
      <c r="BK195" s="350"/>
      <c r="BL195" s="350"/>
      <c r="BM195" s="351"/>
      <c r="BN195" s="530" t="s">
        <v>294</v>
      </c>
      <c r="BO195" s="350"/>
      <c r="BP195" s="350"/>
      <c r="BQ195" s="350"/>
      <c r="BR195" s="350"/>
      <c r="BS195" s="350"/>
      <c r="BT195" s="350"/>
      <c r="BU195" s="350"/>
      <c r="BV195" s="351"/>
    </row>
    <row r="196" spans="1:74" ht="45" customHeight="1">
      <c r="A196" s="24">
        <f t="shared" si="0"/>
        <v>182</v>
      </c>
      <c r="B196" s="522" t="s">
        <v>294</v>
      </c>
      <c r="C196" s="351"/>
      <c r="D196" s="523" t="s">
        <v>298</v>
      </c>
      <c r="E196" s="351"/>
      <c r="F196" s="524" t="s">
        <v>325</v>
      </c>
      <c r="G196" s="351"/>
      <c r="H196" s="525" t="s">
        <v>325</v>
      </c>
      <c r="I196" s="351"/>
      <c r="J196" s="563"/>
      <c r="K196" s="351"/>
      <c r="L196" s="563"/>
      <c r="M196" s="351"/>
      <c r="N196" s="37"/>
      <c r="O196" s="35"/>
      <c r="P196" s="560"/>
      <c r="Q196" s="351"/>
      <c r="R196" s="527"/>
      <c r="S196" s="351"/>
      <c r="T196" s="528"/>
      <c r="U196" s="351"/>
      <c r="V196" s="541"/>
      <c r="W196" s="351"/>
      <c r="X196" s="542" t="s">
        <v>294</v>
      </c>
      <c r="Y196" s="350"/>
      <c r="Z196" s="350"/>
      <c r="AA196" s="351"/>
      <c r="AB196" s="543" t="s">
        <v>294</v>
      </c>
      <c r="AC196" s="350"/>
      <c r="AD196" s="350"/>
      <c r="AE196" s="351"/>
      <c r="AF196" s="544"/>
      <c r="AG196" s="351"/>
      <c r="AH196" s="544"/>
      <c r="AI196" s="351"/>
      <c r="AJ196" s="545"/>
      <c r="AK196" s="351"/>
      <c r="AL196" s="524" t="s">
        <v>325</v>
      </c>
      <c r="AM196" s="351"/>
      <c r="AN196" s="549" t="s">
        <v>325</v>
      </c>
      <c r="AO196" s="351"/>
      <c r="AP196" s="550"/>
      <c r="AQ196" s="351"/>
      <c r="AR196" s="551"/>
      <c r="AS196" s="351"/>
      <c r="AT196" s="534"/>
      <c r="AU196" s="351"/>
      <c r="AV196" s="549" t="s">
        <v>325</v>
      </c>
      <c r="AW196" s="351"/>
      <c r="AX196" s="553"/>
      <c r="AY196" s="350"/>
      <c r="AZ196" s="351"/>
      <c r="BA196" s="554"/>
      <c r="BB196" s="351"/>
      <c r="BC196" s="39"/>
      <c r="BD196" s="546" t="s">
        <v>325</v>
      </c>
      <c r="BE196" s="351"/>
      <c r="BF196" s="547"/>
      <c r="BG196" s="350"/>
      <c r="BH196" s="350"/>
      <c r="BI196" s="351"/>
      <c r="BJ196" s="548" t="s">
        <v>294</v>
      </c>
      <c r="BK196" s="350"/>
      <c r="BL196" s="350"/>
      <c r="BM196" s="351"/>
      <c r="BN196" s="530" t="s">
        <v>294</v>
      </c>
      <c r="BO196" s="350"/>
      <c r="BP196" s="350"/>
      <c r="BQ196" s="350"/>
      <c r="BR196" s="350"/>
      <c r="BS196" s="350"/>
      <c r="BT196" s="350"/>
      <c r="BU196" s="350"/>
      <c r="BV196" s="351"/>
    </row>
    <row r="197" spans="1:74" ht="45" customHeight="1">
      <c r="A197" s="24">
        <f t="shared" si="0"/>
        <v>183</v>
      </c>
      <c r="B197" s="558" t="s">
        <v>294</v>
      </c>
      <c r="C197" s="351"/>
      <c r="D197" s="559" t="s">
        <v>298</v>
      </c>
      <c r="E197" s="351"/>
      <c r="F197" s="524" t="s">
        <v>325</v>
      </c>
      <c r="G197" s="351"/>
      <c r="H197" s="561" t="s">
        <v>325</v>
      </c>
      <c r="I197" s="351"/>
      <c r="J197" s="562"/>
      <c r="K197" s="351"/>
      <c r="L197" s="562"/>
      <c r="M197" s="351"/>
      <c r="N197" s="34"/>
      <c r="O197" s="38"/>
      <c r="P197" s="526"/>
      <c r="Q197" s="351"/>
      <c r="R197" s="535"/>
      <c r="S197" s="351"/>
      <c r="T197" s="536"/>
      <c r="U197" s="351"/>
      <c r="V197" s="537"/>
      <c r="W197" s="351"/>
      <c r="X197" s="538" t="s">
        <v>294</v>
      </c>
      <c r="Y197" s="350"/>
      <c r="Z197" s="350"/>
      <c r="AA197" s="351"/>
      <c r="AB197" s="539" t="s">
        <v>294</v>
      </c>
      <c r="AC197" s="350"/>
      <c r="AD197" s="350"/>
      <c r="AE197" s="351"/>
      <c r="AF197" s="540"/>
      <c r="AG197" s="351"/>
      <c r="AH197" s="540"/>
      <c r="AI197" s="351"/>
      <c r="AJ197" s="532"/>
      <c r="AK197" s="351"/>
      <c r="AL197" s="555" t="s">
        <v>325</v>
      </c>
      <c r="AM197" s="351"/>
      <c r="AN197" s="531" t="s">
        <v>325</v>
      </c>
      <c r="AO197" s="351"/>
      <c r="AP197" s="532"/>
      <c r="AQ197" s="351"/>
      <c r="AR197" s="533"/>
      <c r="AS197" s="351"/>
      <c r="AT197" s="534"/>
      <c r="AU197" s="351"/>
      <c r="AV197" s="531" t="s">
        <v>325</v>
      </c>
      <c r="AW197" s="351"/>
      <c r="AX197" s="553"/>
      <c r="AY197" s="350"/>
      <c r="AZ197" s="351"/>
      <c r="BA197" s="545"/>
      <c r="BB197" s="351"/>
      <c r="BC197" s="36"/>
      <c r="BD197" s="556" t="s">
        <v>325</v>
      </c>
      <c r="BE197" s="351"/>
      <c r="BF197" s="557"/>
      <c r="BG197" s="350"/>
      <c r="BH197" s="350"/>
      <c r="BI197" s="351"/>
      <c r="BJ197" s="506" t="s">
        <v>294</v>
      </c>
      <c r="BK197" s="350"/>
      <c r="BL197" s="350"/>
      <c r="BM197" s="351"/>
      <c r="BN197" s="530" t="s">
        <v>294</v>
      </c>
      <c r="BO197" s="350"/>
      <c r="BP197" s="350"/>
      <c r="BQ197" s="350"/>
      <c r="BR197" s="350"/>
      <c r="BS197" s="350"/>
      <c r="BT197" s="350"/>
      <c r="BU197" s="350"/>
      <c r="BV197" s="351"/>
    </row>
    <row r="198" spans="1:74" ht="45" customHeight="1">
      <c r="A198" s="24">
        <f t="shared" si="0"/>
        <v>184</v>
      </c>
      <c r="B198" s="522" t="s">
        <v>294</v>
      </c>
      <c r="C198" s="351"/>
      <c r="D198" s="523" t="s">
        <v>298</v>
      </c>
      <c r="E198" s="351"/>
      <c r="F198" s="524" t="s">
        <v>325</v>
      </c>
      <c r="G198" s="351"/>
      <c r="H198" s="525" t="s">
        <v>325</v>
      </c>
      <c r="I198" s="351"/>
      <c r="J198" s="563"/>
      <c r="K198" s="351"/>
      <c r="L198" s="563"/>
      <c r="M198" s="351"/>
      <c r="N198" s="37"/>
      <c r="O198" s="35"/>
      <c r="P198" s="560"/>
      <c r="Q198" s="351"/>
      <c r="R198" s="527"/>
      <c r="S198" s="351"/>
      <c r="T198" s="528"/>
      <c r="U198" s="351"/>
      <c r="V198" s="541"/>
      <c r="W198" s="351"/>
      <c r="X198" s="542" t="s">
        <v>294</v>
      </c>
      <c r="Y198" s="350"/>
      <c r="Z198" s="350"/>
      <c r="AA198" s="351"/>
      <c r="AB198" s="543" t="s">
        <v>294</v>
      </c>
      <c r="AC198" s="350"/>
      <c r="AD198" s="350"/>
      <c r="AE198" s="351"/>
      <c r="AF198" s="544"/>
      <c r="AG198" s="351"/>
      <c r="AH198" s="544"/>
      <c r="AI198" s="351"/>
      <c r="AJ198" s="545"/>
      <c r="AK198" s="351"/>
      <c r="AL198" s="524" t="s">
        <v>325</v>
      </c>
      <c r="AM198" s="351"/>
      <c r="AN198" s="549" t="s">
        <v>325</v>
      </c>
      <c r="AO198" s="351"/>
      <c r="AP198" s="550"/>
      <c r="AQ198" s="351"/>
      <c r="AR198" s="551"/>
      <c r="AS198" s="351"/>
      <c r="AT198" s="534"/>
      <c r="AU198" s="351"/>
      <c r="AV198" s="549" t="s">
        <v>325</v>
      </c>
      <c r="AW198" s="351"/>
      <c r="AX198" s="553"/>
      <c r="AY198" s="350"/>
      <c r="AZ198" s="351"/>
      <c r="BA198" s="554"/>
      <c r="BB198" s="351"/>
      <c r="BC198" s="39"/>
      <c r="BD198" s="546" t="s">
        <v>325</v>
      </c>
      <c r="BE198" s="351"/>
      <c r="BF198" s="547"/>
      <c r="BG198" s="350"/>
      <c r="BH198" s="350"/>
      <c r="BI198" s="351"/>
      <c r="BJ198" s="548" t="s">
        <v>294</v>
      </c>
      <c r="BK198" s="350"/>
      <c r="BL198" s="350"/>
      <c r="BM198" s="351"/>
      <c r="BN198" s="530" t="s">
        <v>294</v>
      </c>
      <c r="BO198" s="350"/>
      <c r="BP198" s="350"/>
      <c r="BQ198" s="350"/>
      <c r="BR198" s="350"/>
      <c r="BS198" s="350"/>
      <c r="BT198" s="350"/>
      <c r="BU198" s="350"/>
      <c r="BV198" s="351"/>
    </row>
    <row r="199" spans="1:74" ht="45" customHeight="1">
      <c r="A199" s="24">
        <f t="shared" si="0"/>
        <v>185</v>
      </c>
      <c r="B199" s="558" t="s">
        <v>294</v>
      </c>
      <c r="C199" s="351"/>
      <c r="D199" s="559" t="s">
        <v>298</v>
      </c>
      <c r="E199" s="351"/>
      <c r="F199" s="524" t="s">
        <v>325</v>
      </c>
      <c r="G199" s="351"/>
      <c r="H199" s="561" t="s">
        <v>325</v>
      </c>
      <c r="I199" s="351"/>
      <c r="J199" s="562"/>
      <c r="K199" s="351"/>
      <c r="L199" s="562"/>
      <c r="M199" s="351"/>
      <c r="N199" s="34"/>
      <c r="O199" s="38"/>
      <c r="P199" s="526"/>
      <c r="Q199" s="351"/>
      <c r="R199" s="535"/>
      <c r="S199" s="351"/>
      <c r="T199" s="536"/>
      <c r="U199" s="351"/>
      <c r="V199" s="537"/>
      <c r="W199" s="351"/>
      <c r="X199" s="538" t="s">
        <v>294</v>
      </c>
      <c r="Y199" s="350"/>
      <c r="Z199" s="350"/>
      <c r="AA199" s="351"/>
      <c r="AB199" s="539" t="s">
        <v>294</v>
      </c>
      <c r="AC199" s="350"/>
      <c r="AD199" s="350"/>
      <c r="AE199" s="351"/>
      <c r="AF199" s="540"/>
      <c r="AG199" s="351"/>
      <c r="AH199" s="540"/>
      <c r="AI199" s="351"/>
      <c r="AJ199" s="532"/>
      <c r="AK199" s="351"/>
      <c r="AL199" s="555" t="s">
        <v>325</v>
      </c>
      <c r="AM199" s="351"/>
      <c r="AN199" s="531" t="s">
        <v>325</v>
      </c>
      <c r="AO199" s="351"/>
      <c r="AP199" s="532"/>
      <c r="AQ199" s="351"/>
      <c r="AR199" s="533"/>
      <c r="AS199" s="351"/>
      <c r="AT199" s="534"/>
      <c r="AU199" s="351"/>
      <c r="AV199" s="531" t="s">
        <v>325</v>
      </c>
      <c r="AW199" s="351"/>
      <c r="AX199" s="553"/>
      <c r="AY199" s="350"/>
      <c r="AZ199" s="351"/>
      <c r="BA199" s="545"/>
      <c r="BB199" s="351"/>
      <c r="BC199" s="36"/>
      <c r="BD199" s="556" t="s">
        <v>325</v>
      </c>
      <c r="BE199" s="351"/>
      <c r="BF199" s="529"/>
      <c r="BG199" s="350"/>
      <c r="BH199" s="350"/>
      <c r="BI199" s="351"/>
      <c r="BJ199" s="506" t="s">
        <v>294</v>
      </c>
      <c r="BK199" s="350"/>
      <c r="BL199" s="350"/>
      <c r="BM199" s="351"/>
      <c r="BN199" s="530" t="s">
        <v>294</v>
      </c>
      <c r="BO199" s="350"/>
      <c r="BP199" s="350"/>
      <c r="BQ199" s="350"/>
      <c r="BR199" s="350"/>
      <c r="BS199" s="350"/>
      <c r="BT199" s="350"/>
      <c r="BU199" s="350"/>
      <c r="BV199" s="351"/>
    </row>
    <row r="200" spans="1:74" ht="45" customHeight="1">
      <c r="A200" s="24">
        <f t="shared" si="0"/>
        <v>186</v>
      </c>
      <c r="B200" s="522" t="s">
        <v>294</v>
      </c>
      <c r="C200" s="351"/>
      <c r="D200" s="523" t="s">
        <v>298</v>
      </c>
      <c r="E200" s="351"/>
      <c r="F200" s="524" t="s">
        <v>325</v>
      </c>
      <c r="G200" s="351"/>
      <c r="H200" s="525" t="s">
        <v>325</v>
      </c>
      <c r="I200" s="351"/>
      <c r="J200" s="563"/>
      <c r="K200" s="351"/>
      <c r="L200" s="563"/>
      <c r="M200" s="351"/>
      <c r="N200" s="37"/>
      <c r="O200" s="35"/>
      <c r="P200" s="560"/>
      <c r="Q200" s="351"/>
      <c r="R200" s="527"/>
      <c r="S200" s="351"/>
      <c r="T200" s="528"/>
      <c r="U200" s="351"/>
      <c r="V200" s="541"/>
      <c r="W200" s="351"/>
      <c r="X200" s="542" t="s">
        <v>294</v>
      </c>
      <c r="Y200" s="350"/>
      <c r="Z200" s="350"/>
      <c r="AA200" s="351"/>
      <c r="AB200" s="543" t="s">
        <v>294</v>
      </c>
      <c r="AC200" s="350"/>
      <c r="AD200" s="350"/>
      <c r="AE200" s="351"/>
      <c r="AF200" s="544"/>
      <c r="AG200" s="351"/>
      <c r="AH200" s="544"/>
      <c r="AI200" s="351"/>
      <c r="AJ200" s="545"/>
      <c r="AK200" s="351"/>
      <c r="AL200" s="524" t="s">
        <v>325</v>
      </c>
      <c r="AM200" s="351"/>
      <c r="AN200" s="549" t="s">
        <v>325</v>
      </c>
      <c r="AO200" s="351"/>
      <c r="AP200" s="550"/>
      <c r="AQ200" s="351"/>
      <c r="AR200" s="551"/>
      <c r="AS200" s="351"/>
      <c r="AT200" s="534"/>
      <c r="AU200" s="351"/>
      <c r="AV200" s="549" t="s">
        <v>325</v>
      </c>
      <c r="AW200" s="351"/>
      <c r="AX200" s="553"/>
      <c r="AY200" s="350"/>
      <c r="AZ200" s="351"/>
      <c r="BA200" s="554"/>
      <c r="BB200" s="351"/>
      <c r="BC200" s="39"/>
      <c r="BD200" s="546" t="s">
        <v>325</v>
      </c>
      <c r="BE200" s="351"/>
      <c r="BF200" s="547"/>
      <c r="BG200" s="350"/>
      <c r="BH200" s="350"/>
      <c r="BI200" s="351"/>
      <c r="BJ200" s="548" t="s">
        <v>294</v>
      </c>
      <c r="BK200" s="350"/>
      <c r="BL200" s="350"/>
      <c r="BM200" s="351"/>
      <c r="BN200" s="530" t="s">
        <v>294</v>
      </c>
      <c r="BO200" s="350"/>
      <c r="BP200" s="350"/>
      <c r="BQ200" s="350"/>
      <c r="BR200" s="350"/>
      <c r="BS200" s="350"/>
      <c r="BT200" s="350"/>
      <c r="BU200" s="350"/>
      <c r="BV200" s="351"/>
    </row>
    <row r="201" spans="1:74" ht="45" customHeight="1">
      <c r="A201" s="24">
        <f t="shared" si="0"/>
        <v>187</v>
      </c>
      <c r="B201" s="558" t="s">
        <v>294</v>
      </c>
      <c r="C201" s="351"/>
      <c r="D201" s="559" t="s">
        <v>298</v>
      </c>
      <c r="E201" s="351"/>
      <c r="F201" s="524" t="s">
        <v>325</v>
      </c>
      <c r="G201" s="351"/>
      <c r="H201" s="561" t="s">
        <v>325</v>
      </c>
      <c r="I201" s="351"/>
      <c r="J201" s="562"/>
      <c r="K201" s="351"/>
      <c r="L201" s="562"/>
      <c r="M201" s="351"/>
      <c r="N201" s="34"/>
      <c r="O201" s="38"/>
      <c r="P201" s="526"/>
      <c r="Q201" s="351"/>
      <c r="R201" s="535"/>
      <c r="S201" s="351"/>
      <c r="T201" s="536"/>
      <c r="U201" s="351"/>
      <c r="V201" s="537"/>
      <c r="W201" s="351"/>
      <c r="X201" s="538" t="s">
        <v>294</v>
      </c>
      <c r="Y201" s="350"/>
      <c r="Z201" s="350"/>
      <c r="AA201" s="351"/>
      <c r="AB201" s="539" t="s">
        <v>294</v>
      </c>
      <c r="AC201" s="350"/>
      <c r="AD201" s="350"/>
      <c r="AE201" s="351"/>
      <c r="AF201" s="540"/>
      <c r="AG201" s="351"/>
      <c r="AH201" s="540"/>
      <c r="AI201" s="351"/>
      <c r="AJ201" s="532"/>
      <c r="AK201" s="351"/>
      <c r="AL201" s="555" t="s">
        <v>325</v>
      </c>
      <c r="AM201" s="351"/>
      <c r="AN201" s="531" t="s">
        <v>325</v>
      </c>
      <c r="AO201" s="351"/>
      <c r="AP201" s="532"/>
      <c r="AQ201" s="351"/>
      <c r="AR201" s="533"/>
      <c r="AS201" s="351"/>
      <c r="AT201" s="534"/>
      <c r="AU201" s="351"/>
      <c r="AV201" s="531" t="s">
        <v>325</v>
      </c>
      <c r="AW201" s="351"/>
      <c r="AX201" s="553"/>
      <c r="AY201" s="350"/>
      <c r="AZ201" s="351"/>
      <c r="BA201" s="545"/>
      <c r="BB201" s="351"/>
      <c r="BC201" s="36"/>
      <c r="BD201" s="556" t="s">
        <v>325</v>
      </c>
      <c r="BE201" s="351"/>
      <c r="BF201" s="557"/>
      <c r="BG201" s="350"/>
      <c r="BH201" s="350"/>
      <c r="BI201" s="351"/>
      <c r="BJ201" s="506" t="s">
        <v>294</v>
      </c>
      <c r="BK201" s="350"/>
      <c r="BL201" s="350"/>
      <c r="BM201" s="351"/>
      <c r="BN201" s="530" t="s">
        <v>294</v>
      </c>
      <c r="BO201" s="350"/>
      <c r="BP201" s="350"/>
      <c r="BQ201" s="350"/>
      <c r="BR201" s="350"/>
      <c r="BS201" s="350"/>
      <c r="BT201" s="350"/>
      <c r="BU201" s="350"/>
      <c r="BV201" s="351"/>
    </row>
    <row r="202" spans="1:74" ht="45" customHeight="1">
      <c r="A202" s="24">
        <f t="shared" si="0"/>
        <v>188</v>
      </c>
      <c r="B202" s="522" t="s">
        <v>294</v>
      </c>
      <c r="C202" s="351"/>
      <c r="D202" s="523" t="s">
        <v>298</v>
      </c>
      <c r="E202" s="351"/>
      <c r="F202" s="524" t="s">
        <v>325</v>
      </c>
      <c r="G202" s="351"/>
      <c r="H202" s="525" t="s">
        <v>325</v>
      </c>
      <c r="I202" s="351"/>
      <c r="J202" s="563"/>
      <c r="K202" s="351"/>
      <c r="L202" s="563"/>
      <c r="M202" s="351"/>
      <c r="N202" s="37"/>
      <c r="O202" s="35"/>
      <c r="P202" s="560"/>
      <c r="Q202" s="351"/>
      <c r="R202" s="527"/>
      <c r="S202" s="351"/>
      <c r="T202" s="528"/>
      <c r="U202" s="351"/>
      <c r="V202" s="541"/>
      <c r="W202" s="351"/>
      <c r="X202" s="542" t="s">
        <v>294</v>
      </c>
      <c r="Y202" s="350"/>
      <c r="Z202" s="350"/>
      <c r="AA202" s="351"/>
      <c r="AB202" s="543" t="s">
        <v>294</v>
      </c>
      <c r="AC202" s="350"/>
      <c r="AD202" s="350"/>
      <c r="AE202" s="351"/>
      <c r="AF202" s="544"/>
      <c r="AG202" s="351"/>
      <c r="AH202" s="544"/>
      <c r="AI202" s="351"/>
      <c r="AJ202" s="545"/>
      <c r="AK202" s="351"/>
      <c r="AL202" s="524" t="s">
        <v>325</v>
      </c>
      <c r="AM202" s="351"/>
      <c r="AN202" s="549" t="s">
        <v>325</v>
      </c>
      <c r="AO202" s="351"/>
      <c r="AP202" s="550"/>
      <c r="AQ202" s="351"/>
      <c r="AR202" s="551"/>
      <c r="AS202" s="351"/>
      <c r="AT202" s="534"/>
      <c r="AU202" s="351"/>
      <c r="AV202" s="549" t="s">
        <v>325</v>
      </c>
      <c r="AW202" s="351"/>
      <c r="AX202" s="553"/>
      <c r="AY202" s="350"/>
      <c r="AZ202" s="351"/>
      <c r="BA202" s="554"/>
      <c r="BB202" s="351"/>
      <c r="BC202" s="39"/>
      <c r="BD202" s="546" t="s">
        <v>325</v>
      </c>
      <c r="BE202" s="351"/>
      <c r="BF202" s="547"/>
      <c r="BG202" s="350"/>
      <c r="BH202" s="350"/>
      <c r="BI202" s="351"/>
      <c r="BJ202" s="548" t="s">
        <v>294</v>
      </c>
      <c r="BK202" s="350"/>
      <c r="BL202" s="350"/>
      <c r="BM202" s="351"/>
      <c r="BN202" s="530" t="s">
        <v>294</v>
      </c>
      <c r="BO202" s="350"/>
      <c r="BP202" s="350"/>
      <c r="BQ202" s="350"/>
      <c r="BR202" s="350"/>
      <c r="BS202" s="350"/>
      <c r="BT202" s="350"/>
      <c r="BU202" s="350"/>
      <c r="BV202" s="351"/>
    </row>
    <row r="203" spans="1:74" ht="45" customHeight="1">
      <c r="A203" s="24">
        <f t="shared" si="0"/>
        <v>189</v>
      </c>
      <c r="B203" s="558" t="s">
        <v>294</v>
      </c>
      <c r="C203" s="351"/>
      <c r="D203" s="559" t="s">
        <v>298</v>
      </c>
      <c r="E203" s="351"/>
      <c r="F203" s="524" t="s">
        <v>325</v>
      </c>
      <c r="G203" s="351"/>
      <c r="H203" s="561" t="s">
        <v>325</v>
      </c>
      <c r="I203" s="351"/>
      <c r="J203" s="562"/>
      <c r="K203" s="351"/>
      <c r="L203" s="562"/>
      <c r="M203" s="351"/>
      <c r="N203" s="34"/>
      <c r="O203" s="38"/>
      <c r="P203" s="526"/>
      <c r="Q203" s="351"/>
      <c r="R203" s="535"/>
      <c r="S203" s="351"/>
      <c r="T203" s="536"/>
      <c r="U203" s="351"/>
      <c r="V203" s="537"/>
      <c r="W203" s="351"/>
      <c r="X203" s="538" t="s">
        <v>294</v>
      </c>
      <c r="Y203" s="350"/>
      <c r="Z203" s="350"/>
      <c r="AA203" s="351"/>
      <c r="AB203" s="539" t="s">
        <v>294</v>
      </c>
      <c r="AC203" s="350"/>
      <c r="AD203" s="350"/>
      <c r="AE203" s="351"/>
      <c r="AF203" s="540"/>
      <c r="AG203" s="351"/>
      <c r="AH203" s="540"/>
      <c r="AI203" s="351"/>
      <c r="AJ203" s="532"/>
      <c r="AK203" s="351"/>
      <c r="AL203" s="555" t="s">
        <v>325</v>
      </c>
      <c r="AM203" s="351"/>
      <c r="AN203" s="531" t="s">
        <v>325</v>
      </c>
      <c r="AO203" s="351"/>
      <c r="AP203" s="532"/>
      <c r="AQ203" s="351"/>
      <c r="AR203" s="533"/>
      <c r="AS203" s="351"/>
      <c r="AT203" s="534"/>
      <c r="AU203" s="351"/>
      <c r="AV203" s="531" t="s">
        <v>325</v>
      </c>
      <c r="AW203" s="351"/>
      <c r="AX203" s="553"/>
      <c r="AY203" s="350"/>
      <c r="AZ203" s="351"/>
      <c r="BA203" s="545"/>
      <c r="BB203" s="351"/>
      <c r="BC203" s="36"/>
      <c r="BD203" s="556" t="s">
        <v>325</v>
      </c>
      <c r="BE203" s="351"/>
      <c r="BF203" s="529"/>
      <c r="BG203" s="350"/>
      <c r="BH203" s="350"/>
      <c r="BI203" s="351"/>
      <c r="BJ203" s="506" t="s">
        <v>294</v>
      </c>
      <c r="BK203" s="350"/>
      <c r="BL203" s="350"/>
      <c r="BM203" s="351"/>
      <c r="BN203" s="530" t="s">
        <v>294</v>
      </c>
      <c r="BO203" s="350"/>
      <c r="BP203" s="350"/>
      <c r="BQ203" s="350"/>
      <c r="BR203" s="350"/>
      <c r="BS203" s="350"/>
      <c r="BT203" s="350"/>
      <c r="BU203" s="350"/>
      <c r="BV203" s="351"/>
    </row>
    <row r="204" spans="1:74" ht="45" customHeight="1">
      <c r="A204" s="24">
        <f t="shared" si="0"/>
        <v>190</v>
      </c>
      <c r="B204" s="522" t="s">
        <v>294</v>
      </c>
      <c r="C204" s="351"/>
      <c r="D204" s="523" t="s">
        <v>298</v>
      </c>
      <c r="E204" s="351"/>
      <c r="F204" s="524" t="s">
        <v>325</v>
      </c>
      <c r="G204" s="351"/>
      <c r="H204" s="525" t="s">
        <v>325</v>
      </c>
      <c r="I204" s="351"/>
      <c r="J204" s="563"/>
      <c r="K204" s="351"/>
      <c r="L204" s="563"/>
      <c r="M204" s="351"/>
      <c r="N204" s="37"/>
      <c r="O204" s="35"/>
      <c r="P204" s="560"/>
      <c r="Q204" s="351"/>
      <c r="R204" s="527"/>
      <c r="S204" s="351"/>
      <c r="T204" s="528"/>
      <c r="U204" s="351"/>
      <c r="V204" s="541"/>
      <c r="W204" s="351"/>
      <c r="X204" s="542" t="s">
        <v>294</v>
      </c>
      <c r="Y204" s="350"/>
      <c r="Z204" s="350"/>
      <c r="AA204" s="351"/>
      <c r="AB204" s="543" t="s">
        <v>294</v>
      </c>
      <c r="AC204" s="350"/>
      <c r="AD204" s="350"/>
      <c r="AE204" s="351"/>
      <c r="AF204" s="544"/>
      <c r="AG204" s="351"/>
      <c r="AH204" s="544"/>
      <c r="AI204" s="351"/>
      <c r="AJ204" s="545"/>
      <c r="AK204" s="351"/>
      <c r="AL204" s="524" t="s">
        <v>325</v>
      </c>
      <c r="AM204" s="351"/>
      <c r="AN204" s="549" t="s">
        <v>325</v>
      </c>
      <c r="AO204" s="351"/>
      <c r="AP204" s="550"/>
      <c r="AQ204" s="351"/>
      <c r="AR204" s="551"/>
      <c r="AS204" s="351"/>
      <c r="AT204" s="534"/>
      <c r="AU204" s="351"/>
      <c r="AV204" s="549" t="s">
        <v>325</v>
      </c>
      <c r="AW204" s="351"/>
      <c r="AX204" s="553"/>
      <c r="AY204" s="350"/>
      <c r="AZ204" s="351"/>
      <c r="BA204" s="554"/>
      <c r="BB204" s="351"/>
      <c r="BC204" s="39"/>
      <c r="BD204" s="546" t="s">
        <v>325</v>
      </c>
      <c r="BE204" s="351"/>
      <c r="BF204" s="547"/>
      <c r="BG204" s="350"/>
      <c r="BH204" s="350"/>
      <c r="BI204" s="351"/>
      <c r="BJ204" s="548" t="s">
        <v>294</v>
      </c>
      <c r="BK204" s="350"/>
      <c r="BL204" s="350"/>
      <c r="BM204" s="351"/>
      <c r="BN204" s="530" t="s">
        <v>294</v>
      </c>
      <c r="BO204" s="350"/>
      <c r="BP204" s="350"/>
      <c r="BQ204" s="350"/>
      <c r="BR204" s="350"/>
      <c r="BS204" s="350"/>
      <c r="BT204" s="350"/>
      <c r="BU204" s="350"/>
      <c r="BV204" s="351"/>
    </row>
    <row r="205" spans="1:74" ht="45" customHeight="1">
      <c r="A205" s="24">
        <f t="shared" si="0"/>
        <v>191</v>
      </c>
      <c r="B205" s="558" t="s">
        <v>294</v>
      </c>
      <c r="C205" s="351"/>
      <c r="D205" s="559" t="s">
        <v>298</v>
      </c>
      <c r="E205" s="351"/>
      <c r="F205" s="524" t="s">
        <v>325</v>
      </c>
      <c r="G205" s="351"/>
      <c r="H205" s="561" t="s">
        <v>325</v>
      </c>
      <c r="I205" s="351"/>
      <c r="J205" s="562"/>
      <c r="K205" s="351"/>
      <c r="L205" s="562"/>
      <c r="M205" s="351"/>
      <c r="N205" s="34"/>
      <c r="O205" s="38"/>
      <c r="P205" s="526"/>
      <c r="Q205" s="351"/>
      <c r="R205" s="535"/>
      <c r="S205" s="351"/>
      <c r="T205" s="536"/>
      <c r="U205" s="351"/>
      <c r="V205" s="537"/>
      <c r="W205" s="351"/>
      <c r="X205" s="538" t="s">
        <v>294</v>
      </c>
      <c r="Y205" s="350"/>
      <c r="Z205" s="350"/>
      <c r="AA205" s="351"/>
      <c r="AB205" s="539" t="s">
        <v>294</v>
      </c>
      <c r="AC205" s="350"/>
      <c r="AD205" s="350"/>
      <c r="AE205" s="351"/>
      <c r="AF205" s="540"/>
      <c r="AG205" s="351"/>
      <c r="AH205" s="540"/>
      <c r="AI205" s="351"/>
      <c r="AJ205" s="532"/>
      <c r="AK205" s="351"/>
      <c r="AL205" s="555" t="s">
        <v>325</v>
      </c>
      <c r="AM205" s="351"/>
      <c r="AN205" s="531" t="s">
        <v>325</v>
      </c>
      <c r="AO205" s="351"/>
      <c r="AP205" s="532"/>
      <c r="AQ205" s="351"/>
      <c r="AR205" s="533"/>
      <c r="AS205" s="351"/>
      <c r="AT205" s="534"/>
      <c r="AU205" s="351"/>
      <c r="AV205" s="531" t="s">
        <v>325</v>
      </c>
      <c r="AW205" s="351"/>
      <c r="AX205" s="553"/>
      <c r="AY205" s="350"/>
      <c r="AZ205" s="351"/>
      <c r="BA205" s="545"/>
      <c r="BB205" s="351"/>
      <c r="BC205" s="36"/>
      <c r="BD205" s="556" t="s">
        <v>325</v>
      </c>
      <c r="BE205" s="351"/>
      <c r="BF205" s="529"/>
      <c r="BG205" s="350"/>
      <c r="BH205" s="350"/>
      <c r="BI205" s="351"/>
      <c r="BJ205" s="506" t="s">
        <v>294</v>
      </c>
      <c r="BK205" s="350"/>
      <c r="BL205" s="350"/>
      <c r="BM205" s="351"/>
      <c r="BN205" s="530" t="s">
        <v>294</v>
      </c>
      <c r="BO205" s="350"/>
      <c r="BP205" s="350"/>
      <c r="BQ205" s="350"/>
      <c r="BR205" s="350"/>
      <c r="BS205" s="350"/>
      <c r="BT205" s="350"/>
      <c r="BU205" s="350"/>
      <c r="BV205" s="351"/>
    </row>
    <row r="206" spans="1:74" ht="45" customHeight="1">
      <c r="A206" s="24">
        <f t="shared" si="0"/>
        <v>192</v>
      </c>
      <c r="B206" s="522" t="s">
        <v>294</v>
      </c>
      <c r="C206" s="351"/>
      <c r="D206" s="523" t="s">
        <v>298</v>
      </c>
      <c r="E206" s="351"/>
      <c r="F206" s="524" t="s">
        <v>325</v>
      </c>
      <c r="G206" s="351"/>
      <c r="H206" s="525" t="s">
        <v>325</v>
      </c>
      <c r="I206" s="351"/>
      <c r="J206" s="563"/>
      <c r="K206" s="351"/>
      <c r="L206" s="563"/>
      <c r="M206" s="351"/>
      <c r="N206" s="37"/>
      <c r="O206" s="35"/>
      <c r="P206" s="560"/>
      <c r="Q206" s="351"/>
      <c r="R206" s="527"/>
      <c r="S206" s="351"/>
      <c r="T206" s="528"/>
      <c r="U206" s="351"/>
      <c r="V206" s="541"/>
      <c r="W206" s="351"/>
      <c r="X206" s="542" t="s">
        <v>294</v>
      </c>
      <c r="Y206" s="350"/>
      <c r="Z206" s="350"/>
      <c r="AA206" s="351"/>
      <c r="AB206" s="543" t="s">
        <v>294</v>
      </c>
      <c r="AC206" s="350"/>
      <c r="AD206" s="350"/>
      <c r="AE206" s="351"/>
      <c r="AF206" s="544"/>
      <c r="AG206" s="351"/>
      <c r="AH206" s="544"/>
      <c r="AI206" s="351"/>
      <c r="AJ206" s="545"/>
      <c r="AK206" s="351"/>
      <c r="AL206" s="524" t="s">
        <v>325</v>
      </c>
      <c r="AM206" s="351"/>
      <c r="AN206" s="549" t="s">
        <v>325</v>
      </c>
      <c r="AO206" s="351"/>
      <c r="AP206" s="550"/>
      <c r="AQ206" s="351"/>
      <c r="AR206" s="551"/>
      <c r="AS206" s="351"/>
      <c r="AT206" s="534"/>
      <c r="AU206" s="351"/>
      <c r="AV206" s="549" t="s">
        <v>325</v>
      </c>
      <c r="AW206" s="351"/>
      <c r="AX206" s="553"/>
      <c r="AY206" s="350"/>
      <c r="AZ206" s="351"/>
      <c r="BA206" s="554"/>
      <c r="BB206" s="351"/>
      <c r="BC206" s="39"/>
      <c r="BD206" s="546" t="s">
        <v>325</v>
      </c>
      <c r="BE206" s="351"/>
      <c r="BF206" s="547"/>
      <c r="BG206" s="350"/>
      <c r="BH206" s="350"/>
      <c r="BI206" s="351"/>
      <c r="BJ206" s="548" t="s">
        <v>294</v>
      </c>
      <c r="BK206" s="350"/>
      <c r="BL206" s="350"/>
      <c r="BM206" s="351"/>
      <c r="BN206" s="530" t="s">
        <v>294</v>
      </c>
      <c r="BO206" s="350"/>
      <c r="BP206" s="350"/>
      <c r="BQ206" s="350"/>
      <c r="BR206" s="350"/>
      <c r="BS206" s="350"/>
      <c r="BT206" s="350"/>
      <c r="BU206" s="350"/>
      <c r="BV206" s="351"/>
    </row>
    <row r="207" spans="1:74" ht="45" customHeight="1">
      <c r="A207" s="24">
        <f t="shared" si="0"/>
        <v>193</v>
      </c>
      <c r="B207" s="558" t="s">
        <v>294</v>
      </c>
      <c r="C207" s="351"/>
      <c r="D207" s="559" t="s">
        <v>298</v>
      </c>
      <c r="E207" s="351"/>
      <c r="F207" s="524" t="s">
        <v>325</v>
      </c>
      <c r="G207" s="351"/>
      <c r="H207" s="561" t="s">
        <v>325</v>
      </c>
      <c r="I207" s="351"/>
      <c r="J207" s="562"/>
      <c r="K207" s="351"/>
      <c r="L207" s="562"/>
      <c r="M207" s="351"/>
      <c r="N207" s="34"/>
      <c r="O207" s="38"/>
      <c r="P207" s="526"/>
      <c r="Q207" s="351"/>
      <c r="R207" s="535"/>
      <c r="S207" s="351"/>
      <c r="T207" s="536"/>
      <c r="U207" s="351"/>
      <c r="V207" s="537"/>
      <c r="W207" s="351"/>
      <c r="X207" s="538" t="s">
        <v>294</v>
      </c>
      <c r="Y207" s="350"/>
      <c r="Z207" s="350"/>
      <c r="AA207" s="351"/>
      <c r="AB207" s="539" t="s">
        <v>294</v>
      </c>
      <c r="AC207" s="350"/>
      <c r="AD207" s="350"/>
      <c r="AE207" s="351"/>
      <c r="AF207" s="540"/>
      <c r="AG207" s="351"/>
      <c r="AH207" s="540"/>
      <c r="AI207" s="351"/>
      <c r="AJ207" s="532"/>
      <c r="AK207" s="351"/>
      <c r="AL207" s="555" t="s">
        <v>325</v>
      </c>
      <c r="AM207" s="351"/>
      <c r="AN207" s="531" t="s">
        <v>325</v>
      </c>
      <c r="AO207" s="351"/>
      <c r="AP207" s="532"/>
      <c r="AQ207" s="351"/>
      <c r="AR207" s="533"/>
      <c r="AS207" s="351"/>
      <c r="AT207" s="534"/>
      <c r="AU207" s="351"/>
      <c r="AV207" s="531" t="s">
        <v>325</v>
      </c>
      <c r="AW207" s="351"/>
      <c r="AX207" s="553"/>
      <c r="AY207" s="350"/>
      <c r="AZ207" s="351"/>
      <c r="BA207" s="545"/>
      <c r="BB207" s="351"/>
      <c r="BC207" s="36"/>
      <c r="BD207" s="556" t="s">
        <v>325</v>
      </c>
      <c r="BE207" s="351"/>
      <c r="BF207" s="557"/>
      <c r="BG207" s="350"/>
      <c r="BH207" s="350"/>
      <c r="BI207" s="351"/>
      <c r="BJ207" s="506" t="s">
        <v>294</v>
      </c>
      <c r="BK207" s="350"/>
      <c r="BL207" s="350"/>
      <c r="BM207" s="351"/>
      <c r="BN207" s="530" t="s">
        <v>294</v>
      </c>
      <c r="BO207" s="350"/>
      <c r="BP207" s="350"/>
      <c r="BQ207" s="350"/>
      <c r="BR207" s="350"/>
      <c r="BS207" s="350"/>
      <c r="BT207" s="350"/>
      <c r="BU207" s="350"/>
      <c r="BV207" s="351"/>
    </row>
    <row r="208" spans="1:74" ht="45" customHeight="1">
      <c r="A208" s="24">
        <f t="shared" si="0"/>
        <v>194</v>
      </c>
      <c r="B208" s="558" t="s">
        <v>294</v>
      </c>
      <c r="C208" s="351"/>
      <c r="D208" s="559" t="s">
        <v>298</v>
      </c>
      <c r="E208" s="351"/>
      <c r="F208" s="524" t="s">
        <v>325</v>
      </c>
      <c r="G208" s="351"/>
      <c r="H208" s="525" t="s">
        <v>325</v>
      </c>
      <c r="I208" s="351"/>
      <c r="J208" s="563"/>
      <c r="K208" s="351"/>
      <c r="L208" s="563"/>
      <c r="M208" s="351"/>
      <c r="N208" s="37"/>
      <c r="O208" s="35"/>
      <c r="P208" s="560"/>
      <c r="Q208" s="351"/>
      <c r="R208" s="527"/>
      <c r="S208" s="351"/>
      <c r="T208" s="528"/>
      <c r="U208" s="351"/>
      <c r="V208" s="541"/>
      <c r="W208" s="351"/>
      <c r="X208" s="538" t="s">
        <v>294</v>
      </c>
      <c r="Y208" s="350"/>
      <c r="Z208" s="350"/>
      <c r="AA208" s="351"/>
      <c r="AB208" s="539" t="s">
        <v>294</v>
      </c>
      <c r="AC208" s="350"/>
      <c r="AD208" s="350"/>
      <c r="AE208" s="351"/>
      <c r="AF208" s="544"/>
      <c r="AG208" s="351"/>
      <c r="AH208" s="544"/>
      <c r="AI208" s="351"/>
      <c r="AJ208" s="545"/>
      <c r="AK208" s="351"/>
      <c r="AL208" s="555" t="s">
        <v>325</v>
      </c>
      <c r="AM208" s="351"/>
      <c r="AN208" s="531" t="s">
        <v>325</v>
      </c>
      <c r="AO208" s="351"/>
      <c r="AP208" s="550"/>
      <c r="AQ208" s="351"/>
      <c r="AR208" s="551"/>
      <c r="AS208" s="351"/>
      <c r="AT208" s="534"/>
      <c r="AU208" s="351"/>
      <c r="AV208" s="531" t="s">
        <v>325</v>
      </c>
      <c r="AW208" s="351"/>
      <c r="AX208" s="553"/>
      <c r="AY208" s="350"/>
      <c r="AZ208" s="351"/>
      <c r="BA208" s="554"/>
      <c r="BB208" s="351"/>
      <c r="BC208" s="36"/>
      <c r="BD208" s="556" t="s">
        <v>325</v>
      </c>
      <c r="BE208" s="351"/>
      <c r="BF208" s="547"/>
      <c r="BG208" s="350"/>
      <c r="BH208" s="350"/>
      <c r="BI208" s="351"/>
      <c r="BJ208" s="506" t="s">
        <v>294</v>
      </c>
      <c r="BK208" s="350"/>
      <c r="BL208" s="350"/>
      <c r="BM208" s="351"/>
      <c r="BN208" s="530" t="s">
        <v>294</v>
      </c>
      <c r="BO208" s="350"/>
      <c r="BP208" s="350"/>
      <c r="BQ208" s="350"/>
      <c r="BR208" s="350"/>
      <c r="BS208" s="350"/>
      <c r="BT208" s="350"/>
      <c r="BU208" s="350"/>
      <c r="BV208" s="351"/>
    </row>
    <row r="209" spans="1:74" ht="45" customHeight="1">
      <c r="A209" s="24">
        <f t="shared" si="0"/>
        <v>195</v>
      </c>
      <c r="B209" s="522" t="s">
        <v>294</v>
      </c>
      <c r="C209" s="351"/>
      <c r="D209" s="523" t="s">
        <v>298</v>
      </c>
      <c r="E209" s="351"/>
      <c r="F209" s="524" t="s">
        <v>325</v>
      </c>
      <c r="G209" s="351"/>
      <c r="H209" s="561" t="s">
        <v>325</v>
      </c>
      <c r="I209" s="351"/>
      <c r="J209" s="562"/>
      <c r="K209" s="351"/>
      <c r="L209" s="562"/>
      <c r="M209" s="351"/>
      <c r="N209" s="34"/>
      <c r="O209" s="38"/>
      <c r="P209" s="526"/>
      <c r="Q209" s="351"/>
      <c r="R209" s="535"/>
      <c r="S209" s="351"/>
      <c r="T209" s="536"/>
      <c r="U209" s="351"/>
      <c r="V209" s="537"/>
      <c r="W209" s="351"/>
      <c r="X209" s="542" t="s">
        <v>294</v>
      </c>
      <c r="Y209" s="350"/>
      <c r="Z209" s="350"/>
      <c r="AA209" s="351"/>
      <c r="AB209" s="543" t="s">
        <v>294</v>
      </c>
      <c r="AC209" s="350"/>
      <c r="AD209" s="350"/>
      <c r="AE209" s="351"/>
      <c r="AF209" s="540"/>
      <c r="AG209" s="351"/>
      <c r="AH209" s="540"/>
      <c r="AI209" s="351"/>
      <c r="AJ209" s="532"/>
      <c r="AK209" s="351"/>
      <c r="AL209" s="524" t="s">
        <v>325</v>
      </c>
      <c r="AM209" s="351"/>
      <c r="AN209" s="549" t="s">
        <v>325</v>
      </c>
      <c r="AO209" s="351"/>
      <c r="AP209" s="532"/>
      <c r="AQ209" s="351"/>
      <c r="AR209" s="533"/>
      <c r="AS209" s="351"/>
      <c r="AT209" s="534"/>
      <c r="AU209" s="351"/>
      <c r="AV209" s="549" t="s">
        <v>325</v>
      </c>
      <c r="AW209" s="351"/>
      <c r="AX209" s="553"/>
      <c r="AY209" s="350"/>
      <c r="AZ209" s="351"/>
      <c r="BA209" s="545"/>
      <c r="BB209" s="351"/>
      <c r="BC209" s="39"/>
      <c r="BD209" s="546" t="s">
        <v>325</v>
      </c>
      <c r="BE209" s="351"/>
      <c r="BF209" s="529"/>
      <c r="BG209" s="350"/>
      <c r="BH209" s="350"/>
      <c r="BI209" s="351"/>
      <c r="BJ209" s="548" t="s">
        <v>294</v>
      </c>
      <c r="BK209" s="350"/>
      <c r="BL209" s="350"/>
      <c r="BM209" s="351"/>
      <c r="BN209" s="530" t="s">
        <v>294</v>
      </c>
      <c r="BO209" s="350"/>
      <c r="BP209" s="350"/>
      <c r="BQ209" s="350"/>
      <c r="BR209" s="350"/>
      <c r="BS209" s="350"/>
      <c r="BT209" s="350"/>
      <c r="BU209" s="350"/>
      <c r="BV209" s="351"/>
    </row>
    <row r="210" spans="1:74" ht="45" customHeight="1">
      <c r="A210" s="24">
        <f t="shared" si="0"/>
        <v>196</v>
      </c>
      <c r="B210" s="558" t="s">
        <v>294</v>
      </c>
      <c r="C210" s="351"/>
      <c r="D210" s="559" t="s">
        <v>298</v>
      </c>
      <c r="E210" s="351"/>
      <c r="F210" s="524" t="s">
        <v>325</v>
      </c>
      <c r="G210" s="351"/>
      <c r="H210" s="525" t="s">
        <v>325</v>
      </c>
      <c r="I210" s="351"/>
      <c r="J210" s="40"/>
      <c r="K210" s="41"/>
      <c r="L210" s="40"/>
      <c r="M210" s="41"/>
      <c r="N210" s="37"/>
      <c r="O210" s="35"/>
      <c r="P210" s="560"/>
      <c r="Q210" s="351"/>
      <c r="R210" s="527"/>
      <c r="S210" s="351"/>
      <c r="T210" s="528"/>
      <c r="U210" s="351"/>
      <c r="V210" s="541"/>
      <c r="W210" s="351"/>
      <c r="X210" s="538" t="s">
        <v>294</v>
      </c>
      <c r="Y210" s="350"/>
      <c r="Z210" s="350"/>
      <c r="AA210" s="351"/>
      <c r="AB210" s="539" t="s">
        <v>294</v>
      </c>
      <c r="AC210" s="350"/>
      <c r="AD210" s="350"/>
      <c r="AE210" s="351"/>
      <c r="AF210" s="544"/>
      <c r="AG210" s="351"/>
      <c r="AH210" s="544"/>
      <c r="AI210" s="351"/>
      <c r="AJ210" s="545"/>
      <c r="AK210" s="351"/>
      <c r="AL210" s="555" t="s">
        <v>325</v>
      </c>
      <c r="AM210" s="351"/>
      <c r="AN210" s="531" t="s">
        <v>325</v>
      </c>
      <c r="AO210" s="351"/>
      <c r="AP210" s="550"/>
      <c r="AQ210" s="351"/>
      <c r="AR210" s="551"/>
      <c r="AS210" s="351"/>
      <c r="AT210" s="534"/>
      <c r="AU210" s="351"/>
      <c r="AV210" s="531" t="s">
        <v>325</v>
      </c>
      <c r="AW210" s="351"/>
      <c r="AX210" s="553"/>
      <c r="AY210" s="350"/>
      <c r="AZ210" s="351"/>
      <c r="BA210" s="554"/>
      <c r="BB210" s="351"/>
      <c r="BC210" s="36"/>
      <c r="BD210" s="556" t="s">
        <v>325</v>
      </c>
      <c r="BE210" s="351"/>
      <c r="BF210" s="547"/>
      <c r="BG210" s="350"/>
      <c r="BH210" s="350"/>
      <c r="BI210" s="351"/>
      <c r="BJ210" s="506" t="s">
        <v>294</v>
      </c>
      <c r="BK210" s="350"/>
      <c r="BL210" s="350"/>
      <c r="BM210" s="351"/>
      <c r="BN210" s="530" t="s">
        <v>294</v>
      </c>
      <c r="BO210" s="350"/>
      <c r="BP210" s="350"/>
      <c r="BQ210" s="350"/>
      <c r="BR210" s="350"/>
      <c r="BS210" s="350"/>
      <c r="BT210" s="350"/>
      <c r="BU210" s="350"/>
      <c r="BV210" s="351"/>
    </row>
    <row r="211" spans="1:74" ht="45" customHeight="1">
      <c r="A211" s="24">
        <f t="shared" si="0"/>
        <v>197</v>
      </c>
      <c r="B211" s="522" t="s">
        <v>294</v>
      </c>
      <c r="C211" s="351"/>
      <c r="D211" s="523" t="s">
        <v>298</v>
      </c>
      <c r="E211" s="351"/>
      <c r="F211" s="524" t="s">
        <v>325</v>
      </c>
      <c r="G211" s="351"/>
      <c r="H211" s="561" t="s">
        <v>325</v>
      </c>
      <c r="I211" s="351"/>
      <c r="J211" s="562"/>
      <c r="K211" s="351"/>
      <c r="L211" s="562"/>
      <c r="M211" s="351"/>
      <c r="N211" s="34"/>
      <c r="O211" s="38"/>
      <c r="P211" s="526"/>
      <c r="Q211" s="351"/>
      <c r="R211" s="535"/>
      <c r="S211" s="351"/>
      <c r="T211" s="536"/>
      <c r="U211" s="351"/>
      <c r="V211" s="537"/>
      <c r="W211" s="351"/>
      <c r="X211" s="542" t="s">
        <v>294</v>
      </c>
      <c r="Y211" s="350"/>
      <c r="Z211" s="350"/>
      <c r="AA211" s="351"/>
      <c r="AB211" s="543" t="s">
        <v>294</v>
      </c>
      <c r="AC211" s="350"/>
      <c r="AD211" s="350"/>
      <c r="AE211" s="351"/>
      <c r="AF211" s="540"/>
      <c r="AG211" s="351"/>
      <c r="AH211" s="540"/>
      <c r="AI211" s="351"/>
      <c r="AJ211" s="532"/>
      <c r="AK211" s="351"/>
      <c r="AL211" s="524" t="s">
        <v>325</v>
      </c>
      <c r="AM211" s="351"/>
      <c r="AN211" s="549" t="s">
        <v>325</v>
      </c>
      <c r="AO211" s="351"/>
      <c r="AP211" s="532"/>
      <c r="AQ211" s="351"/>
      <c r="AR211" s="533"/>
      <c r="AS211" s="351"/>
      <c r="AT211" s="534"/>
      <c r="AU211" s="351"/>
      <c r="AV211" s="549" t="s">
        <v>325</v>
      </c>
      <c r="AW211" s="351"/>
      <c r="AX211" s="553"/>
      <c r="AY211" s="350"/>
      <c r="AZ211" s="351"/>
      <c r="BA211" s="545"/>
      <c r="BB211" s="351"/>
      <c r="BC211" s="39"/>
      <c r="BD211" s="546" t="s">
        <v>325</v>
      </c>
      <c r="BE211" s="351"/>
      <c r="BF211" s="557"/>
      <c r="BG211" s="350"/>
      <c r="BH211" s="350"/>
      <c r="BI211" s="351"/>
      <c r="BJ211" s="548" t="s">
        <v>294</v>
      </c>
      <c r="BK211" s="350"/>
      <c r="BL211" s="350"/>
      <c r="BM211" s="351"/>
      <c r="BN211" s="530" t="s">
        <v>294</v>
      </c>
      <c r="BO211" s="350"/>
      <c r="BP211" s="350"/>
      <c r="BQ211" s="350"/>
      <c r="BR211" s="350"/>
      <c r="BS211" s="350"/>
      <c r="BT211" s="350"/>
      <c r="BU211" s="350"/>
      <c r="BV211" s="351"/>
    </row>
    <row r="212" spans="1:74" ht="45" customHeight="1">
      <c r="A212" s="24">
        <f t="shared" si="0"/>
        <v>198</v>
      </c>
      <c r="B212" s="558" t="s">
        <v>294</v>
      </c>
      <c r="C212" s="351"/>
      <c r="D212" s="559" t="s">
        <v>298</v>
      </c>
      <c r="E212" s="351"/>
      <c r="F212" s="524" t="s">
        <v>325</v>
      </c>
      <c r="G212" s="351"/>
      <c r="H212" s="525" t="s">
        <v>325</v>
      </c>
      <c r="I212" s="351"/>
      <c r="J212" s="40"/>
      <c r="K212" s="41"/>
      <c r="L212" s="40"/>
      <c r="M212" s="41"/>
      <c r="N212" s="37"/>
      <c r="O212" s="35"/>
      <c r="P212" s="560"/>
      <c r="Q212" s="351"/>
      <c r="R212" s="527"/>
      <c r="S212" s="351"/>
      <c r="T212" s="528"/>
      <c r="U212" s="351"/>
      <c r="V212" s="541"/>
      <c r="W212" s="351"/>
      <c r="X212" s="538" t="s">
        <v>294</v>
      </c>
      <c r="Y212" s="350"/>
      <c r="Z212" s="350"/>
      <c r="AA212" s="351"/>
      <c r="AB212" s="539" t="s">
        <v>294</v>
      </c>
      <c r="AC212" s="350"/>
      <c r="AD212" s="350"/>
      <c r="AE212" s="351"/>
      <c r="AF212" s="544"/>
      <c r="AG212" s="351"/>
      <c r="AH212" s="544"/>
      <c r="AI212" s="351"/>
      <c r="AJ212" s="545"/>
      <c r="AK212" s="351"/>
      <c r="AL212" s="555" t="s">
        <v>325</v>
      </c>
      <c r="AM212" s="351"/>
      <c r="AN212" s="531" t="s">
        <v>325</v>
      </c>
      <c r="AO212" s="351"/>
      <c r="AP212" s="550"/>
      <c r="AQ212" s="351"/>
      <c r="AR212" s="551"/>
      <c r="AS212" s="351"/>
      <c r="AT212" s="534"/>
      <c r="AU212" s="351"/>
      <c r="AV212" s="531" t="s">
        <v>325</v>
      </c>
      <c r="AW212" s="351"/>
      <c r="AX212" s="553"/>
      <c r="AY212" s="350"/>
      <c r="AZ212" s="351"/>
      <c r="BA212" s="554"/>
      <c r="BB212" s="351"/>
      <c r="BC212" s="36"/>
      <c r="BD212" s="556" t="s">
        <v>325</v>
      </c>
      <c r="BE212" s="351"/>
      <c r="BF212" s="547"/>
      <c r="BG212" s="350"/>
      <c r="BH212" s="350"/>
      <c r="BI212" s="351"/>
      <c r="BJ212" s="506" t="s">
        <v>294</v>
      </c>
      <c r="BK212" s="350"/>
      <c r="BL212" s="350"/>
      <c r="BM212" s="351"/>
      <c r="BN212" s="530" t="s">
        <v>294</v>
      </c>
      <c r="BO212" s="350"/>
      <c r="BP212" s="350"/>
      <c r="BQ212" s="350"/>
      <c r="BR212" s="350"/>
      <c r="BS212" s="350"/>
      <c r="BT212" s="350"/>
      <c r="BU212" s="350"/>
      <c r="BV212" s="351"/>
    </row>
    <row r="213" spans="1:74" ht="45" customHeight="1">
      <c r="A213" s="24">
        <f t="shared" si="0"/>
        <v>199</v>
      </c>
      <c r="B213" s="522" t="s">
        <v>294</v>
      </c>
      <c r="C213" s="351"/>
      <c r="D213" s="523" t="s">
        <v>298</v>
      </c>
      <c r="E213" s="351"/>
      <c r="F213" s="524" t="s">
        <v>325</v>
      </c>
      <c r="G213" s="351"/>
      <c r="H213" s="561" t="s">
        <v>325</v>
      </c>
      <c r="I213" s="351"/>
      <c r="J213" s="562"/>
      <c r="K213" s="351"/>
      <c r="L213" s="562"/>
      <c r="M213" s="351"/>
      <c r="N213" s="34"/>
      <c r="O213" s="38"/>
      <c r="P213" s="526"/>
      <c r="Q213" s="351"/>
      <c r="R213" s="535"/>
      <c r="S213" s="351"/>
      <c r="T213" s="536"/>
      <c r="U213" s="351"/>
      <c r="V213" s="537"/>
      <c r="W213" s="351"/>
      <c r="X213" s="542" t="s">
        <v>294</v>
      </c>
      <c r="Y213" s="350"/>
      <c r="Z213" s="350"/>
      <c r="AA213" s="351"/>
      <c r="AB213" s="543" t="s">
        <v>294</v>
      </c>
      <c r="AC213" s="350"/>
      <c r="AD213" s="350"/>
      <c r="AE213" s="351"/>
      <c r="AF213" s="540"/>
      <c r="AG213" s="351"/>
      <c r="AH213" s="540"/>
      <c r="AI213" s="351"/>
      <c r="AJ213" s="532"/>
      <c r="AK213" s="351"/>
      <c r="AL213" s="524" t="s">
        <v>325</v>
      </c>
      <c r="AM213" s="351"/>
      <c r="AN213" s="549" t="s">
        <v>325</v>
      </c>
      <c r="AO213" s="351"/>
      <c r="AP213" s="532"/>
      <c r="AQ213" s="351"/>
      <c r="AR213" s="533"/>
      <c r="AS213" s="351"/>
      <c r="AT213" s="534"/>
      <c r="AU213" s="351"/>
      <c r="AV213" s="549" t="s">
        <v>325</v>
      </c>
      <c r="AW213" s="351"/>
      <c r="AX213" s="553"/>
      <c r="AY213" s="350"/>
      <c r="AZ213" s="351"/>
      <c r="BA213" s="545"/>
      <c r="BB213" s="351"/>
      <c r="BC213" s="39"/>
      <c r="BD213" s="546" t="s">
        <v>325</v>
      </c>
      <c r="BE213" s="351"/>
      <c r="BF213" s="529"/>
      <c r="BG213" s="350"/>
      <c r="BH213" s="350"/>
      <c r="BI213" s="351"/>
      <c r="BJ213" s="548" t="s">
        <v>294</v>
      </c>
      <c r="BK213" s="350"/>
      <c r="BL213" s="350"/>
      <c r="BM213" s="351"/>
      <c r="BN213" s="530" t="s">
        <v>294</v>
      </c>
      <c r="BO213" s="350"/>
      <c r="BP213" s="350"/>
      <c r="BQ213" s="350"/>
      <c r="BR213" s="350"/>
      <c r="BS213" s="350"/>
      <c r="BT213" s="350"/>
      <c r="BU213" s="350"/>
      <c r="BV213" s="351"/>
    </row>
    <row r="214" spans="1:74" ht="45" customHeight="1">
      <c r="A214" s="24">
        <f t="shared" si="0"/>
        <v>200</v>
      </c>
      <c r="B214" s="558" t="s">
        <v>294</v>
      </c>
      <c r="C214" s="351"/>
      <c r="D214" s="559" t="s">
        <v>298</v>
      </c>
      <c r="E214" s="351"/>
      <c r="F214" s="524" t="s">
        <v>325</v>
      </c>
      <c r="G214" s="351"/>
      <c r="H214" s="525" t="s">
        <v>325</v>
      </c>
      <c r="I214" s="351"/>
      <c r="J214" s="40"/>
      <c r="K214" s="41"/>
      <c r="L214" s="40"/>
      <c r="M214" s="41"/>
      <c r="N214" s="37"/>
      <c r="O214" s="35"/>
      <c r="P214" s="560"/>
      <c r="Q214" s="351"/>
      <c r="R214" s="527"/>
      <c r="S214" s="351"/>
      <c r="T214" s="528"/>
      <c r="U214" s="351"/>
      <c r="V214" s="541"/>
      <c r="W214" s="351"/>
      <c r="X214" s="538" t="s">
        <v>294</v>
      </c>
      <c r="Y214" s="350"/>
      <c r="Z214" s="350"/>
      <c r="AA214" s="351"/>
      <c r="AB214" s="539" t="s">
        <v>294</v>
      </c>
      <c r="AC214" s="350"/>
      <c r="AD214" s="350"/>
      <c r="AE214" s="351"/>
      <c r="AF214" s="544"/>
      <c r="AG214" s="351"/>
      <c r="AH214" s="544"/>
      <c r="AI214" s="351"/>
      <c r="AJ214" s="545"/>
      <c r="AK214" s="351"/>
      <c r="AL214" s="555" t="s">
        <v>325</v>
      </c>
      <c r="AM214" s="351"/>
      <c r="AN214" s="531" t="s">
        <v>325</v>
      </c>
      <c r="AO214" s="351"/>
      <c r="AP214" s="550"/>
      <c r="AQ214" s="351"/>
      <c r="AR214" s="551"/>
      <c r="AS214" s="351"/>
      <c r="AT214" s="534"/>
      <c r="AU214" s="351"/>
      <c r="AV214" s="531" t="s">
        <v>325</v>
      </c>
      <c r="AW214" s="351"/>
      <c r="AX214" s="553"/>
      <c r="AY214" s="350"/>
      <c r="AZ214" s="351"/>
      <c r="BA214" s="554"/>
      <c r="BB214" s="351"/>
      <c r="BC214" s="36"/>
      <c r="BD214" s="556" t="s">
        <v>325</v>
      </c>
      <c r="BE214" s="351"/>
      <c r="BF214" s="547"/>
      <c r="BG214" s="350"/>
      <c r="BH214" s="350"/>
      <c r="BI214" s="351"/>
      <c r="BJ214" s="506" t="s">
        <v>294</v>
      </c>
      <c r="BK214" s="350"/>
      <c r="BL214" s="350"/>
      <c r="BM214" s="351"/>
      <c r="BN214" s="530" t="s">
        <v>294</v>
      </c>
      <c r="BO214" s="350"/>
      <c r="BP214" s="350"/>
      <c r="BQ214" s="350"/>
      <c r="BR214" s="350"/>
      <c r="BS214" s="350"/>
      <c r="BT214" s="350"/>
      <c r="BU214" s="350"/>
      <c r="BV214" s="351"/>
    </row>
    <row r="215" spans="1:74" ht="45" customHeight="1">
      <c r="A215" s="24">
        <f t="shared" si="0"/>
        <v>201</v>
      </c>
      <c r="B215" s="522" t="s">
        <v>294</v>
      </c>
      <c r="C215" s="351"/>
      <c r="D215" s="523" t="s">
        <v>298</v>
      </c>
      <c r="E215" s="351"/>
      <c r="F215" s="524" t="s">
        <v>325</v>
      </c>
      <c r="G215" s="351"/>
      <c r="H215" s="561" t="s">
        <v>325</v>
      </c>
      <c r="I215" s="351"/>
      <c r="J215" s="562"/>
      <c r="K215" s="351"/>
      <c r="L215" s="562"/>
      <c r="M215" s="351"/>
      <c r="N215" s="34"/>
      <c r="O215" s="38"/>
      <c r="P215" s="526"/>
      <c r="Q215" s="351"/>
      <c r="R215" s="535"/>
      <c r="S215" s="351"/>
      <c r="T215" s="536"/>
      <c r="U215" s="351"/>
      <c r="V215" s="537"/>
      <c r="W215" s="351"/>
      <c r="X215" s="542" t="s">
        <v>294</v>
      </c>
      <c r="Y215" s="350"/>
      <c r="Z215" s="350"/>
      <c r="AA215" s="351"/>
      <c r="AB215" s="543" t="s">
        <v>294</v>
      </c>
      <c r="AC215" s="350"/>
      <c r="AD215" s="350"/>
      <c r="AE215" s="351"/>
      <c r="AF215" s="540"/>
      <c r="AG215" s="351"/>
      <c r="AH215" s="540"/>
      <c r="AI215" s="351"/>
      <c r="AJ215" s="532"/>
      <c r="AK215" s="351"/>
      <c r="AL215" s="524" t="s">
        <v>325</v>
      </c>
      <c r="AM215" s="351"/>
      <c r="AN215" s="549" t="s">
        <v>325</v>
      </c>
      <c r="AO215" s="351"/>
      <c r="AP215" s="532"/>
      <c r="AQ215" s="351"/>
      <c r="AR215" s="533"/>
      <c r="AS215" s="351"/>
      <c r="AT215" s="534"/>
      <c r="AU215" s="351"/>
      <c r="AV215" s="549" t="s">
        <v>325</v>
      </c>
      <c r="AW215" s="351"/>
      <c r="AX215" s="553"/>
      <c r="AY215" s="350"/>
      <c r="AZ215" s="351"/>
      <c r="BA215" s="545"/>
      <c r="BB215" s="351"/>
      <c r="BC215" s="39"/>
      <c r="BD215" s="546" t="s">
        <v>325</v>
      </c>
      <c r="BE215" s="351"/>
      <c r="BF215" s="529"/>
      <c r="BG215" s="350"/>
      <c r="BH215" s="350"/>
      <c r="BI215" s="351"/>
      <c r="BJ215" s="548" t="s">
        <v>294</v>
      </c>
      <c r="BK215" s="350"/>
      <c r="BL215" s="350"/>
      <c r="BM215" s="351"/>
      <c r="BN215" s="530" t="s">
        <v>294</v>
      </c>
      <c r="BO215" s="350"/>
      <c r="BP215" s="350"/>
      <c r="BQ215" s="350"/>
      <c r="BR215" s="350"/>
      <c r="BS215" s="350"/>
      <c r="BT215" s="350"/>
      <c r="BU215" s="350"/>
      <c r="BV215" s="351"/>
    </row>
    <row r="216" spans="1:74" ht="45" customHeight="1">
      <c r="A216" s="24">
        <f t="shared" si="0"/>
        <v>202</v>
      </c>
      <c r="B216" s="558" t="s">
        <v>294</v>
      </c>
      <c r="C216" s="351"/>
      <c r="D216" s="559" t="s">
        <v>298</v>
      </c>
      <c r="E216" s="351"/>
      <c r="F216" s="524" t="s">
        <v>325</v>
      </c>
      <c r="G216" s="351"/>
      <c r="H216" s="525" t="s">
        <v>325</v>
      </c>
      <c r="I216" s="351"/>
      <c r="J216" s="40"/>
      <c r="K216" s="41"/>
      <c r="L216" s="40"/>
      <c r="M216" s="41"/>
      <c r="N216" s="37"/>
      <c r="O216" s="35"/>
      <c r="P216" s="560"/>
      <c r="Q216" s="351"/>
      <c r="R216" s="527"/>
      <c r="S216" s="351"/>
      <c r="T216" s="528"/>
      <c r="U216" s="351"/>
      <c r="V216" s="541"/>
      <c r="W216" s="351"/>
      <c r="X216" s="538" t="s">
        <v>294</v>
      </c>
      <c r="Y216" s="350"/>
      <c r="Z216" s="350"/>
      <c r="AA216" s="351"/>
      <c r="AB216" s="539" t="s">
        <v>294</v>
      </c>
      <c r="AC216" s="350"/>
      <c r="AD216" s="350"/>
      <c r="AE216" s="351"/>
      <c r="AF216" s="544"/>
      <c r="AG216" s="351"/>
      <c r="AH216" s="544"/>
      <c r="AI216" s="351"/>
      <c r="AJ216" s="545"/>
      <c r="AK216" s="351"/>
      <c r="AL216" s="555" t="s">
        <v>325</v>
      </c>
      <c r="AM216" s="351"/>
      <c r="AN216" s="531" t="s">
        <v>325</v>
      </c>
      <c r="AO216" s="351"/>
      <c r="AP216" s="550"/>
      <c r="AQ216" s="351"/>
      <c r="AR216" s="551"/>
      <c r="AS216" s="351"/>
      <c r="AT216" s="534"/>
      <c r="AU216" s="351"/>
      <c r="AV216" s="531" t="s">
        <v>325</v>
      </c>
      <c r="AW216" s="351"/>
      <c r="AX216" s="553"/>
      <c r="AY216" s="350"/>
      <c r="AZ216" s="351"/>
      <c r="BA216" s="554"/>
      <c r="BB216" s="351"/>
      <c r="BC216" s="36"/>
      <c r="BD216" s="556" t="s">
        <v>325</v>
      </c>
      <c r="BE216" s="351"/>
      <c r="BF216" s="547"/>
      <c r="BG216" s="350"/>
      <c r="BH216" s="350"/>
      <c r="BI216" s="351"/>
      <c r="BJ216" s="506" t="s">
        <v>294</v>
      </c>
      <c r="BK216" s="350"/>
      <c r="BL216" s="350"/>
      <c r="BM216" s="351"/>
      <c r="BN216" s="530" t="s">
        <v>294</v>
      </c>
      <c r="BO216" s="350"/>
      <c r="BP216" s="350"/>
      <c r="BQ216" s="350"/>
      <c r="BR216" s="350"/>
      <c r="BS216" s="350"/>
      <c r="BT216" s="350"/>
      <c r="BU216" s="350"/>
      <c r="BV216" s="351"/>
    </row>
    <row r="217" spans="1:74" ht="45" customHeight="1">
      <c r="A217" s="24">
        <f t="shared" si="0"/>
        <v>203</v>
      </c>
      <c r="B217" s="522" t="s">
        <v>294</v>
      </c>
      <c r="C217" s="351"/>
      <c r="D217" s="523" t="s">
        <v>298</v>
      </c>
      <c r="E217" s="351"/>
      <c r="F217" s="524" t="s">
        <v>325</v>
      </c>
      <c r="G217" s="351"/>
      <c r="H217" s="561" t="s">
        <v>325</v>
      </c>
      <c r="I217" s="351"/>
      <c r="J217" s="562"/>
      <c r="K217" s="351"/>
      <c r="L217" s="562"/>
      <c r="M217" s="351"/>
      <c r="N217" s="34"/>
      <c r="O217" s="38"/>
      <c r="P217" s="526"/>
      <c r="Q217" s="351"/>
      <c r="R217" s="535"/>
      <c r="S217" s="351"/>
      <c r="T217" s="536"/>
      <c r="U217" s="351"/>
      <c r="V217" s="537"/>
      <c r="W217" s="351"/>
      <c r="X217" s="542" t="s">
        <v>294</v>
      </c>
      <c r="Y217" s="350"/>
      <c r="Z217" s="350"/>
      <c r="AA217" s="351"/>
      <c r="AB217" s="543" t="s">
        <v>294</v>
      </c>
      <c r="AC217" s="350"/>
      <c r="AD217" s="350"/>
      <c r="AE217" s="351"/>
      <c r="AF217" s="540"/>
      <c r="AG217" s="351"/>
      <c r="AH217" s="540"/>
      <c r="AI217" s="351"/>
      <c r="AJ217" s="532"/>
      <c r="AK217" s="351"/>
      <c r="AL217" s="524" t="s">
        <v>325</v>
      </c>
      <c r="AM217" s="351"/>
      <c r="AN217" s="549" t="s">
        <v>325</v>
      </c>
      <c r="AO217" s="351"/>
      <c r="AP217" s="532"/>
      <c r="AQ217" s="351"/>
      <c r="AR217" s="533"/>
      <c r="AS217" s="351"/>
      <c r="AT217" s="534"/>
      <c r="AU217" s="351"/>
      <c r="AV217" s="549" t="s">
        <v>325</v>
      </c>
      <c r="AW217" s="351"/>
      <c r="AX217" s="553"/>
      <c r="AY217" s="350"/>
      <c r="AZ217" s="351"/>
      <c r="BA217" s="545"/>
      <c r="BB217" s="351"/>
      <c r="BC217" s="39"/>
      <c r="BD217" s="546" t="s">
        <v>325</v>
      </c>
      <c r="BE217" s="351"/>
      <c r="BF217" s="557"/>
      <c r="BG217" s="350"/>
      <c r="BH217" s="350"/>
      <c r="BI217" s="351"/>
      <c r="BJ217" s="548" t="s">
        <v>294</v>
      </c>
      <c r="BK217" s="350"/>
      <c r="BL217" s="350"/>
      <c r="BM217" s="351"/>
      <c r="BN217" s="530" t="s">
        <v>294</v>
      </c>
      <c r="BO217" s="350"/>
      <c r="BP217" s="350"/>
      <c r="BQ217" s="350"/>
      <c r="BR217" s="350"/>
      <c r="BS217" s="350"/>
      <c r="BT217" s="350"/>
      <c r="BU217" s="350"/>
      <c r="BV217" s="351"/>
    </row>
    <row r="218" spans="1:74" ht="45" customHeight="1">
      <c r="A218" s="24">
        <f t="shared" si="0"/>
        <v>204</v>
      </c>
      <c r="B218" s="558" t="s">
        <v>294</v>
      </c>
      <c r="C218" s="351"/>
      <c r="D218" s="559" t="s">
        <v>298</v>
      </c>
      <c r="E218" s="351"/>
      <c r="F218" s="524" t="s">
        <v>325</v>
      </c>
      <c r="G218" s="351"/>
      <c r="H218" s="525" t="s">
        <v>325</v>
      </c>
      <c r="I218" s="351"/>
      <c r="J218" s="40"/>
      <c r="K218" s="41"/>
      <c r="L218" s="40"/>
      <c r="M218" s="41"/>
      <c r="N218" s="37"/>
      <c r="O218" s="35"/>
      <c r="P218" s="560"/>
      <c r="Q218" s="351"/>
      <c r="R218" s="527"/>
      <c r="S218" s="351"/>
      <c r="T218" s="528"/>
      <c r="U218" s="351"/>
      <c r="V218" s="541"/>
      <c r="W218" s="351"/>
      <c r="X218" s="538" t="s">
        <v>294</v>
      </c>
      <c r="Y218" s="350"/>
      <c r="Z218" s="350"/>
      <c r="AA218" s="351"/>
      <c r="AB218" s="539" t="s">
        <v>294</v>
      </c>
      <c r="AC218" s="350"/>
      <c r="AD218" s="350"/>
      <c r="AE218" s="351"/>
      <c r="AF218" s="544"/>
      <c r="AG218" s="351"/>
      <c r="AH218" s="544"/>
      <c r="AI218" s="351"/>
      <c r="AJ218" s="545"/>
      <c r="AK218" s="351"/>
      <c r="AL218" s="555" t="s">
        <v>325</v>
      </c>
      <c r="AM218" s="351"/>
      <c r="AN218" s="531" t="s">
        <v>325</v>
      </c>
      <c r="AO218" s="351"/>
      <c r="AP218" s="550"/>
      <c r="AQ218" s="351"/>
      <c r="AR218" s="551"/>
      <c r="AS218" s="351"/>
      <c r="AT218" s="534"/>
      <c r="AU218" s="351"/>
      <c r="AV218" s="531" t="s">
        <v>325</v>
      </c>
      <c r="AW218" s="351"/>
      <c r="AX218" s="553"/>
      <c r="AY218" s="350"/>
      <c r="AZ218" s="351"/>
      <c r="BA218" s="554"/>
      <c r="BB218" s="351"/>
      <c r="BC218" s="36"/>
      <c r="BD218" s="556" t="s">
        <v>325</v>
      </c>
      <c r="BE218" s="351"/>
      <c r="BF218" s="547"/>
      <c r="BG218" s="350"/>
      <c r="BH218" s="350"/>
      <c r="BI218" s="351"/>
      <c r="BJ218" s="506" t="s">
        <v>294</v>
      </c>
      <c r="BK218" s="350"/>
      <c r="BL218" s="350"/>
      <c r="BM218" s="351"/>
      <c r="BN218" s="530" t="s">
        <v>294</v>
      </c>
      <c r="BO218" s="350"/>
      <c r="BP218" s="350"/>
      <c r="BQ218" s="350"/>
      <c r="BR218" s="350"/>
      <c r="BS218" s="350"/>
      <c r="BT218" s="350"/>
      <c r="BU218" s="350"/>
      <c r="BV218" s="351"/>
    </row>
    <row r="219" spans="1:74" ht="45" customHeight="1">
      <c r="A219" s="24">
        <f t="shared" si="0"/>
        <v>205</v>
      </c>
      <c r="B219" s="522" t="s">
        <v>294</v>
      </c>
      <c r="C219" s="351"/>
      <c r="D219" s="523" t="s">
        <v>298</v>
      </c>
      <c r="E219" s="351"/>
      <c r="F219" s="524" t="s">
        <v>325</v>
      </c>
      <c r="G219" s="351"/>
      <c r="H219" s="561" t="s">
        <v>325</v>
      </c>
      <c r="I219" s="351"/>
      <c r="J219" s="562"/>
      <c r="K219" s="351"/>
      <c r="L219" s="562"/>
      <c r="M219" s="351"/>
      <c r="N219" s="34"/>
      <c r="O219" s="38"/>
      <c r="P219" s="526"/>
      <c r="Q219" s="351"/>
      <c r="R219" s="535"/>
      <c r="S219" s="351"/>
      <c r="T219" s="536"/>
      <c r="U219" s="351"/>
      <c r="V219" s="537"/>
      <c r="W219" s="351"/>
      <c r="X219" s="542" t="s">
        <v>294</v>
      </c>
      <c r="Y219" s="350"/>
      <c r="Z219" s="350"/>
      <c r="AA219" s="351"/>
      <c r="AB219" s="543" t="s">
        <v>294</v>
      </c>
      <c r="AC219" s="350"/>
      <c r="AD219" s="350"/>
      <c r="AE219" s="351"/>
      <c r="AF219" s="540"/>
      <c r="AG219" s="351"/>
      <c r="AH219" s="540"/>
      <c r="AI219" s="351"/>
      <c r="AJ219" s="532"/>
      <c r="AK219" s="351"/>
      <c r="AL219" s="524" t="s">
        <v>325</v>
      </c>
      <c r="AM219" s="351"/>
      <c r="AN219" s="549" t="s">
        <v>325</v>
      </c>
      <c r="AO219" s="351"/>
      <c r="AP219" s="532"/>
      <c r="AQ219" s="351"/>
      <c r="AR219" s="533"/>
      <c r="AS219" s="351"/>
      <c r="AT219" s="534"/>
      <c r="AU219" s="351"/>
      <c r="AV219" s="549" t="s">
        <v>325</v>
      </c>
      <c r="AW219" s="351"/>
      <c r="AX219" s="553"/>
      <c r="AY219" s="350"/>
      <c r="AZ219" s="351"/>
      <c r="BA219" s="545"/>
      <c r="BB219" s="351"/>
      <c r="BC219" s="39"/>
      <c r="BD219" s="546" t="s">
        <v>325</v>
      </c>
      <c r="BE219" s="351"/>
      <c r="BF219" s="529"/>
      <c r="BG219" s="350"/>
      <c r="BH219" s="350"/>
      <c r="BI219" s="351"/>
      <c r="BJ219" s="548" t="s">
        <v>294</v>
      </c>
      <c r="BK219" s="350"/>
      <c r="BL219" s="350"/>
      <c r="BM219" s="351"/>
      <c r="BN219" s="530" t="s">
        <v>294</v>
      </c>
      <c r="BO219" s="350"/>
      <c r="BP219" s="350"/>
      <c r="BQ219" s="350"/>
      <c r="BR219" s="350"/>
      <c r="BS219" s="350"/>
      <c r="BT219" s="350"/>
      <c r="BU219" s="350"/>
      <c r="BV219" s="351"/>
    </row>
    <row r="220" spans="1:74" ht="45" customHeight="1">
      <c r="A220" s="24">
        <f t="shared" si="0"/>
        <v>206</v>
      </c>
      <c r="B220" s="558" t="s">
        <v>294</v>
      </c>
      <c r="C220" s="351"/>
      <c r="D220" s="559" t="s">
        <v>298</v>
      </c>
      <c r="E220" s="351"/>
      <c r="F220" s="524" t="s">
        <v>325</v>
      </c>
      <c r="G220" s="351"/>
      <c r="H220" s="525" t="s">
        <v>325</v>
      </c>
      <c r="I220" s="351"/>
      <c r="J220" s="40"/>
      <c r="K220" s="41"/>
      <c r="L220" s="40"/>
      <c r="M220" s="41"/>
      <c r="N220" s="37"/>
      <c r="O220" s="35"/>
      <c r="P220" s="560"/>
      <c r="Q220" s="351"/>
      <c r="R220" s="527"/>
      <c r="S220" s="351"/>
      <c r="T220" s="528"/>
      <c r="U220" s="351"/>
      <c r="V220" s="541"/>
      <c r="W220" s="351"/>
      <c r="X220" s="538" t="s">
        <v>294</v>
      </c>
      <c r="Y220" s="350"/>
      <c r="Z220" s="350"/>
      <c r="AA220" s="351"/>
      <c r="AB220" s="539" t="s">
        <v>294</v>
      </c>
      <c r="AC220" s="350"/>
      <c r="AD220" s="350"/>
      <c r="AE220" s="351"/>
      <c r="AF220" s="544"/>
      <c r="AG220" s="351"/>
      <c r="AH220" s="544"/>
      <c r="AI220" s="351"/>
      <c r="AJ220" s="545"/>
      <c r="AK220" s="351"/>
      <c r="AL220" s="555" t="s">
        <v>325</v>
      </c>
      <c r="AM220" s="351"/>
      <c r="AN220" s="531" t="s">
        <v>325</v>
      </c>
      <c r="AO220" s="351"/>
      <c r="AP220" s="550"/>
      <c r="AQ220" s="351"/>
      <c r="AR220" s="551"/>
      <c r="AS220" s="351"/>
      <c r="AT220" s="534"/>
      <c r="AU220" s="351"/>
      <c r="AV220" s="531" t="s">
        <v>325</v>
      </c>
      <c r="AW220" s="351"/>
      <c r="AX220" s="553"/>
      <c r="AY220" s="350"/>
      <c r="AZ220" s="351"/>
      <c r="BA220" s="554"/>
      <c r="BB220" s="351"/>
      <c r="BC220" s="36"/>
      <c r="BD220" s="556" t="s">
        <v>325</v>
      </c>
      <c r="BE220" s="351"/>
      <c r="BF220" s="547"/>
      <c r="BG220" s="350"/>
      <c r="BH220" s="350"/>
      <c r="BI220" s="351"/>
      <c r="BJ220" s="506" t="s">
        <v>294</v>
      </c>
      <c r="BK220" s="350"/>
      <c r="BL220" s="350"/>
      <c r="BM220" s="351"/>
      <c r="BN220" s="530" t="s">
        <v>294</v>
      </c>
      <c r="BO220" s="350"/>
      <c r="BP220" s="350"/>
      <c r="BQ220" s="350"/>
      <c r="BR220" s="350"/>
      <c r="BS220" s="350"/>
      <c r="BT220" s="350"/>
      <c r="BU220" s="350"/>
      <c r="BV220" s="351"/>
    </row>
    <row r="221" spans="1:74" ht="45" customHeight="1">
      <c r="A221" s="24">
        <f t="shared" si="0"/>
        <v>207</v>
      </c>
      <c r="B221" s="522" t="s">
        <v>294</v>
      </c>
      <c r="C221" s="351"/>
      <c r="D221" s="523" t="s">
        <v>298</v>
      </c>
      <c r="E221" s="351"/>
      <c r="F221" s="524" t="s">
        <v>325</v>
      </c>
      <c r="G221" s="351"/>
      <c r="H221" s="561" t="s">
        <v>325</v>
      </c>
      <c r="I221" s="351"/>
      <c r="J221" s="562"/>
      <c r="K221" s="351"/>
      <c r="L221" s="562"/>
      <c r="M221" s="351"/>
      <c r="N221" s="34"/>
      <c r="O221" s="38"/>
      <c r="P221" s="526"/>
      <c r="Q221" s="351"/>
      <c r="R221" s="535"/>
      <c r="S221" s="351"/>
      <c r="T221" s="536"/>
      <c r="U221" s="351"/>
      <c r="V221" s="537"/>
      <c r="W221" s="351"/>
      <c r="X221" s="542" t="s">
        <v>294</v>
      </c>
      <c r="Y221" s="350"/>
      <c r="Z221" s="350"/>
      <c r="AA221" s="351"/>
      <c r="AB221" s="543" t="s">
        <v>294</v>
      </c>
      <c r="AC221" s="350"/>
      <c r="AD221" s="350"/>
      <c r="AE221" s="351"/>
      <c r="AF221" s="540"/>
      <c r="AG221" s="351"/>
      <c r="AH221" s="540"/>
      <c r="AI221" s="351"/>
      <c r="AJ221" s="532"/>
      <c r="AK221" s="351"/>
      <c r="AL221" s="524" t="s">
        <v>325</v>
      </c>
      <c r="AM221" s="351"/>
      <c r="AN221" s="549" t="s">
        <v>325</v>
      </c>
      <c r="AO221" s="351"/>
      <c r="AP221" s="532"/>
      <c r="AQ221" s="351"/>
      <c r="AR221" s="533"/>
      <c r="AS221" s="351"/>
      <c r="AT221" s="534"/>
      <c r="AU221" s="351"/>
      <c r="AV221" s="549" t="s">
        <v>325</v>
      </c>
      <c r="AW221" s="351"/>
      <c r="AX221" s="553"/>
      <c r="AY221" s="350"/>
      <c r="AZ221" s="351"/>
      <c r="BA221" s="545"/>
      <c r="BB221" s="351"/>
      <c r="BC221" s="39"/>
      <c r="BD221" s="546" t="s">
        <v>325</v>
      </c>
      <c r="BE221" s="351"/>
      <c r="BF221" s="557"/>
      <c r="BG221" s="350"/>
      <c r="BH221" s="350"/>
      <c r="BI221" s="351"/>
      <c r="BJ221" s="548" t="s">
        <v>294</v>
      </c>
      <c r="BK221" s="350"/>
      <c r="BL221" s="350"/>
      <c r="BM221" s="351"/>
      <c r="BN221" s="530" t="s">
        <v>294</v>
      </c>
      <c r="BO221" s="350"/>
      <c r="BP221" s="350"/>
      <c r="BQ221" s="350"/>
      <c r="BR221" s="350"/>
      <c r="BS221" s="350"/>
      <c r="BT221" s="350"/>
      <c r="BU221" s="350"/>
      <c r="BV221" s="351"/>
    </row>
    <row r="222" spans="1:74" ht="45" customHeight="1">
      <c r="A222" s="24">
        <f t="shared" si="0"/>
        <v>208</v>
      </c>
      <c r="B222" s="558" t="s">
        <v>294</v>
      </c>
      <c r="C222" s="351"/>
      <c r="D222" s="559" t="s">
        <v>298</v>
      </c>
      <c r="E222" s="351"/>
      <c r="F222" s="524" t="s">
        <v>325</v>
      </c>
      <c r="G222" s="351"/>
      <c r="H222" s="525" t="s">
        <v>325</v>
      </c>
      <c r="I222" s="351"/>
      <c r="J222" s="40"/>
      <c r="K222" s="41"/>
      <c r="L222" s="40"/>
      <c r="M222" s="41"/>
      <c r="N222" s="37"/>
      <c r="O222" s="35"/>
      <c r="P222" s="560"/>
      <c r="Q222" s="351"/>
      <c r="R222" s="527"/>
      <c r="S222" s="351"/>
      <c r="T222" s="528"/>
      <c r="U222" s="351"/>
      <c r="V222" s="541"/>
      <c r="W222" s="351"/>
      <c r="X222" s="538" t="s">
        <v>294</v>
      </c>
      <c r="Y222" s="350"/>
      <c r="Z222" s="350"/>
      <c r="AA222" s="351"/>
      <c r="AB222" s="539" t="s">
        <v>294</v>
      </c>
      <c r="AC222" s="350"/>
      <c r="AD222" s="350"/>
      <c r="AE222" s="351"/>
      <c r="AF222" s="544"/>
      <c r="AG222" s="351"/>
      <c r="AH222" s="544"/>
      <c r="AI222" s="351"/>
      <c r="AJ222" s="545"/>
      <c r="AK222" s="351"/>
      <c r="AL222" s="555" t="s">
        <v>325</v>
      </c>
      <c r="AM222" s="351"/>
      <c r="AN222" s="531" t="s">
        <v>325</v>
      </c>
      <c r="AO222" s="351"/>
      <c r="AP222" s="550"/>
      <c r="AQ222" s="351"/>
      <c r="AR222" s="551"/>
      <c r="AS222" s="351"/>
      <c r="AT222" s="534"/>
      <c r="AU222" s="351"/>
      <c r="AV222" s="531" t="s">
        <v>325</v>
      </c>
      <c r="AW222" s="351"/>
      <c r="AX222" s="553"/>
      <c r="AY222" s="350"/>
      <c r="AZ222" s="351"/>
      <c r="BA222" s="554"/>
      <c r="BB222" s="351"/>
      <c r="BC222" s="36"/>
      <c r="BD222" s="556" t="s">
        <v>325</v>
      </c>
      <c r="BE222" s="351"/>
      <c r="BF222" s="547"/>
      <c r="BG222" s="350"/>
      <c r="BH222" s="350"/>
      <c r="BI222" s="351"/>
      <c r="BJ222" s="506" t="s">
        <v>294</v>
      </c>
      <c r="BK222" s="350"/>
      <c r="BL222" s="350"/>
      <c r="BM222" s="351"/>
      <c r="BN222" s="530" t="s">
        <v>294</v>
      </c>
      <c r="BO222" s="350"/>
      <c r="BP222" s="350"/>
      <c r="BQ222" s="350"/>
      <c r="BR222" s="350"/>
      <c r="BS222" s="350"/>
      <c r="BT222" s="350"/>
      <c r="BU222" s="350"/>
      <c r="BV222" s="351"/>
    </row>
    <row r="223" spans="1:74" ht="45" customHeight="1">
      <c r="A223" s="24">
        <f t="shared" si="0"/>
        <v>209</v>
      </c>
      <c r="B223" s="522" t="s">
        <v>294</v>
      </c>
      <c r="C223" s="351"/>
      <c r="D223" s="523" t="s">
        <v>298</v>
      </c>
      <c r="E223" s="351"/>
      <c r="F223" s="524" t="s">
        <v>325</v>
      </c>
      <c r="G223" s="351"/>
      <c r="H223" s="561" t="s">
        <v>325</v>
      </c>
      <c r="I223" s="351"/>
      <c r="J223" s="562"/>
      <c r="K223" s="351"/>
      <c r="L223" s="562"/>
      <c r="M223" s="351"/>
      <c r="N223" s="34"/>
      <c r="O223" s="38"/>
      <c r="P223" s="526"/>
      <c r="Q223" s="351"/>
      <c r="R223" s="535"/>
      <c r="S223" s="351"/>
      <c r="T223" s="536"/>
      <c r="U223" s="351"/>
      <c r="V223" s="537"/>
      <c r="W223" s="351"/>
      <c r="X223" s="542" t="s">
        <v>294</v>
      </c>
      <c r="Y223" s="350"/>
      <c r="Z223" s="350"/>
      <c r="AA223" s="351"/>
      <c r="AB223" s="543" t="s">
        <v>294</v>
      </c>
      <c r="AC223" s="350"/>
      <c r="AD223" s="350"/>
      <c r="AE223" s="351"/>
      <c r="AF223" s="540"/>
      <c r="AG223" s="351"/>
      <c r="AH223" s="540"/>
      <c r="AI223" s="351"/>
      <c r="AJ223" s="532"/>
      <c r="AK223" s="351"/>
      <c r="AL223" s="524" t="s">
        <v>325</v>
      </c>
      <c r="AM223" s="351"/>
      <c r="AN223" s="549" t="s">
        <v>325</v>
      </c>
      <c r="AO223" s="351"/>
      <c r="AP223" s="532"/>
      <c r="AQ223" s="351"/>
      <c r="AR223" s="533"/>
      <c r="AS223" s="351"/>
      <c r="AT223" s="534"/>
      <c r="AU223" s="351"/>
      <c r="AV223" s="549" t="s">
        <v>325</v>
      </c>
      <c r="AW223" s="351"/>
      <c r="AX223" s="553"/>
      <c r="AY223" s="350"/>
      <c r="AZ223" s="351"/>
      <c r="BA223" s="545"/>
      <c r="BB223" s="351"/>
      <c r="BC223" s="39"/>
      <c r="BD223" s="546" t="s">
        <v>325</v>
      </c>
      <c r="BE223" s="351"/>
      <c r="BF223" s="529"/>
      <c r="BG223" s="350"/>
      <c r="BH223" s="350"/>
      <c r="BI223" s="351"/>
      <c r="BJ223" s="548" t="s">
        <v>294</v>
      </c>
      <c r="BK223" s="350"/>
      <c r="BL223" s="350"/>
      <c r="BM223" s="351"/>
      <c r="BN223" s="530" t="s">
        <v>294</v>
      </c>
      <c r="BO223" s="350"/>
      <c r="BP223" s="350"/>
      <c r="BQ223" s="350"/>
      <c r="BR223" s="350"/>
      <c r="BS223" s="350"/>
      <c r="BT223" s="350"/>
      <c r="BU223" s="350"/>
      <c r="BV223" s="351"/>
    </row>
    <row r="224" spans="1:74" ht="45" customHeight="1">
      <c r="A224" s="24">
        <f t="shared" si="0"/>
        <v>210</v>
      </c>
      <c r="B224" s="558" t="s">
        <v>294</v>
      </c>
      <c r="C224" s="351"/>
      <c r="D224" s="559" t="s">
        <v>298</v>
      </c>
      <c r="E224" s="351"/>
      <c r="F224" s="524" t="s">
        <v>325</v>
      </c>
      <c r="G224" s="351"/>
      <c r="H224" s="525" t="s">
        <v>325</v>
      </c>
      <c r="I224" s="351"/>
      <c r="J224" s="40"/>
      <c r="K224" s="41"/>
      <c r="L224" s="40"/>
      <c r="M224" s="41"/>
      <c r="N224" s="37"/>
      <c r="O224" s="35"/>
      <c r="P224" s="560"/>
      <c r="Q224" s="351"/>
      <c r="R224" s="527"/>
      <c r="S224" s="351"/>
      <c r="T224" s="528"/>
      <c r="U224" s="351"/>
      <c r="V224" s="541"/>
      <c r="W224" s="351"/>
      <c r="X224" s="538" t="s">
        <v>294</v>
      </c>
      <c r="Y224" s="350"/>
      <c r="Z224" s="350"/>
      <c r="AA224" s="351"/>
      <c r="AB224" s="539" t="s">
        <v>294</v>
      </c>
      <c r="AC224" s="350"/>
      <c r="AD224" s="350"/>
      <c r="AE224" s="351"/>
      <c r="AF224" s="544"/>
      <c r="AG224" s="351"/>
      <c r="AH224" s="544"/>
      <c r="AI224" s="351"/>
      <c r="AJ224" s="545"/>
      <c r="AK224" s="351"/>
      <c r="AL224" s="555" t="s">
        <v>325</v>
      </c>
      <c r="AM224" s="351"/>
      <c r="AN224" s="531" t="s">
        <v>325</v>
      </c>
      <c r="AO224" s="351"/>
      <c r="AP224" s="550"/>
      <c r="AQ224" s="351"/>
      <c r="AR224" s="551"/>
      <c r="AS224" s="351"/>
      <c r="AT224" s="534"/>
      <c r="AU224" s="351"/>
      <c r="AV224" s="531" t="s">
        <v>325</v>
      </c>
      <c r="AW224" s="351"/>
      <c r="AX224" s="553"/>
      <c r="AY224" s="350"/>
      <c r="AZ224" s="351"/>
      <c r="BA224" s="554"/>
      <c r="BB224" s="351"/>
      <c r="BC224" s="36"/>
      <c r="BD224" s="556" t="s">
        <v>325</v>
      </c>
      <c r="BE224" s="351"/>
      <c r="BF224" s="547"/>
      <c r="BG224" s="350"/>
      <c r="BH224" s="350"/>
      <c r="BI224" s="351"/>
      <c r="BJ224" s="506" t="s">
        <v>294</v>
      </c>
      <c r="BK224" s="350"/>
      <c r="BL224" s="350"/>
      <c r="BM224" s="351"/>
      <c r="BN224" s="530" t="s">
        <v>294</v>
      </c>
      <c r="BO224" s="350"/>
      <c r="BP224" s="350"/>
      <c r="BQ224" s="350"/>
      <c r="BR224" s="350"/>
      <c r="BS224" s="350"/>
      <c r="BT224" s="350"/>
      <c r="BU224" s="350"/>
      <c r="BV224" s="351"/>
    </row>
    <row r="225" spans="1:74" ht="45" customHeight="1">
      <c r="A225" s="24">
        <f t="shared" si="0"/>
        <v>211</v>
      </c>
      <c r="B225" s="522" t="s">
        <v>294</v>
      </c>
      <c r="C225" s="351"/>
      <c r="D225" s="523" t="s">
        <v>298</v>
      </c>
      <c r="E225" s="351"/>
      <c r="F225" s="524" t="s">
        <v>325</v>
      </c>
      <c r="G225" s="351"/>
      <c r="H225" s="561" t="s">
        <v>325</v>
      </c>
      <c r="I225" s="351"/>
      <c r="J225" s="562"/>
      <c r="K225" s="351"/>
      <c r="L225" s="562"/>
      <c r="M225" s="351"/>
      <c r="N225" s="34"/>
      <c r="O225" s="38"/>
      <c r="P225" s="526"/>
      <c r="Q225" s="351"/>
      <c r="R225" s="535"/>
      <c r="S225" s="351"/>
      <c r="T225" s="536"/>
      <c r="U225" s="351"/>
      <c r="V225" s="537"/>
      <c r="W225" s="351"/>
      <c r="X225" s="542" t="s">
        <v>294</v>
      </c>
      <c r="Y225" s="350"/>
      <c r="Z225" s="350"/>
      <c r="AA225" s="351"/>
      <c r="AB225" s="543" t="s">
        <v>294</v>
      </c>
      <c r="AC225" s="350"/>
      <c r="AD225" s="350"/>
      <c r="AE225" s="351"/>
      <c r="AF225" s="540"/>
      <c r="AG225" s="351"/>
      <c r="AH225" s="540"/>
      <c r="AI225" s="351"/>
      <c r="AJ225" s="532"/>
      <c r="AK225" s="351"/>
      <c r="AL225" s="524" t="s">
        <v>325</v>
      </c>
      <c r="AM225" s="351"/>
      <c r="AN225" s="549" t="s">
        <v>325</v>
      </c>
      <c r="AO225" s="351"/>
      <c r="AP225" s="532"/>
      <c r="AQ225" s="351"/>
      <c r="AR225" s="533"/>
      <c r="AS225" s="351"/>
      <c r="AT225" s="534"/>
      <c r="AU225" s="351"/>
      <c r="AV225" s="549" t="s">
        <v>325</v>
      </c>
      <c r="AW225" s="351"/>
      <c r="AX225" s="553"/>
      <c r="AY225" s="350"/>
      <c r="AZ225" s="351"/>
      <c r="BA225" s="545"/>
      <c r="BB225" s="351"/>
      <c r="BC225" s="39"/>
      <c r="BD225" s="546" t="s">
        <v>325</v>
      </c>
      <c r="BE225" s="351"/>
      <c r="BF225" s="529"/>
      <c r="BG225" s="350"/>
      <c r="BH225" s="350"/>
      <c r="BI225" s="351"/>
      <c r="BJ225" s="548" t="s">
        <v>294</v>
      </c>
      <c r="BK225" s="350"/>
      <c r="BL225" s="350"/>
      <c r="BM225" s="351"/>
      <c r="BN225" s="530" t="s">
        <v>294</v>
      </c>
      <c r="BO225" s="350"/>
      <c r="BP225" s="350"/>
      <c r="BQ225" s="350"/>
      <c r="BR225" s="350"/>
      <c r="BS225" s="350"/>
      <c r="BT225" s="350"/>
      <c r="BU225" s="350"/>
      <c r="BV225" s="351"/>
    </row>
    <row r="226" spans="1:74" ht="45" customHeight="1">
      <c r="A226" s="24">
        <f t="shared" si="0"/>
        <v>212</v>
      </c>
      <c r="B226" s="558" t="s">
        <v>294</v>
      </c>
      <c r="C226" s="351"/>
      <c r="D226" s="559" t="s">
        <v>298</v>
      </c>
      <c r="E226" s="351"/>
      <c r="F226" s="524" t="s">
        <v>325</v>
      </c>
      <c r="G226" s="351"/>
      <c r="H226" s="525" t="s">
        <v>325</v>
      </c>
      <c r="I226" s="351"/>
      <c r="J226" s="40"/>
      <c r="K226" s="41"/>
      <c r="L226" s="40"/>
      <c r="M226" s="41"/>
      <c r="N226" s="37"/>
      <c r="O226" s="35"/>
      <c r="P226" s="560"/>
      <c r="Q226" s="351"/>
      <c r="R226" s="527"/>
      <c r="S226" s="351"/>
      <c r="T226" s="528"/>
      <c r="U226" s="351"/>
      <c r="V226" s="541"/>
      <c r="W226" s="351"/>
      <c r="X226" s="538" t="s">
        <v>294</v>
      </c>
      <c r="Y226" s="350"/>
      <c r="Z226" s="350"/>
      <c r="AA226" s="351"/>
      <c r="AB226" s="539" t="s">
        <v>294</v>
      </c>
      <c r="AC226" s="350"/>
      <c r="AD226" s="350"/>
      <c r="AE226" s="351"/>
      <c r="AF226" s="544"/>
      <c r="AG226" s="351"/>
      <c r="AH226" s="544"/>
      <c r="AI226" s="351"/>
      <c r="AJ226" s="545"/>
      <c r="AK226" s="351"/>
      <c r="AL226" s="555" t="s">
        <v>325</v>
      </c>
      <c r="AM226" s="351"/>
      <c r="AN226" s="531" t="s">
        <v>325</v>
      </c>
      <c r="AO226" s="351"/>
      <c r="AP226" s="550"/>
      <c r="AQ226" s="351"/>
      <c r="AR226" s="551"/>
      <c r="AS226" s="351"/>
      <c r="AT226" s="534"/>
      <c r="AU226" s="351"/>
      <c r="AV226" s="531" t="s">
        <v>325</v>
      </c>
      <c r="AW226" s="351"/>
      <c r="AX226" s="553"/>
      <c r="AY226" s="350"/>
      <c r="AZ226" s="351"/>
      <c r="BA226" s="554"/>
      <c r="BB226" s="351"/>
      <c r="BC226" s="36"/>
      <c r="BD226" s="556" t="s">
        <v>325</v>
      </c>
      <c r="BE226" s="351"/>
      <c r="BF226" s="547"/>
      <c r="BG226" s="350"/>
      <c r="BH226" s="350"/>
      <c r="BI226" s="351"/>
      <c r="BJ226" s="506" t="s">
        <v>294</v>
      </c>
      <c r="BK226" s="350"/>
      <c r="BL226" s="350"/>
      <c r="BM226" s="351"/>
      <c r="BN226" s="530" t="s">
        <v>294</v>
      </c>
      <c r="BO226" s="350"/>
      <c r="BP226" s="350"/>
      <c r="BQ226" s="350"/>
      <c r="BR226" s="350"/>
      <c r="BS226" s="350"/>
      <c r="BT226" s="350"/>
      <c r="BU226" s="350"/>
      <c r="BV226" s="351"/>
    </row>
    <row r="227" spans="1:74" ht="45" customHeight="1">
      <c r="A227" s="24">
        <f t="shared" si="0"/>
        <v>213</v>
      </c>
      <c r="B227" s="522" t="s">
        <v>294</v>
      </c>
      <c r="C227" s="351"/>
      <c r="D227" s="523" t="s">
        <v>298</v>
      </c>
      <c r="E227" s="351"/>
      <c r="F227" s="524" t="s">
        <v>325</v>
      </c>
      <c r="G227" s="351"/>
      <c r="H227" s="561" t="s">
        <v>325</v>
      </c>
      <c r="I227" s="351"/>
      <c r="J227" s="562"/>
      <c r="K227" s="351"/>
      <c r="L227" s="562"/>
      <c r="M227" s="351"/>
      <c r="N227" s="34"/>
      <c r="O227" s="38"/>
      <c r="P227" s="526"/>
      <c r="Q227" s="351"/>
      <c r="R227" s="535"/>
      <c r="S227" s="351"/>
      <c r="T227" s="536"/>
      <c r="U227" s="351"/>
      <c r="V227" s="537"/>
      <c r="W227" s="351"/>
      <c r="X227" s="542" t="s">
        <v>294</v>
      </c>
      <c r="Y227" s="350"/>
      <c r="Z227" s="350"/>
      <c r="AA227" s="351"/>
      <c r="AB227" s="543" t="s">
        <v>294</v>
      </c>
      <c r="AC227" s="350"/>
      <c r="AD227" s="350"/>
      <c r="AE227" s="351"/>
      <c r="AF227" s="540"/>
      <c r="AG227" s="351"/>
      <c r="AH227" s="540"/>
      <c r="AI227" s="351"/>
      <c r="AJ227" s="532"/>
      <c r="AK227" s="351"/>
      <c r="AL227" s="524" t="s">
        <v>325</v>
      </c>
      <c r="AM227" s="351"/>
      <c r="AN227" s="549" t="s">
        <v>325</v>
      </c>
      <c r="AO227" s="351"/>
      <c r="AP227" s="532"/>
      <c r="AQ227" s="351"/>
      <c r="AR227" s="533"/>
      <c r="AS227" s="351"/>
      <c r="AT227" s="534"/>
      <c r="AU227" s="351"/>
      <c r="AV227" s="549" t="s">
        <v>325</v>
      </c>
      <c r="AW227" s="351"/>
      <c r="AX227" s="553"/>
      <c r="AY227" s="350"/>
      <c r="AZ227" s="351"/>
      <c r="BA227" s="545"/>
      <c r="BB227" s="351"/>
      <c r="BC227" s="39"/>
      <c r="BD227" s="546" t="s">
        <v>325</v>
      </c>
      <c r="BE227" s="351"/>
      <c r="BF227" s="557"/>
      <c r="BG227" s="350"/>
      <c r="BH227" s="350"/>
      <c r="BI227" s="351"/>
      <c r="BJ227" s="548" t="s">
        <v>294</v>
      </c>
      <c r="BK227" s="350"/>
      <c r="BL227" s="350"/>
      <c r="BM227" s="351"/>
      <c r="BN227" s="530" t="s">
        <v>294</v>
      </c>
      <c r="BO227" s="350"/>
      <c r="BP227" s="350"/>
      <c r="BQ227" s="350"/>
      <c r="BR227" s="350"/>
      <c r="BS227" s="350"/>
      <c r="BT227" s="350"/>
      <c r="BU227" s="350"/>
      <c r="BV227" s="351"/>
    </row>
    <row r="228" spans="1:74" ht="45" customHeight="1">
      <c r="A228" s="24">
        <f t="shared" si="0"/>
        <v>214</v>
      </c>
      <c r="B228" s="558" t="s">
        <v>294</v>
      </c>
      <c r="C228" s="351"/>
      <c r="D228" s="559" t="s">
        <v>298</v>
      </c>
      <c r="E228" s="351"/>
      <c r="F228" s="524" t="s">
        <v>325</v>
      </c>
      <c r="G228" s="351"/>
      <c r="H228" s="525" t="s">
        <v>325</v>
      </c>
      <c r="I228" s="351"/>
      <c r="J228" s="40"/>
      <c r="K228" s="41"/>
      <c r="L228" s="40"/>
      <c r="M228" s="41"/>
      <c r="N228" s="37"/>
      <c r="O228" s="35"/>
      <c r="P228" s="560"/>
      <c r="Q228" s="351"/>
      <c r="R228" s="527"/>
      <c r="S228" s="351"/>
      <c r="T228" s="528"/>
      <c r="U228" s="351"/>
      <c r="V228" s="541"/>
      <c r="W228" s="351"/>
      <c r="X228" s="538" t="s">
        <v>294</v>
      </c>
      <c r="Y228" s="350"/>
      <c r="Z228" s="350"/>
      <c r="AA228" s="351"/>
      <c r="AB228" s="539" t="s">
        <v>294</v>
      </c>
      <c r="AC228" s="350"/>
      <c r="AD228" s="350"/>
      <c r="AE228" s="351"/>
      <c r="AF228" s="544"/>
      <c r="AG228" s="351"/>
      <c r="AH228" s="544"/>
      <c r="AI228" s="351"/>
      <c r="AJ228" s="545"/>
      <c r="AK228" s="351"/>
      <c r="AL228" s="555" t="s">
        <v>325</v>
      </c>
      <c r="AM228" s="351"/>
      <c r="AN228" s="531" t="s">
        <v>325</v>
      </c>
      <c r="AO228" s="351"/>
      <c r="AP228" s="550"/>
      <c r="AQ228" s="351"/>
      <c r="AR228" s="551"/>
      <c r="AS228" s="351"/>
      <c r="AT228" s="534"/>
      <c r="AU228" s="351"/>
      <c r="AV228" s="531" t="s">
        <v>325</v>
      </c>
      <c r="AW228" s="351"/>
      <c r="AX228" s="553"/>
      <c r="AY228" s="350"/>
      <c r="AZ228" s="351"/>
      <c r="BA228" s="554"/>
      <c r="BB228" s="351"/>
      <c r="BC228" s="36"/>
      <c r="BD228" s="556" t="s">
        <v>325</v>
      </c>
      <c r="BE228" s="351"/>
      <c r="BF228" s="547"/>
      <c r="BG228" s="350"/>
      <c r="BH228" s="350"/>
      <c r="BI228" s="351"/>
      <c r="BJ228" s="506" t="s">
        <v>294</v>
      </c>
      <c r="BK228" s="350"/>
      <c r="BL228" s="350"/>
      <c r="BM228" s="351"/>
      <c r="BN228" s="530" t="s">
        <v>294</v>
      </c>
      <c r="BO228" s="350"/>
      <c r="BP228" s="350"/>
      <c r="BQ228" s="350"/>
      <c r="BR228" s="350"/>
      <c r="BS228" s="350"/>
      <c r="BT228" s="350"/>
      <c r="BU228" s="350"/>
      <c r="BV228" s="351"/>
    </row>
    <row r="229" spans="1:74" ht="45" customHeight="1">
      <c r="A229" s="24">
        <f t="shared" si="0"/>
        <v>215</v>
      </c>
      <c r="B229" s="522" t="s">
        <v>294</v>
      </c>
      <c r="C229" s="351"/>
      <c r="D229" s="523" t="s">
        <v>298</v>
      </c>
      <c r="E229" s="351"/>
      <c r="F229" s="524" t="s">
        <v>325</v>
      </c>
      <c r="G229" s="351"/>
      <c r="H229" s="561" t="s">
        <v>325</v>
      </c>
      <c r="I229" s="351"/>
      <c r="J229" s="562"/>
      <c r="K229" s="351"/>
      <c r="L229" s="562"/>
      <c r="M229" s="351"/>
      <c r="N229" s="34"/>
      <c r="O229" s="38"/>
      <c r="P229" s="526"/>
      <c r="Q229" s="351"/>
      <c r="R229" s="535"/>
      <c r="S229" s="351"/>
      <c r="T229" s="536"/>
      <c r="U229" s="351"/>
      <c r="V229" s="537"/>
      <c r="W229" s="351"/>
      <c r="X229" s="542" t="s">
        <v>294</v>
      </c>
      <c r="Y229" s="350"/>
      <c r="Z229" s="350"/>
      <c r="AA229" s="351"/>
      <c r="AB229" s="543" t="s">
        <v>294</v>
      </c>
      <c r="AC229" s="350"/>
      <c r="AD229" s="350"/>
      <c r="AE229" s="351"/>
      <c r="AF229" s="540"/>
      <c r="AG229" s="351"/>
      <c r="AH229" s="540"/>
      <c r="AI229" s="351"/>
      <c r="AJ229" s="532"/>
      <c r="AK229" s="351"/>
      <c r="AL229" s="524" t="s">
        <v>325</v>
      </c>
      <c r="AM229" s="351"/>
      <c r="AN229" s="549" t="s">
        <v>325</v>
      </c>
      <c r="AO229" s="351"/>
      <c r="AP229" s="532"/>
      <c r="AQ229" s="351"/>
      <c r="AR229" s="533"/>
      <c r="AS229" s="351"/>
      <c r="AT229" s="534"/>
      <c r="AU229" s="351"/>
      <c r="AV229" s="549" t="s">
        <v>325</v>
      </c>
      <c r="AW229" s="351"/>
      <c r="AX229" s="553"/>
      <c r="AY229" s="350"/>
      <c r="AZ229" s="351"/>
      <c r="BA229" s="545"/>
      <c r="BB229" s="351"/>
      <c r="BC229" s="39"/>
      <c r="BD229" s="546" t="s">
        <v>325</v>
      </c>
      <c r="BE229" s="351"/>
      <c r="BF229" s="529"/>
      <c r="BG229" s="350"/>
      <c r="BH229" s="350"/>
      <c r="BI229" s="351"/>
      <c r="BJ229" s="548" t="s">
        <v>294</v>
      </c>
      <c r="BK229" s="350"/>
      <c r="BL229" s="350"/>
      <c r="BM229" s="351"/>
      <c r="BN229" s="530" t="s">
        <v>294</v>
      </c>
      <c r="BO229" s="350"/>
      <c r="BP229" s="350"/>
      <c r="BQ229" s="350"/>
      <c r="BR229" s="350"/>
      <c r="BS229" s="350"/>
      <c r="BT229" s="350"/>
      <c r="BU229" s="350"/>
      <c r="BV229" s="351"/>
    </row>
    <row r="230" spans="1:74" ht="45" customHeight="1">
      <c r="A230" s="24">
        <f t="shared" si="0"/>
        <v>216</v>
      </c>
      <c r="B230" s="558" t="s">
        <v>294</v>
      </c>
      <c r="C230" s="351"/>
      <c r="D230" s="559" t="s">
        <v>298</v>
      </c>
      <c r="E230" s="351"/>
      <c r="F230" s="524" t="s">
        <v>325</v>
      </c>
      <c r="G230" s="351"/>
      <c r="H230" s="525" t="s">
        <v>325</v>
      </c>
      <c r="I230" s="351"/>
      <c r="J230" s="40"/>
      <c r="K230" s="41"/>
      <c r="L230" s="40"/>
      <c r="M230" s="41"/>
      <c r="N230" s="37"/>
      <c r="O230" s="35"/>
      <c r="P230" s="560"/>
      <c r="Q230" s="351"/>
      <c r="R230" s="527"/>
      <c r="S230" s="351"/>
      <c r="T230" s="528"/>
      <c r="U230" s="351"/>
      <c r="V230" s="541"/>
      <c r="W230" s="351"/>
      <c r="X230" s="538" t="s">
        <v>294</v>
      </c>
      <c r="Y230" s="350"/>
      <c r="Z230" s="350"/>
      <c r="AA230" s="351"/>
      <c r="AB230" s="539" t="s">
        <v>294</v>
      </c>
      <c r="AC230" s="350"/>
      <c r="AD230" s="350"/>
      <c r="AE230" s="351"/>
      <c r="AF230" s="544"/>
      <c r="AG230" s="351"/>
      <c r="AH230" s="544"/>
      <c r="AI230" s="351"/>
      <c r="AJ230" s="545"/>
      <c r="AK230" s="351"/>
      <c r="AL230" s="555" t="s">
        <v>325</v>
      </c>
      <c r="AM230" s="351"/>
      <c r="AN230" s="531" t="s">
        <v>325</v>
      </c>
      <c r="AO230" s="351"/>
      <c r="AP230" s="550"/>
      <c r="AQ230" s="351"/>
      <c r="AR230" s="551"/>
      <c r="AS230" s="351"/>
      <c r="AT230" s="534"/>
      <c r="AU230" s="351"/>
      <c r="AV230" s="531" t="s">
        <v>325</v>
      </c>
      <c r="AW230" s="351"/>
      <c r="AX230" s="553"/>
      <c r="AY230" s="350"/>
      <c r="AZ230" s="351"/>
      <c r="BA230" s="554"/>
      <c r="BB230" s="351"/>
      <c r="BC230" s="36"/>
      <c r="BD230" s="556" t="s">
        <v>325</v>
      </c>
      <c r="BE230" s="351"/>
      <c r="BF230" s="547"/>
      <c r="BG230" s="350"/>
      <c r="BH230" s="350"/>
      <c r="BI230" s="351"/>
      <c r="BJ230" s="506" t="s">
        <v>294</v>
      </c>
      <c r="BK230" s="350"/>
      <c r="BL230" s="350"/>
      <c r="BM230" s="351"/>
      <c r="BN230" s="530" t="s">
        <v>294</v>
      </c>
      <c r="BO230" s="350"/>
      <c r="BP230" s="350"/>
      <c r="BQ230" s="350"/>
      <c r="BR230" s="350"/>
      <c r="BS230" s="350"/>
      <c r="BT230" s="350"/>
      <c r="BU230" s="350"/>
      <c r="BV230" s="351"/>
    </row>
    <row r="231" spans="1:74" ht="45" customHeight="1">
      <c r="A231" s="24">
        <f t="shared" si="0"/>
        <v>217</v>
      </c>
      <c r="B231" s="522" t="s">
        <v>294</v>
      </c>
      <c r="C231" s="351"/>
      <c r="D231" s="523" t="s">
        <v>298</v>
      </c>
      <c r="E231" s="351"/>
      <c r="F231" s="524" t="s">
        <v>325</v>
      </c>
      <c r="G231" s="351"/>
      <c r="H231" s="561" t="s">
        <v>325</v>
      </c>
      <c r="I231" s="351"/>
      <c r="J231" s="562"/>
      <c r="K231" s="351"/>
      <c r="L231" s="562"/>
      <c r="M231" s="351"/>
      <c r="N231" s="34"/>
      <c r="O231" s="38"/>
      <c r="P231" s="526"/>
      <c r="Q231" s="351"/>
      <c r="R231" s="535"/>
      <c r="S231" s="351"/>
      <c r="T231" s="536"/>
      <c r="U231" s="351"/>
      <c r="V231" s="537"/>
      <c r="W231" s="351"/>
      <c r="X231" s="542" t="s">
        <v>294</v>
      </c>
      <c r="Y231" s="350"/>
      <c r="Z231" s="350"/>
      <c r="AA231" s="351"/>
      <c r="AB231" s="543" t="s">
        <v>294</v>
      </c>
      <c r="AC231" s="350"/>
      <c r="AD231" s="350"/>
      <c r="AE231" s="351"/>
      <c r="AF231" s="540"/>
      <c r="AG231" s="351"/>
      <c r="AH231" s="540"/>
      <c r="AI231" s="351"/>
      <c r="AJ231" s="532"/>
      <c r="AK231" s="351"/>
      <c r="AL231" s="524" t="s">
        <v>325</v>
      </c>
      <c r="AM231" s="351"/>
      <c r="AN231" s="549" t="s">
        <v>325</v>
      </c>
      <c r="AO231" s="351"/>
      <c r="AP231" s="532"/>
      <c r="AQ231" s="351"/>
      <c r="AR231" s="533"/>
      <c r="AS231" s="351"/>
      <c r="AT231" s="534"/>
      <c r="AU231" s="351"/>
      <c r="AV231" s="549" t="s">
        <v>325</v>
      </c>
      <c r="AW231" s="351"/>
      <c r="AX231" s="553"/>
      <c r="AY231" s="350"/>
      <c r="AZ231" s="351"/>
      <c r="BA231" s="545"/>
      <c r="BB231" s="351"/>
      <c r="BC231" s="39"/>
      <c r="BD231" s="546" t="s">
        <v>325</v>
      </c>
      <c r="BE231" s="351"/>
      <c r="BF231" s="557"/>
      <c r="BG231" s="350"/>
      <c r="BH231" s="350"/>
      <c r="BI231" s="351"/>
      <c r="BJ231" s="548" t="s">
        <v>294</v>
      </c>
      <c r="BK231" s="350"/>
      <c r="BL231" s="350"/>
      <c r="BM231" s="351"/>
      <c r="BN231" s="530" t="s">
        <v>294</v>
      </c>
      <c r="BO231" s="350"/>
      <c r="BP231" s="350"/>
      <c r="BQ231" s="350"/>
      <c r="BR231" s="350"/>
      <c r="BS231" s="350"/>
      <c r="BT231" s="350"/>
      <c r="BU231" s="350"/>
      <c r="BV231" s="351"/>
    </row>
    <row r="232" spans="1:74" ht="45" customHeight="1">
      <c r="A232" s="24">
        <f t="shared" si="0"/>
        <v>218</v>
      </c>
      <c r="B232" s="558" t="s">
        <v>294</v>
      </c>
      <c r="C232" s="351"/>
      <c r="D232" s="559" t="s">
        <v>298</v>
      </c>
      <c r="E232" s="351"/>
      <c r="F232" s="524" t="s">
        <v>325</v>
      </c>
      <c r="G232" s="351"/>
      <c r="H232" s="525" t="s">
        <v>325</v>
      </c>
      <c r="I232" s="351"/>
      <c r="J232" s="40"/>
      <c r="K232" s="41"/>
      <c r="L232" s="40"/>
      <c r="M232" s="41"/>
      <c r="N232" s="37"/>
      <c r="O232" s="35"/>
      <c r="P232" s="560"/>
      <c r="Q232" s="351"/>
      <c r="R232" s="527"/>
      <c r="S232" s="351"/>
      <c r="T232" s="528"/>
      <c r="U232" s="351"/>
      <c r="V232" s="541"/>
      <c r="W232" s="351"/>
      <c r="X232" s="538" t="s">
        <v>294</v>
      </c>
      <c r="Y232" s="350"/>
      <c r="Z232" s="350"/>
      <c r="AA232" s="351"/>
      <c r="AB232" s="539" t="s">
        <v>294</v>
      </c>
      <c r="AC232" s="350"/>
      <c r="AD232" s="350"/>
      <c r="AE232" s="351"/>
      <c r="AF232" s="544"/>
      <c r="AG232" s="351"/>
      <c r="AH232" s="544"/>
      <c r="AI232" s="351"/>
      <c r="AJ232" s="545"/>
      <c r="AK232" s="351"/>
      <c r="AL232" s="555" t="s">
        <v>325</v>
      </c>
      <c r="AM232" s="351"/>
      <c r="AN232" s="531" t="s">
        <v>325</v>
      </c>
      <c r="AO232" s="351"/>
      <c r="AP232" s="550"/>
      <c r="AQ232" s="351"/>
      <c r="AR232" s="551"/>
      <c r="AS232" s="351"/>
      <c r="AT232" s="534"/>
      <c r="AU232" s="351"/>
      <c r="AV232" s="531" t="s">
        <v>325</v>
      </c>
      <c r="AW232" s="351"/>
      <c r="AX232" s="553"/>
      <c r="AY232" s="350"/>
      <c r="AZ232" s="351"/>
      <c r="BA232" s="554"/>
      <c r="BB232" s="351"/>
      <c r="BC232" s="36"/>
      <c r="BD232" s="556" t="s">
        <v>325</v>
      </c>
      <c r="BE232" s="351"/>
      <c r="BF232" s="547"/>
      <c r="BG232" s="350"/>
      <c r="BH232" s="350"/>
      <c r="BI232" s="351"/>
      <c r="BJ232" s="506" t="s">
        <v>294</v>
      </c>
      <c r="BK232" s="350"/>
      <c r="BL232" s="350"/>
      <c r="BM232" s="351"/>
      <c r="BN232" s="530" t="s">
        <v>294</v>
      </c>
      <c r="BO232" s="350"/>
      <c r="BP232" s="350"/>
      <c r="BQ232" s="350"/>
      <c r="BR232" s="350"/>
      <c r="BS232" s="350"/>
      <c r="BT232" s="350"/>
      <c r="BU232" s="350"/>
      <c r="BV232" s="351"/>
    </row>
    <row r="233" spans="1:74" ht="45" customHeight="1">
      <c r="A233" s="24">
        <f t="shared" si="0"/>
        <v>219</v>
      </c>
      <c r="B233" s="522" t="s">
        <v>294</v>
      </c>
      <c r="C233" s="351"/>
      <c r="D233" s="523" t="s">
        <v>298</v>
      </c>
      <c r="E233" s="351"/>
      <c r="F233" s="524" t="s">
        <v>325</v>
      </c>
      <c r="G233" s="351"/>
      <c r="H233" s="561" t="s">
        <v>325</v>
      </c>
      <c r="I233" s="351"/>
      <c r="J233" s="562"/>
      <c r="K233" s="351"/>
      <c r="L233" s="562"/>
      <c r="M233" s="351"/>
      <c r="N233" s="34"/>
      <c r="O233" s="38"/>
      <c r="P233" s="526"/>
      <c r="Q233" s="351"/>
      <c r="R233" s="535"/>
      <c r="S233" s="351"/>
      <c r="T233" s="536"/>
      <c r="U233" s="351"/>
      <c r="V233" s="537"/>
      <c r="W233" s="351"/>
      <c r="X233" s="542" t="s">
        <v>294</v>
      </c>
      <c r="Y233" s="350"/>
      <c r="Z233" s="350"/>
      <c r="AA233" s="351"/>
      <c r="AB233" s="543" t="s">
        <v>294</v>
      </c>
      <c r="AC233" s="350"/>
      <c r="AD233" s="350"/>
      <c r="AE233" s="351"/>
      <c r="AF233" s="540"/>
      <c r="AG233" s="351"/>
      <c r="AH233" s="540"/>
      <c r="AI233" s="351"/>
      <c r="AJ233" s="532"/>
      <c r="AK233" s="351"/>
      <c r="AL233" s="524" t="s">
        <v>325</v>
      </c>
      <c r="AM233" s="351"/>
      <c r="AN233" s="549" t="s">
        <v>325</v>
      </c>
      <c r="AO233" s="351"/>
      <c r="AP233" s="532"/>
      <c r="AQ233" s="351"/>
      <c r="AR233" s="533"/>
      <c r="AS233" s="351"/>
      <c r="AT233" s="534"/>
      <c r="AU233" s="351"/>
      <c r="AV233" s="549" t="s">
        <v>325</v>
      </c>
      <c r="AW233" s="351"/>
      <c r="AX233" s="553"/>
      <c r="AY233" s="350"/>
      <c r="AZ233" s="351"/>
      <c r="BA233" s="545"/>
      <c r="BB233" s="351"/>
      <c r="BC233" s="39"/>
      <c r="BD233" s="546" t="s">
        <v>325</v>
      </c>
      <c r="BE233" s="351"/>
      <c r="BF233" s="529"/>
      <c r="BG233" s="350"/>
      <c r="BH233" s="350"/>
      <c r="BI233" s="351"/>
      <c r="BJ233" s="548" t="s">
        <v>294</v>
      </c>
      <c r="BK233" s="350"/>
      <c r="BL233" s="350"/>
      <c r="BM233" s="351"/>
      <c r="BN233" s="530" t="s">
        <v>294</v>
      </c>
      <c r="BO233" s="350"/>
      <c r="BP233" s="350"/>
      <c r="BQ233" s="350"/>
      <c r="BR233" s="350"/>
      <c r="BS233" s="350"/>
      <c r="BT233" s="350"/>
      <c r="BU233" s="350"/>
      <c r="BV233" s="351"/>
    </row>
    <row r="234" spans="1:74" ht="45" customHeight="1">
      <c r="A234" s="24">
        <f t="shared" si="0"/>
        <v>220</v>
      </c>
      <c r="B234" s="558" t="s">
        <v>294</v>
      </c>
      <c r="C234" s="351"/>
      <c r="D234" s="559" t="s">
        <v>298</v>
      </c>
      <c r="E234" s="351"/>
      <c r="F234" s="524" t="s">
        <v>325</v>
      </c>
      <c r="G234" s="351"/>
      <c r="H234" s="525" t="s">
        <v>325</v>
      </c>
      <c r="I234" s="351"/>
      <c r="J234" s="40"/>
      <c r="K234" s="41"/>
      <c r="L234" s="40"/>
      <c r="M234" s="41"/>
      <c r="N234" s="37"/>
      <c r="O234" s="35"/>
      <c r="P234" s="560"/>
      <c r="Q234" s="351"/>
      <c r="R234" s="527"/>
      <c r="S234" s="351"/>
      <c r="T234" s="528"/>
      <c r="U234" s="351"/>
      <c r="V234" s="541"/>
      <c r="W234" s="351"/>
      <c r="X234" s="538" t="s">
        <v>294</v>
      </c>
      <c r="Y234" s="350"/>
      <c r="Z234" s="350"/>
      <c r="AA234" s="351"/>
      <c r="AB234" s="539" t="s">
        <v>294</v>
      </c>
      <c r="AC234" s="350"/>
      <c r="AD234" s="350"/>
      <c r="AE234" s="351"/>
      <c r="AF234" s="544"/>
      <c r="AG234" s="351"/>
      <c r="AH234" s="544"/>
      <c r="AI234" s="351"/>
      <c r="AJ234" s="545"/>
      <c r="AK234" s="351"/>
      <c r="AL234" s="555" t="s">
        <v>325</v>
      </c>
      <c r="AM234" s="351"/>
      <c r="AN234" s="531" t="s">
        <v>325</v>
      </c>
      <c r="AO234" s="351"/>
      <c r="AP234" s="550"/>
      <c r="AQ234" s="351"/>
      <c r="AR234" s="551"/>
      <c r="AS234" s="351"/>
      <c r="AT234" s="534"/>
      <c r="AU234" s="351"/>
      <c r="AV234" s="531" t="s">
        <v>325</v>
      </c>
      <c r="AW234" s="351"/>
      <c r="AX234" s="553"/>
      <c r="AY234" s="350"/>
      <c r="AZ234" s="351"/>
      <c r="BA234" s="554"/>
      <c r="BB234" s="351"/>
      <c r="BC234" s="36"/>
      <c r="BD234" s="556" t="s">
        <v>325</v>
      </c>
      <c r="BE234" s="351"/>
      <c r="BF234" s="547"/>
      <c r="BG234" s="350"/>
      <c r="BH234" s="350"/>
      <c r="BI234" s="351"/>
      <c r="BJ234" s="506" t="s">
        <v>294</v>
      </c>
      <c r="BK234" s="350"/>
      <c r="BL234" s="350"/>
      <c r="BM234" s="351"/>
      <c r="BN234" s="530" t="s">
        <v>294</v>
      </c>
      <c r="BO234" s="350"/>
      <c r="BP234" s="350"/>
      <c r="BQ234" s="350"/>
      <c r="BR234" s="350"/>
      <c r="BS234" s="350"/>
      <c r="BT234" s="350"/>
      <c r="BU234" s="350"/>
      <c r="BV234" s="351"/>
    </row>
    <row r="235" spans="1:74" ht="45" customHeight="1">
      <c r="A235" s="24">
        <f t="shared" si="0"/>
        <v>221</v>
      </c>
      <c r="B235" s="522" t="s">
        <v>294</v>
      </c>
      <c r="C235" s="351"/>
      <c r="D235" s="523" t="s">
        <v>298</v>
      </c>
      <c r="E235" s="351"/>
      <c r="F235" s="524" t="s">
        <v>325</v>
      </c>
      <c r="G235" s="351"/>
      <c r="H235" s="561" t="s">
        <v>325</v>
      </c>
      <c r="I235" s="351"/>
      <c r="J235" s="562"/>
      <c r="K235" s="351"/>
      <c r="L235" s="562"/>
      <c r="M235" s="351"/>
      <c r="N235" s="34"/>
      <c r="O235" s="38"/>
      <c r="P235" s="526"/>
      <c r="Q235" s="351"/>
      <c r="R235" s="535"/>
      <c r="S235" s="351"/>
      <c r="T235" s="536"/>
      <c r="U235" s="351"/>
      <c r="V235" s="537"/>
      <c r="W235" s="351"/>
      <c r="X235" s="542" t="s">
        <v>294</v>
      </c>
      <c r="Y235" s="350"/>
      <c r="Z235" s="350"/>
      <c r="AA235" s="351"/>
      <c r="AB235" s="543" t="s">
        <v>294</v>
      </c>
      <c r="AC235" s="350"/>
      <c r="AD235" s="350"/>
      <c r="AE235" s="351"/>
      <c r="AF235" s="540"/>
      <c r="AG235" s="351"/>
      <c r="AH235" s="540"/>
      <c r="AI235" s="351"/>
      <c r="AJ235" s="532"/>
      <c r="AK235" s="351"/>
      <c r="AL235" s="524" t="s">
        <v>325</v>
      </c>
      <c r="AM235" s="351"/>
      <c r="AN235" s="549" t="s">
        <v>325</v>
      </c>
      <c r="AO235" s="351"/>
      <c r="AP235" s="532"/>
      <c r="AQ235" s="351"/>
      <c r="AR235" s="533"/>
      <c r="AS235" s="351"/>
      <c r="AT235" s="534"/>
      <c r="AU235" s="351"/>
      <c r="AV235" s="549" t="s">
        <v>325</v>
      </c>
      <c r="AW235" s="351"/>
      <c r="AX235" s="553"/>
      <c r="AY235" s="350"/>
      <c r="AZ235" s="351"/>
      <c r="BA235" s="545"/>
      <c r="BB235" s="351"/>
      <c r="BC235" s="39"/>
      <c r="BD235" s="546" t="s">
        <v>325</v>
      </c>
      <c r="BE235" s="351"/>
      <c r="BF235" s="529"/>
      <c r="BG235" s="350"/>
      <c r="BH235" s="350"/>
      <c r="BI235" s="351"/>
      <c r="BJ235" s="548" t="s">
        <v>294</v>
      </c>
      <c r="BK235" s="350"/>
      <c r="BL235" s="350"/>
      <c r="BM235" s="351"/>
      <c r="BN235" s="530" t="s">
        <v>294</v>
      </c>
      <c r="BO235" s="350"/>
      <c r="BP235" s="350"/>
      <c r="BQ235" s="350"/>
      <c r="BR235" s="350"/>
      <c r="BS235" s="350"/>
      <c r="BT235" s="350"/>
      <c r="BU235" s="350"/>
      <c r="BV235" s="351"/>
    </row>
    <row r="236" spans="1:74" ht="45" customHeight="1">
      <c r="A236" s="24">
        <f t="shared" si="0"/>
        <v>222</v>
      </c>
      <c r="B236" s="558" t="s">
        <v>294</v>
      </c>
      <c r="C236" s="351"/>
      <c r="D236" s="559" t="s">
        <v>298</v>
      </c>
      <c r="E236" s="351"/>
      <c r="F236" s="524" t="s">
        <v>325</v>
      </c>
      <c r="G236" s="351"/>
      <c r="H236" s="525" t="s">
        <v>325</v>
      </c>
      <c r="I236" s="351"/>
      <c r="J236" s="40"/>
      <c r="K236" s="41"/>
      <c r="L236" s="40"/>
      <c r="M236" s="41"/>
      <c r="N236" s="37"/>
      <c r="O236" s="35"/>
      <c r="P236" s="560"/>
      <c r="Q236" s="351"/>
      <c r="R236" s="527"/>
      <c r="S236" s="351"/>
      <c r="T236" s="528"/>
      <c r="U236" s="351"/>
      <c r="V236" s="541"/>
      <c r="W236" s="351"/>
      <c r="X236" s="538" t="s">
        <v>294</v>
      </c>
      <c r="Y236" s="350"/>
      <c r="Z236" s="350"/>
      <c r="AA236" s="351"/>
      <c r="AB236" s="539" t="s">
        <v>294</v>
      </c>
      <c r="AC236" s="350"/>
      <c r="AD236" s="350"/>
      <c r="AE236" s="351"/>
      <c r="AF236" s="544"/>
      <c r="AG236" s="351"/>
      <c r="AH236" s="544"/>
      <c r="AI236" s="351"/>
      <c r="AJ236" s="545"/>
      <c r="AK236" s="351"/>
      <c r="AL236" s="555" t="s">
        <v>325</v>
      </c>
      <c r="AM236" s="351"/>
      <c r="AN236" s="531" t="s">
        <v>325</v>
      </c>
      <c r="AO236" s="351"/>
      <c r="AP236" s="550"/>
      <c r="AQ236" s="351"/>
      <c r="AR236" s="551"/>
      <c r="AS236" s="351"/>
      <c r="AT236" s="534"/>
      <c r="AU236" s="351"/>
      <c r="AV236" s="531" t="s">
        <v>325</v>
      </c>
      <c r="AW236" s="351"/>
      <c r="AX236" s="553"/>
      <c r="AY236" s="350"/>
      <c r="AZ236" s="351"/>
      <c r="BA236" s="554"/>
      <c r="BB236" s="351"/>
      <c r="BC236" s="36"/>
      <c r="BD236" s="556" t="s">
        <v>325</v>
      </c>
      <c r="BE236" s="351"/>
      <c r="BF236" s="547"/>
      <c r="BG236" s="350"/>
      <c r="BH236" s="350"/>
      <c r="BI236" s="351"/>
      <c r="BJ236" s="506" t="s">
        <v>294</v>
      </c>
      <c r="BK236" s="350"/>
      <c r="BL236" s="350"/>
      <c r="BM236" s="351"/>
      <c r="BN236" s="530" t="s">
        <v>294</v>
      </c>
      <c r="BO236" s="350"/>
      <c r="BP236" s="350"/>
      <c r="BQ236" s="350"/>
      <c r="BR236" s="350"/>
      <c r="BS236" s="350"/>
      <c r="BT236" s="350"/>
      <c r="BU236" s="350"/>
      <c r="BV236" s="351"/>
    </row>
    <row r="237" spans="1:74" ht="45" customHeight="1">
      <c r="A237" s="24">
        <f t="shared" si="0"/>
        <v>223</v>
      </c>
      <c r="B237" s="522" t="s">
        <v>294</v>
      </c>
      <c r="C237" s="351"/>
      <c r="D237" s="523" t="s">
        <v>298</v>
      </c>
      <c r="E237" s="351"/>
      <c r="F237" s="524" t="s">
        <v>325</v>
      </c>
      <c r="G237" s="351"/>
      <c r="H237" s="561" t="s">
        <v>325</v>
      </c>
      <c r="I237" s="351"/>
      <c r="J237" s="562"/>
      <c r="K237" s="351"/>
      <c r="L237" s="562"/>
      <c r="M237" s="351"/>
      <c r="N237" s="34"/>
      <c r="O237" s="38"/>
      <c r="P237" s="526"/>
      <c r="Q237" s="351"/>
      <c r="R237" s="535"/>
      <c r="S237" s="351"/>
      <c r="T237" s="536"/>
      <c r="U237" s="351"/>
      <c r="V237" s="537"/>
      <c r="W237" s="351"/>
      <c r="X237" s="542" t="s">
        <v>294</v>
      </c>
      <c r="Y237" s="350"/>
      <c r="Z237" s="350"/>
      <c r="AA237" s="351"/>
      <c r="AB237" s="543" t="s">
        <v>294</v>
      </c>
      <c r="AC237" s="350"/>
      <c r="AD237" s="350"/>
      <c r="AE237" s="351"/>
      <c r="AF237" s="540"/>
      <c r="AG237" s="351"/>
      <c r="AH237" s="540"/>
      <c r="AI237" s="351"/>
      <c r="AJ237" s="532"/>
      <c r="AK237" s="351"/>
      <c r="AL237" s="524" t="s">
        <v>325</v>
      </c>
      <c r="AM237" s="351"/>
      <c r="AN237" s="549" t="s">
        <v>325</v>
      </c>
      <c r="AO237" s="351"/>
      <c r="AP237" s="532"/>
      <c r="AQ237" s="351"/>
      <c r="AR237" s="533"/>
      <c r="AS237" s="351"/>
      <c r="AT237" s="534"/>
      <c r="AU237" s="351"/>
      <c r="AV237" s="549" t="s">
        <v>325</v>
      </c>
      <c r="AW237" s="351"/>
      <c r="AX237" s="553"/>
      <c r="AY237" s="350"/>
      <c r="AZ237" s="351"/>
      <c r="BA237" s="545"/>
      <c r="BB237" s="351"/>
      <c r="BC237" s="39"/>
      <c r="BD237" s="546" t="s">
        <v>325</v>
      </c>
      <c r="BE237" s="351"/>
      <c r="BF237" s="557"/>
      <c r="BG237" s="350"/>
      <c r="BH237" s="350"/>
      <c r="BI237" s="351"/>
      <c r="BJ237" s="548" t="s">
        <v>294</v>
      </c>
      <c r="BK237" s="350"/>
      <c r="BL237" s="350"/>
      <c r="BM237" s="351"/>
      <c r="BN237" s="530" t="s">
        <v>294</v>
      </c>
      <c r="BO237" s="350"/>
      <c r="BP237" s="350"/>
      <c r="BQ237" s="350"/>
      <c r="BR237" s="350"/>
      <c r="BS237" s="350"/>
      <c r="BT237" s="350"/>
      <c r="BU237" s="350"/>
      <c r="BV237" s="351"/>
    </row>
    <row r="238" spans="1:74" ht="45" customHeight="1">
      <c r="A238" s="24">
        <f t="shared" si="0"/>
        <v>224</v>
      </c>
      <c r="B238" s="558" t="s">
        <v>294</v>
      </c>
      <c r="C238" s="351"/>
      <c r="D238" s="559" t="s">
        <v>298</v>
      </c>
      <c r="E238" s="351"/>
      <c r="F238" s="524" t="s">
        <v>325</v>
      </c>
      <c r="G238" s="351"/>
      <c r="H238" s="525" t="s">
        <v>325</v>
      </c>
      <c r="I238" s="351"/>
      <c r="J238" s="40"/>
      <c r="K238" s="41"/>
      <c r="L238" s="40"/>
      <c r="M238" s="41"/>
      <c r="N238" s="37"/>
      <c r="O238" s="35"/>
      <c r="P238" s="560"/>
      <c r="Q238" s="351"/>
      <c r="R238" s="527"/>
      <c r="S238" s="351"/>
      <c r="T238" s="528"/>
      <c r="U238" s="351"/>
      <c r="V238" s="541"/>
      <c r="W238" s="351"/>
      <c r="X238" s="538" t="s">
        <v>294</v>
      </c>
      <c r="Y238" s="350"/>
      <c r="Z238" s="350"/>
      <c r="AA238" s="351"/>
      <c r="AB238" s="539" t="s">
        <v>294</v>
      </c>
      <c r="AC238" s="350"/>
      <c r="AD238" s="350"/>
      <c r="AE238" s="351"/>
      <c r="AF238" s="544"/>
      <c r="AG238" s="351"/>
      <c r="AH238" s="544"/>
      <c r="AI238" s="351"/>
      <c r="AJ238" s="545"/>
      <c r="AK238" s="351"/>
      <c r="AL238" s="555" t="s">
        <v>325</v>
      </c>
      <c r="AM238" s="351"/>
      <c r="AN238" s="531" t="s">
        <v>325</v>
      </c>
      <c r="AO238" s="351"/>
      <c r="AP238" s="550"/>
      <c r="AQ238" s="351"/>
      <c r="AR238" s="551"/>
      <c r="AS238" s="351"/>
      <c r="AT238" s="534"/>
      <c r="AU238" s="351"/>
      <c r="AV238" s="531" t="s">
        <v>325</v>
      </c>
      <c r="AW238" s="351"/>
      <c r="AX238" s="553"/>
      <c r="AY238" s="350"/>
      <c r="AZ238" s="351"/>
      <c r="BA238" s="554"/>
      <c r="BB238" s="351"/>
      <c r="BC238" s="36"/>
      <c r="BD238" s="556" t="s">
        <v>325</v>
      </c>
      <c r="BE238" s="351"/>
      <c r="BF238" s="547"/>
      <c r="BG238" s="350"/>
      <c r="BH238" s="350"/>
      <c r="BI238" s="351"/>
      <c r="BJ238" s="506" t="s">
        <v>294</v>
      </c>
      <c r="BK238" s="350"/>
      <c r="BL238" s="350"/>
      <c r="BM238" s="351"/>
      <c r="BN238" s="530" t="s">
        <v>294</v>
      </c>
      <c r="BO238" s="350"/>
      <c r="BP238" s="350"/>
      <c r="BQ238" s="350"/>
      <c r="BR238" s="350"/>
      <c r="BS238" s="350"/>
      <c r="BT238" s="350"/>
      <c r="BU238" s="350"/>
      <c r="BV238" s="351"/>
    </row>
    <row r="239" spans="1:74" ht="45" customHeight="1">
      <c r="A239" s="24">
        <f t="shared" si="0"/>
        <v>225</v>
      </c>
      <c r="B239" s="522" t="s">
        <v>294</v>
      </c>
      <c r="C239" s="351"/>
      <c r="D239" s="523" t="s">
        <v>298</v>
      </c>
      <c r="E239" s="351"/>
      <c r="F239" s="524" t="s">
        <v>325</v>
      </c>
      <c r="G239" s="351"/>
      <c r="H239" s="561" t="s">
        <v>325</v>
      </c>
      <c r="I239" s="351"/>
      <c r="J239" s="562"/>
      <c r="K239" s="351"/>
      <c r="L239" s="562"/>
      <c r="M239" s="351"/>
      <c r="N239" s="34"/>
      <c r="O239" s="38"/>
      <c r="P239" s="526"/>
      <c r="Q239" s="351"/>
      <c r="R239" s="535"/>
      <c r="S239" s="351"/>
      <c r="T239" s="536"/>
      <c r="U239" s="351"/>
      <c r="V239" s="537"/>
      <c r="W239" s="351"/>
      <c r="X239" s="542" t="s">
        <v>294</v>
      </c>
      <c r="Y239" s="350"/>
      <c r="Z239" s="350"/>
      <c r="AA239" s="351"/>
      <c r="AB239" s="543" t="s">
        <v>294</v>
      </c>
      <c r="AC239" s="350"/>
      <c r="AD239" s="350"/>
      <c r="AE239" s="351"/>
      <c r="AF239" s="540"/>
      <c r="AG239" s="351"/>
      <c r="AH239" s="540"/>
      <c r="AI239" s="351"/>
      <c r="AJ239" s="532"/>
      <c r="AK239" s="351"/>
      <c r="AL239" s="524" t="s">
        <v>325</v>
      </c>
      <c r="AM239" s="351"/>
      <c r="AN239" s="549" t="s">
        <v>325</v>
      </c>
      <c r="AO239" s="351"/>
      <c r="AP239" s="532"/>
      <c r="AQ239" s="351"/>
      <c r="AR239" s="533"/>
      <c r="AS239" s="351"/>
      <c r="AT239" s="534"/>
      <c r="AU239" s="351"/>
      <c r="AV239" s="549" t="s">
        <v>325</v>
      </c>
      <c r="AW239" s="351"/>
      <c r="AX239" s="553"/>
      <c r="AY239" s="350"/>
      <c r="AZ239" s="351"/>
      <c r="BA239" s="545"/>
      <c r="BB239" s="351"/>
      <c r="BC239" s="39"/>
      <c r="BD239" s="546" t="s">
        <v>325</v>
      </c>
      <c r="BE239" s="351"/>
      <c r="BF239" s="529"/>
      <c r="BG239" s="350"/>
      <c r="BH239" s="350"/>
      <c r="BI239" s="351"/>
      <c r="BJ239" s="548" t="s">
        <v>294</v>
      </c>
      <c r="BK239" s="350"/>
      <c r="BL239" s="350"/>
      <c r="BM239" s="351"/>
      <c r="BN239" s="530" t="s">
        <v>294</v>
      </c>
      <c r="BO239" s="350"/>
      <c r="BP239" s="350"/>
      <c r="BQ239" s="350"/>
      <c r="BR239" s="350"/>
      <c r="BS239" s="350"/>
      <c r="BT239" s="350"/>
      <c r="BU239" s="350"/>
      <c r="BV239" s="351"/>
    </row>
    <row r="240" spans="1:74" ht="45" customHeight="1">
      <c r="A240" s="24">
        <f t="shared" si="0"/>
        <v>226</v>
      </c>
      <c r="B240" s="558" t="s">
        <v>294</v>
      </c>
      <c r="C240" s="351"/>
      <c r="D240" s="559" t="s">
        <v>298</v>
      </c>
      <c r="E240" s="351"/>
      <c r="F240" s="524" t="s">
        <v>325</v>
      </c>
      <c r="G240" s="351"/>
      <c r="H240" s="525" t="s">
        <v>325</v>
      </c>
      <c r="I240" s="351"/>
      <c r="J240" s="40"/>
      <c r="K240" s="41"/>
      <c r="L240" s="40"/>
      <c r="M240" s="41"/>
      <c r="N240" s="37"/>
      <c r="O240" s="35"/>
      <c r="P240" s="560"/>
      <c r="Q240" s="351"/>
      <c r="R240" s="527"/>
      <c r="S240" s="351"/>
      <c r="T240" s="528"/>
      <c r="U240" s="351"/>
      <c r="V240" s="541"/>
      <c r="W240" s="351"/>
      <c r="X240" s="538" t="s">
        <v>294</v>
      </c>
      <c r="Y240" s="350"/>
      <c r="Z240" s="350"/>
      <c r="AA240" s="351"/>
      <c r="AB240" s="539" t="s">
        <v>294</v>
      </c>
      <c r="AC240" s="350"/>
      <c r="AD240" s="350"/>
      <c r="AE240" s="351"/>
      <c r="AF240" s="544"/>
      <c r="AG240" s="351"/>
      <c r="AH240" s="544"/>
      <c r="AI240" s="351"/>
      <c r="AJ240" s="545"/>
      <c r="AK240" s="351"/>
      <c r="AL240" s="555" t="s">
        <v>325</v>
      </c>
      <c r="AM240" s="351"/>
      <c r="AN240" s="531" t="s">
        <v>325</v>
      </c>
      <c r="AO240" s="351"/>
      <c r="AP240" s="550"/>
      <c r="AQ240" s="351"/>
      <c r="AR240" s="551"/>
      <c r="AS240" s="351"/>
      <c r="AT240" s="534"/>
      <c r="AU240" s="351"/>
      <c r="AV240" s="531" t="s">
        <v>325</v>
      </c>
      <c r="AW240" s="351"/>
      <c r="AX240" s="553"/>
      <c r="AY240" s="350"/>
      <c r="AZ240" s="351"/>
      <c r="BA240" s="554"/>
      <c r="BB240" s="351"/>
      <c r="BC240" s="36"/>
      <c r="BD240" s="556" t="s">
        <v>325</v>
      </c>
      <c r="BE240" s="351"/>
      <c r="BF240" s="547"/>
      <c r="BG240" s="350"/>
      <c r="BH240" s="350"/>
      <c r="BI240" s="351"/>
      <c r="BJ240" s="506" t="s">
        <v>294</v>
      </c>
      <c r="BK240" s="350"/>
      <c r="BL240" s="350"/>
      <c r="BM240" s="351"/>
      <c r="BN240" s="530" t="s">
        <v>294</v>
      </c>
      <c r="BO240" s="350"/>
      <c r="BP240" s="350"/>
      <c r="BQ240" s="350"/>
      <c r="BR240" s="350"/>
      <c r="BS240" s="350"/>
      <c r="BT240" s="350"/>
      <c r="BU240" s="350"/>
      <c r="BV240" s="351"/>
    </row>
    <row r="241" spans="1:74" ht="45" customHeight="1">
      <c r="A241" s="24">
        <f t="shared" si="0"/>
        <v>227</v>
      </c>
      <c r="B241" s="522" t="s">
        <v>294</v>
      </c>
      <c r="C241" s="351"/>
      <c r="D241" s="523" t="s">
        <v>298</v>
      </c>
      <c r="E241" s="351"/>
      <c r="F241" s="524" t="s">
        <v>325</v>
      </c>
      <c r="G241" s="351"/>
      <c r="H241" s="561" t="s">
        <v>325</v>
      </c>
      <c r="I241" s="351"/>
      <c r="J241" s="562"/>
      <c r="K241" s="351"/>
      <c r="L241" s="562"/>
      <c r="M241" s="351"/>
      <c r="N241" s="34"/>
      <c r="O241" s="38"/>
      <c r="P241" s="526"/>
      <c r="Q241" s="351"/>
      <c r="R241" s="535"/>
      <c r="S241" s="351"/>
      <c r="T241" s="536"/>
      <c r="U241" s="351"/>
      <c r="V241" s="537"/>
      <c r="W241" s="351"/>
      <c r="X241" s="542" t="s">
        <v>294</v>
      </c>
      <c r="Y241" s="350"/>
      <c r="Z241" s="350"/>
      <c r="AA241" s="351"/>
      <c r="AB241" s="543" t="s">
        <v>294</v>
      </c>
      <c r="AC241" s="350"/>
      <c r="AD241" s="350"/>
      <c r="AE241" s="351"/>
      <c r="AF241" s="540"/>
      <c r="AG241" s="351"/>
      <c r="AH241" s="540"/>
      <c r="AI241" s="351"/>
      <c r="AJ241" s="532"/>
      <c r="AK241" s="351"/>
      <c r="AL241" s="524" t="s">
        <v>325</v>
      </c>
      <c r="AM241" s="351"/>
      <c r="AN241" s="549" t="s">
        <v>325</v>
      </c>
      <c r="AO241" s="351"/>
      <c r="AP241" s="532"/>
      <c r="AQ241" s="351"/>
      <c r="AR241" s="533"/>
      <c r="AS241" s="351"/>
      <c r="AT241" s="534"/>
      <c r="AU241" s="351"/>
      <c r="AV241" s="549" t="s">
        <v>325</v>
      </c>
      <c r="AW241" s="351"/>
      <c r="AX241" s="553"/>
      <c r="AY241" s="350"/>
      <c r="AZ241" s="351"/>
      <c r="BA241" s="545"/>
      <c r="BB241" s="351"/>
      <c r="BC241" s="39"/>
      <c r="BD241" s="546" t="s">
        <v>325</v>
      </c>
      <c r="BE241" s="351"/>
      <c r="BF241" s="557"/>
      <c r="BG241" s="350"/>
      <c r="BH241" s="350"/>
      <c r="BI241" s="351"/>
      <c r="BJ241" s="548" t="s">
        <v>294</v>
      </c>
      <c r="BK241" s="350"/>
      <c r="BL241" s="350"/>
      <c r="BM241" s="351"/>
      <c r="BN241" s="530" t="s">
        <v>294</v>
      </c>
      <c r="BO241" s="350"/>
      <c r="BP241" s="350"/>
      <c r="BQ241" s="350"/>
      <c r="BR241" s="350"/>
      <c r="BS241" s="350"/>
      <c r="BT241" s="350"/>
      <c r="BU241" s="350"/>
      <c r="BV241" s="351"/>
    </row>
    <row r="242" spans="1:74" ht="45" customHeight="1">
      <c r="A242" s="24">
        <f t="shared" si="0"/>
        <v>228</v>
      </c>
      <c r="B242" s="558" t="s">
        <v>294</v>
      </c>
      <c r="C242" s="351"/>
      <c r="D242" s="559" t="s">
        <v>298</v>
      </c>
      <c r="E242" s="351"/>
      <c r="F242" s="524" t="s">
        <v>325</v>
      </c>
      <c r="G242" s="351"/>
      <c r="H242" s="525" t="s">
        <v>325</v>
      </c>
      <c r="I242" s="351"/>
      <c r="J242" s="40"/>
      <c r="K242" s="41"/>
      <c r="L242" s="40"/>
      <c r="M242" s="41"/>
      <c r="N242" s="37"/>
      <c r="O242" s="35"/>
      <c r="P242" s="560"/>
      <c r="Q242" s="351"/>
      <c r="R242" s="527"/>
      <c r="S242" s="351"/>
      <c r="T242" s="528"/>
      <c r="U242" s="351"/>
      <c r="V242" s="541"/>
      <c r="W242" s="351"/>
      <c r="X242" s="538" t="s">
        <v>294</v>
      </c>
      <c r="Y242" s="350"/>
      <c r="Z242" s="350"/>
      <c r="AA242" s="351"/>
      <c r="AB242" s="539" t="s">
        <v>294</v>
      </c>
      <c r="AC242" s="350"/>
      <c r="AD242" s="350"/>
      <c r="AE242" s="351"/>
      <c r="AF242" s="544"/>
      <c r="AG242" s="351"/>
      <c r="AH242" s="544"/>
      <c r="AI242" s="351"/>
      <c r="AJ242" s="545"/>
      <c r="AK242" s="351"/>
      <c r="AL242" s="555" t="s">
        <v>325</v>
      </c>
      <c r="AM242" s="351"/>
      <c r="AN242" s="531" t="s">
        <v>325</v>
      </c>
      <c r="AO242" s="351"/>
      <c r="AP242" s="550"/>
      <c r="AQ242" s="351"/>
      <c r="AR242" s="551"/>
      <c r="AS242" s="351"/>
      <c r="AT242" s="534"/>
      <c r="AU242" s="351"/>
      <c r="AV242" s="531" t="s">
        <v>325</v>
      </c>
      <c r="AW242" s="351"/>
      <c r="AX242" s="553"/>
      <c r="AY242" s="350"/>
      <c r="AZ242" s="351"/>
      <c r="BA242" s="554"/>
      <c r="BB242" s="351"/>
      <c r="BC242" s="36"/>
      <c r="BD242" s="556" t="s">
        <v>325</v>
      </c>
      <c r="BE242" s="351"/>
      <c r="BF242" s="547"/>
      <c r="BG242" s="350"/>
      <c r="BH242" s="350"/>
      <c r="BI242" s="351"/>
      <c r="BJ242" s="506" t="s">
        <v>294</v>
      </c>
      <c r="BK242" s="350"/>
      <c r="BL242" s="350"/>
      <c r="BM242" s="351"/>
      <c r="BN242" s="530" t="s">
        <v>294</v>
      </c>
      <c r="BO242" s="350"/>
      <c r="BP242" s="350"/>
      <c r="BQ242" s="350"/>
      <c r="BR242" s="350"/>
      <c r="BS242" s="350"/>
      <c r="BT242" s="350"/>
      <c r="BU242" s="350"/>
      <c r="BV242" s="351"/>
    </row>
    <row r="243" spans="1:74" ht="45" customHeight="1">
      <c r="A243" s="24">
        <f t="shared" si="0"/>
        <v>229</v>
      </c>
      <c r="B243" s="522" t="s">
        <v>294</v>
      </c>
      <c r="C243" s="351"/>
      <c r="D243" s="523" t="s">
        <v>298</v>
      </c>
      <c r="E243" s="351"/>
      <c r="F243" s="524" t="s">
        <v>325</v>
      </c>
      <c r="G243" s="351"/>
      <c r="H243" s="561" t="s">
        <v>325</v>
      </c>
      <c r="I243" s="351"/>
      <c r="J243" s="562"/>
      <c r="K243" s="351"/>
      <c r="L243" s="562"/>
      <c r="M243" s="351"/>
      <c r="N243" s="34"/>
      <c r="O243" s="38"/>
      <c r="P243" s="526"/>
      <c r="Q243" s="351"/>
      <c r="R243" s="535"/>
      <c r="S243" s="351"/>
      <c r="T243" s="536"/>
      <c r="U243" s="351"/>
      <c r="V243" s="537"/>
      <c r="W243" s="351"/>
      <c r="X243" s="542" t="s">
        <v>294</v>
      </c>
      <c r="Y243" s="350"/>
      <c r="Z243" s="350"/>
      <c r="AA243" s="351"/>
      <c r="AB243" s="543" t="s">
        <v>294</v>
      </c>
      <c r="AC243" s="350"/>
      <c r="AD243" s="350"/>
      <c r="AE243" s="351"/>
      <c r="AF243" s="540"/>
      <c r="AG243" s="351"/>
      <c r="AH243" s="540"/>
      <c r="AI243" s="351"/>
      <c r="AJ243" s="532"/>
      <c r="AK243" s="351"/>
      <c r="AL243" s="524" t="s">
        <v>325</v>
      </c>
      <c r="AM243" s="351"/>
      <c r="AN243" s="549" t="s">
        <v>325</v>
      </c>
      <c r="AO243" s="351"/>
      <c r="AP243" s="532"/>
      <c r="AQ243" s="351"/>
      <c r="AR243" s="533"/>
      <c r="AS243" s="351"/>
      <c r="AT243" s="534"/>
      <c r="AU243" s="351"/>
      <c r="AV243" s="549" t="s">
        <v>325</v>
      </c>
      <c r="AW243" s="351"/>
      <c r="AX243" s="553"/>
      <c r="AY243" s="350"/>
      <c r="AZ243" s="351"/>
      <c r="BA243" s="545"/>
      <c r="BB243" s="351"/>
      <c r="BC243" s="39"/>
      <c r="BD243" s="546" t="s">
        <v>325</v>
      </c>
      <c r="BE243" s="351"/>
      <c r="BF243" s="529"/>
      <c r="BG243" s="350"/>
      <c r="BH243" s="350"/>
      <c r="BI243" s="351"/>
      <c r="BJ243" s="548" t="s">
        <v>294</v>
      </c>
      <c r="BK243" s="350"/>
      <c r="BL243" s="350"/>
      <c r="BM243" s="351"/>
      <c r="BN243" s="530" t="s">
        <v>294</v>
      </c>
      <c r="BO243" s="350"/>
      <c r="BP243" s="350"/>
      <c r="BQ243" s="350"/>
      <c r="BR243" s="350"/>
      <c r="BS243" s="350"/>
      <c r="BT243" s="350"/>
      <c r="BU243" s="350"/>
      <c r="BV243" s="351"/>
    </row>
    <row r="244" spans="1:74" ht="45" customHeight="1">
      <c r="A244" s="24">
        <f t="shared" si="0"/>
        <v>230</v>
      </c>
      <c r="B244" s="558" t="s">
        <v>294</v>
      </c>
      <c r="C244" s="351"/>
      <c r="D244" s="559" t="s">
        <v>298</v>
      </c>
      <c r="E244" s="351"/>
      <c r="F244" s="524" t="s">
        <v>325</v>
      </c>
      <c r="G244" s="351"/>
      <c r="H244" s="525" t="s">
        <v>325</v>
      </c>
      <c r="I244" s="351"/>
      <c r="J244" s="40"/>
      <c r="K244" s="41"/>
      <c r="L244" s="40"/>
      <c r="M244" s="41"/>
      <c r="N244" s="37"/>
      <c r="O244" s="35"/>
      <c r="P244" s="560"/>
      <c r="Q244" s="351"/>
      <c r="R244" s="527"/>
      <c r="S244" s="351"/>
      <c r="T244" s="528"/>
      <c r="U244" s="351"/>
      <c r="V244" s="541"/>
      <c r="W244" s="351"/>
      <c r="X244" s="538" t="s">
        <v>294</v>
      </c>
      <c r="Y244" s="350"/>
      <c r="Z244" s="350"/>
      <c r="AA244" s="351"/>
      <c r="AB244" s="539" t="s">
        <v>294</v>
      </c>
      <c r="AC244" s="350"/>
      <c r="AD244" s="350"/>
      <c r="AE244" s="351"/>
      <c r="AF244" s="544"/>
      <c r="AG244" s="351"/>
      <c r="AH244" s="544"/>
      <c r="AI244" s="351"/>
      <c r="AJ244" s="545"/>
      <c r="AK244" s="351"/>
      <c r="AL244" s="555" t="s">
        <v>325</v>
      </c>
      <c r="AM244" s="351"/>
      <c r="AN244" s="531" t="s">
        <v>325</v>
      </c>
      <c r="AO244" s="351"/>
      <c r="AP244" s="550"/>
      <c r="AQ244" s="351"/>
      <c r="AR244" s="551"/>
      <c r="AS244" s="351"/>
      <c r="AT244" s="534"/>
      <c r="AU244" s="351"/>
      <c r="AV244" s="531" t="s">
        <v>325</v>
      </c>
      <c r="AW244" s="351"/>
      <c r="AX244" s="553"/>
      <c r="AY244" s="350"/>
      <c r="AZ244" s="351"/>
      <c r="BA244" s="554"/>
      <c r="BB244" s="351"/>
      <c r="BC244" s="36"/>
      <c r="BD244" s="556" t="s">
        <v>325</v>
      </c>
      <c r="BE244" s="351"/>
      <c r="BF244" s="547"/>
      <c r="BG244" s="350"/>
      <c r="BH244" s="350"/>
      <c r="BI244" s="351"/>
      <c r="BJ244" s="506" t="s">
        <v>294</v>
      </c>
      <c r="BK244" s="350"/>
      <c r="BL244" s="350"/>
      <c r="BM244" s="351"/>
      <c r="BN244" s="530" t="s">
        <v>294</v>
      </c>
      <c r="BO244" s="350"/>
      <c r="BP244" s="350"/>
      <c r="BQ244" s="350"/>
      <c r="BR244" s="350"/>
      <c r="BS244" s="350"/>
      <c r="BT244" s="350"/>
      <c r="BU244" s="350"/>
      <c r="BV244" s="351"/>
    </row>
    <row r="245" spans="1:74" ht="45" customHeight="1">
      <c r="A245" s="24">
        <f t="shared" si="0"/>
        <v>231</v>
      </c>
      <c r="B245" s="522" t="s">
        <v>294</v>
      </c>
      <c r="C245" s="351"/>
      <c r="D245" s="523" t="s">
        <v>298</v>
      </c>
      <c r="E245" s="351"/>
      <c r="F245" s="524" t="s">
        <v>325</v>
      </c>
      <c r="G245" s="351"/>
      <c r="H245" s="561" t="s">
        <v>325</v>
      </c>
      <c r="I245" s="351"/>
      <c r="J245" s="562"/>
      <c r="K245" s="351"/>
      <c r="L245" s="562"/>
      <c r="M245" s="351"/>
      <c r="N245" s="34"/>
      <c r="O245" s="38"/>
      <c r="P245" s="526"/>
      <c r="Q245" s="351"/>
      <c r="R245" s="535"/>
      <c r="S245" s="351"/>
      <c r="T245" s="536"/>
      <c r="U245" s="351"/>
      <c r="V245" s="537"/>
      <c r="W245" s="351"/>
      <c r="X245" s="542" t="s">
        <v>294</v>
      </c>
      <c r="Y245" s="350"/>
      <c r="Z245" s="350"/>
      <c r="AA245" s="351"/>
      <c r="AB245" s="543" t="s">
        <v>294</v>
      </c>
      <c r="AC245" s="350"/>
      <c r="AD245" s="350"/>
      <c r="AE245" s="351"/>
      <c r="AF245" s="540"/>
      <c r="AG245" s="351"/>
      <c r="AH245" s="540"/>
      <c r="AI245" s="351"/>
      <c r="AJ245" s="532"/>
      <c r="AK245" s="351"/>
      <c r="AL245" s="524" t="s">
        <v>325</v>
      </c>
      <c r="AM245" s="351"/>
      <c r="AN245" s="549" t="s">
        <v>325</v>
      </c>
      <c r="AO245" s="351"/>
      <c r="AP245" s="532"/>
      <c r="AQ245" s="351"/>
      <c r="AR245" s="533"/>
      <c r="AS245" s="351"/>
      <c r="AT245" s="534"/>
      <c r="AU245" s="351"/>
      <c r="AV245" s="549" t="s">
        <v>325</v>
      </c>
      <c r="AW245" s="351"/>
      <c r="AX245" s="553"/>
      <c r="AY245" s="350"/>
      <c r="AZ245" s="351"/>
      <c r="BA245" s="545"/>
      <c r="BB245" s="351"/>
      <c r="BC245" s="39"/>
      <c r="BD245" s="546" t="s">
        <v>325</v>
      </c>
      <c r="BE245" s="351"/>
      <c r="BF245" s="529"/>
      <c r="BG245" s="350"/>
      <c r="BH245" s="350"/>
      <c r="BI245" s="351"/>
      <c r="BJ245" s="548" t="s">
        <v>294</v>
      </c>
      <c r="BK245" s="350"/>
      <c r="BL245" s="350"/>
      <c r="BM245" s="351"/>
      <c r="BN245" s="530" t="s">
        <v>294</v>
      </c>
      <c r="BO245" s="350"/>
      <c r="BP245" s="350"/>
      <c r="BQ245" s="350"/>
      <c r="BR245" s="350"/>
      <c r="BS245" s="350"/>
      <c r="BT245" s="350"/>
      <c r="BU245" s="350"/>
      <c r="BV245" s="351"/>
    </row>
    <row r="246" spans="1:74" ht="45" customHeight="1">
      <c r="A246" s="24">
        <f t="shared" si="0"/>
        <v>232</v>
      </c>
      <c r="B246" s="558" t="s">
        <v>294</v>
      </c>
      <c r="C246" s="351"/>
      <c r="D246" s="559" t="s">
        <v>298</v>
      </c>
      <c r="E246" s="351"/>
      <c r="F246" s="524" t="s">
        <v>325</v>
      </c>
      <c r="G246" s="351"/>
      <c r="H246" s="525" t="s">
        <v>325</v>
      </c>
      <c r="I246" s="351"/>
      <c r="J246" s="40"/>
      <c r="K246" s="41"/>
      <c r="L246" s="40"/>
      <c r="M246" s="41"/>
      <c r="N246" s="37"/>
      <c r="O246" s="35"/>
      <c r="P246" s="560"/>
      <c r="Q246" s="351"/>
      <c r="R246" s="527"/>
      <c r="S246" s="351"/>
      <c r="T246" s="528"/>
      <c r="U246" s="351"/>
      <c r="V246" s="541"/>
      <c r="W246" s="351"/>
      <c r="X246" s="538" t="s">
        <v>294</v>
      </c>
      <c r="Y246" s="350"/>
      <c r="Z246" s="350"/>
      <c r="AA246" s="351"/>
      <c r="AB246" s="539" t="s">
        <v>294</v>
      </c>
      <c r="AC246" s="350"/>
      <c r="AD246" s="350"/>
      <c r="AE246" s="351"/>
      <c r="AF246" s="544"/>
      <c r="AG246" s="351"/>
      <c r="AH246" s="544"/>
      <c r="AI246" s="351"/>
      <c r="AJ246" s="545"/>
      <c r="AK246" s="351"/>
      <c r="AL246" s="555" t="s">
        <v>325</v>
      </c>
      <c r="AM246" s="351"/>
      <c r="AN246" s="531" t="s">
        <v>325</v>
      </c>
      <c r="AO246" s="351"/>
      <c r="AP246" s="550"/>
      <c r="AQ246" s="351"/>
      <c r="AR246" s="551"/>
      <c r="AS246" s="351"/>
      <c r="AT246" s="534"/>
      <c r="AU246" s="351"/>
      <c r="AV246" s="531" t="s">
        <v>325</v>
      </c>
      <c r="AW246" s="351"/>
      <c r="AX246" s="553"/>
      <c r="AY246" s="350"/>
      <c r="AZ246" s="351"/>
      <c r="BA246" s="554"/>
      <c r="BB246" s="351"/>
      <c r="BC246" s="36"/>
      <c r="BD246" s="556" t="s">
        <v>325</v>
      </c>
      <c r="BE246" s="351"/>
      <c r="BF246" s="547"/>
      <c r="BG246" s="350"/>
      <c r="BH246" s="350"/>
      <c r="BI246" s="351"/>
      <c r="BJ246" s="506" t="s">
        <v>294</v>
      </c>
      <c r="BK246" s="350"/>
      <c r="BL246" s="350"/>
      <c r="BM246" s="351"/>
      <c r="BN246" s="530" t="s">
        <v>294</v>
      </c>
      <c r="BO246" s="350"/>
      <c r="BP246" s="350"/>
      <c r="BQ246" s="350"/>
      <c r="BR246" s="350"/>
      <c r="BS246" s="350"/>
      <c r="BT246" s="350"/>
      <c r="BU246" s="350"/>
      <c r="BV246" s="351"/>
    </row>
    <row r="247" spans="1:74" ht="45" customHeight="1">
      <c r="A247" s="24">
        <f t="shared" si="0"/>
        <v>233</v>
      </c>
      <c r="B247" s="522" t="s">
        <v>294</v>
      </c>
      <c r="C247" s="351"/>
      <c r="D247" s="523" t="s">
        <v>298</v>
      </c>
      <c r="E247" s="351"/>
      <c r="F247" s="524" t="s">
        <v>325</v>
      </c>
      <c r="G247" s="351"/>
      <c r="H247" s="561" t="s">
        <v>325</v>
      </c>
      <c r="I247" s="351"/>
      <c r="J247" s="562"/>
      <c r="K247" s="351"/>
      <c r="L247" s="562"/>
      <c r="M247" s="351"/>
      <c r="N247" s="34"/>
      <c r="O247" s="38"/>
      <c r="P247" s="526"/>
      <c r="Q247" s="351"/>
      <c r="R247" s="535"/>
      <c r="S247" s="351"/>
      <c r="T247" s="536"/>
      <c r="U247" s="351"/>
      <c r="V247" s="537"/>
      <c r="W247" s="351"/>
      <c r="X247" s="542" t="s">
        <v>294</v>
      </c>
      <c r="Y247" s="350"/>
      <c r="Z247" s="350"/>
      <c r="AA247" s="351"/>
      <c r="AB247" s="543" t="s">
        <v>294</v>
      </c>
      <c r="AC247" s="350"/>
      <c r="AD247" s="350"/>
      <c r="AE247" s="351"/>
      <c r="AF247" s="540"/>
      <c r="AG247" s="351"/>
      <c r="AH247" s="540"/>
      <c r="AI247" s="351"/>
      <c r="AJ247" s="532"/>
      <c r="AK247" s="351"/>
      <c r="AL247" s="524" t="s">
        <v>325</v>
      </c>
      <c r="AM247" s="351"/>
      <c r="AN247" s="549" t="s">
        <v>325</v>
      </c>
      <c r="AO247" s="351"/>
      <c r="AP247" s="532"/>
      <c r="AQ247" s="351"/>
      <c r="AR247" s="533"/>
      <c r="AS247" s="351"/>
      <c r="AT247" s="534"/>
      <c r="AU247" s="351"/>
      <c r="AV247" s="549" t="s">
        <v>325</v>
      </c>
      <c r="AW247" s="351"/>
      <c r="AX247" s="553"/>
      <c r="AY247" s="350"/>
      <c r="AZ247" s="351"/>
      <c r="BA247" s="545"/>
      <c r="BB247" s="351"/>
      <c r="BC247" s="39"/>
      <c r="BD247" s="546" t="s">
        <v>325</v>
      </c>
      <c r="BE247" s="351"/>
      <c r="BF247" s="557"/>
      <c r="BG247" s="350"/>
      <c r="BH247" s="350"/>
      <c r="BI247" s="351"/>
      <c r="BJ247" s="548" t="s">
        <v>294</v>
      </c>
      <c r="BK247" s="350"/>
      <c r="BL247" s="350"/>
      <c r="BM247" s="351"/>
      <c r="BN247" s="530" t="s">
        <v>294</v>
      </c>
      <c r="BO247" s="350"/>
      <c r="BP247" s="350"/>
      <c r="BQ247" s="350"/>
      <c r="BR247" s="350"/>
      <c r="BS247" s="350"/>
      <c r="BT247" s="350"/>
      <c r="BU247" s="350"/>
      <c r="BV247" s="351"/>
    </row>
    <row r="248" spans="1:74" ht="45" customHeight="1">
      <c r="A248" s="24">
        <f t="shared" si="0"/>
        <v>234</v>
      </c>
      <c r="B248" s="558" t="s">
        <v>294</v>
      </c>
      <c r="C248" s="351"/>
      <c r="D248" s="559" t="s">
        <v>298</v>
      </c>
      <c r="E248" s="351"/>
      <c r="F248" s="524" t="s">
        <v>325</v>
      </c>
      <c r="G248" s="351"/>
      <c r="H248" s="525" t="s">
        <v>325</v>
      </c>
      <c r="I248" s="351"/>
      <c r="J248" s="40"/>
      <c r="K248" s="41"/>
      <c r="L248" s="40"/>
      <c r="M248" s="41"/>
      <c r="N248" s="37"/>
      <c r="O248" s="35"/>
      <c r="P248" s="560"/>
      <c r="Q248" s="351"/>
      <c r="R248" s="527"/>
      <c r="S248" s="351"/>
      <c r="T248" s="528"/>
      <c r="U248" s="351"/>
      <c r="V248" s="541"/>
      <c r="W248" s="351"/>
      <c r="X248" s="538" t="s">
        <v>294</v>
      </c>
      <c r="Y248" s="350"/>
      <c r="Z248" s="350"/>
      <c r="AA248" s="351"/>
      <c r="AB248" s="539" t="s">
        <v>294</v>
      </c>
      <c r="AC248" s="350"/>
      <c r="AD248" s="350"/>
      <c r="AE248" s="351"/>
      <c r="AF248" s="544"/>
      <c r="AG248" s="351"/>
      <c r="AH248" s="544"/>
      <c r="AI248" s="351"/>
      <c r="AJ248" s="545"/>
      <c r="AK248" s="351"/>
      <c r="AL248" s="555" t="s">
        <v>325</v>
      </c>
      <c r="AM248" s="351"/>
      <c r="AN248" s="531" t="s">
        <v>325</v>
      </c>
      <c r="AO248" s="351"/>
      <c r="AP248" s="550"/>
      <c r="AQ248" s="351"/>
      <c r="AR248" s="551"/>
      <c r="AS248" s="351"/>
      <c r="AT248" s="534"/>
      <c r="AU248" s="351"/>
      <c r="AV248" s="531" t="s">
        <v>325</v>
      </c>
      <c r="AW248" s="351"/>
      <c r="AX248" s="553"/>
      <c r="AY248" s="350"/>
      <c r="AZ248" s="351"/>
      <c r="BA248" s="554"/>
      <c r="BB248" s="351"/>
      <c r="BC248" s="36"/>
      <c r="BD248" s="556" t="s">
        <v>325</v>
      </c>
      <c r="BE248" s="351"/>
      <c r="BF248" s="547"/>
      <c r="BG248" s="350"/>
      <c r="BH248" s="350"/>
      <c r="BI248" s="351"/>
      <c r="BJ248" s="506" t="s">
        <v>294</v>
      </c>
      <c r="BK248" s="350"/>
      <c r="BL248" s="350"/>
      <c r="BM248" s="351"/>
      <c r="BN248" s="530" t="s">
        <v>294</v>
      </c>
      <c r="BO248" s="350"/>
      <c r="BP248" s="350"/>
      <c r="BQ248" s="350"/>
      <c r="BR248" s="350"/>
      <c r="BS248" s="350"/>
      <c r="BT248" s="350"/>
      <c r="BU248" s="350"/>
      <c r="BV248" s="351"/>
    </row>
    <row r="249" spans="1:74" ht="45" customHeight="1">
      <c r="A249" s="24">
        <f t="shared" si="0"/>
        <v>235</v>
      </c>
      <c r="B249" s="522" t="s">
        <v>294</v>
      </c>
      <c r="C249" s="351"/>
      <c r="D249" s="523" t="s">
        <v>298</v>
      </c>
      <c r="E249" s="351"/>
      <c r="F249" s="524" t="s">
        <v>325</v>
      </c>
      <c r="G249" s="351"/>
      <c r="H249" s="561" t="s">
        <v>325</v>
      </c>
      <c r="I249" s="351"/>
      <c r="J249" s="562"/>
      <c r="K249" s="351"/>
      <c r="L249" s="562"/>
      <c r="M249" s="351"/>
      <c r="N249" s="34"/>
      <c r="O249" s="38"/>
      <c r="P249" s="526"/>
      <c r="Q249" s="351"/>
      <c r="R249" s="535"/>
      <c r="S249" s="351"/>
      <c r="T249" s="536"/>
      <c r="U249" s="351"/>
      <c r="V249" s="537"/>
      <c r="W249" s="351"/>
      <c r="X249" s="542" t="s">
        <v>294</v>
      </c>
      <c r="Y249" s="350"/>
      <c r="Z249" s="350"/>
      <c r="AA249" s="351"/>
      <c r="AB249" s="543" t="s">
        <v>294</v>
      </c>
      <c r="AC249" s="350"/>
      <c r="AD249" s="350"/>
      <c r="AE249" s="351"/>
      <c r="AF249" s="540"/>
      <c r="AG249" s="351"/>
      <c r="AH249" s="540"/>
      <c r="AI249" s="351"/>
      <c r="AJ249" s="532"/>
      <c r="AK249" s="351"/>
      <c r="AL249" s="524" t="s">
        <v>325</v>
      </c>
      <c r="AM249" s="351"/>
      <c r="AN249" s="549" t="s">
        <v>325</v>
      </c>
      <c r="AO249" s="351"/>
      <c r="AP249" s="532"/>
      <c r="AQ249" s="351"/>
      <c r="AR249" s="533"/>
      <c r="AS249" s="351"/>
      <c r="AT249" s="534"/>
      <c r="AU249" s="351"/>
      <c r="AV249" s="549" t="s">
        <v>325</v>
      </c>
      <c r="AW249" s="351"/>
      <c r="AX249" s="553"/>
      <c r="AY249" s="350"/>
      <c r="AZ249" s="351"/>
      <c r="BA249" s="545"/>
      <c r="BB249" s="351"/>
      <c r="BC249" s="39"/>
      <c r="BD249" s="546" t="s">
        <v>325</v>
      </c>
      <c r="BE249" s="351"/>
      <c r="BF249" s="529"/>
      <c r="BG249" s="350"/>
      <c r="BH249" s="350"/>
      <c r="BI249" s="351"/>
      <c r="BJ249" s="548" t="s">
        <v>294</v>
      </c>
      <c r="BK249" s="350"/>
      <c r="BL249" s="350"/>
      <c r="BM249" s="351"/>
      <c r="BN249" s="530" t="s">
        <v>294</v>
      </c>
      <c r="BO249" s="350"/>
      <c r="BP249" s="350"/>
      <c r="BQ249" s="350"/>
      <c r="BR249" s="350"/>
      <c r="BS249" s="350"/>
      <c r="BT249" s="350"/>
      <c r="BU249" s="350"/>
      <c r="BV249" s="351"/>
    </row>
    <row r="250" spans="1:74" ht="45" customHeight="1">
      <c r="A250" s="24">
        <f t="shared" si="0"/>
        <v>236</v>
      </c>
      <c r="B250" s="558" t="s">
        <v>294</v>
      </c>
      <c r="C250" s="351"/>
      <c r="D250" s="559" t="s">
        <v>298</v>
      </c>
      <c r="E250" s="351"/>
      <c r="F250" s="524" t="s">
        <v>325</v>
      </c>
      <c r="G250" s="351"/>
      <c r="H250" s="525" t="s">
        <v>325</v>
      </c>
      <c r="I250" s="351"/>
      <c r="J250" s="40"/>
      <c r="K250" s="41"/>
      <c r="L250" s="40"/>
      <c r="M250" s="41"/>
      <c r="N250" s="37"/>
      <c r="O250" s="35"/>
      <c r="P250" s="560"/>
      <c r="Q250" s="351"/>
      <c r="R250" s="527"/>
      <c r="S250" s="351"/>
      <c r="T250" s="528"/>
      <c r="U250" s="351"/>
      <c r="V250" s="541"/>
      <c r="W250" s="351"/>
      <c r="X250" s="538" t="s">
        <v>294</v>
      </c>
      <c r="Y250" s="350"/>
      <c r="Z250" s="350"/>
      <c r="AA250" s="351"/>
      <c r="AB250" s="539" t="s">
        <v>294</v>
      </c>
      <c r="AC250" s="350"/>
      <c r="AD250" s="350"/>
      <c r="AE250" s="351"/>
      <c r="AF250" s="544"/>
      <c r="AG250" s="351"/>
      <c r="AH250" s="544"/>
      <c r="AI250" s="351"/>
      <c r="AJ250" s="545"/>
      <c r="AK250" s="351"/>
      <c r="AL250" s="555" t="s">
        <v>325</v>
      </c>
      <c r="AM250" s="351"/>
      <c r="AN250" s="531" t="s">
        <v>325</v>
      </c>
      <c r="AO250" s="351"/>
      <c r="AP250" s="550"/>
      <c r="AQ250" s="351"/>
      <c r="AR250" s="551"/>
      <c r="AS250" s="351"/>
      <c r="AT250" s="534"/>
      <c r="AU250" s="351"/>
      <c r="AV250" s="531" t="s">
        <v>325</v>
      </c>
      <c r="AW250" s="351"/>
      <c r="AX250" s="553"/>
      <c r="AY250" s="350"/>
      <c r="AZ250" s="351"/>
      <c r="BA250" s="554"/>
      <c r="BB250" s="351"/>
      <c r="BC250" s="36"/>
      <c r="BD250" s="556" t="s">
        <v>325</v>
      </c>
      <c r="BE250" s="351"/>
      <c r="BF250" s="547"/>
      <c r="BG250" s="350"/>
      <c r="BH250" s="350"/>
      <c r="BI250" s="351"/>
      <c r="BJ250" s="506" t="s">
        <v>294</v>
      </c>
      <c r="BK250" s="350"/>
      <c r="BL250" s="350"/>
      <c r="BM250" s="351"/>
      <c r="BN250" s="530" t="s">
        <v>294</v>
      </c>
      <c r="BO250" s="350"/>
      <c r="BP250" s="350"/>
      <c r="BQ250" s="350"/>
      <c r="BR250" s="350"/>
      <c r="BS250" s="350"/>
      <c r="BT250" s="350"/>
      <c r="BU250" s="350"/>
      <c r="BV250" s="351"/>
    </row>
    <row r="251" spans="1:74" ht="45" customHeight="1">
      <c r="A251" s="24">
        <f t="shared" si="0"/>
        <v>237</v>
      </c>
      <c r="B251" s="522" t="s">
        <v>294</v>
      </c>
      <c r="C251" s="351"/>
      <c r="D251" s="523" t="s">
        <v>298</v>
      </c>
      <c r="E251" s="351"/>
      <c r="F251" s="524" t="s">
        <v>325</v>
      </c>
      <c r="G251" s="351"/>
      <c r="H251" s="561" t="s">
        <v>325</v>
      </c>
      <c r="I251" s="351"/>
      <c r="J251" s="562"/>
      <c r="K251" s="351"/>
      <c r="L251" s="562"/>
      <c r="M251" s="351"/>
      <c r="N251" s="34"/>
      <c r="O251" s="38"/>
      <c r="P251" s="526"/>
      <c r="Q251" s="351"/>
      <c r="R251" s="535"/>
      <c r="S251" s="351"/>
      <c r="T251" s="536"/>
      <c r="U251" s="351"/>
      <c r="V251" s="537"/>
      <c r="W251" s="351"/>
      <c r="X251" s="542" t="s">
        <v>294</v>
      </c>
      <c r="Y251" s="350"/>
      <c r="Z251" s="350"/>
      <c r="AA251" s="351"/>
      <c r="AB251" s="543" t="s">
        <v>294</v>
      </c>
      <c r="AC251" s="350"/>
      <c r="AD251" s="350"/>
      <c r="AE251" s="351"/>
      <c r="AF251" s="540"/>
      <c r="AG251" s="351"/>
      <c r="AH251" s="540"/>
      <c r="AI251" s="351"/>
      <c r="AJ251" s="532"/>
      <c r="AK251" s="351"/>
      <c r="AL251" s="524" t="s">
        <v>325</v>
      </c>
      <c r="AM251" s="351"/>
      <c r="AN251" s="549" t="s">
        <v>325</v>
      </c>
      <c r="AO251" s="351"/>
      <c r="AP251" s="532"/>
      <c r="AQ251" s="351"/>
      <c r="AR251" s="533"/>
      <c r="AS251" s="351"/>
      <c r="AT251" s="534"/>
      <c r="AU251" s="351"/>
      <c r="AV251" s="549" t="s">
        <v>325</v>
      </c>
      <c r="AW251" s="351"/>
      <c r="AX251" s="553"/>
      <c r="AY251" s="350"/>
      <c r="AZ251" s="351"/>
      <c r="BA251" s="545"/>
      <c r="BB251" s="351"/>
      <c r="BC251" s="39"/>
      <c r="BD251" s="546" t="s">
        <v>325</v>
      </c>
      <c r="BE251" s="351"/>
      <c r="BF251" s="557"/>
      <c r="BG251" s="350"/>
      <c r="BH251" s="350"/>
      <c r="BI251" s="351"/>
      <c r="BJ251" s="548" t="s">
        <v>294</v>
      </c>
      <c r="BK251" s="350"/>
      <c r="BL251" s="350"/>
      <c r="BM251" s="351"/>
      <c r="BN251" s="530" t="s">
        <v>294</v>
      </c>
      <c r="BO251" s="350"/>
      <c r="BP251" s="350"/>
      <c r="BQ251" s="350"/>
      <c r="BR251" s="350"/>
      <c r="BS251" s="350"/>
      <c r="BT251" s="350"/>
      <c r="BU251" s="350"/>
      <c r="BV251" s="351"/>
    </row>
    <row r="252" spans="1:74" ht="45" customHeight="1">
      <c r="A252" s="24">
        <f t="shared" si="0"/>
        <v>238</v>
      </c>
      <c r="B252" s="558" t="s">
        <v>294</v>
      </c>
      <c r="C252" s="351"/>
      <c r="D252" s="559" t="s">
        <v>298</v>
      </c>
      <c r="E252" s="351"/>
      <c r="F252" s="524" t="s">
        <v>325</v>
      </c>
      <c r="G252" s="351"/>
      <c r="H252" s="525" t="s">
        <v>325</v>
      </c>
      <c r="I252" s="351"/>
      <c r="J252" s="40"/>
      <c r="K252" s="41"/>
      <c r="L252" s="40"/>
      <c r="M252" s="41"/>
      <c r="N252" s="37"/>
      <c r="O252" s="35"/>
      <c r="P252" s="560"/>
      <c r="Q252" s="351"/>
      <c r="R252" s="527"/>
      <c r="S252" s="351"/>
      <c r="T252" s="528"/>
      <c r="U252" s="351"/>
      <c r="V252" s="541"/>
      <c r="W252" s="351"/>
      <c r="X252" s="538" t="s">
        <v>294</v>
      </c>
      <c r="Y252" s="350"/>
      <c r="Z252" s="350"/>
      <c r="AA252" s="351"/>
      <c r="AB252" s="539" t="s">
        <v>294</v>
      </c>
      <c r="AC252" s="350"/>
      <c r="AD252" s="350"/>
      <c r="AE252" s="351"/>
      <c r="AF252" s="544"/>
      <c r="AG252" s="351"/>
      <c r="AH252" s="544"/>
      <c r="AI252" s="351"/>
      <c r="AJ252" s="545"/>
      <c r="AK252" s="351"/>
      <c r="AL252" s="555" t="s">
        <v>325</v>
      </c>
      <c r="AM252" s="351"/>
      <c r="AN252" s="531" t="s">
        <v>325</v>
      </c>
      <c r="AO252" s="351"/>
      <c r="AP252" s="550"/>
      <c r="AQ252" s="351"/>
      <c r="AR252" s="551"/>
      <c r="AS252" s="351"/>
      <c r="AT252" s="534"/>
      <c r="AU252" s="351"/>
      <c r="AV252" s="531" t="s">
        <v>325</v>
      </c>
      <c r="AW252" s="351"/>
      <c r="AX252" s="553"/>
      <c r="AY252" s="350"/>
      <c r="AZ252" s="351"/>
      <c r="BA252" s="554"/>
      <c r="BB252" s="351"/>
      <c r="BC252" s="36"/>
      <c r="BD252" s="556" t="s">
        <v>325</v>
      </c>
      <c r="BE252" s="351"/>
      <c r="BF252" s="547"/>
      <c r="BG252" s="350"/>
      <c r="BH252" s="350"/>
      <c r="BI252" s="351"/>
      <c r="BJ252" s="506" t="s">
        <v>294</v>
      </c>
      <c r="BK252" s="350"/>
      <c r="BL252" s="350"/>
      <c r="BM252" s="351"/>
      <c r="BN252" s="530" t="s">
        <v>294</v>
      </c>
      <c r="BO252" s="350"/>
      <c r="BP252" s="350"/>
      <c r="BQ252" s="350"/>
      <c r="BR252" s="350"/>
      <c r="BS252" s="350"/>
      <c r="BT252" s="350"/>
      <c r="BU252" s="350"/>
      <c r="BV252" s="351"/>
    </row>
    <row r="253" spans="1:74" ht="45" customHeight="1">
      <c r="A253" s="24">
        <f t="shared" si="0"/>
        <v>239</v>
      </c>
      <c r="B253" s="522" t="s">
        <v>294</v>
      </c>
      <c r="C253" s="351"/>
      <c r="D253" s="523" t="s">
        <v>298</v>
      </c>
      <c r="E253" s="351"/>
      <c r="F253" s="524" t="s">
        <v>325</v>
      </c>
      <c r="G253" s="351"/>
      <c r="H253" s="561" t="s">
        <v>325</v>
      </c>
      <c r="I253" s="351"/>
      <c r="J253" s="562"/>
      <c r="K253" s="351"/>
      <c r="L253" s="562"/>
      <c r="M253" s="351"/>
      <c r="N253" s="34"/>
      <c r="O253" s="38"/>
      <c r="P253" s="526"/>
      <c r="Q253" s="351"/>
      <c r="R253" s="535"/>
      <c r="S253" s="351"/>
      <c r="T253" s="536"/>
      <c r="U253" s="351"/>
      <c r="V253" s="537"/>
      <c r="W253" s="351"/>
      <c r="X253" s="542" t="s">
        <v>294</v>
      </c>
      <c r="Y253" s="350"/>
      <c r="Z253" s="350"/>
      <c r="AA253" s="351"/>
      <c r="AB253" s="543" t="s">
        <v>294</v>
      </c>
      <c r="AC253" s="350"/>
      <c r="AD253" s="350"/>
      <c r="AE253" s="351"/>
      <c r="AF253" s="540"/>
      <c r="AG253" s="351"/>
      <c r="AH253" s="540"/>
      <c r="AI253" s="351"/>
      <c r="AJ253" s="532"/>
      <c r="AK253" s="351"/>
      <c r="AL253" s="524" t="s">
        <v>325</v>
      </c>
      <c r="AM253" s="351"/>
      <c r="AN253" s="549" t="s">
        <v>325</v>
      </c>
      <c r="AO253" s="351"/>
      <c r="AP253" s="532"/>
      <c r="AQ253" s="351"/>
      <c r="AR253" s="533"/>
      <c r="AS253" s="351"/>
      <c r="AT253" s="534"/>
      <c r="AU253" s="351"/>
      <c r="AV253" s="549" t="s">
        <v>325</v>
      </c>
      <c r="AW253" s="351"/>
      <c r="AX253" s="553"/>
      <c r="AY253" s="350"/>
      <c r="AZ253" s="351"/>
      <c r="BA253" s="545"/>
      <c r="BB253" s="351"/>
      <c r="BC253" s="39"/>
      <c r="BD253" s="546" t="s">
        <v>325</v>
      </c>
      <c r="BE253" s="351"/>
      <c r="BF253" s="529"/>
      <c r="BG253" s="350"/>
      <c r="BH253" s="350"/>
      <c r="BI253" s="351"/>
      <c r="BJ253" s="548" t="s">
        <v>294</v>
      </c>
      <c r="BK253" s="350"/>
      <c r="BL253" s="350"/>
      <c r="BM253" s="351"/>
      <c r="BN253" s="530" t="s">
        <v>294</v>
      </c>
      <c r="BO253" s="350"/>
      <c r="BP253" s="350"/>
      <c r="BQ253" s="350"/>
      <c r="BR253" s="350"/>
      <c r="BS253" s="350"/>
      <c r="BT253" s="350"/>
      <c r="BU253" s="350"/>
      <c r="BV253" s="351"/>
    </row>
    <row r="254" spans="1:74" ht="45" customHeight="1">
      <c r="A254" s="24">
        <f t="shared" si="0"/>
        <v>240</v>
      </c>
      <c r="B254" s="558" t="s">
        <v>294</v>
      </c>
      <c r="C254" s="351"/>
      <c r="D254" s="559" t="s">
        <v>298</v>
      </c>
      <c r="E254" s="351"/>
      <c r="F254" s="524" t="s">
        <v>325</v>
      </c>
      <c r="G254" s="351"/>
      <c r="H254" s="525" t="s">
        <v>325</v>
      </c>
      <c r="I254" s="351"/>
      <c r="J254" s="40"/>
      <c r="K254" s="41"/>
      <c r="L254" s="40"/>
      <c r="M254" s="41"/>
      <c r="N254" s="37"/>
      <c r="O254" s="35"/>
      <c r="P254" s="560"/>
      <c r="Q254" s="351"/>
      <c r="R254" s="527"/>
      <c r="S254" s="351"/>
      <c r="T254" s="528"/>
      <c r="U254" s="351"/>
      <c r="V254" s="541"/>
      <c r="W254" s="351"/>
      <c r="X254" s="538" t="s">
        <v>294</v>
      </c>
      <c r="Y254" s="350"/>
      <c r="Z254" s="350"/>
      <c r="AA254" s="351"/>
      <c r="AB254" s="539" t="s">
        <v>294</v>
      </c>
      <c r="AC254" s="350"/>
      <c r="AD254" s="350"/>
      <c r="AE254" s="351"/>
      <c r="AF254" s="544"/>
      <c r="AG254" s="351"/>
      <c r="AH254" s="544"/>
      <c r="AI254" s="351"/>
      <c r="AJ254" s="545"/>
      <c r="AK254" s="351"/>
      <c r="AL254" s="555" t="s">
        <v>325</v>
      </c>
      <c r="AM254" s="351"/>
      <c r="AN254" s="531" t="s">
        <v>325</v>
      </c>
      <c r="AO254" s="351"/>
      <c r="AP254" s="550"/>
      <c r="AQ254" s="351"/>
      <c r="AR254" s="551"/>
      <c r="AS254" s="351"/>
      <c r="AT254" s="534"/>
      <c r="AU254" s="351"/>
      <c r="AV254" s="531" t="s">
        <v>325</v>
      </c>
      <c r="AW254" s="351"/>
      <c r="AX254" s="553"/>
      <c r="AY254" s="350"/>
      <c r="AZ254" s="351"/>
      <c r="BA254" s="554"/>
      <c r="BB254" s="351"/>
      <c r="BC254" s="36"/>
      <c r="BD254" s="556" t="s">
        <v>325</v>
      </c>
      <c r="BE254" s="351"/>
      <c r="BF254" s="547"/>
      <c r="BG254" s="350"/>
      <c r="BH254" s="350"/>
      <c r="BI254" s="351"/>
      <c r="BJ254" s="506" t="s">
        <v>294</v>
      </c>
      <c r="BK254" s="350"/>
      <c r="BL254" s="350"/>
      <c r="BM254" s="351"/>
      <c r="BN254" s="530" t="s">
        <v>294</v>
      </c>
      <c r="BO254" s="350"/>
      <c r="BP254" s="350"/>
      <c r="BQ254" s="350"/>
      <c r="BR254" s="350"/>
      <c r="BS254" s="350"/>
      <c r="BT254" s="350"/>
      <c r="BU254" s="350"/>
      <c r="BV254" s="351"/>
    </row>
    <row r="255" spans="1:74" ht="45" customHeight="1">
      <c r="A255" s="24">
        <f t="shared" si="0"/>
        <v>241</v>
      </c>
      <c r="B255" s="522" t="s">
        <v>294</v>
      </c>
      <c r="C255" s="351"/>
      <c r="D255" s="523" t="s">
        <v>298</v>
      </c>
      <c r="E255" s="351"/>
      <c r="F255" s="524" t="s">
        <v>325</v>
      </c>
      <c r="G255" s="351"/>
      <c r="H255" s="561" t="s">
        <v>325</v>
      </c>
      <c r="I255" s="351"/>
      <c r="J255" s="562"/>
      <c r="K255" s="351"/>
      <c r="L255" s="562"/>
      <c r="M255" s="351"/>
      <c r="N255" s="34"/>
      <c r="O255" s="38"/>
      <c r="P255" s="526"/>
      <c r="Q255" s="351"/>
      <c r="R255" s="535"/>
      <c r="S255" s="351"/>
      <c r="T255" s="536"/>
      <c r="U255" s="351"/>
      <c r="V255" s="537"/>
      <c r="W255" s="351"/>
      <c r="X255" s="542" t="s">
        <v>294</v>
      </c>
      <c r="Y255" s="350"/>
      <c r="Z255" s="350"/>
      <c r="AA255" s="351"/>
      <c r="AB255" s="543" t="s">
        <v>294</v>
      </c>
      <c r="AC255" s="350"/>
      <c r="AD255" s="350"/>
      <c r="AE255" s="351"/>
      <c r="AF255" s="540"/>
      <c r="AG255" s="351"/>
      <c r="AH255" s="540"/>
      <c r="AI255" s="351"/>
      <c r="AJ255" s="532"/>
      <c r="AK255" s="351"/>
      <c r="AL255" s="524" t="s">
        <v>325</v>
      </c>
      <c r="AM255" s="351"/>
      <c r="AN255" s="549" t="s">
        <v>325</v>
      </c>
      <c r="AO255" s="351"/>
      <c r="AP255" s="532"/>
      <c r="AQ255" s="351"/>
      <c r="AR255" s="533"/>
      <c r="AS255" s="351"/>
      <c r="AT255" s="534"/>
      <c r="AU255" s="351"/>
      <c r="AV255" s="549" t="s">
        <v>325</v>
      </c>
      <c r="AW255" s="351"/>
      <c r="AX255" s="553"/>
      <c r="AY255" s="350"/>
      <c r="AZ255" s="351"/>
      <c r="BA255" s="545"/>
      <c r="BB255" s="351"/>
      <c r="BC255" s="39"/>
      <c r="BD255" s="546" t="s">
        <v>325</v>
      </c>
      <c r="BE255" s="351"/>
      <c r="BF255" s="529"/>
      <c r="BG255" s="350"/>
      <c r="BH255" s="350"/>
      <c r="BI255" s="351"/>
      <c r="BJ255" s="548" t="s">
        <v>294</v>
      </c>
      <c r="BK255" s="350"/>
      <c r="BL255" s="350"/>
      <c r="BM255" s="351"/>
      <c r="BN255" s="530" t="s">
        <v>294</v>
      </c>
      <c r="BO255" s="350"/>
      <c r="BP255" s="350"/>
      <c r="BQ255" s="350"/>
      <c r="BR255" s="350"/>
      <c r="BS255" s="350"/>
      <c r="BT255" s="350"/>
      <c r="BU255" s="350"/>
      <c r="BV255" s="351"/>
    </row>
    <row r="256" spans="1:74" ht="45" customHeight="1">
      <c r="A256" s="24">
        <f t="shared" si="0"/>
        <v>242</v>
      </c>
      <c r="B256" s="558" t="s">
        <v>294</v>
      </c>
      <c r="C256" s="351"/>
      <c r="D256" s="559" t="s">
        <v>298</v>
      </c>
      <c r="E256" s="351"/>
      <c r="F256" s="524" t="s">
        <v>325</v>
      </c>
      <c r="G256" s="351"/>
      <c r="H256" s="525" t="s">
        <v>325</v>
      </c>
      <c r="I256" s="351"/>
      <c r="J256" s="40"/>
      <c r="K256" s="41"/>
      <c r="L256" s="40"/>
      <c r="M256" s="41"/>
      <c r="N256" s="37"/>
      <c r="O256" s="38"/>
      <c r="P256" s="560"/>
      <c r="Q256" s="351"/>
      <c r="R256" s="527"/>
      <c r="S256" s="351"/>
      <c r="T256" s="528"/>
      <c r="U256" s="351"/>
      <c r="V256" s="541"/>
      <c r="W256" s="351"/>
      <c r="X256" s="538" t="s">
        <v>294</v>
      </c>
      <c r="Y256" s="350"/>
      <c r="Z256" s="350"/>
      <c r="AA256" s="351"/>
      <c r="AB256" s="539" t="s">
        <v>294</v>
      </c>
      <c r="AC256" s="350"/>
      <c r="AD256" s="350"/>
      <c r="AE256" s="351"/>
      <c r="AF256" s="544"/>
      <c r="AG256" s="351"/>
      <c r="AH256" s="544"/>
      <c r="AI256" s="351"/>
      <c r="AJ256" s="545"/>
      <c r="AK256" s="351"/>
      <c r="AL256" s="555" t="s">
        <v>325</v>
      </c>
      <c r="AM256" s="351"/>
      <c r="AN256" s="531" t="s">
        <v>325</v>
      </c>
      <c r="AO256" s="351"/>
      <c r="AP256" s="550"/>
      <c r="AQ256" s="351"/>
      <c r="AR256" s="551"/>
      <c r="AS256" s="351"/>
      <c r="AT256" s="534"/>
      <c r="AU256" s="351"/>
      <c r="AV256" s="531" t="s">
        <v>325</v>
      </c>
      <c r="AW256" s="351"/>
      <c r="AX256" s="553"/>
      <c r="AY256" s="350"/>
      <c r="AZ256" s="351"/>
      <c r="BA256" s="554"/>
      <c r="BB256" s="351"/>
      <c r="BC256" s="36"/>
      <c r="BD256" s="556" t="s">
        <v>325</v>
      </c>
      <c r="BE256" s="351"/>
      <c r="BF256" s="547"/>
      <c r="BG256" s="350"/>
      <c r="BH256" s="350"/>
      <c r="BI256" s="351"/>
      <c r="BJ256" s="506" t="s">
        <v>294</v>
      </c>
      <c r="BK256" s="350"/>
      <c r="BL256" s="350"/>
      <c r="BM256" s="351"/>
      <c r="BN256" s="530" t="s">
        <v>294</v>
      </c>
      <c r="BO256" s="350"/>
      <c r="BP256" s="350"/>
      <c r="BQ256" s="350"/>
      <c r="BR256" s="350"/>
      <c r="BS256" s="350"/>
      <c r="BT256" s="350"/>
      <c r="BU256" s="350"/>
      <c r="BV256" s="351"/>
    </row>
    <row r="257" spans="1:74" ht="45" customHeight="1">
      <c r="A257" s="24">
        <f t="shared" si="0"/>
        <v>243</v>
      </c>
      <c r="B257" s="522" t="s">
        <v>294</v>
      </c>
      <c r="C257" s="351"/>
      <c r="D257" s="523" t="s">
        <v>298</v>
      </c>
      <c r="E257" s="351"/>
      <c r="F257" s="524" t="s">
        <v>325</v>
      </c>
      <c r="G257" s="351"/>
      <c r="H257" s="561" t="s">
        <v>325</v>
      </c>
      <c r="I257" s="351"/>
      <c r="J257" s="562"/>
      <c r="K257" s="351"/>
      <c r="L257" s="562"/>
      <c r="M257" s="351"/>
      <c r="N257" s="34"/>
      <c r="O257" s="35"/>
      <c r="P257" s="526"/>
      <c r="Q257" s="351"/>
      <c r="R257" s="535"/>
      <c r="S257" s="351"/>
      <c r="T257" s="536"/>
      <c r="U257" s="351"/>
      <c r="V257" s="537"/>
      <c r="W257" s="351"/>
      <c r="X257" s="542" t="s">
        <v>294</v>
      </c>
      <c r="Y257" s="350"/>
      <c r="Z257" s="350"/>
      <c r="AA257" s="351"/>
      <c r="AB257" s="543" t="s">
        <v>294</v>
      </c>
      <c r="AC257" s="350"/>
      <c r="AD257" s="350"/>
      <c r="AE257" s="351"/>
      <c r="AF257" s="540"/>
      <c r="AG257" s="351"/>
      <c r="AH257" s="540"/>
      <c r="AI257" s="351"/>
      <c r="AJ257" s="532"/>
      <c r="AK257" s="351"/>
      <c r="AL257" s="524" t="s">
        <v>325</v>
      </c>
      <c r="AM257" s="351"/>
      <c r="AN257" s="549" t="s">
        <v>325</v>
      </c>
      <c r="AO257" s="351"/>
      <c r="AP257" s="532"/>
      <c r="AQ257" s="351"/>
      <c r="AR257" s="533"/>
      <c r="AS257" s="351"/>
      <c r="AT257" s="534"/>
      <c r="AU257" s="351"/>
      <c r="AV257" s="549" t="s">
        <v>325</v>
      </c>
      <c r="AW257" s="351"/>
      <c r="AX257" s="553"/>
      <c r="AY257" s="350"/>
      <c r="AZ257" s="351"/>
      <c r="BA257" s="545"/>
      <c r="BB257" s="351"/>
      <c r="BC257" s="39"/>
      <c r="BD257" s="546" t="s">
        <v>325</v>
      </c>
      <c r="BE257" s="351"/>
      <c r="BF257" s="557"/>
      <c r="BG257" s="350"/>
      <c r="BH257" s="350"/>
      <c r="BI257" s="351"/>
      <c r="BJ257" s="548" t="s">
        <v>294</v>
      </c>
      <c r="BK257" s="350"/>
      <c r="BL257" s="350"/>
      <c r="BM257" s="351"/>
      <c r="BN257" s="530" t="s">
        <v>294</v>
      </c>
      <c r="BO257" s="350"/>
      <c r="BP257" s="350"/>
      <c r="BQ257" s="350"/>
      <c r="BR257" s="350"/>
      <c r="BS257" s="350"/>
      <c r="BT257" s="350"/>
      <c r="BU257" s="350"/>
      <c r="BV257" s="351"/>
    </row>
    <row r="258" spans="1:74" ht="45" customHeight="1">
      <c r="A258" s="24">
        <f t="shared" si="0"/>
        <v>244</v>
      </c>
      <c r="B258" s="558" t="s">
        <v>294</v>
      </c>
      <c r="C258" s="351"/>
      <c r="D258" s="559" t="s">
        <v>298</v>
      </c>
      <c r="E258" s="351"/>
      <c r="F258" s="524" t="s">
        <v>325</v>
      </c>
      <c r="G258" s="351"/>
      <c r="H258" s="525" t="s">
        <v>325</v>
      </c>
      <c r="I258" s="351"/>
      <c r="J258" s="40"/>
      <c r="K258" s="41"/>
      <c r="L258" s="40"/>
      <c r="M258" s="41"/>
      <c r="N258" s="37"/>
      <c r="O258" s="38"/>
      <c r="P258" s="560"/>
      <c r="Q258" s="351"/>
      <c r="R258" s="527"/>
      <c r="S258" s="351"/>
      <c r="T258" s="528"/>
      <c r="U258" s="351"/>
      <c r="V258" s="541"/>
      <c r="W258" s="351"/>
      <c r="X258" s="538" t="s">
        <v>294</v>
      </c>
      <c r="Y258" s="350"/>
      <c r="Z258" s="350"/>
      <c r="AA258" s="351"/>
      <c r="AB258" s="539" t="s">
        <v>294</v>
      </c>
      <c r="AC258" s="350"/>
      <c r="AD258" s="350"/>
      <c r="AE258" s="351"/>
      <c r="AF258" s="544"/>
      <c r="AG258" s="351"/>
      <c r="AH258" s="544"/>
      <c r="AI258" s="351"/>
      <c r="AJ258" s="545"/>
      <c r="AK258" s="351"/>
      <c r="AL258" s="555" t="s">
        <v>325</v>
      </c>
      <c r="AM258" s="351"/>
      <c r="AN258" s="531" t="s">
        <v>325</v>
      </c>
      <c r="AO258" s="351"/>
      <c r="AP258" s="550"/>
      <c r="AQ258" s="351"/>
      <c r="AR258" s="551"/>
      <c r="AS258" s="351"/>
      <c r="AT258" s="534"/>
      <c r="AU258" s="351"/>
      <c r="AV258" s="531" t="s">
        <v>325</v>
      </c>
      <c r="AW258" s="351"/>
      <c r="AX258" s="553"/>
      <c r="AY258" s="350"/>
      <c r="AZ258" s="351"/>
      <c r="BA258" s="554"/>
      <c r="BB258" s="351"/>
      <c r="BC258" s="36"/>
      <c r="BD258" s="556" t="s">
        <v>325</v>
      </c>
      <c r="BE258" s="351"/>
      <c r="BF258" s="547"/>
      <c r="BG258" s="350"/>
      <c r="BH258" s="350"/>
      <c r="BI258" s="351"/>
      <c r="BJ258" s="506" t="s">
        <v>294</v>
      </c>
      <c r="BK258" s="350"/>
      <c r="BL258" s="350"/>
      <c r="BM258" s="351"/>
      <c r="BN258" s="530" t="s">
        <v>294</v>
      </c>
      <c r="BO258" s="350"/>
      <c r="BP258" s="350"/>
      <c r="BQ258" s="350"/>
      <c r="BR258" s="350"/>
      <c r="BS258" s="350"/>
      <c r="BT258" s="350"/>
      <c r="BU258" s="350"/>
      <c r="BV258" s="351"/>
    </row>
    <row r="259" spans="1:74" ht="45" customHeight="1">
      <c r="A259" s="24">
        <f t="shared" si="0"/>
        <v>245</v>
      </c>
      <c r="B259" s="522" t="s">
        <v>294</v>
      </c>
      <c r="C259" s="351"/>
      <c r="D259" s="523" t="s">
        <v>298</v>
      </c>
      <c r="E259" s="351"/>
      <c r="F259" s="524" t="s">
        <v>325</v>
      </c>
      <c r="G259" s="351"/>
      <c r="H259" s="561" t="s">
        <v>325</v>
      </c>
      <c r="I259" s="351"/>
      <c r="J259" s="562"/>
      <c r="K259" s="351"/>
      <c r="L259" s="562"/>
      <c r="M259" s="351"/>
      <c r="N259" s="34"/>
      <c r="O259" s="35"/>
      <c r="P259" s="526"/>
      <c r="Q259" s="351"/>
      <c r="R259" s="535"/>
      <c r="S259" s="351"/>
      <c r="T259" s="536"/>
      <c r="U259" s="351"/>
      <c r="V259" s="537"/>
      <c r="W259" s="351"/>
      <c r="X259" s="542" t="s">
        <v>294</v>
      </c>
      <c r="Y259" s="350"/>
      <c r="Z259" s="350"/>
      <c r="AA259" s="351"/>
      <c r="AB259" s="543" t="s">
        <v>294</v>
      </c>
      <c r="AC259" s="350"/>
      <c r="AD259" s="350"/>
      <c r="AE259" s="351"/>
      <c r="AF259" s="540"/>
      <c r="AG259" s="351"/>
      <c r="AH259" s="540"/>
      <c r="AI259" s="351"/>
      <c r="AJ259" s="532"/>
      <c r="AK259" s="351"/>
      <c r="AL259" s="524" t="s">
        <v>325</v>
      </c>
      <c r="AM259" s="351"/>
      <c r="AN259" s="549" t="s">
        <v>325</v>
      </c>
      <c r="AO259" s="351"/>
      <c r="AP259" s="532"/>
      <c r="AQ259" s="351"/>
      <c r="AR259" s="533"/>
      <c r="AS259" s="351"/>
      <c r="AT259" s="534"/>
      <c r="AU259" s="351"/>
      <c r="AV259" s="549" t="s">
        <v>325</v>
      </c>
      <c r="AW259" s="351"/>
      <c r="AX259" s="553"/>
      <c r="AY259" s="350"/>
      <c r="AZ259" s="351"/>
      <c r="BA259" s="545"/>
      <c r="BB259" s="351"/>
      <c r="BC259" s="39"/>
      <c r="BD259" s="546" t="s">
        <v>325</v>
      </c>
      <c r="BE259" s="351"/>
      <c r="BF259" s="529"/>
      <c r="BG259" s="350"/>
      <c r="BH259" s="350"/>
      <c r="BI259" s="351"/>
      <c r="BJ259" s="548" t="s">
        <v>294</v>
      </c>
      <c r="BK259" s="350"/>
      <c r="BL259" s="350"/>
      <c r="BM259" s="351"/>
      <c r="BN259" s="530" t="s">
        <v>294</v>
      </c>
      <c r="BO259" s="350"/>
      <c r="BP259" s="350"/>
      <c r="BQ259" s="350"/>
      <c r="BR259" s="350"/>
      <c r="BS259" s="350"/>
      <c r="BT259" s="350"/>
      <c r="BU259" s="350"/>
      <c r="BV259" s="351"/>
    </row>
    <row r="260" spans="1:74" ht="45" customHeight="1">
      <c r="A260" s="24">
        <f t="shared" si="0"/>
        <v>246</v>
      </c>
      <c r="B260" s="558" t="s">
        <v>294</v>
      </c>
      <c r="C260" s="351"/>
      <c r="D260" s="559" t="s">
        <v>298</v>
      </c>
      <c r="E260" s="351"/>
      <c r="F260" s="524" t="s">
        <v>325</v>
      </c>
      <c r="G260" s="351"/>
      <c r="H260" s="525" t="s">
        <v>325</v>
      </c>
      <c r="I260" s="351"/>
      <c r="J260" s="40"/>
      <c r="K260" s="41"/>
      <c r="L260" s="40"/>
      <c r="M260" s="41"/>
      <c r="N260" s="37"/>
      <c r="O260" s="38"/>
      <c r="P260" s="560"/>
      <c r="Q260" s="351"/>
      <c r="R260" s="527"/>
      <c r="S260" s="351"/>
      <c r="T260" s="528"/>
      <c r="U260" s="351"/>
      <c r="V260" s="541"/>
      <c r="W260" s="351"/>
      <c r="X260" s="538" t="s">
        <v>294</v>
      </c>
      <c r="Y260" s="350"/>
      <c r="Z260" s="350"/>
      <c r="AA260" s="351"/>
      <c r="AB260" s="539" t="s">
        <v>294</v>
      </c>
      <c r="AC260" s="350"/>
      <c r="AD260" s="350"/>
      <c r="AE260" s="351"/>
      <c r="AF260" s="544"/>
      <c r="AG260" s="351"/>
      <c r="AH260" s="544"/>
      <c r="AI260" s="351"/>
      <c r="AJ260" s="545"/>
      <c r="AK260" s="351"/>
      <c r="AL260" s="555" t="s">
        <v>325</v>
      </c>
      <c r="AM260" s="351"/>
      <c r="AN260" s="531" t="s">
        <v>325</v>
      </c>
      <c r="AO260" s="351"/>
      <c r="AP260" s="550"/>
      <c r="AQ260" s="351"/>
      <c r="AR260" s="551"/>
      <c r="AS260" s="351"/>
      <c r="AT260" s="534"/>
      <c r="AU260" s="351"/>
      <c r="AV260" s="531" t="s">
        <v>325</v>
      </c>
      <c r="AW260" s="351"/>
      <c r="AX260" s="553"/>
      <c r="AY260" s="350"/>
      <c r="AZ260" s="351"/>
      <c r="BA260" s="554"/>
      <c r="BB260" s="351"/>
      <c r="BC260" s="36"/>
      <c r="BD260" s="556" t="s">
        <v>325</v>
      </c>
      <c r="BE260" s="351"/>
      <c r="BF260" s="547"/>
      <c r="BG260" s="350"/>
      <c r="BH260" s="350"/>
      <c r="BI260" s="351"/>
      <c r="BJ260" s="506" t="s">
        <v>294</v>
      </c>
      <c r="BK260" s="350"/>
      <c r="BL260" s="350"/>
      <c r="BM260" s="351"/>
      <c r="BN260" s="530" t="s">
        <v>294</v>
      </c>
      <c r="BO260" s="350"/>
      <c r="BP260" s="350"/>
      <c r="BQ260" s="350"/>
      <c r="BR260" s="350"/>
      <c r="BS260" s="350"/>
      <c r="BT260" s="350"/>
      <c r="BU260" s="350"/>
      <c r="BV260" s="351"/>
    </row>
    <row r="261" spans="1:74" ht="45" customHeight="1">
      <c r="A261" s="24">
        <f t="shared" si="0"/>
        <v>247</v>
      </c>
      <c r="B261" s="522" t="s">
        <v>294</v>
      </c>
      <c r="C261" s="351"/>
      <c r="D261" s="523" t="s">
        <v>298</v>
      </c>
      <c r="E261" s="351"/>
      <c r="F261" s="524" t="s">
        <v>325</v>
      </c>
      <c r="G261" s="351"/>
      <c r="H261" s="561" t="s">
        <v>325</v>
      </c>
      <c r="I261" s="351"/>
      <c r="J261" s="562"/>
      <c r="K261" s="351"/>
      <c r="L261" s="562"/>
      <c r="M261" s="351"/>
      <c r="N261" s="34"/>
      <c r="O261" s="35"/>
      <c r="P261" s="526"/>
      <c r="Q261" s="351"/>
      <c r="R261" s="535"/>
      <c r="S261" s="351"/>
      <c r="T261" s="536"/>
      <c r="U261" s="351"/>
      <c r="V261" s="537"/>
      <c r="W261" s="351"/>
      <c r="X261" s="542" t="s">
        <v>294</v>
      </c>
      <c r="Y261" s="350"/>
      <c r="Z261" s="350"/>
      <c r="AA261" s="351"/>
      <c r="AB261" s="543" t="s">
        <v>294</v>
      </c>
      <c r="AC261" s="350"/>
      <c r="AD261" s="350"/>
      <c r="AE261" s="351"/>
      <c r="AF261" s="540"/>
      <c r="AG261" s="351"/>
      <c r="AH261" s="540"/>
      <c r="AI261" s="351"/>
      <c r="AJ261" s="532"/>
      <c r="AK261" s="351"/>
      <c r="AL261" s="524" t="s">
        <v>325</v>
      </c>
      <c r="AM261" s="351"/>
      <c r="AN261" s="549" t="s">
        <v>325</v>
      </c>
      <c r="AO261" s="351"/>
      <c r="AP261" s="532"/>
      <c r="AQ261" s="351"/>
      <c r="AR261" s="533"/>
      <c r="AS261" s="351"/>
      <c r="AT261" s="534"/>
      <c r="AU261" s="351"/>
      <c r="AV261" s="549" t="s">
        <v>325</v>
      </c>
      <c r="AW261" s="351"/>
      <c r="AX261" s="553"/>
      <c r="AY261" s="350"/>
      <c r="AZ261" s="351"/>
      <c r="BA261" s="545"/>
      <c r="BB261" s="351"/>
      <c r="BC261" s="39"/>
      <c r="BD261" s="546" t="s">
        <v>325</v>
      </c>
      <c r="BE261" s="351"/>
      <c r="BF261" s="557"/>
      <c r="BG261" s="350"/>
      <c r="BH261" s="350"/>
      <c r="BI261" s="351"/>
      <c r="BJ261" s="548" t="s">
        <v>294</v>
      </c>
      <c r="BK261" s="350"/>
      <c r="BL261" s="350"/>
      <c r="BM261" s="351"/>
      <c r="BN261" s="530" t="s">
        <v>294</v>
      </c>
      <c r="BO261" s="350"/>
      <c r="BP261" s="350"/>
      <c r="BQ261" s="350"/>
      <c r="BR261" s="350"/>
      <c r="BS261" s="350"/>
      <c r="BT261" s="350"/>
      <c r="BU261" s="350"/>
      <c r="BV261" s="351"/>
    </row>
    <row r="262" spans="1:74" ht="45" customHeight="1">
      <c r="A262" s="24">
        <f t="shared" si="0"/>
        <v>248</v>
      </c>
      <c r="B262" s="558" t="s">
        <v>294</v>
      </c>
      <c r="C262" s="351"/>
      <c r="D262" s="559" t="s">
        <v>298</v>
      </c>
      <c r="E262" s="351"/>
      <c r="F262" s="524" t="s">
        <v>325</v>
      </c>
      <c r="G262" s="351"/>
      <c r="H262" s="525" t="s">
        <v>325</v>
      </c>
      <c r="I262" s="351"/>
      <c r="J262" s="40"/>
      <c r="K262" s="41"/>
      <c r="L262" s="40"/>
      <c r="M262" s="41"/>
      <c r="N262" s="37"/>
      <c r="O262" s="38"/>
      <c r="P262" s="560"/>
      <c r="Q262" s="351"/>
      <c r="R262" s="527"/>
      <c r="S262" s="351"/>
      <c r="T262" s="528"/>
      <c r="U262" s="351"/>
      <c r="V262" s="541"/>
      <c r="W262" s="351"/>
      <c r="X262" s="538" t="s">
        <v>294</v>
      </c>
      <c r="Y262" s="350"/>
      <c r="Z262" s="350"/>
      <c r="AA262" s="351"/>
      <c r="AB262" s="539" t="s">
        <v>294</v>
      </c>
      <c r="AC262" s="350"/>
      <c r="AD262" s="350"/>
      <c r="AE262" s="351"/>
      <c r="AF262" s="544"/>
      <c r="AG262" s="351"/>
      <c r="AH262" s="544"/>
      <c r="AI262" s="351"/>
      <c r="AJ262" s="545"/>
      <c r="AK262" s="351"/>
      <c r="AL262" s="555" t="s">
        <v>325</v>
      </c>
      <c r="AM262" s="351"/>
      <c r="AN262" s="531" t="s">
        <v>325</v>
      </c>
      <c r="AO262" s="351"/>
      <c r="AP262" s="550"/>
      <c r="AQ262" s="351"/>
      <c r="AR262" s="551"/>
      <c r="AS262" s="351"/>
      <c r="AT262" s="534"/>
      <c r="AU262" s="351"/>
      <c r="AV262" s="531" t="s">
        <v>325</v>
      </c>
      <c r="AW262" s="351"/>
      <c r="AX262" s="553"/>
      <c r="AY262" s="350"/>
      <c r="AZ262" s="351"/>
      <c r="BA262" s="554"/>
      <c r="BB262" s="351"/>
      <c r="BC262" s="36"/>
      <c r="BD262" s="556" t="s">
        <v>325</v>
      </c>
      <c r="BE262" s="351"/>
      <c r="BF262" s="547"/>
      <c r="BG262" s="350"/>
      <c r="BH262" s="350"/>
      <c r="BI262" s="351"/>
      <c r="BJ262" s="506" t="s">
        <v>294</v>
      </c>
      <c r="BK262" s="350"/>
      <c r="BL262" s="350"/>
      <c r="BM262" s="351"/>
      <c r="BN262" s="530" t="s">
        <v>294</v>
      </c>
      <c r="BO262" s="350"/>
      <c r="BP262" s="350"/>
      <c r="BQ262" s="350"/>
      <c r="BR262" s="350"/>
      <c r="BS262" s="350"/>
      <c r="BT262" s="350"/>
      <c r="BU262" s="350"/>
      <c r="BV262" s="351"/>
    </row>
    <row r="263" spans="1:74" ht="45" customHeight="1">
      <c r="A263" s="24">
        <f t="shared" si="0"/>
        <v>249</v>
      </c>
      <c r="B263" s="522" t="s">
        <v>294</v>
      </c>
      <c r="C263" s="351"/>
      <c r="D263" s="523" t="s">
        <v>298</v>
      </c>
      <c r="E263" s="351"/>
      <c r="F263" s="524" t="s">
        <v>325</v>
      </c>
      <c r="G263" s="351"/>
      <c r="H263" s="561" t="s">
        <v>325</v>
      </c>
      <c r="I263" s="351"/>
      <c r="J263" s="562"/>
      <c r="K263" s="351"/>
      <c r="L263" s="562"/>
      <c r="M263" s="351"/>
      <c r="N263" s="34"/>
      <c r="O263" s="35"/>
      <c r="P263" s="526"/>
      <c r="Q263" s="351"/>
      <c r="R263" s="535"/>
      <c r="S263" s="351"/>
      <c r="T263" s="536"/>
      <c r="U263" s="351"/>
      <c r="V263" s="537"/>
      <c r="W263" s="351"/>
      <c r="X263" s="542" t="s">
        <v>294</v>
      </c>
      <c r="Y263" s="350"/>
      <c r="Z263" s="350"/>
      <c r="AA263" s="351"/>
      <c r="AB263" s="543" t="s">
        <v>294</v>
      </c>
      <c r="AC263" s="350"/>
      <c r="AD263" s="350"/>
      <c r="AE263" s="351"/>
      <c r="AF263" s="540"/>
      <c r="AG263" s="351"/>
      <c r="AH263" s="540"/>
      <c r="AI263" s="351"/>
      <c r="AJ263" s="532"/>
      <c r="AK263" s="351"/>
      <c r="AL263" s="524" t="s">
        <v>325</v>
      </c>
      <c r="AM263" s="351"/>
      <c r="AN263" s="549" t="s">
        <v>325</v>
      </c>
      <c r="AO263" s="351"/>
      <c r="AP263" s="532"/>
      <c r="AQ263" s="351"/>
      <c r="AR263" s="533"/>
      <c r="AS263" s="351"/>
      <c r="AT263" s="534"/>
      <c r="AU263" s="351"/>
      <c r="AV263" s="549" t="s">
        <v>325</v>
      </c>
      <c r="AW263" s="351"/>
      <c r="AX263" s="553"/>
      <c r="AY263" s="350"/>
      <c r="AZ263" s="351"/>
      <c r="BA263" s="545"/>
      <c r="BB263" s="351"/>
      <c r="BC263" s="39"/>
      <c r="BD263" s="546" t="s">
        <v>325</v>
      </c>
      <c r="BE263" s="351"/>
      <c r="BF263" s="529"/>
      <c r="BG263" s="350"/>
      <c r="BH263" s="350"/>
      <c r="BI263" s="351"/>
      <c r="BJ263" s="548" t="s">
        <v>294</v>
      </c>
      <c r="BK263" s="350"/>
      <c r="BL263" s="350"/>
      <c r="BM263" s="351"/>
      <c r="BN263" s="530" t="s">
        <v>294</v>
      </c>
      <c r="BO263" s="350"/>
      <c r="BP263" s="350"/>
      <c r="BQ263" s="350"/>
      <c r="BR263" s="350"/>
      <c r="BS263" s="350"/>
      <c r="BT263" s="350"/>
      <c r="BU263" s="350"/>
      <c r="BV263" s="351"/>
    </row>
    <row r="264" spans="1:74" ht="45" customHeight="1">
      <c r="A264" s="24">
        <f t="shared" si="0"/>
        <v>250</v>
      </c>
      <c r="B264" s="558" t="s">
        <v>294</v>
      </c>
      <c r="C264" s="351"/>
      <c r="D264" s="559" t="s">
        <v>298</v>
      </c>
      <c r="E264" s="351"/>
      <c r="F264" s="524" t="s">
        <v>325</v>
      </c>
      <c r="G264" s="351"/>
      <c r="H264" s="525" t="s">
        <v>325</v>
      </c>
      <c r="I264" s="351"/>
      <c r="J264" s="40"/>
      <c r="K264" s="41"/>
      <c r="L264" s="40"/>
      <c r="M264" s="41"/>
      <c r="N264" s="37"/>
      <c r="O264" s="38"/>
      <c r="P264" s="560"/>
      <c r="Q264" s="351"/>
      <c r="R264" s="527"/>
      <c r="S264" s="351"/>
      <c r="T264" s="528"/>
      <c r="U264" s="351"/>
      <c r="V264" s="541"/>
      <c r="W264" s="351"/>
      <c r="X264" s="538" t="s">
        <v>294</v>
      </c>
      <c r="Y264" s="350"/>
      <c r="Z264" s="350"/>
      <c r="AA264" s="351"/>
      <c r="AB264" s="539" t="s">
        <v>294</v>
      </c>
      <c r="AC264" s="350"/>
      <c r="AD264" s="350"/>
      <c r="AE264" s="351"/>
      <c r="AF264" s="544"/>
      <c r="AG264" s="351"/>
      <c r="AH264" s="544"/>
      <c r="AI264" s="351"/>
      <c r="AJ264" s="545"/>
      <c r="AK264" s="351"/>
      <c r="AL264" s="555" t="s">
        <v>325</v>
      </c>
      <c r="AM264" s="351"/>
      <c r="AN264" s="531" t="s">
        <v>325</v>
      </c>
      <c r="AO264" s="351"/>
      <c r="AP264" s="550"/>
      <c r="AQ264" s="351"/>
      <c r="AR264" s="551"/>
      <c r="AS264" s="351"/>
      <c r="AT264" s="534"/>
      <c r="AU264" s="351"/>
      <c r="AV264" s="531" t="s">
        <v>325</v>
      </c>
      <c r="AW264" s="351"/>
      <c r="AX264" s="553"/>
      <c r="AY264" s="350"/>
      <c r="AZ264" s="351"/>
      <c r="BA264" s="554"/>
      <c r="BB264" s="351"/>
      <c r="BC264" s="36"/>
      <c r="BD264" s="556" t="s">
        <v>325</v>
      </c>
      <c r="BE264" s="351"/>
      <c r="BF264" s="547"/>
      <c r="BG264" s="350"/>
      <c r="BH264" s="350"/>
      <c r="BI264" s="351"/>
      <c r="BJ264" s="506" t="s">
        <v>294</v>
      </c>
      <c r="BK264" s="350"/>
      <c r="BL264" s="350"/>
      <c r="BM264" s="351"/>
      <c r="BN264" s="530" t="s">
        <v>294</v>
      </c>
      <c r="BO264" s="350"/>
      <c r="BP264" s="350"/>
      <c r="BQ264" s="350"/>
      <c r="BR264" s="350"/>
      <c r="BS264" s="350"/>
      <c r="BT264" s="350"/>
      <c r="BU264" s="350"/>
      <c r="BV264" s="351"/>
    </row>
    <row r="265" spans="1:74" ht="45" customHeight="1">
      <c r="A265" s="24">
        <f t="shared" si="0"/>
        <v>251</v>
      </c>
      <c r="B265" s="522" t="s">
        <v>294</v>
      </c>
      <c r="C265" s="351"/>
      <c r="D265" s="523" t="s">
        <v>298</v>
      </c>
      <c r="E265" s="351"/>
      <c r="F265" s="524" t="s">
        <v>325</v>
      </c>
      <c r="G265" s="351"/>
      <c r="H265" s="561" t="s">
        <v>325</v>
      </c>
      <c r="I265" s="351"/>
      <c r="J265" s="562"/>
      <c r="K265" s="351"/>
      <c r="L265" s="562"/>
      <c r="M265" s="351"/>
      <c r="N265" s="34"/>
      <c r="O265" s="35"/>
      <c r="P265" s="526"/>
      <c r="Q265" s="351"/>
      <c r="R265" s="535"/>
      <c r="S265" s="351"/>
      <c r="T265" s="536"/>
      <c r="U265" s="351"/>
      <c r="V265" s="537"/>
      <c r="W265" s="351"/>
      <c r="X265" s="542" t="s">
        <v>294</v>
      </c>
      <c r="Y265" s="350"/>
      <c r="Z265" s="350"/>
      <c r="AA265" s="351"/>
      <c r="AB265" s="543" t="s">
        <v>294</v>
      </c>
      <c r="AC265" s="350"/>
      <c r="AD265" s="350"/>
      <c r="AE265" s="351"/>
      <c r="AF265" s="540"/>
      <c r="AG265" s="351"/>
      <c r="AH265" s="540"/>
      <c r="AI265" s="351"/>
      <c r="AJ265" s="532"/>
      <c r="AK265" s="351"/>
      <c r="AL265" s="524" t="s">
        <v>325</v>
      </c>
      <c r="AM265" s="351"/>
      <c r="AN265" s="549" t="s">
        <v>325</v>
      </c>
      <c r="AO265" s="351"/>
      <c r="AP265" s="532"/>
      <c r="AQ265" s="351"/>
      <c r="AR265" s="533"/>
      <c r="AS265" s="351"/>
      <c r="AT265" s="534"/>
      <c r="AU265" s="351"/>
      <c r="AV265" s="549" t="s">
        <v>325</v>
      </c>
      <c r="AW265" s="351"/>
      <c r="AX265" s="553"/>
      <c r="AY265" s="350"/>
      <c r="AZ265" s="351"/>
      <c r="BA265" s="545"/>
      <c r="BB265" s="351"/>
      <c r="BC265" s="39"/>
      <c r="BD265" s="546" t="s">
        <v>325</v>
      </c>
      <c r="BE265" s="351"/>
      <c r="BF265" s="529"/>
      <c r="BG265" s="350"/>
      <c r="BH265" s="350"/>
      <c r="BI265" s="351"/>
      <c r="BJ265" s="548" t="s">
        <v>294</v>
      </c>
      <c r="BK265" s="350"/>
      <c r="BL265" s="350"/>
      <c r="BM265" s="351"/>
      <c r="BN265" s="530" t="s">
        <v>294</v>
      </c>
      <c r="BO265" s="350"/>
      <c r="BP265" s="350"/>
      <c r="BQ265" s="350"/>
      <c r="BR265" s="350"/>
      <c r="BS265" s="350"/>
      <c r="BT265" s="350"/>
      <c r="BU265" s="350"/>
      <c r="BV265" s="351"/>
    </row>
    <row r="266" spans="1:74" ht="45" customHeight="1">
      <c r="A266" s="24">
        <f t="shared" si="0"/>
        <v>252</v>
      </c>
      <c r="B266" s="558" t="s">
        <v>294</v>
      </c>
      <c r="C266" s="351"/>
      <c r="D266" s="559" t="s">
        <v>298</v>
      </c>
      <c r="E266" s="351"/>
      <c r="F266" s="524" t="s">
        <v>325</v>
      </c>
      <c r="G266" s="351"/>
      <c r="H266" s="525" t="s">
        <v>325</v>
      </c>
      <c r="I266" s="351"/>
      <c r="J266" s="40"/>
      <c r="K266" s="41"/>
      <c r="L266" s="40"/>
      <c r="M266" s="41"/>
      <c r="N266" s="37"/>
      <c r="O266" s="38"/>
      <c r="P266" s="560"/>
      <c r="Q266" s="351"/>
      <c r="R266" s="527"/>
      <c r="S266" s="351"/>
      <c r="T266" s="528"/>
      <c r="U266" s="351"/>
      <c r="V266" s="541"/>
      <c r="W266" s="351"/>
      <c r="X266" s="538" t="s">
        <v>294</v>
      </c>
      <c r="Y266" s="350"/>
      <c r="Z266" s="350"/>
      <c r="AA266" s="351"/>
      <c r="AB266" s="539" t="s">
        <v>294</v>
      </c>
      <c r="AC266" s="350"/>
      <c r="AD266" s="350"/>
      <c r="AE266" s="351"/>
      <c r="AF266" s="544"/>
      <c r="AG266" s="351"/>
      <c r="AH266" s="544"/>
      <c r="AI266" s="351"/>
      <c r="AJ266" s="545"/>
      <c r="AK266" s="351"/>
      <c r="AL266" s="555" t="s">
        <v>325</v>
      </c>
      <c r="AM266" s="351"/>
      <c r="AN266" s="531" t="s">
        <v>325</v>
      </c>
      <c r="AO266" s="351"/>
      <c r="AP266" s="550"/>
      <c r="AQ266" s="351"/>
      <c r="AR266" s="551"/>
      <c r="AS266" s="351"/>
      <c r="AT266" s="534"/>
      <c r="AU266" s="351"/>
      <c r="AV266" s="531" t="s">
        <v>325</v>
      </c>
      <c r="AW266" s="351"/>
      <c r="AX266" s="553"/>
      <c r="AY266" s="350"/>
      <c r="AZ266" s="351"/>
      <c r="BA266" s="554"/>
      <c r="BB266" s="351"/>
      <c r="BC266" s="36"/>
      <c r="BD266" s="556" t="s">
        <v>325</v>
      </c>
      <c r="BE266" s="351"/>
      <c r="BF266" s="547"/>
      <c r="BG266" s="350"/>
      <c r="BH266" s="350"/>
      <c r="BI266" s="351"/>
      <c r="BJ266" s="506" t="s">
        <v>294</v>
      </c>
      <c r="BK266" s="350"/>
      <c r="BL266" s="350"/>
      <c r="BM266" s="351"/>
      <c r="BN266" s="530" t="s">
        <v>294</v>
      </c>
      <c r="BO266" s="350"/>
      <c r="BP266" s="350"/>
      <c r="BQ266" s="350"/>
      <c r="BR266" s="350"/>
      <c r="BS266" s="350"/>
      <c r="BT266" s="350"/>
      <c r="BU266" s="350"/>
      <c r="BV266" s="351"/>
    </row>
    <row r="267" spans="1:74" ht="45" customHeight="1">
      <c r="A267" s="24">
        <f t="shared" si="0"/>
        <v>253</v>
      </c>
      <c r="B267" s="522" t="s">
        <v>294</v>
      </c>
      <c r="C267" s="351"/>
      <c r="D267" s="523" t="s">
        <v>298</v>
      </c>
      <c r="E267" s="351"/>
      <c r="F267" s="524" t="s">
        <v>325</v>
      </c>
      <c r="G267" s="351"/>
      <c r="H267" s="561" t="s">
        <v>325</v>
      </c>
      <c r="I267" s="351"/>
      <c r="J267" s="562"/>
      <c r="K267" s="351"/>
      <c r="L267" s="562"/>
      <c r="M267" s="351"/>
      <c r="N267" s="34"/>
      <c r="O267" s="35"/>
      <c r="P267" s="526"/>
      <c r="Q267" s="351"/>
      <c r="R267" s="535"/>
      <c r="S267" s="351"/>
      <c r="T267" s="536"/>
      <c r="U267" s="351"/>
      <c r="V267" s="537"/>
      <c r="W267" s="351"/>
      <c r="X267" s="542" t="s">
        <v>294</v>
      </c>
      <c r="Y267" s="350"/>
      <c r="Z267" s="350"/>
      <c r="AA267" s="351"/>
      <c r="AB267" s="543" t="s">
        <v>294</v>
      </c>
      <c r="AC267" s="350"/>
      <c r="AD267" s="350"/>
      <c r="AE267" s="351"/>
      <c r="AF267" s="540"/>
      <c r="AG267" s="351"/>
      <c r="AH267" s="540"/>
      <c r="AI267" s="351"/>
      <c r="AJ267" s="532"/>
      <c r="AK267" s="351"/>
      <c r="AL267" s="524" t="s">
        <v>325</v>
      </c>
      <c r="AM267" s="351"/>
      <c r="AN267" s="549" t="s">
        <v>325</v>
      </c>
      <c r="AO267" s="351"/>
      <c r="AP267" s="532"/>
      <c r="AQ267" s="351"/>
      <c r="AR267" s="533"/>
      <c r="AS267" s="351"/>
      <c r="AT267" s="534"/>
      <c r="AU267" s="351"/>
      <c r="AV267" s="549" t="s">
        <v>325</v>
      </c>
      <c r="AW267" s="351"/>
      <c r="AX267" s="553"/>
      <c r="AY267" s="350"/>
      <c r="AZ267" s="351"/>
      <c r="BA267" s="545"/>
      <c r="BB267" s="351"/>
      <c r="BC267" s="39"/>
      <c r="BD267" s="546" t="s">
        <v>325</v>
      </c>
      <c r="BE267" s="351"/>
      <c r="BF267" s="557"/>
      <c r="BG267" s="350"/>
      <c r="BH267" s="350"/>
      <c r="BI267" s="351"/>
      <c r="BJ267" s="548" t="s">
        <v>294</v>
      </c>
      <c r="BK267" s="350"/>
      <c r="BL267" s="350"/>
      <c r="BM267" s="351"/>
      <c r="BN267" s="530" t="s">
        <v>294</v>
      </c>
      <c r="BO267" s="350"/>
      <c r="BP267" s="350"/>
      <c r="BQ267" s="350"/>
      <c r="BR267" s="350"/>
      <c r="BS267" s="350"/>
      <c r="BT267" s="350"/>
      <c r="BU267" s="350"/>
      <c r="BV267" s="351"/>
    </row>
    <row r="268" spans="1:74" ht="45" customHeight="1">
      <c r="A268" s="24">
        <f t="shared" si="0"/>
        <v>254</v>
      </c>
      <c r="B268" s="558" t="s">
        <v>294</v>
      </c>
      <c r="C268" s="351"/>
      <c r="D268" s="559" t="s">
        <v>298</v>
      </c>
      <c r="E268" s="351"/>
      <c r="F268" s="524" t="s">
        <v>325</v>
      </c>
      <c r="G268" s="351"/>
      <c r="H268" s="525" t="s">
        <v>325</v>
      </c>
      <c r="I268" s="351"/>
      <c r="J268" s="40"/>
      <c r="K268" s="41"/>
      <c r="L268" s="40"/>
      <c r="M268" s="41"/>
      <c r="N268" s="37"/>
      <c r="O268" s="38"/>
      <c r="P268" s="560"/>
      <c r="Q268" s="351"/>
      <c r="R268" s="527"/>
      <c r="S268" s="351"/>
      <c r="T268" s="528"/>
      <c r="U268" s="351"/>
      <c r="V268" s="541"/>
      <c r="W268" s="351"/>
      <c r="X268" s="538" t="s">
        <v>294</v>
      </c>
      <c r="Y268" s="350"/>
      <c r="Z268" s="350"/>
      <c r="AA268" s="351"/>
      <c r="AB268" s="539" t="s">
        <v>294</v>
      </c>
      <c r="AC268" s="350"/>
      <c r="AD268" s="350"/>
      <c r="AE268" s="351"/>
      <c r="AF268" s="544"/>
      <c r="AG268" s="351"/>
      <c r="AH268" s="544"/>
      <c r="AI268" s="351"/>
      <c r="AJ268" s="545"/>
      <c r="AK268" s="351"/>
      <c r="AL268" s="555" t="s">
        <v>325</v>
      </c>
      <c r="AM268" s="351"/>
      <c r="AN268" s="531" t="s">
        <v>325</v>
      </c>
      <c r="AO268" s="351"/>
      <c r="AP268" s="550"/>
      <c r="AQ268" s="351"/>
      <c r="AR268" s="551"/>
      <c r="AS268" s="351"/>
      <c r="AT268" s="534"/>
      <c r="AU268" s="351"/>
      <c r="AV268" s="531" t="s">
        <v>325</v>
      </c>
      <c r="AW268" s="351"/>
      <c r="AX268" s="553"/>
      <c r="AY268" s="350"/>
      <c r="AZ268" s="351"/>
      <c r="BA268" s="554"/>
      <c r="BB268" s="351"/>
      <c r="BC268" s="36"/>
      <c r="BD268" s="556" t="s">
        <v>325</v>
      </c>
      <c r="BE268" s="351"/>
      <c r="BF268" s="547"/>
      <c r="BG268" s="350"/>
      <c r="BH268" s="350"/>
      <c r="BI268" s="351"/>
      <c r="BJ268" s="506" t="s">
        <v>294</v>
      </c>
      <c r="BK268" s="350"/>
      <c r="BL268" s="350"/>
      <c r="BM268" s="351"/>
      <c r="BN268" s="530" t="s">
        <v>294</v>
      </c>
      <c r="BO268" s="350"/>
      <c r="BP268" s="350"/>
      <c r="BQ268" s="350"/>
      <c r="BR268" s="350"/>
      <c r="BS268" s="350"/>
      <c r="BT268" s="350"/>
      <c r="BU268" s="350"/>
      <c r="BV268" s="351"/>
    </row>
    <row r="269" spans="1:74" ht="45" customHeight="1">
      <c r="A269" s="24">
        <f t="shared" si="0"/>
        <v>255</v>
      </c>
      <c r="B269" s="522" t="s">
        <v>294</v>
      </c>
      <c r="C269" s="351"/>
      <c r="D269" s="523" t="s">
        <v>298</v>
      </c>
      <c r="E269" s="351"/>
      <c r="F269" s="524" t="s">
        <v>325</v>
      </c>
      <c r="G269" s="351"/>
      <c r="H269" s="561" t="s">
        <v>325</v>
      </c>
      <c r="I269" s="351"/>
      <c r="J269" s="562"/>
      <c r="K269" s="351"/>
      <c r="L269" s="562"/>
      <c r="M269" s="351"/>
      <c r="N269" s="34"/>
      <c r="O269" s="35"/>
      <c r="P269" s="526"/>
      <c r="Q269" s="351"/>
      <c r="R269" s="535"/>
      <c r="S269" s="351"/>
      <c r="T269" s="536"/>
      <c r="U269" s="351"/>
      <c r="V269" s="537"/>
      <c r="W269" s="351"/>
      <c r="X269" s="542" t="s">
        <v>294</v>
      </c>
      <c r="Y269" s="350"/>
      <c r="Z269" s="350"/>
      <c r="AA269" s="351"/>
      <c r="AB269" s="543" t="s">
        <v>294</v>
      </c>
      <c r="AC269" s="350"/>
      <c r="AD269" s="350"/>
      <c r="AE269" s="351"/>
      <c r="AF269" s="540"/>
      <c r="AG269" s="351"/>
      <c r="AH269" s="540"/>
      <c r="AI269" s="351"/>
      <c r="AJ269" s="532"/>
      <c r="AK269" s="351"/>
      <c r="AL269" s="524" t="s">
        <v>325</v>
      </c>
      <c r="AM269" s="351"/>
      <c r="AN269" s="549" t="s">
        <v>325</v>
      </c>
      <c r="AO269" s="351"/>
      <c r="AP269" s="532"/>
      <c r="AQ269" s="351"/>
      <c r="AR269" s="533"/>
      <c r="AS269" s="351"/>
      <c r="AT269" s="534"/>
      <c r="AU269" s="351"/>
      <c r="AV269" s="549" t="s">
        <v>325</v>
      </c>
      <c r="AW269" s="351"/>
      <c r="AX269" s="553"/>
      <c r="AY269" s="350"/>
      <c r="AZ269" s="351"/>
      <c r="BA269" s="545"/>
      <c r="BB269" s="351"/>
      <c r="BC269" s="39"/>
      <c r="BD269" s="546" t="s">
        <v>325</v>
      </c>
      <c r="BE269" s="351"/>
      <c r="BF269" s="529"/>
      <c r="BG269" s="350"/>
      <c r="BH269" s="350"/>
      <c r="BI269" s="351"/>
      <c r="BJ269" s="548" t="s">
        <v>294</v>
      </c>
      <c r="BK269" s="350"/>
      <c r="BL269" s="350"/>
      <c r="BM269" s="351"/>
      <c r="BN269" s="530" t="s">
        <v>294</v>
      </c>
      <c r="BO269" s="350"/>
      <c r="BP269" s="350"/>
      <c r="BQ269" s="350"/>
      <c r="BR269" s="350"/>
      <c r="BS269" s="350"/>
      <c r="BT269" s="350"/>
      <c r="BU269" s="350"/>
      <c r="BV269" s="351"/>
    </row>
    <row r="270" spans="1:74" ht="45" customHeight="1">
      <c r="A270" s="24">
        <f t="shared" ref="A270:A524" si="1">ROW(A256)</f>
        <v>256</v>
      </c>
      <c r="B270" s="558" t="s">
        <v>294</v>
      </c>
      <c r="C270" s="351"/>
      <c r="D270" s="559" t="s">
        <v>298</v>
      </c>
      <c r="E270" s="351"/>
      <c r="F270" s="524" t="s">
        <v>325</v>
      </c>
      <c r="G270" s="351"/>
      <c r="H270" s="525" t="s">
        <v>325</v>
      </c>
      <c r="I270" s="351"/>
      <c r="J270" s="40"/>
      <c r="K270" s="41"/>
      <c r="L270" s="40"/>
      <c r="M270" s="41"/>
      <c r="N270" s="37"/>
      <c r="O270" s="38"/>
      <c r="P270" s="560"/>
      <c r="Q270" s="351"/>
      <c r="R270" s="527"/>
      <c r="S270" s="351"/>
      <c r="T270" s="528"/>
      <c r="U270" s="351"/>
      <c r="V270" s="541"/>
      <c r="W270" s="351"/>
      <c r="X270" s="538" t="s">
        <v>294</v>
      </c>
      <c r="Y270" s="350"/>
      <c r="Z270" s="350"/>
      <c r="AA270" s="351"/>
      <c r="AB270" s="539" t="s">
        <v>294</v>
      </c>
      <c r="AC270" s="350"/>
      <c r="AD270" s="350"/>
      <c r="AE270" s="351"/>
      <c r="AF270" s="544"/>
      <c r="AG270" s="351"/>
      <c r="AH270" s="544"/>
      <c r="AI270" s="351"/>
      <c r="AJ270" s="545"/>
      <c r="AK270" s="351"/>
      <c r="AL270" s="555" t="s">
        <v>325</v>
      </c>
      <c r="AM270" s="351"/>
      <c r="AN270" s="531" t="s">
        <v>325</v>
      </c>
      <c r="AO270" s="351"/>
      <c r="AP270" s="550"/>
      <c r="AQ270" s="351"/>
      <c r="AR270" s="551"/>
      <c r="AS270" s="351"/>
      <c r="AT270" s="534"/>
      <c r="AU270" s="351"/>
      <c r="AV270" s="531" t="s">
        <v>325</v>
      </c>
      <c r="AW270" s="351"/>
      <c r="AX270" s="553"/>
      <c r="AY270" s="350"/>
      <c r="AZ270" s="351"/>
      <c r="BA270" s="554"/>
      <c r="BB270" s="351"/>
      <c r="BC270" s="36"/>
      <c r="BD270" s="556" t="s">
        <v>325</v>
      </c>
      <c r="BE270" s="351"/>
      <c r="BF270" s="547"/>
      <c r="BG270" s="350"/>
      <c r="BH270" s="350"/>
      <c r="BI270" s="351"/>
      <c r="BJ270" s="506" t="s">
        <v>294</v>
      </c>
      <c r="BK270" s="350"/>
      <c r="BL270" s="350"/>
      <c r="BM270" s="351"/>
      <c r="BN270" s="530" t="s">
        <v>294</v>
      </c>
      <c r="BO270" s="350"/>
      <c r="BP270" s="350"/>
      <c r="BQ270" s="350"/>
      <c r="BR270" s="350"/>
      <c r="BS270" s="350"/>
      <c r="BT270" s="350"/>
      <c r="BU270" s="350"/>
      <c r="BV270" s="351"/>
    </row>
    <row r="271" spans="1:74" ht="45" customHeight="1">
      <c r="A271" s="24">
        <f t="shared" si="1"/>
        <v>257</v>
      </c>
      <c r="B271" s="522" t="s">
        <v>294</v>
      </c>
      <c r="C271" s="351"/>
      <c r="D271" s="523" t="s">
        <v>298</v>
      </c>
      <c r="E271" s="351"/>
      <c r="F271" s="524" t="s">
        <v>325</v>
      </c>
      <c r="G271" s="351"/>
      <c r="H271" s="561" t="s">
        <v>325</v>
      </c>
      <c r="I271" s="351"/>
      <c r="J271" s="562"/>
      <c r="K271" s="351"/>
      <c r="L271" s="562"/>
      <c r="M271" s="351"/>
      <c r="N271" s="34"/>
      <c r="O271" s="35"/>
      <c r="P271" s="526"/>
      <c r="Q271" s="351"/>
      <c r="R271" s="535"/>
      <c r="S271" s="351"/>
      <c r="T271" s="536"/>
      <c r="U271" s="351"/>
      <c r="V271" s="537"/>
      <c r="W271" s="351"/>
      <c r="X271" s="542" t="s">
        <v>294</v>
      </c>
      <c r="Y271" s="350"/>
      <c r="Z271" s="350"/>
      <c r="AA271" s="351"/>
      <c r="AB271" s="543" t="s">
        <v>294</v>
      </c>
      <c r="AC271" s="350"/>
      <c r="AD271" s="350"/>
      <c r="AE271" s="351"/>
      <c r="AF271" s="540"/>
      <c r="AG271" s="351"/>
      <c r="AH271" s="540"/>
      <c r="AI271" s="351"/>
      <c r="AJ271" s="532"/>
      <c r="AK271" s="351"/>
      <c r="AL271" s="524" t="s">
        <v>325</v>
      </c>
      <c r="AM271" s="351"/>
      <c r="AN271" s="549" t="s">
        <v>325</v>
      </c>
      <c r="AO271" s="351"/>
      <c r="AP271" s="532"/>
      <c r="AQ271" s="351"/>
      <c r="AR271" s="533"/>
      <c r="AS271" s="351"/>
      <c r="AT271" s="534"/>
      <c r="AU271" s="351"/>
      <c r="AV271" s="549" t="s">
        <v>325</v>
      </c>
      <c r="AW271" s="351"/>
      <c r="AX271" s="553"/>
      <c r="AY271" s="350"/>
      <c r="AZ271" s="351"/>
      <c r="BA271" s="545"/>
      <c r="BB271" s="351"/>
      <c r="BC271" s="39"/>
      <c r="BD271" s="546" t="s">
        <v>325</v>
      </c>
      <c r="BE271" s="351"/>
      <c r="BF271" s="557"/>
      <c r="BG271" s="350"/>
      <c r="BH271" s="350"/>
      <c r="BI271" s="351"/>
      <c r="BJ271" s="548" t="s">
        <v>294</v>
      </c>
      <c r="BK271" s="350"/>
      <c r="BL271" s="350"/>
      <c r="BM271" s="351"/>
      <c r="BN271" s="530" t="s">
        <v>294</v>
      </c>
      <c r="BO271" s="350"/>
      <c r="BP271" s="350"/>
      <c r="BQ271" s="350"/>
      <c r="BR271" s="350"/>
      <c r="BS271" s="350"/>
      <c r="BT271" s="350"/>
      <c r="BU271" s="350"/>
      <c r="BV271" s="351"/>
    </row>
    <row r="272" spans="1:74" ht="45" customHeight="1">
      <c r="A272" s="24">
        <f t="shared" si="1"/>
        <v>258</v>
      </c>
      <c r="B272" s="558" t="s">
        <v>294</v>
      </c>
      <c r="C272" s="351"/>
      <c r="D272" s="559" t="s">
        <v>298</v>
      </c>
      <c r="E272" s="351"/>
      <c r="F272" s="524" t="s">
        <v>325</v>
      </c>
      <c r="G272" s="351"/>
      <c r="H272" s="525" t="s">
        <v>325</v>
      </c>
      <c r="I272" s="351"/>
      <c r="J272" s="40"/>
      <c r="K272" s="41"/>
      <c r="L272" s="40"/>
      <c r="M272" s="41"/>
      <c r="N272" s="37"/>
      <c r="O272" s="38"/>
      <c r="P272" s="560"/>
      <c r="Q272" s="351"/>
      <c r="R272" s="527"/>
      <c r="S272" s="351"/>
      <c r="T272" s="528"/>
      <c r="U272" s="351"/>
      <c r="V272" s="541"/>
      <c r="W272" s="351"/>
      <c r="X272" s="538" t="s">
        <v>294</v>
      </c>
      <c r="Y272" s="350"/>
      <c r="Z272" s="350"/>
      <c r="AA272" s="351"/>
      <c r="AB272" s="539" t="s">
        <v>294</v>
      </c>
      <c r="AC272" s="350"/>
      <c r="AD272" s="350"/>
      <c r="AE272" s="351"/>
      <c r="AF272" s="544"/>
      <c r="AG272" s="351"/>
      <c r="AH272" s="544"/>
      <c r="AI272" s="351"/>
      <c r="AJ272" s="545"/>
      <c r="AK272" s="351"/>
      <c r="AL272" s="555" t="s">
        <v>325</v>
      </c>
      <c r="AM272" s="351"/>
      <c r="AN272" s="531" t="s">
        <v>325</v>
      </c>
      <c r="AO272" s="351"/>
      <c r="AP272" s="550"/>
      <c r="AQ272" s="351"/>
      <c r="AR272" s="551"/>
      <c r="AS272" s="351"/>
      <c r="AT272" s="534"/>
      <c r="AU272" s="351"/>
      <c r="AV272" s="531" t="s">
        <v>325</v>
      </c>
      <c r="AW272" s="351"/>
      <c r="AX272" s="553"/>
      <c r="AY272" s="350"/>
      <c r="AZ272" s="351"/>
      <c r="BA272" s="554"/>
      <c r="BB272" s="351"/>
      <c r="BC272" s="36"/>
      <c r="BD272" s="556" t="s">
        <v>325</v>
      </c>
      <c r="BE272" s="351"/>
      <c r="BF272" s="547"/>
      <c r="BG272" s="350"/>
      <c r="BH272" s="350"/>
      <c r="BI272" s="351"/>
      <c r="BJ272" s="506" t="s">
        <v>294</v>
      </c>
      <c r="BK272" s="350"/>
      <c r="BL272" s="350"/>
      <c r="BM272" s="351"/>
      <c r="BN272" s="530" t="s">
        <v>294</v>
      </c>
      <c r="BO272" s="350"/>
      <c r="BP272" s="350"/>
      <c r="BQ272" s="350"/>
      <c r="BR272" s="350"/>
      <c r="BS272" s="350"/>
      <c r="BT272" s="350"/>
      <c r="BU272" s="350"/>
      <c r="BV272" s="351"/>
    </row>
    <row r="273" spans="1:74" ht="45" customHeight="1">
      <c r="A273" s="24">
        <f t="shared" si="1"/>
        <v>259</v>
      </c>
      <c r="B273" s="522" t="s">
        <v>294</v>
      </c>
      <c r="C273" s="351"/>
      <c r="D273" s="523" t="s">
        <v>298</v>
      </c>
      <c r="E273" s="351"/>
      <c r="F273" s="524" t="s">
        <v>325</v>
      </c>
      <c r="G273" s="351"/>
      <c r="H273" s="561" t="s">
        <v>325</v>
      </c>
      <c r="I273" s="351"/>
      <c r="J273" s="562"/>
      <c r="K273" s="351"/>
      <c r="L273" s="562"/>
      <c r="M273" s="351"/>
      <c r="N273" s="34"/>
      <c r="O273" s="35"/>
      <c r="P273" s="526"/>
      <c r="Q273" s="351"/>
      <c r="R273" s="535"/>
      <c r="S273" s="351"/>
      <c r="T273" s="536"/>
      <c r="U273" s="351"/>
      <c r="V273" s="537"/>
      <c r="W273" s="351"/>
      <c r="X273" s="542" t="s">
        <v>294</v>
      </c>
      <c r="Y273" s="350"/>
      <c r="Z273" s="350"/>
      <c r="AA273" s="351"/>
      <c r="AB273" s="543" t="s">
        <v>294</v>
      </c>
      <c r="AC273" s="350"/>
      <c r="AD273" s="350"/>
      <c r="AE273" s="351"/>
      <c r="AF273" s="540"/>
      <c r="AG273" s="351"/>
      <c r="AH273" s="540"/>
      <c r="AI273" s="351"/>
      <c r="AJ273" s="532"/>
      <c r="AK273" s="351"/>
      <c r="AL273" s="524" t="s">
        <v>325</v>
      </c>
      <c r="AM273" s="351"/>
      <c r="AN273" s="549" t="s">
        <v>325</v>
      </c>
      <c r="AO273" s="351"/>
      <c r="AP273" s="532"/>
      <c r="AQ273" s="351"/>
      <c r="AR273" s="533"/>
      <c r="AS273" s="351"/>
      <c r="AT273" s="534"/>
      <c r="AU273" s="351"/>
      <c r="AV273" s="549" t="s">
        <v>325</v>
      </c>
      <c r="AW273" s="351"/>
      <c r="AX273" s="553"/>
      <c r="AY273" s="350"/>
      <c r="AZ273" s="351"/>
      <c r="BA273" s="545"/>
      <c r="BB273" s="351"/>
      <c r="BC273" s="39"/>
      <c r="BD273" s="546" t="s">
        <v>325</v>
      </c>
      <c r="BE273" s="351"/>
      <c r="BF273" s="529"/>
      <c r="BG273" s="350"/>
      <c r="BH273" s="350"/>
      <c r="BI273" s="351"/>
      <c r="BJ273" s="548" t="s">
        <v>294</v>
      </c>
      <c r="BK273" s="350"/>
      <c r="BL273" s="350"/>
      <c r="BM273" s="351"/>
      <c r="BN273" s="530" t="s">
        <v>294</v>
      </c>
      <c r="BO273" s="350"/>
      <c r="BP273" s="350"/>
      <c r="BQ273" s="350"/>
      <c r="BR273" s="350"/>
      <c r="BS273" s="350"/>
      <c r="BT273" s="350"/>
      <c r="BU273" s="350"/>
      <c r="BV273" s="351"/>
    </row>
    <row r="274" spans="1:74" ht="45" customHeight="1">
      <c r="A274" s="24">
        <f t="shared" si="1"/>
        <v>260</v>
      </c>
      <c r="B274" s="558" t="s">
        <v>294</v>
      </c>
      <c r="C274" s="351"/>
      <c r="D274" s="559" t="s">
        <v>298</v>
      </c>
      <c r="E274" s="351"/>
      <c r="F274" s="524" t="s">
        <v>325</v>
      </c>
      <c r="G274" s="351"/>
      <c r="H274" s="525" t="s">
        <v>325</v>
      </c>
      <c r="I274" s="351"/>
      <c r="J274" s="40"/>
      <c r="K274" s="41"/>
      <c r="L274" s="40"/>
      <c r="M274" s="41"/>
      <c r="N274" s="37"/>
      <c r="O274" s="38"/>
      <c r="P274" s="560"/>
      <c r="Q274" s="351"/>
      <c r="R274" s="527"/>
      <c r="S274" s="351"/>
      <c r="T274" s="528"/>
      <c r="U274" s="351"/>
      <c r="V274" s="541"/>
      <c r="W274" s="351"/>
      <c r="X274" s="538" t="s">
        <v>294</v>
      </c>
      <c r="Y274" s="350"/>
      <c r="Z274" s="350"/>
      <c r="AA274" s="351"/>
      <c r="AB274" s="539" t="s">
        <v>294</v>
      </c>
      <c r="AC274" s="350"/>
      <c r="AD274" s="350"/>
      <c r="AE274" s="351"/>
      <c r="AF274" s="544"/>
      <c r="AG274" s="351"/>
      <c r="AH274" s="544"/>
      <c r="AI274" s="351"/>
      <c r="AJ274" s="545"/>
      <c r="AK274" s="351"/>
      <c r="AL274" s="555" t="s">
        <v>325</v>
      </c>
      <c r="AM274" s="351"/>
      <c r="AN274" s="531" t="s">
        <v>325</v>
      </c>
      <c r="AO274" s="351"/>
      <c r="AP274" s="550"/>
      <c r="AQ274" s="351"/>
      <c r="AR274" s="551"/>
      <c r="AS274" s="351"/>
      <c r="AT274" s="534"/>
      <c r="AU274" s="351"/>
      <c r="AV274" s="531" t="s">
        <v>325</v>
      </c>
      <c r="AW274" s="351"/>
      <c r="AX274" s="553"/>
      <c r="AY274" s="350"/>
      <c r="AZ274" s="351"/>
      <c r="BA274" s="554"/>
      <c r="BB274" s="351"/>
      <c r="BC274" s="36"/>
      <c r="BD274" s="556" t="s">
        <v>325</v>
      </c>
      <c r="BE274" s="351"/>
      <c r="BF274" s="547"/>
      <c r="BG274" s="350"/>
      <c r="BH274" s="350"/>
      <c r="BI274" s="351"/>
      <c r="BJ274" s="506" t="s">
        <v>294</v>
      </c>
      <c r="BK274" s="350"/>
      <c r="BL274" s="350"/>
      <c r="BM274" s="351"/>
      <c r="BN274" s="530" t="s">
        <v>294</v>
      </c>
      <c r="BO274" s="350"/>
      <c r="BP274" s="350"/>
      <c r="BQ274" s="350"/>
      <c r="BR274" s="350"/>
      <c r="BS274" s="350"/>
      <c r="BT274" s="350"/>
      <c r="BU274" s="350"/>
      <c r="BV274" s="351"/>
    </row>
    <row r="275" spans="1:74" ht="45" customHeight="1">
      <c r="A275" s="24">
        <f t="shared" si="1"/>
        <v>261</v>
      </c>
      <c r="B275" s="522" t="s">
        <v>294</v>
      </c>
      <c r="C275" s="351"/>
      <c r="D275" s="523" t="s">
        <v>298</v>
      </c>
      <c r="E275" s="351"/>
      <c r="F275" s="524" t="s">
        <v>325</v>
      </c>
      <c r="G275" s="351"/>
      <c r="H275" s="561" t="s">
        <v>325</v>
      </c>
      <c r="I275" s="351"/>
      <c r="J275" s="562"/>
      <c r="K275" s="351"/>
      <c r="L275" s="562"/>
      <c r="M275" s="351"/>
      <c r="N275" s="34"/>
      <c r="O275" s="35"/>
      <c r="P275" s="526"/>
      <c r="Q275" s="351"/>
      <c r="R275" s="535"/>
      <c r="S275" s="351"/>
      <c r="T275" s="536"/>
      <c r="U275" s="351"/>
      <c r="V275" s="537"/>
      <c r="W275" s="351"/>
      <c r="X275" s="542" t="s">
        <v>294</v>
      </c>
      <c r="Y275" s="350"/>
      <c r="Z275" s="350"/>
      <c r="AA275" s="351"/>
      <c r="AB275" s="543" t="s">
        <v>294</v>
      </c>
      <c r="AC275" s="350"/>
      <c r="AD275" s="350"/>
      <c r="AE275" s="351"/>
      <c r="AF275" s="540"/>
      <c r="AG275" s="351"/>
      <c r="AH275" s="540"/>
      <c r="AI275" s="351"/>
      <c r="AJ275" s="532"/>
      <c r="AK275" s="351"/>
      <c r="AL275" s="524" t="s">
        <v>325</v>
      </c>
      <c r="AM275" s="351"/>
      <c r="AN275" s="549" t="s">
        <v>325</v>
      </c>
      <c r="AO275" s="351"/>
      <c r="AP275" s="532"/>
      <c r="AQ275" s="351"/>
      <c r="AR275" s="533"/>
      <c r="AS275" s="351"/>
      <c r="AT275" s="534"/>
      <c r="AU275" s="351"/>
      <c r="AV275" s="549" t="s">
        <v>325</v>
      </c>
      <c r="AW275" s="351"/>
      <c r="AX275" s="553"/>
      <c r="AY275" s="350"/>
      <c r="AZ275" s="351"/>
      <c r="BA275" s="545"/>
      <c r="BB275" s="351"/>
      <c r="BC275" s="39"/>
      <c r="BD275" s="546" t="s">
        <v>325</v>
      </c>
      <c r="BE275" s="351"/>
      <c r="BF275" s="529"/>
      <c r="BG275" s="350"/>
      <c r="BH275" s="350"/>
      <c r="BI275" s="351"/>
      <c r="BJ275" s="548" t="s">
        <v>294</v>
      </c>
      <c r="BK275" s="350"/>
      <c r="BL275" s="350"/>
      <c r="BM275" s="351"/>
      <c r="BN275" s="530" t="s">
        <v>294</v>
      </c>
      <c r="BO275" s="350"/>
      <c r="BP275" s="350"/>
      <c r="BQ275" s="350"/>
      <c r="BR275" s="350"/>
      <c r="BS275" s="350"/>
      <c r="BT275" s="350"/>
      <c r="BU275" s="350"/>
      <c r="BV275" s="351"/>
    </row>
    <row r="276" spans="1:74" ht="45" customHeight="1">
      <c r="A276" s="24">
        <f t="shared" si="1"/>
        <v>262</v>
      </c>
      <c r="B276" s="558" t="s">
        <v>294</v>
      </c>
      <c r="C276" s="351"/>
      <c r="D276" s="559" t="s">
        <v>298</v>
      </c>
      <c r="E276" s="351"/>
      <c r="F276" s="524" t="s">
        <v>325</v>
      </c>
      <c r="G276" s="351"/>
      <c r="H276" s="525" t="s">
        <v>325</v>
      </c>
      <c r="I276" s="351"/>
      <c r="J276" s="40"/>
      <c r="K276" s="41"/>
      <c r="L276" s="40"/>
      <c r="M276" s="41"/>
      <c r="N276" s="37"/>
      <c r="O276" s="38"/>
      <c r="P276" s="560"/>
      <c r="Q276" s="351"/>
      <c r="R276" s="527"/>
      <c r="S276" s="351"/>
      <c r="T276" s="528"/>
      <c r="U276" s="351"/>
      <c r="V276" s="541"/>
      <c r="W276" s="351"/>
      <c r="X276" s="538" t="s">
        <v>294</v>
      </c>
      <c r="Y276" s="350"/>
      <c r="Z276" s="350"/>
      <c r="AA276" s="351"/>
      <c r="AB276" s="539" t="s">
        <v>294</v>
      </c>
      <c r="AC276" s="350"/>
      <c r="AD276" s="350"/>
      <c r="AE276" s="351"/>
      <c r="AF276" s="544"/>
      <c r="AG276" s="351"/>
      <c r="AH276" s="544"/>
      <c r="AI276" s="351"/>
      <c r="AJ276" s="545"/>
      <c r="AK276" s="351"/>
      <c r="AL276" s="555" t="s">
        <v>325</v>
      </c>
      <c r="AM276" s="351"/>
      <c r="AN276" s="531" t="s">
        <v>325</v>
      </c>
      <c r="AO276" s="351"/>
      <c r="AP276" s="550"/>
      <c r="AQ276" s="351"/>
      <c r="AR276" s="551"/>
      <c r="AS276" s="351"/>
      <c r="AT276" s="534"/>
      <c r="AU276" s="351"/>
      <c r="AV276" s="531" t="s">
        <v>325</v>
      </c>
      <c r="AW276" s="351"/>
      <c r="AX276" s="553"/>
      <c r="AY276" s="350"/>
      <c r="AZ276" s="351"/>
      <c r="BA276" s="554"/>
      <c r="BB276" s="351"/>
      <c r="BC276" s="36"/>
      <c r="BD276" s="556" t="s">
        <v>325</v>
      </c>
      <c r="BE276" s="351"/>
      <c r="BF276" s="547"/>
      <c r="BG276" s="350"/>
      <c r="BH276" s="350"/>
      <c r="BI276" s="351"/>
      <c r="BJ276" s="506" t="s">
        <v>294</v>
      </c>
      <c r="BK276" s="350"/>
      <c r="BL276" s="350"/>
      <c r="BM276" s="351"/>
      <c r="BN276" s="530" t="s">
        <v>294</v>
      </c>
      <c r="BO276" s="350"/>
      <c r="BP276" s="350"/>
      <c r="BQ276" s="350"/>
      <c r="BR276" s="350"/>
      <c r="BS276" s="350"/>
      <c r="BT276" s="350"/>
      <c r="BU276" s="350"/>
      <c r="BV276" s="351"/>
    </row>
    <row r="277" spans="1:74" ht="45" customHeight="1">
      <c r="A277" s="24">
        <f t="shared" si="1"/>
        <v>263</v>
      </c>
      <c r="B277" s="522" t="s">
        <v>294</v>
      </c>
      <c r="C277" s="351"/>
      <c r="D277" s="523" t="s">
        <v>298</v>
      </c>
      <c r="E277" s="351"/>
      <c r="F277" s="524" t="s">
        <v>325</v>
      </c>
      <c r="G277" s="351"/>
      <c r="H277" s="561" t="s">
        <v>325</v>
      </c>
      <c r="I277" s="351"/>
      <c r="J277" s="562"/>
      <c r="K277" s="351"/>
      <c r="L277" s="562"/>
      <c r="M277" s="351"/>
      <c r="N277" s="34"/>
      <c r="O277" s="35"/>
      <c r="P277" s="526"/>
      <c r="Q277" s="351"/>
      <c r="R277" s="535"/>
      <c r="S277" s="351"/>
      <c r="T277" s="536"/>
      <c r="U277" s="351"/>
      <c r="V277" s="537"/>
      <c r="W277" s="351"/>
      <c r="X277" s="542" t="s">
        <v>294</v>
      </c>
      <c r="Y277" s="350"/>
      <c r="Z277" s="350"/>
      <c r="AA277" s="351"/>
      <c r="AB277" s="543" t="s">
        <v>294</v>
      </c>
      <c r="AC277" s="350"/>
      <c r="AD277" s="350"/>
      <c r="AE277" s="351"/>
      <c r="AF277" s="540"/>
      <c r="AG277" s="351"/>
      <c r="AH277" s="540"/>
      <c r="AI277" s="351"/>
      <c r="AJ277" s="532"/>
      <c r="AK277" s="351"/>
      <c r="AL277" s="524" t="s">
        <v>325</v>
      </c>
      <c r="AM277" s="351"/>
      <c r="AN277" s="549" t="s">
        <v>325</v>
      </c>
      <c r="AO277" s="351"/>
      <c r="AP277" s="532"/>
      <c r="AQ277" s="351"/>
      <c r="AR277" s="533"/>
      <c r="AS277" s="351"/>
      <c r="AT277" s="534"/>
      <c r="AU277" s="351"/>
      <c r="AV277" s="549" t="s">
        <v>325</v>
      </c>
      <c r="AW277" s="351"/>
      <c r="AX277" s="553"/>
      <c r="AY277" s="350"/>
      <c r="AZ277" s="351"/>
      <c r="BA277" s="545"/>
      <c r="BB277" s="351"/>
      <c r="BC277" s="39"/>
      <c r="BD277" s="546" t="s">
        <v>325</v>
      </c>
      <c r="BE277" s="351"/>
      <c r="BF277" s="557"/>
      <c r="BG277" s="350"/>
      <c r="BH277" s="350"/>
      <c r="BI277" s="351"/>
      <c r="BJ277" s="548" t="s">
        <v>294</v>
      </c>
      <c r="BK277" s="350"/>
      <c r="BL277" s="350"/>
      <c r="BM277" s="351"/>
      <c r="BN277" s="530" t="s">
        <v>294</v>
      </c>
      <c r="BO277" s="350"/>
      <c r="BP277" s="350"/>
      <c r="BQ277" s="350"/>
      <c r="BR277" s="350"/>
      <c r="BS277" s="350"/>
      <c r="BT277" s="350"/>
      <c r="BU277" s="350"/>
      <c r="BV277" s="351"/>
    </row>
    <row r="278" spans="1:74" ht="45" customHeight="1">
      <c r="A278" s="24">
        <f t="shared" si="1"/>
        <v>264</v>
      </c>
      <c r="B278" s="558" t="s">
        <v>294</v>
      </c>
      <c r="C278" s="351"/>
      <c r="D278" s="559" t="s">
        <v>298</v>
      </c>
      <c r="E278" s="351"/>
      <c r="F278" s="524" t="s">
        <v>325</v>
      </c>
      <c r="G278" s="351"/>
      <c r="H278" s="525" t="s">
        <v>325</v>
      </c>
      <c r="I278" s="351"/>
      <c r="J278" s="40"/>
      <c r="K278" s="41"/>
      <c r="L278" s="40"/>
      <c r="M278" s="41"/>
      <c r="N278" s="37"/>
      <c r="O278" s="38"/>
      <c r="P278" s="560"/>
      <c r="Q278" s="351"/>
      <c r="R278" s="527"/>
      <c r="S278" s="351"/>
      <c r="T278" s="528"/>
      <c r="U278" s="351"/>
      <c r="V278" s="541"/>
      <c r="W278" s="351"/>
      <c r="X278" s="538" t="s">
        <v>294</v>
      </c>
      <c r="Y278" s="350"/>
      <c r="Z278" s="350"/>
      <c r="AA278" s="351"/>
      <c r="AB278" s="539" t="s">
        <v>294</v>
      </c>
      <c r="AC278" s="350"/>
      <c r="AD278" s="350"/>
      <c r="AE278" s="351"/>
      <c r="AF278" s="544"/>
      <c r="AG278" s="351"/>
      <c r="AH278" s="544"/>
      <c r="AI278" s="351"/>
      <c r="AJ278" s="545"/>
      <c r="AK278" s="351"/>
      <c r="AL278" s="555" t="s">
        <v>325</v>
      </c>
      <c r="AM278" s="351"/>
      <c r="AN278" s="531" t="s">
        <v>325</v>
      </c>
      <c r="AO278" s="351"/>
      <c r="AP278" s="550"/>
      <c r="AQ278" s="351"/>
      <c r="AR278" s="551"/>
      <c r="AS278" s="351"/>
      <c r="AT278" s="534"/>
      <c r="AU278" s="351"/>
      <c r="AV278" s="531" t="s">
        <v>325</v>
      </c>
      <c r="AW278" s="351"/>
      <c r="AX278" s="553"/>
      <c r="AY278" s="350"/>
      <c r="AZ278" s="351"/>
      <c r="BA278" s="554"/>
      <c r="BB278" s="351"/>
      <c r="BC278" s="36"/>
      <c r="BD278" s="556" t="s">
        <v>325</v>
      </c>
      <c r="BE278" s="351"/>
      <c r="BF278" s="547"/>
      <c r="BG278" s="350"/>
      <c r="BH278" s="350"/>
      <c r="BI278" s="351"/>
      <c r="BJ278" s="506" t="s">
        <v>294</v>
      </c>
      <c r="BK278" s="350"/>
      <c r="BL278" s="350"/>
      <c r="BM278" s="351"/>
      <c r="BN278" s="530" t="s">
        <v>294</v>
      </c>
      <c r="BO278" s="350"/>
      <c r="BP278" s="350"/>
      <c r="BQ278" s="350"/>
      <c r="BR278" s="350"/>
      <c r="BS278" s="350"/>
      <c r="BT278" s="350"/>
      <c r="BU278" s="350"/>
      <c r="BV278" s="351"/>
    </row>
    <row r="279" spans="1:74" ht="45" customHeight="1">
      <c r="A279" s="24">
        <f t="shared" si="1"/>
        <v>265</v>
      </c>
      <c r="B279" s="522" t="s">
        <v>294</v>
      </c>
      <c r="C279" s="351"/>
      <c r="D279" s="523" t="s">
        <v>298</v>
      </c>
      <c r="E279" s="351"/>
      <c r="F279" s="524" t="s">
        <v>325</v>
      </c>
      <c r="G279" s="351"/>
      <c r="H279" s="561" t="s">
        <v>325</v>
      </c>
      <c r="I279" s="351"/>
      <c r="J279" s="562"/>
      <c r="K279" s="351"/>
      <c r="L279" s="562"/>
      <c r="M279" s="351"/>
      <c r="N279" s="34"/>
      <c r="O279" s="35"/>
      <c r="P279" s="526"/>
      <c r="Q279" s="351"/>
      <c r="R279" s="535"/>
      <c r="S279" s="351"/>
      <c r="T279" s="536"/>
      <c r="U279" s="351"/>
      <c r="V279" s="537"/>
      <c r="W279" s="351"/>
      <c r="X279" s="542" t="s">
        <v>294</v>
      </c>
      <c r="Y279" s="350"/>
      <c r="Z279" s="350"/>
      <c r="AA279" s="351"/>
      <c r="AB279" s="543" t="s">
        <v>294</v>
      </c>
      <c r="AC279" s="350"/>
      <c r="AD279" s="350"/>
      <c r="AE279" s="351"/>
      <c r="AF279" s="540"/>
      <c r="AG279" s="351"/>
      <c r="AH279" s="540"/>
      <c r="AI279" s="351"/>
      <c r="AJ279" s="532"/>
      <c r="AK279" s="351"/>
      <c r="AL279" s="524" t="s">
        <v>325</v>
      </c>
      <c r="AM279" s="351"/>
      <c r="AN279" s="549" t="s">
        <v>325</v>
      </c>
      <c r="AO279" s="351"/>
      <c r="AP279" s="532"/>
      <c r="AQ279" s="351"/>
      <c r="AR279" s="533"/>
      <c r="AS279" s="351"/>
      <c r="AT279" s="534"/>
      <c r="AU279" s="351"/>
      <c r="AV279" s="549" t="s">
        <v>325</v>
      </c>
      <c r="AW279" s="351"/>
      <c r="AX279" s="553"/>
      <c r="AY279" s="350"/>
      <c r="AZ279" s="351"/>
      <c r="BA279" s="545"/>
      <c r="BB279" s="351"/>
      <c r="BC279" s="39"/>
      <c r="BD279" s="546" t="s">
        <v>325</v>
      </c>
      <c r="BE279" s="351"/>
      <c r="BF279" s="529"/>
      <c r="BG279" s="350"/>
      <c r="BH279" s="350"/>
      <c r="BI279" s="351"/>
      <c r="BJ279" s="548" t="s">
        <v>294</v>
      </c>
      <c r="BK279" s="350"/>
      <c r="BL279" s="350"/>
      <c r="BM279" s="351"/>
      <c r="BN279" s="530" t="s">
        <v>294</v>
      </c>
      <c r="BO279" s="350"/>
      <c r="BP279" s="350"/>
      <c r="BQ279" s="350"/>
      <c r="BR279" s="350"/>
      <c r="BS279" s="350"/>
      <c r="BT279" s="350"/>
      <c r="BU279" s="350"/>
      <c r="BV279" s="351"/>
    </row>
    <row r="280" spans="1:74" ht="45" customHeight="1">
      <c r="A280" s="24">
        <f t="shared" si="1"/>
        <v>266</v>
      </c>
      <c r="B280" s="558" t="s">
        <v>294</v>
      </c>
      <c r="C280" s="351"/>
      <c r="D280" s="559" t="s">
        <v>298</v>
      </c>
      <c r="E280" s="351"/>
      <c r="F280" s="524" t="s">
        <v>325</v>
      </c>
      <c r="G280" s="351"/>
      <c r="H280" s="525" t="s">
        <v>325</v>
      </c>
      <c r="I280" s="351"/>
      <c r="J280" s="40"/>
      <c r="K280" s="41"/>
      <c r="L280" s="40"/>
      <c r="M280" s="41"/>
      <c r="N280" s="37"/>
      <c r="O280" s="38"/>
      <c r="P280" s="560"/>
      <c r="Q280" s="351"/>
      <c r="R280" s="527"/>
      <c r="S280" s="351"/>
      <c r="T280" s="528"/>
      <c r="U280" s="351"/>
      <c r="V280" s="541"/>
      <c r="W280" s="351"/>
      <c r="X280" s="538" t="s">
        <v>294</v>
      </c>
      <c r="Y280" s="350"/>
      <c r="Z280" s="350"/>
      <c r="AA280" s="351"/>
      <c r="AB280" s="539" t="s">
        <v>294</v>
      </c>
      <c r="AC280" s="350"/>
      <c r="AD280" s="350"/>
      <c r="AE280" s="351"/>
      <c r="AF280" s="544"/>
      <c r="AG280" s="351"/>
      <c r="AH280" s="544"/>
      <c r="AI280" s="351"/>
      <c r="AJ280" s="545"/>
      <c r="AK280" s="351"/>
      <c r="AL280" s="555" t="s">
        <v>325</v>
      </c>
      <c r="AM280" s="351"/>
      <c r="AN280" s="531" t="s">
        <v>325</v>
      </c>
      <c r="AO280" s="351"/>
      <c r="AP280" s="550"/>
      <c r="AQ280" s="351"/>
      <c r="AR280" s="551"/>
      <c r="AS280" s="351"/>
      <c r="AT280" s="534"/>
      <c r="AU280" s="351"/>
      <c r="AV280" s="531" t="s">
        <v>325</v>
      </c>
      <c r="AW280" s="351"/>
      <c r="AX280" s="553"/>
      <c r="AY280" s="350"/>
      <c r="AZ280" s="351"/>
      <c r="BA280" s="554"/>
      <c r="BB280" s="351"/>
      <c r="BC280" s="36"/>
      <c r="BD280" s="556" t="s">
        <v>325</v>
      </c>
      <c r="BE280" s="351"/>
      <c r="BF280" s="547"/>
      <c r="BG280" s="350"/>
      <c r="BH280" s="350"/>
      <c r="BI280" s="351"/>
      <c r="BJ280" s="506" t="s">
        <v>294</v>
      </c>
      <c r="BK280" s="350"/>
      <c r="BL280" s="350"/>
      <c r="BM280" s="351"/>
      <c r="BN280" s="530" t="s">
        <v>294</v>
      </c>
      <c r="BO280" s="350"/>
      <c r="BP280" s="350"/>
      <c r="BQ280" s="350"/>
      <c r="BR280" s="350"/>
      <c r="BS280" s="350"/>
      <c r="BT280" s="350"/>
      <c r="BU280" s="350"/>
      <c r="BV280" s="351"/>
    </row>
    <row r="281" spans="1:74" ht="45" customHeight="1">
      <c r="A281" s="24">
        <f t="shared" si="1"/>
        <v>267</v>
      </c>
      <c r="B281" s="522" t="s">
        <v>294</v>
      </c>
      <c r="C281" s="351"/>
      <c r="D281" s="523" t="s">
        <v>298</v>
      </c>
      <c r="E281" s="351"/>
      <c r="F281" s="524" t="s">
        <v>325</v>
      </c>
      <c r="G281" s="351"/>
      <c r="H281" s="561" t="s">
        <v>325</v>
      </c>
      <c r="I281" s="351"/>
      <c r="J281" s="562"/>
      <c r="K281" s="351"/>
      <c r="L281" s="562"/>
      <c r="M281" s="351"/>
      <c r="N281" s="34"/>
      <c r="O281" s="35"/>
      <c r="P281" s="526"/>
      <c r="Q281" s="351"/>
      <c r="R281" s="535"/>
      <c r="S281" s="351"/>
      <c r="T281" s="536"/>
      <c r="U281" s="351"/>
      <c r="V281" s="537"/>
      <c r="W281" s="351"/>
      <c r="X281" s="542" t="s">
        <v>294</v>
      </c>
      <c r="Y281" s="350"/>
      <c r="Z281" s="350"/>
      <c r="AA281" s="351"/>
      <c r="AB281" s="543" t="s">
        <v>294</v>
      </c>
      <c r="AC281" s="350"/>
      <c r="AD281" s="350"/>
      <c r="AE281" s="351"/>
      <c r="AF281" s="540"/>
      <c r="AG281" s="351"/>
      <c r="AH281" s="540"/>
      <c r="AI281" s="351"/>
      <c r="AJ281" s="532"/>
      <c r="AK281" s="351"/>
      <c r="AL281" s="524" t="s">
        <v>325</v>
      </c>
      <c r="AM281" s="351"/>
      <c r="AN281" s="549" t="s">
        <v>325</v>
      </c>
      <c r="AO281" s="351"/>
      <c r="AP281" s="532"/>
      <c r="AQ281" s="351"/>
      <c r="AR281" s="533"/>
      <c r="AS281" s="351"/>
      <c r="AT281" s="534"/>
      <c r="AU281" s="351"/>
      <c r="AV281" s="549" t="s">
        <v>325</v>
      </c>
      <c r="AW281" s="351"/>
      <c r="AX281" s="553"/>
      <c r="AY281" s="350"/>
      <c r="AZ281" s="351"/>
      <c r="BA281" s="545"/>
      <c r="BB281" s="351"/>
      <c r="BC281" s="39"/>
      <c r="BD281" s="546" t="s">
        <v>325</v>
      </c>
      <c r="BE281" s="351"/>
      <c r="BF281" s="557"/>
      <c r="BG281" s="350"/>
      <c r="BH281" s="350"/>
      <c r="BI281" s="351"/>
      <c r="BJ281" s="548" t="s">
        <v>294</v>
      </c>
      <c r="BK281" s="350"/>
      <c r="BL281" s="350"/>
      <c r="BM281" s="351"/>
      <c r="BN281" s="530" t="s">
        <v>294</v>
      </c>
      <c r="BO281" s="350"/>
      <c r="BP281" s="350"/>
      <c r="BQ281" s="350"/>
      <c r="BR281" s="350"/>
      <c r="BS281" s="350"/>
      <c r="BT281" s="350"/>
      <c r="BU281" s="350"/>
      <c r="BV281" s="351"/>
    </row>
    <row r="282" spans="1:74" ht="45" customHeight="1">
      <c r="A282" s="24">
        <f t="shared" si="1"/>
        <v>268</v>
      </c>
      <c r="B282" s="558" t="s">
        <v>294</v>
      </c>
      <c r="C282" s="351"/>
      <c r="D282" s="559" t="s">
        <v>298</v>
      </c>
      <c r="E282" s="351"/>
      <c r="F282" s="524" t="s">
        <v>325</v>
      </c>
      <c r="G282" s="351"/>
      <c r="H282" s="525" t="s">
        <v>325</v>
      </c>
      <c r="I282" s="351"/>
      <c r="J282" s="40"/>
      <c r="K282" s="41"/>
      <c r="L282" s="40"/>
      <c r="M282" s="41"/>
      <c r="N282" s="37"/>
      <c r="O282" s="38"/>
      <c r="P282" s="560"/>
      <c r="Q282" s="351"/>
      <c r="R282" s="527"/>
      <c r="S282" s="351"/>
      <c r="T282" s="528"/>
      <c r="U282" s="351"/>
      <c r="V282" s="541"/>
      <c r="W282" s="351"/>
      <c r="X282" s="538" t="s">
        <v>294</v>
      </c>
      <c r="Y282" s="350"/>
      <c r="Z282" s="350"/>
      <c r="AA282" s="351"/>
      <c r="AB282" s="539" t="s">
        <v>294</v>
      </c>
      <c r="AC282" s="350"/>
      <c r="AD282" s="350"/>
      <c r="AE282" s="351"/>
      <c r="AF282" s="544"/>
      <c r="AG282" s="351"/>
      <c r="AH282" s="544"/>
      <c r="AI282" s="351"/>
      <c r="AJ282" s="545"/>
      <c r="AK282" s="351"/>
      <c r="AL282" s="555" t="s">
        <v>325</v>
      </c>
      <c r="AM282" s="351"/>
      <c r="AN282" s="531" t="s">
        <v>325</v>
      </c>
      <c r="AO282" s="351"/>
      <c r="AP282" s="550"/>
      <c r="AQ282" s="351"/>
      <c r="AR282" s="551"/>
      <c r="AS282" s="351"/>
      <c r="AT282" s="534"/>
      <c r="AU282" s="351"/>
      <c r="AV282" s="531" t="s">
        <v>325</v>
      </c>
      <c r="AW282" s="351"/>
      <c r="AX282" s="553"/>
      <c r="AY282" s="350"/>
      <c r="AZ282" s="351"/>
      <c r="BA282" s="554"/>
      <c r="BB282" s="351"/>
      <c r="BC282" s="36"/>
      <c r="BD282" s="556" t="s">
        <v>325</v>
      </c>
      <c r="BE282" s="351"/>
      <c r="BF282" s="547"/>
      <c r="BG282" s="350"/>
      <c r="BH282" s="350"/>
      <c r="BI282" s="351"/>
      <c r="BJ282" s="506" t="s">
        <v>294</v>
      </c>
      <c r="BK282" s="350"/>
      <c r="BL282" s="350"/>
      <c r="BM282" s="351"/>
      <c r="BN282" s="530" t="s">
        <v>294</v>
      </c>
      <c r="BO282" s="350"/>
      <c r="BP282" s="350"/>
      <c r="BQ282" s="350"/>
      <c r="BR282" s="350"/>
      <c r="BS282" s="350"/>
      <c r="BT282" s="350"/>
      <c r="BU282" s="350"/>
      <c r="BV282" s="351"/>
    </row>
    <row r="283" spans="1:74" ht="45" customHeight="1">
      <c r="A283" s="24">
        <f t="shared" si="1"/>
        <v>269</v>
      </c>
      <c r="B283" s="522" t="s">
        <v>294</v>
      </c>
      <c r="C283" s="351"/>
      <c r="D283" s="523" t="s">
        <v>298</v>
      </c>
      <c r="E283" s="351"/>
      <c r="F283" s="524" t="s">
        <v>325</v>
      </c>
      <c r="G283" s="351"/>
      <c r="H283" s="561" t="s">
        <v>325</v>
      </c>
      <c r="I283" s="351"/>
      <c r="J283" s="562"/>
      <c r="K283" s="351"/>
      <c r="L283" s="562"/>
      <c r="M283" s="351"/>
      <c r="N283" s="34"/>
      <c r="O283" s="35"/>
      <c r="P283" s="526"/>
      <c r="Q283" s="351"/>
      <c r="R283" s="535"/>
      <c r="S283" s="351"/>
      <c r="T283" s="536"/>
      <c r="U283" s="351"/>
      <c r="V283" s="537"/>
      <c r="W283" s="351"/>
      <c r="X283" s="542" t="s">
        <v>294</v>
      </c>
      <c r="Y283" s="350"/>
      <c r="Z283" s="350"/>
      <c r="AA283" s="351"/>
      <c r="AB283" s="543" t="s">
        <v>294</v>
      </c>
      <c r="AC283" s="350"/>
      <c r="AD283" s="350"/>
      <c r="AE283" s="351"/>
      <c r="AF283" s="540"/>
      <c r="AG283" s="351"/>
      <c r="AH283" s="540"/>
      <c r="AI283" s="351"/>
      <c r="AJ283" s="532"/>
      <c r="AK283" s="351"/>
      <c r="AL283" s="524" t="s">
        <v>325</v>
      </c>
      <c r="AM283" s="351"/>
      <c r="AN283" s="549" t="s">
        <v>325</v>
      </c>
      <c r="AO283" s="351"/>
      <c r="AP283" s="532"/>
      <c r="AQ283" s="351"/>
      <c r="AR283" s="533"/>
      <c r="AS283" s="351"/>
      <c r="AT283" s="534"/>
      <c r="AU283" s="351"/>
      <c r="AV283" s="549" t="s">
        <v>325</v>
      </c>
      <c r="AW283" s="351"/>
      <c r="AX283" s="553"/>
      <c r="AY283" s="350"/>
      <c r="AZ283" s="351"/>
      <c r="BA283" s="545"/>
      <c r="BB283" s="351"/>
      <c r="BC283" s="39"/>
      <c r="BD283" s="546" t="s">
        <v>325</v>
      </c>
      <c r="BE283" s="351"/>
      <c r="BF283" s="529"/>
      <c r="BG283" s="350"/>
      <c r="BH283" s="350"/>
      <c r="BI283" s="351"/>
      <c r="BJ283" s="548" t="s">
        <v>294</v>
      </c>
      <c r="BK283" s="350"/>
      <c r="BL283" s="350"/>
      <c r="BM283" s="351"/>
      <c r="BN283" s="530" t="s">
        <v>294</v>
      </c>
      <c r="BO283" s="350"/>
      <c r="BP283" s="350"/>
      <c r="BQ283" s="350"/>
      <c r="BR283" s="350"/>
      <c r="BS283" s="350"/>
      <c r="BT283" s="350"/>
      <c r="BU283" s="350"/>
      <c r="BV283" s="351"/>
    </row>
    <row r="284" spans="1:74" ht="45" customHeight="1">
      <c r="A284" s="24">
        <f t="shared" si="1"/>
        <v>270</v>
      </c>
      <c r="B284" s="558" t="s">
        <v>294</v>
      </c>
      <c r="C284" s="351"/>
      <c r="D284" s="559" t="s">
        <v>298</v>
      </c>
      <c r="E284" s="351"/>
      <c r="F284" s="524" t="s">
        <v>325</v>
      </c>
      <c r="G284" s="351"/>
      <c r="H284" s="525" t="s">
        <v>325</v>
      </c>
      <c r="I284" s="351"/>
      <c r="J284" s="40"/>
      <c r="K284" s="41"/>
      <c r="L284" s="40"/>
      <c r="M284" s="41"/>
      <c r="N284" s="37"/>
      <c r="O284" s="38"/>
      <c r="P284" s="560"/>
      <c r="Q284" s="351"/>
      <c r="R284" s="527"/>
      <c r="S284" s="351"/>
      <c r="T284" s="528"/>
      <c r="U284" s="351"/>
      <c r="V284" s="541"/>
      <c r="W284" s="351"/>
      <c r="X284" s="538" t="s">
        <v>294</v>
      </c>
      <c r="Y284" s="350"/>
      <c r="Z284" s="350"/>
      <c r="AA284" s="351"/>
      <c r="AB284" s="539" t="s">
        <v>294</v>
      </c>
      <c r="AC284" s="350"/>
      <c r="AD284" s="350"/>
      <c r="AE284" s="351"/>
      <c r="AF284" s="544"/>
      <c r="AG284" s="351"/>
      <c r="AH284" s="544"/>
      <c r="AI284" s="351"/>
      <c r="AJ284" s="545"/>
      <c r="AK284" s="351"/>
      <c r="AL284" s="555" t="s">
        <v>325</v>
      </c>
      <c r="AM284" s="351"/>
      <c r="AN284" s="531" t="s">
        <v>325</v>
      </c>
      <c r="AO284" s="351"/>
      <c r="AP284" s="550"/>
      <c r="AQ284" s="351"/>
      <c r="AR284" s="551"/>
      <c r="AS284" s="351"/>
      <c r="AT284" s="534"/>
      <c r="AU284" s="351"/>
      <c r="AV284" s="531" t="s">
        <v>325</v>
      </c>
      <c r="AW284" s="351"/>
      <c r="AX284" s="553"/>
      <c r="AY284" s="350"/>
      <c r="AZ284" s="351"/>
      <c r="BA284" s="554"/>
      <c r="BB284" s="351"/>
      <c r="BC284" s="36"/>
      <c r="BD284" s="556" t="s">
        <v>325</v>
      </c>
      <c r="BE284" s="351"/>
      <c r="BF284" s="547"/>
      <c r="BG284" s="350"/>
      <c r="BH284" s="350"/>
      <c r="BI284" s="351"/>
      <c r="BJ284" s="506" t="s">
        <v>294</v>
      </c>
      <c r="BK284" s="350"/>
      <c r="BL284" s="350"/>
      <c r="BM284" s="351"/>
      <c r="BN284" s="530" t="s">
        <v>294</v>
      </c>
      <c r="BO284" s="350"/>
      <c r="BP284" s="350"/>
      <c r="BQ284" s="350"/>
      <c r="BR284" s="350"/>
      <c r="BS284" s="350"/>
      <c r="BT284" s="350"/>
      <c r="BU284" s="350"/>
      <c r="BV284" s="351"/>
    </row>
    <row r="285" spans="1:74" ht="45" customHeight="1">
      <c r="A285" s="24">
        <f t="shared" si="1"/>
        <v>271</v>
      </c>
      <c r="B285" s="522" t="s">
        <v>294</v>
      </c>
      <c r="C285" s="351"/>
      <c r="D285" s="523" t="s">
        <v>298</v>
      </c>
      <c r="E285" s="351"/>
      <c r="F285" s="524" t="s">
        <v>325</v>
      </c>
      <c r="G285" s="351"/>
      <c r="H285" s="561" t="s">
        <v>325</v>
      </c>
      <c r="I285" s="351"/>
      <c r="J285" s="562"/>
      <c r="K285" s="351"/>
      <c r="L285" s="562"/>
      <c r="M285" s="351"/>
      <c r="N285" s="34"/>
      <c r="O285" s="35"/>
      <c r="P285" s="526"/>
      <c r="Q285" s="351"/>
      <c r="R285" s="535"/>
      <c r="S285" s="351"/>
      <c r="T285" s="536"/>
      <c r="U285" s="351"/>
      <c r="V285" s="537"/>
      <c r="W285" s="351"/>
      <c r="X285" s="542" t="s">
        <v>294</v>
      </c>
      <c r="Y285" s="350"/>
      <c r="Z285" s="350"/>
      <c r="AA285" s="351"/>
      <c r="AB285" s="543" t="s">
        <v>294</v>
      </c>
      <c r="AC285" s="350"/>
      <c r="AD285" s="350"/>
      <c r="AE285" s="351"/>
      <c r="AF285" s="540"/>
      <c r="AG285" s="351"/>
      <c r="AH285" s="540"/>
      <c r="AI285" s="351"/>
      <c r="AJ285" s="532"/>
      <c r="AK285" s="351"/>
      <c r="AL285" s="524" t="s">
        <v>325</v>
      </c>
      <c r="AM285" s="351"/>
      <c r="AN285" s="549" t="s">
        <v>325</v>
      </c>
      <c r="AO285" s="351"/>
      <c r="AP285" s="532"/>
      <c r="AQ285" s="351"/>
      <c r="AR285" s="533"/>
      <c r="AS285" s="351"/>
      <c r="AT285" s="534"/>
      <c r="AU285" s="351"/>
      <c r="AV285" s="549" t="s">
        <v>325</v>
      </c>
      <c r="AW285" s="351"/>
      <c r="AX285" s="553"/>
      <c r="AY285" s="350"/>
      <c r="AZ285" s="351"/>
      <c r="BA285" s="545"/>
      <c r="BB285" s="351"/>
      <c r="BC285" s="39"/>
      <c r="BD285" s="546" t="s">
        <v>325</v>
      </c>
      <c r="BE285" s="351"/>
      <c r="BF285" s="529"/>
      <c r="BG285" s="350"/>
      <c r="BH285" s="350"/>
      <c r="BI285" s="351"/>
      <c r="BJ285" s="548" t="s">
        <v>294</v>
      </c>
      <c r="BK285" s="350"/>
      <c r="BL285" s="350"/>
      <c r="BM285" s="351"/>
      <c r="BN285" s="530" t="s">
        <v>294</v>
      </c>
      <c r="BO285" s="350"/>
      <c r="BP285" s="350"/>
      <c r="BQ285" s="350"/>
      <c r="BR285" s="350"/>
      <c r="BS285" s="350"/>
      <c r="BT285" s="350"/>
      <c r="BU285" s="350"/>
      <c r="BV285" s="351"/>
    </row>
    <row r="286" spans="1:74" ht="45" customHeight="1">
      <c r="A286" s="24">
        <f t="shared" si="1"/>
        <v>272</v>
      </c>
      <c r="B286" s="558" t="s">
        <v>294</v>
      </c>
      <c r="C286" s="351"/>
      <c r="D286" s="559" t="s">
        <v>298</v>
      </c>
      <c r="E286" s="351"/>
      <c r="F286" s="524" t="s">
        <v>325</v>
      </c>
      <c r="G286" s="351"/>
      <c r="H286" s="525" t="s">
        <v>325</v>
      </c>
      <c r="I286" s="351"/>
      <c r="J286" s="40"/>
      <c r="K286" s="41"/>
      <c r="L286" s="40"/>
      <c r="M286" s="41"/>
      <c r="N286" s="37"/>
      <c r="O286" s="38"/>
      <c r="P286" s="560"/>
      <c r="Q286" s="351"/>
      <c r="R286" s="527"/>
      <c r="S286" s="351"/>
      <c r="T286" s="528"/>
      <c r="U286" s="351"/>
      <c r="V286" s="541"/>
      <c r="W286" s="351"/>
      <c r="X286" s="538" t="s">
        <v>294</v>
      </c>
      <c r="Y286" s="350"/>
      <c r="Z286" s="350"/>
      <c r="AA286" s="351"/>
      <c r="AB286" s="539" t="s">
        <v>294</v>
      </c>
      <c r="AC286" s="350"/>
      <c r="AD286" s="350"/>
      <c r="AE286" s="351"/>
      <c r="AF286" s="544"/>
      <c r="AG286" s="351"/>
      <c r="AH286" s="544"/>
      <c r="AI286" s="351"/>
      <c r="AJ286" s="545"/>
      <c r="AK286" s="351"/>
      <c r="AL286" s="555" t="s">
        <v>325</v>
      </c>
      <c r="AM286" s="351"/>
      <c r="AN286" s="531" t="s">
        <v>325</v>
      </c>
      <c r="AO286" s="351"/>
      <c r="AP286" s="550"/>
      <c r="AQ286" s="351"/>
      <c r="AR286" s="551"/>
      <c r="AS286" s="351"/>
      <c r="AT286" s="534"/>
      <c r="AU286" s="351"/>
      <c r="AV286" s="531" t="s">
        <v>325</v>
      </c>
      <c r="AW286" s="351"/>
      <c r="AX286" s="553"/>
      <c r="AY286" s="350"/>
      <c r="AZ286" s="351"/>
      <c r="BA286" s="554"/>
      <c r="BB286" s="351"/>
      <c r="BC286" s="36"/>
      <c r="BD286" s="556" t="s">
        <v>325</v>
      </c>
      <c r="BE286" s="351"/>
      <c r="BF286" s="547"/>
      <c r="BG286" s="350"/>
      <c r="BH286" s="350"/>
      <c r="BI286" s="351"/>
      <c r="BJ286" s="506" t="s">
        <v>294</v>
      </c>
      <c r="BK286" s="350"/>
      <c r="BL286" s="350"/>
      <c r="BM286" s="351"/>
      <c r="BN286" s="530" t="s">
        <v>294</v>
      </c>
      <c r="BO286" s="350"/>
      <c r="BP286" s="350"/>
      <c r="BQ286" s="350"/>
      <c r="BR286" s="350"/>
      <c r="BS286" s="350"/>
      <c r="BT286" s="350"/>
      <c r="BU286" s="350"/>
      <c r="BV286" s="351"/>
    </row>
    <row r="287" spans="1:74" ht="45" customHeight="1">
      <c r="A287" s="24">
        <f t="shared" si="1"/>
        <v>273</v>
      </c>
      <c r="B287" s="522" t="s">
        <v>294</v>
      </c>
      <c r="C287" s="351"/>
      <c r="D287" s="523" t="s">
        <v>298</v>
      </c>
      <c r="E287" s="351"/>
      <c r="F287" s="524" t="s">
        <v>325</v>
      </c>
      <c r="G287" s="351"/>
      <c r="H287" s="561" t="s">
        <v>325</v>
      </c>
      <c r="I287" s="351"/>
      <c r="J287" s="562"/>
      <c r="K287" s="351"/>
      <c r="L287" s="562"/>
      <c r="M287" s="351"/>
      <c r="N287" s="34"/>
      <c r="O287" s="35"/>
      <c r="P287" s="526"/>
      <c r="Q287" s="351"/>
      <c r="R287" s="535"/>
      <c r="S287" s="351"/>
      <c r="T287" s="536"/>
      <c r="U287" s="351"/>
      <c r="V287" s="537"/>
      <c r="W287" s="351"/>
      <c r="X287" s="542" t="s">
        <v>294</v>
      </c>
      <c r="Y287" s="350"/>
      <c r="Z287" s="350"/>
      <c r="AA287" s="351"/>
      <c r="AB287" s="543" t="s">
        <v>294</v>
      </c>
      <c r="AC287" s="350"/>
      <c r="AD287" s="350"/>
      <c r="AE287" s="351"/>
      <c r="AF287" s="540"/>
      <c r="AG287" s="351"/>
      <c r="AH287" s="540"/>
      <c r="AI287" s="351"/>
      <c r="AJ287" s="532"/>
      <c r="AK287" s="351"/>
      <c r="AL287" s="524" t="s">
        <v>325</v>
      </c>
      <c r="AM287" s="351"/>
      <c r="AN287" s="549" t="s">
        <v>325</v>
      </c>
      <c r="AO287" s="351"/>
      <c r="AP287" s="532"/>
      <c r="AQ287" s="351"/>
      <c r="AR287" s="533"/>
      <c r="AS287" s="351"/>
      <c r="AT287" s="534"/>
      <c r="AU287" s="351"/>
      <c r="AV287" s="549" t="s">
        <v>325</v>
      </c>
      <c r="AW287" s="351"/>
      <c r="AX287" s="553"/>
      <c r="AY287" s="350"/>
      <c r="AZ287" s="351"/>
      <c r="BA287" s="545"/>
      <c r="BB287" s="351"/>
      <c r="BC287" s="39"/>
      <c r="BD287" s="546" t="s">
        <v>325</v>
      </c>
      <c r="BE287" s="351"/>
      <c r="BF287" s="557"/>
      <c r="BG287" s="350"/>
      <c r="BH287" s="350"/>
      <c r="BI287" s="351"/>
      <c r="BJ287" s="548" t="s">
        <v>294</v>
      </c>
      <c r="BK287" s="350"/>
      <c r="BL287" s="350"/>
      <c r="BM287" s="351"/>
      <c r="BN287" s="530" t="s">
        <v>294</v>
      </c>
      <c r="BO287" s="350"/>
      <c r="BP287" s="350"/>
      <c r="BQ287" s="350"/>
      <c r="BR287" s="350"/>
      <c r="BS287" s="350"/>
      <c r="BT287" s="350"/>
      <c r="BU287" s="350"/>
      <c r="BV287" s="351"/>
    </row>
    <row r="288" spans="1:74" ht="45" customHeight="1">
      <c r="A288" s="24">
        <f t="shared" si="1"/>
        <v>274</v>
      </c>
      <c r="B288" s="558" t="s">
        <v>294</v>
      </c>
      <c r="C288" s="351"/>
      <c r="D288" s="559" t="s">
        <v>298</v>
      </c>
      <c r="E288" s="351"/>
      <c r="F288" s="524" t="s">
        <v>325</v>
      </c>
      <c r="G288" s="351"/>
      <c r="H288" s="525" t="s">
        <v>325</v>
      </c>
      <c r="I288" s="351"/>
      <c r="J288" s="40"/>
      <c r="K288" s="41"/>
      <c r="L288" s="40"/>
      <c r="M288" s="41"/>
      <c r="N288" s="37"/>
      <c r="O288" s="38"/>
      <c r="P288" s="560"/>
      <c r="Q288" s="351"/>
      <c r="R288" s="527"/>
      <c r="S288" s="351"/>
      <c r="T288" s="528"/>
      <c r="U288" s="351"/>
      <c r="V288" s="541"/>
      <c r="W288" s="351"/>
      <c r="X288" s="538" t="s">
        <v>294</v>
      </c>
      <c r="Y288" s="350"/>
      <c r="Z288" s="350"/>
      <c r="AA288" s="351"/>
      <c r="AB288" s="539" t="s">
        <v>294</v>
      </c>
      <c r="AC288" s="350"/>
      <c r="AD288" s="350"/>
      <c r="AE288" s="351"/>
      <c r="AF288" s="544"/>
      <c r="AG288" s="351"/>
      <c r="AH288" s="544"/>
      <c r="AI288" s="351"/>
      <c r="AJ288" s="545"/>
      <c r="AK288" s="351"/>
      <c r="AL288" s="555" t="s">
        <v>325</v>
      </c>
      <c r="AM288" s="351"/>
      <c r="AN288" s="531" t="s">
        <v>325</v>
      </c>
      <c r="AO288" s="351"/>
      <c r="AP288" s="550"/>
      <c r="AQ288" s="351"/>
      <c r="AR288" s="551"/>
      <c r="AS288" s="351"/>
      <c r="AT288" s="534"/>
      <c r="AU288" s="351"/>
      <c r="AV288" s="531" t="s">
        <v>325</v>
      </c>
      <c r="AW288" s="351"/>
      <c r="AX288" s="553"/>
      <c r="AY288" s="350"/>
      <c r="AZ288" s="351"/>
      <c r="BA288" s="554"/>
      <c r="BB288" s="351"/>
      <c r="BC288" s="36"/>
      <c r="BD288" s="556" t="s">
        <v>325</v>
      </c>
      <c r="BE288" s="351"/>
      <c r="BF288" s="547"/>
      <c r="BG288" s="350"/>
      <c r="BH288" s="350"/>
      <c r="BI288" s="351"/>
      <c r="BJ288" s="506" t="s">
        <v>294</v>
      </c>
      <c r="BK288" s="350"/>
      <c r="BL288" s="350"/>
      <c r="BM288" s="351"/>
      <c r="BN288" s="530" t="s">
        <v>294</v>
      </c>
      <c r="BO288" s="350"/>
      <c r="BP288" s="350"/>
      <c r="BQ288" s="350"/>
      <c r="BR288" s="350"/>
      <c r="BS288" s="350"/>
      <c r="BT288" s="350"/>
      <c r="BU288" s="350"/>
      <c r="BV288" s="351"/>
    </row>
    <row r="289" spans="1:74" ht="45" customHeight="1">
      <c r="A289" s="24">
        <f t="shared" si="1"/>
        <v>275</v>
      </c>
      <c r="B289" s="522" t="s">
        <v>294</v>
      </c>
      <c r="C289" s="351"/>
      <c r="D289" s="523" t="s">
        <v>298</v>
      </c>
      <c r="E289" s="351"/>
      <c r="F289" s="524" t="s">
        <v>325</v>
      </c>
      <c r="G289" s="351"/>
      <c r="H289" s="561" t="s">
        <v>325</v>
      </c>
      <c r="I289" s="351"/>
      <c r="J289" s="562"/>
      <c r="K289" s="351"/>
      <c r="L289" s="562"/>
      <c r="M289" s="351"/>
      <c r="N289" s="34"/>
      <c r="O289" s="35"/>
      <c r="P289" s="526"/>
      <c r="Q289" s="351"/>
      <c r="R289" s="535"/>
      <c r="S289" s="351"/>
      <c r="T289" s="536"/>
      <c r="U289" s="351"/>
      <c r="V289" s="537"/>
      <c r="W289" s="351"/>
      <c r="X289" s="542" t="s">
        <v>294</v>
      </c>
      <c r="Y289" s="350"/>
      <c r="Z289" s="350"/>
      <c r="AA289" s="351"/>
      <c r="AB289" s="543" t="s">
        <v>294</v>
      </c>
      <c r="AC289" s="350"/>
      <c r="AD289" s="350"/>
      <c r="AE289" s="351"/>
      <c r="AF289" s="540"/>
      <c r="AG289" s="351"/>
      <c r="AH289" s="540"/>
      <c r="AI289" s="351"/>
      <c r="AJ289" s="532"/>
      <c r="AK289" s="351"/>
      <c r="AL289" s="524" t="s">
        <v>325</v>
      </c>
      <c r="AM289" s="351"/>
      <c r="AN289" s="549" t="s">
        <v>325</v>
      </c>
      <c r="AO289" s="351"/>
      <c r="AP289" s="532"/>
      <c r="AQ289" s="351"/>
      <c r="AR289" s="533"/>
      <c r="AS289" s="351"/>
      <c r="AT289" s="534"/>
      <c r="AU289" s="351"/>
      <c r="AV289" s="549" t="s">
        <v>325</v>
      </c>
      <c r="AW289" s="351"/>
      <c r="AX289" s="553"/>
      <c r="AY289" s="350"/>
      <c r="AZ289" s="351"/>
      <c r="BA289" s="545"/>
      <c r="BB289" s="351"/>
      <c r="BC289" s="39"/>
      <c r="BD289" s="546" t="s">
        <v>325</v>
      </c>
      <c r="BE289" s="351"/>
      <c r="BF289" s="529"/>
      <c r="BG289" s="350"/>
      <c r="BH289" s="350"/>
      <c r="BI289" s="351"/>
      <c r="BJ289" s="548" t="s">
        <v>294</v>
      </c>
      <c r="BK289" s="350"/>
      <c r="BL289" s="350"/>
      <c r="BM289" s="351"/>
      <c r="BN289" s="530" t="s">
        <v>294</v>
      </c>
      <c r="BO289" s="350"/>
      <c r="BP289" s="350"/>
      <c r="BQ289" s="350"/>
      <c r="BR289" s="350"/>
      <c r="BS289" s="350"/>
      <c r="BT289" s="350"/>
      <c r="BU289" s="350"/>
      <c r="BV289" s="351"/>
    </row>
    <row r="290" spans="1:74" ht="45" customHeight="1">
      <c r="A290" s="24">
        <f t="shared" si="1"/>
        <v>276</v>
      </c>
      <c r="B290" s="558" t="s">
        <v>294</v>
      </c>
      <c r="C290" s="351"/>
      <c r="D290" s="559" t="s">
        <v>298</v>
      </c>
      <c r="E290" s="351"/>
      <c r="F290" s="524" t="s">
        <v>325</v>
      </c>
      <c r="G290" s="351"/>
      <c r="H290" s="525" t="s">
        <v>325</v>
      </c>
      <c r="I290" s="351"/>
      <c r="J290" s="40"/>
      <c r="K290" s="41"/>
      <c r="L290" s="40"/>
      <c r="M290" s="41"/>
      <c r="N290" s="37"/>
      <c r="O290" s="38"/>
      <c r="P290" s="560"/>
      <c r="Q290" s="351"/>
      <c r="R290" s="527"/>
      <c r="S290" s="351"/>
      <c r="T290" s="528"/>
      <c r="U290" s="351"/>
      <c r="V290" s="541"/>
      <c r="W290" s="351"/>
      <c r="X290" s="538" t="s">
        <v>294</v>
      </c>
      <c r="Y290" s="350"/>
      <c r="Z290" s="350"/>
      <c r="AA290" s="351"/>
      <c r="AB290" s="539" t="s">
        <v>294</v>
      </c>
      <c r="AC290" s="350"/>
      <c r="AD290" s="350"/>
      <c r="AE290" s="351"/>
      <c r="AF290" s="544"/>
      <c r="AG290" s="351"/>
      <c r="AH290" s="544"/>
      <c r="AI290" s="351"/>
      <c r="AJ290" s="545"/>
      <c r="AK290" s="351"/>
      <c r="AL290" s="555" t="s">
        <v>325</v>
      </c>
      <c r="AM290" s="351"/>
      <c r="AN290" s="531" t="s">
        <v>325</v>
      </c>
      <c r="AO290" s="351"/>
      <c r="AP290" s="550"/>
      <c r="AQ290" s="351"/>
      <c r="AR290" s="551"/>
      <c r="AS290" s="351"/>
      <c r="AT290" s="534"/>
      <c r="AU290" s="351"/>
      <c r="AV290" s="531" t="s">
        <v>325</v>
      </c>
      <c r="AW290" s="351"/>
      <c r="AX290" s="553"/>
      <c r="AY290" s="350"/>
      <c r="AZ290" s="351"/>
      <c r="BA290" s="554"/>
      <c r="BB290" s="351"/>
      <c r="BC290" s="36"/>
      <c r="BD290" s="556" t="s">
        <v>325</v>
      </c>
      <c r="BE290" s="351"/>
      <c r="BF290" s="547"/>
      <c r="BG290" s="350"/>
      <c r="BH290" s="350"/>
      <c r="BI290" s="351"/>
      <c r="BJ290" s="506" t="s">
        <v>294</v>
      </c>
      <c r="BK290" s="350"/>
      <c r="BL290" s="350"/>
      <c r="BM290" s="351"/>
      <c r="BN290" s="530" t="s">
        <v>294</v>
      </c>
      <c r="BO290" s="350"/>
      <c r="BP290" s="350"/>
      <c r="BQ290" s="350"/>
      <c r="BR290" s="350"/>
      <c r="BS290" s="350"/>
      <c r="BT290" s="350"/>
      <c r="BU290" s="350"/>
      <c r="BV290" s="351"/>
    </row>
    <row r="291" spans="1:74" ht="45" customHeight="1">
      <c r="A291" s="24">
        <f t="shared" si="1"/>
        <v>277</v>
      </c>
      <c r="B291" s="522" t="s">
        <v>294</v>
      </c>
      <c r="C291" s="351"/>
      <c r="D291" s="523" t="s">
        <v>298</v>
      </c>
      <c r="E291" s="351"/>
      <c r="F291" s="524" t="s">
        <v>325</v>
      </c>
      <c r="G291" s="351"/>
      <c r="H291" s="561" t="s">
        <v>325</v>
      </c>
      <c r="I291" s="351"/>
      <c r="J291" s="562"/>
      <c r="K291" s="351"/>
      <c r="L291" s="562"/>
      <c r="M291" s="351"/>
      <c r="N291" s="34"/>
      <c r="O291" s="35"/>
      <c r="P291" s="526"/>
      <c r="Q291" s="351"/>
      <c r="R291" s="535"/>
      <c r="S291" s="351"/>
      <c r="T291" s="536"/>
      <c r="U291" s="351"/>
      <c r="V291" s="537"/>
      <c r="W291" s="351"/>
      <c r="X291" s="542" t="s">
        <v>294</v>
      </c>
      <c r="Y291" s="350"/>
      <c r="Z291" s="350"/>
      <c r="AA291" s="351"/>
      <c r="AB291" s="543" t="s">
        <v>294</v>
      </c>
      <c r="AC291" s="350"/>
      <c r="AD291" s="350"/>
      <c r="AE291" s="351"/>
      <c r="AF291" s="540"/>
      <c r="AG291" s="351"/>
      <c r="AH291" s="540"/>
      <c r="AI291" s="351"/>
      <c r="AJ291" s="532"/>
      <c r="AK291" s="351"/>
      <c r="AL291" s="524" t="s">
        <v>325</v>
      </c>
      <c r="AM291" s="351"/>
      <c r="AN291" s="549" t="s">
        <v>325</v>
      </c>
      <c r="AO291" s="351"/>
      <c r="AP291" s="532"/>
      <c r="AQ291" s="351"/>
      <c r="AR291" s="533"/>
      <c r="AS291" s="351"/>
      <c r="AT291" s="534"/>
      <c r="AU291" s="351"/>
      <c r="AV291" s="549" t="s">
        <v>325</v>
      </c>
      <c r="AW291" s="351"/>
      <c r="AX291" s="553"/>
      <c r="AY291" s="350"/>
      <c r="AZ291" s="351"/>
      <c r="BA291" s="545"/>
      <c r="BB291" s="351"/>
      <c r="BC291" s="39"/>
      <c r="BD291" s="546" t="s">
        <v>325</v>
      </c>
      <c r="BE291" s="351"/>
      <c r="BF291" s="557"/>
      <c r="BG291" s="350"/>
      <c r="BH291" s="350"/>
      <c r="BI291" s="351"/>
      <c r="BJ291" s="548" t="s">
        <v>294</v>
      </c>
      <c r="BK291" s="350"/>
      <c r="BL291" s="350"/>
      <c r="BM291" s="351"/>
      <c r="BN291" s="530" t="s">
        <v>294</v>
      </c>
      <c r="BO291" s="350"/>
      <c r="BP291" s="350"/>
      <c r="BQ291" s="350"/>
      <c r="BR291" s="350"/>
      <c r="BS291" s="350"/>
      <c r="BT291" s="350"/>
      <c r="BU291" s="350"/>
      <c r="BV291" s="351"/>
    </row>
    <row r="292" spans="1:74" ht="45" customHeight="1">
      <c r="A292" s="24">
        <f t="shared" si="1"/>
        <v>278</v>
      </c>
      <c r="B292" s="558" t="s">
        <v>294</v>
      </c>
      <c r="C292" s="351"/>
      <c r="D292" s="559" t="s">
        <v>298</v>
      </c>
      <c r="E292" s="351"/>
      <c r="F292" s="524" t="s">
        <v>325</v>
      </c>
      <c r="G292" s="351"/>
      <c r="H292" s="525" t="s">
        <v>325</v>
      </c>
      <c r="I292" s="351"/>
      <c r="J292" s="40"/>
      <c r="K292" s="41"/>
      <c r="L292" s="40"/>
      <c r="M292" s="41"/>
      <c r="N292" s="37"/>
      <c r="O292" s="38"/>
      <c r="P292" s="560"/>
      <c r="Q292" s="351"/>
      <c r="R292" s="527"/>
      <c r="S292" s="351"/>
      <c r="T292" s="528"/>
      <c r="U292" s="351"/>
      <c r="V292" s="541"/>
      <c r="W292" s="351"/>
      <c r="X292" s="538" t="s">
        <v>294</v>
      </c>
      <c r="Y292" s="350"/>
      <c r="Z292" s="350"/>
      <c r="AA292" s="351"/>
      <c r="AB292" s="539" t="s">
        <v>294</v>
      </c>
      <c r="AC292" s="350"/>
      <c r="AD292" s="350"/>
      <c r="AE292" s="351"/>
      <c r="AF292" s="544"/>
      <c r="AG292" s="351"/>
      <c r="AH292" s="544"/>
      <c r="AI292" s="351"/>
      <c r="AJ292" s="545"/>
      <c r="AK292" s="351"/>
      <c r="AL292" s="555" t="s">
        <v>325</v>
      </c>
      <c r="AM292" s="351"/>
      <c r="AN292" s="531" t="s">
        <v>325</v>
      </c>
      <c r="AO292" s="351"/>
      <c r="AP292" s="550"/>
      <c r="AQ292" s="351"/>
      <c r="AR292" s="551"/>
      <c r="AS292" s="351"/>
      <c r="AT292" s="534"/>
      <c r="AU292" s="351"/>
      <c r="AV292" s="531" t="s">
        <v>325</v>
      </c>
      <c r="AW292" s="351"/>
      <c r="AX292" s="553"/>
      <c r="AY292" s="350"/>
      <c r="AZ292" s="351"/>
      <c r="BA292" s="554"/>
      <c r="BB292" s="351"/>
      <c r="BC292" s="36"/>
      <c r="BD292" s="556" t="s">
        <v>325</v>
      </c>
      <c r="BE292" s="351"/>
      <c r="BF292" s="547"/>
      <c r="BG292" s="350"/>
      <c r="BH292" s="350"/>
      <c r="BI292" s="351"/>
      <c r="BJ292" s="506" t="s">
        <v>294</v>
      </c>
      <c r="BK292" s="350"/>
      <c r="BL292" s="350"/>
      <c r="BM292" s="351"/>
      <c r="BN292" s="530" t="s">
        <v>294</v>
      </c>
      <c r="BO292" s="350"/>
      <c r="BP292" s="350"/>
      <c r="BQ292" s="350"/>
      <c r="BR292" s="350"/>
      <c r="BS292" s="350"/>
      <c r="BT292" s="350"/>
      <c r="BU292" s="350"/>
      <c r="BV292" s="351"/>
    </row>
    <row r="293" spans="1:74" ht="45" customHeight="1">
      <c r="A293" s="24">
        <f t="shared" si="1"/>
        <v>279</v>
      </c>
      <c r="B293" s="522" t="s">
        <v>294</v>
      </c>
      <c r="C293" s="351"/>
      <c r="D293" s="523" t="s">
        <v>298</v>
      </c>
      <c r="E293" s="351"/>
      <c r="F293" s="524" t="s">
        <v>325</v>
      </c>
      <c r="G293" s="351"/>
      <c r="H293" s="561" t="s">
        <v>325</v>
      </c>
      <c r="I293" s="351"/>
      <c r="J293" s="562"/>
      <c r="K293" s="351"/>
      <c r="L293" s="562"/>
      <c r="M293" s="351"/>
      <c r="N293" s="34"/>
      <c r="O293" s="35"/>
      <c r="P293" s="526"/>
      <c r="Q293" s="351"/>
      <c r="R293" s="535"/>
      <c r="S293" s="351"/>
      <c r="T293" s="536"/>
      <c r="U293" s="351"/>
      <c r="V293" s="537"/>
      <c r="W293" s="351"/>
      <c r="X293" s="542" t="s">
        <v>294</v>
      </c>
      <c r="Y293" s="350"/>
      <c r="Z293" s="350"/>
      <c r="AA293" s="351"/>
      <c r="AB293" s="543" t="s">
        <v>294</v>
      </c>
      <c r="AC293" s="350"/>
      <c r="AD293" s="350"/>
      <c r="AE293" s="351"/>
      <c r="AF293" s="540"/>
      <c r="AG293" s="351"/>
      <c r="AH293" s="540"/>
      <c r="AI293" s="351"/>
      <c r="AJ293" s="532"/>
      <c r="AK293" s="351"/>
      <c r="AL293" s="524" t="s">
        <v>325</v>
      </c>
      <c r="AM293" s="351"/>
      <c r="AN293" s="549" t="s">
        <v>325</v>
      </c>
      <c r="AO293" s="351"/>
      <c r="AP293" s="532"/>
      <c r="AQ293" s="351"/>
      <c r="AR293" s="533"/>
      <c r="AS293" s="351"/>
      <c r="AT293" s="534"/>
      <c r="AU293" s="351"/>
      <c r="AV293" s="549" t="s">
        <v>325</v>
      </c>
      <c r="AW293" s="351"/>
      <c r="AX293" s="553"/>
      <c r="AY293" s="350"/>
      <c r="AZ293" s="351"/>
      <c r="BA293" s="545"/>
      <c r="BB293" s="351"/>
      <c r="BC293" s="39"/>
      <c r="BD293" s="546" t="s">
        <v>325</v>
      </c>
      <c r="BE293" s="351"/>
      <c r="BF293" s="529"/>
      <c r="BG293" s="350"/>
      <c r="BH293" s="350"/>
      <c r="BI293" s="351"/>
      <c r="BJ293" s="548" t="s">
        <v>294</v>
      </c>
      <c r="BK293" s="350"/>
      <c r="BL293" s="350"/>
      <c r="BM293" s="351"/>
      <c r="BN293" s="530" t="s">
        <v>294</v>
      </c>
      <c r="BO293" s="350"/>
      <c r="BP293" s="350"/>
      <c r="BQ293" s="350"/>
      <c r="BR293" s="350"/>
      <c r="BS293" s="350"/>
      <c r="BT293" s="350"/>
      <c r="BU293" s="350"/>
      <c r="BV293" s="351"/>
    </row>
    <row r="294" spans="1:74" ht="45" customHeight="1">
      <c r="A294" s="24">
        <f t="shared" si="1"/>
        <v>280</v>
      </c>
      <c r="B294" s="558" t="s">
        <v>294</v>
      </c>
      <c r="C294" s="351"/>
      <c r="D294" s="559" t="s">
        <v>298</v>
      </c>
      <c r="E294" s="351"/>
      <c r="F294" s="524" t="s">
        <v>325</v>
      </c>
      <c r="G294" s="351"/>
      <c r="H294" s="525" t="s">
        <v>325</v>
      </c>
      <c r="I294" s="351"/>
      <c r="J294" s="40"/>
      <c r="K294" s="41"/>
      <c r="L294" s="40"/>
      <c r="M294" s="41"/>
      <c r="N294" s="37"/>
      <c r="O294" s="38"/>
      <c r="P294" s="560"/>
      <c r="Q294" s="351"/>
      <c r="R294" s="527"/>
      <c r="S294" s="351"/>
      <c r="T294" s="528"/>
      <c r="U294" s="351"/>
      <c r="V294" s="541"/>
      <c r="W294" s="351"/>
      <c r="X294" s="538" t="s">
        <v>294</v>
      </c>
      <c r="Y294" s="350"/>
      <c r="Z294" s="350"/>
      <c r="AA294" s="351"/>
      <c r="AB294" s="539" t="s">
        <v>294</v>
      </c>
      <c r="AC294" s="350"/>
      <c r="AD294" s="350"/>
      <c r="AE294" s="351"/>
      <c r="AF294" s="544"/>
      <c r="AG294" s="351"/>
      <c r="AH294" s="544"/>
      <c r="AI294" s="351"/>
      <c r="AJ294" s="545"/>
      <c r="AK294" s="351"/>
      <c r="AL294" s="555" t="s">
        <v>325</v>
      </c>
      <c r="AM294" s="351"/>
      <c r="AN294" s="531" t="s">
        <v>325</v>
      </c>
      <c r="AO294" s="351"/>
      <c r="AP294" s="550"/>
      <c r="AQ294" s="351"/>
      <c r="AR294" s="551"/>
      <c r="AS294" s="351"/>
      <c r="AT294" s="534"/>
      <c r="AU294" s="351"/>
      <c r="AV294" s="531" t="s">
        <v>325</v>
      </c>
      <c r="AW294" s="351"/>
      <c r="AX294" s="553"/>
      <c r="AY294" s="350"/>
      <c r="AZ294" s="351"/>
      <c r="BA294" s="554"/>
      <c r="BB294" s="351"/>
      <c r="BC294" s="36"/>
      <c r="BD294" s="556" t="s">
        <v>325</v>
      </c>
      <c r="BE294" s="351"/>
      <c r="BF294" s="547"/>
      <c r="BG294" s="350"/>
      <c r="BH294" s="350"/>
      <c r="BI294" s="351"/>
      <c r="BJ294" s="506" t="s">
        <v>294</v>
      </c>
      <c r="BK294" s="350"/>
      <c r="BL294" s="350"/>
      <c r="BM294" s="351"/>
      <c r="BN294" s="530" t="s">
        <v>294</v>
      </c>
      <c r="BO294" s="350"/>
      <c r="BP294" s="350"/>
      <c r="BQ294" s="350"/>
      <c r="BR294" s="350"/>
      <c r="BS294" s="350"/>
      <c r="BT294" s="350"/>
      <c r="BU294" s="350"/>
      <c r="BV294" s="351"/>
    </row>
    <row r="295" spans="1:74" ht="45" customHeight="1">
      <c r="A295" s="24">
        <f t="shared" si="1"/>
        <v>281</v>
      </c>
      <c r="B295" s="522" t="s">
        <v>294</v>
      </c>
      <c r="C295" s="351"/>
      <c r="D295" s="523" t="s">
        <v>298</v>
      </c>
      <c r="E295" s="351"/>
      <c r="F295" s="524" t="s">
        <v>325</v>
      </c>
      <c r="G295" s="351"/>
      <c r="H295" s="561" t="s">
        <v>325</v>
      </c>
      <c r="I295" s="351"/>
      <c r="J295" s="562"/>
      <c r="K295" s="351"/>
      <c r="L295" s="562"/>
      <c r="M295" s="351"/>
      <c r="N295" s="34"/>
      <c r="O295" s="35"/>
      <c r="P295" s="526"/>
      <c r="Q295" s="351"/>
      <c r="R295" s="535"/>
      <c r="S295" s="351"/>
      <c r="T295" s="536"/>
      <c r="U295" s="351"/>
      <c r="V295" s="537"/>
      <c r="W295" s="351"/>
      <c r="X295" s="542" t="s">
        <v>294</v>
      </c>
      <c r="Y295" s="350"/>
      <c r="Z295" s="350"/>
      <c r="AA295" s="351"/>
      <c r="AB295" s="543" t="s">
        <v>294</v>
      </c>
      <c r="AC295" s="350"/>
      <c r="AD295" s="350"/>
      <c r="AE295" s="351"/>
      <c r="AF295" s="540"/>
      <c r="AG295" s="351"/>
      <c r="AH295" s="540"/>
      <c r="AI295" s="351"/>
      <c r="AJ295" s="532"/>
      <c r="AK295" s="351"/>
      <c r="AL295" s="524" t="s">
        <v>325</v>
      </c>
      <c r="AM295" s="351"/>
      <c r="AN295" s="549" t="s">
        <v>325</v>
      </c>
      <c r="AO295" s="351"/>
      <c r="AP295" s="532"/>
      <c r="AQ295" s="351"/>
      <c r="AR295" s="533"/>
      <c r="AS295" s="351"/>
      <c r="AT295" s="534"/>
      <c r="AU295" s="351"/>
      <c r="AV295" s="549" t="s">
        <v>325</v>
      </c>
      <c r="AW295" s="351"/>
      <c r="AX295" s="553"/>
      <c r="AY295" s="350"/>
      <c r="AZ295" s="351"/>
      <c r="BA295" s="545"/>
      <c r="BB295" s="351"/>
      <c r="BC295" s="39"/>
      <c r="BD295" s="546" t="s">
        <v>325</v>
      </c>
      <c r="BE295" s="351"/>
      <c r="BF295" s="529"/>
      <c r="BG295" s="350"/>
      <c r="BH295" s="350"/>
      <c r="BI295" s="351"/>
      <c r="BJ295" s="548" t="s">
        <v>294</v>
      </c>
      <c r="BK295" s="350"/>
      <c r="BL295" s="350"/>
      <c r="BM295" s="351"/>
      <c r="BN295" s="530" t="s">
        <v>294</v>
      </c>
      <c r="BO295" s="350"/>
      <c r="BP295" s="350"/>
      <c r="BQ295" s="350"/>
      <c r="BR295" s="350"/>
      <c r="BS295" s="350"/>
      <c r="BT295" s="350"/>
      <c r="BU295" s="350"/>
      <c r="BV295" s="351"/>
    </row>
    <row r="296" spans="1:74" ht="45" customHeight="1">
      <c r="A296" s="24">
        <f t="shared" si="1"/>
        <v>282</v>
      </c>
      <c r="B296" s="558" t="s">
        <v>294</v>
      </c>
      <c r="C296" s="351"/>
      <c r="D296" s="559" t="s">
        <v>298</v>
      </c>
      <c r="E296" s="351"/>
      <c r="F296" s="524" t="s">
        <v>325</v>
      </c>
      <c r="G296" s="351"/>
      <c r="H296" s="525" t="s">
        <v>325</v>
      </c>
      <c r="I296" s="351"/>
      <c r="J296" s="40"/>
      <c r="K296" s="41"/>
      <c r="L296" s="40"/>
      <c r="M296" s="41"/>
      <c r="N296" s="37"/>
      <c r="O296" s="38"/>
      <c r="P296" s="560"/>
      <c r="Q296" s="351"/>
      <c r="R296" s="527"/>
      <c r="S296" s="351"/>
      <c r="T296" s="528"/>
      <c r="U296" s="351"/>
      <c r="V296" s="541"/>
      <c r="W296" s="351"/>
      <c r="X296" s="538" t="s">
        <v>294</v>
      </c>
      <c r="Y296" s="350"/>
      <c r="Z296" s="350"/>
      <c r="AA296" s="351"/>
      <c r="AB296" s="539" t="s">
        <v>294</v>
      </c>
      <c r="AC296" s="350"/>
      <c r="AD296" s="350"/>
      <c r="AE296" s="351"/>
      <c r="AF296" s="544"/>
      <c r="AG296" s="351"/>
      <c r="AH296" s="544"/>
      <c r="AI296" s="351"/>
      <c r="AJ296" s="545"/>
      <c r="AK296" s="351"/>
      <c r="AL296" s="555" t="s">
        <v>325</v>
      </c>
      <c r="AM296" s="351"/>
      <c r="AN296" s="531" t="s">
        <v>325</v>
      </c>
      <c r="AO296" s="351"/>
      <c r="AP296" s="550"/>
      <c r="AQ296" s="351"/>
      <c r="AR296" s="551"/>
      <c r="AS296" s="351"/>
      <c r="AT296" s="534"/>
      <c r="AU296" s="351"/>
      <c r="AV296" s="531" t="s">
        <v>325</v>
      </c>
      <c r="AW296" s="351"/>
      <c r="AX296" s="553"/>
      <c r="AY296" s="350"/>
      <c r="AZ296" s="351"/>
      <c r="BA296" s="554"/>
      <c r="BB296" s="351"/>
      <c r="BC296" s="36"/>
      <c r="BD296" s="556" t="s">
        <v>325</v>
      </c>
      <c r="BE296" s="351"/>
      <c r="BF296" s="547"/>
      <c r="BG296" s="350"/>
      <c r="BH296" s="350"/>
      <c r="BI296" s="351"/>
      <c r="BJ296" s="506" t="s">
        <v>294</v>
      </c>
      <c r="BK296" s="350"/>
      <c r="BL296" s="350"/>
      <c r="BM296" s="351"/>
      <c r="BN296" s="530" t="s">
        <v>294</v>
      </c>
      <c r="BO296" s="350"/>
      <c r="BP296" s="350"/>
      <c r="BQ296" s="350"/>
      <c r="BR296" s="350"/>
      <c r="BS296" s="350"/>
      <c r="BT296" s="350"/>
      <c r="BU296" s="350"/>
      <c r="BV296" s="351"/>
    </row>
    <row r="297" spans="1:74" ht="45" customHeight="1">
      <c r="A297" s="24">
        <f t="shared" si="1"/>
        <v>283</v>
      </c>
      <c r="B297" s="522" t="s">
        <v>294</v>
      </c>
      <c r="C297" s="351"/>
      <c r="D297" s="523" t="s">
        <v>298</v>
      </c>
      <c r="E297" s="351"/>
      <c r="F297" s="524" t="s">
        <v>325</v>
      </c>
      <c r="G297" s="351"/>
      <c r="H297" s="561" t="s">
        <v>325</v>
      </c>
      <c r="I297" s="351"/>
      <c r="J297" s="562"/>
      <c r="K297" s="351"/>
      <c r="L297" s="562"/>
      <c r="M297" s="351"/>
      <c r="N297" s="34"/>
      <c r="O297" s="35"/>
      <c r="P297" s="526"/>
      <c r="Q297" s="351"/>
      <c r="R297" s="535"/>
      <c r="S297" s="351"/>
      <c r="T297" s="536"/>
      <c r="U297" s="351"/>
      <c r="V297" s="537"/>
      <c r="W297" s="351"/>
      <c r="X297" s="542" t="s">
        <v>294</v>
      </c>
      <c r="Y297" s="350"/>
      <c r="Z297" s="350"/>
      <c r="AA297" s="351"/>
      <c r="AB297" s="543" t="s">
        <v>294</v>
      </c>
      <c r="AC297" s="350"/>
      <c r="AD297" s="350"/>
      <c r="AE297" s="351"/>
      <c r="AF297" s="540"/>
      <c r="AG297" s="351"/>
      <c r="AH297" s="540"/>
      <c r="AI297" s="351"/>
      <c r="AJ297" s="532"/>
      <c r="AK297" s="351"/>
      <c r="AL297" s="524" t="s">
        <v>325</v>
      </c>
      <c r="AM297" s="351"/>
      <c r="AN297" s="549" t="s">
        <v>325</v>
      </c>
      <c r="AO297" s="351"/>
      <c r="AP297" s="532"/>
      <c r="AQ297" s="351"/>
      <c r="AR297" s="533"/>
      <c r="AS297" s="351"/>
      <c r="AT297" s="534"/>
      <c r="AU297" s="351"/>
      <c r="AV297" s="549" t="s">
        <v>325</v>
      </c>
      <c r="AW297" s="351"/>
      <c r="AX297" s="553"/>
      <c r="AY297" s="350"/>
      <c r="AZ297" s="351"/>
      <c r="BA297" s="545"/>
      <c r="BB297" s="351"/>
      <c r="BC297" s="39"/>
      <c r="BD297" s="546" t="s">
        <v>325</v>
      </c>
      <c r="BE297" s="351"/>
      <c r="BF297" s="557"/>
      <c r="BG297" s="350"/>
      <c r="BH297" s="350"/>
      <c r="BI297" s="351"/>
      <c r="BJ297" s="548" t="s">
        <v>294</v>
      </c>
      <c r="BK297" s="350"/>
      <c r="BL297" s="350"/>
      <c r="BM297" s="351"/>
      <c r="BN297" s="530" t="s">
        <v>294</v>
      </c>
      <c r="BO297" s="350"/>
      <c r="BP297" s="350"/>
      <c r="BQ297" s="350"/>
      <c r="BR297" s="350"/>
      <c r="BS297" s="350"/>
      <c r="BT297" s="350"/>
      <c r="BU297" s="350"/>
      <c r="BV297" s="351"/>
    </row>
    <row r="298" spans="1:74" ht="45" customHeight="1">
      <c r="A298" s="24">
        <f t="shared" si="1"/>
        <v>284</v>
      </c>
      <c r="B298" s="558" t="s">
        <v>294</v>
      </c>
      <c r="C298" s="351"/>
      <c r="D298" s="559" t="s">
        <v>298</v>
      </c>
      <c r="E298" s="351"/>
      <c r="F298" s="524" t="s">
        <v>325</v>
      </c>
      <c r="G298" s="351"/>
      <c r="H298" s="525" t="s">
        <v>325</v>
      </c>
      <c r="I298" s="351"/>
      <c r="J298" s="40"/>
      <c r="K298" s="41"/>
      <c r="L298" s="40"/>
      <c r="M298" s="41"/>
      <c r="N298" s="37"/>
      <c r="O298" s="38"/>
      <c r="P298" s="560"/>
      <c r="Q298" s="351"/>
      <c r="R298" s="527"/>
      <c r="S298" s="351"/>
      <c r="T298" s="528"/>
      <c r="U298" s="351"/>
      <c r="V298" s="541"/>
      <c r="W298" s="351"/>
      <c r="X298" s="538" t="s">
        <v>294</v>
      </c>
      <c r="Y298" s="350"/>
      <c r="Z298" s="350"/>
      <c r="AA298" s="351"/>
      <c r="AB298" s="539" t="s">
        <v>294</v>
      </c>
      <c r="AC298" s="350"/>
      <c r="AD298" s="350"/>
      <c r="AE298" s="351"/>
      <c r="AF298" s="544"/>
      <c r="AG298" s="351"/>
      <c r="AH298" s="544"/>
      <c r="AI298" s="351"/>
      <c r="AJ298" s="545"/>
      <c r="AK298" s="351"/>
      <c r="AL298" s="555" t="s">
        <v>325</v>
      </c>
      <c r="AM298" s="351"/>
      <c r="AN298" s="531" t="s">
        <v>325</v>
      </c>
      <c r="AO298" s="351"/>
      <c r="AP298" s="550"/>
      <c r="AQ298" s="351"/>
      <c r="AR298" s="551"/>
      <c r="AS298" s="351"/>
      <c r="AT298" s="534"/>
      <c r="AU298" s="351"/>
      <c r="AV298" s="531" t="s">
        <v>325</v>
      </c>
      <c r="AW298" s="351"/>
      <c r="AX298" s="553"/>
      <c r="AY298" s="350"/>
      <c r="AZ298" s="351"/>
      <c r="BA298" s="554"/>
      <c r="BB298" s="351"/>
      <c r="BC298" s="36"/>
      <c r="BD298" s="556" t="s">
        <v>325</v>
      </c>
      <c r="BE298" s="351"/>
      <c r="BF298" s="547"/>
      <c r="BG298" s="350"/>
      <c r="BH298" s="350"/>
      <c r="BI298" s="351"/>
      <c r="BJ298" s="506" t="s">
        <v>294</v>
      </c>
      <c r="BK298" s="350"/>
      <c r="BL298" s="350"/>
      <c r="BM298" s="351"/>
      <c r="BN298" s="530" t="s">
        <v>294</v>
      </c>
      <c r="BO298" s="350"/>
      <c r="BP298" s="350"/>
      <c r="BQ298" s="350"/>
      <c r="BR298" s="350"/>
      <c r="BS298" s="350"/>
      <c r="BT298" s="350"/>
      <c r="BU298" s="350"/>
      <c r="BV298" s="351"/>
    </row>
    <row r="299" spans="1:74" ht="45" customHeight="1">
      <c r="A299" s="24">
        <f t="shared" si="1"/>
        <v>285</v>
      </c>
      <c r="B299" s="522" t="s">
        <v>294</v>
      </c>
      <c r="C299" s="351"/>
      <c r="D299" s="523" t="s">
        <v>298</v>
      </c>
      <c r="E299" s="351"/>
      <c r="F299" s="524" t="s">
        <v>325</v>
      </c>
      <c r="G299" s="351"/>
      <c r="H299" s="561" t="s">
        <v>325</v>
      </c>
      <c r="I299" s="351"/>
      <c r="J299" s="562"/>
      <c r="K299" s="351"/>
      <c r="L299" s="562"/>
      <c r="M299" s="351"/>
      <c r="N299" s="34"/>
      <c r="O299" s="35"/>
      <c r="P299" s="526"/>
      <c r="Q299" s="351"/>
      <c r="R299" s="535"/>
      <c r="S299" s="351"/>
      <c r="T299" s="536"/>
      <c r="U299" s="351"/>
      <c r="V299" s="537"/>
      <c r="W299" s="351"/>
      <c r="X299" s="542" t="s">
        <v>294</v>
      </c>
      <c r="Y299" s="350"/>
      <c r="Z299" s="350"/>
      <c r="AA299" s="351"/>
      <c r="AB299" s="543" t="s">
        <v>294</v>
      </c>
      <c r="AC299" s="350"/>
      <c r="AD299" s="350"/>
      <c r="AE299" s="351"/>
      <c r="AF299" s="540"/>
      <c r="AG299" s="351"/>
      <c r="AH299" s="540"/>
      <c r="AI299" s="351"/>
      <c r="AJ299" s="532"/>
      <c r="AK299" s="351"/>
      <c r="AL299" s="524" t="s">
        <v>325</v>
      </c>
      <c r="AM299" s="351"/>
      <c r="AN299" s="549" t="s">
        <v>325</v>
      </c>
      <c r="AO299" s="351"/>
      <c r="AP299" s="532"/>
      <c r="AQ299" s="351"/>
      <c r="AR299" s="533"/>
      <c r="AS299" s="351"/>
      <c r="AT299" s="534"/>
      <c r="AU299" s="351"/>
      <c r="AV299" s="549" t="s">
        <v>325</v>
      </c>
      <c r="AW299" s="351"/>
      <c r="AX299" s="553"/>
      <c r="AY299" s="350"/>
      <c r="AZ299" s="351"/>
      <c r="BA299" s="545"/>
      <c r="BB299" s="351"/>
      <c r="BC299" s="39"/>
      <c r="BD299" s="546" t="s">
        <v>325</v>
      </c>
      <c r="BE299" s="351"/>
      <c r="BF299" s="529"/>
      <c r="BG299" s="350"/>
      <c r="BH299" s="350"/>
      <c r="BI299" s="351"/>
      <c r="BJ299" s="548" t="s">
        <v>294</v>
      </c>
      <c r="BK299" s="350"/>
      <c r="BL299" s="350"/>
      <c r="BM299" s="351"/>
      <c r="BN299" s="530" t="s">
        <v>294</v>
      </c>
      <c r="BO299" s="350"/>
      <c r="BP299" s="350"/>
      <c r="BQ299" s="350"/>
      <c r="BR299" s="350"/>
      <c r="BS299" s="350"/>
      <c r="BT299" s="350"/>
      <c r="BU299" s="350"/>
      <c r="BV299" s="351"/>
    </row>
    <row r="300" spans="1:74" ht="45" customHeight="1">
      <c r="A300" s="24">
        <f t="shared" si="1"/>
        <v>286</v>
      </c>
      <c r="B300" s="558" t="s">
        <v>294</v>
      </c>
      <c r="C300" s="351"/>
      <c r="D300" s="559" t="s">
        <v>298</v>
      </c>
      <c r="E300" s="351"/>
      <c r="F300" s="524" t="s">
        <v>325</v>
      </c>
      <c r="G300" s="351"/>
      <c r="H300" s="525" t="s">
        <v>325</v>
      </c>
      <c r="I300" s="351"/>
      <c r="J300" s="40"/>
      <c r="K300" s="41"/>
      <c r="L300" s="40"/>
      <c r="M300" s="41"/>
      <c r="N300" s="37"/>
      <c r="O300" s="38"/>
      <c r="P300" s="560"/>
      <c r="Q300" s="351"/>
      <c r="R300" s="527"/>
      <c r="S300" s="351"/>
      <c r="T300" s="528"/>
      <c r="U300" s="351"/>
      <c r="V300" s="541"/>
      <c r="W300" s="351"/>
      <c r="X300" s="538" t="s">
        <v>294</v>
      </c>
      <c r="Y300" s="350"/>
      <c r="Z300" s="350"/>
      <c r="AA300" s="351"/>
      <c r="AB300" s="539" t="s">
        <v>294</v>
      </c>
      <c r="AC300" s="350"/>
      <c r="AD300" s="350"/>
      <c r="AE300" s="351"/>
      <c r="AF300" s="544"/>
      <c r="AG300" s="351"/>
      <c r="AH300" s="544"/>
      <c r="AI300" s="351"/>
      <c r="AJ300" s="545"/>
      <c r="AK300" s="351"/>
      <c r="AL300" s="555" t="s">
        <v>325</v>
      </c>
      <c r="AM300" s="351"/>
      <c r="AN300" s="531" t="s">
        <v>325</v>
      </c>
      <c r="AO300" s="351"/>
      <c r="AP300" s="550"/>
      <c r="AQ300" s="351"/>
      <c r="AR300" s="551"/>
      <c r="AS300" s="351"/>
      <c r="AT300" s="534"/>
      <c r="AU300" s="351"/>
      <c r="AV300" s="531" t="s">
        <v>325</v>
      </c>
      <c r="AW300" s="351"/>
      <c r="AX300" s="553"/>
      <c r="AY300" s="350"/>
      <c r="AZ300" s="351"/>
      <c r="BA300" s="554"/>
      <c r="BB300" s="351"/>
      <c r="BC300" s="36"/>
      <c r="BD300" s="556" t="s">
        <v>325</v>
      </c>
      <c r="BE300" s="351"/>
      <c r="BF300" s="547"/>
      <c r="BG300" s="350"/>
      <c r="BH300" s="350"/>
      <c r="BI300" s="351"/>
      <c r="BJ300" s="506" t="s">
        <v>294</v>
      </c>
      <c r="BK300" s="350"/>
      <c r="BL300" s="350"/>
      <c r="BM300" s="351"/>
      <c r="BN300" s="530" t="s">
        <v>294</v>
      </c>
      <c r="BO300" s="350"/>
      <c r="BP300" s="350"/>
      <c r="BQ300" s="350"/>
      <c r="BR300" s="350"/>
      <c r="BS300" s="350"/>
      <c r="BT300" s="350"/>
      <c r="BU300" s="350"/>
      <c r="BV300" s="351"/>
    </row>
    <row r="301" spans="1:74" ht="45" customHeight="1">
      <c r="A301" s="24">
        <f t="shared" si="1"/>
        <v>287</v>
      </c>
      <c r="B301" s="522" t="s">
        <v>294</v>
      </c>
      <c r="C301" s="351"/>
      <c r="D301" s="523" t="s">
        <v>298</v>
      </c>
      <c r="E301" s="351"/>
      <c r="F301" s="524" t="s">
        <v>325</v>
      </c>
      <c r="G301" s="351"/>
      <c r="H301" s="561" t="s">
        <v>325</v>
      </c>
      <c r="I301" s="351"/>
      <c r="J301" s="562"/>
      <c r="K301" s="351"/>
      <c r="L301" s="562"/>
      <c r="M301" s="351"/>
      <c r="N301" s="34"/>
      <c r="O301" s="35"/>
      <c r="P301" s="526"/>
      <c r="Q301" s="351"/>
      <c r="R301" s="535"/>
      <c r="S301" s="351"/>
      <c r="T301" s="536"/>
      <c r="U301" s="351"/>
      <c r="V301" s="537"/>
      <c r="W301" s="351"/>
      <c r="X301" s="542" t="s">
        <v>294</v>
      </c>
      <c r="Y301" s="350"/>
      <c r="Z301" s="350"/>
      <c r="AA301" s="351"/>
      <c r="AB301" s="543" t="s">
        <v>294</v>
      </c>
      <c r="AC301" s="350"/>
      <c r="AD301" s="350"/>
      <c r="AE301" s="351"/>
      <c r="AF301" s="540"/>
      <c r="AG301" s="351"/>
      <c r="AH301" s="540"/>
      <c r="AI301" s="351"/>
      <c r="AJ301" s="532"/>
      <c r="AK301" s="351"/>
      <c r="AL301" s="524" t="s">
        <v>325</v>
      </c>
      <c r="AM301" s="351"/>
      <c r="AN301" s="549" t="s">
        <v>325</v>
      </c>
      <c r="AO301" s="351"/>
      <c r="AP301" s="532"/>
      <c r="AQ301" s="351"/>
      <c r="AR301" s="533"/>
      <c r="AS301" s="351"/>
      <c r="AT301" s="534"/>
      <c r="AU301" s="351"/>
      <c r="AV301" s="549" t="s">
        <v>325</v>
      </c>
      <c r="AW301" s="351"/>
      <c r="AX301" s="553"/>
      <c r="AY301" s="350"/>
      <c r="AZ301" s="351"/>
      <c r="BA301" s="545"/>
      <c r="BB301" s="351"/>
      <c r="BC301" s="39"/>
      <c r="BD301" s="546" t="s">
        <v>325</v>
      </c>
      <c r="BE301" s="351"/>
      <c r="BF301" s="557"/>
      <c r="BG301" s="350"/>
      <c r="BH301" s="350"/>
      <c r="BI301" s="351"/>
      <c r="BJ301" s="548" t="s">
        <v>294</v>
      </c>
      <c r="BK301" s="350"/>
      <c r="BL301" s="350"/>
      <c r="BM301" s="351"/>
      <c r="BN301" s="530" t="s">
        <v>294</v>
      </c>
      <c r="BO301" s="350"/>
      <c r="BP301" s="350"/>
      <c r="BQ301" s="350"/>
      <c r="BR301" s="350"/>
      <c r="BS301" s="350"/>
      <c r="BT301" s="350"/>
      <c r="BU301" s="350"/>
      <c r="BV301" s="351"/>
    </row>
    <row r="302" spans="1:74" ht="45" customHeight="1">
      <c r="A302" s="24">
        <f t="shared" si="1"/>
        <v>288</v>
      </c>
      <c r="B302" s="558" t="s">
        <v>294</v>
      </c>
      <c r="C302" s="351"/>
      <c r="D302" s="559" t="s">
        <v>298</v>
      </c>
      <c r="E302" s="351"/>
      <c r="F302" s="524" t="s">
        <v>325</v>
      </c>
      <c r="G302" s="351"/>
      <c r="H302" s="525" t="s">
        <v>325</v>
      </c>
      <c r="I302" s="351"/>
      <c r="J302" s="40"/>
      <c r="K302" s="41"/>
      <c r="L302" s="40"/>
      <c r="M302" s="41"/>
      <c r="N302" s="37"/>
      <c r="O302" s="38"/>
      <c r="P302" s="560"/>
      <c r="Q302" s="351"/>
      <c r="R302" s="527"/>
      <c r="S302" s="351"/>
      <c r="T302" s="528"/>
      <c r="U302" s="351"/>
      <c r="V302" s="541"/>
      <c r="W302" s="351"/>
      <c r="X302" s="538" t="s">
        <v>294</v>
      </c>
      <c r="Y302" s="350"/>
      <c r="Z302" s="350"/>
      <c r="AA302" s="351"/>
      <c r="AB302" s="539" t="s">
        <v>294</v>
      </c>
      <c r="AC302" s="350"/>
      <c r="AD302" s="350"/>
      <c r="AE302" s="351"/>
      <c r="AF302" s="544"/>
      <c r="AG302" s="351"/>
      <c r="AH302" s="544"/>
      <c r="AI302" s="351"/>
      <c r="AJ302" s="545"/>
      <c r="AK302" s="351"/>
      <c r="AL302" s="555" t="s">
        <v>325</v>
      </c>
      <c r="AM302" s="351"/>
      <c r="AN302" s="531" t="s">
        <v>325</v>
      </c>
      <c r="AO302" s="351"/>
      <c r="AP302" s="550"/>
      <c r="AQ302" s="351"/>
      <c r="AR302" s="551"/>
      <c r="AS302" s="351"/>
      <c r="AT302" s="534"/>
      <c r="AU302" s="351"/>
      <c r="AV302" s="531" t="s">
        <v>325</v>
      </c>
      <c r="AW302" s="351"/>
      <c r="AX302" s="553"/>
      <c r="AY302" s="350"/>
      <c r="AZ302" s="351"/>
      <c r="BA302" s="554"/>
      <c r="BB302" s="351"/>
      <c r="BC302" s="36"/>
      <c r="BD302" s="556" t="s">
        <v>325</v>
      </c>
      <c r="BE302" s="351"/>
      <c r="BF302" s="547"/>
      <c r="BG302" s="350"/>
      <c r="BH302" s="350"/>
      <c r="BI302" s="351"/>
      <c r="BJ302" s="506" t="s">
        <v>294</v>
      </c>
      <c r="BK302" s="350"/>
      <c r="BL302" s="350"/>
      <c r="BM302" s="351"/>
      <c r="BN302" s="530" t="s">
        <v>294</v>
      </c>
      <c r="BO302" s="350"/>
      <c r="BP302" s="350"/>
      <c r="BQ302" s="350"/>
      <c r="BR302" s="350"/>
      <c r="BS302" s="350"/>
      <c r="BT302" s="350"/>
      <c r="BU302" s="350"/>
      <c r="BV302" s="351"/>
    </row>
    <row r="303" spans="1:74" ht="45" customHeight="1">
      <c r="A303" s="24">
        <f t="shared" si="1"/>
        <v>289</v>
      </c>
      <c r="B303" s="522" t="s">
        <v>294</v>
      </c>
      <c r="C303" s="351"/>
      <c r="D303" s="523" t="s">
        <v>298</v>
      </c>
      <c r="E303" s="351"/>
      <c r="F303" s="524" t="s">
        <v>325</v>
      </c>
      <c r="G303" s="351"/>
      <c r="H303" s="561" t="s">
        <v>325</v>
      </c>
      <c r="I303" s="351"/>
      <c r="J303" s="562"/>
      <c r="K303" s="351"/>
      <c r="L303" s="562"/>
      <c r="M303" s="351"/>
      <c r="N303" s="34"/>
      <c r="O303" s="35"/>
      <c r="P303" s="526"/>
      <c r="Q303" s="351"/>
      <c r="R303" s="535"/>
      <c r="S303" s="351"/>
      <c r="T303" s="536"/>
      <c r="U303" s="351"/>
      <c r="V303" s="537"/>
      <c r="W303" s="351"/>
      <c r="X303" s="542" t="s">
        <v>294</v>
      </c>
      <c r="Y303" s="350"/>
      <c r="Z303" s="350"/>
      <c r="AA303" s="351"/>
      <c r="AB303" s="543" t="s">
        <v>294</v>
      </c>
      <c r="AC303" s="350"/>
      <c r="AD303" s="350"/>
      <c r="AE303" s="351"/>
      <c r="AF303" s="540"/>
      <c r="AG303" s="351"/>
      <c r="AH303" s="540"/>
      <c r="AI303" s="351"/>
      <c r="AJ303" s="532"/>
      <c r="AK303" s="351"/>
      <c r="AL303" s="524" t="s">
        <v>325</v>
      </c>
      <c r="AM303" s="351"/>
      <c r="AN303" s="549" t="s">
        <v>325</v>
      </c>
      <c r="AO303" s="351"/>
      <c r="AP303" s="532"/>
      <c r="AQ303" s="351"/>
      <c r="AR303" s="533"/>
      <c r="AS303" s="351"/>
      <c r="AT303" s="534"/>
      <c r="AU303" s="351"/>
      <c r="AV303" s="549" t="s">
        <v>325</v>
      </c>
      <c r="AW303" s="351"/>
      <c r="AX303" s="553"/>
      <c r="AY303" s="350"/>
      <c r="AZ303" s="351"/>
      <c r="BA303" s="545"/>
      <c r="BB303" s="351"/>
      <c r="BC303" s="39"/>
      <c r="BD303" s="546" t="s">
        <v>325</v>
      </c>
      <c r="BE303" s="351"/>
      <c r="BF303" s="529"/>
      <c r="BG303" s="350"/>
      <c r="BH303" s="350"/>
      <c r="BI303" s="351"/>
      <c r="BJ303" s="548" t="s">
        <v>294</v>
      </c>
      <c r="BK303" s="350"/>
      <c r="BL303" s="350"/>
      <c r="BM303" s="351"/>
      <c r="BN303" s="530" t="s">
        <v>294</v>
      </c>
      <c r="BO303" s="350"/>
      <c r="BP303" s="350"/>
      <c r="BQ303" s="350"/>
      <c r="BR303" s="350"/>
      <c r="BS303" s="350"/>
      <c r="BT303" s="350"/>
      <c r="BU303" s="350"/>
      <c r="BV303" s="351"/>
    </row>
    <row r="304" spans="1:74" ht="45" customHeight="1">
      <c r="A304" s="24">
        <f t="shared" si="1"/>
        <v>290</v>
      </c>
      <c r="B304" s="558" t="s">
        <v>294</v>
      </c>
      <c r="C304" s="351"/>
      <c r="D304" s="559" t="s">
        <v>298</v>
      </c>
      <c r="E304" s="351"/>
      <c r="F304" s="524" t="s">
        <v>325</v>
      </c>
      <c r="G304" s="351"/>
      <c r="H304" s="525" t="s">
        <v>325</v>
      </c>
      <c r="I304" s="351"/>
      <c r="J304" s="40"/>
      <c r="K304" s="41"/>
      <c r="L304" s="40"/>
      <c r="M304" s="41"/>
      <c r="N304" s="37"/>
      <c r="O304" s="38"/>
      <c r="P304" s="560"/>
      <c r="Q304" s="351"/>
      <c r="R304" s="527"/>
      <c r="S304" s="351"/>
      <c r="T304" s="528"/>
      <c r="U304" s="351"/>
      <c r="V304" s="541"/>
      <c r="W304" s="351"/>
      <c r="X304" s="538" t="s">
        <v>294</v>
      </c>
      <c r="Y304" s="350"/>
      <c r="Z304" s="350"/>
      <c r="AA304" s="351"/>
      <c r="AB304" s="539" t="s">
        <v>294</v>
      </c>
      <c r="AC304" s="350"/>
      <c r="AD304" s="350"/>
      <c r="AE304" s="351"/>
      <c r="AF304" s="544"/>
      <c r="AG304" s="351"/>
      <c r="AH304" s="544"/>
      <c r="AI304" s="351"/>
      <c r="AJ304" s="545"/>
      <c r="AK304" s="351"/>
      <c r="AL304" s="555" t="s">
        <v>325</v>
      </c>
      <c r="AM304" s="351"/>
      <c r="AN304" s="531" t="s">
        <v>325</v>
      </c>
      <c r="AO304" s="351"/>
      <c r="AP304" s="550"/>
      <c r="AQ304" s="351"/>
      <c r="AR304" s="551"/>
      <c r="AS304" s="351"/>
      <c r="AT304" s="534"/>
      <c r="AU304" s="351"/>
      <c r="AV304" s="531" t="s">
        <v>325</v>
      </c>
      <c r="AW304" s="351"/>
      <c r="AX304" s="553"/>
      <c r="AY304" s="350"/>
      <c r="AZ304" s="351"/>
      <c r="BA304" s="554"/>
      <c r="BB304" s="351"/>
      <c r="BC304" s="36"/>
      <c r="BD304" s="556" t="s">
        <v>325</v>
      </c>
      <c r="BE304" s="351"/>
      <c r="BF304" s="547"/>
      <c r="BG304" s="350"/>
      <c r="BH304" s="350"/>
      <c r="BI304" s="351"/>
      <c r="BJ304" s="506" t="s">
        <v>294</v>
      </c>
      <c r="BK304" s="350"/>
      <c r="BL304" s="350"/>
      <c r="BM304" s="351"/>
      <c r="BN304" s="530" t="s">
        <v>294</v>
      </c>
      <c r="BO304" s="350"/>
      <c r="BP304" s="350"/>
      <c r="BQ304" s="350"/>
      <c r="BR304" s="350"/>
      <c r="BS304" s="350"/>
      <c r="BT304" s="350"/>
      <c r="BU304" s="350"/>
      <c r="BV304" s="351"/>
    </row>
    <row r="305" spans="1:74" ht="45" customHeight="1">
      <c r="A305" s="24">
        <f t="shared" si="1"/>
        <v>291</v>
      </c>
      <c r="B305" s="522" t="s">
        <v>294</v>
      </c>
      <c r="C305" s="351"/>
      <c r="D305" s="523" t="s">
        <v>298</v>
      </c>
      <c r="E305" s="351"/>
      <c r="F305" s="524" t="s">
        <v>325</v>
      </c>
      <c r="G305" s="351"/>
      <c r="H305" s="561" t="s">
        <v>325</v>
      </c>
      <c r="I305" s="351"/>
      <c r="J305" s="562"/>
      <c r="K305" s="351"/>
      <c r="L305" s="562"/>
      <c r="M305" s="351"/>
      <c r="N305" s="34"/>
      <c r="O305" s="35"/>
      <c r="P305" s="526"/>
      <c r="Q305" s="351"/>
      <c r="R305" s="535"/>
      <c r="S305" s="351"/>
      <c r="T305" s="536"/>
      <c r="U305" s="351"/>
      <c r="V305" s="537"/>
      <c r="W305" s="351"/>
      <c r="X305" s="542" t="s">
        <v>294</v>
      </c>
      <c r="Y305" s="350"/>
      <c r="Z305" s="350"/>
      <c r="AA305" s="351"/>
      <c r="AB305" s="543" t="s">
        <v>294</v>
      </c>
      <c r="AC305" s="350"/>
      <c r="AD305" s="350"/>
      <c r="AE305" s="351"/>
      <c r="AF305" s="540"/>
      <c r="AG305" s="351"/>
      <c r="AH305" s="540"/>
      <c r="AI305" s="351"/>
      <c r="AJ305" s="532"/>
      <c r="AK305" s="351"/>
      <c r="AL305" s="524" t="s">
        <v>325</v>
      </c>
      <c r="AM305" s="351"/>
      <c r="AN305" s="549" t="s">
        <v>325</v>
      </c>
      <c r="AO305" s="351"/>
      <c r="AP305" s="532"/>
      <c r="AQ305" s="351"/>
      <c r="AR305" s="533"/>
      <c r="AS305" s="351"/>
      <c r="AT305" s="534"/>
      <c r="AU305" s="351"/>
      <c r="AV305" s="549" t="s">
        <v>325</v>
      </c>
      <c r="AW305" s="351"/>
      <c r="AX305" s="553"/>
      <c r="AY305" s="350"/>
      <c r="AZ305" s="351"/>
      <c r="BA305" s="545"/>
      <c r="BB305" s="351"/>
      <c r="BC305" s="39"/>
      <c r="BD305" s="546" t="s">
        <v>325</v>
      </c>
      <c r="BE305" s="351"/>
      <c r="BF305" s="529"/>
      <c r="BG305" s="350"/>
      <c r="BH305" s="350"/>
      <c r="BI305" s="351"/>
      <c r="BJ305" s="548" t="s">
        <v>294</v>
      </c>
      <c r="BK305" s="350"/>
      <c r="BL305" s="350"/>
      <c r="BM305" s="351"/>
      <c r="BN305" s="530" t="s">
        <v>294</v>
      </c>
      <c r="BO305" s="350"/>
      <c r="BP305" s="350"/>
      <c r="BQ305" s="350"/>
      <c r="BR305" s="350"/>
      <c r="BS305" s="350"/>
      <c r="BT305" s="350"/>
      <c r="BU305" s="350"/>
      <c r="BV305" s="351"/>
    </row>
    <row r="306" spans="1:74" ht="45" customHeight="1">
      <c r="A306" s="24">
        <f t="shared" si="1"/>
        <v>292</v>
      </c>
      <c r="B306" s="558" t="s">
        <v>294</v>
      </c>
      <c r="C306" s="351"/>
      <c r="D306" s="559" t="s">
        <v>298</v>
      </c>
      <c r="E306" s="351"/>
      <c r="F306" s="524" t="s">
        <v>325</v>
      </c>
      <c r="G306" s="351"/>
      <c r="H306" s="525" t="s">
        <v>325</v>
      </c>
      <c r="I306" s="351"/>
      <c r="J306" s="40"/>
      <c r="K306" s="41"/>
      <c r="L306" s="40"/>
      <c r="M306" s="41"/>
      <c r="N306" s="37"/>
      <c r="O306" s="38"/>
      <c r="P306" s="560"/>
      <c r="Q306" s="351"/>
      <c r="R306" s="527"/>
      <c r="S306" s="351"/>
      <c r="T306" s="528"/>
      <c r="U306" s="351"/>
      <c r="V306" s="541"/>
      <c r="W306" s="351"/>
      <c r="X306" s="538" t="s">
        <v>294</v>
      </c>
      <c r="Y306" s="350"/>
      <c r="Z306" s="350"/>
      <c r="AA306" s="351"/>
      <c r="AB306" s="539" t="s">
        <v>294</v>
      </c>
      <c r="AC306" s="350"/>
      <c r="AD306" s="350"/>
      <c r="AE306" s="351"/>
      <c r="AF306" s="544"/>
      <c r="AG306" s="351"/>
      <c r="AH306" s="544"/>
      <c r="AI306" s="351"/>
      <c r="AJ306" s="545"/>
      <c r="AK306" s="351"/>
      <c r="AL306" s="555" t="s">
        <v>325</v>
      </c>
      <c r="AM306" s="351"/>
      <c r="AN306" s="531" t="s">
        <v>325</v>
      </c>
      <c r="AO306" s="351"/>
      <c r="AP306" s="550"/>
      <c r="AQ306" s="351"/>
      <c r="AR306" s="551"/>
      <c r="AS306" s="351"/>
      <c r="AT306" s="534"/>
      <c r="AU306" s="351"/>
      <c r="AV306" s="531" t="s">
        <v>325</v>
      </c>
      <c r="AW306" s="351"/>
      <c r="AX306" s="553"/>
      <c r="AY306" s="350"/>
      <c r="AZ306" s="351"/>
      <c r="BA306" s="554"/>
      <c r="BB306" s="351"/>
      <c r="BC306" s="36"/>
      <c r="BD306" s="556" t="s">
        <v>325</v>
      </c>
      <c r="BE306" s="351"/>
      <c r="BF306" s="547"/>
      <c r="BG306" s="350"/>
      <c r="BH306" s="350"/>
      <c r="BI306" s="351"/>
      <c r="BJ306" s="506" t="s">
        <v>294</v>
      </c>
      <c r="BK306" s="350"/>
      <c r="BL306" s="350"/>
      <c r="BM306" s="351"/>
      <c r="BN306" s="530" t="s">
        <v>294</v>
      </c>
      <c r="BO306" s="350"/>
      <c r="BP306" s="350"/>
      <c r="BQ306" s="350"/>
      <c r="BR306" s="350"/>
      <c r="BS306" s="350"/>
      <c r="BT306" s="350"/>
      <c r="BU306" s="350"/>
      <c r="BV306" s="351"/>
    </row>
    <row r="307" spans="1:74" ht="45" customHeight="1">
      <c r="A307" s="24">
        <f t="shared" si="1"/>
        <v>293</v>
      </c>
      <c r="B307" s="522" t="s">
        <v>294</v>
      </c>
      <c r="C307" s="351"/>
      <c r="D307" s="523" t="s">
        <v>298</v>
      </c>
      <c r="E307" s="351"/>
      <c r="F307" s="524" t="s">
        <v>325</v>
      </c>
      <c r="G307" s="351"/>
      <c r="H307" s="561" t="s">
        <v>325</v>
      </c>
      <c r="I307" s="351"/>
      <c r="J307" s="562"/>
      <c r="K307" s="351"/>
      <c r="L307" s="562"/>
      <c r="M307" s="351"/>
      <c r="N307" s="34"/>
      <c r="O307" s="35"/>
      <c r="P307" s="526"/>
      <c r="Q307" s="351"/>
      <c r="R307" s="535"/>
      <c r="S307" s="351"/>
      <c r="T307" s="536"/>
      <c r="U307" s="351"/>
      <c r="V307" s="537"/>
      <c r="W307" s="351"/>
      <c r="X307" s="542" t="s">
        <v>294</v>
      </c>
      <c r="Y307" s="350"/>
      <c r="Z307" s="350"/>
      <c r="AA307" s="351"/>
      <c r="AB307" s="543" t="s">
        <v>294</v>
      </c>
      <c r="AC307" s="350"/>
      <c r="AD307" s="350"/>
      <c r="AE307" s="351"/>
      <c r="AF307" s="540"/>
      <c r="AG307" s="351"/>
      <c r="AH307" s="540"/>
      <c r="AI307" s="351"/>
      <c r="AJ307" s="532"/>
      <c r="AK307" s="351"/>
      <c r="AL307" s="524" t="s">
        <v>325</v>
      </c>
      <c r="AM307" s="351"/>
      <c r="AN307" s="549" t="s">
        <v>325</v>
      </c>
      <c r="AO307" s="351"/>
      <c r="AP307" s="532"/>
      <c r="AQ307" s="351"/>
      <c r="AR307" s="533"/>
      <c r="AS307" s="351"/>
      <c r="AT307" s="534"/>
      <c r="AU307" s="351"/>
      <c r="AV307" s="549" t="s">
        <v>325</v>
      </c>
      <c r="AW307" s="351"/>
      <c r="AX307" s="553"/>
      <c r="AY307" s="350"/>
      <c r="AZ307" s="351"/>
      <c r="BA307" s="545"/>
      <c r="BB307" s="351"/>
      <c r="BC307" s="39"/>
      <c r="BD307" s="546" t="s">
        <v>325</v>
      </c>
      <c r="BE307" s="351"/>
      <c r="BF307" s="557"/>
      <c r="BG307" s="350"/>
      <c r="BH307" s="350"/>
      <c r="BI307" s="351"/>
      <c r="BJ307" s="548" t="s">
        <v>294</v>
      </c>
      <c r="BK307" s="350"/>
      <c r="BL307" s="350"/>
      <c r="BM307" s="351"/>
      <c r="BN307" s="530" t="s">
        <v>294</v>
      </c>
      <c r="BO307" s="350"/>
      <c r="BP307" s="350"/>
      <c r="BQ307" s="350"/>
      <c r="BR307" s="350"/>
      <c r="BS307" s="350"/>
      <c r="BT307" s="350"/>
      <c r="BU307" s="350"/>
      <c r="BV307" s="351"/>
    </row>
    <row r="308" spans="1:74" ht="45" customHeight="1">
      <c r="A308" s="24">
        <f t="shared" si="1"/>
        <v>294</v>
      </c>
      <c r="B308" s="558" t="s">
        <v>294</v>
      </c>
      <c r="C308" s="351"/>
      <c r="D308" s="559" t="s">
        <v>298</v>
      </c>
      <c r="E308" s="351"/>
      <c r="F308" s="524" t="s">
        <v>325</v>
      </c>
      <c r="G308" s="351"/>
      <c r="H308" s="525" t="s">
        <v>325</v>
      </c>
      <c r="I308" s="351"/>
      <c r="J308" s="40"/>
      <c r="K308" s="41"/>
      <c r="L308" s="40"/>
      <c r="M308" s="41"/>
      <c r="N308" s="37"/>
      <c r="O308" s="38"/>
      <c r="P308" s="560"/>
      <c r="Q308" s="351"/>
      <c r="R308" s="527"/>
      <c r="S308" s="351"/>
      <c r="T308" s="528"/>
      <c r="U308" s="351"/>
      <c r="V308" s="541"/>
      <c r="W308" s="351"/>
      <c r="X308" s="538" t="s">
        <v>294</v>
      </c>
      <c r="Y308" s="350"/>
      <c r="Z308" s="350"/>
      <c r="AA308" s="351"/>
      <c r="AB308" s="539" t="s">
        <v>294</v>
      </c>
      <c r="AC308" s="350"/>
      <c r="AD308" s="350"/>
      <c r="AE308" s="351"/>
      <c r="AF308" s="544"/>
      <c r="AG308" s="351"/>
      <c r="AH308" s="544"/>
      <c r="AI308" s="351"/>
      <c r="AJ308" s="545"/>
      <c r="AK308" s="351"/>
      <c r="AL308" s="555" t="s">
        <v>325</v>
      </c>
      <c r="AM308" s="351"/>
      <c r="AN308" s="531" t="s">
        <v>325</v>
      </c>
      <c r="AO308" s="351"/>
      <c r="AP308" s="550"/>
      <c r="AQ308" s="351"/>
      <c r="AR308" s="551"/>
      <c r="AS308" s="351"/>
      <c r="AT308" s="534"/>
      <c r="AU308" s="351"/>
      <c r="AV308" s="531" t="s">
        <v>325</v>
      </c>
      <c r="AW308" s="351"/>
      <c r="AX308" s="553"/>
      <c r="AY308" s="350"/>
      <c r="AZ308" s="351"/>
      <c r="BA308" s="554"/>
      <c r="BB308" s="351"/>
      <c r="BC308" s="36"/>
      <c r="BD308" s="556" t="s">
        <v>325</v>
      </c>
      <c r="BE308" s="351"/>
      <c r="BF308" s="547"/>
      <c r="BG308" s="350"/>
      <c r="BH308" s="350"/>
      <c r="BI308" s="351"/>
      <c r="BJ308" s="506" t="s">
        <v>294</v>
      </c>
      <c r="BK308" s="350"/>
      <c r="BL308" s="350"/>
      <c r="BM308" s="351"/>
      <c r="BN308" s="530" t="s">
        <v>294</v>
      </c>
      <c r="BO308" s="350"/>
      <c r="BP308" s="350"/>
      <c r="BQ308" s="350"/>
      <c r="BR308" s="350"/>
      <c r="BS308" s="350"/>
      <c r="BT308" s="350"/>
      <c r="BU308" s="350"/>
      <c r="BV308" s="351"/>
    </row>
    <row r="309" spans="1:74" ht="45" customHeight="1">
      <c r="A309" s="24">
        <f t="shared" si="1"/>
        <v>295</v>
      </c>
      <c r="B309" s="522" t="s">
        <v>294</v>
      </c>
      <c r="C309" s="351"/>
      <c r="D309" s="523" t="s">
        <v>298</v>
      </c>
      <c r="E309" s="351"/>
      <c r="F309" s="524" t="s">
        <v>325</v>
      </c>
      <c r="G309" s="351"/>
      <c r="H309" s="561" t="s">
        <v>325</v>
      </c>
      <c r="I309" s="351"/>
      <c r="J309" s="562"/>
      <c r="K309" s="351"/>
      <c r="L309" s="562"/>
      <c r="M309" s="351"/>
      <c r="N309" s="34"/>
      <c r="O309" s="35"/>
      <c r="P309" s="526"/>
      <c r="Q309" s="351"/>
      <c r="R309" s="535"/>
      <c r="S309" s="351"/>
      <c r="T309" s="536"/>
      <c r="U309" s="351"/>
      <c r="V309" s="537"/>
      <c r="W309" s="351"/>
      <c r="X309" s="542" t="s">
        <v>294</v>
      </c>
      <c r="Y309" s="350"/>
      <c r="Z309" s="350"/>
      <c r="AA309" s="351"/>
      <c r="AB309" s="543" t="s">
        <v>294</v>
      </c>
      <c r="AC309" s="350"/>
      <c r="AD309" s="350"/>
      <c r="AE309" s="351"/>
      <c r="AF309" s="540"/>
      <c r="AG309" s="351"/>
      <c r="AH309" s="540"/>
      <c r="AI309" s="351"/>
      <c r="AJ309" s="532"/>
      <c r="AK309" s="351"/>
      <c r="AL309" s="524" t="s">
        <v>325</v>
      </c>
      <c r="AM309" s="351"/>
      <c r="AN309" s="549" t="s">
        <v>325</v>
      </c>
      <c r="AO309" s="351"/>
      <c r="AP309" s="532"/>
      <c r="AQ309" s="351"/>
      <c r="AR309" s="533"/>
      <c r="AS309" s="351"/>
      <c r="AT309" s="534"/>
      <c r="AU309" s="351"/>
      <c r="AV309" s="549" t="s">
        <v>325</v>
      </c>
      <c r="AW309" s="351"/>
      <c r="AX309" s="553"/>
      <c r="AY309" s="350"/>
      <c r="AZ309" s="351"/>
      <c r="BA309" s="545"/>
      <c r="BB309" s="351"/>
      <c r="BC309" s="39"/>
      <c r="BD309" s="546" t="s">
        <v>325</v>
      </c>
      <c r="BE309" s="351"/>
      <c r="BF309" s="529"/>
      <c r="BG309" s="350"/>
      <c r="BH309" s="350"/>
      <c r="BI309" s="351"/>
      <c r="BJ309" s="548" t="s">
        <v>294</v>
      </c>
      <c r="BK309" s="350"/>
      <c r="BL309" s="350"/>
      <c r="BM309" s="351"/>
      <c r="BN309" s="530" t="s">
        <v>294</v>
      </c>
      <c r="BO309" s="350"/>
      <c r="BP309" s="350"/>
      <c r="BQ309" s="350"/>
      <c r="BR309" s="350"/>
      <c r="BS309" s="350"/>
      <c r="BT309" s="350"/>
      <c r="BU309" s="350"/>
      <c r="BV309" s="351"/>
    </row>
    <row r="310" spans="1:74" ht="45" customHeight="1">
      <c r="A310" s="24">
        <f t="shared" si="1"/>
        <v>296</v>
      </c>
      <c r="B310" s="558" t="s">
        <v>294</v>
      </c>
      <c r="C310" s="351"/>
      <c r="D310" s="559" t="s">
        <v>298</v>
      </c>
      <c r="E310" s="351"/>
      <c r="F310" s="524" t="s">
        <v>325</v>
      </c>
      <c r="G310" s="351"/>
      <c r="H310" s="525" t="s">
        <v>325</v>
      </c>
      <c r="I310" s="351"/>
      <c r="J310" s="40"/>
      <c r="K310" s="41"/>
      <c r="L310" s="40"/>
      <c r="M310" s="41"/>
      <c r="N310" s="37"/>
      <c r="O310" s="38"/>
      <c r="P310" s="560"/>
      <c r="Q310" s="351"/>
      <c r="R310" s="527"/>
      <c r="S310" s="351"/>
      <c r="T310" s="528"/>
      <c r="U310" s="351"/>
      <c r="V310" s="541"/>
      <c r="W310" s="351"/>
      <c r="X310" s="538" t="s">
        <v>294</v>
      </c>
      <c r="Y310" s="350"/>
      <c r="Z310" s="350"/>
      <c r="AA310" s="351"/>
      <c r="AB310" s="539" t="s">
        <v>294</v>
      </c>
      <c r="AC310" s="350"/>
      <c r="AD310" s="350"/>
      <c r="AE310" s="351"/>
      <c r="AF310" s="544"/>
      <c r="AG310" s="351"/>
      <c r="AH310" s="544"/>
      <c r="AI310" s="351"/>
      <c r="AJ310" s="545"/>
      <c r="AK310" s="351"/>
      <c r="AL310" s="555" t="s">
        <v>325</v>
      </c>
      <c r="AM310" s="351"/>
      <c r="AN310" s="531" t="s">
        <v>325</v>
      </c>
      <c r="AO310" s="351"/>
      <c r="AP310" s="550"/>
      <c r="AQ310" s="351"/>
      <c r="AR310" s="551"/>
      <c r="AS310" s="351"/>
      <c r="AT310" s="534"/>
      <c r="AU310" s="351"/>
      <c r="AV310" s="531" t="s">
        <v>325</v>
      </c>
      <c r="AW310" s="351"/>
      <c r="AX310" s="553"/>
      <c r="AY310" s="350"/>
      <c r="AZ310" s="351"/>
      <c r="BA310" s="554"/>
      <c r="BB310" s="351"/>
      <c r="BC310" s="36"/>
      <c r="BD310" s="556" t="s">
        <v>325</v>
      </c>
      <c r="BE310" s="351"/>
      <c r="BF310" s="547"/>
      <c r="BG310" s="350"/>
      <c r="BH310" s="350"/>
      <c r="BI310" s="351"/>
      <c r="BJ310" s="506" t="s">
        <v>294</v>
      </c>
      <c r="BK310" s="350"/>
      <c r="BL310" s="350"/>
      <c r="BM310" s="351"/>
      <c r="BN310" s="530" t="s">
        <v>294</v>
      </c>
      <c r="BO310" s="350"/>
      <c r="BP310" s="350"/>
      <c r="BQ310" s="350"/>
      <c r="BR310" s="350"/>
      <c r="BS310" s="350"/>
      <c r="BT310" s="350"/>
      <c r="BU310" s="350"/>
      <c r="BV310" s="351"/>
    </row>
    <row r="311" spans="1:74" ht="45" customHeight="1">
      <c r="A311" s="24">
        <f t="shared" si="1"/>
        <v>297</v>
      </c>
      <c r="B311" s="522" t="s">
        <v>294</v>
      </c>
      <c r="C311" s="351"/>
      <c r="D311" s="523" t="s">
        <v>298</v>
      </c>
      <c r="E311" s="351"/>
      <c r="F311" s="524" t="s">
        <v>325</v>
      </c>
      <c r="G311" s="351"/>
      <c r="H311" s="561" t="s">
        <v>325</v>
      </c>
      <c r="I311" s="351"/>
      <c r="J311" s="562"/>
      <c r="K311" s="351"/>
      <c r="L311" s="562"/>
      <c r="M311" s="351"/>
      <c r="N311" s="34"/>
      <c r="O311" s="35"/>
      <c r="P311" s="526"/>
      <c r="Q311" s="351"/>
      <c r="R311" s="535"/>
      <c r="S311" s="351"/>
      <c r="T311" s="536"/>
      <c r="U311" s="351"/>
      <c r="V311" s="537"/>
      <c r="W311" s="351"/>
      <c r="X311" s="542" t="s">
        <v>294</v>
      </c>
      <c r="Y311" s="350"/>
      <c r="Z311" s="350"/>
      <c r="AA311" s="351"/>
      <c r="AB311" s="543" t="s">
        <v>294</v>
      </c>
      <c r="AC311" s="350"/>
      <c r="AD311" s="350"/>
      <c r="AE311" s="351"/>
      <c r="AF311" s="540"/>
      <c r="AG311" s="351"/>
      <c r="AH311" s="540"/>
      <c r="AI311" s="351"/>
      <c r="AJ311" s="532"/>
      <c r="AK311" s="351"/>
      <c r="AL311" s="524" t="s">
        <v>325</v>
      </c>
      <c r="AM311" s="351"/>
      <c r="AN311" s="549" t="s">
        <v>325</v>
      </c>
      <c r="AO311" s="351"/>
      <c r="AP311" s="532"/>
      <c r="AQ311" s="351"/>
      <c r="AR311" s="533"/>
      <c r="AS311" s="351"/>
      <c r="AT311" s="534"/>
      <c r="AU311" s="351"/>
      <c r="AV311" s="549" t="s">
        <v>325</v>
      </c>
      <c r="AW311" s="351"/>
      <c r="AX311" s="553"/>
      <c r="AY311" s="350"/>
      <c r="AZ311" s="351"/>
      <c r="BA311" s="545"/>
      <c r="BB311" s="351"/>
      <c r="BC311" s="39"/>
      <c r="BD311" s="546" t="s">
        <v>325</v>
      </c>
      <c r="BE311" s="351"/>
      <c r="BF311" s="557"/>
      <c r="BG311" s="350"/>
      <c r="BH311" s="350"/>
      <c r="BI311" s="351"/>
      <c r="BJ311" s="548" t="s">
        <v>294</v>
      </c>
      <c r="BK311" s="350"/>
      <c r="BL311" s="350"/>
      <c r="BM311" s="351"/>
      <c r="BN311" s="530" t="s">
        <v>294</v>
      </c>
      <c r="BO311" s="350"/>
      <c r="BP311" s="350"/>
      <c r="BQ311" s="350"/>
      <c r="BR311" s="350"/>
      <c r="BS311" s="350"/>
      <c r="BT311" s="350"/>
      <c r="BU311" s="350"/>
      <c r="BV311" s="351"/>
    </row>
    <row r="312" spans="1:74" ht="45" customHeight="1">
      <c r="A312" s="24">
        <f t="shared" si="1"/>
        <v>298</v>
      </c>
      <c r="B312" s="558" t="s">
        <v>294</v>
      </c>
      <c r="C312" s="351"/>
      <c r="D312" s="559" t="s">
        <v>298</v>
      </c>
      <c r="E312" s="351"/>
      <c r="F312" s="524" t="s">
        <v>325</v>
      </c>
      <c r="G312" s="351"/>
      <c r="H312" s="525" t="s">
        <v>325</v>
      </c>
      <c r="I312" s="351"/>
      <c r="J312" s="40"/>
      <c r="K312" s="41"/>
      <c r="L312" s="40"/>
      <c r="M312" s="41"/>
      <c r="N312" s="37"/>
      <c r="O312" s="38"/>
      <c r="P312" s="560"/>
      <c r="Q312" s="351"/>
      <c r="R312" s="527"/>
      <c r="S312" s="351"/>
      <c r="T312" s="528"/>
      <c r="U312" s="351"/>
      <c r="V312" s="541"/>
      <c r="W312" s="351"/>
      <c r="X312" s="538" t="s">
        <v>294</v>
      </c>
      <c r="Y312" s="350"/>
      <c r="Z312" s="350"/>
      <c r="AA312" s="351"/>
      <c r="AB312" s="539" t="s">
        <v>294</v>
      </c>
      <c r="AC312" s="350"/>
      <c r="AD312" s="350"/>
      <c r="AE312" s="351"/>
      <c r="AF312" s="544"/>
      <c r="AG312" s="351"/>
      <c r="AH312" s="544"/>
      <c r="AI312" s="351"/>
      <c r="AJ312" s="545"/>
      <c r="AK312" s="351"/>
      <c r="AL312" s="555" t="s">
        <v>325</v>
      </c>
      <c r="AM312" s="351"/>
      <c r="AN312" s="531" t="s">
        <v>325</v>
      </c>
      <c r="AO312" s="351"/>
      <c r="AP312" s="550"/>
      <c r="AQ312" s="351"/>
      <c r="AR312" s="551"/>
      <c r="AS312" s="351"/>
      <c r="AT312" s="534"/>
      <c r="AU312" s="351"/>
      <c r="AV312" s="531" t="s">
        <v>325</v>
      </c>
      <c r="AW312" s="351"/>
      <c r="AX312" s="553"/>
      <c r="AY312" s="350"/>
      <c r="AZ312" s="351"/>
      <c r="BA312" s="554"/>
      <c r="BB312" s="351"/>
      <c r="BC312" s="36"/>
      <c r="BD312" s="556" t="s">
        <v>325</v>
      </c>
      <c r="BE312" s="351"/>
      <c r="BF312" s="547"/>
      <c r="BG312" s="350"/>
      <c r="BH312" s="350"/>
      <c r="BI312" s="351"/>
      <c r="BJ312" s="506" t="s">
        <v>294</v>
      </c>
      <c r="BK312" s="350"/>
      <c r="BL312" s="350"/>
      <c r="BM312" s="351"/>
      <c r="BN312" s="530" t="s">
        <v>294</v>
      </c>
      <c r="BO312" s="350"/>
      <c r="BP312" s="350"/>
      <c r="BQ312" s="350"/>
      <c r="BR312" s="350"/>
      <c r="BS312" s="350"/>
      <c r="BT312" s="350"/>
      <c r="BU312" s="350"/>
      <c r="BV312" s="351"/>
    </row>
    <row r="313" spans="1:74" ht="45" customHeight="1">
      <c r="A313" s="24">
        <f t="shared" si="1"/>
        <v>299</v>
      </c>
      <c r="B313" s="522" t="s">
        <v>294</v>
      </c>
      <c r="C313" s="351"/>
      <c r="D313" s="523" t="s">
        <v>298</v>
      </c>
      <c r="E313" s="351"/>
      <c r="F313" s="524" t="s">
        <v>325</v>
      </c>
      <c r="G313" s="351"/>
      <c r="H313" s="561" t="s">
        <v>325</v>
      </c>
      <c r="I313" s="351"/>
      <c r="J313" s="562"/>
      <c r="K313" s="351"/>
      <c r="L313" s="562"/>
      <c r="M313" s="351"/>
      <c r="N313" s="34"/>
      <c r="O313" s="35"/>
      <c r="P313" s="526"/>
      <c r="Q313" s="351"/>
      <c r="R313" s="535"/>
      <c r="S313" s="351"/>
      <c r="T313" s="536"/>
      <c r="U313" s="351"/>
      <c r="V313" s="537"/>
      <c r="W313" s="351"/>
      <c r="X313" s="542" t="s">
        <v>294</v>
      </c>
      <c r="Y313" s="350"/>
      <c r="Z313" s="350"/>
      <c r="AA313" s="351"/>
      <c r="AB313" s="543" t="s">
        <v>294</v>
      </c>
      <c r="AC313" s="350"/>
      <c r="AD313" s="350"/>
      <c r="AE313" s="351"/>
      <c r="AF313" s="540"/>
      <c r="AG313" s="351"/>
      <c r="AH313" s="540"/>
      <c r="AI313" s="351"/>
      <c r="AJ313" s="532"/>
      <c r="AK313" s="351"/>
      <c r="AL313" s="524" t="s">
        <v>325</v>
      </c>
      <c r="AM313" s="351"/>
      <c r="AN313" s="549" t="s">
        <v>325</v>
      </c>
      <c r="AO313" s="351"/>
      <c r="AP313" s="532"/>
      <c r="AQ313" s="351"/>
      <c r="AR313" s="533"/>
      <c r="AS313" s="351"/>
      <c r="AT313" s="534"/>
      <c r="AU313" s="351"/>
      <c r="AV313" s="549" t="s">
        <v>325</v>
      </c>
      <c r="AW313" s="351"/>
      <c r="AX313" s="553"/>
      <c r="AY313" s="350"/>
      <c r="AZ313" s="351"/>
      <c r="BA313" s="545"/>
      <c r="BB313" s="351"/>
      <c r="BC313" s="39"/>
      <c r="BD313" s="546" t="s">
        <v>325</v>
      </c>
      <c r="BE313" s="351"/>
      <c r="BF313" s="529"/>
      <c r="BG313" s="350"/>
      <c r="BH313" s="350"/>
      <c r="BI313" s="351"/>
      <c r="BJ313" s="548" t="s">
        <v>294</v>
      </c>
      <c r="BK313" s="350"/>
      <c r="BL313" s="350"/>
      <c r="BM313" s="351"/>
      <c r="BN313" s="530" t="s">
        <v>294</v>
      </c>
      <c r="BO313" s="350"/>
      <c r="BP313" s="350"/>
      <c r="BQ313" s="350"/>
      <c r="BR313" s="350"/>
      <c r="BS313" s="350"/>
      <c r="BT313" s="350"/>
      <c r="BU313" s="350"/>
      <c r="BV313" s="351"/>
    </row>
    <row r="314" spans="1:74" ht="45" customHeight="1">
      <c r="A314" s="24">
        <f t="shared" si="1"/>
        <v>300</v>
      </c>
      <c r="B314" s="558" t="s">
        <v>294</v>
      </c>
      <c r="C314" s="351"/>
      <c r="D314" s="559" t="s">
        <v>298</v>
      </c>
      <c r="E314" s="351"/>
      <c r="F314" s="524" t="s">
        <v>325</v>
      </c>
      <c r="G314" s="351"/>
      <c r="H314" s="525" t="s">
        <v>325</v>
      </c>
      <c r="I314" s="351"/>
      <c r="J314" s="563"/>
      <c r="K314" s="351"/>
      <c r="L314" s="563"/>
      <c r="M314" s="351"/>
      <c r="N314" s="37"/>
      <c r="O314" s="38"/>
      <c r="P314" s="560"/>
      <c r="Q314" s="351"/>
      <c r="R314" s="527"/>
      <c r="S314" s="351"/>
      <c r="T314" s="528"/>
      <c r="U314" s="351"/>
      <c r="V314" s="541"/>
      <c r="W314" s="351"/>
      <c r="X314" s="538" t="s">
        <v>294</v>
      </c>
      <c r="Y314" s="350"/>
      <c r="Z314" s="350"/>
      <c r="AA314" s="351"/>
      <c r="AB314" s="539" t="s">
        <v>294</v>
      </c>
      <c r="AC314" s="350"/>
      <c r="AD314" s="350"/>
      <c r="AE314" s="351"/>
      <c r="AF314" s="544"/>
      <c r="AG314" s="351"/>
      <c r="AH314" s="544"/>
      <c r="AI314" s="351"/>
      <c r="AJ314" s="545"/>
      <c r="AK314" s="351"/>
      <c r="AL314" s="555" t="s">
        <v>325</v>
      </c>
      <c r="AM314" s="351"/>
      <c r="AN314" s="531" t="s">
        <v>325</v>
      </c>
      <c r="AO314" s="351"/>
      <c r="AP314" s="550"/>
      <c r="AQ314" s="351"/>
      <c r="AR314" s="551"/>
      <c r="AS314" s="351"/>
      <c r="AT314" s="534"/>
      <c r="AU314" s="351"/>
      <c r="AV314" s="531" t="s">
        <v>325</v>
      </c>
      <c r="AW314" s="351"/>
      <c r="AX314" s="553"/>
      <c r="AY314" s="350"/>
      <c r="AZ314" s="351"/>
      <c r="BA314" s="554"/>
      <c r="BB314" s="351"/>
      <c r="BC314" s="36"/>
      <c r="BD314" s="556" t="s">
        <v>325</v>
      </c>
      <c r="BE314" s="351"/>
      <c r="BF314" s="547"/>
      <c r="BG314" s="350"/>
      <c r="BH314" s="350"/>
      <c r="BI314" s="351"/>
      <c r="BJ314" s="506" t="s">
        <v>294</v>
      </c>
      <c r="BK314" s="350"/>
      <c r="BL314" s="350"/>
      <c r="BM314" s="351"/>
      <c r="BN314" s="530" t="s">
        <v>294</v>
      </c>
      <c r="BO314" s="350"/>
      <c r="BP314" s="350"/>
      <c r="BQ314" s="350"/>
      <c r="BR314" s="350"/>
      <c r="BS314" s="350"/>
      <c r="BT314" s="350"/>
      <c r="BU314" s="350"/>
      <c r="BV314" s="351"/>
    </row>
    <row r="315" spans="1:74" ht="45" customHeight="1">
      <c r="A315" s="24">
        <f t="shared" si="1"/>
        <v>301</v>
      </c>
      <c r="B315" s="522" t="s">
        <v>294</v>
      </c>
      <c r="C315" s="351"/>
      <c r="D315" s="523" t="s">
        <v>298</v>
      </c>
      <c r="E315" s="351"/>
      <c r="F315" s="524" t="s">
        <v>325</v>
      </c>
      <c r="G315" s="351"/>
      <c r="H315" s="561" t="s">
        <v>325</v>
      </c>
      <c r="I315" s="351"/>
      <c r="J315" s="562"/>
      <c r="K315" s="351"/>
      <c r="L315" s="562"/>
      <c r="M315" s="351"/>
      <c r="N315" s="34"/>
      <c r="O315" s="35"/>
      <c r="P315" s="526"/>
      <c r="Q315" s="351"/>
      <c r="R315" s="535"/>
      <c r="S315" s="351"/>
      <c r="T315" s="536"/>
      <c r="U315" s="351"/>
      <c r="V315" s="537"/>
      <c r="W315" s="351"/>
      <c r="X315" s="542" t="s">
        <v>294</v>
      </c>
      <c r="Y315" s="350"/>
      <c r="Z315" s="350"/>
      <c r="AA315" s="351"/>
      <c r="AB315" s="543" t="s">
        <v>294</v>
      </c>
      <c r="AC315" s="350"/>
      <c r="AD315" s="350"/>
      <c r="AE315" s="351"/>
      <c r="AF315" s="540"/>
      <c r="AG315" s="351"/>
      <c r="AH315" s="540"/>
      <c r="AI315" s="351"/>
      <c r="AJ315" s="532"/>
      <c r="AK315" s="351"/>
      <c r="AL315" s="524" t="s">
        <v>325</v>
      </c>
      <c r="AM315" s="351"/>
      <c r="AN315" s="549" t="s">
        <v>325</v>
      </c>
      <c r="AO315" s="351"/>
      <c r="AP315" s="532"/>
      <c r="AQ315" s="351"/>
      <c r="AR315" s="533"/>
      <c r="AS315" s="351"/>
      <c r="AT315" s="534"/>
      <c r="AU315" s="351"/>
      <c r="AV315" s="549" t="s">
        <v>325</v>
      </c>
      <c r="AW315" s="351"/>
      <c r="AX315" s="553"/>
      <c r="AY315" s="350"/>
      <c r="AZ315" s="351"/>
      <c r="BA315" s="545"/>
      <c r="BB315" s="351"/>
      <c r="BC315" s="39"/>
      <c r="BD315" s="546" t="s">
        <v>325</v>
      </c>
      <c r="BE315" s="351"/>
      <c r="BF315" s="529"/>
      <c r="BG315" s="350"/>
      <c r="BH315" s="350"/>
      <c r="BI315" s="351"/>
      <c r="BJ315" s="548" t="s">
        <v>294</v>
      </c>
      <c r="BK315" s="350"/>
      <c r="BL315" s="350"/>
      <c r="BM315" s="351"/>
      <c r="BN315" s="530" t="s">
        <v>294</v>
      </c>
      <c r="BO315" s="350"/>
      <c r="BP315" s="350"/>
      <c r="BQ315" s="350"/>
      <c r="BR315" s="350"/>
      <c r="BS315" s="350"/>
      <c r="BT315" s="350"/>
      <c r="BU315" s="350"/>
      <c r="BV315" s="351"/>
    </row>
    <row r="316" spans="1:74" ht="45" customHeight="1">
      <c r="A316" s="24">
        <f t="shared" si="1"/>
        <v>302</v>
      </c>
      <c r="B316" s="558" t="s">
        <v>294</v>
      </c>
      <c r="C316" s="351"/>
      <c r="D316" s="559" t="s">
        <v>298</v>
      </c>
      <c r="E316" s="351"/>
      <c r="F316" s="524" t="s">
        <v>325</v>
      </c>
      <c r="G316" s="351"/>
      <c r="H316" s="525" t="s">
        <v>325</v>
      </c>
      <c r="I316" s="351"/>
      <c r="J316" s="563"/>
      <c r="K316" s="351"/>
      <c r="L316" s="563"/>
      <c r="M316" s="351"/>
      <c r="N316" s="37"/>
      <c r="O316" s="38"/>
      <c r="P316" s="560"/>
      <c r="Q316" s="351"/>
      <c r="R316" s="527"/>
      <c r="S316" s="351"/>
      <c r="T316" s="528"/>
      <c r="U316" s="351"/>
      <c r="V316" s="541"/>
      <c r="W316" s="351"/>
      <c r="X316" s="538" t="s">
        <v>294</v>
      </c>
      <c r="Y316" s="350"/>
      <c r="Z316" s="350"/>
      <c r="AA316" s="351"/>
      <c r="AB316" s="539" t="s">
        <v>294</v>
      </c>
      <c r="AC316" s="350"/>
      <c r="AD316" s="350"/>
      <c r="AE316" s="351"/>
      <c r="AF316" s="544"/>
      <c r="AG316" s="351"/>
      <c r="AH316" s="544"/>
      <c r="AI316" s="351"/>
      <c r="AJ316" s="545"/>
      <c r="AK316" s="351"/>
      <c r="AL316" s="555" t="s">
        <v>325</v>
      </c>
      <c r="AM316" s="351"/>
      <c r="AN316" s="531" t="s">
        <v>325</v>
      </c>
      <c r="AO316" s="351"/>
      <c r="AP316" s="550"/>
      <c r="AQ316" s="351"/>
      <c r="AR316" s="551"/>
      <c r="AS316" s="351"/>
      <c r="AT316" s="534"/>
      <c r="AU316" s="351"/>
      <c r="AV316" s="531" t="s">
        <v>325</v>
      </c>
      <c r="AW316" s="351"/>
      <c r="AX316" s="553"/>
      <c r="AY316" s="350"/>
      <c r="AZ316" s="351"/>
      <c r="BA316" s="554"/>
      <c r="BB316" s="351"/>
      <c r="BC316" s="36"/>
      <c r="BD316" s="556" t="s">
        <v>325</v>
      </c>
      <c r="BE316" s="351"/>
      <c r="BF316" s="547"/>
      <c r="BG316" s="350"/>
      <c r="BH316" s="350"/>
      <c r="BI316" s="351"/>
      <c r="BJ316" s="506" t="s">
        <v>294</v>
      </c>
      <c r="BK316" s="350"/>
      <c r="BL316" s="350"/>
      <c r="BM316" s="351"/>
      <c r="BN316" s="530" t="s">
        <v>294</v>
      </c>
      <c r="BO316" s="350"/>
      <c r="BP316" s="350"/>
      <c r="BQ316" s="350"/>
      <c r="BR316" s="350"/>
      <c r="BS316" s="350"/>
      <c r="BT316" s="350"/>
      <c r="BU316" s="350"/>
      <c r="BV316" s="351"/>
    </row>
    <row r="317" spans="1:74" ht="45" customHeight="1">
      <c r="A317" s="24">
        <f t="shared" si="1"/>
        <v>303</v>
      </c>
      <c r="B317" s="522" t="s">
        <v>294</v>
      </c>
      <c r="C317" s="351"/>
      <c r="D317" s="523" t="s">
        <v>298</v>
      </c>
      <c r="E317" s="351"/>
      <c r="F317" s="524" t="s">
        <v>325</v>
      </c>
      <c r="G317" s="351"/>
      <c r="H317" s="561" t="s">
        <v>325</v>
      </c>
      <c r="I317" s="351"/>
      <c r="J317" s="562"/>
      <c r="K317" s="351"/>
      <c r="L317" s="562"/>
      <c r="M317" s="351"/>
      <c r="N317" s="34"/>
      <c r="O317" s="35"/>
      <c r="P317" s="526"/>
      <c r="Q317" s="351"/>
      <c r="R317" s="535"/>
      <c r="S317" s="351"/>
      <c r="T317" s="536"/>
      <c r="U317" s="351"/>
      <c r="V317" s="537"/>
      <c r="W317" s="351"/>
      <c r="X317" s="542" t="s">
        <v>294</v>
      </c>
      <c r="Y317" s="350"/>
      <c r="Z317" s="350"/>
      <c r="AA317" s="351"/>
      <c r="AB317" s="543" t="s">
        <v>294</v>
      </c>
      <c r="AC317" s="350"/>
      <c r="AD317" s="350"/>
      <c r="AE317" s="351"/>
      <c r="AF317" s="540"/>
      <c r="AG317" s="351"/>
      <c r="AH317" s="540"/>
      <c r="AI317" s="351"/>
      <c r="AJ317" s="532"/>
      <c r="AK317" s="351"/>
      <c r="AL317" s="524" t="s">
        <v>325</v>
      </c>
      <c r="AM317" s="351"/>
      <c r="AN317" s="549" t="s">
        <v>325</v>
      </c>
      <c r="AO317" s="351"/>
      <c r="AP317" s="532"/>
      <c r="AQ317" s="351"/>
      <c r="AR317" s="533"/>
      <c r="AS317" s="351"/>
      <c r="AT317" s="534"/>
      <c r="AU317" s="351"/>
      <c r="AV317" s="549" t="s">
        <v>325</v>
      </c>
      <c r="AW317" s="351"/>
      <c r="AX317" s="553"/>
      <c r="AY317" s="350"/>
      <c r="AZ317" s="351"/>
      <c r="BA317" s="545"/>
      <c r="BB317" s="351"/>
      <c r="BC317" s="39"/>
      <c r="BD317" s="546" t="s">
        <v>325</v>
      </c>
      <c r="BE317" s="351"/>
      <c r="BF317" s="557"/>
      <c r="BG317" s="350"/>
      <c r="BH317" s="350"/>
      <c r="BI317" s="351"/>
      <c r="BJ317" s="548" t="s">
        <v>294</v>
      </c>
      <c r="BK317" s="350"/>
      <c r="BL317" s="350"/>
      <c r="BM317" s="351"/>
      <c r="BN317" s="530" t="s">
        <v>294</v>
      </c>
      <c r="BO317" s="350"/>
      <c r="BP317" s="350"/>
      <c r="BQ317" s="350"/>
      <c r="BR317" s="350"/>
      <c r="BS317" s="350"/>
      <c r="BT317" s="350"/>
      <c r="BU317" s="350"/>
      <c r="BV317" s="351"/>
    </row>
    <row r="318" spans="1:74" ht="45" customHeight="1">
      <c r="A318" s="24">
        <f t="shared" si="1"/>
        <v>304</v>
      </c>
      <c r="B318" s="558" t="s">
        <v>294</v>
      </c>
      <c r="C318" s="351"/>
      <c r="D318" s="559" t="s">
        <v>298</v>
      </c>
      <c r="E318" s="351"/>
      <c r="F318" s="524" t="s">
        <v>325</v>
      </c>
      <c r="G318" s="351"/>
      <c r="H318" s="525" t="s">
        <v>325</v>
      </c>
      <c r="I318" s="351"/>
      <c r="J318" s="563"/>
      <c r="K318" s="351"/>
      <c r="L318" s="563"/>
      <c r="M318" s="351"/>
      <c r="N318" s="37"/>
      <c r="O318" s="38"/>
      <c r="P318" s="560"/>
      <c r="Q318" s="351"/>
      <c r="R318" s="527"/>
      <c r="S318" s="351"/>
      <c r="T318" s="528"/>
      <c r="U318" s="351"/>
      <c r="V318" s="541"/>
      <c r="W318" s="351"/>
      <c r="X318" s="538" t="s">
        <v>294</v>
      </c>
      <c r="Y318" s="350"/>
      <c r="Z318" s="350"/>
      <c r="AA318" s="351"/>
      <c r="AB318" s="539" t="s">
        <v>294</v>
      </c>
      <c r="AC318" s="350"/>
      <c r="AD318" s="350"/>
      <c r="AE318" s="351"/>
      <c r="AF318" s="544"/>
      <c r="AG318" s="351"/>
      <c r="AH318" s="544"/>
      <c r="AI318" s="351"/>
      <c r="AJ318" s="545"/>
      <c r="AK318" s="351"/>
      <c r="AL318" s="555" t="s">
        <v>325</v>
      </c>
      <c r="AM318" s="351"/>
      <c r="AN318" s="531" t="s">
        <v>325</v>
      </c>
      <c r="AO318" s="351"/>
      <c r="AP318" s="550"/>
      <c r="AQ318" s="351"/>
      <c r="AR318" s="551"/>
      <c r="AS318" s="351"/>
      <c r="AT318" s="534"/>
      <c r="AU318" s="351"/>
      <c r="AV318" s="531" t="s">
        <v>325</v>
      </c>
      <c r="AW318" s="351"/>
      <c r="AX318" s="553"/>
      <c r="AY318" s="350"/>
      <c r="AZ318" s="351"/>
      <c r="BA318" s="554"/>
      <c r="BB318" s="351"/>
      <c r="BC318" s="36"/>
      <c r="BD318" s="556" t="s">
        <v>325</v>
      </c>
      <c r="BE318" s="351"/>
      <c r="BF318" s="547"/>
      <c r="BG318" s="350"/>
      <c r="BH318" s="350"/>
      <c r="BI318" s="351"/>
      <c r="BJ318" s="506" t="s">
        <v>294</v>
      </c>
      <c r="BK318" s="350"/>
      <c r="BL318" s="350"/>
      <c r="BM318" s="351"/>
      <c r="BN318" s="530" t="s">
        <v>294</v>
      </c>
      <c r="BO318" s="350"/>
      <c r="BP318" s="350"/>
      <c r="BQ318" s="350"/>
      <c r="BR318" s="350"/>
      <c r="BS318" s="350"/>
      <c r="BT318" s="350"/>
      <c r="BU318" s="350"/>
      <c r="BV318" s="351"/>
    </row>
    <row r="319" spans="1:74" ht="45" customHeight="1">
      <c r="A319" s="24">
        <f t="shared" si="1"/>
        <v>305</v>
      </c>
      <c r="B319" s="522" t="s">
        <v>294</v>
      </c>
      <c r="C319" s="351"/>
      <c r="D319" s="523" t="s">
        <v>298</v>
      </c>
      <c r="E319" s="351"/>
      <c r="F319" s="524" t="s">
        <v>325</v>
      </c>
      <c r="G319" s="351"/>
      <c r="H319" s="561" t="s">
        <v>325</v>
      </c>
      <c r="I319" s="351"/>
      <c r="J319" s="562"/>
      <c r="K319" s="351"/>
      <c r="L319" s="562"/>
      <c r="M319" s="351"/>
      <c r="N319" s="34"/>
      <c r="O319" s="38"/>
      <c r="P319" s="526"/>
      <c r="Q319" s="351"/>
      <c r="R319" s="535"/>
      <c r="S319" s="351"/>
      <c r="T319" s="536"/>
      <c r="U319" s="351"/>
      <c r="V319" s="537"/>
      <c r="W319" s="351"/>
      <c r="X319" s="542" t="s">
        <v>294</v>
      </c>
      <c r="Y319" s="350"/>
      <c r="Z319" s="350"/>
      <c r="AA319" s="351"/>
      <c r="AB319" s="543" t="s">
        <v>294</v>
      </c>
      <c r="AC319" s="350"/>
      <c r="AD319" s="350"/>
      <c r="AE319" s="351"/>
      <c r="AF319" s="540"/>
      <c r="AG319" s="351"/>
      <c r="AH319" s="540"/>
      <c r="AI319" s="351"/>
      <c r="AJ319" s="532"/>
      <c r="AK319" s="351"/>
      <c r="AL319" s="524" t="s">
        <v>325</v>
      </c>
      <c r="AM319" s="351"/>
      <c r="AN319" s="549" t="s">
        <v>325</v>
      </c>
      <c r="AO319" s="351"/>
      <c r="AP319" s="532"/>
      <c r="AQ319" s="351"/>
      <c r="AR319" s="533"/>
      <c r="AS319" s="351"/>
      <c r="AT319" s="534"/>
      <c r="AU319" s="351"/>
      <c r="AV319" s="549" t="s">
        <v>325</v>
      </c>
      <c r="AW319" s="351"/>
      <c r="AX319" s="553"/>
      <c r="AY319" s="350"/>
      <c r="AZ319" s="351"/>
      <c r="BA319" s="545"/>
      <c r="BB319" s="351"/>
      <c r="BC319" s="39"/>
      <c r="BD319" s="546" t="s">
        <v>325</v>
      </c>
      <c r="BE319" s="351"/>
      <c r="BF319" s="529"/>
      <c r="BG319" s="350"/>
      <c r="BH319" s="350"/>
      <c r="BI319" s="351"/>
      <c r="BJ319" s="548" t="s">
        <v>294</v>
      </c>
      <c r="BK319" s="350"/>
      <c r="BL319" s="350"/>
      <c r="BM319" s="351"/>
      <c r="BN319" s="530" t="s">
        <v>294</v>
      </c>
      <c r="BO319" s="350"/>
      <c r="BP319" s="350"/>
      <c r="BQ319" s="350"/>
      <c r="BR319" s="350"/>
      <c r="BS319" s="350"/>
      <c r="BT319" s="350"/>
      <c r="BU319" s="350"/>
      <c r="BV319" s="351"/>
    </row>
    <row r="320" spans="1:74" ht="45" customHeight="1">
      <c r="A320" s="24">
        <f t="shared" si="1"/>
        <v>306</v>
      </c>
      <c r="B320" s="558" t="s">
        <v>294</v>
      </c>
      <c r="C320" s="351"/>
      <c r="D320" s="559" t="s">
        <v>298</v>
      </c>
      <c r="E320" s="351"/>
      <c r="F320" s="524" t="s">
        <v>325</v>
      </c>
      <c r="G320" s="351"/>
      <c r="H320" s="525" t="s">
        <v>325</v>
      </c>
      <c r="I320" s="351"/>
      <c r="J320" s="563"/>
      <c r="K320" s="351"/>
      <c r="L320" s="563"/>
      <c r="M320" s="351"/>
      <c r="N320" s="37"/>
      <c r="O320" s="35"/>
      <c r="P320" s="560"/>
      <c r="Q320" s="351"/>
      <c r="R320" s="527"/>
      <c r="S320" s="351"/>
      <c r="T320" s="528"/>
      <c r="U320" s="351"/>
      <c r="V320" s="541"/>
      <c r="W320" s="351"/>
      <c r="X320" s="538" t="s">
        <v>294</v>
      </c>
      <c r="Y320" s="350"/>
      <c r="Z320" s="350"/>
      <c r="AA320" s="351"/>
      <c r="AB320" s="539" t="s">
        <v>294</v>
      </c>
      <c r="AC320" s="350"/>
      <c r="AD320" s="350"/>
      <c r="AE320" s="351"/>
      <c r="AF320" s="544"/>
      <c r="AG320" s="351"/>
      <c r="AH320" s="544"/>
      <c r="AI320" s="351"/>
      <c r="AJ320" s="545"/>
      <c r="AK320" s="351"/>
      <c r="AL320" s="555" t="s">
        <v>325</v>
      </c>
      <c r="AM320" s="351"/>
      <c r="AN320" s="531" t="s">
        <v>325</v>
      </c>
      <c r="AO320" s="351"/>
      <c r="AP320" s="550"/>
      <c r="AQ320" s="351"/>
      <c r="AR320" s="551"/>
      <c r="AS320" s="351"/>
      <c r="AT320" s="534"/>
      <c r="AU320" s="351"/>
      <c r="AV320" s="531" t="s">
        <v>325</v>
      </c>
      <c r="AW320" s="351"/>
      <c r="AX320" s="553"/>
      <c r="AY320" s="350"/>
      <c r="AZ320" s="351"/>
      <c r="BA320" s="554"/>
      <c r="BB320" s="351"/>
      <c r="BC320" s="36"/>
      <c r="BD320" s="556" t="s">
        <v>325</v>
      </c>
      <c r="BE320" s="351"/>
      <c r="BF320" s="547"/>
      <c r="BG320" s="350"/>
      <c r="BH320" s="350"/>
      <c r="BI320" s="351"/>
      <c r="BJ320" s="506" t="s">
        <v>294</v>
      </c>
      <c r="BK320" s="350"/>
      <c r="BL320" s="350"/>
      <c r="BM320" s="351"/>
      <c r="BN320" s="530" t="s">
        <v>294</v>
      </c>
      <c r="BO320" s="350"/>
      <c r="BP320" s="350"/>
      <c r="BQ320" s="350"/>
      <c r="BR320" s="350"/>
      <c r="BS320" s="350"/>
      <c r="BT320" s="350"/>
      <c r="BU320" s="350"/>
      <c r="BV320" s="351"/>
    </row>
    <row r="321" spans="1:74" ht="45" customHeight="1">
      <c r="A321" s="24">
        <f t="shared" si="1"/>
        <v>307</v>
      </c>
      <c r="B321" s="522" t="s">
        <v>294</v>
      </c>
      <c r="C321" s="351"/>
      <c r="D321" s="523" t="s">
        <v>298</v>
      </c>
      <c r="E321" s="351"/>
      <c r="F321" s="524" t="s">
        <v>325</v>
      </c>
      <c r="G321" s="351"/>
      <c r="H321" s="561" t="s">
        <v>325</v>
      </c>
      <c r="I321" s="351"/>
      <c r="J321" s="562"/>
      <c r="K321" s="351"/>
      <c r="L321" s="562"/>
      <c r="M321" s="351"/>
      <c r="N321" s="34"/>
      <c r="O321" s="38"/>
      <c r="P321" s="526"/>
      <c r="Q321" s="351"/>
      <c r="R321" s="535"/>
      <c r="S321" s="351"/>
      <c r="T321" s="536"/>
      <c r="U321" s="351"/>
      <c r="V321" s="537"/>
      <c r="W321" s="351"/>
      <c r="X321" s="542" t="s">
        <v>294</v>
      </c>
      <c r="Y321" s="350"/>
      <c r="Z321" s="350"/>
      <c r="AA321" s="351"/>
      <c r="AB321" s="543" t="s">
        <v>294</v>
      </c>
      <c r="AC321" s="350"/>
      <c r="AD321" s="350"/>
      <c r="AE321" s="351"/>
      <c r="AF321" s="540"/>
      <c r="AG321" s="351"/>
      <c r="AH321" s="540"/>
      <c r="AI321" s="351"/>
      <c r="AJ321" s="532"/>
      <c r="AK321" s="351"/>
      <c r="AL321" s="524" t="s">
        <v>325</v>
      </c>
      <c r="AM321" s="351"/>
      <c r="AN321" s="549" t="s">
        <v>325</v>
      </c>
      <c r="AO321" s="351"/>
      <c r="AP321" s="532"/>
      <c r="AQ321" s="351"/>
      <c r="AR321" s="533"/>
      <c r="AS321" s="351"/>
      <c r="AT321" s="534"/>
      <c r="AU321" s="351"/>
      <c r="AV321" s="549" t="s">
        <v>325</v>
      </c>
      <c r="AW321" s="351"/>
      <c r="AX321" s="553"/>
      <c r="AY321" s="350"/>
      <c r="AZ321" s="351"/>
      <c r="BA321" s="545"/>
      <c r="BB321" s="351"/>
      <c r="BC321" s="39"/>
      <c r="BD321" s="546" t="s">
        <v>325</v>
      </c>
      <c r="BE321" s="351"/>
      <c r="BF321" s="557"/>
      <c r="BG321" s="350"/>
      <c r="BH321" s="350"/>
      <c r="BI321" s="351"/>
      <c r="BJ321" s="548" t="s">
        <v>294</v>
      </c>
      <c r="BK321" s="350"/>
      <c r="BL321" s="350"/>
      <c r="BM321" s="351"/>
      <c r="BN321" s="530" t="s">
        <v>294</v>
      </c>
      <c r="BO321" s="350"/>
      <c r="BP321" s="350"/>
      <c r="BQ321" s="350"/>
      <c r="BR321" s="350"/>
      <c r="BS321" s="350"/>
      <c r="BT321" s="350"/>
      <c r="BU321" s="350"/>
      <c r="BV321" s="351"/>
    </row>
    <row r="322" spans="1:74" ht="45" customHeight="1">
      <c r="A322" s="24">
        <f t="shared" si="1"/>
        <v>308</v>
      </c>
      <c r="B322" s="558" t="s">
        <v>294</v>
      </c>
      <c r="C322" s="351"/>
      <c r="D322" s="559" t="s">
        <v>298</v>
      </c>
      <c r="E322" s="351"/>
      <c r="F322" s="524" t="s">
        <v>325</v>
      </c>
      <c r="G322" s="351"/>
      <c r="H322" s="525" t="s">
        <v>325</v>
      </c>
      <c r="I322" s="351"/>
      <c r="J322" s="563"/>
      <c r="K322" s="351"/>
      <c r="L322" s="563"/>
      <c r="M322" s="351"/>
      <c r="N322" s="37"/>
      <c r="O322" s="35"/>
      <c r="P322" s="560"/>
      <c r="Q322" s="351"/>
      <c r="R322" s="527"/>
      <c r="S322" s="351"/>
      <c r="T322" s="528"/>
      <c r="U322" s="351"/>
      <c r="V322" s="541"/>
      <c r="W322" s="351"/>
      <c r="X322" s="538" t="s">
        <v>294</v>
      </c>
      <c r="Y322" s="350"/>
      <c r="Z322" s="350"/>
      <c r="AA322" s="351"/>
      <c r="AB322" s="539" t="s">
        <v>294</v>
      </c>
      <c r="AC322" s="350"/>
      <c r="AD322" s="350"/>
      <c r="AE322" s="351"/>
      <c r="AF322" s="544"/>
      <c r="AG322" s="351"/>
      <c r="AH322" s="544"/>
      <c r="AI322" s="351"/>
      <c r="AJ322" s="545"/>
      <c r="AK322" s="351"/>
      <c r="AL322" s="555" t="s">
        <v>325</v>
      </c>
      <c r="AM322" s="351"/>
      <c r="AN322" s="531" t="s">
        <v>325</v>
      </c>
      <c r="AO322" s="351"/>
      <c r="AP322" s="550"/>
      <c r="AQ322" s="351"/>
      <c r="AR322" s="551"/>
      <c r="AS322" s="351"/>
      <c r="AT322" s="534"/>
      <c r="AU322" s="351"/>
      <c r="AV322" s="531" t="s">
        <v>325</v>
      </c>
      <c r="AW322" s="351"/>
      <c r="AX322" s="553"/>
      <c r="AY322" s="350"/>
      <c r="AZ322" s="351"/>
      <c r="BA322" s="554"/>
      <c r="BB322" s="351"/>
      <c r="BC322" s="36"/>
      <c r="BD322" s="556" t="s">
        <v>325</v>
      </c>
      <c r="BE322" s="351"/>
      <c r="BF322" s="547"/>
      <c r="BG322" s="350"/>
      <c r="BH322" s="350"/>
      <c r="BI322" s="351"/>
      <c r="BJ322" s="506" t="s">
        <v>294</v>
      </c>
      <c r="BK322" s="350"/>
      <c r="BL322" s="350"/>
      <c r="BM322" s="351"/>
      <c r="BN322" s="530" t="s">
        <v>294</v>
      </c>
      <c r="BO322" s="350"/>
      <c r="BP322" s="350"/>
      <c r="BQ322" s="350"/>
      <c r="BR322" s="350"/>
      <c r="BS322" s="350"/>
      <c r="BT322" s="350"/>
      <c r="BU322" s="350"/>
      <c r="BV322" s="351"/>
    </row>
    <row r="323" spans="1:74" ht="45" customHeight="1">
      <c r="A323" s="24">
        <f t="shared" si="1"/>
        <v>309</v>
      </c>
      <c r="B323" s="522" t="s">
        <v>294</v>
      </c>
      <c r="C323" s="351"/>
      <c r="D323" s="523" t="s">
        <v>298</v>
      </c>
      <c r="E323" s="351"/>
      <c r="F323" s="524" t="s">
        <v>325</v>
      </c>
      <c r="G323" s="351"/>
      <c r="H323" s="561" t="s">
        <v>325</v>
      </c>
      <c r="I323" s="351"/>
      <c r="J323" s="562"/>
      <c r="K323" s="351"/>
      <c r="L323" s="562"/>
      <c r="M323" s="351"/>
      <c r="N323" s="34"/>
      <c r="O323" s="38"/>
      <c r="P323" s="526"/>
      <c r="Q323" s="351"/>
      <c r="R323" s="535"/>
      <c r="S323" s="351"/>
      <c r="T323" s="536"/>
      <c r="U323" s="351"/>
      <c r="V323" s="537"/>
      <c r="W323" s="351"/>
      <c r="X323" s="542" t="s">
        <v>294</v>
      </c>
      <c r="Y323" s="350"/>
      <c r="Z323" s="350"/>
      <c r="AA323" s="351"/>
      <c r="AB323" s="543" t="s">
        <v>294</v>
      </c>
      <c r="AC323" s="350"/>
      <c r="AD323" s="350"/>
      <c r="AE323" s="351"/>
      <c r="AF323" s="540"/>
      <c r="AG323" s="351"/>
      <c r="AH323" s="540"/>
      <c r="AI323" s="351"/>
      <c r="AJ323" s="532"/>
      <c r="AK323" s="351"/>
      <c r="AL323" s="524" t="s">
        <v>325</v>
      </c>
      <c r="AM323" s="351"/>
      <c r="AN323" s="549" t="s">
        <v>325</v>
      </c>
      <c r="AO323" s="351"/>
      <c r="AP323" s="532"/>
      <c r="AQ323" s="351"/>
      <c r="AR323" s="533"/>
      <c r="AS323" s="351"/>
      <c r="AT323" s="534"/>
      <c r="AU323" s="351"/>
      <c r="AV323" s="549" t="s">
        <v>325</v>
      </c>
      <c r="AW323" s="351"/>
      <c r="AX323" s="553"/>
      <c r="AY323" s="350"/>
      <c r="AZ323" s="351"/>
      <c r="BA323" s="545"/>
      <c r="BB323" s="351"/>
      <c r="BC323" s="39"/>
      <c r="BD323" s="546" t="s">
        <v>325</v>
      </c>
      <c r="BE323" s="351"/>
      <c r="BF323" s="529"/>
      <c r="BG323" s="350"/>
      <c r="BH323" s="350"/>
      <c r="BI323" s="351"/>
      <c r="BJ323" s="548" t="s">
        <v>294</v>
      </c>
      <c r="BK323" s="350"/>
      <c r="BL323" s="350"/>
      <c r="BM323" s="351"/>
      <c r="BN323" s="530" t="s">
        <v>294</v>
      </c>
      <c r="BO323" s="350"/>
      <c r="BP323" s="350"/>
      <c r="BQ323" s="350"/>
      <c r="BR323" s="350"/>
      <c r="BS323" s="350"/>
      <c r="BT323" s="350"/>
      <c r="BU323" s="350"/>
      <c r="BV323" s="351"/>
    </row>
    <row r="324" spans="1:74" ht="45" customHeight="1">
      <c r="A324" s="24">
        <f t="shared" si="1"/>
        <v>310</v>
      </c>
      <c r="B324" s="558" t="s">
        <v>294</v>
      </c>
      <c r="C324" s="351"/>
      <c r="D324" s="559" t="s">
        <v>298</v>
      </c>
      <c r="E324" s="351"/>
      <c r="F324" s="524" t="s">
        <v>325</v>
      </c>
      <c r="G324" s="351"/>
      <c r="H324" s="525" t="s">
        <v>325</v>
      </c>
      <c r="I324" s="351"/>
      <c r="J324" s="563"/>
      <c r="K324" s="351"/>
      <c r="L324" s="563"/>
      <c r="M324" s="351"/>
      <c r="N324" s="37"/>
      <c r="O324" s="35"/>
      <c r="P324" s="560"/>
      <c r="Q324" s="351"/>
      <c r="R324" s="527"/>
      <c r="S324" s="351"/>
      <c r="T324" s="528"/>
      <c r="U324" s="351"/>
      <c r="V324" s="541"/>
      <c r="W324" s="351"/>
      <c r="X324" s="538" t="s">
        <v>294</v>
      </c>
      <c r="Y324" s="350"/>
      <c r="Z324" s="350"/>
      <c r="AA324" s="351"/>
      <c r="AB324" s="539" t="s">
        <v>294</v>
      </c>
      <c r="AC324" s="350"/>
      <c r="AD324" s="350"/>
      <c r="AE324" s="351"/>
      <c r="AF324" s="544"/>
      <c r="AG324" s="351"/>
      <c r="AH324" s="544"/>
      <c r="AI324" s="351"/>
      <c r="AJ324" s="545"/>
      <c r="AK324" s="351"/>
      <c r="AL324" s="555" t="s">
        <v>325</v>
      </c>
      <c r="AM324" s="351"/>
      <c r="AN324" s="531" t="s">
        <v>325</v>
      </c>
      <c r="AO324" s="351"/>
      <c r="AP324" s="550"/>
      <c r="AQ324" s="351"/>
      <c r="AR324" s="551"/>
      <c r="AS324" s="351"/>
      <c r="AT324" s="534"/>
      <c r="AU324" s="351"/>
      <c r="AV324" s="531" t="s">
        <v>325</v>
      </c>
      <c r="AW324" s="351"/>
      <c r="AX324" s="553"/>
      <c r="AY324" s="350"/>
      <c r="AZ324" s="351"/>
      <c r="BA324" s="554"/>
      <c r="BB324" s="351"/>
      <c r="BC324" s="36"/>
      <c r="BD324" s="556" t="s">
        <v>325</v>
      </c>
      <c r="BE324" s="351"/>
      <c r="BF324" s="547"/>
      <c r="BG324" s="350"/>
      <c r="BH324" s="350"/>
      <c r="BI324" s="351"/>
      <c r="BJ324" s="506" t="s">
        <v>294</v>
      </c>
      <c r="BK324" s="350"/>
      <c r="BL324" s="350"/>
      <c r="BM324" s="351"/>
      <c r="BN324" s="530" t="s">
        <v>294</v>
      </c>
      <c r="BO324" s="350"/>
      <c r="BP324" s="350"/>
      <c r="BQ324" s="350"/>
      <c r="BR324" s="350"/>
      <c r="BS324" s="350"/>
      <c r="BT324" s="350"/>
      <c r="BU324" s="350"/>
      <c r="BV324" s="351"/>
    </row>
    <row r="325" spans="1:74" ht="45" customHeight="1">
      <c r="A325" s="24">
        <f t="shared" si="1"/>
        <v>311</v>
      </c>
      <c r="B325" s="522" t="s">
        <v>294</v>
      </c>
      <c r="C325" s="351"/>
      <c r="D325" s="523" t="s">
        <v>298</v>
      </c>
      <c r="E325" s="351"/>
      <c r="F325" s="524" t="s">
        <v>325</v>
      </c>
      <c r="G325" s="351"/>
      <c r="H325" s="561" t="s">
        <v>325</v>
      </c>
      <c r="I325" s="351"/>
      <c r="J325" s="562"/>
      <c r="K325" s="351"/>
      <c r="L325" s="562"/>
      <c r="M325" s="351"/>
      <c r="N325" s="34"/>
      <c r="O325" s="38"/>
      <c r="P325" s="526"/>
      <c r="Q325" s="351"/>
      <c r="R325" s="535"/>
      <c r="S325" s="351"/>
      <c r="T325" s="536"/>
      <c r="U325" s="351"/>
      <c r="V325" s="537"/>
      <c r="W325" s="351"/>
      <c r="X325" s="542" t="s">
        <v>294</v>
      </c>
      <c r="Y325" s="350"/>
      <c r="Z325" s="350"/>
      <c r="AA325" s="351"/>
      <c r="AB325" s="543" t="s">
        <v>294</v>
      </c>
      <c r="AC325" s="350"/>
      <c r="AD325" s="350"/>
      <c r="AE325" s="351"/>
      <c r="AF325" s="540"/>
      <c r="AG325" s="351"/>
      <c r="AH325" s="540"/>
      <c r="AI325" s="351"/>
      <c r="AJ325" s="532"/>
      <c r="AK325" s="351"/>
      <c r="AL325" s="524" t="s">
        <v>325</v>
      </c>
      <c r="AM325" s="351"/>
      <c r="AN325" s="549" t="s">
        <v>325</v>
      </c>
      <c r="AO325" s="351"/>
      <c r="AP325" s="532"/>
      <c r="AQ325" s="351"/>
      <c r="AR325" s="533"/>
      <c r="AS325" s="351"/>
      <c r="AT325" s="534"/>
      <c r="AU325" s="351"/>
      <c r="AV325" s="549" t="s">
        <v>325</v>
      </c>
      <c r="AW325" s="351"/>
      <c r="AX325" s="553"/>
      <c r="AY325" s="350"/>
      <c r="AZ325" s="351"/>
      <c r="BA325" s="545"/>
      <c r="BB325" s="351"/>
      <c r="BC325" s="39"/>
      <c r="BD325" s="546" t="s">
        <v>325</v>
      </c>
      <c r="BE325" s="351"/>
      <c r="BF325" s="529"/>
      <c r="BG325" s="350"/>
      <c r="BH325" s="350"/>
      <c r="BI325" s="351"/>
      <c r="BJ325" s="548" t="s">
        <v>294</v>
      </c>
      <c r="BK325" s="350"/>
      <c r="BL325" s="350"/>
      <c r="BM325" s="351"/>
      <c r="BN325" s="530" t="s">
        <v>294</v>
      </c>
      <c r="BO325" s="350"/>
      <c r="BP325" s="350"/>
      <c r="BQ325" s="350"/>
      <c r="BR325" s="350"/>
      <c r="BS325" s="350"/>
      <c r="BT325" s="350"/>
      <c r="BU325" s="350"/>
      <c r="BV325" s="351"/>
    </row>
    <row r="326" spans="1:74" ht="45" customHeight="1">
      <c r="A326" s="24">
        <f t="shared" si="1"/>
        <v>312</v>
      </c>
      <c r="B326" s="558" t="s">
        <v>294</v>
      </c>
      <c r="C326" s="351"/>
      <c r="D326" s="559" t="s">
        <v>298</v>
      </c>
      <c r="E326" s="351"/>
      <c r="F326" s="524" t="s">
        <v>325</v>
      </c>
      <c r="G326" s="351"/>
      <c r="H326" s="525" t="s">
        <v>325</v>
      </c>
      <c r="I326" s="351"/>
      <c r="J326" s="563"/>
      <c r="K326" s="351"/>
      <c r="L326" s="563"/>
      <c r="M326" s="351"/>
      <c r="N326" s="37"/>
      <c r="O326" s="35"/>
      <c r="P326" s="560"/>
      <c r="Q326" s="351"/>
      <c r="R326" s="527"/>
      <c r="S326" s="351"/>
      <c r="T326" s="528"/>
      <c r="U326" s="351"/>
      <c r="V326" s="541"/>
      <c r="W326" s="351"/>
      <c r="X326" s="538" t="s">
        <v>294</v>
      </c>
      <c r="Y326" s="350"/>
      <c r="Z326" s="350"/>
      <c r="AA326" s="351"/>
      <c r="AB326" s="539" t="s">
        <v>294</v>
      </c>
      <c r="AC326" s="350"/>
      <c r="AD326" s="350"/>
      <c r="AE326" s="351"/>
      <c r="AF326" s="544"/>
      <c r="AG326" s="351"/>
      <c r="AH326" s="544"/>
      <c r="AI326" s="351"/>
      <c r="AJ326" s="545"/>
      <c r="AK326" s="351"/>
      <c r="AL326" s="555" t="s">
        <v>325</v>
      </c>
      <c r="AM326" s="351"/>
      <c r="AN326" s="531" t="s">
        <v>325</v>
      </c>
      <c r="AO326" s="351"/>
      <c r="AP326" s="550"/>
      <c r="AQ326" s="351"/>
      <c r="AR326" s="551"/>
      <c r="AS326" s="351"/>
      <c r="AT326" s="534"/>
      <c r="AU326" s="351"/>
      <c r="AV326" s="531" t="s">
        <v>325</v>
      </c>
      <c r="AW326" s="351"/>
      <c r="AX326" s="553"/>
      <c r="AY326" s="350"/>
      <c r="AZ326" s="351"/>
      <c r="BA326" s="554"/>
      <c r="BB326" s="351"/>
      <c r="BC326" s="36"/>
      <c r="BD326" s="556" t="s">
        <v>325</v>
      </c>
      <c r="BE326" s="351"/>
      <c r="BF326" s="547"/>
      <c r="BG326" s="350"/>
      <c r="BH326" s="350"/>
      <c r="BI326" s="351"/>
      <c r="BJ326" s="506" t="s">
        <v>294</v>
      </c>
      <c r="BK326" s="350"/>
      <c r="BL326" s="350"/>
      <c r="BM326" s="351"/>
      <c r="BN326" s="530" t="s">
        <v>294</v>
      </c>
      <c r="BO326" s="350"/>
      <c r="BP326" s="350"/>
      <c r="BQ326" s="350"/>
      <c r="BR326" s="350"/>
      <c r="BS326" s="350"/>
      <c r="BT326" s="350"/>
      <c r="BU326" s="350"/>
      <c r="BV326" s="351"/>
    </row>
    <row r="327" spans="1:74" ht="45" customHeight="1">
      <c r="A327" s="24">
        <f t="shared" si="1"/>
        <v>313</v>
      </c>
      <c r="B327" s="522" t="s">
        <v>294</v>
      </c>
      <c r="C327" s="351"/>
      <c r="D327" s="523" t="s">
        <v>298</v>
      </c>
      <c r="E327" s="351"/>
      <c r="F327" s="524" t="s">
        <v>325</v>
      </c>
      <c r="G327" s="351"/>
      <c r="H327" s="561" t="s">
        <v>325</v>
      </c>
      <c r="I327" s="351"/>
      <c r="J327" s="562"/>
      <c r="K327" s="351"/>
      <c r="L327" s="562"/>
      <c r="M327" s="351"/>
      <c r="N327" s="34"/>
      <c r="O327" s="38"/>
      <c r="P327" s="526"/>
      <c r="Q327" s="351"/>
      <c r="R327" s="535"/>
      <c r="S327" s="351"/>
      <c r="T327" s="536"/>
      <c r="U327" s="351"/>
      <c r="V327" s="537"/>
      <c r="W327" s="351"/>
      <c r="X327" s="542" t="s">
        <v>294</v>
      </c>
      <c r="Y327" s="350"/>
      <c r="Z327" s="350"/>
      <c r="AA327" s="351"/>
      <c r="AB327" s="543" t="s">
        <v>294</v>
      </c>
      <c r="AC327" s="350"/>
      <c r="AD327" s="350"/>
      <c r="AE327" s="351"/>
      <c r="AF327" s="540"/>
      <c r="AG327" s="351"/>
      <c r="AH327" s="540"/>
      <c r="AI327" s="351"/>
      <c r="AJ327" s="532"/>
      <c r="AK327" s="351"/>
      <c r="AL327" s="524" t="s">
        <v>325</v>
      </c>
      <c r="AM327" s="351"/>
      <c r="AN327" s="549" t="s">
        <v>325</v>
      </c>
      <c r="AO327" s="351"/>
      <c r="AP327" s="532"/>
      <c r="AQ327" s="351"/>
      <c r="AR327" s="533"/>
      <c r="AS327" s="351"/>
      <c r="AT327" s="534"/>
      <c r="AU327" s="351"/>
      <c r="AV327" s="549" t="s">
        <v>325</v>
      </c>
      <c r="AW327" s="351"/>
      <c r="AX327" s="553"/>
      <c r="AY327" s="350"/>
      <c r="AZ327" s="351"/>
      <c r="BA327" s="545"/>
      <c r="BB327" s="351"/>
      <c r="BC327" s="39"/>
      <c r="BD327" s="546" t="s">
        <v>325</v>
      </c>
      <c r="BE327" s="351"/>
      <c r="BF327" s="557"/>
      <c r="BG327" s="350"/>
      <c r="BH327" s="350"/>
      <c r="BI327" s="351"/>
      <c r="BJ327" s="548" t="s">
        <v>294</v>
      </c>
      <c r="BK327" s="350"/>
      <c r="BL327" s="350"/>
      <c r="BM327" s="351"/>
      <c r="BN327" s="530" t="s">
        <v>294</v>
      </c>
      <c r="BO327" s="350"/>
      <c r="BP327" s="350"/>
      <c r="BQ327" s="350"/>
      <c r="BR327" s="350"/>
      <c r="BS327" s="350"/>
      <c r="BT327" s="350"/>
      <c r="BU327" s="350"/>
      <c r="BV327" s="351"/>
    </row>
    <row r="328" spans="1:74" ht="45" customHeight="1">
      <c r="A328" s="24">
        <f t="shared" si="1"/>
        <v>314</v>
      </c>
      <c r="B328" s="558" t="s">
        <v>294</v>
      </c>
      <c r="C328" s="351"/>
      <c r="D328" s="559" t="s">
        <v>298</v>
      </c>
      <c r="E328" s="351"/>
      <c r="F328" s="524" t="s">
        <v>325</v>
      </c>
      <c r="G328" s="351"/>
      <c r="H328" s="525" t="s">
        <v>325</v>
      </c>
      <c r="I328" s="351"/>
      <c r="J328" s="563"/>
      <c r="K328" s="351"/>
      <c r="L328" s="563"/>
      <c r="M328" s="351"/>
      <c r="N328" s="37"/>
      <c r="O328" s="35"/>
      <c r="P328" s="560"/>
      <c r="Q328" s="351"/>
      <c r="R328" s="527"/>
      <c r="S328" s="351"/>
      <c r="T328" s="528"/>
      <c r="U328" s="351"/>
      <c r="V328" s="541"/>
      <c r="W328" s="351"/>
      <c r="X328" s="538" t="s">
        <v>294</v>
      </c>
      <c r="Y328" s="350"/>
      <c r="Z328" s="350"/>
      <c r="AA328" s="351"/>
      <c r="AB328" s="539" t="s">
        <v>294</v>
      </c>
      <c r="AC328" s="350"/>
      <c r="AD328" s="350"/>
      <c r="AE328" s="351"/>
      <c r="AF328" s="544"/>
      <c r="AG328" s="351"/>
      <c r="AH328" s="544"/>
      <c r="AI328" s="351"/>
      <c r="AJ328" s="545"/>
      <c r="AK328" s="351"/>
      <c r="AL328" s="555" t="s">
        <v>325</v>
      </c>
      <c r="AM328" s="351"/>
      <c r="AN328" s="531" t="s">
        <v>325</v>
      </c>
      <c r="AO328" s="351"/>
      <c r="AP328" s="550"/>
      <c r="AQ328" s="351"/>
      <c r="AR328" s="551"/>
      <c r="AS328" s="351"/>
      <c r="AT328" s="534"/>
      <c r="AU328" s="351"/>
      <c r="AV328" s="531" t="s">
        <v>325</v>
      </c>
      <c r="AW328" s="351"/>
      <c r="AX328" s="553"/>
      <c r="AY328" s="350"/>
      <c r="AZ328" s="351"/>
      <c r="BA328" s="554"/>
      <c r="BB328" s="351"/>
      <c r="BC328" s="36"/>
      <c r="BD328" s="556" t="s">
        <v>325</v>
      </c>
      <c r="BE328" s="351"/>
      <c r="BF328" s="547"/>
      <c r="BG328" s="350"/>
      <c r="BH328" s="350"/>
      <c r="BI328" s="351"/>
      <c r="BJ328" s="506" t="s">
        <v>294</v>
      </c>
      <c r="BK328" s="350"/>
      <c r="BL328" s="350"/>
      <c r="BM328" s="351"/>
      <c r="BN328" s="530" t="s">
        <v>294</v>
      </c>
      <c r="BO328" s="350"/>
      <c r="BP328" s="350"/>
      <c r="BQ328" s="350"/>
      <c r="BR328" s="350"/>
      <c r="BS328" s="350"/>
      <c r="BT328" s="350"/>
      <c r="BU328" s="350"/>
      <c r="BV328" s="351"/>
    </row>
    <row r="329" spans="1:74" ht="45" customHeight="1">
      <c r="A329" s="24">
        <f t="shared" si="1"/>
        <v>315</v>
      </c>
      <c r="B329" s="522" t="s">
        <v>294</v>
      </c>
      <c r="C329" s="351"/>
      <c r="D329" s="523" t="s">
        <v>298</v>
      </c>
      <c r="E329" s="351"/>
      <c r="F329" s="524" t="s">
        <v>325</v>
      </c>
      <c r="G329" s="351"/>
      <c r="H329" s="561" t="s">
        <v>325</v>
      </c>
      <c r="I329" s="351"/>
      <c r="J329" s="562"/>
      <c r="K329" s="351"/>
      <c r="L329" s="562"/>
      <c r="M329" s="351"/>
      <c r="N329" s="34"/>
      <c r="O329" s="38"/>
      <c r="P329" s="526"/>
      <c r="Q329" s="351"/>
      <c r="R329" s="535"/>
      <c r="S329" s="351"/>
      <c r="T329" s="536"/>
      <c r="U329" s="351"/>
      <c r="V329" s="537"/>
      <c r="W329" s="351"/>
      <c r="X329" s="542" t="s">
        <v>294</v>
      </c>
      <c r="Y329" s="350"/>
      <c r="Z329" s="350"/>
      <c r="AA329" s="351"/>
      <c r="AB329" s="543" t="s">
        <v>294</v>
      </c>
      <c r="AC329" s="350"/>
      <c r="AD329" s="350"/>
      <c r="AE329" s="351"/>
      <c r="AF329" s="540"/>
      <c r="AG329" s="351"/>
      <c r="AH329" s="540"/>
      <c r="AI329" s="351"/>
      <c r="AJ329" s="532"/>
      <c r="AK329" s="351"/>
      <c r="AL329" s="524" t="s">
        <v>325</v>
      </c>
      <c r="AM329" s="351"/>
      <c r="AN329" s="549" t="s">
        <v>325</v>
      </c>
      <c r="AO329" s="351"/>
      <c r="AP329" s="532"/>
      <c r="AQ329" s="351"/>
      <c r="AR329" s="533"/>
      <c r="AS329" s="351"/>
      <c r="AT329" s="534"/>
      <c r="AU329" s="351"/>
      <c r="AV329" s="549" t="s">
        <v>325</v>
      </c>
      <c r="AW329" s="351"/>
      <c r="AX329" s="553"/>
      <c r="AY329" s="350"/>
      <c r="AZ329" s="351"/>
      <c r="BA329" s="545"/>
      <c r="BB329" s="351"/>
      <c r="BC329" s="39"/>
      <c r="BD329" s="546" t="s">
        <v>325</v>
      </c>
      <c r="BE329" s="351"/>
      <c r="BF329" s="529"/>
      <c r="BG329" s="350"/>
      <c r="BH329" s="350"/>
      <c r="BI329" s="351"/>
      <c r="BJ329" s="548" t="s">
        <v>294</v>
      </c>
      <c r="BK329" s="350"/>
      <c r="BL329" s="350"/>
      <c r="BM329" s="351"/>
      <c r="BN329" s="530" t="s">
        <v>294</v>
      </c>
      <c r="BO329" s="350"/>
      <c r="BP329" s="350"/>
      <c r="BQ329" s="350"/>
      <c r="BR329" s="350"/>
      <c r="BS329" s="350"/>
      <c r="BT329" s="350"/>
      <c r="BU329" s="350"/>
      <c r="BV329" s="351"/>
    </row>
    <row r="330" spans="1:74" ht="45" customHeight="1">
      <c r="A330" s="24">
        <f t="shared" si="1"/>
        <v>316</v>
      </c>
      <c r="B330" s="558" t="s">
        <v>294</v>
      </c>
      <c r="C330" s="351"/>
      <c r="D330" s="559" t="s">
        <v>298</v>
      </c>
      <c r="E330" s="351"/>
      <c r="F330" s="524" t="s">
        <v>325</v>
      </c>
      <c r="G330" s="351"/>
      <c r="H330" s="525" t="s">
        <v>325</v>
      </c>
      <c r="I330" s="351"/>
      <c r="J330" s="563"/>
      <c r="K330" s="351"/>
      <c r="L330" s="563"/>
      <c r="M330" s="351"/>
      <c r="N330" s="37"/>
      <c r="O330" s="35"/>
      <c r="P330" s="560"/>
      <c r="Q330" s="351"/>
      <c r="R330" s="527"/>
      <c r="S330" s="351"/>
      <c r="T330" s="528"/>
      <c r="U330" s="351"/>
      <c r="V330" s="541"/>
      <c r="W330" s="351"/>
      <c r="X330" s="538" t="s">
        <v>294</v>
      </c>
      <c r="Y330" s="350"/>
      <c r="Z330" s="350"/>
      <c r="AA330" s="351"/>
      <c r="AB330" s="539" t="s">
        <v>294</v>
      </c>
      <c r="AC330" s="350"/>
      <c r="AD330" s="350"/>
      <c r="AE330" s="351"/>
      <c r="AF330" s="544"/>
      <c r="AG330" s="351"/>
      <c r="AH330" s="544"/>
      <c r="AI330" s="351"/>
      <c r="AJ330" s="545"/>
      <c r="AK330" s="351"/>
      <c r="AL330" s="555" t="s">
        <v>325</v>
      </c>
      <c r="AM330" s="351"/>
      <c r="AN330" s="531" t="s">
        <v>325</v>
      </c>
      <c r="AO330" s="351"/>
      <c r="AP330" s="550"/>
      <c r="AQ330" s="351"/>
      <c r="AR330" s="551"/>
      <c r="AS330" s="351"/>
      <c r="AT330" s="534"/>
      <c r="AU330" s="351"/>
      <c r="AV330" s="531" t="s">
        <v>325</v>
      </c>
      <c r="AW330" s="351"/>
      <c r="AX330" s="553"/>
      <c r="AY330" s="350"/>
      <c r="AZ330" s="351"/>
      <c r="BA330" s="554"/>
      <c r="BB330" s="351"/>
      <c r="BC330" s="36"/>
      <c r="BD330" s="556" t="s">
        <v>325</v>
      </c>
      <c r="BE330" s="351"/>
      <c r="BF330" s="547"/>
      <c r="BG330" s="350"/>
      <c r="BH330" s="350"/>
      <c r="BI330" s="351"/>
      <c r="BJ330" s="506" t="s">
        <v>294</v>
      </c>
      <c r="BK330" s="350"/>
      <c r="BL330" s="350"/>
      <c r="BM330" s="351"/>
      <c r="BN330" s="530" t="s">
        <v>294</v>
      </c>
      <c r="BO330" s="350"/>
      <c r="BP330" s="350"/>
      <c r="BQ330" s="350"/>
      <c r="BR330" s="350"/>
      <c r="BS330" s="350"/>
      <c r="BT330" s="350"/>
      <c r="BU330" s="350"/>
      <c r="BV330" s="351"/>
    </row>
    <row r="331" spans="1:74" ht="45" customHeight="1">
      <c r="A331" s="24">
        <f t="shared" si="1"/>
        <v>317</v>
      </c>
      <c r="B331" s="522" t="s">
        <v>294</v>
      </c>
      <c r="C331" s="351"/>
      <c r="D331" s="523" t="s">
        <v>298</v>
      </c>
      <c r="E331" s="351"/>
      <c r="F331" s="524" t="s">
        <v>325</v>
      </c>
      <c r="G331" s="351"/>
      <c r="H331" s="561" t="s">
        <v>325</v>
      </c>
      <c r="I331" s="351"/>
      <c r="J331" s="562"/>
      <c r="K331" s="351"/>
      <c r="L331" s="562"/>
      <c r="M331" s="351"/>
      <c r="N331" s="34"/>
      <c r="O331" s="38"/>
      <c r="P331" s="526"/>
      <c r="Q331" s="351"/>
      <c r="R331" s="535"/>
      <c r="S331" s="351"/>
      <c r="T331" s="536"/>
      <c r="U331" s="351"/>
      <c r="V331" s="537"/>
      <c r="W331" s="351"/>
      <c r="X331" s="542" t="s">
        <v>294</v>
      </c>
      <c r="Y331" s="350"/>
      <c r="Z331" s="350"/>
      <c r="AA331" s="351"/>
      <c r="AB331" s="543" t="s">
        <v>294</v>
      </c>
      <c r="AC331" s="350"/>
      <c r="AD331" s="350"/>
      <c r="AE331" s="351"/>
      <c r="AF331" s="540"/>
      <c r="AG331" s="351"/>
      <c r="AH331" s="540"/>
      <c r="AI331" s="351"/>
      <c r="AJ331" s="532"/>
      <c r="AK331" s="351"/>
      <c r="AL331" s="524" t="s">
        <v>325</v>
      </c>
      <c r="AM331" s="351"/>
      <c r="AN331" s="549" t="s">
        <v>325</v>
      </c>
      <c r="AO331" s="351"/>
      <c r="AP331" s="532"/>
      <c r="AQ331" s="351"/>
      <c r="AR331" s="533"/>
      <c r="AS331" s="351"/>
      <c r="AT331" s="534"/>
      <c r="AU331" s="351"/>
      <c r="AV331" s="549" t="s">
        <v>325</v>
      </c>
      <c r="AW331" s="351"/>
      <c r="AX331" s="553"/>
      <c r="AY331" s="350"/>
      <c r="AZ331" s="351"/>
      <c r="BA331" s="545"/>
      <c r="BB331" s="351"/>
      <c r="BC331" s="39"/>
      <c r="BD331" s="546" t="s">
        <v>325</v>
      </c>
      <c r="BE331" s="351"/>
      <c r="BF331" s="557"/>
      <c r="BG331" s="350"/>
      <c r="BH331" s="350"/>
      <c r="BI331" s="351"/>
      <c r="BJ331" s="548" t="s">
        <v>294</v>
      </c>
      <c r="BK331" s="350"/>
      <c r="BL331" s="350"/>
      <c r="BM331" s="351"/>
      <c r="BN331" s="530" t="s">
        <v>294</v>
      </c>
      <c r="BO331" s="350"/>
      <c r="BP331" s="350"/>
      <c r="BQ331" s="350"/>
      <c r="BR331" s="350"/>
      <c r="BS331" s="350"/>
      <c r="BT331" s="350"/>
      <c r="BU331" s="350"/>
      <c r="BV331" s="351"/>
    </row>
    <row r="332" spans="1:74" ht="45" customHeight="1">
      <c r="A332" s="24">
        <f t="shared" si="1"/>
        <v>318</v>
      </c>
      <c r="B332" s="558" t="s">
        <v>294</v>
      </c>
      <c r="C332" s="351"/>
      <c r="D332" s="559" t="s">
        <v>298</v>
      </c>
      <c r="E332" s="351"/>
      <c r="F332" s="524" t="s">
        <v>325</v>
      </c>
      <c r="G332" s="351"/>
      <c r="H332" s="525" t="s">
        <v>325</v>
      </c>
      <c r="I332" s="351"/>
      <c r="J332" s="563"/>
      <c r="K332" s="351"/>
      <c r="L332" s="563"/>
      <c r="M332" s="351"/>
      <c r="N332" s="37"/>
      <c r="O332" s="35"/>
      <c r="P332" s="560"/>
      <c r="Q332" s="351"/>
      <c r="R332" s="527"/>
      <c r="S332" s="351"/>
      <c r="T332" s="528"/>
      <c r="U332" s="351"/>
      <c r="V332" s="541"/>
      <c r="W332" s="351"/>
      <c r="X332" s="538" t="s">
        <v>294</v>
      </c>
      <c r="Y332" s="350"/>
      <c r="Z332" s="350"/>
      <c r="AA332" s="351"/>
      <c r="AB332" s="539" t="s">
        <v>294</v>
      </c>
      <c r="AC332" s="350"/>
      <c r="AD332" s="350"/>
      <c r="AE332" s="351"/>
      <c r="AF332" s="544"/>
      <c r="AG332" s="351"/>
      <c r="AH332" s="544"/>
      <c r="AI332" s="351"/>
      <c r="AJ332" s="545"/>
      <c r="AK332" s="351"/>
      <c r="AL332" s="555" t="s">
        <v>325</v>
      </c>
      <c r="AM332" s="351"/>
      <c r="AN332" s="531" t="s">
        <v>325</v>
      </c>
      <c r="AO332" s="351"/>
      <c r="AP332" s="550"/>
      <c r="AQ332" s="351"/>
      <c r="AR332" s="551"/>
      <c r="AS332" s="351"/>
      <c r="AT332" s="534"/>
      <c r="AU332" s="351"/>
      <c r="AV332" s="531" t="s">
        <v>325</v>
      </c>
      <c r="AW332" s="351"/>
      <c r="AX332" s="553"/>
      <c r="AY332" s="350"/>
      <c r="AZ332" s="351"/>
      <c r="BA332" s="554"/>
      <c r="BB332" s="351"/>
      <c r="BC332" s="36"/>
      <c r="BD332" s="556" t="s">
        <v>325</v>
      </c>
      <c r="BE332" s="351"/>
      <c r="BF332" s="547"/>
      <c r="BG332" s="350"/>
      <c r="BH332" s="350"/>
      <c r="BI332" s="351"/>
      <c r="BJ332" s="506" t="s">
        <v>294</v>
      </c>
      <c r="BK332" s="350"/>
      <c r="BL332" s="350"/>
      <c r="BM332" s="351"/>
      <c r="BN332" s="530" t="s">
        <v>294</v>
      </c>
      <c r="BO332" s="350"/>
      <c r="BP332" s="350"/>
      <c r="BQ332" s="350"/>
      <c r="BR332" s="350"/>
      <c r="BS332" s="350"/>
      <c r="BT332" s="350"/>
      <c r="BU332" s="350"/>
      <c r="BV332" s="351"/>
    </row>
    <row r="333" spans="1:74" ht="45" customHeight="1">
      <c r="A333" s="24">
        <f t="shared" si="1"/>
        <v>319</v>
      </c>
      <c r="B333" s="522" t="s">
        <v>294</v>
      </c>
      <c r="C333" s="351"/>
      <c r="D333" s="523" t="s">
        <v>298</v>
      </c>
      <c r="E333" s="351"/>
      <c r="F333" s="524" t="s">
        <v>325</v>
      </c>
      <c r="G333" s="351"/>
      <c r="H333" s="561" t="s">
        <v>325</v>
      </c>
      <c r="I333" s="351"/>
      <c r="J333" s="562"/>
      <c r="K333" s="351"/>
      <c r="L333" s="562"/>
      <c r="M333" s="351"/>
      <c r="N333" s="34"/>
      <c r="O333" s="38"/>
      <c r="P333" s="526"/>
      <c r="Q333" s="351"/>
      <c r="R333" s="535"/>
      <c r="S333" s="351"/>
      <c r="T333" s="536"/>
      <c r="U333" s="351"/>
      <c r="V333" s="537"/>
      <c r="W333" s="351"/>
      <c r="X333" s="542" t="s">
        <v>294</v>
      </c>
      <c r="Y333" s="350"/>
      <c r="Z333" s="350"/>
      <c r="AA333" s="351"/>
      <c r="AB333" s="543" t="s">
        <v>294</v>
      </c>
      <c r="AC333" s="350"/>
      <c r="AD333" s="350"/>
      <c r="AE333" s="351"/>
      <c r="AF333" s="540"/>
      <c r="AG333" s="351"/>
      <c r="AH333" s="540"/>
      <c r="AI333" s="351"/>
      <c r="AJ333" s="532"/>
      <c r="AK333" s="351"/>
      <c r="AL333" s="524" t="s">
        <v>325</v>
      </c>
      <c r="AM333" s="351"/>
      <c r="AN333" s="549" t="s">
        <v>325</v>
      </c>
      <c r="AO333" s="351"/>
      <c r="AP333" s="532"/>
      <c r="AQ333" s="351"/>
      <c r="AR333" s="533"/>
      <c r="AS333" s="351"/>
      <c r="AT333" s="534"/>
      <c r="AU333" s="351"/>
      <c r="AV333" s="549" t="s">
        <v>325</v>
      </c>
      <c r="AW333" s="351"/>
      <c r="AX333" s="553"/>
      <c r="AY333" s="350"/>
      <c r="AZ333" s="351"/>
      <c r="BA333" s="545"/>
      <c r="BB333" s="351"/>
      <c r="BC333" s="39"/>
      <c r="BD333" s="546" t="s">
        <v>325</v>
      </c>
      <c r="BE333" s="351"/>
      <c r="BF333" s="529"/>
      <c r="BG333" s="350"/>
      <c r="BH333" s="350"/>
      <c r="BI333" s="351"/>
      <c r="BJ333" s="548" t="s">
        <v>294</v>
      </c>
      <c r="BK333" s="350"/>
      <c r="BL333" s="350"/>
      <c r="BM333" s="351"/>
      <c r="BN333" s="530" t="s">
        <v>294</v>
      </c>
      <c r="BO333" s="350"/>
      <c r="BP333" s="350"/>
      <c r="BQ333" s="350"/>
      <c r="BR333" s="350"/>
      <c r="BS333" s="350"/>
      <c r="BT333" s="350"/>
      <c r="BU333" s="350"/>
      <c r="BV333" s="351"/>
    </row>
    <row r="334" spans="1:74" ht="45" customHeight="1">
      <c r="A334" s="24">
        <f t="shared" si="1"/>
        <v>320</v>
      </c>
      <c r="B334" s="558" t="s">
        <v>294</v>
      </c>
      <c r="C334" s="351"/>
      <c r="D334" s="559" t="s">
        <v>298</v>
      </c>
      <c r="E334" s="351"/>
      <c r="F334" s="524" t="s">
        <v>325</v>
      </c>
      <c r="G334" s="351"/>
      <c r="H334" s="525" t="s">
        <v>325</v>
      </c>
      <c r="I334" s="351"/>
      <c r="J334" s="563"/>
      <c r="K334" s="351"/>
      <c r="L334" s="563"/>
      <c r="M334" s="351"/>
      <c r="N334" s="37"/>
      <c r="O334" s="35"/>
      <c r="P334" s="560"/>
      <c r="Q334" s="351"/>
      <c r="R334" s="527"/>
      <c r="S334" s="351"/>
      <c r="T334" s="528"/>
      <c r="U334" s="351"/>
      <c r="V334" s="541"/>
      <c r="W334" s="351"/>
      <c r="X334" s="538" t="s">
        <v>294</v>
      </c>
      <c r="Y334" s="350"/>
      <c r="Z334" s="350"/>
      <c r="AA334" s="351"/>
      <c r="AB334" s="539" t="s">
        <v>294</v>
      </c>
      <c r="AC334" s="350"/>
      <c r="AD334" s="350"/>
      <c r="AE334" s="351"/>
      <c r="AF334" s="544"/>
      <c r="AG334" s="351"/>
      <c r="AH334" s="544"/>
      <c r="AI334" s="351"/>
      <c r="AJ334" s="545"/>
      <c r="AK334" s="351"/>
      <c r="AL334" s="555" t="s">
        <v>325</v>
      </c>
      <c r="AM334" s="351"/>
      <c r="AN334" s="531" t="s">
        <v>325</v>
      </c>
      <c r="AO334" s="351"/>
      <c r="AP334" s="550"/>
      <c r="AQ334" s="351"/>
      <c r="AR334" s="551"/>
      <c r="AS334" s="351"/>
      <c r="AT334" s="534"/>
      <c r="AU334" s="351"/>
      <c r="AV334" s="531" t="s">
        <v>325</v>
      </c>
      <c r="AW334" s="351"/>
      <c r="AX334" s="553"/>
      <c r="AY334" s="350"/>
      <c r="AZ334" s="351"/>
      <c r="BA334" s="554"/>
      <c r="BB334" s="351"/>
      <c r="BC334" s="36"/>
      <c r="BD334" s="556" t="s">
        <v>325</v>
      </c>
      <c r="BE334" s="351"/>
      <c r="BF334" s="547"/>
      <c r="BG334" s="350"/>
      <c r="BH334" s="350"/>
      <c r="BI334" s="351"/>
      <c r="BJ334" s="506" t="s">
        <v>294</v>
      </c>
      <c r="BK334" s="350"/>
      <c r="BL334" s="350"/>
      <c r="BM334" s="351"/>
      <c r="BN334" s="530" t="s">
        <v>294</v>
      </c>
      <c r="BO334" s="350"/>
      <c r="BP334" s="350"/>
      <c r="BQ334" s="350"/>
      <c r="BR334" s="350"/>
      <c r="BS334" s="350"/>
      <c r="BT334" s="350"/>
      <c r="BU334" s="350"/>
      <c r="BV334" s="351"/>
    </row>
    <row r="335" spans="1:74" ht="45" customHeight="1">
      <c r="A335" s="24">
        <f t="shared" si="1"/>
        <v>321</v>
      </c>
      <c r="B335" s="522" t="s">
        <v>294</v>
      </c>
      <c r="C335" s="351"/>
      <c r="D335" s="523" t="s">
        <v>298</v>
      </c>
      <c r="E335" s="351"/>
      <c r="F335" s="524" t="s">
        <v>325</v>
      </c>
      <c r="G335" s="351"/>
      <c r="H335" s="561" t="s">
        <v>325</v>
      </c>
      <c r="I335" s="351"/>
      <c r="J335" s="562"/>
      <c r="K335" s="351"/>
      <c r="L335" s="562"/>
      <c r="M335" s="351"/>
      <c r="N335" s="34"/>
      <c r="O335" s="38"/>
      <c r="P335" s="526"/>
      <c r="Q335" s="351"/>
      <c r="R335" s="535"/>
      <c r="S335" s="351"/>
      <c r="T335" s="536"/>
      <c r="U335" s="351"/>
      <c r="V335" s="537"/>
      <c r="W335" s="351"/>
      <c r="X335" s="542" t="s">
        <v>294</v>
      </c>
      <c r="Y335" s="350"/>
      <c r="Z335" s="350"/>
      <c r="AA335" s="351"/>
      <c r="AB335" s="543" t="s">
        <v>294</v>
      </c>
      <c r="AC335" s="350"/>
      <c r="AD335" s="350"/>
      <c r="AE335" s="351"/>
      <c r="AF335" s="540"/>
      <c r="AG335" s="351"/>
      <c r="AH335" s="540"/>
      <c r="AI335" s="351"/>
      <c r="AJ335" s="532"/>
      <c r="AK335" s="351"/>
      <c r="AL335" s="524" t="s">
        <v>325</v>
      </c>
      <c r="AM335" s="351"/>
      <c r="AN335" s="549" t="s">
        <v>325</v>
      </c>
      <c r="AO335" s="351"/>
      <c r="AP335" s="532"/>
      <c r="AQ335" s="351"/>
      <c r="AR335" s="533"/>
      <c r="AS335" s="351"/>
      <c r="AT335" s="534"/>
      <c r="AU335" s="351"/>
      <c r="AV335" s="549" t="s">
        <v>325</v>
      </c>
      <c r="AW335" s="351"/>
      <c r="AX335" s="553"/>
      <c r="AY335" s="350"/>
      <c r="AZ335" s="351"/>
      <c r="BA335" s="545"/>
      <c r="BB335" s="351"/>
      <c r="BC335" s="39"/>
      <c r="BD335" s="546" t="s">
        <v>325</v>
      </c>
      <c r="BE335" s="351"/>
      <c r="BF335" s="529"/>
      <c r="BG335" s="350"/>
      <c r="BH335" s="350"/>
      <c r="BI335" s="351"/>
      <c r="BJ335" s="548" t="s">
        <v>294</v>
      </c>
      <c r="BK335" s="350"/>
      <c r="BL335" s="350"/>
      <c r="BM335" s="351"/>
      <c r="BN335" s="530" t="s">
        <v>294</v>
      </c>
      <c r="BO335" s="350"/>
      <c r="BP335" s="350"/>
      <c r="BQ335" s="350"/>
      <c r="BR335" s="350"/>
      <c r="BS335" s="350"/>
      <c r="BT335" s="350"/>
      <c r="BU335" s="350"/>
      <c r="BV335" s="351"/>
    </row>
    <row r="336" spans="1:74" ht="45" customHeight="1">
      <c r="A336" s="24">
        <f t="shared" si="1"/>
        <v>322</v>
      </c>
      <c r="B336" s="558" t="s">
        <v>294</v>
      </c>
      <c r="C336" s="351"/>
      <c r="D336" s="559" t="s">
        <v>298</v>
      </c>
      <c r="E336" s="351"/>
      <c r="F336" s="524" t="s">
        <v>325</v>
      </c>
      <c r="G336" s="351"/>
      <c r="H336" s="525" t="s">
        <v>325</v>
      </c>
      <c r="I336" s="351"/>
      <c r="J336" s="563"/>
      <c r="K336" s="351"/>
      <c r="L336" s="563"/>
      <c r="M336" s="351"/>
      <c r="N336" s="37"/>
      <c r="O336" s="35"/>
      <c r="P336" s="560"/>
      <c r="Q336" s="351"/>
      <c r="R336" s="527"/>
      <c r="S336" s="351"/>
      <c r="T336" s="528"/>
      <c r="U336" s="351"/>
      <c r="V336" s="541"/>
      <c r="W336" s="351"/>
      <c r="X336" s="538" t="s">
        <v>294</v>
      </c>
      <c r="Y336" s="350"/>
      <c r="Z336" s="350"/>
      <c r="AA336" s="351"/>
      <c r="AB336" s="539" t="s">
        <v>294</v>
      </c>
      <c r="AC336" s="350"/>
      <c r="AD336" s="350"/>
      <c r="AE336" s="351"/>
      <c r="AF336" s="544"/>
      <c r="AG336" s="351"/>
      <c r="AH336" s="544"/>
      <c r="AI336" s="351"/>
      <c r="AJ336" s="545"/>
      <c r="AK336" s="351"/>
      <c r="AL336" s="555" t="s">
        <v>325</v>
      </c>
      <c r="AM336" s="351"/>
      <c r="AN336" s="531" t="s">
        <v>325</v>
      </c>
      <c r="AO336" s="351"/>
      <c r="AP336" s="550"/>
      <c r="AQ336" s="351"/>
      <c r="AR336" s="551"/>
      <c r="AS336" s="351"/>
      <c r="AT336" s="534"/>
      <c r="AU336" s="351"/>
      <c r="AV336" s="531" t="s">
        <v>325</v>
      </c>
      <c r="AW336" s="351"/>
      <c r="AX336" s="553"/>
      <c r="AY336" s="350"/>
      <c r="AZ336" s="351"/>
      <c r="BA336" s="554"/>
      <c r="BB336" s="351"/>
      <c r="BC336" s="36"/>
      <c r="BD336" s="556" t="s">
        <v>325</v>
      </c>
      <c r="BE336" s="351"/>
      <c r="BF336" s="547"/>
      <c r="BG336" s="350"/>
      <c r="BH336" s="350"/>
      <c r="BI336" s="351"/>
      <c r="BJ336" s="506" t="s">
        <v>294</v>
      </c>
      <c r="BK336" s="350"/>
      <c r="BL336" s="350"/>
      <c r="BM336" s="351"/>
      <c r="BN336" s="530" t="s">
        <v>294</v>
      </c>
      <c r="BO336" s="350"/>
      <c r="BP336" s="350"/>
      <c r="BQ336" s="350"/>
      <c r="BR336" s="350"/>
      <c r="BS336" s="350"/>
      <c r="BT336" s="350"/>
      <c r="BU336" s="350"/>
      <c r="BV336" s="351"/>
    </row>
    <row r="337" spans="1:74" ht="45" customHeight="1">
      <c r="A337" s="24">
        <f t="shared" si="1"/>
        <v>323</v>
      </c>
      <c r="B337" s="522" t="s">
        <v>294</v>
      </c>
      <c r="C337" s="351"/>
      <c r="D337" s="523" t="s">
        <v>298</v>
      </c>
      <c r="E337" s="351"/>
      <c r="F337" s="524" t="s">
        <v>325</v>
      </c>
      <c r="G337" s="351"/>
      <c r="H337" s="561" t="s">
        <v>325</v>
      </c>
      <c r="I337" s="351"/>
      <c r="J337" s="562"/>
      <c r="K337" s="351"/>
      <c r="L337" s="562"/>
      <c r="M337" s="351"/>
      <c r="N337" s="34"/>
      <c r="O337" s="38"/>
      <c r="P337" s="526"/>
      <c r="Q337" s="351"/>
      <c r="R337" s="535"/>
      <c r="S337" s="351"/>
      <c r="T337" s="536"/>
      <c r="U337" s="351"/>
      <c r="V337" s="537"/>
      <c r="W337" s="351"/>
      <c r="X337" s="542" t="s">
        <v>294</v>
      </c>
      <c r="Y337" s="350"/>
      <c r="Z337" s="350"/>
      <c r="AA337" s="351"/>
      <c r="AB337" s="543" t="s">
        <v>294</v>
      </c>
      <c r="AC337" s="350"/>
      <c r="AD337" s="350"/>
      <c r="AE337" s="351"/>
      <c r="AF337" s="540"/>
      <c r="AG337" s="351"/>
      <c r="AH337" s="540"/>
      <c r="AI337" s="351"/>
      <c r="AJ337" s="532"/>
      <c r="AK337" s="351"/>
      <c r="AL337" s="524" t="s">
        <v>325</v>
      </c>
      <c r="AM337" s="351"/>
      <c r="AN337" s="549" t="s">
        <v>325</v>
      </c>
      <c r="AO337" s="351"/>
      <c r="AP337" s="532"/>
      <c r="AQ337" s="351"/>
      <c r="AR337" s="533"/>
      <c r="AS337" s="351"/>
      <c r="AT337" s="534"/>
      <c r="AU337" s="351"/>
      <c r="AV337" s="549" t="s">
        <v>325</v>
      </c>
      <c r="AW337" s="351"/>
      <c r="AX337" s="553"/>
      <c r="AY337" s="350"/>
      <c r="AZ337" s="351"/>
      <c r="BA337" s="545"/>
      <c r="BB337" s="351"/>
      <c r="BC337" s="39"/>
      <c r="BD337" s="546" t="s">
        <v>325</v>
      </c>
      <c r="BE337" s="351"/>
      <c r="BF337" s="557"/>
      <c r="BG337" s="350"/>
      <c r="BH337" s="350"/>
      <c r="BI337" s="351"/>
      <c r="BJ337" s="548" t="s">
        <v>294</v>
      </c>
      <c r="BK337" s="350"/>
      <c r="BL337" s="350"/>
      <c r="BM337" s="351"/>
      <c r="BN337" s="530" t="s">
        <v>294</v>
      </c>
      <c r="BO337" s="350"/>
      <c r="BP337" s="350"/>
      <c r="BQ337" s="350"/>
      <c r="BR337" s="350"/>
      <c r="BS337" s="350"/>
      <c r="BT337" s="350"/>
      <c r="BU337" s="350"/>
      <c r="BV337" s="351"/>
    </row>
    <row r="338" spans="1:74" ht="45" customHeight="1">
      <c r="A338" s="24">
        <f t="shared" si="1"/>
        <v>324</v>
      </c>
      <c r="B338" s="558" t="s">
        <v>294</v>
      </c>
      <c r="C338" s="351"/>
      <c r="D338" s="559" t="s">
        <v>298</v>
      </c>
      <c r="E338" s="351"/>
      <c r="F338" s="524" t="s">
        <v>325</v>
      </c>
      <c r="G338" s="351"/>
      <c r="H338" s="525" t="s">
        <v>325</v>
      </c>
      <c r="I338" s="351"/>
      <c r="J338" s="563"/>
      <c r="K338" s="351"/>
      <c r="L338" s="563"/>
      <c r="M338" s="351"/>
      <c r="N338" s="37"/>
      <c r="O338" s="35"/>
      <c r="P338" s="560"/>
      <c r="Q338" s="351"/>
      <c r="R338" s="527"/>
      <c r="S338" s="351"/>
      <c r="T338" s="528"/>
      <c r="U338" s="351"/>
      <c r="V338" s="541"/>
      <c r="W338" s="351"/>
      <c r="X338" s="538" t="s">
        <v>294</v>
      </c>
      <c r="Y338" s="350"/>
      <c r="Z338" s="350"/>
      <c r="AA338" s="351"/>
      <c r="AB338" s="539" t="s">
        <v>294</v>
      </c>
      <c r="AC338" s="350"/>
      <c r="AD338" s="350"/>
      <c r="AE338" s="351"/>
      <c r="AF338" s="544"/>
      <c r="AG338" s="351"/>
      <c r="AH338" s="544"/>
      <c r="AI338" s="351"/>
      <c r="AJ338" s="545"/>
      <c r="AK338" s="351"/>
      <c r="AL338" s="555" t="s">
        <v>325</v>
      </c>
      <c r="AM338" s="351"/>
      <c r="AN338" s="531" t="s">
        <v>325</v>
      </c>
      <c r="AO338" s="351"/>
      <c r="AP338" s="550"/>
      <c r="AQ338" s="351"/>
      <c r="AR338" s="551"/>
      <c r="AS338" s="351"/>
      <c r="AT338" s="534"/>
      <c r="AU338" s="351"/>
      <c r="AV338" s="531" t="s">
        <v>325</v>
      </c>
      <c r="AW338" s="351"/>
      <c r="AX338" s="553"/>
      <c r="AY338" s="350"/>
      <c r="AZ338" s="351"/>
      <c r="BA338" s="554"/>
      <c r="BB338" s="351"/>
      <c r="BC338" s="36"/>
      <c r="BD338" s="556" t="s">
        <v>325</v>
      </c>
      <c r="BE338" s="351"/>
      <c r="BF338" s="547"/>
      <c r="BG338" s="350"/>
      <c r="BH338" s="350"/>
      <c r="BI338" s="351"/>
      <c r="BJ338" s="506" t="s">
        <v>294</v>
      </c>
      <c r="BK338" s="350"/>
      <c r="BL338" s="350"/>
      <c r="BM338" s="351"/>
      <c r="BN338" s="530" t="s">
        <v>294</v>
      </c>
      <c r="BO338" s="350"/>
      <c r="BP338" s="350"/>
      <c r="BQ338" s="350"/>
      <c r="BR338" s="350"/>
      <c r="BS338" s="350"/>
      <c r="BT338" s="350"/>
      <c r="BU338" s="350"/>
      <c r="BV338" s="351"/>
    </row>
    <row r="339" spans="1:74" ht="45" customHeight="1">
      <c r="A339" s="24">
        <f t="shared" si="1"/>
        <v>325</v>
      </c>
      <c r="B339" s="522" t="s">
        <v>294</v>
      </c>
      <c r="C339" s="351"/>
      <c r="D339" s="523" t="s">
        <v>298</v>
      </c>
      <c r="E339" s="351"/>
      <c r="F339" s="524" t="s">
        <v>325</v>
      </c>
      <c r="G339" s="351"/>
      <c r="H339" s="561" t="s">
        <v>325</v>
      </c>
      <c r="I339" s="351"/>
      <c r="J339" s="562"/>
      <c r="K339" s="351"/>
      <c r="L339" s="562"/>
      <c r="M339" s="351"/>
      <c r="N339" s="34"/>
      <c r="O339" s="38"/>
      <c r="P339" s="526"/>
      <c r="Q339" s="351"/>
      <c r="R339" s="535"/>
      <c r="S339" s="351"/>
      <c r="T339" s="536"/>
      <c r="U339" s="351"/>
      <c r="V339" s="537"/>
      <c r="W339" s="351"/>
      <c r="X339" s="542" t="s">
        <v>294</v>
      </c>
      <c r="Y339" s="350"/>
      <c r="Z339" s="350"/>
      <c r="AA339" s="351"/>
      <c r="AB339" s="543" t="s">
        <v>294</v>
      </c>
      <c r="AC339" s="350"/>
      <c r="AD339" s="350"/>
      <c r="AE339" s="351"/>
      <c r="AF339" s="540"/>
      <c r="AG339" s="351"/>
      <c r="AH339" s="540"/>
      <c r="AI339" s="351"/>
      <c r="AJ339" s="532"/>
      <c r="AK339" s="351"/>
      <c r="AL339" s="524" t="s">
        <v>325</v>
      </c>
      <c r="AM339" s="351"/>
      <c r="AN339" s="549" t="s">
        <v>325</v>
      </c>
      <c r="AO339" s="351"/>
      <c r="AP339" s="532"/>
      <c r="AQ339" s="351"/>
      <c r="AR339" s="533"/>
      <c r="AS339" s="351"/>
      <c r="AT339" s="534"/>
      <c r="AU339" s="351"/>
      <c r="AV339" s="549" t="s">
        <v>325</v>
      </c>
      <c r="AW339" s="351"/>
      <c r="AX339" s="553"/>
      <c r="AY339" s="350"/>
      <c r="AZ339" s="351"/>
      <c r="BA339" s="545"/>
      <c r="BB339" s="351"/>
      <c r="BC339" s="39"/>
      <c r="BD339" s="546" t="s">
        <v>325</v>
      </c>
      <c r="BE339" s="351"/>
      <c r="BF339" s="529"/>
      <c r="BG339" s="350"/>
      <c r="BH339" s="350"/>
      <c r="BI339" s="351"/>
      <c r="BJ339" s="548" t="s">
        <v>294</v>
      </c>
      <c r="BK339" s="350"/>
      <c r="BL339" s="350"/>
      <c r="BM339" s="351"/>
      <c r="BN339" s="530" t="s">
        <v>294</v>
      </c>
      <c r="BO339" s="350"/>
      <c r="BP339" s="350"/>
      <c r="BQ339" s="350"/>
      <c r="BR339" s="350"/>
      <c r="BS339" s="350"/>
      <c r="BT339" s="350"/>
      <c r="BU339" s="350"/>
      <c r="BV339" s="351"/>
    </row>
    <row r="340" spans="1:74" ht="45" customHeight="1">
      <c r="A340" s="24">
        <f t="shared" si="1"/>
        <v>326</v>
      </c>
      <c r="B340" s="558" t="s">
        <v>294</v>
      </c>
      <c r="C340" s="351"/>
      <c r="D340" s="559" t="s">
        <v>298</v>
      </c>
      <c r="E340" s="351"/>
      <c r="F340" s="524" t="s">
        <v>325</v>
      </c>
      <c r="G340" s="351"/>
      <c r="H340" s="525" t="s">
        <v>325</v>
      </c>
      <c r="I340" s="351"/>
      <c r="J340" s="563"/>
      <c r="K340" s="351"/>
      <c r="L340" s="563"/>
      <c r="M340" s="351"/>
      <c r="N340" s="37"/>
      <c r="O340" s="35"/>
      <c r="P340" s="560"/>
      <c r="Q340" s="351"/>
      <c r="R340" s="527"/>
      <c r="S340" s="351"/>
      <c r="T340" s="528"/>
      <c r="U340" s="351"/>
      <c r="V340" s="541"/>
      <c r="W340" s="351"/>
      <c r="X340" s="538" t="s">
        <v>294</v>
      </c>
      <c r="Y340" s="350"/>
      <c r="Z340" s="350"/>
      <c r="AA340" s="351"/>
      <c r="AB340" s="539" t="s">
        <v>294</v>
      </c>
      <c r="AC340" s="350"/>
      <c r="AD340" s="350"/>
      <c r="AE340" s="351"/>
      <c r="AF340" s="544"/>
      <c r="AG340" s="351"/>
      <c r="AH340" s="544"/>
      <c r="AI340" s="351"/>
      <c r="AJ340" s="545"/>
      <c r="AK340" s="351"/>
      <c r="AL340" s="555" t="s">
        <v>325</v>
      </c>
      <c r="AM340" s="351"/>
      <c r="AN340" s="531" t="s">
        <v>325</v>
      </c>
      <c r="AO340" s="351"/>
      <c r="AP340" s="550"/>
      <c r="AQ340" s="351"/>
      <c r="AR340" s="551"/>
      <c r="AS340" s="351"/>
      <c r="AT340" s="534"/>
      <c r="AU340" s="351"/>
      <c r="AV340" s="531" t="s">
        <v>325</v>
      </c>
      <c r="AW340" s="351"/>
      <c r="AX340" s="553"/>
      <c r="AY340" s="350"/>
      <c r="AZ340" s="351"/>
      <c r="BA340" s="554"/>
      <c r="BB340" s="351"/>
      <c r="BC340" s="36"/>
      <c r="BD340" s="556" t="s">
        <v>325</v>
      </c>
      <c r="BE340" s="351"/>
      <c r="BF340" s="547"/>
      <c r="BG340" s="350"/>
      <c r="BH340" s="350"/>
      <c r="BI340" s="351"/>
      <c r="BJ340" s="506" t="s">
        <v>294</v>
      </c>
      <c r="BK340" s="350"/>
      <c r="BL340" s="350"/>
      <c r="BM340" s="351"/>
      <c r="BN340" s="530" t="s">
        <v>294</v>
      </c>
      <c r="BO340" s="350"/>
      <c r="BP340" s="350"/>
      <c r="BQ340" s="350"/>
      <c r="BR340" s="350"/>
      <c r="BS340" s="350"/>
      <c r="BT340" s="350"/>
      <c r="BU340" s="350"/>
      <c r="BV340" s="351"/>
    </row>
    <row r="341" spans="1:74" ht="45" customHeight="1">
      <c r="A341" s="24">
        <f t="shared" si="1"/>
        <v>327</v>
      </c>
      <c r="B341" s="522" t="s">
        <v>294</v>
      </c>
      <c r="C341" s="351"/>
      <c r="D341" s="523" t="s">
        <v>298</v>
      </c>
      <c r="E341" s="351"/>
      <c r="F341" s="524" t="s">
        <v>325</v>
      </c>
      <c r="G341" s="351"/>
      <c r="H341" s="561" t="s">
        <v>325</v>
      </c>
      <c r="I341" s="351"/>
      <c r="J341" s="562"/>
      <c r="K341" s="351"/>
      <c r="L341" s="562"/>
      <c r="M341" s="351"/>
      <c r="N341" s="34"/>
      <c r="O341" s="38"/>
      <c r="P341" s="526"/>
      <c r="Q341" s="351"/>
      <c r="R341" s="535"/>
      <c r="S341" s="351"/>
      <c r="T341" s="536"/>
      <c r="U341" s="351"/>
      <c r="V341" s="537"/>
      <c r="W341" s="351"/>
      <c r="X341" s="542" t="s">
        <v>294</v>
      </c>
      <c r="Y341" s="350"/>
      <c r="Z341" s="350"/>
      <c r="AA341" s="351"/>
      <c r="AB341" s="543" t="s">
        <v>294</v>
      </c>
      <c r="AC341" s="350"/>
      <c r="AD341" s="350"/>
      <c r="AE341" s="351"/>
      <c r="AF341" s="540"/>
      <c r="AG341" s="351"/>
      <c r="AH341" s="540"/>
      <c r="AI341" s="351"/>
      <c r="AJ341" s="532"/>
      <c r="AK341" s="351"/>
      <c r="AL341" s="524" t="s">
        <v>325</v>
      </c>
      <c r="AM341" s="351"/>
      <c r="AN341" s="549" t="s">
        <v>325</v>
      </c>
      <c r="AO341" s="351"/>
      <c r="AP341" s="532"/>
      <c r="AQ341" s="351"/>
      <c r="AR341" s="533"/>
      <c r="AS341" s="351"/>
      <c r="AT341" s="534"/>
      <c r="AU341" s="351"/>
      <c r="AV341" s="549" t="s">
        <v>325</v>
      </c>
      <c r="AW341" s="351"/>
      <c r="AX341" s="553"/>
      <c r="AY341" s="350"/>
      <c r="AZ341" s="351"/>
      <c r="BA341" s="545"/>
      <c r="BB341" s="351"/>
      <c r="BC341" s="39"/>
      <c r="BD341" s="546" t="s">
        <v>325</v>
      </c>
      <c r="BE341" s="351"/>
      <c r="BF341" s="557"/>
      <c r="BG341" s="350"/>
      <c r="BH341" s="350"/>
      <c r="BI341" s="351"/>
      <c r="BJ341" s="548" t="s">
        <v>294</v>
      </c>
      <c r="BK341" s="350"/>
      <c r="BL341" s="350"/>
      <c r="BM341" s="351"/>
      <c r="BN341" s="530" t="s">
        <v>294</v>
      </c>
      <c r="BO341" s="350"/>
      <c r="BP341" s="350"/>
      <c r="BQ341" s="350"/>
      <c r="BR341" s="350"/>
      <c r="BS341" s="350"/>
      <c r="BT341" s="350"/>
      <c r="BU341" s="350"/>
      <c r="BV341" s="351"/>
    </row>
    <row r="342" spans="1:74" ht="45" customHeight="1">
      <c r="A342" s="24">
        <f t="shared" si="1"/>
        <v>328</v>
      </c>
      <c r="B342" s="558" t="s">
        <v>294</v>
      </c>
      <c r="C342" s="351"/>
      <c r="D342" s="559" t="s">
        <v>298</v>
      </c>
      <c r="E342" s="351"/>
      <c r="F342" s="524" t="s">
        <v>325</v>
      </c>
      <c r="G342" s="351"/>
      <c r="H342" s="525" t="s">
        <v>325</v>
      </c>
      <c r="I342" s="351"/>
      <c r="J342" s="563"/>
      <c r="K342" s="351"/>
      <c r="L342" s="563"/>
      <c r="M342" s="351"/>
      <c r="N342" s="37"/>
      <c r="O342" s="35"/>
      <c r="P342" s="560"/>
      <c r="Q342" s="351"/>
      <c r="R342" s="527"/>
      <c r="S342" s="351"/>
      <c r="T342" s="528"/>
      <c r="U342" s="351"/>
      <c r="V342" s="541"/>
      <c r="W342" s="351"/>
      <c r="X342" s="538" t="s">
        <v>294</v>
      </c>
      <c r="Y342" s="350"/>
      <c r="Z342" s="350"/>
      <c r="AA342" s="351"/>
      <c r="AB342" s="539" t="s">
        <v>294</v>
      </c>
      <c r="AC342" s="350"/>
      <c r="AD342" s="350"/>
      <c r="AE342" s="351"/>
      <c r="AF342" s="544"/>
      <c r="AG342" s="351"/>
      <c r="AH342" s="544"/>
      <c r="AI342" s="351"/>
      <c r="AJ342" s="545"/>
      <c r="AK342" s="351"/>
      <c r="AL342" s="555" t="s">
        <v>325</v>
      </c>
      <c r="AM342" s="351"/>
      <c r="AN342" s="531" t="s">
        <v>325</v>
      </c>
      <c r="AO342" s="351"/>
      <c r="AP342" s="550"/>
      <c r="AQ342" s="351"/>
      <c r="AR342" s="551"/>
      <c r="AS342" s="351"/>
      <c r="AT342" s="534"/>
      <c r="AU342" s="351"/>
      <c r="AV342" s="531" t="s">
        <v>325</v>
      </c>
      <c r="AW342" s="351"/>
      <c r="AX342" s="553"/>
      <c r="AY342" s="350"/>
      <c r="AZ342" s="351"/>
      <c r="BA342" s="554"/>
      <c r="BB342" s="351"/>
      <c r="BC342" s="36"/>
      <c r="BD342" s="556" t="s">
        <v>325</v>
      </c>
      <c r="BE342" s="351"/>
      <c r="BF342" s="547"/>
      <c r="BG342" s="350"/>
      <c r="BH342" s="350"/>
      <c r="BI342" s="351"/>
      <c r="BJ342" s="506" t="s">
        <v>294</v>
      </c>
      <c r="BK342" s="350"/>
      <c r="BL342" s="350"/>
      <c r="BM342" s="351"/>
      <c r="BN342" s="530" t="s">
        <v>294</v>
      </c>
      <c r="BO342" s="350"/>
      <c r="BP342" s="350"/>
      <c r="BQ342" s="350"/>
      <c r="BR342" s="350"/>
      <c r="BS342" s="350"/>
      <c r="BT342" s="350"/>
      <c r="BU342" s="350"/>
      <c r="BV342" s="351"/>
    </row>
    <row r="343" spans="1:74" ht="45" customHeight="1">
      <c r="A343" s="24">
        <f t="shared" si="1"/>
        <v>329</v>
      </c>
      <c r="B343" s="522" t="s">
        <v>294</v>
      </c>
      <c r="C343" s="351"/>
      <c r="D343" s="523" t="s">
        <v>298</v>
      </c>
      <c r="E343" s="351"/>
      <c r="F343" s="524" t="s">
        <v>325</v>
      </c>
      <c r="G343" s="351"/>
      <c r="H343" s="561" t="s">
        <v>325</v>
      </c>
      <c r="I343" s="351"/>
      <c r="J343" s="562"/>
      <c r="K343" s="351"/>
      <c r="L343" s="562"/>
      <c r="M343" s="351"/>
      <c r="N343" s="34"/>
      <c r="O343" s="38"/>
      <c r="P343" s="526"/>
      <c r="Q343" s="351"/>
      <c r="R343" s="535"/>
      <c r="S343" s="351"/>
      <c r="T343" s="536"/>
      <c r="U343" s="351"/>
      <c r="V343" s="537"/>
      <c r="W343" s="351"/>
      <c r="X343" s="542" t="s">
        <v>294</v>
      </c>
      <c r="Y343" s="350"/>
      <c r="Z343" s="350"/>
      <c r="AA343" s="351"/>
      <c r="AB343" s="543" t="s">
        <v>294</v>
      </c>
      <c r="AC343" s="350"/>
      <c r="AD343" s="350"/>
      <c r="AE343" s="351"/>
      <c r="AF343" s="540"/>
      <c r="AG343" s="351"/>
      <c r="AH343" s="540"/>
      <c r="AI343" s="351"/>
      <c r="AJ343" s="532"/>
      <c r="AK343" s="351"/>
      <c r="AL343" s="524" t="s">
        <v>325</v>
      </c>
      <c r="AM343" s="351"/>
      <c r="AN343" s="549" t="s">
        <v>325</v>
      </c>
      <c r="AO343" s="351"/>
      <c r="AP343" s="532"/>
      <c r="AQ343" s="351"/>
      <c r="AR343" s="533"/>
      <c r="AS343" s="351"/>
      <c r="AT343" s="534"/>
      <c r="AU343" s="351"/>
      <c r="AV343" s="549" t="s">
        <v>325</v>
      </c>
      <c r="AW343" s="351"/>
      <c r="AX343" s="553"/>
      <c r="AY343" s="350"/>
      <c r="AZ343" s="351"/>
      <c r="BA343" s="545"/>
      <c r="BB343" s="351"/>
      <c r="BC343" s="39"/>
      <c r="BD343" s="546" t="s">
        <v>325</v>
      </c>
      <c r="BE343" s="351"/>
      <c r="BF343" s="529"/>
      <c r="BG343" s="350"/>
      <c r="BH343" s="350"/>
      <c r="BI343" s="351"/>
      <c r="BJ343" s="548" t="s">
        <v>294</v>
      </c>
      <c r="BK343" s="350"/>
      <c r="BL343" s="350"/>
      <c r="BM343" s="351"/>
      <c r="BN343" s="530" t="s">
        <v>294</v>
      </c>
      <c r="BO343" s="350"/>
      <c r="BP343" s="350"/>
      <c r="BQ343" s="350"/>
      <c r="BR343" s="350"/>
      <c r="BS343" s="350"/>
      <c r="BT343" s="350"/>
      <c r="BU343" s="350"/>
      <c r="BV343" s="351"/>
    </row>
    <row r="344" spans="1:74" ht="45" customHeight="1">
      <c r="A344" s="24">
        <f t="shared" si="1"/>
        <v>330</v>
      </c>
      <c r="B344" s="558" t="s">
        <v>294</v>
      </c>
      <c r="C344" s="351"/>
      <c r="D344" s="559" t="s">
        <v>298</v>
      </c>
      <c r="E344" s="351"/>
      <c r="F344" s="524" t="s">
        <v>325</v>
      </c>
      <c r="G344" s="351"/>
      <c r="H344" s="525" t="s">
        <v>325</v>
      </c>
      <c r="I344" s="351"/>
      <c r="J344" s="563"/>
      <c r="K344" s="351"/>
      <c r="L344" s="563"/>
      <c r="M344" s="351"/>
      <c r="N344" s="37"/>
      <c r="O344" s="35"/>
      <c r="P344" s="560"/>
      <c r="Q344" s="351"/>
      <c r="R344" s="527"/>
      <c r="S344" s="351"/>
      <c r="T344" s="528"/>
      <c r="U344" s="351"/>
      <c r="V344" s="541"/>
      <c r="W344" s="351"/>
      <c r="X344" s="538" t="s">
        <v>294</v>
      </c>
      <c r="Y344" s="350"/>
      <c r="Z344" s="350"/>
      <c r="AA344" s="351"/>
      <c r="AB344" s="539" t="s">
        <v>294</v>
      </c>
      <c r="AC344" s="350"/>
      <c r="AD344" s="350"/>
      <c r="AE344" s="351"/>
      <c r="AF344" s="544"/>
      <c r="AG344" s="351"/>
      <c r="AH344" s="544"/>
      <c r="AI344" s="351"/>
      <c r="AJ344" s="545"/>
      <c r="AK344" s="351"/>
      <c r="AL344" s="555" t="s">
        <v>325</v>
      </c>
      <c r="AM344" s="351"/>
      <c r="AN344" s="531" t="s">
        <v>325</v>
      </c>
      <c r="AO344" s="351"/>
      <c r="AP344" s="550"/>
      <c r="AQ344" s="351"/>
      <c r="AR344" s="551"/>
      <c r="AS344" s="351"/>
      <c r="AT344" s="534"/>
      <c r="AU344" s="351"/>
      <c r="AV344" s="531" t="s">
        <v>325</v>
      </c>
      <c r="AW344" s="351"/>
      <c r="AX344" s="553"/>
      <c r="AY344" s="350"/>
      <c r="AZ344" s="351"/>
      <c r="BA344" s="554"/>
      <c r="BB344" s="351"/>
      <c r="BC344" s="36"/>
      <c r="BD344" s="556" t="s">
        <v>325</v>
      </c>
      <c r="BE344" s="351"/>
      <c r="BF344" s="547"/>
      <c r="BG344" s="350"/>
      <c r="BH344" s="350"/>
      <c r="BI344" s="351"/>
      <c r="BJ344" s="506" t="s">
        <v>294</v>
      </c>
      <c r="BK344" s="350"/>
      <c r="BL344" s="350"/>
      <c r="BM344" s="351"/>
      <c r="BN344" s="530" t="s">
        <v>294</v>
      </c>
      <c r="BO344" s="350"/>
      <c r="BP344" s="350"/>
      <c r="BQ344" s="350"/>
      <c r="BR344" s="350"/>
      <c r="BS344" s="350"/>
      <c r="BT344" s="350"/>
      <c r="BU344" s="350"/>
      <c r="BV344" s="351"/>
    </row>
    <row r="345" spans="1:74" ht="45" customHeight="1">
      <c r="A345" s="24">
        <f t="shared" si="1"/>
        <v>331</v>
      </c>
      <c r="B345" s="522" t="s">
        <v>294</v>
      </c>
      <c r="C345" s="351"/>
      <c r="D345" s="523" t="s">
        <v>298</v>
      </c>
      <c r="E345" s="351"/>
      <c r="F345" s="524" t="s">
        <v>325</v>
      </c>
      <c r="G345" s="351"/>
      <c r="H345" s="561" t="s">
        <v>325</v>
      </c>
      <c r="I345" s="351"/>
      <c r="J345" s="562"/>
      <c r="K345" s="351"/>
      <c r="L345" s="562"/>
      <c r="M345" s="351"/>
      <c r="N345" s="34"/>
      <c r="O345" s="38"/>
      <c r="P345" s="526"/>
      <c r="Q345" s="351"/>
      <c r="R345" s="535"/>
      <c r="S345" s="351"/>
      <c r="T345" s="536"/>
      <c r="U345" s="351"/>
      <c r="V345" s="537"/>
      <c r="W345" s="351"/>
      <c r="X345" s="542" t="s">
        <v>294</v>
      </c>
      <c r="Y345" s="350"/>
      <c r="Z345" s="350"/>
      <c r="AA345" s="351"/>
      <c r="AB345" s="543" t="s">
        <v>294</v>
      </c>
      <c r="AC345" s="350"/>
      <c r="AD345" s="350"/>
      <c r="AE345" s="351"/>
      <c r="AF345" s="540"/>
      <c r="AG345" s="351"/>
      <c r="AH345" s="540"/>
      <c r="AI345" s="351"/>
      <c r="AJ345" s="532"/>
      <c r="AK345" s="351"/>
      <c r="AL345" s="524" t="s">
        <v>325</v>
      </c>
      <c r="AM345" s="351"/>
      <c r="AN345" s="549" t="s">
        <v>325</v>
      </c>
      <c r="AO345" s="351"/>
      <c r="AP345" s="532"/>
      <c r="AQ345" s="351"/>
      <c r="AR345" s="533"/>
      <c r="AS345" s="351"/>
      <c r="AT345" s="534"/>
      <c r="AU345" s="351"/>
      <c r="AV345" s="549" t="s">
        <v>325</v>
      </c>
      <c r="AW345" s="351"/>
      <c r="AX345" s="553"/>
      <c r="AY345" s="350"/>
      <c r="AZ345" s="351"/>
      <c r="BA345" s="545"/>
      <c r="BB345" s="351"/>
      <c r="BC345" s="39"/>
      <c r="BD345" s="546" t="s">
        <v>325</v>
      </c>
      <c r="BE345" s="351"/>
      <c r="BF345" s="529"/>
      <c r="BG345" s="350"/>
      <c r="BH345" s="350"/>
      <c r="BI345" s="351"/>
      <c r="BJ345" s="548" t="s">
        <v>294</v>
      </c>
      <c r="BK345" s="350"/>
      <c r="BL345" s="350"/>
      <c r="BM345" s="351"/>
      <c r="BN345" s="530" t="s">
        <v>294</v>
      </c>
      <c r="BO345" s="350"/>
      <c r="BP345" s="350"/>
      <c r="BQ345" s="350"/>
      <c r="BR345" s="350"/>
      <c r="BS345" s="350"/>
      <c r="BT345" s="350"/>
      <c r="BU345" s="350"/>
      <c r="BV345" s="351"/>
    </row>
    <row r="346" spans="1:74" ht="45" customHeight="1">
      <c r="A346" s="24">
        <f t="shared" si="1"/>
        <v>332</v>
      </c>
      <c r="B346" s="558" t="s">
        <v>294</v>
      </c>
      <c r="C346" s="351"/>
      <c r="D346" s="559" t="s">
        <v>298</v>
      </c>
      <c r="E346" s="351"/>
      <c r="F346" s="524" t="s">
        <v>325</v>
      </c>
      <c r="G346" s="351"/>
      <c r="H346" s="525" t="s">
        <v>325</v>
      </c>
      <c r="I346" s="351"/>
      <c r="J346" s="563"/>
      <c r="K346" s="351"/>
      <c r="L346" s="563"/>
      <c r="M346" s="351"/>
      <c r="N346" s="37"/>
      <c r="O346" s="35"/>
      <c r="P346" s="560"/>
      <c r="Q346" s="351"/>
      <c r="R346" s="527"/>
      <c r="S346" s="351"/>
      <c r="T346" s="528"/>
      <c r="U346" s="351"/>
      <c r="V346" s="541"/>
      <c r="W346" s="351"/>
      <c r="X346" s="538" t="s">
        <v>294</v>
      </c>
      <c r="Y346" s="350"/>
      <c r="Z346" s="350"/>
      <c r="AA346" s="351"/>
      <c r="AB346" s="539" t="s">
        <v>294</v>
      </c>
      <c r="AC346" s="350"/>
      <c r="AD346" s="350"/>
      <c r="AE346" s="351"/>
      <c r="AF346" s="544"/>
      <c r="AG346" s="351"/>
      <c r="AH346" s="544"/>
      <c r="AI346" s="351"/>
      <c r="AJ346" s="545"/>
      <c r="AK346" s="351"/>
      <c r="AL346" s="555" t="s">
        <v>325</v>
      </c>
      <c r="AM346" s="351"/>
      <c r="AN346" s="531" t="s">
        <v>325</v>
      </c>
      <c r="AO346" s="351"/>
      <c r="AP346" s="550"/>
      <c r="AQ346" s="351"/>
      <c r="AR346" s="551"/>
      <c r="AS346" s="351"/>
      <c r="AT346" s="534"/>
      <c r="AU346" s="351"/>
      <c r="AV346" s="531" t="s">
        <v>325</v>
      </c>
      <c r="AW346" s="351"/>
      <c r="AX346" s="553"/>
      <c r="AY346" s="350"/>
      <c r="AZ346" s="351"/>
      <c r="BA346" s="554"/>
      <c r="BB346" s="351"/>
      <c r="BC346" s="36"/>
      <c r="BD346" s="556" t="s">
        <v>325</v>
      </c>
      <c r="BE346" s="351"/>
      <c r="BF346" s="547"/>
      <c r="BG346" s="350"/>
      <c r="BH346" s="350"/>
      <c r="BI346" s="351"/>
      <c r="BJ346" s="506" t="s">
        <v>294</v>
      </c>
      <c r="BK346" s="350"/>
      <c r="BL346" s="350"/>
      <c r="BM346" s="351"/>
      <c r="BN346" s="530" t="s">
        <v>294</v>
      </c>
      <c r="BO346" s="350"/>
      <c r="BP346" s="350"/>
      <c r="BQ346" s="350"/>
      <c r="BR346" s="350"/>
      <c r="BS346" s="350"/>
      <c r="BT346" s="350"/>
      <c r="BU346" s="350"/>
      <c r="BV346" s="351"/>
    </row>
    <row r="347" spans="1:74" ht="45" customHeight="1">
      <c r="A347" s="24">
        <f t="shared" si="1"/>
        <v>333</v>
      </c>
      <c r="B347" s="522" t="s">
        <v>294</v>
      </c>
      <c r="C347" s="351"/>
      <c r="D347" s="523" t="s">
        <v>298</v>
      </c>
      <c r="E347" s="351"/>
      <c r="F347" s="524" t="s">
        <v>325</v>
      </c>
      <c r="G347" s="351"/>
      <c r="H347" s="561" t="s">
        <v>325</v>
      </c>
      <c r="I347" s="351"/>
      <c r="J347" s="562"/>
      <c r="K347" s="351"/>
      <c r="L347" s="562"/>
      <c r="M347" s="351"/>
      <c r="N347" s="34"/>
      <c r="O347" s="38"/>
      <c r="P347" s="526"/>
      <c r="Q347" s="351"/>
      <c r="R347" s="535"/>
      <c r="S347" s="351"/>
      <c r="T347" s="536"/>
      <c r="U347" s="351"/>
      <c r="V347" s="537"/>
      <c r="W347" s="351"/>
      <c r="X347" s="542" t="s">
        <v>294</v>
      </c>
      <c r="Y347" s="350"/>
      <c r="Z347" s="350"/>
      <c r="AA347" s="351"/>
      <c r="AB347" s="543" t="s">
        <v>294</v>
      </c>
      <c r="AC347" s="350"/>
      <c r="AD347" s="350"/>
      <c r="AE347" s="351"/>
      <c r="AF347" s="540"/>
      <c r="AG347" s="351"/>
      <c r="AH347" s="540"/>
      <c r="AI347" s="351"/>
      <c r="AJ347" s="532"/>
      <c r="AK347" s="351"/>
      <c r="AL347" s="524" t="s">
        <v>325</v>
      </c>
      <c r="AM347" s="351"/>
      <c r="AN347" s="549" t="s">
        <v>325</v>
      </c>
      <c r="AO347" s="351"/>
      <c r="AP347" s="532"/>
      <c r="AQ347" s="351"/>
      <c r="AR347" s="533"/>
      <c r="AS347" s="351"/>
      <c r="AT347" s="534"/>
      <c r="AU347" s="351"/>
      <c r="AV347" s="549" t="s">
        <v>325</v>
      </c>
      <c r="AW347" s="351"/>
      <c r="AX347" s="553"/>
      <c r="AY347" s="350"/>
      <c r="AZ347" s="351"/>
      <c r="BA347" s="545"/>
      <c r="BB347" s="351"/>
      <c r="BC347" s="39"/>
      <c r="BD347" s="546" t="s">
        <v>325</v>
      </c>
      <c r="BE347" s="351"/>
      <c r="BF347" s="557"/>
      <c r="BG347" s="350"/>
      <c r="BH347" s="350"/>
      <c r="BI347" s="351"/>
      <c r="BJ347" s="548" t="s">
        <v>294</v>
      </c>
      <c r="BK347" s="350"/>
      <c r="BL347" s="350"/>
      <c r="BM347" s="351"/>
      <c r="BN347" s="530" t="s">
        <v>294</v>
      </c>
      <c r="BO347" s="350"/>
      <c r="BP347" s="350"/>
      <c r="BQ347" s="350"/>
      <c r="BR347" s="350"/>
      <c r="BS347" s="350"/>
      <c r="BT347" s="350"/>
      <c r="BU347" s="350"/>
      <c r="BV347" s="351"/>
    </row>
    <row r="348" spans="1:74" ht="45" customHeight="1">
      <c r="A348" s="24">
        <f t="shared" si="1"/>
        <v>334</v>
      </c>
      <c r="B348" s="558" t="s">
        <v>294</v>
      </c>
      <c r="C348" s="351"/>
      <c r="D348" s="559" t="s">
        <v>298</v>
      </c>
      <c r="E348" s="351"/>
      <c r="F348" s="524" t="s">
        <v>325</v>
      </c>
      <c r="G348" s="351"/>
      <c r="H348" s="525" t="s">
        <v>325</v>
      </c>
      <c r="I348" s="351"/>
      <c r="J348" s="563"/>
      <c r="K348" s="351"/>
      <c r="L348" s="563"/>
      <c r="M348" s="351"/>
      <c r="N348" s="37"/>
      <c r="O348" s="35"/>
      <c r="P348" s="560"/>
      <c r="Q348" s="351"/>
      <c r="R348" s="527"/>
      <c r="S348" s="351"/>
      <c r="T348" s="528"/>
      <c r="U348" s="351"/>
      <c r="V348" s="541"/>
      <c r="W348" s="351"/>
      <c r="X348" s="538" t="s">
        <v>294</v>
      </c>
      <c r="Y348" s="350"/>
      <c r="Z348" s="350"/>
      <c r="AA348" s="351"/>
      <c r="AB348" s="539" t="s">
        <v>294</v>
      </c>
      <c r="AC348" s="350"/>
      <c r="AD348" s="350"/>
      <c r="AE348" s="351"/>
      <c r="AF348" s="544"/>
      <c r="AG348" s="351"/>
      <c r="AH348" s="544"/>
      <c r="AI348" s="351"/>
      <c r="AJ348" s="545"/>
      <c r="AK348" s="351"/>
      <c r="AL348" s="555" t="s">
        <v>325</v>
      </c>
      <c r="AM348" s="351"/>
      <c r="AN348" s="531" t="s">
        <v>325</v>
      </c>
      <c r="AO348" s="351"/>
      <c r="AP348" s="550"/>
      <c r="AQ348" s="351"/>
      <c r="AR348" s="551"/>
      <c r="AS348" s="351"/>
      <c r="AT348" s="534"/>
      <c r="AU348" s="351"/>
      <c r="AV348" s="531" t="s">
        <v>325</v>
      </c>
      <c r="AW348" s="351"/>
      <c r="AX348" s="553"/>
      <c r="AY348" s="350"/>
      <c r="AZ348" s="351"/>
      <c r="BA348" s="554"/>
      <c r="BB348" s="351"/>
      <c r="BC348" s="36"/>
      <c r="BD348" s="556" t="s">
        <v>325</v>
      </c>
      <c r="BE348" s="351"/>
      <c r="BF348" s="547"/>
      <c r="BG348" s="350"/>
      <c r="BH348" s="350"/>
      <c r="BI348" s="351"/>
      <c r="BJ348" s="506" t="s">
        <v>294</v>
      </c>
      <c r="BK348" s="350"/>
      <c r="BL348" s="350"/>
      <c r="BM348" s="351"/>
      <c r="BN348" s="530" t="s">
        <v>294</v>
      </c>
      <c r="BO348" s="350"/>
      <c r="BP348" s="350"/>
      <c r="BQ348" s="350"/>
      <c r="BR348" s="350"/>
      <c r="BS348" s="350"/>
      <c r="BT348" s="350"/>
      <c r="BU348" s="350"/>
      <c r="BV348" s="351"/>
    </row>
    <row r="349" spans="1:74" ht="45" customHeight="1">
      <c r="A349" s="24">
        <f t="shared" si="1"/>
        <v>335</v>
      </c>
      <c r="B349" s="522" t="s">
        <v>294</v>
      </c>
      <c r="C349" s="351"/>
      <c r="D349" s="523" t="s">
        <v>298</v>
      </c>
      <c r="E349" s="351"/>
      <c r="F349" s="524" t="s">
        <v>325</v>
      </c>
      <c r="G349" s="351"/>
      <c r="H349" s="561" t="s">
        <v>325</v>
      </c>
      <c r="I349" s="351"/>
      <c r="J349" s="562"/>
      <c r="K349" s="351"/>
      <c r="L349" s="562"/>
      <c r="M349" s="351"/>
      <c r="N349" s="34"/>
      <c r="O349" s="38"/>
      <c r="P349" s="526"/>
      <c r="Q349" s="351"/>
      <c r="R349" s="535"/>
      <c r="S349" s="351"/>
      <c r="T349" s="536"/>
      <c r="U349" s="351"/>
      <c r="V349" s="537"/>
      <c r="W349" s="351"/>
      <c r="X349" s="542" t="s">
        <v>294</v>
      </c>
      <c r="Y349" s="350"/>
      <c r="Z349" s="350"/>
      <c r="AA349" s="351"/>
      <c r="AB349" s="543" t="s">
        <v>294</v>
      </c>
      <c r="AC349" s="350"/>
      <c r="AD349" s="350"/>
      <c r="AE349" s="351"/>
      <c r="AF349" s="540"/>
      <c r="AG349" s="351"/>
      <c r="AH349" s="540"/>
      <c r="AI349" s="351"/>
      <c r="AJ349" s="532"/>
      <c r="AK349" s="351"/>
      <c r="AL349" s="524" t="s">
        <v>325</v>
      </c>
      <c r="AM349" s="351"/>
      <c r="AN349" s="549" t="s">
        <v>325</v>
      </c>
      <c r="AO349" s="351"/>
      <c r="AP349" s="532"/>
      <c r="AQ349" s="351"/>
      <c r="AR349" s="533"/>
      <c r="AS349" s="351"/>
      <c r="AT349" s="534"/>
      <c r="AU349" s="351"/>
      <c r="AV349" s="549" t="s">
        <v>325</v>
      </c>
      <c r="AW349" s="351"/>
      <c r="AX349" s="553"/>
      <c r="AY349" s="350"/>
      <c r="AZ349" s="351"/>
      <c r="BA349" s="545"/>
      <c r="BB349" s="351"/>
      <c r="BC349" s="39"/>
      <c r="BD349" s="546" t="s">
        <v>325</v>
      </c>
      <c r="BE349" s="351"/>
      <c r="BF349" s="529"/>
      <c r="BG349" s="350"/>
      <c r="BH349" s="350"/>
      <c r="BI349" s="351"/>
      <c r="BJ349" s="548" t="s">
        <v>294</v>
      </c>
      <c r="BK349" s="350"/>
      <c r="BL349" s="350"/>
      <c r="BM349" s="351"/>
      <c r="BN349" s="530" t="s">
        <v>294</v>
      </c>
      <c r="BO349" s="350"/>
      <c r="BP349" s="350"/>
      <c r="BQ349" s="350"/>
      <c r="BR349" s="350"/>
      <c r="BS349" s="350"/>
      <c r="BT349" s="350"/>
      <c r="BU349" s="350"/>
      <c r="BV349" s="351"/>
    </row>
    <row r="350" spans="1:74" ht="45" customHeight="1">
      <c r="A350" s="24">
        <f t="shared" si="1"/>
        <v>336</v>
      </c>
      <c r="B350" s="558" t="s">
        <v>294</v>
      </c>
      <c r="C350" s="351"/>
      <c r="D350" s="559" t="s">
        <v>298</v>
      </c>
      <c r="E350" s="351"/>
      <c r="F350" s="524" t="s">
        <v>325</v>
      </c>
      <c r="G350" s="351"/>
      <c r="H350" s="525" t="s">
        <v>325</v>
      </c>
      <c r="I350" s="351"/>
      <c r="J350" s="563"/>
      <c r="K350" s="351"/>
      <c r="L350" s="563"/>
      <c r="M350" s="351"/>
      <c r="N350" s="37"/>
      <c r="O350" s="35"/>
      <c r="P350" s="560"/>
      <c r="Q350" s="351"/>
      <c r="R350" s="527"/>
      <c r="S350" s="351"/>
      <c r="T350" s="528"/>
      <c r="U350" s="351"/>
      <c r="V350" s="541"/>
      <c r="W350" s="351"/>
      <c r="X350" s="538" t="s">
        <v>294</v>
      </c>
      <c r="Y350" s="350"/>
      <c r="Z350" s="350"/>
      <c r="AA350" s="351"/>
      <c r="AB350" s="539" t="s">
        <v>294</v>
      </c>
      <c r="AC350" s="350"/>
      <c r="AD350" s="350"/>
      <c r="AE350" s="351"/>
      <c r="AF350" s="544"/>
      <c r="AG350" s="351"/>
      <c r="AH350" s="544"/>
      <c r="AI350" s="351"/>
      <c r="AJ350" s="545"/>
      <c r="AK350" s="351"/>
      <c r="AL350" s="555" t="s">
        <v>325</v>
      </c>
      <c r="AM350" s="351"/>
      <c r="AN350" s="531" t="s">
        <v>325</v>
      </c>
      <c r="AO350" s="351"/>
      <c r="AP350" s="550"/>
      <c r="AQ350" s="351"/>
      <c r="AR350" s="551"/>
      <c r="AS350" s="351"/>
      <c r="AT350" s="534"/>
      <c r="AU350" s="351"/>
      <c r="AV350" s="531" t="s">
        <v>325</v>
      </c>
      <c r="AW350" s="351"/>
      <c r="AX350" s="553"/>
      <c r="AY350" s="350"/>
      <c r="AZ350" s="351"/>
      <c r="BA350" s="554"/>
      <c r="BB350" s="351"/>
      <c r="BC350" s="36"/>
      <c r="BD350" s="556" t="s">
        <v>325</v>
      </c>
      <c r="BE350" s="351"/>
      <c r="BF350" s="547"/>
      <c r="BG350" s="350"/>
      <c r="BH350" s="350"/>
      <c r="BI350" s="351"/>
      <c r="BJ350" s="506" t="s">
        <v>294</v>
      </c>
      <c r="BK350" s="350"/>
      <c r="BL350" s="350"/>
      <c r="BM350" s="351"/>
      <c r="BN350" s="530" t="s">
        <v>294</v>
      </c>
      <c r="BO350" s="350"/>
      <c r="BP350" s="350"/>
      <c r="BQ350" s="350"/>
      <c r="BR350" s="350"/>
      <c r="BS350" s="350"/>
      <c r="BT350" s="350"/>
      <c r="BU350" s="350"/>
      <c r="BV350" s="351"/>
    </row>
    <row r="351" spans="1:74" ht="45" customHeight="1">
      <c r="A351" s="24">
        <f t="shared" si="1"/>
        <v>337</v>
      </c>
      <c r="B351" s="522" t="s">
        <v>294</v>
      </c>
      <c r="C351" s="351"/>
      <c r="D351" s="523" t="s">
        <v>298</v>
      </c>
      <c r="E351" s="351"/>
      <c r="F351" s="524" t="s">
        <v>325</v>
      </c>
      <c r="G351" s="351"/>
      <c r="H351" s="561" t="s">
        <v>325</v>
      </c>
      <c r="I351" s="351"/>
      <c r="J351" s="562"/>
      <c r="K351" s="351"/>
      <c r="L351" s="562"/>
      <c r="M351" s="351"/>
      <c r="N351" s="34"/>
      <c r="O351" s="38"/>
      <c r="P351" s="526"/>
      <c r="Q351" s="351"/>
      <c r="R351" s="535"/>
      <c r="S351" s="351"/>
      <c r="T351" s="536"/>
      <c r="U351" s="351"/>
      <c r="V351" s="537"/>
      <c r="W351" s="351"/>
      <c r="X351" s="542" t="s">
        <v>294</v>
      </c>
      <c r="Y351" s="350"/>
      <c r="Z351" s="350"/>
      <c r="AA351" s="351"/>
      <c r="AB351" s="543" t="s">
        <v>294</v>
      </c>
      <c r="AC351" s="350"/>
      <c r="AD351" s="350"/>
      <c r="AE351" s="351"/>
      <c r="AF351" s="540"/>
      <c r="AG351" s="351"/>
      <c r="AH351" s="540"/>
      <c r="AI351" s="351"/>
      <c r="AJ351" s="532"/>
      <c r="AK351" s="351"/>
      <c r="AL351" s="524" t="s">
        <v>325</v>
      </c>
      <c r="AM351" s="351"/>
      <c r="AN351" s="549" t="s">
        <v>325</v>
      </c>
      <c r="AO351" s="351"/>
      <c r="AP351" s="532"/>
      <c r="AQ351" s="351"/>
      <c r="AR351" s="533"/>
      <c r="AS351" s="351"/>
      <c r="AT351" s="534"/>
      <c r="AU351" s="351"/>
      <c r="AV351" s="549" t="s">
        <v>325</v>
      </c>
      <c r="AW351" s="351"/>
      <c r="AX351" s="553"/>
      <c r="AY351" s="350"/>
      <c r="AZ351" s="351"/>
      <c r="BA351" s="545"/>
      <c r="BB351" s="351"/>
      <c r="BC351" s="39"/>
      <c r="BD351" s="556" t="s">
        <v>325</v>
      </c>
      <c r="BE351" s="351"/>
      <c r="BF351" s="557"/>
      <c r="BG351" s="350"/>
      <c r="BH351" s="350"/>
      <c r="BI351" s="351"/>
      <c r="BJ351" s="548" t="s">
        <v>294</v>
      </c>
      <c r="BK351" s="350"/>
      <c r="BL351" s="350"/>
      <c r="BM351" s="351"/>
      <c r="BN351" s="530" t="s">
        <v>294</v>
      </c>
      <c r="BO351" s="350"/>
      <c r="BP351" s="350"/>
      <c r="BQ351" s="350"/>
      <c r="BR351" s="350"/>
      <c r="BS351" s="350"/>
      <c r="BT351" s="350"/>
      <c r="BU351" s="350"/>
      <c r="BV351" s="351"/>
    </row>
    <row r="352" spans="1:74" ht="45" customHeight="1">
      <c r="A352" s="24">
        <f t="shared" si="1"/>
        <v>338</v>
      </c>
      <c r="B352" s="558" t="s">
        <v>294</v>
      </c>
      <c r="C352" s="351"/>
      <c r="D352" s="559" t="s">
        <v>298</v>
      </c>
      <c r="E352" s="351"/>
      <c r="F352" s="524" t="s">
        <v>325</v>
      </c>
      <c r="G352" s="351"/>
      <c r="H352" s="525" t="s">
        <v>325</v>
      </c>
      <c r="I352" s="351"/>
      <c r="J352" s="563"/>
      <c r="K352" s="351"/>
      <c r="L352" s="563"/>
      <c r="M352" s="351"/>
      <c r="N352" s="37"/>
      <c r="O352" s="35"/>
      <c r="P352" s="560"/>
      <c r="Q352" s="351"/>
      <c r="R352" s="527"/>
      <c r="S352" s="351"/>
      <c r="T352" s="528"/>
      <c r="U352" s="351"/>
      <c r="V352" s="541"/>
      <c r="W352" s="351"/>
      <c r="X352" s="538" t="s">
        <v>294</v>
      </c>
      <c r="Y352" s="350"/>
      <c r="Z352" s="350"/>
      <c r="AA352" s="351"/>
      <c r="AB352" s="539" t="s">
        <v>294</v>
      </c>
      <c r="AC352" s="350"/>
      <c r="AD352" s="350"/>
      <c r="AE352" s="351"/>
      <c r="AF352" s="544"/>
      <c r="AG352" s="351"/>
      <c r="AH352" s="544"/>
      <c r="AI352" s="351"/>
      <c r="AJ352" s="545"/>
      <c r="AK352" s="351"/>
      <c r="AL352" s="555" t="s">
        <v>325</v>
      </c>
      <c r="AM352" s="351"/>
      <c r="AN352" s="531" t="s">
        <v>325</v>
      </c>
      <c r="AO352" s="351"/>
      <c r="AP352" s="550"/>
      <c r="AQ352" s="351"/>
      <c r="AR352" s="551"/>
      <c r="AS352" s="351"/>
      <c r="AT352" s="534"/>
      <c r="AU352" s="351"/>
      <c r="AV352" s="531" t="s">
        <v>325</v>
      </c>
      <c r="AW352" s="351"/>
      <c r="AX352" s="553"/>
      <c r="AY352" s="350"/>
      <c r="AZ352" s="351"/>
      <c r="BA352" s="554"/>
      <c r="BB352" s="351"/>
      <c r="BC352" s="36"/>
      <c r="BD352" s="546" t="s">
        <v>325</v>
      </c>
      <c r="BE352" s="351"/>
      <c r="BF352" s="547"/>
      <c r="BG352" s="350"/>
      <c r="BH352" s="350"/>
      <c r="BI352" s="351"/>
      <c r="BJ352" s="506" t="s">
        <v>294</v>
      </c>
      <c r="BK352" s="350"/>
      <c r="BL352" s="350"/>
      <c r="BM352" s="351"/>
      <c r="BN352" s="530" t="s">
        <v>294</v>
      </c>
      <c r="BO352" s="350"/>
      <c r="BP352" s="350"/>
      <c r="BQ352" s="350"/>
      <c r="BR352" s="350"/>
      <c r="BS352" s="350"/>
      <c r="BT352" s="350"/>
      <c r="BU352" s="350"/>
      <c r="BV352" s="351"/>
    </row>
    <row r="353" spans="1:74" ht="45" customHeight="1">
      <c r="A353" s="24">
        <f t="shared" si="1"/>
        <v>339</v>
      </c>
      <c r="B353" s="522" t="s">
        <v>294</v>
      </c>
      <c r="C353" s="351"/>
      <c r="D353" s="523" t="s">
        <v>298</v>
      </c>
      <c r="E353" s="351"/>
      <c r="F353" s="524" t="s">
        <v>325</v>
      </c>
      <c r="G353" s="351"/>
      <c r="H353" s="561" t="s">
        <v>325</v>
      </c>
      <c r="I353" s="351"/>
      <c r="J353" s="562"/>
      <c r="K353" s="351"/>
      <c r="L353" s="562"/>
      <c r="M353" s="351"/>
      <c r="N353" s="34"/>
      <c r="O353" s="38"/>
      <c r="P353" s="526"/>
      <c r="Q353" s="351"/>
      <c r="R353" s="535"/>
      <c r="S353" s="351"/>
      <c r="T353" s="536"/>
      <c r="U353" s="351"/>
      <c r="V353" s="537"/>
      <c r="W353" s="351"/>
      <c r="X353" s="542" t="s">
        <v>294</v>
      </c>
      <c r="Y353" s="350"/>
      <c r="Z353" s="350"/>
      <c r="AA353" s="351"/>
      <c r="AB353" s="543" t="s">
        <v>294</v>
      </c>
      <c r="AC353" s="350"/>
      <c r="AD353" s="350"/>
      <c r="AE353" s="351"/>
      <c r="AF353" s="540"/>
      <c r="AG353" s="351"/>
      <c r="AH353" s="540"/>
      <c r="AI353" s="351"/>
      <c r="AJ353" s="532"/>
      <c r="AK353" s="351"/>
      <c r="AL353" s="524" t="s">
        <v>325</v>
      </c>
      <c r="AM353" s="351"/>
      <c r="AN353" s="549" t="s">
        <v>325</v>
      </c>
      <c r="AO353" s="351"/>
      <c r="AP353" s="532"/>
      <c r="AQ353" s="351"/>
      <c r="AR353" s="533"/>
      <c r="AS353" s="351"/>
      <c r="AT353" s="534"/>
      <c r="AU353" s="351"/>
      <c r="AV353" s="549" t="s">
        <v>325</v>
      </c>
      <c r="AW353" s="351"/>
      <c r="AX353" s="553"/>
      <c r="AY353" s="350"/>
      <c r="AZ353" s="351"/>
      <c r="BA353" s="545"/>
      <c r="BB353" s="351"/>
      <c r="BC353" s="39"/>
      <c r="BD353" s="556" t="s">
        <v>325</v>
      </c>
      <c r="BE353" s="351"/>
      <c r="BF353" s="529"/>
      <c r="BG353" s="350"/>
      <c r="BH353" s="350"/>
      <c r="BI353" s="351"/>
      <c r="BJ353" s="548" t="s">
        <v>294</v>
      </c>
      <c r="BK353" s="350"/>
      <c r="BL353" s="350"/>
      <c r="BM353" s="351"/>
      <c r="BN353" s="530" t="s">
        <v>294</v>
      </c>
      <c r="BO353" s="350"/>
      <c r="BP353" s="350"/>
      <c r="BQ353" s="350"/>
      <c r="BR353" s="350"/>
      <c r="BS353" s="350"/>
      <c r="BT353" s="350"/>
      <c r="BU353" s="350"/>
      <c r="BV353" s="351"/>
    </row>
    <row r="354" spans="1:74" ht="45" customHeight="1">
      <c r="A354" s="24">
        <f t="shared" si="1"/>
        <v>340</v>
      </c>
      <c r="B354" s="558" t="s">
        <v>294</v>
      </c>
      <c r="C354" s="351"/>
      <c r="D354" s="559" t="s">
        <v>298</v>
      </c>
      <c r="E354" s="351"/>
      <c r="F354" s="524" t="s">
        <v>325</v>
      </c>
      <c r="G354" s="351"/>
      <c r="H354" s="525" t="s">
        <v>325</v>
      </c>
      <c r="I354" s="351"/>
      <c r="J354" s="563"/>
      <c r="K354" s="351"/>
      <c r="L354" s="563"/>
      <c r="M354" s="351"/>
      <c r="N354" s="37"/>
      <c r="O354" s="35"/>
      <c r="P354" s="560"/>
      <c r="Q354" s="351"/>
      <c r="R354" s="527"/>
      <c r="S354" s="351"/>
      <c r="T354" s="528"/>
      <c r="U354" s="351"/>
      <c r="V354" s="541"/>
      <c r="W354" s="351"/>
      <c r="X354" s="538" t="s">
        <v>294</v>
      </c>
      <c r="Y354" s="350"/>
      <c r="Z354" s="350"/>
      <c r="AA354" s="351"/>
      <c r="AB354" s="539" t="s">
        <v>294</v>
      </c>
      <c r="AC354" s="350"/>
      <c r="AD354" s="350"/>
      <c r="AE354" s="351"/>
      <c r="AF354" s="544"/>
      <c r="AG354" s="351"/>
      <c r="AH354" s="544"/>
      <c r="AI354" s="351"/>
      <c r="AJ354" s="545"/>
      <c r="AK354" s="351"/>
      <c r="AL354" s="555" t="s">
        <v>325</v>
      </c>
      <c r="AM354" s="351"/>
      <c r="AN354" s="531" t="s">
        <v>325</v>
      </c>
      <c r="AO354" s="351"/>
      <c r="AP354" s="550"/>
      <c r="AQ354" s="351"/>
      <c r="AR354" s="551"/>
      <c r="AS354" s="351"/>
      <c r="AT354" s="534"/>
      <c r="AU354" s="351"/>
      <c r="AV354" s="531" t="s">
        <v>325</v>
      </c>
      <c r="AW354" s="351"/>
      <c r="AX354" s="553"/>
      <c r="AY354" s="350"/>
      <c r="AZ354" s="351"/>
      <c r="BA354" s="554"/>
      <c r="BB354" s="351"/>
      <c r="BC354" s="36"/>
      <c r="BD354" s="556" t="s">
        <v>325</v>
      </c>
      <c r="BE354" s="351"/>
      <c r="BF354" s="547"/>
      <c r="BG354" s="350"/>
      <c r="BH354" s="350"/>
      <c r="BI354" s="351"/>
      <c r="BJ354" s="506" t="s">
        <v>294</v>
      </c>
      <c r="BK354" s="350"/>
      <c r="BL354" s="350"/>
      <c r="BM354" s="351"/>
      <c r="BN354" s="530" t="s">
        <v>294</v>
      </c>
      <c r="BO354" s="350"/>
      <c r="BP354" s="350"/>
      <c r="BQ354" s="350"/>
      <c r="BR354" s="350"/>
      <c r="BS354" s="350"/>
      <c r="BT354" s="350"/>
      <c r="BU354" s="350"/>
      <c r="BV354" s="351"/>
    </row>
    <row r="355" spans="1:74" ht="45" customHeight="1">
      <c r="A355" s="24">
        <f t="shared" si="1"/>
        <v>341</v>
      </c>
      <c r="B355" s="522" t="s">
        <v>294</v>
      </c>
      <c r="C355" s="351"/>
      <c r="D355" s="523" t="s">
        <v>298</v>
      </c>
      <c r="E355" s="351"/>
      <c r="F355" s="524" t="s">
        <v>325</v>
      </c>
      <c r="G355" s="351"/>
      <c r="H355" s="561" t="s">
        <v>325</v>
      </c>
      <c r="I355" s="351"/>
      <c r="J355" s="562"/>
      <c r="K355" s="351"/>
      <c r="L355" s="562"/>
      <c r="M355" s="351"/>
      <c r="N355" s="34"/>
      <c r="O355" s="38"/>
      <c r="P355" s="526"/>
      <c r="Q355" s="351"/>
      <c r="R355" s="535"/>
      <c r="S355" s="351"/>
      <c r="T355" s="536"/>
      <c r="U355" s="351"/>
      <c r="V355" s="537"/>
      <c r="W355" s="351"/>
      <c r="X355" s="542" t="s">
        <v>294</v>
      </c>
      <c r="Y355" s="350"/>
      <c r="Z355" s="350"/>
      <c r="AA355" s="351"/>
      <c r="AB355" s="543" t="s">
        <v>294</v>
      </c>
      <c r="AC355" s="350"/>
      <c r="AD355" s="350"/>
      <c r="AE355" s="351"/>
      <c r="AF355" s="540"/>
      <c r="AG355" s="351"/>
      <c r="AH355" s="540"/>
      <c r="AI355" s="351"/>
      <c r="AJ355" s="532"/>
      <c r="AK355" s="351"/>
      <c r="AL355" s="524" t="s">
        <v>325</v>
      </c>
      <c r="AM355" s="351"/>
      <c r="AN355" s="549" t="s">
        <v>325</v>
      </c>
      <c r="AO355" s="351"/>
      <c r="AP355" s="532"/>
      <c r="AQ355" s="351"/>
      <c r="AR355" s="533"/>
      <c r="AS355" s="351"/>
      <c r="AT355" s="534"/>
      <c r="AU355" s="351"/>
      <c r="AV355" s="549" t="s">
        <v>325</v>
      </c>
      <c r="AW355" s="351"/>
      <c r="AX355" s="553"/>
      <c r="AY355" s="350"/>
      <c r="AZ355" s="351"/>
      <c r="BA355" s="545"/>
      <c r="BB355" s="351"/>
      <c r="BC355" s="39"/>
      <c r="BD355" s="546" t="s">
        <v>325</v>
      </c>
      <c r="BE355" s="351"/>
      <c r="BF355" s="529"/>
      <c r="BG355" s="350"/>
      <c r="BH355" s="350"/>
      <c r="BI355" s="351"/>
      <c r="BJ355" s="548" t="s">
        <v>294</v>
      </c>
      <c r="BK355" s="350"/>
      <c r="BL355" s="350"/>
      <c r="BM355" s="351"/>
      <c r="BN355" s="530" t="s">
        <v>294</v>
      </c>
      <c r="BO355" s="350"/>
      <c r="BP355" s="350"/>
      <c r="BQ355" s="350"/>
      <c r="BR355" s="350"/>
      <c r="BS355" s="350"/>
      <c r="BT355" s="350"/>
      <c r="BU355" s="350"/>
      <c r="BV355" s="351"/>
    </row>
    <row r="356" spans="1:74" ht="45" customHeight="1">
      <c r="A356" s="24">
        <f t="shared" si="1"/>
        <v>342</v>
      </c>
      <c r="B356" s="558" t="s">
        <v>294</v>
      </c>
      <c r="C356" s="351"/>
      <c r="D356" s="559" t="s">
        <v>298</v>
      </c>
      <c r="E356" s="351"/>
      <c r="F356" s="524" t="s">
        <v>325</v>
      </c>
      <c r="G356" s="351"/>
      <c r="H356" s="525" t="s">
        <v>325</v>
      </c>
      <c r="I356" s="351"/>
      <c r="J356" s="563"/>
      <c r="K356" s="351"/>
      <c r="L356" s="563"/>
      <c r="M356" s="351"/>
      <c r="N356" s="37"/>
      <c r="O356" s="35"/>
      <c r="P356" s="560"/>
      <c r="Q356" s="351"/>
      <c r="R356" s="527"/>
      <c r="S356" s="351"/>
      <c r="T356" s="528"/>
      <c r="U356" s="351"/>
      <c r="V356" s="541"/>
      <c r="W356" s="351"/>
      <c r="X356" s="538" t="s">
        <v>294</v>
      </c>
      <c r="Y356" s="350"/>
      <c r="Z356" s="350"/>
      <c r="AA356" s="351"/>
      <c r="AB356" s="539" t="s">
        <v>294</v>
      </c>
      <c r="AC356" s="350"/>
      <c r="AD356" s="350"/>
      <c r="AE356" s="351"/>
      <c r="AF356" s="544"/>
      <c r="AG356" s="351"/>
      <c r="AH356" s="544"/>
      <c r="AI356" s="351"/>
      <c r="AJ356" s="545"/>
      <c r="AK356" s="351"/>
      <c r="AL356" s="555" t="s">
        <v>325</v>
      </c>
      <c r="AM356" s="351"/>
      <c r="AN356" s="531" t="s">
        <v>325</v>
      </c>
      <c r="AO356" s="351"/>
      <c r="AP356" s="550"/>
      <c r="AQ356" s="351"/>
      <c r="AR356" s="551"/>
      <c r="AS356" s="351"/>
      <c r="AT356" s="534"/>
      <c r="AU356" s="351"/>
      <c r="AV356" s="531" t="s">
        <v>325</v>
      </c>
      <c r="AW356" s="351"/>
      <c r="AX356" s="553"/>
      <c r="AY356" s="350"/>
      <c r="AZ356" s="351"/>
      <c r="BA356" s="554"/>
      <c r="BB356" s="351"/>
      <c r="BC356" s="36"/>
      <c r="BD356" s="556" t="s">
        <v>325</v>
      </c>
      <c r="BE356" s="351"/>
      <c r="BF356" s="547"/>
      <c r="BG356" s="350"/>
      <c r="BH356" s="350"/>
      <c r="BI356" s="351"/>
      <c r="BJ356" s="506" t="s">
        <v>294</v>
      </c>
      <c r="BK356" s="350"/>
      <c r="BL356" s="350"/>
      <c r="BM356" s="351"/>
      <c r="BN356" s="530" t="s">
        <v>294</v>
      </c>
      <c r="BO356" s="350"/>
      <c r="BP356" s="350"/>
      <c r="BQ356" s="350"/>
      <c r="BR356" s="350"/>
      <c r="BS356" s="350"/>
      <c r="BT356" s="350"/>
      <c r="BU356" s="350"/>
      <c r="BV356" s="351"/>
    </row>
    <row r="357" spans="1:74" ht="45" customHeight="1">
      <c r="A357" s="24">
        <f t="shared" si="1"/>
        <v>343</v>
      </c>
      <c r="B357" s="522" t="s">
        <v>294</v>
      </c>
      <c r="C357" s="351"/>
      <c r="D357" s="523" t="s">
        <v>298</v>
      </c>
      <c r="E357" s="351"/>
      <c r="F357" s="524" t="s">
        <v>325</v>
      </c>
      <c r="G357" s="351"/>
      <c r="H357" s="561" t="s">
        <v>325</v>
      </c>
      <c r="I357" s="351"/>
      <c r="J357" s="562"/>
      <c r="K357" s="351"/>
      <c r="L357" s="562"/>
      <c r="M357" s="351"/>
      <c r="N357" s="34"/>
      <c r="O357" s="38"/>
      <c r="P357" s="526"/>
      <c r="Q357" s="351"/>
      <c r="R357" s="535"/>
      <c r="S357" s="351"/>
      <c r="T357" s="536"/>
      <c r="U357" s="351"/>
      <c r="V357" s="537"/>
      <c r="W357" s="351"/>
      <c r="X357" s="542" t="s">
        <v>294</v>
      </c>
      <c r="Y357" s="350"/>
      <c r="Z357" s="350"/>
      <c r="AA357" s="351"/>
      <c r="AB357" s="543" t="s">
        <v>294</v>
      </c>
      <c r="AC357" s="350"/>
      <c r="AD357" s="350"/>
      <c r="AE357" s="351"/>
      <c r="AF357" s="540"/>
      <c r="AG357" s="351"/>
      <c r="AH357" s="540"/>
      <c r="AI357" s="351"/>
      <c r="AJ357" s="532"/>
      <c r="AK357" s="351"/>
      <c r="AL357" s="524" t="s">
        <v>325</v>
      </c>
      <c r="AM357" s="351"/>
      <c r="AN357" s="549" t="s">
        <v>325</v>
      </c>
      <c r="AO357" s="351"/>
      <c r="AP357" s="532"/>
      <c r="AQ357" s="351"/>
      <c r="AR357" s="533"/>
      <c r="AS357" s="351"/>
      <c r="AT357" s="534"/>
      <c r="AU357" s="351"/>
      <c r="AV357" s="549" t="s">
        <v>325</v>
      </c>
      <c r="AW357" s="351"/>
      <c r="AX357" s="553"/>
      <c r="AY357" s="350"/>
      <c r="AZ357" s="351"/>
      <c r="BA357" s="545"/>
      <c r="BB357" s="351"/>
      <c r="BC357" s="39"/>
      <c r="BD357" s="546" t="s">
        <v>325</v>
      </c>
      <c r="BE357" s="351"/>
      <c r="BF357" s="557"/>
      <c r="BG357" s="350"/>
      <c r="BH357" s="350"/>
      <c r="BI357" s="351"/>
      <c r="BJ357" s="548" t="s">
        <v>294</v>
      </c>
      <c r="BK357" s="350"/>
      <c r="BL357" s="350"/>
      <c r="BM357" s="351"/>
      <c r="BN357" s="530" t="s">
        <v>294</v>
      </c>
      <c r="BO357" s="350"/>
      <c r="BP357" s="350"/>
      <c r="BQ357" s="350"/>
      <c r="BR357" s="350"/>
      <c r="BS357" s="350"/>
      <c r="BT357" s="350"/>
      <c r="BU357" s="350"/>
      <c r="BV357" s="351"/>
    </row>
    <row r="358" spans="1:74" ht="45" customHeight="1">
      <c r="A358" s="24">
        <f t="shared" si="1"/>
        <v>344</v>
      </c>
      <c r="B358" s="558" t="s">
        <v>294</v>
      </c>
      <c r="C358" s="351"/>
      <c r="D358" s="559" t="s">
        <v>298</v>
      </c>
      <c r="E358" s="351"/>
      <c r="F358" s="524" t="s">
        <v>325</v>
      </c>
      <c r="G358" s="351"/>
      <c r="H358" s="525" t="s">
        <v>325</v>
      </c>
      <c r="I358" s="351"/>
      <c r="J358" s="563"/>
      <c r="K358" s="351"/>
      <c r="L358" s="563"/>
      <c r="M358" s="351"/>
      <c r="N358" s="37"/>
      <c r="O358" s="35"/>
      <c r="P358" s="560"/>
      <c r="Q358" s="351"/>
      <c r="R358" s="527"/>
      <c r="S358" s="351"/>
      <c r="T358" s="528"/>
      <c r="U358" s="351"/>
      <c r="V358" s="541"/>
      <c r="W358" s="351"/>
      <c r="X358" s="538" t="s">
        <v>294</v>
      </c>
      <c r="Y358" s="350"/>
      <c r="Z358" s="350"/>
      <c r="AA358" s="351"/>
      <c r="AB358" s="539" t="s">
        <v>294</v>
      </c>
      <c r="AC358" s="350"/>
      <c r="AD358" s="350"/>
      <c r="AE358" s="351"/>
      <c r="AF358" s="544"/>
      <c r="AG358" s="351"/>
      <c r="AH358" s="544"/>
      <c r="AI358" s="351"/>
      <c r="AJ358" s="545"/>
      <c r="AK358" s="351"/>
      <c r="AL358" s="555" t="s">
        <v>325</v>
      </c>
      <c r="AM358" s="351"/>
      <c r="AN358" s="531" t="s">
        <v>325</v>
      </c>
      <c r="AO358" s="351"/>
      <c r="AP358" s="550"/>
      <c r="AQ358" s="351"/>
      <c r="AR358" s="551"/>
      <c r="AS358" s="351"/>
      <c r="AT358" s="534"/>
      <c r="AU358" s="351"/>
      <c r="AV358" s="531" t="s">
        <v>325</v>
      </c>
      <c r="AW358" s="351"/>
      <c r="AX358" s="553"/>
      <c r="AY358" s="350"/>
      <c r="AZ358" s="351"/>
      <c r="BA358" s="554"/>
      <c r="BB358" s="351"/>
      <c r="BC358" s="36"/>
      <c r="BD358" s="556" t="s">
        <v>325</v>
      </c>
      <c r="BE358" s="351"/>
      <c r="BF358" s="547"/>
      <c r="BG358" s="350"/>
      <c r="BH358" s="350"/>
      <c r="BI358" s="351"/>
      <c r="BJ358" s="506" t="s">
        <v>294</v>
      </c>
      <c r="BK358" s="350"/>
      <c r="BL358" s="350"/>
      <c r="BM358" s="351"/>
      <c r="BN358" s="530" t="s">
        <v>294</v>
      </c>
      <c r="BO358" s="350"/>
      <c r="BP358" s="350"/>
      <c r="BQ358" s="350"/>
      <c r="BR358" s="350"/>
      <c r="BS358" s="350"/>
      <c r="BT358" s="350"/>
      <c r="BU358" s="350"/>
      <c r="BV358" s="351"/>
    </row>
    <row r="359" spans="1:74" ht="45" customHeight="1">
      <c r="A359" s="24">
        <f t="shared" si="1"/>
        <v>345</v>
      </c>
      <c r="B359" s="522" t="s">
        <v>294</v>
      </c>
      <c r="C359" s="351"/>
      <c r="D359" s="523" t="s">
        <v>298</v>
      </c>
      <c r="E359" s="351"/>
      <c r="F359" s="524" t="s">
        <v>325</v>
      </c>
      <c r="G359" s="351"/>
      <c r="H359" s="561" t="s">
        <v>325</v>
      </c>
      <c r="I359" s="351"/>
      <c r="J359" s="562"/>
      <c r="K359" s="351"/>
      <c r="L359" s="562"/>
      <c r="M359" s="351"/>
      <c r="N359" s="34"/>
      <c r="O359" s="38"/>
      <c r="P359" s="526"/>
      <c r="Q359" s="351"/>
      <c r="R359" s="535"/>
      <c r="S359" s="351"/>
      <c r="T359" s="536"/>
      <c r="U359" s="351"/>
      <c r="V359" s="537"/>
      <c r="W359" s="351"/>
      <c r="X359" s="542" t="s">
        <v>294</v>
      </c>
      <c r="Y359" s="350"/>
      <c r="Z359" s="350"/>
      <c r="AA359" s="351"/>
      <c r="AB359" s="543" t="s">
        <v>294</v>
      </c>
      <c r="AC359" s="350"/>
      <c r="AD359" s="350"/>
      <c r="AE359" s="351"/>
      <c r="AF359" s="540"/>
      <c r="AG359" s="351"/>
      <c r="AH359" s="540"/>
      <c r="AI359" s="351"/>
      <c r="AJ359" s="532"/>
      <c r="AK359" s="351"/>
      <c r="AL359" s="524" t="s">
        <v>325</v>
      </c>
      <c r="AM359" s="351"/>
      <c r="AN359" s="549" t="s">
        <v>325</v>
      </c>
      <c r="AO359" s="351"/>
      <c r="AP359" s="532"/>
      <c r="AQ359" s="351"/>
      <c r="AR359" s="533"/>
      <c r="AS359" s="351"/>
      <c r="AT359" s="534"/>
      <c r="AU359" s="351"/>
      <c r="AV359" s="549" t="s">
        <v>325</v>
      </c>
      <c r="AW359" s="351"/>
      <c r="AX359" s="553"/>
      <c r="AY359" s="350"/>
      <c r="AZ359" s="351"/>
      <c r="BA359" s="545"/>
      <c r="BB359" s="351"/>
      <c r="BC359" s="39"/>
      <c r="BD359" s="546" t="s">
        <v>325</v>
      </c>
      <c r="BE359" s="351"/>
      <c r="BF359" s="529"/>
      <c r="BG359" s="350"/>
      <c r="BH359" s="350"/>
      <c r="BI359" s="351"/>
      <c r="BJ359" s="548" t="s">
        <v>294</v>
      </c>
      <c r="BK359" s="350"/>
      <c r="BL359" s="350"/>
      <c r="BM359" s="351"/>
      <c r="BN359" s="530" t="s">
        <v>294</v>
      </c>
      <c r="BO359" s="350"/>
      <c r="BP359" s="350"/>
      <c r="BQ359" s="350"/>
      <c r="BR359" s="350"/>
      <c r="BS359" s="350"/>
      <c r="BT359" s="350"/>
      <c r="BU359" s="350"/>
      <c r="BV359" s="351"/>
    </row>
    <row r="360" spans="1:74" ht="45" customHeight="1">
      <c r="A360" s="24">
        <f t="shared" si="1"/>
        <v>346</v>
      </c>
      <c r="B360" s="558" t="s">
        <v>294</v>
      </c>
      <c r="C360" s="351"/>
      <c r="D360" s="559" t="s">
        <v>298</v>
      </c>
      <c r="E360" s="351"/>
      <c r="F360" s="524" t="s">
        <v>325</v>
      </c>
      <c r="G360" s="351"/>
      <c r="H360" s="525" t="s">
        <v>325</v>
      </c>
      <c r="I360" s="351"/>
      <c r="J360" s="563"/>
      <c r="K360" s="351"/>
      <c r="L360" s="563"/>
      <c r="M360" s="351"/>
      <c r="N360" s="37"/>
      <c r="O360" s="35"/>
      <c r="P360" s="560"/>
      <c r="Q360" s="351"/>
      <c r="R360" s="527"/>
      <c r="S360" s="351"/>
      <c r="T360" s="528"/>
      <c r="U360" s="351"/>
      <c r="V360" s="541"/>
      <c r="W360" s="351"/>
      <c r="X360" s="538" t="s">
        <v>294</v>
      </c>
      <c r="Y360" s="350"/>
      <c r="Z360" s="350"/>
      <c r="AA360" s="351"/>
      <c r="AB360" s="539" t="s">
        <v>294</v>
      </c>
      <c r="AC360" s="350"/>
      <c r="AD360" s="350"/>
      <c r="AE360" s="351"/>
      <c r="AF360" s="544"/>
      <c r="AG360" s="351"/>
      <c r="AH360" s="544"/>
      <c r="AI360" s="351"/>
      <c r="AJ360" s="545"/>
      <c r="AK360" s="351"/>
      <c r="AL360" s="555" t="s">
        <v>325</v>
      </c>
      <c r="AM360" s="351"/>
      <c r="AN360" s="531" t="s">
        <v>325</v>
      </c>
      <c r="AO360" s="351"/>
      <c r="AP360" s="550"/>
      <c r="AQ360" s="351"/>
      <c r="AR360" s="551"/>
      <c r="AS360" s="351"/>
      <c r="AT360" s="534"/>
      <c r="AU360" s="351"/>
      <c r="AV360" s="531" t="s">
        <v>325</v>
      </c>
      <c r="AW360" s="351"/>
      <c r="AX360" s="553"/>
      <c r="AY360" s="350"/>
      <c r="AZ360" s="351"/>
      <c r="BA360" s="554"/>
      <c r="BB360" s="351"/>
      <c r="BC360" s="36"/>
      <c r="BD360" s="556" t="s">
        <v>325</v>
      </c>
      <c r="BE360" s="351"/>
      <c r="BF360" s="547"/>
      <c r="BG360" s="350"/>
      <c r="BH360" s="350"/>
      <c r="BI360" s="351"/>
      <c r="BJ360" s="506" t="s">
        <v>294</v>
      </c>
      <c r="BK360" s="350"/>
      <c r="BL360" s="350"/>
      <c r="BM360" s="351"/>
      <c r="BN360" s="530" t="s">
        <v>294</v>
      </c>
      <c r="BO360" s="350"/>
      <c r="BP360" s="350"/>
      <c r="BQ360" s="350"/>
      <c r="BR360" s="350"/>
      <c r="BS360" s="350"/>
      <c r="BT360" s="350"/>
      <c r="BU360" s="350"/>
      <c r="BV360" s="351"/>
    </row>
    <row r="361" spans="1:74" ht="45" customHeight="1">
      <c r="A361" s="24">
        <f t="shared" si="1"/>
        <v>347</v>
      </c>
      <c r="B361" s="522" t="s">
        <v>294</v>
      </c>
      <c r="C361" s="351"/>
      <c r="D361" s="523" t="s">
        <v>298</v>
      </c>
      <c r="E361" s="351"/>
      <c r="F361" s="524" t="s">
        <v>325</v>
      </c>
      <c r="G361" s="351"/>
      <c r="H361" s="561" t="s">
        <v>325</v>
      </c>
      <c r="I361" s="351"/>
      <c r="J361" s="562"/>
      <c r="K361" s="351"/>
      <c r="L361" s="562"/>
      <c r="M361" s="351"/>
      <c r="N361" s="34"/>
      <c r="O361" s="38"/>
      <c r="P361" s="526"/>
      <c r="Q361" s="351"/>
      <c r="R361" s="535"/>
      <c r="S361" s="351"/>
      <c r="T361" s="536"/>
      <c r="U361" s="351"/>
      <c r="V361" s="537"/>
      <c r="W361" s="351"/>
      <c r="X361" s="542" t="s">
        <v>294</v>
      </c>
      <c r="Y361" s="350"/>
      <c r="Z361" s="350"/>
      <c r="AA361" s="351"/>
      <c r="AB361" s="543" t="s">
        <v>294</v>
      </c>
      <c r="AC361" s="350"/>
      <c r="AD361" s="350"/>
      <c r="AE361" s="351"/>
      <c r="AF361" s="540"/>
      <c r="AG361" s="351"/>
      <c r="AH361" s="540"/>
      <c r="AI361" s="351"/>
      <c r="AJ361" s="532"/>
      <c r="AK361" s="351"/>
      <c r="AL361" s="524" t="s">
        <v>325</v>
      </c>
      <c r="AM361" s="351"/>
      <c r="AN361" s="549" t="s">
        <v>325</v>
      </c>
      <c r="AO361" s="351"/>
      <c r="AP361" s="532"/>
      <c r="AQ361" s="351"/>
      <c r="AR361" s="533"/>
      <c r="AS361" s="351"/>
      <c r="AT361" s="534"/>
      <c r="AU361" s="351"/>
      <c r="AV361" s="549" t="s">
        <v>325</v>
      </c>
      <c r="AW361" s="351"/>
      <c r="AX361" s="553"/>
      <c r="AY361" s="350"/>
      <c r="AZ361" s="351"/>
      <c r="BA361" s="545"/>
      <c r="BB361" s="351"/>
      <c r="BC361" s="39"/>
      <c r="BD361" s="546" t="s">
        <v>325</v>
      </c>
      <c r="BE361" s="351"/>
      <c r="BF361" s="557"/>
      <c r="BG361" s="350"/>
      <c r="BH361" s="350"/>
      <c r="BI361" s="351"/>
      <c r="BJ361" s="548" t="s">
        <v>294</v>
      </c>
      <c r="BK361" s="350"/>
      <c r="BL361" s="350"/>
      <c r="BM361" s="351"/>
      <c r="BN361" s="530" t="s">
        <v>294</v>
      </c>
      <c r="BO361" s="350"/>
      <c r="BP361" s="350"/>
      <c r="BQ361" s="350"/>
      <c r="BR361" s="350"/>
      <c r="BS361" s="350"/>
      <c r="BT361" s="350"/>
      <c r="BU361" s="350"/>
      <c r="BV361" s="351"/>
    </row>
    <row r="362" spans="1:74" ht="45" customHeight="1">
      <c r="A362" s="24">
        <f t="shared" si="1"/>
        <v>348</v>
      </c>
      <c r="B362" s="558" t="s">
        <v>294</v>
      </c>
      <c r="C362" s="351"/>
      <c r="D362" s="559" t="s">
        <v>298</v>
      </c>
      <c r="E362" s="351"/>
      <c r="F362" s="524" t="s">
        <v>325</v>
      </c>
      <c r="G362" s="351"/>
      <c r="H362" s="525" t="s">
        <v>325</v>
      </c>
      <c r="I362" s="351"/>
      <c r="J362" s="563"/>
      <c r="K362" s="351"/>
      <c r="L362" s="563"/>
      <c r="M362" s="351"/>
      <c r="N362" s="37"/>
      <c r="O362" s="35"/>
      <c r="P362" s="560"/>
      <c r="Q362" s="351"/>
      <c r="R362" s="527"/>
      <c r="S362" s="351"/>
      <c r="T362" s="528"/>
      <c r="U362" s="351"/>
      <c r="V362" s="541"/>
      <c r="W362" s="351"/>
      <c r="X362" s="538" t="s">
        <v>294</v>
      </c>
      <c r="Y362" s="350"/>
      <c r="Z362" s="350"/>
      <c r="AA362" s="351"/>
      <c r="AB362" s="539" t="s">
        <v>294</v>
      </c>
      <c r="AC362" s="350"/>
      <c r="AD362" s="350"/>
      <c r="AE362" s="351"/>
      <c r="AF362" s="544"/>
      <c r="AG362" s="351"/>
      <c r="AH362" s="544"/>
      <c r="AI362" s="351"/>
      <c r="AJ362" s="545"/>
      <c r="AK362" s="351"/>
      <c r="AL362" s="555" t="s">
        <v>325</v>
      </c>
      <c r="AM362" s="351"/>
      <c r="AN362" s="531" t="s">
        <v>325</v>
      </c>
      <c r="AO362" s="351"/>
      <c r="AP362" s="550"/>
      <c r="AQ362" s="351"/>
      <c r="AR362" s="551"/>
      <c r="AS362" s="351"/>
      <c r="AT362" s="534"/>
      <c r="AU362" s="351"/>
      <c r="AV362" s="531" t="s">
        <v>325</v>
      </c>
      <c r="AW362" s="351"/>
      <c r="AX362" s="553"/>
      <c r="AY362" s="350"/>
      <c r="AZ362" s="351"/>
      <c r="BA362" s="554"/>
      <c r="BB362" s="351"/>
      <c r="BC362" s="36"/>
      <c r="BD362" s="556" t="s">
        <v>325</v>
      </c>
      <c r="BE362" s="351"/>
      <c r="BF362" s="547"/>
      <c r="BG362" s="350"/>
      <c r="BH362" s="350"/>
      <c r="BI362" s="351"/>
      <c r="BJ362" s="506" t="s">
        <v>294</v>
      </c>
      <c r="BK362" s="350"/>
      <c r="BL362" s="350"/>
      <c r="BM362" s="351"/>
      <c r="BN362" s="530" t="s">
        <v>294</v>
      </c>
      <c r="BO362" s="350"/>
      <c r="BP362" s="350"/>
      <c r="BQ362" s="350"/>
      <c r="BR362" s="350"/>
      <c r="BS362" s="350"/>
      <c r="BT362" s="350"/>
      <c r="BU362" s="350"/>
      <c r="BV362" s="351"/>
    </row>
    <row r="363" spans="1:74" ht="45" customHeight="1">
      <c r="A363" s="24">
        <f t="shared" si="1"/>
        <v>349</v>
      </c>
      <c r="B363" s="522" t="s">
        <v>294</v>
      </c>
      <c r="C363" s="351"/>
      <c r="D363" s="523" t="s">
        <v>298</v>
      </c>
      <c r="E363" s="351"/>
      <c r="F363" s="524" t="s">
        <v>325</v>
      </c>
      <c r="G363" s="351"/>
      <c r="H363" s="561" t="s">
        <v>325</v>
      </c>
      <c r="I363" s="351"/>
      <c r="J363" s="562"/>
      <c r="K363" s="351"/>
      <c r="L363" s="562"/>
      <c r="M363" s="351"/>
      <c r="N363" s="34"/>
      <c r="O363" s="38"/>
      <c r="P363" s="526"/>
      <c r="Q363" s="351"/>
      <c r="R363" s="535"/>
      <c r="S363" s="351"/>
      <c r="T363" s="536"/>
      <c r="U363" s="351"/>
      <c r="V363" s="537"/>
      <c r="W363" s="351"/>
      <c r="X363" s="542" t="s">
        <v>294</v>
      </c>
      <c r="Y363" s="350"/>
      <c r="Z363" s="350"/>
      <c r="AA363" s="351"/>
      <c r="AB363" s="543" t="s">
        <v>294</v>
      </c>
      <c r="AC363" s="350"/>
      <c r="AD363" s="350"/>
      <c r="AE363" s="351"/>
      <c r="AF363" s="540"/>
      <c r="AG363" s="351"/>
      <c r="AH363" s="540"/>
      <c r="AI363" s="351"/>
      <c r="AJ363" s="532"/>
      <c r="AK363" s="351"/>
      <c r="AL363" s="524" t="s">
        <v>325</v>
      </c>
      <c r="AM363" s="351"/>
      <c r="AN363" s="549" t="s">
        <v>325</v>
      </c>
      <c r="AO363" s="351"/>
      <c r="AP363" s="532"/>
      <c r="AQ363" s="351"/>
      <c r="AR363" s="533"/>
      <c r="AS363" s="351"/>
      <c r="AT363" s="534"/>
      <c r="AU363" s="351"/>
      <c r="AV363" s="549" t="s">
        <v>325</v>
      </c>
      <c r="AW363" s="351"/>
      <c r="AX363" s="553"/>
      <c r="AY363" s="350"/>
      <c r="AZ363" s="351"/>
      <c r="BA363" s="545"/>
      <c r="BB363" s="351"/>
      <c r="BC363" s="39"/>
      <c r="BD363" s="546" t="s">
        <v>325</v>
      </c>
      <c r="BE363" s="351"/>
      <c r="BF363" s="529"/>
      <c r="BG363" s="350"/>
      <c r="BH363" s="350"/>
      <c r="BI363" s="351"/>
      <c r="BJ363" s="548" t="s">
        <v>294</v>
      </c>
      <c r="BK363" s="350"/>
      <c r="BL363" s="350"/>
      <c r="BM363" s="351"/>
      <c r="BN363" s="530" t="s">
        <v>294</v>
      </c>
      <c r="BO363" s="350"/>
      <c r="BP363" s="350"/>
      <c r="BQ363" s="350"/>
      <c r="BR363" s="350"/>
      <c r="BS363" s="350"/>
      <c r="BT363" s="350"/>
      <c r="BU363" s="350"/>
      <c r="BV363" s="351"/>
    </row>
    <row r="364" spans="1:74" ht="45" customHeight="1">
      <c r="A364" s="24">
        <f t="shared" si="1"/>
        <v>350</v>
      </c>
      <c r="B364" s="558" t="s">
        <v>294</v>
      </c>
      <c r="C364" s="351"/>
      <c r="D364" s="559" t="s">
        <v>298</v>
      </c>
      <c r="E364" s="351"/>
      <c r="F364" s="524" t="s">
        <v>325</v>
      </c>
      <c r="G364" s="351"/>
      <c r="H364" s="525" t="s">
        <v>325</v>
      </c>
      <c r="I364" s="351"/>
      <c r="J364" s="563"/>
      <c r="K364" s="351"/>
      <c r="L364" s="563"/>
      <c r="M364" s="351"/>
      <c r="N364" s="37"/>
      <c r="O364" s="35"/>
      <c r="P364" s="560"/>
      <c r="Q364" s="351"/>
      <c r="R364" s="527"/>
      <c r="S364" s="351"/>
      <c r="T364" s="528"/>
      <c r="U364" s="351"/>
      <c r="V364" s="541"/>
      <c r="W364" s="351"/>
      <c r="X364" s="538" t="s">
        <v>294</v>
      </c>
      <c r="Y364" s="350"/>
      <c r="Z364" s="350"/>
      <c r="AA364" s="351"/>
      <c r="AB364" s="539" t="s">
        <v>294</v>
      </c>
      <c r="AC364" s="350"/>
      <c r="AD364" s="350"/>
      <c r="AE364" s="351"/>
      <c r="AF364" s="544"/>
      <c r="AG364" s="351"/>
      <c r="AH364" s="544"/>
      <c r="AI364" s="351"/>
      <c r="AJ364" s="545"/>
      <c r="AK364" s="351"/>
      <c r="AL364" s="555" t="s">
        <v>325</v>
      </c>
      <c r="AM364" s="351"/>
      <c r="AN364" s="531" t="s">
        <v>325</v>
      </c>
      <c r="AO364" s="351"/>
      <c r="AP364" s="550"/>
      <c r="AQ364" s="351"/>
      <c r="AR364" s="551"/>
      <c r="AS364" s="351"/>
      <c r="AT364" s="534"/>
      <c r="AU364" s="351"/>
      <c r="AV364" s="531" t="s">
        <v>325</v>
      </c>
      <c r="AW364" s="351"/>
      <c r="AX364" s="553"/>
      <c r="AY364" s="350"/>
      <c r="AZ364" s="351"/>
      <c r="BA364" s="554"/>
      <c r="BB364" s="351"/>
      <c r="BC364" s="36"/>
      <c r="BD364" s="556" t="s">
        <v>325</v>
      </c>
      <c r="BE364" s="351"/>
      <c r="BF364" s="547"/>
      <c r="BG364" s="350"/>
      <c r="BH364" s="350"/>
      <c r="BI364" s="351"/>
      <c r="BJ364" s="506" t="s">
        <v>294</v>
      </c>
      <c r="BK364" s="350"/>
      <c r="BL364" s="350"/>
      <c r="BM364" s="351"/>
      <c r="BN364" s="530" t="s">
        <v>294</v>
      </c>
      <c r="BO364" s="350"/>
      <c r="BP364" s="350"/>
      <c r="BQ364" s="350"/>
      <c r="BR364" s="350"/>
      <c r="BS364" s="350"/>
      <c r="BT364" s="350"/>
      <c r="BU364" s="350"/>
      <c r="BV364" s="351"/>
    </row>
    <row r="365" spans="1:74" ht="45" customHeight="1">
      <c r="A365" s="24">
        <f t="shared" si="1"/>
        <v>351</v>
      </c>
      <c r="B365" s="522" t="s">
        <v>294</v>
      </c>
      <c r="C365" s="351"/>
      <c r="D365" s="523" t="s">
        <v>298</v>
      </c>
      <c r="E365" s="351"/>
      <c r="F365" s="524" t="s">
        <v>325</v>
      </c>
      <c r="G365" s="351"/>
      <c r="H365" s="561" t="s">
        <v>325</v>
      </c>
      <c r="I365" s="351"/>
      <c r="J365" s="562"/>
      <c r="K365" s="351"/>
      <c r="L365" s="562"/>
      <c r="M365" s="351"/>
      <c r="N365" s="34"/>
      <c r="O365" s="38"/>
      <c r="P365" s="526"/>
      <c r="Q365" s="351"/>
      <c r="R365" s="535"/>
      <c r="S365" s="351"/>
      <c r="T365" s="536"/>
      <c r="U365" s="351"/>
      <c r="V365" s="537"/>
      <c r="W365" s="351"/>
      <c r="X365" s="542" t="s">
        <v>294</v>
      </c>
      <c r="Y365" s="350"/>
      <c r="Z365" s="350"/>
      <c r="AA365" s="351"/>
      <c r="AB365" s="543" t="s">
        <v>294</v>
      </c>
      <c r="AC365" s="350"/>
      <c r="AD365" s="350"/>
      <c r="AE365" s="351"/>
      <c r="AF365" s="540"/>
      <c r="AG365" s="351"/>
      <c r="AH365" s="540"/>
      <c r="AI365" s="351"/>
      <c r="AJ365" s="532"/>
      <c r="AK365" s="351"/>
      <c r="AL365" s="524" t="s">
        <v>325</v>
      </c>
      <c r="AM365" s="351"/>
      <c r="AN365" s="549" t="s">
        <v>325</v>
      </c>
      <c r="AO365" s="351"/>
      <c r="AP365" s="532"/>
      <c r="AQ365" s="351"/>
      <c r="AR365" s="533"/>
      <c r="AS365" s="351"/>
      <c r="AT365" s="534"/>
      <c r="AU365" s="351"/>
      <c r="AV365" s="549" t="s">
        <v>325</v>
      </c>
      <c r="AW365" s="351"/>
      <c r="AX365" s="553"/>
      <c r="AY365" s="350"/>
      <c r="AZ365" s="351"/>
      <c r="BA365" s="545"/>
      <c r="BB365" s="351"/>
      <c r="BC365" s="39"/>
      <c r="BD365" s="546" t="s">
        <v>325</v>
      </c>
      <c r="BE365" s="351"/>
      <c r="BF365" s="529"/>
      <c r="BG365" s="350"/>
      <c r="BH365" s="350"/>
      <c r="BI365" s="351"/>
      <c r="BJ365" s="548" t="s">
        <v>294</v>
      </c>
      <c r="BK365" s="350"/>
      <c r="BL365" s="350"/>
      <c r="BM365" s="351"/>
      <c r="BN365" s="530" t="s">
        <v>294</v>
      </c>
      <c r="BO365" s="350"/>
      <c r="BP365" s="350"/>
      <c r="BQ365" s="350"/>
      <c r="BR365" s="350"/>
      <c r="BS365" s="350"/>
      <c r="BT365" s="350"/>
      <c r="BU365" s="350"/>
      <c r="BV365" s="351"/>
    </row>
    <row r="366" spans="1:74" ht="45" customHeight="1">
      <c r="A366" s="24">
        <f t="shared" si="1"/>
        <v>352</v>
      </c>
      <c r="B366" s="558" t="s">
        <v>294</v>
      </c>
      <c r="C366" s="351"/>
      <c r="D366" s="559" t="s">
        <v>298</v>
      </c>
      <c r="E366" s="351"/>
      <c r="F366" s="524" t="s">
        <v>325</v>
      </c>
      <c r="G366" s="351"/>
      <c r="H366" s="525" t="s">
        <v>325</v>
      </c>
      <c r="I366" s="351"/>
      <c r="J366" s="563"/>
      <c r="K366" s="351"/>
      <c r="L366" s="563"/>
      <c r="M366" s="351"/>
      <c r="N366" s="37"/>
      <c r="O366" s="35"/>
      <c r="P366" s="560"/>
      <c r="Q366" s="351"/>
      <c r="R366" s="527"/>
      <c r="S366" s="351"/>
      <c r="T366" s="528"/>
      <c r="U366" s="351"/>
      <c r="V366" s="541"/>
      <c r="W366" s="351"/>
      <c r="X366" s="538" t="s">
        <v>294</v>
      </c>
      <c r="Y366" s="350"/>
      <c r="Z366" s="350"/>
      <c r="AA366" s="351"/>
      <c r="AB366" s="539" t="s">
        <v>294</v>
      </c>
      <c r="AC366" s="350"/>
      <c r="AD366" s="350"/>
      <c r="AE366" s="351"/>
      <c r="AF366" s="544"/>
      <c r="AG366" s="351"/>
      <c r="AH366" s="544"/>
      <c r="AI366" s="351"/>
      <c r="AJ366" s="545"/>
      <c r="AK366" s="351"/>
      <c r="AL366" s="555" t="s">
        <v>325</v>
      </c>
      <c r="AM366" s="351"/>
      <c r="AN366" s="531" t="s">
        <v>325</v>
      </c>
      <c r="AO366" s="351"/>
      <c r="AP366" s="550"/>
      <c r="AQ366" s="351"/>
      <c r="AR366" s="551"/>
      <c r="AS366" s="351"/>
      <c r="AT366" s="534"/>
      <c r="AU366" s="351"/>
      <c r="AV366" s="531" t="s">
        <v>325</v>
      </c>
      <c r="AW366" s="351"/>
      <c r="AX366" s="553"/>
      <c r="AY366" s="350"/>
      <c r="AZ366" s="351"/>
      <c r="BA366" s="554"/>
      <c r="BB366" s="351"/>
      <c r="BC366" s="36"/>
      <c r="BD366" s="556" t="s">
        <v>325</v>
      </c>
      <c r="BE366" s="351"/>
      <c r="BF366" s="547"/>
      <c r="BG366" s="350"/>
      <c r="BH366" s="350"/>
      <c r="BI366" s="351"/>
      <c r="BJ366" s="506" t="s">
        <v>294</v>
      </c>
      <c r="BK366" s="350"/>
      <c r="BL366" s="350"/>
      <c r="BM366" s="351"/>
      <c r="BN366" s="530" t="s">
        <v>294</v>
      </c>
      <c r="BO366" s="350"/>
      <c r="BP366" s="350"/>
      <c r="BQ366" s="350"/>
      <c r="BR366" s="350"/>
      <c r="BS366" s="350"/>
      <c r="BT366" s="350"/>
      <c r="BU366" s="350"/>
      <c r="BV366" s="351"/>
    </row>
    <row r="367" spans="1:74" ht="45" customHeight="1">
      <c r="A367" s="24">
        <f t="shared" si="1"/>
        <v>353</v>
      </c>
      <c r="B367" s="522" t="s">
        <v>294</v>
      </c>
      <c r="C367" s="351"/>
      <c r="D367" s="523" t="s">
        <v>298</v>
      </c>
      <c r="E367" s="351"/>
      <c r="F367" s="524" t="s">
        <v>325</v>
      </c>
      <c r="G367" s="351"/>
      <c r="H367" s="561" t="s">
        <v>325</v>
      </c>
      <c r="I367" s="351"/>
      <c r="J367" s="562"/>
      <c r="K367" s="351"/>
      <c r="L367" s="562"/>
      <c r="M367" s="351"/>
      <c r="N367" s="34"/>
      <c r="O367" s="38"/>
      <c r="P367" s="526"/>
      <c r="Q367" s="351"/>
      <c r="R367" s="535"/>
      <c r="S367" s="351"/>
      <c r="T367" s="536"/>
      <c r="U367" s="351"/>
      <c r="V367" s="537"/>
      <c r="W367" s="351"/>
      <c r="X367" s="542" t="s">
        <v>294</v>
      </c>
      <c r="Y367" s="350"/>
      <c r="Z367" s="350"/>
      <c r="AA367" s="351"/>
      <c r="AB367" s="543" t="s">
        <v>294</v>
      </c>
      <c r="AC367" s="350"/>
      <c r="AD367" s="350"/>
      <c r="AE367" s="351"/>
      <c r="AF367" s="540"/>
      <c r="AG367" s="351"/>
      <c r="AH367" s="540"/>
      <c r="AI367" s="351"/>
      <c r="AJ367" s="532"/>
      <c r="AK367" s="351"/>
      <c r="AL367" s="524" t="s">
        <v>325</v>
      </c>
      <c r="AM367" s="351"/>
      <c r="AN367" s="549" t="s">
        <v>325</v>
      </c>
      <c r="AO367" s="351"/>
      <c r="AP367" s="532"/>
      <c r="AQ367" s="351"/>
      <c r="AR367" s="533"/>
      <c r="AS367" s="351"/>
      <c r="AT367" s="534"/>
      <c r="AU367" s="351"/>
      <c r="AV367" s="549" t="s">
        <v>325</v>
      </c>
      <c r="AW367" s="351"/>
      <c r="AX367" s="553"/>
      <c r="AY367" s="350"/>
      <c r="AZ367" s="351"/>
      <c r="BA367" s="545"/>
      <c r="BB367" s="351"/>
      <c r="BC367" s="39"/>
      <c r="BD367" s="546" t="s">
        <v>325</v>
      </c>
      <c r="BE367" s="351"/>
      <c r="BF367" s="557"/>
      <c r="BG367" s="350"/>
      <c r="BH367" s="350"/>
      <c r="BI367" s="351"/>
      <c r="BJ367" s="548" t="s">
        <v>294</v>
      </c>
      <c r="BK367" s="350"/>
      <c r="BL367" s="350"/>
      <c r="BM367" s="351"/>
      <c r="BN367" s="530" t="s">
        <v>294</v>
      </c>
      <c r="BO367" s="350"/>
      <c r="BP367" s="350"/>
      <c r="BQ367" s="350"/>
      <c r="BR367" s="350"/>
      <c r="BS367" s="350"/>
      <c r="BT367" s="350"/>
      <c r="BU367" s="350"/>
      <c r="BV367" s="351"/>
    </row>
    <row r="368" spans="1:74" ht="45" customHeight="1">
      <c r="A368" s="24">
        <f t="shared" si="1"/>
        <v>354</v>
      </c>
      <c r="B368" s="558" t="s">
        <v>294</v>
      </c>
      <c r="C368" s="351"/>
      <c r="D368" s="559" t="s">
        <v>298</v>
      </c>
      <c r="E368" s="351"/>
      <c r="F368" s="524" t="s">
        <v>325</v>
      </c>
      <c r="G368" s="351"/>
      <c r="H368" s="525" t="s">
        <v>325</v>
      </c>
      <c r="I368" s="351"/>
      <c r="J368" s="563"/>
      <c r="K368" s="351"/>
      <c r="L368" s="563"/>
      <c r="M368" s="351"/>
      <c r="N368" s="37"/>
      <c r="O368" s="35"/>
      <c r="P368" s="560"/>
      <c r="Q368" s="351"/>
      <c r="R368" s="527"/>
      <c r="S368" s="351"/>
      <c r="T368" s="528"/>
      <c r="U368" s="351"/>
      <c r="V368" s="541"/>
      <c r="W368" s="351"/>
      <c r="X368" s="538" t="s">
        <v>294</v>
      </c>
      <c r="Y368" s="350"/>
      <c r="Z368" s="350"/>
      <c r="AA368" s="351"/>
      <c r="AB368" s="539" t="s">
        <v>294</v>
      </c>
      <c r="AC368" s="350"/>
      <c r="AD368" s="350"/>
      <c r="AE368" s="351"/>
      <c r="AF368" s="544"/>
      <c r="AG368" s="351"/>
      <c r="AH368" s="544"/>
      <c r="AI368" s="351"/>
      <c r="AJ368" s="545"/>
      <c r="AK368" s="351"/>
      <c r="AL368" s="555" t="s">
        <v>325</v>
      </c>
      <c r="AM368" s="351"/>
      <c r="AN368" s="531" t="s">
        <v>325</v>
      </c>
      <c r="AO368" s="351"/>
      <c r="AP368" s="550"/>
      <c r="AQ368" s="351"/>
      <c r="AR368" s="551"/>
      <c r="AS368" s="351"/>
      <c r="AT368" s="534"/>
      <c r="AU368" s="351"/>
      <c r="AV368" s="531" t="s">
        <v>325</v>
      </c>
      <c r="AW368" s="351"/>
      <c r="AX368" s="553"/>
      <c r="AY368" s="350"/>
      <c r="AZ368" s="351"/>
      <c r="BA368" s="554"/>
      <c r="BB368" s="351"/>
      <c r="BC368" s="36"/>
      <c r="BD368" s="556" t="s">
        <v>325</v>
      </c>
      <c r="BE368" s="351"/>
      <c r="BF368" s="547"/>
      <c r="BG368" s="350"/>
      <c r="BH368" s="350"/>
      <c r="BI368" s="351"/>
      <c r="BJ368" s="506" t="s">
        <v>294</v>
      </c>
      <c r="BK368" s="350"/>
      <c r="BL368" s="350"/>
      <c r="BM368" s="351"/>
      <c r="BN368" s="530" t="s">
        <v>294</v>
      </c>
      <c r="BO368" s="350"/>
      <c r="BP368" s="350"/>
      <c r="BQ368" s="350"/>
      <c r="BR368" s="350"/>
      <c r="BS368" s="350"/>
      <c r="BT368" s="350"/>
      <c r="BU368" s="350"/>
      <c r="BV368" s="351"/>
    </row>
    <row r="369" spans="1:74" ht="45" customHeight="1">
      <c r="A369" s="24">
        <f t="shared" si="1"/>
        <v>355</v>
      </c>
      <c r="B369" s="522" t="s">
        <v>294</v>
      </c>
      <c r="C369" s="351"/>
      <c r="D369" s="523" t="s">
        <v>298</v>
      </c>
      <c r="E369" s="351"/>
      <c r="F369" s="524" t="s">
        <v>325</v>
      </c>
      <c r="G369" s="351"/>
      <c r="H369" s="561" t="s">
        <v>325</v>
      </c>
      <c r="I369" s="351"/>
      <c r="J369" s="562"/>
      <c r="K369" s="351"/>
      <c r="L369" s="562"/>
      <c r="M369" s="351"/>
      <c r="N369" s="34"/>
      <c r="O369" s="38"/>
      <c r="P369" s="526"/>
      <c r="Q369" s="351"/>
      <c r="R369" s="535"/>
      <c r="S369" s="351"/>
      <c r="T369" s="536"/>
      <c r="U369" s="351"/>
      <c r="V369" s="537"/>
      <c r="W369" s="351"/>
      <c r="X369" s="542" t="s">
        <v>294</v>
      </c>
      <c r="Y369" s="350"/>
      <c r="Z369" s="350"/>
      <c r="AA369" s="351"/>
      <c r="AB369" s="543" t="s">
        <v>294</v>
      </c>
      <c r="AC369" s="350"/>
      <c r="AD369" s="350"/>
      <c r="AE369" s="351"/>
      <c r="AF369" s="540"/>
      <c r="AG369" s="351"/>
      <c r="AH369" s="540"/>
      <c r="AI369" s="351"/>
      <c r="AJ369" s="532"/>
      <c r="AK369" s="351"/>
      <c r="AL369" s="524" t="s">
        <v>325</v>
      </c>
      <c r="AM369" s="351"/>
      <c r="AN369" s="549" t="s">
        <v>325</v>
      </c>
      <c r="AO369" s="351"/>
      <c r="AP369" s="532"/>
      <c r="AQ369" s="351"/>
      <c r="AR369" s="533"/>
      <c r="AS369" s="351"/>
      <c r="AT369" s="534"/>
      <c r="AU369" s="351"/>
      <c r="AV369" s="549" t="s">
        <v>325</v>
      </c>
      <c r="AW369" s="351"/>
      <c r="AX369" s="553"/>
      <c r="AY369" s="350"/>
      <c r="AZ369" s="351"/>
      <c r="BA369" s="545"/>
      <c r="BB369" s="351"/>
      <c r="BC369" s="39"/>
      <c r="BD369" s="546" t="s">
        <v>325</v>
      </c>
      <c r="BE369" s="351"/>
      <c r="BF369" s="529"/>
      <c r="BG369" s="350"/>
      <c r="BH369" s="350"/>
      <c r="BI369" s="351"/>
      <c r="BJ369" s="548" t="s">
        <v>294</v>
      </c>
      <c r="BK369" s="350"/>
      <c r="BL369" s="350"/>
      <c r="BM369" s="351"/>
      <c r="BN369" s="530" t="s">
        <v>294</v>
      </c>
      <c r="BO369" s="350"/>
      <c r="BP369" s="350"/>
      <c r="BQ369" s="350"/>
      <c r="BR369" s="350"/>
      <c r="BS369" s="350"/>
      <c r="BT369" s="350"/>
      <c r="BU369" s="350"/>
      <c r="BV369" s="351"/>
    </row>
    <row r="370" spans="1:74" ht="45" customHeight="1">
      <c r="A370" s="24">
        <f t="shared" si="1"/>
        <v>356</v>
      </c>
      <c r="B370" s="558" t="s">
        <v>294</v>
      </c>
      <c r="C370" s="351"/>
      <c r="D370" s="559" t="s">
        <v>298</v>
      </c>
      <c r="E370" s="351"/>
      <c r="F370" s="524" t="s">
        <v>325</v>
      </c>
      <c r="G370" s="351"/>
      <c r="H370" s="525" t="s">
        <v>325</v>
      </c>
      <c r="I370" s="351"/>
      <c r="J370" s="563"/>
      <c r="K370" s="351"/>
      <c r="L370" s="563"/>
      <c r="M370" s="351"/>
      <c r="N370" s="37"/>
      <c r="O370" s="35"/>
      <c r="P370" s="560"/>
      <c r="Q370" s="351"/>
      <c r="R370" s="527"/>
      <c r="S370" s="351"/>
      <c r="T370" s="528"/>
      <c r="U370" s="351"/>
      <c r="V370" s="541"/>
      <c r="W370" s="351"/>
      <c r="X370" s="538" t="s">
        <v>294</v>
      </c>
      <c r="Y370" s="350"/>
      <c r="Z370" s="350"/>
      <c r="AA370" s="351"/>
      <c r="AB370" s="539" t="s">
        <v>294</v>
      </c>
      <c r="AC370" s="350"/>
      <c r="AD370" s="350"/>
      <c r="AE370" s="351"/>
      <c r="AF370" s="544"/>
      <c r="AG370" s="351"/>
      <c r="AH370" s="544"/>
      <c r="AI370" s="351"/>
      <c r="AJ370" s="545"/>
      <c r="AK370" s="351"/>
      <c r="AL370" s="555" t="s">
        <v>325</v>
      </c>
      <c r="AM370" s="351"/>
      <c r="AN370" s="531" t="s">
        <v>325</v>
      </c>
      <c r="AO370" s="351"/>
      <c r="AP370" s="550"/>
      <c r="AQ370" s="351"/>
      <c r="AR370" s="551"/>
      <c r="AS370" s="351"/>
      <c r="AT370" s="534"/>
      <c r="AU370" s="351"/>
      <c r="AV370" s="531" t="s">
        <v>325</v>
      </c>
      <c r="AW370" s="351"/>
      <c r="AX370" s="553"/>
      <c r="AY370" s="350"/>
      <c r="AZ370" s="351"/>
      <c r="BA370" s="554"/>
      <c r="BB370" s="351"/>
      <c r="BC370" s="36"/>
      <c r="BD370" s="556" t="s">
        <v>325</v>
      </c>
      <c r="BE370" s="351"/>
      <c r="BF370" s="547"/>
      <c r="BG370" s="350"/>
      <c r="BH370" s="350"/>
      <c r="BI370" s="351"/>
      <c r="BJ370" s="506" t="s">
        <v>294</v>
      </c>
      <c r="BK370" s="350"/>
      <c r="BL370" s="350"/>
      <c r="BM370" s="351"/>
      <c r="BN370" s="530" t="s">
        <v>294</v>
      </c>
      <c r="BO370" s="350"/>
      <c r="BP370" s="350"/>
      <c r="BQ370" s="350"/>
      <c r="BR370" s="350"/>
      <c r="BS370" s="350"/>
      <c r="BT370" s="350"/>
      <c r="BU370" s="350"/>
      <c r="BV370" s="351"/>
    </row>
    <row r="371" spans="1:74" ht="45" customHeight="1">
      <c r="A371" s="24">
        <f t="shared" si="1"/>
        <v>357</v>
      </c>
      <c r="B371" s="522" t="s">
        <v>294</v>
      </c>
      <c r="C371" s="351"/>
      <c r="D371" s="523" t="s">
        <v>298</v>
      </c>
      <c r="E371" s="351"/>
      <c r="F371" s="524" t="s">
        <v>325</v>
      </c>
      <c r="G371" s="351"/>
      <c r="H371" s="561" t="s">
        <v>325</v>
      </c>
      <c r="I371" s="351"/>
      <c r="J371" s="562"/>
      <c r="K371" s="351"/>
      <c r="L371" s="562"/>
      <c r="M371" s="351"/>
      <c r="N371" s="34"/>
      <c r="O371" s="38"/>
      <c r="P371" s="526"/>
      <c r="Q371" s="351"/>
      <c r="R371" s="535"/>
      <c r="S371" s="351"/>
      <c r="T371" s="536"/>
      <c r="U371" s="351"/>
      <c r="V371" s="537"/>
      <c r="W371" s="351"/>
      <c r="X371" s="542" t="s">
        <v>294</v>
      </c>
      <c r="Y371" s="350"/>
      <c r="Z371" s="350"/>
      <c r="AA371" s="351"/>
      <c r="AB371" s="543" t="s">
        <v>294</v>
      </c>
      <c r="AC371" s="350"/>
      <c r="AD371" s="350"/>
      <c r="AE371" s="351"/>
      <c r="AF371" s="540"/>
      <c r="AG371" s="351"/>
      <c r="AH371" s="540"/>
      <c r="AI371" s="351"/>
      <c r="AJ371" s="532"/>
      <c r="AK371" s="351"/>
      <c r="AL371" s="524" t="s">
        <v>325</v>
      </c>
      <c r="AM371" s="351"/>
      <c r="AN371" s="549" t="s">
        <v>325</v>
      </c>
      <c r="AO371" s="351"/>
      <c r="AP371" s="532"/>
      <c r="AQ371" s="351"/>
      <c r="AR371" s="533"/>
      <c r="AS371" s="351"/>
      <c r="AT371" s="534"/>
      <c r="AU371" s="351"/>
      <c r="AV371" s="549" t="s">
        <v>325</v>
      </c>
      <c r="AW371" s="351"/>
      <c r="AX371" s="553"/>
      <c r="AY371" s="350"/>
      <c r="AZ371" s="351"/>
      <c r="BA371" s="545"/>
      <c r="BB371" s="351"/>
      <c r="BC371" s="39"/>
      <c r="BD371" s="546" t="s">
        <v>325</v>
      </c>
      <c r="BE371" s="351"/>
      <c r="BF371" s="557"/>
      <c r="BG371" s="350"/>
      <c r="BH371" s="350"/>
      <c r="BI371" s="351"/>
      <c r="BJ371" s="548" t="s">
        <v>294</v>
      </c>
      <c r="BK371" s="350"/>
      <c r="BL371" s="350"/>
      <c r="BM371" s="351"/>
      <c r="BN371" s="530" t="s">
        <v>294</v>
      </c>
      <c r="BO371" s="350"/>
      <c r="BP371" s="350"/>
      <c r="BQ371" s="350"/>
      <c r="BR371" s="350"/>
      <c r="BS371" s="350"/>
      <c r="BT371" s="350"/>
      <c r="BU371" s="350"/>
      <c r="BV371" s="351"/>
    </row>
    <row r="372" spans="1:74" ht="45" customHeight="1">
      <c r="A372" s="24">
        <f t="shared" si="1"/>
        <v>358</v>
      </c>
      <c r="B372" s="558" t="s">
        <v>294</v>
      </c>
      <c r="C372" s="351"/>
      <c r="D372" s="559" t="s">
        <v>298</v>
      </c>
      <c r="E372" s="351"/>
      <c r="F372" s="524" t="s">
        <v>325</v>
      </c>
      <c r="G372" s="351"/>
      <c r="H372" s="525" t="s">
        <v>325</v>
      </c>
      <c r="I372" s="351"/>
      <c r="J372" s="563"/>
      <c r="K372" s="351"/>
      <c r="L372" s="563"/>
      <c r="M372" s="351"/>
      <c r="N372" s="37"/>
      <c r="O372" s="35"/>
      <c r="P372" s="560"/>
      <c r="Q372" s="351"/>
      <c r="R372" s="527"/>
      <c r="S372" s="351"/>
      <c r="T372" s="528"/>
      <c r="U372" s="351"/>
      <c r="V372" s="541"/>
      <c r="W372" s="351"/>
      <c r="X372" s="538" t="s">
        <v>294</v>
      </c>
      <c r="Y372" s="350"/>
      <c r="Z372" s="350"/>
      <c r="AA372" s="351"/>
      <c r="AB372" s="539" t="s">
        <v>294</v>
      </c>
      <c r="AC372" s="350"/>
      <c r="AD372" s="350"/>
      <c r="AE372" s="351"/>
      <c r="AF372" s="544"/>
      <c r="AG372" s="351"/>
      <c r="AH372" s="544"/>
      <c r="AI372" s="351"/>
      <c r="AJ372" s="545"/>
      <c r="AK372" s="351"/>
      <c r="AL372" s="555" t="s">
        <v>325</v>
      </c>
      <c r="AM372" s="351"/>
      <c r="AN372" s="531" t="s">
        <v>325</v>
      </c>
      <c r="AO372" s="351"/>
      <c r="AP372" s="550"/>
      <c r="AQ372" s="351"/>
      <c r="AR372" s="551"/>
      <c r="AS372" s="351"/>
      <c r="AT372" s="534"/>
      <c r="AU372" s="351"/>
      <c r="AV372" s="531" t="s">
        <v>325</v>
      </c>
      <c r="AW372" s="351"/>
      <c r="AX372" s="553"/>
      <c r="AY372" s="350"/>
      <c r="AZ372" s="351"/>
      <c r="BA372" s="554"/>
      <c r="BB372" s="351"/>
      <c r="BC372" s="36"/>
      <c r="BD372" s="556" t="s">
        <v>325</v>
      </c>
      <c r="BE372" s="351"/>
      <c r="BF372" s="547"/>
      <c r="BG372" s="350"/>
      <c r="BH372" s="350"/>
      <c r="BI372" s="351"/>
      <c r="BJ372" s="506" t="s">
        <v>294</v>
      </c>
      <c r="BK372" s="350"/>
      <c r="BL372" s="350"/>
      <c r="BM372" s="351"/>
      <c r="BN372" s="530" t="s">
        <v>294</v>
      </c>
      <c r="BO372" s="350"/>
      <c r="BP372" s="350"/>
      <c r="BQ372" s="350"/>
      <c r="BR372" s="350"/>
      <c r="BS372" s="350"/>
      <c r="BT372" s="350"/>
      <c r="BU372" s="350"/>
      <c r="BV372" s="351"/>
    </row>
    <row r="373" spans="1:74" ht="45" customHeight="1">
      <c r="A373" s="24">
        <f t="shared" si="1"/>
        <v>359</v>
      </c>
      <c r="B373" s="522" t="s">
        <v>294</v>
      </c>
      <c r="C373" s="351"/>
      <c r="D373" s="523" t="s">
        <v>298</v>
      </c>
      <c r="E373" s="351"/>
      <c r="F373" s="524" t="s">
        <v>325</v>
      </c>
      <c r="G373" s="351"/>
      <c r="H373" s="561" t="s">
        <v>325</v>
      </c>
      <c r="I373" s="351"/>
      <c r="J373" s="562"/>
      <c r="K373" s="351"/>
      <c r="L373" s="562"/>
      <c r="M373" s="351"/>
      <c r="N373" s="34"/>
      <c r="O373" s="38"/>
      <c r="P373" s="526"/>
      <c r="Q373" s="351"/>
      <c r="R373" s="535"/>
      <c r="S373" s="351"/>
      <c r="T373" s="536"/>
      <c r="U373" s="351"/>
      <c r="V373" s="537"/>
      <c r="W373" s="351"/>
      <c r="X373" s="542" t="s">
        <v>294</v>
      </c>
      <c r="Y373" s="350"/>
      <c r="Z373" s="350"/>
      <c r="AA373" s="351"/>
      <c r="AB373" s="543" t="s">
        <v>294</v>
      </c>
      <c r="AC373" s="350"/>
      <c r="AD373" s="350"/>
      <c r="AE373" s="351"/>
      <c r="AF373" s="540"/>
      <c r="AG373" s="351"/>
      <c r="AH373" s="540"/>
      <c r="AI373" s="351"/>
      <c r="AJ373" s="532"/>
      <c r="AK373" s="351"/>
      <c r="AL373" s="524" t="s">
        <v>325</v>
      </c>
      <c r="AM373" s="351"/>
      <c r="AN373" s="549" t="s">
        <v>325</v>
      </c>
      <c r="AO373" s="351"/>
      <c r="AP373" s="532"/>
      <c r="AQ373" s="351"/>
      <c r="AR373" s="533"/>
      <c r="AS373" s="351"/>
      <c r="AT373" s="534"/>
      <c r="AU373" s="351"/>
      <c r="AV373" s="549" t="s">
        <v>325</v>
      </c>
      <c r="AW373" s="351"/>
      <c r="AX373" s="553"/>
      <c r="AY373" s="350"/>
      <c r="AZ373" s="351"/>
      <c r="BA373" s="545"/>
      <c r="BB373" s="351"/>
      <c r="BC373" s="39"/>
      <c r="BD373" s="546" t="s">
        <v>325</v>
      </c>
      <c r="BE373" s="351"/>
      <c r="BF373" s="529"/>
      <c r="BG373" s="350"/>
      <c r="BH373" s="350"/>
      <c r="BI373" s="351"/>
      <c r="BJ373" s="548" t="s">
        <v>294</v>
      </c>
      <c r="BK373" s="350"/>
      <c r="BL373" s="350"/>
      <c r="BM373" s="351"/>
      <c r="BN373" s="530" t="s">
        <v>294</v>
      </c>
      <c r="BO373" s="350"/>
      <c r="BP373" s="350"/>
      <c r="BQ373" s="350"/>
      <c r="BR373" s="350"/>
      <c r="BS373" s="350"/>
      <c r="BT373" s="350"/>
      <c r="BU373" s="350"/>
      <c r="BV373" s="351"/>
    </row>
    <row r="374" spans="1:74" ht="45" customHeight="1">
      <c r="A374" s="24">
        <f t="shared" si="1"/>
        <v>360</v>
      </c>
      <c r="B374" s="558" t="s">
        <v>294</v>
      </c>
      <c r="C374" s="351"/>
      <c r="D374" s="559" t="s">
        <v>298</v>
      </c>
      <c r="E374" s="351"/>
      <c r="F374" s="524" t="s">
        <v>325</v>
      </c>
      <c r="G374" s="351"/>
      <c r="H374" s="525" t="s">
        <v>325</v>
      </c>
      <c r="I374" s="351"/>
      <c r="J374" s="563"/>
      <c r="K374" s="351"/>
      <c r="L374" s="563"/>
      <c r="M374" s="351"/>
      <c r="N374" s="37"/>
      <c r="O374" s="35"/>
      <c r="P374" s="560"/>
      <c r="Q374" s="351"/>
      <c r="R374" s="527"/>
      <c r="S374" s="351"/>
      <c r="T374" s="528"/>
      <c r="U374" s="351"/>
      <c r="V374" s="541"/>
      <c r="W374" s="351"/>
      <c r="X374" s="538" t="s">
        <v>294</v>
      </c>
      <c r="Y374" s="350"/>
      <c r="Z374" s="350"/>
      <c r="AA374" s="351"/>
      <c r="AB374" s="539" t="s">
        <v>294</v>
      </c>
      <c r="AC374" s="350"/>
      <c r="AD374" s="350"/>
      <c r="AE374" s="351"/>
      <c r="AF374" s="544"/>
      <c r="AG374" s="351"/>
      <c r="AH374" s="544"/>
      <c r="AI374" s="351"/>
      <c r="AJ374" s="545"/>
      <c r="AK374" s="351"/>
      <c r="AL374" s="555" t="s">
        <v>325</v>
      </c>
      <c r="AM374" s="351"/>
      <c r="AN374" s="531" t="s">
        <v>325</v>
      </c>
      <c r="AO374" s="351"/>
      <c r="AP374" s="550"/>
      <c r="AQ374" s="351"/>
      <c r="AR374" s="551"/>
      <c r="AS374" s="351"/>
      <c r="AT374" s="534"/>
      <c r="AU374" s="351"/>
      <c r="AV374" s="531" t="s">
        <v>325</v>
      </c>
      <c r="AW374" s="351"/>
      <c r="AX374" s="553"/>
      <c r="AY374" s="350"/>
      <c r="AZ374" s="351"/>
      <c r="BA374" s="554"/>
      <c r="BB374" s="351"/>
      <c r="BC374" s="36"/>
      <c r="BD374" s="556" t="s">
        <v>325</v>
      </c>
      <c r="BE374" s="351"/>
      <c r="BF374" s="547"/>
      <c r="BG374" s="350"/>
      <c r="BH374" s="350"/>
      <c r="BI374" s="351"/>
      <c r="BJ374" s="506" t="s">
        <v>294</v>
      </c>
      <c r="BK374" s="350"/>
      <c r="BL374" s="350"/>
      <c r="BM374" s="351"/>
      <c r="BN374" s="530" t="s">
        <v>294</v>
      </c>
      <c r="BO374" s="350"/>
      <c r="BP374" s="350"/>
      <c r="BQ374" s="350"/>
      <c r="BR374" s="350"/>
      <c r="BS374" s="350"/>
      <c r="BT374" s="350"/>
      <c r="BU374" s="350"/>
      <c r="BV374" s="351"/>
    </row>
    <row r="375" spans="1:74" ht="45" customHeight="1">
      <c r="A375" s="24">
        <f t="shared" si="1"/>
        <v>361</v>
      </c>
      <c r="B375" s="522" t="s">
        <v>294</v>
      </c>
      <c r="C375" s="351"/>
      <c r="D375" s="523" t="s">
        <v>298</v>
      </c>
      <c r="E375" s="351"/>
      <c r="F375" s="524" t="s">
        <v>325</v>
      </c>
      <c r="G375" s="351"/>
      <c r="H375" s="561" t="s">
        <v>325</v>
      </c>
      <c r="I375" s="351"/>
      <c r="J375" s="562"/>
      <c r="K375" s="351"/>
      <c r="L375" s="562"/>
      <c r="M375" s="351"/>
      <c r="N375" s="34"/>
      <c r="O375" s="38"/>
      <c r="P375" s="526"/>
      <c r="Q375" s="351"/>
      <c r="R375" s="535"/>
      <c r="S375" s="351"/>
      <c r="T375" s="536"/>
      <c r="U375" s="351"/>
      <c r="V375" s="537"/>
      <c r="W375" s="351"/>
      <c r="X375" s="542" t="s">
        <v>294</v>
      </c>
      <c r="Y375" s="350"/>
      <c r="Z375" s="350"/>
      <c r="AA375" s="351"/>
      <c r="AB375" s="543" t="s">
        <v>294</v>
      </c>
      <c r="AC375" s="350"/>
      <c r="AD375" s="350"/>
      <c r="AE375" s="351"/>
      <c r="AF375" s="540"/>
      <c r="AG375" s="351"/>
      <c r="AH375" s="540"/>
      <c r="AI375" s="351"/>
      <c r="AJ375" s="532"/>
      <c r="AK375" s="351"/>
      <c r="AL375" s="524" t="s">
        <v>325</v>
      </c>
      <c r="AM375" s="351"/>
      <c r="AN375" s="549" t="s">
        <v>325</v>
      </c>
      <c r="AO375" s="351"/>
      <c r="AP375" s="532"/>
      <c r="AQ375" s="351"/>
      <c r="AR375" s="533"/>
      <c r="AS375" s="351"/>
      <c r="AT375" s="534"/>
      <c r="AU375" s="351"/>
      <c r="AV375" s="549" t="s">
        <v>325</v>
      </c>
      <c r="AW375" s="351"/>
      <c r="AX375" s="553"/>
      <c r="AY375" s="350"/>
      <c r="AZ375" s="351"/>
      <c r="BA375" s="545"/>
      <c r="BB375" s="351"/>
      <c r="BC375" s="39"/>
      <c r="BD375" s="546" t="s">
        <v>325</v>
      </c>
      <c r="BE375" s="351"/>
      <c r="BF375" s="529"/>
      <c r="BG375" s="350"/>
      <c r="BH375" s="350"/>
      <c r="BI375" s="351"/>
      <c r="BJ375" s="548" t="s">
        <v>294</v>
      </c>
      <c r="BK375" s="350"/>
      <c r="BL375" s="350"/>
      <c r="BM375" s="351"/>
      <c r="BN375" s="530" t="s">
        <v>294</v>
      </c>
      <c r="BO375" s="350"/>
      <c r="BP375" s="350"/>
      <c r="BQ375" s="350"/>
      <c r="BR375" s="350"/>
      <c r="BS375" s="350"/>
      <c r="BT375" s="350"/>
      <c r="BU375" s="350"/>
      <c r="BV375" s="351"/>
    </row>
    <row r="376" spans="1:74" ht="45" customHeight="1">
      <c r="A376" s="24">
        <f t="shared" si="1"/>
        <v>362</v>
      </c>
      <c r="B376" s="558" t="s">
        <v>294</v>
      </c>
      <c r="C376" s="351"/>
      <c r="D376" s="559" t="s">
        <v>298</v>
      </c>
      <c r="E376" s="351"/>
      <c r="F376" s="524" t="s">
        <v>325</v>
      </c>
      <c r="G376" s="351"/>
      <c r="H376" s="525" t="s">
        <v>325</v>
      </c>
      <c r="I376" s="351"/>
      <c r="J376" s="563"/>
      <c r="K376" s="351"/>
      <c r="L376" s="563"/>
      <c r="M376" s="351"/>
      <c r="N376" s="37"/>
      <c r="O376" s="35"/>
      <c r="P376" s="560"/>
      <c r="Q376" s="351"/>
      <c r="R376" s="527"/>
      <c r="S376" s="351"/>
      <c r="T376" s="528"/>
      <c r="U376" s="351"/>
      <c r="V376" s="541"/>
      <c r="W376" s="351"/>
      <c r="X376" s="538" t="s">
        <v>294</v>
      </c>
      <c r="Y376" s="350"/>
      <c r="Z376" s="350"/>
      <c r="AA376" s="351"/>
      <c r="AB376" s="539" t="s">
        <v>294</v>
      </c>
      <c r="AC376" s="350"/>
      <c r="AD376" s="350"/>
      <c r="AE376" s="351"/>
      <c r="AF376" s="544"/>
      <c r="AG376" s="351"/>
      <c r="AH376" s="544"/>
      <c r="AI376" s="351"/>
      <c r="AJ376" s="545"/>
      <c r="AK376" s="351"/>
      <c r="AL376" s="555" t="s">
        <v>325</v>
      </c>
      <c r="AM376" s="351"/>
      <c r="AN376" s="531" t="s">
        <v>325</v>
      </c>
      <c r="AO376" s="351"/>
      <c r="AP376" s="550"/>
      <c r="AQ376" s="351"/>
      <c r="AR376" s="551"/>
      <c r="AS376" s="351"/>
      <c r="AT376" s="534"/>
      <c r="AU376" s="351"/>
      <c r="AV376" s="531" t="s">
        <v>325</v>
      </c>
      <c r="AW376" s="351"/>
      <c r="AX376" s="553"/>
      <c r="AY376" s="350"/>
      <c r="AZ376" s="351"/>
      <c r="BA376" s="554"/>
      <c r="BB376" s="351"/>
      <c r="BC376" s="36"/>
      <c r="BD376" s="556" t="s">
        <v>325</v>
      </c>
      <c r="BE376" s="351"/>
      <c r="BF376" s="547"/>
      <c r="BG376" s="350"/>
      <c r="BH376" s="350"/>
      <c r="BI376" s="351"/>
      <c r="BJ376" s="506" t="s">
        <v>294</v>
      </c>
      <c r="BK376" s="350"/>
      <c r="BL376" s="350"/>
      <c r="BM376" s="351"/>
      <c r="BN376" s="530" t="s">
        <v>294</v>
      </c>
      <c r="BO376" s="350"/>
      <c r="BP376" s="350"/>
      <c r="BQ376" s="350"/>
      <c r="BR376" s="350"/>
      <c r="BS376" s="350"/>
      <c r="BT376" s="350"/>
      <c r="BU376" s="350"/>
      <c r="BV376" s="351"/>
    </row>
    <row r="377" spans="1:74" ht="45" customHeight="1">
      <c r="A377" s="24">
        <f t="shared" si="1"/>
        <v>363</v>
      </c>
      <c r="B377" s="522" t="s">
        <v>294</v>
      </c>
      <c r="C377" s="351"/>
      <c r="D377" s="523" t="s">
        <v>298</v>
      </c>
      <c r="E377" s="351"/>
      <c r="F377" s="524" t="s">
        <v>325</v>
      </c>
      <c r="G377" s="351"/>
      <c r="H377" s="561" t="s">
        <v>325</v>
      </c>
      <c r="I377" s="351"/>
      <c r="J377" s="562"/>
      <c r="K377" s="351"/>
      <c r="L377" s="562"/>
      <c r="M377" s="351"/>
      <c r="N377" s="34"/>
      <c r="O377" s="38"/>
      <c r="P377" s="526"/>
      <c r="Q377" s="351"/>
      <c r="R377" s="535"/>
      <c r="S377" s="351"/>
      <c r="T377" s="536"/>
      <c r="U377" s="351"/>
      <c r="V377" s="537"/>
      <c r="W377" s="351"/>
      <c r="X377" s="542" t="s">
        <v>294</v>
      </c>
      <c r="Y377" s="350"/>
      <c r="Z377" s="350"/>
      <c r="AA377" s="351"/>
      <c r="AB377" s="543" t="s">
        <v>294</v>
      </c>
      <c r="AC377" s="350"/>
      <c r="AD377" s="350"/>
      <c r="AE377" s="351"/>
      <c r="AF377" s="540"/>
      <c r="AG377" s="351"/>
      <c r="AH377" s="540"/>
      <c r="AI377" s="351"/>
      <c r="AJ377" s="532"/>
      <c r="AK377" s="351"/>
      <c r="AL377" s="524" t="s">
        <v>325</v>
      </c>
      <c r="AM377" s="351"/>
      <c r="AN377" s="549" t="s">
        <v>325</v>
      </c>
      <c r="AO377" s="351"/>
      <c r="AP377" s="532"/>
      <c r="AQ377" s="351"/>
      <c r="AR377" s="533"/>
      <c r="AS377" s="351"/>
      <c r="AT377" s="534"/>
      <c r="AU377" s="351"/>
      <c r="AV377" s="549" t="s">
        <v>325</v>
      </c>
      <c r="AW377" s="351"/>
      <c r="AX377" s="553"/>
      <c r="AY377" s="350"/>
      <c r="AZ377" s="351"/>
      <c r="BA377" s="545"/>
      <c r="BB377" s="351"/>
      <c r="BC377" s="39"/>
      <c r="BD377" s="546" t="s">
        <v>325</v>
      </c>
      <c r="BE377" s="351"/>
      <c r="BF377" s="557"/>
      <c r="BG377" s="350"/>
      <c r="BH377" s="350"/>
      <c r="BI377" s="351"/>
      <c r="BJ377" s="548" t="s">
        <v>294</v>
      </c>
      <c r="BK377" s="350"/>
      <c r="BL377" s="350"/>
      <c r="BM377" s="351"/>
      <c r="BN377" s="530" t="s">
        <v>294</v>
      </c>
      <c r="BO377" s="350"/>
      <c r="BP377" s="350"/>
      <c r="BQ377" s="350"/>
      <c r="BR377" s="350"/>
      <c r="BS377" s="350"/>
      <c r="BT377" s="350"/>
      <c r="BU377" s="350"/>
      <c r="BV377" s="351"/>
    </row>
    <row r="378" spans="1:74" ht="45" customHeight="1">
      <c r="A378" s="24">
        <f t="shared" si="1"/>
        <v>364</v>
      </c>
      <c r="B378" s="558" t="s">
        <v>294</v>
      </c>
      <c r="C378" s="351"/>
      <c r="D378" s="559" t="s">
        <v>298</v>
      </c>
      <c r="E378" s="351"/>
      <c r="F378" s="524" t="s">
        <v>325</v>
      </c>
      <c r="G378" s="351"/>
      <c r="H378" s="525" t="s">
        <v>325</v>
      </c>
      <c r="I378" s="351"/>
      <c r="J378" s="563"/>
      <c r="K378" s="351"/>
      <c r="L378" s="563"/>
      <c r="M378" s="351"/>
      <c r="N378" s="37"/>
      <c r="O378" s="35"/>
      <c r="P378" s="560"/>
      <c r="Q378" s="351"/>
      <c r="R378" s="527"/>
      <c r="S378" s="351"/>
      <c r="T378" s="528"/>
      <c r="U378" s="351"/>
      <c r="V378" s="541"/>
      <c r="W378" s="351"/>
      <c r="X378" s="538" t="s">
        <v>294</v>
      </c>
      <c r="Y378" s="350"/>
      <c r="Z378" s="350"/>
      <c r="AA378" s="351"/>
      <c r="AB378" s="539" t="s">
        <v>294</v>
      </c>
      <c r="AC378" s="350"/>
      <c r="AD378" s="350"/>
      <c r="AE378" s="351"/>
      <c r="AF378" s="544"/>
      <c r="AG378" s="351"/>
      <c r="AH378" s="544"/>
      <c r="AI378" s="351"/>
      <c r="AJ378" s="545"/>
      <c r="AK378" s="351"/>
      <c r="AL378" s="555" t="s">
        <v>325</v>
      </c>
      <c r="AM378" s="351"/>
      <c r="AN378" s="531" t="s">
        <v>325</v>
      </c>
      <c r="AO378" s="351"/>
      <c r="AP378" s="550"/>
      <c r="AQ378" s="351"/>
      <c r="AR378" s="551"/>
      <c r="AS378" s="351"/>
      <c r="AT378" s="534"/>
      <c r="AU378" s="351"/>
      <c r="AV378" s="531" t="s">
        <v>325</v>
      </c>
      <c r="AW378" s="351"/>
      <c r="AX378" s="553"/>
      <c r="AY378" s="350"/>
      <c r="AZ378" s="351"/>
      <c r="BA378" s="554"/>
      <c r="BB378" s="351"/>
      <c r="BC378" s="36"/>
      <c r="BD378" s="556" t="s">
        <v>325</v>
      </c>
      <c r="BE378" s="351"/>
      <c r="BF378" s="547"/>
      <c r="BG378" s="350"/>
      <c r="BH378" s="350"/>
      <c r="BI378" s="351"/>
      <c r="BJ378" s="506" t="s">
        <v>294</v>
      </c>
      <c r="BK378" s="350"/>
      <c r="BL378" s="350"/>
      <c r="BM378" s="351"/>
      <c r="BN378" s="530" t="s">
        <v>294</v>
      </c>
      <c r="BO378" s="350"/>
      <c r="BP378" s="350"/>
      <c r="BQ378" s="350"/>
      <c r="BR378" s="350"/>
      <c r="BS378" s="350"/>
      <c r="BT378" s="350"/>
      <c r="BU378" s="350"/>
      <c r="BV378" s="351"/>
    </row>
    <row r="379" spans="1:74" ht="45" customHeight="1">
      <c r="A379" s="24">
        <f t="shared" si="1"/>
        <v>365</v>
      </c>
      <c r="B379" s="522" t="s">
        <v>294</v>
      </c>
      <c r="C379" s="351"/>
      <c r="D379" s="523" t="s">
        <v>298</v>
      </c>
      <c r="E379" s="351"/>
      <c r="F379" s="524" t="s">
        <v>325</v>
      </c>
      <c r="G379" s="351"/>
      <c r="H379" s="561" t="s">
        <v>325</v>
      </c>
      <c r="I379" s="351"/>
      <c r="J379" s="562"/>
      <c r="K379" s="351"/>
      <c r="L379" s="562"/>
      <c r="M379" s="351"/>
      <c r="N379" s="34"/>
      <c r="O379" s="38"/>
      <c r="P379" s="526"/>
      <c r="Q379" s="351"/>
      <c r="R379" s="535"/>
      <c r="S379" s="351"/>
      <c r="T379" s="536"/>
      <c r="U379" s="351"/>
      <c r="V379" s="537"/>
      <c r="W379" s="351"/>
      <c r="X379" s="542" t="s">
        <v>294</v>
      </c>
      <c r="Y379" s="350"/>
      <c r="Z379" s="350"/>
      <c r="AA379" s="351"/>
      <c r="AB379" s="543" t="s">
        <v>294</v>
      </c>
      <c r="AC379" s="350"/>
      <c r="AD379" s="350"/>
      <c r="AE379" s="351"/>
      <c r="AF379" s="540"/>
      <c r="AG379" s="351"/>
      <c r="AH379" s="540"/>
      <c r="AI379" s="351"/>
      <c r="AJ379" s="532"/>
      <c r="AK379" s="351"/>
      <c r="AL379" s="524" t="s">
        <v>325</v>
      </c>
      <c r="AM379" s="351"/>
      <c r="AN379" s="549" t="s">
        <v>325</v>
      </c>
      <c r="AO379" s="351"/>
      <c r="AP379" s="532"/>
      <c r="AQ379" s="351"/>
      <c r="AR379" s="533"/>
      <c r="AS379" s="351"/>
      <c r="AT379" s="534"/>
      <c r="AU379" s="351"/>
      <c r="AV379" s="549" t="s">
        <v>325</v>
      </c>
      <c r="AW379" s="351"/>
      <c r="AX379" s="553"/>
      <c r="AY379" s="350"/>
      <c r="AZ379" s="351"/>
      <c r="BA379" s="545"/>
      <c r="BB379" s="351"/>
      <c r="BC379" s="39"/>
      <c r="BD379" s="546" t="s">
        <v>325</v>
      </c>
      <c r="BE379" s="351"/>
      <c r="BF379" s="529"/>
      <c r="BG379" s="350"/>
      <c r="BH379" s="350"/>
      <c r="BI379" s="351"/>
      <c r="BJ379" s="548" t="s">
        <v>294</v>
      </c>
      <c r="BK379" s="350"/>
      <c r="BL379" s="350"/>
      <c r="BM379" s="351"/>
      <c r="BN379" s="530" t="s">
        <v>294</v>
      </c>
      <c r="BO379" s="350"/>
      <c r="BP379" s="350"/>
      <c r="BQ379" s="350"/>
      <c r="BR379" s="350"/>
      <c r="BS379" s="350"/>
      <c r="BT379" s="350"/>
      <c r="BU379" s="350"/>
      <c r="BV379" s="351"/>
    </row>
    <row r="380" spans="1:74" ht="45" customHeight="1">
      <c r="A380" s="24">
        <f t="shared" si="1"/>
        <v>366</v>
      </c>
      <c r="B380" s="558" t="s">
        <v>294</v>
      </c>
      <c r="C380" s="351"/>
      <c r="D380" s="559" t="s">
        <v>298</v>
      </c>
      <c r="E380" s="351"/>
      <c r="F380" s="524" t="s">
        <v>325</v>
      </c>
      <c r="G380" s="351"/>
      <c r="H380" s="525" t="s">
        <v>325</v>
      </c>
      <c r="I380" s="351"/>
      <c r="J380" s="563"/>
      <c r="K380" s="351"/>
      <c r="L380" s="563"/>
      <c r="M380" s="351"/>
      <c r="N380" s="37"/>
      <c r="O380" s="35"/>
      <c r="P380" s="560"/>
      <c r="Q380" s="351"/>
      <c r="R380" s="527"/>
      <c r="S380" s="351"/>
      <c r="T380" s="528"/>
      <c r="U380" s="351"/>
      <c r="V380" s="541"/>
      <c r="W380" s="351"/>
      <c r="X380" s="538" t="s">
        <v>294</v>
      </c>
      <c r="Y380" s="350"/>
      <c r="Z380" s="350"/>
      <c r="AA380" s="351"/>
      <c r="AB380" s="539" t="s">
        <v>294</v>
      </c>
      <c r="AC380" s="350"/>
      <c r="AD380" s="350"/>
      <c r="AE380" s="351"/>
      <c r="AF380" s="544"/>
      <c r="AG380" s="351"/>
      <c r="AH380" s="544"/>
      <c r="AI380" s="351"/>
      <c r="AJ380" s="545"/>
      <c r="AK380" s="351"/>
      <c r="AL380" s="555" t="s">
        <v>325</v>
      </c>
      <c r="AM380" s="351"/>
      <c r="AN380" s="531" t="s">
        <v>325</v>
      </c>
      <c r="AO380" s="351"/>
      <c r="AP380" s="550"/>
      <c r="AQ380" s="351"/>
      <c r="AR380" s="551"/>
      <c r="AS380" s="351"/>
      <c r="AT380" s="534"/>
      <c r="AU380" s="351"/>
      <c r="AV380" s="531" t="s">
        <v>325</v>
      </c>
      <c r="AW380" s="351"/>
      <c r="AX380" s="553"/>
      <c r="AY380" s="350"/>
      <c r="AZ380" s="351"/>
      <c r="BA380" s="554"/>
      <c r="BB380" s="351"/>
      <c r="BC380" s="36"/>
      <c r="BD380" s="556" t="s">
        <v>325</v>
      </c>
      <c r="BE380" s="351"/>
      <c r="BF380" s="547"/>
      <c r="BG380" s="350"/>
      <c r="BH380" s="350"/>
      <c r="BI380" s="351"/>
      <c r="BJ380" s="506" t="s">
        <v>294</v>
      </c>
      <c r="BK380" s="350"/>
      <c r="BL380" s="350"/>
      <c r="BM380" s="351"/>
      <c r="BN380" s="530" t="s">
        <v>294</v>
      </c>
      <c r="BO380" s="350"/>
      <c r="BP380" s="350"/>
      <c r="BQ380" s="350"/>
      <c r="BR380" s="350"/>
      <c r="BS380" s="350"/>
      <c r="BT380" s="350"/>
      <c r="BU380" s="350"/>
      <c r="BV380" s="351"/>
    </row>
    <row r="381" spans="1:74" ht="45" customHeight="1">
      <c r="A381" s="24">
        <f t="shared" si="1"/>
        <v>367</v>
      </c>
      <c r="B381" s="522" t="s">
        <v>294</v>
      </c>
      <c r="C381" s="351"/>
      <c r="D381" s="523" t="s">
        <v>298</v>
      </c>
      <c r="E381" s="351"/>
      <c r="F381" s="524" t="s">
        <v>325</v>
      </c>
      <c r="G381" s="351"/>
      <c r="H381" s="561" t="s">
        <v>325</v>
      </c>
      <c r="I381" s="351"/>
      <c r="J381" s="562"/>
      <c r="K381" s="351"/>
      <c r="L381" s="562"/>
      <c r="M381" s="351"/>
      <c r="N381" s="34"/>
      <c r="O381" s="38"/>
      <c r="P381" s="526"/>
      <c r="Q381" s="351"/>
      <c r="R381" s="535"/>
      <c r="S381" s="351"/>
      <c r="T381" s="536"/>
      <c r="U381" s="351"/>
      <c r="V381" s="537"/>
      <c r="W381" s="351"/>
      <c r="X381" s="542" t="s">
        <v>294</v>
      </c>
      <c r="Y381" s="350"/>
      <c r="Z381" s="350"/>
      <c r="AA381" s="351"/>
      <c r="AB381" s="543" t="s">
        <v>294</v>
      </c>
      <c r="AC381" s="350"/>
      <c r="AD381" s="350"/>
      <c r="AE381" s="351"/>
      <c r="AF381" s="540"/>
      <c r="AG381" s="351"/>
      <c r="AH381" s="540"/>
      <c r="AI381" s="351"/>
      <c r="AJ381" s="532"/>
      <c r="AK381" s="351"/>
      <c r="AL381" s="524" t="s">
        <v>325</v>
      </c>
      <c r="AM381" s="351"/>
      <c r="AN381" s="549" t="s">
        <v>325</v>
      </c>
      <c r="AO381" s="351"/>
      <c r="AP381" s="532"/>
      <c r="AQ381" s="351"/>
      <c r="AR381" s="533"/>
      <c r="AS381" s="351"/>
      <c r="AT381" s="534"/>
      <c r="AU381" s="351"/>
      <c r="AV381" s="549" t="s">
        <v>325</v>
      </c>
      <c r="AW381" s="351"/>
      <c r="AX381" s="553"/>
      <c r="AY381" s="350"/>
      <c r="AZ381" s="351"/>
      <c r="BA381" s="545"/>
      <c r="BB381" s="351"/>
      <c r="BC381" s="39"/>
      <c r="BD381" s="546" t="s">
        <v>325</v>
      </c>
      <c r="BE381" s="351"/>
      <c r="BF381" s="557"/>
      <c r="BG381" s="350"/>
      <c r="BH381" s="350"/>
      <c r="BI381" s="351"/>
      <c r="BJ381" s="548" t="s">
        <v>294</v>
      </c>
      <c r="BK381" s="350"/>
      <c r="BL381" s="350"/>
      <c r="BM381" s="351"/>
      <c r="BN381" s="530" t="s">
        <v>294</v>
      </c>
      <c r="BO381" s="350"/>
      <c r="BP381" s="350"/>
      <c r="BQ381" s="350"/>
      <c r="BR381" s="350"/>
      <c r="BS381" s="350"/>
      <c r="BT381" s="350"/>
      <c r="BU381" s="350"/>
      <c r="BV381" s="351"/>
    </row>
    <row r="382" spans="1:74" ht="45" customHeight="1">
      <c r="A382" s="24">
        <f t="shared" si="1"/>
        <v>368</v>
      </c>
      <c r="B382" s="558" t="s">
        <v>294</v>
      </c>
      <c r="C382" s="351"/>
      <c r="D382" s="559" t="s">
        <v>298</v>
      </c>
      <c r="E382" s="351"/>
      <c r="F382" s="524" t="s">
        <v>325</v>
      </c>
      <c r="G382" s="351"/>
      <c r="H382" s="525" t="s">
        <v>325</v>
      </c>
      <c r="I382" s="351"/>
      <c r="J382" s="563"/>
      <c r="K382" s="351"/>
      <c r="L382" s="563"/>
      <c r="M382" s="351"/>
      <c r="N382" s="37"/>
      <c r="O382" s="38"/>
      <c r="P382" s="560"/>
      <c r="Q382" s="351"/>
      <c r="R382" s="527"/>
      <c r="S382" s="351"/>
      <c r="T382" s="528"/>
      <c r="U382" s="351"/>
      <c r="V382" s="541"/>
      <c r="W382" s="351"/>
      <c r="X382" s="538" t="s">
        <v>294</v>
      </c>
      <c r="Y382" s="350"/>
      <c r="Z382" s="350"/>
      <c r="AA382" s="351"/>
      <c r="AB382" s="539" t="s">
        <v>294</v>
      </c>
      <c r="AC382" s="350"/>
      <c r="AD382" s="350"/>
      <c r="AE382" s="351"/>
      <c r="AF382" s="544"/>
      <c r="AG382" s="351"/>
      <c r="AH382" s="544"/>
      <c r="AI382" s="351"/>
      <c r="AJ382" s="545"/>
      <c r="AK382" s="351"/>
      <c r="AL382" s="555" t="s">
        <v>325</v>
      </c>
      <c r="AM382" s="351"/>
      <c r="AN382" s="531" t="s">
        <v>325</v>
      </c>
      <c r="AO382" s="351"/>
      <c r="AP382" s="550"/>
      <c r="AQ382" s="351"/>
      <c r="AR382" s="551"/>
      <c r="AS382" s="351"/>
      <c r="AT382" s="534"/>
      <c r="AU382" s="351"/>
      <c r="AV382" s="531" t="s">
        <v>325</v>
      </c>
      <c r="AW382" s="351"/>
      <c r="AX382" s="553"/>
      <c r="AY382" s="350"/>
      <c r="AZ382" s="351"/>
      <c r="BA382" s="554"/>
      <c r="BB382" s="351"/>
      <c r="BC382" s="36"/>
      <c r="BD382" s="556" t="s">
        <v>325</v>
      </c>
      <c r="BE382" s="351"/>
      <c r="BF382" s="547"/>
      <c r="BG382" s="350"/>
      <c r="BH382" s="350"/>
      <c r="BI382" s="351"/>
      <c r="BJ382" s="506" t="s">
        <v>294</v>
      </c>
      <c r="BK382" s="350"/>
      <c r="BL382" s="350"/>
      <c r="BM382" s="351"/>
      <c r="BN382" s="530" t="s">
        <v>294</v>
      </c>
      <c r="BO382" s="350"/>
      <c r="BP382" s="350"/>
      <c r="BQ382" s="350"/>
      <c r="BR382" s="350"/>
      <c r="BS382" s="350"/>
      <c r="BT382" s="350"/>
      <c r="BU382" s="350"/>
      <c r="BV382" s="351"/>
    </row>
    <row r="383" spans="1:74" ht="45" customHeight="1">
      <c r="A383" s="24">
        <f t="shared" si="1"/>
        <v>369</v>
      </c>
      <c r="B383" s="522" t="s">
        <v>294</v>
      </c>
      <c r="C383" s="351"/>
      <c r="D383" s="523" t="s">
        <v>298</v>
      </c>
      <c r="E383" s="351"/>
      <c r="F383" s="524" t="s">
        <v>325</v>
      </c>
      <c r="G383" s="351"/>
      <c r="H383" s="561" t="s">
        <v>325</v>
      </c>
      <c r="I383" s="351"/>
      <c r="J383" s="562"/>
      <c r="K383" s="351"/>
      <c r="L383" s="562"/>
      <c r="M383" s="351"/>
      <c r="N383" s="34"/>
      <c r="O383" s="35"/>
      <c r="P383" s="526"/>
      <c r="Q383" s="351"/>
      <c r="R383" s="535"/>
      <c r="S383" s="351"/>
      <c r="T383" s="536"/>
      <c r="U383" s="351"/>
      <c r="V383" s="537"/>
      <c r="W383" s="351"/>
      <c r="X383" s="542" t="s">
        <v>294</v>
      </c>
      <c r="Y383" s="350"/>
      <c r="Z383" s="350"/>
      <c r="AA383" s="351"/>
      <c r="AB383" s="543" t="s">
        <v>294</v>
      </c>
      <c r="AC383" s="350"/>
      <c r="AD383" s="350"/>
      <c r="AE383" s="351"/>
      <c r="AF383" s="540"/>
      <c r="AG383" s="351"/>
      <c r="AH383" s="540"/>
      <c r="AI383" s="351"/>
      <c r="AJ383" s="532"/>
      <c r="AK383" s="351"/>
      <c r="AL383" s="524" t="s">
        <v>325</v>
      </c>
      <c r="AM383" s="351"/>
      <c r="AN383" s="549" t="s">
        <v>325</v>
      </c>
      <c r="AO383" s="351"/>
      <c r="AP383" s="532"/>
      <c r="AQ383" s="351"/>
      <c r="AR383" s="533"/>
      <c r="AS383" s="351"/>
      <c r="AT383" s="534"/>
      <c r="AU383" s="351"/>
      <c r="AV383" s="549" t="s">
        <v>325</v>
      </c>
      <c r="AW383" s="351"/>
      <c r="AX383" s="553"/>
      <c r="AY383" s="350"/>
      <c r="AZ383" s="351"/>
      <c r="BA383" s="545"/>
      <c r="BB383" s="351"/>
      <c r="BC383" s="39"/>
      <c r="BD383" s="546" t="s">
        <v>325</v>
      </c>
      <c r="BE383" s="351"/>
      <c r="BF383" s="529"/>
      <c r="BG383" s="350"/>
      <c r="BH383" s="350"/>
      <c r="BI383" s="351"/>
      <c r="BJ383" s="548" t="s">
        <v>294</v>
      </c>
      <c r="BK383" s="350"/>
      <c r="BL383" s="350"/>
      <c r="BM383" s="351"/>
      <c r="BN383" s="530" t="s">
        <v>294</v>
      </c>
      <c r="BO383" s="350"/>
      <c r="BP383" s="350"/>
      <c r="BQ383" s="350"/>
      <c r="BR383" s="350"/>
      <c r="BS383" s="350"/>
      <c r="BT383" s="350"/>
      <c r="BU383" s="350"/>
      <c r="BV383" s="351"/>
    </row>
    <row r="384" spans="1:74" ht="45" customHeight="1">
      <c r="A384" s="24">
        <f t="shared" si="1"/>
        <v>370</v>
      </c>
      <c r="B384" s="558" t="s">
        <v>294</v>
      </c>
      <c r="C384" s="351"/>
      <c r="D384" s="559" t="s">
        <v>298</v>
      </c>
      <c r="E384" s="351"/>
      <c r="F384" s="524" t="s">
        <v>325</v>
      </c>
      <c r="G384" s="351"/>
      <c r="H384" s="525" t="s">
        <v>325</v>
      </c>
      <c r="I384" s="351"/>
      <c r="J384" s="563"/>
      <c r="K384" s="351"/>
      <c r="L384" s="563"/>
      <c r="M384" s="351"/>
      <c r="N384" s="37"/>
      <c r="O384" s="38"/>
      <c r="P384" s="560"/>
      <c r="Q384" s="351"/>
      <c r="R384" s="527"/>
      <c r="S384" s="351"/>
      <c r="T384" s="528"/>
      <c r="U384" s="351"/>
      <c r="V384" s="541"/>
      <c r="W384" s="351"/>
      <c r="X384" s="538" t="s">
        <v>294</v>
      </c>
      <c r="Y384" s="350"/>
      <c r="Z384" s="350"/>
      <c r="AA384" s="351"/>
      <c r="AB384" s="539" t="s">
        <v>294</v>
      </c>
      <c r="AC384" s="350"/>
      <c r="AD384" s="350"/>
      <c r="AE384" s="351"/>
      <c r="AF384" s="544"/>
      <c r="AG384" s="351"/>
      <c r="AH384" s="544"/>
      <c r="AI384" s="351"/>
      <c r="AJ384" s="545"/>
      <c r="AK384" s="351"/>
      <c r="AL384" s="555" t="s">
        <v>325</v>
      </c>
      <c r="AM384" s="351"/>
      <c r="AN384" s="531" t="s">
        <v>325</v>
      </c>
      <c r="AO384" s="351"/>
      <c r="AP384" s="550"/>
      <c r="AQ384" s="351"/>
      <c r="AR384" s="551"/>
      <c r="AS384" s="351"/>
      <c r="AT384" s="534"/>
      <c r="AU384" s="351"/>
      <c r="AV384" s="531" t="s">
        <v>325</v>
      </c>
      <c r="AW384" s="351"/>
      <c r="AX384" s="553"/>
      <c r="AY384" s="350"/>
      <c r="AZ384" s="351"/>
      <c r="BA384" s="554"/>
      <c r="BB384" s="351"/>
      <c r="BC384" s="36"/>
      <c r="BD384" s="556" t="s">
        <v>325</v>
      </c>
      <c r="BE384" s="351"/>
      <c r="BF384" s="547"/>
      <c r="BG384" s="350"/>
      <c r="BH384" s="350"/>
      <c r="BI384" s="351"/>
      <c r="BJ384" s="506" t="s">
        <v>294</v>
      </c>
      <c r="BK384" s="350"/>
      <c r="BL384" s="350"/>
      <c r="BM384" s="351"/>
      <c r="BN384" s="530" t="s">
        <v>294</v>
      </c>
      <c r="BO384" s="350"/>
      <c r="BP384" s="350"/>
      <c r="BQ384" s="350"/>
      <c r="BR384" s="350"/>
      <c r="BS384" s="350"/>
      <c r="BT384" s="350"/>
      <c r="BU384" s="350"/>
      <c r="BV384" s="351"/>
    </row>
    <row r="385" spans="1:74" ht="45" customHeight="1">
      <c r="A385" s="24">
        <f t="shared" si="1"/>
        <v>371</v>
      </c>
      <c r="B385" s="522" t="s">
        <v>294</v>
      </c>
      <c r="C385" s="351"/>
      <c r="D385" s="523" t="s">
        <v>298</v>
      </c>
      <c r="E385" s="351"/>
      <c r="F385" s="524" t="s">
        <v>325</v>
      </c>
      <c r="G385" s="351"/>
      <c r="H385" s="561" t="s">
        <v>325</v>
      </c>
      <c r="I385" s="351"/>
      <c r="J385" s="562"/>
      <c r="K385" s="351"/>
      <c r="L385" s="562"/>
      <c r="M385" s="351"/>
      <c r="N385" s="34"/>
      <c r="O385" s="35"/>
      <c r="P385" s="526"/>
      <c r="Q385" s="351"/>
      <c r="R385" s="535"/>
      <c r="S385" s="351"/>
      <c r="T385" s="536"/>
      <c r="U385" s="351"/>
      <c r="V385" s="537"/>
      <c r="W385" s="351"/>
      <c r="X385" s="542" t="s">
        <v>294</v>
      </c>
      <c r="Y385" s="350"/>
      <c r="Z385" s="350"/>
      <c r="AA385" s="351"/>
      <c r="AB385" s="543" t="s">
        <v>294</v>
      </c>
      <c r="AC385" s="350"/>
      <c r="AD385" s="350"/>
      <c r="AE385" s="351"/>
      <c r="AF385" s="540"/>
      <c r="AG385" s="351"/>
      <c r="AH385" s="540"/>
      <c r="AI385" s="351"/>
      <c r="AJ385" s="532"/>
      <c r="AK385" s="351"/>
      <c r="AL385" s="524" t="s">
        <v>325</v>
      </c>
      <c r="AM385" s="351"/>
      <c r="AN385" s="549" t="s">
        <v>325</v>
      </c>
      <c r="AO385" s="351"/>
      <c r="AP385" s="532"/>
      <c r="AQ385" s="351"/>
      <c r="AR385" s="533"/>
      <c r="AS385" s="351"/>
      <c r="AT385" s="534"/>
      <c r="AU385" s="351"/>
      <c r="AV385" s="549" t="s">
        <v>325</v>
      </c>
      <c r="AW385" s="351"/>
      <c r="AX385" s="553"/>
      <c r="AY385" s="350"/>
      <c r="AZ385" s="351"/>
      <c r="BA385" s="545"/>
      <c r="BB385" s="351"/>
      <c r="BC385" s="39"/>
      <c r="BD385" s="546" t="s">
        <v>325</v>
      </c>
      <c r="BE385" s="351"/>
      <c r="BF385" s="529"/>
      <c r="BG385" s="350"/>
      <c r="BH385" s="350"/>
      <c r="BI385" s="351"/>
      <c r="BJ385" s="548" t="s">
        <v>294</v>
      </c>
      <c r="BK385" s="350"/>
      <c r="BL385" s="350"/>
      <c r="BM385" s="351"/>
      <c r="BN385" s="530" t="s">
        <v>294</v>
      </c>
      <c r="BO385" s="350"/>
      <c r="BP385" s="350"/>
      <c r="BQ385" s="350"/>
      <c r="BR385" s="350"/>
      <c r="BS385" s="350"/>
      <c r="BT385" s="350"/>
      <c r="BU385" s="350"/>
      <c r="BV385" s="351"/>
    </row>
    <row r="386" spans="1:74" ht="45" customHeight="1">
      <c r="A386" s="24">
        <f t="shared" si="1"/>
        <v>372</v>
      </c>
      <c r="B386" s="558" t="s">
        <v>294</v>
      </c>
      <c r="C386" s="351"/>
      <c r="D386" s="559" t="s">
        <v>298</v>
      </c>
      <c r="E386" s="351"/>
      <c r="F386" s="524" t="s">
        <v>325</v>
      </c>
      <c r="G386" s="351"/>
      <c r="H386" s="525" t="s">
        <v>325</v>
      </c>
      <c r="I386" s="351"/>
      <c r="J386" s="563"/>
      <c r="K386" s="351"/>
      <c r="L386" s="563"/>
      <c r="M386" s="351"/>
      <c r="N386" s="37"/>
      <c r="O386" s="38"/>
      <c r="P386" s="560"/>
      <c r="Q386" s="351"/>
      <c r="R386" s="527"/>
      <c r="S386" s="351"/>
      <c r="T386" s="528"/>
      <c r="U386" s="351"/>
      <c r="V386" s="541"/>
      <c r="W386" s="351"/>
      <c r="X386" s="538" t="s">
        <v>294</v>
      </c>
      <c r="Y386" s="350"/>
      <c r="Z386" s="350"/>
      <c r="AA386" s="351"/>
      <c r="AB386" s="539" t="s">
        <v>294</v>
      </c>
      <c r="AC386" s="350"/>
      <c r="AD386" s="350"/>
      <c r="AE386" s="351"/>
      <c r="AF386" s="544"/>
      <c r="AG386" s="351"/>
      <c r="AH386" s="544"/>
      <c r="AI386" s="351"/>
      <c r="AJ386" s="545"/>
      <c r="AK386" s="351"/>
      <c r="AL386" s="555" t="s">
        <v>325</v>
      </c>
      <c r="AM386" s="351"/>
      <c r="AN386" s="531" t="s">
        <v>325</v>
      </c>
      <c r="AO386" s="351"/>
      <c r="AP386" s="550"/>
      <c r="AQ386" s="351"/>
      <c r="AR386" s="551"/>
      <c r="AS386" s="351"/>
      <c r="AT386" s="534"/>
      <c r="AU386" s="351"/>
      <c r="AV386" s="531" t="s">
        <v>325</v>
      </c>
      <c r="AW386" s="351"/>
      <c r="AX386" s="553"/>
      <c r="AY386" s="350"/>
      <c r="AZ386" s="351"/>
      <c r="BA386" s="554"/>
      <c r="BB386" s="351"/>
      <c r="BC386" s="36"/>
      <c r="BD386" s="556" t="s">
        <v>325</v>
      </c>
      <c r="BE386" s="351"/>
      <c r="BF386" s="547"/>
      <c r="BG386" s="350"/>
      <c r="BH386" s="350"/>
      <c r="BI386" s="351"/>
      <c r="BJ386" s="506" t="s">
        <v>294</v>
      </c>
      <c r="BK386" s="350"/>
      <c r="BL386" s="350"/>
      <c r="BM386" s="351"/>
      <c r="BN386" s="530" t="s">
        <v>294</v>
      </c>
      <c r="BO386" s="350"/>
      <c r="BP386" s="350"/>
      <c r="BQ386" s="350"/>
      <c r="BR386" s="350"/>
      <c r="BS386" s="350"/>
      <c r="BT386" s="350"/>
      <c r="BU386" s="350"/>
      <c r="BV386" s="351"/>
    </row>
    <row r="387" spans="1:74" ht="45" customHeight="1">
      <c r="A387" s="24">
        <f t="shared" si="1"/>
        <v>373</v>
      </c>
      <c r="B387" s="522" t="s">
        <v>294</v>
      </c>
      <c r="C387" s="351"/>
      <c r="D387" s="523" t="s">
        <v>298</v>
      </c>
      <c r="E387" s="351"/>
      <c r="F387" s="524" t="s">
        <v>325</v>
      </c>
      <c r="G387" s="351"/>
      <c r="H387" s="561" t="s">
        <v>325</v>
      </c>
      <c r="I387" s="351"/>
      <c r="J387" s="562"/>
      <c r="K387" s="351"/>
      <c r="L387" s="562"/>
      <c r="M387" s="351"/>
      <c r="N387" s="34"/>
      <c r="O387" s="35"/>
      <c r="P387" s="526"/>
      <c r="Q387" s="351"/>
      <c r="R387" s="535"/>
      <c r="S387" s="351"/>
      <c r="T387" s="536"/>
      <c r="U387" s="351"/>
      <c r="V387" s="537"/>
      <c r="W387" s="351"/>
      <c r="X387" s="542" t="s">
        <v>294</v>
      </c>
      <c r="Y387" s="350"/>
      <c r="Z387" s="350"/>
      <c r="AA387" s="351"/>
      <c r="AB387" s="543" t="s">
        <v>294</v>
      </c>
      <c r="AC387" s="350"/>
      <c r="AD387" s="350"/>
      <c r="AE387" s="351"/>
      <c r="AF387" s="540"/>
      <c r="AG387" s="351"/>
      <c r="AH387" s="540"/>
      <c r="AI387" s="351"/>
      <c r="AJ387" s="532"/>
      <c r="AK387" s="351"/>
      <c r="AL387" s="524" t="s">
        <v>325</v>
      </c>
      <c r="AM387" s="351"/>
      <c r="AN387" s="549" t="s">
        <v>325</v>
      </c>
      <c r="AO387" s="351"/>
      <c r="AP387" s="532"/>
      <c r="AQ387" s="351"/>
      <c r="AR387" s="533"/>
      <c r="AS387" s="351"/>
      <c r="AT387" s="534"/>
      <c r="AU387" s="351"/>
      <c r="AV387" s="549" t="s">
        <v>325</v>
      </c>
      <c r="AW387" s="351"/>
      <c r="AX387" s="553"/>
      <c r="AY387" s="350"/>
      <c r="AZ387" s="351"/>
      <c r="BA387" s="545"/>
      <c r="BB387" s="351"/>
      <c r="BC387" s="39"/>
      <c r="BD387" s="546" t="s">
        <v>325</v>
      </c>
      <c r="BE387" s="351"/>
      <c r="BF387" s="557"/>
      <c r="BG387" s="350"/>
      <c r="BH387" s="350"/>
      <c r="BI387" s="351"/>
      <c r="BJ387" s="548" t="s">
        <v>294</v>
      </c>
      <c r="BK387" s="350"/>
      <c r="BL387" s="350"/>
      <c r="BM387" s="351"/>
      <c r="BN387" s="530" t="s">
        <v>294</v>
      </c>
      <c r="BO387" s="350"/>
      <c r="BP387" s="350"/>
      <c r="BQ387" s="350"/>
      <c r="BR387" s="350"/>
      <c r="BS387" s="350"/>
      <c r="BT387" s="350"/>
      <c r="BU387" s="350"/>
      <c r="BV387" s="351"/>
    </row>
    <row r="388" spans="1:74" ht="45" customHeight="1">
      <c r="A388" s="24">
        <f t="shared" si="1"/>
        <v>374</v>
      </c>
      <c r="B388" s="558" t="s">
        <v>294</v>
      </c>
      <c r="C388" s="351"/>
      <c r="D388" s="559" t="s">
        <v>298</v>
      </c>
      <c r="E388" s="351"/>
      <c r="F388" s="524" t="s">
        <v>325</v>
      </c>
      <c r="G388" s="351"/>
      <c r="H388" s="525" t="s">
        <v>325</v>
      </c>
      <c r="I388" s="351"/>
      <c r="J388" s="563"/>
      <c r="K388" s="351"/>
      <c r="L388" s="563"/>
      <c r="M388" s="351"/>
      <c r="N388" s="37"/>
      <c r="O388" s="38"/>
      <c r="P388" s="560"/>
      <c r="Q388" s="351"/>
      <c r="R388" s="527"/>
      <c r="S388" s="351"/>
      <c r="T388" s="528"/>
      <c r="U388" s="351"/>
      <c r="V388" s="541"/>
      <c r="W388" s="351"/>
      <c r="X388" s="538" t="s">
        <v>294</v>
      </c>
      <c r="Y388" s="350"/>
      <c r="Z388" s="350"/>
      <c r="AA388" s="351"/>
      <c r="AB388" s="539" t="s">
        <v>294</v>
      </c>
      <c r="AC388" s="350"/>
      <c r="AD388" s="350"/>
      <c r="AE388" s="351"/>
      <c r="AF388" s="544"/>
      <c r="AG388" s="351"/>
      <c r="AH388" s="544"/>
      <c r="AI388" s="351"/>
      <c r="AJ388" s="545"/>
      <c r="AK388" s="351"/>
      <c r="AL388" s="555" t="s">
        <v>325</v>
      </c>
      <c r="AM388" s="351"/>
      <c r="AN388" s="531" t="s">
        <v>325</v>
      </c>
      <c r="AO388" s="351"/>
      <c r="AP388" s="550"/>
      <c r="AQ388" s="351"/>
      <c r="AR388" s="551"/>
      <c r="AS388" s="351"/>
      <c r="AT388" s="534"/>
      <c r="AU388" s="351"/>
      <c r="AV388" s="531" t="s">
        <v>325</v>
      </c>
      <c r="AW388" s="351"/>
      <c r="AX388" s="553"/>
      <c r="AY388" s="350"/>
      <c r="AZ388" s="351"/>
      <c r="BA388" s="554"/>
      <c r="BB388" s="351"/>
      <c r="BC388" s="36"/>
      <c r="BD388" s="556" t="s">
        <v>325</v>
      </c>
      <c r="BE388" s="351"/>
      <c r="BF388" s="547"/>
      <c r="BG388" s="350"/>
      <c r="BH388" s="350"/>
      <c r="BI388" s="351"/>
      <c r="BJ388" s="506" t="s">
        <v>294</v>
      </c>
      <c r="BK388" s="350"/>
      <c r="BL388" s="350"/>
      <c r="BM388" s="351"/>
      <c r="BN388" s="530" t="s">
        <v>294</v>
      </c>
      <c r="BO388" s="350"/>
      <c r="BP388" s="350"/>
      <c r="BQ388" s="350"/>
      <c r="BR388" s="350"/>
      <c r="BS388" s="350"/>
      <c r="BT388" s="350"/>
      <c r="BU388" s="350"/>
      <c r="BV388" s="351"/>
    </row>
    <row r="389" spans="1:74" ht="45" customHeight="1">
      <c r="A389" s="24">
        <f t="shared" si="1"/>
        <v>375</v>
      </c>
      <c r="B389" s="522" t="s">
        <v>294</v>
      </c>
      <c r="C389" s="351"/>
      <c r="D389" s="523" t="s">
        <v>298</v>
      </c>
      <c r="E389" s="351"/>
      <c r="F389" s="524" t="s">
        <v>325</v>
      </c>
      <c r="G389" s="351"/>
      <c r="H389" s="561" t="s">
        <v>325</v>
      </c>
      <c r="I389" s="351"/>
      <c r="J389" s="562"/>
      <c r="K389" s="351"/>
      <c r="L389" s="562"/>
      <c r="M389" s="351"/>
      <c r="N389" s="34"/>
      <c r="O389" s="35"/>
      <c r="P389" s="526"/>
      <c r="Q389" s="351"/>
      <c r="R389" s="535"/>
      <c r="S389" s="351"/>
      <c r="T389" s="536"/>
      <c r="U389" s="351"/>
      <c r="V389" s="537"/>
      <c r="W389" s="351"/>
      <c r="X389" s="542" t="s">
        <v>294</v>
      </c>
      <c r="Y389" s="350"/>
      <c r="Z389" s="350"/>
      <c r="AA389" s="351"/>
      <c r="AB389" s="543" t="s">
        <v>294</v>
      </c>
      <c r="AC389" s="350"/>
      <c r="AD389" s="350"/>
      <c r="AE389" s="351"/>
      <c r="AF389" s="540"/>
      <c r="AG389" s="351"/>
      <c r="AH389" s="540"/>
      <c r="AI389" s="351"/>
      <c r="AJ389" s="532"/>
      <c r="AK389" s="351"/>
      <c r="AL389" s="524" t="s">
        <v>325</v>
      </c>
      <c r="AM389" s="351"/>
      <c r="AN389" s="549" t="s">
        <v>325</v>
      </c>
      <c r="AO389" s="351"/>
      <c r="AP389" s="532"/>
      <c r="AQ389" s="351"/>
      <c r="AR389" s="533"/>
      <c r="AS389" s="351"/>
      <c r="AT389" s="534"/>
      <c r="AU389" s="351"/>
      <c r="AV389" s="549" t="s">
        <v>325</v>
      </c>
      <c r="AW389" s="351"/>
      <c r="AX389" s="553"/>
      <c r="AY389" s="350"/>
      <c r="AZ389" s="351"/>
      <c r="BA389" s="545"/>
      <c r="BB389" s="351"/>
      <c r="BC389" s="39"/>
      <c r="BD389" s="546" t="s">
        <v>325</v>
      </c>
      <c r="BE389" s="351"/>
      <c r="BF389" s="529"/>
      <c r="BG389" s="350"/>
      <c r="BH389" s="350"/>
      <c r="BI389" s="351"/>
      <c r="BJ389" s="548" t="s">
        <v>294</v>
      </c>
      <c r="BK389" s="350"/>
      <c r="BL389" s="350"/>
      <c r="BM389" s="351"/>
      <c r="BN389" s="530" t="s">
        <v>294</v>
      </c>
      <c r="BO389" s="350"/>
      <c r="BP389" s="350"/>
      <c r="BQ389" s="350"/>
      <c r="BR389" s="350"/>
      <c r="BS389" s="350"/>
      <c r="BT389" s="350"/>
      <c r="BU389" s="350"/>
      <c r="BV389" s="351"/>
    </row>
    <row r="390" spans="1:74" ht="45" customHeight="1">
      <c r="A390" s="24">
        <f t="shared" si="1"/>
        <v>376</v>
      </c>
      <c r="B390" s="558" t="s">
        <v>294</v>
      </c>
      <c r="C390" s="351"/>
      <c r="D390" s="559" t="s">
        <v>298</v>
      </c>
      <c r="E390" s="351"/>
      <c r="F390" s="524" t="s">
        <v>325</v>
      </c>
      <c r="G390" s="351"/>
      <c r="H390" s="525" t="s">
        <v>325</v>
      </c>
      <c r="I390" s="351"/>
      <c r="J390" s="563"/>
      <c r="K390" s="351"/>
      <c r="L390" s="563"/>
      <c r="M390" s="351"/>
      <c r="N390" s="37"/>
      <c r="O390" s="38"/>
      <c r="P390" s="560"/>
      <c r="Q390" s="351"/>
      <c r="R390" s="527"/>
      <c r="S390" s="351"/>
      <c r="T390" s="528"/>
      <c r="U390" s="351"/>
      <c r="V390" s="541"/>
      <c r="W390" s="351"/>
      <c r="X390" s="538" t="s">
        <v>294</v>
      </c>
      <c r="Y390" s="350"/>
      <c r="Z390" s="350"/>
      <c r="AA390" s="351"/>
      <c r="AB390" s="539" t="s">
        <v>294</v>
      </c>
      <c r="AC390" s="350"/>
      <c r="AD390" s="350"/>
      <c r="AE390" s="351"/>
      <c r="AF390" s="544"/>
      <c r="AG390" s="351"/>
      <c r="AH390" s="544"/>
      <c r="AI390" s="351"/>
      <c r="AJ390" s="545"/>
      <c r="AK390" s="351"/>
      <c r="AL390" s="555" t="s">
        <v>325</v>
      </c>
      <c r="AM390" s="351"/>
      <c r="AN390" s="531" t="s">
        <v>325</v>
      </c>
      <c r="AO390" s="351"/>
      <c r="AP390" s="550"/>
      <c r="AQ390" s="351"/>
      <c r="AR390" s="551"/>
      <c r="AS390" s="351"/>
      <c r="AT390" s="534"/>
      <c r="AU390" s="351"/>
      <c r="AV390" s="531" t="s">
        <v>325</v>
      </c>
      <c r="AW390" s="351"/>
      <c r="AX390" s="553"/>
      <c r="AY390" s="350"/>
      <c r="AZ390" s="351"/>
      <c r="BA390" s="554"/>
      <c r="BB390" s="351"/>
      <c r="BC390" s="36"/>
      <c r="BD390" s="556" t="s">
        <v>325</v>
      </c>
      <c r="BE390" s="351"/>
      <c r="BF390" s="547"/>
      <c r="BG390" s="350"/>
      <c r="BH390" s="350"/>
      <c r="BI390" s="351"/>
      <c r="BJ390" s="506" t="s">
        <v>294</v>
      </c>
      <c r="BK390" s="350"/>
      <c r="BL390" s="350"/>
      <c r="BM390" s="351"/>
      <c r="BN390" s="530" t="s">
        <v>294</v>
      </c>
      <c r="BO390" s="350"/>
      <c r="BP390" s="350"/>
      <c r="BQ390" s="350"/>
      <c r="BR390" s="350"/>
      <c r="BS390" s="350"/>
      <c r="BT390" s="350"/>
      <c r="BU390" s="350"/>
      <c r="BV390" s="351"/>
    </row>
    <row r="391" spans="1:74" ht="45" customHeight="1">
      <c r="A391" s="24">
        <f t="shared" si="1"/>
        <v>377</v>
      </c>
      <c r="B391" s="522" t="s">
        <v>294</v>
      </c>
      <c r="C391" s="351"/>
      <c r="D391" s="523" t="s">
        <v>298</v>
      </c>
      <c r="E391" s="351"/>
      <c r="F391" s="524" t="s">
        <v>325</v>
      </c>
      <c r="G391" s="351"/>
      <c r="H391" s="561" t="s">
        <v>325</v>
      </c>
      <c r="I391" s="351"/>
      <c r="J391" s="562"/>
      <c r="K391" s="351"/>
      <c r="L391" s="562"/>
      <c r="M391" s="351"/>
      <c r="N391" s="34"/>
      <c r="O391" s="35"/>
      <c r="P391" s="526"/>
      <c r="Q391" s="351"/>
      <c r="R391" s="535"/>
      <c r="S391" s="351"/>
      <c r="T391" s="536"/>
      <c r="U391" s="351"/>
      <c r="V391" s="537"/>
      <c r="W391" s="351"/>
      <c r="X391" s="542" t="s">
        <v>294</v>
      </c>
      <c r="Y391" s="350"/>
      <c r="Z391" s="350"/>
      <c r="AA391" s="351"/>
      <c r="AB391" s="543" t="s">
        <v>294</v>
      </c>
      <c r="AC391" s="350"/>
      <c r="AD391" s="350"/>
      <c r="AE391" s="351"/>
      <c r="AF391" s="540"/>
      <c r="AG391" s="351"/>
      <c r="AH391" s="540"/>
      <c r="AI391" s="351"/>
      <c r="AJ391" s="532"/>
      <c r="AK391" s="351"/>
      <c r="AL391" s="524" t="s">
        <v>325</v>
      </c>
      <c r="AM391" s="351"/>
      <c r="AN391" s="549" t="s">
        <v>325</v>
      </c>
      <c r="AO391" s="351"/>
      <c r="AP391" s="532"/>
      <c r="AQ391" s="351"/>
      <c r="AR391" s="533"/>
      <c r="AS391" s="351"/>
      <c r="AT391" s="534"/>
      <c r="AU391" s="351"/>
      <c r="AV391" s="549" t="s">
        <v>325</v>
      </c>
      <c r="AW391" s="351"/>
      <c r="AX391" s="553"/>
      <c r="AY391" s="350"/>
      <c r="AZ391" s="351"/>
      <c r="BA391" s="545"/>
      <c r="BB391" s="351"/>
      <c r="BC391" s="39"/>
      <c r="BD391" s="546" t="s">
        <v>325</v>
      </c>
      <c r="BE391" s="351"/>
      <c r="BF391" s="557"/>
      <c r="BG391" s="350"/>
      <c r="BH391" s="350"/>
      <c r="BI391" s="351"/>
      <c r="BJ391" s="548" t="s">
        <v>294</v>
      </c>
      <c r="BK391" s="350"/>
      <c r="BL391" s="350"/>
      <c r="BM391" s="351"/>
      <c r="BN391" s="530" t="s">
        <v>294</v>
      </c>
      <c r="BO391" s="350"/>
      <c r="BP391" s="350"/>
      <c r="BQ391" s="350"/>
      <c r="BR391" s="350"/>
      <c r="BS391" s="350"/>
      <c r="BT391" s="350"/>
      <c r="BU391" s="350"/>
      <c r="BV391" s="351"/>
    </row>
    <row r="392" spans="1:74" ht="45" customHeight="1">
      <c r="A392" s="24">
        <f t="shared" si="1"/>
        <v>378</v>
      </c>
      <c r="B392" s="558" t="s">
        <v>294</v>
      </c>
      <c r="C392" s="351"/>
      <c r="D392" s="559" t="s">
        <v>298</v>
      </c>
      <c r="E392" s="351"/>
      <c r="F392" s="524" t="s">
        <v>325</v>
      </c>
      <c r="G392" s="351"/>
      <c r="H392" s="525" t="s">
        <v>325</v>
      </c>
      <c r="I392" s="351"/>
      <c r="J392" s="563"/>
      <c r="K392" s="351"/>
      <c r="L392" s="563"/>
      <c r="M392" s="351"/>
      <c r="N392" s="37"/>
      <c r="O392" s="38"/>
      <c r="P392" s="560"/>
      <c r="Q392" s="351"/>
      <c r="R392" s="527"/>
      <c r="S392" s="351"/>
      <c r="T392" s="528"/>
      <c r="U392" s="351"/>
      <c r="V392" s="541"/>
      <c r="W392" s="351"/>
      <c r="X392" s="538" t="s">
        <v>294</v>
      </c>
      <c r="Y392" s="350"/>
      <c r="Z392" s="350"/>
      <c r="AA392" s="351"/>
      <c r="AB392" s="539" t="s">
        <v>294</v>
      </c>
      <c r="AC392" s="350"/>
      <c r="AD392" s="350"/>
      <c r="AE392" s="351"/>
      <c r="AF392" s="544"/>
      <c r="AG392" s="351"/>
      <c r="AH392" s="544"/>
      <c r="AI392" s="351"/>
      <c r="AJ392" s="545"/>
      <c r="AK392" s="351"/>
      <c r="AL392" s="555" t="s">
        <v>325</v>
      </c>
      <c r="AM392" s="351"/>
      <c r="AN392" s="531" t="s">
        <v>325</v>
      </c>
      <c r="AO392" s="351"/>
      <c r="AP392" s="550"/>
      <c r="AQ392" s="351"/>
      <c r="AR392" s="551"/>
      <c r="AS392" s="351"/>
      <c r="AT392" s="534"/>
      <c r="AU392" s="351"/>
      <c r="AV392" s="531" t="s">
        <v>325</v>
      </c>
      <c r="AW392" s="351"/>
      <c r="AX392" s="553"/>
      <c r="AY392" s="350"/>
      <c r="AZ392" s="351"/>
      <c r="BA392" s="554"/>
      <c r="BB392" s="351"/>
      <c r="BC392" s="36"/>
      <c r="BD392" s="556" t="s">
        <v>325</v>
      </c>
      <c r="BE392" s="351"/>
      <c r="BF392" s="547"/>
      <c r="BG392" s="350"/>
      <c r="BH392" s="350"/>
      <c r="BI392" s="351"/>
      <c r="BJ392" s="506" t="s">
        <v>294</v>
      </c>
      <c r="BK392" s="350"/>
      <c r="BL392" s="350"/>
      <c r="BM392" s="351"/>
      <c r="BN392" s="530" t="s">
        <v>294</v>
      </c>
      <c r="BO392" s="350"/>
      <c r="BP392" s="350"/>
      <c r="BQ392" s="350"/>
      <c r="BR392" s="350"/>
      <c r="BS392" s="350"/>
      <c r="BT392" s="350"/>
      <c r="BU392" s="350"/>
      <c r="BV392" s="351"/>
    </row>
    <row r="393" spans="1:74" ht="45" customHeight="1">
      <c r="A393" s="24">
        <f t="shared" si="1"/>
        <v>379</v>
      </c>
      <c r="B393" s="522" t="s">
        <v>294</v>
      </c>
      <c r="C393" s="351"/>
      <c r="D393" s="523" t="s">
        <v>298</v>
      </c>
      <c r="E393" s="351"/>
      <c r="F393" s="524" t="s">
        <v>325</v>
      </c>
      <c r="G393" s="351"/>
      <c r="H393" s="561" t="s">
        <v>325</v>
      </c>
      <c r="I393" s="351"/>
      <c r="J393" s="562"/>
      <c r="K393" s="351"/>
      <c r="L393" s="562"/>
      <c r="M393" s="351"/>
      <c r="N393" s="34"/>
      <c r="O393" s="35"/>
      <c r="P393" s="526"/>
      <c r="Q393" s="351"/>
      <c r="R393" s="535"/>
      <c r="S393" s="351"/>
      <c r="T393" s="536"/>
      <c r="U393" s="351"/>
      <c r="V393" s="537"/>
      <c r="W393" s="351"/>
      <c r="X393" s="542" t="s">
        <v>294</v>
      </c>
      <c r="Y393" s="350"/>
      <c r="Z393" s="350"/>
      <c r="AA393" s="351"/>
      <c r="AB393" s="543" t="s">
        <v>294</v>
      </c>
      <c r="AC393" s="350"/>
      <c r="AD393" s="350"/>
      <c r="AE393" s="351"/>
      <c r="AF393" s="540"/>
      <c r="AG393" s="351"/>
      <c r="AH393" s="540"/>
      <c r="AI393" s="351"/>
      <c r="AJ393" s="532"/>
      <c r="AK393" s="351"/>
      <c r="AL393" s="524" t="s">
        <v>325</v>
      </c>
      <c r="AM393" s="351"/>
      <c r="AN393" s="549" t="s">
        <v>325</v>
      </c>
      <c r="AO393" s="351"/>
      <c r="AP393" s="532"/>
      <c r="AQ393" s="351"/>
      <c r="AR393" s="533"/>
      <c r="AS393" s="351"/>
      <c r="AT393" s="534"/>
      <c r="AU393" s="351"/>
      <c r="AV393" s="549" t="s">
        <v>325</v>
      </c>
      <c r="AW393" s="351"/>
      <c r="AX393" s="553"/>
      <c r="AY393" s="350"/>
      <c r="AZ393" s="351"/>
      <c r="BA393" s="545"/>
      <c r="BB393" s="351"/>
      <c r="BC393" s="39"/>
      <c r="BD393" s="546" t="s">
        <v>325</v>
      </c>
      <c r="BE393" s="351"/>
      <c r="BF393" s="529"/>
      <c r="BG393" s="350"/>
      <c r="BH393" s="350"/>
      <c r="BI393" s="351"/>
      <c r="BJ393" s="548" t="s">
        <v>294</v>
      </c>
      <c r="BK393" s="350"/>
      <c r="BL393" s="350"/>
      <c r="BM393" s="351"/>
      <c r="BN393" s="530" t="s">
        <v>294</v>
      </c>
      <c r="BO393" s="350"/>
      <c r="BP393" s="350"/>
      <c r="BQ393" s="350"/>
      <c r="BR393" s="350"/>
      <c r="BS393" s="350"/>
      <c r="BT393" s="350"/>
      <c r="BU393" s="350"/>
      <c r="BV393" s="351"/>
    </row>
    <row r="394" spans="1:74" ht="45" customHeight="1">
      <c r="A394" s="24">
        <f t="shared" si="1"/>
        <v>380</v>
      </c>
      <c r="B394" s="558" t="s">
        <v>294</v>
      </c>
      <c r="C394" s="351"/>
      <c r="D394" s="559" t="s">
        <v>298</v>
      </c>
      <c r="E394" s="351"/>
      <c r="F394" s="524" t="s">
        <v>325</v>
      </c>
      <c r="G394" s="351"/>
      <c r="H394" s="525" t="s">
        <v>325</v>
      </c>
      <c r="I394" s="351"/>
      <c r="J394" s="563"/>
      <c r="K394" s="351"/>
      <c r="L394" s="563"/>
      <c r="M394" s="351"/>
      <c r="N394" s="37"/>
      <c r="O394" s="38"/>
      <c r="P394" s="560"/>
      <c r="Q394" s="351"/>
      <c r="R394" s="527"/>
      <c r="S394" s="351"/>
      <c r="T394" s="528"/>
      <c r="U394" s="351"/>
      <c r="V394" s="541"/>
      <c r="W394" s="351"/>
      <c r="X394" s="538" t="s">
        <v>294</v>
      </c>
      <c r="Y394" s="350"/>
      <c r="Z394" s="350"/>
      <c r="AA394" s="351"/>
      <c r="AB394" s="539" t="s">
        <v>294</v>
      </c>
      <c r="AC394" s="350"/>
      <c r="AD394" s="350"/>
      <c r="AE394" s="351"/>
      <c r="AF394" s="544"/>
      <c r="AG394" s="351"/>
      <c r="AH394" s="544"/>
      <c r="AI394" s="351"/>
      <c r="AJ394" s="545"/>
      <c r="AK394" s="351"/>
      <c r="AL394" s="555" t="s">
        <v>325</v>
      </c>
      <c r="AM394" s="351"/>
      <c r="AN394" s="531" t="s">
        <v>325</v>
      </c>
      <c r="AO394" s="351"/>
      <c r="AP394" s="550"/>
      <c r="AQ394" s="351"/>
      <c r="AR394" s="551"/>
      <c r="AS394" s="351"/>
      <c r="AT394" s="534"/>
      <c r="AU394" s="351"/>
      <c r="AV394" s="531" t="s">
        <v>325</v>
      </c>
      <c r="AW394" s="351"/>
      <c r="AX394" s="553"/>
      <c r="AY394" s="350"/>
      <c r="AZ394" s="351"/>
      <c r="BA394" s="554"/>
      <c r="BB394" s="351"/>
      <c r="BC394" s="36"/>
      <c r="BD394" s="556" t="s">
        <v>325</v>
      </c>
      <c r="BE394" s="351"/>
      <c r="BF394" s="547"/>
      <c r="BG394" s="350"/>
      <c r="BH394" s="350"/>
      <c r="BI394" s="351"/>
      <c r="BJ394" s="506" t="s">
        <v>294</v>
      </c>
      <c r="BK394" s="350"/>
      <c r="BL394" s="350"/>
      <c r="BM394" s="351"/>
      <c r="BN394" s="530" t="s">
        <v>294</v>
      </c>
      <c r="BO394" s="350"/>
      <c r="BP394" s="350"/>
      <c r="BQ394" s="350"/>
      <c r="BR394" s="350"/>
      <c r="BS394" s="350"/>
      <c r="BT394" s="350"/>
      <c r="BU394" s="350"/>
      <c r="BV394" s="351"/>
    </row>
    <row r="395" spans="1:74" ht="45" customHeight="1">
      <c r="A395" s="24">
        <f t="shared" si="1"/>
        <v>381</v>
      </c>
      <c r="B395" s="522" t="s">
        <v>294</v>
      </c>
      <c r="C395" s="351"/>
      <c r="D395" s="523" t="s">
        <v>298</v>
      </c>
      <c r="E395" s="351"/>
      <c r="F395" s="524" t="s">
        <v>325</v>
      </c>
      <c r="G395" s="351"/>
      <c r="H395" s="561" t="s">
        <v>325</v>
      </c>
      <c r="I395" s="351"/>
      <c r="J395" s="562"/>
      <c r="K395" s="351"/>
      <c r="L395" s="562"/>
      <c r="M395" s="351"/>
      <c r="N395" s="34"/>
      <c r="O395" s="35"/>
      <c r="P395" s="526"/>
      <c r="Q395" s="351"/>
      <c r="R395" s="535"/>
      <c r="S395" s="351"/>
      <c r="T395" s="536"/>
      <c r="U395" s="351"/>
      <c r="V395" s="537"/>
      <c r="W395" s="351"/>
      <c r="X395" s="542" t="s">
        <v>294</v>
      </c>
      <c r="Y395" s="350"/>
      <c r="Z395" s="350"/>
      <c r="AA395" s="351"/>
      <c r="AB395" s="543" t="s">
        <v>294</v>
      </c>
      <c r="AC395" s="350"/>
      <c r="AD395" s="350"/>
      <c r="AE395" s="351"/>
      <c r="AF395" s="540"/>
      <c r="AG395" s="351"/>
      <c r="AH395" s="540"/>
      <c r="AI395" s="351"/>
      <c r="AJ395" s="532"/>
      <c r="AK395" s="351"/>
      <c r="AL395" s="524" t="s">
        <v>325</v>
      </c>
      <c r="AM395" s="351"/>
      <c r="AN395" s="549" t="s">
        <v>325</v>
      </c>
      <c r="AO395" s="351"/>
      <c r="AP395" s="532"/>
      <c r="AQ395" s="351"/>
      <c r="AR395" s="533"/>
      <c r="AS395" s="351"/>
      <c r="AT395" s="534"/>
      <c r="AU395" s="351"/>
      <c r="AV395" s="549" t="s">
        <v>325</v>
      </c>
      <c r="AW395" s="351"/>
      <c r="AX395" s="553"/>
      <c r="AY395" s="350"/>
      <c r="AZ395" s="351"/>
      <c r="BA395" s="545"/>
      <c r="BB395" s="351"/>
      <c r="BC395" s="39"/>
      <c r="BD395" s="546" t="s">
        <v>325</v>
      </c>
      <c r="BE395" s="351"/>
      <c r="BF395" s="529"/>
      <c r="BG395" s="350"/>
      <c r="BH395" s="350"/>
      <c r="BI395" s="351"/>
      <c r="BJ395" s="548" t="s">
        <v>294</v>
      </c>
      <c r="BK395" s="350"/>
      <c r="BL395" s="350"/>
      <c r="BM395" s="351"/>
      <c r="BN395" s="530" t="s">
        <v>294</v>
      </c>
      <c r="BO395" s="350"/>
      <c r="BP395" s="350"/>
      <c r="BQ395" s="350"/>
      <c r="BR395" s="350"/>
      <c r="BS395" s="350"/>
      <c r="BT395" s="350"/>
      <c r="BU395" s="350"/>
      <c r="BV395" s="351"/>
    </row>
    <row r="396" spans="1:74" ht="45" customHeight="1">
      <c r="A396" s="24">
        <f t="shared" si="1"/>
        <v>382</v>
      </c>
      <c r="B396" s="558" t="s">
        <v>294</v>
      </c>
      <c r="C396" s="351"/>
      <c r="D396" s="559" t="s">
        <v>298</v>
      </c>
      <c r="E396" s="351"/>
      <c r="F396" s="524" t="s">
        <v>325</v>
      </c>
      <c r="G396" s="351"/>
      <c r="H396" s="525" t="s">
        <v>325</v>
      </c>
      <c r="I396" s="351"/>
      <c r="J396" s="563"/>
      <c r="K396" s="351"/>
      <c r="L396" s="563"/>
      <c r="M396" s="351"/>
      <c r="N396" s="37"/>
      <c r="O396" s="38"/>
      <c r="P396" s="560"/>
      <c r="Q396" s="351"/>
      <c r="R396" s="527"/>
      <c r="S396" s="351"/>
      <c r="T396" s="528"/>
      <c r="U396" s="351"/>
      <c r="V396" s="541"/>
      <c r="W396" s="351"/>
      <c r="X396" s="538" t="s">
        <v>294</v>
      </c>
      <c r="Y396" s="350"/>
      <c r="Z396" s="350"/>
      <c r="AA396" s="351"/>
      <c r="AB396" s="539" t="s">
        <v>294</v>
      </c>
      <c r="AC396" s="350"/>
      <c r="AD396" s="350"/>
      <c r="AE396" s="351"/>
      <c r="AF396" s="544"/>
      <c r="AG396" s="351"/>
      <c r="AH396" s="544"/>
      <c r="AI396" s="351"/>
      <c r="AJ396" s="545"/>
      <c r="AK396" s="351"/>
      <c r="AL396" s="555" t="s">
        <v>325</v>
      </c>
      <c r="AM396" s="351"/>
      <c r="AN396" s="531" t="s">
        <v>325</v>
      </c>
      <c r="AO396" s="351"/>
      <c r="AP396" s="550"/>
      <c r="AQ396" s="351"/>
      <c r="AR396" s="551"/>
      <c r="AS396" s="351"/>
      <c r="AT396" s="534"/>
      <c r="AU396" s="351"/>
      <c r="AV396" s="531" t="s">
        <v>325</v>
      </c>
      <c r="AW396" s="351"/>
      <c r="AX396" s="553"/>
      <c r="AY396" s="350"/>
      <c r="AZ396" s="351"/>
      <c r="BA396" s="554"/>
      <c r="BB396" s="351"/>
      <c r="BC396" s="36"/>
      <c r="BD396" s="556" t="s">
        <v>325</v>
      </c>
      <c r="BE396" s="351"/>
      <c r="BF396" s="547"/>
      <c r="BG396" s="350"/>
      <c r="BH396" s="350"/>
      <c r="BI396" s="351"/>
      <c r="BJ396" s="506" t="s">
        <v>294</v>
      </c>
      <c r="BK396" s="350"/>
      <c r="BL396" s="350"/>
      <c r="BM396" s="351"/>
      <c r="BN396" s="530" t="s">
        <v>294</v>
      </c>
      <c r="BO396" s="350"/>
      <c r="BP396" s="350"/>
      <c r="BQ396" s="350"/>
      <c r="BR396" s="350"/>
      <c r="BS396" s="350"/>
      <c r="BT396" s="350"/>
      <c r="BU396" s="350"/>
      <c r="BV396" s="351"/>
    </row>
    <row r="397" spans="1:74" ht="45" customHeight="1">
      <c r="A397" s="24">
        <f t="shared" si="1"/>
        <v>383</v>
      </c>
      <c r="B397" s="522" t="s">
        <v>294</v>
      </c>
      <c r="C397" s="351"/>
      <c r="D397" s="523" t="s">
        <v>298</v>
      </c>
      <c r="E397" s="351"/>
      <c r="F397" s="524" t="s">
        <v>325</v>
      </c>
      <c r="G397" s="351"/>
      <c r="H397" s="561" t="s">
        <v>325</v>
      </c>
      <c r="I397" s="351"/>
      <c r="J397" s="562"/>
      <c r="K397" s="351"/>
      <c r="L397" s="562"/>
      <c r="M397" s="351"/>
      <c r="N397" s="34"/>
      <c r="O397" s="35"/>
      <c r="P397" s="526"/>
      <c r="Q397" s="351"/>
      <c r="R397" s="535"/>
      <c r="S397" s="351"/>
      <c r="T397" s="536"/>
      <c r="U397" s="351"/>
      <c r="V397" s="537"/>
      <c r="W397" s="351"/>
      <c r="X397" s="542" t="s">
        <v>294</v>
      </c>
      <c r="Y397" s="350"/>
      <c r="Z397" s="350"/>
      <c r="AA397" s="351"/>
      <c r="AB397" s="543" t="s">
        <v>294</v>
      </c>
      <c r="AC397" s="350"/>
      <c r="AD397" s="350"/>
      <c r="AE397" s="351"/>
      <c r="AF397" s="540"/>
      <c r="AG397" s="351"/>
      <c r="AH397" s="540"/>
      <c r="AI397" s="351"/>
      <c r="AJ397" s="532"/>
      <c r="AK397" s="351"/>
      <c r="AL397" s="524" t="s">
        <v>325</v>
      </c>
      <c r="AM397" s="351"/>
      <c r="AN397" s="549" t="s">
        <v>325</v>
      </c>
      <c r="AO397" s="351"/>
      <c r="AP397" s="532"/>
      <c r="AQ397" s="351"/>
      <c r="AR397" s="533"/>
      <c r="AS397" s="351"/>
      <c r="AT397" s="534"/>
      <c r="AU397" s="351"/>
      <c r="AV397" s="549" t="s">
        <v>325</v>
      </c>
      <c r="AW397" s="351"/>
      <c r="AX397" s="553"/>
      <c r="AY397" s="350"/>
      <c r="AZ397" s="351"/>
      <c r="BA397" s="545"/>
      <c r="BB397" s="351"/>
      <c r="BC397" s="39"/>
      <c r="BD397" s="546" t="s">
        <v>325</v>
      </c>
      <c r="BE397" s="351"/>
      <c r="BF397" s="557"/>
      <c r="BG397" s="350"/>
      <c r="BH397" s="350"/>
      <c r="BI397" s="351"/>
      <c r="BJ397" s="548" t="s">
        <v>294</v>
      </c>
      <c r="BK397" s="350"/>
      <c r="BL397" s="350"/>
      <c r="BM397" s="351"/>
      <c r="BN397" s="530" t="s">
        <v>294</v>
      </c>
      <c r="BO397" s="350"/>
      <c r="BP397" s="350"/>
      <c r="BQ397" s="350"/>
      <c r="BR397" s="350"/>
      <c r="BS397" s="350"/>
      <c r="BT397" s="350"/>
      <c r="BU397" s="350"/>
      <c r="BV397" s="351"/>
    </row>
    <row r="398" spans="1:74" ht="45" customHeight="1">
      <c r="A398" s="24">
        <f t="shared" si="1"/>
        <v>384</v>
      </c>
      <c r="B398" s="558" t="s">
        <v>294</v>
      </c>
      <c r="C398" s="351"/>
      <c r="D398" s="559" t="s">
        <v>298</v>
      </c>
      <c r="E398" s="351"/>
      <c r="F398" s="524" t="s">
        <v>325</v>
      </c>
      <c r="G398" s="351"/>
      <c r="H398" s="525" t="s">
        <v>325</v>
      </c>
      <c r="I398" s="351"/>
      <c r="J398" s="563"/>
      <c r="K398" s="351"/>
      <c r="L398" s="563"/>
      <c r="M398" s="351"/>
      <c r="N398" s="37"/>
      <c r="O398" s="38"/>
      <c r="P398" s="560"/>
      <c r="Q398" s="351"/>
      <c r="R398" s="527"/>
      <c r="S398" s="351"/>
      <c r="T398" s="528"/>
      <c r="U398" s="351"/>
      <c r="V398" s="541"/>
      <c r="W398" s="351"/>
      <c r="X398" s="538" t="s">
        <v>294</v>
      </c>
      <c r="Y398" s="350"/>
      <c r="Z398" s="350"/>
      <c r="AA398" s="351"/>
      <c r="AB398" s="539" t="s">
        <v>294</v>
      </c>
      <c r="AC398" s="350"/>
      <c r="AD398" s="350"/>
      <c r="AE398" s="351"/>
      <c r="AF398" s="544"/>
      <c r="AG398" s="351"/>
      <c r="AH398" s="544"/>
      <c r="AI398" s="351"/>
      <c r="AJ398" s="545"/>
      <c r="AK398" s="351"/>
      <c r="AL398" s="555" t="s">
        <v>325</v>
      </c>
      <c r="AM398" s="351"/>
      <c r="AN398" s="531" t="s">
        <v>325</v>
      </c>
      <c r="AO398" s="351"/>
      <c r="AP398" s="550"/>
      <c r="AQ398" s="351"/>
      <c r="AR398" s="551"/>
      <c r="AS398" s="351"/>
      <c r="AT398" s="534"/>
      <c r="AU398" s="351"/>
      <c r="AV398" s="531" t="s">
        <v>325</v>
      </c>
      <c r="AW398" s="351"/>
      <c r="AX398" s="553"/>
      <c r="AY398" s="350"/>
      <c r="AZ398" s="351"/>
      <c r="BA398" s="554"/>
      <c r="BB398" s="351"/>
      <c r="BC398" s="36"/>
      <c r="BD398" s="556" t="s">
        <v>325</v>
      </c>
      <c r="BE398" s="351"/>
      <c r="BF398" s="547"/>
      <c r="BG398" s="350"/>
      <c r="BH398" s="350"/>
      <c r="BI398" s="351"/>
      <c r="BJ398" s="506" t="s">
        <v>294</v>
      </c>
      <c r="BK398" s="350"/>
      <c r="BL398" s="350"/>
      <c r="BM398" s="351"/>
      <c r="BN398" s="530" t="s">
        <v>294</v>
      </c>
      <c r="BO398" s="350"/>
      <c r="BP398" s="350"/>
      <c r="BQ398" s="350"/>
      <c r="BR398" s="350"/>
      <c r="BS398" s="350"/>
      <c r="BT398" s="350"/>
      <c r="BU398" s="350"/>
      <c r="BV398" s="351"/>
    </row>
    <row r="399" spans="1:74" ht="45" customHeight="1">
      <c r="A399" s="24">
        <f t="shared" si="1"/>
        <v>385</v>
      </c>
      <c r="B399" s="522" t="s">
        <v>294</v>
      </c>
      <c r="C399" s="351"/>
      <c r="D399" s="523" t="s">
        <v>298</v>
      </c>
      <c r="E399" s="351"/>
      <c r="F399" s="524" t="s">
        <v>325</v>
      </c>
      <c r="G399" s="351"/>
      <c r="H399" s="561" t="s">
        <v>325</v>
      </c>
      <c r="I399" s="351"/>
      <c r="J399" s="562"/>
      <c r="K399" s="351"/>
      <c r="L399" s="562"/>
      <c r="M399" s="351"/>
      <c r="N399" s="34"/>
      <c r="O399" s="35"/>
      <c r="P399" s="526"/>
      <c r="Q399" s="351"/>
      <c r="R399" s="535"/>
      <c r="S399" s="351"/>
      <c r="T399" s="536"/>
      <c r="U399" s="351"/>
      <c r="V399" s="537"/>
      <c r="W399" s="351"/>
      <c r="X399" s="542" t="s">
        <v>294</v>
      </c>
      <c r="Y399" s="350"/>
      <c r="Z399" s="350"/>
      <c r="AA399" s="351"/>
      <c r="AB399" s="543" t="s">
        <v>294</v>
      </c>
      <c r="AC399" s="350"/>
      <c r="AD399" s="350"/>
      <c r="AE399" s="351"/>
      <c r="AF399" s="540"/>
      <c r="AG399" s="351"/>
      <c r="AH399" s="540"/>
      <c r="AI399" s="351"/>
      <c r="AJ399" s="532"/>
      <c r="AK399" s="351"/>
      <c r="AL399" s="524" t="s">
        <v>325</v>
      </c>
      <c r="AM399" s="351"/>
      <c r="AN399" s="549" t="s">
        <v>325</v>
      </c>
      <c r="AO399" s="351"/>
      <c r="AP399" s="532"/>
      <c r="AQ399" s="351"/>
      <c r="AR399" s="533"/>
      <c r="AS399" s="351"/>
      <c r="AT399" s="534"/>
      <c r="AU399" s="351"/>
      <c r="AV399" s="549" t="s">
        <v>325</v>
      </c>
      <c r="AW399" s="351"/>
      <c r="AX399" s="553"/>
      <c r="AY399" s="350"/>
      <c r="AZ399" s="351"/>
      <c r="BA399" s="545"/>
      <c r="BB399" s="351"/>
      <c r="BC399" s="39"/>
      <c r="BD399" s="546" t="s">
        <v>325</v>
      </c>
      <c r="BE399" s="351"/>
      <c r="BF399" s="529"/>
      <c r="BG399" s="350"/>
      <c r="BH399" s="350"/>
      <c r="BI399" s="351"/>
      <c r="BJ399" s="548" t="s">
        <v>294</v>
      </c>
      <c r="BK399" s="350"/>
      <c r="BL399" s="350"/>
      <c r="BM399" s="351"/>
      <c r="BN399" s="530" t="s">
        <v>294</v>
      </c>
      <c r="BO399" s="350"/>
      <c r="BP399" s="350"/>
      <c r="BQ399" s="350"/>
      <c r="BR399" s="350"/>
      <c r="BS399" s="350"/>
      <c r="BT399" s="350"/>
      <c r="BU399" s="350"/>
      <c r="BV399" s="351"/>
    </row>
    <row r="400" spans="1:74" ht="45" customHeight="1">
      <c r="A400" s="24">
        <f t="shared" si="1"/>
        <v>386</v>
      </c>
      <c r="B400" s="558" t="s">
        <v>294</v>
      </c>
      <c r="C400" s="351"/>
      <c r="D400" s="559" t="s">
        <v>298</v>
      </c>
      <c r="E400" s="351"/>
      <c r="F400" s="524" t="s">
        <v>325</v>
      </c>
      <c r="G400" s="351"/>
      <c r="H400" s="525" t="s">
        <v>325</v>
      </c>
      <c r="I400" s="351"/>
      <c r="J400" s="563"/>
      <c r="K400" s="351"/>
      <c r="L400" s="563"/>
      <c r="M400" s="351"/>
      <c r="N400" s="37"/>
      <c r="O400" s="38"/>
      <c r="P400" s="560"/>
      <c r="Q400" s="351"/>
      <c r="R400" s="527"/>
      <c r="S400" s="351"/>
      <c r="T400" s="528"/>
      <c r="U400" s="351"/>
      <c r="V400" s="541"/>
      <c r="W400" s="351"/>
      <c r="X400" s="538" t="s">
        <v>294</v>
      </c>
      <c r="Y400" s="350"/>
      <c r="Z400" s="350"/>
      <c r="AA400" s="351"/>
      <c r="AB400" s="539" t="s">
        <v>294</v>
      </c>
      <c r="AC400" s="350"/>
      <c r="AD400" s="350"/>
      <c r="AE400" s="351"/>
      <c r="AF400" s="544"/>
      <c r="AG400" s="351"/>
      <c r="AH400" s="544"/>
      <c r="AI400" s="351"/>
      <c r="AJ400" s="545"/>
      <c r="AK400" s="351"/>
      <c r="AL400" s="555" t="s">
        <v>325</v>
      </c>
      <c r="AM400" s="351"/>
      <c r="AN400" s="531" t="s">
        <v>325</v>
      </c>
      <c r="AO400" s="351"/>
      <c r="AP400" s="550"/>
      <c r="AQ400" s="351"/>
      <c r="AR400" s="551"/>
      <c r="AS400" s="351"/>
      <c r="AT400" s="534"/>
      <c r="AU400" s="351"/>
      <c r="AV400" s="531" t="s">
        <v>325</v>
      </c>
      <c r="AW400" s="351"/>
      <c r="AX400" s="553"/>
      <c r="AY400" s="350"/>
      <c r="AZ400" s="351"/>
      <c r="BA400" s="554"/>
      <c r="BB400" s="351"/>
      <c r="BC400" s="36"/>
      <c r="BD400" s="556" t="s">
        <v>325</v>
      </c>
      <c r="BE400" s="351"/>
      <c r="BF400" s="547"/>
      <c r="BG400" s="350"/>
      <c r="BH400" s="350"/>
      <c r="BI400" s="351"/>
      <c r="BJ400" s="506" t="s">
        <v>294</v>
      </c>
      <c r="BK400" s="350"/>
      <c r="BL400" s="350"/>
      <c r="BM400" s="351"/>
      <c r="BN400" s="530" t="s">
        <v>294</v>
      </c>
      <c r="BO400" s="350"/>
      <c r="BP400" s="350"/>
      <c r="BQ400" s="350"/>
      <c r="BR400" s="350"/>
      <c r="BS400" s="350"/>
      <c r="BT400" s="350"/>
      <c r="BU400" s="350"/>
      <c r="BV400" s="351"/>
    </row>
    <row r="401" spans="1:74" ht="45" customHeight="1">
      <c r="A401" s="24">
        <f t="shared" si="1"/>
        <v>387</v>
      </c>
      <c r="B401" s="522" t="s">
        <v>294</v>
      </c>
      <c r="C401" s="351"/>
      <c r="D401" s="523" t="s">
        <v>298</v>
      </c>
      <c r="E401" s="351"/>
      <c r="F401" s="524" t="s">
        <v>325</v>
      </c>
      <c r="G401" s="351"/>
      <c r="H401" s="561" t="s">
        <v>325</v>
      </c>
      <c r="I401" s="351"/>
      <c r="J401" s="562"/>
      <c r="K401" s="351"/>
      <c r="L401" s="562"/>
      <c r="M401" s="351"/>
      <c r="N401" s="34"/>
      <c r="O401" s="35"/>
      <c r="P401" s="526"/>
      <c r="Q401" s="351"/>
      <c r="R401" s="535"/>
      <c r="S401" s="351"/>
      <c r="T401" s="536"/>
      <c r="U401" s="351"/>
      <c r="V401" s="537"/>
      <c r="W401" s="351"/>
      <c r="X401" s="542" t="s">
        <v>294</v>
      </c>
      <c r="Y401" s="350"/>
      <c r="Z401" s="350"/>
      <c r="AA401" s="351"/>
      <c r="AB401" s="543" t="s">
        <v>294</v>
      </c>
      <c r="AC401" s="350"/>
      <c r="AD401" s="350"/>
      <c r="AE401" s="351"/>
      <c r="AF401" s="540"/>
      <c r="AG401" s="351"/>
      <c r="AH401" s="540"/>
      <c r="AI401" s="351"/>
      <c r="AJ401" s="532"/>
      <c r="AK401" s="351"/>
      <c r="AL401" s="524" t="s">
        <v>325</v>
      </c>
      <c r="AM401" s="351"/>
      <c r="AN401" s="549" t="s">
        <v>325</v>
      </c>
      <c r="AO401" s="351"/>
      <c r="AP401" s="532"/>
      <c r="AQ401" s="351"/>
      <c r="AR401" s="533"/>
      <c r="AS401" s="351"/>
      <c r="AT401" s="534"/>
      <c r="AU401" s="351"/>
      <c r="AV401" s="549" t="s">
        <v>325</v>
      </c>
      <c r="AW401" s="351"/>
      <c r="AX401" s="553"/>
      <c r="AY401" s="350"/>
      <c r="AZ401" s="351"/>
      <c r="BA401" s="545"/>
      <c r="BB401" s="351"/>
      <c r="BC401" s="39"/>
      <c r="BD401" s="546" t="s">
        <v>325</v>
      </c>
      <c r="BE401" s="351"/>
      <c r="BF401" s="557"/>
      <c r="BG401" s="350"/>
      <c r="BH401" s="350"/>
      <c r="BI401" s="351"/>
      <c r="BJ401" s="548" t="s">
        <v>294</v>
      </c>
      <c r="BK401" s="350"/>
      <c r="BL401" s="350"/>
      <c r="BM401" s="351"/>
      <c r="BN401" s="530" t="s">
        <v>294</v>
      </c>
      <c r="BO401" s="350"/>
      <c r="BP401" s="350"/>
      <c r="BQ401" s="350"/>
      <c r="BR401" s="350"/>
      <c r="BS401" s="350"/>
      <c r="BT401" s="350"/>
      <c r="BU401" s="350"/>
      <c r="BV401" s="351"/>
    </row>
    <row r="402" spans="1:74" ht="45" customHeight="1">
      <c r="A402" s="24">
        <f t="shared" si="1"/>
        <v>388</v>
      </c>
      <c r="B402" s="558" t="s">
        <v>294</v>
      </c>
      <c r="C402" s="351"/>
      <c r="D402" s="559" t="s">
        <v>298</v>
      </c>
      <c r="E402" s="351"/>
      <c r="F402" s="524" t="s">
        <v>325</v>
      </c>
      <c r="G402" s="351"/>
      <c r="H402" s="525" t="s">
        <v>325</v>
      </c>
      <c r="I402" s="351"/>
      <c r="J402" s="563"/>
      <c r="K402" s="351"/>
      <c r="L402" s="563"/>
      <c r="M402" s="351"/>
      <c r="N402" s="37"/>
      <c r="O402" s="38"/>
      <c r="P402" s="560"/>
      <c r="Q402" s="351"/>
      <c r="R402" s="527"/>
      <c r="S402" s="351"/>
      <c r="T402" s="528"/>
      <c r="U402" s="351"/>
      <c r="V402" s="541"/>
      <c r="W402" s="351"/>
      <c r="X402" s="538" t="s">
        <v>294</v>
      </c>
      <c r="Y402" s="350"/>
      <c r="Z402" s="350"/>
      <c r="AA402" s="351"/>
      <c r="AB402" s="539" t="s">
        <v>294</v>
      </c>
      <c r="AC402" s="350"/>
      <c r="AD402" s="350"/>
      <c r="AE402" s="351"/>
      <c r="AF402" s="544"/>
      <c r="AG402" s="351"/>
      <c r="AH402" s="544"/>
      <c r="AI402" s="351"/>
      <c r="AJ402" s="545"/>
      <c r="AK402" s="351"/>
      <c r="AL402" s="555" t="s">
        <v>325</v>
      </c>
      <c r="AM402" s="351"/>
      <c r="AN402" s="531" t="s">
        <v>325</v>
      </c>
      <c r="AO402" s="351"/>
      <c r="AP402" s="550"/>
      <c r="AQ402" s="351"/>
      <c r="AR402" s="551"/>
      <c r="AS402" s="351"/>
      <c r="AT402" s="534"/>
      <c r="AU402" s="351"/>
      <c r="AV402" s="531" t="s">
        <v>325</v>
      </c>
      <c r="AW402" s="351"/>
      <c r="AX402" s="553"/>
      <c r="AY402" s="350"/>
      <c r="AZ402" s="351"/>
      <c r="BA402" s="554"/>
      <c r="BB402" s="351"/>
      <c r="BC402" s="36"/>
      <c r="BD402" s="556" t="s">
        <v>325</v>
      </c>
      <c r="BE402" s="351"/>
      <c r="BF402" s="547"/>
      <c r="BG402" s="350"/>
      <c r="BH402" s="350"/>
      <c r="BI402" s="351"/>
      <c r="BJ402" s="506" t="s">
        <v>294</v>
      </c>
      <c r="BK402" s="350"/>
      <c r="BL402" s="350"/>
      <c r="BM402" s="351"/>
      <c r="BN402" s="530" t="s">
        <v>294</v>
      </c>
      <c r="BO402" s="350"/>
      <c r="BP402" s="350"/>
      <c r="BQ402" s="350"/>
      <c r="BR402" s="350"/>
      <c r="BS402" s="350"/>
      <c r="BT402" s="350"/>
      <c r="BU402" s="350"/>
      <c r="BV402" s="351"/>
    </row>
    <row r="403" spans="1:74" ht="45" customHeight="1">
      <c r="A403" s="24">
        <f t="shared" si="1"/>
        <v>389</v>
      </c>
      <c r="B403" s="522" t="s">
        <v>294</v>
      </c>
      <c r="C403" s="351"/>
      <c r="D403" s="523" t="s">
        <v>298</v>
      </c>
      <c r="E403" s="351"/>
      <c r="F403" s="524" t="s">
        <v>325</v>
      </c>
      <c r="G403" s="351"/>
      <c r="H403" s="561" t="s">
        <v>325</v>
      </c>
      <c r="I403" s="351"/>
      <c r="J403" s="562"/>
      <c r="K403" s="351"/>
      <c r="L403" s="562"/>
      <c r="M403" s="351"/>
      <c r="N403" s="34"/>
      <c r="O403" s="35"/>
      <c r="P403" s="526"/>
      <c r="Q403" s="351"/>
      <c r="R403" s="535"/>
      <c r="S403" s="351"/>
      <c r="T403" s="536"/>
      <c r="U403" s="351"/>
      <c r="V403" s="537"/>
      <c r="W403" s="351"/>
      <c r="X403" s="542" t="s">
        <v>294</v>
      </c>
      <c r="Y403" s="350"/>
      <c r="Z403" s="350"/>
      <c r="AA403" s="351"/>
      <c r="AB403" s="543" t="s">
        <v>294</v>
      </c>
      <c r="AC403" s="350"/>
      <c r="AD403" s="350"/>
      <c r="AE403" s="351"/>
      <c r="AF403" s="540"/>
      <c r="AG403" s="351"/>
      <c r="AH403" s="540"/>
      <c r="AI403" s="351"/>
      <c r="AJ403" s="532"/>
      <c r="AK403" s="351"/>
      <c r="AL403" s="524" t="s">
        <v>325</v>
      </c>
      <c r="AM403" s="351"/>
      <c r="AN403" s="549" t="s">
        <v>325</v>
      </c>
      <c r="AO403" s="351"/>
      <c r="AP403" s="532"/>
      <c r="AQ403" s="351"/>
      <c r="AR403" s="533"/>
      <c r="AS403" s="351"/>
      <c r="AT403" s="534"/>
      <c r="AU403" s="351"/>
      <c r="AV403" s="549" t="s">
        <v>325</v>
      </c>
      <c r="AW403" s="351"/>
      <c r="AX403" s="553"/>
      <c r="AY403" s="350"/>
      <c r="AZ403" s="351"/>
      <c r="BA403" s="545"/>
      <c r="BB403" s="351"/>
      <c r="BC403" s="39"/>
      <c r="BD403" s="546" t="s">
        <v>325</v>
      </c>
      <c r="BE403" s="351"/>
      <c r="BF403" s="529"/>
      <c r="BG403" s="350"/>
      <c r="BH403" s="350"/>
      <c r="BI403" s="351"/>
      <c r="BJ403" s="548" t="s">
        <v>294</v>
      </c>
      <c r="BK403" s="350"/>
      <c r="BL403" s="350"/>
      <c r="BM403" s="351"/>
      <c r="BN403" s="530" t="s">
        <v>294</v>
      </c>
      <c r="BO403" s="350"/>
      <c r="BP403" s="350"/>
      <c r="BQ403" s="350"/>
      <c r="BR403" s="350"/>
      <c r="BS403" s="350"/>
      <c r="BT403" s="350"/>
      <c r="BU403" s="350"/>
      <c r="BV403" s="351"/>
    </row>
    <row r="404" spans="1:74" ht="45" customHeight="1">
      <c r="A404" s="24">
        <f t="shared" si="1"/>
        <v>390</v>
      </c>
      <c r="B404" s="558" t="s">
        <v>294</v>
      </c>
      <c r="C404" s="351"/>
      <c r="D404" s="559" t="s">
        <v>298</v>
      </c>
      <c r="E404" s="351"/>
      <c r="F404" s="524" t="s">
        <v>325</v>
      </c>
      <c r="G404" s="351"/>
      <c r="H404" s="525" t="s">
        <v>325</v>
      </c>
      <c r="I404" s="351"/>
      <c r="J404" s="563"/>
      <c r="K404" s="351"/>
      <c r="L404" s="563"/>
      <c r="M404" s="351"/>
      <c r="N404" s="37"/>
      <c r="O404" s="38"/>
      <c r="P404" s="560"/>
      <c r="Q404" s="351"/>
      <c r="R404" s="527"/>
      <c r="S404" s="351"/>
      <c r="T404" s="528"/>
      <c r="U404" s="351"/>
      <c r="V404" s="541"/>
      <c r="W404" s="351"/>
      <c r="X404" s="538" t="s">
        <v>294</v>
      </c>
      <c r="Y404" s="350"/>
      <c r="Z404" s="350"/>
      <c r="AA404" s="351"/>
      <c r="AB404" s="539" t="s">
        <v>294</v>
      </c>
      <c r="AC404" s="350"/>
      <c r="AD404" s="350"/>
      <c r="AE404" s="351"/>
      <c r="AF404" s="544"/>
      <c r="AG404" s="351"/>
      <c r="AH404" s="544"/>
      <c r="AI404" s="351"/>
      <c r="AJ404" s="545"/>
      <c r="AK404" s="351"/>
      <c r="AL404" s="555" t="s">
        <v>325</v>
      </c>
      <c r="AM404" s="351"/>
      <c r="AN404" s="531" t="s">
        <v>325</v>
      </c>
      <c r="AO404" s="351"/>
      <c r="AP404" s="550"/>
      <c r="AQ404" s="351"/>
      <c r="AR404" s="551"/>
      <c r="AS404" s="351"/>
      <c r="AT404" s="534"/>
      <c r="AU404" s="351"/>
      <c r="AV404" s="531" t="s">
        <v>325</v>
      </c>
      <c r="AW404" s="351"/>
      <c r="AX404" s="553"/>
      <c r="AY404" s="350"/>
      <c r="AZ404" s="351"/>
      <c r="BA404" s="554"/>
      <c r="BB404" s="351"/>
      <c r="BC404" s="36"/>
      <c r="BD404" s="556" t="s">
        <v>325</v>
      </c>
      <c r="BE404" s="351"/>
      <c r="BF404" s="547"/>
      <c r="BG404" s="350"/>
      <c r="BH404" s="350"/>
      <c r="BI404" s="351"/>
      <c r="BJ404" s="506" t="s">
        <v>294</v>
      </c>
      <c r="BK404" s="350"/>
      <c r="BL404" s="350"/>
      <c r="BM404" s="351"/>
      <c r="BN404" s="530" t="s">
        <v>294</v>
      </c>
      <c r="BO404" s="350"/>
      <c r="BP404" s="350"/>
      <c r="BQ404" s="350"/>
      <c r="BR404" s="350"/>
      <c r="BS404" s="350"/>
      <c r="BT404" s="350"/>
      <c r="BU404" s="350"/>
      <c r="BV404" s="351"/>
    </row>
    <row r="405" spans="1:74" ht="45" customHeight="1">
      <c r="A405" s="24">
        <f t="shared" si="1"/>
        <v>391</v>
      </c>
      <c r="B405" s="522" t="s">
        <v>294</v>
      </c>
      <c r="C405" s="351"/>
      <c r="D405" s="523" t="s">
        <v>298</v>
      </c>
      <c r="E405" s="351"/>
      <c r="F405" s="524" t="s">
        <v>325</v>
      </c>
      <c r="G405" s="351"/>
      <c r="H405" s="561" t="s">
        <v>325</v>
      </c>
      <c r="I405" s="351"/>
      <c r="J405" s="562"/>
      <c r="K405" s="351"/>
      <c r="L405" s="562"/>
      <c r="M405" s="351"/>
      <c r="N405" s="34"/>
      <c r="O405" s="35"/>
      <c r="P405" s="526"/>
      <c r="Q405" s="351"/>
      <c r="R405" s="535"/>
      <c r="S405" s="351"/>
      <c r="T405" s="536"/>
      <c r="U405" s="351"/>
      <c r="V405" s="537"/>
      <c r="W405" s="351"/>
      <c r="X405" s="542" t="s">
        <v>294</v>
      </c>
      <c r="Y405" s="350"/>
      <c r="Z405" s="350"/>
      <c r="AA405" s="351"/>
      <c r="AB405" s="543" t="s">
        <v>294</v>
      </c>
      <c r="AC405" s="350"/>
      <c r="AD405" s="350"/>
      <c r="AE405" s="351"/>
      <c r="AF405" s="540"/>
      <c r="AG405" s="351"/>
      <c r="AH405" s="540"/>
      <c r="AI405" s="351"/>
      <c r="AJ405" s="532"/>
      <c r="AK405" s="351"/>
      <c r="AL405" s="524" t="s">
        <v>325</v>
      </c>
      <c r="AM405" s="351"/>
      <c r="AN405" s="549" t="s">
        <v>325</v>
      </c>
      <c r="AO405" s="351"/>
      <c r="AP405" s="532"/>
      <c r="AQ405" s="351"/>
      <c r="AR405" s="533"/>
      <c r="AS405" s="351"/>
      <c r="AT405" s="534"/>
      <c r="AU405" s="351"/>
      <c r="AV405" s="549" t="s">
        <v>325</v>
      </c>
      <c r="AW405" s="351"/>
      <c r="AX405" s="553"/>
      <c r="AY405" s="350"/>
      <c r="AZ405" s="351"/>
      <c r="BA405" s="545"/>
      <c r="BB405" s="351"/>
      <c r="BC405" s="39"/>
      <c r="BD405" s="546" t="s">
        <v>325</v>
      </c>
      <c r="BE405" s="351"/>
      <c r="BF405" s="529"/>
      <c r="BG405" s="350"/>
      <c r="BH405" s="350"/>
      <c r="BI405" s="351"/>
      <c r="BJ405" s="548" t="s">
        <v>294</v>
      </c>
      <c r="BK405" s="350"/>
      <c r="BL405" s="350"/>
      <c r="BM405" s="351"/>
      <c r="BN405" s="530" t="s">
        <v>294</v>
      </c>
      <c r="BO405" s="350"/>
      <c r="BP405" s="350"/>
      <c r="BQ405" s="350"/>
      <c r="BR405" s="350"/>
      <c r="BS405" s="350"/>
      <c r="BT405" s="350"/>
      <c r="BU405" s="350"/>
      <c r="BV405" s="351"/>
    </row>
    <row r="406" spans="1:74" ht="45" customHeight="1">
      <c r="A406" s="24">
        <f t="shared" si="1"/>
        <v>392</v>
      </c>
      <c r="B406" s="558" t="s">
        <v>294</v>
      </c>
      <c r="C406" s="351"/>
      <c r="D406" s="559" t="s">
        <v>298</v>
      </c>
      <c r="E406" s="351"/>
      <c r="F406" s="524" t="s">
        <v>325</v>
      </c>
      <c r="G406" s="351"/>
      <c r="H406" s="525" t="s">
        <v>325</v>
      </c>
      <c r="I406" s="351"/>
      <c r="J406" s="563"/>
      <c r="K406" s="351"/>
      <c r="L406" s="563"/>
      <c r="M406" s="351"/>
      <c r="N406" s="37"/>
      <c r="O406" s="38"/>
      <c r="P406" s="560"/>
      <c r="Q406" s="351"/>
      <c r="R406" s="527"/>
      <c r="S406" s="351"/>
      <c r="T406" s="528"/>
      <c r="U406" s="351"/>
      <c r="V406" s="541"/>
      <c r="W406" s="351"/>
      <c r="X406" s="538" t="s">
        <v>294</v>
      </c>
      <c r="Y406" s="350"/>
      <c r="Z406" s="350"/>
      <c r="AA406" s="351"/>
      <c r="AB406" s="539" t="s">
        <v>294</v>
      </c>
      <c r="AC406" s="350"/>
      <c r="AD406" s="350"/>
      <c r="AE406" s="351"/>
      <c r="AF406" s="544"/>
      <c r="AG406" s="351"/>
      <c r="AH406" s="544"/>
      <c r="AI406" s="351"/>
      <c r="AJ406" s="545"/>
      <c r="AK406" s="351"/>
      <c r="AL406" s="555" t="s">
        <v>325</v>
      </c>
      <c r="AM406" s="351"/>
      <c r="AN406" s="531" t="s">
        <v>325</v>
      </c>
      <c r="AO406" s="351"/>
      <c r="AP406" s="550"/>
      <c r="AQ406" s="351"/>
      <c r="AR406" s="551"/>
      <c r="AS406" s="351"/>
      <c r="AT406" s="534"/>
      <c r="AU406" s="351"/>
      <c r="AV406" s="531" t="s">
        <v>325</v>
      </c>
      <c r="AW406" s="351"/>
      <c r="AX406" s="553"/>
      <c r="AY406" s="350"/>
      <c r="AZ406" s="351"/>
      <c r="BA406" s="554"/>
      <c r="BB406" s="351"/>
      <c r="BC406" s="36"/>
      <c r="BD406" s="556" t="s">
        <v>325</v>
      </c>
      <c r="BE406" s="351"/>
      <c r="BF406" s="547"/>
      <c r="BG406" s="350"/>
      <c r="BH406" s="350"/>
      <c r="BI406" s="351"/>
      <c r="BJ406" s="506" t="s">
        <v>294</v>
      </c>
      <c r="BK406" s="350"/>
      <c r="BL406" s="350"/>
      <c r="BM406" s="351"/>
      <c r="BN406" s="530" t="s">
        <v>294</v>
      </c>
      <c r="BO406" s="350"/>
      <c r="BP406" s="350"/>
      <c r="BQ406" s="350"/>
      <c r="BR406" s="350"/>
      <c r="BS406" s="350"/>
      <c r="BT406" s="350"/>
      <c r="BU406" s="350"/>
      <c r="BV406" s="351"/>
    </row>
    <row r="407" spans="1:74" ht="45" customHeight="1">
      <c r="A407" s="24">
        <f t="shared" si="1"/>
        <v>393</v>
      </c>
      <c r="B407" s="558" t="s">
        <v>294</v>
      </c>
      <c r="C407" s="351"/>
      <c r="D407" s="559" t="s">
        <v>298</v>
      </c>
      <c r="E407" s="351"/>
      <c r="F407" s="524" t="s">
        <v>325</v>
      </c>
      <c r="G407" s="351"/>
      <c r="H407" s="561" t="s">
        <v>325</v>
      </c>
      <c r="I407" s="351"/>
      <c r="J407" s="562"/>
      <c r="K407" s="351"/>
      <c r="L407" s="562"/>
      <c r="M407" s="351"/>
      <c r="N407" s="34"/>
      <c r="O407" s="35"/>
      <c r="P407" s="526"/>
      <c r="Q407" s="351"/>
      <c r="R407" s="535"/>
      <c r="S407" s="351"/>
      <c r="T407" s="536"/>
      <c r="U407" s="351"/>
      <c r="V407" s="537"/>
      <c r="W407" s="351"/>
      <c r="X407" s="538" t="s">
        <v>294</v>
      </c>
      <c r="Y407" s="350"/>
      <c r="Z407" s="350"/>
      <c r="AA407" s="351"/>
      <c r="AB407" s="539" t="s">
        <v>294</v>
      </c>
      <c r="AC407" s="350"/>
      <c r="AD407" s="350"/>
      <c r="AE407" s="351"/>
      <c r="AF407" s="540"/>
      <c r="AG407" s="351"/>
      <c r="AH407" s="540"/>
      <c r="AI407" s="351"/>
      <c r="AJ407" s="532"/>
      <c r="AK407" s="351"/>
      <c r="AL407" s="555" t="s">
        <v>325</v>
      </c>
      <c r="AM407" s="351"/>
      <c r="AN407" s="531" t="s">
        <v>325</v>
      </c>
      <c r="AO407" s="351"/>
      <c r="AP407" s="532"/>
      <c r="AQ407" s="351"/>
      <c r="AR407" s="533"/>
      <c r="AS407" s="351"/>
      <c r="AT407" s="534"/>
      <c r="AU407" s="351"/>
      <c r="AV407" s="531" t="s">
        <v>325</v>
      </c>
      <c r="AW407" s="351"/>
      <c r="AX407" s="553"/>
      <c r="AY407" s="350"/>
      <c r="AZ407" s="351"/>
      <c r="BA407" s="545"/>
      <c r="BB407" s="351"/>
      <c r="BC407" s="36"/>
      <c r="BD407" s="556" t="s">
        <v>325</v>
      </c>
      <c r="BE407" s="351"/>
      <c r="BF407" s="557"/>
      <c r="BG407" s="350"/>
      <c r="BH407" s="350"/>
      <c r="BI407" s="351"/>
      <c r="BJ407" s="506" t="s">
        <v>294</v>
      </c>
      <c r="BK407" s="350"/>
      <c r="BL407" s="350"/>
      <c r="BM407" s="351"/>
      <c r="BN407" s="530" t="s">
        <v>294</v>
      </c>
      <c r="BO407" s="350"/>
      <c r="BP407" s="350"/>
      <c r="BQ407" s="350"/>
      <c r="BR407" s="350"/>
      <c r="BS407" s="350"/>
      <c r="BT407" s="350"/>
      <c r="BU407" s="350"/>
      <c r="BV407" s="351"/>
    </row>
    <row r="408" spans="1:74" ht="45" customHeight="1">
      <c r="A408" s="24">
        <f t="shared" si="1"/>
        <v>394</v>
      </c>
      <c r="B408" s="522" t="s">
        <v>294</v>
      </c>
      <c r="C408" s="351"/>
      <c r="D408" s="523" t="s">
        <v>298</v>
      </c>
      <c r="E408" s="351"/>
      <c r="F408" s="524" t="s">
        <v>325</v>
      </c>
      <c r="G408" s="351"/>
      <c r="H408" s="525" t="s">
        <v>325</v>
      </c>
      <c r="I408" s="351"/>
      <c r="J408" s="563"/>
      <c r="K408" s="351"/>
      <c r="L408" s="563"/>
      <c r="M408" s="351"/>
      <c r="N408" s="37"/>
      <c r="O408" s="38"/>
      <c r="P408" s="560"/>
      <c r="Q408" s="351"/>
      <c r="R408" s="527"/>
      <c r="S408" s="351"/>
      <c r="T408" s="528"/>
      <c r="U408" s="351"/>
      <c r="V408" s="541"/>
      <c r="W408" s="351"/>
      <c r="X408" s="542" t="s">
        <v>294</v>
      </c>
      <c r="Y408" s="350"/>
      <c r="Z408" s="350"/>
      <c r="AA408" s="351"/>
      <c r="AB408" s="543" t="s">
        <v>294</v>
      </c>
      <c r="AC408" s="350"/>
      <c r="AD408" s="350"/>
      <c r="AE408" s="351"/>
      <c r="AF408" s="544"/>
      <c r="AG408" s="351"/>
      <c r="AH408" s="544"/>
      <c r="AI408" s="351"/>
      <c r="AJ408" s="545"/>
      <c r="AK408" s="351"/>
      <c r="AL408" s="524" t="s">
        <v>325</v>
      </c>
      <c r="AM408" s="351"/>
      <c r="AN408" s="549" t="s">
        <v>325</v>
      </c>
      <c r="AO408" s="351"/>
      <c r="AP408" s="550"/>
      <c r="AQ408" s="351"/>
      <c r="AR408" s="551"/>
      <c r="AS408" s="351"/>
      <c r="AT408" s="534"/>
      <c r="AU408" s="351"/>
      <c r="AV408" s="549" t="s">
        <v>325</v>
      </c>
      <c r="AW408" s="351"/>
      <c r="AX408" s="553"/>
      <c r="AY408" s="350"/>
      <c r="AZ408" s="351"/>
      <c r="BA408" s="554"/>
      <c r="BB408" s="351"/>
      <c r="BC408" s="39"/>
      <c r="BD408" s="546" t="s">
        <v>325</v>
      </c>
      <c r="BE408" s="351"/>
      <c r="BF408" s="547"/>
      <c r="BG408" s="350"/>
      <c r="BH408" s="350"/>
      <c r="BI408" s="351"/>
      <c r="BJ408" s="548" t="s">
        <v>294</v>
      </c>
      <c r="BK408" s="350"/>
      <c r="BL408" s="350"/>
      <c r="BM408" s="351"/>
      <c r="BN408" s="530" t="s">
        <v>294</v>
      </c>
      <c r="BO408" s="350"/>
      <c r="BP408" s="350"/>
      <c r="BQ408" s="350"/>
      <c r="BR408" s="350"/>
      <c r="BS408" s="350"/>
      <c r="BT408" s="350"/>
      <c r="BU408" s="350"/>
      <c r="BV408" s="351"/>
    </row>
    <row r="409" spans="1:74" ht="45" customHeight="1">
      <c r="A409" s="24">
        <f t="shared" si="1"/>
        <v>395</v>
      </c>
      <c r="B409" s="558" t="s">
        <v>294</v>
      </c>
      <c r="C409" s="351"/>
      <c r="D409" s="559" t="s">
        <v>298</v>
      </c>
      <c r="E409" s="351"/>
      <c r="F409" s="524" t="s">
        <v>325</v>
      </c>
      <c r="G409" s="351"/>
      <c r="H409" s="561" t="s">
        <v>325</v>
      </c>
      <c r="I409" s="351"/>
      <c r="J409" s="562"/>
      <c r="K409" s="351"/>
      <c r="L409" s="562"/>
      <c r="M409" s="351"/>
      <c r="N409" s="34"/>
      <c r="O409" s="35"/>
      <c r="P409" s="526"/>
      <c r="Q409" s="351"/>
      <c r="R409" s="535"/>
      <c r="S409" s="351"/>
      <c r="T409" s="536"/>
      <c r="U409" s="351"/>
      <c r="V409" s="537"/>
      <c r="W409" s="351"/>
      <c r="X409" s="538" t="s">
        <v>294</v>
      </c>
      <c r="Y409" s="350"/>
      <c r="Z409" s="350"/>
      <c r="AA409" s="351"/>
      <c r="AB409" s="539" t="s">
        <v>294</v>
      </c>
      <c r="AC409" s="350"/>
      <c r="AD409" s="350"/>
      <c r="AE409" s="351"/>
      <c r="AF409" s="540"/>
      <c r="AG409" s="351"/>
      <c r="AH409" s="540"/>
      <c r="AI409" s="351"/>
      <c r="AJ409" s="532"/>
      <c r="AK409" s="351"/>
      <c r="AL409" s="555" t="s">
        <v>325</v>
      </c>
      <c r="AM409" s="351"/>
      <c r="AN409" s="531" t="s">
        <v>325</v>
      </c>
      <c r="AO409" s="351"/>
      <c r="AP409" s="532"/>
      <c r="AQ409" s="351"/>
      <c r="AR409" s="533"/>
      <c r="AS409" s="351"/>
      <c r="AT409" s="534"/>
      <c r="AU409" s="351"/>
      <c r="AV409" s="531" t="s">
        <v>325</v>
      </c>
      <c r="AW409" s="351"/>
      <c r="AX409" s="553"/>
      <c r="AY409" s="350"/>
      <c r="AZ409" s="351"/>
      <c r="BA409" s="545"/>
      <c r="BB409" s="351"/>
      <c r="BC409" s="36"/>
      <c r="BD409" s="556" t="s">
        <v>325</v>
      </c>
      <c r="BE409" s="351"/>
      <c r="BF409" s="529"/>
      <c r="BG409" s="350"/>
      <c r="BH409" s="350"/>
      <c r="BI409" s="351"/>
      <c r="BJ409" s="506" t="s">
        <v>294</v>
      </c>
      <c r="BK409" s="350"/>
      <c r="BL409" s="350"/>
      <c r="BM409" s="351"/>
      <c r="BN409" s="530" t="s">
        <v>294</v>
      </c>
      <c r="BO409" s="350"/>
      <c r="BP409" s="350"/>
      <c r="BQ409" s="350"/>
      <c r="BR409" s="350"/>
      <c r="BS409" s="350"/>
      <c r="BT409" s="350"/>
      <c r="BU409" s="350"/>
      <c r="BV409" s="351"/>
    </row>
    <row r="410" spans="1:74" ht="45" customHeight="1">
      <c r="A410" s="24">
        <f t="shared" si="1"/>
        <v>396</v>
      </c>
      <c r="B410" s="558" t="s">
        <v>294</v>
      </c>
      <c r="C410" s="351"/>
      <c r="D410" s="559" t="s">
        <v>298</v>
      </c>
      <c r="E410" s="351"/>
      <c r="F410" s="524" t="s">
        <v>325</v>
      </c>
      <c r="G410" s="351"/>
      <c r="H410" s="525" t="s">
        <v>325</v>
      </c>
      <c r="I410" s="351"/>
      <c r="J410" s="563"/>
      <c r="K410" s="351"/>
      <c r="L410" s="563"/>
      <c r="M410" s="351"/>
      <c r="N410" s="37"/>
      <c r="O410" s="38"/>
      <c r="P410" s="560"/>
      <c r="Q410" s="351"/>
      <c r="R410" s="527"/>
      <c r="S410" s="351"/>
      <c r="T410" s="528"/>
      <c r="U410" s="351"/>
      <c r="V410" s="541"/>
      <c r="W410" s="351"/>
      <c r="X410" s="538" t="s">
        <v>294</v>
      </c>
      <c r="Y410" s="350"/>
      <c r="Z410" s="350"/>
      <c r="AA410" s="351"/>
      <c r="AB410" s="539" t="s">
        <v>294</v>
      </c>
      <c r="AC410" s="350"/>
      <c r="AD410" s="350"/>
      <c r="AE410" s="351"/>
      <c r="AF410" s="544"/>
      <c r="AG410" s="351"/>
      <c r="AH410" s="544"/>
      <c r="AI410" s="351"/>
      <c r="AJ410" s="545"/>
      <c r="AK410" s="351"/>
      <c r="AL410" s="555" t="s">
        <v>325</v>
      </c>
      <c r="AM410" s="351"/>
      <c r="AN410" s="531" t="s">
        <v>325</v>
      </c>
      <c r="AO410" s="351"/>
      <c r="AP410" s="550"/>
      <c r="AQ410" s="351"/>
      <c r="AR410" s="551"/>
      <c r="AS410" s="351"/>
      <c r="AT410" s="534"/>
      <c r="AU410" s="351"/>
      <c r="AV410" s="531" t="s">
        <v>325</v>
      </c>
      <c r="AW410" s="351"/>
      <c r="AX410" s="553"/>
      <c r="AY410" s="350"/>
      <c r="AZ410" s="351"/>
      <c r="BA410" s="554"/>
      <c r="BB410" s="351"/>
      <c r="BC410" s="36"/>
      <c r="BD410" s="556" t="s">
        <v>325</v>
      </c>
      <c r="BE410" s="351"/>
      <c r="BF410" s="547"/>
      <c r="BG410" s="350"/>
      <c r="BH410" s="350"/>
      <c r="BI410" s="351"/>
      <c r="BJ410" s="506" t="s">
        <v>294</v>
      </c>
      <c r="BK410" s="350"/>
      <c r="BL410" s="350"/>
      <c r="BM410" s="351"/>
      <c r="BN410" s="530" t="s">
        <v>294</v>
      </c>
      <c r="BO410" s="350"/>
      <c r="BP410" s="350"/>
      <c r="BQ410" s="350"/>
      <c r="BR410" s="350"/>
      <c r="BS410" s="350"/>
      <c r="BT410" s="350"/>
      <c r="BU410" s="350"/>
      <c r="BV410" s="351"/>
    </row>
    <row r="411" spans="1:74" ht="45" customHeight="1">
      <c r="A411" s="24">
        <f t="shared" si="1"/>
        <v>397</v>
      </c>
      <c r="B411" s="522" t="s">
        <v>294</v>
      </c>
      <c r="C411" s="351"/>
      <c r="D411" s="523" t="s">
        <v>298</v>
      </c>
      <c r="E411" s="351"/>
      <c r="F411" s="524" t="s">
        <v>325</v>
      </c>
      <c r="G411" s="351"/>
      <c r="H411" s="561" t="s">
        <v>325</v>
      </c>
      <c r="I411" s="351"/>
      <c r="J411" s="562"/>
      <c r="K411" s="351"/>
      <c r="L411" s="562"/>
      <c r="M411" s="351"/>
      <c r="N411" s="34"/>
      <c r="O411" s="35"/>
      <c r="P411" s="526"/>
      <c r="Q411" s="351"/>
      <c r="R411" s="535"/>
      <c r="S411" s="351"/>
      <c r="T411" s="536"/>
      <c r="U411" s="351"/>
      <c r="V411" s="537"/>
      <c r="W411" s="351"/>
      <c r="X411" s="542" t="s">
        <v>294</v>
      </c>
      <c r="Y411" s="350"/>
      <c r="Z411" s="350"/>
      <c r="AA411" s="351"/>
      <c r="AB411" s="543" t="s">
        <v>294</v>
      </c>
      <c r="AC411" s="350"/>
      <c r="AD411" s="350"/>
      <c r="AE411" s="351"/>
      <c r="AF411" s="540"/>
      <c r="AG411" s="351"/>
      <c r="AH411" s="540"/>
      <c r="AI411" s="351"/>
      <c r="AJ411" s="532"/>
      <c r="AK411" s="351"/>
      <c r="AL411" s="524" t="s">
        <v>325</v>
      </c>
      <c r="AM411" s="351"/>
      <c r="AN411" s="549" t="s">
        <v>325</v>
      </c>
      <c r="AO411" s="351"/>
      <c r="AP411" s="532"/>
      <c r="AQ411" s="351"/>
      <c r="AR411" s="533"/>
      <c r="AS411" s="351"/>
      <c r="AT411" s="534"/>
      <c r="AU411" s="351"/>
      <c r="AV411" s="549" t="s">
        <v>325</v>
      </c>
      <c r="AW411" s="351"/>
      <c r="AX411" s="553"/>
      <c r="AY411" s="350"/>
      <c r="AZ411" s="351"/>
      <c r="BA411" s="545"/>
      <c r="BB411" s="351"/>
      <c r="BC411" s="39"/>
      <c r="BD411" s="546" t="s">
        <v>325</v>
      </c>
      <c r="BE411" s="351"/>
      <c r="BF411" s="557"/>
      <c r="BG411" s="350"/>
      <c r="BH411" s="350"/>
      <c r="BI411" s="351"/>
      <c r="BJ411" s="548" t="s">
        <v>294</v>
      </c>
      <c r="BK411" s="350"/>
      <c r="BL411" s="350"/>
      <c r="BM411" s="351"/>
      <c r="BN411" s="530" t="s">
        <v>294</v>
      </c>
      <c r="BO411" s="350"/>
      <c r="BP411" s="350"/>
      <c r="BQ411" s="350"/>
      <c r="BR411" s="350"/>
      <c r="BS411" s="350"/>
      <c r="BT411" s="350"/>
      <c r="BU411" s="350"/>
      <c r="BV411" s="351"/>
    </row>
    <row r="412" spans="1:74" ht="45" customHeight="1">
      <c r="A412" s="24">
        <f t="shared" si="1"/>
        <v>398</v>
      </c>
      <c r="B412" s="558" t="s">
        <v>294</v>
      </c>
      <c r="C412" s="351"/>
      <c r="D412" s="559" t="s">
        <v>298</v>
      </c>
      <c r="E412" s="351"/>
      <c r="F412" s="524" t="s">
        <v>325</v>
      </c>
      <c r="G412" s="351"/>
      <c r="H412" s="525" t="s">
        <v>325</v>
      </c>
      <c r="I412" s="351"/>
      <c r="J412" s="563"/>
      <c r="K412" s="351"/>
      <c r="L412" s="563"/>
      <c r="M412" s="351"/>
      <c r="N412" s="37"/>
      <c r="O412" s="38"/>
      <c r="P412" s="560"/>
      <c r="Q412" s="351"/>
      <c r="R412" s="527"/>
      <c r="S412" s="351"/>
      <c r="T412" s="528"/>
      <c r="U412" s="351"/>
      <c r="V412" s="541"/>
      <c r="W412" s="351"/>
      <c r="X412" s="538" t="s">
        <v>294</v>
      </c>
      <c r="Y412" s="350"/>
      <c r="Z412" s="350"/>
      <c r="AA412" s="351"/>
      <c r="AB412" s="539" t="s">
        <v>294</v>
      </c>
      <c r="AC412" s="350"/>
      <c r="AD412" s="350"/>
      <c r="AE412" s="351"/>
      <c r="AF412" s="544"/>
      <c r="AG412" s="351"/>
      <c r="AH412" s="544"/>
      <c r="AI412" s="351"/>
      <c r="AJ412" s="545"/>
      <c r="AK412" s="351"/>
      <c r="AL412" s="555" t="s">
        <v>325</v>
      </c>
      <c r="AM412" s="351"/>
      <c r="AN412" s="531" t="s">
        <v>325</v>
      </c>
      <c r="AO412" s="351"/>
      <c r="AP412" s="550"/>
      <c r="AQ412" s="351"/>
      <c r="AR412" s="551"/>
      <c r="AS412" s="351"/>
      <c r="AT412" s="534"/>
      <c r="AU412" s="351"/>
      <c r="AV412" s="531" t="s">
        <v>325</v>
      </c>
      <c r="AW412" s="351"/>
      <c r="AX412" s="553"/>
      <c r="AY412" s="350"/>
      <c r="AZ412" s="351"/>
      <c r="BA412" s="554"/>
      <c r="BB412" s="351"/>
      <c r="BC412" s="36"/>
      <c r="BD412" s="556" t="s">
        <v>325</v>
      </c>
      <c r="BE412" s="351"/>
      <c r="BF412" s="547"/>
      <c r="BG412" s="350"/>
      <c r="BH412" s="350"/>
      <c r="BI412" s="351"/>
      <c r="BJ412" s="506" t="s">
        <v>294</v>
      </c>
      <c r="BK412" s="350"/>
      <c r="BL412" s="350"/>
      <c r="BM412" s="351"/>
      <c r="BN412" s="530" t="s">
        <v>294</v>
      </c>
      <c r="BO412" s="350"/>
      <c r="BP412" s="350"/>
      <c r="BQ412" s="350"/>
      <c r="BR412" s="350"/>
      <c r="BS412" s="350"/>
      <c r="BT412" s="350"/>
      <c r="BU412" s="350"/>
      <c r="BV412" s="351"/>
    </row>
    <row r="413" spans="1:74" ht="45" customHeight="1">
      <c r="A413" s="24">
        <f t="shared" si="1"/>
        <v>399</v>
      </c>
      <c r="B413" s="522" t="s">
        <v>294</v>
      </c>
      <c r="C413" s="351"/>
      <c r="D413" s="523" t="s">
        <v>298</v>
      </c>
      <c r="E413" s="351"/>
      <c r="F413" s="524" t="s">
        <v>325</v>
      </c>
      <c r="G413" s="351"/>
      <c r="H413" s="561" t="s">
        <v>325</v>
      </c>
      <c r="I413" s="351"/>
      <c r="J413" s="562"/>
      <c r="K413" s="351"/>
      <c r="L413" s="562"/>
      <c r="M413" s="351"/>
      <c r="N413" s="34"/>
      <c r="O413" s="35"/>
      <c r="P413" s="526"/>
      <c r="Q413" s="351"/>
      <c r="R413" s="535"/>
      <c r="S413" s="351"/>
      <c r="T413" s="536"/>
      <c r="U413" s="351"/>
      <c r="V413" s="537"/>
      <c r="W413" s="351"/>
      <c r="X413" s="542" t="s">
        <v>294</v>
      </c>
      <c r="Y413" s="350"/>
      <c r="Z413" s="350"/>
      <c r="AA413" s="351"/>
      <c r="AB413" s="543" t="s">
        <v>294</v>
      </c>
      <c r="AC413" s="350"/>
      <c r="AD413" s="350"/>
      <c r="AE413" s="351"/>
      <c r="AF413" s="540"/>
      <c r="AG413" s="351"/>
      <c r="AH413" s="540"/>
      <c r="AI413" s="351"/>
      <c r="AJ413" s="532"/>
      <c r="AK413" s="351"/>
      <c r="AL413" s="524" t="s">
        <v>325</v>
      </c>
      <c r="AM413" s="351"/>
      <c r="AN413" s="549" t="s">
        <v>325</v>
      </c>
      <c r="AO413" s="351"/>
      <c r="AP413" s="532"/>
      <c r="AQ413" s="351"/>
      <c r="AR413" s="533"/>
      <c r="AS413" s="351"/>
      <c r="AT413" s="534"/>
      <c r="AU413" s="351"/>
      <c r="AV413" s="549" t="s">
        <v>325</v>
      </c>
      <c r="AW413" s="351"/>
      <c r="AX413" s="553"/>
      <c r="AY413" s="350"/>
      <c r="AZ413" s="351"/>
      <c r="BA413" s="545"/>
      <c r="BB413" s="351"/>
      <c r="BC413" s="39"/>
      <c r="BD413" s="546" t="s">
        <v>325</v>
      </c>
      <c r="BE413" s="351"/>
      <c r="BF413" s="529"/>
      <c r="BG413" s="350"/>
      <c r="BH413" s="350"/>
      <c r="BI413" s="351"/>
      <c r="BJ413" s="548" t="s">
        <v>294</v>
      </c>
      <c r="BK413" s="350"/>
      <c r="BL413" s="350"/>
      <c r="BM413" s="351"/>
      <c r="BN413" s="530" t="s">
        <v>294</v>
      </c>
      <c r="BO413" s="350"/>
      <c r="BP413" s="350"/>
      <c r="BQ413" s="350"/>
      <c r="BR413" s="350"/>
      <c r="BS413" s="350"/>
      <c r="BT413" s="350"/>
      <c r="BU413" s="350"/>
      <c r="BV413" s="351"/>
    </row>
    <row r="414" spans="1:74" ht="45" customHeight="1">
      <c r="A414" s="24">
        <f t="shared" si="1"/>
        <v>400</v>
      </c>
      <c r="B414" s="558" t="s">
        <v>294</v>
      </c>
      <c r="C414" s="351"/>
      <c r="D414" s="559" t="s">
        <v>298</v>
      </c>
      <c r="E414" s="351"/>
      <c r="F414" s="524" t="s">
        <v>325</v>
      </c>
      <c r="G414" s="351"/>
      <c r="H414" s="525" t="s">
        <v>325</v>
      </c>
      <c r="I414" s="351"/>
      <c r="J414" s="563"/>
      <c r="K414" s="351"/>
      <c r="L414" s="563"/>
      <c r="M414" s="351"/>
      <c r="N414" s="37"/>
      <c r="O414" s="38"/>
      <c r="P414" s="560"/>
      <c r="Q414" s="351"/>
      <c r="R414" s="527"/>
      <c r="S414" s="351"/>
      <c r="T414" s="528"/>
      <c r="U414" s="351"/>
      <c r="V414" s="541"/>
      <c r="W414" s="351"/>
      <c r="X414" s="538" t="s">
        <v>294</v>
      </c>
      <c r="Y414" s="350"/>
      <c r="Z414" s="350"/>
      <c r="AA414" s="351"/>
      <c r="AB414" s="539" t="s">
        <v>294</v>
      </c>
      <c r="AC414" s="350"/>
      <c r="AD414" s="350"/>
      <c r="AE414" s="351"/>
      <c r="AF414" s="544"/>
      <c r="AG414" s="351"/>
      <c r="AH414" s="544"/>
      <c r="AI414" s="351"/>
      <c r="AJ414" s="545"/>
      <c r="AK414" s="351"/>
      <c r="AL414" s="555" t="s">
        <v>325</v>
      </c>
      <c r="AM414" s="351"/>
      <c r="AN414" s="531" t="s">
        <v>325</v>
      </c>
      <c r="AO414" s="351"/>
      <c r="AP414" s="550"/>
      <c r="AQ414" s="351"/>
      <c r="AR414" s="551"/>
      <c r="AS414" s="351"/>
      <c r="AT414" s="534"/>
      <c r="AU414" s="351"/>
      <c r="AV414" s="531" t="s">
        <v>325</v>
      </c>
      <c r="AW414" s="351"/>
      <c r="AX414" s="553"/>
      <c r="AY414" s="350"/>
      <c r="AZ414" s="351"/>
      <c r="BA414" s="554"/>
      <c r="BB414" s="351"/>
      <c r="BC414" s="36"/>
      <c r="BD414" s="556" t="s">
        <v>325</v>
      </c>
      <c r="BE414" s="351"/>
      <c r="BF414" s="547"/>
      <c r="BG414" s="350"/>
      <c r="BH414" s="350"/>
      <c r="BI414" s="351"/>
      <c r="BJ414" s="506" t="s">
        <v>294</v>
      </c>
      <c r="BK414" s="350"/>
      <c r="BL414" s="350"/>
      <c r="BM414" s="351"/>
      <c r="BN414" s="530" t="s">
        <v>294</v>
      </c>
      <c r="BO414" s="350"/>
      <c r="BP414" s="350"/>
      <c r="BQ414" s="350"/>
      <c r="BR414" s="350"/>
      <c r="BS414" s="350"/>
      <c r="BT414" s="350"/>
      <c r="BU414" s="350"/>
      <c r="BV414" s="351"/>
    </row>
    <row r="415" spans="1:74" ht="45" customHeight="1">
      <c r="A415" s="24">
        <f t="shared" si="1"/>
        <v>401</v>
      </c>
      <c r="B415" s="522" t="s">
        <v>294</v>
      </c>
      <c r="C415" s="351"/>
      <c r="D415" s="523" t="s">
        <v>298</v>
      </c>
      <c r="E415" s="351"/>
      <c r="F415" s="524" t="s">
        <v>325</v>
      </c>
      <c r="G415" s="351"/>
      <c r="H415" s="561" t="s">
        <v>325</v>
      </c>
      <c r="I415" s="351"/>
      <c r="J415" s="562"/>
      <c r="K415" s="351"/>
      <c r="L415" s="562"/>
      <c r="M415" s="351"/>
      <c r="N415" s="34"/>
      <c r="O415" s="35"/>
      <c r="P415" s="526"/>
      <c r="Q415" s="351"/>
      <c r="R415" s="535"/>
      <c r="S415" s="351"/>
      <c r="T415" s="536"/>
      <c r="U415" s="351"/>
      <c r="V415" s="537"/>
      <c r="W415" s="351"/>
      <c r="X415" s="542" t="s">
        <v>294</v>
      </c>
      <c r="Y415" s="350"/>
      <c r="Z415" s="350"/>
      <c r="AA415" s="351"/>
      <c r="AB415" s="543" t="s">
        <v>294</v>
      </c>
      <c r="AC415" s="350"/>
      <c r="AD415" s="350"/>
      <c r="AE415" s="351"/>
      <c r="AF415" s="540"/>
      <c r="AG415" s="351"/>
      <c r="AH415" s="540"/>
      <c r="AI415" s="351"/>
      <c r="AJ415" s="532"/>
      <c r="AK415" s="351"/>
      <c r="AL415" s="524" t="s">
        <v>325</v>
      </c>
      <c r="AM415" s="351"/>
      <c r="AN415" s="549" t="s">
        <v>325</v>
      </c>
      <c r="AO415" s="351"/>
      <c r="AP415" s="532"/>
      <c r="AQ415" s="351"/>
      <c r="AR415" s="533"/>
      <c r="AS415" s="351"/>
      <c r="AT415" s="534"/>
      <c r="AU415" s="351"/>
      <c r="AV415" s="549" t="s">
        <v>325</v>
      </c>
      <c r="AW415" s="351"/>
      <c r="AX415" s="553"/>
      <c r="AY415" s="350"/>
      <c r="AZ415" s="351"/>
      <c r="BA415" s="545"/>
      <c r="BB415" s="351"/>
      <c r="BC415" s="39"/>
      <c r="BD415" s="546" t="s">
        <v>325</v>
      </c>
      <c r="BE415" s="351"/>
      <c r="BF415" s="529"/>
      <c r="BG415" s="350"/>
      <c r="BH415" s="350"/>
      <c r="BI415" s="351"/>
      <c r="BJ415" s="548" t="s">
        <v>294</v>
      </c>
      <c r="BK415" s="350"/>
      <c r="BL415" s="350"/>
      <c r="BM415" s="351"/>
      <c r="BN415" s="530" t="s">
        <v>294</v>
      </c>
      <c r="BO415" s="350"/>
      <c r="BP415" s="350"/>
      <c r="BQ415" s="350"/>
      <c r="BR415" s="350"/>
      <c r="BS415" s="350"/>
      <c r="BT415" s="350"/>
      <c r="BU415" s="350"/>
      <c r="BV415" s="351"/>
    </row>
    <row r="416" spans="1:74" ht="45" customHeight="1">
      <c r="A416" s="24">
        <f t="shared" si="1"/>
        <v>402</v>
      </c>
      <c r="B416" s="558" t="s">
        <v>294</v>
      </c>
      <c r="C416" s="351"/>
      <c r="D416" s="559" t="s">
        <v>298</v>
      </c>
      <c r="E416" s="351"/>
      <c r="F416" s="524" t="s">
        <v>325</v>
      </c>
      <c r="G416" s="351"/>
      <c r="H416" s="525" t="s">
        <v>325</v>
      </c>
      <c r="I416" s="351"/>
      <c r="J416" s="563"/>
      <c r="K416" s="351"/>
      <c r="L416" s="563"/>
      <c r="M416" s="351"/>
      <c r="N416" s="37"/>
      <c r="O416" s="38"/>
      <c r="P416" s="560"/>
      <c r="Q416" s="351"/>
      <c r="R416" s="527"/>
      <c r="S416" s="351"/>
      <c r="T416" s="528"/>
      <c r="U416" s="351"/>
      <c r="V416" s="541"/>
      <c r="W416" s="351"/>
      <c r="X416" s="538" t="s">
        <v>294</v>
      </c>
      <c r="Y416" s="350"/>
      <c r="Z416" s="350"/>
      <c r="AA416" s="351"/>
      <c r="AB416" s="539" t="s">
        <v>294</v>
      </c>
      <c r="AC416" s="350"/>
      <c r="AD416" s="350"/>
      <c r="AE416" s="351"/>
      <c r="AF416" s="544"/>
      <c r="AG416" s="351"/>
      <c r="AH416" s="544"/>
      <c r="AI416" s="351"/>
      <c r="AJ416" s="545"/>
      <c r="AK416" s="351"/>
      <c r="AL416" s="555" t="s">
        <v>325</v>
      </c>
      <c r="AM416" s="351"/>
      <c r="AN416" s="531" t="s">
        <v>325</v>
      </c>
      <c r="AO416" s="351"/>
      <c r="AP416" s="550"/>
      <c r="AQ416" s="351"/>
      <c r="AR416" s="551"/>
      <c r="AS416" s="351"/>
      <c r="AT416" s="534"/>
      <c r="AU416" s="351"/>
      <c r="AV416" s="531" t="s">
        <v>325</v>
      </c>
      <c r="AW416" s="351"/>
      <c r="AX416" s="553"/>
      <c r="AY416" s="350"/>
      <c r="AZ416" s="351"/>
      <c r="BA416" s="554"/>
      <c r="BB416" s="351"/>
      <c r="BC416" s="36"/>
      <c r="BD416" s="556" t="s">
        <v>325</v>
      </c>
      <c r="BE416" s="351"/>
      <c r="BF416" s="547"/>
      <c r="BG416" s="350"/>
      <c r="BH416" s="350"/>
      <c r="BI416" s="351"/>
      <c r="BJ416" s="506" t="s">
        <v>294</v>
      </c>
      <c r="BK416" s="350"/>
      <c r="BL416" s="350"/>
      <c r="BM416" s="351"/>
      <c r="BN416" s="530" t="s">
        <v>294</v>
      </c>
      <c r="BO416" s="350"/>
      <c r="BP416" s="350"/>
      <c r="BQ416" s="350"/>
      <c r="BR416" s="350"/>
      <c r="BS416" s="350"/>
      <c r="BT416" s="350"/>
      <c r="BU416" s="350"/>
      <c r="BV416" s="351"/>
    </row>
    <row r="417" spans="1:74" ht="45" customHeight="1">
      <c r="A417" s="24">
        <f t="shared" si="1"/>
        <v>403</v>
      </c>
      <c r="B417" s="522" t="s">
        <v>294</v>
      </c>
      <c r="C417" s="351"/>
      <c r="D417" s="523" t="s">
        <v>298</v>
      </c>
      <c r="E417" s="351"/>
      <c r="F417" s="524" t="s">
        <v>325</v>
      </c>
      <c r="G417" s="351"/>
      <c r="H417" s="561" t="s">
        <v>325</v>
      </c>
      <c r="I417" s="351"/>
      <c r="J417" s="562"/>
      <c r="K417" s="351"/>
      <c r="L417" s="562"/>
      <c r="M417" s="351"/>
      <c r="N417" s="34"/>
      <c r="O417" s="35"/>
      <c r="P417" s="526"/>
      <c r="Q417" s="351"/>
      <c r="R417" s="535"/>
      <c r="S417" s="351"/>
      <c r="T417" s="536"/>
      <c r="U417" s="351"/>
      <c r="V417" s="537"/>
      <c r="W417" s="351"/>
      <c r="X417" s="542" t="s">
        <v>294</v>
      </c>
      <c r="Y417" s="350"/>
      <c r="Z417" s="350"/>
      <c r="AA417" s="351"/>
      <c r="AB417" s="543" t="s">
        <v>294</v>
      </c>
      <c r="AC417" s="350"/>
      <c r="AD417" s="350"/>
      <c r="AE417" s="351"/>
      <c r="AF417" s="540"/>
      <c r="AG417" s="351"/>
      <c r="AH417" s="540"/>
      <c r="AI417" s="351"/>
      <c r="AJ417" s="532"/>
      <c r="AK417" s="351"/>
      <c r="AL417" s="524" t="s">
        <v>325</v>
      </c>
      <c r="AM417" s="351"/>
      <c r="AN417" s="549" t="s">
        <v>325</v>
      </c>
      <c r="AO417" s="351"/>
      <c r="AP417" s="532"/>
      <c r="AQ417" s="351"/>
      <c r="AR417" s="533"/>
      <c r="AS417" s="351"/>
      <c r="AT417" s="534"/>
      <c r="AU417" s="351"/>
      <c r="AV417" s="549" t="s">
        <v>325</v>
      </c>
      <c r="AW417" s="351"/>
      <c r="AX417" s="553"/>
      <c r="AY417" s="350"/>
      <c r="AZ417" s="351"/>
      <c r="BA417" s="545"/>
      <c r="BB417" s="351"/>
      <c r="BC417" s="39"/>
      <c r="BD417" s="546" t="s">
        <v>325</v>
      </c>
      <c r="BE417" s="351"/>
      <c r="BF417" s="557"/>
      <c r="BG417" s="350"/>
      <c r="BH417" s="350"/>
      <c r="BI417" s="351"/>
      <c r="BJ417" s="548" t="s">
        <v>294</v>
      </c>
      <c r="BK417" s="350"/>
      <c r="BL417" s="350"/>
      <c r="BM417" s="351"/>
      <c r="BN417" s="530" t="s">
        <v>294</v>
      </c>
      <c r="BO417" s="350"/>
      <c r="BP417" s="350"/>
      <c r="BQ417" s="350"/>
      <c r="BR417" s="350"/>
      <c r="BS417" s="350"/>
      <c r="BT417" s="350"/>
      <c r="BU417" s="350"/>
      <c r="BV417" s="351"/>
    </row>
    <row r="418" spans="1:74" ht="45" customHeight="1">
      <c r="A418" s="24">
        <f t="shared" si="1"/>
        <v>404</v>
      </c>
      <c r="B418" s="558" t="s">
        <v>294</v>
      </c>
      <c r="C418" s="351"/>
      <c r="D418" s="559" t="s">
        <v>298</v>
      </c>
      <c r="E418" s="351"/>
      <c r="F418" s="524" t="s">
        <v>325</v>
      </c>
      <c r="G418" s="351"/>
      <c r="H418" s="525" t="s">
        <v>325</v>
      </c>
      <c r="I418" s="351"/>
      <c r="J418" s="563"/>
      <c r="K418" s="351"/>
      <c r="L418" s="563"/>
      <c r="M418" s="351"/>
      <c r="N418" s="37"/>
      <c r="O418" s="38"/>
      <c r="P418" s="560"/>
      <c r="Q418" s="351"/>
      <c r="R418" s="527"/>
      <c r="S418" s="351"/>
      <c r="T418" s="528"/>
      <c r="U418" s="351"/>
      <c r="V418" s="541"/>
      <c r="W418" s="351"/>
      <c r="X418" s="538" t="s">
        <v>294</v>
      </c>
      <c r="Y418" s="350"/>
      <c r="Z418" s="350"/>
      <c r="AA418" s="351"/>
      <c r="AB418" s="539" t="s">
        <v>294</v>
      </c>
      <c r="AC418" s="350"/>
      <c r="AD418" s="350"/>
      <c r="AE418" s="351"/>
      <c r="AF418" s="544"/>
      <c r="AG418" s="351"/>
      <c r="AH418" s="544"/>
      <c r="AI418" s="351"/>
      <c r="AJ418" s="545"/>
      <c r="AK418" s="351"/>
      <c r="AL418" s="555" t="s">
        <v>325</v>
      </c>
      <c r="AM418" s="351"/>
      <c r="AN418" s="531" t="s">
        <v>325</v>
      </c>
      <c r="AO418" s="351"/>
      <c r="AP418" s="550"/>
      <c r="AQ418" s="351"/>
      <c r="AR418" s="551"/>
      <c r="AS418" s="351"/>
      <c r="AT418" s="534"/>
      <c r="AU418" s="351"/>
      <c r="AV418" s="531" t="s">
        <v>325</v>
      </c>
      <c r="AW418" s="351"/>
      <c r="AX418" s="553"/>
      <c r="AY418" s="350"/>
      <c r="AZ418" s="351"/>
      <c r="BA418" s="554"/>
      <c r="BB418" s="351"/>
      <c r="BC418" s="36"/>
      <c r="BD418" s="556" t="s">
        <v>325</v>
      </c>
      <c r="BE418" s="351"/>
      <c r="BF418" s="547"/>
      <c r="BG418" s="350"/>
      <c r="BH418" s="350"/>
      <c r="BI418" s="351"/>
      <c r="BJ418" s="506" t="s">
        <v>294</v>
      </c>
      <c r="BK418" s="350"/>
      <c r="BL418" s="350"/>
      <c r="BM418" s="351"/>
      <c r="BN418" s="530" t="s">
        <v>294</v>
      </c>
      <c r="BO418" s="350"/>
      <c r="BP418" s="350"/>
      <c r="BQ418" s="350"/>
      <c r="BR418" s="350"/>
      <c r="BS418" s="350"/>
      <c r="BT418" s="350"/>
      <c r="BU418" s="350"/>
      <c r="BV418" s="351"/>
    </row>
    <row r="419" spans="1:74" ht="45" customHeight="1">
      <c r="A419" s="24">
        <f t="shared" si="1"/>
        <v>405</v>
      </c>
      <c r="B419" s="522" t="s">
        <v>294</v>
      </c>
      <c r="C419" s="351"/>
      <c r="D419" s="523" t="s">
        <v>298</v>
      </c>
      <c r="E419" s="351"/>
      <c r="F419" s="524" t="s">
        <v>325</v>
      </c>
      <c r="G419" s="351"/>
      <c r="H419" s="561" t="s">
        <v>325</v>
      </c>
      <c r="I419" s="351"/>
      <c r="J419" s="562"/>
      <c r="K419" s="351"/>
      <c r="L419" s="562"/>
      <c r="M419" s="351"/>
      <c r="N419" s="34"/>
      <c r="O419" s="35"/>
      <c r="P419" s="526"/>
      <c r="Q419" s="351"/>
      <c r="R419" s="535"/>
      <c r="S419" s="351"/>
      <c r="T419" s="536"/>
      <c r="U419" s="351"/>
      <c r="V419" s="537"/>
      <c r="W419" s="351"/>
      <c r="X419" s="542" t="s">
        <v>294</v>
      </c>
      <c r="Y419" s="350"/>
      <c r="Z419" s="350"/>
      <c r="AA419" s="351"/>
      <c r="AB419" s="543" t="s">
        <v>294</v>
      </c>
      <c r="AC419" s="350"/>
      <c r="AD419" s="350"/>
      <c r="AE419" s="351"/>
      <c r="AF419" s="540"/>
      <c r="AG419" s="351"/>
      <c r="AH419" s="540"/>
      <c r="AI419" s="351"/>
      <c r="AJ419" s="532"/>
      <c r="AK419" s="351"/>
      <c r="AL419" s="524" t="s">
        <v>325</v>
      </c>
      <c r="AM419" s="351"/>
      <c r="AN419" s="549" t="s">
        <v>325</v>
      </c>
      <c r="AO419" s="351"/>
      <c r="AP419" s="532"/>
      <c r="AQ419" s="351"/>
      <c r="AR419" s="533"/>
      <c r="AS419" s="351"/>
      <c r="AT419" s="534"/>
      <c r="AU419" s="351"/>
      <c r="AV419" s="549" t="s">
        <v>325</v>
      </c>
      <c r="AW419" s="351"/>
      <c r="AX419" s="553"/>
      <c r="AY419" s="350"/>
      <c r="AZ419" s="351"/>
      <c r="BA419" s="545"/>
      <c r="BB419" s="351"/>
      <c r="BC419" s="39"/>
      <c r="BD419" s="546" t="s">
        <v>325</v>
      </c>
      <c r="BE419" s="351"/>
      <c r="BF419" s="529"/>
      <c r="BG419" s="350"/>
      <c r="BH419" s="350"/>
      <c r="BI419" s="351"/>
      <c r="BJ419" s="548" t="s">
        <v>294</v>
      </c>
      <c r="BK419" s="350"/>
      <c r="BL419" s="350"/>
      <c r="BM419" s="351"/>
      <c r="BN419" s="530" t="s">
        <v>294</v>
      </c>
      <c r="BO419" s="350"/>
      <c r="BP419" s="350"/>
      <c r="BQ419" s="350"/>
      <c r="BR419" s="350"/>
      <c r="BS419" s="350"/>
      <c r="BT419" s="350"/>
      <c r="BU419" s="350"/>
      <c r="BV419" s="351"/>
    </row>
    <row r="420" spans="1:74" ht="45" customHeight="1">
      <c r="A420" s="24">
        <f t="shared" si="1"/>
        <v>406</v>
      </c>
      <c r="B420" s="558" t="s">
        <v>294</v>
      </c>
      <c r="C420" s="351"/>
      <c r="D420" s="559" t="s">
        <v>298</v>
      </c>
      <c r="E420" s="351"/>
      <c r="F420" s="524" t="s">
        <v>325</v>
      </c>
      <c r="G420" s="351"/>
      <c r="H420" s="525" t="s">
        <v>325</v>
      </c>
      <c r="I420" s="351"/>
      <c r="J420" s="563"/>
      <c r="K420" s="351"/>
      <c r="L420" s="563"/>
      <c r="M420" s="351"/>
      <c r="N420" s="37"/>
      <c r="O420" s="38"/>
      <c r="P420" s="560"/>
      <c r="Q420" s="351"/>
      <c r="R420" s="527"/>
      <c r="S420" s="351"/>
      <c r="T420" s="528"/>
      <c r="U420" s="351"/>
      <c r="V420" s="541"/>
      <c r="W420" s="351"/>
      <c r="X420" s="538" t="s">
        <v>294</v>
      </c>
      <c r="Y420" s="350"/>
      <c r="Z420" s="350"/>
      <c r="AA420" s="351"/>
      <c r="AB420" s="539" t="s">
        <v>294</v>
      </c>
      <c r="AC420" s="350"/>
      <c r="AD420" s="350"/>
      <c r="AE420" s="351"/>
      <c r="AF420" s="544"/>
      <c r="AG420" s="351"/>
      <c r="AH420" s="544"/>
      <c r="AI420" s="351"/>
      <c r="AJ420" s="545"/>
      <c r="AK420" s="351"/>
      <c r="AL420" s="555" t="s">
        <v>325</v>
      </c>
      <c r="AM420" s="351"/>
      <c r="AN420" s="531" t="s">
        <v>325</v>
      </c>
      <c r="AO420" s="351"/>
      <c r="AP420" s="550"/>
      <c r="AQ420" s="351"/>
      <c r="AR420" s="551"/>
      <c r="AS420" s="351"/>
      <c r="AT420" s="534"/>
      <c r="AU420" s="351"/>
      <c r="AV420" s="531" t="s">
        <v>325</v>
      </c>
      <c r="AW420" s="351"/>
      <c r="AX420" s="553"/>
      <c r="AY420" s="350"/>
      <c r="AZ420" s="351"/>
      <c r="BA420" s="554"/>
      <c r="BB420" s="351"/>
      <c r="BC420" s="36"/>
      <c r="BD420" s="556" t="s">
        <v>325</v>
      </c>
      <c r="BE420" s="351"/>
      <c r="BF420" s="547"/>
      <c r="BG420" s="350"/>
      <c r="BH420" s="350"/>
      <c r="BI420" s="351"/>
      <c r="BJ420" s="506" t="s">
        <v>294</v>
      </c>
      <c r="BK420" s="350"/>
      <c r="BL420" s="350"/>
      <c r="BM420" s="351"/>
      <c r="BN420" s="530" t="s">
        <v>294</v>
      </c>
      <c r="BO420" s="350"/>
      <c r="BP420" s="350"/>
      <c r="BQ420" s="350"/>
      <c r="BR420" s="350"/>
      <c r="BS420" s="350"/>
      <c r="BT420" s="350"/>
      <c r="BU420" s="350"/>
      <c r="BV420" s="351"/>
    </row>
    <row r="421" spans="1:74" ht="45" customHeight="1">
      <c r="A421" s="24">
        <f t="shared" si="1"/>
        <v>407</v>
      </c>
      <c r="B421" s="522" t="s">
        <v>294</v>
      </c>
      <c r="C421" s="351"/>
      <c r="D421" s="523" t="s">
        <v>298</v>
      </c>
      <c r="E421" s="351"/>
      <c r="F421" s="524" t="s">
        <v>325</v>
      </c>
      <c r="G421" s="351"/>
      <c r="H421" s="561" t="s">
        <v>325</v>
      </c>
      <c r="I421" s="351"/>
      <c r="J421" s="562"/>
      <c r="K421" s="351"/>
      <c r="L421" s="562"/>
      <c r="M421" s="351"/>
      <c r="N421" s="34"/>
      <c r="O421" s="35"/>
      <c r="P421" s="526"/>
      <c r="Q421" s="351"/>
      <c r="R421" s="535"/>
      <c r="S421" s="351"/>
      <c r="T421" s="536"/>
      <c r="U421" s="351"/>
      <c r="V421" s="537"/>
      <c r="W421" s="351"/>
      <c r="X421" s="542" t="s">
        <v>294</v>
      </c>
      <c r="Y421" s="350"/>
      <c r="Z421" s="350"/>
      <c r="AA421" s="351"/>
      <c r="AB421" s="543" t="s">
        <v>294</v>
      </c>
      <c r="AC421" s="350"/>
      <c r="AD421" s="350"/>
      <c r="AE421" s="351"/>
      <c r="AF421" s="540"/>
      <c r="AG421" s="351"/>
      <c r="AH421" s="540"/>
      <c r="AI421" s="351"/>
      <c r="AJ421" s="532"/>
      <c r="AK421" s="351"/>
      <c r="AL421" s="524" t="s">
        <v>325</v>
      </c>
      <c r="AM421" s="351"/>
      <c r="AN421" s="549" t="s">
        <v>325</v>
      </c>
      <c r="AO421" s="351"/>
      <c r="AP421" s="532"/>
      <c r="AQ421" s="351"/>
      <c r="AR421" s="533"/>
      <c r="AS421" s="351"/>
      <c r="AT421" s="534"/>
      <c r="AU421" s="351"/>
      <c r="AV421" s="549" t="s">
        <v>325</v>
      </c>
      <c r="AW421" s="351"/>
      <c r="AX421" s="553"/>
      <c r="AY421" s="350"/>
      <c r="AZ421" s="351"/>
      <c r="BA421" s="545"/>
      <c r="BB421" s="351"/>
      <c r="BC421" s="39"/>
      <c r="BD421" s="546" t="s">
        <v>325</v>
      </c>
      <c r="BE421" s="351"/>
      <c r="BF421" s="557"/>
      <c r="BG421" s="350"/>
      <c r="BH421" s="350"/>
      <c r="BI421" s="351"/>
      <c r="BJ421" s="548" t="s">
        <v>294</v>
      </c>
      <c r="BK421" s="350"/>
      <c r="BL421" s="350"/>
      <c r="BM421" s="351"/>
      <c r="BN421" s="530" t="s">
        <v>294</v>
      </c>
      <c r="BO421" s="350"/>
      <c r="BP421" s="350"/>
      <c r="BQ421" s="350"/>
      <c r="BR421" s="350"/>
      <c r="BS421" s="350"/>
      <c r="BT421" s="350"/>
      <c r="BU421" s="350"/>
      <c r="BV421" s="351"/>
    </row>
    <row r="422" spans="1:74" ht="45" customHeight="1">
      <c r="A422" s="24">
        <f t="shared" si="1"/>
        <v>408</v>
      </c>
      <c r="B422" s="558" t="s">
        <v>294</v>
      </c>
      <c r="C422" s="351"/>
      <c r="D422" s="559" t="s">
        <v>298</v>
      </c>
      <c r="E422" s="351"/>
      <c r="F422" s="524" t="s">
        <v>325</v>
      </c>
      <c r="G422" s="351"/>
      <c r="H422" s="525" t="s">
        <v>325</v>
      </c>
      <c r="I422" s="351"/>
      <c r="J422" s="563"/>
      <c r="K422" s="351"/>
      <c r="L422" s="563"/>
      <c r="M422" s="351"/>
      <c r="N422" s="37"/>
      <c r="O422" s="38"/>
      <c r="P422" s="560"/>
      <c r="Q422" s="351"/>
      <c r="R422" s="527"/>
      <c r="S422" s="351"/>
      <c r="T422" s="528"/>
      <c r="U422" s="351"/>
      <c r="V422" s="541"/>
      <c r="W422" s="351"/>
      <c r="X422" s="538" t="s">
        <v>294</v>
      </c>
      <c r="Y422" s="350"/>
      <c r="Z422" s="350"/>
      <c r="AA422" s="351"/>
      <c r="AB422" s="539" t="s">
        <v>294</v>
      </c>
      <c r="AC422" s="350"/>
      <c r="AD422" s="350"/>
      <c r="AE422" s="351"/>
      <c r="AF422" s="544"/>
      <c r="AG422" s="351"/>
      <c r="AH422" s="544"/>
      <c r="AI422" s="351"/>
      <c r="AJ422" s="545"/>
      <c r="AK422" s="351"/>
      <c r="AL422" s="555" t="s">
        <v>325</v>
      </c>
      <c r="AM422" s="351"/>
      <c r="AN422" s="531" t="s">
        <v>325</v>
      </c>
      <c r="AO422" s="351"/>
      <c r="AP422" s="550"/>
      <c r="AQ422" s="351"/>
      <c r="AR422" s="551"/>
      <c r="AS422" s="351"/>
      <c r="AT422" s="534"/>
      <c r="AU422" s="351"/>
      <c r="AV422" s="531" t="s">
        <v>325</v>
      </c>
      <c r="AW422" s="351"/>
      <c r="AX422" s="553"/>
      <c r="AY422" s="350"/>
      <c r="AZ422" s="351"/>
      <c r="BA422" s="554"/>
      <c r="BB422" s="351"/>
      <c r="BC422" s="36"/>
      <c r="BD422" s="556" t="s">
        <v>325</v>
      </c>
      <c r="BE422" s="351"/>
      <c r="BF422" s="547"/>
      <c r="BG422" s="350"/>
      <c r="BH422" s="350"/>
      <c r="BI422" s="351"/>
      <c r="BJ422" s="506" t="s">
        <v>294</v>
      </c>
      <c r="BK422" s="350"/>
      <c r="BL422" s="350"/>
      <c r="BM422" s="351"/>
      <c r="BN422" s="530" t="s">
        <v>294</v>
      </c>
      <c r="BO422" s="350"/>
      <c r="BP422" s="350"/>
      <c r="BQ422" s="350"/>
      <c r="BR422" s="350"/>
      <c r="BS422" s="350"/>
      <c r="BT422" s="350"/>
      <c r="BU422" s="350"/>
      <c r="BV422" s="351"/>
    </row>
    <row r="423" spans="1:74" ht="45" customHeight="1">
      <c r="A423" s="24">
        <f t="shared" si="1"/>
        <v>409</v>
      </c>
      <c r="B423" s="522" t="s">
        <v>294</v>
      </c>
      <c r="C423" s="351"/>
      <c r="D423" s="523" t="s">
        <v>298</v>
      </c>
      <c r="E423" s="351"/>
      <c r="F423" s="524" t="s">
        <v>325</v>
      </c>
      <c r="G423" s="351"/>
      <c r="H423" s="561" t="s">
        <v>325</v>
      </c>
      <c r="I423" s="351"/>
      <c r="J423" s="562"/>
      <c r="K423" s="351"/>
      <c r="L423" s="562"/>
      <c r="M423" s="351"/>
      <c r="N423" s="34"/>
      <c r="O423" s="35"/>
      <c r="P423" s="526"/>
      <c r="Q423" s="351"/>
      <c r="R423" s="535"/>
      <c r="S423" s="351"/>
      <c r="T423" s="536"/>
      <c r="U423" s="351"/>
      <c r="V423" s="537"/>
      <c r="W423" s="351"/>
      <c r="X423" s="542" t="s">
        <v>294</v>
      </c>
      <c r="Y423" s="350"/>
      <c r="Z423" s="350"/>
      <c r="AA423" s="351"/>
      <c r="AB423" s="543" t="s">
        <v>294</v>
      </c>
      <c r="AC423" s="350"/>
      <c r="AD423" s="350"/>
      <c r="AE423" s="351"/>
      <c r="AF423" s="540"/>
      <c r="AG423" s="351"/>
      <c r="AH423" s="540"/>
      <c r="AI423" s="351"/>
      <c r="AJ423" s="532"/>
      <c r="AK423" s="351"/>
      <c r="AL423" s="524" t="s">
        <v>325</v>
      </c>
      <c r="AM423" s="351"/>
      <c r="AN423" s="549" t="s">
        <v>325</v>
      </c>
      <c r="AO423" s="351"/>
      <c r="AP423" s="532"/>
      <c r="AQ423" s="351"/>
      <c r="AR423" s="533"/>
      <c r="AS423" s="351"/>
      <c r="AT423" s="534"/>
      <c r="AU423" s="351"/>
      <c r="AV423" s="549" t="s">
        <v>325</v>
      </c>
      <c r="AW423" s="351"/>
      <c r="AX423" s="553"/>
      <c r="AY423" s="350"/>
      <c r="AZ423" s="351"/>
      <c r="BA423" s="545"/>
      <c r="BB423" s="351"/>
      <c r="BC423" s="39"/>
      <c r="BD423" s="546" t="s">
        <v>325</v>
      </c>
      <c r="BE423" s="351"/>
      <c r="BF423" s="529"/>
      <c r="BG423" s="350"/>
      <c r="BH423" s="350"/>
      <c r="BI423" s="351"/>
      <c r="BJ423" s="548" t="s">
        <v>294</v>
      </c>
      <c r="BK423" s="350"/>
      <c r="BL423" s="350"/>
      <c r="BM423" s="351"/>
      <c r="BN423" s="530" t="s">
        <v>294</v>
      </c>
      <c r="BO423" s="350"/>
      <c r="BP423" s="350"/>
      <c r="BQ423" s="350"/>
      <c r="BR423" s="350"/>
      <c r="BS423" s="350"/>
      <c r="BT423" s="350"/>
      <c r="BU423" s="350"/>
      <c r="BV423" s="351"/>
    </row>
    <row r="424" spans="1:74" ht="45" customHeight="1">
      <c r="A424" s="24">
        <f t="shared" si="1"/>
        <v>410</v>
      </c>
      <c r="B424" s="558" t="s">
        <v>294</v>
      </c>
      <c r="C424" s="351"/>
      <c r="D424" s="559" t="s">
        <v>298</v>
      </c>
      <c r="E424" s="351"/>
      <c r="F424" s="524" t="s">
        <v>325</v>
      </c>
      <c r="G424" s="351"/>
      <c r="H424" s="525" t="s">
        <v>325</v>
      </c>
      <c r="I424" s="351"/>
      <c r="J424" s="563"/>
      <c r="K424" s="351"/>
      <c r="L424" s="563"/>
      <c r="M424" s="351"/>
      <c r="N424" s="37"/>
      <c r="O424" s="38"/>
      <c r="P424" s="560"/>
      <c r="Q424" s="351"/>
      <c r="R424" s="527"/>
      <c r="S424" s="351"/>
      <c r="T424" s="528"/>
      <c r="U424" s="351"/>
      <c r="V424" s="541"/>
      <c r="W424" s="351"/>
      <c r="X424" s="538" t="s">
        <v>294</v>
      </c>
      <c r="Y424" s="350"/>
      <c r="Z424" s="350"/>
      <c r="AA424" s="351"/>
      <c r="AB424" s="539" t="s">
        <v>294</v>
      </c>
      <c r="AC424" s="350"/>
      <c r="AD424" s="350"/>
      <c r="AE424" s="351"/>
      <c r="AF424" s="544"/>
      <c r="AG424" s="351"/>
      <c r="AH424" s="544"/>
      <c r="AI424" s="351"/>
      <c r="AJ424" s="545"/>
      <c r="AK424" s="351"/>
      <c r="AL424" s="555" t="s">
        <v>325</v>
      </c>
      <c r="AM424" s="351"/>
      <c r="AN424" s="531" t="s">
        <v>325</v>
      </c>
      <c r="AO424" s="351"/>
      <c r="AP424" s="550"/>
      <c r="AQ424" s="351"/>
      <c r="AR424" s="551"/>
      <c r="AS424" s="351"/>
      <c r="AT424" s="534"/>
      <c r="AU424" s="351"/>
      <c r="AV424" s="531" t="s">
        <v>325</v>
      </c>
      <c r="AW424" s="351"/>
      <c r="AX424" s="553"/>
      <c r="AY424" s="350"/>
      <c r="AZ424" s="351"/>
      <c r="BA424" s="554"/>
      <c r="BB424" s="351"/>
      <c r="BC424" s="36"/>
      <c r="BD424" s="556" t="s">
        <v>325</v>
      </c>
      <c r="BE424" s="351"/>
      <c r="BF424" s="547"/>
      <c r="BG424" s="350"/>
      <c r="BH424" s="350"/>
      <c r="BI424" s="351"/>
      <c r="BJ424" s="506" t="s">
        <v>294</v>
      </c>
      <c r="BK424" s="350"/>
      <c r="BL424" s="350"/>
      <c r="BM424" s="351"/>
      <c r="BN424" s="530" t="s">
        <v>294</v>
      </c>
      <c r="BO424" s="350"/>
      <c r="BP424" s="350"/>
      <c r="BQ424" s="350"/>
      <c r="BR424" s="350"/>
      <c r="BS424" s="350"/>
      <c r="BT424" s="350"/>
      <c r="BU424" s="350"/>
      <c r="BV424" s="351"/>
    </row>
    <row r="425" spans="1:74" ht="45" customHeight="1">
      <c r="A425" s="24">
        <f t="shared" si="1"/>
        <v>411</v>
      </c>
      <c r="B425" s="522" t="s">
        <v>294</v>
      </c>
      <c r="C425" s="351"/>
      <c r="D425" s="523" t="s">
        <v>298</v>
      </c>
      <c r="E425" s="351"/>
      <c r="F425" s="524" t="s">
        <v>325</v>
      </c>
      <c r="G425" s="351"/>
      <c r="H425" s="561" t="s">
        <v>325</v>
      </c>
      <c r="I425" s="351"/>
      <c r="J425" s="562"/>
      <c r="K425" s="351"/>
      <c r="L425" s="562"/>
      <c r="M425" s="351"/>
      <c r="N425" s="34"/>
      <c r="O425" s="35"/>
      <c r="P425" s="526"/>
      <c r="Q425" s="351"/>
      <c r="R425" s="535"/>
      <c r="S425" s="351"/>
      <c r="T425" s="536"/>
      <c r="U425" s="351"/>
      <c r="V425" s="537"/>
      <c r="W425" s="351"/>
      <c r="X425" s="542" t="s">
        <v>294</v>
      </c>
      <c r="Y425" s="350"/>
      <c r="Z425" s="350"/>
      <c r="AA425" s="351"/>
      <c r="AB425" s="543" t="s">
        <v>294</v>
      </c>
      <c r="AC425" s="350"/>
      <c r="AD425" s="350"/>
      <c r="AE425" s="351"/>
      <c r="AF425" s="540"/>
      <c r="AG425" s="351"/>
      <c r="AH425" s="540"/>
      <c r="AI425" s="351"/>
      <c r="AJ425" s="532"/>
      <c r="AK425" s="351"/>
      <c r="AL425" s="524" t="s">
        <v>325</v>
      </c>
      <c r="AM425" s="351"/>
      <c r="AN425" s="549" t="s">
        <v>325</v>
      </c>
      <c r="AO425" s="351"/>
      <c r="AP425" s="532"/>
      <c r="AQ425" s="351"/>
      <c r="AR425" s="533"/>
      <c r="AS425" s="351"/>
      <c r="AT425" s="534"/>
      <c r="AU425" s="351"/>
      <c r="AV425" s="549" t="s">
        <v>325</v>
      </c>
      <c r="AW425" s="351"/>
      <c r="AX425" s="553"/>
      <c r="AY425" s="350"/>
      <c r="AZ425" s="351"/>
      <c r="BA425" s="545"/>
      <c r="BB425" s="351"/>
      <c r="BC425" s="39"/>
      <c r="BD425" s="546" t="s">
        <v>325</v>
      </c>
      <c r="BE425" s="351"/>
      <c r="BF425" s="529"/>
      <c r="BG425" s="350"/>
      <c r="BH425" s="350"/>
      <c r="BI425" s="351"/>
      <c r="BJ425" s="548" t="s">
        <v>294</v>
      </c>
      <c r="BK425" s="350"/>
      <c r="BL425" s="350"/>
      <c r="BM425" s="351"/>
      <c r="BN425" s="530" t="s">
        <v>294</v>
      </c>
      <c r="BO425" s="350"/>
      <c r="BP425" s="350"/>
      <c r="BQ425" s="350"/>
      <c r="BR425" s="350"/>
      <c r="BS425" s="350"/>
      <c r="BT425" s="350"/>
      <c r="BU425" s="350"/>
      <c r="BV425" s="351"/>
    </row>
    <row r="426" spans="1:74" ht="45" customHeight="1">
      <c r="A426" s="24">
        <f t="shared" si="1"/>
        <v>412</v>
      </c>
      <c r="B426" s="558" t="s">
        <v>294</v>
      </c>
      <c r="C426" s="351"/>
      <c r="D426" s="559" t="s">
        <v>298</v>
      </c>
      <c r="E426" s="351"/>
      <c r="F426" s="524" t="s">
        <v>325</v>
      </c>
      <c r="G426" s="351"/>
      <c r="H426" s="525" t="s">
        <v>325</v>
      </c>
      <c r="I426" s="351"/>
      <c r="J426" s="563"/>
      <c r="K426" s="351"/>
      <c r="L426" s="563"/>
      <c r="M426" s="351"/>
      <c r="N426" s="37"/>
      <c r="O426" s="38"/>
      <c r="P426" s="560"/>
      <c r="Q426" s="351"/>
      <c r="R426" s="527"/>
      <c r="S426" s="351"/>
      <c r="T426" s="528"/>
      <c r="U426" s="351"/>
      <c r="V426" s="541"/>
      <c r="W426" s="351"/>
      <c r="X426" s="538" t="s">
        <v>294</v>
      </c>
      <c r="Y426" s="350"/>
      <c r="Z426" s="350"/>
      <c r="AA426" s="351"/>
      <c r="AB426" s="539" t="s">
        <v>294</v>
      </c>
      <c r="AC426" s="350"/>
      <c r="AD426" s="350"/>
      <c r="AE426" s="351"/>
      <c r="AF426" s="544"/>
      <c r="AG426" s="351"/>
      <c r="AH426" s="544"/>
      <c r="AI426" s="351"/>
      <c r="AJ426" s="545"/>
      <c r="AK426" s="351"/>
      <c r="AL426" s="555" t="s">
        <v>325</v>
      </c>
      <c r="AM426" s="351"/>
      <c r="AN426" s="531" t="s">
        <v>325</v>
      </c>
      <c r="AO426" s="351"/>
      <c r="AP426" s="550"/>
      <c r="AQ426" s="351"/>
      <c r="AR426" s="551"/>
      <c r="AS426" s="351"/>
      <c r="AT426" s="534"/>
      <c r="AU426" s="351"/>
      <c r="AV426" s="531" t="s">
        <v>325</v>
      </c>
      <c r="AW426" s="351"/>
      <c r="AX426" s="553"/>
      <c r="AY426" s="350"/>
      <c r="AZ426" s="351"/>
      <c r="BA426" s="554"/>
      <c r="BB426" s="351"/>
      <c r="BC426" s="36"/>
      <c r="BD426" s="556" t="s">
        <v>325</v>
      </c>
      <c r="BE426" s="351"/>
      <c r="BF426" s="547"/>
      <c r="BG426" s="350"/>
      <c r="BH426" s="350"/>
      <c r="BI426" s="351"/>
      <c r="BJ426" s="506" t="s">
        <v>294</v>
      </c>
      <c r="BK426" s="350"/>
      <c r="BL426" s="350"/>
      <c r="BM426" s="351"/>
      <c r="BN426" s="530" t="s">
        <v>294</v>
      </c>
      <c r="BO426" s="350"/>
      <c r="BP426" s="350"/>
      <c r="BQ426" s="350"/>
      <c r="BR426" s="350"/>
      <c r="BS426" s="350"/>
      <c r="BT426" s="350"/>
      <c r="BU426" s="350"/>
      <c r="BV426" s="351"/>
    </row>
    <row r="427" spans="1:74" ht="45" customHeight="1">
      <c r="A427" s="24">
        <f t="shared" si="1"/>
        <v>413</v>
      </c>
      <c r="B427" s="522" t="s">
        <v>294</v>
      </c>
      <c r="C427" s="351"/>
      <c r="D427" s="523" t="s">
        <v>298</v>
      </c>
      <c r="E427" s="351"/>
      <c r="F427" s="524" t="s">
        <v>325</v>
      </c>
      <c r="G427" s="351"/>
      <c r="H427" s="561" t="s">
        <v>325</v>
      </c>
      <c r="I427" s="351"/>
      <c r="J427" s="562"/>
      <c r="K427" s="351"/>
      <c r="L427" s="562"/>
      <c r="M427" s="351"/>
      <c r="N427" s="34"/>
      <c r="O427" s="35"/>
      <c r="P427" s="526"/>
      <c r="Q427" s="351"/>
      <c r="R427" s="535"/>
      <c r="S427" s="351"/>
      <c r="T427" s="536"/>
      <c r="U427" s="351"/>
      <c r="V427" s="537"/>
      <c r="W427" s="351"/>
      <c r="X427" s="542" t="s">
        <v>294</v>
      </c>
      <c r="Y427" s="350"/>
      <c r="Z427" s="350"/>
      <c r="AA427" s="351"/>
      <c r="AB427" s="543" t="s">
        <v>294</v>
      </c>
      <c r="AC427" s="350"/>
      <c r="AD427" s="350"/>
      <c r="AE427" s="351"/>
      <c r="AF427" s="540"/>
      <c r="AG427" s="351"/>
      <c r="AH427" s="540"/>
      <c r="AI427" s="351"/>
      <c r="AJ427" s="532"/>
      <c r="AK427" s="351"/>
      <c r="AL427" s="524" t="s">
        <v>325</v>
      </c>
      <c r="AM427" s="351"/>
      <c r="AN427" s="549" t="s">
        <v>325</v>
      </c>
      <c r="AO427" s="351"/>
      <c r="AP427" s="532"/>
      <c r="AQ427" s="351"/>
      <c r="AR427" s="533"/>
      <c r="AS427" s="351"/>
      <c r="AT427" s="534"/>
      <c r="AU427" s="351"/>
      <c r="AV427" s="549" t="s">
        <v>325</v>
      </c>
      <c r="AW427" s="351"/>
      <c r="AX427" s="553"/>
      <c r="AY427" s="350"/>
      <c r="AZ427" s="351"/>
      <c r="BA427" s="545"/>
      <c r="BB427" s="351"/>
      <c r="BC427" s="39"/>
      <c r="BD427" s="546" t="s">
        <v>325</v>
      </c>
      <c r="BE427" s="351"/>
      <c r="BF427" s="557"/>
      <c r="BG427" s="350"/>
      <c r="BH427" s="350"/>
      <c r="BI427" s="351"/>
      <c r="BJ427" s="548" t="s">
        <v>294</v>
      </c>
      <c r="BK427" s="350"/>
      <c r="BL427" s="350"/>
      <c r="BM427" s="351"/>
      <c r="BN427" s="530" t="s">
        <v>294</v>
      </c>
      <c r="BO427" s="350"/>
      <c r="BP427" s="350"/>
      <c r="BQ427" s="350"/>
      <c r="BR427" s="350"/>
      <c r="BS427" s="350"/>
      <c r="BT427" s="350"/>
      <c r="BU427" s="350"/>
      <c r="BV427" s="351"/>
    </row>
    <row r="428" spans="1:74" ht="45" customHeight="1">
      <c r="A428" s="24">
        <f t="shared" si="1"/>
        <v>414</v>
      </c>
      <c r="B428" s="558" t="s">
        <v>294</v>
      </c>
      <c r="C428" s="351"/>
      <c r="D428" s="559" t="s">
        <v>298</v>
      </c>
      <c r="E428" s="351"/>
      <c r="F428" s="524" t="s">
        <v>325</v>
      </c>
      <c r="G428" s="351"/>
      <c r="H428" s="525" t="s">
        <v>325</v>
      </c>
      <c r="I428" s="351"/>
      <c r="J428" s="563"/>
      <c r="K428" s="351"/>
      <c r="L428" s="563"/>
      <c r="M428" s="351"/>
      <c r="N428" s="37"/>
      <c r="O428" s="38"/>
      <c r="P428" s="560"/>
      <c r="Q428" s="351"/>
      <c r="R428" s="527"/>
      <c r="S428" s="351"/>
      <c r="T428" s="528"/>
      <c r="U428" s="351"/>
      <c r="V428" s="541"/>
      <c r="W428" s="351"/>
      <c r="X428" s="538" t="s">
        <v>294</v>
      </c>
      <c r="Y428" s="350"/>
      <c r="Z428" s="350"/>
      <c r="AA428" s="351"/>
      <c r="AB428" s="539" t="s">
        <v>294</v>
      </c>
      <c r="AC428" s="350"/>
      <c r="AD428" s="350"/>
      <c r="AE428" s="351"/>
      <c r="AF428" s="544"/>
      <c r="AG428" s="351"/>
      <c r="AH428" s="544"/>
      <c r="AI428" s="351"/>
      <c r="AJ428" s="545"/>
      <c r="AK428" s="351"/>
      <c r="AL428" s="555" t="s">
        <v>325</v>
      </c>
      <c r="AM428" s="351"/>
      <c r="AN428" s="531" t="s">
        <v>325</v>
      </c>
      <c r="AO428" s="351"/>
      <c r="AP428" s="550"/>
      <c r="AQ428" s="351"/>
      <c r="AR428" s="551"/>
      <c r="AS428" s="351"/>
      <c r="AT428" s="534"/>
      <c r="AU428" s="351"/>
      <c r="AV428" s="531" t="s">
        <v>325</v>
      </c>
      <c r="AW428" s="351"/>
      <c r="AX428" s="553"/>
      <c r="AY428" s="350"/>
      <c r="AZ428" s="351"/>
      <c r="BA428" s="554"/>
      <c r="BB428" s="351"/>
      <c r="BC428" s="36"/>
      <c r="BD428" s="556" t="s">
        <v>325</v>
      </c>
      <c r="BE428" s="351"/>
      <c r="BF428" s="547"/>
      <c r="BG428" s="350"/>
      <c r="BH428" s="350"/>
      <c r="BI428" s="351"/>
      <c r="BJ428" s="506" t="s">
        <v>294</v>
      </c>
      <c r="BK428" s="350"/>
      <c r="BL428" s="350"/>
      <c r="BM428" s="351"/>
      <c r="BN428" s="530" t="s">
        <v>294</v>
      </c>
      <c r="BO428" s="350"/>
      <c r="BP428" s="350"/>
      <c r="BQ428" s="350"/>
      <c r="BR428" s="350"/>
      <c r="BS428" s="350"/>
      <c r="BT428" s="350"/>
      <c r="BU428" s="350"/>
      <c r="BV428" s="351"/>
    </row>
    <row r="429" spans="1:74" ht="45" customHeight="1">
      <c r="A429" s="24">
        <f t="shared" si="1"/>
        <v>415</v>
      </c>
      <c r="B429" s="522" t="s">
        <v>294</v>
      </c>
      <c r="C429" s="351"/>
      <c r="D429" s="523" t="s">
        <v>298</v>
      </c>
      <c r="E429" s="351"/>
      <c r="F429" s="524" t="s">
        <v>325</v>
      </c>
      <c r="G429" s="351"/>
      <c r="H429" s="561" t="s">
        <v>325</v>
      </c>
      <c r="I429" s="351"/>
      <c r="J429" s="562"/>
      <c r="K429" s="351"/>
      <c r="L429" s="562"/>
      <c r="M429" s="351"/>
      <c r="N429" s="34"/>
      <c r="O429" s="35"/>
      <c r="P429" s="526"/>
      <c r="Q429" s="351"/>
      <c r="R429" s="535"/>
      <c r="S429" s="351"/>
      <c r="T429" s="536"/>
      <c r="U429" s="351"/>
      <c r="V429" s="537"/>
      <c r="W429" s="351"/>
      <c r="X429" s="542" t="s">
        <v>294</v>
      </c>
      <c r="Y429" s="350"/>
      <c r="Z429" s="350"/>
      <c r="AA429" s="351"/>
      <c r="AB429" s="543" t="s">
        <v>294</v>
      </c>
      <c r="AC429" s="350"/>
      <c r="AD429" s="350"/>
      <c r="AE429" s="351"/>
      <c r="AF429" s="540"/>
      <c r="AG429" s="351"/>
      <c r="AH429" s="540"/>
      <c r="AI429" s="351"/>
      <c r="AJ429" s="532"/>
      <c r="AK429" s="351"/>
      <c r="AL429" s="524" t="s">
        <v>325</v>
      </c>
      <c r="AM429" s="351"/>
      <c r="AN429" s="549" t="s">
        <v>325</v>
      </c>
      <c r="AO429" s="351"/>
      <c r="AP429" s="532"/>
      <c r="AQ429" s="351"/>
      <c r="AR429" s="533"/>
      <c r="AS429" s="351"/>
      <c r="AT429" s="534"/>
      <c r="AU429" s="351"/>
      <c r="AV429" s="549" t="s">
        <v>325</v>
      </c>
      <c r="AW429" s="351"/>
      <c r="AX429" s="553"/>
      <c r="AY429" s="350"/>
      <c r="AZ429" s="351"/>
      <c r="BA429" s="545"/>
      <c r="BB429" s="351"/>
      <c r="BC429" s="39"/>
      <c r="BD429" s="546" t="s">
        <v>325</v>
      </c>
      <c r="BE429" s="351"/>
      <c r="BF429" s="529"/>
      <c r="BG429" s="350"/>
      <c r="BH429" s="350"/>
      <c r="BI429" s="351"/>
      <c r="BJ429" s="548" t="s">
        <v>294</v>
      </c>
      <c r="BK429" s="350"/>
      <c r="BL429" s="350"/>
      <c r="BM429" s="351"/>
      <c r="BN429" s="530" t="s">
        <v>294</v>
      </c>
      <c r="BO429" s="350"/>
      <c r="BP429" s="350"/>
      <c r="BQ429" s="350"/>
      <c r="BR429" s="350"/>
      <c r="BS429" s="350"/>
      <c r="BT429" s="350"/>
      <c r="BU429" s="350"/>
      <c r="BV429" s="351"/>
    </row>
    <row r="430" spans="1:74" ht="45" customHeight="1">
      <c r="A430" s="24">
        <f t="shared" si="1"/>
        <v>416</v>
      </c>
      <c r="B430" s="558" t="s">
        <v>294</v>
      </c>
      <c r="C430" s="351"/>
      <c r="D430" s="559" t="s">
        <v>298</v>
      </c>
      <c r="E430" s="351"/>
      <c r="F430" s="524" t="s">
        <v>325</v>
      </c>
      <c r="G430" s="351"/>
      <c r="H430" s="525" t="s">
        <v>325</v>
      </c>
      <c r="I430" s="351"/>
      <c r="J430" s="563"/>
      <c r="K430" s="351"/>
      <c r="L430" s="563"/>
      <c r="M430" s="351"/>
      <c r="N430" s="37"/>
      <c r="O430" s="38"/>
      <c r="P430" s="560"/>
      <c r="Q430" s="351"/>
      <c r="R430" s="527"/>
      <c r="S430" s="351"/>
      <c r="T430" s="528"/>
      <c r="U430" s="351"/>
      <c r="V430" s="541"/>
      <c r="W430" s="351"/>
      <c r="X430" s="538" t="s">
        <v>294</v>
      </c>
      <c r="Y430" s="350"/>
      <c r="Z430" s="350"/>
      <c r="AA430" s="351"/>
      <c r="AB430" s="539" t="s">
        <v>294</v>
      </c>
      <c r="AC430" s="350"/>
      <c r="AD430" s="350"/>
      <c r="AE430" s="351"/>
      <c r="AF430" s="544"/>
      <c r="AG430" s="351"/>
      <c r="AH430" s="544"/>
      <c r="AI430" s="351"/>
      <c r="AJ430" s="545"/>
      <c r="AK430" s="351"/>
      <c r="AL430" s="555" t="s">
        <v>325</v>
      </c>
      <c r="AM430" s="351"/>
      <c r="AN430" s="531" t="s">
        <v>325</v>
      </c>
      <c r="AO430" s="351"/>
      <c r="AP430" s="550"/>
      <c r="AQ430" s="351"/>
      <c r="AR430" s="551"/>
      <c r="AS430" s="351"/>
      <c r="AT430" s="534"/>
      <c r="AU430" s="351"/>
      <c r="AV430" s="531" t="s">
        <v>325</v>
      </c>
      <c r="AW430" s="351"/>
      <c r="AX430" s="553"/>
      <c r="AY430" s="350"/>
      <c r="AZ430" s="351"/>
      <c r="BA430" s="554"/>
      <c r="BB430" s="351"/>
      <c r="BC430" s="36"/>
      <c r="BD430" s="556" t="s">
        <v>325</v>
      </c>
      <c r="BE430" s="351"/>
      <c r="BF430" s="547"/>
      <c r="BG430" s="350"/>
      <c r="BH430" s="350"/>
      <c r="BI430" s="351"/>
      <c r="BJ430" s="506" t="s">
        <v>294</v>
      </c>
      <c r="BK430" s="350"/>
      <c r="BL430" s="350"/>
      <c r="BM430" s="351"/>
      <c r="BN430" s="530" t="s">
        <v>294</v>
      </c>
      <c r="BO430" s="350"/>
      <c r="BP430" s="350"/>
      <c r="BQ430" s="350"/>
      <c r="BR430" s="350"/>
      <c r="BS430" s="350"/>
      <c r="BT430" s="350"/>
      <c r="BU430" s="350"/>
      <c r="BV430" s="351"/>
    </row>
    <row r="431" spans="1:74" ht="45" customHeight="1">
      <c r="A431" s="24">
        <f t="shared" si="1"/>
        <v>417</v>
      </c>
      <c r="B431" s="522" t="s">
        <v>294</v>
      </c>
      <c r="C431" s="351"/>
      <c r="D431" s="523" t="s">
        <v>298</v>
      </c>
      <c r="E431" s="351"/>
      <c r="F431" s="524" t="s">
        <v>325</v>
      </c>
      <c r="G431" s="351"/>
      <c r="H431" s="561" t="s">
        <v>325</v>
      </c>
      <c r="I431" s="351"/>
      <c r="J431" s="562"/>
      <c r="K431" s="351"/>
      <c r="L431" s="562"/>
      <c r="M431" s="351"/>
      <c r="N431" s="34"/>
      <c r="O431" s="35"/>
      <c r="P431" s="526"/>
      <c r="Q431" s="351"/>
      <c r="R431" s="535"/>
      <c r="S431" s="351"/>
      <c r="T431" s="536"/>
      <c r="U431" s="351"/>
      <c r="V431" s="537"/>
      <c r="W431" s="351"/>
      <c r="X431" s="542" t="s">
        <v>294</v>
      </c>
      <c r="Y431" s="350"/>
      <c r="Z431" s="350"/>
      <c r="AA431" s="351"/>
      <c r="AB431" s="543" t="s">
        <v>294</v>
      </c>
      <c r="AC431" s="350"/>
      <c r="AD431" s="350"/>
      <c r="AE431" s="351"/>
      <c r="AF431" s="540"/>
      <c r="AG431" s="351"/>
      <c r="AH431" s="540"/>
      <c r="AI431" s="351"/>
      <c r="AJ431" s="532"/>
      <c r="AK431" s="351"/>
      <c r="AL431" s="524" t="s">
        <v>325</v>
      </c>
      <c r="AM431" s="351"/>
      <c r="AN431" s="549" t="s">
        <v>325</v>
      </c>
      <c r="AO431" s="351"/>
      <c r="AP431" s="532"/>
      <c r="AQ431" s="351"/>
      <c r="AR431" s="533"/>
      <c r="AS431" s="351"/>
      <c r="AT431" s="534"/>
      <c r="AU431" s="351"/>
      <c r="AV431" s="549" t="s">
        <v>325</v>
      </c>
      <c r="AW431" s="351"/>
      <c r="AX431" s="553"/>
      <c r="AY431" s="350"/>
      <c r="AZ431" s="351"/>
      <c r="BA431" s="545"/>
      <c r="BB431" s="351"/>
      <c r="BC431" s="39"/>
      <c r="BD431" s="546" t="s">
        <v>325</v>
      </c>
      <c r="BE431" s="351"/>
      <c r="BF431" s="557"/>
      <c r="BG431" s="350"/>
      <c r="BH431" s="350"/>
      <c r="BI431" s="351"/>
      <c r="BJ431" s="548" t="s">
        <v>294</v>
      </c>
      <c r="BK431" s="350"/>
      <c r="BL431" s="350"/>
      <c r="BM431" s="351"/>
      <c r="BN431" s="530" t="s">
        <v>294</v>
      </c>
      <c r="BO431" s="350"/>
      <c r="BP431" s="350"/>
      <c r="BQ431" s="350"/>
      <c r="BR431" s="350"/>
      <c r="BS431" s="350"/>
      <c r="BT431" s="350"/>
      <c r="BU431" s="350"/>
      <c r="BV431" s="351"/>
    </row>
    <row r="432" spans="1:74" ht="45" customHeight="1">
      <c r="A432" s="24">
        <f t="shared" si="1"/>
        <v>418</v>
      </c>
      <c r="B432" s="558" t="s">
        <v>294</v>
      </c>
      <c r="C432" s="351"/>
      <c r="D432" s="559" t="s">
        <v>298</v>
      </c>
      <c r="E432" s="351"/>
      <c r="F432" s="524" t="s">
        <v>325</v>
      </c>
      <c r="G432" s="351"/>
      <c r="H432" s="525" t="s">
        <v>325</v>
      </c>
      <c r="I432" s="351"/>
      <c r="J432" s="563"/>
      <c r="K432" s="351"/>
      <c r="L432" s="563"/>
      <c r="M432" s="351"/>
      <c r="N432" s="37"/>
      <c r="O432" s="38"/>
      <c r="P432" s="560"/>
      <c r="Q432" s="351"/>
      <c r="R432" s="527"/>
      <c r="S432" s="351"/>
      <c r="T432" s="528"/>
      <c r="U432" s="351"/>
      <c r="V432" s="541"/>
      <c r="W432" s="351"/>
      <c r="X432" s="538" t="s">
        <v>294</v>
      </c>
      <c r="Y432" s="350"/>
      <c r="Z432" s="350"/>
      <c r="AA432" s="351"/>
      <c r="AB432" s="539" t="s">
        <v>294</v>
      </c>
      <c r="AC432" s="350"/>
      <c r="AD432" s="350"/>
      <c r="AE432" s="351"/>
      <c r="AF432" s="544"/>
      <c r="AG432" s="351"/>
      <c r="AH432" s="544"/>
      <c r="AI432" s="351"/>
      <c r="AJ432" s="545"/>
      <c r="AK432" s="351"/>
      <c r="AL432" s="555" t="s">
        <v>325</v>
      </c>
      <c r="AM432" s="351"/>
      <c r="AN432" s="531" t="s">
        <v>325</v>
      </c>
      <c r="AO432" s="351"/>
      <c r="AP432" s="550"/>
      <c r="AQ432" s="351"/>
      <c r="AR432" s="551"/>
      <c r="AS432" s="351"/>
      <c r="AT432" s="534"/>
      <c r="AU432" s="351"/>
      <c r="AV432" s="531" t="s">
        <v>325</v>
      </c>
      <c r="AW432" s="351"/>
      <c r="AX432" s="553"/>
      <c r="AY432" s="350"/>
      <c r="AZ432" s="351"/>
      <c r="BA432" s="554"/>
      <c r="BB432" s="351"/>
      <c r="BC432" s="36"/>
      <c r="BD432" s="556" t="s">
        <v>325</v>
      </c>
      <c r="BE432" s="351"/>
      <c r="BF432" s="547"/>
      <c r="BG432" s="350"/>
      <c r="BH432" s="350"/>
      <c r="BI432" s="351"/>
      <c r="BJ432" s="506" t="s">
        <v>294</v>
      </c>
      <c r="BK432" s="350"/>
      <c r="BL432" s="350"/>
      <c r="BM432" s="351"/>
      <c r="BN432" s="530" t="s">
        <v>294</v>
      </c>
      <c r="BO432" s="350"/>
      <c r="BP432" s="350"/>
      <c r="BQ432" s="350"/>
      <c r="BR432" s="350"/>
      <c r="BS432" s="350"/>
      <c r="BT432" s="350"/>
      <c r="BU432" s="350"/>
      <c r="BV432" s="351"/>
    </row>
    <row r="433" spans="1:74" ht="45" customHeight="1">
      <c r="A433" s="24">
        <f t="shared" si="1"/>
        <v>419</v>
      </c>
      <c r="B433" s="522" t="s">
        <v>294</v>
      </c>
      <c r="C433" s="351"/>
      <c r="D433" s="523" t="s">
        <v>298</v>
      </c>
      <c r="E433" s="351"/>
      <c r="F433" s="524" t="s">
        <v>325</v>
      </c>
      <c r="G433" s="351"/>
      <c r="H433" s="561" t="s">
        <v>325</v>
      </c>
      <c r="I433" s="351"/>
      <c r="J433" s="562"/>
      <c r="K433" s="351"/>
      <c r="L433" s="562"/>
      <c r="M433" s="351"/>
      <c r="N433" s="34"/>
      <c r="O433" s="35"/>
      <c r="P433" s="526"/>
      <c r="Q433" s="351"/>
      <c r="R433" s="535"/>
      <c r="S433" s="351"/>
      <c r="T433" s="536"/>
      <c r="U433" s="351"/>
      <c r="V433" s="537"/>
      <c r="W433" s="351"/>
      <c r="X433" s="542" t="s">
        <v>294</v>
      </c>
      <c r="Y433" s="350"/>
      <c r="Z433" s="350"/>
      <c r="AA433" s="351"/>
      <c r="AB433" s="543" t="s">
        <v>294</v>
      </c>
      <c r="AC433" s="350"/>
      <c r="AD433" s="350"/>
      <c r="AE433" s="351"/>
      <c r="AF433" s="540"/>
      <c r="AG433" s="351"/>
      <c r="AH433" s="540"/>
      <c r="AI433" s="351"/>
      <c r="AJ433" s="532"/>
      <c r="AK433" s="351"/>
      <c r="AL433" s="524" t="s">
        <v>325</v>
      </c>
      <c r="AM433" s="351"/>
      <c r="AN433" s="549" t="s">
        <v>325</v>
      </c>
      <c r="AO433" s="351"/>
      <c r="AP433" s="532"/>
      <c r="AQ433" s="351"/>
      <c r="AR433" s="533"/>
      <c r="AS433" s="351"/>
      <c r="AT433" s="534"/>
      <c r="AU433" s="351"/>
      <c r="AV433" s="549" t="s">
        <v>325</v>
      </c>
      <c r="AW433" s="351"/>
      <c r="AX433" s="553"/>
      <c r="AY433" s="350"/>
      <c r="AZ433" s="351"/>
      <c r="BA433" s="545"/>
      <c r="BB433" s="351"/>
      <c r="BC433" s="39"/>
      <c r="BD433" s="546" t="s">
        <v>325</v>
      </c>
      <c r="BE433" s="351"/>
      <c r="BF433" s="529"/>
      <c r="BG433" s="350"/>
      <c r="BH433" s="350"/>
      <c r="BI433" s="351"/>
      <c r="BJ433" s="548" t="s">
        <v>294</v>
      </c>
      <c r="BK433" s="350"/>
      <c r="BL433" s="350"/>
      <c r="BM433" s="351"/>
      <c r="BN433" s="530" t="s">
        <v>294</v>
      </c>
      <c r="BO433" s="350"/>
      <c r="BP433" s="350"/>
      <c r="BQ433" s="350"/>
      <c r="BR433" s="350"/>
      <c r="BS433" s="350"/>
      <c r="BT433" s="350"/>
      <c r="BU433" s="350"/>
      <c r="BV433" s="351"/>
    </row>
    <row r="434" spans="1:74" ht="45" customHeight="1">
      <c r="A434" s="24">
        <f t="shared" si="1"/>
        <v>420</v>
      </c>
      <c r="B434" s="558" t="s">
        <v>294</v>
      </c>
      <c r="C434" s="351"/>
      <c r="D434" s="559" t="s">
        <v>298</v>
      </c>
      <c r="E434" s="351"/>
      <c r="F434" s="524" t="s">
        <v>325</v>
      </c>
      <c r="G434" s="351"/>
      <c r="H434" s="525" t="s">
        <v>325</v>
      </c>
      <c r="I434" s="351"/>
      <c r="J434" s="563"/>
      <c r="K434" s="351"/>
      <c r="L434" s="563"/>
      <c r="M434" s="351"/>
      <c r="N434" s="37"/>
      <c r="O434" s="38"/>
      <c r="P434" s="560"/>
      <c r="Q434" s="351"/>
      <c r="R434" s="527"/>
      <c r="S434" s="351"/>
      <c r="T434" s="528"/>
      <c r="U434" s="351"/>
      <c r="V434" s="541"/>
      <c r="W434" s="351"/>
      <c r="X434" s="538" t="s">
        <v>294</v>
      </c>
      <c r="Y434" s="350"/>
      <c r="Z434" s="350"/>
      <c r="AA434" s="351"/>
      <c r="AB434" s="539" t="s">
        <v>294</v>
      </c>
      <c r="AC434" s="350"/>
      <c r="AD434" s="350"/>
      <c r="AE434" s="351"/>
      <c r="AF434" s="544"/>
      <c r="AG434" s="351"/>
      <c r="AH434" s="544"/>
      <c r="AI434" s="351"/>
      <c r="AJ434" s="545"/>
      <c r="AK434" s="351"/>
      <c r="AL434" s="555" t="s">
        <v>325</v>
      </c>
      <c r="AM434" s="351"/>
      <c r="AN434" s="531" t="s">
        <v>325</v>
      </c>
      <c r="AO434" s="351"/>
      <c r="AP434" s="550"/>
      <c r="AQ434" s="351"/>
      <c r="AR434" s="551"/>
      <c r="AS434" s="351"/>
      <c r="AT434" s="534"/>
      <c r="AU434" s="351"/>
      <c r="AV434" s="531" t="s">
        <v>325</v>
      </c>
      <c r="AW434" s="351"/>
      <c r="AX434" s="553"/>
      <c r="AY434" s="350"/>
      <c r="AZ434" s="351"/>
      <c r="BA434" s="554"/>
      <c r="BB434" s="351"/>
      <c r="BC434" s="36"/>
      <c r="BD434" s="556" t="s">
        <v>325</v>
      </c>
      <c r="BE434" s="351"/>
      <c r="BF434" s="547"/>
      <c r="BG434" s="350"/>
      <c r="BH434" s="350"/>
      <c r="BI434" s="351"/>
      <c r="BJ434" s="506" t="s">
        <v>294</v>
      </c>
      <c r="BK434" s="350"/>
      <c r="BL434" s="350"/>
      <c r="BM434" s="351"/>
      <c r="BN434" s="530" t="s">
        <v>294</v>
      </c>
      <c r="BO434" s="350"/>
      <c r="BP434" s="350"/>
      <c r="BQ434" s="350"/>
      <c r="BR434" s="350"/>
      <c r="BS434" s="350"/>
      <c r="BT434" s="350"/>
      <c r="BU434" s="350"/>
      <c r="BV434" s="351"/>
    </row>
    <row r="435" spans="1:74" ht="45" customHeight="1">
      <c r="A435" s="24">
        <f t="shared" si="1"/>
        <v>421</v>
      </c>
      <c r="B435" s="522" t="s">
        <v>294</v>
      </c>
      <c r="C435" s="351"/>
      <c r="D435" s="523" t="s">
        <v>298</v>
      </c>
      <c r="E435" s="351"/>
      <c r="F435" s="524" t="s">
        <v>325</v>
      </c>
      <c r="G435" s="351"/>
      <c r="H435" s="561" t="s">
        <v>325</v>
      </c>
      <c r="I435" s="351"/>
      <c r="J435" s="562"/>
      <c r="K435" s="351"/>
      <c r="L435" s="562"/>
      <c r="M435" s="351"/>
      <c r="N435" s="34"/>
      <c r="O435" s="35"/>
      <c r="P435" s="526"/>
      <c r="Q435" s="351"/>
      <c r="R435" s="535"/>
      <c r="S435" s="351"/>
      <c r="T435" s="536"/>
      <c r="U435" s="351"/>
      <c r="V435" s="537"/>
      <c r="W435" s="351"/>
      <c r="X435" s="542" t="s">
        <v>294</v>
      </c>
      <c r="Y435" s="350"/>
      <c r="Z435" s="350"/>
      <c r="AA435" s="351"/>
      <c r="AB435" s="543" t="s">
        <v>294</v>
      </c>
      <c r="AC435" s="350"/>
      <c r="AD435" s="350"/>
      <c r="AE435" s="351"/>
      <c r="AF435" s="540"/>
      <c r="AG435" s="351"/>
      <c r="AH435" s="540"/>
      <c r="AI435" s="351"/>
      <c r="AJ435" s="532"/>
      <c r="AK435" s="351"/>
      <c r="AL435" s="524" t="s">
        <v>325</v>
      </c>
      <c r="AM435" s="351"/>
      <c r="AN435" s="549" t="s">
        <v>325</v>
      </c>
      <c r="AO435" s="351"/>
      <c r="AP435" s="532"/>
      <c r="AQ435" s="351"/>
      <c r="AR435" s="533"/>
      <c r="AS435" s="351"/>
      <c r="AT435" s="534"/>
      <c r="AU435" s="351"/>
      <c r="AV435" s="549" t="s">
        <v>325</v>
      </c>
      <c r="AW435" s="351"/>
      <c r="AX435" s="553"/>
      <c r="AY435" s="350"/>
      <c r="AZ435" s="351"/>
      <c r="BA435" s="545"/>
      <c r="BB435" s="351"/>
      <c r="BC435" s="39"/>
      <c r="BD435" s="546" t="s">
        <v>325</v>
      </c>
      <c r="BE435" s="351"/>
      <c r="BF435" s="529"/>
      <c r="BG435" s="350"/>
      <c r="BH435" s="350"/>
      <c r="BI435" s="351"/>
      <c r="BJ435" s="548" t="s">
        <v>294</v>
      </c>
      <c r="BK435" s="350"/>
      <c r="BL435" s="350"/>
      <c r="BM435" s="351"/>
      <c r="BN435" s="530" t="s">
        <v>294</v>
      </c>
      <c r="BO435" s="350"/>
      <c r="BP435" s="350"/>
      <c r="BQ435" s="350"/>
      <c r="BR435" s="350"/>
      <c r="BS435" s="350"/>
      <c r="BT435" s="350"/>
      <c r="BU435" s="350"/>
      <c r="BV435" s="351"/>
    </row>
    <row r="436" spans="1:74" ht="45" customHeight="1">
      <c r="A436" s="24">
        <f t="shared" si="1"/>
        <v>422</v>
      </c>
      <c r="B436" s="558" t="s">
        <v>294</v>
      </c>
      <c r="C436" s="351"/>
      <c r="D436" s="559" t="s">
        <v>298</v>
      </c>
      <c r="E436" s="351"/>
      <c r="F436" s="524" t="s">
        <v>325</v>
      </c>
      <c r="G436" s="351"/>
      <c r="H436" s="525" t="s">
        <v>325</v>
      </c>
      <c r="I436" s="351"/>
      <c r="J436" s="563"/>
      <c r="K436" s="351"/>
      <c r="L436" s="563"/>
      <c r="M436" s="351"/>
      <c r="N436" s="37"/>
      <c r="O436" s="38"/>
      <c r="P436" s="560"/>
      <c r="Q436" s="351"/>
      <c r="R436" s="527"/>
      <c r="S436" s="351"/>
      <c r="T436" s="528"/>
      <c r="U436" s="351"/>
      <c r="V436" s="541"/>
      <c r="W436" s="351"/>
      <c r="X436" s="538" t="s">
        <v>294</v>
      </c>
      <c r="Y436" s="350"/>
      <c r="Z436" s="350"/>
      <c r="AA436" s="351"/>
      <c r="AB436" s="539" t="s">
        <v>294</v>
      </c>
      <c r="AC436" s="350"/>
      <c r="AD436" s="350"/>
      <c r="AE436" s="351"/>
      <c r="AF436" s="544"/>
      <c r="AG436" s="351"/>
      <c r="AH436" s="544"/>
      <c r="AI436" s="351"/>
      <c r="AJ436" s="545"/>
      <c r="AK436" s="351"/>
      <c r="AL436" s="555" t="s">
        <v>325</v>
      </c>
      <c r="AM436" s="351"/>
      <c r="AN436" s="531" t="s">
        <v>325</v>
      </c>
      <c r="AO436" s="351"/>
      <c r="AP436" s="550"/>
      <c r="AQ436" s="351"/>
      <c r="AR436" s="551"/>
      <c r="AS436" s="351"/>
      <c r="AT436" s="534"/>
      <c r="AU436" s="351"/>
      <c r="AV436" s="531" t="s">
        <v>325</v>
      </c>
      <c r="AW436" s="351"/>
      <c r="AX436" s="553"/>
      <c r="AY436" s="350"/>
      <c r="AZ436" s="351"/>
      <c r="BA436" s="554"/>
      <c r="BB436" s="351"/>
      <c r="BC436" s="36"/>
      <c r="BD436" s="556" t="s">
        <v>325</v>
      </c>
      <c r="BE436" s="351"/>
      <c r="BF436" s="547"/>
      <c r="BG436" s="350"/>
      <c r="BH436" s="350"/>
      <c r="BI436" s="351"/>
      <c r="BJ436" s="506" t="s">
        <v>294</v>
      </c>
      <c r="BK436" s="350"/>
      <c r="BL436" s="350"/>
      <c r="BM436" s="351"/>
      <c r="BN436" s="530" t="s">
        <v>294</v>
      </c>
      <c r="BO436" s="350"/>
      <c r="BP436" s="350"/>
      <c r="BQ436" s="350"/>
      <c r="BR436" s="350"/>
      <c r="BS436" s="350"/>
      <c r="BT436" s="350"/>
      <c r="BU436" s="350"/>
      <c r="BV436" s="351"/>
    </row>
    <row r="437" spans="1:74" ht="45" customHeight="1">
      <c r="A437" s="24">
        <f t="shared" si="1"/>
        <v>423</v>
      </c>
      <c r="B437" s="522" t="s">
        <v>294</v>
      </c>
      <c r="C437" s="351"/>
      <c r="D437" s="523" t="s">
        <v>298</v>
      </c>
      <c r="E437" s="351"/>
      <c r="F437" s="524" t="s">
        <v>325</v>
      </c>
      <c r="G437" s="351"/>
      <c r="H437" s="561" t="s">
        <v>325</v>
      </c>
      <c r="I437" s="351"/>
      <c r="J437" s="562"/>
      <c r="K437" s="351"/>
      <c r="L437" s="562"/>
      <c r="M437" s="351"/>
      <c r="N437" s="34"/>
      <c r="O437" s="35"/>
      <c r="P437" s="526"/>
      <c r="Q437" s="351"/>
      <c r="R437" s="535"/>
      <c r="S437" s="351"/>
      <c r="T437" s="536"/>
      <c r="U437" s="351"/>
      <c r="V437" s="537"/>
      <c r="W437" s="351"/>
      <c r="X437" s="542" t="s">
        <v>294</v>
      </c>
      <c r="Y437" s="350"/>
      <c r="Z437" s="350"/>
      <c r="AA437" s="351"/>
      <c r="AB437" s="543" t="s">
        <v>294</v>
      </c>
      <c r="AC437" s="350"/>
      <c r="AD437" s="350"/>
      <c r="AE437" s="351"/>
      <c r="AF437" s="540"/>
      <c r="AG437" s="351"/>
      <c r="AH437" s="540"/>
      <c r="AI437" s="351"/>
      <c r="AJ437" s="532"/>
      <c r="AK437" s="351"/>
      <c r="AL437" s="524" t="s">
        <v>325</v>
      </c>
      <c r="AM437" s="351"/>
      <c r="AN437" s="549" t="s">
        <v>325</v>
      </c>
      <c r="AO437" s="351"/>
      <c r="AP437" s="532"/>
      <c r="AQ437" s="351"/>
      <c r="AR437" s="533"/>
      <c r="AS437" s="351"/>
      <c r="AT437" s="534"/>
      <c r="AU437" s="351"/>
      <c r="AV437" s="549" t="s">
        <v>325</v>
      </c>
      <c r="AW437" s="351"/>
      <c r="AX437" s="553"/>
      <c r="AY437" s="350"/>
      <c r="AZ437" s="351"/>
      <c r="BA437" s="545"/>
      <c r="BB437" s="351"/>
      <c r="BC437" s="39"/>
      <c r="BD437" s="546" t="s">
        <v>325</v>
      </c>
      <c r="BE437" s="351"/>
      <c r="BF437" s="557"/>
      <c r="BG437" s="350"/>
      <c r="BH437" s="350"/>
      <c r="BI437" s="351"/>
      <c r="BJ437" s="548" t="s">
        <v>294</v>
      </c>
      <c r="BK437" s="350"/>
      <c r="BL437" s="350"/>
      <c r="BM437" s="351"/>
      <c r="BN437" s="530" t="s">
        <v>294</v>
      </c>
      <c r="BO437" s="350"/>
      <c r="BP437" s="350"/>
      <c r="BQ437" s="350"/>
      <c r="BR437" s="350"/>
      <c r="BS437" s="350"/>
      <c r="BT437" s="350"/>
      <c r="BU437" s="350"/>
      <c r="BV437" s="351"/>
    </row>
    <row r="438" spans="1:74" ht="45" customHeight="1">
      <c r="A438" s="24">
        <f t="shared" si="1"/>
        <v>424</v>
      </c>
      <c r="B438" s="558" t="s">
        <v>294</v>
      </c>
      <c r="C438" s="351"/>
      <c r="D438" s="559" t="s">
        <v>298</v>
      </c>
      <c r="E438" s="351"/>
      <c r="F438" s="524" t="s">
        <v>325</v>
      </c>
      <c r="G438" s="351"/>
      <c r="H438" s="525" t="s">
        <v>325</v>
      </c>
      <c r="I438" s="351"/>
      <c r="J438" s="563"/>
      <c r="K438" s="351"/>
      <c r="L438" s="563"/>
      <c r="M438" s="351"/>
      <c r="N438" s="37"/>
      <c r="O438" s="38"/>
      <c r="P438" s="560"/>
      <c r="Q438" s="351"/>
      <c r="R438" s="527"/>
      <c r="S438" s="351"/>
      <c r="T438" s="528"/>
      <c r="U438" s="351"/>
      <c r="V438" s="541"/>
      <c r="W438" s="351"/>
      <c r="X438" s="538" t="s">
        <v>294</v>
      </c>
      <c r="Y438" s="350"/>
      <c r="Z438" s="350"/>
      <c r="AA438" s="351"/>
      <c r="AB438" s="539" t="s">
        <v>294</v>
      </c>
      <c r="AC438" s="350"/>
      <c r="AD438" s="350"/>
      <c r="AE438" s="351"/>
      <c r="AF438" s="544"/>
      <c r="AG438" s="351"/>
      <c r="AH438" s="544"/>
      <c r="AI438" s="351"/>
      <c r="AJ438" s="545"/>
      <c r="AK438" s="351"/>
      <c r="AL438" s="555" t="s">
        <v>325</v>
      </c>
      <c r="AM438" s="351"/>
      <c r="AN438" s="531" t="s">
        <v>325</v>
      </c>
      <c r="AO438" s="351"/>
      <c r="AP438" s="550"/>
      <c r="AQ438" s="351"/>
      <c r="AR438" s="551"/>
      <c r="AS438" s="351"/>
      <c r="AT438" s="534"/>
      <c r="AU438" s="351"/>
      <c r="AV438" s="531" t="s">
        <v>325</v>
      </c>
      <c r="AW438" s="351"/>
      <c r="AX438" s="553"/>
      <c r="AY438" s="350"/>
      <c r="AZ438" s="351"/>
      <c r="BA438" s="554"/>
      <c r="BB438" s="351"/>
      <c r="BC438" s="36"/>
      <c r="BD438" s="556" t="s">
        <v>325</v>
      </c>
      <c r="BE438" s="351"/>
      <c r="BF438" s="547"/>
      <c r="BG438" s="350"/>
      <c r="BH438" s="350"/>
      <c r="BI438" s="351"/>
      <c r="BJ438" s="506" t="s">
        <v>294</v>
      </c>
      <c r="BK438" s="350"/>
      <c r="BL438" s="350"/>
      <c r="BM438" s="351"/>
      <c r="BN438" s="530" t="s">
        <v>294</v>
      </c>
      <c r="BO438" s="350"/>
      <c r="BP438" s="350"/>
      <c r="BQ438" s="350"/>
      <c r="BR438" s="350"/>
      <c r="BS438" s="350"/>
      <c r="BT438" s="350"/>
      <c r="BU438" s="350"/>
      <c r="BV438" s="351"/>
    </row>
    <row r="439" spans="1:74" ht="45" customHeight="1">
      <c r="A439" s="24">
        <f t="shared" si="1"/>
        <v>425</v>
      </c>
      <c r="B439" s="522" t="s">
        <v>294</v>
      </c>
      <c r="C439" s="351"/>
      <c r="D439" s="523" t="s">
        <v>298</v>
      </c>
      <c r="E439" s="351"/>
      <c r="F439" s="524" t="s">
        <v>325</v>
      </c>
      <c r="G439" s="351"/>
      <c r="H439" s="561" t="s">
        <v>325</v>
      </c>
      <c r="I439" s="351"/>
      <c r="J439" s="562"/>
      <c r="K439" s="351"/>
      <c r="L439" s="562"/>
      <c r="M439" s="351"/>
      <c r="N439" s="34"/>
      <c r="O439" s="35"/>
      <c r="P439" s="526"/>
      <c r="Q439" s="351"/>
      <c r="R439" s="535"/>
      <c r="S439" s="351"/>
      <c r="T439" s="536"/>
      <c r="U439" s="351"/>
      <c r="V439" s="537"/>
      <c r="W439" s="351"/>
      <c r="X439" s="542" t="s">
        <v>294</v>
      </c>
      <c r="Y439" s="350"/>
      <c r="Z439" s="350"/>
      <c r="AA439" s="351"/>
      <c r="AB439" s="543" t="s">
        <v>294</v>
      </c>
      <c r="AC439" s="350"/>
      <c r="AD439" s="350"/>
      <c r="AE439" s="351"/>
      <c r="AF439" s="540"/>
      <c r="AG439" s="351"/>
      <c r="AH439" s="540"/>
      <c r="AI439" s="351"/>
      <c r="AJ439" s="532"/>
      <c r="AK439" s="351"/>
      <c r="AL439" s="524" t="s">
        <v>325</v>
      </c>
      <c r="AM439" s="351"/>
      <c r="AN439" s="549" t="s">
        <v>325</v>
      </c>
      <c r="AO439" s="351"/>
      <c r="AP439" s="532"/>
      <c r="AQ439" s="351"/>
      <c r="AR439" s="533"/>
      <c r="AS439" s="351"/>
      <c r="AT439" s="534"/>
      <c r="AU439" s="351"/>
      <c r="AV439" s="549" t="s">
        <v>325</v>
      </c>
      <c r="AW439" s="351"/>
      <c r="AX439" s="553"/>
      <c r="AY439" s="350"/>
      <c r="AZ439" s="351"/>
      <c r="BA439" s="545"/>
      <c r="BB439" s="351"/>
      <c r="BC439" s="39"/>
      <c r="BD439" s="546" t="s">
        <v>325</v>
      </c>
      <c r="BE439" s="351"/>
      <c r="BF439" s="529"/>
      <c r="BG439" s="350"/>
      <c r="BH439" s="350"/>
      <c r="BI439" s="351"/>
      <c r="BJ439" s="548" t="s">
        <v>294</v>
      </c>
      <c r="BK439" s="350"/>
      <c r="BL439" s="350"/>
      <c r="BM439" s="351"/>
      <c r="BN439" s="530" t="s">
        <v>294</v>
      </c>
      <c r="BO439" s="350"/>
      <c r="BP439" s="350"/>
      <c r="BQ439" s="350"/>
      <c r="BR439" s="350"/>
      <c r="BS439" s="350"/>
      <c r="BT439" s="350"/>
      <c r="BU439" s="350"/>
      <c r="BV439" s="351"/>
    </row>
    <row r="440" spans="1:74" ht="45" customHeight="1">
      <c r="A440" s="24">
        <f t="shared" si="1"/>
        <v>426</v>
      </c>
      <c r="B440" s="558" t="s">
        <v>294</v>
      </c>
      <c r="C440" s="351"/>
      <c r="D440" s="559" t="s">
        <v>298</v>
      </c>
      <c r="E440" s="351"/>
      <c r="F440" s="524" t="s">
        <v>325</v>
      </c>
      <c r="G440" s="351"/>
      <c r="H440" s="525" t="s">
        <v>325</v>
      </c>
      <c r="I440" s="351"/>
      <c r="J440" s="563"/>
      <c r="K440" s="351"/>
      <c r="L440" s="563"/>
      <c r="M440" s="351"/>
      <c r="N440" s="37"/>
      <c r="O440" s="38"/>
      <c r="P440" s="560"/>
      <c r="Q440" s="351"/>
      <c r="R440" s="527"/>
      <c r="S440" s="351"/>
      <c r="T440" s="528"/>
      <c r="U440" s="351"/>
      <c r="V440" s="541"/>
      <c r="W440" s="351"/>
      <c r="X440" s="538" t="s">
        <v>294</v>
      </c>
      <c r="Y440" s="350"/>
      <c r="Z440" s="350"/>
      <c r="AA440" s="351"/>
      <c r="AB440" s="539" t="s">
        <v>294</v>
      </c>
      <c r="AC440" s="350"/>
      <c r="AD440" s="350"/>
      <c r="AE440" s="351"/>
      <c r="AF440" s="544"/>
      <c r="AG440" s="351"/>
      <c r="AH440" s="544"/>
      <c r="AI440" s="351"/>
      <c r="AJ440" s="545"/>
      <c r="AK440" s="351"/>
      <c r="AL440" s="555" t="s">
        <v>325</v>
      </c>
      <c r="AM440" s="351"/>
      <c r="AN440" s="531" t="s">
        <v>325</v>
      </c>
      <c r="AO440" s="351"/>
      <c r="AP440" s="550"/>
      <c r="AQ440" s="351"/>
      <c r="AR440" s="551"/>
      <c r="AS440" s="351"/>
      <c r="AT440" s="534"/>
      <c r="AU440" s="351"/>
      <c r="AV440" s="531" t="s">
        <v>325</v>
      </c>
      <c r="AW440" s="351"/>
      <c r="AX440" s="553"/>
      <c r="AY440" s="350"/>
      <c r="AZ440" s="351"/>
      <c r="BA440" s="554"/>
      <c r="BB440" s="351"/>
      <c r="BC440" s="36"/>
      <c r="BD440" s="556" t="s">
        <v>325</v>
      </c>
      <c r="BE440" s="351"/>
      <c r="BF440" s="547"/>
      <c r="BG440" s="350"/>
      <c r="BH440" s="350"/>
      <c r="BI440" s="351"/>
      <c r="BJ440" s="506" t="s">
        <v>294</v>
      </c>
      <c r="BK440" s="350"/>
      <c r="BL440" s="350"/>
      <c r="BM440" s="351"/>
      <c r="BN440" s="530" t="s">
        <v>294</v>
      </c>
      <c r="BO440" s="350"/>
      <c r="BP440" s="350"/>
      <c r="BQ440" s="350"/>
      <c r="BR440" s="350"/>
      <c r="BS440" s="350"/>
      <c r="BT440" s="350"/>
      <c r="BU440" s="350"/>
      <c r="BV440" s="351"/>
    </row>
    <row r="441" spans="1:74" ht="45" customHeight="1">
      <c r="A441" s="24">
        <f t="shared" si="1"/>
        <v>427</v>
      </c>
      <c r="B441" s="522" t="s">
        <v>294</v>
      </c>
      <c r="C441" s="351"/>
      <c r="D441" s="523" t="s">
        <v>298</v>
      </c>
      <c r="E441" s="351"/>
      <c r="F441" s="524" t="s">
        <v>325</v>
      </c>
      <c r="G441" s="351"/>
      <c r="H441" s="561" t="s">
        <v>325</v>
      </c>
      <c r="I441" s="351"/>
      <c r="J441" s="562"/>
      <c r="K441" s="351"/>
      <c r="L441" s="562"/>
      <c r="M441" s="351"/>
      <c r="N441" s="34"/>
      <c r="O441" s="35"/>
      <c r="P441" s="526"/>
      <c r="Q441" s="351"/>
      <c r="R441" s="535"/>
      <c r="S441" s="351"/>
      <c r="T441" s="536"/>
      <c r="U441" s="351"/>
      <c r="V441" s="537"/>
      <c r="W441" s="351"/>
      <c r="X441" s="542" t="s">
        <v>294</v>
      </c>
      <c r="Y441" s="350"/>
      <c r="Z441" s="350"/>
      <c r="AA441" s="351"/>
      <c r="AB441" s="543" t="s">
        <v>294</v>
      </c>
      <c r="AC441" s="350"/>
      <c r="AD441" s="350"/>
      <c r="AE441" s="351"/>
      <c r="AF441" s="540"/>
      <c r="AG441" s="351"/>
      <c r="AH441" s="540"/>
      <c r="AI441" s="351"/>
      <c r="AJ441" s="532"/>
      <c r="AK441" s="351"/>
      <c r="AL441" s="524" t="s">
        <v>325</v>
      </c>
      <c r="AM441" s="351"/>
      <c r="AN441" s="549" t="s">
        <v>325</v>
      </c>
      <c r="AO441" s="351"/>
      <c r="AP441" s="532"/>
      <c r="AQ441" s="351"/>
      <c r="AR441" s="533"/>
      <c r="AS441" s="351"/>
      <c r="AT441" s="534"/>
      <c r="AU441" s="351"/>
      <c r="AV441" s="549" t="s">
        <v>325</v>
      </c>
      <c r="AW441" s="351"/>
      <c r="AX441" s="553"/>
      <c r="AY441" s="350"/>
      <c r="AZ441" s="351"/>
      <c r="BA441" s="545"/>
      <c r="BB441" s="351"/>
      <c r="BC441" s="39"/>
      <c r="BD441" s="546" t="s">
        <v>325</v>
      </c>
      <c r="BE441" s="351"/>
      <c r="BF441" s="557"/>
      <c r="BG441" s="350"/>
      <c r="BH441" s="350"/>
      <c r="BI441" s="351"/>
      <c r="BJ441" s="548" t="s">
        <v>294</v>
      </c>
      <c r="BK441" s="350"/>
      <c r="BL441" s="350"/>
      <c r="BM441" s="351"/>
      <c r="BN441" s="530" t="s">
        <v>294</v>
      </c>
      <c r="BO441" s="350"/>
      <c r="BP441" s="350"/>
      <c r="BQ441" s="350"/>
      <c r="BR441" s="350"/>
      <c r="BS441" s="350"/>
      <c r="BT441" s="350"/>
      <c r="BU441" s="350"/>
      <c r="BV441" s="351"/>
    </row>
    <row r="442" spans="1:74" ht="45" customHeight="1">
      <c r="A442" s="24">
        <f t="shared" si="1"/>
        <v>428</v>
      </c>
      <c r="B442" s="558" t="s">
        <v>294</v>
      </c>
      <c r="C442" s="351"/>
      <c r="D442" s="559" t="s">
        <v>298</v>
      </c>
      <c r="E442" s="351"/>
      <c r="F442" s="524" t="s">
        <v>325</v>
      </c>
      <c r="G442" s="351"/>
      <c r="H442" s="525" t="s">
        <v>325</v>
      </c>
      <c r="I442" s="351"/>
      <c r="J442" s="563"/>
      <c r="K442" s="351"/>
      <c r="L442" s="563"/>
      <c r="M442" s="351"/>
      <c r="N442" s="37"/>
      <c r="O442" s="38"/>
      <c r="P442" s="560"/>
      <c r="Q442" s="351"/>
      <c r="R442" s="527"/>
      <c r="S442" s="351"/>
      <c r="T442" s="528"/>
      <c r="U442" s="351"/>
      <c r="V442" s="541"/>
      <c r="W442" s="351"/>
      <c r="X442" s="538" t="s">
        <v>294</v>
      </c>
      <c r="Y442" s="350"/>
      <c r="Z442" s="350"/>
      <c r="AA442" s="351"/>
      <c r="AB442" s="539" t="s">
        <v>294</v>
      </c>
      <c r="AC442" s="350"/>
      <c r="AD442" s="350"/>
      <c r="AE442" s="351"/>
      <c r="AF442" s="544"/>
      <c r="AG442" s="351"/>
      <c r="AH442" s="544"/>
      <c r="AI442" s="351"/>
      <c r="AJ442" s="545"/>
      <c r="AK442" s="351"/>
      <c r="AL442" s="555" t="s">
        <v>325</v>
      </c>
      <c r="AM442" s="351"/>
      <c r="AN442" s="531" t="s">
        <v>325</v>
      </c>
      <c r="AO442" s="351"/>
      <c r="AP442" s="550"/>
      <c r="AQ442" s="351"/>
      <c r="AR442" s="551"/>
      <c r="AS442" s="351"/>
      <c r="AT442" s="534"/>
      <c r="AU442" s="351"/>
      <c r="AV442" s="531" t="s">
        <v>325</v>
      </c>
      <c r="AW442" s="351"/>
      <c r="AX442" s="553"/>
      <c r="AY442" s="350"/>
      <c r="AZ442" s="351"/>
      <c r="BA442" s="554"/>
      <c r="BB442" s="351"/>
      <c r="BC442" s="36"/>
      <c r="BD442" s="556" t="s">
        <v>325</v>
      </c>
      <c r="BE442" s="351"/>
      <c r="BF442" s="547"/>
      <c r="BG442" s="350"/>
      <c r="BH442" s="350"/>
      <c r="BI442" s="351"/>
      <c r="BJ442" s="506" t="s">
        <v>294</v>
      </c>
      <c r="BK442" s="350"/>
      <c r="BL442" s="350"/>
      <c r="BM442" s="351"/>
      <c r="BN442" s="530" t="s">
        <v>294</v>
      </c>
      <c r="BO442" s="350"/>
      <c r="BP442" s="350"/>
      <c r="BQ442" s="350"/>
      <c r="BR442" s="350"/>
      <c r="BS442" s="350"/>
      <c r="BT442" s="350"/>
      <c r="BU442" s="350"/>
      <c r="BV442" s="351"/>
    </row>
    <row r="443" spans="1:74" ht="45" customHeight="1">
      <c r="A443" s="24">
        <f t="shared" si="1"/>
        <v>429</v>
      </c>
      <c r="B443" s="522" t="s">
        <v>294</v>
      </c>
      <c r="C443" s="351"/>
      <c r="D443" s="523" t="s">
        <v>298</v>
      </c>
      <c r="E443" s="351"/>
      <c r="F443" s="524" t="s">
        <v>325</v>
      </c>
      <c r="G443" s="351"/>
      <c r="H443" s="561" t="s">
        <v>325</v>
      </c>
      <c r="I443" s="351"/>
      <c r="J443" s="562"/>
      <c r="K443" s="351"/>
      <c r="L443" s="562"/>
      <c r="M443" s="351"/>
      <c r="N443" s="34"/>
      <c r="O443" s="35"/>
      <c r="P443" s="526"/>
      <c r="Q443" s="351"/>
      <c r="R443" s="535"/>
      <c r="S443" s="351"/>
      <c r="T443" s="536"/>
      <c r="U443" s="351"/>
      <c r="V443" s="537"/>
      <c r="W443" s="351"/>
      <c r="X443" s="542" t="s">
        <v>294</v>
      </c>
      <c r="Y443" s="350"/>
      <c r="Z443" s="350"/>
      <c r="AA443" s="351"/>
      <c r="AB443" s="543" t="s">
        <v>294</v>
      </c>
      <c r="AC443" s="350"/>
      <c r="AD443" s="350"/>
      <c r="AE443" s="351"/>
      <c r="AF443" s="540"/>
      <c r="AG443" s="351"/>
      <c r="AH443" s="540"/>
      <c r="AI443" s="351"/>
      <c r="AJ443" s="532"/>
      <c r="AK443" s="351"/>
      <c r="AL443" s="524" t="s">
        <v>325</v>
      </c>
      <c r="AM443" s="351"/>
      <c r="AN443" s="549" t="s">
        <v>325</v>
      </c>
      <c r="AO443" s="351"/>
      <c r="AP443" s="532"/>
      <c r="AQ443" s="351"/>
      <c r="AR443" s="533"/>
      <c r="AS443" s="351"/>
      <c r="AT443" s="534"/>
      <c r="AU443" s="351"/>
      <c r="AV443" s="549" t="s">
        <v>325</v>
      </c>
      <c r="AW443" s="351"/>
      <c r="AX443" s="553"/>
      <c r="AY443" s="350"/>
      <c r="AZ443" s="351"/>
      <c r="BA443" s="545"/>
      <c r="BB443" s="351"/>
      <c r="BC443" s="39"/>
      <c r="BD443" s="546" t="s">
        <v>325</v>
      </c>
      <c r="BE443" s="351"/>
      <c r="BF443" s="529"/>
      <c r="BG443" s="350"/>
      <c r="BH443" s="350"/>
      <c r="BI443" s="351"/>
      <c r="BJ443" s="548" t="s">
        <v>294</v>
      </c>
      <c r="BK443" s="350"/>
      <c r="BL443" s="350"/>
      <c r="BM443" s="351"/>
      <c r="BN443" s="530" t="s">
        <v>294</v>
      </c>
      <c r="BO443" s="350"/>
      <c r="BP443" s="350"/>
      <c r="BQ443" s="350"/>
      <c r="BR443" s="350"/>
      <c r="BS443" s="350"/>
      <c r="BT443" s="350"/>
      <c r="BU443" s="350"/>
      <c r="BV443" s="351"/>
    </row>
    <row r="444" spans="1:74" ht="45" customHeight="1">
      <c r="A444" s="24">
        <f t="shared" si="1"/>
        <v>430</v>
      </c>
      <c r="B444" s="558" t="s">
        <v>294</v>
      </c>
      <c r="C444" s="351"/>
      <c r="D444" s="559" t="s">
        <v>298</v>
      </c>
      <c r="E444" s="351"/>
      <c r="F444" s="524" t="s">
        <v>325</v>
      </c>
      <c r="G444" s="351"/>
      <c r="H444" s="525" t="s">
        <v>325</v>
      </c>
      <c r="I444" s="351"/>
      <c r="J444" s="563"/>
      <c r="K444" s="351"/>
      <c r="L444" s="563"/>
      <c r="M444" s="351"/>
      <c r="N444" s="37"/>
      <c r="O444" s="38"/>
      <c r="P444" s="560"/>
      <c r="Q444" s="351"/>
      <c r="R444" s="527"/>
      <c r="S444" s="351"/>
      <c r="T444" s="528"/>
      <c r="U444" s="351"/>
      <c r="V444" s="541"/>
      <c r="W444" s="351"/>
      <c r="X444" s="538" t="s">
        <v>294</v>
      </c>
      <c r="Y444" s="350"/>
      <c r="Z444" s="350"/>
      <c r="AA444" s="351"/>
      <c r="AB444" s="539" t="s">
        <v>294</v>
      </c>
      <c r="AC444" s="350"/>
      <c r="AD444" s="350"/>
      <c r="AE444" s="351"/>
      <c r="AF444" s="544"/>
      <c r="AG444" s="351"/>
      <c r="AH444" s="544"/>
      <c r="AI444" s="351"/>
      <c r="AJ444" s="545"/>
      <c r="AK444" s="351"/>
      <c r="AL444" s="555" t="s">
        <v>325</v>
      </c>
      <c r="AM444" s="351"/>
      <c r="AN444" s="531" t="s">
        <v>325</v>
      </c>
      <c r="AO444" s="351"/>
      <c r="AP444" s="550"/>
      <c r="AQ444" s="351"/>
      <c r="AR444" s="551"/>
      <c r="AS444" s="351"/>
      <c r="AT444" s="534"/>
      <c r="AU444" s="351"/>
      <c r="AV444" s="531" t="s">
        <v>325</v>
      </c>
      <c r="AW444" s="351"/>
      <c r="AX444" s="553"/>
      <c r="AY444" s="350"/>
      <c r="AZ444" s="351"/>
      <c r="BA444" s="554"/>
      <c r="BB444" s="351"/>
      <c r="BC444" s="36"/>
      <c r="BD444" s="556" t="s">
        <v>325</v>
      </c>
      <c r="BE444" s="351"/>
      <c r="BF444" s="547"/>
      <c r="BG444" s="350"/>
      <c r="BH444" s="350"/>
      <c r="BI444" s="351"/>
      <c r="BJ444" s="506" t="s">
        <v>294</v>
      </c>
      <c r="BK444" s="350"/>
      <c r="BL444" s="350"/>
      <c r="BM444" s="351"/>
      <c r="BN444" s="530" t="s">
        <v>294</v>
      </c>
      <c r="BO444" s="350"/>
      <c r="BP444" s="350"/>
      <c r="BQ444" s="350"/>
      <c r="BR444" s="350"/>
      <c r="BS444" s="350"/>
      <c r="BT444" s="350"/>
      <c r="BU444" s="350"/>
      <c r="BV444" s="351"/>
    </row>
    <row r="445" spans="1:74" ht="45" customHeight="1">
      <c r="A445" s="24">
        <f t="shared" si="1"/>
        <v>431</v>
      </c>
      <c r="B445" s="522" t="s">
        <v>294</v>
      </c>
      <c r="C445" s="351"/>
      <c r="D445" s="523" t="s">
        <v>298</v>
      </c>
      <c r="E445" s="351"/>
      <c r="F445" s="524" t="s">
        <v>325</v>
      </c>
      <c r="G445" s="351"/>
      <c r="H445" s="561" t="s">
        <v>325</v>
      </c>
      <c r="I445" s="351"/>
      <c r="J445" s="562"/>
      <c r="K445" s="351"/>
      <c r="L445" s="562"/>
      <c r="M445" s="351"/>
      <c r="N445" s="34"/>
      <c r="O445" s="38"/>
      <c r="P445" s="526"/>
      <c r="Q445" s="351"/>
      <c r="R445" s="535"/>
      <c r="S445" s="351"/>
      <c r="T445" s="536"/>
      <c r="U445" s="351"/>
      <c r="V445" s="537"/>
      <c r="W445" s="351"/>
      <c r="X445" s="542" t="s">
        <v>294</v>
      </c>
      <c r="Y445" s="350"/>
      <c r="Z445" s="350"/>
      <c r="AA445" s="351"/>
      <c r="AB445" s="543" t="s">
        <v>294</v>
      </c>
      <c r="AC445" s="350"/>
      <c r="AD445" s="350"/>
      <c r="AE445" s="351"/>
      <c r="AF445" s="540"/>
      <c r="AG445" s="351"/>
      <c r="AH445" s="540"/>
      <c r="AI445" s="351"/>
      <c r="AJ445" s="532"/>
      <c r="AK445" s="351"/>
      <c r="AL445" s="524" t="s">
        <v>325</v>
      </c>
      <c r="AM445" s="351"/>
      <c r="AN445" s="549" t="s">
        <v>325</v>
      </c>
      <c r="AO445" s="351"/>
      <c r="AP445" s="532"/>
      <c r="AQ445" s="351"/>
      <c r="AR445" s="533"/>
      <c r="AS445" s="351"/>
      <c r="AT445" s="534"/>
      <c r="AU445" s="351"/>
      <c r="AV445" s="549" t="s">
        <v>325</v>
      </c>
      <c r="AW445" s="351"/>
      <c r="AX445" s="553"/>
      <c r="AY445" s="350"/>
      <c r="AZ445" s="351"/>
      <c r="BA445" s="545"/>
      <c r="BB445" s="351"/>
      <c r="BC445" s="39"/>
      <c r="BD445" s="546" t="s">
        <v>325</v>
      </c>
      <c r="BE445" s="351"/>
      <c r="BF445" s="529"/>
      <c r="BG445" s="350"/>
      <c r="BH445" s="350"/>
      <c r="BI445" s="351"/>
      <c r="BJ445" s="548" t="s">
        <v>294</v>
      </c>
      <c r="BK445" s="350"/>
      <c r="BL445" s="350"/>
      <c r="BM445" s="351"/>
      <c r="BN445" s="530" t="s">
        <v>294</v>
      </c>
      <c r="BO445" s="350"/>
      <c r="BP445" s="350"/>
      <c r="BQ445" s="350"/>
      <c r="BR445" s="350"/>
      <c r="BS445" s="350"/>
      <c r="BT445" s="350"/>
      <c r="BU445" s="350"/>
      <c r="BV445" s="351"/>
    </row>
    <row r="446" spans="1:74" ht="45" customHeight="1">
      <c r="A446" s="24">
        <f t="shared" si="1"/>
        <v>432</v>
      </c>
      <c r="B446" s="558" t="s">
        <v>294</v>
      </c>
      <c r="C446" s="351"/>
      <c r="D446" s="559" t="s">
        <v>298</v>
      </c>
      <c r="E446" s="351"/>
      <c r="F446" s="524" t="s">
        <v>325</v>
      </c>
      <c r="G446" s="351"/>
      <c r="H446" s="525" t="s">
        <v>325</v>
      </c>
      <c r="I446" s="351"/>
      <c r="J446" s="563"/>
      <c r="K446" s="351"/>
      <c r="L446" s="563"/>
      <c r="M446" s="351"/>
      <c r="N446" s="37"/>
      <c r="O446" s="35"/>
      <c r="P446" s="560"/>
      <c r="Q446" s="351"/>
      <c r="R446" s="527"/>
      <c r="S446" s="351"/>
      <c r="T446" s="528"/>
      <c r="U446" s="351"/>
      <c r="V446" s="541"/>
      <c r="W446" s="351"/>
      <c r="X446" s="538" t="s">
        <v>294</v>
      </c>
      <c r="Y446" s="350"/>
      <c r="Z446" s="350"/>
      <c r="AA446" s="351"/>
      <c r="AB446" s="539" t="s">
        <v>294</v>
      </c>
      <c r="AC446" s="350"/>
      <c r="AD446" s="350"/>
      <c r="AE446" s="351"/>
      <c r="AF446" s="544"/>
      <c r="AG446" s="351"/>
      <c r="AH446" s="544"/>
      <c r="AI446" s="351"/>
      <c r="AJ446" s="545"/>
      <c r="AK446" s="351"/>
      <c r="AL446" s="555" t="s">
        <v>325</v>
      </c>
      <c r="AM446" s="351"/>
      <c r="AN446" s="531" t="s">
        <v>325</v>
      </c>
      <c r="AO446" s="351"/>
      <c r="AP446" s="550"/>
      <c r="AQ446" s="351"/>
      <c r="AR446" s="551"/>
      <c r="AS446" s="351"/>
      <c r="AT446" s="534"/>
      <c r="AU446" s="351"/>
      <c r="AV446" s="531" t="s">
        <v>325</v>
      </c>
      <c r="AW446" s="351"/>
      <c r="AX446" s="553"/>
      <c r="AY446" s="350"/>
      <c r="AZ446" s="351"/>
      <c r="BA446" s="554"/>
      <c r="BB446" s="351"/>
      <c r="BC446" s="36"/>
      <c r="BD446" s="556" t="s">
        <v>325</v>
      </c>
      <c r="BE446" s="351"/>
      <c r="BF446" s="547"/>
      <c r="BG446" s="350"/>
      <c r="BH446" s="350"/>
      <c r="BI446" s="351"/>
      <c r="BJ446" s="506" t="s">
        <v>294</v>
      </c>
      <c r="BK446" s="350"/>
      <c r="BL446" s="350"/>
      <c r="BM446" s="351"/>
      <c r="BN446" s="530" t="s">
        <v>294</v>
      </c>
      <c r="BO446" s="350"/>
      <c r="BP446" s="350"/>
      <c r="BQ446" s="350"/>
      <c r="BR446" s="350"/>
      <c r="BS446" s="350"/>
      <c r="BT446" s="350"/>
      <c r="BU446" s="350"/>
      <c r="BV446" s="351"/>
    </row>
    <row r="447" spans="1:74" ht="45" customHeight="1">
      <c r="A447" s="24">
        <f t="shared" si="1"/>
        <v>433</v>
      </c>
      <c r="B447" s="522" t="s">
        <v>294</v>
      </c>
      <c r="C447" s="351"/>
      <c r="D447" s="523" t="s">
        <v>298</v>
      </c>
      <c r="E447" s="351"/>
      <c r="F447" s="524" t="s">
        <v>325</v>
      </c>
      <c r="G447" s="351"/>
      <c r="H447" s="561" t="s">
        <v>325</v>
      </c>
      <c r="I447" s="351"/>
      <c r="J447" s="562"/>
      <c r="K447" s="351"/>
      <c r="L447" s="562"/>
      <c r="M447" s="351"/>
      <c r="N447" s="34"/>
      <c r="O447" s="38"/>
      <c r="P447" s="526"/>
      <c r="Q447" s="351"/>
      <c r="R447" s="535"/>
      <c r="S447" s="351"/>
      <c r="T447" s="536"/>
      <c r="U447" s="351"/>
      <c r="V447" s="537"/>
      <c r="W447" s="351"/>
      <c r="X447" s="542" t="s">
        <v>294</v>
      </c>
      <c r="Y447" s="350"/>
      <c r="Z447" s="350"/>
      <c r="AA447" s="351"/>
      <c r="AB447" s="543" t="s">
        <v>294</v>
      </c>
      <c r="AC447" s="350"/>
      <c r="AD447" s="350"/>
      <c r="AE447" s="351"/>
      <c r="AF447" s="540"/>
      <c r="AG447" s="351"/>
      <c r="AH447" s="540"/>
      <c r="AI447" s="351"/>
      <c r="AJ447" s="532"/>
      <c r="AK447" s="351"/>
      <c r="AL447" s="524" t="s">
        <v>325</v>
      </c>
      <c r="AM447" s="351"/>
      <c r="AN447" s="549" t="s">
        <v>325</v>
      </c>
      <c r="AO447" s="351"/>
      <c r="AP447" s="532"/>
      <c r="AQ447" s="351"/>
      <c r="AR447" s="533"/>
      <c r="AS447" s="351"/>
      <c r="AT447" s="534"/>
      <c r="AU447" s="351"/>
      <c r="AV447" s="549" t="s">
        <v>325</v>
      </c>
      <c r="AW447" s="351"/>
      <c r="AX447" s="553"/>
      <c r="AY447" s="350"/>
      <c r="AZ447" s="351"/>
      <c r="BA447" s="545"/>
      <c r="BB447" s="351"/>
      <c r="BC447" s="39"/>
      <c r="BD447" s="546" t="s">
        <v>325</v>
      </c>
      <c r="BE447" s="351"/>
      <c r="BF447" s="557"/>
      <c r="BG447" s="350"/>
      <c r="BH447" s="350"/>
      <c r="BI447" s="351"/>
      <c r="BJ447" s="548" t="s">
        <v>294</v>
      </c>
      <c r="BK447" s="350"/>
      <c r="BL447" s="350"/>
      <c r="BM447" s="351"/>
      <c r="BN447" s="530" t="s">
        <v>294</v>
      </c>
      <c r="BO447" s="350"/>
      <c r="BP447" s="350"/>
      <c r="BQ447" s="350"/>
      <c r="BR447" s="350"/>
      <c r="BS447" s="350"/>
      <c r="BT447" s="350"/>
      <c r="BU447" s="350"/>
      <c r="BV447" s="351"/>
    </row>
    <row r="448" spans="1:74" ht="45" customHeight="1">
      <c r="A448" s="24">
        <f t="shared" si="1"/>
        <v>434</v>
      </c>
      <c r="B448" s="558" t="s">
        <v>294</v>
      </c>
      <c r="C448" s="351"/>
      <c r="D448" s="559" t="s">
        <v>298</v>
      </c>
      <c r="E448" s="351"/>
      <c r="F448" s="524" t="s">
        <v>325</v>
      </c>
      <c r="G448" s="351"/>
      <c r="H448" s="525" t="s">
        <v>325</v>
      </c>
      <c r="I448" s="351"/>
      <c r="J448" s="563"/>
      <c r="K448" s="351"/>
      <c r="L448" s="563"/>
      <c r="M448" s="351"/>
      <c r="N448" s="37"/>
      <c r="O448" s="35"/>
      <c r="P448" s="560"/>
      <c r="Q448" s="351"/>
      <c r="R448" s="527"/>
      <c r="S448" s="351"/>
      <c r="T448" s="528"/>
      <c r="U448" s="351"/>
      <c r="V448" s="541"/>
      <c r="W448" s="351"/>
      <c r="X448" s="538" t="s">
        <v>294</v>
      </c>
      <c r="Y448" s="350"/>
      <c r="Z448" s="350"/>
      <c r="AA448" s="351"/>
      <c r="AB448" s="539" t="s">
        <v>294</v>
      </c>
      <c r="AC448" s="350"/>
      <c r="AD448" s="350"/>
      <c r="AE448" s="351"/>
      <c r="AF448" s="544"/>
      <c r="AG448" s="351"/>
      <c r="AH448" s="544"/>
      <c r="AI448" s="351"/>
      <c r="AJ448" s="545"/>
      <c r="AK448" s="351"/>
      <c r="AL448" s="555" t="s">
        <v>325</v>
      </c>
      <c r="AM448" s="351"/>
      <c r="AN448" s="531" t="s">
        <v>325</v>
      </c>
      <c r="AO448" s="351"/>
      <c r="AP448" s="550"/>
      <c r="AQ448" s="351"/>
      <c r="AR448" s="551"/>
      <c r="AS448" s="351"/>
      <c r="AT448" s="534"/>
      <c r="AU448" s="351"/>
      <c r="AV448" s="531" t="s">
        <v>325</v>
      </c>
      <c r="AW448" s="351"/>
      <c r="AX448" s="553"/>
      <c r="AY448" s="350"/>
      <c r="AZ448" s="351"/>
      <c r="BA448" s="554"/>
      <c r="BB448" s="351"/>
      <c r="BC448" s="36"/>
      <c r="BD448" s="556" t="s">
        <v>325</v>
      </c>
      <c r="BE448" s="351"/>
      <c r="BF448" s="547"/>
      <c r="BG448" s="350"/>
      <c r="BH448" s="350"/>
      <c r="BI448" s="351"/>
      <c r="BJ448" s="506" t="s">
        <v>294</v>
      </c>
      <c r="BK448" s="350"/>
      <c r="BL448" s="350"/>
      <c r="BM448" s="351"/>
      <c r="BN448" s="530" t="s">
        <v>294</v>
      </c>
      <c r="BO448" s="350"/>
      <c r="BP448" s="350"/>
      <c r="BQ448" s="350"/>
      <c r="BR448" s="350"/>
      <c r="BS448" s="350"/>
      <c r="BT448" s="350"/>
      <c r="BU448" s="350"/>
      <c r="BV448" s="351"/>
    </row>
    <row r="449" spans="1:74" ht="45" customHeight="1">
      <c r="A449" s="24">
        <f t="shared" si="1"/>
        <v>435</v>
      </c>
      <c r="B449" s="522" t="s">
        <v>294</v>
      </c>
      <c r="C449" s="351"/>
      <c r="D449" s="523" t="s">
        <v>298</v>
      </c>
      <c r="E449" s="351"/>
      <c r="F449" s="524" t="s">
        <v>325</v>
      </c>
      <c r="G449" s="351"/>
      <c r="H449" s="561" t="s">
        <v>325</v>
      </c>
      <c r="I449" s="351"/>
      <c r="J449" s="562"/>
      <c r="K449" s="351"/>
      <c r="L449" s="562"/>
      <c r="M449" s="351"/>
      <c r="N449" s="34"/>
      <c r="O449" s="38"/>
      <c r="P449" s="526"/>
      <c r="Q449" s="351"/>
      <c r="R449" s="535"/>
      <c r="S449" s="351"/>
      <c r="T449" s="536"/>
      <c r="U449" s="351"/>
      <c r="V449" s="537"/>
      <c r="W449" s="351"/>
      <c r="X449" s="542" t="s">
        <v>294</v>
      </c>
      <c r="Y449" s="350"/>
      <c r="Z449" s="350"/>
      <c r="AA449" s="351"/>
      <c r="AB449" s="543" t="s">
        <v>294</v>
      </c>
      <c r="AC449" s="350"/>
      <c r="AD449" s="350"/>
      <c r="AE449" s="351"/>
      <c r="AF449" s="540"/>
      <c r="AG449" s="351"/>
      <c r="AH449" s="540"/>
      <c r="AI449" s="351"/>
      <c r="AJ449" s="532"/>
      <c r="AK449" s="351"/>
      <c r="AL449" s="524" t="s">
        <v>325</v>
      </c>
      <c r="AM449" s="351"/>
      <c r="AN449" s="549" t="s">
        <v>325</v>
      </c>
      <c r="AO449" s="351"/>
      <c r="AP449" s="532"/>
      <c r="AQ449" s="351"/>
      <c r="AR449" s="533"/>
      <c r="AS449" s="351"/>
      <c r="AT449" s="534"/>
      <c r="AU449" s="351"/>
      <c r="AV449" s="549" t="s">
        <v>325</v>
      </c>
      <c r="AW449" s="351"/>
      <c r="AX449" s="553"/>
      <c r="AY449" s="350"/>
      <c r="AZ449" s="351"/>
      <c r="BA449" s="545"/>
      <c r="BB449" s="351"/>
      <c r="BC449" s="39"/>
      <c r="BD449" s="546" t="s">
        <v>325</v>
      </c>
      <c r="BE449" s="351"/>
      <c r="BF449" s="529"/>
      <c r="BG449" s="350"/>
      <c r="BH449" s="350"/>
      <c r="BI449" s="351"/>
      <c r="BJ449" s="548" t="s">
        <v>294</v>
      </c>
      <c r="BK449" s="350"/>
      <c r="BL449" s="350"/>
      <c r="BM449" s="351"/>
      <c r="BN449" s="530" t="s">
        <v>294</v>
      </c>
      <c r="BO449" s="350"/>
      <c r="BP449" s="350"/>
      <c r="BQ449" s="350"/>
      <c r="BR449" s="350"/>
      <c r="BS449" s="350"/>
      <c r="BT449" s="350"/>
      <c r="BU449" s="350"/>
      <c r="BV449" s="351"/>
    </row>
    <row r="450" spans="1:74" ht="45" customHeight="1">
      <c r="A450" s="24">
        <f t="shared" si="1"/>
        <v>436</v>
      </c>
      <c r="B450" s="558" t="s">
        <v>294</v>
      </c>
      <c r="C450" s="351"/>
      <c r="D450" s="559" t="s">
        <v>298</v>
      </c>
      <c r="E450" s="351"/>
      <c r="F450" s="524" t="s">
        <v>325</v>
      </c>
      <c r="G450" s="351"/>
      <c r="H450" s="525" t="s">
        <v>325</v>
      </c>
      <c r="I450" s="351"/>
      <c r="J450" s="563"/>
      <c r="K450" s="351"/>
      <c r="L450" s="563"/>
      <c r="M450" s="351"/>
      <c r="N450" s="37"/>
      <c r="O450" s="35"/>
      <c r="P450" s="560"/>
      <c r="Q450" s="351"/>
      <c r="R450" s="527"/>
      <c r="S450" s="351"/>
      <c r="T450" s="528"/>
      <c r="U450" s="351"/>
      <c r="V450" s="541"/>
      <c r="W450" s="351"/>
      <c r="X450" s="538" t="s">
        <v>294</v>
      </c>
      <c r="Y450" s="350"/>
      <c r="Z450" s="350"/>
      <c r="AA450" s="351"/>
      <c r="AB450" s="539" t="s">
        <v>294</v>
      </c>
      <c r="AC450" s="350"/>
      <c r="AD450" s="350"/>
      <c r="AE450" s="351"/>
      <c r="AF450" s="544"/>
      <c r="AG450" s="351"/>
      <c r="AH450" s="544"/>
      <c r="AI450" s="351"/>
      <c r="AJ450" s="545"/>
      <c r="AK450" s="351"/>
      <c r="AL450" s="555" t="s">
        <v>325</v>
      </c>
      <c r="AM450" s="351"/>
      <c r="AN450" s="531" t="s">
        <v>325</v>
      </c>
      <c r="AO450" s="351"/>
      <c r="AP450" s="550"/>
      <c r="AQ450" s="351"/>
      <c r="AR450" s="551"/>
      <c r="AS450" s="351"/>
      <c r="AT450" s="534"/>
      <c r="AU450" s="351"/>
      <c r="AV450" s="531" t="s">
        <v>325</v>
      </c>
      <c r="AW450" s="351"/>
      <c r="AX450" s="553"/>
      <c r="AY450" s="350"/>
      <c r="AZ450" s="351"/>
      <c r="BA450" s="554"/>
      <c r="BB450" s="351"/>
      <c r="BC450" s="36"/>
      <c r="BD450" s="556" t="s">
        <v>325</v>
      </c>
      <c r="BE450" s="351"/>
      <c r="BF450" s="547"/>
      <c r="BG450" s="350"/>
      <c r="BH450" s="350"/>
      <c r="BI450" s="351"/>
      <c r="BJ450" s="506" t="s">
        <v>294</v>
      </c>
      <c r="BK450" s="350"/>
      <c r="BL450" s="350"/>
      <c r="BM450" s="351"/>
      <c r="BN450" s="530" t="s">
        <v>294</v>
      </c>
      <c r="BO450" s="350"/>
      <c r="BP450" s="350"/>
      <c r="BQ450" s="350"/>
      <c r="BR450" s="350"/>
      <c r="BS450" s="350"/>
      <c r="BT450" s="350"/>
      <c r="BU450" s="350"/>
      <c r="BV450" s="351"/>
    </row>
    <row r="451" spans="1:74" ht="45" customHeight="1">
      <c r="A451" s="24">
        <f t="shared" si="1"/>
        <v>437</v>
      </c>
      <c r="B451" s="522" t="s">
        <v>294</v>
      </c>
      <c r="C451" s="351"/>
      <c r="D451" s="523" t="s">
        <v>298</v>
      </c>
      <c r="E451" s="351"/>
      <c r="F451" s="524" t="s">
        <v>325</v>
      </c>
      <c r="G451" s="351"/>
      <c r="H451" s="561" t="s">
        <v>325</v>
      </c>
      <c r="I451" s="351"/>
      <c r="J451" s="562"/>
      <c r="K451" s="351"/>
      <c r="L451" s="562"/>
      <c r="M451" s="351"/>
      <c r="N451" s="34"/>
      <c r="O451" s="38"/>
      <c r="P451" s="526"/>
      <c r="Q451" s="351"/>
      <c r="R451" s="535"/>
      <c r="S451" s="351"/>
      <c r="T451" s="536"/>
      <c r="U451" s="351"/>
      <c r="V451" s="537"/>
      <c r="W451" s="351"/>
      <c r="X451" s="542" t="s">
        <v>294</v>
      </c>
      <c r="Y451" s="350"/>
      <c r="Z451" s="350"/>
      <c r="AA451" s="351"/>
      <c r="AB451" s="543" t="s">
        <v>294</v>
      </c>
      <c r="AC451" s="350"/>
      <c r="AD451" s="350"/>
      <c r="AE451" s="351"/>
      <c r="AF451" s="540"/>
      <c r="AG451" s="351"/>
      <c r="AH451" s="540"/>
      <c r="AI451" s="351"/>
      <c r="AJ451" s="532"/>
      <c r="AK451" s="351"/>
      <c r="AL451" s="524" t="s">
        <v>325</v>
      </c>
      <c r="AM451" s="351"/>
      <c r="AN451" s="549" t="s">
        <v>325</v>
      </c>
      <c r="AO451" s="351"/>
      <c r="AP451" s="532"/>
      <c r="AQ451" s="351"/>
      <c r="AR451" s="533"/>
      <c r="AS451" s="351"/>
      <c r="AT451" s="534"/>
      <c r="AU451" s="351"/>
      <c r="AV451" s="549" t="s">
        <v>325</v>
      </c>
      <c r="AW451" s="351"/>
      <c r="AX451" s="553"/>
      <c r="AY451" s="350"/>
      <c r="AZ451" s="351"/>
      <c r="BA451" s="545"/>
      <c r="BB451" s="351"/>
      <c r="BC451" s="39"/>
      <c r="BD451" s="546" t="s">
        <v>325</v>
      </c>
      <c r="BE451" s="351"/>
      <c r="BF451" s="557"/>
      <c r="BG451" s="350"/>
      <c r="BH451" s="350"/>
      <c r="BI451" s="351"/>
      <c r="BJ451" s="548" t="s">
        <v>294</v>
      </c>
      <c r="BK451" s="350"/>
      <c r="BL451" s="350"/>
      <c r="BM451" s="351"/>
      <c r="BN451" s="530" t="s">
        <v>294</v>
      </c>
      <c r="BO451" s="350"/>
      <c r="BP451" s="350"/>
      <c r="BQ451" s="350"/>
      <c r="BR451" s="350"/>
      <c r="BS451" s="350"/>
      <c r="BT451" s="350"/>
      <c r="BU451" s="350"/>
      <c r="BV451" s="351"/>
    </row>
    <row r="452" spans="1:74" ht="45" customHeight="1">
      <c r="A452" s="24">
        <f t="shared" si="1"/>
        <v>438</v>
      </c>
      <c r="B452" s="558" t="s">
        <v>294</v>
      </c>
      <c r="C452" s="351"/>
      <c r="D452" s="559" t="s">
        <v>298</v>
      </c>
      <c r="E452" s="351"/>
      <c r="F452" s="524" t="s">
        <v>325</v>
      </c>
      <c r="G452" s="351"/>
      <c r="H452" s="525" t="s">
        <v>325</v>
      </c>
      <c r="I452" s="351"/>
      <c r="J452" s="563"/>
      <c r="K452" s="351"/>
      <c r="L452" s="563"/>
      <c r="M452" s="351"/>
      <c r="N452" s="37"/>
      <c r="O452" s="35"/>
      <c r="P452" s="560"/>
      <c r="Q452" s="351"/>
      <c r="R452" s="527"/>
      <c r="S452" s="351"/>
      <c r="T452" s="528"/>
      <c r="U452" s="351"/>
      <c r="V452" s="541"/>
      <c r="W452" s="351"/>
      <c r="X452" s="538" t="s">
        <v>294</v>
      </c>
      <c r="Y452" s="350"/>
      <c r="Z452" s="350"/>
      <c r="AA452" s="351"/>
      <c r="AB452" s="539" t="s">
        <v>294</v>
      </c>
      <c r="AC452" s="350"/>
      <c r="AD452" s="350"/>
      <c r="AE452" s="351"/>
      <c r="AF452" s="544"/>
      <c r="AG452" s="351"/>
      <c r="AH452" s="544"/>
      <c r="AI452" s="351"/>
      <c r="AJ452" s="545"/>
      <c r="AK452" s="351"/>
      <c r="AL452" s="555" t="s">
        <v>325</v>
      </c>
      <c r="AM452" s="351"/>
      <c r="AN452" s="531" t="s">
        <v>325</v>
      </c>
      <c r="AO452" s="351"/>
      <c r="AP452" s="550"/>
      <c r="AQ452" s="351"/>
      <c r="AR452" s="551"/>
      <c r="AS452" s="351"/>
      <c r="AT452" s="534"/>
      <c r="AU452" s="351"/>
      <c r="AV452" s="531" t="s">
        <v>325</v>
      </c>
      <c r="AW452" s="351"/>
      <c r="AX452" s="553"/>
      <c r="AY452" s="350"/>
      <c r="AZ452" s="351"/>
      <c r="BA452" s="554"/>
      <c r="BB452" s="351"/>
      <c r="BC452" s="36"/>
      <c r="BD452" s="556" t="s">
        <v>325</v>
      </c>
      <c r="BE452" s="351"/>
      <c r="BF452" s="547"/>
      <c r="BG452" s="350"/>
      <c r="BH452" s="350"/>
      <c r="BI452" s="351"/>
      <c r="BJ452" s="506" t="s">
        <v>294</v>
      </c>
      <c r="BK452" s="350"/>
      <c r="BL452" s="350"/>
      <c r="BM452" s="351"/>
      <c r="BN452" s="530" t="s">
        <v>294</v>
      </c>
      <c r="BO452" s="350"/>
      <c r="BP452" s="350"/>
      <c r="BQ452" s="350"/>
      <c r="BR452" s="350"/>
      <c r="BS452" s="350"/>
      <c r="BT452" s="350"/>
      <c r="BU452" s="350"/>
      <c r="BV452" s="351"/>
    </row>
    <row r="453" spans="1:74" ht="45" customHeight="1">
      <c r="A453" s="24">
        <f t="shared" si="1"/>
        <v>439</v>
      </c>
      <c r="B453" s="522" t="s">
        <v>294</v>
      </c>
      <c r="C453" s="351"/>
      <c r="D453" s="523" t="s">
        <v>298</v>
      </c>
      <c r="E453" s="351"/>
      <c r="F453" s="524" t="s">
        <v>325</v>
      </c>
      <c r="G453" s="351"/>
      <c r="H453" s="561" t="s">
        <v>325</v>
      </c>
      <c r="I453" s="351"/>
      <c r="J453" s="562"/>
      <c r="K453" s="351"/>
      <c r="L453" s="562"/>
      <c r="M453" s="351"/>
      <c r="N453" s="34"/>
      <c r="O453" s="38"/>
      <c r="P453" s="526"/>
      <c r="Q453" s="351"/>
      <c r="R453" s="535"/>
      <c r="S453" s="351"/>
      <c r="T453" s="536"/>
      <c r="U453" s="351"/>
      <c r="V453" s="537"/>
      <c r="W453" s="351"/>
      <c r="X453" s="542" t="s">
        <v>294</v>
      </c>
      <c r="Y453" s="350"/>
      <c r="Z453" s="350"/>
      <c r="AA453" s="351"/>
      <c r="AB453" s="543" t="s">
        <v>294</v>
      </c>
      <c r="AC453" s="350"/>
      <c r="AD453" s="350"/>
      <c r="AE453" s="351"/>
      <c r="AF453" s="540"/>
      <c r="AG453" s="351"/>
      <c r="AH453" s="540"/>
      <c r="AI453" s="351"/>
      <c r="AJ453" s="532"/>
      <c r="AK453" s="351"/>
      <c r="AL453" s="524" t="s">
        <v>325</v>
      </c>
      <c r="AM453" s="351"/>
      <c r="AN453" s="549" t="s">
        <v>325</v>
      </c>
      <c r="AO453" s="351"/>
      <c r="AP453" s="532"/>
      <c r="AQ453" s="351"/>
      <c r="AR453" s="533"/>
      <c r="AS453" s="351"/>
      <c r="AT453" s="534"/>
      <c r="AU453" s="351"/>
      <c r="AV453" s="549" t="s">
        <v>325</v>
      </c>
      <c r="AW453" s="351"/>
      <c r="AX453" s="553"/>
      <c r="AY453" s="350"/>
      <c r="AZ453" s="351"/>
      <c r="BA453" s="545"/>
      <c r="BB453" s="351"/>
      <c r="BC453" s="39"/>
      <c r="BD453" s="546" t="s">
        <v>325</v>
      </c>
      <c r="BE453" s="351"/>
      <c r="BF453" s="529"/>
      <c r="BG453" s="350"/>
      <c r="BH453" s="350"/>
      <c r="BI453" s="351"/>
      <c r="BJ453" s="548" t="s">
        <v>294</v>
      </c>
      <c r="BK453" s="350"/>
      <c r="BL453" s="350"/>
      <c r="BM453" s="351"/>
      <c r="BN453" s="530" t="s">
        <v>294</v>
      </c>
      <c r="BO453" s="350"/>
      <c r="BP453" s="350"/>
      <c r="BQ453" s="350"/>
      <c r="BR453" s="350"/>
      <c r="BS453" s="350"/>
      <c r="BT453" s="350"/>
      <c r="BU453" s="350"/>
      <c r="BV453" s="351"/>
    </row>
    <row r="454" spans="1:74" ht="45" customHeight="1">
      <c r="A454" s="24">
        <f t="shared" si="1"/>
        <v>440</v>
      </c>
      <c r="B454" s="558" t="s">
        <v>294</v>
      </c>
      <c r="C454" s="351"/>
      <c r="D454" s="559" t="s">
        <v>298</v>
      </c>
      <c r="E454" s="351"/>
      <c r="F454" s="524" t="s">
        <v>325</v>
      </c>
      <c r="G454" s="351"/>
      <c r="H454" s="525" t="s">
        <v>325</v>
      </c>
      <c r="I454" s="351"/>
      <c r="J454" s="563"/>
      <c r="K454" s="351"/>
      <c r="L454" s="563"/>
      <c r="M454" s="351"/>
      <c r="N454" s="37"/>
      <c r="O454" s="35"/>
      <c r="P454" s="560"/>
      <c r="Q454" s="351"/>
      <c r="R454" s="527"/>
      <c r="S454" s="351"/>
      <c r="T454" s="528"/>
      <c r="U454" s="351"/>
      <c r="V454" s="541"/>
      <c r="W454" s="351"/>
      <c r="X454" s="538" t="s">
        <v>294</v>
      </c>
      <c r="Y454" s="350"/>
      <c r="Z454" s="350"/>
      <c r="AA454" s="351"/>
      <c r="AB454" s="539" t="s">
        <v>294</v>
      </c>
      <c r="AC454" s="350"/>
      <c r="AD454" s="350"/>
      <c r="AE454" s="351"/>
      <c r="AF454" s="544"/>
      <c r="AG454" s="351"/>
      <c r="AH454" s="544"/>
      <c r="AI454" s="351"/>
      <c r="AJ454" s="545"/>
      <c r="AK454" s="351"/>
      <c r="AL454" s="555" t="s">
        <v>325</v>
      </c>
      <c r="AM454" s="351"/>
      <c r="AN454" s="531" t="s">
        <v>325</v>
      </c>
      <c r="AO454" s="351"/>
      <c r="AP454" s="550"/>
      <c r="AQ454" s="351"/>
      <c r="AR454" s="551"/>
      <c r="AS454" s="351"/>
      <c r="AT454" s="534"/>
      <c r="AU454" s="351"/>
      <c r="AV454" s="531" t="s">
        <v>325</v>
      </c>
      <c r="AW454" s="351"/>
      <c r="AX454" s="553"/>
      <c r="AY454" s="350"/>
      <c r="AZ454" s="351"/>
      <c r="BA454" s="554"/>
      <c r="BB454" s="351"/>
      <c r="BC454" s="36"/>
      <c r="BD454" s="556" t="s">
        <v>325</v>
      </c>
      <c r="BE454" s="351"/>
      <c r="BF454" s="547"/>
      <c r="BG454" s="350"/>
      <c r="BH454" s="350"/>
      <c r="BI454" s="351"/>
      <c r="BJ454" s="506" t="s">
        <v>294</v>
      </c>
      <c r="BK454" s="350"/>
      <c r="BL454" s="350"/>
      <c r="BM454" s="351"/>
      <c r="BN454" s="530" t="s">
        <v>294</v>
      </c>
      <c r="BO454" s="350"/>
      <c r="BP454" s="350"/>
      <c r="BQ454" s="350"/>
      <c r="BR454" s="350"/>
      <c r="BS454" s="350"/>
      <c r="BT454" s="350"/>
      <c r="BU454" s="350"/>
      <c r="BV454" s="351"/>
    </row>
    <row r="455" spans="1:74" ht="45" customHeight="1">
      <c r="A455" s="24">
        <f t="shared" si="1"/>
        <v>441</v>
      </c>
      <c r="B455" s="522" t="s">
        <v>294</v>
      </c>
      <c r="C455" s="351"/>
      <c r="D455" s="523" t="s">
        <v>298</v>
      </c>
      <c r="E455" s="351"/>
      <c r="F455" s="524" t="s">
        <v>325</v>
      </c>
      <c r="G455" s="351"/>
      <c r="H455" s="561" t="s">
        <v>325</v>
      </c>
      <c r="I455" s="351"/>
      <c r="J455" s="562"/>
      <c r="K455" s="351"/>
      <c r="L455" s="562"/>
      <c r="M455" s="351"/>
      <c r="N455" s="34"/>
      <c r="O455" s="38"/>
      <c r="P455" s="526"/>
      <c r="Q455" s="351"/>
      <c r="R455" s="535"/>
      <c r="S455" s="351"/>
      <c r="T455" s="536"/>
      <c r="U455" s="351"/>
      <c r="V455" s="537"/>
      <c r="W455" s="351"/>
      <c r="X455" s="542" t="s">
        <v>294</v>
      </c>
      <c r="Y455" s="350"/>
      <c r="Z455" s="350"/>
      <c r="AA455" s="351"/>
      <c r="AB455" s="543" t="s">
        <v>294</v>
      </c>
      <c r="AC455" s="350"/>
      <c r="AD455" s="350"/>
      <c r="AE455" s="351"/>
      <c r="AF455" s="540"/>
      <c r="AG455" s="351"/>
      <c r="AH455" s="540"/>
      <c r="AI455" s="351"/>
      <c r="AJ455" s="532"/>
      <c r="AK455" s="351"/>
      <c r="AL455" s="524" t="s">
        <v>325</v>
      </c>
      <c r="AM455" s="351"/>
      <c r="AN455" s="549" t="s">
        <v>325</v>
      </c>
      <c r="AO455" s="351"/>
      <c r="AP455" s="532"/>
      <c r="AQ455" s="351"/>
      <c r="AR455" s="533"/>
      <c r="AS455" s="351"/>
      <c r="AT455" s="534"/>
      <c r="AU455" s="351"/>
      <c r="AV455" s="549" t="s">
        <v>325</v>
      </c>
      <c r="AW455" s="351"/>
      <c r="AX455" s="553"/>
      <c r="AY455" s="350"/>
      <c r="AZ455" s="351"/>
      <c r="BA455" s="545"/>
      <c r="BB455" s="351"/>
      <c r="BC455" s="39"/>
      <c r="BD455" s="546" t="s">
        <v>325</v>
      </c>
      <c r="BE455" s="351"/>
      <c r="BF455" s="529"/>
      <c r="BG455" s="350"/>
      <c r="BH455" s="350"/>
      <c r="BI455" s="351"/>
      <c r="BJ455" s="548" t="s">
        <v>294</v>
      </c>
      <c r="BK455" s="350"/>
      <c r="BL455" s="350"/>
      <c r="BM455" s="351"/>
      <c r="BN455" s="530" t="s">
        <v>294</v>
      </c>
      <c r="BO455" s="350"/>
      <c r="BP455" s="350"/>
      <c r="BQ455" s="350"/>
      <c r="BR455" s="350"/>
      <c r="BS455" s="350"/>
      <c r="BT455" s="350"/>
      <c r="BU455" s="350"/>
      <c r="BV455" s="351"/>
    </row>
    <row r="456" spans="1:74" ht="45" customHeight="1">
      <c r="A456" s="24">
        <f t="shared" si="1"/>
        <v>442</v>
      </c>
      <c r="B456" s="558" t="s">
        <v>294</v>
      </c>
      <c r="C456" s="351"/>
      <c r="D456" s="559" t="s">
        <v>298</v>
      </c>
      <c r="E456" s="351"/>
      <c r="F456" s="524" t="s">
        <v>325</v>
      </c>
      <c r="G456" s="351"/>
      <c r="H456" s="525" t="s">
        <v>325</v>
      </c>
      <c r="I456" s="351"/>
      <c r="J456" s="563"/>
      <c r="K456" s="351"/>
      <c r="L456" s="563"/>
      <c r="M456" s="351"/>
      <c r="N456" s="37"/>
      <c r="O456" s="35"/>
      <c r="P456" s="560"/>
      <c r="Q456" s="351"/>
      <c r="R456" s="527"/>
      <c r="S456" s="351"/>
      <c r="T456" s="528"/>
      <c r="U456" s="351"/>
      <c r="V456" s="541"/>
      <c r="W456" s="351"/>
      <c r="X456" s="538" t="s">
        <v>294</v>
      </c>
      <c r="Y456" s="350"/>
      <c r="Z456" s="350"/>
      <c r="AA456" s="351"/>
      <c r="AB456" s="539" t="s">
        <v>294</v>
      </c>
      <c r="AC456" s="350"/>
      <c r="AD456" s="350"/>
      <c r="AE456" s="351"/>
      <c r="AF456" s="544"/>
      <c r="AG456" s="351"/>
      <c r="AH456" s="544"/>
      <c r="AI456" s="351"/>
      <c r="AJ456" s="545"/>
      <c r="AK456" s="351"/>
      <c r="AL456" s="555" t="s">
        <v>325</v>
      </c>
      <c r="AM456" s="351"/>
      <c r="AN456" s="531" t="s">
        <v>325</v>
      </c>
      <c r="AO456" s="351"/>
      <c r="AP456" s="550"/>
      <c r="AQ456" s="351"/>
      <c r="AR456" s="551"/>
      <c r="AS456" s="351"/>
      <c r="AT456" s="534"/>
      <c r="AU456" s="351"/>
      <c r="AV456" s="531" t="s">
        <v>325</v>
      </c>
      <c r="AW456" s="351"/>
      <c r="AX456" s="553"/>
      <c r="AY456" s="350"/>
      <c r="AZ456" s="351"/>
      <c r="BA456" s="554"/>
      <c r="BB456" s="351"/>
      <c r="BC456" s="36"/>
      <c r="BD456" s="556" t="s">
        <v>325</v>
      </c>
      <c r="BE456" s="351"/>
      <c r="BF456" s="547"/>
      <c r="BG456" s="350"/>
      <c r="BH456" s="350"/>
      <c r="BI456" s="351"/>
      <c r="BJ456" s="506" t="s">
        <v>294</v>
      </c>
      <c r="BK456" s="350"/>
      <c r="BL456" s="350"/>
      <c r="BM456" s="351"/>
      <c r="BN456" s="530" t="s">
        <v>294</v>
      </c>
      <c r="BO456" s="350"/>
      <c r="BP456" s="350"/>
      <c r="BQ456" s="350"/>
      <c r="BR456" s="350"/>
      <c r="BS456" s="350"/>
      <c r="BT456" s="350"/>
      <c r="BU456" s="350"/>
      <c r="BV456" s="351"/>
    </row>
    <row r="457" spans="1:74" ht="45" customHeight="1">
      <c r="A457" s="24">
        <f t="shared" si="1"/>
        <v>443</v>
      </c>
      <c r="B457" s="522" t="s">
        <v>294</v>
      </c>
      <c r="C457" s="351"/>
      <c r="D457" s="523" t="s">
        <v>298</v>
      </c>
      <c r="E457" s="351"/>
      <c r="F457" s="524" t="s">
        <v>325</v>
      </c>
      <c r="G457" s="351"/>
      <c r="H457" s="561" t="s">
        <v>325</v>
      </c>
      <c r="I457" s="351"/>
      <c r="J457" s="562"/>
      <c r="K457" s="351"/>
      <c r="L457" s="562"/>
      <c r="M457" s="351"/>
      <c r="N457" s="34"/>
      <c r="O457" s="38"/>
      <c r="P457" s="526"/>
      <c r="Q457" s="351"/>
      <c r="R457" s="535"/>
      <c r="S457" s="351"/>
      <c r="T457" s="536"/>
      <c r="U457" s="351"/>
      <c r="V457" s="537"/>
      <c r="W457" s="351"/>
      <c r="X457" s="542" t="s">
        <v>294</v>
      </c>
      <c r="Y457" s="350"/>
      <c r="Z457" s="350"/>
      <c r="AA457" s="351"/>
      <c r="AB457" s="543" t="s">
        <v>294</v>
      </c>
      <c r="AC457" s="350"/>
      <c r="AD457" s="350"/>
      <c r="AE457" s="351"/>
      <c r="AF457" s="540"/>
      <c r="AG457" s="351"/>
      <c r="AH457" s="540"/>
      <c r="AI457" s="351"/>
      <c r="AJ457" s="532"/>
      <c r="AK457" s="351"/>
      <c r="AL457" s="524" t="s">
        <v>325</v>
      </c>
      <c r="AM457" s="351"/>
      <c r="AN457" s="549" t="s">
        <v>325</v>
      </c>
      <c r="AO457" s="351"/>
      <c r="AP457" s="532"/>
      <c r="AQ457" s="351"/>
      <c r="AR457" s="533"/>
      <c r="AS457" s="351"/>
      <c r="AT457" s="534"/>
      <c r="AU457" s="351"/>
      <c r="AV457" s="549" t="s">
        <v>325</v>
      </c>
      <c r="AW457" s="351"/>
      <c r="AX457" s="553"/>
      <c r="AY457" s="350"/>
      <c r="AZ457" s="351"/>
      <c r="BA457" s="545"/>
      <c r="BB457" s="351"/>
      <c r="BC457" s="39"/>
      <c r="BD457" s="546" t="s">
        <v>325</v>
      </c>
      <c r="BE457" s="351"/>
      <c r="BF457" s="557"/>
      <c r="BG457" s="350"/>
      <c r="BH457" s="350"/>
      <c r="BI457" s="351"/>
      <c r="BJ457" s="548" t="s">
        <v>294</v>
      </c>
      <c r="BK457" s="350"/>
      <c r="BL457" s="350"/>
      <c r="BM457" s="351"/>
      <c r="BN457" s="530" t="s">
        <v>294</v>
      </c>
      <c r="BO457" s="350"/>
      <c r="BP457" s="350"/>
      <c r="BQ457" s="350"/>
      <c r="BR457" s="350"/>
      <c r="BS457" s="350"/>
      <c r="BT457" s="350"/>
      <c r="BU457" s="350"/>
      <c r="BV457" s="351"/>
    </row>
    <row r="458" spans="1:74" ht="45" customHeight="1">
      <c r="A458" s="24">
        <f t="shared" si="1"/>
        <v>444</v>
      </c>
      <c r="B458" s="558" t="s">
        <v>294</v>
      </c>
      <c r="C458" s="351"/>
      <c r="D458" s="559" t="s">
        <v>298</v>
      </c>
      <c r="E458" s="351"/>
      <c r="F458" s="524" t="s">
        <v>325</v>
      </c>
      <c r="G458" s="351"/>
      <c r="H458" s="525" t="s">
        <v>325</v>
      </c>
      <c r="I458" s="351"/>
      <c r="J458" s="563"/>
      <c r="K458" s="351"/>
      <c r="L458" s="563"/>
      <c r="M458" s="351"/>
      <c r="N458" s="37"/>
      <c r="O458" s="35"/>
      <c r="P458" s="560"/>
      <c r="Q458" s="351"/>
      <c r="R458" s="527"/>
      <c r="S458" s="351"/>
      <c r="T458" s="528"/>
      <c r="U458" s="351"/>
      <c r="V458" s="541"/>
      <c r="W458" s="351"/>
      <c r="X458" s="538" t="s">
        <v>294</v>
      </c>
      <c r="Y458" s="350"/>
      <c r="Z458" s="350"/>
      <c r="AA458" s="351"/>
      <c r="AB458" s="539" t="s">
        <v>294</v>
      </c>
      <c r="AC458" s="350"/>
      <c r="AD458" s="350"/>
      <c r="AE458" s="351"/>
      <c r="AF458" s="544"/>
      <c r="AG458" s="351"/>
      <c r="AH458" s="544"/>
      <c r="AI458" s="351"/>
      <c r="AJ458" s="545"/>
      <c r="AK458" s="351"/>
      <c r="AL458" s="555" t="s">
        <v>325</v>
      </c>
      <c r="AM458" s="351"/>
      <c r="AN458" s="531" t="s">
        <v>325</v>
      </c>
      <c r="AO458" s="351"/>
      <c r="AP458" s="550"/>
      <c r="AQ458" s="351"/>
      <c r="AR458" s="551"/>
      <c r="AS458" s="351"/>
      <c r="AT458" s="534"/>
      <c r="AU458" s="351"/>
      <c r="AV458" s="531" t="s">
        <v>325</v>
      </c>
      <c r="AW458" s="351"/>
      <c r="AX458" s="553"/>
      <c r="AY458" s="350"/>
      <c r="AZ458" s="351"/>
      <c r="BA458" s="554"/>
      <c r="BB458" s="351"/>
      <c r="BC458" s="36"/>
      <c r="BD458" s="556" t="s">
        <v>325</v>
      </c>
      <c r="BE458" s="351"/>
      <c r="BF458" s="547"/>
      <c r="BG458" s="350"/>
      <c r="BH458" s="350"/>
      <c r="BI458" s="351"/>
      <c r="BJ458" s="506" t="s">
        <v>294</v>
      </c>
      <c r="BK458" s="350"/>
      <c r="BL458" s="350"/>
      <c r="BM458" s="351"/>
      <c r="BN458" s="530" t="s">
        <v>294</v>
      </c>
      <c r="BO458" s="350"/>
      <c r="BP458" s="350"/>
      <c r="BQ458" s="350"/>
      <c r="BR458" s="350"/>
      <c r="BS458" s="350"/>
      <c r="BT458" s="350"/>
      <c r="BU458" s="350"/>
      <c r="BV458" s="351"/>
    </row>
    <row r="459" spans="1:74" ht="45" customHeight="1">
      <c r="A459" s="24">
        <f t="shared" si="1"/>
        <v>445</v>
      </c>
      <c r="B459" s="522" t="s">
        <v>294</v>
      </c>
      <c r="C459" s="351"/>
      <c r="D459" s="523" t="s">
        <v>298</v>
      </c>
      <c r="E459" s="351"/>
      <c r="F459" s="524" t="s">
        <v>325</v>
      </c>
      <c r="G459" s="351"/>
      <c r="H459" s="561" t="s">
        <v>325</v>
      </c>
      <c r="I459" s="351"/>
      <c r="J459" s="562"/>
      <c r="K459" s="351"/>
      <c r="L459" s="562"/>
      <c r="M459" s="351"/>
      <c r="N459" s="34"/>
      <c r="O459" s="38"/>
      <c r="P459" s="526"/>
      <c r="Q459" s="351"/>
      <c r="R459" s="535"/>
      <c r="S459" s="351"/>
      <c r="T459" s="536"/>
      <c r="U459" s="351"/>
      <c r="V459" s="537"/>
      <c r="W459" s="351"/>
      <c r="X459" s="542" t="s">
        <v>294</v>
      </c>
      <c r="Y459" s="350"/>
      <c r="Z459" s="350"/>
      <c r="AA459" s="351"/>
      <c r="AB459" s="543" t="s">
        <v>294</v>
      </c>
      <c r="AC459" s="350"/>
      <c r="AD459" s="350"/>
      <c r="AE459" s="351"/>
      <c r="AF459" s="540"/>
      <c r="AG459" s="351"/>
      <c r="AH459" s="540"/>
      <c r="AI459" s="351"/>
      <c r="AJ459" s="532"/>
      <c r="AK459" s="351"/>
      <c r="AL459" s="524" t="s">
        <v>325</v>
      </c>
      <c r="AM459" s="351"/>
      <c r="AN459" s="549" t="s">
        <v>325</v>
      </c>
      <c r="AO459" s="351"/>
      <c r="AP459" s="532"/>
      <c r="AQ459" s="351"/>
      <c r="AR459" s="533"/>
      <c r="AS459" s="351"/>
      <c r="AT459" s="534"/>
      <c r="AU459" s="351"/>
      <c r="AV459" s="549" t="s">
        <v>325</v>
      </c>
      <c r="AW459" s="351"/>
      <c r="AX459" s="553"/>
      <c r="AY459" s="350"/>
      <c r="AZ459" s="351"/>
      <c r="BA459" s="545"/>
      <c r="BB459" s="351"/>
      <c r="BC459" s="39"/>
      <c r="BD459" s="546" t="s">
        <v>325</v>
      </c>
      <c r="BE459" s="351"/>
      <c r="BF459" s="529"/>
      <c r="BG459" s="350"/>
      <c r="BH459" s="350"/>
      <c r="BI459" s="351"/>
      <c r="BJ459" s="548" t="s">
        <v>294</v>
      </c>
      <c r="BK459" s="350"/>
      <c r="BL459" s="350"/>
      <c r="BM459" s="351"/>
      <c r="BN459" s="530" t="s">
        <v>294</v>
      </c>
      <c r="BO459" s="350"/>
      <c r="BP459" s="350"/>
      <c r="BQ459" s="350"/>
      <c r="BR459" s="350"/>
      <c r="BS459" s="350"/>
      <c r="BT459" s="350"/>
      <c r="BU459" s="350"/>
      <c r="BV459" s="351"/>
    </row>
    <row r="460" spans="1:74" ht="45" customHeight="1">
      <c r="A460" s="24">
        <f t="shared" si="1"/>
        <v>446</v>
      </c>
      <c r="B460" s="558" t="s">
        <v>294</v>
      </c>
      <c r="C460" s="351"/>
      <c r="D460" s="559" t="s">
        <v>298</v>
      </c>
      <c r="E460" s="351"/>
      <c r="F460" s="524" t="s">
        <v>325</v>
      </c>
      <c r="G460" s="351"/>
      <c r="H460" s="525" t="s">
        <v>325</v>
      </c>
      <c r="I460" s="351"/>
      <c r="J460" s="563"/>
      <c r="K460" s="351"/>
      <c r="L460" s="563"/>
      <c r="M460" s="351"/>
      <c r="N460" s="37"/>
      <c r="O460" s="35"/>
      <c r="P460" s="560"/>
      <c r="Q460" s="351"/>
      <c r="R460" s="527"/>
      <c r="S460" s="351"/>
      <c r="T460" s="528"/>
      <c r="U460" s="351"/>
      <c r="V460" s="541"/>
      <c r="W460" s="351"/>
      <c r="X460" s="538" t="s">
        <v>294</v>
      </c>
      <c r="Y460" s="350"/>
      <c r="Z460" s="350"/>
      <c r="AA460" s="351"/>
      <c r="AB460" s="539" t="s">
        <v>294</v>
      </c>
      <c r="AC460" s="350"/>
      <c r="AD460" s="350"/>
      <c r="AE460" s="351"/>
      <c r="AF460" s="544"/>
      <c r="AG460" s="351"/>
      <c r="AH460" s="544"/>
      <c r="AI460" s="351"/>
      <c r="AJ460" s="545"/>
      <c r="AK460" s="351"/>
      <c r="AL460" s="555" t="s">
        <v>325</v>
      </c>
      <c r="AM460" s="351"/>
      <c r="AN460" s="531" t="s">
        <v>325</v>
      </c>
      <c r="AO460" s="351"/>
      <c r="AP460" s="550"/>
      <c r="AQ460" s="351"/>
      <c r="AR460" s="551"/>
      <c r="AS460" s="351"/>
      <c r="AT460" s="534"/>
      <c r="AU460" s="351"/>
      <c r="AV460" s="531" t="s">
        <v>325</v>
      </c>
      <c r="AW460" s="351"/>
      <c r="AX460" s="553"/>
      <c r="AY460" s="350"/>
      <c r="AZ460" s="351"/>
      <c r="BA460" s="554"/>
      <c r="BB460" s="351"/>
      <c r="BC460" s="36"/>
      <c r="BD460" s="556" t="s">
        <v>325</v>
      </c>
      <c r="BE460" s="351"/>
      <c r="BF460" s="547"/>
      <c r="BG460" s="350"/>
      <c r="BH460" s="350"/>
      <c r="BI460" s="351"/>
      <c r="BJ460" s="506" t="s">
        <v>294</v>
      </c>
      <c r="BK460" s="350"/>
      <c r="BL460" s="350"/>
      <c r="BM460" s="351"/>
      <c r="BN460" s="530" t="s">
        <v>294</v>
      </c>
      <c r="BO460" s="350"/>
      <c r="BP460" s="350"/>
      <c r="BQ460" s="350"/>
      <c r="BR460" s="350"/>
      <c r="BS460" s="350"/>
      <c r="BT460" s="350"/>
      <c r="BU460" s="350"/>
      <c r="BV460" s="351"/>
    </row>
    <row r="461" spans="1:74" ht="45" customHeight="1">
      <c r="A461" s="24">
        <f t="shared" si="1"/>
        <v>447</v>
      </c>
      <c r="B461" s="522" t="s">
        <v>294</v>
      </c>
      <c r="C461" s="351"/>
      <c r="D461" s="523" t="s">
        <v>298</v>
      </c>
      <c r="E461" s="351"/>
      <c r="F461" s="524" t="s">
        <v>325</v>
      </c>
      <c r="G461" s="351"/>
      <c r="H461" s="561" t="s">
        <v>325</v>
      </c>
      <c r="I461" s="351"/>
      <c r="J461" s="562"/>
      <c r="K461" s="351"/>
      <c r="L461" s="562"/>
      <c r="M461" s="351"/>
      <c r="N461" s="34"/>
      <c r="O461" s="38"/>
      <c r="P461" s="526"/>
      <c r="Q461" s="351"/>
      <c r="R461" s="535"/>
      <c r="S461" s="351"/>
      <c r="T461" s="536"/>
      <c r="U461" s="351"/>
      <c r="V461" s="537"/>
      <c r="W461" s="351"/>
      <c r="X461" s="542" t="s">
        <v>294</v>
      </c>
      <c r="Y461" s="350"/>
      <c r="Z461" s="350"/>
      <c r="AA461" s="351"/>
      <c r="AB461" s="543" t="s">
        <v>294</v>
      </c>
      <c r="AC461" s="350"/>
      <c r="AD461" s="350"/>
      <c r="AE461" s="351"/>
      <c r="AF461" s="540"/>
      <c r="AG461" s="351"/>
      <c r="AH461" s="540"/>
      <c r="AI461" s="351"/>
      <c r="AJ461" s="532"/>
      <c r="AK461" s="351"/>
      <c r="AL461" s="524" t="s">
        <v>325</v>
      </c>
      <c r="AM461" s="351"/>
      <c r="AN461" s="549" t="s">
        <v>325</v>
      </c>
      <c r="AO461" s="351"/>
      <c r="AP461" s="532"/>
      <c r="AQ461" s="351"/>
      <c r="AR461" s="533"/>
      <c r="AS461" s="351"/>
      <c r="AT461" s="534"/>
      <c r="AU461" s="351"/>
      <c r="AV461" s="549" t="s">
        <v>325</v>
      </c>
      <c r="AW461" s="351"/>
      <c r="AX461" s="553"/>
      <c r="AY461" s="350"/>
      <c r="AZ461" s="351"/>
      <c r="BA461" s="545"/>
      <c r="BB461" s="351"/>
      <c r="BC461" s="39"/>
      <c r="BD461" s="546" t="s">
        <v>325</v>
      </c>
      <c r="BE461" s="351"/>
      <c r="BF461" s="557"/>
      <c r="BG461" s="350"/>
      <c r="BH461" s="350"/>
      <c r="BI461" s="351"/>
      <c r="BJ461" s="548" t="s">
        <v>294</v>
      </c>
      <c r="BK461" s="350"/>
      <c r="BL461" s="350"/>
      <c r="BM461" s="351"/>
      <c r="BN461" s="530" t="s">
        <v>294</v>
      </c>
      <c r="BO461" s="350"/>
      <c r="BP461" s="350"/>
      <c r="BQ461" s="350"/>
      <c r="BR461" s="350"/>
      <c r="BS461" s="350"/>
      <c r="BT461" s="350"/>
      <c r="BU461" s="350"/>
      <c r="BV461" s="351"/>
    </row>
    <row r="462" spans="1:74" ht="45" customHeight="1">
      <c r="A462" s="24">
        <f t="shared" si="1"/>
        <v>448</v>
      </c>
      <c r="B462" s="558" t="s">
        <v>294</v>
      </c>
      <c r="C462" s="351"/>
      <c r="D462" s="559" t="s">
        <v>298</v>
      </c>
      <c r="E462" s="351"/>
      <c r="F462" s="524" t="s">
        <v>325</v>
      </c>
      <c r="G462" s="351"/>
      <c r="H462" s="525" t="s">
        <v>325</v>
      </c>
      <c r="I462" s="351"/>
      <c r="J462" s="563"/>
      <c r="K462" s="351"/>
      <c r="L462" s="563"/>
      <c r="M462" s="351"/>
      <c r="N462" s="37"/>
      <c r="O462" s="35"/>
      <c r="P462" s="560"/>
      <c r="Q462" s="351"/>
      <c r="R462" s="527"/>
      <c r="S462" s="351"/>
      <c r="T462" s="528"/>
      <c r="U462" s="351"/>
      <c r="V462" s="541"/>
      <c r="W462" s="351"/>
      <c r="X462" s="538" t="s">
        <v>294</v>
      </c>
      <c r="Y462" s="350"/>
      <c r="Z462" s="350"/>
      <c r="AA462" s="351"/>
      <c r="AB462" s="539" t="s">
        <v>294</v>
      </c>
      <c r="AC462" s="350"/>
      <c r="AD462" s="350"/>
      <c r="AE462" s="351"/>
      <c r="AF462" s="544"/>
      <c r="AG462" s="351"/>
      <c r="AH462" s="544"/>
      <c r="AI462" s="351"/>
      <c r="AJ462" s="545"/>
      <c r="AK462" s="351"/>
      <c r="AL462" s="555" t="s">
        <v>325</v>
      </c>
      <c r="AM462" s="351"/>
      <c r="AN462" s="531" t="s">
        <v>325</v>
      </c>
      <c r="AO462" s="351"/>
      <c r="AP462" s="550"/>
      <c r="AQ462" s="351"/>
      <c r="AR462" s="551"/>
      <c r="AS462" s="351"/>
      <c r="AT462" s="534"/>
      <c r="AU462" s="351"/>
      <c r="AV462" s="531" t="s">
        <v>325</v>
      </c>
      <c r="AW462" s="351"/>
      <c r="AX462" s="553"/>
      <c r="AY462" s="350"/>
      <c r="AZ462" s="351"/>
      <c r="BA462" s="554"/>
      <c r="BB462" s="351"/>
      <c r="BC462" s="36"/>
      <c r="BD462" s="556" t="s">
        <v>325</v>
      </c>
      <c r="BE462" s="351"/>
      <c r="BF462" s="547"/>
      <c r="BG462" s="350"/>
      <c r="BH462" s="350"/>
      <c r="BI462" s="351"/>
      <c r="BJ462" s="506" t="s">
        <v>294</v>
      </c>
      <c r="BK462" s="350"/>
      <c r="BL462" s="350"/>
      <c r="BM462" s="351"/>
      <c r="BN462" s="530" t="s">
        <v>294</v>
      </c>
      <c r="BO462" s="350"/>
      <c r="BP462" s="350"/>
      <c r="BQ462" s="350"/>
      <c r="BR462" s="350"/>
      <c r="BS462" s="350"/>
      <c r="BT462" s="350"/>
      <c r="BU462" s="350"/>
      <c r="BV462" s="351"/>
    </row>
    <row r="463" spans="1:74" ht="45" customHeight="1">
      <c r="A463" s="24">
        <f t="shared" si="1"/>
        <v>449</v>
      </c>
      <c r="B463" s="522" t="s">
        <v>294</v>
      </c>
      <c r="C463" s="351"/>
      <c r="D463" s="523" t="s">
        <v>298</v>
      </c>
      <c r="E463" s="351"/>
      <c r="F463" s="524" t="s">
        <v>325</v>
      </c>
      <c r="G463" s="351"/>
      <c r="H463" s="561" t="s">
        <v>325</v>
      </c>
      <c r="I463" s="351"/>
      <c r="J463" s="562"/>
      <c r="K463" s="351"/>
      <c r="L463" s="562"/>
      <c r="M463" s="351"/>
      <c r="N463" s="34"/>
      <c r="O463" s="38"/>
      <c r="P463" s="526"/>
      <c r="Q463" s="351"/>
      <c r="R463" s="535"/>
      <c r="S463" s="351"/>
      <c r="T463" s="536"/>
      <c r="U463" s="351"/>
      <c r="V463" s="537"/>
      <c r="W463" s="351"/>
      <c r="X463" s="542" t="s">
        <v>294</v>
      </c>
      <c r="Y463" s="350"/>
      <c r="Z463" s="350"/>
      <c r="AA463" s="351"/>
      <c r="AB463" s="543" t="s">
        <v>294</v>
      </c>
      <c r="AC463" s="350"/>
      <c r="AD463" s="350"/>
      <c r="AE463" s="351"/>
      <c r="AF463" s="540"/>
      <c r="AG463" s="351"/>
      <c r="AH463" s="540"/>
      <c r="AI463" s="351"/>
      <c r="AJ463" s="532"/>
      <c r="AK463" s="351"/>
      <c r="AL463" s="524" t="s">
        <v>325</v>
      </c>
      <c r="AM463" s="351"/>
      <c r="AN463" s="549" t="s">
        <v>325</v>
      </c>
      <c r="AO463" s="351"/>
      <c r="AP463" s="532"/>
      <c r="AQ463" s="351"/>
      <c r="AR463" s="533"/>
      <c r="AS463" s="351"/>
      <c r="AT463" s="534"/>
      <c r="AU463" s="351"/>
      <c r="AV463" s="549" t="s">
        <v>325</v>
      </c>
      <c r="AW463" s="351"/>
      <c r="AX463" s="553"/>
      <c r="AY463" s="350"/>
      <c r="AZ463" s="351"/>
      <c r="BA463" s="545"/>
      <c r="BB463" s="351"/>
      <c r="BC463" s="39"/>
      <c r="BD463" s="546" t="s">
        <v>325</v>
      </c>
      <c r="BE463" s="351"/>
      <c r="BF463" s="529"/>
      <c r="BG463" s="350"/>
      <c r="BH463" s="350"/>
      <c r="BI463" s="351"/>
      <c r="BJ463" s="548" t="s">
        <v>294</v>
      </c>
      <c r="BK463" s="350"/>
      <c r="BL463" s="350"/>
      <c r="BM463" s="351"/>
      <c r="BN463" s="530" t="s">
        <v>294</v>
      </c>
      <c r="BO463" s="350"/>
      <c r="BP463" s="350"/>
      <c r="BQ463" s="350"/>
      <c r="BR463" s="350"/>
      <c r="BS463" s="350"/>
      <c r="BT463" s="350"/>
      <c r="BU463" s="350"/>
      <c r="BV463" s="351"/>
    </row>
    <row r="464" spans="1:74" ht="45" customHeight="1">
      <c r="A464" s="24">
        <f t="shared" si="1"/>
        <v>450</v>
      </c>
      <c r="B464" s="558" t="s">
        <v>294</v>
      </c>
      <c r="C464" s="351"/>
      <c r="D464" s="559" t="s">
        <v>298</v>
      </c>
      <c r="E464" s="351"/>
      <c r="F464" s="524" t="s">
        <v>325</v>
      </c>
      <c r="G464" s="351"/>
      <c r="H464" s="525" t="s">
        <v>325</v>
      </c>
      <c r="I464" s="351"/>
      <c r="J464" s="563"/>
      <c r="K464" s="351"/>
      <c r="L464" s="563"/>
      <c r="M464" s="351"/>
      <c r="N464" s="37"/>
      <c r="O464" s="35"/>
      <c r="P464" s="560"/>
      <c r="Q464" s="351"/>
      <c r="R464" s="527"/>
      <c r="S464" s="351"/>
      <c r="T464" s="528"/>
      <c r="U464" s="351"/>
      <c r="V464" s="541"/>
      <c r="W464" s="351"/>
      <c r="X464" s="538" t="s">
        <v>294</v>
      </c>
      <c r="Y464" s="350"/>
      <c r="Z464" s="350"/>
      <c r="AA464" s="351"/>
      <c r="AB464" s="539" t="s">
        <v>294</v>
      </c>
      <c r="AC464" s="350"/>
      <c r="AD464" s="350"/>
      <c r="AE464" s="351"/>
      <c r="AF464" s="544"/>
      <c r="AG464" s="351"/>
      <c r="AH464" s="544"/>
      <c r="AI464" s="351"/>
      <c r="AJ464" s="545"/>
      <c r="AK464" s="351"/>
      <c r="AL464" s="555" t="s">
        <v>325</v>
      </c>
      <c r="AM464" s="351"/>
      <c r="AN464" s="531" t="s">
        <v>325</v>
      </c>
      <c r="AO464" s="351"/>
      <c r="AP464" s="550"/>
      <c r="AQ464" s="351"/>
      <c r="AR464" s="551"/>
      <c r="AS464" s="351"/>
      <c r="AT464" s="534"/>
      <c r="AU464" s="351"/>
      <c r="AV464" s="531" t="s">
        <v>325</v>
      </c>
      <c r="AW464" s="351"/>
      <c r="AX464" s="553"/>
      <c r="AY464" s="350"/>
      <c r="AZ464" s="351"/>
      <c r="BA464" s="554"/>
      <c r="BB464" s="351"/>
      <c r="BC464" s="36"/>
      <c r="BD464" s="556" t="s">
        <v>325</v>
      </c>
      <c r="BE464" s="351"/>
      <c r="BF464" s="547"/>
      <c r="BG464" s="350"/>
      <c r="BH464" s="350"/>
      <c r="BI464" s="351"/>
      <c r="BJ464" s="506" t="s">
        <v>294</v>
      </c>
      <c r="BK464" s="350"/>
      <c r="BL464" s="350"/>
      <c r="BM464" s="351"/>
      <c r="BN464" s="530" t="s">
        <v>294</v>
      </c>
      <c r="BO464" s="350"/>
      <c r="BP464" s="350"/>
      <c r="BQ464" s="350"/>
      <c r="BR464" s="350"/>
      <c r="BS464" s="350"/>
      <c r="BT464" s="350"/>
      <c r="BU464" s="350"/>
      <c r="BV464" s="351"/>
    </row>
    <row r="465" spans="1:74" ht="45" customHeight="1">
      <c r="A465" s="24">
        <f t="shared" si="1"/>
        <v>451</v>
      </c>
      <c r="B465" s="522" t="s">
        <v>294</v>
      </c>
      <c r="C465" s="351"/>
      <c r="D465" s="523" t="s">
        <v>298</v>
      </c>
      <c r="E465" s="351"/>
      <c r="F465" s="524" t="s">
        <v>325</v>
      </c>
      <c r="G465" s="351"/>
      <c r="H465" s="561" t="s">
        <v>325</v>
      </c>
      <c r="I465" s="351"/>
      <c r="J465" s="562"/>
      <c r="K465" s="351"/>
      <c r="L465" s="562"/>
      <c r="M465" s="351"/>
      <c r="N465" s="34"/>
      <c r="O465" s="38"/>
      <c r="P465" s="526"/>
      <c r="Q465" s="351"/>
      <c r="R465" s="535"/>
      <c r="S465" s="351"/>
      <c r="T465" s="536"/>
      <c r="U465" s="351"/>
      <c r="V465" s="537"/>
      <c r="W465" s="351"/>
      <c r="X465" s="542" t="s">
        <v>294</v>
      </c>
      <c r="Y465" s="350"/>
      <c r="Z465" s="350"/>
      <c r="AA465" s="351"/>
      <c r="AB465" s="543" t="s">
        <v>294</v>
      </c>
      <c r="AC465" s="350"/>
      <c r="AD465" s="350"/>
      <c r="AE465" s="351"/>
      <c r="AF465" s="540"/>
      <c r="AG465" s="351"/>
      <c r="AH465" s="540"/>
      <c r="AI465" s="351"/>
      <c r="AJ465" s="532"/>
      <c r="AK465" s="351"/>
      <c r="AL465" s="524" t="s">
        <v>325</v>
      </c>
      <c r="AM465" s="351"/>
      <c r="AN465" s="549" t="s">
        <v>325</v>
      </c>
      <c r="AO465" s="351"/>
      <c r="AP465" s="532"/>
      <c r="AQ465" s="351"/>
      <c r="AR465" s="533"/>
      <c r="AS465" s="351"/>
      <c r="AT465" s="534"/>
      <c r="AU465" s="351"/>
      <c r="AV465" s="549" t="s">
        <v>325</v>
      </c>
      <c r="AW465" s="351"/>
      <c r="AX465" s="553"/>
      <c r="AY465" s="350"/>
      <c r="AZ465" s="351"/>
      <c r="BA465" s="545"/>
      <c r="BB465" s="351"/>
      <c r="BC465" s="39"/>
      <c r="BD465" s="546" t="s">
        <v>325</v>
      </c>
      <c r="BE465" s="351"/>
      <c r="BF465" s="529"/>
      <c r="BG465" s="350"/>
      <c r="BH465" s="350"/>
      <c r="BI465" s="351"/>
      <c r="BJ465" s="548" t="s">
        <v>294</v>
      </c>
      <c r="BK465" s="350"/>
      <c r="BL465" s="350"/>
      <c r="BM465" s="351"/>
      <c r="BN465" s="530" t="s">
        <v>294</v>
      </c>
      <c r="BO465" s="350"/>
      <c r="BP465" s="350"/>
      <c r="BQ465" s="350"/>
      <c r="BR465" s="350"/>
      <c r="BS465" s="350"/>
      <c r="BT465" s="350"/>
      <c r="BU465" s="350"/>
      <c r="BV465" s="351"/>
    </row>
    <row r="466" spans="1:74" ht="45" customHeight="1">
      <c r="A466" s="24">
        <f t="shared" si="1"/>
        <v>452</v>
      </c>
      <c r="B466" s="558" t="s">
        <v>294</v>
      </c>
      <c r="C466" s="351"/>
      <c r="D466" s="559" t="s">
        <v>298</v>
      </c>
      <c r="E466" s="351"/>
      <c r="F466" s="524" t="s">
        <v>325</v>
      </c>
      <c r="G466" s="351"/>
      <c r="H466" s="525" t="s">
        <v>325</v>
      </c>
      <c r="I466" s="351"/>
      <c r="J466" s="563"/>
      <c r="K466" s="351"/>
      <c r="L466" s="563"/>
      <c r="M466" s="351"/>
      <c r="N466" s="37"/>
      <c r="O466" s="35"/>
      <c r="P466" s="560"/>
      <c r="Q466" s="351"/>
      <c r="R466" s="527"/>
      <c r="S466" s="351"/>
      <c r="T466" s="528"/>
      <c r="U466" s="351"/>
      <c r="V466" s="541"/>
      <c r="W466" s="351"/>
      <c r="X466" s="538" t="s">
        <v>294</v>
      </c>
      <c r="Y466" s="350"/>
      <c r="Z466" s="350"/>
      <c r="AA466" s="351"/>
      <c r="AB466" s="539" t="s">
        <v>294</v>
      </c>
      <c r="AC466" s="350"/>
      <c r="AD466" s="350"/>
      <c r="AE466" s="351"/>
      <c r="AF466" s="544"/>
      <c r="AG466" s="351"/>
      <c r="AH466" s="544"/>
      <c r="AI466" s="351"/>
      <c r="AJ466" s="545"/>
      <c r="AK466" s="351"/>
      <c r="AL466" s="555" t="s">
        <v>325</v>
      </c>
      <c r="AM466" s="351"/>
      <c r="AN466" s="531" t="s">
        <v>325</v>
      </c>
      <c r="AO466" s="351"/>
      <c r="AP466" s="550"/>
      <c r="AQ466" s="351"/>
      <c r="AR466" s="551"/>
      <c r="AS466" s="351"/>
      <c r="AT466" s="534"/>
      <c r="AU466" s="351"/>
      <c r="AV466" s="531" t="s">
        <v>325</v>
      </c>
      <c r="AW466" s="351"/>
      <c r="AX466" s="553"/>
      <c r="AY466" s="350"/>
      <c r="AZ466" s="351"/>
      <c r="BA466" s="554"/>
      <c r="BB466" s="351"/>
      <c r="BC466" s="36"/>
      <c r="BD466" s="556" t="s">
        <v>325</v>
      </c>
      <c r="BE466" s="351"/>
      <c r="BF466" s="547"/>
      <c r="BG466" s="350"/>
      <c r="BH466" s="350"/>
      <c r="BI466" s="351"/>
      <c r="BJ466" s="506" t="s">
        <v>294</v>
      </c>
      <c r="BK466" s="350"/>
      <c r="BL466" s="350"/>
      <c r="BM466" s="351"/>
      <c r="BN466" s="530" t="s">
        <v>294</v>
      </c>
      <c r="BO466" s="350"/>
      <c r="BP466" s="350"/>
      <c r="BQ466" s="350"/>
      <c r="BR466" s="350"/>
      <c r="BS466" s="350"/>
      <c r="BT466" s="350"/>
      <c r="BU466" s="350"/>
      <c r="BV466" s="351"/>
    </row>
    <row r="467" spans="1:74" ht="45" customHeight="1">
      <c r="A467" s="24">
        <f t="shared" si="1"/>
        <v>453</v>
      </c>
      <c r="B467" s="522" t="s">
        <v>294</v>
      </c>
      <c r="C467" s="351"/>
      <c r="D467" s="523" t="s">
        <v>298</v>
      </c>
      <c r="E467" s="351"/>
      <c r="F467" s="524" t="s">
        <v>325</v>
      </c>
      <c r="G467" s="351"/>
      <c r="H467" s="561" t="s">
        <v>325</v>
      </c>
      <c r="I467" s="351"/>
      <c r="J467" s="562"/>
      <c r="K467" s="351"/>
      <c r="L467" s="562"/>
      <c r="M467" s="351"/>
      <c r="N467" s="34"/>
      <c r="O467" s="38"/>
      <c r="P467" s="526"/>
      <c r="Q467" s="351"/>
      <c r="R467" s="535"/>
      <c r="S467" s="351"/>
      <c r="T467" s="536"/>
      <c r="U467" s="351"/>
      <c r="V467" s="537"/>
      <c r="W467" s="351"/>
      <c r="X467" s="542" t="s">
        <v>294</v>
      </c>
      <c r="Y467" s="350"/>
      <c r="Z467" s="350"/>
      <c r="AA467" s="351"/>
      <c r="AB467" s="543" t="s">
        <v>294</v>
      </c>
      <c r="AC467" s="350"/>
      <c r="AD467" s="350"/>
      <c r="AE467" s="351"/>
      <c r="AF467" s="540"/>
      <c r="AG467" s="351"/>
      <c r="AH467" s="540"/>
      <c r="AI467" s="351"/>
      <c r="AJ467" s="532"/>
      <c r="AK467" s="351"/>
      <c r="AL467" s="524" t="s">
        <v>325</v>
      </c>
      <c r="AM467" s="351"/>
      <c r="AN467" s="549" t="s">
        <v>325</v>
      </c>
      <c r="AO467" s="351"/>
      <c r="AP467" s="532"/>
      <c r="AQ467" s="351"/>
      <c r="AR467" s="533"/>
      <c r="AS467" s="351"/>
      <c r="AT467" s="534"/>
      <c r="AU467" s="351"/>
      <c r="AV467" s="549" t="s">
        <v>325</v>
      </c>
      <c r="AW467" s="351"/>
      <c r="AX467" s="553"/>
      <c r="AY467" s="350"/>
      <c r="AZ467" s="351"/>
      <c r="BA467" s="545"/>
      <c r="BB467" s="351"/>
      <c r="BC467" s="39"/>
      <c r="BD467" s="546" t="s">
        <v>325</v>
      </c>
      <c r="BE467" s="351"/>
      <c r="BF467" s="557"/>
      <c r="BG467" s="350"/>
      <c r="BH467" s="350"/>
      <c r="BI467" s="351"/>
      <c r="BJ467" s="548" t="s">
        <v>294</v>
      </c>
      <c r="BK467" s="350"/>
      <c r="BL467" s="350"/>
      <c r="BM467" s="351"/>
      <c r="BN467" s="530" t="s">
        <v>294</v>
      </c>
      <c r="BO467" s="350"/>
      <c r="BP467" s="350"/>
      <c r="BQ467" s="350"/>
      <c r="BR467" s="350"/>
      <c r="BS467" s="350"/>
      <c r="BT467" s="350"/>
      <c r="BU467" s="350"/>
      <c r="BV467" s="351"/>
    </row>
    <row r="468" spans="1:74" ht="45" customHeight="1">
      <c r="A468" s="24">
        <f t="shared" si="1"/>
        <v>454</v>
      </c>
      <c r="B468" s="558" t="s">
        <v>294</v>
      </c>
      <c r="C468" s="351"/>
      <c r="D468" s="559" t="s">
        <v>298</v>
      </c>
      <c r="E468" s="351"/>
      <c r="F468" s="524" t="s">
        <v>325</v>
      </c>
      <c r="G468" s="351"/>
      <c r="H468" s="525" t="s">
        <v>325</v>
      </c>
      <c r="I468" s="351"/>
      <c r="J468" s="563"/>
      <c r="K468" s="351"/>
      <c r="L468" s="563"/>
      <c r="M468" s="351"/>
      <c r="N468" s="37"/>
      <c r="O468" s="35"/>
      <c r="P468" s="560"/>
      <c r="Q468" s="351"/>
      <c r="R468" s="527"/>
      <c r="S468" s="351"/>
      <c r="T468" s="528"/>
      <c r="U468" s="351"/>
      <c r="V468" s="541"/>
      <c r="W468" s="351"/>
      <c r="X468" s="538" t="s">
        <v>294</v>
      </c>
      <c r="Y468" s="350"/>
      <c r="Z468" s="350"/>
      <c r="AA468" s="351"/>
      <c r="AB468" s="539" t="s">
        <v>294</v>
      </c>
      <c r="AC468" s="350"/>
      <c r="AD468" s="350"/>
      <c r="AE468" s="351"/>
      <c r="AF468" s="544"/>
      <c r="AG468" s="351"/>
      <c r="AH468" s="544"/>
      <c r="AI468" s="351"/>
      <c r="AJ468" s="545"/>
      <c r="AK468" s="351"/>
      <c r="AL468" s="555" t="s">
        <v>325</v>
      </c>
      <c r="AM468" s="351"/>
      <c r="AN468" s="531" t="s">
        <v>325</v>
      </c>
      <c r="AO468" s="351"/>
      <c r="AP468" s="550"/>
      <c r="AQ468" s="351"/>
      <c r="AR468" s="551"/>
      <c r="AS468" s="351"/>
      <c r="AT468" s="534"/>
      <c r="AU468" s="351"/>
      <c r="AV468" s="531" t="s">
        <v>325</v>
      </c>
      <c r="AW468" s="351"/>
      <c r="AX468" s="553"/>
      <c r="AY468" s="350"/>
      <c r="AZ468" s="351"/>
      <c r="BA468" s="554"/>
      <c r="BB468" s="351"/>
      <c r="BC468" s="36"/>
      <c r="BD468" s="556" t="s">
        <v>325</v>
      </c>
      <c r="BE468" s="351"/>
      <c r="BF468" s="547"/>
      <c r="BG468" s="350"/>
      <c r="BH468" s="350"/>
      <c r="BI468" s="351"/>
      <c r="BJ468" s="506" t="s">
        <v>294</v>
      </c>
      <c r="BK468" s="350"/>
      <c r="BL468" s="350"/>
      <c r="BM468" s="351"/>
      <c r="BN468" s="530" t="s">
        <v>294</v>
      </c>
      <c r="BO468" s="350"/>
      <c r="BP468" s="350"/>
      <c r="BQ468" s="350"/>
      <c r="BR468" s="350"/>
      <c r="BS468" s="350"/>
      <c r="BT468" s="350"/>
      <c r="BU468" s="350"/>
      <c r="BV468" s="351"/>
    </row>
    <row r="469" spans="1:74" ht="45" customHeight="1">
      <c r="A469" s="24">
        <f t="shared" si="1"/>
        <v>455</v>
      </c>
      <c r="B469" s="522" t="s">
        <v>294</v>
      </c>
      <c r="C469" s="351"/>
      <c r="D469" s="523" t="s">
        <v>298</v>
      </c>
      <c r="E469" s="351"/>
      <c r="F469" s="524" t="s">
        <v>325</v>
      </c>
      <c r="G469" s="351"/>
      <c r="H469" s="561" t="s">
        <v>325</v>
      </c>
      <c r="I469" s="351"/>
      <c r="J469" s="562"/>
      <c r="K469" s="351"/>
      <c r="L469" s="562"/>
      <c r="M469" s="351"/>
      <c r="N469" s="34"/>
      <c r="O469" s="38"/>
      <c r="P469" s="526"/>
      <c r="Q469" s="351"/>
      <c r="R469" s="535"/>
      <c r="S469" s="351"/>
      <c r="T469" s="536"/>
      <c r="U469" s="351"/>
      <c r="V469" s="537"/>
      <c r="W469" s="351"/>
      <c r="X469" s="542" t="s">
        <v>294</v>
      </c>
      <c r="Y469" s="350"/>
      <c r="Z469" s="350"/>
      <c r="AA469" s="351"/>
      <c r="AB469" s="543" t="s">
        <v>294</v>
      </c>
      <c r="AC469" s="350"/>
      <c r="AD469" s="350"/>
      <c r="AE469" s="351"/>
      <c r="AF469" s="540"/>
      <c r="AG469" s="351"/>
      <c r="AH469" s="540"/>
      <c r="AI469" s="351"/>
      <c r="AJ469" s="532"/>
      <c r="AK469" s="351"/>
      <c r="AL469" s="524" t="s">
        <v>325</v>
      </c>
      <c r="AM469" s="351"/>
      <c r="AN469" s="549" t="s">
        <v>325</v>
      </c>
      <c r="AO469" s="351"/>
      <c r="AP469" s="532"/>
      <c r="AQ469" s="351"/>
      <c r="AR469" s="533"/>
      <c r="AS469" s="351"/>
      <c r="AT469" s="534"/>
      <c r="AU469" s="351"/>
      <c r="AV469" s="549" t="s">
        <v>325</v>
      </c>
      <c r="AW469" s="351"/>
      <c r="AX469" s="553"/>
      <c r="AY469" s="350"/>
      <c r="AZ469" s="351"/>
      <c r="BA469" s="545"/>
      <c r="BB469" s="351"/>
      <c r="BC469" s="39"/>
      <c r="BD469" s="546" t="s">
        <v>325</v>
      </c>
      <c r="BE469" s="351"/>
      <c r="BF469" s="529"/>
      <c r="BG469" s="350"/>
      <c r="BH469" s="350"/>
      <c r="BI469" s="351"/>
      <c r="BJ469" s="548" t="s">
        <v>294</v>
      </c>
      <c r="BK469" s="350"/>
      <c r="BL469" s="350"/>
      <c r="BM469" s="351"/>
      <c r="BN469" s="530" t="s">
        <v>294</v>
      </c>
      <c r="BO469" s="350"/>
      <c r="BP469" s="350"/>
      <c r="BQ469" s="350"/>
      <c r="BR469" s="350"/>
      <c r="BS469" s="350"/>
      <c r="BT469" s="350"/>
      <c r="BU469" s="350"/>
      <c r="BV469" s="351"/>
    </row>
    <row r="470" spans="1:74" ht="45" customHeight="1">
      <c r="A470" s="24">
        <f t="shared" si="1"/>
        <v>456</v>
      </c>
      <c r="B470" s="558" t="s">
        <v>294</v>
      </c>
      <c r="C470" s="351"/>
      <c r="D470" s="559" t="s">
        <v>298</v>
      </c>
      <c r="E470" s="351"/>
      <c r="F470" s="524" t="s">
        <v>325</v>
      </c>
      <c r="G470" s="351"/>
      <c r="H470" s="525" t="s">
        <v>325</v>
      </c>
      <c r="I470" s="351"/>
      <c r="J470" s="563"/>
      <c r="K470" s="351"/>
      <c r="L470" s="563"/>
      <c r="M470" s="351"/>
      <c r="N470" s="37"/>
      <c r="O470" s="35"/>
      <c r="P470" s="560"/>
      <c r="Q470" s="351"/>
      <c r="R470" s="527"/>
      <c r="S470" s="351"/>
      <c r="T470" s="528"/>
      <c r="U470" s="351"/>
      <c r="V470" s="541"/>
      <c r="W470" s="351"/>
      <c r="X470" s="538" t="s">
        <v>294</v>
      </c>
      <c r="Y470" s="350"/>
      <c r="Z470" s="350"/>
      <c r="AA470" s="351"/>
      <c r="AB470" s="539" t="s">
        <v>294</v>
      </c>
      <c r="AC470" s="350"/>
      <c r="AD470" s="350"/>
      <c r="AE470" s="351"/>
      <c r="AF470" s="544"/>
      <c r="AG470" s="351"/>
      <c r="AH470" s="544"/>
      <c r="AI470" s="351"/>
      <c r="AJ470" s="545"/>
      <c r="AK470" s="351"/>
      <c r="AL470" s="555" t="s">
        <v>325</v>
      </c>
      <c r="AM470" s="351"/>
      <c r="AN470" s="531" t="s">
        <v>325</v>
      </c>
      <c r="AO470" s="351"/>
      <c r="AP470" s="550"/>
      <c r="AQ470" s="351"/>
      <c r="AR470" s="551"/>
      <c r="AS470" s="351"/>
      <c r="AT470" s="534"/>
      <c r="AU470" s="351"/>
      <c r="AV470" s="531" t="s">
        <v>325</v>
      </c>
      <c r="AW470" s="351"/>
      <c r="AX470" s="553"/>
      <c r="AY470" s="350"/>
      <c r="AZ470" s="351"/>
      <c r="BA470" s="554"/>
      <c r="BB470" s="351"/>
      <c r="BC470" s="36"/>
      <c r="BD470" s="556" t="s">
        <v>325</v>
      </c>
      <c r="BE470" s="351"/>
      <c r="BF470" s="547"/>
      <c r="BG470" s="350"/>
      <c r="BH470" s="350"/>
      <c r="BI470" s="351"/>
      <c r="BJ470" s="506" t="s">
        <v>294</v>
      </c>
      <c r="BK470" s="350"/>
      <c r="BL470" s="350"/>
      <c r="BM470" s="351"/>
      <c r="BN470" s="530" t="s">
        <v>294</v>
      </c>
      <c r="BO470" s="350"/>
      <c r="BP470" s="350"/>
      <c r="BQ470" s="350"/>
      <c r="BR470" s="350"/>
      <c r="BS470" s="350"/>
      <c r="BT470" s="350"/>
      <c r="BU470" s="350"/>
      <c r="BV470" s="351"/>
    </row>
    <row r="471" spans="1:74" ht="45" customHeight="1">
      <c r="A471" s="24">
        <f t="shared" si="1"/>
        <v>457</v>
      </c>
      <c r="B471" s="522" t="s">
        <v>294</v>
      </c>
      <c r="C471" s="351"/>
      <c r="D471" s="523" t="s">
        <v>298</v>
      </c>
      <c r="E471" s="351"/>
      <c r="F471" s="524" t="s">
        <v>325</v>
      </c>
      <c r="G471" s="351"/>
      <c r="H471" s="561" t="s">
        <v>325</v>
      </c>
      <c r="I471" s="351"/>
      <c r="J471" s="562"/>
      <c r="K471" s="351"/>
      <c r="L471" s="562"/>
      <c r="M471" s="351"/>
      <c r="N471" s="34"/>
      <c r="O471" s="38"/>
      <c r="P471" s="526"/>
      <c r="Q471" s="351"/>
      <c r="R471" s="535"/>
      <c r="S471" s="351"/>
      <c r="T471" s="536"/>
      <c r="U471" s="351"/>
      <c r="V471" s="537"/>
      <c r="W471" s="351"/>
      <c r="X471" s="542" t="s">
        <v>294</v>
      </c>
      <c r="Y471" s="350"/>
      <c r="Z471" s="350"/>
      <c r="AA471" s="351"/>
      <c r="AB471" s="543" t="s">
        <v>294</v>
      </c>
      <c r="AC471" s="350"/>
      <c r="AD471" s="350"/>
      <c r="AE471" s="351"/>
      <c r="AF471" s="540"/>
      <c r="AG471" s="351"/>
      <c r="AH471" s="540"/>
      <c r="AI471" s="351"/>
      <c r="AJ471" s="532"/>
      <c r="AK471" s="351"/>
      <c r="AL471" s="524" t="s">
        <v>325</v>
      </c>
      <c r="AM471" s="351"/>
      <c r="AN471" s="549" t="s">
        <v>325</v>
      </c>
      <c r="AO471" s="351"/>
      <c r="AP471" s="532"/>
      <c r="AQ471" s="351"/>
      <c r="AR471" s="533"/>
      <c r="AS471" s="351"/>
      <c r="AT471" s="534"/>
      <c r="AU471" s="351"/>
      <c r="AV471" s="549" t="s">
        <v>325</v>
      </c>
      <c r="AW471" s="351"/>
      <c r="AX471" s="553"/>
      <c r="AY471" s="350"/>
      <c r="AZ471" s="351"/>
      <c r="BA471" s="545"/>
      <c r="BB471" s="351"/>
      <c r="BC471" s="39"/>
      <c r="BD471" s="546" t="s">
        <v>325</v>
      </c>
      <c r="BE471" s="351"/>
      <c r="BF471" s="557"/>
      <c r="BG471" s="350"/>
      <c r="BH471" s="350"/>
      <c r="BI471" s="351"/>
      <c r="BJ471" s="548" t="s">
        <v>294</v>
      </c>
      <c r="BK471" s="350"/>
      <c r="BL471" s="350"/>
      <c r="BM471" s="351"/>
      <c r="BN471" s="530" t="s">
        <v>294</v>
      </c>
      <c r="BO471" s="350"/>
      <c r="BP471" s="350"/>
      <c r="BQ471" s="350"/>
      <c r="BR471" s="350"/>
      <c r="BS471" s="350"/>
      <c r="BT471" s="350"/>
      <c r="BU471" s="350"/>
      <c r="BV471" s="351"/>
    </row>
    <row r="472" spans="1:74" ht="45" customHeight="1">
      <c r="A472" s="24">
        <f t="shared" si="1"/>
        <v>458</v>
      </c>
      <c r="B472" s="558" t="s">
        <v>294</v>
      </c>
      <c r="C472" s="351"/>
      <c r="D472" s="559" t="s">
        <v>298</v>
      </c>
      <c r="E472" s="351"/>
      <c r="F472" s="524" t="s">
        <v>325</v>
      </c>
      <c r="G472" s="351"/>
      <c r="H472" s="525" t="s">
        <v>325</v>
      </c>
      <c r="I472" s="351"/>
      <c r="J472" s="563"/>
      <c r="K472" s="351"/>
      <c r="L472" s="563"/>
      <c r="M472" s="351"/>
      <c r="N472" s="37"/>
      <c r="O472" s="35"/>
      <c r="P472" s="560"/>
      <c r="Q472" s="351"/>
      <c r="R472" s="527"/>
      <c r="S472" s="351"/>
      <c r="T472" s="528"/>
      <c r="U472" s="351"/>
      <c r="V472" s="541"/>
      <c r="W472" s="351"/>
      <c r="X472" s="538" t="s">
        <v>294</v>
      </c>
      <c r="Y472" s="350"/>
      <c r="Z472" s="350"/>
      <c r="AA472" s="351"/>
      <c r="AB472" s="539" t="s">
        <v>294</v>
      </c>
      <c r="AC472" s="350"/>
      <c r="AD472" s="350"/>
      <c r="AE472" s="351"/>
      <c r="AF472" s="544"/>
      <c r="AG472" s="351"/>
      <c r="AH472" s="544"/>
      <c r="AI472" s="351"/>
      <c r="AJ472" s="545"/>
      <c r="AK472" s="351"/>
      <c r="AL472" s="555" t="s">
        <v>325</v>
      </c>
      <c r="AM472" s="351"/>
      <c r="AN472" s="531" t="s">
        <v>325</v>
      </c>
      <c r="AO472" s="351"/>
      <c r="AP472" s="550"/>
      <c r="AQ472" s="351"/>
      <c r="AR472" s="551"/>
      <c r="AS472" s="351"/>
      <c r="AT472" s="534"/>
      <c r="AU472" s="351"/>
      <c r="AV472" s="531" t="s">
        <v>325</v>
      </c>
      <c r="AW472" s="351"/>
      <c r="AX472" s="553"/>
      <c r="AY472" s="350"/>
      <c r="AZ472" s="351"/>
      <c r="BA472" s="554"/>
      <c r="BB472" s="351"/>
      <c r="BC472" s="36"/>
      <c r="BD472" s="556" t="s">
        <v>325</v>
      </c>
      <c r="BE472" s="351"/>
      <c r="BF472" s="547"/>
      <c r="BG472" s="350"/>
      <c r="BH472" s="350"/>
      <c r="BI472" s="351"/>
      <c r="BJ472" s="506" t="s">
        <v>294</v>
      </c>
      <c r="BK472" s="350"/>
      <c r="BL472" s="350"/>
      <c r="BM472" s="351"/>
      <c r="BN472" s="530" t="s">
        <v>294</v>
      </c>
      <c r="BO472" s="350"/>
      <c r="BP472" s="350"/>
      <c r="BQ472" s="350"/>
      <c r="BR472" s="350"/>
      <c r="BS472" s="350"/>
      <c r="BT472" s="350"/>
      <c r="BU472" s="350"/>
      <c r="BV472" s="351"/>
    </row>
    <row r="473" spans="1:74" ht="45" customHeight="1">
      <c r="A473" s="24">
        <f t="shared" si="1"/>
        <v>459</v>
      </c>
      <c r="B473" s="522" t="s">
        <v>294</v>
      </c>
      <c r="C473" s="351"/>
      <c r="D473" s="523" t="s">
        <v>298</v>
      </c>
      <c r="E473" s="351"/>
      <c r="F473" s="524" t="s">
        <v>325</v>
      </c>
      <c r="G473" s="351"/>
      <c r="H473" s="561" t="s">
        <v>325</v>
      </c>
      <c r="I473" s="351"/>
      <c r="J473" s="562"/>
      <c r="K473" s="351"/>
      <c r="L473" s="562"/>
      <c r="M473" s="351"/>
      <c r="N473" s="34"/>
      <c r="O473" s="38"/>
      <c r="P473" s="526"/>
      <c r="Q473" s="351"/>
      <c r="R473" s="535"/>
      <c r="S473" s="351"/>
      <c r="T473" s="536"/>
      <c r="U473" s="351"/>
      <c r="V473" s="537"/>
      <c r="W473" s="351"/>
      <c r="X473" s="542" t="s">
        <v>294</v>
      </c>
      <c r="Y473" s="350"/>
      <c r="Z473" s="350"/>
      <c r="AA473" s="351"/>
      <c r="AB473" s="543" t="s">
        <v>294</v>
      </c>
      <c r="AC473" s="350"/>
      <c r="AD473" s="350"/>
      <c r="AE473" s="351"/>
      <c r="AF473" s="540"/>
      <c r="AG473" s="351"/>
      <c r="AH473" s="540"/>
      <c r="AI473" s="351"/>
      <c r="AJ473" s="532"/>
      <c r="AK473" s="351"/>
      <c r="AL473" s="524" t="s">
        <v>325</v>
      </c>
      <c r="AM473" s="351"/>
      <c r="AN473" s="549" t="s">
        <v>325</v>
      </c>
      <c r="AO473" s="351"/>
      <c r="AP473" s="532"/>
      <c r="AQ473" s="351"/>
      <c r="AR473" s="533"/>
      <c r="AS473" s="351"/>
      <c r="AT473" s="534"/>
      <c r="AU473" s="351"/>
      <c r="AV473" s="549" t="s">
        <v>325</v>
      </c>
      <c r="AW473" s="351"/>
      <c r="AX473" s="553"/>
      <c r="AY473" s="350"/>
      <c r="AZ473" s="351"/>
      <c r="BA473" s="545"/>
      <c r="BB473" s="351"/>
      <c r="BC473" s="39"/>
      <c r="BD473" s="546" t="s">
        <v>325</v>
      </c>
      <c r="BE473" s="351"/>
      <c r="BF473" s="529"/>
      <c r="BG473" s="350"/>
      <c r="BH473" s="350"/>
      <c r="BI473" s="351"/>
      <c r="BJ473" s="548" t="s">
        <v>294</v>
      </c>
      <c r="BK473" s="350"/>
      <c r="BL473" s="350"/>
      <c r="BM473" s="351"/>
      <c r="BN473" s="530" t="s">
        <v>294</v>
      </c>
      <c r="BO473" s="350"/>
      <c r="BP473" s="350"/>
      <c r="BQ473" s="350"/>
      <c r="BR473" s="350"/>
      <c r="BS473" s="350"/>
      <c r="BT473" s="350"/>
      <c r="BU473" s="350"/>
      <c r="BV473" s="351"/>
    </row>
    <row r="474" spans="1:74" ht="45" customHeight="1">
      <c r="A474" s="24">
        <f t="shared" si="1"/>
        <v>460</v>
      </c>
      <c r="B474" s="558" t="s">
        <v>294</v>
      </c>
      <c r="C474" s="351"/>
      <c r="D474" s="559" t="s">
        <v>298</v>
      </c>
      <c r="E474" s="351"/>
      <c r="F474" s="524" t="s">
        <v>325</v>
      </c>
      <c r="G474" s="351"/>
      <c r="H474" s="525" t="s">
        <v>325</v>
      </c>
      <c r="I474" s="351"/>
      <c r="J474" s="563"/>
      <c r="K474" s="351"/>
      <c r="L474" s="563"/>
      <c r="M474" s="351"/>
      <c r="N474" s="37"/>
      <c r="O474" s="35"/>
      <c r="P474" s="560"/>
      <c r="Q474" s="351"/>
      <c r="R474" s="527"/>
      <c r="S474" s="351"/>
      <c r="T474" s="528"/>
      <c r="U474" s="351"/>
      <c r="V474" s="541"/>
      <c r="W474" s="351"/>
      <c r="X474" s="538" t="s">
        <v>294</v>
      </c>
      <c r="Y474" s="350"/>
      <c r="Z474" s="350"/>
      <c r="AA474" s="351"/>
      <c r="AB474" s="539" t="s">
        <v>294</v>
      </c>
      <c r="AC474" s="350"/>
      <c r="AD474" s="350"/>
      <c r="AE474" s="351"/>
      <c r="AF474" s="544"/>
      <c r="AG474" s="351"/>
      <c r="AH474" s="544"/>
      <c r="AI474" s="351"/>
      <c r="AJ474" s="545"/>
      <c r="AK474" s="351"/>
      <c r="AL474" s="555" t="s">
        <v>325</v>
      </c>
      <c r="AM474" s="351"/>
      <c r="AN474" s="531" t="s">
        <v>325</v>
      </c>
      <c r="AO474" s="351"/>
      <c r="AP474" s="550"/>
      <c r="AQ474" s="351"/>
      <c r="AR474" s="551"/>
      <c r="AS474" s="351"/>
      <c r="AT474" s="534"/>
      <c r="AU474" s="351"/>
      <c r="AV474" s="531" t="s">
        <v>325</v>
      </c>
      <c r="AW474" s="351"/>
      <c r="AX474" s="553"/>
      <c r="AY474" s="350"/>
      <c r="AZ474" s="351"/>
      <c r="BA474" s="554"/>
      <c r="BB474" s="351"/>
      <c r="BC474" s="36"/>
      <c r="BD474" s="556" t="s">
        <v>325</v>
      </c>
      <c r="BE474" s="351"/>
      <c r="BF474" s="547"/>
      <c r="BG474" s="350"/>
      <c r="BH474" s="350"/>
      <c r="BI474" s="351"/>
      <c r="BJ474" s="506" t="s">
        <v>294</v>
      </c>
      <c r="BK474" s="350"/>
      <c r="BL474" s="350"/>
      <c r="BM474" s="351"/>
      <c r="BN474" s="530" t="s">
        <v>294</v>
      </c>
      <c r="BO474" s="350"/>
      <c r="BP474" s="350"/>
      <c r="BQ474" s="350"/>
      <c r="BR474" s="350"/>
      <c r="BS474" s="350"/>
      <c r="BT474" s="350"/>
      <c r="BU474" s="350"/>
      <c r="BV474" s="351"/>
    </row>
    <row r="475" spans="1:74" ht="45" customHeight="1">
      <c r="A475" s="24">
        <f t="shared" si="1"/>
        <v>461</v>
      </c>
      <c r="B475" s="522" t="s">
        <v>294</v>
      </c>
      <c r="C475" s="351"/>
      <c r="D475" s="523" t="s">
        <v>298</v>
      </c>
      <c r="E475" s="351"/>
      <c r="F475" s="524" t="s">
        <v>325</v>
      </c>
      <c r="G475" s="351"/>
      <c r="H475" s="561" t="s">
        <v>325</v>
      </c>
      <c r="I475" s="351"/>
      <c r="J475" s="562"/>
      <c r="K475" s="351"/>
      <c r="L475" s="562"/>
      <c r="M475" s="351"/>
      <c r="N475" s="34"/>
      <c r="O475" s="38"/>
      <c r="P475" s="526"/>
      <c r="Q475" s="351"/>
      <c r="R475" s="535"/>
      <c r="S475" s="351"/>
      <c r="T475" s="536"/>
      <c r="U475" s="351"/>
      <c r="V475" s="537"/>
      <c r="W475" s="351"/>
      <c r="X475" s="542" t="s">
        <v>294</v>
      </c>
      <c r="Y475" s="350"/>
      <c r="Z475" s="350"/>
      <c r="AA475" s="351"/>
      <c r="AB475" s="543" t="s">
        <v>294</v>
      </c>
      <c r="AC475" s="350"/>
      <c r="AD475" s="350"/>
      <c r="AE475" s="351"/>
      <c r="AF475" s="540"/>
      <c r="AG475" s="351"/>
      <c r="AH475" s="540"/>
      <c r="AI475" s="351"/>
      <c r="AJ475" s="532"/>
      <c r="AK475" s="351"/>
      <c r="AL475" s="524" t="s">
        <v>325</v>
      </c>
      <c r="AM475" s="351"/>
      <c r="AN475" s="549" t="s">
        <v>325</v>
      </c>
      <c r="AO475" s="351"/>
      <c r="AP475" s="532"/>
      <c r="AQ475" s="351"/>
      <c r="AR475" s="533"/>
      <c r="AS475" s="351"/>
      <c r="AT475" s="534"/>
      <c r="AU475" s="351"/>
      <c r="AV475" s="549" t="s">
        <v>325</v>
      </c>
      <c r="AW475" s="351"/>
      <c r="AX475" s="553"/>
      <c r="AY475" s="350"/>
      <c r="AZ475" s="351"/>
      <c r="BA475" s="545"/>
      <c r="BB475" s="351"/>
      <c r="BC475" s="39"/>
      <c r="BD475" s="546" t="s">
        <v>325</v>
      </c>
      <c r="BE475" s="351"/>
      <c r="BF475" s="529"/>
      <c r="BG475" s="350"/>
      <c r="BH475" s="350"/>
      <c r="BI475" s="351"/>
      <c r="BJ475" s="548" t="s">
        <v>294</v>
      </c>
      <c r="BK475" s="350"/>
      <c r="BL475" s="350"/>
      <c r="BM475" s="351"/>
      <c r="BN475" s="530" t="s">
        <v>294</v>
      </c>
      <c r="BO475" s="350"/>
      <c r="BP475" s="350"/>
      <c r="BQ475" s="350"/>
      <c r="BR475" s="350"/>
      <c r="BS475" s="350"/>
      <c r="BT475" s="350"/>
      <c r="BU475" s="350"/>
      <c r="BV475" s="351"/>
    </row>
    <row r="476" spans="1:74" ht="45" customHeight="1">
      <c r="A476" s="24">
        <f t="shared" si="1"/>
        <v>462</v>
      </c>
      <c r="B476" s="558" t="s">
        <v>294</v>
      </c>
      <c r="C476" s="351"/>
      <c r="D476" s="559" t="s">
        <v>298</v>
      </c>
      <c r="E476" s="351"/>
      <c r="F476" s="524" t="s">
        <v>325</v>
      </c>
      <c r="G476" s="351"/>
      <c r="H476" s="525" t="s">
        <v>325</v>
      </c>
      <c r="I476" s="351"/>
      <c r="J476" s="563"/>
      <c r="K476" s="351"/>
      <c r="L476" s="563"/>
      <c r="M476" s="351"/>
      <c r="N476" s="37"/>
      <c r="O476" s="35"/>
      <c r="P476" s="560"/>
      <c r="Q476" s="351"/>
      <c r="R476" s="527"/>
      <c r="S476" s="351"/>
      <c r="T476" s="528"/>
      <c r="U476" s="351"/>
      <c r="V476" s="541"/>
      <c r="W476" s="351"/>
      <c r="X476" s="538" t="s">
        <v>294</v>
      </c>
      <c r="Y476" s="350"/>
      <c r="Z476" s="350"/>
      <c r="AA476" s="351"/>
      <c r="AB476" s="539" t="s">
        <v>294</v>
      </c>
      <c r="AC476" s="350"/>
      <c r="AD476" s="350"/>
      <c r="AE476" s="351"/>
      <c r="AF476" s="544"/>
      <c r="AG476" s="351"/>
      <c r="AH476" s="544"/>
      <c r="AI476" s="351"/>
      <c r="AJ476" s="545"/>
      <c r="AK476" s="351"/>
      <c r="AL476" s="555" t="s">
        <v>325</v>
      </c>
      <c r="AM476" s="351"/>
      <c r="AN476" s="531" t="s">
        <v>325</v>
      </c>
      <c r="AO476" s="351"/>
      <c r="AP476" s="550"/>
      <c r="AQ476" s="351"/>
      <c r="AR476" s="551"/>
      <c r="AS476" s="351"/>
      <c r="AT476" s="534"/>
      <c r="AU476" s="351"/>
      <c r="AV476" s="531" t="s">
        <v>325</v>
      </c>
      <c r="AW476" s="351"/>
      <c r="AX476" s="553"/>
      <c r="AY476" s="350"/>
      <c r="AZ476" s="351"/>
      <c r="BA476" s="554"/>
      <c r="BB476" s="351"/>
      <c r="BC476" s="36"/>
      <c r="BD476" s="556" t="s">
        <v>325</v>
      </c>
      <c r="BE476" s="351"/>
      <c r="BF476" s="547"/>
      <c r="BG476" s="350"/>
      <c r="BH476" s="350"/>
      <c r="BI476" s="351"/>
      <c r="BJ476" s="506" t="s">
        <v>294</v>
      </c>
      <c r="BK476" s="350"/>
      <c r="BL476" s="350"/>
      <c r="BM476" s="351"/>
      <c r="BN476" s="530" t="s">
        <v>294</v>
      </c>
      <c r="BO476" s="350"/>
      <c r="BP476" s="350"/>
      <c r="BQ476" s="350"/>
      <c r="BR476" s="350"/>
      <c r="BS476" s="350"/>
      <c r="BT476" s="350"/>
      <c r="BU476" s="350"/>
      <c r="BV476" s="351"/>
    </row>
    <row r="477" spans="1:74" ht="45" customHeight="1">
      <c r="A477" s="24">
        <f t="shared" si="1"/>
        <v>463</v>
      </c>
      <c r="B477" s="522" t="s">
        <v>294</v>
      </c>
      <c r="C477" s="351"/>
      <c r="D477" s="523" t="s">
        <v>298</v>
      </c>
      <c r="E477" s="351"/>
      <c r="F477" s="524" t="s">
        <v>325</v>
      </c>
      <c r="G477" s="351"/>
      <c r="H477" s="561" t="s">
        <v>325</v>
      </c>
      <c r="I477" s="351"/>
      <c r="J477" s="562"/>
      <c r="K477" s="351"/>
      <c r="L477" s="562"/>
      <c r="M477" s="351"/>
      <c r="N477" s="34"/>
      <c r="O477" s="38"/>
      <c r="P477" s="526"/>
      <c r="Q477" s="351"/>
      <c r="R477" s="535"/>
      <c r="S477" s="351"/>
      <c r="T477" s="536"/>
      <c r="U477" s="351"/>
      <c r="V477" s="537"/>
      <c r="W477" s="351"/>
      <c r="X477" s="542" t="s">
        <v>294</v>
      </c>
      <c r="Y477" s="350"/>
      <c r="Z477" s="350"/>
      <c r="AA477" s="351"/>
      <c r="AB477" s="543" t="s">
        <v>294</v>
      </c>
      <c r="AC477" s="350"/>
      <c r="AD477" s="350"/>
      <c r="AE477" s="351"/>
      <c r="AF477" s="540"/>
      <c r="AG477" s="351"/>
      <c r="AH477" s="540"/>
      <c r="AI477" s="351"/>
      <c r="AJ477" s="532"/>
      <c r="AK477" s="351"/>
      <c r="AL477" s="524" t="s">
        <v>325</v>
      </c>
      <c r="AM477" s="351"/>
      <c r="AN477" s="549" t="s">
        <v>325</v>
      </c>
      <c r="AO477" s="351"/>
      <c r="AP477" s="532"/>
      <c r="AQ477" s="351"/>
      <c r="AR477" s="533"/>
      <c r="AS477" s="351"/>
      <c r="AT477" s="534"/>
      <c r="AU477" s="351"/>
      <c r="AV477" s="549" t="s">
        <v>325</v>
      </c>
      <c r="AW477" s="351"/>
      <c r="AX477" s="553"/>
      <c r="AY477" s="350"/>
      <c r="AZ477" s="351"/>
      <c r="BA477" s="545"/>
      <c r="BB477" s="351"/>
      <c r="BC477" s="39"/>
      <c r="BD477" s="546" t="s">
        <v>325</v>
      </c>
      <c r="BE477" s="351"/>
      <c r="BF477" s="557"/>
      <c r="BG477" s="350"/>
      <c r="BH477" s="350"/>
      <c r="BI477" s="351"/>
      <c r="BJ477" s="548" t="s">
        <v>294</v>
      </c>
      <c r="BK477" s="350"/>
      <c r="BL477" s="350"/>
      <c r="BM477" s="351"/>
      <c r="BN477" s="530" t="s">
        <v>294</v>
      </c>
      <c r="BO477" s="350"/>
      <c r="BP477" s="350"/>
      <c r="BQ477" s="350"/>
      <c r="BR477" s="350"/>
      <c r="BS477" s="350"/>
      <c r="BT477" s="350"/>
      <c r="BU477" s="350"/>
      <c r="BV477" s="351"/>
    </row>
    <row r="478" spans="1:74" ht="45" customHeight="1">
      <c r="A478" s="24">
        <f t="shared" si="1"/>
        <v>464</v>
      </c>
      <c r="B478" s="558" t="s">
        <v>294</v>
      </c>
      <c r="C478" s="351"/>
      <c r="D478" s="559" t="s">
        <v>298</v>
      </c>
      <c r="E478" s="351"/>
      <c r="F478" s="524" t="s">
        <v>325</v>
      </c>
      <c r="G478" s="351"/>
      <c r="H478" s="525" t="s">
        <v>325</v>
      </c>
      <c r="I478" s="351"/>
      <c r="J478" s="563"/>
      <c r="K478" s="351"/>
      <c r="L478" s="563"/>
      <c r="M478" s="351"/>
      <c r="N478" s="37"/>
      <c r="O478" s="35"/>
      <c r="P478" s="560"/>
      <c r="Q478" s="351"/>
      <c r="R478" s="527"/>
      <c r="S478" s="351"/>
      <c r="T478" s="528"/>
      <c r="U478" s="351"/>
      <c r="V478" s="541"/>
      <c r="W478" s="351"/>
      <c r="X478" s="538" t="s">
        <v>294</v>
      </c>
      <c r="Y478" s="350"/>
      <c r="Z478" s="350"/>
      <c r="AA478" s="351"/>
      <c r="AB478" s="539" t="s">
        <v>294</v>
      </c>
      <c r="AC478" s="350"/>
      <c r="AD478" s="350"/>
      <c r="AE478" s="351"/>
      <c r="AF478" s="544"/>
      <c r="AG478" s="351"/>
      <c r="AH478" s="544"/>
      <c r="AI478" s="351"/>
      <c r="AJ478" s="545"/>
      <c r="AK478" s="351"/>
      <c r="AL478" s="555" t="s">
        <v>325</v>
      </c>
      <c r="AM478" s="351"/>
      <c r="AN478" s="531" t="s">
        <v>325</v>
      </c>
      <c r="AO478" s="351"/>
      <c r="AP478" s="550"/>
      <c r="AQ478" s="351"/>
      <c r="AR478" s="551"/>
      <c r="AS478" s="351"/>
      <c r="AT478" s="534"/>
      <c r="AU478" s="351"/>
      <c r="AV478" s="531" t="s">
        <v>325</v>
      </c>
      <c r="AW478" s="351"/>
      <c r="AX478" s="553"/>
      <c r="AY478" s="350"/>
      <c r="AZ478" s="351"/>
      <c r="BA478" s="554"/>
      <c r="BB478" s="351"/>
      <c r="BC478" s="36"/>
      <c r="BD478" s="556" t="s">
        <v>325</v>
      </c>
      <c r="BE478" s="351"/>
      <c r="BF478" s="547"/>
      <c r="BG478" s="350"/>
      <c r="BH478" s="350"/>
      <c r="BI478" s="351"/>
      <c r="BJ478" s="506" t="s">
        <v>294</v>
      </c>
      <c r="BK478" s="350"/>
      <c r="BL478" s="350"/>
      <c r="BM478" s="351"/>
      <c r="BN478" s="530" t="s">
        <v>294</v>
      </c>
      <c r="BO478" s="350"/>
      <c r="BP478" s="350"/>
      <c r="BQ478" s="350"/>
      <c r="BR478" s="350"/>
      <c r="BS478" s="350"/>
      <c r="BT478" s="350"/>
      <c r="BU478" s="350"/>
      <c r="BV478" s="351"/>
    </row>
    <row r="479" spans="1:74" ht="45" customHeight="1">
      <c r="A479" s="24">
        <f t="shared" si="1"/>
        <v>465</v>
      </c>
      <c r="B479" s="522" t="s">
        <v>294</v>
      </c>
      <c r="C479" s="351"/>
      <c r="D479" s="523" t="s">
        <v>298</v>
      </c>
      <c r="E479" s="351"/>
      <c r="F479" s="524" t="s">
        <v>325</v>
      </c>
      <c r="G479" s="351"/>
      <c r="H479" s="561" t="s">
        <v>325</v>
      </c>
      <c r="I479" s="351"/>
      <c r="J479" s="562"/>
      <c r="K479" s="351"/>
      <c r="L479" s="562"/>
      <c r="M479" s="351"/>
      <c r="N479" s="34"/>
      <c r="O479" s="38"/>
      <c r="P479" s="526"/>
      <c r="Q479" s="351"/>
      <c r="R479" s="535"/>
      <c r="S479" s="351"/>
      <c r="T479" s="536"/>
      <c r="U479" s="351"/>
      <c r="V479" s="537"/>
      <c r="W479" s="351"/>
      <c r="X479" s="542" t="s">
        <v>294</v>
      </c>
      <c r="Y479" s="350"/>
      <c r="Z479" s="350"/>
      <c r="AA479" s="351"/>
      <c r="AB479" s="543" t="s">
        <v>294</v>
      </c>
      <c r="AC479" s="350"/>
      <c r="AD479" s="350"/>
      <c r="AE479" s="351"/>
      <c r="AF479" s="540"/>
      <c r="AG479" s="351"/>
      <c r="AH479" s="540"/>
      <c r="AI479" s="351"/>
      <c r="AJ479" s="532"/>
      <c r="AK479" s="351"/>
      <c r="AL479" s="524" t="s">
        <v>325</v>
      </c>
      <c r="AM479" s="351"/>
      <c r="AN479" s="549" t="s">
        <v>325</v>
      </c>
      <c r="AO479" s="351"/>
      <c r="AP479" s="532"/>
      <c r="AQ479" s="351"/>
      <c r="AR479" s="533"/>
      <c r="AS479" s="351"/>
      <c r="AT479" s="534"/>
      <c r="AU479" s="351"/>
      <c r="AV479" s="549" t="s">
        <v>325</v>
      </c>
      <c r="AW479" s="351"/>
      <c r="AX479" s="553"/>
      <c r="AY479" s="350"/>
      <c r="AZ479" s="351"/>
      <c r="BA479" s="545"/>
      <c r="BB479" s="351"/>
      <c r="BC479" s="39"/>
      <c r="BD479" s="546" t="s">
        <v>325</v>
      </c>
      <c r="BE479" s="351"/>
      <c r="BF479" s="529"/>
      <c r="BG479" s="350"/>
      <c r="BH479" s="350"/>
      <c r="BI479" s="351"/>
      <c r="BJ479" s="548" t="s">
        <v>294</v>
      </c>
      <c r="BK479" s="350"/>
      <c r="BL479" s="350"/>
      <c r="BM479" s="351"/>
      <c r="BN479" s="530" t="s">
        <v>294</v>
      </c>
      <c r="BO479" s="350"/>
      <c r="BP479" s="350"/>
      <c r="BQ479" s="350"/>
      <c r="BR479" s="350"/>
      <c r="BS479" s="350"/>
      <c r="BT479" s="350"/>
      <c r="BU479" s="350"/>
      <c r="BV479" s="351"/>
    </row>
    <row r="480" spans="1:74" ht="45" customHeight="1">
      <c r="A480" s="24">
        <f t="shared" si="1"/>
        <v>466</v>
      </c>
      <c r="B480" s="558" t="s">
        <v>294</v>
      </c>
      <c r="C480" s="351"/>
      <c r="D480" s="559" t="s">
        <v>298</v>
      </c>
      <c r="E480" s="351"/>
      <c r="F480" s="524" t="s">
        <v>325</v>
      </c>
      <c r="G480" s="351"/>
      <c r="H480" s="525" t="s">
        <v>325</v>
      </c>
      <c r="I480" s="351"/>
      <c r="J480" s="563"/>
      <c r="K480" s="351"/>
      <c r="L480" s="563"/>
      <c r="M480" s="351"/>
      <c r="N480" s="37"/>
      <c r="O480" s="35"/>
      <c r="P480" s="560"/>
      <c r="Q480" s="351"/>
      <c r="R480" s="527"/>
      <c r="S480" s="351"/>
      <c r="T480" s="528"/>
      <c r="U480" s="351"/>
      <c r="V480" s="541"/>
      <c r="W480" s="351"/>
      <c r="X480" s="538" t="s">
        <v>294</v>
      </c>
      <c r="Y480" s="350"/>
      <c r="Z480" s="350"/>
      <c r="AA480" s="351"/>
      <c r="AB480" s="539" t="s">
        <v>294</v>
      </c>
      <c r="AC480" s="350"/>
      <c r="AD480" s="350"/>
      <c r="AE480" s="351"/>
      <c r="AF480" s="544"/>
      <c r="AG480" s="351"/>
      <c r="AH480" s="544"/>
      <c r="AI480" s="351"/>
      <c r="AJ480" s="545"/>
      <c r="AK480" s="351"/>
      <c r="AL480" s="555" t="s">
        <v>325</v>
      </c>
      <c r="AM480" s="351"/>
      <c r="AN480" s="531" t="s">
        <v>325</v>
      </c>
      <c r="AO480" s="351"/>
      <c r="AP480" s="550"/>
      <c r="AQ480" s="351"/>
      <c r="AR480" s="551"/>
      <c r="AS480" s="351"/>
      <c r="AT480" s="534"/>
      <c r="AU480" s="351"/>
      <c r="AV480" s="531" t="s">
        <v>325</v>
      </c>
      <c r="AW480" s="351"/>
      <c r="AX480" s="553"/>
      <c r="AY480" s="350"/>
      <c r="AZ480" s="351"/>
      <c r="BA480" s="554"/>
      <c r="BB480" s="351"/>
      <c r="BC480" s="36"/>
      <c r="BD480" s="556" t="s">
        <v>325</v>
      </c>
      <c r="BE480" s="351"/>
      <c r="BF480" s="547"/>
      <c r="BG480" s="350"/>
      <c r="BH480" s="350"/>
      <c r="BI480" s="351"/>
      <c r="BJ480" s="506" t="s">
        <v>294</v>
      </c>
      <c r="BK480" s="350"/>
      <c r="BL480" s="350"/>
      <c r="BM480" s="351"/>
      <c r="BN480" s="530" t="s">
        <v>294</v>
      </c>
      <c r="BO480" s="350"/>
      <c r="BP480" s="350"/>
      <c r="BQ480" s="350"/>
      <c r="BR480" s="350"/>
      <c r="BS480" s="350"/>
      <c r="BT480" s="350"/>
      <c r="BU480" s="350"/>
      <c r="BV480" s="351"/>
    </row>
    <row r="481" spans="1:74" ht="45" customHeight="1">
      <c r="A481" s="24">
        <f t="shared" si="1"/>
        <v>467</v>
      </c>
      <c r="B481" s="522" t="s">
        <v>294</v>
      </c>
      <c r="C481" s="351"/>
      <c r="D481" s="523" t="s">
        <v>298</v>
      </c>
      <c r="E481" s="351"/>
      <c r="F481" s="524" t="s">
        <v>325</v>
      </c>
      <c r="G481" s="351"/>
      <c r="H481" s="561" t="s">
        <v>325</v>
      </c>
      <c r="I481" s="351"/>
      <c r="J481" s="562"/>
      <c r="K481" s="351"/>
      <c r="L481" s="562"/>
      <c r="M481" s="351"/>
      <c r="N481" s="34"/>
      <c r="O481" s="38"/>
      <c r="P481" s="526"/>
      <c r="Q481" s="351"/>
      <c r="R481" s="535"/>
      <c r="S481" s="351"/>
      <c r="T481" s="536"/>
      <c r="U481" s="351"/>
      <c r="V481" s="537"/>
      <c r="W481" s="351"/>
      <c r="X481" s="542" t="s">
        <v>294</v>
      </c>
      <c r="Y481" s="350"/>
      <c r="Z481" s="350"/>
      <c r="AA481" s="351"/>
      <c r="AB481" s="543" t="s">
        <v>294</v>
      </c>
      <c r="AC481" s="350"/>
      <c r="AD481" s="350"/>
      <c r="AE481" s="351"/>
      <c r="AF481" s="540"/>
      <c r="AG481" s="351"/>
      <c r="AH481" s="540"/>
      <c r="AI481" s="351"/>
      <c r="AJ481" s="532"/>
      <c r="AK481" s="351"/>
      <c r="AL481" s="524" t="s">
        <v>325</v>
      </c>
      <c r="AM481" s="351"/>
      <c r="AN481" s="549" t="s">
        <v>325</v>
      </c>
      <c r="AO481" s="351"/>
      <c r="AP481" s="532"/>
      <c r="AQ481" s="351"/>
      <c r="AR481" s="533"/>
      <c r="AS481" s="351"/>
      <c r="AT481" s="534"/>
      <c r="AU481" s="351"/>
      <c r="AV481" s="549" t="s">
        <v>325</v>
      </c>
      <c r="AW481" s="351"/>
      <c r="AX481" s="553"/>
      <c r="AY481" s="350"/>
      <c r="AZ481" s="351"/>
      <c r="BA481" s="545"/>
      <c r="BB481" s="351"/>
      <c r="BC481" s="39"/>
      <c r="BD481" s="546" t="s">
        <v>325</v>
      </c>
      <c r="BE481" s="351"/>
      <c r="BF481" s="557"/>
      <c r="BG481" s="350"/>
      <c r="BH481" s="350"/>
      <c r="BI481" s="351"/>
      <c r="BJ481" s="548" t="s">
        <v>294</v>
      </c>
      <c r="BK481" s="350"/>
      <c r="BL481" s="350"/>
      <c r="BM481" s="351"/>
      <c r="BN481" s="530" t="s">
        <v>294</v>
      </c>
      <c r="BO481" s="350"/>
      <c r="BP481" s="350"/>
      <c r="BQ481" s="350"/>
      <c r="BR481" s="350"/>
      <c r="BS481" s="350"/>
      <c r="BT481" s="350"/>
      <c r="BU481" s="350"/>
      <c r="BV481" s="351"/>
    </row>
    <row r="482" spans="1:74" ht="45" customHeight="1">
      <c r="A482" s="24">
        <f t="shared" si="1"/>
        <v>468</v>
      </c>
      <c r="B482" s="558" t="s">
        <v>294</v>
      </c>
      <c r="C482" s="351"/>
      <c r="D482" s="559" t="s">
        <v>298</v>
      </c>
      <c r="E482" s="351"/>
      <c r="F482" s="524" t="s">
        <v>325</v>
      </c>
      <c r="G482" s="351"/>
      <c r="H482" s="525" t="s">
        <v>325</v>
      </c>
      <c r="I482" s="351"/>
      <c r="J482" s="563"/>
      <c r="K482" s="351"/>
      <c r="L482" s="563"/>
      <c r="M482" s="351"/>
      <c r="N482" s="37"/>
      <c r="O482" s="35"/>
      <c r="P482" s="560"/>
      <c r="Q482" s="351"/>
      <c r="R482" s="527"/>
      <c r="S482" s="351"/>
      <c r="T482" s="528"/>
      <c r="U482" s="351"/>
      <c r="V482" s="541"/>
      <c r="W482" s="351"/>
      <c r="X482" s="538" t="s">
        <v>294</v>
      </c>
      <c r="Y482" s="350"/>
      <c r="Z482" s="350"/>
      <c r="AA482" s="351"/>
      <c r="AB482" s="539" t="s">
        <v>294</v>
      </c>
      <c r="AC482" s="350"/>
      <c r="AD482" s="350"/>
      <c r="AE482" s="351"/>
      <c r="AF482" s="544"/>
      <c r="AG482" s="351"/>
      <c r="AH482" s="544"/>
      <c r="AI482" s="351"/>
      <c r="AJ482" s="545"/>
      <c r="AK482" s="351"/>
      <c r="AL482" s="555" t="s">
        <v>325</v>
      </c>
      <c r="AM482" s="351"/>
      <c r="AN482" s="531" t="s">
        <v>325</v>
      </c>
      <c r="AO482" s="351"/>
      <c r="AP482" s="550"/>
      <c r="AQ482" s="351"/>
      <c r="AR482" s="551"/>
      <c r="AS482" s="351"/>
      <c r="AT482" s="534"/>
      <c r="AU482" s="351"/>
      <c r="AV482" s="531" t="s">
        <v>325</v>
      </c>
      <c r="AW482" s="351"/>
      <c r="AX482" s="553"/>
      <c r="AY482" s="350"/>
      <c r="AZ482" s="351"/>
      <c r="BA482" s="554"/>
      <c r="BB482" s="351"/>
      <c r="BC482" s="36"/>
      <c r="BD482" s="556" t="s">
        <v>325</v>
      </c>
      <c r="BE482" s="351"/>
      <c r="BF482" s="547"/>
      <c r="BG482" s="350"/>
      <c r="BH482" s="350"/>
      <c r="BI482" s="351"/>
      <c r="BJ482" s="506" t="s">
        <v>294</v>
      </c>
      <c r="BK482" s="350"/>
      <c r="BL482" s="350"/>
      <c r="BM482" s="351"/>
      <c r="BN482" s="530" t="s">
        <v>294</v>
      </c>
      <c r="BO482" s="350"/>
      <c r="BP482" s="350"/>
      <c r="BQ482" s="350"/>
      <c r="BR482" s="350"/>
      <c r="BS482" s="350"/>
      <c r="BT482" s="350"/>
      <c r="BU482" s="350"/>
      <c r="BV482" s="351"/>
    </row>
    <row r="483" spans="1:74" ht="45" customHeight="1">
      <c r="A483" s="24">
        <f t="shared" si="1"/>
        <v>469</v>
      </c>
      <c r="B483" s="522" t="s">
        <v>294</v>
      </c>
      <c r="C483" s="351"/>
      <c r="D483" s="523" t="s">
        <v>298</v>
      </c>
      <c r="E483" s="351"/>
      <c r="F483" s="524" t="s">
        <v>325</v>
      </c>
      <c r="G483" s="351"/>
      <c r="H483" s="561" t="s">
        <v>325</v>
      </c>
      <c r="I483" s="351"/>
      <c r="J483" s="562"/>
      <c r="K483" s="351"/>
      <c r="L483" s="562"/>
      <c r="M483" s="351"/>
      <c r="N483" s="34"/>
      <c r="O483" s="38"/>
      <c r="P483" s="526"/>
      <c r="Q483" s="351"/>
      <c r="R483" s="535"/>
      <c r="S483" s="351"/>
      <c r="T483" s="536"/>
      <c r="U483" s="351"/>
      <c r="V483" s="537"/>
      <c r="W483" s="351"/>
      <c r="X483" s="542" t="s">
        <v>294</v>
      </c>
      <c r="Y483" s="350"/>
      <c r="Z483" s="350"/>
      <c r="AA483" s="351"/>
      <c r="AB483" s="543" t="s">
        <v>294</v>
      </c>
      <c r="AC483" s="350"/>
      <c r="AD483" s="350"/>
      <c r="AE483" s="351"/>
      <c r="AF483" s="540"/>
      <c r="AG483" s="351"/>
      <c r="AH483" s="540"/>
      <c r="AI483" s="351"/>
      <c r="AJ483" s="532"/>
      <c r="AK483" s="351"/>
      <c r="AL483" s="524" t="s">
        <v>325</v>
      </c>
      <c r="AM483" s="351"/>
      <c r="AN483" s="549" t="s">
        <v>325</v>
      </c>
      <c r="AO483" s="351"/>
      <c r="AP483" s="532"/>
      <c r="AQ483" s="351"/>
      <c r="AR483" s="533"/>
      <c r="AS483" s="351"/>
      <c r="AT483" s="534"/>
      <c r="AU483" s="351"/>
      <c r="AV483" s="549" t="s">
        <v>325</v>
      </c>
      <c r="AW483" s="351"/>
      <c r="AX483" s="553"/>
      <c r="AY483" s="350"/>
      <c r="AZ483" s="351"/>
      <c r="BA483" s="545"/>
      <c r="BB483" s="351"/>
      <c r="BC483" s="39"/>
      <c r="BD483" s="546" t="s">
        <v>325</v>
      </c>
      <c r="BE483" s="351"/>
      <c r="BF483" s="529"/>
      <c r="BG483" s="350"/>
      <c r="BH483" s="350"/>
      <c r="BI483" s="351"/>
      <c r="BJ483" s="548" t="s">
        <v>294</v>
      </c>
      <c r="BK483" s="350"/>
      <c r="BL483" s="350"/>
      <c r="BM483" s="351"/>
      <c r="BN483" s="530" t="s">
        <v>294</v>
      </c>
      <c r="BO483" s="350"/>
      <c r="BP483" s="350"/>
      <c r="BQ483" s="350"/>
      <c r="BR483" s="350"/>
      <c r="BS483" s="350"/>
      <c r="BT483" s="350"/>
      <c r="BU483" s="350"/>
      <c r="BV483" s="351"/>
    </row>
    <row r="484" spans="1:74" ht="45" customHeight="1">
      <c r="A484" s="24">
        <f t="shared" si="1"/>
        <v>470</v>
      </c>
      <c r="B484" s="558" t="s">
        <v>294</v>
      </c>
      <c r="C484" s="351"/>
      <c r="D484" s="559" t="s">
        <v>298</v>
      </c>
      <c r="E484" s="351"/>
      <c r="F484" s="524" t="s">
        <v>325</v>
      </c>
      <c r="G484" s="351"/>
      <c r="H484" s="525" t="s">
        <v>325</v>
      </c>
      <c r="I484" s="351"/>
      <c r="J484" s="563"/>
      <c r="K484" s="351"/>
      <c r="L484" s="563"/>
      <c r="M484" s="351"/>
      <c r="N484" s="37"/>
      <c r="O484" s="35"/>
      <c r="P484" s="560"/>
      <c r="Q484" s="351"/>
      <c r="R484" s="527"/>
      <c r="S484" s="351"/>
      <c r="T484" s="528"/>
      <c r="U484" s="351"/>
      <c r="V484" s="541"/>
      <c r="W484" s="351"/>
      <c r="X484" s="538" t="s">
        <v>294</v>
      </c>
      <c r="Y484" s="350"/>
      <c r="Z484" s="350"/>
      <c r="AA484" s="351"/>
      <c r="AB484" s="539" t="s">
        <v>294</v>
      </c>
      <c r="AC484" s="350"/>
      <c r="AD484" s="350"/>
      <c r="AE484" s="351"/>
      <c r="AF484" s="544"/>
      <c r="AG484" s="351"/>
      <c r="AH484" s="544"/>
      <c r="AI484" s="351"/>
      <c r="AJ484" s="545"/>
      <c r="AK484" s="351"/>
      <c r="AL484" s="555" t="s">
        <v>325</v>
      </c>
      <c r="AM484" s="351"/>
      <c r="AN484" s="531" t="s">
        <v>325</v>
      </c>
      <c r="AO484" s="351"/>
      <c r="AP484" s="550"/>
      <c r="AQ484" s="351"/>
      <c r="AR484" s="551"/>
      <c r="AS484" s="351"/>
      <c r="AT484" s="534"/>
      <c r="AU484" s="351"/>
      <c r="AV484" s="531" t="s">
        <v>325</v>
      </c>
      <c r="AW484" s="351"/>
      <c r="AX484" s="553"/>
      <c r="AY484" s="350"/>
      <c r="AZ484" s="351"/>
      <c r="BA484" s="554"/>
      <c r="BB484" s="351"/>
      <c r="BC484" s="36"/>
      <c r="BD484" s="556" t="s">
        <v>325</v>
      </c>
      <c r="BE484" s="351"/>
      <c r="BF484" s="547"/>
      <c r="BG484" s="350"/>
      <c r="BH484" s="350"/>
      <c r="BI484" s="351"/>
      <c r="BJ484" s="506" t="s">
        <v>294</v>
      </c>
      <c r="BK484" s="350"/>
      <c r="BL484" s="350"/>
      <c r="BM484" s="351"/>
      <c r="BN484" s="530" t="s">
        <v>294</v>
      </c>
      <c r="BO484" s="350"/>
      <c r="BP484" s="350"/>
      <c r="BQ484" s="350"/>
      <c r="BR484" s="350"/>
      <c r="BS484" s="350"/>
      <c r="BT484" s="350"/>
      <c r="BU484" s="350"/>
      <c r="BV484" s="351"/>
    </row>
    <row r="485" spans="1:74" ht="45" customHeight="1">
      <c r="A485" s="24">
        <f t="shared" si="1"/>
        <v>471</v>
      </c>
      <c r="B485" s="522" t="s">
        <v>294</v>
      </c>
      <c r="C485" s="351"/>
      <c r="D485" s="523" t="s">
        <v>298</v>
      </c>
      <c r="E485" s="351"/>
      <c r="F485" s="524" t="s">
        <v>325</v>
      </c>
      <c r="G485" s="351"/>
      <c r="H485" s="561" t="s">
        <v>325</v>
      </c>
      <c r="I485" s="351"/>
      <c r="J485" s="562"/>
      <c r="K485" s="351"/>
      <c r="L485" s="562"/>
      <c r="M485" s="351"/>
      <c r="N485" s="34"/>
      <c r="O485" s="38"/>
      <c r="P485" s="526"/>
      <c r="Q485" s="351"/>
      <c r="R485" s="535"/>
      <c r="S485" s="351"/>
      <c r="T485" s="536"/>
      <c r="U485" s="351"/>
      <c r="V485" s="537"/>
      <c r="W485" s="351"/>
      <c r="X485" s="542" t="s">
        <v>294</v>
      </c>
      <c r="Y485" s="350"/>
      <c r="Z485" s="350"/>
      <c r="AA485" s="351"/>
      <c r="AB485" s="543" t="s">
        <v>294</v>
      </c>
      <c r="AC485" s="350"/>
      <c r="AD485" s="350"/>
      <c r="AE485" s="351"/>
      <c r="AF485" s="540"/>
      <c r="AG485" s="351"/>
      <c r="AH485" s="540"/>
      <c r="AI485" s="351"/>
      <c r="AJ485" s="532"/>
      <c r="AK485" s="351"/>
      <c r="AL485" s="524" t="s">
        <v>325</v>
      </c>
      <c r="AM485" s="351"/>
      <c r="AN485" s="549" t="s">
        <v>325</v>
      </c>
      <c r="AO485" s="351"/>
      <c r="AP485" s="532"/>
      <c r="AQ485" s="351"/>
      <c r="AR485" s="533"/>
      <c r="AS485" s="351"/>
      <c r="AT485" s="534"/>
      <c r="AU485" s="351"/>
      <c r="AV485" s="549" t="s">
        <v>325</v>
      </c>
      <c r="AW485" s="351"/>
      <c r="AX485" s="553"/>
      <c r="AY485" s="350"/>
      <c r="AZ485" s="351"/>
      <c r="BA485" s="545"/>
      <c r="BB485" s="351"/>
      <c r="BC485" s="39"/>
      <c r="BD485" s="546" t="s">
        <v>325</v>
      </c>
      <c r="BE485" s="351"/>
      <c r="BF485" s="529"/>
      <c r="BG485" s="350"/>
      <c r="BH485" s="350"/>
      <c r="BI485" s="351"/>
      <c r="BJ485" s="548" t="s">
        <v>294</v>
      </c>
      <c r="BK485" s="350"/>
      <c r="BL485" s="350"/>
      <c r="BM485" s="351"/>
      <c r="BN485" s="530" t="s">
        <v>294</v>
      </c>
      <c r="BO485" s="350"/>
      <c r="BP485" s="350"/>
      <c r="BQ485" s="350"/>
      <c r="BR485" s="350"/>
      <c r="BS485" s="350"/>
      <c r="BT485" s="350"/>
      <c r="BU485" s="350"/>
      <c r="BV485" s="351"/>
    </row>
    <row r="486" spans="1:74" ht="45" customHeight="1">
      <c r="A486" s="24">
        <f t="shared" si="1"/>
        <v>472</v>
      </c>
      <c r="B486" s="558" t="s">
        <v>294</v>
      </c>
      <c r="C486" s="351"/>
      <c r="D486" s="559" t="s">
        <v>298</v>
      </c>
      <c r="E486" s="351"/>
      <c r="F486" s="524" t="s">
        <v>325</v>
      </c>
      <c r="G486" s="351"/>
      <c r="H486" s="525" t="s">
        <v>325</v>
      </c>
      <c r="I486" s="351"/>
      <c r="J486" s="563"/>
      <c r="K486" s="351"/>
      <c r="L486" s="563"/>
      <c r="M486" s="351"/>
      <c r="N486" s="37"/>
      <c r="O486" s="35"/>
      <c r="P486" s="560"/>
      <c r="Q486" s="351"/>
      <c r="R486" s="527"/>
      <c r="S486" s="351"/>
      <c r="T486" s="528"/>
      <c r="U486" s="351"/>
      <c r="V486" s="541"/>
      <c r="W486" s="351"/>
      <c r="X486" s="538" t="s">
        <v>294</v>
      </c>
      <c r="Y486" s="350"/>
      <c r="Z486" s="350"/>
      <c r="AA486" s="351"/>
      <c r="AB486" s="539" t="s">
        <v>294</v>
      </c>
      <c r="AC486" s="350"/>
      <c r="AD486" s="350"/>
      <c r="AE486" s="351"/>
      <c r="AF486" s="544"/>
      <c r="AG486" s="351"/>
      <c r="AH486" s="544"/>
      <c r="AI486" s="351"/>
      <c r="AJ486" s="545"/>
      <c r="AK486" s="351"/>
      <c r="AL486" s="555" t="s">
        <v>325</v>
      </c>
      <c r="AM486" s="351"/>
      <c r="AN486" s="531" t="s">
        <v>325</v>
      </c>
      <c r="AO486" s="351"/>
      <c r="AP486" s="550"/>
      <c r="AQ486" s="351"/>
      <c r="AR486" s="551"/>
      <c r="AS486" s="351"/>
      <c r="AT486" s="534"/>
      <c r="AU486" s="351"/>
      <c r="AV486" s="531" t="s">
        <v>325</v>
      </c>
      <c r="AW486" s="351"/>
      <c r="AX486" s="553"/>
      <c r="AY486" s="350"/>
      <c r="AZ486" s="351"/>
      <c r="BA486" s="554"/>
      <c r="BB486" s="351"/>
      <c r="BC486" s="36"/>
      <c r="BD486" s="556" t="s">
        <v>325</v>
      </c>
      <c r="BE486" s="351"/>
      <c r="BF486" s="547"/>
      <c r="BG486" s="350"/>
      <c r="BH486" s="350"/>
      <c r="BI486" s="351"/>
      <c r="BJ486" s="506" t="s">
        <v>294</v>
      </c>
      <c r="BK486" s="350"/>
      <c r="BL486" s="350"/>
      <c r="BM486" s="351"/>
      <c r="BN486" s="530" t="s">
        <v>294</v>
      </c>
      <c r="BO486" s="350"/>
      <c r="BP486" s="350"/>
      <c r="BQ486" s="350"/>
      <c r="BR486" s="350"/>
      <c r="BS486" s="350"/>
      <c r="BT486" s="350"/>
      <c r="BU486" s="350"/>
      <c r="BV486" s="351"/>
    </row>
    <row r="487" spans="1:74" ht="45" customHeight="1">
      <c r="A487" s="24">
        <f t="shared" si="1"/>
        <v>473</v>
      </c>
      <c r="B487" s="522" t="s">
        <v>294</v>
      </c>
      <c r="C487" s="351"/>
      <c r="D487" s="523" t="s">
        <v>298</v>
      </c>
      <c r="E487" s="351"/>
      <c r="F487" s="524" t="s">
        <v>325</v>
      </c>
      <c r="G487" s="351"/>
      <c r="H487" s="561" t="s">
        <v>325</v>
      </c>
      <c r="I487" s="351"/>
      <c r="J487" s="562"/>
      <c r="K487" s="351"/>
      <c r="L487" s="562"/>
      <c r="M487" s="351"/>
      <c r="N487" s="34"/>
      <c r="O487" s="38"/>
      <c r="P487" s="526"/>
      <c r="Q487" s="351"/>
      <c r="R487" s="535"/>
      <c r="S487" s="351"/>
      <c r="T487" s="536"/>
      <c r="U487" s="351"/>
      <c r="V487" s="537"/>
      <c r="W487" s="351"/>
      <c r="X487" s="542" t="s">
        <v>294</v>
      </c>
      <c r="Y487" s="350"/>
      <c r="Z487" s="350"/>
      <c r="AA487" s="351"/>
      <c r="AB487" s="543" t="s">
        <v>294</v>
      </c>
      <c r="AC487" s="350"/>
      <c r="AD487" s="350"/>
      <c r="AE487" s="351"/>
      <c r="AF487" s="540"/>
      <c r="AG487" s="351"/>
      <c r="AH487" s="540"/>
      <c r="AI487" s="351"/>
      <c r="AJ487" s="532"/>
      <c r="AK487" s="351"/>
      <c r="AL487" s="524" t="s">
        <v>325</v>
      </c>
      <c r="AM487" s="351"/>
      <c r="AN487" s="549" t="s">
        <v>325</v>
      </c>
      <c r="AO487" s="351"/>
      <c r="AP487" s="532"/>
      <c r="AQ487" s="351"/>
      <c r="AR487" s="533"/>
      <c r="AS487" s="351"/>
      <c r="AT487" s="534"/>
      <c r="AU487" s="351"/>
      <c r="AV487" s="549" t="s">
        <v>325</v>
      </c>
      <c r="AW487" s="351"/>
      <c r="AX487" s="553"/>
      <c r="AY487" s="350"/>
      <c r="AZ487" s="351"/>
      <c r="BA487" s="545"/>
      <c r="BB487" s="351"/>
      <c r="BC487" s="39"/>
      <c r="BD487" s="546" t="s">
        <v>325</v>
      </c>
      <c r="BE487" s="351"/>
      <c r="BF487" s="557"/>
      <c r="BG487" s="350"/>
      <c r="BH487" s="350"/>
      <c r="BI487" s="351"/>
      <c r="BJ487" s="548" t="s">
        <v>294</v>
      </c>
      <c r="BK487" s="350"/>
      <c r="BL487" s="350"/>
      <c r="BM487" s="351"/>
      <c r="BN487" s="530" t="s">
        <v>294</v>
      </c>
      <c r="BO487" s="350"/>
      <c r="BP487" s="350"/>
      <c r="BQ487" s="350"/>
      <c r="BR487" s="350"/>
      <c r="BS487" s="350"/>
      <c r="BT487" s="350"/>
      <c r="BU487" s="350"/>
      <c r="BV487" s="351"/>
    </row>
    <row r="488" spans="1:74" ht="45" customHeight="1">
      <c r="A488" s="24">
        <f t="shared" si="1"/>
        <v>474</v>
      </c>
      <c r="B488" s="558" t="s">
        <v>294</v>
      </c>
      <c r="C488" s="351"/>
      <c r="D488" s="559" t="s">
        <v>298</v>
      </c>
      <c r="E488" s="351"/>
      <c r="F488" s="524" t="s">
        <v>325</v>
      </c>
      <c r="G488" s="351"/>
      <c r="H488" s="525" t="s">
        <v>325</v>
      </c>
      <c r="I488" s="351"/>
      <c r="J488" s="563"/>
      <c r="K488" s="351"/>
      <c r="L488" s="563"/>
      <c r="M488" s="351"/>
      <c r="N488" s="37"/>
      <c r="O488" s="35"/>
      <c r="P488" s="560"/>
      <c r="Q488" s="351"/>
      <c r="R488" s="527"/>
      <c r="S488" s="351"/>
      <c r="T488" s="528"/>
      <c r="U488" s="351"/>
      <c r="V488" s="541"/>
      <c r="W488" s="351"/>
      <c r="X488" s="538" t="s">
        <v>294</v>
      </c>
      <c r="Y488" s="350"/>
      <c r="Z488" s="350"/>
      <c r="AA488" s="351"/>
      <c r="AB488" s="539" t="s">
        <v>294</v>
      </c>
      <c r="AC488" s="350"/>
      <c r="AD488" s="350"/>
      <c r="AE488" s="351"/>
      <c r="AF488" s="544"/>
      <c r="AG488" s="351"/>
      <c r="AH488" s="544"/>
      <c r="AI488" s="351"/>
      <c r="AJ488" s="545"/>
      <c r="AK488" s="351"/>
      <c r="AL488" s="555" t="s">
        <v>325</v>
      </c>
      <c r="AM488" s="351"/>
      <c r="AN488" s="531" t="s">
        <v>325</v>
      </c>
      <c r="AO488" s="351"/>
      <c r="AP488" s="550"/>
      <c r="AQ488" s="351"/>
      <c r="AR488" s="551"/>
      <c r="AS488" s="351"/>
      <c r="AT488" s="534"/>
      <c r="AU488" s="351"/>
      <c r="AV488" s="531" t="s">
        <v>325</v>
      </c>
      <c r="AW488" s="351"/>
      <c r="AX488" s="553"/>
      <c r="AY488" s="350"/>
      <c r="AZ488" s="351"/>
      <c r="BA488" s="554"/>
      <c r="BB488" s="351"/>
      <c r="BC488" s="36"/>
      <c r="BD488" s="556" t="s">
        <v>325</v>
      </c>
      <c r="BE488" s="351"/>
      <c r="BF488" s="547"/>
      <c r="BG488" s="350"/>
      <c r="BH488" s="350"/>
      <c r="BI488" s="351"/>
      <c r="BJ488" s="506" t="s">
        <v>294</v>
      </c>
      <c r="BK488" s="350"/>
      <c r="BL488" s="350"/>
      <c r="BM488" s="351"/>
      <c r="BN488" s="530" t="s">
        <v>294</v>
      </c>
      <c r="BO488" s="350"/>
      <c r="BP488" s="350"/>
      <c r="BQ488" s="350"/>
      <c r="BR488" s="350"/>
      <c r="BS488" s="350"/>
      <c r="BT488" s="350"/>
      <c r="BU488" s="350"/>
      <c r="BV488" s="351"/>
    </row>
    <row r="489" spans="1:74" ht="45" customHeight="1">
      <c r="A489" s="24">
        <f t="shared" si="1"/>
        <v>475</v>
      </c>
      <c r="B489" s="522" t="s">
        <v>294</v>
      </c>
      <c r="C489" s="351"/>
      <c r="D489" s="523" t="s">
        <v>298</v>
      </c>
      <c r="E489" s="351"/>
      <c r="F489" s="524" t="s">
        <v>325</v>
      </c>
      <c r="G489" s="351"/>
      <c r="H489" s="561" t="s">
        <v>325</v>
      </c>
      <c r="I489" s="351"/>
      <c r="J489" s="562"/>
      <c r="K489" s="351"/>
      <c r="L489" s="562"/>
      <c r="M489" s="351"/>
      <c r="N489" s="34"/>
      <c r="O489" s="38"/>
      <c r="P489" s="526"/>
      <c r="Q489" s="351"/>
      <c r="R489" s="535"/>
      <c r="S489" s="351"/>
      <c r="T489" s="536"/>
      <c r="U489" s="351"/>
      <c r="V489" s="537"/>
      <c r="W489" s="351"/>
      <c r="X489" s="542" t="s">
        <v>294</v>
      </c>
      <c r="Y489" s="350"/>
      <c r="Z489" s="350"/>
      <c r="AA489" s="351"/>
      <c r="AB489" s="543" t="s">
        <v>294</v>
      </c>
      <c r="AC489" s="350"/>
      <c r="AD489" s="350"/>
      <c r="AE489" s="351"/>
      <c r="AF489" s="540"/>
      <c r="AG489" s="351"/>
      <c r="AH489" s="540"/>
      <c r="AI489" s="351"/>
      <c r="AJ489" s="532"/>
      <c r="AK489" s="351"/>
      <c r="AL489" s="524" t="s">
        <v>325</v>
      </c>
      <c r="AM489" s="351"/>
      <c r="AN489" s="549" t="s">
        <v>325</v>
      </c>
      <c r="AO489" s="351"/>
      <c r="AP489" s="532"/>
      <c r="AQ489" s="351"/>
      <c r="AR489" s="533"/>
      <c r="AS489" s="351"/>
      <c r="AT489" s="534"/>
      <c r="AU489" s="351"/>
      <c r="AV489" s="549" t="s">
        <v>325</v>
      </c>
      <c r="AW489" s="351"/>
      <c r="AX489" s="553"/>
      <c r="AY489" s="350"/>
      <c r="AZ489" s="351"/>
      <c r="BA489" s="545"/>
      <c r="BB489" s="351"/>
      <c r="BC489" s="39"/>
      <c r="BD489" s="546" t="s">
        <v>325</v>
      </c>
      <c r="BE489" s="351"/>
      <c r="BF489" s="529"/>
      <c r="BG489" s="350"/>
      <c r="BH489" s="350"/>
      <c r="BI489" s="351"/>
      <c r="BJ489" s="548" t="s">
        <v>294</v>
      </c>
      <c r="BK489" s="350"/>
      <c r="BL489" s="350"/>
      <c r="BM489" s="351"/>
      <c r="BN489" s="530" t="s">
        <v>294</v>
      </c>
      <c r="BO489" s="350"/>
      <c r="BP489" s="350"/>
      <c r="BQ489" s="350"/>
      <c r="BR489" s="350"/>
      <c r="BS489" s="350"/>
      <c r="BT489" s="350"/>
      <c r="BU489" s="350"/>
      <c r="BV489" s="351"/>
    </row>
    <row r="490" spans="1:74" ht="45" customHeight="1">
      <c r="A490" s="24">
        <f t="shared" si="1"/>
        <v>476</v>
      </c>
      <c r="B490" s="558" t="s">
        <v>294</v>
      </c>
      <c r="C490" s="351"/>
      <c r="D490" s="559" t="s">
        <v>298</v>
      </c>
      <c r="E490" s="351"/>
      <c r="F490" s="524" t="s">
        <v>325</v>
      </c>
      <c r="G490" s="351"/>
      <c r="H490" s="525" t="s">
        <v>325</v>
      </c>
      <c r="I490" s="351"/>
      <c r="J490" s="563"/>
      <c r="K490" s="351"/>
      <c r="L490" s="563"/>
      <c r="M490" s="351"/>
      <c r="N490" s="37"/>
      <c r="O490" s="35"/>
      <c r="P490" s="560"/>
      <c r="Q490" s="351"/>
      <c r="R490" s="527"/>
      <c r="S490" s="351"/>
      <c r="T490" s="528"/>
      <c r="U490" s="351"/>
      <c r="V490" s="541"/>
      <c r="W490" s="351"/>
      <c r="X490" s="538" t="s">
        <v>294</v>
      </c>
      <c r="Y490" s="350"/>
      <c r="Z490" s="350"/>
      <c r="AA490" s="351"/>
      <c r="AB490" s="539" t="s">
        <v>294</v>
      </c>
      <c r="AC490" s="350"/>
      <c r="AD490" s="350"/>
      <c r="AE490" s="351"/>
      <c r="AF490" s="544"/>
      <c r="AG490" s="351"/>
      <c r="AH490" s="544"/>
      <c r="AI490" s="351"/>
      <c r="AJ490" s="545"/>
      <c r="AK490" s="351"/>
      <c r="AL490" s="555" t="s">
        <v>325</v>
      </c>
      <c r="AM490" s="351"/>
      <c r="AN490" s="531" t="s">
        <v>325</v>
      </c>
      <c r="AO490" s="351"/>
      <c r="AP490" s="550"/>
      <c r="AQ490" s="351"/>
      <c r="AR490" s="551"/>
      <c r="AS490" s="351"/>
      <c r="AT490" s="534"/>
      <c r="AU490" s="351"/>
      <c r="AV490" s="531" t="s">
        <v>325</v>
      </c>
      <c r="AW490" s="351"/>
      <c r="AX490" s="553"/>
      <c r="AY490" s="350"/>
      <c r="AZ490" s="351"/>
      <c r="BA490" s="554"/>
      <c r="BB490" s="351"/>
      <c r="BC490" s="36"/>
      <c r="BD490" s="556" t="s">
        <v>325</v>
      </c>
      <c r="BE490" s="351"/>
      <c r="BF490" s="547"/>
      <c r="BG490" s="350"/>
      <c r="BH490" s="350"/>
      <c r="BI490" s="351"/>
      <c r="BJ490" s="506" t="s">
        <v>294</v>
      </c>
      <c r="BK490" s="350"/>
      <c r="BL490" s="350"/>
      <c r="BM490" s="351"/>
      <c r="BN490" s="530" t="s">
        <v>294</v>
      </c>
      <c r="BO490" s="350"/>
      <c r="BP490" s="350"/>
      <c r="BQ490" s="350"/>
      <c r="BR490" s="350"/>
      <c r="BS490" s="350"/>
      <c r="BT490" s="350"/>
      <c r="BU490" s="350"/>
      <c r="BV490" s="351"/>
    </row>
    <row r="491" spans="1:74" ht="45" customHeight="1">
      <c r="A491" s="24">
        <f t="shared" si="1"/>
        <v>477</v>
      </c>
      <c r="B491" s="522" t="s">
        <v>294</v>
      </c>
      <c r="C491" s="351"/>
      <c r="D491" s="523" t="s">
        <v>298</v>
      </c>
      <c r="E491" s="351"/>
      <c r="F491" s="524" t="s">
        <v>325</v>
      </c>
      <c r="G491" s="351"/>
      <c r="H491" s="561" t="s">
        <v>325</v>
      </c>
      <c r="I491" s="351"/>
      <c r="J491" s="562"/>
      <c r="K491" s="351"/>
      <c r="L491" s="562"/>
      <c r="M491" s="351"/>
      <c r="N491" s="34"/>
      <c r="O491" s="38"/>
      <c r="P491" s="526"/>
      <c r="Q491" s="351"/>
      <c r="R491" s="535"/>
      <c r="S491" s="351"/>
      <c r="T491" s="536"/>
      <c r="U491" s="351"/>
      <c r="V491" s="537"/>
      <c r="W491" s="351"/>
      <c r="X491" s="542" t="s">
        <v>294</v>
      </c>
      <c r="Y491" s="350"/>
      <c r="Z491" s="350"/>
      <c r="AA491" s="351"/>
      <c r="AB491" s="543" t="s">
        <v>294</v>
      </c>
      <c r="AC491" s="350"/>
      <c r="AD491" s="350"/>
      <c r="AE491" s="351"/>
      <c r="AF491" s="540"/>
      <c r="AG491" s="351"/>
      <c r="AH491" s="540"/>
      <c r="AI491" s="351"/>
      <c r="AJ491" s="532"/>
      <c r="AK491" s="351"/>
      <c r="AL491" s="524" t="s">
        <v>325</v>
      </c>
      <c r="AM491" s="351"/>
      <c r="AN491" s="549" t="s">
        <v>325</v>
      </c>
      <c r="AO491" s="351"/>
      <c r="AP491" s="532"/>
      <c r="AQ491" s="351"/>
      <c r="AR491" s="533"/>
      <c r="AS491" s="351"/>
      <c r="AT491" s="534"/>
      <c r="AU491" s="351"/>
      <c r="AV491" s="549" t="s">
        <v>325</v>
      </c>
      <c r="AW491" s="351"/>
      <c r="AX491" s="553"/>
      <c r="AY491" s="350"/>
      <c r="AZ491" s="351"/>
      <c r="BA491" s="545"/>
      <c r="BB491" s="351"/>
      <c r="BC491" s="39"/>
      <c r="BD491" s="546" t="s">
        <v>325</v>
      </c>
      <c r="BE491" s="351"/>
      <c r="BF491" s="557"/>
      <c r="BG491" s="350"/>
      <c r="BH491" s="350"/>
      <c r="BI491" s="351"/>
      <c r="BJ491" s="548" t="s">
        <v>294</v>
      </c>
      <c r="BK491" s="350"/>
      <c r="BL491" s="350"/>
      <c r="BM491" s="351"/>
      <c r="BN491" s="530" t="s">
        <v>294</v>
      </c>
      <c r="BO491" s="350"/>
      <c r="BP491" s="350"/>
      <c r="BQ491" s="350"/>
      <c r="BR491" s="350"/>
      <c r="BS491" s="350"/>
      <c r="BT491" s="350"/>
      <c r="BU491" s="350"/>
      <c r="BV491" s="351"/>
    </row>
    <row r="492" spans="1:74" ht="45" customHeight="1">
      <c r="A492" s="24">
        <f t="shared" si="1"/>
        <v>478</v>
      </c>
      <c r="B492" s="558" t="s">
        <v>294</v>
      </c>
      <c r="C492" s="351"/>
      <c r="D492" s="559" t="s">
        <v>298</v>
      </c>
      <c r="E492" s="351"/>
      <c r="F492" s="524" t="s">
        <v>325</v>
      </c>
      <c r="G492" s="351"/>
      <c r="H492" s="525" t="s">
        <v>325</v>
      </c>
      <c r="I492" s="351"/>
      <c r="J492" s="563"/>
      <c r="K492" s="351"/>
      <c r="L492" s="563"/>
      <c r="M492" s="351"/>
      <c r="N492" s="37"/>
      <c r="O492" s="35"/>
      <c r="P492" s="560"/>
      <c r="Q492" s="351"/>
      <c r="R492" s="527"/>
      <c r="S492" s="351"/>
      <c r="T492" s="528"/>
      <c r="U492" s="351"/>
      <c r="V492" s="541"/>
      <c r="W492" s="351"/>
      <c r="X492" s="538" t="s">
        <v>294</v>
      </c>
      <c r="Y492" s="350"/>
      <c r="Z492" s="350"/>
      <c r="AA492" s="351"/>
      <c r="AB492" s="539" t="s">
        <v>294</v>
      </c>
      <c r="AC492" s="350"/>
      <c r="AD492" s="350"/>
      <c r="AE492" s="351"/>
      <c r="AF492" s="544"/>
      <c r="AG492" s="351"/>
      <c r="AH492" s="544"/>
      <c r="AI492" s="351"/>
      <c r="AJ492" s="545"/>
      <c r="AK492" s="351"/>
      <c r="AL492" s="555" t="s">
        <v>325</v>
      </c>
      <c r="AM492" s="351"/>
      <c r="AN492" s="531" t="s">
        <v>325</v>
      </c>
      <c r="AO492" s="351"/>
      <c r="AP492" s="550"/>
      <c r="AQ492" s="351"/>
      <c r="AR492" s="551"/>
      <c r="AS492" s="351"/>
      <c r="AT492" s="534"/>
      <c r="AU492" s="351"/>
      <c r="AV492" s="531" t="s">
        <v>325</v>
      </c>
      <c r="AW492" s="351"/>
      <c r="AX492" s="553"/>
      <c r="AY492" s="350"/>
      <c r="AZ492" s="351"/>
      <c r="BA492" s="554"/>
      <c r="BB492" s="351"/>
      <c r="BC492" s="36"/>
      <c r="BD492" s="556" t="s">
        <v>325</v>
      </c>
      <c r="BE492" s="351"/>
      <c r="BF492" s="547"/>
      <c r="BG492" s="350"/>
      <c r="BH492" s="350"/>
      <c r="BI492" s="351"/>
      <c r="BJ492" s="506" t="s">
        <v>294</v>
      </c>
      <c r="BK492" s="350"/>
      <c r="BL492" s="350"/>
      <c r="BM492" s="351"/>
      <c r="BN492" s="530" t="s">
        <v>294</v>
      </c>
      <c r="BO492" s="350"/>
      <c r="BP492" s="350"/>
      <c r="BQ492" s="350"/>
      <c r="BR492" s="350"/>
      <c r="BS492" s="350"/>
      <c r="BT492" s="350"/>
      <c r="BU492" s="350"/>
      <c r="BV492" s="351"/>
    </row>
    <row r="493" spans="1:74" ht="45" customHeight="1">
      <c r="A493" s="24">
        <f t="shared" si="1"/>
        <v>479</v>
      </c>
      <c r="B493" s="522" t="s">
        <v>294</v>
      </c>
      <c r="C493" s="351"/>
      <c r="D493" s="523" t="s">
        <v>298</v>
      </c>
      <c r="E493" s="351"/>
      <c r="F493" s="524" t="s">
        <v>325</v>
      </c>
      <c r="G493" s="351"/>
      <c r="H493" s="561" t="s">
        <v>325</v>
      </c>
      <c r="I493" s="351"/>
      <c r="J493" s="562"/>
      <c r="K493" s="351"/>
      <c r="L493" s="562"/>
      <c r="M493" s="351"/>
      <c r="N493" s="34"/>
      <c r="O493" s="38"/>
      <c r="P493" s="526"/>
      <c r="Q493" s="351"/>
      <c r="R493" s="535"/>
      <c r="S493" s="351"/>
      <c r="T493" s="536"/>
      <c r="U493" s="351"/>
      <c r="V493" s="537"/>
      <c r="W493" s="351"/>
      <c r="X493" s="542" t="s">
        <v>294</v>
      </c>
      <c r="Y493" s="350"/>
      <c r="Z493" s="350"/>
      <c r="AA493" s="351"/>
      <c r="AB493" s="543" t="s">
        <v>294</v>
      </c>
      <c r="AC493" s="350"/>
      <c r="AD493" s="350"/>
      <c r="AE493" s="351"/>
      <c r="AF493" s="540"/>
      <c r="AG493" s="351"/>
      <c r="AH493" s="540"/>
      <c r="AI493" s="351"/>
      <c r="AJ493" s="532"/>
      <c r="AK493" s="351"/>
      <c r="AL493" s="524" t="s">
        <v>325</v>
      </c>
      <c r="AM493" s="351"/>
      <c r="AN493" s="549" t="s">
        <v>325</v>
      </c>
      <c r="AO493" s="351"/>
      <c r="AP493" s="532"/>
      <c r="AQ493" s="351"/>
      <c r="AR493" s="533"/>
      <c r="AS493" s="351"/>
      <c r="AT493" s="534"/>
      <c r="AU493" s="351"/>
      <c r="AV493" s="549" t="s">
        <v>325</v>
      </c>
      <c r="AW493" s="351"/>
      <c r="AX493" s="553"/>
      <c r="AY493" s="350"/>
      <c r="AZ493" s="351"/>
      <c r="BA493" s="545"/>
      <c r="BB493" s="351"/>
      <c r="BC493" s="39"/>
      <c r="BD493" s="546" t="s">
        <v>325</v>
      </c>
      <c r="BE493" s="351"/>
      <c r="BF493" s="529"/>
      <c r="BG493" s="350"/>
      <c r="BH493" s="350"/>
      <c r="BI493" s="351"/>
      <c r="BJ493" s="548" t="s">
        <v>294</v>
      </c>
      <c r="BK493" s="350"/>
      <c r="BL493" s="350"/>
      <c r="BM493" s="351"/>
      <c r="BN493" s="530" t="s">
        <v>294</v>
      </c>
      <c r="BO493" s="350"/>
      <c r="BP493" s="350"/>
      <c r="BQ493" s="350"/>
      <c r="BR493" s="350"/>
      <c r="BS493" s="350"/>
      <c r="BT493" s="350"/>
      <c r="BU493" s="350"/>
      <c r="BV493" s="351"/>
    </row>
    <row r="494" spans="1:74" ht="45" customHeight="1">
      <c r="A494" s="24">
        <f t="shared" si="1"/>
        <v>480</v>
      </c>
      <c r="B494" s="558" t="s">
        <v>294</v>
      </c>
      <c r="C494" s="351"/>
      <c r="D494" s="559" t="s">
        <v>298</v>
      </c>
      <c r="E494" s="351"/>
      <c r="F494" s="524" t="s">
        <v>325</v>
      </c>
      <c r="G494" s="351"/>
      <c r="H494" s="525" t="s">
        <v>325</v>
      </c>
      <c r="I494" s="351"/>
      <c r="J494" s="563"/>
      <c r="K494" s="351"/>
      <c r="L494" s="563"/>
      <c r="M494" s="351"/>
      <c r="N494" s="37"/>
      <c r="O494" s="35"/>
      <c r="P494" s="560"/>
      <c r="Q494" s="351"/>
      <c r="R494" s="527"/>
      <c r="S494" s="351"/>
      <c r="T494" s="528"/>
      <c r="U494" s="351"/>
      <c r="V494" s="541"/>
      <c r="W494" s="351"/>
      <c r="X494" s="538" t="s">
        <v>294</v>
      </c>
      <c r="Y494" s="350"/>
      <c r="Z494" s="350"/>
      <c r="AA494" s="351"/>
      <c r="AB494" s="539" t="s">
        <v>294</v>
      </c>
      <c r="AC494" s="350"/>
      <c r="AD494" s="350"/>
      <c r="AE494" s="351"/>
      <c r="AF494" s="544"/>
      <c r="AG494" s="351"/>
      <c r="AH494" s="544"/>
      <c r="AI494" s="351"/>
      <c r="AJ494" s="545"/>
      <c r="AK494" s="351"/>
      <c r="AL494" s="555" t="s">
        <v>325</v>
      </c>
      <c r="AM494" s="351"/>
      <c r="AN494" s="531" t="s">
        <v>325</v>
      </c>
      <c r="AO494" s="351"/>
      <c r="AP494" s="550"/>
      <c r="AQ494" s="351"/>
      <c r="AR494" s="551"/>
      <c r="AS494" s="351"/>
      <c r="AT494" s="534"/>
      <c r="AU494" s="351"/>
      <c r="AV494" s="531" t="s">
        <v>325</v>
      </c>
      <c r="AW494" s="351"/>
      <c r="AX494" s="553"/>
      <c r="AY494" s="350"/>
      <c r="AZ494" s="351"/>
      <c r="BA494" s="554"/>
      <c r="BB494" s="351"/>
      <c r="BC494" s="36"/>
      <c r="BD494" s="556" t="s">
        <v>325</v>
      </c>
      <c r="BE494" s="351"/>
      <c r="BF494" s="547"/>
      <c r="BG494" s="350"/>
      <c r="BH494" s="350"/>
      <c r="BI494" s="351"/>
      <c r="BJ494" s="506" t="s">
        <v>294</v>
      </c>
      <c r="BK494" s="350"/>
      <c r="BL494" s="350"/>
      <c r="BM494" s="351"/>
      <c r="BN494" s="530" t="s">
        <v>294</v>
      </c>
      <c r="BO494" s="350"/>
      <c r="BP494" s="350"/>
      <c r="BQ494" s="350"/>
      <c r="BR494" s="350"/>
      <c r="BS494" s="350"/>
      <c r="BT494" s="350"/>
      <c r="BU494" s="350"/>
      <c r="BV494" s="351"/>
    </row>
    <row r="495" spans="1:74" ht="45" customHeight="1">
      <c r="A495" s="24">
        <f t="shared" si="1"/>
        <v>481</v>
      </c>
      <c r="B495" s="522" t="s">
        <v>294</v>
      </c>
      <c r="C495" s="351"/>
      <c r="D495" s="523" t="s">
        <v>298</v>
      </c>
      <c r="E495" s="351"/>
      <c r="F495" s="524" t="s">
        <v>325</v>
      </c>
      <c r="G495" s="351"/>
      <c r="H495" s="561" t="s">
        <v>325</v>
      </c>
      <c r="I495" s="351"/>
      <c r="J495" s="562"/>
      <c r="K495" s="351"/>
      <c r="L495" s="562"/>
      <c r="M495" s="351"/>
      <c r="N495" s="34"/>
      <c r="O495" s="38"/>
      <c r="P495" s="526"/>
      <c r="Q495" s="351"/>
      <c r="R495" s="535"/>
      <c r="S495" s="351"/>
      <c r="T495" s="536"/>
      <c r="U495" s="351"/>
      <c r="V495" s="537"/>
      <c r="W495" s="351"/>
      <c r="X495" s="542" t="s">
        <v>294</v>
      </c>
      <c r="Y495" s="350"/>
      <c r="Z495" s="350"/>
      <c r="AA495" s="351"/>
      <c r="AB495" s="543" t="s">
        <v>294</v>
      </c>
      <c r="AC495" s="350"/>
      <c r="AD495" s="350"/>
      <c r="AE495" s="351"/>
      <c r="AF495" s="540"/>
      <c r="AG495" s="351"/>
      <c r="AH495" s="540"/>
      <c r="AI495" s="351"/>
      <c r="AJ495" s="532"/>
      <c r="AK495" s="351"/>
      <c r="AL495" s="524" t="s">
        <v>325</v>
      </c>
      <c r="AM495" s="351"/>
      <c r="AN495" s="549" t="s">
        <v>325</v>
      </c>
      <c r="AO495" s="351"/>
      <c r="AP495" s="532"/>
      <c r="AQ495" s="351"/>
      <c r="AR495" s="533"/>
      <c r="AS495" s="351"/>
      <c r="AT495" s="534"/>
      <c r="AU495" s="351"/>
      <c r="AV495" s="549" t="s">
        <v>325</v>
      </c>
      <c r="AW495" s="351"/>
      <c r="AX495" s="553"/>
      <c r="AY495" s="350"/>
      <c r="AZ495" s="351"/>
      <c r="BA495" s="545"/>
      <c r="BB495" s="351"/>
      <c r="BC495" s="39"/>
      <c r="BD495" s="546" t="s">
        <v>325</v>
      </c>
      <c r="BE495" s="351"/>
      <c r="BF495" s="529"/>
      <c r="BG495" s="350"/>
      <c r="BH495" s="350"/>
      <c r="BI495" s="351"/>
      <c r="BJ495" s="548" t="s">
        <v>294</v>
      </c>
      <c r="BK495" s="350"/>
      <c r="BL495" s="350"/>
      <c r="BM495" s="351"/>
      <c r="BN495" s="530" t="s">
        <v>294</v>
      </c>
      <c r="BO495" s="350"/>
      <c r="BP495" s="350"/>
      <c r="BQ495" s="350"/>
      <c r="BR495" s="350"/>
      <c r="BS495" s="350"/>
      <c r="BT495" s="350"/>
      <c r="BU495" s="350"/>
      <c r="BV495" s="351"/>
    </row>
    <row r="496" spans="1:74" ht="45" customHeight="1">
      <c r="A496" s="24">
        <f t="shared" si="1"/>
        <v>482</v>
      </c>
      <c r="B496" s="558" t="s">
        <v>294</v>
      </c>
      <c r="C496" s="351"/>
      <c r="D496" s="559" t="s">
        <v>298</v>
      </c>
      <c r="E496" s="351"/>
      <c r="F496" s="524" t="s">
        <v>325</v>
      </c>
      <c r="G496" s="351"/>
      <c r="H496" s="525" t="s">
        <v>325</v>
      </c>
      <c r="I496" s="351"/>
      <c r="J496" s="563"/>
      <c r="K496" s="351"/>
      <c r="L496" s="563"/>
      <c r="M496" s="351"/>
      <c r="N496" s="37"/>
      <c r="O496" s="35"/>
      <c r="P496" s="560"/>
      <c r="Q496" s="351"/>
      <c r="R496" s="527"/>
      <c r="S496" s="351"/>
      <c r="T496" s="528"/>
      <c r="U496" s="351"/>
      <c r="V496" s="541"/>
      <c r="W496" s="351"/>
      <c r="X496" s="538" t="s">
        <v>294</v>
      </c>
      <c r="Y496" s="350"/>
      <c r="Z496" s="350"/>
      <c r="AA496" s="351"/>
      <c r="AB496" s="539" t="s">
        <v>294</v>
      </c>
      <c r="AC496" s="350"/>
      <c r="AD496" s="350"/>
      <c r="AE496" s="351"/>
      <c r="AF496" s="544"/>
      <c r="AG496" s="351"/>
      <c r="AH496" s="544"/>
      <c r="AI496" s="351"/>
      <c r="AJ496" s="545"/>
      <c r="AK496" s="351"/>
      <c r="AL496" s="555" t="s">
        <v>325</v>
      </c>
      <c r="AM496" s="351"/>
      <c r="AN496" s="531" t="s">
        <v>325</v>
      </c>
      <c r="AO496" s="351"/>
      <c r="AP496" s="550"/>
      <c r="AQ496" s="351"/>
      <c r="AR496" s="551"/>
      <c r="AS496" s="351"/>
      <c r="AT496" s="534"/>
      <c r="AU496" s="351"/>
      <c r="AV496" s="531" t="s">
        <v>325</v>
      </c>
      <c r="AW496" s="351"/>
      <c r="AX496" s="553"/>
      <c r="AY496" s="350"/>
      <c r="AZ496" s="351"/>
      <c r="BA496" s="554"/>
      <c r="BB496" s="351"/>
      <c r="BC496" s="36"/>
      <c r="BD496" s="556" t="s">
        <v>325</v>
      </c>
      <c r="BE496" s="351"/>
      <c r="BF496" s="547"/>
      <c r="BG496" s="350"/>
      <c r="BH496" s="350"/>
      <c r="BI496" s="351"/>
      <c r="BJ496" s="506" t="s">
        <v>294</v>
      </c>
      <c r="BK496" s="350"/>
      <c r="BL496" s="350"/>
      <c r="BM496" s="351"/>
      <c r="BN496" s="530" t="s">
        <v>294</v>
      </c>
      <c r="BO496" s="350"/>
      <c r="BP496" s="350"/>
      <c r="BQ496" s="350"/>
      <c r="BR496" s="350"/>
      <c r="BS496" s="350"/>
      <c r="BT496" s="350"/>
      <c r="BU496" s="350"/>
      <c r="BV496" s="351"/>
    </row>
    <row r="497" spans="1:74" ht="45" customHeight="1">
      <c r="A497" s="24">
        <f t="shared" si="1"/>
        <v>483</v>
      </c>
      <c r="B497" s="522" t="s">
        <v>294</v>
      </c>
      <c r="C497" s="351"/>
      <c r="D497" s="523" t="s">
        <v>298</v>
      </c>
      <c r="E497" s="351"/>
      <c r="F497" s="524" t="s">
        <v>325</v>
      </c>
      <c r="G497" s="351"/>
      <c r="H497" s="561" t="s">
        <v>325</v>
      </c>
      <c r="I497" s="351"/>
      <c r="J497" s="562"/>
      <c r="K497" s="351"/>
      <c r="L497" s="562"/>
      <c r="M497" s="351"/>
      <c r="N497" s="34"/>
      <c r="O497" s="38"/>
      <c r="P497" s="526"/>
      <c r="Q497" s="351"/>
      <c r="R497" s="535"/>
      <c r="S497" s="351"/>
      <c r="T497" s="536"/>
      <c r="U497" s="351"/>
      <c r="V497" s="537"/>
      <c r="W497" s="351"/>
      <c r="X497" s="542" t="s">
        <v>294</v>
      </c>
      <c r="Y497" s="350"/>
      <c r="Z497" s="350"/>
      <c r="AA497" s="351"/>
      <c r="AB497" s="543" t="s">
        <v>294</v>
      </c>
      <c r="AC497" s="350"/>
      <c r="AD497" s="350"/>
      <c r="AE497" s="351"/>
      <c r="AF497" s="540"/>
      <c r="AG497" s="351"/>
      <c r="AH497" s="540"/>
      <c r="AI497" s="351"/>
      <c r="AJ497" s="532"/>
      <c r="AK497" s="351"/>
      <c r="AL497" s="524" t="s">
        <v>325</v>
      </c>
      <c r="AM497" s="351"/>
      <c r="AN497" s="549" t="s">
        <v>325</v>
      </c>
      <c r="AO497" s="351"/>
      <c r="AP497" s="532"/>
      <c r="AQ497" s="351"/>
      <c r="AR497" s="533"/>
      <c r="AS497" s="351"/>
      <c r="AT497" s="534"/>
      <c r="AU497" s="351"/>
      <c r="AV497" s="549" t="s">
        <v>325</v>
      </c>
      <c r="AW497" s="351"/>
      <c r="AX497" s="553"/>
      <c r="AY497" s="350"/>
      <c r="AZ497" s="351"/>
      <c r="BA497" s="545"/>
      <c r="BB497" s="351"/>
      <c r="BC497" s="39"/>
      <c r="BD497" s="546" t="s">
        <v>325</v>
      </c>
      <c r="BE497" s="351"/>
      <c r="BF497" s="557"/>
      <c r="BG497" s="350"/>
      <c r="BH497" s="350"/>
      <c r="BI497" s="351"/>
      <c r="BJ497" s="548" t="s">
        <v>294</v>
      </c>
      <c r="BK497" s="350"/>
      <c r="BL497" s="350"/>
      <c r="BM497" s="351"/>
      <c r="BN497" s="530" t="s">
        <v>294</v>
      </c>
      <c r="BO497" s="350"/>
      <c r="BP497" s="350"/>
      <c r="BQ497" s="350"/>
      <c r="BR497" s="350"/>
      <c r="BS497" s="350"/>
      <c r="BT497" s="350"/>
      <c r="BU497" s="350"/>
      <c r="BV497" s="351"/>
    </row>
    <row r="498" spans="1:74" ht="45" customHeight="1">
      <c r="A498" s="24">
        <f t="shared" si="1"/>
        <v>484</v>
      </c>
      <c r="B498" s="558" t="s">
        <v>294</v>
      </c>
      <c r="C498" s="351"/>
      <c r="D498" s="559" t="s">
        <v>298</v>
      </c>
      <c r="E498" s="351"/>
      <c r="F498" s="524" t="s">
        <v>325</v>
      </c>
      <c r="G498" s="351"/>
      <c r="H498" s="525" t="s">
        <v>325</v>
      </c>
      <c r="I498" s="351"/>
      <c r="J498" s="563"/>
      <c r="K498" s="351"/>
      <c r="L498" s="563"/>
      <c r="M498" s="351"/>
      <c r="N498" s="37"/>
      <c r="O498" s="35"/>
      <c r="P498" s="560"/>
      <c r="Q498" s="351"/>
      <c r="R498" s="527"/>
      <c r="S498" s="351"/>
      <c r="T498" s="528"/>
      <c r="U498" s="351"/>
      <c r="V498" s="541"/>
      <c r="W498" s="351"/>
      <c r="X498" s="538" t="s">
        <v>294</v>
      </c>
      <c r="Y498" s="350"/>
      <c r="Z498" s="350"/>
      <c r="AA498" s="351"/>
      <c r="AB498" s="539" t="s">
        <v>294</v>
      </c>
      <c r="AC498" s="350"/>
      <c r="AD498" s="350"/>
      <c r="AE498" s="351"/>
      <c r="AF498" s="544"/>
      <c r="AG498" s="351"/>
      <c r="AH498" s="544"/>
      <c r="AI498" s="351"/>
      <c r="AJ498" s="545"/>
      <c r="AK498" s="351"/>
      <c r="AL498" s="555" t="s">
        <v>325</v>
      </c>
      <c r="AM498" s="351"/>
      <c r="AN498" s="531" t="s">
        <v>325</v>
      </c>
      <c r="AO498" s="351"/>
      <c r="AP498" s="550"/>
      <c r="AQ498" s="351"/>
      <c r="AR498" s="551"/>
      <c r="AS498" s="351"/>
      <c r="AT498" s="534"/>
      <c r="AU498" s="351"/>
      <c r="AV498" s="531" t="s">
        <v>325</v>
      </c>
      <c r="AW498" s="351"/>
      <c r="AX498" s="553"/>
      <c r="AY498" s="350"/>
      <c r="AZ498" s="351"/>
      <c r="BA498" s="554"/>
      <c r="BB498" s="351"/>
      <c r="BC498" s="36"/>
      <c r="BD498" s="556" t="s">
        <v>325</v>
      </c>
      <c r="BE498" s="351"/>
      <c r="BF498" s="547"/>
      <c r="BG498" s="350"/>
      <c r="BH498" s="350"/>
      <c r="BI498" s="351"/>
      <c r="BJ498" s="506" t="s">
        <v>294</v>
      </c>
      <c r="BK498" s="350"/>
      <c r="BL498" s="350"/>
      <c r="BM498" s="351"/>
      <c r="BN498" s="530" t="s">
        <v>294</v>
      </c>
      <c r="BO498" s="350"/>
      <c r="BP498" s="350"/>
      <c r="BQ498" s="350"/>
      <c r="BR498" s="350"/>
      <c r="BS498" s="350"/>
      <c r="BT498" s="350"/>
      <c r="BU498" s="350"/>
      <c r="BV498" s="351"/>
    </row>
    <row r="499" spans="1:74" ht="45" customHeight="1">
      <c r="A499" s="24">
        <f t="shared" si="1"/>
        <v>485</v>
      </c>
      <c r="B499" s="522" t="s">
        <v>294</v>
      </c>
      <c r="C499" s="351"/>
      <c r="D499" s="523" t="s">
        <v>298</v>
      </c>
      <c r="E499" s="351"/>
      <c r="F499" s="524" t="s">
        <v>325</v>
      </c>
      <c r="G499" s="351"/>
      <c r="H499" s="561" t="s">
        <v>325</v>
      </c>
      <c r="I499" s="351"/>
      <c r="J499" s="562"/>
      <c r="K499" s="351"/>
      <c r="L499" s="562"/>
      <c r="M499" s="351"/>
      <c r="N499" s="34"/>
      <c r="O499" s="38"/>
      <c r="P499" s="526"/>
      <c r="Q499" s="351"/>
      <c r="R499" s="535"/>
      <c r="S499" s="351"/>
      <c r="T499" s="536"/>
      <c r="U499" s="351"/>
      <c r="V499" s="537"/>
      <c r="W499" s="351"/>
      <c r="X499" s="542" t="s">
        <v>294</v>
      </c>
      <c r="Y499" s="350"/>
      <c r="Z499" s="350"/>
      <c r="AA499" s="351"/>
      <c r="AB499" s="543" t="s">
        <v>294</v>
      </c>
      <c r="AC499" s="350"/>
      <c r="AD499" s="350"/>
      <c r="AE499" s="351"/>
      <c r="AF499" s="540"/>
      <c r="AG499" s="351"/>
      <c r="AH499" s="540"/>
      <c r="AI499" s="351"/>
      <c r="AJ499" s="532"/>
      <c r="AK499" s="351"/>
      <c r="AL499" s="524" t="s">
        <v>325</v>
      </c>
      <c r="AM499" s="351"/>
      <c r="AN499" s="549" t="s">
        <v>325</v>
      </c>
      <c r="AO499" s="351"/>
      <c r="AP499" s="532"/>
      <c r="AQ499" s="351"/>
      <c r="AR499" s="533"/>
      <c r="AS499" s="351"/>
      <c r="AT499" s="534"/>
      <c r="AU499" s="351"/>
      <c r="AV499" s="549" t="s">
        <v>325</v>
      </c>
      <c r="AW499" s="351"/>
      <c r="AX499" s="553"/>
      <c r="AY499" s="350"/>
      <c r="AZ499" s="351"/>
      <c r="BA499" s="545"/>
      <c r="BB499" s="351"/>
      <c r="BC499" s="39"/>
      <c r="BD499" s="546" t="s">
        <v>325</v>
      </c>
      <c r="BE499" s="351"/>
      <c r="BF499" s="529"/>
      <c r="BG499" s="350"/>
      <c r="BH499" s="350"/>
      <c r="BI499" s="351"/>
      <c r="BJ499" s="548" t="s">
        <v>294</v>
      </c>
      <c r="BK499" s="350"/>
      <c r="BL499" s="350"/>
      <c r="BM499" s="351"/>
      <c r="BN499" s="530" t="s">
        <v>294</v>
      </c>
      <c r="BO499" s="350"/>
      <c r="BP499" s="350"/>
      <c r="BQ499" s="350"/>
      <c r="BR499" s="350"/>
      <c r="BS499" s="350"/>
      <c r="BT499" s="350"/>
      <c r="BU499" s="350"/>
      <c r="BV499" s="351"/>
    </row>
    <row r="500" spans="1:74" ht="45" customHeight="1">
      <c r="A500" s="24">
        <f t="shared" si="1"/>
        <v>486</v>
      </c>
      <c r="B500" s="558" t="s">
        <v>294</v>
      </c>
      <c r="C500" s="351"/>
      <c r="D500" s="559" t="s">
        <v>298</v>
      </c>
      <c r="E500" s="351"/>
      <c r="F500" s="524" t="s">
        <v>325</v>
      </c>
      <c r="G500" s="351"/>
      <c r="H500" s="525" t="s">
        <v>325</v>
      </c>
      <c r="I500" s="351"/>
      <c r="J500" s="563"/>
      <c r="K500" s="351"/>
      <c r="L500" s="563"/>
      <c r="M500" s="351"/>
      <c r="N500" s="37"/>
      <c r="O500" s="35"/>
      <c r="P500" s="560"/>
      <c r="Q500" s="351"/>
      <c r="R500" s="527"/>
      <c r="S500" s="351"/>
      <c r="T500" s="528"/>
      <c r="U500" s="351"/>
      <c r="V500" s="541"/>
      <c r="W500" s="351"/>
      <c r="X500" s="538" t="s">
        <v>294</v>
      </c>
      <c r="Y500" s="350"/>
      <c r="Z500" s="350"/>
      <c r="AA500" s="351"/>
      <c r="AB500" s="539" t="s">
        <v>294</v>
      </c>
      <c r="AC500" s="350"/>
      <c r="AD500" s="350"/>
      <c r="AE500" s="351"/>
      <c r="AF500" s="544"/>
      <c r="AG500" s="351"/>
      <c r="AH500" s="544"/>
      <c r="AI500" s="351"/>
      <c r="AJ500" s="545"/>
      <c r="AK500" s="351"/>
      <c r="AL500" s="555" t="s">
        <v>325</v>
      </c>
      <c r="AM500" s="351"/>
      <c r="AN500" s="531" t="s">
        <v>325</v>
      </c>
      <c r="AO500" s="351"/>
      <c r="AP500" s="550"/>
      <c r="AQ500" s="351"/>
      <c r="AR500" s="551"/>
      <c r="AS500" s="351"/>
      <c r="AT500" s="534"/>
      <c r="AU500" s="351"/>
      <c r="AV500" s="531" t="s">
        <v>325</v>
      </c>
      <c r="AW500" s="351"/>
      <c r="AX500" s="553"/>
      <c r="AY500" s="350"/>
      <c r="AZ500" s="351"/>
      <c r="BA500" s="554"/>
      <c r="BB500" s="351"/>
      <c r="BC500" s="36"/>
      <c r="BD500" s="556" t="s">
        <v>325</v>
      </c>
      <c r="BE500" s="351"/>
      <c r="BF500" s="547"/>
      <c r="BG500" s="350"/>
      <c r="BH500" s="350"/>
      <c r="BI500" s="351"/>
      <c r="BJ500" s="506" t="s">
        <v>294</v>
      </c>
      <c r="BK500" s="350"/>
      <c r="BL500" s="350"/>
      <c r="BM500" s="351"/>
      <c r="BN500" s="530" t="s">
        <v>294</v>
      </c>
      <c r="BO500" s="350"/>
      <c r="BP500" s="350"/>
      <c r="BQ500" s="350"/>
      <c r="BR500" s="350"/>
      <c r="BS500" s="350"/>
      <c r="BT500" s="350"/>
      <c r="BU500" s="350"/>
      <c r="BV500" s="351"/>
    </row>
    <row r="501" spans="1:74" ht="45" customHeight="1">
      <c r="A501" s="24">
        <f t="shared" si="1"/>
        <v>487</v>
      </c>
      <c r="B501" s="522" t="s">
        <v>294</v>
      </c>
      <c r="C501" s="351"/>
      <c r="D501" s="523" t="s">
        <v>298</v>
      </c>
      <c r="E501" s="351"/>
      <c r="F501" s="524" t="s">
        <v>325</v>
      </c>
      <c r="G501" s="351"/>
      <c r="H501" s="561" t="s">
        <v>325</v>
      </c>
      <c r="I501" s="351"/>
      <c r="J501" s="562"/>
      <c r="K501" s="351"/>
      <c r="L501" s="562"/>
      <c r="M501" s="351"/>
      <c r="N501" s="34"/>
      <c r="O501" s="38"/>
      <c r="P501" s="526"/>
      <c r="Q501" s="351"/>
      <c r="R501" s="535"/>
      <c r="S501" s="351"/>
      <c r="T501" s="536"/>
      <c r="U501" s="351"/>
      <c r="V501" s="537"/>
      <c r="W501" s="351"/>
      <c r="X501" s="542" t="s">
        <v>294</v>
      </c>
      <c r="Y501" s="350"/>
      <c r="Z501" s="350"/>
      <c r="AA501" s="351"/>
      <c r="AB501" s="543" t="s">
        <v>294</v>
      </c>
      <c r="AC501" s="350"/>
      <c r="AD501" s="350"/>
      <c r="AE501" s="351"/>
      <c r="AF501" s="540"/>
      <c r="AG501" s="351"/>
      <c r="AH501" s="540"/>
      <c r="AI501" s="351"/>
      <c r="AJ501" s="532"/>
      <c r="AK501" s="351"/>
      <c r="AL501" s="524" t="s">
        <v>325</v>
      </c>
      <c r="AM501" s="351"/>
      <c r="AN501" s="549" t="s">
        <v>325</v>
      </c>
      <c r="AO501" s="351"/>
      <c r="AP501" s="532"/>
      <c r="AQ501" s="351"/>
      <c r="AR501" s="533"/>
      <c r="AS501" s="351"/>
      <c r="AT501" s="534"/>
      <c r="AU501" s="351"/>
      <c r="AV501" s="549" t="s">
        <v>325</v>
      </c>
      <c r="AW501" s="351"/>
      <c r="AX501" s="553"/>
      <c r="AY501" s="350"/>
      <c r="AZ501" s="351"/>
      <c r="BA501" s="545"/>
      <c r="BB501" s="351"/>
      <c r="BC501" s="39"/>
      <c r="BD501" s="546" t="s">
        <v>325</v>
      </c>
      <c r="BE501" s="351"/>
      <c r="BF501" s="557"/>
      <c r="BG501" s="350"/>
      <c r="BH501" s="350"/>
      <c r="BI501" s="351"/>
      <c r="BJ501" s="548" t="s">
        <v>294</v>
      </c>
      <c r="BK501" s="350"/>
      <c r="BL501" s="350"/>
      <c r="BM501" s="351"/>
      <c r="BN501" s="530" t="s">
        <v>294</v>
      </c>
      <c r="BO501" s="350"/>
      <c r="BP501" s="350"/>
      <c r="BQ501" s="350"/>
      <c r="BR501" s="350"/>
      <c r="BS501" s="350"/>
      <c r="BT501" s="350"/>
      <c r="BU501" s="350"/>
      <c r="BV501" s="351"/>
    </row>
    <row r="502" spans="1:74" ht="45" customHeight="1">
      <c r="A502" s="24">
        <f t="shared" si="1"/>
        <v>488</v>
      </c>
      <c r="B502" s="558" t="s">
        <v>294</v>
      </c>
      <c r="C502" s="351"/>
      <c r="D502" s="559" t="s">
        <v>298</v>
      </c>
      <c r="E502" s="351"/>
      <c r="F502" s="524" t="s">
        <v>325</v>
      </c>
      <c r="G502" s="351"/>
      <c r="H502" s="525" t="s">
        <v>325</v>
      </c>
      <c r="I502" s="351"/>
      <c r="J502" s="563"/>
      <c r="K502" s="351"/>
      <c r="L502" s="563"/>
      <c r="M502" s="351"/>
      <c r="N502" s="37"/>
      <c r="O502" s="35"/>
      <c r="P502" s="560"/>
      <c r="Q502" s="351"/>
      <c r="R502" s="527"/>
      <c r="S502" s="351"/>
      <c r="T502" s="528"/>
      <c r="U502" s="351"/>
      <c r="V502" s="541"/>
      <c r="W502" s="351"/>
      <c r="X502" s="538" t="s">
        <v>294</v>
      </c>
      <c r="Y502" s="350"/>
      <c r="Z502" s="350"/>
      <c r="AA502" s="351"/>
      <c r="AB502" s="539" t="s">
        <v>294</v>
      </c>
      <c r="AC502" s="350"/>
      <c r="AD502" s="350"/>
      <c r="AE502" s="351"/>
      <c r="AF502" s="544"/>
      <c r="AG502" s="351"/>
      <c r="AH502" s="544"/>
      <c r="AI502" s="351"/>
      <c r="AJ502" s="545"/>
      <c r="AK502" s="351"/>
      <c r="AL502" s="555" t="s">
        <v>325</v>
      </c>
      <c r="AM502" s="351"/>
      <c r="AN502" s="531" t="s">
        <v>325</v>
      </c>
      <c r="AO502" s="351"/>
      <c r="AP502" s="550"/>
      <c r="AQ502" s="351"/>
      <c r="AR502" s="551"/>
      <c r="AS502" s="351"/>
      <c r="AT502" s="534"/>
      <c r="AU502" s="351"/>
      <c r="AV502" s="531" t="s">
        <v>325</v>
      </c>
      <c r="AW502" s="351"/>
      <c r="AX502" s="553"/>
      <c r="AY502" s="350"/>
      <c r="AZ502" s="351"/>
      <c r="BA502" s="554"/>
      <c r="BB502" s="351"/>
      <c r="BC502" s="36"/>
      <c r="BD502" s="556" t="s">
        <v>325</v>
      </c>
      <c r="BE502" s="351"/>
      <c r="BF502" s="547"/>
      <c r="BG502" s="350"/>
      <c r="BH502" s="350"/>
      <c r="BI502" s="351"/>
      <c r="BJ502" s="506" t="s">
        <v>294</v>
      </c>
      <c r="BK502" s="350"/>
      <c r="BL502" s="350"/>
      <c r="BM502" s="351"/>
      <c r="BN502" s="530" t="s">
        <v>294</v>
      </c>
      <c r="BO502" s="350"/>
      <c r="BP502" s="350"/>
      <c r="BQ502" s="350"/>
      <c r="BR502" s="350"/>
      <c r="BS502" s="350"/>
      <c r="BT502" s="350"/>
      <c r="BU502" s="350"/>
      <c r="BV502" s="351"/>
    </row>
    <row r="503" spans="1:74" ht="45" customHeight="1">
      <c r="A503" s="24">
        <f t="shared" si="1"/>
        <v>489</v>
      </c>
      <c r="B503" s="522" t="s">
        <v>294</v>
      </c>
      <c r="C503" s="351"/>
      <c r="D503" s="523" t="s">
        <v>298</v>
      </c>
      <c r="E503" s="351"/>
      <c r="F503" s="524" t="s">
        <v>325</v>
      </c>
      <c r="G503" s="351"/>
      <c r="H503" s="561" t="s">
        <v>325</v>
      </c>
      <c r="I503" s="351"/>
      <c r="J503" s="562"/>
      <c r="K503" s="351"/>
      <c r="L503" s="562"/>
      <c r="M503" s="351"/>
      <c r="N503" s="34"/>
      <c r="O503" s="38"/>
      <c r="P503" s="526"/>
      <c r="Q503" s="351"/>
      <c r="R503" s="535"/>
      <c r="S503" s="351"/>
      <c r="T503" s="536"/>
      <c r="U503" s="351"/>
      <c r="V503" s="537"/>
      <c r="W503" s="351"/>
      <c r="X503" s="542" t="s">
        <v>294</v>
      </c>
      <c r="Y503" s="350"/>
      <c r="Z503" s="350"/>
      <c r="AA503" s="351"/>
      <c r="AB503" s="543" t="s">
        <v>294</v>
      </c>
      <c r="AC503" s="350"/>
      <c r="AD503" s="350"/>
      <c r="AE503" s="351"/>
      <c r="AF503" s="540"/>
      <c r="AG503" s="351"/>
      <c r="AH503" s="540"/>
      <c r="AI503" s="351"/>
      <c r="AJ503" s="532"/>
      <c r="AK503" s="351"/>
      <c r="AL503" s="524" t="s">
        <v>325</v>
      </c>
      <c r="AM503" s="351"/>
      <c r="AN503" s="549" t="s">
        <v>325</v>
      </c>
      <c r="AO503" s="351"/>
      <c r="AP503" s="532"/>
      <c r="AQ503" s="351"/>
      <c r="AR503" s="533"/>
      <c r="AS503" s="351"/>
      <c r="AT503" s="534"/>
      <c r="AU503" s="351"/>
      <c r="AV503" s="549" t="s">
        <v>325</v>
      </c>
      <c r="AW503" s="351"/>
      <c r="AX503" s="553"/>
      <c r="AY503" s="350"/>
      <c r="AZ503" s="351"/>
      <c r="BA503" s="545"/>
      <c r="BB503" s="351"/>
      <c r="BC503" s="39"/>
      <c r="BD503" s="546" t="s">
        <v>325</v>
      </c>
      <c r="BE503" s="351"/>
      <c r="BF503" s="529"/>
      <c r="BG503" s="350"/>
      <c r="BH503" s="350"/>
      <c r="BI503" s="351"/>
      <c r="BJ503" s="548" t="s">
        <v>294</v>
      </c>
      <c r="BK503" s="350"/>
      <c r="BL503" s="350"/>
      <c r="BM503" s="351"/>
      <c r="BN503" s="530" t="s">
        <v>294</v>
      </c>
      <c r="BO503" s="350"/>
      <c r="BP503" s="350"/>
      <c r="BQ503" s="350"/>
      <c r="BR503" s="350"/>
      <c r="BS503" s="350"/>
      <c r="BT503" s="350"/>
      <c r="BU503" s="350"/>
      <c r="BV503" s="351"/>
    </row>
    <row r="504" spans="1:74" ht="45" customHeight="1">
      <c r="A504" s="24">
        <f t="shared" si="1"/>
        <v>490</v>
      </c>
      <c r="B504" s="558" t="s">
        <v>294</v>
      </c>
      <c r="C504" s="351"/>
      <c r="D504" s="559" t="s">
        <v>298</v>
      </c>
      <c r="E504" s="351"/>
      <c r="F504" s="524" t="s">
        <v>325</v>
      </c>
      <c r="G504" s="351"/>
      <c r="H504" s="525" t="s">
        <v>325</v>
      </c>
      <c r="I504" s="351"/>
      <c r="J504" s="563"/>
      <c r="K504" s="351"/>
      <c r="L504" s="563"/>
      <c r="M504" s="351"/>
      <c r="N504" s="37"/>
      <c r="O504" s="35"/>
      <c r="P504" s="560"/>
      <c r="Q504" s="351"/>
      <c r="R504" s="527"/>
      <c r="S504" s="351"/>
      <c r="T504" s="528"/>
      <c r="U504" s="351"/>
      <c r="V504" s="541"/>
      <c r="W504" s="351"/>
      <c r="X504" s="538" t="s">
        <v>294</v>
      </c>
      <c r="Y504" s="350"/>
      <c r="Z504" s="350"/>
      <c r="AA504" s="351"/>
      <c r="AB504" s="539" t="s">
        <v>294</v>
      </c>
      <c r="AC504" s="350"/>
      <c r="AD504" s="350"/>
      <c r="AE504" s="351"/>
      <c r="AF504" s="544"/>
      <c r="AG504" s="351"/>
      <c r="AH504" s="544"/>
      <c r="AI504" s="351"/>
      <c r="AJ504" s="545"/>
      <c r="AK504" s="351"/>
      <c r="AL504" s="555" t="s">
        <v>325</v>
      </c>
      <c r="AM504" s="351"/>
      <c r="AN504" s="531" t="s">
        <v>325</v>
      </c>
      <c r="AO504" s="351"/>
      <c r="AP504" s="550"/>
      <c r="AQ504" s="351"/>
      <c r="AR504" s="551"/>
      <c r="AS504" s="351"/>
      <c r="AT504" s="534"/>
      <c r="AU504" s="351"/>
      <c r="AV504" s="531" t="s">
        <v>325</v>
      </c>
      <c r="AW504" s="351"/>
      <c r="AX504" s="553"/>
      <c r="AY504" s="350"/>
      <c r="AZ504" s="351"/>
      <c r="BA504" s="554"/>
      <c r="BB504" s="351"/>
      <c r="BC504" s="36"/>
      <c r="BD504" s="556" t="s">
        <v>325</v>
      </c>
      <c r="BE504" s="351"/>
      <c r="BF504" s="547"/>
      <c r="BG504" s="350"/>
      <c r="BH504" s="350"/>
      <c r="BI504" s="351"/>
      <c r="BJ504" s="506" t="s">
        <v>294</v>
      </c>
      <c r="BK504" s="350"/>
      <c r="BL504" s="350"/>
      <c r="BM504" s="351"/>
      <c r="BN504" s="530" t="s">
        <v>294</v>
      </c>
      <c r="BO504" s="350"/>
      <c r="BP504" s="350"/>
      <c r="BQ504" s="350"/>
      <c r="BR504" s="350"/>
      <c r="BS504" s="350"/>
      <c r="BT504" s="350"/>
      <c r="BU504" s="350"/>
      <c r="BV504" s="351"/>
    </row>
    <row r="505" spans="1:74" ht="45" customHeight="1">
      <c r="A505" s="24">
        <f t="shared" si="1"/>
        <v>491</v>
      </c>
      <c r="B505" s="522" t="s">
        <v>294</v>
      </c>
      <c r="C505" s="351"/>
      <c r="D505" s="523" t="s">
        <v>298</v>
      </c>
      <c r="E505" s="351"/>
      <c r="F505" s="524" t="s">
        <v>325</v>
      </c>
      <c r="G505" s="351"/>
      <c r="H505" s="561" t="s">
        <v>325</v>
      </c>
      <c r="I505" s="351"/>
      <c r="J505" s="562"/>
      <c r="K505" s="351"/>
      <c r="L505" s="562"/>
      <c r="M505" s="351"/>
      <c r="N505" s="34"/>
      <c r="O505" s="38"/>
      <c r="P505" s="526"/>
      <c r="Q505" s="351"/>
      <c r="R505" s="535"/>
      <c r="S505" s="351"/>
      <c r="T505" s="536"/>
      <c r="U505" s="351"/>
      <c r="V505" s="537"/>
      <c r="W505" s="351"/>
      <c r="X505" s="542" t="s">
        <v>294</v>
      </c>
      <c r="Y505" s="350"/>
      <c r="Z505" s="350"/>
      <c r="AA505" s="351"/>
      <c r="AB505" s="543" t="s">
        <v>294</v>
      </c>
      <c r="AC505" s="350"/>
      <c r="AD505" s="350"/>
      <c r="AE505" s="351"/>
      <c r="AF505" s="540"/>
      <c r="AG505" s="351"/>
      <c r="AH505" s="540"/>
      <c r="AI505" s="351"/>
      <c r="AJ505" s="532"/>
      <c r="AK505" s="351"/>
      <c r="AL505" s="524" t="s">
        <v>325</v>
      </c>
      <c r="AM505" s="351"/>
      <c r="AN505" s="549" t="s">
        <v>325</v>
      </c>
      <c r="AO505" s="351"/>
      <c r="AP505" s="532"/>
      <c r="AQ505" s="351"/>
      <c r="AR505" s="533"/>
      <c r="AS505" s="351"/>
      <c r="AT505" s="534"/>
      <c r="AU505" s="351"/>
      <c r="AV505" s="549" t="s">
        <v>325</v>
      </c>
      <c r="AW505" s="351"/>
      <c r="AX505" s="553"/>
      <c r="AY505" s="350"/>
      <c r="AZ505" s="351"/>
      <c r="BA505" s="545"/>
      <c r="BB505" s="351"/>
      <c r="BC505" s="39"/>
      <c r="BD505" s="546" t="s">
        <v>325</v>
      </c>
      <c r="BE505" s="351"/>
      <c r="BF505" s="529"/>
      <c r="BG505" s="350"/>
      <c r="BH505" s="350"/>
      <c r="BI505" s="351"/>
      <c r="BJ505" s="548" t="s">
        <v>294</v>
      </c>
      <c r="BK505" s="350"/>
      <c r="BL505" s="350"/>
      <c r="BM505" s="351"/>
      <c r="BN505" s="530" t="s">
        <v>294</v>
      </c>
      <c r="BO505" s="350"/>
      <c r="BP505" s="350"/>
      <c r="BQ505" s="350"/>
      <c r="BR505" s="350"/>
      <c r="BS505" s="350"/>
      <c r="BT505" s="350"/>
      <c r="BU505" s="350"/>
      <c r="BV505" s="351"/>
    </row>
    <row r="506" spans="1:74" ht="45" customHeight="1">
      <c r="A506" s="24">
        <f t="shared" si="1"/>
        <v>492</v>
      </c>
      <c r="B506" s="558" t="s">
        <v>294</v>
      </c>
      <c r="C506" s="351"/>
      <c r="D506" s="559" t="s">
        <v>298</v>
      </c>
      <c r="E506" s="351"/>
      <c r="F506" s="524" t="s">
        <v>325</v>
      </c>
      <c r="G506" s="351"/>
      <c r="H506" s="525" t="s">
        <v>325</v>
      </c>
      <c r="I506" s="351"/>
      <c r="J506" s="563"/>
      <c r="K506" s="351"/>
      <c r="L506" s="563"/>
      <c r="M506" s="351"/>
      <c r="N506" s="37"/>
      <c r="O506" s="35"/>
      <c r="P506" s="560"/>
      <c r="Q506" s="351"/>
      <c r="R506" s="527"/>
      <c r="S506" s="351"/>
      <c r="T506" s="528"/>
      <c r="U506" s="351"/>
      <c r="V506" s="541"/>
      <c r="W506" s="351"/>
      <c r="X506" s="538" t="s">
        <v>294</v>
      </c>
      <c r="Y506" s="350"/>
      <c r="Z506" s="350"/>
      <c r="AA506" s="351"/>
      <c r="AB506" s="539" t="s">
        <v>294</v>
      </c>
      <c r="AC506" s="350"/>
      <c r="AD506" s="350"/>
      <c r="AE506" s="351"/>
      <c r="AF506" s="544"/>
      <c r="AG506" s="351"/>
      <c r="AH506" s="544"/>
      <c r="AI506" s="351"/>
      <c r="AJ506" s="545"/>
      <c r="AK506" s="351"/>
      <c r="AL506" s="555" t="s">
        <v>325</v>
      </c>
      <c r="AM506" s="351"/>
      <c r="AN506" s="531" t="s">
        <v>325</v>
      </c>
      <c r="AO506" s="351"/>
      <c r="AP506" s="550"/>
      <c r="AQ506" s="351"/>
      <c r="AR506" s="551"/>
      <c r="AS506" s="351"/>
      <c r="AT506" s="534"/>
      <c r="AU506" s="351"/>
      <c r="AV506" s="531" t="s">
        <v>325</v>
      </c>
      <c r="AW506" s="351"/>
      <c r="AX506" s="553"/>
      <c r="AY506" s="350"/>
      <c r="AZ506" s="351"/>
      <c r="BA506" s="554"/>
      <c r="BB506" s="351"/>
      <c r="BC506" s="36"/>
      <c r="BD506" s="556" t="s">
        <v>325</v>
      </c>
      <c r="BE506" s="351"/>
      <c r="BF506" s="547"/>
      <c r="BG506" s="350"/>
      <c r="BH506" s="350"/>
      <c r="BI506" s="351"/>
      <c r="BJ506" s="506" t="s">
        <v>294</v>
      </c>
      <c r="BK506" s="350"/>
      <c r="BL506" s="350"/>
      <c r="BM506" s="351"/>
      <c r="BN506" s="530" t="s">
        <v>294</v>
      </c>
      <c r="BO506" s="350"/>
      <c r="BP506" s="350"/>
      <c r="BQ506" s="350"/>
      <c r="BR506" s="350"/>
      <c r="BS506" s="350"/>
      <c r="BT506" s="350"/>
      <c r="BU506" s="350"/>
      <c r="BV506" s="351"/>
    </row>
    <row r="507" spans="1:74" ht="45" customHeight="1">
      <c r="A507" s="24">
        <f t="shared" si="1"/>
        <v>493</v>
      </c>
      <c r="B507" s="522" t="s">
        <v>294</v>
      </c>
      <c r="C507" s="351"/>
      <c r="D507" s="523" t="s">
        <v>298</v>
      </c>
      <c r="E507" s="351"/>
      <c r="F507" s="524" t="s">
        <v>325</v>
      </c>
      <c r="G507" s="351"/>
      <c r="H507" s="561" t="s">
        <v>325</v>
      </c>
      <c r="I507" s="351"/>
      <c r="J507" s="562"/>
      <c r="K507" s="351"/>
      <c r="L507" s="562"/>
      <c r="M507" s="351"/>
      <c r="N507" s="34"/>
      <c r="O507" s="38"/>
      <c r="P507" s="526"/>
      <c r="Q507" s="351"/>
      <c r="R507" s="535"/>
      <c r="S507" s="351"/>
      <c r="T507" s="536"/>
      <c r="U507" s="351"/>
      <c r="V507" s="537"/>
      <c r="W507" s="351"/>
      <c r="X507" s="542" t="s">
        <v>294</v>
      </c>
      <c r="Y507" s="350"/>
      <c r="Z507" s="350"/>
      <c r="AA507" s="351"/>
      <c r="AB507" s="543" t="s">
        <v>294</v>
      </c>
      <c r="AC507" s="350"/>
      <c r="AD507" s="350"/>
      <c r="AE507" s="351"/>
      <c r="AF507" s="540"/>
      <c r="AG507" s="351"/>
      <c r="AH507" s="540"/>
      <c r="AI507" s="351"/>
      <c r="AJ507" s="532"/>
      <c r="AK507" s="351"/>
      <c r="AL507" s="524" t="s">
        <v>325</v>
      </c>
      <c r="AM507" s="351"/>
      <c r="AN507" s="549" t="s">
        <v>325</v>
      </c>
      <c r="AO507" s="351"/>
      <c r="AP507" s="532"/>
      <c r="AQ507" s="351"/>
      <c r="AR507" s="533"/>
      <c r="AS507" s="351"/>
      <c r="AT507" s="534"/>
      <c r="AU507" s="351"/>
      <c r="AV507" s="549" t="s">
        <v>325</v>
      </c>
      <c r="AW507" s="351"/>
      <c r="AX507" s="553"/>
      <c r="AY507" s="350"/>
      <c r="AZ507" s="351"/>
      <c r="BA507" s="545"/>
      <c r="BB507" s="351"/>
      <c r="BC507" s="39"/>
      <c r="BD507" s="546" t="s">
        <v>325</v>
      </c>
      <c r="BE507" s="351"/>
      <c r="BF507" s="557"/>
      <c r="BG507" s="350"/>
      <c r="BH507" s="350"/>
      <c r="BI507" s="351"/>
      <c r="BJ507" s="548" t="s">
        <v>294</v>
      </c>
      <c r="BK507" s="350"/>
      <c r="BL507" s="350"/>
      <c r="BM507" s="351"/>
      <c r="BN507" s="530" t="s">
        <v>294</v>
      </c>
      <c r="BO507" s="350"/>
      <c r="BP507" s="350"/>
      <c r="BQ507" s="350"/>
      <c r="BR507" s="350"/>
      <c r="BS507" s="350"/>
      <c r="BT507" s="350"/>
      <c r="BU507" s="350"/>
      <c r="BV507" s="351"/>
    </row>
    <row r="508" spans="1:74" ht="45" customHeight="1">
      <c r="A508" s="24">
        <f t="shared" si="1"/>
        <v>494</v>
      </c>
      <c r="B508" s="558" t="s">
        <v>294</v>
      </c>
      <c r="C508" s="351"/>
      <c r="D508" s="559" t="s">
        <v>298</v>
      </c>
      <c r="E508" s="351"/>
      <c r="F508" s="524" t="s">
        <v>325</v>
      </c>
      <c r="G508" s="351"/>
      <c r="H508" s="525" t="s">
        <v>325</v>
      </c>
      <c r="I508" s="351"/>
      <c r="J508" s="40"/>
      <c r="K508" s="41"/>
      <c r="L508" s="40"/>
      <c r="M508" s="41"/>
      <c r="N508" s="37"/>
      <c r="O508" s="38"/>
      <c r="P508" s="560"/>
      <c r="Q508" s="351"/>
      <c r="R508" s="527"/>
      <c r="S508" s="351"/>
      <c r="T508" s="528"/>
      <c r="U508" s="351"/>
      <c r="V508" s="541"/>
      <c r="W508" s="351"/>
      <c r="X508" s="538" t="s">
        <v>294</v>
      </c>
      <c r="Y508" s="350"/>
      <c r="Z508" s="350"/>
      <c r="AA508" s="351"/>
      <c r="AB508" s="539" t="s">
        <v>294</v>
      </c>
      <c r="AC508" s="350"/>
      <c r="AD508" s="350"/>
      <c r="AE508" s="351"/>
      <c r="AF508" s="544"/>
      <c r="AG508" s="351"/>
      <c r="AH508" s="544"/>
      <c r="AI508" s="351"/>
      <c r="AJ508" s="545"/>
      <c r="AK508" s="351"/>
      <c r="AL508" s="555" t="s">
        <v>325</v>
      </c>
      <c r="AM508" s="351"/>
      <c r="AN508" s="531" t="s">
        <v>325</v>
      </c>
      <c r="AO508" s="351"/>
      <c r="AP508" s="550"/>
      <c r="AQ508" s="351"/>
      <c r="AR508" s="551"/>
      <c r="AS508" s="351"/>
      <c r="AT508" s="534"/>
      <c r="AU508" s="351"/>
      <c r="AV508" s="531" t="s">
        <v>325</v>
      </c>
      <c r="AW508" s="351"/>
      <c r="AX508" s="553"/>
      <c r="AY508" s="350"/>
      <c r="AZ508" s="351"/>
      <c r="BA508" s="554"/>
      <c r="BB508" s="351"/>
      <c r="BC508" s="36"/>
      <c r="BD508" s="556" t="s">
        <v>325</v>
      </c>
      <c r="BE508" s="351"/>
      <c r="BF508" s="547"/>
      <c r="BG508" s="350"/>
      <c r="BH508" s="350"/>
      <c r="BI508" s="351"/>
      <c r="BJ508" s="506" t="s">
        <v>294</v>
      </c>
      <c r="BK508" s="350"/>
      <c r="BL508" s="350"/>
      <c r="BM508" s="351"/>
      <c r="BN508" s="530" t="s">
        <v>294</v>
      </c>
      <c r="BO508" s="350"/>
      <c r="BP508" s="350"/>
      <c r="BQ508" s="350"/>
      <c r="BR508" s="350"/>
      <c r="BS508" s="350"/>
      <c r="BT508" s="350"/>
      <c r="BU508" s="350"/>
      <c r="BV508" s="351"/>
    </row>
    <row r="509" spans="1:74" ht="45" customHeight="1">
      <c r="A509" s="24">
        <f t="shared" si="1"/>
        <v>495</v>
      </c>
      <c r="B509" s="522" t="s">
        <v>294</v>
      </c>
      <c r="C509" s="351"/>
      <c r="D509" s="523" t="s">
        <v>298</v>
      </c>
      <c r="E509" s="351"/>
      <c r="F509" s="524" t="s">
        <v>325</v>
      </c>
      <c r="G509" s="351"/>
      <c r="H509" s="561" t="s">
        <v>325</v>
      </c>
      <c r="I509" s="351"/>
      <c r="J509" s="562"/>
      <c r="K509" s="351"/>
      <c r="L509" s="562"/>
      <c r="M509" s="351"/>
      <c r="N509" s="34"/>
      <c r="O509" s="35"/>
      <c r="P509" s="526"/>
      <c r="Q509" s="351"/>
      <c r="R509" s="535"/>
      <c r="S509" s="351"/>
      <c r="T509" s="536"/>
      <c r="U509" s="351"/>
      <c r="V509" s="537"/>
      <c r="W509" s="351"/>
      <c r="X509" s="542" t="s">
        <v>294</v>
      </c>
      <c r="Y509" s="350"/>
      <c r="Z509" s="350"/>
      <c r="AA509" s="351"/>
      <c r="AB509" s="543" t="s">
        <v>294</v>
      </c>
      <c r="AC509" s="350"/>
      <c r="AD509" s="350"/>
      <c r="AE509" s="351"/>
      <c r="AF509" s="540"/>
      <c r="AG509" s="351"/>
      <c r="AH509" s="540"/>
      <c r="AI509" s="351"/>
      <c r="AJ509" s="532"/>
      <c r="AK509" s="351"/>
      <c r="AL509" s="524" t="s">
        <v>325</v>
      </c>
      <c r="AM509" s="351"/>
      <c r="AN509" s="549" t="s">
        <v>325</v>
      </c>
      <c r="AO509" s="351"/>
      <c r="AP509" s="532"/>
      <c r="AQ509" s="351"/>
      <c r="AR509" s="533"/>
      <c r="AS509" s="351"/>
      <c r="AT509" s="534"/>
      <c r="AU509" s="351"/>
      <c r="AV509" s="549" t="s">
        <v>325</v>
      </c>
      <c r="AW509" s="351"/>
      <c r="AX509" s="553"/>
      <c r="AY509" s="350"/>
      <c r="AZ509" s="351"/>
      <c r="BA509" s="545"/>
      <c r="BB509" s="351"/>
      <c r="BC509" s="39"/>
      <c r="BD509" s="546" t="s">
        <v>325</v>
      </c>
      <c r="BE509" s="351"/>
      <c r="BF509" s="529"/>
      <c r="BG509" s="350"/>
      <c r="BH509" s="350"/>
      <c r="BI509" s="351"/>
      <c r="BJ509" s="548" t="s">
        <v>294</v>
      </c>
      <c r="BK509" s="350"/>
      <c r="BL509" s="350"/>
      <c r="BM509" s="351"/>
      <c r="BN509" s="530" t="s">
        <v>294</v>
      </c>
      <c r="BO509" s="350"/>
      <c r="BP509" s="350"/>
      <c r="BQ509" s="350"/>
      <c r="BR509" s="350"/>
      <c r="BS509" s="350"/>
      <c r="BT509" s="350"/>
      <c r="BU509" s="350"/>
      <c r="BV509" s="351"/>
    </row>
    <row r="510" spans="1:74" ht="45" customHeight="1">
      <c r="A510" s="24">
        <f t="shared" si="1"/>
        <v>496</v>
      </c>
      <c r="B510" s="558" t="s">
        <v>294</v>
      </c>
      <c r="C510" s="351"/>
      <c r="D510" s="559" t="s">
        <v>298</v>
      </c>
      <c r="E510" s="351"/>
      <c r="F510" s="524" t="s">
        <v>325</v>
      </c>
      <c r="G510" s="351"/>
      <c r="H510" s="525" t="s">
        <v>325</v>
      </c>
      <c r="I510" s="351"/>
      <c r="J510" s="40"/>
      <c r="K510" s="41"/>
      <c r="L510" s="40"/>
      <c r="M510" s="41"/>
      <c r="N510" s="37"/>
      <c r="O510" s="38"/>
      <c r="P510" s="560"/>
      <c r="Q510" s="351"/>
      <c r="R510" s="527"/>
      <c r="S510" s="351"/>
      <c r="T510" s="528"/>
      <c r="U510" s="351"/>
      <c r="V510" s="541"/>
      <c r="W510" s="351"/>
      <c r="X510" s="538" t="s">
        <v>294</v>
      </c>
      <c r="Y510" s="350"/>
      <c r="Z510" s="350"/>
      <c r="AA510" s="351"/>
      <c r="AB510" s="539" t="s">
        <v>294</v>
      </c>
      <c r="AC510" s="350"/>
      <c r="AD510" s="350"/>
      <c r="AE510" s="351"/>
      <c r="AF510" s="544"/>
      <c r="AG510" s="351"/>
      <c r="AH510" s="544"/>
      <c r="AI510" s="351"/>
      <c r="AJ510" s="545"/>
      <c r="AK510" s="351"/>
      <c r="AL510" s="555" t="s">
        <v>325</v>
      </c>
      <c r="AM510" s="351"/>
      <c r="AN510" s="531" t="s">
        <v>325</v>
      </c>
      <c r="AO510" s="351"/>
      <c r="AP510" s="550"/>
      <c r="AQ510" s="351"/>
      <c r="AR510" s="551"/>
      <c r="AS510" s="351"/>
      <c r="AT510" s="534"/>
      <c r="AU510" s="351"/>
      <c r="AV510" s="531" t="s">
        <v>325</v>
      </c>
      <c r="AW510" s="351"/>
      <c r="AX510" s="553"/>
      <c r="AY510" s="350"/>
      <c r="AZ510" s="351"/>
      <c r="BA510" s="554"/>
      <c r="BB510" s="351"/>
      <c r="BC510" s="36"/>
      <c r="BD510" s="556" t="s">
        <v>325</v>
      </c>
      <c r="BE510" s="351"/>
      <c r="BF510" s="547"/>
      <c r="BG510" s="350"/>
      <c r="BH510" s="350"/>
      <c r="BI510" s="351"/>
      <c r="BJ510" s="506" t="s">
        <v>294</v>
      </c>
      <c r="BK510" s="350"/>
      <c r="BL510" s="350"/>
      <c r="BM510" s="351"/>
      <c r="BN510" s="530" t="s">
        <v>294</v>
      </c>
      <c r="BO510" s="350"/>
      <c r="BP510" s="350"/>
      <c r="BQ510" s="350"/>
      <c r="BR510" s="350"/>
      <c r="BS510" s="350"/>
      <c r="BT510" s="350"/>
      <c r="BU510" s="350"/>
      <c r="BV510" s="351"/>
    </row>
    <row r="511" spans="1:74" ht="45" customHeight="1">
      <c r="A511" s="24">
        <f t="shared" si="1"/>
        <v>497</v>
      </c>
      <c r="B511" s="522" t="s">
        <v>294</v>
      </c>
      <c r="C511" s="351"/>
      <c r="D511" s="523" t="s">
        <v>298</v>
      </c>
      <c r="E511" s="351"/>
      <c r="F511" s="524" t="s">
        <v>325</v>
      </c>
      <c r="G511" s="351"/>
      <c r="H511" s="561" t="s">
        <v>325</v>
      </c>
      <c r="I511" s="351"/>
      <c r="J511" s="562"/>
      <c r="K511" s="351"/>
      <c r="L511" s="562"/>
      <c r="M511" s="351"/>
      <c r="N511" s="34"/>
      <c r="O511" s="35"/>
      <c r="P511" s="526"/>
      <c r="Q511" s="351"/>
      <c r="R511" s="535"/>
      <c r="S511" s="351"/>
      <c r="T511" s="536"/>
      <c r="U511" s="351"/>
      <c r="V511" s="537"/>
      <c r="W511" s="351"/>
      <c r="X511" s="542" t="s">
        <v>294</v>
      </c>
      <c r="Y511" s="350"/>
      <c r="Z511" s="350"/>
      <c r="AA511" s="351"/>
      <c r="AB511" s="543" t="s">
        <v>294</v>
      </c>
      <c r="AC511" s="350"/>
      <c r="AD511" s="350"/>
      <c r="AE511" s="351"/>
      <c r="AF511" s="540"/>
      <c r="AG511" s="351"/>
      <c r="AH511" s="540"/>
      <c r="AI511" s="351"/>
      <c r="AJ511" s="532"/>
      <c r="AK511" s="351"/>
      <c r="AL511" s="524" t="s">
        <v>325</v>
      </c>
      <c r="AM511" s="351"/>
      <c r="AN511" s="549" t="s">
        <v>325</v>
      </c>
      <c r="AO511" s="351"/>
      <c r="AP511" s="532"/>
      <c r="AQ511" s="351"/>
      <c r="AR511" s="533"/>
      <c r="AS511" s="351"/>
      <c r="AT511" s="534"/>
      <c r="AU511" s="351"/>
      <c r="AV511" s="549" t="s">
        <v>325</v>
      </c>
      <c r="AW511" s="351"/>
      <c r="AX511" s="553"/>
      <c r="AY511" s="350"/>
      <c r="AZ511" s="351"/>
      <c r="BA511" s="545"/>
      <c r="BB511" s="351"/>
      <c r="BC511" s="39"/>
      <c r="BD511" s="546" t="s">
        <v>325</v>
      </c>
      <c r="BE511" s="351"/>
      <c r="BF511" s="557"/>
      <c r="BG511" s="350"/>
      <c r="BH511" s="350"/>
      <c r="BI511" s="351"/>
      <c r="BJ511" s="548" t="s">
        <v>294</v>
      </c>
      <c r="BK511" s="350"/>
      <c r="BL511" s="350"/>
      <c r="BM511" s="351"/>
      <c r="BN511" s="530" t="s">
        <v>294</v>
      </c>
      <c r="BO511" s="350"/>
      <c r="BP511" s="350"/>
      <c r="BQ511" s="350"/>
      <c r="BR511" s="350"/>
      <c r="BS511" s="350"/>
      <c r="BT511" s="350"/>
      <c r="BU511" s="350"/>
      <c r="BV511" s="351"/>
    </row>
    <row r="512" spans="1:74" ht="45" customHeight="1">
      <c r="A512" s="24">
        <f t="shared" si="1"/>
        <v>498</v>
      </c>
      <c r="B512" s="558" t="s">
        <v>294</v>
      </c>
      <c r="C512" s="351"/>
      <c r="D512" s="559" t="s">
        <v>298</v>
      </c>
      <c r="E512" s="351"/>
      <c r="F512" s="524" t="s">
        <v>325</v>
      </c>
      <c r="G512" s="351"/>
      <c r="H512" s="525" t="s">
        <v>325</v>
      </c>
      <c r="I512" s="351"/>
      <c r="J512" s="40"/>
      <c r="K512" s="41"/>
      <c r="L512" s="40"/>
      <c r="M512" s="41"/>
      <c r="N512" s="37"/>
      <c r="O512" s="38"/>
      <c r="P512" s="560"/>
      <c r="Q512" s="351"/>
      <c r="R512" s="527"/>
      <c r="S512" s="351"/>
      <c r="T512" s="528"/>
      <c r="U512" s="351"/>
      <c r="V512" s="541"/>
      <c r="W512" s="351"/>
      <c r="X512" s="538" t="s">
        <v>294</v>
      </c>
      <c r="Y512" s="350"/>
      <c r="Z512" s="350"/>
      <c r="AA512" s="351"/>
      <c r="AB512" s="539" t="s">
        <v>294</v>
      </c>
      <c r="AC512" s="350"/>
      <c r="AD512" s="350"/>
      <c r="AE512" s="351"/>
      <c r="AF512" s="544"/>
      <c r="AG512" s="351"/>
      <c r="AH512" s="544"/>
      <c r="AI512" s="351"/>
      <c r="AJ512" s="545"/>
      <c r="AK512" s="351"/>
      <c r="AL512" s="555" t="s">
        <v>325</v>
      </c>
      <c r="AM512" s="351"/>
      <c r="AN512" s="531" t="s">
        <v>325</v>
      </c>
      <c r="AO512" s="351"/>
      <c r="AP512" s="550"/>
      <c r="AQ512" s="351"/>
      <c r="AR512" s="551"/>
      <c r="AS512" s="351"/>
      <c r="AT512" s="534"/>
      <c r="AU512" s="351"/>
      <c r="AV512" s="531" t="s">
        <v>325</v>
      </c>
      <c r="AW512" s="351"/>
      <c r="AX512" s="553"/>
      <c r="AY512" s="350"/>
      <c r="AZ512" s="351"/>
      <c r="BA512" s="554"/>
      <c r="BB512" s="351"/>
      <c r="BC512" s="36"/>
      <c r="BD512" s="556" t="s">
        <v>325</v>
      </c>
      <c r="BE512" s="351"/>
      <c r="BF512" s="547"/>
      <c r="BG512" s="350"/>
      <c r="BH512" s="350"/>
      <c r="BI512" s="351"/>
      <c r="BJ512" s="506" t="s">
        <v>294</v>
      </c>
      <c r="BK512" s="350"/>
      <c r="BL512" s="350"/>
      <c r="BM512" s="351"/>
      <c r="BN512" s="530" t="s">
        <v>294</v>
      </c>
      <c r="BO512" s="350"/>
      <c r="BP512" s="350"/>
      <c r="BQ512" s="350"/>
      <c r="BR512" s="350"/>
      <c r="BS512" s="350"/>
      <c r="BT512" s="350"/>
      <c r="BU512" s="350"/>
      <c r="BV512" s="351"/>
    </row>
    <row r="513" spans="1:74" ht="45" customHeight="1">
      <c r="A513" s="24">
        <f t="shared" si="1"/>
        <v>499</v>
      </c>
      <c r="B513" s="522" t="s">
        <v>294</v>
      </c>
      <c r="C513" s="351"/>
      <c r="D513" s="523" t="s">
        <v>298</v>
      </c>
      <c r="E513" s="351"/>
      <c r="F513" s="524" t="s">
        <v>325</v>
      </c>
      <c r="G513" s="351"/>
      <c r="H513" s="561" t="s">
        <v>325</v>
      </c>
      <c r="I513" s="351"/>
      <c r="J513" s="562"/>
      <c r="K513" s="351"/>
      <c r="L513" s="562"/>
      <c r="M513" s="351"/>
      <c r="N513" s="34"/>
      <c r="O513" s="35"/>
      <c r="P513" s="526"/>
      <c r="Q513" s="351"/>
      <c r="R513" s="535"/>
      <c r="S513" s="351"/>
      <c r="T513" s="536"/>
      <c r="U513" s="351"/>
      <c r="V513" s="537"/>
      <c r="W513" s="351"/>
      <c r="X513" s="542" t="s">
        <v>294</v>
      </c>
      <c r="Y513" s="350"/>
      <c r="Z513" s="350"/>
      <c r="AA513" s="351"/>
      <c r="AB513" s="543" t="s">
        <v>294</v>
      </c>
      <c r="AC513" s="350"/>
      <c r="AD513" s="350"/>
      <c r="AE513" s="351"/>
      <c r="AF513" s="540"/>
      <c r="AG513" s="351"/>
      <c r="AH513" s="540"/>
      <c r="AI513" s="351"/>
      <c r="AJ513" s="532"/>
      <c r="AK513" s="351"/>
      <c r="AL513" s="524" t="s">
        <v>325</v>
      </c>
      <c r="AM513" s="351"/>
      <c r="AN513" s="549" t="s">
        <v>325</v>
      </c>
      <c r="AO513" s="351"/>
      <c r="AP513" s="532"/>
      <c r="AQ513" s="351"/>
      <c r="AR513" s="533"/>
      <c r="AS513" s="351"/>
      <c r="AT513" s="534"/>
      <c r="AU513" s="351"/>
      <c r="AV513" s="549" t="s">
        <v>325</v>
      </c>
      <c r="AW513" s="351"/>
      <c r="AX513" s="553"/>
      <c r="AY513" s="350"/>
      <c r="AZ513" s="351"/>
      <c r="BA513" s="545"/>
      <c r="BB513" s="351"/>
      <c r="BC513" s="39"/>
      <c r="BD513" s="546" t="s">
        <v>325</v>
      </c>
      <c r="BE513" s="351"/>
      <c r="BF513" s="529"/>
      <c r="BG513" s="350"/>
      <c r="BH513" s="350"/>
      <c r="BI513" s="351"/>
      <c r="BJ513" s="548" t="s">
        <v>294</v>
      </c>
      <c r="BK513" s="350"/>
      <c r="BL513" s="350"/>
      <c r="BM513" s="351"/>
      <c r="BN513" s="530" t="s">
        <v>294</v>
      </c>
      <c r="BO513" s="350"/>
      <c r="BP513" s="350"/>
      <c r="BQ513" s="350"/>
      <c r="BR513" s="350"/>
      <c r="BS513" s="350"/>
      <c r="BT513" s="350"/>
      <c r="BU513" s="350"/>
      <c r="BV513" s="351"/>
    </row>
    <row r="514" spans="1:74" ht="45" customHeight="1">
      <c r="A514" s="24">
        <f t="shared" si="1"/>
        <v>500</v>
      </c>
      <c r="B514" s="558" t="s">
        <v>294</v>
      </c>
      <c r="C514" s="351"/>
      <c r="D514" s="559" t="s">
        <v>298</v>
      </c>
      <c r="E514" s="351"/>
      <c r="F514" s="524" t="s">
        <v>325</v>
      </c>
      <c r="G514" s="351"/>
      <c r="H514" s="525" t="s">
        <v>325</v>
      </c>
      <c r="I514" s="351"/>
      <c r="J514" s="40"/>
      <c r="K514" s="41"/>
      <c r="L514" s="40"/>
      <c r="M514" s="41"/>
      <c r="N514" s="37"/>
      <c r="O514" s="38"/>
      <c r="P514" s="560"/>
      <c r="Q514" s="351"/>
      <c r="R514" s="527"/>
      <c r="S514" s="351"/>
      <c r="T514" s="528"/>
      <c r="U514" s="351"/>
      <c r="V514" s="541"/>
      <c r="W514" s="351"/>
      <c r="X514" s="538" t="s">
        <v>294</v>
      </c>
      <c r="Y514" s="350"/>
      <c r="Z514" s="350"/>
      <c r="AA514" s="351"/>
      <c r="AB514" s="539" t="s">
        <v>294</v>
      </c>
      <c r="AC514" s="350"/>
      <c r="AD514" s="350"/>
      <c r="AE514" s="351"/>
      <c r="AF514" s="544"/>
      <c r="AG514" s="351"/>
      <c r="AH514" s="544"/>
      <c r="AI514" s="351"/>
      <c r="AJ514" s="545"/>
      <c r="AK514" s="351"/>
      <c r="AL514" s="555" t="s">
        <v>325</v>
      </c>
      <c r="AM514" s="351"/>
      <c r="AN514" s="531" t="s">
        <v>325</v>
      </c>
      <c r="AO514" s="351"/>
      <c r="AP514" s="550"/>
      <c r="AQ514" s="351"/>
      <c r="AR514" s="551"/>
      <c r="AS514" s="351"/>
      <c r="AT514" s="534"/>
      <c r="AU514" s="351"/>
      <c r="AV514" s="531" t="s">
        <v>325</v>
      </c>
      <c r="AW514" s="351"/>
      <c r="AX514" s="553"/>
      <c r="AY514" s="350"/>
      <c r="AZ514" s="351"/>
      <c r="BA514" s="554"/>
      <c r="BB514" s="351"/>
      <c r="BC514" s="36"/>
      <c r="BD514" s="556" t="s">
        <v>325</v>
      </c>
      <c r="BE514" s="351"/>
      <c r="BF514" s="547"/>
      <c r="BG514" s="350"/>
      <c r="BH514" s="350"/>
      <c r="BI514" s="351"/>
      <c r="BJ514" s="506" t="s">
        <v>294</v>
      </c>
      <c r="BK514" s="350"/>
      <c r="BL514" s="350"/>
      <c r="BM514" s="351"/>
      <c r="BN514" s="530" t="s">
        <v>294</v>
      </c>
      <c r="BO514" s="350"/>
      <c r="BP514" s="350"/>
      <c r="BQ514" s="350"/>
      <c r="BR514" s="350"/>
      <c r="BS514" s="350"/>
      <c r="BT514" s="350"/>
      <c r="BU514" s="350"/>
      <c r="BV514" s="351"/>
    </row>
    <row r="515" spans="1:74" ht="45" customHeight="1">
      <c r="A515" s="24">
        <f t="shared" si="1"/>
        <v>501</v>
      </c>
      <c r="B515" s="522" t="s">
        <v>294</v>
      </c>
      <c r="C515" s="351"/>
      <c r="D515" s="523" t="s">
        <v>298</v>
      </c>
      <c r="E515" s="351"/>
      <c r="F515" s="524" t="s">
        <v>325</v>
      </c>
      <c r="G515" s="351"/>
      <c r="H515" s="561" t="s">
        <v>325</v>
      </c>
      <c r="I515" s="351"/>
      <c r="J515" s="562"/>
      <c r="K515" s="351"/>
      <c r="L515" s="562"/>
      <c r="M515" s="351"/>
      <c r="N515" s="34"/>
      <c r="O515" s="35"/>
      <c r="P515" s="526"/>
      <c r="Q515" s="351"/>
      <c r="R515" s="535"/>
      <c r="S515" s="351"/>
      <c r="T515" s="536"/>
      <c r="U515" s="351"/>
      <c r="V515" s="537"/>
      <c r="W515" s="351"/>
      <c r="X515" s="542" t="s">
        <v>294</v>
      </c>
      <c r="Y515" s="350"/>
      <c r="Z515" s="350"/>
      <c r="AA515" s="351"/>
      <c r="AB515" s="543" t="s">
        <v>294</v>
      </c>
      <c r="AC515" s="350"/>
      <c r="AD515" s="350"/>
      <c r="AE515" s="351"/>
      <c r="AF515" s="540"/>
      <c r="AG515" s="351"/>
      <c r="AH515" s="540"/>
      <c r="AI515" s="351"/>
      <c r="AJ515" s="532"/>
      <c r="AK515" s="351"/>
      <c r="AL515" s="524" t="s">
        <v>325</v>
      </c>
      <c r="AM515" s="351"/>
      <c r="AN515" s="549" t="s">
        <v>325</v>
      </c>
      <c r="AO515" s="351"/>
      <c r="AP515" s="532"/>
      <c r="AQ515" s="351"/>
      <c r="AR515" s="533"/>
      <c r="AS515" s="351"/>
      <c r="AT515" s="534"/>
      <c r="AU515" s="351"/>
      <c r="AV515" s="549" t="s">
        <v>325</v>
      </c>
      <c r="AW515" s="351"/>
      <c r="AX515" s="553"/>
      <c r="AY515" s="350"/>
      <c r="AZ515" s="351"/>
      <c r="BA515" s="545"/>
      <c r="BB515" s="351"/>
      <c r="BC515" s="39"/>
      <c r="BD515" s="546" t="s">
        <v>325</v>
      </c>
      <c r="BE515" s="351"/>
      <c r="BF515" s="529"/>
      <c r="BG515" s="350"/>
      <c r="BH515" s="350"/>
      <c r="BI515" s="351"/>
      <c r="BJ515" s="548" t="s">
        <v>294</v>
      </c>
      <c r="BK515" s="350"/>
      <c r="BL515" s="350"/>
      <c r="BM515" s="351"/>
      <c r="BN515" s="530" t="s">
        <v>294</v>
      </c>
      <c r="BO515" s="350"/>
      <c r="BP515" s="350"/>
      <c r="BQ515" s="350"/>
      <c r="BR515" s="350"/>
      <c r="BS515" s="350"/>
      <c r="BT515" s="350"/>
      <c r="BU515" s="350"/>
      <c r="BV515" s="351"/>
    </row>
    <row r="516" spans="1:74" ht="45" customHeight="1">
      <c r="A516" s="24">
        <f t="shared" si="1"/>
        <v>502</v>
      </c>
      <c r="B516" s="558" t="s">
        <v>294</v>
      </c>
      <c r="C516" s="351"/>
      <c r="D516" s="559" t="s">
        <v>298</v>
      </c>
      <c r="E516" s="351"/>
      <c r="F516" s="524" t="s">
        <v>325</v>
      </c>
      <c r="G516" s="351"/>
      <c r="H516" s="525" t="s">
        <v>325</v>
      </c>
      <c r="I516" s="351"/>
      <c r="J516" s="40"/>
      <c r="K516" s="41"/>
      <c r="L516" s="40"/>
      <c r="M516" s="41"/>
      <c r="N516" s="37"/>
      <c r="O516" s="38"/>
      <c r="P516" s="560"/>
      <c r="Q516" s="351"/>
      <c r="R516" s="527"/>
      <c r="S516" s="351"/>
      <c r="T516" s="528"/>
      <c r="U516" s="351"/>
      <c r="V516" s="541"/>
      <c r="W516" s="351"/>
      <c r="X516" s="538" t="s">
        <v>294</v>
      </c>
      <c r="Y516" s="350"/>
      <c r="Z516" s="350"/>
      <c r="AA516" s="351"/>
      <c r="AB516" s="539" t="s">
        <v>294</v>
      </c>
      <c r="AC516" s="350"/>
      <c r="AD516" s="350"/>
      <c r="AE516" s="351"/>
      <c r="AF516" s="544"/>
      <c r="AG516" s="351"/>
      <c r="AH516" s="544"/>
      <c r="AI516" s="351"/>
      <c r="AJ516" s="545"/>
      <c r="AK516" s="351"/>
      <c r="AL516" s="555" t="s">
        <v>325</v>
      </c>
      <c r="AM516" s="351"/>
      <c r="AN516" s="531" t="s">
        <v>325</v>
      </c>
      <c r="AO516" s="351"/>
      <c r="AP516" s="550"/>
      <c r="AQ516" s="351"/>
      <c r="AR516" s="551"/>
      <c r="AS516" s="351"/>
      <c r="AT516" s="534"/>
      <c r="AU516" s="351"/>
      <c r="AV516" s="531" t="s">
        <v>325</v>
      </c>
      <c r="AW516" s="351"/>
      <c r="AX516" s="553"/>
      <c r="AY516" s="350"/>
      <c r="AZ516" s="351"/>
      <c r="BA516" s="554"/>
      <c r="BB516" s="351"/>
      <c r="BC516" s="36"/>
      <c r="BD516" s="556" t="s">
        <v>325</v>
      </c>
      <c r="BE516" s="351"/>
      <c r="BF516" s="547"/>
      <c r="BG516" s="350"/>
      <c r="BH516" s="350"/>
      <c r="BI516" s="351"/>
      <c r="BJ516" s="506" t="s">
        <v>294</v>
      </c>
      <c r="BK516" s="350"/>
      <c r="BL516" s="350"/>
      <c r="BM516" s="351"/>
      <c r="BN516" s="530" t="s">
        <v>294</v>
      </c>
      <c r="BO516" s="350"/>
      <c r="BP516" s="350"/>
      <c r="BQ516" s="350"/>
      <c r="BR516" s="350"/>
      <c r="BS516" s="350"/>
      <c r="BT516" s="350"/>
      <c r="BU516" s="350"/>
      <c r="BV516" s="351"/>
    </row>
    <row r="517" spans="1:74" ht="45" customHeight="1">
      <c r="A517" s="24">
        <f t="shared" si="1"/>
        <v>503</v>
      </c>
      <c r="B517" s="522" t="s">
        <v>294</v>
      </c>
      <c r="C517" s="351"/>
      <c r="D517" s="523" t="s">
        <v>298</v>
      </c>
      <c r="E517" s="351"/>
      <c r="F517" s="524" t="s">
        <v>325</v>
      </c>
      <c r="G517" s="351"/>
      <c r="H517" s="561" t="s">
        <v>325</v>
      </c>
      <c r="I517" s="351"/>
      <c r="J517" s="562"/>
      <c r="K517" s="351"/>
      <c r="L517" s="562"/>
      <c r="M517" s="351"/>
      <c r="N517" s="34"/>
      <c r="O517" s="35"/>
      <c r="P517" s="526"/>
      <c r="Q517" s="351"/>
      <c r="R517" s="535"/>
      <c r="S517" s="351"/>
      <c r="T517" s="536"/>
      <c r="U517" s="351"/>
      <c r="V517" s="537"/>
      <c r="W517" s="351"/>
      <c r="X517" s="542" t="s">
        <v>294</v>
      </c>
      <c r="Y517" s="350"/>
      <c r="Z517" s="350"/>
      <c r="AA517" s="351"/>
      <c r="AB517" s="543" t="s">
        <v>294</v>
      </c>
      <c r="AC517" s="350"/>
      <c r="AD517" s="350"/>
      <c r="AE517" s="351"/>
      <c r="AF517" s="540"/>
      <c r="AG517" s="351"/>
      <c r="AH517" s="540"/>
      <c r="AI517" s="351"/>
      <c r="AJ517" s="532"/>
      <c r="AK517" s="351"/>
      <c r="AL517" s="524" t="s">
        <v>325</v>
      </c>
      <c r="AM517" s="351"/>
      <c r="AN517" s="549" t="s">
        <v>325</v>
      </c>
      <c r="AO517" s="351"/>
      <c r="AP517" s="532"/>
      <c r="AQ517" s="351"/>
      <c r="AR517" s="533"/>
      <c r="AS517" s="351"/>
      <c r="AT517" s="534"/>
      <c r="AU517" s="351"/>
      <c r="AV517" s="549" t="s">
        <v>325</v>
      </c>
      <c r="AW517" s="351"/>
      <c r="AX517" s="553"/>
      <c r="AY517" s="350"/>
      <c r="AZ517" s="351"/>
      <c r="BA517" s="545"/>
      <c r="BB517" s="351"/>
      <c r="BC517" s="39"/>
      <c r="BD517" s="546" t="s">
        <v>325</v>
      </c>
      <c r="BE517" s="351"/>
      <c r="BF517" s="557"/>
      <c r="BG517" s="350"/>
      <c r="BH517" s="350"/>
      <c r="BI517" s="351"/>
      <c r="BJ517" s="548" t="s">
        <v>294</v>
      </c>
      <c r="BK517" s="350"/>
      <c r="BL517" s="350"/>
      <c r="BM517" s="351"/>
      <c r="BN517" s="530" t="s">
        <v>294</v>
      </c>
      <c r="BO517" s="350"/>
      <c r="BP517" s="350"/>
      <c r="BQ517" s="350"/>
      <c r="BR517" s="350"/>
      <c r="BS517" s="350"/>
      <c r="BT517" s="350"/>
      <c r="BU517" s="350"/>
      <c r="BV517" s="351"/>
    </row>
    <row r="518" spans="1:74" ht="45" customHeight="1">
      <c r="A518" s="24">
        <f t="shared" si="1"/>
        <v>504</v>
      </c>
      <c r="B518" s="558" t="s">
        <v>294</v>
      </c>
      <c r="C518" s="351"/>
      <c r="D518" s="559" t="s">
        <v>298</v>
      </c>
      <c r="E518" s="351"/>
      <c r="F518" s="524" t="s">
        <v>325</v>
      </c>
      <c r="G518" s="351"/>
      <c r="H518" s="525" t="s">
        <v>325</v>
      </c>
      <c r="I518" s="351"/>
      <c r="J518" s="40"/>
      <c r="K518" s="41"/>
      <c r="L518" s="40"/>
      <c r="M518" s="41"/>
      <c r="N518" s="37"/>
      <c r="O518" s="38"/>
      <c r="P518" s="560"/>
      <c r="Q518" s="351"/>
      <c r="R518" s="527"/>
      <c r="S518" s="351"/>
      <c r="T518" s="528"/>
      <c r="U518" s="351"/>
      <c r="V518" s="541"/>
      <c r="W518" s="351"/>
      <c r="X518" s="538" t="s">
        <v>294</v>
      </c>
      <c r="Y518" s="350"/>
      <c r="Z518" s="350"/>
      <c r="AA518" s="351"/>
      <c r="AB518" s="539" t="s">
        <v>294</v>
      </c>
      <c r="AC518" s="350"/>
      <c r="AD518" s="350"/>
      <c r="AE518" s="351"/>
      <c r="AF518" s="544"/>
      <c r="AG518" s="351"/>
      <c r="AH518" s="544"/>
      <c r="AI518" s="351"/>
      <c r="AJ518" s="545"/>
      <c r="AK518" s="351"/>
      <c r="AL518" s="555" t="s">
        <v>325</v>
      </c>
      <c r="AM518" s="351"/>
      <c r="AN518" s="531" t="s">
        <v>325</v>
      </c>
      <c r="AO518" s="351"/>
      <c r="AP518" s="550"/>
      <c r="AQ518" s="351"/>
      <c r="AR518" s="551"/>
      <c r="AS518" s="351"/>
      <c r="AT518" s="534"/>
      <c r="AU518" s="351"/>
      <c r="AV518" s="531" t="s">
        <v>325</v>
      </c>
      <c r="AW518" s="351"/>
      <c r="AX518" s="553"/>
      <c r="AY518" s="350"/>
      <c r="AZ518" s="351"/>
      <c r="BA518" s="554"/>
      <c r="BB518" s="351"/>
      <c r="BC518" s="36"/>
      <c r="BD518" s="556" t="s">
        <v>325</v>
      </c>
      <c r="BE518" s="351"/>
      <c r="BF518" s="547"/>
      <c r="BG518" s="350"/>
      <c r="BH518" s="350"/>
      <c r="BI518" s="351"/>
      <c r="BJ518" s="506" t="s">
        <v>294</v>
      </c>
      <c r="BK518" s="350"/>
      <c r="BL518" s="350"/>
      <c r="BM518" s="351"/>
      <c r="BN518" s="530" t="s">
        <v>294</v>
      </c>
      <c r="BO518" s="350"/>
      <c r="BP518" s="350"/>
      <c r="BQ518" s="350"/>
      <c r="BR518" s="350"/>
      <c r="BS518" s="350"/>
      <c r="BT518" s="350"/>
      <c r="BU518" s="350"/>
      <c r="BV518" s="351"/>
    </row>
    <row r="519" spans="1:74" ht="45" customHeight="1">
      <c r="A519" s="24">
        <f t="shared" si="1"/>
        <v>505</v>
      </c>
      <c r="B519" s="522" t="s">
        <v>294</v>
      </c>
      <c r="C519" s="351"/>
      <c r="D519" s="523" t="s">
        <v>298</v>
      </c>
      <c r="E519" s="351"/>
      <c r="F519" s="524" t="s">
        <v>325</v>
      </c>
      <c r="G519" s="351"/>
      <c r="H519" s="561" t="s">
        <v>325</v>
      </c>
      <c r="I519" s="351"/>
      <c r="J519" s="562"/>
      <c r="K519" s="351"/>
      <c r="L519" s="562"/>
      <c r="M519" s="351"/>
      <c r="N519" s="34"/>
      <c r="O519" s="38"/>
      <c r="P519" s="526"/>
      <c r="Q519" s="351"/>
      <c r="R519" s="535"/>
      <c r="S519" s="351"/>
      <c r="T519" s="536"/>
      <c r="U519" s="351"/>
      <c r="V519" s="537"/>
      <c r="W519" s="351"/>
      <c r="X519" s="542" t="s">
        <v>294</v>
      </c>
      <c r="Y519" s="350"/>
      <c r="Z519" s="350"/>
      <c r="AA519" s="351"/>
      <c r="AB519" s="543" t="s">
        <v>294</v>
      </c>
      <c r="AC519" s="350"/>
      <c r="AD519" s="350"/>
      <c r="AE519" s="351"/>
      <c r="AF519" s="540"/>
      <c r="AG519" s="351"/>
      <c r="AH519" s="544"/>
      <c r="AI519" s="351"/>
      <c r="AJ519" s="532"/>
      <c r="AK519" s="351"/>
      <c r="AL519" s="524" t="s">
        <v>325</v>
      </c>
      <c r="AM519" s="351"/>
      <c r="AN519" s="549" t="s">
        <v>325</v>
      </c>
      <c r="AO519" s="351"/>
      <c r="AP519" s="532"/>
      <c r="AQ519" s="351"/>
      <c r="AR519" s="533"/>
      <c r="AS519" s="351"/>
      <c r="AT519" s="534"/>
      <c r="AU519" s="351"/>
      <c r="AV519" s="549" t="s">
        <v>325</v>
      </c>
      <c r="AW519" s="351"/>
      <c r="AX519" s="553"/>
      <c r="AY519" s="350"/>
      <c r="AZ519" s="351"/>
      <c r="BA519" s="545"/>
      <c r="BB519" s="351"/>
      <c r="BC519" s="39"/>
      <c r="BD519" s="546" t="s">
        <v>325</v>
      </c>
      <c r="BE519" s="351"/>
      <c r="BF519" s="529"/>
      <c r="BG519" s="350"/>
      <c r="BH519" s="350"/>
      <c r="BI519" s="351"/>
      <c r="BJ519" s="548" t="s">
        <v>294</v>
      </c>
      <c r="BK519" s="350"/>
      <c r="BL519" s="350"/>
      <c r="BM519" s="351"/>
      <c r="BN519" s="530" t="s">
        <v>294</v>
      </c>
      <c r="BO519" s="350"/>
      <c r="BP519" s="350"/>
      <c r="BQ519" s="350"/>
      <c r="BR519" s="350"/>
      <c r="BS519" s="350"/>
      <c r="BT519" s="350"/>
      <c r="BU519" s="350"/>
      <c r="BV519" s="351"/>
    </row>
    <row r="520" spans="1:74" ht="45" customHeight="1">
      <c r="A520" s="24">
        <f t="shared" si="1"/>
        <v>506</v>
      </c>
      <c r="B520" s="558" t="s">
        <v>294</v>
      </c>
      <c r="C520" s="351"/>
      <c r="D520" s="559" t="s">
        <v>298</v>
      </c>
      <c r="E520" s="351"/>
      <c r="F520" s="524" t="s">
        <v>325</v>
      </c>
      <c r="G520" s="351"/>
      <c r="H520" s="525" t="s">
        <v>325</v>
      </c>
      <c r="I520" s="351"/>
      <c r="J520" s="40"/>
      <c r="K520" s="41"/>
      <c r="L520" s="40"/>
      <c r="M520" s="41"/>
      <c r="N520" s="37"/>
      <c r="O520" s="35"/>
      <c r="P520" s="560"/>
      <c r="Q520" s="351"/>
      <c r="R520" s="527"/>
      <c r="S520" s="351"/>
      <c r="T520" s="528"/>
      <c r="U520" s="351"/>
      <c r="V520" s="541"/>
      <c r="W520" s="351"/>
      <c r="X520" s="538" t="s">
        <v>294</v>
      </c>
      <c r="Y520" s="350"/>
      <c r="Z520" s="350"/>
      <c r="AA520" s="351"/>
      <c r="AB520" s="539" t="s">
        <v>294</v>
      </c>
      <c r="AC520" s="350"/>
      <c r="AD520" s="350"/>
      <c r="AE520" s="351"/>
      <c r="AF520" s="544"/>
      <c r="AG520" s="351"/>
      <c r="AH520" s="540"/>
      <c r="AI520" s="351"/>
      <c r="AJ520" s="545"/>
      <c r="AK520" s="351"/>
      <c r="AL520" s="555" t="s">
        <v>325</v>
      </c>
      <c r="AM520" s="351"/>
      <c r="AN520" s="531" t="s">
        <v>325</v>
      </c>
      <c r="AO520" s="351"/>
      <c r="AP520" s="550"/>
      <c r="AQ520" s="351"/>
      <c r="AR520" s="551"/>
      <c r="AS520" s="351"/>
      <c r="AT520" s="534"/>
      <c r="AU520" s="351"/>
      <c r="AV520" s="531" t="s">
        <v>325</v>
      </c>
      <c r="AW520" s="351"/>
      <c r="AX520" s="553"/>
      <c r="AY520" s="350"/>
      <c r="AZ520" s="351"/>
      <c r="BA520" s="554"/>
      <c r="BB520" s="351"/>
      <c r="BC520" s="36"/>
      <c r="BD520" s="556" t="s">
        <v>325</v>
      </c>
      <c r="BE520" s="351"/>
      <c r="BF520" s="547"/>
      <c r="BG520" s="350"/>
      <c r="BH520" s="350"/>
      <c r="BI520" s="351"/>
      <c r="BJ520" s="506" t="s">
        <v>294</v>
      </c>
      <c r="BK520" s="350"/>
      <c r="BL520" s="350"/>
      <c r="BM520" s="351"/>
      <c r="BN520" s="530" t="s">
        <v>294</v>
      </c>
      <c r="BO520" s="350"/>
      <c r="BP520" s="350"/>
      <c r="BQ520" s="350"/>
      <c r="BR520" s="350"/>
      <c r="BS520" s="350"/>
      <c r="BT520" s="350"/>
      <c r="BU520" s="350"/>
      <c r="BV520" s="351"/>
    </row>
    <row r="521" spans="1:74" ht="45" customHeight="1">
      <c r="A521" s="24">
        <f t="shared" si="1"/>
        <v>507</v>
      </c>
      <c r="B521" s="522" t="s">
        <v>294</v>
      </c>
      <c r="C521" s="351"/>
      <c r="D521" s="523" t="s">
        <v>298</v>
      </c>
      <c r="E521" s="351"/>
      <c r="F521" s="524" t="s">
        <v>325</v>
      </c>
      <c r="G521" s="351"/>
      <c r="H521" s="561" t="s">
        <v>325</v>
      </c>
      <c r="I521" s="351"/>
      <c r="J521" s="562"/>
      <c r="K521" s="351"/>
      <c r="L521" s="562"/>
      <c r="M521" s="351"/>
      <c r="N521" s="34"/>
      <c r="O521" s="38"/>
      <c r="P521" s="526"/>
      <c r="Q521" s="351"/>
      <c r="R521" s="535"/>
      <c r="S521" s="351"/>
      <c r="T521" s="536"/>
      <c r="U521" s="351"/>
      <c r="V521" s="537"/>
      <c r="W521" s="351"/>
      <c r="X521" s="542" t="s">
        <v>294</v>
      </c>
      <c r="Y521" s="350"/>
      <c r="Z521" s="350"/>
      <c r="AA521" s="351"/>
      <c r="AB521" s="543" t="s">
        <v>294</v>
      </c>
      <c r="AC521" s="350"/>
      <c r="AD521" s="350"/>
      <c r="AE521" s="351"/>
      <c r="AF521" s="540"/>
      <c r="AG521" s="351"/>
      <c r="AH521" s="544"/>
      <c r="AI521" s="351"/>
      <c r="AJ521" s="532"/>
      <c r="AK521" s="351"/>
      <c r="AL521" s="524" t="s">
        <v>325</v>
      </c>
      <c r="AM521" s="351"/>
      <c r="AN521" s="549" t="s">
        <v>325</v>
      </c>
      <c r="AO521" s="351"/>
      <c r="AP521" s="532"/>
      <c r="AQ521" s="351"/>
      <c r="AR521" s="533"/>
      <c r="AS521" s="351"/>
      <c r="AT521" s="534"/>
      <c r="AU521" s="351"/>
      <c r="AV521" s="549" t="s">
        <v>325</v>
      </c>
      <c r="AW521" s="351"/>
      <c r="AX521" s="553"/>
      <c r="AY521" s="350"/>
      <c r="AZ521" s="351"/>
      <c r="BA521" s="545"/>
      <c r="BB521" s="351"/>
      <c r="BC521" s="39"/>
      <c r="BD521" s="546" t="s">
        <v>325</v>
      </c>
      <c r="BE521" s="351"/>
      <c r="BF521" s="557"/>
      <c r="BG521" s="350"/>
      <c r="BH521" s="350"/>
      <c r="BI521" s="351"/>
      <c r="BJ521" s="548" t="s">
        <v>294</v>
      </c>
      <c r="BK521" s="350"/>
      <c r="BL521" s="350"/>
      <c r="BM521" s="351"/>
      <c r="BN521" s="530" t="s">
        <v>294</v>
      </c>
      <c r="BO521" s="350"/>
      <c r="BP521" s="350"/>
      <c r="BQ521" s="350"/>
      <c r="BR521" s="350"/>
      <c r="BS521" s="350"/>
      <c r="BT521" s="350"/>
      <c r="BU521" s="350"/>
      <c r="BV521" s="351"/>
    </row>
    <row r="522" spans="1:74" ht="45" customHeight="1">
      <c r="A522" s="24">
        <f t="shared" si="1"/>
        <v>508</v>
      </c>
      <c r="B522" s="558" t="s">
        <v>294</v>
      </c>
      <c r="C522" s="351"/>
      <c r="D522" s="559" t="s">
        <v>298</v>
      </c>
      <c r="E522" s="351"/>
      <c r="F522" s="524" t="s">
        <v>325</v>
      </c>
      <c r="G522" s="351"/>
      <c r="H522" s="525" t="s">
        <v>325</v>
      </c>
      <c r="I522" s="351"/>
      <c r="J522" s="40"/>
      <c r="K522" s="41"/>
      <c r="L522" s="40"/>
      <c r="M522" s="41"/>
      <c r="N522" s="37"/>
      <c r="O522" s="35"/>
      <c r="P522" s="560"/>
      <c r="Q522" s="351"/>
      <c r="R522" s="527"/>
      <c r="S522" s="351"/>
      <c r="T522" s="528"/>
      <c r="U522" s="351"/>
      <c r="V522" s="541"/>
      <c r="W522" s="351"/>
      <c r="X522" s="538" t="s">
        <v>294</v>
      </c>
      <c r="Y522" s="350"/>
      <c r="Z522" s="350"/>
      <c r="AA522" s="351"/>
      <c r="AB522" s="539" t="s">
        <v>294</v>
      </c>
      <c r="AC522" s="350"/>
      <c r="AD522" s="350"/>
      <c r="AE522" s="351"/>
      <c r="AF522" s="544"/>
      <c r="AG522" s="351"/>
      <c r="AH522" s="540"/>
      <c r="AI522" s="351"/>
      <c r="AJ522" s="545"/>
      <c r="AK522" s="351"/>
      <c r="AL522" s="555" t="s">
        <v>325</v>
      </c>
      <c r="AM522" s="351"/>
      <c r="AN522" s="531" t="s">
        <v>325</v>
      </c>
      <c r="AO522" s="351"/>
      <c r="AP522" s="550"/>
      <c r="AQ522" s="351"/>
      <c r="AR522" s="551"/>
      <c r="AS522" s="351"/>
      <c r="AT522" s="534"/>
      <c r="AU522" s="351"/>
      <c r="AV522" s="531" t="s">
        <v>325</v>
      </c>
      <c r="AW522" s="351"/>
      <c r="AX522" s="553"/>
      <c r="AY522" s="350"/>
      <c r="AZ522" s="351"/>
      <c r="BA522" s="554"/>
      <c r="BB522" s="351"/>
      <c r="BC522" s="36"/>
      <c r="BD522" s="556" t="s">
        <v>325</v>
      </c>
      <c r="BE522" s="351"/>
      <c r="BF522" s="547"/>
      <c r="BG522" s="350"/>
      <c r="BH522" s="350"/>
      <c r="BI522" s="351"/>
      <c r="BJ522" s="506" t="s">
        <v>294</v>
      </c>
      <c r="BK522" s="350"/>
      <c r="BL522" s="350"/>
      <c r="BM522" s="351"/>
      <c r="BN522" s="530" t="s">
        <v>294</v>
      </c>
      <c r="BO522" s="350"/>
      <c r="BP522" s="350"/>
      <c r="BQ522" s="350"/>
      <c r="BR522" s="350"/>
      <c r="BS522" s="350"/>
      <c r="BT522" s="350"/>
      <c r="BU522" s="350"/>
      <c r="BV522" s="351"/>
    </row>
    <row r="523" spans="1:74" ht="45" customHeight="1">
      <c r="A523" s="24">
        <f t="shared" si="1"/>
        <v>509</v>
      </c>
      <c r="B523" s="522" t="s">
        <v>294</v>
      </c>
      <c r="C523" s="351"/>
      <c r="D523" s="523" t="s">
        <v>298</v>
      </c>
      <c r="E523" s="351"/>
      <c r="F523" s="524" t="s">
        <v>325</v>
      </c>
      <c r="G523" s="351"/>
      <c r="H523" s="561" t="s">
        <v>325</v>
      </c>
      <c r="I523" s="351"/>
      <c r="J523" s="562"/>
      <c r="K523" s="351"/>
      <c r="L523" s="562"/>
      <c r="M523" s="351"/>
      <c r="N523" s="34"/>
      <c r="O523" s="38"/>
      <c r="P523" s="526"/>
      <c r="Q523" s="351"/>
      <c r="R523" s="535"/>
      <c r="S523" s="351"/>
      <c r="T523" s="536"/>
      <c r="U523" s="351"/>
      <c r="V523" s="537"/>
      <c r="W523" s="351"/>
      <c r="X523" s="542" t="s">
        <v>294</v>
      </c>
      <c r="Y523" s="350"/>
      <c r="Z523" s="350"/>
      <c r="AA523" s="351"/>
      <c r="AB523" s="543" t="s">
        <v>294</v>
      </c>
      <c r="AC523" s="350"/>
      <c r="AD523" s="350"/>
      <c r="AE523" s="351"/>
      <c r="AF523" s="540"/>
      <c r="AG523" s="351"/>
      <c r="AH523" s="544"/>
      <c r="AI523" s="351"/>
      <c r="AJ523" s="532"/>
      <c r="AK523" s="351"/>
      <c r="AL523" s="524" t="s">
        <v>325</v>
      </c>
      <c r="AM523" s="351"/>
      <c r="AN523" s="549" t="s">
        <v>325</v>
      </c>
      <c r="AO523" s="351"/>
      <c r="AP523" s="532"/>
      <c r="AQ523" s="351"/>
      <c r="AR523" s="533"/>
      <c r="AS523" s="351"/>
      <c r="AT523" s="534"/>
      <c r="AU523" s="351"/>
      <c r="AV523" s="549" t="s">
        <v>325</v>
      </c>
      <c r="AW523" s="351"/>
      <c r="AX523" s="553"/>
      <c r="AY523" s="350"/>
      <c r="AZ523" s="351"/>
      <c r="BA523" s="545"/>
      <c r="BB523" s="351"/>
      <c r="BC523" s="39"/>
      <c r="BD523" s="546" t="s">
        <v>325</v>
      </c>
      <c r="BE523" s="351"/>
      <c r="BF523" s="529"/>
      <c r="BG523" s="350"/>
      <c r="BH523" s="350"/>
      <c r="BI523" s="351"/>
      <c r="BJ523" s="548" t="s">
        <v>294</v>
      </c>
      <c r="BK523" s="350"/>
      <c r="BL523" s="350"/>
      <c r="BM523" s="351"/>
      <c r="BN523" s="530" t="s">
        <v>294</v>
      </c>
      <c r="BO523" s="350"/>
      <c r="BP523" s="350"/>
      <c r="BQ523" s="350"/>
      <c r="BR523" s="350"/>
      <c r="BS523" s="350"/>
      <c r="BT523" s="350"/>
      <c r="BU523" s="350"/>
      <c r="BV523" s="351"/>
    </row>
    <row r="524" spans="1:74" ht="45" customHeight="1">
      <c r="A524" s="24">
        <f t="shared" si="1"/>
        <v>510</v>
      </c>
      <c r="B524" s="558" t="s">
        <v>294</v>
      </c>
      <c r="C524" s="351"/>
      <c r="D524" s="559" t="s">
        <v>298</v>
      </c>
      <c r="E524" s="351"/>
      <c r="F524" s="524" t="s">
        <v>325</v>
      </c>
      <c r="G524" s="351"/>
      <c r="H524" s="525" t="s">
        <v>325</v>
      </c>
      <c r="I524" s="351"/>
      <c r="J524" s="40"/>
      <c r="K524" s="41"/>
      <c r="L524" s="40"/>
      <c r="M524" s="41"/>
      <c r="N524" s="37"/>
      <c r="O524" s="35"/>
      <c r="P524" s="560"/>
      <c r="Q524" s="351"/>
      <c r="R524" s="527"/>
      <c r="S524" s="351"/>
      <c r="T524" s="528"/>
      <c r="U524" s="351"/>
      <c r="V524" s="541"/>
      <c r="W524" s="351"/>
      <c r="X524" s="538" t="s">
        <v>294</v>
      </c>
      <c r="Y524" s="350"/>
      <c r="Z524" s="350"/>
      <c r="AA524" s="351"/>
      <c r="AB524" s="539" t="s">
        <v>294</v>
      </c>
      <c r="AC524" s="350"/>
      <c r="AD524" s="350"/>
      <c r="AE524" s="351"/>
      <c r="AF524" s="544"/>
      <c r="AG524" s="351"/>
      <c r="AH524" s="540"/>
      <c r="AI524" s="351"/>
      <c r="AJ524" s="545"/>
      <c r="AK524" s="351"/>
      <c r="AL524" s="555" t="s">
        <v>325</v>
      </c>
      <c r="AM524" s="351"/>
      <c r="AN524" s="531" t="s">
        <v>325</v>
      </c>
      <c r="AO524" s="351"/>
      <c r="AP524" s="550"/>
      <c r="AQ524" s="351"/>
      <c r="AR524" s="551"/>
      <c r="AS524" s="351"/>
      <c r="AT524" s="534"/>
      <c r="AU524" s="351"/>
      <c r="AV524" s="531" t="s">
        <v>325</v>
      </c>
      <c r="AW524" s="351"/>
      <c r="AX524" s="553"/>
      <c r="AY524" s="350"/>
      <c r="AZ524" s="351"/>
      <c r="BA524" s="554"/>
      <c r="BB524" s="351"/>
      <c r="BC524" s="36"/>
      <c r="BD524" s="556" t="s">
        <v>325</v>
      </c>
      <c r="BE524" s="351"/>
      <c r="BF524" s="547"/>
      <c r="BG524" s="350"/>
      <c r="BH524" s="350"/>
      <c r="BI524" s="351"/>
      <c r="BJ524" s="506" t="s">
        <v>294</v>
      </c>
      <c r="BK524" s="350"/>
      <c r="BL524" s="350"/>
      <c r="BM524" s="351"/>
      <c r="BN524" s="530" t="s">
        <v>294</v>
      </c>
      <c r="BO524" s="350"/>
      <c r="BP524" s="350"/>
      <c r="BQ524" s="350"/>
      <c r="BR524" s="350"/>
      <c r="BS524" s="350"/>
      <c r="BT524" s="350"/>
      <c r="BU524" s="350"/>
      <c r="BV524" s="351"/>
    </row>
    <row r="525" spans="1:74" ht="45" customHeight="1">
      <c r="A525" s="24">
        <f t="shared" ref="A525:A779" si="2">ROW(A511)</f>
        <v>511</v>
      </c>
      <c r="B525" s="522" t="s">
        <v>294</v>
      </c>
      <c r="C525" s="351"/>
      <c r="D525" s="523" t="s">
        <v>298</v>
      </c>
      <c r="E525" s="351"/>
      <c r="F525" s="524" t="s">
        <v>325</v>
      </c>
      <c r="G525" s="351"/>
      <c r="H525" s="561" t="s">
        <v>325</v>
      </c>
      <c r="I525" s="351"/>
      <c r="J525" s="562"/>
      <c r="K525" s="351"/>
      <c r="L525" s="562"/>
      <c r="M525" s="351"/>
      <c r="N525" s="34"/>
      <c r="O525" s="38"/>
      <c r="P525" s="560"/>
      <c r="Q525" s="351"/>
      <c r="R525" s="535"/>
      <c r="S525" s="351"/>
      <c r="T525" s="536"/>
      <c r="U525" s="351"/>
      <c r="V525" s="537"/>
      <c r="W525" s="351"/>
      <c r="X525" s="542" t="s">
        <v>294</v>
      </c>
      <c r="Y525" s="350"/>
      <c r="Z525" s="350"/>
      <c r="AA525" s="351"/>
      <c r="AB525" s="543" t="s">
        <v>294</v>
      </c>
      <c r="AC525" s="350"/>
      <c r="AD525" s="350"/>
      <c r="AE525" s="351"/>
      <c r="AF525" s="540"/>
      <c r="AG525" s="351"/>
      <c r="AH525" s="544"/>
      <c r="AI525" s="351"/>
      <c r="AJ525" s="532"/>
      <c r="AK525" s="351"/>
      <c r="AL525" s="524" t="s">
        <v>325</v>
      </c>
      <c r="AM525" s="351"/>
      <c r="AN525" s="549" t="s">
        <v>325</v>
      </c>
      <c r="AO525" s="351"/>
      <c r="AP525" s="532"/>
      <c r="AQ525" s="351"/>
      <c r="AR525" s="533"/>
      <c r="AS525" s="351"/>
      <c r="AT525" s="534"/>
      <c r="AU525" s="351"/>
      <c r="AV525" s="549" t="s">
        <v>325</v>
      </c>
      <c r="AW525" s="351"/>
      <c r="AX525" s="553"/>
      <c r="AY525" s="350"/>
      <c r="AZ525" s="351"/>
      <c r="BA525" s="545"/>
      <c r="BB525" s="351"/>
      <c r="BC525" s="39"/>
      <c r="BD525" s="546" t="s">
        <v>325</v>
      </c>
      <c r="BE525" s="351"/>
      <c r="BF525" s="529"/>
      <c r="BG525" s="350"/>
      <c r="BH525" s="350"/>
      <c r="BI525" s="351"/>
      <c r="BJ525" s="548" t="s">
        <v>294</v>
      </c>
      <c r="BK525" s="350"/>
      <c r="BL525" s="350"/>
      <c r="BM525" s="351"/>
      <c r="BN525" s="530" t="s">
        <v>294</v>
      </c>
      <c r="BO525" s="350"/>
      <c r="BP525" s="350"/>
      <c r="BQ525" s="350"/>
      <c r="BR525" s="350"/>
      <c r="BS525" s="350"/>
      <c r="BT525" s="350"/>
      <c r="BU525" s="350"/>
      <c r="BV525" s="351"/>
    </row>
    <row r="526" spans="1:74" ht="45" customHeight="1">
      <c r="A526" s="24">
        <f t="shared" si="2"/>
        <v>512</v>
      </c>
      <c r="B526" s="558" t="s">
        <v>294</v>
      </c>
      <c r="C526" s="351"/>
      <c r="D526" s="559" t="s">
        <v>298</v>
      </c>
      <c r="E526" s="351"/>
      <c r="F526" s="524" t="s">
        <v>325</v>
      </c>
      <c r="G526" s="351"/>
      <c r="H526" s="525" t="s">
        <v>325</v>
      </c>
      <c r="I526" s="351"/>
      <c r="J526" s="40"/>
      <c r="K526" s="41"/>
      <c r="L526" s="40"/>
      <c r="M526" s="41"/>
      <c r="N526" s="37"/>
      <c r="O526" s="35"/>
      <c r="P526" s="526"/>
      <c r="Q526" s="351"/>
      <c r="R526" s="527"/>
      <c r="S526" s="351"/>
      <c r="T526" s="528"/>
      <c r="U526" s="351"/>
      <c r="V526" s="541"/>
      <c r="W526" s="351"/>
      <c r="X526" s="538" t="s">
        <v>294</v>
      </c>
      <c r="Y526" s="350"/>
      <c r="Z526" s="350"/>
      <c r="AA526" s="351"/>
      <c r="AB526" s="539" t="s">
        <v>294</v>
      </c>
      <c r="AC526" s="350"/>
      <c r="AD526" s="350"/>
      <c r="AE526" s="351"/>
      <c r="AF526" s="544"/>
      <c r="AG526" s="351"/>
      <c r="AH526" s="540"/>
      <c r="AI526" s="351"/>
      <c r="AJ526" s="545"/>
      <c r="AK526" s="351"/>
      <c r="AL526" s="555" t="s">
        <v>325</v>
      </c>
      <c r="AM526" s="351"/>
      <c r="AN526" s="531" t="s">
        <v>325</v>
      </c>
      <c r="AO526" s="351"/>
      <c r="AP526" s="550"/>
      <c r="AQ526" s="351"/>
      <c r="AR526" s="551"/>
      <c r="AS526" s="351"/>
      <c r="AT526" s="534"/>
      <c r="AU526" s="351"/>
      <c r="AV526" s="531" t="s">
        <v>325</v>
      </c>
      <c r="AW526" s="351"/>
      <c r="AX526" s="553"/>
      <c r="AY526" s="350"/>
      <c r="AZ526" s="351"/>
      <c r="BA526" s="554"/>
      <c r="BB526" s="351"/>
      <c r="BC526" s="36"/>
      <c r="BD526" s="556" t="s">
        <v>325</v>
      </c>
      <c r="BE526" s="351"/>
      <c r="BF526" s="547"/>
      <c r="BG526" s="350"/>
      <c r="BH526" s="350"/>
      <c r="BI526" s="351"/>
      <c r="BJ526" s="506" t="s">
        <v>294</v>
      </c>
      <c r="BK526" s="350"/>
      <c r="BL526" s="350"/>
      <c r="BM526" s="351"/>
      <c r="BN526" s="530" t="s">
        <v>294</v>
      </c>
      <c r="BO526" s="350"/>
      <c r="BP526" s="350"/>
      <c r="BQ526" s="350"/>
      <c r="BR526" s="350"/>
      <c r="BS526" s="350"/>
      <c r="BT526" s="350"/>
      <c r="BU526" s="350"/>
      <c r="BV526" s="351"/>
    </row>
    <row r="527" spans="1:74" ht="45" customHeight="1">
      <c r="A527" s="24">
        <f t="shared" si="2"/>
        <v>513</v>
      </c>
      <c r="B527" s="522" t="s">
        <v>294</v>
      </c>
      <c r="C527" s="351"/>
      <c r="D527" s="523" t="s">
        <v>298</v>
      </c>
      <c r="E527" s="351"/>
      <c r="F527" s="524" t="s">
        <v>325</v>
      </c>
      <c r="G527" s="351"/>
      <c r="H527" s="561" t="s">
        <v>325</v>
      </c>
      <c r="I527" s="351"/>
      <c r="J527" s="562"/>
      <c r="K527" s="351"/>
      <c r="L527" s="562"/>
      <c r="M527" s="351"/>
      <c r="N527" s="34"/>
      <c r="O527" s="38"/>
      <c r="P527" s="560"/>
      <c r="Q527" s="351"/>
      <c r="R527" s="535"/>
      <c r="S527" s="351"/>
      <c r="T527" s="536"/>
      <c r="U527" s="351"/>
      <c r="V527" s="537"/>
      <c r="W527" s="351"/>
      <c r="X527" s="542" t="s">
        <v>294</v>
      </c>
      <c r="Y527" s="350"/>
      <c r="Z527" s="350"/>
      <c r="AA527" s="351"/>
      <c r="AB527" s="543" t="s">
        <v>294</v>
      </c>
      <c r="AC527" s="350"/>
      <c r="AD527" s="350"/>
      <c r="AE527" s="351"/>
      <c r="AF527" s="540"/>
      <c r="AG527" s="351"/>
      <c r="AH527" s="544"/>
      <c r="AI527" s="351"/>
      <c r="AJ527" s="532"/>
      <c r="AK527" s="351"/>
      <c r="AL527" s="524" t="s">
        <v>325</v>
      </c>
      <c r="AM527" s="351"/>
      <c r="AN527" s="549" t="s">
        <v>325</v>
      </c>
      <c r="AO527" s="351"/>
      <c r="AP527" s="532"/>
      <c r="AQ527" s="351"/>
      <c r="AR527" s="533"/>
      <c r="AS527" s="351"/>
      <c r="AT527" s="534"/>
      <c r="AU527" s="351"/>
      <c r="AV527" s="549" t="s">
        <v>325</v>
      </c>
      <c r="AW527" s="351"/>
      <c r="AX527" s="553"/>
      <c r="AY527" s="350"/>
      <c r="AZ527" s="351"/>
      <c r="BA527" s="545"/>
      <c r="BB527" s="351"/>
      <c r="BC527" s="39"/>
      <c r="BD527" s="546" t="s">
        <v>325</v>
      </c>
      <c r="BE527" s="351"/>
      <c r="BF527" s="557"/>
      <c r="BG527" s="350"/>
      <c r="BH527" s="350"/>
      <c r="BI527" s="351"/>
      <c r="BJ527" s="548" t="s">
        <v>294</v>
      </c>
      <c r="BK527" s="350"/>
      <c r="BL527" s="350"/>
      <c r="BM527" s="351"/>
      <c r="BN527" s="530" t="s">
        <v>294</v>
      </c>
      <c r="BO527" s="350"/>
      <c r="BP527" s="350"/>
      <c r="BQ527" s="350"/>
      <c r="BR527" s="350"/>
      <c r="BS527" s="350"/>
      <c r="BT527" s="350"/>
      <c r="BU527" s="350"/>
      <c r="BV527" s="351"/>
    </row>
    <row r="528" spans="1:74" ht="45" customHeight="1">
      <c r="A528" s="24">
        <f t="shared" si="2"/>
        <v>514</v>
      </c>
      <c r="B528" s="558" t="s">
        <v>294</v>
      </c>
      <c r="C528" s="351"/>
      <c r="D528" s="559" t="s">
        <v>298</v>
      </c>
      <c r="E528" s="351"/>
      <c r="F528" s="524" t="s">
        <v>325</v>
      </c>
      <c r="G528" s="351"/>
      <c r="H528" s="525" t="s">
        <v>325</v>
      </c>
      <c r="I528" s="351"/>
      <c r="J528" s="40"/>
      <c r="K528" s="41"/>
      <c r="L528" s="40"/>
      <c r="M528" s="41"/>
      <c r="N528" s="37"/>
      <c r="O528" s="35"/>
      <c r="P528" s="526"/>
      <c r="Q528" s="351"/>
      <c r="R528" s="527"/>
      <c r="S528" s="351"/>
      <c r="T528" s="528"/>
      <c r="U528" s="351"/>
      <c r="V528" s="541"/>
      <c r="W528" s="351"/>
      <c r="X528" s="538" t="s">
        <v>294</v>
      </c>
      <c r="Y528" s="350"/>
      <c r="Z528" s="350"/>
      <c r="AA528" s="351"/>
      <c r="AB528" s="539" t="s">
        <v>294</v>
      </c>
      <c r="AC528" s="350"/>
      <c r="AD528" s="350"/>
      <c r="AE528" s="351"/>
      <c r="AF528" s="544"/>
      <c r="AG528" s="351"/>
      <c r="AH528" s="540"/>
      <c r="AI528" s="351"/>
      <c r="AJ528" s="545"/>
      <c r="AK528" s="351"/>
      <c r="AL528" s="555" t="s">
        <v>325</v>
      </c>
      <c r="AM528" s="351"/>
      <c r="AN528" s="531" t="s">
        <v>325</v>
      </c>
      <c r="AO528" s="351"/>
      <c r="AP528" s="550"/>
      <c r="AQ528" s="351"/>
      <c r="AR528" s="551"/>
      <c r="AS528" s="351"/>
      <c r="AT528" s="534"/>
      <c r="AU528" s="351"/>
      <c r="AV528" s="531" t="s">
        <v>325</v>
      </c>
      <c r="AW528" s="351"/>
      <c r="AX528" s="553"/>
      <c r="AY528" s="350"/>
      <c r="AZ528" s="351"/>
      <c r="BA528" s="554"/>
      <c r="BB528" s="351"/>
      <c r="BC528" s="36"/>
      <c r="BD528" s="556" t="s">
        <v>325</v>
      </c>
      <c r="BE528" s="351"/>
      <c r="BF528" s="547"/>
      <c r="BG528" s="350"/>
      <c r="BH528" s="350"/>
      <c r="BI528" s="351"/>
      <c r="BJ528" s="506" t="s">
        <v>294</v>
      </c>
      <c r="BK528" s="350"/>
      <c r="BL528" s="350"/>
      <c r="BM528" s="351"/>
      <c r="BN528" s="530" t="s">
        <v>294</v>
      </c>
      <c r="BO528" s="350"/>
      <c r="BP528" s="350"/>
      <c r="BQ528" s="350"/>
      <c r="BR528" s="350"/>
      <c r="BS528" s="350"/>
      <c r="BT528" s="350"/>
      <c r="BU528" s="350"/>
      <c r="BV528" s="351"/>
    </row>
    <row r="529" spans="1:74" ht="45" customHeight="1">
      <c r="A529" s="24">
        <f t="shared" si="2"/>
        <v>515</v>
      </c>
      <c r="B529" s="522" t="s">
        <v>294</v>
      </c>
      <c r="C529" s="351"/>
      <c r="D529" s="523" t="s">
        <v>298</v>
      </c>
      <c r="E529" s="351"/>
      <c r="F529" s="524" t="s">
        <v>325</v>
      </c>
      <c r="G529" s="351"/>
      <c r="H529" s="561" t="s">
        <v>325</v>
      </c>
      <c r="I529" s="351"/>
      <c r="J529" s="562"/>
      <c r="K529" s="351"/>
      <c r="L529" s="562"/>
      <c r="M529" s="351"/>
      <c r="N529" s="34"/>
      <c r="O529" s="38"/>
      <c r="P529" s="560"/>
      <c r="Q529" s="351"/>
      <c r="R529" s="535"/>
      <c r="S529" s="351"/>
      <c r="T529" s="536"/>
      <c r="U529" s="351"/>
      <c r="V529" s="537"/>
      <c r="W529" s="351"/>
      <c r="X529" s="542" t="s">
        <v>294</v>
      </c>
      <c r="Y529" s="350"/>
      <c r="Z529" s="350"/>
      <c r="AA529" s="351"/>
      <c r="AB529" s="543" t="s">
        <v>294</v>
      </c>
      <c r="AC529" s="350"/>
      <c r="AD529" s="350"/>
      <c r="AE529" s="351"/>
      <c r="AF529" s="540"/>
      <c r="AG529" s="351"/>
      <c r="AH529" s="544"/>
      <c r="AI529" s="351"/>
      <c r="AJ529" s="532"/>
      <c r="AK529" s="351"/>
      <c r="AL529" s="524" t="s">
        <v>325</v>
      </c>
      <c r="AM529" s="351"/>
      <c r="AN529" s="549" t="s">
        <v>325</v>
      </c>
      <c r="AO529" s="351"/>
      <c r="AP529" s="532"/>
      <c r="AQ529" s="351"/>
      <c r="AR529" s="533"/>
      <c r="AS529" s="351"/>
      <c r="AT529" s="534"/>
      <c r="AU529" s="351"/>
      <c r="AV529" s="549" t="s">
        <v>325</v>
      </c>
      <c r="AW529" s="351"/>
      <c r="AX529" s="553"/>
      <c r="AY529" s="350"/>
      <c r="AZ529" s="351"/>
      <c r="BA529" s="545"/>
      <c r="BB529" s="351"/>
      <c r="BC529" s="39"/>
      <c r="BD529" s="546" t="s">
        <v>325</v>
      </c>
      <c r="BE529" s="351"/>
      <c r="BF529" s="529"/>
      <c r="BG529" s="350"/>
      <c r="BH529" s="350"/>
      <c r="BI529" s="351"/>
      <c r="BJ529" s="548" t="s">
        <v>294</v>
      </c>
      <c r="BK529" s="350"/>
      <c r="BL529" s="350"/>
      <c r="BM529" s="351"/>
      <c r="BN529" s="530" t="s">
        <v>294</v>
      </c>
      <c r="BO529" s="350"/>
      <c r="BP529" s="350"/>
      <c r="BQ529" s="350"/>
      <c r="BR529" s="350"/>
      <c r="BS529" s="350"/>
      <c r="BT529" s="350"/>
      <c r="BU529" s="350"/>
      <c r="BV529" s="351"/>
    </row>
    <row r="530" spans="1:74" ht="45" customHeight="1">
      <c r="A530" s="24">
        <f t="shared" si="2"/>
        <v>516</v>
      </c>
      <c r="B530" s="558" t="s">
        <v>294</v>
      </c>
      <c r="C530" s="351"/>
      <c r="D530" s="559" t="s">
        <v>298</v>
      </c>
      <c r="E530" s="351"/>
      <c r="F530" s="524" t="s">
        <v>325</v>
      </c>
      <c r="G530" s="351"/>
      <c r="H530" s="525" t="s">
        <v>325</v>
      </c>
      <c r="I530" s="351"/>
      <c r="J530" s="40"/>
      <c r="K530" s="41"/>
      <c r="L530" s="40"/>
      <c r="M530" s="41"/>
      <c r="N530" s="37"/>
      <c r="O530" s="35"/>
      <c r="P530" s="526"/>
      <c r="Q530" s="351"/>
      <c r="R530" s="527"/>
      <c r="S530" s="351"/>
      <c r="T530" s="528"/>
      <c r="U530" s="351"/>
      <c r="V530" s="541"/>
      <c r="W530" s="351"/>
      <c r="X530" s="538" t="s">
        <v>294</v>
      </c>
      <c r="Y530" s="350"/>
      <c r="Z530" s="350"/>
      <c r="AA530" s="351"/>
      <c r="AB530" s="539" t="s">
        <v>294</v>
      </c>
      <c r="AC530" s="350"/>
      <c r="AD530" s="350"/>
      <c r="AE530" s="351"/>
      <c r="AF530" s="544"/>
      <c r="AG530" s="351"/>
      <c r="AH530" s="540"/>
      <c r="AI530" s="351"/>
      <c r="AJ530" s="545"/>
      <c r="AK530" s="351"/>
      <c r="AL530" s="555" t="s">
        <v>325</v>
      </c>
      <c r="AM530" s="351"/>
      <c r="AN530" s="531" t="s">
        <v>325</v>
      </c>
      <c r="AO530" s="351"/>
      <c r="AP530" s="550"/>
      <c r="AQ530" s="351"/>
      <c r="AR530" s="551"/>
      <c r="AS530" s="351"/>
      <c r="AT530" s="534"/>
      <c r="AU530" s="351"/>
      <c r="AV530" s="531" t="s">
        <v>325</v>
      </c>
      <c r="AW530" s="351"/>
      <c r="AX530" s="553"/>
      <c r="AY530" s="350"/>
      <c r="AZ530" s="351"/>
      <c r="BA530" s="554"/>
      <c r="BB530" s="351"/>
      <c r="BC530" s="36"/>
      <c r="BD530" s="556" t="s">
        <v>325</v>
      </c>
      <c r="BE530" s="351"/>
      <c r="BF530" s="547"/>
      <c r="BG530" s="350"/>
      <c r="BH530" s="350"/>
      <c r="BI530" s="351"/>
      <c r="BJ530" s="506" t="s">
        <v>294</v>
      </c>
      <c r="BK530" s="350"/>
      <c r="BL530" s="350"/>
      <c r="BM530" s="351"/>
      <c r="BN530" s="530" t="s">
        <v>294</v>
      </c>
      <c r="BO530" s="350"/>
      <c r="BP530" s="350"/>
      <c r="BQ530" s="350"/>
      <c r="BR530" s="350"/>
      <c r="BS530" s="350"/>
      <c r="BT530" s="350"/>
      <c r="BU530" s="350"/>
      <c r="BV530" s="351"/>
    </row>
    <row r="531" spans="1:74" ht="45" customHeight="1">
      <c r="A531" s="24">
        <f t="shared" si="2"/>
        <v>517</v>
      </c>
      <c r="B531" s="522" t="s">
        <v>294</v>
      </c>
      <c r="C531" s="351"/>
      <c r="D531" s="523" t="s">
        <v>298</v>
      </c>
      <c r="E531" s="351"/>
      <c r="F531" s="524" t="s">
        <v>325</v>
      </c>
      <c r="G531" s="351"/>
      <c r="H531" s="561" t="s">
        <v>325</v>
      </c>
      <c r="I531" s="351"/>
      <c r="J531" s="562"/>
      <c r="K531" s="351"/>
      <c r="L531" s="562"/>
      <c r="M531" s="351"/>
      <c r="N531" s="34"/>
      <c r="O531" s="38"/>
      <c r="P531" s="560"/>
      <c r="Q531" s="351"/>
      <c r="R531" s="535"/>
      <c r="S531" s="351"/>
      <c r="T531" s="536"/>
      <c r="U531" s="351"/>
      <c r="V531" s="537"/>
      <c r="W531" s="351"/>
      <c r="X531" s="542" t="s">
        <v>294</v>
      </c>
      <c r="Y531" s="350"/>
      <c r="Z531" s="350"/>
      <c r="AA531" s="351"/>
      <c r="AB531" s="543" t="s">
        <v>294</v>
      </c>
      <c r="AC531" s="350"/>
      <c r="AD531" s="350"/>
      <c r="AE531" s="351"/>
      <c r="AF531" s="540"/>
      <c r="AG531" s="351"/>
      <c r="AH531" s="544"/>
      <c r="AI531" s="351"/>
      <c r="AJ531" s="532"/>
      <c r="AK531" s="351"/>
      <c r="AL531" s="524" t="s">
        <v>325</v>
      </c>
      <c r="AM531" s="351"/>
      <c r="AN531" s="549" t="s">
        <v>325</v>
      </c>
      <c r="AO531" s="351"/>
      <c r="AP531" s="532"/>
      <c r="AQ531" s="351"/>
      <c r="AR531" s="533"/>
      <c r="AS531" s="351"/>
      <c r="AT531" s="534"/>
      <c r="AU531" s="351"/>
      <c r="AV531" s="549" t="s">
        <v>325</v>
      </c>
      <c r="AW531" s="351"/>
      <c r="AX531" s="553"/>
      <c r="AY531" s="350"/>
      <c r="AZ531" s="351"/>
      <c r="BA531" s="545"/>
      <c r="BB531" s="351"/>
      <c r="BC531" s="39"/>
      <c r="BD531" s="546" t="s">
        <v>325</v>
      </c>
      <c r="BE531" s="351"/>
      <c r="BF531" s="557"/>
      <c r="BG531" s="350"/>
      <c r="BH531" s="350"/>
      <c r="BI531" s="351"/>
      <c r="BJ531" s="548" t="s">
        <v>294</v>
      </c>
      <c r="BK531" s="350"/>
      <c r="BL531" s="350"/>
      <c r="BM531" s="351"/>
      <c r="BN531" s="530" t="s">
        <v>294</v>
      </c>
      <c r="BO531" s="350"/>
      <c r="BP531" s="350"/>
      <c r="BQ531" s="350"/>
      <c r="BR531" s="350"/>
      <c r="BS531" s="350"/>
      <c r="BT531" s="350"/>
      <c r="BU531" s="350"/>
      <c r="BV531" s="351"/>
    </row>
    <row r="532" spans="1:74" ht="45" customHeight="1">
      <c r="A532" s="24">
        <f t="shared" si="2"/>
        <v>518</v>
      </c>
      <c r="B532" s="558" t="s">
        <v>294</v>
      </c>
      <c r="C532" s="351"/>
      <c r="D532" s="559" t="s">
        <v>298</v>
      </c>
      <c r="E532" s="351"/>
      <c r="F532" s="524" t="s">
        <v>325</v>
      </c>
      <c r="G532" s="351"/>
      <c r="H532" s="525" t="s">
        <v>325</v>
      </c>
      <c r="I532" s="351"/>
      <c r="J532" s="40"/>
      <c r="K532" s="41"/>
      <c r="L532" s="40"/>
      <c r="M532" s="41"/>
      <c r="N532" s="37"/>
      <c r="O532" s="35"/>
      <c r="P532" s="526"/>
      <c r="Q532" s="351"/>
      <c r="R532" s="527"/>
      <c r="S532" s="351"/>
      <c r="T532" s="528"/>
      <c r="U532" s="351"/>
      <c r="V532" s="541"/>
      <c r="W532" s="351"/>
      <c r="X532" s="538" t="s">
        <v>294</v>
      </c>
      <c r="Y532" s="350"/>
      <c r="Z532" s="350"/>
      <c r="AA532" s="351"/>
      <c r="AB532" s="539" t="s">
        <v>294</v>
      </c>
      <c r="AC532" s="350"/>
      <c r="AD532" s="350"/>
      <c r="AE532" s="351"/>
      <c r="AF532" s="544"/>
      <c r="AG532" s="351"/>
      <c r="AH532" s="540"/>
      <c r="AI532" s="351"/>
      <c r="AJ532" s="545"/>
      <c r="AK532" s="351"/>
      <c r="AL532" s="555" t="s">
        <v>325</v>
      </c>
      <c r="AM532" s="351"/>
      <c r="AN532" s="531" t="s">
        <v>325</v>
      </c>
      <c r="AO532" s="351"/>
      <c r="AP532" s="550"/>
      <c r="AQ532" s="351"/>
      <c r="AR532" s="551"/>
      <c r="AS532" s="351"/>
      <c r="AT532" s="534"/>
      <c r="AU532" s="351"/>
      <c r="AV532" s="531" t="s">
        <v>325</v>
      </c>
      <c r="AW532" s="351"/>
      <c r="AX532" s="553"/>
      <c r="AY532" s="350"/>
      <c r="AZ532" s="351"/>
      <c r="BA532" s="554"/>
      <c r="BB532" s="351"/>
      <c r="BC532" s="36"/>
      <c r="BD532" s="556" t="s">
        <v>325</v>
      </c>
      <c r="BE532" s="351"/>
      <c r="BF532" s="547"/>
      <c r="BG532" s="350"/>
      <c r="BH532" s="350"/>
      <c r="BI532" s="351"/>
      <c r="BJ532" s="506" t="s">
        <v>294</v>
      </c>
      <c r="BK532" s="350"/>
      <c r="BL532" s="350"/>
      <c r="BM532" s="351"/>
      <c r="BN532" s="530" t="s">
        <v>294</v>
      </c>
      <c r="BO532" s="350"/>
      <c r="BP532" s="350"/>
      <c r="BQ532" s="350"/>
      <c r="BR532" s="350"/>
      <c r="BS532" s="350"/>
      <c r="BT532" s="350"/>
      <c r="BU532" s="350"/>
      <c r="BV532" s="351"/>
    </row>
    <row r="533" spans="1:74" ht="45" customHeight="1">
      <c r="A533" s="24">
        <f t="shared" si="2"/>
        <v>519</v>
      </c>
      <c r="B533" s="522" t="s">
        <v>294</v>
      </c>
      <c r="C533" s="351"/>
      <c r="D533" s="523" t="s">
        <v>298</v>
      </c>
      <c r="E533" s="351"/>
      <c r="F533" s="524" t="s">
        <v>325</v>
      </c>
      <c r="G533" s="351"/>
      <c r="H533" s="561" t="s">
        <v>325</v>
      </c>
      <c r="I533" s="351"/>
      <c r="J533" s="562"/>
      <c r="K533" s="351"/>
      <c r="L533" s="562"/>
      <c r="M533" s="351"/>
      <c r="N533" s="34"/>
      <c r="O533" s="38"/>
      <c r="P533" s="560"/>
      <c r="Q533" s="351"/>
      <c r="R533" s="535"/>
      <c r="S533" s="351"/>
      <c r="T533" s="536"/>
      <c r="U533" s="351"/>
      <c r="V533" s="537"/>
      <c r="W533" s="351"/>
      <c r="X533" s="542" t="s">
        <v>294</v>
      </c>
      <c r="Y533" s="350"/>
      <c r="Z533" s="350"/>
      <c r="AA533" s="351"/>
      <c r="AB533" s="543" t="s">
        <v>294</v>
      </c>
      <c r="AC533" s="350"/>
      <c r="AD533" s="350"/>
      <c r="AE533" s="351"/>
      <c r="AF533" s="540"/>
      <c r="AG533" s="351"/>
      <c r="AH533" s="544"/>
      <c r="AI533" s="351"/>
      <c r="AJ533" s="532"/>
      <c r="AK533" s="351"/>
      <c r="AL533" s="524" t="s">
        <v>325</v>
      </c>
      <c r="AM533" s="351"/>
      <c r="AN533" s="549" t="s">
        <v>325</v>
      </c>
      <c r="AO533" s="351"/>
      <c r="AP533" s="532"/>
      <c r="AQ533" s="351"/>
      <c r="AR533" s="533"/>
      <c r="AS533" s="351"/>
      <c r="AT533" s="534"/>
      <c r="AU533" s="351"/>
      <c r="AV533" s="549" t="s">
        <v>325</v>
      </c>
      <c r="AW533" s="351"/>
      <c r="AX533" s="553"/>
      <c r="AY533" s="350"/>
      <c r="AZ533" s="351"/>
      <c r="BA533" s="545"/>
      <c r="BB533" s="351"/>
      <c r="BC533" s="39"/>
      <c r="BD533" s="546" t="s">
        <v>325</v>
      </c>
      <c r="BE533" s="351"/>
      <c r="BF533" s="529"/>
      <c r="BG533" s="350"/>
      <c r="BH533" s="350"/>
      <c r="BI533" s="351"/>
      <c r="BJ533" s="548" t="s">
        <v>294</v>
      </c>
      <c r="BK533" s="350"/>
      <c r="BL533" s="350"/>
      <c r="BM533" s="351"/>
      <c r="BN533" s="530" t="s">
        <v>294</v>
      </c>
      <c r="BO533" s="350"/>
      <c r="BP533" s="350"/>
      <c r="BQ533" s="350"/>
      <c r="BR533" s="350"/>
      <c r="BS533" s="350"/>
      <c r="BT533" s="350"/>
      <c r="BU533" s="350"/>
      <c r="BV533" s="351"/>
    </row>
    <row r="534" spans="1:74" ht="45" customHeight="1">
      <c r="A534" s="24">
        <f t="shared" si="2"/>
        <v>520</v>
      </c>
      <c r="B534" s="558" t="s">
        <v>294</v>
      </c>
      <c r="C534" s="351"/>
      <c r="D534" s="559" t="s">
        <v>298</v>
      </c>
      <c r="E534" s="351"/>
      <c r="F534" s="524" t="s">
        <v>325</v>
      </c>
      <c r="G534" s="351"/>
      <c r="H534" s="525" t="s">
        <v>325</v>
      </c>
      <c r="I534" s="351"/>
      <c r="J534" s="40"/>
      <c r="K534" s="41"/>
      <c r="L534" s="40"/>
      <c r="M534" s="41"/>
      <c r="N534" s="37"/>
      <c r="O534" s="35"/>
      <c r="P534" s="526"/>
      <c r="Q534" s="351"/>
      <c r="R534" s="527"/>
      <c r="S534" s="351"/>
      <c r="T534" s="528"/>
      <c r="U534" s="351"/>
      <c r="V534" s="541"/>
      <c r="W534" s="351"/>
      <c r="X534" s="538" t="s">
        <v>294</v>
      </c>
      <c r="Y534" s="350"/>
      <c r="Z534" s="350"/>
      <c r="AA534" s="351"/>
      <c r="AB534" s="539" t="s">
        <v>294</v>
      </c>
      <c r="AC534" s="350"/>
      <c r="AD534" s="350"/>
      <c r="AE534" s="351"/>
      <c r="AF534" s="544"/>
      <c r="AG534" s="351"/>
      <c r="AH534" s="540"/>
      <c r="AI534" s="351"/>
      <c r="AJ534" s="545"/>
      <c r="AK534" s="351"/>
      <c r="AL534" s="555" t="s">
        <v>325</v>
      </c>
      <c r="AM534" s="351"/>
      <c r="AN534" s="531" t="s">
        <v>325</v>
      </c>
      <c r="AO534" s="351"/>
      <c r="AP534" s="550"/>
      <c r="AQ534" s="351"/>
      <c r="AR534" s="551"/>
      <c r="AS534" s="351"/>
      <c r="AT534" s="534"/>
      <c r="AU534" s="351"/>
      <c r="AV534" s="531" t="s">
        <v>325</v>
      </c>
      <c r="AW534" s="351"/>
      <c r="AX534" s="553"/>
      <c r="AY534" s="350"/>
      <c r="AZ534" s="351"/>
      <c r="BA534" s="554"/>
      <c r="BB534" s="351"/>
      <c r="BC534" s="36"/>
      <c r="BD534" s="556" t="s">
        <v>325</v>
      </c>
      <c r="BE534" s="351"/>
      <c r="BF534" s="547"/>
      <c r="BG534" s="350"/>
      <c r="BH534" s="350"/>
      <c r="BI534" s="351"/>
      <c r="BJ534" s="506" t="s">
        <v>294</v>
      </c>
      <c r="BK534" s="350"/>
      <c r="BL534" s="350"/>
      <c r="BM534" s="351"/>
      <c r="BN534" s="530" t="s">
        <v>294</v>
      </c>
      <c r="BO534" s="350"/>
      <c r="BP534" s="350"/>
      <c r="BQ534" s="350"/>
      <c r="BR534" s="350"/>
      <c r="BS534" s="350"/>
      <c r="BT534" s="350"/>
      <c r="BU534" s="350"/>
      <c r="BV534" s="351"/>
    </row>
    <row r="535" spans="1:74" ht="45" customHeight="1">
      <c r="A535" s="24">
        <f t="shared" si="2"/>
        <v>521</v>
      </c>
      <c r="B535" s="522" t="s">
        <v>294</v>
      </c>
      <c r="C535" s="351"/>
      <c r="D535" s="523" t="s">
        <v>298</v>
      </c>
      <c r="E535" s="351"/>
      <c r="F535" s="524" t="s">
        <v>325</v>
      </c>
      <c r="G535" s="351"/>
      <c r="H535" s="561" t="s">
        <v>325</v>
      </c>
      <c r="I535" s="351"/>
      <c r="J535" s="562"/>
      <c r="K535" s="351"/>
      <c r="L535" s="562"/>
      <c r="M535" s="351"/>
      <c r="N535" s="34"/>
      <c r="O535" s="38"/>
      <c r="P535" s="560"/>
      <c r="Q535" s="351"/>
      <c r="R535" s="527"/>
      <c r="S535" s="351"/>
      <c r="T535" s="528"/>
      <c r="U535" s="351"/>
      <c r="V535" s="537"/>
      <c r="W535" s="351"/>
      <c r="X535" s="542" t="s">
        <v>294</v>
      </c>
      <c r="Y535" s="350"/>
      <c r="Z535" s="350"/>
      <c r="AA535" s="351"/>
      <c r="AB535" s="543" t="s">
        <v>294</v>
      </c>
      <c r="AC535" s="350"/>
      <c r="AD535" s="350"/>
      <c r="AE535" s="351"/>
      <c r="AF535" s="540"/>
      <c r="AG535" s="351"/>
      <c r="AH535" s="544"/>
      <c r="AI535" s="351"/>
      <c r="AJ535" s="532"/>
      <c r="AK535" s="351"/>
      <c r="AL535" s="524" t="s">
        <v>325</v>
      </c>
      <c r="AM535" s="351"/>
      <c r="AN535" s="549" t="s">
        <v>325</v>
      </c>
      <c r="AO535" s="351"/>
      <c r="AP535" s="532"/>
      <c r="AQ535" s="351"/>
      <c r="AR535" s="533"/>
      <c r="AS535" s="351"/>
      <c r="AT535" s="534"/>
      <c r="AU535" s="351"/>
      <c r="AV535" s="549" t="s">
        <v>325</v>
      </c>
      <c r="AW535" s="351"/>
      <c r="AX535" s="553"/>
      <c r="AY535" s="350"/>
      <c r="AZ535" s="351"/>
      <c r="BA535" s="545"/>
      <c r="BB535" s="351"/>
      <c r="BC535" s="39"/>
      <c r="BD535" s="546" t="s">
        <v>325</v>
      </c>
      <c r="BE535" s="351"/>
      <c r="BF535" s="529"/>
      <c r="BG535" s="350"/>
      <c r="BH535" s="350"/>
      <c r="BI535" s="351"/>
      <c r="BJ535" s="548" t="s">
        <v>294</v>
      </c>
      <c r="BK535" s="350"/>
      <c r="BL535" s="350"/>
      <c r="BM535" s="351"/>
      <c r="BN535" s="530" t="s">
        <v>294</v>
      </c>
      <c r="BO535" s="350"/>
      <c r="BP535" s="350"/>
      <c r="BQ535" s="350"/>
      <c r="BR535" s="350"/>
      <c r="BS535" s="350"/>
      <c r="BT535" s="350"/>
      <c r="BU535" s="350"/>
      <c r="BV535" s="351"/>
    </row>
    <row r="536" spans="1:74" ht="45" customHeight="1">
      <c r="A536" s="24">
        <f t="shared" si="2"/>
        <v>522</v>
      </c>
      <c r="B536" s="558" t="s">
        <v>294</v>
      </c>
      <c r="C536" s="351"/>
      <c r="D536" s="559" t="s">
        <v>298</v>
      </c>
      <c r="E536" s="351"/>
      <c r="F536" s="524" t="s">
        <v>325</v>
      </c>
      <c r="G536" s="351"/>
      <c r="H536" s="525" t="s">
        <v>325</v>
      </c>
      <c r="I536" s="351"/>
      <c r="J536" s="40"/>
      <c r="K536" s="41"/>
      <c r="L536" s="40"/>
      <c r="M536" s="41"/>
      <c r="N536" s="37"/>
      <c r="O536" s="35"/>
      <c r="P536" s="526"/>
      <c r="Q536" s="351"/>
      <c r="R536" s="535"/>
      <c r="S536" s="351"/>
      <c r="T536" s="536"/>
      <c r="U536" s="351"/>
      <c r="V536" s="541"/>
      <c r="W536" s="351"/>
      <c r="X536" s="538" t="s">
        <v>294</v>
      </c>
      <c r="Y536" s="350"/>
      <c r="Z536" s="350"/>
      <c r="AA536" s="351"/>
      <c r="AB536" s="539" t="s">
        <v>294</v>
      </c>
      <c r="AC536" s="350"/>
      <c r="AD536" s="350"/>
      <c r="AE536" s="351"/>
      <c r="AF536" s="544"/>
      <c r="AG536" s="351"/>
      <c r="AH536" s="540"/>
      <c r="AI536" s="351"/>
      <c r="AJ536" s="545"/>
      <c r="AK536" s="351"/>
      <c r="AL536" s="555" t="s">
        <v>325</v>
      </c>
      <c r="AM536" s="351"/>
      <c r="AN536" s="531" t="s">
        <v>325</v>
      </c>
      <c r="AO536" s="351"/>
      <c r="AP536" s="550"/>
      <c r="AQ536" s="351"/>
      <c r="AR536" s="551"/>
      <c r="AS536" s="351"/>
      <c r="AT536" s="534"/>
      <c r="AU536" s="351"/>
      <c r="AV536" s="531" t="s">
        <v>325</v>
      </c>
      <c r="AW536" s="351"/>
      <c r="AX536" s="553"/>
      <c r="AY536" s="350"/>
      <c r="AZ536" s="351"/>
      <c r="BA536" s="554"/>
      <c r="BB536" s="351"/>
      <c r="BC536" s="36"/>
      <c r="BD536" s="556" t="s">
        <v>325</v>
      </c>
      <c r="BE536" s="351"/>
      <c r="BF536" s="547"/>
      <c r="BG536" s="350"/>
      <c r="BH536" s="350"/>
      <c r="BI536" s="351"/>
      <c r="BJ536" s="506" t="s">
        <v>294</v>
      </c>
      <c r="BK536" s="350"/>
      <c r="BL536" s="350"/>
      <c r="BM536" s="351"/>
      <c r="BN536" s="530" t="s">
        <v>294</v>
      </c>
      <c r="BO536" s="350"/>
      <c r="BP536" s="350"/>
      <c r="BQ536" s="350"/>
      <c r="BR536" s="350"/>
      <c r="BS536" s="350"/>
      <c r="BT536" s="350"/>
      <c r="BU536" s="350"/>
      <c r="BV536" s="351"/>
    </row>
    <row r="537" spans="1:74" ht="45" customHeight="1">
      <c r="A537" s="24">
        <f t="shared" si="2"/>
        <v>523</v>
      </c>
      <c r="B537" s="522" t="s">
        <v>294</v>
      </c>
      <c r="C537" s="351"/>
      <c r="D537" s="523" t="s">
        <v>298</v>
      </c>
      <c r="E537" s="351"/>
      <c r="F537" s="524" t="s">
        <v>325</v>
      </c>
      <c r="G537" s="351"/>
      <c r="H537" s="561" t="s">
        <v>325</v>
      </c>
      <c r="I537" s="351"/>
      <c r="J537" s="562"/>
      <c r="K537" s="351"/>
      <c r="L537" s="562"/>
      <c r="M537" s="351"/>
      <c r="N537" s="34"/>
      <c r="O537" s="35"/>
      <c r="P537" s="526"/>
      <c r="Q537" s="351"/>
      <c r="R537" s="527"/>
      <c r="S537" s="351"/>
      <c r="T537" s="528"/>
      <c r="U537" s="351"/>
      <c r="V537" s="537"/>
      <c r="W537" s="351"/>
      <c r="X537" s="542" t="s">
        <v>294</v>
      </c>
      <c r="Y537" s="350"/>
      <c r="Z537" s="350"/>
      <c r="AA537" s="351"/>
      <c r="AB537" s="543" t="s">
        <v>294</v>
      </c>
      <c r="AC537" s="350"/>
      <c r="AD537" s="350"/>
      <c r="AE537" s="351"/>
      <c r="AF537" s="540"/>
      <c r="AG537" s="351"/>
      <c r="AH537" s="544"/>
      <c r="AI537" s="351"/>
      <c r="AJ537" s="532"/>
      <c r="AK537" s="351"/>
      <c r="AL537" s="524" t="s">
        <v>325</v>
      </c>
      <c r="AM537" s="351"/>
      <c r="AN537" s="549" t="s">
        <v>325</v>
      </c>
      <c r="AO537" s="351"/>
      <c r="AP537" s="532"/>
      <c r="AQ537" s="351"/>
      <c r="AR537" s="533"/>
      <c r="AS537" s="351"/>
      <c r="AT537" s="534"/>
      <c r="AU537" s="351"/>
      <c r="AV537" s="549" t="s">
        <v>325</v>
      </c>
      <c r="AW537" s="351"/>
      <c r="AX537" s="553"/>
      <c r="AY537" s="350"/>
      <c r="AZ537" s="351"/>
      <c r="BA537" s="545"/>
      <c r="BB537" s="351"/>
      <c r="BC537" s="39"/>
      <c r="BD537" s="546" t="s">
        <v>325</v>
      </c>
      <c r="BE537" s="351"/>
      <c r="BF537" s="557"/>
      <c r="BG537" s="350"/>
      <c r="BH537" s="350"/>
      <c r="BI537" s="351"/>
      <c r="BJ537" s="548" t="s">
        <v>294</v>
      </c>
      <c r="BK537" s="350"/>
      <c r="BL537" s="350"/>
      <c r="BM537" s="351"/>
      <c r="BN537" s="530" t="s">
        <v>294</v>
      </c>
      <c r="BO537" s="350"/>
      <c r="BP537" s="350"/>
      <c r="BQ537" s="350"/>
      <c r="BR537" s="350"/>
      <c r="BS537" s="350"/>
      <c r="BT537" s="350"/>
      <c r="BU537" s="350"/>
      <c r="BV537" s="351"/>
    </row>
    <row r="538" spans="1:74" ht="45" customHeight="1">
      <c r="A538" s="24">
        <f t="shared" si="2"/>
        <v>524</v>
      </c>
      <c r="B538" s="558" t="s">
        <v>294</v>
      </c>
      <c r="C538" s="351"/>
      <c r="D538" s="559" t="s">
        <v>298</v>
      </c>
      <c r="E538" s="351"/>
      <c r="F538" s="524" t="s">
        <v>325</v>
      </c>
      <c r="G538" s="351"/>
      <c r="H538" s="525" t="s">
        <v>325</v>
      </c>
      <c r="I538" s="351"/>
      <c r="J538" s="40"/>
      <c r="K538" s="41"/>
      <c r="L538" s="40"/>
      <c r="M538" s="41"/>
      <c r="N538" s="37"/>
      <c r="O538" s="38"/>
      <c r="P538" s="560"/>
      <c r="Q538" s="351"/>
      <c r="R538" s="535"/>
      <c r="S538" s="351"/>
      <c r="T538" s="536"/>
      <c r="U538" s="351"/>
      <c r="V538" s="541"/>
      <c r="W538" s="351"/>
      <c r="X538" s="538" t="s">
        <v>294</v>
      </c>
      <c r="Y538" s="350"/>
      <c r="Z538" s="350"/>
      <c r="AA538" s="351"/>
      <c r="AB538" s="539" t="s">
        <v>294</v>
      </c>
      <c r="AC538" s="350"/>
      <c r="AD538" s="350"/>
      <c r="AE538" s="351"/>
      <c r="AF538" s="544"/>
      <c r="AG538" s="351"/>
      <c r="AH538" s="540"/>
      <c r="AI538" s="351"/>
      <c r="AJ538" s="545"/>
      <c r="AK538" s="351"/>
      <c r="AL538" s="555" t="s">
        <v>325</v>
      </c>
      <c r="AM538" s="351"/>
      <c r="AN538" s="531" t="s">
        <v>325</v>
      </c>
      <c r="AO538" s="351"/>
      <c r="AP538" s="550"/>
      <c r="AQ538" s="351"/>
      <c r="AR538" s="551"/>
      <c r="AS538" s="351"/>
      <c r="AT538" s="534"/>
      <c r="AU538" s="351"/>
      <c r="AV538" s="531" t="s">
        <v>325</v>
      </c>
      <c r="AW538" s="351"/>
      <c r="AX538" s="553"/>
      <c r="AY538" s="350"/>
      <c r="AZ538" s="351"/>
      <c r="BA538" s="554"/>
      <c r="BB538" s="351"/>
      <c r="BC538" s="36"/>
      <c r="BD538" s="556" t="s">
        <v>325</v>
      </c>
      <c r="BE538" s="351"/>
      <c r="BF538" s="547"/>
      <c r="BG538" s="350"/>
      <c r="BH538" s="350"/>
      <c r="BI538" s="351"/>
      <c r="BJ538" s="506" t="s">
        <v>294</v>
      </c>
      <c r="BK538" s="350"/>
      <c r="BL538" s="350"/>
      <c r="BM538" s="351"/>
      <c r="BN538" s="530" t="s">
        <v>294</v>
      </c>
      <c r="BO538" s="350"/>
      <c r="BP538" s="350"/>
      <c r="BQ538" s="350"/>
      <c r="BR538" s="350"/>
      <c r="BS538" s="350"/>
      <c r="BT538" s="350"/>
      <c r="BU538" s="350"/>
      <c r="BV538" s="351"/>
    </row>
    <row r="539" spans="1:74" ht="45" customHeight="1">
      <c r="A539" s="24">
        <f t="shared" si="2"/>
        <v>525</v>
      </c>
      <c r="B539" s="522" t="s">
        <v>294</v>
      </c>
      <c r="C539" s="351"/>
      <c r="D539" s="523" t="s">
        <v>298</v>
      </c>
      <c r="E539" s="351"/>
      <c r="F539" s="524" t="s">
        <v>325</v>
      </c>
      <c r="G539" s="351"/>
      <c r="H539" s="561" t="s">
        <v>325</v>
      </c>
      <c r="I539" s="351"/>
      <c r="J539" s="562"/>
      <c r="K539" s="351"/>
      <c r="L539" s="562"/>
      <c r="M539" s="351"/>
      <c r="N539" s="34"/>
      <c r="O539" s="35"/>
      <c r="P539" s="526"/>
      <c r="Q539" s="351"/>
      <c r="R539" s="527"/>
      <c r="S539" s="351"/>
      <c r="T539" s="528"/>
      <c r="U539" s="351"/>
      <c r="V539" s="537"/>
      <c r="W539" s="351"/>
      <c r="X539" s="542" t="s">
        <v>294</v>
      </c>
      <c r="Y539" s="350"/>
      <c r="Z539" s="350"/>
      <c r="AA539" s="351"/>
      <c r="AB539" s="543" t="s">
        <v>294</v>
      </c>
      <c r="AC539" s="350"/>
      <c r="AD539" s="350"/>
      <c r="AE539" s="351"/>
      <c r="AF539" s="540"/>
      <c r="AG539" s="351"/>
      <c r="AH539" s="544"/>
      <c r="AI539" s="351"/>
      <c r="AJ539" s="532"/>
      <c r="AK539" s="351"/>
      <c r="AL539" s="524" t="s">
        <v>325</v>
      </c>
      <c r="AM539" s="351"/>
      <c r="AN539" s="549" t="s">
        <v>325</v>
      </c>
      <c r="AO539" s="351"/>
      <c r="AP539" s="532"/>
      <c r="AQ539" s="351"/>
      <c r="AR539" s="533"/>
      <c r="AS539" s="351"/>
      <c r="AT539" s="534"/>
      <c r="AU539" s="351"/>
      <c r="AV539" s="549" t="s">
        <v>325</v>
      </c>
      <c r="AW539" s="351"/>
      <c r="AX539" s="553"/>
      <c r="AY539" s="350"/>
      <c r="AZ539" s="351"/>
      <c r="BA539" s="545"/>
      <c r="BB539" s="351"/>
      <c r="BC539" s="39"/>
      <c r="BD539" s="546" t="s">
        <v>325</v>
      </c>
      <c r="BE539" s="351"/>
      <c r="BF539" s="529"/>
      <c r="BG539" s="350"/>
      <c r="BH539" s="350"/>
      <c r="BI539" s="351"/>
      <c r="BJ539" s="548" t="s">
        <v>294</v>
      </c>
      <c r="BK539" s="350"/>
      <c r="BL539" s="350"/>
      <c r="BM539" s="351"/>
      <c r="BN539" s="530" t="s">
        <v>294</v>
      </c>
      <c r="BO539" s="350"/>
      <c r="BP539" s="350"/>
      <c r="BQ539" s="350"/>
      <c r="BR539" s="350"/>
      <c r="BS539" s="350"/>
      <c r="BT539" s="350"/>
      <c r="BU539" s="350"/>
      <c r="BV539" s="351"/>
    </row>
    <row r="540" spans="1:74" ht="45" customHeight="1">
      <c r="A540" s="24">
        <f t="shared" si="2"/>
        <v>526</v>
      </c>
      <c r="B540" s="558" t="s">
        <v>294</v>
      </c>
      <c r="C540" s="351"/>
      <c r="D540" s="559" t="s">
        <v>298</v>
      </c>
      <c r="E540" s="351"/>
      <c r="F540" s="524" t="s">
        <v>325</v>
      </c>
      <c r="G540" s="351"/>
      <c r="H540" s="525" t="s">
        <v>325</v>
      </c>
      <c r="I540" s="351"/>
      <c r="J540" s="40"/>
      <c r="K540" s="41"/>
      <c r="L540" s="40"/>
      <c r="M540" s="41"/>
      <c r="N540" s="37"/>
      <c r="O540" s="38"/>
      <c r="P540" s="560"/>
      <c r="Q540" s="351"/>
      <c r="R540" s="535"/>
      <c r="S540" s="351"/>
      <c r="T540" s="536"/>
      <c r="U540" s="351"/>
      <c r="V540" s="541"/>
      <c r="W540" s="351"/>
      <c r="X540" s="538" t="s">
        <v>294</v>
      </c>
      <c r="Y540" s="350"/>
      <c r="Z540" s="350"/>
      <c r="AA540" s="351"/>
      <c r="AB540" s="539" t="s">
        <v>294</v>
      </c>
      <c r="AC540" s="350"/>
      <c r="AD540" s="350"/>
      <c r="AE540" s="351"/>
      <c r="AF540" s="544"/>
      <c r="AG540" s="351"/>
      <c r="AH540" s="540"/>
      <c r="AI540" s="351"/>
      <c r="AJ540" s="545"/>
      <c r="AK540" s="351"/>
      <c r="AL540" s="555" t="s">
        <v>325</v>
      </c>
      <c r="AM540" s="351"/>
      <c r="AN540" s="531" t="s">
        <v>325</v>
      </c>
      <c r="AO540" s="351"/>
      <c r="AP540" s="550"/>
      <c r="AQ540" s="351"/>
      <c r="AR540" s="551"/>
      <c r="AS540" s="351"/>
      <c r="AT540" s="534"/>
      <c r="AU540" s="351"/>
      <c r="AV540" s="531" t="s">
        <v>325</v>
      </c>
      <c r="AW540" s="351"/>
      <c r="AX540" s="553"/>
      <c r="AY540" s="350"/>
      <c r="AZ540" s="351"/>
      <c r="BA540" s="554"/>
      <c r="BB540" s="351"/>
      <c r="BC540" s="36"/>
      <c r="BD540" s="556" t="s">
        <v>325</v>
      </c>
      <c r="BE540" s="351"/>
      <c r="BF540" s="547"/>
      <c r="BG540" s="350"/>
      <c r="BH540" s="350"/>
      <c r="BI540" s="351"/>
      <c r="BJ540" s="506" t="s">
        <v>294</v>
      </c>
      <c r="BK540" s="350"/>
      <c r="BL540" s="350"/>
      <c r="BM540" s="351"/>
      <c r="BN540" s="530" t="s">
        <v>294</v>
      </c>
      <c r="BO540" s="350"/>
      <c r="BP540" s="350"/>
      <c r="BQ540" s="350"/>
      <c r="BR540" s="350"/>
      <c r="BS540" s="350"/>
      <c r="BT540" s="350"/>
      <c r="BU540" s="350"/>
      <c r="BV540" s="351"/>
    </row>
    <row r="541" spans="1:74" ht="45" customHeight="1">
      <c r="A541" s="24">
        <f t="shared" si="2"/>
        <v>527</v>
      </c>
      <c r="B541" s="522" t="s">
        <v>294</v>
      </c>
      <c r="C541" s="351"/>
      <c r="D541" s="523" t="s">
        <v>298</v>
      </c>
      <c r="E541" s="351"/>
      <c r="F541" s="524" t="s">
        <v>325</v>
      </c>
      <c r="G541" s="351"/>
      <c r="H541" s="561" t="s">
        <v>325</v>
      </c>
      <c r="I541" s="351"/>
      <c r="J541" s="562"/>
      <c r="K541" s="351"/>
      <c r="L541" s="562"/>
      <c r="M541" s="351"/>
      <c r="N541" s="34"/>
      <c r="O541" s="38"/>
      <c r="P541" s="526"/>
      <c r="Q541" s="351"/>
      <c r="R541" s="527"/>
      <c r="S541" s="351"/>
      <c r="T541" s="528"/>
      <c r="U541" s="351"/>
      <c r="V541" s="537"/>
      <c r="W541" s="351"/>
      <c r="X541" s="542" t="s">
        <v>294</v>
      </c>
      <c r="Y541" s="350"/>
      <c r="Z541" s="350"/>
      <c r="AA541" s="351"/>
      <c r="AB541" s="543" t="s">
        <v>294</v>
      </c>
      <c r="AC541" s="350"/>
      <c r="AD541" s="350"/>
      <c r="AE541" s="351"/>
      <c r="AF541" s="540"/>
      <c r="AG541" s="351"/>
      <c r="AH541" s="544"/>
      <c r="AI541" s="351"/>
      <c r="AJ541" s="532"/>
      <c r="AK541" s="351"/>
      <c r="AL541" s="524" t="s">
        <v>325</v>
      </c>
      <c r="AM541" s="351"/>
      <c r="AN541" s="549" t="s">
        <v>325</v>
      </c>
      <c r="AO541" s="351"/>
      <c r="AP541" s="532"/>
      <c r="AQ541" s="351"/>
      <c r="AR541" s="533"/>
      <c r="AS541" s="351"/>
      <c r="AT541" s="534"/>
      <c r="AU541" s="351"/>
      <c r="AV541" s="549" t="s">
        <v>325</v>
      </c>
      <c r="AW541" s="351"/>
      <c r="AX541" s="553"/>
      <c r="AY541" s="350"/>
      <c r="AZ541" s="351"/>
      <c r="BA541" s="545"/>
      <c r="BB541" s="351"/>
      <c r="BC541" s="39"/>
      <c r="BD541" s="546" t="s">
        <v>325</v>
      </c>
      <c r="BE541" s="351"/>
      <c r="BF541" s="557"/>
      <c r="BG541" s="350"/>
      <c r="BH541" s="350"/>
      <c r="BI541" s="351"/>
      <c r="BJ541" s="548" t="s">
        <v>294</v>
      </c>
      <c r="BK541" s="350"/>
      <c r="BL541" s="350"/>
      <c r="BM541" s="351"/>
      <c r="BN541" s="530" t="s">
        <v>294</v>
      </c>
      <c r="BO541" s="350"/>
      <c r="BP541" s="350"/>
      <c r="BQ541" s="350"/>
      <c r="BR541" s="350"/>
      <c r="BS541" s="350"/>
      <c r="BT541" s="350"/>
      <c r="BU541" s="350"/>
      <c r="BV541" s="351"/>
    </row>
    <row r="542" spans="1:74" ht="45" customHeight="1">
      <c r="A542" s="24">
        <f t="shared" si="2"/>
        <v>528</v>
      </c>
      <c r="B542" s="558" t="s">
        <v>294</v>
      </c>
      <c r="C542" s="351"/>
      <c r="D542" s="559" t="s">
        <v>298</v>
      </c>
      <c r="E542" s="351"/>
      <c r="F542" s="524" t="s">
        <v>325</v>
      </c>
      <c r="G542" s="351"/>
      <c r="H542" s="525" t="s">
        <v>325</v>
      </c>
      <c r="I542" s="351"/>
      <c r="J542" s="40"/>
      <c r="K542" s="41"/>
      <c r="L542" s="40"/>
      <c r="M542" s="41"/>
      <c r="N542" s="37"/>
      <c r="O542" s="35"/>
      <c r="P542" s="560"/>
      <c r="Q542" s="351"/>
      <c r="R542" s="535"/>
      <c r="S542" s="351"/>
      <c r="T542" s="536"/>
      <c r="U542" s="351"/>
      <c r="V542" s="541"/>
      <c r="W542" s="351"/>
      <c r="X542" s="538" t="s">
        <v>294</v>
      </c>
      <c r="Y542" s="350"/>
      <c r="Z542" s="350"/>
      <c r="AA542" s="351"/>
      <c r="AB542" s="539" t="s">
        <v>294</v>
      </c>
      <c r="AC542" s="350"/>
      <c r="AD542" s="350"/>
      <c r="AE542" s="351"/>
      <c r="AF542" s="544"/>
      <c r="AG542" s="351"/>
      <c r="AH542" s="540"/>
      <c r="AI542" s="351"/>
      <c r="AJ542" s="545"/>
      <c r="AK542" s="351"/>
      <c r="AL542" s="555" t="s">
        <v>325</v>
      </c>
      <c r="AM542" s="351"/>
      <c r="AN542" s="531" t="s">
        <v>325</v>
      </c>
      <c r="AO542" s="351"/>
      <c r="AP542" s="550"/>
      <c r="AQ542" s="351"/>
      <c r="AR542" s="551"/>
      <c r="AS542" s="351"/>
      <c r="AT542" s="534"/>
      <c r="AU542" s="351"/>
      <c r="AV542" s="531" t="s">
        <v>325</v>
      </c>
      <c r="AW542" s="351"/>
      <c r="AX542" s="553"/>
      <c r="AY542" s="350"/>
      <c r="AZ542" s="351"/>
      <c r="BA542" s="554"/>
      <c r="BB542" s="351"/>
      <c r="BC542" s="36"/>
      <c r="BD542" s="556" t="s">
        <v>325</v>
      </c>
      <c r="BE542" s="351"/>
      <c r="BF542" s="547"/>
      <c r="BG542" s="350"/>
      <c r="BH542" s="350"/>
      <c r="BI542" s="351"/>
      <c r="BJ542" s="506" t="s">
        <v>294</v>
      </c>
      <c r="BK542" s="350"/>
      <c r="BL542" s="350"/>
      <c r="BM542" s="351"/>
      <c r="BN542" s="530" t="s">
        <v>294</v>
      </c>
      <c r="BO542" s="350"/>
      <c r="BP542" s="350"/>
      <c r="BQ542" s="350"/>
      <c r="BR542" s="350"/>
      <c r="BS542" s="350"/>
      <c r="BT542" s="350"/>
      <c r="BU542" s="350"/>
      <c r="BV542" s="351"/>
    </row>
    <row r="543" spans="1:74" ht="45" customHeight="1">
      <c r="A543" s="24">
        <f t="shared" si="2"/>
        <v>529</v>
      </c>
      <c r="B543" s="522" t="s">
        <v>294</v>
      </c>
      <c r="C543" s="351"/>
      <c r="D543" s="523" t="s">
        <v>298</v>
      </c>
      <c r="E543" s="351"/>
      <c r="F543" s="524" t="s">
        <v>325</v>
      </c>
      <c r="G543" s="351"/>
      <c r="H543" s="561" t="s">
        <v>325</v>
      </c>
      <c r="I543" s="351"/>
      <c r="J543" s="562"/>
      <c r="K543" s="351"/>
      <c r="L543" s="562"/>
      <c r="M543" s="351"/>
      <c r="N543" s="34"/>
      <c r="O543" s="38"/>
      <c r="P543" s="526"/>
      <c r="Q543" s="351"/>
      <c r="R543" s="527"/>
      <c r="S543" s="351"/>
      <c r="T543" s="528"/>
      <c r="U543" s="351"/>
      <c r="V543" s="537"/>
      <c r="W543" s="351"/>
      <c r="X543" s="542" t="s">
        <v>294</v>
      </c>
      <c r="Y543" s="350"/>
      <c r="Z543" s="350"/>
      <c r="AA543" s="351"/>
      <c r="AB543" s="543" t="s">
        <v>294</v>
      </c>
      <c r="AC543" s="350"/>
      <c r="AD543" s="350"/>
      <c r="AE543" s="351"/>
      <c r="AF543" s="540"/>
      <c r="AG543" s="351"/>
      <c r="AH543" s="544"/>
      <c r="AI543" s="351"/>
      <c r="AJ543" s="532"/>
      <c r="AK543" s="351"/>
      <c r="AL543" s="524" t="s">
        <v>325</v>
      </c>
      <c r="AM543" s="351"/>
      <c r="AN543" s="549" t="s">
        <v>325</v>
      </c>
      <c r="AO543" s="351"/>
      <c r="AP543" s="532"/>
      <c r="AQ543" s="351"/>
      <c r="AR543" s="533"/>
      <c r="AS543" s="351"/>
      <c r="AT543" s="534"/>
      <c r="AU543" s="351"/>
      <c r="AV543" s="549" t="s">
        <v>325</v>
      </c>
      <c r="AW543" s="351"/>
      <c r="AX543" s="553"/>
      <c r="AY543" s="350"/>
      <c r="AZ543" s="351"/>
      <c r="BA543" s="545"/>
      <c r="BB543" s="351"/>
      <c r="BC543" s="39"/>
      <c r="BD543" s="546" t="s">
        <v>325</v>
      </c>
      <c r="BE543" s="351"/>
      <c r="BF543" s="529"/>
      <c r="BG543" s="350"/>
      <c r="BH543" s="350"/>
      <c r="BI543" s="351"/>
      <c r="BJ543" s="548" t="s">
        <v>294</v>
      </c>
      <c r="BK543" s="350"/>
      <c r="BL543" s="350"/>
      <c r="BM543" s="351"/>
      <c r="BN543" s="530" t="s">
        <v>294</v>
      </c>
      <c r="BO543" s="350"/>
      <c r="BP543" s="350"/>
      <c r="BQ543" s="350"/>
      <c r="BR543" s="350"/>
      <c r="BS543" s="350"/>
      <c r="BT543" s="350"/>
      <c r="BU543" s="350"/>
      <c r="BV543" s="351"/>
    </row>
    <row r="544" spans="1:74" ht="45" customHeight="1">
      <c r="A544" s="24">
        <f t="shared" si="2"/>
        <v>530</v>
      </c>
      <c r="B544" s="558" t="s">
        <v>294</v>
      </c>
      <c r="C544" s="351"/>
      <c r="D544" s="559" t="s">
        <v>298</v>
      </c>
      <c r="E544" s="351"/>
      <c r="F544" s="524" t="s">
        <v>325</v>
      </c>
      <c r="G544" s="351"/>
      <c r="H544" s="525" t="s">
        <v>325</v>
      </c>
      <c r="I544" s="351"/>
      <c r="J544" s="40"/>
      <c r="K544" s="41"/>
      <c r="L544" s="40"/>
      <c r="M544" s="41"/>
      <c r="N544" s="37"/>
      <c r="O544" s="35"/>
      <c r="P544" s="560"/>
      <c r="Q544" s="351"/>
      <c r="R544" s="535"/>
      <c r="S544" s="351"/>
      <c r="T544" s="536"/>
      <c r="U544" s="351"/>
      <c r="V544" s="541"/>
      <c r="W544" s="351"/>
      <c r="X544" s="538" t="s">
        <v>294</v>
      </c>
      <c r="Y544" s="350"/>
      <c r="Z544" s="350"/>
      <c r="AA544" s="351"/>
      <c r="AB544" s="539" t="s">
        <v>294</v>
      </c>
      <c r="AC544" s="350"/>
      <c r="AD544" s="350"/>
      <c r="AE544" s="351"/>
      <c r="AF544" s="544"/>
      <c r="AG544" s="351"/>
      <c r="AH544" s="540"/>
      <c r="AI544" s="351"/>
      <c r="AJ544" s="545"/>
      <c r="AK544" s="351"/>
      <c r="AL544" s="555" t="s">
        <v>325</v>
      </c>
      <c r="AM544" s="351"/>
      <c r="AN544" s="531" t="s">
        <v>325</v>
      </c>
      <c r="AO544" s="351"/>
      <c r="AP544" s="550"/>
      <c r="AQ544" s="351"/>
      <c r="AR544" s="551"/>
      <c r="AS544" s="351"/>
      <c r="AT544" s="534"/>
      <c r="AU544" s="351"/>
      <c r="AV544" s="531" t="s">
        <v>325</v>
      </c>
      <c r="AW544" s="351"/>
      <c r="AX544" s="553"/>
      <c r="AY544" s="350"/>
      <c r="AZ544" s="351"/>
      <c r="BA544" s="554"/>
      <c r="BB544" s="351"/>
      <c r="BC544" s="36"/>
      <c r="BD544" s="556" t="s">
        <v>325</v>
      </c>
      <c r="BE544" s="351"/>
      <c r="BF544" s="547"/>
      <c r="BG544" s="350"/>
      <c r="BH544" s="350"/>
      <c r="BI544" s="351"/>
      <c r="BJ544" s="506" t="s">
        <v>294</v>
      </c>
      <c r="BK544" s="350"/>
      <c r="BL544" s="350"/>
      <c r="BM544" s="351"/>
      <c r="BN544" s="530" t="s">
        <v>294</v>
      </c>
      <c r="BO544" s="350"/>
      <c r="BP544" s="350"/>
      <c r="BQ544" s="350"/>
      <c r="BR544" s="350"/>
      <c r="BS544" s="350"/>
      <c r="BT544" s="350"/>
      <c r="BU544" s="350"/>
      <c r="BV544" s="351"/>
    </row>
    <row r="545" spans="1:74" ht="45" customHeight="1">
      <c r="A545" s="24">
        <f t="shared" si="2"/>
        <v>531</v>
      </c>
      <c r="B545" s="522" t="s">
        <v>294</v>
      </c>
      <c r="C545" s="351"/>
      <c r="D545" s="523" t="s">
        <v>298</v>
      </c>
      <c r="E545" s="351"/>
      <c r="F545" s="524" t="s">
        <v>325</v>
      </c>
      <c r="G545" s="351"/>
      <c r="H545" s="561" t="s">
        <v>325</v>
      </c>
      <c r="I545" s="351"/>
      <c r="J545" s="562"/>
      <c r="K545" s="351"/>
      <c r="L545" s="562"/>
      <c r="M545" s="351"/>
      <c r="N545" s="34"/>
      <c r="O545" s="38"/>
      <c r="P545" s="526"/>
      <c r="Q545" s="351"/>
      <c r="R545" s="527"/>
      <c r="S545" s="351"/>
      <c r="T545" s="528"/>
      <c r="U545" s="351"/>
      <c r="V545" s="537"/>
      <c r="W545" s="351"/>
      <c r="X545" s="542" t="s">
        <v>294</v>
      </c>
      <c r="Y545" s="350"/>
      <c r="Z545" s="350"/>
      <c r="AA545" s="351"/>
      <c r="AB545" s="543" t="s">
        <v>294</v>
      </c>
      <c r="AC545" s="350"/>
      <c r="AD545" s="350"/>
      <c r="AE545" s="351"/>
      <c r="AF545" s="540"/>
      <c r="AG545" s="351"/>
      <c r="AH545" s="544"/>
      <c r="AI545" s="351"/>
      <c r="AJ545" s="532"/>
      <c r="AK545" s="351"/>
      <c r="AL545" s="524" t="s">
        <v>325</v>
      </c>
      <c r="AM545" s="351"/>
      <c r="AN545" s="549" t="s">
        <v>325</v>
      </c>
      <c r="AO545" s="351"/>
      <c r="AP545" s="532"/>
      <c r="AQ545" s="351"/>
      <c r="AR545" s="533"/>
      <c r="AS545" s="351"/>
      <c r="AT545" s="534"/>
      <c r="AU545" s="351"/>
      <c r="AV545" s="549" t="s">
        <v>325</v>
      </c>
      <c r="AW545" s="351"/>
      <c r="AX545" s="553"/>
      <c r="AY545" s="350"/>
      <c r="AZ545" s="351"/>
      <c r="BA545" s="545"/>
      <c r="BB545" s="351"/>
      <c r="BC545" s="39"/>
      <c r="BD545" s="546" t="s">
        <v>325</v>
      </c>
      <c r="BE545" s="351"/>
      <c r="BF545" s="529"/>
      <c r="BG545" s="350"/>
      <c r="BH545" s="350"/>
      <c r="BI545" s="351"/>
      <c r="BJ545" s="548" t="s">
        <v>294</v>
      </c>
      <c r="BK545" s="350"/>
      <c r="BL545" s="350"/>
      <c r="BM545" s="351"/>
      <c r="BN545" s="530" t="s">
        <v>294</v>
      </c>
      <c r="BO545" s="350"/>
      <c r="BP545" s="350"/>
      <c r="BQ545" s="350"/>
      <c r="BR545" s="350"/>
      <c r="BS545" s="350"/>
      <c r="BT545" s="350"/>
      <c r="BU545" s="350"/>
      <c r="BV545" s="351"/>
    </row>
    <row r="546" spans="1:74" ht="45" customHeight="1">
      <c r="A546" s="24">
        <f t="shared" si="2"/>
        <v>532</v>
      </c>
      <c r="B546" s="558" t="s">
        <v>294</v>
      </c>
      <c r="C546" s="351"/>
      <c r="D546" s="559" t="s">
        <v>298</v>
      </c>
      <c r="E546" s="351"/>
      <c r="F546" s="524" t="s">
        <v>325</v>
      </c>
      <c r="G546" s="351"/>
      <c r="H546" s="525" t="s">
        <v>325</v>
      </c>
      <c r="I546" s="351"/>
      <c r="J546" s="40"/>
      <c r="K546" s="41"/>
      <c r="L546" s="40"/>
      <c r="M546" s="41"/>
      <c r="N546" s="37"/>
      <c r="O546" s="35"/>
      <c r="P546" s="560"/>
      <c r="Q546" s="351"/>
      <c r="R546" s="535"/>
      <c r="S546" s="351"/>
      <c r="T546" s="536"/>
      <c r="U546" s="351"/>
      <c r="V546" s="541"/>
      <c r="W546" s="351"/>
      <c r="X546" s="538" t="s">
        <v>294</v>
      </c>
      <c r="Y546" s="350"/>
      <c r="Z546" s="350"/>
      <c r="AA546" s="351"/>
      <c r="AB546" s="539" t="s">
        <v>294</v>
      </c>
      <c r="AC546" s="350"/>
      <c r="AD546" s="350"/>
      <c r="AE546" s="351"/>
      <c r="AF546" s="544"/>
      <c r="AG546" s="351"/>
      <c r="AH546" s="540"/>
      <c r="AI546" s="351"/>
      <c r="AJ546" s="545"/>
      <c r="AK546" s="351"/>
      <c r="AL546" s="555" t="s">
        <v>325</v>
      </c>
      <c r="AM546" s="351"/>
      <c r="AN546" s="531" t="s">
        <v>325</v>
      </c>
      <c r="AO546" s="351"/>
      <c r="AP546" s="550"/>
      <c r="AQ546" s="351"/>
      <c r="AR546" s="551"/>
      <c r="AS546" s="351"/>
      <c r="AT546" s="534"/>
      <c r="AU546" s="351"/>
      <c r="AV546" s="531" t="s">
        <v>325</v>
      </c>
      <c r="AW546" s="351"/>
      <c r="AX546" s="553"/>
      <c r="AY546" s="350"/>
      <c r="AZ546" s="351"/>
      <c r="BA546" s="554"/>
      <c r="BB546" s="351"/>
      <c r="BC546" s="36"/>
      <c r="BD546" s="556" t="s">
        <v>325</v>
      </c>
      <c r="BE546" s="351"/>
      <c r="BF546" s="547"/>
      <c r="BG546" s="350"/>
      <c r="BH546" s="350"/>
      <c r="BI546" s="351"/>
      <c r="BJ546" s="506" t="s">
        <v>294</v>
      </c>
      <c r="BK546" s="350"/>
      <c r="BL546" s="350"/>
      <c r="BM546" s="351"/>
      <c r="BN546" s="530" t="s">
        <v>294</v>
      </c>
      <c r="BO546" s="350"/>
      <c r="BP546" s="350"/>
      <c r="BQ546" s="350"/>
      <c r="BR546" s="350"/>
      <c r="BS546" s="350"/>
      <c r="BT546" s="350"/>
      <c r="BU546" s="350"/>
      <c r="BV546" s="351"/>
    </row>
    <row r="547" spans="1:74" ht="45" customHeight="1">
      <c r="A547" s="24">
        <f t="shared" si="2"/>
        <v>533</v>
      </c>
      <c r="B547" s="522" t="s">
        <v>294</v>
      </c>
      <c r="C547" s="351"/>
      <c r="D547" s="523" t="s">
        <v>298</v>
      </c>
      <c r="E547" s="351"/>
      <c r="F547" s="524" t="s">
        <v>325</v>
      </c>
      <c r="G547" s="351"/>
      <c r="H547" s="561" t="s">
        <v>325</v>
      </c>
      <c r="I547" s="351"/>
      <c r="J547" s="562"/>
      <c r="K547" s="351"/>
      <c r="L547" s="562"/>
      <c r="M547" s="351"/>
      <c r="N547" s="34"/>
      <c r="O547" s="38"/>
      <c r="P547" s="526"/>
      <c r="Q547" s="351"/>
      <c r="R547" s="527"/>
      <c r="S547" s="351"/>
      <c r="T547" s="528"/>
      <c r="U547" s="351"/>
      <c r="V547" s="537"/>
      <c r="W547" s="351"/>
      <c r="X547" s="542" t="s">
        <v>294</v>
      </c>
      <c r="Y547" s="350"/>
      <c r="Z547" s="350"/>
      <c r="AA547" s="351"/>
      <c r="AB547" s="543" t="s">
        <v>294</v>
      </c>
      <c r="AC547" s="350"/>
      <c r="AD547" s="350"/>
      <c r="AE547" s="351"/>
      <c r="AF547" s="540"/>
      <c r="AG547" s="351"/>
      <c r="AH547" s="544"/>
      <c r="AI547" s="351"/>
      <c r="AJ547" s="532"/>
      <c r="AK547" s="351"/>
      <c r="AL547" s="524" t="s">
        <v>325</v>
      </c>
      <c r="AM547" s="351"/>
      <c r="AN547" s="549" t="s">
        <v>325</v>
      </c>
      <c r="AO547" s="351"/>
      <c r="AP547" s="532"/>
      <c r="AQ547" s="351"/>
      <c r="AR547" s="533"/>
      <c r="AS547" s="351"/>
      <c r="AT547" s="534"/>
      <c r="AU547" s="351"/>
      <c r="AV547" s="549" t="s">
        <v>325</v>
      </c>
      <c r="AW547" s="351"/>
      <c r="AX547" s="553"/>
      <c r="AY547" s="350"/>
      <c r="AZ547" s="351"/>
      <c r="BA547" s="545"/>
      <c r="BB547" s="351"/>
      <c r="BC547" s="39"/>
      <c r="BD547" s="546" t="s">
        <v>325</v>
      </c>
      <c r="BE547" s="351"/>
      <c r="BF547" s="557"/>
      <c r="BG547" s="350"/>
      <c r="BH547" s="350"/>
      <c r="BI547" s="351"/>
      <c r="BJ547" s="548" t="s">
        <v>294</v>
      </c>
      <c r="BK547" s="350"/>
      <c r="BL547" s="350"/>
      <c r="BM547" s="351"/>
      <c r="BN547" s="530" t="s">
        <v>294</v>
      </c>
      <c r="BO547" s="350"/>
      <c r="BP547" s="350"/>
      <c r="BQ547" s="350"/>
      <c r="BR547" s="350"/>
      <c r="BS547" s="350"/>
      <c r="BT547" s="350"/>
      <c r="BU547" s="350"/>
      <c r="BV547" s="351"/>
    </row>
    <row r="548" spans="1:74" ht="45" customHeight="1">
      <c r="A548" s="24">
        <f t="shared" si="2"/>
        <v>534</v>
      </c>
      <c r="B548" s="558" t="s">
        <v>294</v>
      </c>
      <c r="C548" s="351"/>
      <c r="D548" s="559" t="s">
        <v>298</v>
      </c>
      <c r="E548" s="351"/>
      <c r="F548" s="524" t="s">
        <v>325</v>
      </c>
      <c r="G548" s="351"/>
      <c r="H548" s="525" t="s">
        <v>325</v>
      </c>
      <c r="I548" s="351"/>
      <c r="J548" s="40"/>
      <c r="K548" s="41"/>
      <c r="L548" s="40"/>
      <c r="M548" s="41"/>
      <c r="N548" s="37"/>
      <c r="O548" s="35"/>
      <c r="P548" s="560"/>
      <c r="Q548" s="351"/>
      <c r="R548" s="535"/>
      <c r="S548" s="351"/>
      <c r="T548" s="536"/>
      <c r="U548" s="351"/>
      <c r="V548" s="541"/>
      <c r="W548" s="351"/>
      <c r="X548" s="538" t="s">
        <v>294</v>
      </c>
      <c r="Y548" s="350"/>
      <c r="Z548" s="350"/>
      <c r="AA548" s="351"/>
      <c r="AB548" s="539" t="s">
        <v>294</v>
      </c>
      <c r="AC548" s="350"/>
      <c r="AD548" s="350"/>
      <c r="AE548" s="351"/>
      <c r="AF548" s="544"/>
      <c r="AG548" s="351"/>
      <c r="AH548" s="540"/>
      <c r="AI548" s="351"/>
      <c r="AJ548" s="545"/>
      <c r="AK548" s="351"/>
      <c r="AL548" s="555" t="s">
        <v>325</v>
      </c>
      <c r="AM548" s="351"/>
      <c r="AN548" s="531" t="s">
        <v>325</v>
      </c>
      <c r="AO548" s="351"/>
      <c r="AP548" s="550"/>
      <c r="AQ548" s="351"/>
      <c r="AR548" s="551"/>
      <c r="AS548" s="351"/>
      <c r="AT548" s="534"/>
      <c r="AU548" s="351"/>
      <c r="AV548" s="531" t="s">
        <v>325</v>
      </c>
      <c r="AW548" s="351"/>
      <c r="AX548" s="553"/>
      <c r="AY548" s="350"/>
      <c r="AZ548" s="351"/>
      <c r="BA548" s="554"/>
      <c r="BB548" s="351"/>
      <c r="BC548" s="36"/>
      <c r="BD548" s="556" t="s">
        <v>325</v>
      </c>
      <c r="BE548" s="351"/>
      <c r="BF548" s="547"/>
      <c r="BG548" s="350"/>
      <c r="BH548" s="350"/>
      <c r="BI548" s="351"/>
      <c r="BJ548" s="506" t="s">
        <v>294</v>
      </c>
      <c r="BK548" s="350"/>
      <c r="BL548" s="350"/>
      <c r="BM548" s="351"/>
      <c r="BN548" s="530" t="s">
        <v>294</v>
      </c>
      <c r="BO548" s="350"/>
      <c r="BP548" s="350"/>
      <c r="BQ548" s="350"/>
      <c r="BR548" s="350"/>
      <c r="BS548" s="350"/>
      <c r="BT548" s="350"/>
      <c r="BU548" s="350"/>
      <c r="BV548" s="351"/>
    </row>
    <row r="549" spans="1:74" ht="45" customHeight="1">
      <c r="A549" s="24">
        <f t="shared" si="2"/>
        <v>535</v>
      </c>
      <c r="B549" s="522" t="s">
        <v>294</v>
      </c>
      <c r="C549" s="351"/>
      <c r="D549" s="523" t="s">
        <v>298</v>
      </c>
      <c r="E549" s="351"/>
      <c r="F549" s="524" t="s">
        <v>325</v>
      </c>
      <c r="G549" s="351"/>
      <c r="H549" s="561" t="s">
        <v>325</v>
      </c>
      <c r="I549" s="351"/>
      <c r="J549" s="562"/>
      <c r="K549" s="351"/>
      <c r="L549" s="562"/>
      <c r="M549" s="351"/>
      <c r="N549" s="34"/>
      <c r="O549" s="38"/>
      <c r="P549" s="526"/>
      <c r="Q549" s="351"/>
      <c r="R549" s="527"/>
      <c r="S549" s="351"/>
      <c r="T549" s="528"/>
      <c r="U549" s="351"/>
      <c r="V549" s="537"/>
      <c r="W549" s="351"/>
      <c r="X549" s="542" t="s">
        <v>294</v>
      </c>
      <c r="Y549" s="350"/>
      <c r="Z549" s="350"/>
      <c r="AA549" s="351"/>
      <c r="AB549" s="543" t="s">
        <v>294</v>
      </c>
      <c r="AC549" s="350"/>
      <c r="AD549" s="350"/>
      <c r="AE549" s="351"/>
      <c r="AF549" s="540"/>
      <c r="AG549" s="351"/>
      <c r="AH549" s="544"/>
      <c r="AI549" s="351"/>
      <c r="AJ549" s="532"/>
      <c r="AK549" s="351"/>
      <c r="AL549" s="524" t="s">
        <v>325</v>
      </c>
      <c r="AM549" s="351"/>
      <c r="AN549" s="549" t="s">
        <v>325</v>
      </c>
      <c r="AO549" s="351"/>
      <c r="AP549" s="532"/>
      <c r="AQ549" s="351"/>
      <c r="AR549" s="533"/>
      <c r="AS549" s="351"/>
      <c r="AT549" s="534"/>
      <c r="AU549" s="351"/>
      <c r="AV549" s="549" t="s">
        <v>325</v>
      </c>
      <c r="AW549" s="351"/>
      <c r="AX549" s="553"/>
      <c r="AY549" s="350"/>
      <c r="AZ549" s="351"/>
      <c r="BA549" s="545"/>
      <c r="BB549" s="351"/>
      <c r="BC549" s="39"/>
      <c r="BD549" s="546" t="s">
        <v>325</v>
      </c>
      <c r="BE549" s="351"/>
      <c r="BF549" s="529"/>
      <c r="BG549" s="350"/>
      <c r="BH549" s="350"/>
      <c r="BI549" s="351"/>
      <c r="BJ549" s="548" t="s">
        <v>294</v>
      </c>
      <c r="BK549" s="350"/>
      <c r="BL549" s="350"/>
      <c r="BM549" s="351"/>
      <c r="BN549" s="530" t="s">
        <v>294</v>
      </c>
      <c r="BO549" s="350"/>
      <c r="BP549" s="350"/>
      <c r="BQ549" s="350"/>
      <c r="BR549" s="350"/>
      <c r="BS549" s="350"/>
      <c r="BT549" s="350"/>
      <c r="BU549" s="350"/>
      <c r="BV549" s="351"/>
    </row>
    <row r="550" spans="1:74" ht="45" customHeight="1">
      <c r="A550" s="24">
        <f t="shared" si="2"/>
        <v>536</v>
      </c>
      <c r="B550" s="558" t="s">
        <v>294</v>
      </c>
      <c r="C550" s="351"/>
      <c r="D550" s="559" t="s">
        <v>298</v>
      </c>
      <c r="E550" s="351"/>
      <c r="F550" s="524" t="s">
        <v>325</v>
      </c>
      <c r="G550" s="351"/>
      <c r="H550" s="525" t="s">
        <v>325</v>
      </c>
      <c r="I550" s="351"/>
      <c r="J550" s="40"/>
      <c r="K550" s="41"/>
      <c r="L550" s="40"/>
      <c r="M550" s="41"/>
      <c r="N550" s="37"/>
      <c r="O550" s="35"/>
      <c r="P550" s="560"/>
      <c r="Q550" s="351"/>
      <c r="R550" s="535"/>
      <c r="S550" s="351"/>
      <c r="T550" s="536"/>
      <c r="U550" s="351"/>
      <c r="V550" s="541"/>
      <c r="W550" s="351"/>
      <c r="X550" s="538" t="s">
        <v>294</v>
      </c>
      <c r="Y550" s="350"/>
      <c r="Z550" s="350"/>
      <c r="AA550" s="351"/>
      <c r="AB550" s="539" t="s">
        <v>294</v>
      </c>
      <c r="AC550" s="350"/>
      <c r="AD550" s="350"/>
      <c r="AE550" s="351"/>
      <c r="AF550" s="544"/>
      <c r="AG550" s="351"/>
      <c r="AH550" s="540"/>
      <c r="AI550" s="351"/>
      <c r="AJ550" s="545"/>
      <c r="AK550" s="351"/>
      <c r="AL550" s="555" t="s">
        <v>325</v>
      </c>
      <c r="AM550" s="351"/>
      <c r="AN550" s="531" t="s">
        <v>325</v>
      </c>
      <c r="AO550" s="351"/>
      <c r="AP550" s="550"/>
      <c r="AQ550" s="351"/>
      <c r="AR550" s="551"/>
      <c r="AS550" s="351"/>
      <c r="AT550" s="534"/>
      <c r="AU550" s="351"/>
      <c r="AV550" s="531" t="s">
        <v>325</v>
      </c>
      <c r="AW550" s="351"/>
      <c r="AX550" s="553"/>
      <c r="AY550" s="350"/>
      <c r="AZ550" s="351"/>
      <c r="BA550" s="554"/>
      <c r="BB550" s="351"/>
      <c r="BC550" s="36"/>
      <c r="BD550" s="556" t="s">
        <v>325</v>
      </c>
      <c r="BE550" s="351"/>
      <c r="BF550" s="547"/>
      <c r="BG550" s="350"/>
      <c r="BH550" s="350"/>
      <c r="BI550" s="351"/>
      <c r="BJ550" s="506" t="s">
        <v>294</v>
      </c>
      <c r="BK550" s="350"/>
      <c r="BL550" s="350"/>
      <c r="BM550" s="351"/>
      <c r="BN550" s="530" t="s">
        <v>294</v>
      </c>
      <c r="BO550" s="350"/>
      <c r="BP550" s="350"/>
      <c r="BQ550" s="350"/>
      <c r="BR550" s="350"/>
      <c r="BS550" s="350"/>
      <c r="BT550" s="350"/>
      <c r="BU550" s="350"/>
      <c r="BV550" s="351"/>
    </row>
    <row r="551" spans="1:74" ht="45" customHeight="1">
      <c r="A551" s="24">
        <f t="shared" si="2"/>
        <v>537</v>
      </c>
      <c r="B551" s="522" t="s">
        <v>294</v>
      </c>
      <c r="C551" s="351"/>
      <c r="D551" s="523" t="s">
        <v>298</v>
      </c>
      <c r="E551" s="351"/>
      <c r="F551" s="524" t="s">
        <v>325</v>
      </c>
      <c r="G551" s="351"/>
      <c r="H551" s="561" t="s">
        <v>325</v>
      </c>
      <c r="I551" s="351"/>
      <c r="J551" s="562"/>
      <c r="K551" s="351"/>
      <c r="L551" s="562"/>
      <c r="M551" s="351"/>
      <c r="N551" s="34"/>
      <c r="O551" s="38"/>
      <c r="P551" s="560"/>
      <c r="Q551" s="351"/>
      <c r="R551" s="527"/>
      <c r="S551" s="351"/>
      <c r="T551" s="528"/>
      <c r="U551" s="351"/>
      <c r="V551" s="537"/>
      <c r="W551" s="351"/>
      <c r="X551" s="542" t="s">
        <v>294</v>
      </c>
      <c r="Y551" s="350"/>
      <c r="Z551" s="350"/>
      <c r="AA551" s="351"/>
      <c r="AB551" s="543" t="s">
        <v>294</v>
      </c>
      <c r="AC551" s="350"/>
      <c r="AD551" s="350"/>
      <c r="AE551" s="351"/>
      <c r="AF551" s="540"/>
      <c r="AG551" s="351"/>
      <c r="AH551" s="544"/>
      <c r="AI551" s="351"/>
      <c r="AJ551" s="532"/>
      <c r="AK551" s="351"/>
      <c r="AL551" s="524" t="s">
        <v>325</v>
      </c>
      <c r="AM551" s="351"/>
      <c r="AN551" s="549" t="s">
        <v>325</v>
      </c>
      <c r="AO551" s="351"/>
      <c r="AP551" s="532"/>
      <c r="AQ551" s="351"/>
      <c r="AR551" s="533"/>
      <c r="AS551" s="351"/>
      <c r="AT551" s="534"/>
      <c r="AU551" s="351"/>
      <c r="AV551" s="549" t="s">
        <v>325</v>
      </c>
      <c r="AW551" s="351"/>
      <c r="AX551" s="553"/>
      <c r="AY551" s="350"/>
      <c r="AZ551" s="351"/>
      <c r="BA551" s="545"/>
      <c r="BB551" s="351"/>
      <c r="BC551" s="39"/>
      <c r="BD551" s="556" t="s">
        <v>325</v>
      </c>
      <c r="BE551" s="351"/>
      <c r="BF551" s="557"/>
      <c r="BG551" s="350"/>
      <c r="BH551" s="350"/>
      <c r="BI551" s="351"/>
      <c r="BJ551" s="548" t="s">
        <v>294</v>
      </c>
      <c r="BK551" s="350"/>
      <c r="BL551" s="350"/>
      <c r="BM551" s="351"/>
      <c r="BN551" s="530" t="s">
        <v>294</v>
      </c>
      <c r="BO551" s="350"/>
      <c r="BP551" s="350"/>
      <c r="BQ551" s="350"/>
      <c r="BR551" s="350"/>
      <c r="BS551" s="350"/>
      <c r="BT551" s="350"/>
      <c r="BU551" s="350"/>
      <c r="BV551" s="351"/>
    </row>
    <row r="552" spans="1:74" ht="45" customHeight="1">
      <c r="A552" s="24">
        <f t="shared" si="2"/>
        <v>538</v>
      </c>
      <c r="B552" s="558" t="s">
        <v>294</v>
      </c>
      <c r="C552" s="351"/>
      <c r="D552" s="559" t="s">
        <v>298</v>
      </c>
      <c r="E552" s="351"/>
      <c r="F552" s="524" t="s">
        <v>325</v>
      </c>
      <c r="G552" s="351"/>
      <c r="H552" s="525" t="s">
        <v>325</v>
      </c>
      <c r="I552" s="351"/>
      <c r="J552" s="40"/>
      <c r="K552" s="41"/>
      <c r="L552" s="40"/>
      <c r="M552" s="41"/>
      <c r="N552" s="37"/>
      <c r="O552" s="35"/>
      <c r="P552" s="526"/>
      <c r="Q552" s="351"/>
      <c r="R552" s="535"/>
      <c r="S552" s="351"/>
      <c r="T552" s="536"/>
      <c r="U552" s="351"/>
      <c r="V552" s="541"/>
      <c r="W552" s="351"/>
      <c r="X552" s="538" t="s">
        <v>294</v>
      </c>
      <c r="Y552" s="350"/>
      <c r="Z552" s="350"/>
      <c r="AA552" s="351"/>
      <c r="AB552" s="539" t="s">
        <v>294</v>
      </c>
      <c r="AC552" s="350"/>
      <c r="AD552" s="350"/>
      <c r="AE552" s="351"/>
      <c r="AF552" s="544"/>
      <c r="AG552" s="351"/>
      <c r="AH552" s="540"/>
      <c r="AI552" s="351"/>
      <c r="AJ552" s="545"/>
      <c r="AK552" s="351"/>
      <c r="AL552" s="555" t="s">
        <v>325</v>
      </c>
      <c r="AM552" s="351"/>
      <c r="AN552" s="531" t="s">
        <v>325</v>
      </c>
      <c r="AO552" s="351"/>
      <c r="AP552" s="550"/>
      <c r="AQ552" s="351"/>
      <c r="AR552" s="551"/>
      <c r="AS552" s="351"/>
      <c r="AT552" s="534"/>
      <c r="AU552" s="351"/>
      <c r="AV552" s="531" t="s">
        <v>325</v>
      </c>
      <c r="AW552" s="351"/>
      <c r="AX552" s="553"/>
      <c r="AY552" s="350"/>
      <c r="AZ552" s="351"/>
      <c r="BA552" s="554"/>
      <c r="BB552" s="351"/>
      <c r="BC552" s="36"/>
      <c r="BD552" s="546" t="s">
        <v>325</v>
      </c>
      <c r="BE552" s="351"/>
      <c r="BF552" s="547"/>
      <c r="BG552" s="350"/>
      <c r="BH552" s="350"/>
      <c r="BI552" s="351"/>
      <c r="BJ552" s="506" t="s">
        <v>294</v>
      </c>
      <c r="BK552" s="350"/>
      <c r="BL552" s="350"/>
      <c r="BM552" s="351"/>
      <c r="BN552" s="530" t="s">
        <v>294</v>
      </c>
      <c r="BO552" s="350"/>
      <c r="BP552" s="350"/>
      <c r="BQ552" s="350"/>
      <c r="BR552" s="350"/>
      <c r="BS552" s="350"/>
      <c r="BT552" s="350"/>
      <c r="BU552" s="350"/>
      <c r="BV552" s="351"/>
    </row>
    <row r="553" spans="1:74" ht="45" customHeight="1">
      <c r="A553" s="24">
        <f t="shared" si="2"/>
        <v>539</v>
      </c>
      <c r="B553" s="522" t="s">
        <v>294</v>
      </c>
      <c r="C553" s="351"/>
      <c r="D553" s="523" t="s">
        <v>298</v>
      </c>
      <c r="E553" s="351"/>
      <c r="F553" s="524" t="s">
        <v>325</v>
      </c>
      <c r="G553" s="351"/>
      <c r="H553" s="561" t="s">
        <v>325</v>
      </c>
      <c r="I553" s="351"/>
      <c r="J553" s="562"/>
      <c r="K553" s="351"/>
      <c r="L553" s="562"/>
      <c r="M553" s="351"/>
      <c r="N553" s="34"/>
      <c r="O553" s="38"/>
      <c r="P553" s="560"/>
      <c r="Q553" s="351"/>
      <c r="R553" s="527"/>
      <c r="S553" s="351"/>
      <c r="T553" s="528"/>
      <c r="U553" s="351"/>
      <c r="V553" s="537"/>
      <c r="W553" s="351"/>
      <c r="X553" s="542" t="s">
        <v>294</v>
      </c>
      <c r="Y553" s="350"/>
      <c r="Z553" s="350"/>
      <c r="AA553" s="351"/>
      <c r="AB553" s="543" t="s">
        <v>294</v>
      </c>
      <c r="AC553" s="350"/>
      <c r="AD553" s="350"/>
      <c r="AE553" s="351"/>
      <c r="AF553" s="540"/>
      <c r="AG553" s="351"/>
      <c r="AH553" s="544"/>
      <c r="AI553" s="351"/>
      <c r="AJ553" s="532"/>
      <c r="AK553" s="351"/>
      <c r="AL553" s="524" t="s">
        <v>325</v>
      </c>
      <c r="AM553" s="351"/>
      <c r="AN553" s="549" t="s">
        <v>325</v>
      </c>
      <c r="AO553" s="351"/>
      <c r="AP553" s="532"/>
      <c r="AQ553" s="351"/>
      <c r="AR553" s="533"/>
      <c r="AS553" s="351"/>
      <c r="AT553" s="534"/>
      <c r="AU553" s="351"/>
      <c r="AV553" s="549" t="s">
        <v>325</v>
      </c>
      <c r="AW553" s="351"/>
      <c r="AX553" s="553"/>
      <c r="AY553" s="350"/>
      <c r="AZ553" s="351"/>
      <c r="BA553" s="545"/>
      <c r="BB553" s="351"/>
      <c r="BC553" s="39"/>
      <c r="BD553" s="556" t="s">
        <v>325</v>
      </c>
      <c r="BE553" s="351"/>
      <c r="BF553" s="529"/>
      <c r="BG553" s="350"/>
      <c r="BH553" s="350"/>
      <c r="BI553" s="351"/>
      <c r="BJ553" s="548" t="s">
        <v>294</v>
      </c>
      <c r="BK553" s="350"/>
      <c r="BL553" s="350"/>
      <c r="BM553" s="351"/>
      <c r="BN553" s="530" t="s">
        <v>294</v>
      </c>
      <c r="BO553" s="350"/>
      <c r="BP553" s="350"/>
      <c r="BQ553" s="350"/>
      <c r="BR553" s="350"/>
      <c r="BS553" s="350"/>
      <c r="BT553" s="350"/>
      <c r="BU553" s="350"/>
      <c r="BV553" s="351"/>
    </row>
    <row r="554" spans="1:74" ht="45" customHeight="1">
      <c r="A554" s="24">
        <f t="shared" si="2"/>
        <v>540</v>
      </c>
      <c r="B554" s="558" t="s">
        <v>294</v>
      </c>
      <c r="C554" s="351"/>
      <c r="D554" s="559" t="s">
        <v>298</v>
      </c>
      <c r="E554" s="351"/>
      <c r="F554" s="524" t="s">
        <v>325</v>
      </c>
      <c r="G554" s="351"/>
      <c r="H554" s="525" t="s">
        <v>325</v>
      </c>
      <c r="I554" s="351"/>
      <c r="J554" s="40"/>
      <c r="K554" s="41"/>
      <c r="L554" s="40"/>
      <c r="M554" s="41"/>
      <c r="N554" s="37"/>
      <c r="O554" s="35"/>
      <c r="P554" s="526"/>
      <c r="Q554" s="351"/>
      <c r="R554" s="535"/>
      <c r="S554" s="351"/>
      <c r="T554" s="536"/>
      <c r="U554" s="351"/>
      <c r="V554" s="541"/>
      <c r="W554" s="351"/>
      <c r="X554" s="538" t="s">
        <v>294</v>
      </c>
      <c r="Y554" s="350"/>
      <c r="Z554" s="350"/>
      <c r="AA554" s="351"/>
      <c r="AB554" s="539" t="s">
        <v>294</v>
      </c>
      <c r="AC554" s="350"/>
      <c r="AD554" s="350"/>
      <c r="AE554" s="351"/>
      <c r="AF554" s="544"/>
      <c r="AG554" s="351"/>
      <c r="AH554" s="540"/>
      <c r="AI554" s="351"/>
      <c r="AJ554" s="545"/>
      <c r="AK554" s="351"/>
      <c r="AL554" s="555" t="s">
        <v>325</v>
      </c>
      <c r="AM554" s="351"/>
      <c r="AN554" s="531" t="s">
        <v>325</v>
      </c>
      <c r="AO554" s="351"/>
      <c r="AP554" s="550"/>
      <c r="AQ554" s="351"/>
      <c r="AR554" s="551"/>
      <c r="AS554" s="351"/>
      <c r="AT554" s="534"/>
      <c r="AU554" s="351"/>
      <c r="AV554" s="531" t="s">
        <v>325</v>
      </c>
      <c r="AW554" s="351"/>
      <c r="AX554" s="553"/>
      <c r="AY554" s="350"/>
      <c r="AZ554" s="351"/>
      <c r="BA554" s="554"/>
      <c r="BB554" s="351"/>
      <c r="BC554" s="36"/>
      <c r="BD554" s="556" t="s">
        <v>325</v>
      </c>
      <c r="BE554" s="351"/>
      <c r="BF554" s="547"/>
      <c r="BG554" s="350"/>
      <c r="BH554" s="350"/>
      <c r="BI554" s="351"/>
      <c r="BJ554" s="506" t="s">
        <v>294</v>
      </c>
      <c r="BK554" s="350"/>
      <c r="BL554" s="350"/>
      <c r="BM554" s="351"/>
      <c r="BN554" s="530" t="s">
        <v>294</v>
      </c>
      <c r="BO554" s="350"/>
      <c r="BP554" s="350"/>
      <c r="BQ554" s="350"/>
      <c r="BR554" s="350"/>
      <c r="BS554" s="350"/>
      <c r="BT554" s="350"/>
      <c r="BU554" s="350"/>
      <c r="BV554" s="351"/>
    </row>
    <row r="555" spans="1:74" ht="45" customHeight="1">
      <c r="A555" s="24">
        <f t="shared" si="2"/>
        <v>541</v>
      </c>
      <c r="B555" s="522" t="s">
        <v>294</v>
      </c>
      <c r="C555" s="351"/>
      <c r="D555" s="523" t="s">
        <v>298</v>
      </c>
      <c r="E555" s="351"/>
      <c r="F555" s="524" t="s">
        <v>325</v>
      </c>
      <c r="G555" s="351"/>
      <c r="H555" s="561" t="s">
        <v>325</v>
      </c>
      <c r="I555" s="351"/>
      <c r="J555" s="562"/>
      <c r="K555" s="351"/>
      <c r="L555" s="562"/>
      <c r="M555" s="351"/>
      <c r="N555" s="34"/>
      <c r="O555" s="38"/>
      <c r="P555" s="560"/>
      <c r="Q555" s="351"/>
      <c r="R555" s="527"/>
      <c r="S555" s="351"/>
      <c r="T555" s="528"/>
      <c r="U555" s="351"/>
      <c r="V555" s="537"/>
      <c r="W555" s="351"/>
      <c r="X555" s="542" t="s">
        <v>294</v>
      </c>
      <c r="Y555" s="350"/>
      <c r="Z555" s="350"/>
      <c r="AA555" s="351"/>
      <c r="AB555" s="543" t="s">
        <v>294</v>
      </c>
      <c r="AC555" s="350"/>
      <c r="AD555" s="350"/>
      <c r="AE555" s="351"/>
      <c r="AF555" s="540"/>
      <c r="AG555" s="351"/>
      <c r="AH555" s="544"/>
      <c r="AI555" s="351"/>
      <c r="AJ555" s="532"/>
      <c r="AK555" s="351"/>
      <c r="AL555" s="524" t="s">
        <v>325</v>
      </c>
      <c r="AM555" s="351"/>
      <c r="AN555" s="549" t="s">
        <v>325</v>
      </c>
      <c r="AO555" s="351"/>
      <c r="AP555" s="532"/>
      <c r="AQ555" s="351"/>
      <c r="AR555" s="533"/>
      <c r="AS555" s="351"/>
      <c r="AT555" s="534"/>
      <c r="AU555" s="351"/>
      <c r="AV555" s="549" t="s">
        <v>325</v>
      </c>
      <c r="AW555" s="351"/>
      <c r="AX555" s="553"/>
      <c r="AY555" s="350"/>
      <c r="AZ555" s="351"/>
      <c r="BA555" s="545"/>
      <c r="BB555" s="351"/>
      <c r="BC555" s="39"/>
      <c r="BD555" s="546" t="s">
        <v>325</v>
      </c>
      <c r="BE555" s="351"/>
      <c r="BF555" s="529"/>
      <c r="BG555" s="350"/>
      <c r="BH555" s="350"/>
      <c r="BI555" s="351"/>
      <c r="BJ555" s="548" t="s">
        <v>294</v>
      </c>
      <c r="BK555" s="350"/>
      <c r="BL555" s="350"/>
      <c r="BM555" s="351"/>
      <c r="BN555" s="530" t="s">
        <v>294</v>
      </c>
      <c r="BO555" s="350"/>
      <c r="BP555" s="350"/>
      <c r="BQ555" s="350"/>
      <c r="BR555" s="350"/>
      <c r="BS555" s="350"/>
      <c r="BT555" s="350"/>
      <c r="BU555" s="350"/>
      <c r="BV555" s="351"/>
    </row>
    <row r="556" spans="1:74" ht="45" customHeight="1">
      <c r="A556" s="24">
        <f t="shared" si="2"/>
        <v>542</v>
      </c>
      <c r="B556" s="558" t="s">
        <v>294</v>
      </c>
      <c r="C556" s="351"/>
      <c r="D556" s="559" t="s">
        <v>298</v>
      </c>
      <c r="E556" s="351"/>
      <c r="F556" s="524" t="s">
        <v>325</v>
      </c>
      <c r="G556" s="351"/>
      <c r="H556" s="525" t="s">
        <v>325</v>
      </c>
      <c r="I556" s="351"/>
      <c r="J556" s="40"/>
      <c r="K556" s="41"/>
      <c r="L556" s="40"/>
      <c r="M556" s="41"/>
      <c r="N556" s="37"/>
      <c r="O556" s="35"/>
      <c r="P556" s="526"/>
      <c r="Q556" s="351"/>
      <c r="R556" s="535"/>
      <c r="S556" s="351"/>
      <c r="T556" s="536"/>
      <c r="U556" s="351"/>
      <c r="V556" s="541"/>
      <c r="W556" s="351"/>
      <c r="X556" s="538" t="s">
        <v>294</v>
      </c>
      <c r="Y556" s="350"/>
      <c r="Z556" s="350"/>
      <c r="AA556" s="351"/>
      <c r="AB556" s="539" t="s">
        <v>294</v>
      </c>
      <c r="AC556" s="350"/>
      <c r="AD556" s="350"/>
      <c r="AE556" s="351"/>
      <c r="AF556" s="544"/>
      <c r="AG556" s="351"/>
      <c r="AH556" s="540"/>
      <c r="AI556" s="351"/>
      <c r="AJ556" s="545"/>
      <c r="AK556" s="351"/>
      <c r="AL556" s="555" t="s">
        <v>325</v>
      </c>
      <c r="AM556" s="351"/>
      <c r="AN556" s="531" t="s">
        <v>325</v>
      </c>
      <c r="AO556" s="351"/>
      <c r="AP556" s="550"/>
      <c r="AQ556" s="351"/>
      <c r="AR556" s="551"/>
      <c r="AS556" s="351"/>
      <c r="AT556" s="534"/>
      <c r="AU556" s="351"/>
      <c r="AV556" s="531" t="s">
        <v>325</v>
      </c>
      <c r="AW556" s="351"/>
      <c r="AX556" s="553"/>
      <c r="AY556" s="350"/>
      <c r="AZ556" s="351"/>
      <c r="BA556" s="554"/>
      <c r="BB556" s="351"/>
      <c r="BC556" s="36"/>
      <c r="BD556" s="556" t="s">
        <v>325</v>
      </c>
      <c r="BE556" s="351"/>
      <c r="BF556" s="547"/>
      <c r="BG556" s="350"/>
      <c r="BH556" s="350"/>
      <c r="BI556" s="351"/>
      <c r="BJ556" s="506" t="s">
        <v>294</v>
      </c>
      <c r="BK556" s="350"/>
      <c r="BL556" s="350"/>
      <c r="BM556" s="351"/>
      <c r="BN556" s="530" t="s">
        <v>294</v>
      </c>
      <c r="BO556" s="350"/>
      <c r="BP556" s="350"/>
      <c r="BQ556" s="350"/>
      <c r="BR556" s="350"/>
      <c r="BS556" s="350"/>
      <c r="BT556" s="350"/>
      <c r="BU556" s="350"/>
      <c r="BV556" s="351"/>
    </row>
    <row r="557" spans="1:74" ht="45" customHeight="1">
      <c r="A557" s="24">
        <f t="shared" si="2"/>
        <v>543</v>
      </c>
      <c r="B557" s="522" t="s">
        <v>294</v>
      </c>
      <c r="C557" s="351"/>
      <c r="D557" s="523" t="s">
        <v>298</v>
      </c>
      <c r="E557" s="351"/>
      <c r="F557" s="524" t="s">
        <v>325</v>
      </c>
      <c r="G557" s="351"/>
      <c r="H557" s="561" t="s">
        <v>325</v>
      </c>
      <c r="I557" s="351"/>
      <c r="J557" s="562"/>
      <c r="K557" s="351"/>
      <c r="L557" s="562"/>
      <c r="M557" s="351"/>
      <c r="N557" s="34"/>
      <c r="O557" s="38"/>
      <c r="P557" s="560"/>
      <c r="Q557" s="351"/>
      <c r="R557" s="527"/>
      <c r="S557" s="351"/>
      <c r="T557" s="528"/>
      <c r="U557" s="351"/>
      <c r="V557" s="537"/>
      <c r="W557" s="351"/>
      <c r="X557" s="542" t="s">
        <v>294</v>
      </c>
      <c r="Y557" s="350"/>
      <c r="Z557" s="350"/>
      <c r="AA557" s="351"/>
      <c r="AB557" s="543" t="s">
        <v>294</v>
      </c>
      <c r="AC557" s="350"/>
      <c r="AD557" s="350"/>
      <c r="AE557" s="351"/>
      <c r="AF557" s="540"/>
      <c r="AG557" s="351"/>
      <c r="AH557" s="544"/>
      <c r="AI557" s="351"/>
      <c r="AJ557" s="532"/>
      <c r="AK557" s="351"/>
      <c r="AL557" s="524" t="s">
        <v>325</v>
      </c>
      <c r="AM557" s="351"/>
      <c r="AN557" s="549" t="s">
        <v>325</v>
      </c>
      <c r="AO557" s="351"/>
      <c r="AP557" s="532"/>
      <c r="AQ557" s="351"/>
      <c r="AR557" s="533"/>
      <c r="AS557" s="351"/>
      <c r="AT557" s="534"/>
      <c r="AU557" s="351"/>
      <c r="AV557" s="549" t="s">
        <v>325</v>
      </c>
      <c r="AW557" s="351"/>
      <c r="AX557" s="553"/>
      <c r="AY557" s="350"/>
      <c r="AZ557" s="351"/>
      <c r="BA557" s="545"/>
      <c r="BB557" s="351"/>
      <c r="BC557" s="39"/>
      <c r="BD557" s="546" t="s">
        <v>325</v>
      </c>
      <c r="BE557" s="351"/>
      <c r="BF557" s="557"/>
      <c r="BG557" s="350"/>
      <c r="BH557" s="350"/>
      <c r="BI557" s="351"/>
      <c r="BJ557" s="548" t="s">
        <v>294</v>
      </c>
      <c r="BK557" s="350"/>
      <c r="BL557" s="350"/>
      <c r="BM557" s="351"/>
      <c r="BN557" s="530" t="s">
        <v>294</v>
      </c>
      <c r="BO557" s="350"/>
      <c r="BP557" s="350"/>
      <c r="BQ557" s="350"/>
      <c r="BR557" s="350"/>
      <c r="BS557" s="350"/>
      <c r="BT557" s="350"/>
      <c r="BU557" s="350"/>
      <c r="BV557" s="351"/>
    </row>
    <row r="558" spans="1:74" ht="45" customHeight="1">
      <c r="A558" s="24">
        <f t="shared" si="2"/>
        <v>544</v>
      </c>
      <c r="B558" s="558" t="s">
        <v>294</v>
      </c>
      <c r="C558" s="351"/>
      <c r="D558" s="559" t="s">
        <v>298</v>
      </c>
      <c r="E558" s="351"/>
      <c r="F558" s="524" t="s">
        <v>325</v>
      </c>
      <c r="G558" s="351"/>
      <c r="H558" s="525" t="s">
        <v>325</v>
      </c>
      <c r="I558" s="351"/>
      <c r="J558" s="40"/>
      <c r="K558" s="41"/>
      <c r="L558" s="40"/>
      <c r="M558" s="41"/>
      <c r="N558" s="37"/>
      <c r="O558" s="35"/>
      <c r="P558" s="526"/>
      <c r="Q558" s="351"/>
      <c r="R558" s="535"/>
      <c r="S558" s="351"/>
      <c r="T558" s="536"/>
      <c r="U558" s="351"/>
      <c r="V558" s="541"/>
      <c r="W558" s="351"/>
      <c r="X558" s="538" t="s">
        <v>294</v>
      </c>
      <c r="Y558" s="350"/>
      <c r="Z558" s="350"/>
      <c r="AA558" s="351"/>
      <c r="AB558" s="539" t="s">
        <v>294</v>
      </c>
      <c r="AC558" s="350"/>
      <c r="AD558" s="350"/>
      <c r="AE558" s="351"/>
      <c r="AF558" s="544"/>
      <c r="AG558" s="351"/>
      <c r="AH558" s="540"/>
      <c r="AI558" s="351"/>
      <c r="AJ558" s="545"/>
      <c r="AK558" s="351"/>
      <c r="AL558" s="555" t="s">
        <v>325</v>
      </c>
      <c r="AM558" s="351"/>
      <c r="AN558" s="531" t="s">
        <v>325</v>
      </c>
      <c r="AO558" s="351"/>
      <c r="AP558" s="550"/>
      <c r="AQ558" s="351"/>
      <c r="AR558" s="551"/>
      <c r="AS558" s="351"/>
      <c r="AT558" s="534"/>
      <c r="AU558" s="351"/>
      <c r="AV558" s="531" t="s">
        <v>325</v>
      </c>
      <c r="AW558" s="351"/>
      <c r="AX558" s="553"/>
      <c r="AY558" s="350"/>
      <c r="AZ558" s="351"/>
      <c r="BA558" s="554"/>
      <c r="BB558" s="351"/>
      <c r="BC558" s="36"/>
      <c r="BD558" s="556" t="s">
        <v>325</v>
      </c>
      <c r="BE558" s="351"/>
      <c r="BF558" s="547"/>
      <c r="BG558" s="350"/>
      <c r="BH558" s="350"/>
      <c r="BI558" s="351"/>
      <c r="BJ558" s="506" t="s">
        <v>294</v>
      </c>
      <c r="BK558" s="350"/>
      <c r="BL558" s="350"/>
      <c r="BM558" s="351"/>
      <c r="BN558" s="530" t="s">
        <v>294</v>
      </c>
      <c r="BO558" s="350"/>
      <c r="BP558" s="350"/>
      <c r="BQ558" s="350"/>
      <c r="BR558" s="350"/>
      <c r="BS558" s="350"/>
      <c r="BT558" s="350"/>
      <c r="BU558" s="350"/>
      <c r="BV558" s="351"/>
    </row>
    <row r="559" spans="1:74" ht="45" customHeight="1">
      <c r="A559" s="24">
        <f t="shared" si="2"/>
        <v>545</v>
      </c>
      <c r="B559" s="522" t="s">
        <v>294</v>
      </c>
      <c r="C559" s="351"/>
      <c r="D559" s="523" t="s">
        <v>298</v>
      </c>
      <c r="E559" s="351"/>
      <c r="F559" s="524" t="s">
        <v>325</v>
      </c>
      <c r="G559" s="351"/>
      <c r="H559" s="561" t="s">
        <v>325</v>
      </c>
      <c r="I559" s="351"/>
      <c r="J559" s="562"/>
      <c r="K559" s="351"/>
      <c r="L559" s="562"/>
      <c r="M559" s="351"/>
      <c r="N559" s="34"/>
      <c r="O559" s="38"/>
      <c r="P559" s="560"/>
      <c r="Q559" s="351"/>
      <c r="R559" s="527"/>
      <c r="S559" s="351"/>
      <c r="T559" s="528"/>
      <c r="U559" s="351"/>
      <c r="V559" s="537"/>
      <c r="W559" s="351"/>
      <c r="X559" s="542" t="s">
        <v>294</v>
      </c>
      <c r="Y559" s="350"/>
      <c r="Z559" s="350"/>
      <c r="AA559" s="351"/>
      <c r="AB559" s="543" t="s">
        <v>294</v>
      </c>
      <c r="AC559" s="350"/>
      <c r="AD559" s="350"/>
      <c r="AE559" s="351"/>
      <c r="AF559" s="540"/>
      <c r="AG559" s="351"/>
      <c r="AH559" s="544"/>
      <c r="AI559" s="351"/>
      <c r="AJ559" s="532"/>
      <c r="AK559" s="351"/>
      <c r="AL559" s="524" t="s">
        <v>325</v>
      </c>
      <c r="AM559" s="351"/>
      <c r="AN559" s="549" t="s">
        <v>325</v>
      </c>
      <c r="AO559" s="351"/>
      <c r="AP559" s="532"/>
      <c r="AQ559" s="351"/>
      <c r="AR559" s="533"/>
      <c r="AS559" s="351"/>
      <c r="AT559" s="534"/>
      <c r="AU559" s="351"/>
      <c r="AV559" s="549" t="s">
        <v>325</v>
      </c>
      <c r="AW559" s="351"/>
      <c r="AX559" s="553"/>
      <c r="AY559" s="350"/>
      <c r="AZ559" s="351"/>
      <c r="BA559" s="545"/>
      <c r="BB559" s="351"/>
      <c r="BC559" s="39"/>
      <c r="BD559" s="546" t="s">
        <v>325</v>
      </c>
      <c r="BE559" s="351"/>
      <c r="BF559" s="529"/>
      <c r="BG559" s="350"/>
      <c r="BH559" s="350"/>
      <c r="BI559" s="351"/>
      <c r="BJ559" s="548" t="s">
        <v>294</v>
      </c>
      <c r="BK559" s="350"/>
      <c r="BL559" s="350"/>
      <c r="BM559" s="351"/>
      <c r="BN559" s="530" t="s">
        <v>294</v>
      </c>
      <c r="BO559" s="350"/>
      <c r="BP559" s="350"/>
      <c r="BQ559" s="350"/>
      <c r="BR559" s="350"/>
      <c r="BS559" s="350"/>
      <c r="BT559" s="350"/>
      <c r="BU559" s="350"/>
      <c r="BV559" s="351"/>
    </row>
    <row r="560" spans="1:74" ht="45" customHeight="1">
      <c r="A560" s="24">
        <f t="shared" si="2"/>
        <v>546</v>
      </c>
      <c r="B560" s="558" t="s">
        <v>294</v>
      </c>
      <c r="C560" s="351"/>
      <c r="D560" s="559" t="s">
        <v>298</v>
      </c>
      <c r="E560" s="351"/>
      <c r="F560" s="524" t="s">
        <v>325</v>
      </c>
      <c r="G560" s="351"/>
      <c r="H560" s="525" t="s">
        <v>325</v>
      </c>
      <c r="I560" s="351"/>
      <c r="J560" s="40"/>
      <c r="K560" s="41"/>
      <c r="L560" s="40"/>
      <c r="M560" s="41"/>
      <c r="N560" s="37"/>
      <c r="O560" s="35"/>
      <c r="P560" s="526"/>
      <c r="Q560" s="351"/>
      <c r="R560" s="535"/>
      <c r="S560" s="351"/>
      <c r="T560" s="536"/>
      <c r="U560" s="351"/>
      <c r="V560" s="541"/>
      <c r="W560" s="351"/>
      <c r="X560" s="538" t="s">
        <v>294</v>
      </c>
      <c r="Y560" s="350"/>
      <c r="Z560" s="350"/>
      <c r="AA560" s="351"/>
      <c r="AB560" s="539" t="s">
        <v>294</v>
      </c>
      <c r="AC560" s="350"/>
      <c r="AD560" s="350"/>
      <c r="AE560" s="351"/>
      <c r="AF560" s="544"/>
      <c r="AG560" s="351"/>
      <c r="AH560" s="540"/>
      <c r="AI560" s="351"/>
      <c r="AJ560" s="545"/>
      <c r="AK560" s="351"/>
      <c r="AL560" s="555" t="s">
        <v>325</v>
      </c>
      <c r="AM560" s="351"/>
      <c r="AN560" s="531" t="s">
        <v>325</v>
      </c>
      <c r="AO560" s="351"/>
      <c r="AP560" s="550"/>
      <c r="AQ560" s="351"/>
      <c r="AR560" s="551"/>
      <c r="AS560" s="351"/>
      <c r="AT560" s="534"/>
      <c r="AU560" s="351"/>
      <c r="AV560" s="531" t="s">
        <v>325</v>
      </c>
      <c r="AW560" s="351"/>
      <c r="AX560" s="553"/>
      <c r="AY560" s="350"/>
      <c r="AZ560" s="351"/>
      <c r="BA560" s="554"/>
      <c r="BB560" s="351"/>
      <c r="BC560" s="36"/>
      <c r="BD560" s="556" t="s">
        <v>325</v>
      </c>
      <c r="BE560" s="351"/>
      <c r="BF560" s="547"/>
      <c r="BG560" s="350"/>
      <c r="BH560" s="350"/>
      <c r="BI560" s="351"/>
      <c r="BJ560" s="506" t="s">
        <v>294</v>
      </c>
      <c r="BK560" s="350"/>
      <c r="BL560" s="350"/>
      <c r="BM560" s="351"/>
      <c r="BN560" s="530" t="s">
        <v>294</v>
      </c>
      <c r="BO560" s="350"/>
      <c r="BP560" s="350"/>
      <c r="BQ560" s="350"/>
      <c r="BR560" s="350"/>
      <c r="BS560" s="350"/>
      <c r="BT560" s="350"/>
      <c r="BU560" s="350"/>
      <c r="BV560" s="351"/>
    </row>
    <row r="561" spans="1:74" ht="45" customHeight="1">
      <c r="A561" s="24">
        <f t="shared" si="2"/>
        <v>547</v>
      </c>
      <c r="B561" s="522" t="s">
        <v>294</v>
      </c>
      <c r="C561" s="351"/>
      <c r="D561" s="523" t="s">
        <v>298</v>
      </c>
      <c r="E561" s="351"/>
      <c r="F561" s="524" t="s">
        <v>325</v>
      </c>
      <c r="G561" s="351"/>
      <c r="H561" s="561" t="s">
        <v>325</v>
      </c>
      <c r="I561" s="351"/>
      <c r="J561" s="562"/>
      <c r="K561" s="351"/>
      <c r="L561" s="562"/>
      <c r="M561" s="351"/>
      <c r="N561" s="34"/>
      <c r="O561" s="38"/>
      <c r="P561" s="560"/>
      <c r="Q561" s="351"/>
      <c r="R561" s="527"/>
      <c r="S561" s="351"/>
      <c r="T561" s="528"/>
      <c r="U561" s="351"/>
      <c r="V561" s="537"/>
      <c r="W561" s="351"/>
      <c r="X561" s="542" t="s">
        <v>294</v>
      </c>
      <c r="Y561" s="350"/>
      <c r="Z561" s="350"/>
      <c r="AA561" s="351"/>
      <c r="AB561" s="543" t="s">
        <v>294</v>
      </c>
      <c r="AC561" s="350"/>
      <c r="AD561" s="350"/>
      <c r="AE561" s="351"/>
      <c r="AF561" s="540"/>
      <c r="AG561" s="351"/>
      <c r="AH561" s="544"/>
      <c r="AI561" s="351"/>
      <c r="AJ561" s="532"/>
      <c r="AK561" s="351"/>
      <c r="AL561" s="524" t="s">
        <v>325</v>
      </c>
      <c r="AM561" s="351"/>
      <c r="AN561" s="549" t="s">
        <v>325</v>
      </c>
      <c r="AO561" s="351"/>
      <c r="AP561" s="532"/>
      <c r="AQ561" s="351"/>
      <c r="AR561" s="533"/>
      <c r="AS561" s="351"/>
      <c r="AT561" s="534"/>
      <c r="AU561" s="351"/>
      <c r="AV561" s="549" t="s">
        <v>325</v>
      </c>
      <c r="AW561" s="351"/>
      <c r="AX561" s="553"/>
      <c r="AY561" s="350"/>
      <c r="AZ561" s="351"/>
      <c r="BA561" s="545"/>
      <c r="BB561" s="351"/>
      <c r="BC561" s="39"/>
      <c r="BD561" s="546" t="s">
        <v>325</v>
      </c>
      <c r="BE561" s="351"/>
      <c r="BF561" s="557"/>
      <c r="BG561" s="350"/>
      <c r="BH561" s="350"/>
      <c r="BI561" s="351"/>
      <c r="BJ561" s="548" t="s">
        <v>294</v>
      </c>
      <c r="BK561" s="350"/>
      <c r="BL561" s="350"/>
      <c r="BM561" s="351"/>
      <c r="BN561" s="530" t="s">
        <v>294</v>
      </c>
      <c r="BO561" s="350"/>
      <c r="BP561" s="350"/>
      <c r="BQ561" s="350"/>
      <c r="BR561" s="350"/>
      <c r="BS561" s="350"/>
      <c r="BT561" s="350"/>
      <c r="BU561" s="350"/>
      <c r="BV561" s="351"/>
    </row>
    <row r="562" spans="1:74" ht="45" customHeight="1">
      <c r="A562" s="24">
        <f t="shared" si="2"/>
        <v>548</v>
      </c>
      <c r="B562" s="558" t="s">
        <v>294</v>
      </c>
      <c r="C562" s="351"/>
      <c r="D562" s="559" t="s">
        <v>298</v>
      </c>
      <c r="E562" s="351"/>
      <c r="F562" s="524" t="s">
        <v>325</v>
      </c>
      <c r="G562" s="351"/>
      <c r="H562" s="525" t="s">
        <v>325</v>
      </c>
      <c r="I562" s="351"/>
      <c r="J562" s="40"/>
      <c r="K562" s="41"/>
      <c r="L562" s="40"/>
      <c r="M562" s="41"/>
      <c r="N562" s="37"/>
      <c r="O562" s="35"/>
      <c r="P562" s="526"/>
      <c r="Q562" s="351"/>
      <c r="R562" s="535"/>
      <c r="S562" s="351"/>
      <c r="T562" s="536"/>
      <c r="U562" s="351"/>
      <c r="V562" s="541"/>
      <c r="W562" s="351"/>
      <c r="X562" s="538" t="s">
        <v>294</v>
      </c>
      <c r="Y562" s="350"/>
      <c r="Z562" s="350"/>
      <c r="AA562" s="351"/>
      <c r="AB562" s="539" t="s">
        <v>294</v>
      </c>
      <c r="AC562" s="350"/>
      <c r="AD562" s="350"/>
      <c r="AE562" s="351"/>
      <c r="AF562" s="544"/>
      <c r="AG562" s="351"/>
      <c r="AH562" s="540"/>
      <c r="AI562" s="351"/>
      <c r="AJ562" s="545"/>
      <c r="AK562" s="351"/>
      <c r="AL562" s="555" t="s">
        <v>325</v>
      </c>
      <c r="AM562" s="351"/>
      <c r="AN562" s="531" t="s">
        <v>325</v>
      </c>
      <c r="AO562" s="351"/>
      <c r="AP562" s="550"/>
      <c r="AQ562" s="351"/>
      <c r="AR562" s="551"/>
      <c r="AS562" s="351"/>
      <c r="AT562" s="534"/>
      <c r="AU562" s="351"/>
      <c r="AV562" s="531" t="s">
        <v>325</v>
      </c>
      <c r="AW562" s="351"/>
      <c r="AX562" s="553"/>
      <c r="AY562" s="350"/>
      <c r="AZ562" s="351"/>
      <c r="BA562" s="554"/>
      <c r="BB562" s="351"/>
      <c r="BC562" s="36"/>
      <c r="BD562" s="556" t="s">
        <v>325</v>
      </c>
      <c r="BE562" s="351"/>
      <c r="BF562" s="547"/>
      <c r="BG562" s="350"/>
      <c r="BH562" s="350"/>
      <c r="BI562" s="351"/>
      <c r="BJ562" s="506" t="s">
        <v>294</v>
      </c>
      <c r="BK562" s="350"/>
      <c r="BL562" s="350"/>
      <c r="BM562" s="351"/>
      <c r="BN562" s="530" t="s">
        <v>294</v>
      </c>
      <c r="BO562" s="350"/>
      <c r="BP562" s="350"/>
      <c r="BQ562" s="350"/>
      <c r="BR562" s="350"/>
      <c r="BS562" s="350"/>
      <c r="BT562" s="350"/>
      <c r="BU562" s="350"/>
      <c r="BV562" s="351"/>
    </row>
    <row r="563" spans="1:74" ht="45" customHeight="1">
      <c r="A563" s="24">
        <f t="shared" si="2"/>
        <v>549</v>
      </c>
      <c r="B563" s="522" t="s">
        <v>294</v>
      </c>
      <c r="C563" s="351"/>
      <c r="D563" s="523" t="s">
        <v>298</v>
      </c>
      <c r="E563" s="351"/>
      <c r="F563" s="524" t="s">
        <v>325</v>
      </c>
      <c r="G563" s="351"/>
      <c r="H563" s="561" t="s">
        <v>325</v>
      </c>
      <c r="I563" s="351"/>
      <c r="J563" s="562"/>
      <c r="K563" s="351"/>
      <c r="L563" s="562"/>
      <c r="M563" s="351"/>
      <c r="N563" s="34"/>
      <c r="O563" s="38"/>
      <c r="P563" s="560"/>
      <c r="Q563" s="351"/>
      <c r="R563" s="527"/>
      <c r="S563" s="351"/>
      <c r="T563" s="528"/>
      <c r="U563" s="351"/>
      <c r="V563" s="537"/>
      <c r="W563" s="351"/>
      <c r="X563" s="542" t="s">
        <v>294</v>
      </c>
      <c r="Y563" s="350"/>
      <c r="Z563" s="350"/>
      <c r="AA563" s="351"/>
      <c r="AB563" s="543" t="s">
        <v>294</v>
      </c>
      <c r="AC563" s="350"/>
      <c r="AD563" s="350"/>
      <c r="AE563" s="351"/>
      <c r="AF563" s="540"/>
      <c r="AG563" s="351"/>
      <c r="AH563" s="544"/>
      <c r="AI563" s="351"/>
      <c r="AJ563" s="532"/>
      <c r="AK563" s="351"/>
      <c r="AL563" s="524" t="s">
        <v>325</v>
      </c>
      <c r="AM563" s="351"/>
      <c r="AN563" s="549" t="s">
        <v>325</v>
      </c>
      <c r="AO563" s="351"/>
      <c r="AP563" s="532"/>
      <c r="AQ563" s="351"/>
      <c r="AR563" s="533"/>
      <c r="AS563" s="351"/>
      <c r="AT563" s="534"/>
      <c r="AU563" s="351"/>
      <c r="AV563" s="549" t="s">
        <v>325</v>
      </c>
      <c r="AW563" s="351"/>
      <c r="AX563" s="553"/>
      <c r="AY563" s="350"/>
      <c r="AZ563" s="351"/>
      <c r="BA563" s="545"/>
      <c r="BB563" s="351"/>
      <c r="BC563" s="39"/>
      <c r="BD563" s="546" t="s">
        <v>325</v>
      </c>
      <c r="BE563" s="351"/>
      <c r="BF563" s="529"/>
      <c r="BG563" s="350"/>
      <c r="BH563" s="350"/>
      <c r="BI563" s="351"/>
      <c r="BJ563" s="548" t="s">
        <v>294</v>
      </c>
      <c r="BK563" s="350"/>
      <c r="BL563" s="350"/>
      <c r="BM563" s="351"/>
      <c r="BN563" s="530" t="s">
        <v>294</v>
      </c>
      <c r="BO563" s="350"/>
      <c r="BP563" s="350"/>
      <c r="BQ563" s="350"/>
      <c r="BR563" s="350"/>
      <c r="BS563" s="350"/>
      <c r="BT563" s="350"/>
      <c r="BU563" s="350"/>
      <c r="BV563" s="351"/>
    </row>
    <row r="564" spans="1:74" ht="45" customHeight="1">
      <c r="A564" s="24">
        <f t="shared" si="2"/>
        <v>550</v>
      </c>
      <c r="B564" s="558" t="s">
        <v>294</v>
      </c>
      <c r="C564" s="351"/>
      <c r="D564" s="559" t="s">
        <v>298</v>
      </c>
      <c r="E564" s="351"/>
      <c r="F564" s="524" t="s">
        <v>325</v>
      </c>
      <c r="G564" s="351"/>
      <c r="H564" s="525" t="s">
        <v>325</v>
      </c>
      <c r="I564" s="351"/>
      <c r="J564" s="40"/>
      <c r="K564" s="41"/>
      <c r="L564" s="40"/>
      <c r="M564" s="41"/>
      <c r="N564" s="37"/>
      <c r="O564" s="35"/>
      <c r="P564" s="526"/>
      <c r="Q564" s="351"/>
      <c r="R564" s="535"/>
      <c r="S564" s="351"/>
      <c r="T564" s="536"/>
      <c r="U564" s="351"/>
      <c r="V564" s="541"/>
      <c r="W564" s="351"/>
      <c r="X564" s="538" t="s">
        <v>294</v>
      </c>
      <c r="Y564" s="350"/>
      <c r="Z564" s="350"/>
      <c r="AA564" s="351"/>
      <c r="AB564" s="539" t="s">
        <v>294</v>
      </c>
      <c r="AC564" s="350"/>
      <c r="AD564" s="350"/>
      <c r="AE564" s="351"/>
      <c r="AF564" s="544"/>
      <c r="AG564" s="351"/>
      <c r="AH564" s="540"/>
      <c r="AI564" s="351"/>
      <c r="AJ564" s="545"/>
      <c r="AK564" s="351"/>
      <c r="AL564" s="555" t="s">
        <v>325</v>
      </c>
      <c r="AM564" s="351"/>
      <c r="AN564" s="531" t="s">
        <v>325</v>
      </c>
      <c r="AO564" s="351"/>
      <c r="AP564" s="550"/>
      <c r="AQ564" s="351"/>
      <c r="AR564" s="551"/>
      <c r="AS564" s="351"/>
      <c r="AT564" s="534"/>
      <c r="AU564" s="351"/>
      <c r="AV564" s="531" t="s">
        <v>325</v>
      </c>
      <c r="AW564" s="351"/>
      <c r="AX564" s="553"/>
      <c r="AY564" s="350"/>
      <c r="AZ564" s="351"/>
      <c r="BA564" s="554"/>
      <c r="BB564" s="351"/>
      <c r="BC564" s="36"/>
      <c r="BD564" s="556" t="s">
        <v>325</v>
      </c>
      <c r="BE564" s="351"/>
      <c r="BF564" s="547"/>
      <c r="BG564" s="350"/>
      <c r="BH564" s="350"/>
      <c r="BI564" s="351"/>
      <c r="BJ564" s="506" t="s">
        <v>294</v>
      </c>
      <c r="BK564" s="350"/>
      <c r="BL564" s="350"/>
      <c r="BM564" s="351"/>
      <c r="BN564" s="530" t="s">
        <v>294</v>
      </c>
      <c r="BO564" s="350"/>
      <c r="BP564" s="350"/>
      <c r="BQ564" s="350"/>
      <c r="BR564" s="350"/>
      <c r="BS564" s="350"/>
      <c r="BT564" s="350"/>
      <c r="BU564" s="350"/>
      <c r="BV564" s="351"/>
    </row>
    <row r="565" spans="1:74" ht="45" customHeight="1">
      <c r="A565" s="24">
        <f t="shared" si="2"/>
        <v>551</v>
      </c>
      <c r="B565" s="522" t="s">
        <v>294</v>
      </c>
      <c r="C565" s="351"/>
      <c r="D565" s="523" t="s">
        <v>298</v>
      </c>
      <c r="E565" s="351"/>
      <c r="F565" s="524" t="s">
        <v>325</v>
      </c>
      <c r="G565" s="351"/>
      <c r="H565" s="561" t="s">
        <v>325</v>
      </c>
      <c r="I565" s="351"/>
      <c r="J565" s="562"/>
      <c r="K565" s="351"/>
      <c r="L565" s="562"/>
      <c r="M565" s="351"/>
      <c r="N565" s="34"/>
      <c r="O565" s="35"/>
      <c r="P565" s="526"/>
      <c r="Q565" s="351"/>
      <c r="R565" s="527"/>
      <c r="S565" s="351"/>
      <c r="T565" s="528"/>
      <c r="U565" s="351"/>
      <c r="V565" s="541"/>
      <c r="W565" s="351"/>
      <c r="X565" s="542" t="s">
        <v>294</v>
      </c>
      <c r="Y565" s="350"/>
      <c r="Z565" s="350"/>
      <c r="AA565" s="351"/>
      <c r="AB565" s="543" t="s">
        <v>294</v>
      </c>
      <c r="AC565" s="350"/>
      <c r="AD565" s="350"/>
      <c r="AE565" s="351"/>
      <c r="AF565" s="544"/>
      <c r="AG565" s="351"/>
      <c r="AH565" s="544"/>
      <c r="AI565" s="351"/>
      <c r="AJ565" s="532"/>
      <c r="AK565" s="351"/>
      <c r="AL565" s="524" t="s">
        <v>325</v>
      </c>
      <c r="AM565" s="351"/>
      <c r="AN565" s="549" t="s">
        <v>325</v>
      </c>
      <c r="AO565" s="351"/>
      <c r="AP565" s="532"/>
      <c r="AQ565" s="351"/>
      <c r="AR565" s="533"/>
      <c r="AS565" s="351"/>
      <c r="AT565" s="534"/>
      <c r="AU565" s="351"/>
      <c r="AV565" s="549" t="s">
        <v>325</v>
      </c>
      <c r="AW565" s="351"/>
      <c r="AX565" s="553"/>
      <c r="AY565" s="350"/>
      <c r="AZ565" s="351"/>
      <c r="BA565" s="545"/>
      <c r="BB565" s="351"/>
      <c r="BC565" s="39"/>
      <c r="BD565" s="546" t="s">
        <v>325</v>
      </c>
      <c r="BE565" s="351"/>
      <c r="BF565" s="529"/>
      <c r="BG565" s="350"/>
      <c r="BH565" s="350"/>
      <c r="BI565" s="351"/>
      <c r="BJ565" s="548" t="s">
        <v>294</v>
      </c>
      <c r="BK565" s="350"/>
      <c r="BL565" s="350"/>
      <c r="BM565" s="351"/>
      <c r="BN565" s="530" t="s">
        <v>294</v>
      </c>
      <c r="BO565" s="350"/>
      <c r="BP565" s="350"/>
      <c r="BQ565" s="350"/>
      <c r="BR565" s="350"/>
      <c r="BS565" s="350"/>
      <c r="BT565" s="350"/>
      <c r="BU565" s="350"/>
      <c r="BV565" s="351"/>
    </row>
    <row r="566" spans="1:74" ht="45" customHeight="1">
      <c r="A566" s="24">
        <f t="shared" si="2"/>
        <v>552</v>
      </c>
      <c r="B566" s="558" t="s">
        <v>294</v>
      </c>
      <c r="C566" s="351"/>
      <c r="D566" s="559" t="s">
        <v>298</v>
      </c>
      <c r="E566" s="351"/>
      <c r="F566" s="524" t="s">
        <v>325</v>
      </c>
      <c r="G566" s="351"/>
      <c r="H566" s="525" t="s">
        <v>325</v>
      </c>
      <c r="I566" s="351"/>
      <c r="J566" s="40"/>
      <c r="K566" s="41"/>
      <c r="L566" s="40"/>
      <c r="M566" s="41"/>
      <c r="N566" s="37"/>
      <c r="O566" s="38"/>
      <c r="P566" s="560"/>
      <c r="Q566" s="351"/>
      <c r="R566" s="535"/>
      <c r="S566" s="351"/>
      <c r="T566" s="536"/>
      <c r="U566" s="351"/>
      <c r="V566" s="537"/>
      <c r="W566" s="351"/>
      <c r="X566" s="538" t="s">
        <v>294</v>
      </c>
      <c r="Y566" s="350"/>
      <c r="Z566" s="350"/>
      <c r="AA566" s="351"/>
      <c r="AB566" s="539" t="s">
        <v>294</v>
      </c>
      <c r="AC566" s="350"/>
      <c r="AD566" s="350"/>
      <c r="AE566" s="351"/>
      <c r="AF566" s="540"/>
      <c r="AG566" s="351"/>
      <c r="AH566" s="540"/>
      <c r="AI566" s="351"/>
      <c r="AJ566" s="545"/>
      <c r="AK566" s="351"/>
      <c r="AL566" s="555" t="s">
        <v>325</v>
      </c>
      <c r="AM566" s="351"/>
      <c r="AN566" s="531" t="s">
        <v>325</v>
      </c>
      <c r="AO566" s="351"/>
      <c r="AP566" s="550"/>
      <c r="AQ566" s="351"/>
      <c r="AR566" s="551"/>
      <c r="AS566" s="351"/>
      <c r="AT566" s="534"/>
      <c r="AU566" s="351"/>
      <c r="AV566" s="531" t="s">
        <v>325</v>
      </c>
      <c r="AW566" s="351"/>
      <c r="AX566" s="553"/>
      <c r="AY566" s="350"/>
      <c r="AZ566" s="351"/>
      <c r="BA566" s="554"/>
      <c r="BB566" s="351"/>
      <c r="BC566" s="36"/>
      <c r="BD566" s="556" t="s">
        <v>325</v>
      </c>
      <c r="BE566" s="351"/>
      <c r="BF566" s="547"/>
      <c r="BG566" s="350"/>
      <c r="BH566" s="350"/>
      <c r="BI566" s="351"/>
      <c r="BJ566" s="506" t="s">
        <v>294</v>
      </c>
      <c r="BK566" s="350"/>
      <c r="BL566" s="350"/>
      <c r="BM566" s="351"/>
      <c r="BN566" s="530" t="s">
        <v>294</v>
      </c>
      <c r="BO566" s="350"/>
      <c r="BP566" s="350"/>
      <c r="BQ566" s="350"/>
      <c r="BR566" s="350"/>
      <c r="BS566" s="350"/>
      <c r="BT566" s="350"/>
      <c r="BU566" s="350"/>
      <c r="BV566" s="351"/>
    </row>
    <row r="567" spans="1:74" ht="45" customHeight="1">
      <c r="A567" s="24">
        <f t="shared" si="2"/>
        <v>553</v>
      </c>
      <c r="B567" s="522" t="s">
        <v>294</v>
      </c>
      <c r="C567" s="351"/>
      <c r="D567" s="523" t="s">
        <v>298</v>
      </c>
      <c r="E567" s="351"/>
      <c r="F567" s="524" t="s">
        <v>325</v>
      </c>
      <c r="G567" s="351"/>
      <c r="H567" s="561" t="s">
        <v>325</v>
      </c>
      <c r="I567" s="351"/>
      <c r="J567" s="562"/>
      <c r="K567" s="351"/>
      <c r="L567" s="562"/>
      <c r="M567" s="351"/>
      <c r="N567" s="34"/>
      <c r="O567" s="35"/>
      <c r="P567" s="526"/>
      <c r="Q567" s="351"/>
      <c r="R567" s="527"/>
      <c r="S567" s="351"/>
      <c r="T567" s="528"/>
      <c r="U567" s="351"/>
      <c r="V567" s="541"/>
      <c r="W567" s="351"/>
      <c r="X567" s="542" t="s">
        <v>294</v>
      </c>
      <c r="Y567" s="350"/>
      <c r="Z567" s="350"/>
      <c r="AA567" s="351"/>
      <c r="AB567" s="543" t="s">
        <v>294</v>
      </c>
      <c r="AC567" s="350"/>
      <c r="AD567" s="350"/>
      <c r="AE567" s="351"/>
      <c r="AF567" s="544"/>
      <c r="AG567" s="351"/>
      <c r="AH567" s="544"/>
      <c r="AI567" s="351"/>
      <c r="AJ567" s="532"/>
      <c r="AK567" s="351"/>
      <c r="AL567" s="524" t="s">
        <v>325</v>
      </c>
      <c r="AM567" s="351"/>
      <c r="AN567" s="549" t="s">
        <v>325</v>
      </c>
      <c r="AO567" s="351"/>
      <c r="AP567" s="532"/>
      <c r="AQ567" s="351"/>
      <c r="AR567" s="533"/>
      <c r="AS567" s="351"/>
      <c r="AT567" s="534"/>
      <c r="AU567" s="351"/>
      <c r="AV567" s="549" t="s">
        <v>325</v>
      </c>
      <c r="AW567" s="351"/>
      <c r="AX567" s="553"/>
      <c r="AY567" s="350"/>
      <c r="AZ567" s="351"/>
      <c r="BA567" s="545"/>
      <c r="BB567" s="351"/>
      <c r="BC567" s="39"/>
      <c r="BD567" s="546" t="s">
        <v>325</v>
      </c>
      <c r="BE567" s="351"/>
      <c r="BF567" s="557"/>
      <c r="BG567" s="350"/>
      <c r="BH567" s="350"/>
      <c r="BI567" s="351"/>
      <c r="BJ567" s="548" t="s">
        <v>294</v>
      </c>
      <c r="BK567" s="350"/>
      <c r="BL567" s="350"/>
      <c r="BM567" s="351"/>
      <c r="BN567" s="530" t="s">
        <v>294</v>
      </c>
      <c r="BO567" s="350"/>
      <c r="BP567" s="350"/>
      <c r="BQ567" s="350"/>
      <c r="BR567" s="350"/>
      <c r="BS567" s="350"/>
      <c r="BT567" s="350"/>
      <c r="BU567" s="350"/>
      <c r="BV567" s="351"/>
    </row>
    <row r="568" spans="1:74" ht="45" customHeight="1">
      <c r="A568" s="24">
        <f t="shared" si="2"/>
        <v>554</v>
      </c>
      <c r="B568" s="558" t="s">
        <v>294</v>
      </c>
      <c r="C568" s="351"/>
      <c r="D568" s="559" t="s">
        <v>298</v>
      </c>
      <c r="E568" s="351"/>
      <c r="F568" s="524" t="s">
        <v>325</v>
      </c>
      <c r="G568" s="351"/>
      <c r="H568" s="525" t="s">
        <v>325</v>
      </c>
      <c r="I568" s="351"/>
      <c r="J568" s="40"/>
      <c r="K568" s="41"/>
      <c r="L568" s="40"/>
      <c r="M568" s="41"/>
      <c r="N568" s="37"/>
      <c r="O568" s="38"/>
      <c r="P568" s="560"/>
      <c r="Q568" s="351"/>
      <c r="R568" s="535"/>
      <c r="S568" s="351"/>
      <c r="T568" s="536"/>
      <c r="U568" s="351"/>
      <c r="V568" s="537"/>
      <c r="W568" s="351"/>
      <c r="X568" s="538" t="s">
        <v>294</v>
      </c>
      <c r="Y568" s="350"/>
      <c r="Z568" s="350"/>
      <c r="AA568" s="351"/>
      <c r="AB568" s="539" t="s">
        <v>294</v>
      </c>
      <c r="AC568" s="350"/>
      <c r="AD568" s="350"/>
      <c r="AE568" s="351"/>
      <c r="AF568" s="540"/>
      <c r="AG568" s="351"/>
      <c r="AH568" s="540"/>
      <c r="AI568" s="351"/>
      <c r="AJ568" s="545"/>
      <c r="AK568" s="351"/>
      <c r="AL568" s="555" t="s">
        <v>325</v>
      </c>
      <c r="AM568" s="351"/>
      <c r="AN568" s="531" t="s">
        <v>325</v>
      </c>
      <c r="AO568" s="351"/>
      <c r="AP568" s="550"/>
      <c r="AQ568" s="351"/>
      <c r="AR568" s="551"/>
      <c r="AS568" s="351"/>
      <c r="AT568" s="534"/>
      <c r="AU568" s="351"/>
      <c r="AV568" s="531" t="s">
        <v>325</v>
      </c>
      <c r="AW568" s="351"/>
      <c r="AX568" s="553"/>
      <c r="AY568" s="350"/>
      <c r="AZ568" s="351"/>
      <c r="BA568" s="554"/>
      <c r="BB568" s="351"/>
      <c r="BC568" s="36"/>
      <c r="BD568" s="556" t="s">
        <v>325</v>
      </c>
      <c r="BE568" s="351"/>
      <c r="BF568" s="547"/>
      <c r="BG568" s="350"/>
      <c r="BH568" s="350"/>
      <c r="BI568" s="351"/>
      <c r="BJ568" s="506" t="s">
        <v>294</v>
      </c>
      <c r="BK568" s="350"/>
      <c r="BL568" s="350"/>
      <c r="BM568" s="351"/>
      <c r="BN568" s="530" t="s">
        <v>294</v>
      </c>
      <c r="BO568" s="350"/>
      <c r="BP568" s="350"/>
      <c r="BQ568" s="350"/>
      <c r="BR568" s="350"/>
      <c r="BS568" s="350"/>
      <c r="BT568" s="350"/>
      <c r="BU568" s="350"/>
      <c r="BV568" s="351"/>
    </row>
    <row r="569" spans="1:74" ht="45" customHeight="1">
      <c r="A569" s="24">
        <f t="shared" si="2"/>
        <v>555</v>
      </c>
      <c r="B569" s="522" t="s">
        <v>294</v>
      </c>
      <c r="C569" s="351"/>
      <c r="D569" s="523" t="s">
        <v>298</v>
      </c>
      <c r="E569" s="351"/>
      <c r="F569" s="524" t="s">
        <v>325</v>
      </c>
      <c r="G569" s="351"/>
      <c r="H569" s="561" t="s">
        <v>325</v>
      </c>
      <c r="I569" s="351"/>
      <c r="J569" s="562"/>
      <c r="K569" s="351"/>
      <c r="L569" s="562"/>
      <c r="M569" s="351"/>
      <c r="N569" s="34"/>
      <c r="O569" s="38"/>
      <c r="P569" s="526"/>
      <c r="Q569" s="351"/>
      <c r="R569" s="527"/>
      <c r="S569" s="351"/>
      <c r="T569" s="528"/>
      <c r="U569" s="351"/>
      <c r="V569" s="541"/>
      <c r="W569" s="351"/>
      <c r="X569" s="542" t="s">
        <v>294</v>
      </c>
      <c r="Y569" s="350"/>
      <c r="Z569" s="350"/>
      <c r="AA569" s="351"/>
      <c r="AB569" s="543" t="s">
        <v>294</v>
      </c>
      <c r="AC569" s="350"/>
      <c r="AD569" s="350"/>
      <c r="AE569" s="351"/>
      <c r="AF569" s="544"/>
      <c r="AG569" s="351"/>
      <c r="AH569" s="544"/>
      <c r="AI569" s="351"/>
      <c r="AJ569" s="532"/>
      <c r="AK569" s="351"/>
      <c r="AL569" s="524" t="s">
        <v>325</v>
      </c>
      <c r="AM569" s="351"/>
      <c r="AN569" s="549" t="s">
        <v>325</v>
      </c>
      <c r="AO569" s="351"/>
      <c r="AP569" s="532"/>
      <c r="AQ569" s="351"/>
      <c r="AR569" s="533"/>
      <c r="AS569" s="351"/>
      <c r="AT569" s="534"/>
      <c r="AU569" s="351"/>
      <c r="AV569" s="549" t="s">
        <v>325</v>
      </c>
      <c r="AW569" s="351"/>
      <c r="AX569" s="553"/>
      <c r="AY569" s="350"/>
      <c r="AZ569" s="351"/>
      <c r="BA569" s="545"/>
      <c r="BB569" s="351"/>
      <c r="BC569" s="39"/>
      <c r="BD569" s="546" t="s">
        <v>325</v>
      </c>
      <c r="BE569" s="351"/>
      <c r="BF569" s="529"/>
      <c r="BG569" s="350"/>
      <c r="BH569" s="350"/>
      <c r="BI569" s="351"/>
      <c r="BJ569" s="548" t="s">
        <v>294</v>
      </c>
      <c r="BK569" s="350"/>
      <c r="BL569" s="350"/>
      <c r="BM569" s="351"/>
      <c r="BN569" s="530" t="s">
        <v>294</v>
      </c>
      <c r="BO569" s="350"/>
      <c r="BP569" s="350"/>
      <c r="BQ569" s="350"/>
      <c r="BR569" s="350"/>
      <c r="BS569" s="350"/>
      <c r="BT569" s="350"/>
      <c r="BU569" s="350"/>
      <c r="BV569" s="351"/>
    </row>
    <row r="570" spans="1:74" ht="45" customHeight="1">
      <c r="A570" s="24">
        <f t="shared" si="2"/>
        <v>556</v>
      </c>
      <c r="B570" s="558" t="s">
        <v>294</v>
      </c>
      <c r="C570" s="351"/>
      <c r="D570" s="559" t="s">
        <v>298</v>
      </c>
      <c r="E570" s="351"/>
      <c r="F570" s="524" t="s">
        <v>325</v>
      </c>
      <c r="G570" s="351"/>
      <c r="H570" s="525" t="s">
        <v>325</v>
      </c>
      <c r="I570" s="351"/>
      <c r="J570" s="40"/>
      <c r="K570" s="41"/>
      <c r="L570" s="40"/>
      <c r="M570" s="41"/>
      <c r="N570" s="37"/>
      <c r="O570" s="35"/>
      <c r="P570" s="560"/>
      <c r="Q570" s="351"/>
      <c r="R570" s="535"/>
      <c r="S570" s="351"/>
      <c r="T570" s="536"/>
      <c r="U570" s="351"/>
      <c r="V570" s="537"/>
      <c r="W570" s="351"/>
      <c r="X570" s="538" t="s">
        <v>294</v>
      </c>
      <c r="Y570" s="350"/>
      <c r="Z570" s="350"/>
      <c r="AA570" s="351"/>
      <c r="AB570" s="539" t="s">
        <v>294</v>
      </c>
      <c r="AC570" s="350"/>
      <c r="AD570" s="350"/>
      <c r="AE570" s="351"/>
      <c r="AF570" s="540"/>
      <c r="AG570" s="351"/>
      <c r="AH570" s="540"/>
      <c r="AI570" s="351"/>
      <c r="AJ570" s="545"/>
      <c r="AK570" s="351"/>
      <c r="AL570" s="555" t="s">
        <v>325</v>
      </c>
      <c r="AM570" s="351"/>
      <c r="AN570" s="531" t="s">
        <v>325</v>
      </c>
      <c r="AO570" s="351"/>
      <c r="AP570" s="550"/>
      <c r="AQ570" s="351"/>
      <c r="AR570" s="551"/>
      <c r="AS570" s="351"/>
      <c r="AT570" s="534"/>
      <c r="AU570" s="351"/>
      <c r="AV570" s="531" t="s">
        <v>325</v>
      </c>
      <c r="AW570" s="351"/>
      <c r="AX570" s="553"/>
      <c r="AY570" s="350"/>
      <c r="AZ570" s="351"/>
      <c r="BA570" s="554"/>
      <c r="BB570" s="351"/>
      <c r="BC570" s="36"/>
      <c r="BD570" s="556" t="s">
        <v>325</v>
      </c>
      <c r="BE570" s="351"/>
      <c r="BF570" s="547"/>
      <c r="BG570" s="350"/>
      <c r="BH570" s="350"/>
      <c r="BI570" s="351"/>
      <c r="BJ570" s="506" t="s">
        <v>294</v>
      </c>
      <c r="BK570" s="350"/>
      <c r="BL570" s="350"/>
      <c r="BM570" s="351"/>
      <c r="BN570" s="530" t="s">
        <v>294</v>
      </c>
      <c r="BO570" s="350"/>
      <c r="BP570" s="350"/>
      <c r="BQ570" s="350"/>
      <c r="BR570" s="350"/>
      <c r="BS570" s="350"/>
      <c r="BT570" s="350"/>
      <c r="BU570" s="350"/>
      <c r="BV570" s="351"/>
    </row>
    <row r="571" spans="1:74" ht="45" customHeight="1">
      <c r="A571" s="24">
        <f t="shared" si="2"/>
        <v>557</v>
      </c>
      <c r="B571" s="522" t="s">
        <v>294</v>
      </c>
      <c r="C571" s="351"/>
      <c r="D571" s="523" t="s">
        <v>298</v>
      </c>
      <c r="E571" s="351"/>
      <c r="F571" s="524" t="s">
        <v>325</v>
      </c>
      <c r="G571" s="351"/>
      <c r="H571" s="561" t="s">
        <v>325</v>
      </c>
      <c r="I571" s="351"/>
      <c r="J571" s="562"/>
      <c r="K571" s="351"/>
      <c r="L571" s="562"/>
      <c r="M571" s="351"/>
      <c r="N571" s="34"/>
      <c r="O571" s="38"/>
      <c r="P571" s="526"/>
      <c r="Q571" s="351"/>
      <c r="R571" s="527"/>
      <c r="S571" s="351"/>
      <c r="T571" s="528"/>
      <c r="U571" s="351"/>
      <c r="V571" s="541"/>
      <c r="W571" s="351"/>
      <c r="X571" s="542" t="s">
        <v>294</v>
      </c>
      <c r="Y571" s="350"/>
      <c r="Z571" s="350"/>
      <c r="AA571" s="351"/>
      <c r="AB571" s="543" t="s">
        <v>294</v>
      </c>
      <c r="AC571" s="350"/>
      <c r="AD571" s="350"/>
      <c r="AE571" s="351"/>
      <c r="AF571" s="544"/>
      <c r="AG571" s="351"/>
      <c r="AH571" s="544"/>
      <c r="AI571" s="351"/>
      <c r="AJ571" s="532"/>
      <c r="AK571" s="351"/>
      <c r="AL571" s="524" t="s">
        <v>325</v>
      </c>
      <c r="AM571" s="351"/>
      <c r="AN571" s="549" t="s">
        <v>325</v>
      </c>
      <c r="AO571" s="351"/>
      <c r="AP571" s="532"/>
      <c r="AQ571" s="351"/>
      <c r="AR571" s="533"/>
      <c r="AS571" s="351"/>
      <c r="AT571" s="534"/>
      <c r="AU571" s="351"/>
      <c r="AV571" s="549" t="s">
        <v>325</v>
      </c>
      <c r="AW571" s="351"/>
      <c r="AX571" s="553"/>
      <c r="AY571" s="350"/>
      <c r="AZ571" s="351"/>
      <c r="BA571" s="545"/>
      <c r="BB571" s="351"/>
      <c r="BC571" s="39"/>
      <c r="BD571" s="546" t="s">
        <v>325</v>
      </c>
      <c r="BE571" s="351"/>
      <c r="BF571" s="557"/>
      <c r="BG571" s="350"/>
      <c r="BH571" s="350"/>
      <c r="BI571" s="351"/>
      <c r="BJ571" s="548" t="s">
        <v>294</v>
      </c>
      <c r="BK571" s="350"/>
      <c r="BL571" s="350"/>
      <c r="BM571" s="351"/>
      <c r="BN571" s="530" t="s">
        <v>294</v>
      </c>
      <c r="BO571" s="350"/>
      <c r="BP571" s="350"/>
      <c r="BQ571" s="350"/>
      <c r="BR571" s="350"/>
      <c r="BS571" s="350"/>
      <c r="BT571" s="350"/>
      <c r="BU571" s="350"/>
      <c r="BV571" s="351"/>
    </row>
    <row r="572" spans="1:74" ht="45" customHeight="1">
      <c r="A572" s="24">
        <f t="shared" si="2"/>
        <v>558</v>
      </c>
      <c r="B572" s="558" t="s">
        <v>294</v>
      </c>
      <c r="C572" s="351"/>
      <c r="D572" s="559" t="s">
        <v>298</v>
      </c>
      <c r="E572" s="351"/>
      <c r="F572" s="524" t="s">
        <v>325</v>
      </c>
      <c r="G572" s="351"/>
      <c r="H572" s="525" t="s">
        <v>325</v>
      </c>
      <c r="I572" s="351"/>
      <c r="J572" s="40"/>
      <c r="K572" s="41"/>
      <c r="L572" s="40"/>
      <c r="M572" s="41"/>
      <c r="N572" s="37"/>
      <c r="O572" s="35"/>
      <c r="P572" s="560"/>
      <c r="Q572" s="351"/>
      <c r="R572" s="535"/>
      <c r="S572" s="351"/>
      <c r="T572" s="536"/>
      <c r="U572" s="351"/>
      <c r="V572" s="537"/>
      <c r="W572" s="351"/>
      <c r="X572" s="538" t="s">
        <v>294</v>
      </c>
      <c r="Y572" s="350"/>
      <c r="Z572" s="350"/>
      <c r="AA572" s="351"/>
      <c r="AB572" s="539" t="s">
        <v>294</v>
      </c>
      <c r="AC572" s="350"/>
      <c r="AD572" s="350"/>
      <c r="AE572" s="351"/>
      <c r="AF572" s="540"/>
      <c r="AG572" s="351"/>
      <c r="AH572" s="540"/>
      <c r="AI572" s="351"/>
      <c r="AJ572" s="545"/>
      <c r="AK572" s="351"/>
      <c r="AL572" s="555" t="s">
        <v>325</v>
      </c>
      <c r="AM572" s="351"/>
      <c r="AN572" s="531" t="s">
        <v>325</v>
      </c>
      <c r="AO572" s="351"/>
      <c r="AP572" s="550"/>
      <c r="AQ572" s="351"/>
      <c r="AR572" s="551"/>
      <c r="AS572" s="351"/>
      <c r="AT572" s="534"/>
      <c r="AU572" s="351"/>
      <c r="AV572" s="531" t="s">
        <v>325</v>
      </c>
      <c r="AW572" s="351"/>
      <c r="AX572" s="553"/>
      <c r="AY572" s="350"/>
      <c r="AZ572" s="351"/>
      <c r="BA572" s="554"/>
      <c r="BB572" s="351"/>
      <c r="BC572" s="36"/>
      <c r="BD572" s="556" t="s">
        <v>325</v>
      </c>
      <c r="BE572" s="351"/>
      <c r="BF572" s="547"/>
      <c r="BG572" s="350"/>
      <c r="BH572" s="350"/>
      <c r="BI572" s="351"/>
      <c r="BJ572" s="506" t="s">
        <v>294</v>
      </c>
      <c r="BK572" s="350"/>
      <c r="BL572" s="350"/>
      <c r="BM572" s="351"/>
      <c r="BN572" s="530" t="s">
        <v>294</v>
      </c>
      <c r="BO572" s="350"/>
      <c r="BP572" s="350"/>
      <c r="BQ572" s="350"/>
      <c r="BR572" s="350"/>
      <c r="BS572" s="350"/>
      <c r="BT572" s="350"/>
      <c r="BU572" s="350"/>
      <c r="BV572" s="351"/>
    </row>
    <row r="573" spans="1:74" ht="45" customHeight="1">
      <c r="A573" s="24">
        <f t="shared" si="2"/>
        <v>559</v>
      </c>
      <c r="B573" s="522" t="s">
        <v>294</v>
      </c>
      <c r="C573" s="351"/>
      <c r="D573" s="523" t="s">
        <v>298</v>
      </c>
      <c r="E573" s="351"/>
      <c r="F573" s="524" t="s">
        <v>325</v>
      </c>
      <c r="G573" s="351"/>
      <c r="H573" s="561" t="s">
        <v>325</v>
      </c>
      <c r="I573" s="351"/>
      <c r="J573" s="562"/>
      <c r="K573" s="351"/>
      <c r="L573" s="562"/>
      <c r="M573" s="351"/>
      <c r="N573" s="34"/>
      <c r="O573" s="38"/>
      <c r="P573" s="526"/>
      <c r="Q573" s="351"/>
      <c r="R573" s="527"/>
      <c r="S573" s="351"/>
      <c r="T573" s="528"/>
      <c r="U573" s="351"/>
      <c r="V573" s="541"/>
      <c r="W573" s="351"/>
      <c r="X573" s="542" t="s">
        <v>294</v>
      </c>
      <c r="Y573" s="350"/>
      <c r="Z573" s="350"/>
      <c r="AA573" s="351"/>
      <c r="AB573" s="543" t="s">
        <v>294</v>
      </c>
      <c r="AC573" s="350"/>
      <c r="AD573" s="350"/>
      <c r="AE573" s="351"/>
      <c r="AF573" s="544"/>
      <c r="AG573" s="351"/>
      <c r="AH573" s="544"/>
      <c r="AI573" s="351"/>
      <c r="AJ573" s="532"/>
      <c r="AK573" s="351"/>
      <c r="AL573" s="524" t="s">
        <v>325</v>
      </c>
      <c r="AM573" s="351"/>
      <c r="AN573" s="549" t="s">
        <v>325</v>
      </c>
      <c r="AO573" s="351"/>
      <c r="AP573" s="532"/>
      <c r="AQ573" s="351"/>
      <c r="AR573" s="533"/>
      <c r="AS573" s="351"/>
      <c r="AT573" s="534"/>
      <c r="AU573" s="351"/>
      <c r="AV573" s="549" t="s">
        <v>325</v>
      </c>
      <c r="AW573" s="351"/>
      <c r="AX573" s="553"/>
      <c r="AY573" s="350"/>
      <c r="AZ573" s="351"/>
      <c r="BA573" s="545"/>
      <c r="BB573" s="351"/>
      <c r="BC573" s="39"/>
      <c r="BD573" s="546" t="s">
        <v>325</v>
      </c>
      <c r="BE573" s="351"/>
      <c r="BF573" s="529"/>
      <c r="BG573" s="350"/>
      <c r="BH573" s="350"/>
      <c r="BI573" s="351"/>
      <c r="BJ573" s="548" t="s">
        <v>294</v>
      </c>
      <c r="BK573" s="350"/>
      <c r="BL573" s="350"/>
      <c r="BM573" s="351"/>
      <c r="BN573" s="530" t="s">
        <v>294</v>
      </c>
      <c r="BO573" s="350"/>
      <c r="BP573" s="350"/>
      <c r="BQ573" s="350"/>
      <c r="BR573" s="350"/>
      <c r="BS573" s="350"/>
      <c r="BT573" s="350"/>
      <c r="BU573" s="350"/>
      <c r="BV573" s="351"/>
    </row>
    <row r="574" spans="1:74" ht="45" customHeight="1">
      <c r="A574" s="24">
        <f t="shared" si="2"/>
        <v>560</v>
      </c>
      <c r="B574" s="558" t="s">
        <v>294</v>
      </c>
      <c r="C574" s="351"/>
      <c r="D574" s="559" t="s">
        <v>298</v>
      </c>
      <c r="E574" s="351"/>
      <c r="F574" s="524" t="s">
        <v>325</v>
      </c>
      <c r="G574" s="351"/>
      <c r="H574" s="525" t="s">
        <v>325</v>
      </c>
      <c r="I574" s="351"/>
      <c r="J574" s="40"/>
      <c r="K574" s="41"/>
      <c r="L574" s="40"/>
      <c r="M574" s="41"/>
      <c r="N574" s="37"/>
      <c r="O574" s="35"/>
      <c r="P574" s="560"/>
      <c r="Q574" s="351"/>
      <c r="R574" s="535"/>
      <c r="S574" s="351"/>
      <c r="T574" s="536"/>
      <c r="U574" s="351"/>
      <c r="V574" s="537"/>
      <c r="W574" s="351"/>
      <c r="X574" s="538" t="s">
        <v>294</v>
      </c>
      <c r="Y574" s="350"/>
      <c r="Z574" s="350"/>
      <c r="AA574" s="351"/>
      <c r="AB574" s="539" t="s">
        <v>294</v>
      </c>
      <c r="AC574" s="350"/>
      <c r="AD574" s="350"/>
      <c r="AE574" s="351"/>
      <c r="AF574" s="540"/>
      <c r="AG574" s="351"/>
      <c r="AH574" s="540"/>
      <c r="AI574" s="351"/>
      <c r="AJ574" s="545"/>
      <c r="AK574" s="351"/>
      <c r="AL574" s="555" t="s">
        <v>325</v>
      </c>
      <c r="AM574" s="351"/>
      <c r="AN574" s="531" t="s">
        <v>325</v>
      </c>
      <c r="AO574" s="351"/>
      <c r="AP574" s="550"/>
      <c r="AQ574" s="351"/>
      <c r="AR574" s="551"/>
      <c r="AS574" s="351"/>
      <c r="AT574" s="534"/>
      <c r="AU574" s="351"/>
      <c r="AV574" s="531" t="s">
        <v>325</v>
      </c>
      <c r="AW574" s="351"/>
      <c r="AX574" s="553"/>
      <c r="AY574" s="350"/>
      <c r="AZ574" s="351"/>
      <c r="BA574" s="554"/>
      <c r="BB574" s="351"/>
      <c r="BC574" s="36"/>
      <c r="BD574" s="556" t="s">
        <v>325</v>
      </c>
      <c r="BE574" s="351"/>
      <c r="BF574" s="547"/>
      <c r="BG574" s="350"/>
      <c r="BH574" s="350"/>
      <c r="BI574" s="351"/>
      <c r="BJ574" s="506" t="s">
        <v>294</v>
      </c>
      <c r="BK574" s="350"/>
      <c r="BL574" s="350"/>
      <c r="BM574" s="351"/>
      <c r="BN574" s="530" t="s">
        <v>294</v>
      </c>
      <c r="BO574" s="350"/>
      <c r="BP574" s="350"/>
      <c r="BQ574" s="350"/>
      <c r="BR574" s="350"/>
      <c r="BS574" s="350"/>
      <c r="BT574" s="350"/>
      <c r="BU574" s="350"/>
      <c r="BV574" s="351"/>
    </row>
    <row r="575" spans="1:74" ht="45" customHeight="1">
      <c r="A575" s="24">
        <f t="shared" si="2"/>
        <v>561</v>
      </c>
      <c r="B575" s="522" t="s">
        <v>294</v>
      </c>
      <c r="C575" s="351"/>
      <c r="D575" s="523" t="s">
        <v>298</v>
      </c>
      <c r="E575" s="351"/>
      <c r="F575" s="524" t="s">
        <v>325</v>
      </c>
      <c r="G575" s="351"/>
      <c r="H575" s="561" t="s">
        <v>325</v>
      </c>
      <c r="I575" s="351"/>
      <c r="J575" s="562"/>
      <c r="K575" s="351"/>
      <c r="L575" s="562"/>
      <c r="M575" s="351"/>
      <c r="N575" s="34"/>
      <c r="O575" s="38"/>
      <c r="P575" s="526"/>
      <c r="Q575" s="351"/>
      <c r="R575" s="527"/>
      <c r="S575" s="351"/>
      <c r="T575" s="528"/>
      <c r="U575" s="351"/>
      <c r="V575" s="541"/>
      <c r="W575" s="351"/>
      <c r="X575" s="542" t="s">
        <v>294</v>
      </c>
      <c r="Y575" s="350"/>
      <c r="Z575" s="350"/>
      <c r="AA575" s="351"/>
      <c r="AB575" s="543" t="s">
        <v>294</v>
      </c>
      <c r="AC575" s="350"/>
      <c r="AD575" s="350"/>
      <c r="AE575" s="351"/>
      <c r="AF575" s="544"/>
      <c r="AG575" s="351"/>
      <c r="AH575" s="544"/>
      <c r="AI575" s="351"/>
      <c r="AJ575" s="532"/>
      <c r="AK575" s="351"/>
      <c r="AL575" s="524" t="s">
        <v>325</v>
      </c>
      <c r="AM575" s="351"/>
      <c r="AN575" s="549" t="s">
        <v>325</v>
      </c>
      <c r="AO575" s="351"/>
      <c r="AP575" s="532"/>
      <c r="AQ575" s="351"/>
      <c r="AR575" s="533"/>
      <c r="AS575" s="351"/>
      <c r="AT575" s="534"/>
      <c r="AU575" s="351"/>
      <c r="AV575" s="549" t="s">
        <v>325</v>
      </c>
      <c r="AW575" s="351"/>
      <c r="AX575" s="553"/>
      <c r="AY575" s="350"/>
      <c r="AZ575" s="351"/>
      <c r="BA575" s="545"/>
      <c r="BB575" s="351"/>
      <c r="BC575" s="39"/>
      <c r="BD575" s="546" t="s">
        <v>325</v>
      </c>
      <c r="BE575" s="351"/>
      <c r="BF575" s="529"/>
      <c r="BG575" s="350"/>
      <c r="BH575" s="350"/>
      <c r="BI575" s="351"/>
      <c r="BJ575" s="548" t="s">
        <v>294</v>
      </c>
      <c r="BK575" s="350"/>
      <c r="BL575" s="350"/>
      <c r="BM575" s="351"/>
      <c r="BN575" s="530" t="s">
        <v>294</v>
      </c>
      <c r="BO575" s="350"/>
      <c r="BP575" s="350"/>
      <c r="BQ575" s="350"/>
      <c r="BR575" s="350"/>
      <c r="BS575" s="350"/>
      <c r="BT575" s="350"/>
      <c r="BU575" s="350"/>
      <c r="BV575" s="351"/>
    </row>
    <row r="576" spans="1:74" ht="45" customHeight="1">
      <c r="A576" s="24">
        <f t="shared" si="2"/>
        <v>562</v>
      </c>
      <c r="B576" s="558" t="s">
        <v>294</v>
      </c>
      <c r="C576" s="351"/>
      <c r="D576" s="559" t="s">
        <v>298</v>
      </c>
      <c r="E576" s="351"/>
      <c r="F576" s="524" t="s">
        <v>325</v>
      </c>
      <c r="G576" s="351"/>
      <c r="H576" s="525" t="s">
        <v>325</v>
      </c>
      <c r="I576" s="351"/>
      <c r="J576" s="40"/>
      <c r="K576" s="41"/>
      <c r="L576" s="40"/>
      <c r="M576" s="41"/>
      <c r="N576" s="37"/>
      <c r="O576" s="35"/>
      <c r="P576" s="560"/>
      <c r="Q576" s="351"/>
      <c r="R576" s="535"/>
      <c r="S576" s="351"/>
      <c r="T576" s="536"/>
      <c r="U576" s="351"/>
      <c r="V576" s="537"/>
      <c r="W576" s="351"/>
      <c r="X576" s="538" t="s">
        <v>294</v>
      </c>
      <c r="Y576" s="350"/>
      <c r="Z576" s="350"/>
      <c r="AA576" s="351"/>
      <c r="AB576" s="539" t="s">
        <v>294</v>
      </c>
      <c r="AC576" s="350"/>
      <c r="AD576" s="350"/>
      <c r="AE576" s="351"/>
      <c r="AF576" s="540"/>
      <c r="AG576" s="351"/>
      <c r="AH576" s="540"/>
      <c r="AI576" s="351"/>
      <c r="AJ576" s="545"/>
      <c r="AK576" s="351"/>
      <c r="AL576" s="555" t="s">
        <v>325</v>
      </c>
      <c r="AM576" s="351"/>
      <c r="AN576" s="531" t="s">
        <v>325</v>
      </c>
      <c r="AO576" s="351"/>
      <c r="AP576" s="550"/>
      <c r="AQ576" s="351"/>
      <c r="AR576" s="551"/>
      <c r="AS576" s="351"/>
      <c r="AT576" s="534"/>
      <c r="AU576" s="351"/>
      <c r="AV576" s="531" t="s">
        <v>325</v>
      </c>
      <c r="AW576" s="351"/>
      <c r="AX576" s="553"/>
      <c r="AY576" s="350"/>
      <c r="AZ576" s="351"/>
      <c r="BA576" s="554"/>
      <c r="BB576" s="351"/>
      <c r="BC576" s="36"/>
      <c r="BD576" s="556" t="s">
        <v>325</v>
      </c>
      <c r="BE576" s="351"/>
      <c r="BF576" s="547"/>
      <c r="BG576" s="350"/>
      <c r="BH576" s="350"/>
      <c r="BI576" s="351"/>
      <c r="BJ576" s="506" t="s">
        <v>294</v>
      </c>
      <c r="BK576" s="350"/>
      <c r="BL576" s="350"/>
      <c r="BM576" s="351"/>
      <c r="BN576" s="530" t="s">
        <v>294</v>
      </c>
      <c r="BO576" s="350"/>
      <c r="BP576" s="350"/>
      <c r="BQ576" s="350"/>
      <c r="BR576" s="350"/>
      <c r="BS576" s="350"/>
      <c r="BT576" s="350"/>
      <c r="BU576" s="350"/>
      <c r="BV576" s="351"/>
    </row>
    <row r="577" spans="1:74" ht="45" customHeight="1">
      <c r="A577" s="24">
        <f t="shared" si="2"/>
        <v>563</v>
      </c>
      <c r="B577" s="522" t="s">
        <v>294</v>
      </c>
      <c r="C577" s="351"/>
      <c r="D577" s="523" t="s">
        <v>298</v>
      </c>
      <c r="E577" s="351"/>
      <c r="F577" s="524" t="s">
        <v>325</v>
      </c>
      <c r="G577" s="351"/>
      <c r="H577" s="561" t="s">
        <v>325</v>
      </c>
      <c r="I577" s="351"/>
      <c r="J577" s="562"/>
      <c r="K577" s="351"/>
      <c r="L577" s="562"/>
      <c r="M577" s="351"/>
      <c r="N577" s="34"/>
      <c r="O577" s="38"/>
      <c r="P577" s="526"/>
      <c r="Q577" s="351"/>
      <c r="R577" s="527"/>
      <c r="S577" s="351"/>
      <c r="T577" s="528"/>
      <c r="U577" s="351"/>
      <c r="V577" s="541"/>
      <c r="W577" s="351"/>
      <c r="X577" s="542" t="s">
        <v>294</v>
      </c>
      <c r="Y577" s="350"/>
      <c r="Z577" s="350"/>
      <c r="AA577" s="351"/>
      <c r="AB577" s="543" t="s">
        <v>294</v>
      </c>
      <c r="AC577" s="350"/>
      <c r="AD577" s="350"/>
      <c r="AE577" s="351"/>
      <c r="AF577" s="544"/>
      <c r="AG577" s="351"/>
      <c r="AH577" s="544"/>
      <c r="AI577" s="351"/>
      <c r="AJ577" s="532"/>
      <c r="AK577" s="351"/>
      <c r="AL577" s="524" t="s">
        <v>325</v>
      </c>
      <c r="AM577" s="351"/>
      <c r="AN577" s="549" t="s">
        <v>325</v>
      </c>
      <c r="AO577" s="351"/>
      <c r="AP577" s="532"/>
      <c r="AQ577" s="351"/>
      <c r="AR577" s="533"/>
      <c r="AS577" s="351"/>
      <c r="AT577" s="534"/>
      <c r="AU577" s="351"/>
      <c r="AV577" s="549" t="s">
        <v>325</v>
      </c>
      <c r="AW577" s="351"/>
      <c r="AX577" s="553"/>
      <c r="AY577" s="350"/>
      <c r="AZ577" s="351"/>
      <c r="BA577" s="545"/>
      <c r="BB577" s="351"/>
      <c r="BC577" s="39"/>
      <c r="BD577" s="546" t="s">
        <v>325</v>
      </c>
      <c r="BE577" s="351"/>
      <c r="BF577" s="557"/>
      <c r="BG577" s="350"/>
      <c r="BH577" s="350"/>
      <c r="BI577" s="351"/>
      <c r="BJ577" s="548" t="s">
        <v>294</v>
      </c>
      <c r="BK577" s="350"/>
      <c r="BL577" s="350"/>
      <c r="BM577" s="351"/>
      <c r="BN577" s="530" t="s">
        <v>294</v>
      </c>
      <c r="BO577" s="350"/>
      <c r="BP577" s="350"/>
      <c r="BQ577" s="350"/>
      <c r="BR577" s="350"/>
      <c r="BS577" s="350"/>
      <c r="BT577" s="350"/>
      <c r="BU577" s="350"/>
      <c r="BV577" s="351"/>
    </row>
    <row r="578" spans="1:74" ht="45" customHeight="1">
      <c r="A578" s="24">
        <f t="shared" si="2"/>
        <v>564</v>
      </c>
      <c r="B578" s="558" t="s">
        <v>294</v>
      </c>
      <c r="C578" s="351"/>
      <c r="D578" s="559" t="s">
        <v>298</v>
      </c>
      <c r="E578" s="351"/>
      <c r="F578" s="524" t="s">
        <v>325</v>
      </c>
      <c r="G578" s="351"/>
      <c r="H578" s="525" t="s">
        <v>325</v>
      </c>
      <c r="I578" s="351"/>
      <c r="J578" s="40"/>
      <c r="K578" s="41"/>
      <c r="L578" s="40"/>
      <c r="M578" s="41"/>
      <c r="N578" s="37"/>
      <c r="O578" s="35"/>
      <c r="P578" s="560"/>
      <c r="Q578" s="351"/>
      <c r="R578" s="535"/>
      <c r="S578" s="351"/>
      <c r="T578" s="536"/>
      <c r="U578" s="351"/>
      <c r="V578" s="537"/>
      <c r="W578" s="351"/>
      <c r="X578" s="538" t="s">
        <v>294</v>
      </c>
      <c r="Y578" s="350"/>
      <c r="Z578" s="350"/>
      <c r="AA578" s="351"/>
      <c r="AB578" s="539" t="s">
        <v>294</v>
      </c>
      <c r="AC578" s="350"/>
      <c r="AD578" s="350"/>
      <c r="AE578" s="351"/>
      <c r="AF578" s="540"/>
      <c r="AG578" s="351"/>
      <c r="AH578" s="540"/>
      <c r="AI578" s="351"/>
      <c r="AJ578" s="545"/>
      <c r="AK578" s="351"/>
      <c r="AL578" s="555" t="s">
        <v>325</v>
      </c>
      <c r="AM578" s="351"/>
      <c r="AN578" s="531" t="s">
        <v>325</v>
      </c>
      <c r="AO578" s="351"/>
      <c r="AP578" s="550"/>
      <c r="AQ578" s="351"/>
      <c r="AR578" s="551"/>
      <c r="AS578" s="351"/>
      <c r="AT578" s="534"/>
      <c r="AU578" s="351"/>
      <c r="AV578" s="531" t="s">
        <v>325</v>
      </c>
      <c r="AW578" s="351"/>
      <c r="AX578" s="553"/>
      <c r="AY578" s="350"/>
      <c r="AZ578" s="351"/>
      <c r="BA578" s="554"/>
      <c r="BB578" s="351"/>
      <c r="BC578" s="36"/>
      <c r="BD578" s="556" t="s">
        <v>325</v>
      </c>
      <c r="BE578" s="351"/>
      <c r="BF578" s="547"/>
      <c r="BG578" s="350"/>
      <c r="BH578" s="350"/>
      <c r="BI578" s="351"/>
      <c r="BJ578" s="506" t="s">
        <v>294</v>
      </c>
      <c r="BK578" s="350"/>
      <c r="BL578" s="350"/>
      <c r="BM578" s="351"/>
      <c r="BN578" s="530" t="s">
        <v>294</v>
      </c>
      <c r="BO578" s="350"/>
      <c r="BP578" s="350"/>
      <c r="BQ578" s="350"/>
      <c r="BR578" s="350"/>
      <c r="BS578" s="350"/>
      <c r="BT578" s="350"/>
      <c r="BU578" s="350"/>
      <c r="BV578" s="351"/>
    </row>
    <row r="579" spans="1:74" ht="45" customHeight="1">
      <c r="A579" s="24">
        <f t="shared" si="2"/>
        <v>565</v>
      </c>
      <c r="B579" s="522" t="s">
        <v>294</v>
      </c>
      <c r="C579" s="351"/>
      <c r="D579" s="523" t="s">
        <v>298</v>
      </c>
      <c r="E579" s="351"/>
      <c r="F579" s="524" t="s">
        <v>325</v>
      </c>
      <c r="G579" s="351"/>
      <c r="H579" s="561" t="s">
        <v>325</v>
      </c>
      <c r="I579" s="351"/>
      <c r="J579" s="562"/>
      <c r="K579" s="351"/>
      <c r="L579" s="562"/>
      <c r="M579" s="351"/>
      <c r="N579" s="34"/>
      <c r="O579" s="38"/>
      <c r="P579" s="560"/>
      <c r="Q579" s="351"/>
      <c r="R579" s="527"/>
      <c r="S579" s="351"/>
      <c r="T579" s="528"/>
      <c r="U579" s="351"/>
      <c r="V579" s="541"/>
      <c r="W579" s="351"/>
      <c r="X579" s="542" t="s">
        <v>294</v>
      </c>
      <c r="Y579" s="350"/>
      <c r="Z579" s="350"/>
      <c r="AA579" s="351"/>
      <c r="AB579" s="543" t="s">
        <v>294</v>
      </c>
      <c r="AC579" s="350"/>
      <c r="AD579" s="350"/>
      <c r="AE579" s="351"/>
      <c r="AF579" s="544"/>
      <c r="AG579" s="351"/>
      <c r="AH579" s="544"/>
      <c r="AI579" s="351"/>
      <c r="AJ579" s="532"/>
      <c r="AK579" s="351"/>
      <c r="AL579" s="524" t="s">
        <v>325</v>
      </c>
      <c r="AM579" s="351"/>
      <c r="AN579" s="549" t="s">
        <v>325</v>
      </c>
      <c r="AO579" s="351"/>
      <c r="AP579" s="532"/>
      <c r="AQ579" s="351"/>
      <c r="AR579" s="533"/>
      <c r="AS579" s="351"/>
      <c r="AT579" s="534"/>
      <c r="AU579" s="351"/>
      <c r="AV579" s="549" t="s">
        <v>325</v>
      </c>
      <c r="AW579" s="351"/>
      <c r="AX579" s="553"/>
      <c r="AY579" s="350"/>
      <c r="AZ579" s="351"/>
      <c r="BA579" s="545"/>
      <c r="BB579" s="351"/>
      <c r="BC579" s="39"/>
      <c r="BD579" s="546" t="s">
        <v>325</v>
      </c>
      <c r="BE579" s="351"/>
      <c r="BF579" s="529"/>
      <c r="BG579" s="350"/>
      <c r="BH579" s="350"/>
      <c r="BI579" s="351"/>
      <c r="BJ579" s="548" t="s">
        <v>294</v>
      </c>
      <c r="BK579" s="350"/>
      <c r="BL579" s="350"/>
      <c r="BM579" s="351"/>
      <c r="BN579" s="530" t="s">
        <v>294</v>
      </c>
      <c r="BO579" s="350"/>
      <c r="BP579" s="350"/>
      <c r="BQ579" s="350"/>
      <c r="BR579" s="350"/>
      <c r="BS579" s="350"/>
      <c r="BT579" s="350"/>
      <c r="BU579" s="350"/>
      <c r="BV579" s="351"/>
    </row>
    <row r="580" spans="1:74" ht="45" customHeight="1">
      <c r="A580" s="24">
        <f t="shared" si="2"/>
        <v>566</v>
      </c>
      <c r="B580" s="558" t="s">
        <v>294</v>
      </c>
      <c r="C580" s="351"/>
      <c r="D580" s="559" t="s">
        <v>298</v>
      </c>
      <c r="E580" s="351"/>
      <c r="F580" s="524" t="s">
        <v>325</v>
      </c>
      <c r="G580" s="351"/>
      <c r="H580" s="525" t="s">
        <v>325</v>
      </c>
      <c r="I580" s="351"/>
      <c r="J580" s="40"/>
      <c r="K580" s="41"/>
      <c r="L580" s="40"/>
      <c r="M580" s="41"/>
      <c r="N580" s="37"/>
      <c r="O580" s="35"/>
      <c r="P580" s="526"/>
      <c r="Q580" s="351"/>
      <c r="R580" s="535"/>
      <c r="S580" s="351"/>
      <c r="T580" s="536"/>
      <c r="U580" s="351"/>
      <c r="V580" s="537"/>
      <c r="W580" s="351"/>
      <c r="X580" s="538" t="s">
        <v>294</v>
      </c>
      <c r="Y580" s="350"/>
      <c r="Z580" s="350"/>
      <c r="AA580" s="351"/>
      <c r="AB580" s="539" t="s">
        <v>294</v>
      </c>
      <c r="AC580" s="350"/>
      <c r="AD580" s="350"/>
      <c r="AE580" s="351"/>
      <c r="AF580" s="540"/>
      <c r="AG580" s="351"/>
      <c r="AH580" s="540"/>
      <c r="AI580" s="351"/>
      <c r="AJ580" s="545"/>
      <c r="AK580" s="351"/>
      <c r="AL580" s="555" t="s">
        <v>325</v>
      </c>
      <c r="AM580" s="351"/>
      <c r="AN580" s="531" t="s">
        <v>325</v>
      </c>
      <c r="AO580" s="351"/>
      <c r="AP580" s="550"/>
      <c r="AQ580" s="351"/>
      <c r="AR580" s="551"/>
      <c r="AS580" s="351"/>
      <c r="AT580" s="534"/>
      <c r="AU580" s="351"/>
      <c r="AV580" s="531" t="s">
        <v>325</v>
      </c>
      <c r="AW580" s="351"/>
      <c r="AX580" s="553"/>
      <c r="AY580" s="350"/>
      <c r="AZ580" s="351"/>
      <c r="BA580" s="554"/>
      <c r="BB580" s="351"/>
      <c r="BC580" s="36"/>
      <c r="BD580" s="556" t="s">
        <v>325</v>
      </c>
      <c r="BE580" s="351"/>
      <c r="BF580" s="547"/>
      <c r="BG580" s="350"/>
      <c r="BH580" s="350"/>
      <c r="BI580" s="351"/>
      <c r="BJ580" s="506" t="s">
        <v>294</v>
      </c>
      <c r="BK580" s="350"/>
      <c r="BL580" s="350"/>
      <c r="BM580" s="351"/>
      <c r="BN580" s="530" t="s">
        <v>294</v>
      </c>
      <c r="BO580" s="350"/>
      <c r="BP580" s="350"/>
      <c r="BQ580" s="350"/>
      <c r="BR580" s="350"/>
      <c r="BS580" s="350"/>
      <c r="BT580" s="350"/>
      <c r="BU580" s="350"/>
      <c r="BV580" s="351"/>
    </row>
    <row r="581" spans="1:74" ht="45" customHeight="1">
      <c r="A581" s="24">
        <f t="shared" si="2"/>
        <v>567</v>
      </c>
      <c r="B581" s="522" t="s">
        <v>294</v>
      </c>
      <c r="C581" s="351"/>
      <c r="D581" s="523" t="s">
        <v>298</v>
      </c>
      <c r="E581" s="351"/>
      <c r="F581" s="524" t="s">
        <v>325</v>
      </c>
      <c r="G581" s="351"/>
      <c r="H581" s="561" t="s">
        <v>325</v>
      </c>
      <c r="I581" s="351"/>
      <c r="J581" s="562"/>
      <c r="K581" s="351"/>
      <c r="L581" s="562"/>
      <c r="M581" s="351"/>
      <c r="N581" s="34"/>
      <c r="O581" s="38"/>
      <c r="P581" s="560"/>
      <c r="Q581" s="351"/>
      <c r="R581" s="527"/>
      <c r="S581" s="351"/>
      <c r="T581" s="528"/>
      <c r="U581" s="351"/>
      <c r="V581" s="541"/>
      <c r="W581" s="351"/>
      <c r="X581" s="542" t="s">
        <v>294</v>
      </c>
      <c r="Y581" s="350"/>
      <c r="Z581" s="350"/>
      <c r="AA581" s="351"/>
      <c r="AB581" s="543" t="s">
        <v>294</v>
      </c>
      <c r="AC581" s="350"/>
      <c r="AD581" s="350"/>
      <c r="AE581" s="351"/>
      <c r="AF581" s="544"/>
      <c r="AG581" s="351"/>
      <c r="AH581" s="544"/>
      <c r="AI581" s="351"/>
      <c r="AJ581" s="532"/>
      <c r="AK581" s="351"/>
      <c r="AL581" s="524" t="s">
        <v>325</v>
      </c>
      <c r="AM581" s="351"/>
      <c r="AN581" s="549" t="s">
        <v>325</v>
      </c>
      <c r="AO581" s="351"/>
      <c r="AP581" s="532"/>
      <c r="AQ581" s="351"/>
      <c r="AR581" s="533"/>
      <c r="AS581" s="351"/>
      <c r="AT581" s="534"/>
      <c r="AU581" s="351"/>
      <c r="AV581" s="549" t="s">
        <v>325</v>
      </c>
      <c r="AW581" s="351"/>
      <c r="AX581" s="553"/>
      <c r="AY581" s="350"/>
      <c r="AZ581" s="351"/>
      <c r="BA581" s="545"/>
      <c r="BB581" s="351"/>
      <c r="BC581" s="39"/>
      <c r="BD581" s="546" t="s">
        <v>325</v>
      </c>
      <c r="BE581" s="351"/>
      <c r="BF581" s="557"/>
      <c r="BG581" s="350"/>
      <c r="BH581" s="350"/>
      <c r="BI581" s="351"/>
      <c r="BJ581" s="548" t="s">
        <v>294</v>
      </c>
      <c r="BK581" s="350"/>
      <c r="BL581" s="350"/>
      <c r="BM581" s="351"/>
      <c r="BN581" s="530" t="s">
        <v>294</v>
      </c>
      <c r="BO581" s="350"/>
      <c r="BP581" s="350"/>
      <c r="BQ581" s="350"/>
      <c r="BR581" s="350"/>
      <c r="BS581" s="350"/>
      <c r="BT581" s="350"/>
      <c r="BU581" s="350"/>
      <c r="BV581" s="351"/>
    </row>
    <row r="582" spans="1:74" ht="45" customHeight="1">
      <c r="A582" s="24">
        <f t="shared" si="2"/>
        <v>568</v>
      </c>
      <c r="B582" s="558" t="s">
        <v>294</v>
      </c>
      <c r="C582" s="351"/>
      <c r="D582" s="559" t="s">
        <v>298</v>
      </c>
      <c r="E582" s="351"/>
      <c r="F582" s="524" t="s">
        <v>325</v>
      </c>
      <c r="G582" s="351"/>
      <c r="H582" s="525" t="s">
        <v>325</v>
      </c>
      <c r="I582" s="351"/>
      <c r="J582" s="40"/>
      <c r="K582" s="41"/>
      <c r="L582" s="40"/>
      <c r="M582" s="41"/>
      <c r="N582" s="37"/>
      <c r="O582" s="35"/>
      <c r="P582" s="526"/>
      <c r="Q582" s="351"/>
      <c r="R582" s="535"/>
      <c r="S582" s="351"/>
      <c r="T582" s="536"/>
      <c r="U582" s="351"/>
      <c r="V582" s="537"/>
      <c r="W582" s="351"/>
      <c r="X582" s="538" t="s">
        <v>294</v>
      </c>
      <c r="Y582" s="350"/>
      <c r="Z582" s="350"/>
      <c r="AA582" s="351"/>
      <c r="AB582" s="539" t="s">
        <v>294</v>
      </c>
      <c r="AC582" s="350"/>
      <c r="AD582" s="350"/>
      <c r="AE582" s="351"/>
      <c r="AF582" s="540"/>
      <c r="AG582" s="351"/>
      <c r="AH582" s="540"/>
      <c r="AI582" s="351"/>
      <c r="AJ582" s="545"/>
      <c r="AK582" s="351"/>
      <c r="AL582" s="555" t="s">
        <v>325</v>
      </c>
      <c r="AM582" s="351"/>
      <c r="AN582" s="531" t="s">
        <v>325</v>
      </c>
      <c r="AO582" s="351"/>
      <c r="AP582" s="550"/>
      <c r="AQ582" s="351"/>
      <c r="AR582" s="551"/>
      <c r="AS582" s="351"/>
      <c r="AT582" s="534"/>
      <c r="AU582" s="351"/>
      <c r="AV582" s="531" t="s">
        <v>325</v>
      </c>
      <c r="AW582" s="351"/>
      <c r="AX582" s="553"/>
      <c r="AY582" s="350"/>
      <c r="AZ582" s="351"/>
      <c r="BA582" s="554"/>
      <c r="BB582" s="351"/>
      <c r="BC582" s="36"/>
      <c r="BD582" s="556" t="s">
        <v>325</v>
      </c>
      <c r="BE582" s="351"/>
      <c r="BF582" s="547"/>
      <c r="BG582" s="350"/>
      <c r="BH582" s="350"/>
      <c r="BI582" s="351"/>
      <c r="BJ582" s="506" t="s">
        <v>294</v>
      </c>
      <c r="BK582" s="350"/>
      <c r="BL582" s="350"/>
      <c r="BM582" s="351"/>
      <c r="BN582" s="530" t="s">
        <v>294</v>
      </c>
      <c r="BO582" s="350"/>
      <c r="BP582" s="350"/>
      <c r="BQ582" s="350"/>
      <c r="BR582" s="350"/>
      <c r="BS582" s="350"/>
      <c r="BT582" s="350"/>
      <c r="BU582" s="350"/>
      <c r="BV582" s="351"/>
    </row>
    <row r="583" spans="1:74" ht="45" customHeight="1">
      <c r="A583" s="24">
        <f t="shared" si="2"/>
        <v>569</v>
      </c>
      <c r="B583" s="522" t="s">
        <v>294</v>
      </c>
      <c r="C583" s="351"/>
      <c r="D583" s="523" t="s">
        <v>298</v>
      </c>
      <c r="E583" s="351"/>
      <c r="F583" s="524" t="s">
        <v>325</v>
      </c>
      <c r="G583" s="351"/>
      <c r="H583" s="561" t="s">
        <v>325</v>
      </c>
      <c r="I583" s="351"/>
      <c r="J583" s="562"/>
      <c r="K583" s="351"/>
      <c r="L583" s="562"/>
      <c r="M583" s="351"/>
      <c r="N583" s="34"/>
      <c r="O583" s="38"/>
      <c r="P583" s="560"/>
      <c r="Q583" s="351"/>
      <c r="R583" s="527"/>
      <c r="S583" s="351"/>
      <c r="T583" s="528"/>
      <c r="U583" s="351"/>
      <c r="V583" s="541"/>
      <c r="W583" s="351"/>
      <c r="X583" s="542" t="s">
        <v>294</v>
      </c>
      <c r="Y583" s="350"/>
      <c r="Z583" s="350"/>
      <c r="AA583" s="351"/>
      <c r="AB583" s="543" t="s">
        <v>294</v>
      </c>
      <c r="AC583" s="350"/>
      <c r="AD583" s="350"/>
      <c r="AE583" s="351"/>
      <c r="AF583" s="544"/>
      <c r="AG583" s="351"/>
      <c r="AH583" s="544"/>
      <c r="AI583" s="351"/>
      <c r="AJ583" s="532"/>
      <c r="AK583" s="351"/>
      <c r="AL583" s="524" t="s">
        <v>325</v>
      </c>
      <c r="AM583" s="351"/>
      <c r="AN583" s="549" t="s">
        <v>325</v>
      </c>
      <c r="AO583" s="351"/>
      <c r="AP583" s="532"/>
      <c r="AQ583" s="351"/>
      <c r="AR583" s="533"/>
      <c r="AS583" s="351"/>
      <c r="AT583" s="534"/>
      <c r="AU583" s="351"/>
      <c r="AV583" s="549" t="s">
        <v>325</v>
      </c>
      <c r="AW583" s="351"/>
      <c r="AX583" s="553"/>
      <c r="AY583" s="350"/>
      <c r="AZ583" s="351"/>
      <c r="BA583" s="545"/>
      <c r="BB583" s="351"/>
      <c r="BC583" s="39"/>
      <c r="BD583" s="546" t="s">
        <v>325</v>
      </c>
      <c r="BE583" s="351"/>
      <c r="BF583" s="529"/>
      <c r="BG583" s="350"/>
      <c r="BH583" s="350"/>
      <c r="BI583" s="351"/>
      <c r="BJ583" s="548" t="s">
        <v>294</v>
      </c>
      <c r="BK583" s="350"/>
      <c r="BL583" s="350"/>
      <c r="BM583" s="351"/>
      <c r="BN583" s="530" t="s">
        <v>294</v>
      </c>
      <c r="BO583" s="350"/>
      <c r="BP583" s="350"/>
      <c r="BQ583" s="350"/>
      <c r="BR583" s="350"/>
      <c r="BS583" s="350"/>
      <c r="BT583" s="350"/>
      <c r="BU583" s="350"/>
      <c r="BV583" s="351"/>
    </row>
    <row r="584" spans="1:74" ht="45" customHeight="1">
      <c r="A584" s="24">
        <f t="shared" si="2"/>
        <v>570</v>
      </c>
      <c r="B584" s="558" t="s">
        <v>294</v>
      </c>
      <c r="C584" s="351"/>
      <c r="D584" s="559" t="s">
        <v>298</v>
      </c>
      <c r="E584" s="351"/>
      <c r="F584" s="524" t="s">
        <v>325</v>
      </c>
      <c r="G584" s="351"/>
      <c r="H584" s="525" t="s">
        <v>325</v>
      </c>
      <c r="I584" s="351"/>
      <c r="J584" s="40"/>
      <c r="K584" s="41"/>
      <c r="L584" s="40"/>
      <c r="M584" s="41"/>
      <c r="N584" s="37"/>
      <c r="O584" s="35"/>
      <c r="P584" s="526"/>
      <c r="Q584" s="351"/>
      <c r="R584" s="535"/>
      <c r="S584" s="351"/>
      <c r="T584" s="536"/>
      <c r="U584" s="351"/>
      <c r="V584" s="537"/>
      <c r="W584" s="351"/>
      <c r="X584" s="538" t="s">
        <v>294</v>
      </c>
      <c r="Y584" s="350"/>
      <c r="Z584" s="350"/>
      <c r="AA584" s="351"/>
      <c r="AB584" s="539" t="s">
        <v>294</v>
      </c>
      <c r="AC584" s="350"/>
      <c r="AD584" s="350"/>
      <c r="AE584" s="351"/>
      <c r="AF584" s="540"/>
      <c r="AG584" s="351"/>
      <c r="AH584" s="540"/>
      <c r="AI584" s="351"/>
      <c r="AJ584" s="545"/>
      <c r="AK584" s="351"/>
      <c r="AL584" s="555" t="s">
        <v>325</v>
      </c>
      <c r="AM584" s="351"/>
      <c r="AN584" s="531" t="s">
        <v>325</v>
      </c>
      <c r="AO584" s="351"/>
      <c r="AP584" s="550"/>
      <c r="AQ584" s="351"/>
      <c r="AR584" s="551"/>
      <c r="AS584" s="351"/>
      <c r="AT584" s="534"/>
      <c r="AU584" s="351"/>
      <c r="AV584" s="531" t="s">
        <v>325</v>
      </c>
      <c r="AW584" s="351"/>
      <c r="AX584" s="553"/>
      <c r="AY584" s="350"/>
      <c r="AZ584" s="351"/>
      <c r="BA584" s="554"/>
      <c r="BB584" s="351"/>
      <c r="BC584" s="36"/>
      <c r="BD584" s="556" t="s">
        <v>325</v>
      </c>
      <c r="BE584" s="351"/>
      <c r="BF584" s="547"/>
      <c r="BG584" s="350"/>
      <c r="BH584" s="350"/>
      <c r="BI584" s="351"/>
      <c r="BJ584" s="506" t="s">
        <v>294</v>
      </c>
      <c r="BK584" s="350"/>
      <c r="BL584" s="350"/>
      <c r="BM584" s="351"/>
      <c r="BN584" s="530" t="s">
        <v>294</v>
      </c>
      <c r="BO584" s="350"/>
      <c r="BP584" s="350"/>
      <c r="BQ584" s="350"/>
      <c r="BR584" s="350"/>
      <c r="BS584" s="350"/>
      <c r="BT584" s="350"/>
      <c r="BU584" s="350"/>
      <c r="BV584" s="351"/>
    </row>
    <row r="585" spans="1:74" ht="45" customHeight="1">
      <c r="A585" s="24">
        <f t="shared" si="2"/>
        <v>571</v>
      </c>
      <c r="B585" s="522" t="s">
        <v>294</v>
      </c>
      <c r="C585" s="351"/>
      <c r="D585" s="523" t="s">
        <v>298</v>
      </c>
      <c r="E585" s="351"/>
      <c r="F585" s="524" t="s">
        <v>325</v>
      </c>
      <c r="G585" s="351"/>
      <c r="H585" s="561" t="s">
        <v>325</v>
      </c>
      <c r="I585" s="351"/>
      <c r="J585" s="562"/>
      <c r="K585" s="351"/>
      <c r="L585" s="562"/>
      <c r="M585" s="351"/>
      <c r="N585" s="34"/>
      <c r="O585" s="38"/>
      <c r="P585" s="560"/>
      <c r="Q585" s="351"/>
      <c r="R585" s="527"/>
      <c r="S585" s="351"/>
      <c r="T585" s="528"/>
      <c r="U585" s="351"/>
      <c r="V585" s="541"/>
      <c r="W585" s="351"/>
      <c r="X585" s="542" t="s">
        <v>294</v>
      </c>
      <c r="Y585" s="350"/>
      <c r="Z585" s="350"/>
      <c r="AA585" s="351"/>
      <c r="AB585" s="543" t="s">
        <v>294</v>
      </c>
      <c r="AC585" s="350"/>
      <c r="AD585" s="350"/>
      <c r="AE585" s="351"/>
      <c r="AF585" s="544"/>
      <c r="AG585" s="351"/>
      <c r="AH585" s="544"/>
      <c r="AI585" s="351"/>
      <c r="AJ585" s="532"/>
      <c r="AK585" s="351"/>
      <c r="AL585" s="524" t="s">
        <v>325</v>
      </c>
      <c r="AM585" s="351"/>
      <c r="AN585" s="549" t="s">
        <v>325</v>
      </c>
      <c r="AO585" s="351"/>
      <c r="AP585" s="532"/>
      <c r="AQ585" s="351"/>
      <c r="AR585" s="533"/>
      <c r="AS585" s="351"/>
      <c r="AT585" s="534"/>
      <c r="AU585" s="351"/>
      <c r="AV585" s="549" t="s">
        <v>325</v>
      </c>
      <c r="AW585" s="351"/>
      <c r="AX585" s="553"/>
      <c r="AY585" s="350"/>
      <c r="AZ585" s="351"/>
      <c r="BA585" s="545"/>
      <c r="BB585" s="351"/>
      <c r="BC585" s="39"/>
      <c r="BD585" s="546" t="s">
        <v>325</v>
      </c>
      <c r="BE585" s="351"/>
      <c r="BF585" s="529"/>
      <c r="BG585" s="350"/>
      <c r="BH585" s="350"/>
      <c r="BI585" s="351"/>
      <c r="BJ585" s="548" t="s">
        <v>294</v>
      </c>
      <c r="BK585" s="350"/>
      <c r="BL585" s="350"/>
      <c r="BM585" s="351"/>
      <c r="BN585" s="530" t="s">
        <v>294</v>
      </c>
      <c r="BO585" s="350"/>
      <c r="BP585" s="350"/>
      <c r="BQ585" s="350"/>
      <c r="BR585" s="350"/>
      <c r="BS585" s="350"/>
      <c r="BT585" s="350"/>
      <c r="BU585" s="350"/>
      <c r="BV585" s="351"/>
    </row>
    <row r="586" spans="1:74" ht="45" customHeight="1">
      <c r="A586" s="24">
        <f t="shared" si="2"/>
        <v>572</v>
      </c>
      <c r="B586" s="558" t="s">
        <v>294</v>
      </c>
      <c r="C586" s="351"/>
      <c r="D586" s="559" t="s">
        <v>298</v>
      </c>
      <c r="E586" s="351"/>
      <c r="F586" s="524" t="s">
        <v>325</v>
      </c>
      <c r="G586" s="351"/>
      <c r="H586" s="525" t="s">
        <v>325</v>
      </c>
      <c r="I586" s="351"/>
      <c r="J586" s="40"/>
      <c r="K586" s="41"/>
      <c r="L586" s="40"/>
      <c r="M586" s="41"/>
      <c r="N586" s="37"/>
      <c r="O586" s="35"/>
      <c r="P586" s="526"/>
      <c r="Q586" s="351"/>
      <c r="R586" s="535"/>
      <c r="S586" s="351"/>
      <c r="T586" s="536"/>
      <c r="U586" s="351"/>
      <c r="V586" s="537"/>
      <c r="W586" s="351"/>
      <c r="X586" s="538" t="s">
        <v>294</v>
      </c>
      <c r="Y586" s="350"/>
      <c r="Z586" s="350"/>
      <c r="AA586" s="351"/>
      <c r="AB586" s="539" t="s">
        <v>294</v>
      </c>
      <c r="AC586" s="350"/>
      <c r="AD586" s="350"/>
      <c r="AE586" s="351"/>
      <c r="AF586" s="540"/>
      <c r="AG586" s="351"/>
      <c r="AH586" s="540"/>
      <c r="AI586" s="351"/>
      <c r="AJ586" s="545"/>
      <c r="AK586" s="351"/>
      <c r="AL586" s="555" t="s">
        <v>325</v>
      </c>
      <c r="AM586" s="351"/>
      <c r="AN586" s="531" t="s">
        <v>325</v>
      </c>
      <c r="AO586" s="351"/>
      <c r="AP586" s="550"/>
      <c r="AQ586" s="351"/>
      <c r="AR586" s="551"/>
      <c r="AS586" s="351"/>
      <c r="AT586" s="534"/>
      <c r="AU586" s="351"/>
      <c r="AV586" s="531" t="s">
        <v>325</v>
      </c>
      <c r="AW586" s="351"/>
      <c r="AX586" s="553"/>
      <c r="AY586" s="350"/>
      <c r="AZ586" s="351"/>
      <c r="BA586" s="554"/>
      <c r="BB586" s="351"/>
      <c r="BC586" s="36"/>
      <c r="BD586" s="556" t="s">
        <v>325</v>
      </c>
      <c r="BE586" s="351"/>
      <c r="BF586" s="547"/>
      <c r="BG586" s="350"/>
      <c r="BH586" s="350"/>
      <c r="BI586" s="351"/>
      <c r="BJ586" s="506" t="s">
        <v>294</v>
      </c>
      <c r="BK586" s="350"/>
      <c r="BL586" s="350"/>
      <c r="BM586" s="351"/>
      <c r="BN586" s="530" t="s">
        <v>294</v>
      </c>
      <c r="BO586" s="350"/>
      <c r="BP586" s="350"/>
      <c r="BQ586" s="350"/>
      <c r="BR586" s="350"/>
      <c r="BS586" s="350"/>
      <c r="BT586" s="350"/>
      <c r="BU586" s="350"/>
      <c r="BV586" s="351"/>
    </row>
    <row r="587" spans="1:74" ht="45" customHeight="1">
      <c r="A587" s="24">
        <f t="shared" si="2"/>
        <v>573</v>
      </c>
      <c r="B587" s="522" t="s">
        <v>294</v>
      </c>
      <c r="C587" s="351"/>
      <c r="D587" s="523" t="s">
        <v>298</v>
      </c>
      <c r="E587" s="351"/>
      <c r="F587" s="524" t="s">
        <v>325</v>
      </c>
      <c r="G587" s="351"/>
      <c r="H587" s="561" t="s">
        <v>325</v>
      </c>
      <c r="I587" s="351"/>
      <c r="J587" s="562"/>
      <c r="K587" s="351"/>
      <c r="L587" s="562"/>
      <c r="M587" s="351"/>
      <c r="N587" s="34"/>
      <c r="O587" s="38"/>
      <c r="P587" s="560"/>
      <c r="Q587" s="351"/>
      <c r="R587" s="527"/>
      <c r="S587" s="351"/>
      <c r="T587" s="528"/>
      <c r="U587" s="351"/>
      <c r="V587" s="541"/>
      <c r="W587" s="351"/>
      <c r="X587" s="542" t="s">
        <v>294</v>
      </c>
      <c r="Y587" s="350"/>
      <c r="Z587" s="350"/>
      <c r="AA587" s="351"/>
      <c r="AB587" s="543" t="s">
        <v>294</v>
      </c>
      <c r="AC587" s="350"/>
      <c r="AD587" s="350"/>
      <c r="AE587" s="351"/>
      <c r="AF587" s="544"/>
      <c r="AG587" s="351"/>
      <c r="AH587" s="544"/>
      <c r="AI587" s="351"/>
      <c r="AJ587" s="532"/>
      <c r="AK587" s="351"/>
      <c r="AL587" s="524" t="s">
        <v>325</v>
      </c>
      <c r="AM587" s="351"/>
      <c r="AN587" s="549" t="s">
        <v>325</v>
      </c>
      <c r="AO587" s="351"/>
      <c r="AP587" s="532"/>
      <c r="AQ587" s="351"/>
      <c r="AR587" s="533"/>
      <c r="AS587" s="351"/>
      <c r="AT587" s="534"/>
      <c r="AU587" s="351"/>
      <c r="AV587" s="549" t="s">
        <v>325</v>
      </c>
      <c r="AW587" s="351"/>
      <c r="AX587" s="553"/>
      <c r="AY587" s="350"/>
      <c r="AZ587" s="351"/>
      <c r="BA587" s="545"/>
      <c r="BB587" s="351"/>
      <c r="BC587" s="39"/>
      <c r="BD587" s="546" t="s">
        <v>325</v>
      </c>
      <c r="BE587" s="351"/>
      <c r="BF587" s="557"/>
      <c r="BG587" s="350"/>
      <c r="BH587" s="350"/>
      <c r="BI587" s="351"/>
      <c r="BJ587" s="548" t="s">
        <v>294</v>
      </c>
      <c r="BK587" s="350"/>
      <c r="BL587" s="350"/>
      <c r="BM587" s="351"/>
      <c r="BN587" s="530" t="s">
        <v>294</v>
      </c>
      <c r="BO587" s="350"/>
      <c r="BP587" s="350"/>
      <c r="BQ587" s="350"/>
      <c r="BR587" s="350"/>
      <c r="BS587" s="350"/>
      <c r="BT587" s="350"/>
      <c r="BU587" s="350"/>
      <c r="BV587" s="351"/>
    </row>
    <row r="588" spans="1:74" ht="45" customHeight="1">
      <c r="A588" s="24">
        <f t="shared" si="2"/>
        <v>574</v>
      </c>
      <c r="B588" s="558" t="s">
        <v>294</v>
      </c>
      <c r="C588" s="351"/>
      <c r="D588" s="559" t="s">
        <v>298</v>
      </c>
      <c r="E588" s="351"/>
      <c r="F588" s="524" t="s">
        <v>325</v>
      </c>
      <c r="G588" s="351"/>
      <c r="H588" s="525" t="s">
        <v>325</v>
      </c>
      <c r="I588" s="351"/>
      <c r="J588" s="40"/>
      <c r="K588" s="41"/>
      <c r="L588" s="40"/>
      <c r="M588" s="41"/>
      <c r="N588" s="37"/>
      <c r="O588" s="35"/>
      <c r="P588" s="526"/>
      <c r="Q588" s="351"/>
      <c r="R588" s="535"/>
      <c r="S588" s="351"/>
      <c r="T588" s="536"/>
      <c r="U588" s="351"/>
      <c r="V588" s="537"/>
      <c r="W588" s="351"/>
      <c r="X588" s="538" t="s">
        <v>294</v>
      </c>
      <c r="Y588" s="350"/>
      <c r="Z588" s="350"/>
      <c r="AA588" s="351"/>
      <c r="AB588" s="539" t="s">
        <v>294</v>
      </c>
      <c r="AC588" s="350"/>
      <c r="AD588" s="350"/>
      <c r="AE588" s="351"/>
      <c r="AF588" s="540"/>
      <c r="AG588" s="351"/>
      <c r="AH588" s="540"/>
      <c r="AI588" s="351"/>
      <c r="AJ588" s="545"/>
      <c r="AK588" s="351"/>
      <c r="AL588" s="555" t="s">
        <v>325</v>
      </c>
      <c r="AM588" s="351"/>
      <c r="AN588" s="531" t="s">
        <v>325</v>
      </c>
      <c r="AO588" s="351"/>
      <c r="AP588" s="550"/>
      <c r="AQ588" s="351"/>
      <c r="AR588" s="551"/>
      <c r="AS588" s="351"/>
      <c r="AT588" s="534"/>
      <c r="AU588" s="351"/>
      <c r="AV588" s="531" t="s">
        <v>325</v>
      </c>
      <c r="AW588" s="351"/>
      <c r="AX588" s="553"/>
      <c r="AY588" s="350"/>
      <c r="AZ588" s="351"/>
      <c r="BA588" s="554"/>
      <c r="BB588" s="351"/>
      <c r="BC588" s="36"/>
      <c r="BD588" s="556" t="s">
        <v>325</v>
      </c>
      <c r="BE588" s="351"/>
      <c r="BF588" s="547"/>
      <c r="BG588" s="350"/>
      <c r="BH588" s="350"/>
      <c r="BI588" s="351"/>
      <c r="BJ588" s="506" t="s">
        <v>294</v>
      </c>
      <c r="BK588" s="350"/>
      <c r="BL588" s="350"/>
      <c r="BM588" s="351"/>
      <c r="BN588" s="530" t="s">
        <v>294</v>
      </c>
      <c r="BO588" s="350"/>
      <c r="BP588" s="350"/>
      <c r="BQ588" s="350"/>
      <c r="BR588" s="350"/>
      <c r="BS588" s="350"/>
      <c r="BT588" s="350"/>
      <c r="BU588" s="350"/>
      <c r="BV588" s="351"/>
    </row>
    <row r="589" spans="1:74" ht="45" customHeight="1">
      <c r="A589" s="24">
        <f t="shared" si="2"/>
        <v>575</v>
      </c>
      <c r="B589" s="522" t="s">
        <v>294</v>
      </c>
      <c r="C589" s="351"/>
      <c r="D589" s="523" t="s">
        <v>298</v>
      </c>
      <c r="E589" s="351"/>
      <c r="F589" s="524" t="s">
        <v>325</v>
      </c>
      <c r="G589" s="351"/>
      <c r="H589" s="561" t="s">
        <v>325</v>
      </c>
      <c r="I589" s="351"/>
      <c r="J589" s="562"/>
      <c r="K589" s="351"/>
      <c r="L589" s="562"/>
      <c r="M589" s="351"/>
      <c r="N589" s="34"/>
      <c r="O589" s="38"/>
      <c r="P589" s="560"/>
      <c r="Q589" s="351"/>
      <c r="R589" s="527"/>
      <c r="S589" s="351"/>
      <c r="T589" s="528"/>
      <c r="U589" s="351"/>
      <c r="V589" s="541"/>
      <c r="W589" s="351"/>
      <c r="X589" s="542" t="s">
        <v>294</v>
      </c>
      <c r="Y589" s="350"/>
      <c r="Z589" s="350"/>
      <c r="AA589" s="351"/>
      <c r="AB589" s="543" t="s">
        <v>294</v>
      </c>
      <c r="AC589" s="350"/>
      <c r="AD589" s="350"/>
      <c r="AE589" s="351"/>
      <c r="AF589" s="544"/>
      <c r="AG589" s="351"/>
      <c r="AH589" s="544"/>
      <c r="AI589" s="351"/>
      <c r="AJ589" s="532"/>
      <c r="AK589" s="351"/>
      <c r="AL589" s="524" t="s">
        <v>325</v>
      </c>
      <c r="AM589" s="351"/>
      <c r="AN589" s="549" t="s">
        <v>325</v>
      </c>
      <c r="AO589" s="351"/>
      <c r="AP589" s="532"/>
      <c r="AQ589" s="351"/>
      <c r="AR589" s="533"/>
      <c r="AS589" s="351"/>
      <c r="AT589" s="534"/>
      <c r="AU589" s="351"/>
      <c r="AV589" s="549" t="s">
        <v>325</v>
      </c>
      <c r="AW589" s="351"/>
      <c r="AX589" s="553"/>
      <c r="AY589" s="350"/>
      <c r="AZ589" s="351"/>
      <c r="BA589" s="545"/>
      <c r="BB589" s="351"/>
      <c r="BC589" s="39"/>
      <c r="BD589" s="546" t="s">
        <v>325</v>
      </c>
      <c r="BE589" s="351"/>
      <c r="BF589" s="529"/>
      <c r="BG589" s="350"/>
      <c r="BH589" s="350"/>
      <c r="BI589" s="351"/>
      <c r="BJ589" s="548" t="s">
        <v>294</v>
      </c>
      <c r="BK589" s="350"/>
      <c r="BL589" s="350"/>
      <c r="BM589" s="351"/>
      <c r="BN589" s="530" t="s">
        <v>294</v>
      </c>
      <c r="BO589" s="350"/>
      <c r="BP589" s="350"/>
      <c r="BQ589" s="350"/>
      <c r="BR589" s="350"/>
      <c r="BS589" s="350"/>
      <c r="BT589" s="350"/>
      <c r="BU589" s="350"/>
      <c r="BV589" s="351"/>
    </row>
    <row r="590" spans="1:74" ht="45" customHeight="1">
      <c r="A590" s="24">
        <f t="shared" si="2"/>
        <v>576</v>
      </c>
      <c r="B590" s="558" t="s">
        <v>294</v>
      </c>
      <c r="C590" s="351"/>
      <c r="D590" s="559" t="s">
        <v>298</v>
      </c>
      <c r="E590" s="351"/>
      <c r="F590" s="524" t="s">
        <v>325</v>
      </c>
      <c r="G590" s="351"/>
      <c r="H590" s="525" t="s">
        <v>325</v>
      </c>
      <c r="I590" s="351"/>
      <c r="J590" s="40"/>
      <c r="K590" s="41"/>
      <c r="L590" s="40"/>
      <c r="M590" s="41"/>
      <c r="N590" s="37"/>
      <c r="O590" s="35"/>
      <c r="P590" s="526"/>
      <c r="Q590" s="351"/>
      <c r="R590" s="535"/>
      <c r="S590" s="351"/>
      <c r="T590" s="536"/>
      <c r="U590" s="351"/>
      <c r="V590" s="537"/>
      <c r="W590" s="351"/>
      <c r="X590" s="538" t="s">
        <v>294</v>
      </c>
      <c r="Y590" s="350"/>
      <c r="Z590" s="350"/>
      <c r="AA590" s="351"/>
      <c r="AB590" s="539" t="s">
        <v>294</v>
      </c>
      <c r="AC590" s="350"/>
      <c r="AD590" s="350"/>
      <c r="AE590" s="351"/>
      <c r="AF590" s="540"/>
      <c r="AG590" s="351"/>
      <c r="AH590" s="540"/>
      <c r="AI590" s="351"/>
      <c r="AJ590" s="545"/>
      <c r="AK590" s="351"/>
      <c r="AL590" s="555" t="s">
        <v>325</v>
      </c>
      <c r="AM590" s="351"/>
      <c r="AN590" s="531" t="s">
        <v>325</v>
      </c>
      <c r="AO590" s="351"/>
      <c r="AP590" s="550"/>
      <c r="AQ590" s="351"/>
      <c r="AR590" s="551"/>
      <c r="AS590" s="351"/>
      <c r="AT590" s="534"/>
      <c r="AU590" s="351"/>
      <c r="AV590" s="531" t="s">
        <v>325</v>
      </c>
      <c r="AW590" s="351"/>
      <c r="AX590" s="553"/>
      <c r="AY590" s="350"/>
      <c r="AZ590" s="351"/>
      <c r="BA590" s="554"/>
      <c r="BB590" s="351"/>
      <c r="BC590" s="36"/>
      <c r="BD590" s="556" t="s">
        <v>325</v>
      </c>
      <c r="BE590" s="351"/>
      <c r="BF590" s="547"/>
      <c r="BG590" s="350"/>
      <c r="BH590" s="350"/>
      <c r="BI590" s="351"/>
      <c r="BJ590" s="506" t="s">
        <v>294</v>
      </c>
      <c r="BK590" s="350"/>
      <c r="BL590" s="350"/>
      <c r="BM590" s="351"/>
      <c r="BN590" s="530" t="s">
        <v>294</v>
      </c>
      <c r="BO590" s="350"/>
      <c r="BP590" s="350"/>
      <c r="BQ590" s="350"/>
      <c r="BR590" s="350"/>
      <c r="BS590" s="350"/>
      <c r="BT590" s="350"/>
      <c r="BU590" s="350"/>
      <c r="BV590" s="351"/>
    </row>
    <row r="591" spans="1:74" ht="45" customHeight="1">
      <c r="A591" s="24">
        <f t="shared" si="2"/>
        <v>577</v>
      </c>
      <c r="B591" s="522" t="s">
        <v>294</v>
      </c>
      <c r="C591" s="351"/>
      <c r="D591" s="523" t="s">
        <v>298</v>
      </c>
      <c r="E591" s="351"/>
      <c r="F591" s="524" t="s">
        <v>325</v>
      </c>
      <c r="G591" s="351"/>
      <c r="H591" s="561" t="s">
        <v>325</v>
      </c>
      <c r="I591" s="351"/>
      <c r="J591" s="562"/>
      <c r="K591" s="351"/>
      <c r="L591" s="562"/>
      <c r="M591" s="351"/>
      <c r="N591" s="34"/>
      <c r="O591" s="38"/>
      <c r="P591" s="560"/>
      <c r="Q591" s="351"/>
      <c r="R591" s="527"/>
      <c r="S591" s="351"/>
      <c r="T591" s="528"/>
      <c r="U591" s="351"/>
      <c r="V591" s="541"/>
      <c r="W591" s="351"/>
      <c r="X591" s="542" t="s">
        <v>294</v>
      </c>
      <c r="Y591" s="350"/>
      <c r="Z591" s="350"/>
      <c r="AA591" s="351"/>
      <c r="AB591" s="543" t="s">
        <v>294</v>
      </c>
      <c r="AC591" s="350"/>
      <c r="AD591" s="350"/>
      <c r="AE591" s="351"/>
      <c r="AF591" s="544"/>
      <c r="AG591" s="351"/>
      <c r="AH591" s="544"/>
      <c r="AI591" s="351"/>
      <c r="AJ591" s="532"/>
      <c r="AK591" s="351"/>
      <c r="AL591" s="524" t="s">
        <v>325</v>
      </c>
      <c r="AM591" s="351"/>
      <c r="AN591" s="549" t="s">
        <v>325</v>
      </c>
      <c r="AO591" s="351"/>
      <c r="AP591" s="532"/>
      <c r="AQ591" s="351"/>
      <c r="AR591" s="533"/>
      <c r="AS591" s="351"/>
      <c r="AT591" s="534"/>
      <c r="AU591" s="351"/>
      <c r="AV591" s="549" t="s">
        <v>325</v>
      </c>
      <c r="AW591" s="351"/>
      <c r="AX591" s="553"/>
      <c r="AY591" s="350"/>
      <c r="AZ591" s="351"/>
      <c r="BA591" s="545"/>
      <c r="BB591" s="351"/>
      <c r="BC591" s="39"/>
      <c r="BD591" s="546" t="s">
        <v>325</v>
      </c>
      <c r="BE591" s="351"/>
      <c r="BF591" s="557"/>
      <c r="BG591" s="350"/>
      <c r="BH591" s="350"/>
      <c r="BI591" s="351"/>
      <c r="BJ591" s="548" t="s">
        <v>294</v>
      </c>
      <c r="BK591" s="350"/>
      <c r="BL591" s="350"/>
      <c r="BM591" s="351"/>
      <c r="BN591" s="530" t="s">
        <v>294</v>
      </c>
      <c r="BO591" s="350"/>
      <c r="BP591" s="350"/>
      <c r="BQ591" s="350"/>
      <c r="BR591" s="350"/>
      <c r="BS591" s="350"/>
      <c r="BT591" s="350"/>
      <c r="BU591" s="350"/>
      <c r="BV591" s="351"/>
    </row>
    <row r="592" spans="1:74" ht="45" customHeight="1">
      <c r="A592" s="24">
        <f t="shared" si="2"/>
        <v>578</v>
      </c>
      <c r="B592" s="558" t="s">
        <v>294</v>
      </c>
      <c r="C592" s="351"/>
      <c r="D592" s="559" t="s">
        <v>298</v>
      </c>
      <c r="E592" s="351"/>
      <c r="F592" s="524" t="s">
        <v>325</v>
      </c>
      <c r="G592" s="351"/>
      <c r="H592" s="525" t="s">
        <v>325</v>
      </c>
      <c r="I592" s="351"/>
      <c r="J592" s="40"/>
      <c r="K592" s="41"/>
      <c r="L592" s="40"/>
      <c r="M592" s="41"/>
      <c r="N592" s="37"/>
      <c r="O592" s="35"/>
      <c r="P592" s="526"/>
      <c r="Q592" s="351"/>
      <c r="R592" s="535"/>
      <c r="S592" s="351"/>
      <c r="T592" s="536"/>
      <c r="U592" s="351"/>
      <c r="V592" s="537"/>
      <c r="W592" s="351"/>
      <c r="X592" s="538" t="s">
        <v>294</v>
      </c>
      <c r="Y592" s="350"/>
      <c r="Z592" s="350"/>
      <c r="AA592" s="351"/>
      <c r="AB592" s="539" t="s">
        <v>294</v>
      </c>
      <c r="AC592" s="350"/>
      <c r="AD592" s="350"/>
      <c r="AE592" s="351"/>
      <c r="AF592" s="540"/>
      <c r="AG592" s="351"/>
      <c r="AH592" s="540"/>
      <c r="AI592" s="351"/>
      <c r="AJ592" s="545"/>
      <c r="AK592" s="351"/>
      <c r="AL592" s="555" t="s">
        <v>325</v>
      </c>
      <c r="AM592" s="351"/>
      <c r="AN592" s="531" t="s">
        <v>325</v>
      </c>
      <c r="AO592" s="351"/>
      <c r="AP592" s="550"/>
      <c r="AQ592" s="351"/>
      <c r="AR592" s="551"/>
      <c r="AS592" s="351"/>
      <c r="AT592" s="534"/>
      <c r="AU592" s="351"/>
      <c r="AV592" s="531" t="s">
        <v>325</v>
      </c>
      <c r="AW592" s="351"/>
      <c r="AX592" s="553"/>
      <c r="AY592" s="350"/>
      <c r="AZ592" s="351"/>
      <c r="BA592" s="554"/>
      <c r="BB592" s="351"/>
      <c r="BC592" s="36"/>
      <c r="BD592" s="556" t="s">
        <v>325</v>
      </c>
      <c r="BE592" s="351"/>
      <c r="BF592" s="547"/>
      <c r="BG592" s="350"/>
      <c r="BH592" s="350"/>
      <c r="BI592" s="351"/>
      <c r="BJ592" s="506" t="s">
        <v>294</v>
      </c>
      <c r="BK592" s="350"/>
      <c r="BL592" s="350"/>
      <c r="BM592" s="351"/>
      <c r="BN592" s="530" t="s">
        <v>294</v>
      </c>
      <c r="BO592" s="350"/>
      <c r="BP592" s="350"/>
      <c r="BQ592" s="350"/>
      <c r="BR592" s="350"/>
      <c r="BS592" s="350"/>
      <c r="BT592" s="350"/>
      <c r="BU592" s="350"/>
      <c r="BV592" s="351"/>
    </row>
    <row r="593" spans="1:74" ht="45" customHeight="1">
      <c r="A593" s="24">
        <f t="shared" si="2"/>
        <v>579</v>
      </c>
      <c r="B593" s="522" t="s">
        <v>294</v>
      </c>
      <c r="C593" s="351"/>
      <c r="D593" s="523" t="s">
        <v>298</v>
      </c>
      <c r="E593" s="351"/>
      <c r="F593" s="524" t="s">
        <v>325</v>
      </c>
      <c r="G593" s="351"/>
      <c r="H593" s="561" t="s">
        <v>325</v>
      </c>
      <c r="I593" s="351"/>
      <c r="J593" s="562"/>
      <c r="K593" s="351"/>
      <c r="L593" s="562"/>
      <c r="M593" s="351"/>
      <c r="N593" s="34"/>
      <c r="O593" s="35"/>
      <c r="P593" s="526"/>
      <c r="Q593" s="351"/>
      <c r="R593" s="527"/>
      <c r="S593" s="351"/>
      <c r="T593" s="528"/>
      <c r="U593" s="351"/>
      <c r="V593" s="541"/>
      <c r="W593" s="351"/>
      <c r="X593" s="542" t="s">
        <v>294</v>
      </c>
      <c r="Y593" s="350"/>
      <c r="Z593" s="350"/>
      <c r="AA593" s="351"/>
      <c r="AB593" s="543" t="s">
        <v>294</v>
      </c>
      <c r="AC593" s="350"/>
      <c r="AD593" s="350"/>
      <c r="AE593" s="351"/>
      <c r="AF593" s="544"/>
      <c r="AG593" s="351"/>
      <c r="AH593" s="544"/>
      <c r="AI593" s="351"/>
      <c r="AJ593" s="532"/>
      <c r="AK593" s="351"/>
      <c r="AL593" s="524" t="s">
        <v>325</v>
      </c>
      <c r="AM593" s="351"/>
      <c r="AN593" s="549" t="s">
        <v>325</v>
      </c>
      <c r="AO593" s="351"/>
      <c r="AP593" s="532"/>
      <c r="AQ593" s="351"/>
      <c r="AR593" s="533"/>
      <c r="AS593" s="351"/>
      <c r="AT593" s="534"/>
      <c r="AU593" s="351"/>
      <c r="AV593" s="549" t="s">
        <v>325</v>
      </c>
      <c r="AW593" s="351"/>
      <c r="AX593" s="553"/>
      <c r="AY593" s="350"/>
      <c r="AZ593" s="351"/>
      <c r="BA593" s="545"/>
      <c r="BB593" s="351"/>
      <c r="BC593" s="39"/>
      <c r="BD593" s="546" t="s">
        <v>325</v>
      </c>
      <c r="BE593" s="351"/>
      <c r="BF593" s="529"/>
      <c r="BG593" s="350"/>
      <c r="BH593" s="350"/>
      <c r="BI593" s="351"/>
      <c r="BJ593" s="548" t="s">
        <v>294</v>
      </c>
      <c r="BK593" s="350"/>
      <c r="BL593" s="350"/>
      <c r="BM593" s="351"/>
      <c r="BN593" s="530" t="s">
        <v>294</v>
      </c>
      <c r="BO593" s="350"/>
      <c r="BP593" s="350"/>
      <c r="BQ593" s="350"/>
      <c r="BR593" s="350"/>
      <c r="BS593" s="350"/>
      <c r="BT593" s="350"/>
      <c r="BU593" s="350"/>
      <c r="BV593" s="351"/>
    </row>
    <row r="594" spans="1:74" ht="45" customHeight="1">
      <c r="A594" s="24">
        <f t="shared" si="2"/>
        <v>580</v>
      </c>
      <c r="B594" s="558" t="s">
        <v>294</v>
      </c>
      <c r="C594" s="351"/>
      <c r="D594" s="559" t="s">
        <v>298</v>
      </c>
      <c r="E594" s="351"/>
      <c r="F594" s="524" t="s">
        <v>325</v>
      </c>
      <c r="G594" s="351"/>
      <c r="H594" s="525" t="s">
        <v>325</v>
      </c>
      <c r="I594" s="351"/>
      <c r="J594" s="40"/>
      <c r="K594" s="41"/>
      <c r="L594" s="40"/>
      <c r="M594" s="41"/>
      <c r="N594" s="37"/>
      <c r="O594" s="38"/>
      <c r="P594" s="560"/>
      <c r="Q594" s="351"/>
      <c r="R594" s="535"/>
      <c r="S594" s="351"/>
      <c r="T594" s="536"/>
      <c r="U594" s="351"/>
      <c r="V594" s="537"/>
      <c r="W594" s="351"/>
      <c r="X594" s="538" t="s">
        <v>294</v>
      </c>
      <c r="Y594" s="350"/>
      <c r="Z594" s="350"/>
      <c r="AA594" s="351"/>
      <c r="AB594" s="539" t="s">
        <v>294</v>
      </c>
      <c r="AC594" s="350"/>
      <c r="AD594" s="350"/>
      <c r="AE594" s="351"/>
      <c r="AF594" s="540"/>
      <c r="AG594" s="351"/>
      <c r="AH594" s="540"/>
      <c r="AI594" s="351"/>
      <c r="AJ594" s="545"/>
      <c r="AK594" s="351"/>
      <c r="AL594" s="555" t="s">
        <v>325</v>
      </c>
      <c r="AM594" s="351"/>
      <c r="AN594" s="531" t="s">
        <v>325</v>
      </c>
      <c r="AO594" s="351"/>
      <c r="AP594" s="550"/>
      <c r="AQ594" s="351"/>
      <c r="AR594" s="551"/>
      <c r="AS594" s="351"/>
      <c r="AT594" s="534"/>
      <c r="AU594" s="351"/>
      <c r="AV594" s="531" t="s">
        <v>325</v>
      </c>
      <c r="AW594" s="351"/>
      <c r="AX594" s="553"/>
      <c r="AY594" s="350"/>
      <c r="AZ594" s="351"/>
      <c r="BA594" s="554"/>
      <c r="BB594" s="351"/>
      <c r="BC594" s="36"/>
      <c r="BD594" s="556" t="s">
        <v>325</v>
      </c>
      <c r="BE594" s="351"/>
      <c r="BF594" s="547"/>
      <c r="BG594" s="350"/>
      <c r="BH594" s="350"/>
      <c r="BI594" s="351"/>
      <c r="BJ594" s="506" t="s">
        <v>294</v>
      </c>
      <c r="BK594" s="350"/>
      <c r="BL594" s="350"/>
      <c r="BM594" s="351"/>
      <c r="BN594" s="530" t="s">
        <v>294</v>
      </c>
      <c r="BO594" s="350"/>
      <c r="BP594" s="350"/>
      <c r="BQ594" s="350"/>
      <c r="BR594" s="350"/>
      <c r="BS594" s="350"/>
      <c r="BT594" s="350"/>
      <c r="BU594" s="350"/>
      <c r="BV594" s="351"/>
    </row>
    <row r="595" spans="1:74" ht="45" customHeight="1">
      <c r="A595" s="24">
        <f t="shared" si="2"/>
        <v>581</v>
      </c>
      <c r="B595" s="522" t="s">
        <v>294</v>
      </c>
      <c r="C595" s="351"/>
      <c r="D595" s="523" t="s">
        <v>298</v>
      </c>
      <c r="E595" s="351"/>
      <c r="F595" s="524" t="s">
        <v>325</v>
      </c>
      <c r="G595" s="351"/>
      <c r="H595" s="561" t="s">
        <v>325</v>
      </c>
      <c r="I595" s="351"/>
      <c r="J595" s="562"/>
      <c r="K595" s="351"/>
      <c r="L595" s="562"/>
      <c r="M595" s="351"/>
      <c r="N595" s="34"/>
      <c r="O595" s="35"/>
      <c r="P595" s="526"/>
      <c r="Q595" s="351"/>
      <c r="R595" s="527"/>
      <c r="S595" s="351"/>
      <c r="T595" s="528"/>
      <c r="U595" s="351"/>
      <c r="V595" s="541"/>
      <c r="W595" s="351"/>
      <c r="X595" s="542" t="s">
        <v>294</v>
      </c>
      <c r="Y595" s="350"/>
      <c r="Z595" s="350"/>
      <c r="AA595" s="351"/>
      <c r="AB595" s="543" t="s">
        <v>294</v>
      </c>
      <c r="AC595" s="350"/>
      <c r="AD595" s="350"/>
      <c r="AE595" s="351"/>
      <c r="AF595" s="544"/>
      <c r="AG595" s="351"/>
      <c r="AH595" s="544"/>
      <c r="AI595" s="351"/>
      <c r="AJ595" s="532"/>
      <c r="AK595" s="351"/>
      <c r="AL595" s="524" t="s">
        <v>325</v>
      </c>
      <c r="AM595" s="351"/>
      <c r="AN595" s="549" t="s">
        <v>325</v>
      </c>
      <c r="AO595" s="351"/>
      <c r="AP595" s="532"/>
      <c r="AQ595" s="351"/>
      <c r="AR595" s="533"/>
      <c r="AS595" s="351"/>
      <c r="AT595" s="534"/>
      <c r="AU595" s="351"/>
      <c r="AV595" s="549" t="s">
        <v>325</v>
      </c>
      <c r="AW595" s="351"/>
      <c r="AX595" s="553"/>
      <c r="AY595" s="350"/>
      <c r="AZ595" s="351"/>
      <c r="BA595" s="545"/>
      <c r="BB595" s="351"/>
      <c r="BC595" s="39"/>
      <c r="BD595" s="546" t="s">
        <v>325</v>
      </c>
      <c r="BE595" s="351"/>
      <c r="BF595" s="529"/>
      <c r="BG595" s="350"/>
      <c r="BH595" s="350"/>
      <c r="BI595" s="351"/>
      <c r="BJ595" s="548" t="s">
        <v>294</v>
      </c>
      <c r="BK595" s="350"/>
      <c r="BL595" s="350"/>
      <c r="BM595" s="351"/>
      <c r="BN595" s="530" t="s">
        <v>294</v>
      </c>
      <c r="BO595" s="350"/>
      <c r="BP595" s="350"/>
      <c r="BQ595" s="350"/>
      <c r="BR595" s="350"/>
      <c r="BS595" s="350"/>
      <c r="BT595" s="350"/>
      <c r="BU595" s="350"/>
      <c r="BV595" s="351"/>
    </row>
    <row r="596" spans="1:74" ht="45" customHeight="1">
      <c r="A596" s="24">
        <f t="shared" si="2"/>
        <v>582</v>
      </c>
      <c r="B596" s="558" t="s">
        <v>294</v>
      </c>
      <c r="C596" s="351"/>
      <c r="D596" s="559" t="s">
        <v>298</v>
      </c>
      <c r="E596" s="351"/>
      <c r="F596" s="524" t="s">
        <v>325</v>
      </c>
      <c r="G596" s="351"/>
      <c r="H596" s="525" t="s">
        <v>325</v>
      </c>
      <c r="I596" s="351"/>
      <c r="J596" s="40"/>
      <c r="K596" s="41"/>
      <c r="L596" s="40"/>
      <c r="M596" s="41"/>
      <c r="N596" s="37"/>
      <c r="O596" s="38"/>
      <c r="P596" s="560"/>
      <c r="Q596" s="351"/>
      <c r="R596" s="535"/>
      <c r="S596" s="351"/>
      <c r="T596" s="536"/>
      <c r="U596" s="351"/>
      <c r="V596" s="537"/>
      <c r="W596" s="351"/>
      <c r="X596" s="538" t="s">
        <v>294</v>
      </c>
      <c r="Y596" s="350"/>
      <c r="Z596" s="350"/>
      <c r="AA596" s="351"/>
      <c r="AB596" s="539" t="s">
        <v>294</v>
      </c>
      <c r="AC596" s="350"/>
      <c r="AD596" s="350"/>
      <c r="AE596" s="351"/>
      <c r="AF596" s="540"/>
      <c r="AG596" s="351"/>
      <c r="AH596" s="540"/>
      <c r="AI596" s="351"/>
      <c r="AJ596" s="545"/>
      <c r="AK596" s="351"/>
      <c r="AL596" s="555" t="s">
        <v>325</v>
      </c>
      <c r="AM596" s="351"/>
      <c r="AN596" s="531" t="s">
        <v>325</v>
      </c>
      <c r="AO596" s="351"/>
      <c r="AP596" s="550"/>
      <c r="AQ596" s="351"/>
      <c r="AR596" s="551"/>
      <c r="AS596" s="351"/>
      <c r="AT596" s="534"/>
      <c r="AU596" s="351"/>
      <c r="AV596" s="531" t="s">
        <v>325</v>
      </c>
      <c r="AW596" s="351"/>
      <c r="AX596" s="553"/>
      <c r="AY596" s="350"/>
      <c r="AZ596" s="351"/>
      <c r="BA596" s="554"/>
      <c r="BB596" s="351"/>
      <c r="BC596" s="36"/>
      <c r="BD596" s="556" t="s">
        <v>325</v>
      </c>
      <c r="BE596" s="351"/>
      <c r="BF596" s="547"/>
      <c r="BG596" s="350"/>
      <c r="BH596" s="350"/>
      <c r="BI596" s="351"/>
      <c r="BJ596" s="506" t="s">
        <v>294</v>
      </c>
      <c r="BK596" s="350"/>
      <c r="BL596" s="350"/>
      <c r="BM596" s="351"/>
      <c r="BN596" s="530" t="s">
        <v>294</v>
      </c>
      <c r="BO596" s="350"/>
      <c r="BP596" s="350"/>
      <c r="BQ596" s="350"/>
      <c r="BR596" s="350"/>
      <c r="BS596" s="350"/>
      <c r="BT596" s="350"/>
      <c r="BU596" s="350"/>
      <c r="BV596" s="351"/>
    </row>
    <row r="597" spans="1:74" ht="45" customHeight="1">
      <c r="A597" s="24">
        <f t="shared" si="2"/>
        <v>583</v>
      </c>
      <c r="B597" s="522" t="s">
        <v>294</v>
      </c>
      <c r="C597" s="351"/>
      <c r="D597" s="523" t="s">
        <v>298</v>
      </c>
      <c r="E597" s="351"/>
      <c r="F597" s="524" t="s">
        <v>325</v>
      </c>
      <c r="G597" s="351"/>
      <c r="H597" s="561" t="s">
        <v>325</v>
      </c>
      <c r="I597" s="351"/>
      <c r="J597" s="562"/>
      <c r="K597" s="351"/>
      <c r="L597" s="562"/>
      <c r="M597" s="351"/>
      <c r="N597" s="34"/>
      <c r="O597" s="38"/>
      <c r="P597" s="526"/>
      <c r="Q597" s="351"/>
      <c r="R597" s="527"/>
      <c r="S597" s="351"/>
      <c r="T597" s="528"/>
      <c r="U597" s="351"/>
      <c r="V597" s="541"/>
      <c r="W597" s="351"/>
      <c r="X597" s="542" t="s">
        <v>294</v>
      </c>
      <c r="Y597" s="350"/>
      <c r="Z597" s="350"/>
      <c r="AA597" s="351"/>
      <c r="AB597" s="543" t="s">
        <v>294</v>
      </c>
      <c r="AC597" s="350"/>
      <c r="AD597" s="350"/>
      <c r="AE597" s="351"/>
      <c r="AF597" s="544"/>
      <c r="AG597" s="351"/>
      <c r="AH597" s="544"/>
      <c r="AI597" s="351"/>
      <c r="AJ597" s="532"/>
      <c r="AK597" s="351"/>
      <c r="AL597" s="524" t="s">
        <v>325</v>
      </c>
      <c r="AM597" s="351"/>
      <c r="AN597" s="549" t="s">
        <v>325</v>
      </c>
      <c r="AO597" s="351"/>
      <c r="AP597" s="532"/>
      <c r="AQ597" s="351"/>
      <c r="AR597" s="533"/>
      <c r="AS597" s="351"/>
      <c r="AT597" s="534"/>
      <c r="AU597" s="351"/>
      <c r="AV597" s="549" t="s">
        <v>325</v>
      </c>
      <c r="AW597" s="351"/>
      <c r="AX597" s="553"/>
      <c r="AY597" s="350"/>
      <c r="AZ597" s="351"/>
      <c r="BA597" s="545"/>
      <c r="BB597" s="351"/>
      <c r="BC597" s="39"/>
      <c r="BD597" s="546" t="s">
        <v>325</v>
      </c>
      <c r="BE597" s="351"/>
      <c r="BF597" s="557"/>
      <c r="BG597" s="350"/>
      <c r="BH597" s="350"/>
      <c r="BI597" s="351"/>
      <c r="BJ597" s="548" t="s">
        <v>294</v>
      </c>
      <c r="BK597" s="350"/>
      <c r="BL597" s="350"/>
      <c r="BM597" s="351"/>
      <c r="BN597" s="530" t="s">
        <v>294</v>
      </c>
      <c r="BO597" s="350"/>
      <c r="BP597" s="350"/>
      <c r="BQ597" s="350"/>
      <c r="BR597" s="350"/>
      <c r="BS597" s="350"/>
      <c r="BT597" s="350"/>
      <c r="BU597" s="350"/>
      <c r="BV597" s="351"/>
    </row>
    <row r="598" spans="1:74" ht="45" customHeight="1">
      <c r="A598" s="24">
        <f t="shared" si="2"/>
        <v>584</v>
      </c>
      <c r="B598" s="558" t="s">
        <v>294</v>
      </c>
      <c r="C598" s="351"/>
      <c r="D598" s="559" t="s">
        <v>298</v>
      </c>
      <c r="E598" s="351"/>
      <c r="F598" s="524" t="s">
        <v>325</v>
      </c>
      <c r="G598" s="351"/>
      <c r="H598" s="525" t="s">
        <v>325</v>
      </c>
      <c r="I598" s="351"/>
      <c r="J598" s="40"/>
      <c r="K598" s="41"/>
      <c r="L598" s="40"/>
      <c r="M598" s="41"/>
      <c r="N598" s="37"/>
      <c r="O598" s="35"/>
      <c r="P598" s="560"/>
      <c r="Q598" s="351"/>
      <c r="R598" s="535"/>
      <c r="S598" s="351"/>
      <c r="T598" s="536"/>
      <c r="U598" s="351"/>
      <c r="V598" s="537"/>
      <c r="W598" s="351"/>
      <c r="X598" s="538" t="s">
        <v>294</v>
      </c>
      <c r="Y598" s="350"/>
      <c r="Z598" s="350"/>
      <c r="AA598" s="351"/>
      <c r="AB598" s="539" t="s">
        <v>294</v>
      </c>
      <c r="AC598" s="350"/>
      <c r="AD598" s="350"/>
      <c r="AE598" s="351"/>
      <c r="AF598" s="540"/>
      <c r="AG598" s="351"/>
      <c r="AH598" s="540"/>
      <c r="AI598" s="351"/>
      <c r="AJ598" s="545"/>
      <c r="AK598" s="351"/>
      <c r="AL598" s="555" t="s">
        <v>325</v>
      </c>
      <c r="AM598" s="351"/>
      <c r="AN598" s="531" t="s">
        <v>325</v>
      </c>
      <c r="AO598" s="351"/>
      <c r="AP598" s="550"/>
      <c r="AQ598" s="351"/>
      <c r="AR598" s="551"/>
      <c r="AS598" s="351"/>
      <c r="AT598" s="534"/>
      <c r="AU598" s="351"/>
      <c r="AV598" s="531" t="s">
        <v>325</v>
      </c>
      <c r="AW598" s="351"/>
      <c r="AX598" s="553"/>
      <c r="AY598" s="350"/>
      <c r="AZ598" s="351"/>
      <c r="BA598" s="554"/>
      <c r="BB598" s="351"/>
      <c r="BC598" s="36"/>
      <c r="BD598" s="556" t="s">
        <v>325</v>
      </c>
      <c r="BE598" s="351"/>
      <c r="BF598" s="547"/>
      <c r="BG598" s="350"/>
      <c r="BH598" s="350"/>
      <c r="BI598" s="351"/>
      <c r="BJ598" s="506" t="s">
        <v>294</v>
      </c>
      <c r="BK598" s="350"/>
      <c r="BL598" s="350"/>
      <c r="BM598" s="351"/>
      <c r="BN598" s="530" t="s">
        <v>294</v>
      </c>
      <c r="BO598" s="350"/>
      <c r="BP598" s="350"/>
      <c r="BQ598" s="350"/>
      <c r="BR598" s="350"/>
      <c r="BS598" s="350"/>
      <c r="BT598" s="350"/>
      <c r="BU598" s="350"/>
      <c r="BV598" s="351"/>
    </row>
    <row r="599" spans="1:74" ht="45" customHeight="1">
      <c r="A599" s="24">
        <f t="shared" si="2"/>
        <v>585</v>
      </c>
      <c r="B599" s="522" t="s">
        <v>294</v>
      </c>
      <c r="C599" s="351"/>
      <c r="D599" s="523" t="s">
        <v>298</v>
      </c>
      <c r="E599" s="351"/>
      <c r="F599" s="524" t="s">
        <v>325</v>
      </c>
      <c r="G599" s="351"/>
      <c r="H599" s="561" t="s">
        <v>325</v>
      </c>
      <c r="I599" s="351"/>
      <c r="J599" s="562"/>
      <c r="K599" s="351"/>
      <c r="L599" s="562"/>
      <c r="M599" s="351"/>
      <c r="N599" s="34"/>
      <c r="O599" s="38"/>
      <c r="P599" s="526"/>
      <c r="Q599" s="351"/>
      <c r="R599" s="527"/>
      <c r="S599" s="351"/>
      <c r="T599" s="528"/>
      <c r="U599" s="351"/>
      <c r="V599" s="541"/>
      <c r="W599" s="351"/>
      <c r="X599" s="542" t="s">
        <v>294</v>
      </c>
      <c r="Y599" s="350"/>
      <c r="Z599" s="350"/>
      <c r="AA599" s="351"/>
      <c r="AB599" s="543" t="s">
        <v>294</v>
      </c>
      <c r="AC599" s="350"/>
      <c r="AD599" s="350"/>
      <c r="AE599" s="351"/>
      <c r="AF599" s="544"/>
      <c r="AG599" s="351"/>
      <c r="AH599" s="544"/>
      <c r="AI599" s="351"/>
      <c r="AJ599" s="532"/>
      <c r="AK599" s="351"/>
      <c r="AL599" s="524" t="s">
        <v>325</v>
      </c>
      <c r="AM599" s="351"/>
      <c r="AN599" s="549" t="s">
        <v>325</v>
      </c>
      <c r="AO599" s="351"/>
      <c r="AP599" s="532"/>
      <c r="AQ599" s="351"/>
      <c r="AR599" s="533"/>
      <c r="AS599" s="351"/>
      <c r="AT599" s="534"/>
      <c r="AU599" s="351"/>
      <c r="AV599" s="549" t="s">
        <v>325</v>
      </c>
      <c r="AW599" s="351"/>
      <c r="AX599" s="553"/>
      <c r="AY599" s="350"/>
      <c r="AZ599" s="351"/>
      <c r="BA599" s="545"/>
      <c r="BB599" s="351"/>
      <c r="BC599" s="39"/>
      <c r="BD599" s="546" t="s">
        <v>325</v>
      </c>
      <c r="BE599" s="351"/>
      <c r="BF599" s="529"/>
      <c r="BG599" s="350"/>
      <c r="BH599" s="350"/>
      <c r="BI599" s="351"/>
      <c r="BJ599" s="548" t="s">
        <v>294</v>
      </c>
      <c r="BK599" s="350"/>
      <c r="BL599" s="350"/>
      <c r="BM599" s="351"/>
      <c r="BN599" s="530" t="s">
        <v>294</v>
      </c>
      <c r="BO599" s="350"/>
      <c r="BP599" s="350"/>
      <c r="BQ599" s="350"/>
      <c r="BR599" s="350"/>
      <c r="BS599" s="350"/>
      <c r="BT599" s="350"/>
      <c r="BU599" s="350"/>
      <c r="BV599" s="351"/>
    </row>
    <row r="600" spans="1:74" ht="45" customHeight="1">
      <c r="A600" s="24">
        <f t="shared" si="2"/>
        <v>586</v>
      </c>
      <c r="B600" s="558" t="s">
        <v>294</v>
      </c>
      <c r="C600" s="351"/>
      <c r="D600" s="559" t="s">
        <v>298</v>
      </c>
      <c r="E600" s="351"/>
      <c r="F600" s="524" t="s">
        <v>325</v>
      </c>
      <c r="G600" s="351"/>
      <c r="H600" s="525" t="s">
        <v>325</v>
      </c>
      <c r="I600" s="351"/>
      <c r="J600" s="40"/>
      <c r="K600" s="41"/>
      <c r="L600" s="40"/>
      <c r="M600" s="41"/>
      <c r="N600" s="37"/>
      <c r="O600" s="35"/>
      <c r="P600" s="560"/>
      <c r="Q600" s="351"/>
      <c r="R600" s="535"/>
      <c r="S600" s="351"/>
      <c r="T600" s="536"/>
      <c r="U600" s="351"/>
      <c r="V600" s="537"/>
      <c r="W600" s="351"/>
      <c r="X600" s="538" t="s">
        <v>294</v>
      </c>
      <c r="Y600" s="350"/>
      <c r="Z600" s="350"/>
      <c r="AA600" s="351"/>
      <c r="AB600" s="539" t="s">
        <v>294</v>
      </c>
      <c r="AC600" s="350"/>
      <c r="AD600" s="350"/>
      <c r="AE600" s="351"/>
      <c r="AF600" s="540"/>
      <c r="AG600" s="351"/>
      <c r="AH600" s="540"/>
      <c r="AI600" s="351"/>
      <c r="AJ600" s="545"/>
      <c r="AK600" s="351"/>
      <c r="AL600" s="555" t="s">
        <v>325</v>
      </c>
      <c r="AM600" s="351"/>
      <c r="AN600" s="531" t="s">
        <v>325</v>
      </c>
      <c r="AO600" s="351"/>
      <c r="AP600" s="550"/>
      <c r="AQ600" s="351"/>
      <c r="AR600" s="551"/>
      <c r="AS600" s="351"/>
      <c r="AT600" s="534"/>
      <c r="AU600" s="351"/>
      <c r="AV600" s="531" t="s">
        <v>325</v>
      </c>
      <c r="AW600" s="351"/>
      <c r="AX600" s="553"/>
      <c r="AY600" s="350"/>
      <c r="AZ600" s="351"/>
      <c r="BA600" s="554"/>
      <c r="BB600" s="351"/>
      <c r="BC600" s="36"/>
      <c r="BD600" s="556" t="s">
        <v>325</v>
      </c>
      <c r="BE600" s="351"/>
      <c r="BF600" s="547"/>
      <c r="BG600" s="350"/>
      <c r="BH600" s="350"/>
      <c r="BI600" s="351"/>
      <c r="BJ600" s="506" t="s">
        <v>294</v>
      </c>
      <c r="BK600" s="350"/>
      <c r="BL600" s="350"/>
      <c r="BM600" s="351"/>
      <c r="BN600" s="530" t="s">
        <v>294</v>
      </c>
      <c r="BO600" s="350"/>
      <c r="BP600" s="350"/>
      <c r="BQ600" s="350"/>
      <c r="BR600" s="350"/>
      <c r="BS600" s="350"/>
      <c r="BT600" s="350"/>
      <c r="BU600" s="350"/>
      <c r="BV600" s="351"/>
    </row>
    <row r="601" spans="1:74" ht="45" customHeight="1">
      <c r="A601" s="24">
        <f t="shared" si="2"/>
        <v>587</v>
      </c>
      <c r="B601" s="522" t="s">
        <v>294</v>
      </c>
      <c r="C601" s="351"/>
      <c r="D601" s="523" t="s">
        <v>298</v>
      </c>
      <c r="E601" s="351"/>
      <c r="F601" s="524" t="s">
        <v>325</v>
      </c>
      <c r="G601" s="351"/>
      <c r="H601" s="561" t="s">
        <v>325</v>
      </c>
      <c r="I601" s="351"/>
      <c r="J601" s="562"/>
      <c r="K601" s="351"/>
      <c r="L601" s="562"/>
      <c r="M601" s="351"/>
      <c r="N601" s="34"/>
      <c r="O601" s="38"/>
      <c r="P601" s="526"/>
      <c r="Q601" s="351"/>
      <c r="R601" s="527"/>
      <c r="S601" s="351"/>
      <c r="T601" s="528"/>
      <c r="U601" s="351"/>
      <c r="V601" s="541"/>
      <c r="W601" s="351"/>
      <c r="X601" s="542" t="s">
        <v>294</v>
      </c>
      <c r="Y601" s="350"/>
      <c r="Z601" s="350"/>
      <c r="AA601" s="351"/>
      <c r="AB601" s="543" t="s">
        <v>294</v>
      </c>
      <c r="AC601" s="350"/>
      <c r="AD601" s="350"/>
      <c r="AE601" s="351"/>
      <c r="AF601" s="544"/>
      <c r="AG601" s="351"/>
      <c r="AH601" s="544"/>
      <c r="AI601" s="351"/>
      <c r="AJ601" s="532"/>
      <c r="AK601" s="351"/>
      <c r="AL601" s="524" t="s">
        <v>325</v>
      </c>
      <c r="AM601" s="351"/>
      <c r="AN601" s="549" t="s">
        <v>325</v>
      </c>
      <c r="AO601" s="351"/>
      <c r="AP601" s="532"/>
      <c r="AQ601" s="351"/>
      <c r="AR601" s="533"/>
      <c r="AS601" s="351"/>
      <c r="AT601" s="534"/>
      <c r="AU601" s="351"/>
      <c r="AV601" s="549" t="s">
        <v>325</v>
      </c>
      <c r="AW601" s="351"/>
      <c r="AX601" s="553"/>
      <c r="AY601" s="350"/>
      <c r="AZ601" s="351"/>
      <c r="BA601" s="545"/>
      <c r="BB601" s="351"/>
      <c r="BC601" s="39"/>
      <c r="BD601" s="546" t="s">
        <v>325</v>
      </c>
      <c r="BE601" s="351"/>
      <c r="BF601" s="557"/>
      <c r="BG601" s="350"/>
      <c r="BH601" s="350"/>
      <c r="BI601" s="351"/>
      <c r="BJ601" s="548" t="s">
        <v>294</v>
      </c>
      <c r="BK601" s="350"/>
      <c r="BL601" s="350"/>
      <c r="BM601" s="351"/>
      <c r="BN601" s="530" t="s">
        <v>294</v>
      </c>
      <c r="BO601" s="350"/>
      <c r="BP601" s="350"/>
      <c r="BQ601" s="350"/>
      <c r="BR601" s="350"/>
      <c r="BS601" s="350"/>
      <c r="BT601" s="350"/>
      <c r="BU601" s="350"/>
      <c r="BV601" s="351"/>
    </row>
    <row r="602" spans="1:74" ht="45" customHeight="1">
      <c r="A602" s="24">
        <f t="shared" si="2"/>
        <v>588</v>
      </c>
      <c r="B602" s="558" t="s">
        <v>294</v>
      </c>
      <c r="C602" s="351"/>
      <c r="D602" s="559" t="s">
        <v>298</v>
      </c>
      <c r="E602" s="351"/>
      <c r="F602" s="524" t="s">
        <v>325</v>
      </c>
      <c r="G602" s="351"/>
      <c r="H602" s="525" t="s">
        <v>325</v>
      </c>
      <c r="I602" s="351"/>
      <c r="J602" s="40"/>
      <c r="K602" s="41"/>
      <c r="L602" s="40"/>
      <c r="M602" s="41"/>
      <c r="N602" s="37"/>
      <c r="O602" s="35"/>
      <c r="P602" s="560"/>
      <c r="Q602" s="351"/>
      <c r="R602" s="535"/>
      <c r="S602" s="351"/>
      <c r="T602" s="536"/>
      <c r="U602" s="351"/>
      <c r="V602" s="537"/>
      <c r="W602" s="351"/>
      <c r="X602" s="538" t="s">
        <v>294</v>
      </c>
      <c r="Y602" s="350"/>
      <c r="Z602" s="350"/>
      <c r="AA602" s="351"/>
      <c r="AB602" s="539" t="s">
        <v>294</v>
      </c>
      <c r="AC602" s="350"/>
      <c r="AD602" s="350"/>
      <c r="AE602" s="351"/>
      <c r="AF602" s="540"/>
      <c r="AG602" s="351"/>
      <c r="AH602" s="540"/>
      <c r="AI602" s="351"/>
      <c r="AJ602" s="545"/>
      <c r="AK602" s="351"/>
      <c r="AL602" s="555" t="s">
        <v>325</v>
      </c>
      <c r="AM602" s="351"/>
      <c r="AN602" s="531" t="s">
        <v>325</v>
      </c>
      <c r="AO602" s="351"/>
      <c r="AP602" s="550"/>
      <c r="AQ602" s="351"/>
      <c r="AR602" s="551"/>
      <c r="AS602" s="351"/>
      <c r="AT602" s="534"/>
      <c r="AU602" s="351"/>
      <c r="AV602" s="531" t="s">
        <v>325</v>
      </c>
      <c r="AW602" s="351"/>
      <c r="AX602" s="553"/>
      <c r="AY602" s="350"/>
      <c r="AZ602" s="351"/>
      <c r="BA602" s="554"/>
      <c r="BB602" s="351"/>
      <c r="BC602" s="36"/>
      <c r="BD602" s="556" t="s">
        <v>325</v>
      </c>
      <c r="BE602" s="351"/>
      <c r="BF602" s="547"/>
      <c r="BG602" s="350"/>
      <c r="BH602" s="350"/>
      <c r="BI602" s="351"/>
      <c r="BJ602" s="506" t="s">
        <v>294</v>
      </c>
      <c r="BK602" s="350"/>
      <c r="BL602" s="350"/>
      <c r="BM602" s="351"/>
      <c r="BN602" s="530" t="s">
        <v>294</v>
      </c>
      <c r="BO602" s="350"/>
      <c r="BP602" s="350"/>
      <c r="BQ602" s="350"/>
      <c r="BR602" s="350"/>
      <c r="BS602" s="350"/>
      <c r="BT602" s="350"/>
      <c r="BU602" s="350"/>
      <c r="BV602" s="351"/>
    </row>
    <row r="603" spans="1:74" ht="45" customHeight="1">
      <c r="A603" s="24">
        <f t="shared" si="2"/>
        <v>589</v>
      </c>
      <c r="B603" s="522" t="s">
        <v>294</v>
      </c>
      <c r="C603" s="351"/>
      <c r="D603" s="523" t="s">
        <v>298</v>
      </c>
      <c r="E603" s="351"/>
      <c r="F603" s="524" t="s">
        <v>325</v>
      </c>
      <c r="G603" s="351"/>
      <c r="H603" s="561" t="s">
        <v>325</v>
      </c>
      <c r="I603" s="351"/>
      <c r="J603" s="562"/>
      <c r="K603" s="351"/>
      <c r="L603" s="562"/>
      <c r="M603" s="351"/>
      <c r="N603" s="34"/>
      <c r="O603" s="38"/>
      <c r="P603" s="526"/>
      <c r="Q603" s="351"/>
      <c r="R603" s="527"/>
      <c r="S603" s="351"/>
      <c r="T603" s="528"/>
      <c r="U603" s="351"/>
      <c r="V603" s="541"/>
      <c r="W603" s="351"/>
      <c r="X603" s="542" t="s">
        <v>294</v>
      </c>
      <c r="Y603" s="350"/>
      <c r="Z603" s="350"/>
      <c r="AA603" s="351"/>
      <c r="AB603" s="543" t="s">
        <v>294</v>
      </c>
      <c r="AC603" s="350"/>
      <c r="AD603" s="350"/>
      <c r="AE603" s="351"/>
      <c r="AF603" s="544"/>
      <c r="AG603" s="351"/>
      <c r="AH603" s="544"/>
      <c r="AI603" s="351"/>
      <c r="AJ603" s="532"/>
      <c r="AK603" s="351"/>
      <c r="AL603" s="524" t="s">
        <v>325</v>
      </c>
      <c r="AM603" s="351"/>
      <c r="AN603" s="549" t="s">
        <v>325</v>
      </c>
      <c r="AO603" s="351"/>
      <c r="AP603" s="532"/>
      <c r="AQ603" s="351"/>
      <c r="AR603" s="533"/>
      <c r="AS603" s="351"/>
      <c r="AT603" s="534"/>
      <c r="AU603" s="351"/>
      <c r="AV603" s="549" t="s">
        <v>325</v>
      </c>
      <c r="AW603" s="351"/>
      <c r="AX603" s="553"/>
      <c r="AY603" s="350"/>
      <c r="AZ603" s="351"/>
      <c r="BA603" s="545"/>
      <c r="BB603" s="351"/>
      <c r="BC603" s="39"/>
      <c r="BD603" s="546" t="s">
        <v>325</v>
      </c>
      <c r="BE603" s="351"/>
      <c r="BF603" s="529"/>
      <c r="BG603" s="350"/>
      <c r="BH603" s="350"/>
      <c r="BI603" s="351"/>
      <c r="BJ603" s="548" t="s">
        <v>294</v>
      </c>
      <c r="BK603" s="350"/>
      <c r="BL603" s="350"/>
      <c r="BM603" s="351"/>
      <c r="BN603" s="530" t="s">
        <v>294</v>
      </c>
      <c r="BO603" s="350"/>
      <c r="BP603" s="350"/>
      <c r="BQ603" s="350"/>
      <c r="BR603" s="350"/>
      <c r="BS603" s="350"/>
      <c r="BT603" s="350"/>
      <c r="BU603" s="350"/>
      <c r="BV603" s="351"/>
    </row>
    <row r="604" spans="1:74" ht="45" customHeight="1">
      <c r="A604" s="24">
        <f t="shared" si="2"/>
        <v>590</v>
      </c>
      <c r="B604" s="558" t="s">
        <v>294</v>
      </c>
      <c r="C604" s="351"/>
      <c r="D604" s="559" t="s">
        <v>298</v>
      </c>
      <c r="E604" s="351"/>
      <c r="F604" s="524" t="s">
        <v>325</v>
      </c>
      <c r="G604" s="351"/>
      <c r="H604" s="525" t="s">
        <v>325</v>
      </c>
      <c r="I604" s="351"/>
      <c r="J604" s="40"/>
      <c r="K604" s="41"/>
      <c r="L604" s="40"/>
      <c r="M604" s="41"/>
      <c r="N604" s="37"/>
      <c r="O604" s="35"/>
      <c r="P604" s="560"/>
      <c r="Q604" s="351"/>
      <c r="R604" s="535"/>
      <c r="S604" s="351"/>
      <c r="T604" s="536"/>
      <c r="U604" s="351"/>
      <c r="V604" s="537"/>
      <c r="W604" s="351"/>
      <c r="X604" s="538" t="s">
        <v>294</v>
      </c>
      <c r="Y604" s="350"/>
      <c r="Z604" s="350"/>
      <c r="AA604" s="351"/>
      <c r="AB604" s="539" t="s">
        <v>294</v>
      </c>
      <c r="AC604" s="350"/>
      <c r="AD604" s="350"/>
      <c r="AE604" s="351"/>
      <c r="AF604" s="540"/>
      <c r="AG604" s="351"/>
      <c r="AH604" s="540"/>
      <c r="AI604" s="351"/>
      <c r="AJ604" s="545"/>
      <c r="AK604" s="351"/>
      <c r="AL604" s="555" t="s">
        <v>325</v>
      </c>
      <c r="AM604" s="351"/>
      <c r="AN604" s="531" t="s">
        <v>325</v>
      </c>
      <c r="AO604" s="351"/>
      <c r="AP604" s="550"/>
      <c r="AQ604" s="351"/>
      <c r="AR604" s="551"/>
      <c r="AS604" s="351"/>
      <c r="AT604" s="534"/>
      <c r="AU604" s="351"/>
      <c r="AV604" s="531" t="s">
        <v>325</v>
      </c>
      <c r="AW604" s="351"/>
      <c r="AX604" s="553"/>
      <c r="AY604" s="350"/>
      <c r="AZ604" s="351"/>
      <c r="BA604" s="554"/>
      <c r="BB604" s="351"/>
      <c r="BC604" s="36"/>
      <c r="BD604" s="556" t="s">
        <v>325</v>
      </c>
      <c r="BE604" s="351"/>
      <c r="BF604" s="547"/>
      <c r="BG604" s="350"/>
      <c r="BH604" s="350"/>
      <c r="BI604" s="351"/>
      <c r="BJ604" s="506" t="s">
        <v>294</v>
      </c>
      <c r="BK604" s="350"/>
      <c r="BL604" s="350"/>
      <c r="BM604" s="351"/>
      <c r="BN604" s="530" t="s">
        <v>294</v>
      </c>
      <c r="BO604" s="350"/>
      <c r="BP604" s="350"/>
      <c r="BQ604" s="350"/>
      <c r="BR604" s="350"/>
      <c r="BS604" s="350"/>
      <c r="BT604" s="350"/>
      <c r="BU604" s="350"/>
      <c r="BV604" s="351"/>
    </row>
    <row r="605" spans="1:74" ht="45" customHeight="1">
      <c r="A605" s="24">
        <f t="shared" si="2"/>
        <v>591</v>
      </c>
      <c r="B605" s="522" t="s">
        <v>294</v>
      </c>
      <c r="C605" s="351"/>
      <c r="D605" s="523" t="s">
        <v>298</v>
      </c>
      <c r="E605" s="351"/>
      <c r="F605" s="524" t="s">
        <v>325</v>
      </c>
      <c r="G605" s="351"/>
      <c r="H605" s="561" t="s">
        <v>325</v>
      </c>
      <c r="I605" s="351"/>
      <c r="J605" s="562"/>
      <c r="K605" s="351"/>
      <c r="L605" s="562"/>
      <c r="M605" s="351"/>
      <c r="N605" s="34"/>
      <c r="O605" s="38"/>
      <c r="P605" s="526"/>
      <c r="Q605" s="351"/>
      <c r="R605" s="527"/>
      <c r="S605" s="351"/>
      <c r="T605" s="528"/>
      <c r="U605" s="351"/>
      <c r="V605" s="541"/>
      <c r="W605" s="351"/>
      <c r="X605" s="542" t="s">
        <v>294</v>
      </c>
      <c r="Y605" s="350"/>
      <c r="Z605" s="350"/>
      <c r="AA605" s="351"/>
      <c r="AB605" s="543" t="s">
        <v>294</v>
      </c>
      <c r="AC605" s="350"/>
      <c r="AD605" s="350"/>
      <c r="AE605" s="351"/>
      <c r="AF605" s="544"/>
      <c r="AG605" s="351"/>
      <c r="AH605" s="544"/>
      <c r="AI605" s="351"/>
      <c r="AJ605" s="532"/>
      <c r="AK605" s="351"/>
      <c r="AL605" s="524" t="s">
        <v>325</v>
      </c>
      <c r="AM605" s="351"/>
      <c r="AN605" s="549" t="s">
        <v>325</v>
      </c>
      <c r="AO605" s="351"/>
      <c r="AP605" s="532"/>
      <c r="AQ605" s="351"/>
      <c r="AR605" s="533"/>
      <c r="AS605" s="351"/>
      <c r="AT605" s="534"/>
      <c r="AU605" s="351"/>
      <c r="AV605" s="549" t="s">
        <v>325</v>
      </c>
      <c r="AW605" s="351"/>
      <c r="AX605" s="553"/>
      <c r="AY605" s="350"/>
      <c r="AZ605" s="351"/>
      <c r="BA605" s="545"/>
      <c r="BB605" s="351"/>
      <c r="BC605" s="39"/>
      <c r="BD605" s="546" t="s">
        <v>325</v>
      </c>
      <c r="BE605" s="351"/>
      <c r="BF605" s="529"/>
      <c r="BG605" s="350"/>
      <c r="BH605" s="350"/>
      <c r="BI605" s="351"/>
      <c r="BJ605" s="548" t="s">
        <v>294</v>
      </c>
      <c r="BK605" s="350"/>
      <c r="BL605" s="350"/>
      <c r="BM605" s="351"/>
      <c r="BN605" s="530" t="s">
        <v>294</v>
      </c>
      <c r="BO605" s="350"/>
      <c r="BP605" s="350"/>
      <c r="BQ605" s="350"/>
      <c r="BR605" s="350"/>
      <c r="BS605" s="350"/>
      <c r="BT605" s="350"/>
      <c r="BU605" s="350"/>
      <c r="BV605" s="351"/>
    </row>
    <row r="606" spans="1:74" ht="45" customHeight="1">
      <c r="A606" s="24">
        <f t="shared" si="2"/>
        <v>592</v>
      </c>
      <c r="B606" s="558" t="s">
        <v>294</v>
      </c>
      <c r="C606" s="351"/>
      <c r="D606" s="559" t="s">
        <v>298</v>
      </c>
      <c r="E606" s="351"/>
      <c r="F606" s="524" t="s">
        <v>325</v>
      </c>
      <c r="G606" s="351"/>
      <c r="H606" s="525" t="s">
        <v>325</v>
      </c>
      <c r="I606" s="351"/>
      <c r="J606" s="40"/>
      <c r="K606" s="41"/>
      <c r="L606" s="40"/>
      <c r="M606" s="41"/>
      <c r="N606" s="37"/>
      <c r="O606" s="35"/>
      <c r="P606" s="560"/>
      <c r="Q606" s="351"/>
      <c r="R606" s="535"/>
      <c r="S606" s="351"/>
      <c r="T606" s="536"/>
      <c r="U606" s="351"/>
      <c r="V606" s="537"/>
      <c r="W606" s="351"/>
      <c r="X606" s="538" t="s">
        <v>294</v>
      </c>
      <c r="Y606" s="350"/>
      <c r="Z606" s="350"/>
      <c r="AA606" s="351"/>
      <c r="AB606" s="539" t="s">
        <v>294</v>
      </c>
      <c r="AC606" s="350"/>
      <c r="AD606" s="350"/>
      <c r="AE606" s="351"/>
      <c r="AF606" s="540"/>
      <c r="AG606" s="351"/>
      <c r="AH606" s="540"/>
      <c r="AI606" s="351"/>
      <c r="AJ606" s="545"/>
      <c r="AK606" s="351"/>
      <c r="AL606" s="555" t="s">
        <v>325</v>
      </c>
      <c r="AM606" s="351"/>
      <c r="AN606" s="531" t="s">
        <v>325</v>
      </c>
      <c r="AO606" s="351"/>
      <c r="AP606" s="550"/>
      <c r="AQ606" s="351"/>
      <c r="AR606" s="551"/>
      <c r="AS606" s="351"/>
      <c r="AT606" s="534"/>
      <c r="AU606" s="351"/>
      <c r="AV606" s="531" t="s">
        <v>325</v>
      </c>
      <c r="AW606" s="351"/>
      <c r="AX606" s="553"/>
      <c r="AY606" s="350"/>
      <c r="AZ606" s="351"/>
      <c r="BA606" s="554"/>
      <c r="BB606" s="351"/>
      <c r="BC606" s="36"/>
      <c r="BD606" s="556" t="s">
        <v>325</v>
      </c>
      <c r="BE606" s="351"/>
      <c r="BF606" s="547"/>
      <c r="BG606" s="350"/>
      <c r="BH606" s="350"/>
      <c r="BI606" s="351"/>
      <c r="BJ606" s="506" t="s">
        <v>294</v>
      </c>
      <c r="BK606" s="350"/>
      <c r="BL606" s="350"/>
      <c r="BM606" s="351"/>
      <c r="BN606" s="530" t="s">
        <v>294</v>
      </c>
      <c r="BO606" s="350"/>
      <c r="BP606" s="350"/>
      <c r="BQ606" s="350"/>
      <c r="BR606" s="350"/>
      <c r="BS606" s="350"/>
      <c r="BT606" s="350"/>
      <c r="BU606" s="350"/>
      <c r="BV606" s="351"/>
    </row>
    <row r="607" spans="1:74" ht="45" customHeight="1">
      <c r="A607" s="24">
        <f t="shared" si="2"/>
        <v>593</v>
      </c>
      <c r="B607" s="558" t="s">
        <v>294</v>
      </c>
      <c r="C607" s="351"/>
      <c r="D607" s="559" t="s">
        <v>298</v>
      </c>
      <c r="E607" s="351"/>
      <c r="F607" s="524" t="s">
        <v>325</v>
      </c>
      <c r="G607" s="351"/>
      <c r="H607" s="561" t="s">
        <v>325</v>
      </c>
      <c r="I607" s="351"/>
      <c r="J607" s="562"/>
      <c r="K607" s="351"/>
      <c r="L607" s="562"/>
      <c r="M607" s="351"/>
      <c r="N607" s="34"/>
      <c r="O607" s="35"/>
      <c r="P607" s="560"/>
      <c r="Q607" s="351"/>
      <c r="R607" s="535"/>
      <c r="S607" s="351"/>
      <c r="T607" s="536"/>
      <c r="U607" s="351"/>
      <c r="V607" s="537"/>
      <c r="W607" s="351"/>
      <c r="X607" s="538" t="s">
        <v>294</v>
      </c>
      <c r="Y607" s="350"/>
      <c r="Z607" s="350"/>
      <c r="AA607" s="351"/>
      <c r="AB607" s="539" t="s">
        <v>294</v>
      </c>
      <c r="AC607" s="350"/>
      <c r="AD607" s="350"/>
      <c r="AE607" s="351"/>
      <c r="AF607" s="540"/>
      <c r="AG607" s="351"/>
      <c r="AH607" s="540"/>
      <c r="AI607" s="351"/>
      <c r="AJ607" s="532"/>
      <c r="AK607" s="351"/>
      <c r="AL607" s="555" t="s">
        <v>325</v>
      </c>
      <c r="AM607" s="351"/>
      <c r="AN607" s="531" t="s">
        <v>325</v>
      </c>
      <c r="AO607" s="351"/>
      <c r="AP607" s="532"/>
      <c r="AQ607" s="351"/>
      <c r="AR607" s="533"/>
      <c r="AS607" s="351"/>
      <c r="AT607" s="534"/>
      <c r="AU607" s="351"/>
      <c r="AV607" s="531" t="s">
        <v>325</v>
      </c>
      <c r="AW607" s="351"/>
      <c r="AX607" s="553"/>
      <c r="AY607" s="350"/>
      <c r="AZ607" s="351"/>
      <c r="BA607" s="545"/>
      <c r="BB607" s="351"/>
      <c r="BC607" s="36"/>
      <c r="BD607" s="556" t="s">
        <v>325</v>
      </c>
      <c r="BE607" s="351"/>
      <c r="BF607" s="557"/>
      <c r="BG607" s="350"/>
      <c r="BH607" s="350"/>
      <c r="BI607" s="351"/>
      <c r="BJ607" s="506" t="s">
        <v>294</v>
      </c>
      <c r="BK607" s="350"/>
      <c r="BL607" s="350"/>
      <c r="BM607" s="351"/>
      <c r="BN607" s="530" t="s">
        <v>294</v>
      </c>
      <c r="BO607" s="350"/>
      <c r="BP607" s="350"/>
      <c r="BQ607" s="350"/>
      <c r="BR607" s="350"/>
      <c r="BS607" s="350"/>
      <c r="BT607" s="350"/>
      <c r="BU607" s="350"/>
      <c r="BV607" s="351"/>
    </row>
    <row r="608" spans="1:74" ht="45" customHeight="1">
      <c r="A608" s="24">
        <f t="shared" si="2"/>
        <v>594</v>
      </c>
      <c r="B608" s="522" t="s">
        <v>294</v>
      </c>
      <c r="C608" s="351"/>
      <c r="D608" s="523" t="s">
        <v>298</v>
      </c>
      <c r="E608" s="351"/>
      <c r="F608" s="524" t="s">
        <v>325</v>
      </c>
      <c r="G608" s="351"/>
      <c r="H608" s="525" t="s">
        <v>325</v>
      </c>
      <c r="I608" s="351"/>
      <c r="J608" s="40"/>
      <c r="K608" s="41"/>
      <c r="L608" s="40"/>
      <c r="M608" s="41"/>
      <c r="N608" s="37"/>
      <c r="O608" s="38"/>
      <c r="P608" s="526"/>
      <c r="Q608" s="351"/>
      <c r="R608" s="527"/>
      <c r="S608" s="351"/>
      <c r="T608" s="528"/>
      <c r="U608" s="351"/>
      <c r="V608" s="541"/>
      <c r="W608" s="351"/>
      <c r="X608" s="542" t="s">
        <v>294</v>
      </c>
      <c r="Y608" s="350"/>
      <c r="Z608" s="350"/>
      <c r="AA608" s="351"/>
      <c r="AB608" s="543" t="s">
        <v>294</v>
      </c>
      <c r="AC608" s="350"/>
      <c r="AD608" s="350"/>
      <c r="AE608" s="351"/>
      <c r="AF608" s="544"/>
      <c r="AG608" s="351"/>
      <c r="AH608" s="544"/>
      <c r="AI608" s="351"/>
      <c r="AJ608" s="545"/>
      <c r="AK608" s="351"/>
      <c r="AL608" s="524" t="s">
        <v>325</v>
      </c>
      <c r="AM608" s="351"/>
      <c r="AN608" s="549" t="s">
        <v>325</v>
      </c>
      <c r="AO608" s="351"/>
      <c r="AP608" s="550"/>
      <c r="AQ608" s="351"/>
      <c r="AR608" s="551"/>
      <c r="AS608" s="351"/>
      <c r="AT608" s="534"/>
      <c r="AU608" s="351"/>
      <c r="AV608" s="549" t="s">
        <v>325</v>
      </c>
      <c r="AW608" s="351"/>
      <c r="AX608" s="553"/>
      <c r="AY608" s="350"/>
      <c r="AZ608" s="351"/>
      <c r="BA608" s="554"/>
      <c r="BB608" s="351"/>
      <c r="BC608" s="39"/>
      <c r="BD608" s="546" t="s">
        <v>325</v>
      </c>
      <c r="BE608" s="351"/>
      <c r="BF608" s="547"/>
      <c r="BG608" s="350"/>
      <c r="BH608" s="350"/>
      <c r="BI608" s="351"/>
      <c r="BJ608" s="548" t="s">
        <v>294</v>
      </c>
      <c r="BK608" s="350"/>
      <c r="BL608" s="350"/>
      <c r="BM608" s="351"/>
      <c r="BN608" s="530" t="s">
        <v>294</v>
      </c>
      <c r="BO608" s="350"/>
      <c r="BP608" s="350"/>
      <c r="BQ608" s="350"/>
      <c r="BR608" s="350"/>
      <c r="BS608" s="350"/>
      <c r="BT608" s="350"/>
      <c r="BU608" s="350"/>
      <c r="BV608" s="351"/>
    </row>
    <row r="609" spans="1:74" ht="45" customHeight="1">
      <c r="A609" s="24">
        <f t="shared" si="2"/>
        <v>595</v>
      </c>
      <c r="B609" s="558" t="s">
        <v>294</v>
      </c>
      <c r="C609" s="351"/>
      <c r="D609" s="559" t="s">
        <v>298</v>
      </c>
      <c r="E609" s="351"/>
      <c r="F609" s="524" t="s">
        <v>325</v>
      </c>
      <c r="G609" s="351"/>
      <c r="H609" s="561" t="s">
        <v>325</v>
      </c>
      <c r="I609" s="351"/>
      <c r="J609" s="562"/>
      <c r="K609" s="351"/>
      <c r="L609" s="562"/>
      <c r="M609" s="351"/>
      <c r="N609" s="34"/>
      <c r="O609" s="35"/>
      <c r="P609" s="560"/>
      <c r="Q609" s="351"/>
      <c r="R609" s="535"/>
      <c r="S609" s="351"/>
      <c r="T609" s="536"/>
      <c r="U609" s="351"/>
      <c r="V609" s="537"/>
      <c r="W609" s="351"/>
      <c r="X609" s="538" t="s">
        <v>294</v>
      </c>
      <c r="Y609" s="350"/>
      <c r="Z609" s="350"/>
      <c r="AA609" s="351"/>
      <c r="AB609" s="539" t="s">
        <v>294</v>
      </c>
      <c r="AC609" s="350"/>
      <c r="AD609" s="350"/>
      <c r="AE609" s="351"/>
      <c r="AF609" s="540"/>
      <c r="AG609" s="351"/>
      <c r="AH609" s="540"/>
      <c r="AI609" s="351"/>
      <c r="AJ609" s="532"/>
      <c r="AK609" s="351"/>
      <c r="AL609" s="555" t="s">
        <v>325</v>
      </c>
      <c r="AM609" s="351"/>
      <c r="AN609" s="531" t="s">
        <v>325</v>
      </c>
      <c r="AO609" s="351"/>
      <c r="AP609" s="532"/>
      <c r="AQ609" s="351"/>
      <c r="AR609" s="533"/>
      <c r="AS609" s="351"/>
      <c r="AT609" s="534"/>
      <c r="AU609" s="351"/>
      <c r="AV609" s="531" t="s">
        <v>325</v>
      </c>
      <c r="AW609" s="351"/>
      <c r="AX609" s="553"/>
      <c r="AY609" s="350"/>
      <c r="AZ609" s="351"/>
      <c r="BA609" s="545"/>
      <c r="BB609" s="351"/>
      <c r="BC609" s="36"/>
      <c r="BD609" s="556" t="s">
        <v>325</v>
      </c>
      <c r="BE609" s="351"/>
      <c r="BF609" s="529"/>
      <c r="BG609" s="350"/>
      <c r="BH609" s="350"/>
      <c r="BI609" s="351"/>
      <c r="BJ609" s="506" t="s">
        <v>294</v>
      </c>
      <c r="BK609" s="350"/>
      <c r="BL609" s="350"/>
      <c r="BM609" s="351"/>
      <c r="BN609" s="530" t="s">
        <v>294</v>
      </c>
      <c r="BO609" s="350"/>
      <c r="BP609" s="350"/>
      <c r="BQ609" s="350"/>
      <c r="BR609" s="350"/>
      <c r="BS609" s="350"/>
      <c r="BT609" s="350"/>
      <c r="BU609" s="350"/>
      <c r="BV609" s="351"/>
    </row>
    <row r="610" spans="1:74" ht="45" customHeight="1">
      <c r="A610" s="24">
        <f t="shared" si="2"/>
        <v>596</v>
      </c>
      <c r="B610" s="558" t="s">
        <v>294</v>
      </c>
      <c r="C610" s="351"/>
      <c r="D610" s="559" t="s">
        <v>298</v>
      </c>
      <c r="E610" s="351"/>
      <c r="F610" s="524" t="s">
        <v>325</v>
      </c>
      <c r="G610" s="351"/>
      <c r="H610" s="525" t="s">
        <v>325</v>
      </c>
      <c r="I610" s="351"/>
      <c r="J610" s="40"/>
      <c r="K610" s="41"/>
      <c r="L610" s="40"/>
      <c r="M610" s="41"/>
      <c r="N610" s="37"/>
      <c r="O610" s="35"/>
      <c r="P610" s="526"/>
      <c r="Q610" s="351"/>
      <c r="R610" s="535"/>
      <c r="S610" s="351"/>
      <c r="T610" s="536"/>
      <c r="U610" s="351"/>
      <c r="V610" s="537"/>
      <c r="W610" s="351"/>
      <c r="X610" s="538" t="s">
        <v>294</v>
      </c>
      <c r="Y610" s="350"/>
      <c r="Z610" s="350"/>
      <c r="AA610" s="351"/>
      <c r="AB610" s="539" t="s">
        <v>294</v>
      </c>
      <c r="AC610" s="350"/>
      <c r="AD610" s="350"/>
      <c r="AE610" s="351"/>
      <c r="AF610" s="540"/>
      <c r="AG610" s="351"/>
      <c r="AH610" s="540"/>
      <c r="AI610" s="351"/>
      <c r="AJ610" s="545"/>
      <c r="AK610" s="351"/>
      <c r="AL610" s="555" t="s">
        <v>325</v>
      </c>
      <c r="AM610" s="351"/>
      <c r="AN610" s="531" t="s">
        <v>325</v>
      </c>
      <c r="AO610" s="351"/>
      <c r="AP610" s="550"/>
      <c r="AQ610" s="351"/>
      <c r="AR610" s="551"/>
      <c r="AS610" s="351"/>
      <c r="AT610" s="534"/>
      <c r="AU610" s="351"/>
      <c r="AV610" s="531" t="s">
        <v>325</v>
      </c>
      <c r="AW610" s="351"/>
      <c r="AX610" s="553"/>
      <c r="AY610" s="350"/>
      <c r="AZ610" s="351"/>
      <c r="BA610" s="554"/>
      <c r="BB610" s="351"/>
      <c r="BC610" s="36"/>
      <c r="BD610" s="556" t="s">
        <v>325</v>
      </c>
      <c r="BE610" s="351"/>
      <c r="BF610" s="547"/>
      <c r="BG610" s="350"/>
      <c r="BH610" s="350"/>
      <c r="BI610" s="351"/>
      <c r="BJ610" s="506" t="s">
        <v>294</v>
      </c>
      <c r="BK610" s="350"/>
      <c r="BL610" s="350"/>
      <c r="BM610" s="351"/>
      <c r="BN610" s="530" t="s">
        <v>294</v>
      </c>
      <c r="BO610" s="350"/>
      <c r="BP610" s="350"/>
      <c r="BQ610" s="350"/>
      <c r="BR610" s="350"/>
      <c r="BS610" s="350"/>
      <c r="BT610" s="350"/>
      <c r="BU610" s="350"/>
      <c r="BV610" s="351"/>
    </row>
    <row r="611" spans="1:74" ht="45" customHeight="1">
      <c r="A611" s="24">
        <f t="shared" si="2"/>
        <v>597</v>
      </c>
      <c r="B611" s="522" t="s">
        <v>294</v>
      </c>
      <c r="C611" s="351"/>
      <c r="D611" s="523" t="s">
        <v>298</v>
      </c>
      <c r="E611" s="351"/>
      <c r="F611" s="524" t="s">
        <v>325</v>
      </c>
      <c r="G611" s="351"/>
      <c r="H611" s="561" t="s">
        <v>325</v>
      </c>
      <c r="I611" s="351"/>
      <c r="J611" s="562"/>
      <c r="K611" s="351"/>
      <c r="L611" s="562"/>
      <c r="M611" s="351"/>
      <c r="N611" s="34"/>
      <c r="O611" s="38"/>
      <c r="P611" s="560"/>
      <c r="Q611" s="351"/>
      <c r="R611" s="527"/>
      <c r="S611" s="351"/>
      <c r="T611" s="528"/>
      <c r="U611" s="351"/>
      <c r="V611" s="541"/>
      <c r="W611" s="351"/>
      <c r="X611" s="542" t="s">
        <v>294</v>
      </c>
      <c r="Y611" s="350"/>
      <c r="Z611" s="350"/>
      <c r="AA611" s="351"/>
      <c r="AB611" s="543" t="s">
        <v>294</v>
      </c>
      <c r="AC611" s="350"/>
      <c r="AD611" s="350"/>
      <c r="AE611" s="351"/>
      <c r="AF611" s="544"/>
      <c r="AG611" s="351"/>
      <c r="AH611" s="544"/>
      <c r="AI611" s="351"/>
      <c r="AJ611" s="532"/>
      <c r="AK611" s="351"/>
      <c r="AL611" s="524" t="s">
        <v>325</v>
      </c>
      <c r="AM611" s="351"/>
      <c r="AN611" s="549" t="s">
        <v>325</v>
      </c>
      <c r="AO611" s="351"/>
      <c r="AP611" s="532"/>
      <c r="AQ611" s="351"/>
      <c r="AR611" s="533"/>
      <c r="AS611" s="351"/>
      <c r="AT611" s="534"/>
      <c r="AU611" s="351"/>
      <c r="AV611" s="549" t="s">
        <v>325</v>
      </c>
      <c r="AW611" s="351"/>
      <c r="AX611" s="553"/>
      <c r="AY611" s="350"/>
      <c r="AZ611" s="351"/>
      <c r="BA611" s="545"/>
      <c r="BB611" s="351"/>
      <c r="BC611" s="39"/>
      <c r="BD611" s="546" t="s">
        <v>325</v>
      </c>
      <c r="BE611" s="351"/>
      <c r="BF611" s="557"/>
      <c r="BG611" s="350"/>
      <c r="BH611" s="350"/>
      <c r="BI611" s="351"/>
      <c r="BJ611" s="548" t="s">
        <v>294</v>
      </c>
      <c r="BK611" s="350"/>
      <c r="BL611" s="350"/>
      <c r="BM611" s="351"/>
      <c r="BN611" s="530" t="s">
        <v>294</v>
      </c>
      <c r="BO611" s="350"/>
      <c r="BP611" s="350"/>
      <c r="BQ611" s="350"/>
      <c r="BR611" s="350"/>
      <c r="BS611" s="350"/>
      <c r="BT611" s="350"/>
      <c r="BU611" s="350"/>
      <c r="BV611" s="351"/>
    </row>
    <row r="612" spans="1:74" ht="45" customHeight="1">
      <c r="A612" s="24">
        <f t="shared" si="2"/>
        <v>598</v>
      </c>
      <c r="B612" s="558" t="s">
        <v>294</v>
      </c>
      <c r="C612" s="351"/>
      <c r="D612" s="559" t="s">
        <v>298</v>
      </c>
      <c r="E612" s="351"/>
      <c r="F612" s="524" t="s">
        <v>325</v>
      </c>
      <c r="G612" s="351"/>
      <c r="H612" s="525" t="s">
        <v>325</v>
      </c>
      <c r="I612" s="351"/>
      <c r="J612" s="563"/>
      <c r="K612" s="351"/>
      <c r="L612" s="563"/>
      <c r="M612" s="351"/>
      <c r="N612" s="37"/>
      <c r="O612" s="35"/>
      <c r="P612" s="526"/>
      <c r="Q612" s="351"/>
      <c r="R612" s="535"/>
      <c r="S612" s="351"/>
      <c r="T612" s="536"/>
      <c r="U612" s="351"/>
      <c r="V612" s="537"/>
      <c r="W612" s="351"/>
      <c r="X612" s="538" t="s">
        <v>294</v>
      </c>
      <c r="Y612" s="350"/>
      <c r="Z612" s="350"/>
      <c r="AA612" s="351"/>
      <c r="AB612" s="539" t="s">
        <v>294</v>
      </c>
      <c r="AC612" s="350"/>
      <c r="AD612" s="350"/>
      <c r="AE612" s="351"/>
      <c r="AF612" s="540"/>
      <c r="AG612" s="351"/>
      <c r="AH612" s="540"/>
      <c r="AI612" s="351"/>
      <c r="AJ612" s="545"/>
      <c r="AK612" s="351"/>
      <c r="AL612" s="555" t="s">
        <v>325</v>
      </c>
      <c r="AM612" s="351"/>
      <c r="AN612" s="531" t="s">
        <v>325</v>
      </c>
      <c r="AO612" s="351"/>
      <c r="AP612" s="550"/>
      <c r="AQ612" s="351"/>
      <c r="AR612" s="551"/>
      <c r="AS612" s="351"/>
      <c r="AT612" s="534"/>
      <c r="AU612" s="351"/>
      <c r="AV612" s="531" t="s">
        <v>325</v>
      </c>
      <c r="AW612" s="351"/>
      <c r="AX612" s="553"/>
      <c r="AY612" s="350"/>
      <c r="AZ612" s="351"/>
      <c r="BA612" s="554"/>
      <c r="BB612" s="351"/>
      <c r="BC612" s="36"/>
      <c r="BD612" s="556" t="s">
        <v>325</v>
      </c>
      <c r="BE612" s="351"/>
      <c r="BF612" s="547"/>
      <c r="BG612" s="350"/>
      <c r="BH612" s="350"/>
      <c r="BI612" s="351"/>
      <c r="BJ612" s="506" t="s">
        <v>294</v>
      </c>
      <c r="BK612" s="350"/>
      <c r="BL612" s="350"/>
      <c r="BM612" s="351"/>
      <c r="BN612" s="530" t="s">
        <v>294</v>
      </c>
      <c r="BO612" s="350"/>
      <c r="BP612" s="350"/>
      <c r="BQ612" s="350"/>
      <c r="BR612" s="350"/>
      <c r="BS612" s="350"/>
      <c r="BT612" s="350"/>
      <c r="BU612" s="350"/>
      <c r="BV612" s="351"/>
    </row>
    <row r="613" spans="1:74" ht="45" customHeight="1">
      <c r="A613" s="24">
        <f t="shared" si="2"/>
        <v>599</v>
      </c>
      <c r="B613" s="522" t="s">
        <v>294</v>
      </c>
      <c r="C613" s="351"/>
      <c r="D613" s="523" t="s">
        <v>298</v>
      </c>
      <c r="E613" s="351"/>
      <c r="F613" s="524" t="s">
        <v>325</v>
      </c>
      <c r="G613" s="351"/>
      <c r="H613" s="561" t="s">
        <v>325</v>
      </c>
      <c r="I613" s="351"/>
      <c r="J613" s="562"/>
      <c r="K613" s="351"/>
      <c r="L613" s="562"/>
      <c r="M613" s="351"/>
      <c r="N613" s="34"/>
      <c r="O613" s="38"/>
      <c r="P613" s="560"/>
      <c r="Q613" s="351"/>
      <c r="R613" s="527"/>
      <c r="S613" s="351"/>
      <c r="T613" s="528"/>
      <c r="U613" s="351"/>
      <c r="V613" s="541"/>
      <c r="W613" s="351"/>
      <c r="X613" s="542" t="s">
        <v>294</v>
      </c>
      <c r="Y613" s="350"/>
      <c r="Z613" s="350"/>
      <c r="AA613" s="351"/>
      <c r="AB613" s="543" t="s">
        <v>294</v>
      </c>
      <c r="AC613" s="350"/>
      <c r="AD613" s="350"/>
      <c r="AE613" s="351"/>
      <c r="AF613" s="544"/>
      <c r="AG613" s="351"/>
      <c r="AH613" s="544"/>
      <c r="AI613" s="351"/>
      <c r="AJ613" s="532"/>
      <c r="AK613" s="351"/>
      <c r="AL613" s="524" t="s">
        <v>325</v>
      </c>
      <c r="AM613" s="351"/>
      <c r="AN613" s="549" t="s">
        <v>325</v>
      </c>
      <c r="AO613" s="351"/>
      <c r="AP613" s="532"/>
      <c r="AQ613" s="351"/>
      <c r="AR613" s="533"/>
      <c r="AS613" s="351"/>
      <c r="AT613" s="534"/>
      <c r="AU613" s="351"/>
      <c r="AV613" s="549" t="s">
        <v>325</v>
      </c>
      <c r="AW613" s="351"/>
      <c r="AX613" s="553"/>
      <c r="AY613" s="350"/>
      <c r="AZ613" s="351"/>
      <c r="BA613" s="545"/>
      <c r="BB613" s="351"/>
      <c r="BC613" s="39"/>
      <c r="BD613" s="546" t="s">
        <v>325</v>
      </c>
      <c r="BE613" s="351"/>
      <c r="BF613" s="529"/>
      <c r="BG613" s="350"/>
      <c r="BH613" s="350"/>
      <c r="BI613" s="351"/>
      <c r="BJ613" s="548" t="s">
        <v>294</v>
      </c>
      <c r="BK613" s="350"/>
      <c r="BL613" s="350"/>
      <c r="BM613" s="351"/>
      <c r="BN613" s="530" t="s">
        <v>294</v>
      </c>
      <c r="BO613" s="350"/>
      <c r="BP613" s="350"/>
      <c r="BQ613" s="350"/>
      <c r="BR613" s="350"/>
      <c r="BS613" s="350"/>
      <c r="BT613" s="350"/>
      <c r="BU613" s="350"/>
      <c r="BV613" s="351"/>
    </row>
    <row r="614" spans="1:74" ht="45" customHeight="1">
      <c r="A614" s="24">
        <f t="shared" si="2"/>
        <v>600</v>
      </c>
      <c r="B614" s="558" t="s">
        <v>294</v>
      </c>
      <c r="C614" s="351"/>
      <c r="D614" s="559" t="s">
        <v>298</v>
      </c>
      <c r="E614" s="351"/>
      <c r="F614" s="524" t="s">
        <v>325</v>
      </c>
      <c r="G614" s="351"/>
      <c r="H614" s="525" t="s">
        <v>325</v>
      </c>
      <c r="I614" s="351"/>
      <c r="J614" s="563"/>
      <c r="K614" s="351"/>
      <c r="L614" s="563"/>
      <c r="M614" s="351"/>
      <c r="N614" s="37"/>
      <c r="O614" s="35"/>
      <c r="P614" s="526"/>
      <c r="Q614" s="351"/>
      <c r="R614" s="535"/>
      <c r="S614" s="351"/>
      <c r="T614" s="536"/>
      <c r="U614" s="351"/>
      <c r="V614" s="537"/>
      <c r="W614" s="351"/>
      <c r="X614" s="538" t="s">
        <v>294</v>
      </c>
      <c r="Y614" s="350"/>
      <c r="Z614" s="350"/>
      <c r="AA614" s="351"/>
      <c r="AB614" s="539" t="s">
        <v>294</v>
      </c>
      <c r="AC614" s="350"/>
      <c r="AD614" s="350"/>
      <c r="AE614" s="351"/>
      <c r="AF614" s="540"/>
      <c r="AG614" s="351"/>
      <c r="AH614" s="540"/>
      <c r="AI614" s="351"/>
      <c r="AJ614" s="545"/>
      <c r="AK614" s="351"/>
      <c r="AL614" s="555" t="s">
        <v>325</v>
      </c>
      <c r="AM614" s="351"/>
      <c r="AN614" s="531" t="s">
        <v>325</v>
      </c>
      <c r="AO614" s="351"/>
      <c r="AP614" s="550"/>
      <c r="AQ614" s="351"/>
      <c r="AR614" s="551"/>
      <c r="AS614" s="351"/>
      <c r="AT614" s="534"/>
      <c r="AU614" s="351"/>
      <c r="AV614" s="531" t="s">
        <v>325</v>
      </c>
      <c r="AW614" s="351"/>
      <c r="AX614" s="553"/>
      <c r="AY614" s="350"/>
      <c r="AZ614" s="351"/>
      <c r="BA614" s="554"/>
      <c r="BB614" s="351"/>
      <c r="BC614" s="36"/>
      <c r="BD614" s="556" t="s">
        <v>325</v>
      </c>
      <c r="BE614" s="351"/>
      <c r="BF614" s="547"/>
      <c r="BG614" s="350"/>
      <c r="BH614" s="350"/>
      <c r="BI614" s="351"/>
      <c r="BJ614" s="506" t="s">
        <v>294</v>
      </c>
      <c r="BK614" s="350"/>
      <c r="BL614" s="350"/>
      <c r="BM614" s="351"/>
      <c r="BN614" s="530" t="s">
        <v>294</v>
      </c>
      <c r="BO614" s="350"/>
      <c r="BP614" s="350"/>
      <c r="BQ614" s="350"/>
      <c r="BR614" s="350"/>
      <c r="BS614" s="350"/>
      <c r="BT614" s="350"/>
      <c r="BU614" s="350"/>
      <c r="BV614" s="351"/>
    </row>
    <row r="615" spans="1:74" ht="45" customHeight="1">
      <c r="A615" s="24">
        <f t="shared" si="2"/>
        <v>601</v>
      </c>
      <c r="B615" s="522" t="s">
        <v>294</v>
      </c>
      <c r="C615" s="351"/>
      <c r="D615" s="523" t="s">
        <v>298</v>
      </c>
      <c r="E615" s="351"/>
      <c r="F615" s="524" t="s">
        <v>325</v>
      </c>
      <c r="G615" s="351"/>
      <c r="H615" s="561" t="s">
        <v>325</v>
      </c>
      <c r="I615" s="351"/>
      <c r="J615" s="562"/>
      <c r="K615" s="351"/>
      <c r="L615" s="562"/>
      <c r="M615" s="351"/>
      <c r="N615" s="37"/>
      <c r="O615" s="38"/>
      <c r="P615" s="560"/>
      <c r="Q615" s="351"/>
      <c r="R615" s="527"/>
      <c r="S615" s="351"/>
      <c r="T615" s="528"/>
      <c r="U615" s="351"/>
      <c r="V615" s="541"/>
      <c r="W615" s="351"/>
      <c r="X615" s="542" t="s">
        <v>294</v>
      </c>
      <c r="Y615" s="350"/>
      <c r="Z615" s="350"/>
      <c r="AA615" s="351"/>
      <c r="AB615" s="543" t="s">
        <v>294</v>
      </c>
      <c r="AC615" s="350"/>
      <c r="AD615" s="350"/>
      <c r="AE615" s="351"/>
      <c r="AF615" s="544"/>
      <c r="AG615" s="351"/>
      <c r="AH615" s="544"/>
      <c r="AI615" s="351"/>
      <c r="AJ615" s="545"/>
      <c r="AK615" s="351"/>
      <c r="AL615" s="524" t="s">
        <v>325</v>
      </c>
      <c r="AM615" s="351"/>
      <c r="AN615" s="549" t="s">
        <v>325</v>
      </c>
      <c r="AO615" s="351"/>
      <c r="AP615" s="550"/>
      <c r="AQ615" s="351"/>
      <c r="AR615" s="551"/>
      <c r="AS615" s="351"/>
      <c r="AT615" s="552"/>
      <c r="AU615" s="351"/>
      <c r="AV615" s="549" t="s">
        <v>325</v>
      </c>
      <c r="AW615" s="351"/>
      <c r="AX615" s="553"/>
      <c r="AY615" s="350"/>
      <c r="AZ615" s="351"/>
      <c r="BA615" s="554"/>
      <c r="BB615" s="351"/>
      <c r="BC615" s="39"/>
      <c r="BD615" s="546" t="s">
        <v>325</v>
      </c>
      <c r="BE615" s="351"/>
      <c r="BF615" s="547"/>
      <c r="BG615" s="350"/>
      <c r="BH615" s="350"/>
      <c r="BI615" s="351"/>
      <c r="BJ615" s="548" t="s">
        <v>294</v>
      </c>
      <c r="BK615" s="350"/>
      <c r="BL615" s="350"/>
      <c r="BM615" s="351"/>
      <c r="BN615" s="530" t="s">
        <v>294</v>
      </c>
      <c r="BO615" s="350"/>
      <c r="BP615" s="350"/>
      <c r="BQ615" s="350"/>
      <c r="BR615" s="350"/>
      <c r="BS615" s="350"/>
      <c r="BT615" s="350"/>
      <c r="BU615" s="350"/>
      <c r="BV615" s="351"/>
    </row>
    <row r="616" spans="1:74" ht="45" customHeight="1">
      <c r="A616" s="24">
        <f t="shared" si="2"/>
        <v>602</v>
      </c>
      <c r="B616" s="558" t="s">
        <v>294</v>
      </c>
      <c r="C616" s="351"/>
      <c r="D616" s="559" t="s">
        <v>298</v>
      </c>
      <c r="E616" s="351"/>
      <c r="F616" s="524" t="s">
        <v>325</v>
      </c>
      <c r="G616" s="351"/>
      <c r="H616" s="525" t="s">
        <v>325</v>
      </c>
      <c r="I616" s="351"/>
      <c r="J616" s="563"/>
      <c r="K616" s="351"/>
      <c r="L616" s="563"/>
      <c r="M616" s="351"/>
      <c r="N616" s="34"/>
      <c r="O616" s="35"/>
      <c r="P616" s="526"/>
      <c r="Q616" s="351"/>
      <c r="R616" s="535"/>
      <c r="S616" s="351"/>
      <c r="T616" s="536"/>
      <c r="U616" s="351"/>
      <c r="V616" s="537"/>
      <c r="W616" s="351"/>
      <c r="X616" s="538" t="s">
        <v>294</v>
      </c>
      <c r="Y616" s="350"/>
      <c r="Z616" s="350"/>
      <c r="AA616" s="351"/>
      <c r="AB616" s="539" t="s">
        <v>294</v>
      </c>
      <c r="AC616" s="350"/>
      <c r="AD616" s="350"/>
      <c r="AE616" s="351"/>
      <c r="AF616" s="540"/>
      <c r="AG616" s="351"/>
      <c r="AH616" s="540"/>
      <c r="AI616" s="351"/>
      <c r="AJ616" s="545"/>
      <c r="AK616" s="351"/>
      <c r="AL616" s="555" t="s">
        <v>325</v>
      </c>
      <c r="AM616" s="351"/>
      <c r="AN616" s="531" t="s">
        <v>325</v>
      </c>
      <c r="AO616" s="351"/>
      <c r="AP616" s="532"/>
      <c r="AQ616" s="351"/>
      <c r="AR616" s="533"/>
      <c r="AS616" s="351"/>
      <c r="AT616" s="534"/>
      <c r="AU616" s="351"/>
      <c r="AV616" s="531" t="s">
        <v>325</v>
      </c>
      <c r="AW616" s="351"/>
      <c r="AX616" s="553"/>
      <c r="AY616" s="350"/>
      <c r="AZ616" s="351"/>
      <c r="BA616" s="545"/>
      <c r="BB616" s="351"/>
      <c r="BC616" s="36"/>
      <c r="BD616" s="556" t="s">
        <v>325</v>
      </c>
      <c r="BE616" s="351"/>
      <c r="BF616" s="529"/>
      <c r="BG616" s="350"/>
      <c r="BH616" s="350"/>
      <c r="BI616" s="351"/>
      <c r="BJ616" s="506" t="s">
        <v>294</v>
      </c>
      <c r="BK616" s="350"/>
      <c r="BL616" s="350"/>
      <c r="BM616" s="351"/>
      <c r="BN616" s="530" t="s">
        <v>294</v>
      </c>
      <c r="BO616" s="350"/>
      <c r="BP616" s="350"/>
      <c r="BQ616" s="350"/>
      <c r="BR616" s="350"/>
      <c r="BS616" s="350"/>
      <c r="BT616" s="350"/>
      <c r="BU616" s="350"/>
      <c r="BV616" s="351"/>
    </row>
    <row r="617" spans="1:74" ht="45" customHeight="1">
      <c r="A617" s="24">
        <f t="shared" si="2"/>
        <v>603</v>
      </c>
      <c r="B617" s="522" t="s">
        <v>294</v>
      </c>
      <c r="C617" s="351"/>
      <c r="D617" s="523" t="s">
        <v>298</v>
      </c>
      <c r="E617" s="351"/>
      <c r="F617" s="524" t="s">
        <v>325</v>
      </c>
      <c r="G617" s="351"/>
      <c r="H617" s="561" t="s">
        <v>325</v>
      </c>
      <c r="I617" s="351"/>
      <c r="J617" s="562"/>
      <c r="K617" s="351"/>
      <c r="L617" s="562"/>
      <c r="M617" s="351"/>
      <c r="N617" s="37"/>
      <c r="O617" s="38"/>
      <c r="P617" s="560"/>
      <c r="Q617" s="351"/>
      <c r="R617" s="527"/>
      <c r="S617" s="351"/>
      <c r="T617" s="528"/>
      <c r="U617" s="351"/>
      <c r="V617" s="541"/>
      <c r="W617" s="351"/>
      <c r="X617" s="542" t="s">
        <v>294</v>
      </c>
      <c r="Y617" s="350"/>
      <c r="Z617" s="350"/>
      <c r="AA617" s="351"/>
      <c r="AB617" s="543" t="s">
        <v>294</v>
      </c>
      <c r="AC617" s="350"/>
      <c r="AD617" s="350"/>
      <c r="AE617" s="351"/>
      <c r="AF617" s="544"/>
      <c r="AG617" s="351"/>
      <c r="AH617" s="544"/>
      <c r="AI617" s="351"/>
      <c r="AJ617" s="545"/>
      <c r="AK617" s="351"/>
      <c r="AL617" s="524" t="s">
        <v>325</v>
      </c>
      <c r="AM617" s="351"/>
      <c r="AN617" s="549" t="s">
        <v>325</v>
      </c>
      <c r="AO617" s="351"/>
      <c r="AP617" s="550"/>
      <c r="AQ617" s="351"/>
      <c r="AR617" s="551"/>
      <c r="AS617" s="351"/>
      <c r="AT617" s="552"/>
      <c r="AU617" s="351"/>
      <c r="AV617" s="549" t="s">
        <v>325</v>
      </c>
      <c r="AW617" s="351"/>
      <c r="AX617" s="553"/>
      <c r="AY617" s="350"/>
      <c r="AZ617" s="351"/>
      <c r="BA617" s="554"/>
      <c r="BB617" s="351"/>
      <c r="BC617" s="39"/>
      <c r="BD617" s="546" t="s">
        <v>325</v>
      </c>
      <c r="BE617" s="351"/>
      <c r="BF617" s="547"/>
      <c r="BG617" s="350"/>
      <c r="BH617" s="350"/>
      <c r="BI617" s="351"/>
      <c r="BJ617" s="548" t="s">
        <v>294</v>
      </c>
      <c r="BK617" s="350"/>
      <c r="BL617" s="350"/>
      <c r="BM617" s="351"/>
      <c r="BN617" s="530" t="s">
        <v>294</v>
      </c>
      <c r="BO617" s="350"/>
      <c r="BP617" s="350"/>
      <c r="BQ617" s="350"/>
      <c r="BR617" s="350"/>
      <c r="BS617" s="350"/>
      <c r="BT617" s="350"/>
      <c r="BU617" s="350"/>
      <c r="BV617" s="351"/>
    </row>
    <row r="618" spans="1:74" ht="45" customHeight="1">
      <c r="A618" s="24">
        <f t="shared" si="2"/>
        <v>604</v>
      </c>
      <c r="B618" s="558" t="s">
        <v>294</v>
      </c>
      <c r="C618" s="351"/>
      <c r="D618" s="559" t="s">
        <v>298</v>
      </c>
      <c r="E618" s="351"/>
      <c r="F618" s="524" t="s">
        <v>325</v>
      </c>
      <c r="G618" s="351"/>
      <c r="H618" s="525" t="s">
        <v>325</v>
      </c>
      <c r="I618" s="351"/>
      <c r="J618" s="563"/>
      <c r="K618" s="351"/>
      <c r="L618" s="563"/>
      <c r="M618" s="351"/>
      <c r="N618" s="34"/>
      <c r="O618" s="35"/>
      <c r="P618" s="526"/>
      <c r="Q618" s="351"/>
      <c r="R618" s="535"/>
      <c r="S618" s="351"/>
      <c r="T618" s="536"/>
      <c r="U618" s="351"/>
      <c r="V618" s="537"/>
      <c r="W618" s="351"/>
      <c r="X618" s="538" t="s">
        <v>294</v>
      </c>
      <c r="Y618" s="350"/>
      <c r="Z618" s="350"/>
      <c r="AA618" s="351"/>
      <c r="AB618" s="539" t="s">
        <v>294</v>
      </c>
      <c r="AC618" s="350"/>
      <c r="AD618" s="350"/>
      <c r="AE618" s="351"/>
      <c r="AF618" s="540"/>
      <c r="AG618" s="351"/>
      <c r="AH618" s="540"/>
      <c r="AI618" s="351"/>
      <c r="AJ618" s="545"/>
      <c r="AK618" s="351"/>
      <c r="AL618" s="555" t="s">
        <v>325</v>
      </c>
      <c r="AM618" s="351"/>
      <c r="AN618" s="531" t="s">
        <v>325</v>
      </c>
      <c r="AO618" s="351"/>
      <c r="AP618" s="532"/>
      <c r="AQ618" s="351"/>
      <c r="AR618" s="533"/>
      <c r="AS618" s="351"/>
      <c r="AT618" s="534"/>
      <c r="AU618" s="351"/>
      <c r="AV618" s="531" t="s">
        <v>325</v>
      </c>
      <c r="AW618" s="351"/>
      <c r="AX618" s="553"/>
      <c r="AY618" s="350"/>
      <c r="AZ618" s="351"/>
      <c r="BA618" s="545"/>
      <c r="BB618" s="351"/>
      <c r="BC618" s="36"/>
      <c r="BD618" s="556" t="s">
        <v>325</v>
      </c>
      <c r="BE618" s="351"/>
      <c r="BF618" s="557"/>
      <c r="BG618" s="350"/>
      <c r="BH618" s="350"/>
      <c r="BI618" s="351"/>
      <c r="BJ618" s="506" t="s">
        <v>294</v>
      </c>
      <c r="BK618" s="350"/>
      <c r="BL618" s="350"/>
      <c r="BM618" s="351"/>
      <c r="BN618" s="530" t="s">
        <v>294</v>
      </c>
      <c r="BO618" s="350"/>
      <c r="BP618" s="350"/>
      <c r="BQ618" s="350"/>
      <c r="BR618" s="350"/>
      <c r="BS618" s="350"/>
      <c r="BT618" s="350"/>
      <c r="BU618" s="350"/>
      <c r="BV618" s="351"/>
    </row>
    <row r="619" spans="1:74" ht="45" customHeight="1">
      <c r="A619" s="24">
        <f t="shared" si="2"/>
        <v>605</v>
      </c>
      <c r="B619" s="522" t="s">
        <v>294</v>
      </c>
      <c r="C619" s="351"/>
      <c r="D619" s="523" t="s">
        <v>298</v>
      </c>
      <c r="E619" s="351"/>
      <c r="F619" s="524" t="s">
        <v>325</v>
      </c>
      <c r="G619" s="351"/>
      <c r="H619" s="561" t="s">
        <v>325</v>
      </c>
      <c r="I619" s="351"/>
      <c r="J619" s="562"/>
      <c r="K619" s="351"/>
      <c r="L619" s="562"/>
      <c r="M619" s="351"/>
      <c r="N619" s="37"/>
      <c r="O619" s="38"/>
      <c r="P619" s="560"/>
      <c r="Q619" s="351"/>
      <c r="R619" s="527"/>
      <c r="S619" s="351"/>
      <c r="T619" s="528"/>
      <c r="U619" s="351"/>
      <c r="V619" s="541"/>
      <c r="W619" s="351"/>
      <c r="X619" s="542" t="s">
        <v>294</v>
      </c>
      <c r="Y619" s="350"/>
      <c r="Z619" s="350"/>
      <c r="AA619" s="351"/>
      <c r="AB619" s="543" t="s">
        <v>294</v>
      </c>
      <c r="AC619" s="350"/>
      <c r="AD619" s="350"/>
      <c r="AE619" s="351"/>
      <c r="AF619" s="544"/>
      <c r="AG619" s="351"/>
      <c r="AH619" s="544"/>
      <c r="AI619" s="351"/>
      <c r="AJ619" s="545"/>
      <c r="AK619" s="351"/>
      <c r="AL619" s="524" t="s">
        <v>325</v>
      </c>
      <c r="AM619" s="351"/>
      <c r="AN619" s="549" t="s">
        <v>325</v>
      </c>
      <c r="AO619" s="351"/>
      <c r="AP619" s="550"/>
      <c r="AQ619" s="351"/>
      <c r="AR619" s="551"/>
      <c r="AS619" s="351"/>
      <c r="AT619" s="552"/>
      <c r="AU619" s="351"/>
      <c r="AV619" s="549" t="s">
        <v>325</v>
      </c>
      <c r="AW619" s="351"/>
      <c r="AX619" s="553"/>
      <c r="AY619" s="350"/>
      <c r="AZ619" s="351"/>
      <c r="BA619" s="554"/>
      <c r="BB619" s="351"/>
      <c r="BC619" s="39"/>
      <c r="BD619" s="546" t="s">
        <v>325</v>
      </c>
      <c r="BE619" s="351"/>
      <c r="BF619" s="547"/>
      <c r="BG619" s="350"/>
      <c r="BH619" s="350"/>
      <c r="BI619" s="351"/>
      <c r="BJ619" s="548" t="s">
        <v>294</v>
      </c>
      <c r="BK619" s="350"/>
      <c r="BL619" s="350"/>
      <c r="BM619" s="351"/>
      <c r="BN619" s="530" t="s">
        <v>294</v>
      </c>
      <c r="BO619" s="350"/>
      <c r="BP619" s="350"/>
      <c r="BQ619" s="350"/>
      <c r="BR619" s="350"/>
      <c r="BS619" s="350"/>
      <c r="BT619" s="350"/>
      <c r="BU619" s="350"/>
      <c r="BV619" s="351"/>
    </row>
    <row r="620" spans="1:74" ht="45" customHeight="1">
      <c r="A620" s="24">
        <f t="shared" si="2"/>
        <v>606</v>
      </c>
      <c r="B620" s="558" t="s">
        <v>294</v>
      </c>
      <c r="C620" s="351"/>
      <c r="D620" s="559" t="s">
        <v>298</v>
      </c>
      <c r="E620" s="351"/>
      <c r="F620" s="524" t="s">
        <v>325</v>
      </c>
      <c r="G620" s="351"/>
      <c r="H620" s="525" t="s">
        <v>325</v>
      </c>
      <c r="I620" s="351"/>
      <c r="J620" s="563"/>
      <c r="K620" s="351"/>
      <c r="L620" s="563"/>
      <c r="M620" s="351"/>
      <c r="N620" s="34"/>
      <c r="O620" s="35"/>
      <c r="P620" s="526"/>
      <c r="Q620" s="351"/>
      <c r="R620" s="535"/>
      <c r="S620" s="351"/>
      <c r="T620" s="536"/>
      <c r="U620" s="351"/>
      <c r="V620" s="537"/>
      <c r="W620" s="351"/>
      <c r="X620" s="538" t="s">
        <v>294</v>
      </c>
      <c r="Y620" s="350"/>
      <c r="Z620" s="350"/>
      <c r="AA620" s="351"/>
      <c r="AB620" s="539" t="s">
        <v>294</v>
      </c>
      <c r="AC620" s="350"/>
      <c r="AD620" s="350"/>
      <c r="AE620" s="351"/>
      <c r="AF620" s="540"/>
      <c r="AG620" s="351"/>
      <c r="AH620" s="540"/>
      <c r="AI620" s="351"/>
      <c r="AJ620" s="545"/>
      <c r="AK620" s="351"/>
      <c r="AL620" s="555" t="s">
        <v>325</v>
      </c>
      <c r="AM620" s="351"/>
      <c r="AN620" s="531" t="s">
        <v>325</v>
      </c>
      <c r="AO620" s="351"/>
      <c r="AP620" s="532"/>
      <c r="AQ620" s="351"/>
      <c r="AR620" s="533"/>
      <c r="AS620" s="351"/>
      <c r="AT620" s="534"/>
      <c r="AU620" s="351"/>
      <c r="AV620" s="531" t="s">
        <v>325</v>
      </c>
      <c r="AW620" s="351"/>
      <c r="AX620" s="553"/>
      <c r="AY620" s="350"/>
      <c r="AZ620" s="351"/>
      <c r="BA620" s="545"/>
      <c r="BB620" s="351"/>
      <c r="BC620" s="36"/>
      <c r="BD620" s="556" t="s">
        <v>325</v>
      </c>
      <c r="BE620" s="351"/>
      <c r="BF620" s="557"/>
      <c r="BG620" s="350"/>
      <c r="BH620" s="350"/>
      <c r="BI620" s="351"/>
      <c r="BJ620" s="506" t="s">
        <v>294</v>
      </c>
      <c r="BK620" s="350"/>
      <c r="BL620" s="350"/>
      <c r="BM620" s="351"/>
      <c r="BN620" s="530" t="s">
        <v>294</v>
      </c>
      <c r="BO620" s="350"/>
      <c r="BP620" s="350"/>
      <c r="BQ620" s="350"/>
      <c r="BR620" s="350"/>
      <c r="BS620" s="350"/>
      <c r="BT620" s="350"/>
      <c r="BU620" s="350"/>
      <c r="BV620" s="351"/>
    </row>
    <row r="621" spans="1:74" ht="45" customHeight="1">
      <c r="A621" s="24">
        <f t="shared" si="2"/>
        <v>607</v>
      </c>
      <c r="B621" s="522" t="s">
        <v>294</v>
      </c>
      <c r="C621" s="351"/>
      <c r="D621" s="523" t="s">
        <v>298</v>
      </c>
      <c r="E621" s="351"/>
      <c r="F621" s="524" t="s">
        <v>325</v>
      </c>
      <c r="G621" s="351"/>
      <c r="H621" s="561" t="s">
        <v>325</v>
      </c>
      <c r="I621" s="351"/>
      <c r="J621" s="562"/>
      <c r="K621" s="351"/>
      <c r="L621" s="562"/>
      <c r="M621" s="351"/>
      <c r="N621" s="37"/>
      <c r="O621" s="38"/>
      <c r="P621" s="560"/>
      <c r="Q621" s="351"/>
      <c r="R621" s="527"/>
      <c r="S621" s="351"/>
      <c r="T621" s="528"/>
      <c r="U621" s="351"/>
      <c r="V621" s="541"/>
      <c r="W621" s="351"/>
      <c r="X621" s="542" t="s">
        <v>294</v>
      </c>
      <c r="Y621" s="350"/>
      <c r="Z621" s="350"/>
      <c r="AA621" s="351"/>
      <c r="AB621" s="543" t="s">
        <v>294</v>
      </c>
      <c r="AC621" s="350"/>
      <c r="AD621" s="350"/>
      <c r="AE621" s="351"/>
      <c r="AF621" s="544"/>
      <c r="AG621" s="351"/>
      <c r="AH621" s="544"/>
      <c r="AI621" s="351"/>
      <c r="AJ621" s="545"/>
      <c r="AK621" s="351"/>
      <c r="AL621" s="524" t="s">
        <v>325</v>
      </c>
      <c r="AM621" s="351"/>
      <c r="AN621" s="549" t="s">
        <v>325</v>
      </c>
      <c r="AO621" s="351"/>
      <c r="AP621" s="550"/>
      <c r="AQ621" s="351"/>
      <c r="AR621" s="551"/>
      <c r="AS621" s="351"/>
      <c r="AT621" s="552"/>
      <c r="AU621" s="351"/>
      <c r="AV621" s="549" t="s">
        <v>325</v>
      </c>
      <c r="AW621" s="351"/>
      <c r="AX621" s="553"/>
      <c r="AY621" s="350"/>
      <c r="AZ621" s="351"/>
      <c r="BA621" s="554"/>
      <c r="BB621" s="351"/>
      <c r="BC621" s="39"/>
      <c r="BD621" s="546" t="s">
        <v>325</v>
      </c>
      <c r="BE621" s="351"/>
      <c r="BF621" s="547"/>
      <c r="BG621" s="350"/>
      <c r="BH621" s="350"/>
      <c r="BI621" s="351"/>
      <c r="BJ621" s="548" t="s">
        <v>294</v>
      </c>
      <c r="BK621" s="350"/>
      <c r="BL621" s="350"/>
      <c r="BM621" s="351"/>
      <c r="BN621" s="530" t="s">
        <v>294</v>
      </c>
      <c r="BO621" s="350"/>
      <c r="BP621" s="350"/>
      <c r="BQ621" s="350"/>
      <c r="BR621" s="350"/>
      <c r="BS621" s="350"/>
      <c r="BT621" s="350"/>
      <c r="BU621" s="350"/>
      <c r="BV621" s="351"/>
    </row>
    <row r="622" spans="1:74" ht="45" customHeight="1">
      <c r="A622" s="24">
        <f t="shared" si="2"/>
        <v>608</v>
      </c>
      <c r="B622" s="558" t="s">
        <v>294</v>
      </c>
      <c r="C622" s="351"/>
      <c r="D622" s="559" t="s">
        <v>298</v>
      </c>
      <c r="E622" s="351"/>
      <c r="F622" s="524" t="s">
        <v>325</v>
      </c>
      <c r="G622" s="351"/>
      <c r="H622" s="525" t="s">
        <v>325</v>
      </c>
      <c r="I622" s="351"/>
      <c r="J622" s="563"/>
      <c r="K622" s="351"/>
      <c r="L622" s="563"/>
      <c r="M622" s="351"/>
      <c r="N622" s="34"/>
      <c r="O622" s="35"/>
      <c r="P622" s="526"/>
      <c r="Q622" s="351"/>
      <c r="R622" s="535"/>
      <c r="S622" s="351"/>
      <c r="T622" s="536"/>
      <c r="U622" s="351"/>
      <c r="V622" s="537"/>
      <c r="W622" s="351"/>
      <c r="X622" s="538" t="s">
        <v>294</v>
      </c>
      <c r="Y622" s="350"/>
      <c r="Z622" s="350"/>
      <c r="AA622" s="351"/>
      <c r="AB622" s="539" t="s">
        <v>294</v>
      </c>
      <c r="AC622" s="350"/>
      <c r="AD622" s="350"/>
      <c r="AE622" s="351"/>
      <c r="AF622" s="540"/>
      <c r="AG622" s="351"/>
      <c r="AH622" s="540"/>
      <c r="AI622" s="351"/>
      <c r="AJ622" s="545"/>
      <c r="AK622" s="351"/>
      <c r="AL622" s="555" t="s">
        <v>325</v>
      </c>
      <c r="AM622" s="351"/>
      <c r="AN622" s="531" t="s">
        <v>325</v>
      </c>
      <c r="AO622" s="351"/>
      <c r="AP622" s="532"/>
      <c r="AQ622" s="351"/>
      <c r="AR622" s="533"/>
      <c r="AS622" s="351"/>
      <c r="AT622" s="534"/>
      <c r="AU622" s="351"/>
      <c r="AV622" s="531" t="s">
        <v>325</v>
      </c>
      <c r="AW622" s="351"/>
      <c r="AX622" s="553"/>
      <c r="AY622" s="350"/>
      <c r="AZ622" s="351"/>
      <c r="BA622" s="545"/>
      <c r="BB622" s="351"/>
      <c r="BC622" s="36"/>
      <c r="BD622" s="556" t="s">
        <v>325</v>
      </c>
      <c r="BE622" s="351"/>
      <c r="BF622" s="529"/>
      <c r="BG622" s="350"/>
      <c r="BH622" s="350"/>
      <c r="BI622" s="351"/>
      <c r="BJ622" s="506" t="s">
        <v>294</v>
      </c>
      <c r="BK622" s="350"/>
      <c r="BL622" s="350"/>
      <c r="BM622" s="351"/>
      <c r="BN622" s="530" t="s">
        <v>294</v>
      </c>
      <c r="BO622" s="350"/>
      <c r="BP622" s="350"/>
      <c r="BQ622" s="350"/>
      <c r="BR622" s="350"/>
      <c r="BS622" s="350"/>
      <c r="BT622" s="350"/>
      <c r="BU622" s="350"/>
      <c r="BV622" s="351"/>
    </row>
    <row r="623" spans="1:74" ht="45" customHeight="1">
      <c r="A623" s="24">
        <f t="shared" si="2"/>
        <v>609</v>
      </c>
      <c r="B623" s="522" t="s">
        <v>294</v>
      </c>
      <c r="C623" s="351"/>
      <c r="D623" s="523" t="s">
        <v>298</v>
      </c>
      <c r="E623" s="351"/>
      <c r="F623" s="524" t="s">
        <v>325</v>
      </c>
      <c r="G623" s="351"/>
      <c r="H623" s="561" t="s">
        <v>325</v>
      </c>
      <c r="I623" s="351"/>
      <c r="J623" s="562"/>
      <c r="K623" s="351"/>
      <c r="L623" s="562"/>
      <c r="M623" s="351"/>
      <c r="N623" s="37"/>
      <c r="O623" s="38"/>
      <c r="P623" s="560"/>
      <c r="Q623" s="351"/>
      <c r="R623" s="527"/>
      <c r="S623" s="351"/>
      <c r="T623" s="528"/>
      <c r="U623" s="351"/>
      <c r="V623" s="541"/>
      <c r="W623" s="351"/>
      <c r="X623" s="542" t="s">
        <v>294</v>
      </c>
      <c r="Y623" s="350"/>
      <c r="Z623" s="350"/>
      <c r="AA623" s="351"/>
      <c r="AB623" s="543" t="s">
        <v>294</v>
      </c>
      <c r="AC623" s="350"/>
      <c r="AD623" s="350"/>
      <c r="AE623" s="351"/>
      <c r="AF623" s="544"/>
      <c r="AG623" s="351"/>
      <c r="AH623" s="544"/>
      <c r="AI623" s="351"/>
      <c r="AJ623" s="545"/>
      <c r="AK623" s="351"/>
      <c r="AL623" s="524" t="s">
        <v>325</v>
      </c>
      <c r="AM623" s="351"/>
      <c r="AN623" s="549" t="s">
        <v>325</v>
      </c>
      <c r="AO623" s="351"/>
      <c r="AP623" s="550"/>
      <c r="AQ623" s="351"/>
      <c r="AR623" s="551"/>
      <c r="AS623" s="351"/>
      <c r="AT623" s="552"/>
      <c r="AU623" s="351"/>
      <c r="AV623" s="549" t="s">
        <v>325</v>
      </c>
      <c r="AW623" s="351"/>
      <c r="AX623" s="553"/>
      <c r="AY623" s="350"/>
      <c r="AZ623" s="351"/>
      <c r="BA623" s="554"/>
      <c r="BB623" s="351"/>
      <c r="BC623" s="39"/>
      <c r="BD623" s="546" t="s">
        <v>325</v>
      </c>
      <c r="BE623" s="351"/>
      <c r="BF623" s="547"/>
      <c r="BG623" s="350"/>
      <c r="BH623" s="350"/>
      <c r="BI623" s="351"/>
      <c r="BJ623" s="548" t="s">
        <v>294</v>
      </c>
      <c r="BK623" s="350"/>
      <c r="BL623" s="350"/>
      <c r="BM623" s="351"/>
      <c r="BN623" s="530" t="s">
        <v>294</v>
      </c>
      <c r="BO623" s="350"/>
      <c r="BP623" s="350"/>
      <c r="BQ623" s="350"/>
      <c r="BR623" s="350"/>
      <c r="BS623" s="350"/>
      <c r="BT623" s="350"/>
      <c r="BU623" s="350"/>
      <c r="BV623" s="351"/>
    </row>
    <row r="624" spans="1:74" ht="45" customHeight="1">
      <c r="A624" s="24">
        <f t="shared" si="2"/>
        <v>610</v>
      </c>
      <c r="B624" s="558" t="s">
        <v>294</v>
      </c>
      <c r="C624" s="351"/>
      <c r="D624" s="559" t="s">
        <v>298</v>
      </c>
      <c r="E624" s="351"/>
      <c r="F624" s="524" t="s">
        <v>325</v>
      </c>
      <c r="G624" s="351"/>
      <c r="H624" s="525" t="s">
        <v>325</v>
      </c>
      <c r="I624" s="351"/>
      <c r="J624" s="563"/>
      <c r="K624" s="351"/>
      <c r="L624" s="563"/>
      <c r="M624" s="351"/>
      <c r="N624" s="34"/>
      <c r="O624" s="35"/>
      <c r="P624" s="526"/>
      <c r="Q624" s="351"/>
      <c r="R624" s="535"/>
      <c r="S624" s="351"/>
      <c r="T624" s="536"/>
      <c r="U624" s="351"/>
      <c r="V624" s="537"/>
      <c r="W624" s="351"/>
      <c r="X624" s="538" t="s">
        <v>294</v>
      </c>
      <c r="Y624" s="350"/>
      <c r="Z624" s="350"/>
      <c r="AA624" s="351"/>
      <c r="AB624" s="539" t="s">
        <v>294</v>
      </c>
      <c r="AC624" s="350"/>
      <c r="AD624" s="350"/>
      <c r="AE624" s="351"/>
      <c r="AF624" s="540"/>
      <c r="AG624" s="351"/>
      <c r="AH624" s="540"/>
      <c r="AI624" s="351"/>
      <c r="AJ624" s="545"/>
      <c r="AK624" s="351"/>
      <c r="AL624" s="555" t="s">
        <v>325</v>
      </c>
      <c r="AM624" s="351"/>
      <c r="AN624" s="531" t="s">
        <v>325</v>
      </c>
      <c r="AO624" s="351"/>
      <c r="AP624" s="532"/>
      <c r="AQ624" s="351"/>
      <c r="AR624" s="533"/>
      <c r="AS624" s="351"/>
      <c r="AT624" s="534"/>
      <c r="AU624" s="351"/>
      <c r="AV624" s="531" t="s">
        <v>325</v>
      </c>
      <c r="AW624" s="351"/>
      <c r="AX624" s="553"/>
      <c r="AY624" s="350"/>
      <c r="AZ624" s="351"/>
      <c r="BA624" s="545"/>
      <c r="BB624" s="351"/>
      <c r="BC624" s="36"/>
      <c r="BD624" s="556" t="s">
        <v>325</v>
      </c>
      <c r="BE624" s="351"/>
      <c r="BF624" s="557"/>
      <c r="BG624" s="350"/>
      <c r="BH624" s="350"/>
      <c r="BI624" s="351"/>
      <c r="BJ624" s="506" t="s">
        <v>294</v>
      </c>
      <c r="BK624" s="350"/>
      <c r="BL624" s="350"/>
      <c r="BM624" s="351"/>
      <c r="BN624" s="530" t="s">
        <v>294</v>
      </c>
      <c r="BO624" s="350"/>
      <c r="BP624" s="350"/>
      <c r="BQ624" s="350"/>
      <c r="BR624" s="350"/>
      <c r="BS624" s="350"/>
      <c r="BT624" s="350"/>
      <c r="BU624" s="350"/>
      <c r="BV624" s="351"/>
    </row>
    <row r="625" spans="1:74" ht="45" customHeight="1">
      <c r="A625" s="24">
        <f t="shared" si="2"/>
        <v>611</v>
      </c>
      <c r="B625" s="522" t="s">
        <v>294</v>
      </c>
      <c r="C625" s="351"/>
      <c r="D625" s="523" t="s">
        <v>298</v>
      </c>
      <c r="E625" s="351"/>
      <c r="F625" s="524" t="s">
        <v>325</v>
      </c>
      <c r="G625" s="351"/>
      <c r="H625" s="561" t="s">
        <v>325</v>
      </c>
      <c r="I625" s="351"/>
      <c r="J625" s="562"/>
      <c r="K625" s="351"/>
      <c r="L625" s="562"/>
      <c r="M625" s="351"/>
      <c r="N625" s="37"/>
      <c r="O625" s="38"/>
      <c r="P625" s="560"/>
      <c r="Q625" s="351"/>
      <c r="R625" s="527"/>
      <c r="S625" s="351"/>
      <c r="T625" s="528"/>
      <c r="U625" s="351"/>
      <c r="V625" s="541"/>
      <c r="W625" s="351"/>
      <c r="X625" s="542" t="s">
        <v>294</v>
      </c>
      <c r="Y625" s="350"/>
      <c r="Z625" s="350"/>
      <c r="AA625" s="351"/>
      <c r="AB625" s="543" t="s">
        <v>294</v>
      </c>
      <c r="AC625" s="350"/>
      <c r="AD625" s="350"/>
      <c r="AE625" s="351"/>
      <c r="AF625" s="544"/>
      <c r="AG625" s="351"/>
      <c r="AH625" s="544"/>
      <c r="AI625" s="351"/>
      <c r="AJ625" s="545"/>
      <c r="AK625" s="351"/>
      <c r="AL625" s="524" t="s">
        <v>325</v>
      </c>
      <c r="AM625" s="351"/>
      <c r="AN625" s="549" t="s">
        <v>325</v>
      </c>
      <c r="AO625" s="351"/>
      <c r="AP625" s="550"/>
      <c r="AQ625" s="351"/>
      <c r="AR625" s="551"/>
      <c r="AS625" s="351"/>
      <c r="AT625" s="534"/>
      <c r="AU625" s="351"/>
      <c r="AV625" s="549" t="s">
        <v>325</v>
      </c>
      <c r="AW625" s="351"/>
      <c r="AX625" s="553"/>
      <c r="AY625" s="350"/>
      <c r="AZ625" s="351"/>
      <c r="BA625" s="554"/>
      <c r="BB625" s="351"/>
      <c r="BC625" s="39"/>
      <c r="BD625" s="546" t="s">
        <v>325</v>
      </c>
      <c r="BE625" s="351"/>
      <c r="BF625" s="547"/>
      <c r="BG625" s="350"/>
      <c r="BH625" s="350"/>
      <c r="BI625" s="351"/>
      <c r="BJ625" s="548" t="s">
        <v>294</v>
      </c>
      <c r="BK625" s="350"/>
      <c r="BL625" s="350"/>
      <c r="BM625" s="351"/>
      <c r="BN625" s="530" t="s">
        <v>294</v>
      </c>
      <c r="BO625" s="350"/>
      <c r="BP625" s="350"/>
      <c r="BQ625" s="350"/>
      <c r="BR625" s="350"/>
      <c r="BS625" s="350"/>
      <c r="BT625" s="350"/>
      <c r="BU625" s="350"/>
      <c r="BV625" s="351"/>
    </row>
    <row r="626" spans="1:74" ht="45" customHeight="1">
      <c r="A626" s="24">
        <f t="shared" si="2"/>
        <v>612</v>
      </c>
      <c r="B626" s="558" t="s">
        <v>294</v>
      </c>
      <c r="C626" s="351"/>
      <c r="D626" s="559" t="s">
        <v>298</v>
      </c>
      <c r="E626" s="351"/>
      <c r="F626" s="524" t="s">
        <v>325</v>
      </c>
      <c r="G626" s="351"/>
      <c r="H626" s="525" t="s">
        <v>325</v>
      </c>
      <c r="I626" s="351"/>
      <c r="J626" s="563"/>
      <c r="K626" s="351"/>
      <c r="L626" s="563"/>
      <c r="M626" s="351"/>
      <c r="N626" s="34"/>
      <c r="O626" s="35"/>
      <c r="P626" s="526"/>
      <c r="Q626" s="351"/>
      <c r="R626" s="535"/>
      <c r="S626" s="351"/>
      <c r="T626" s="536"/>
      <c r="U626" s="351"/>
      <c r="V626" s="537"/>
      <c r="W626" s="351"/>
      <c r="X626" s="538" t="s">
        <v>294</v>
      </c>
      <c r="Y626" s="350"/>
      <c r="Z626" s="350"/>
      <c r="AA626" s="351"/>
      <c r="AB626" s="539" t="s">
        <v>294</v>
      </c>
      <c r="AC626" s="350"/>
      <c r="AD626" s="350"/>
      <c r="AE626" s="351"/>
      <c r="AF626" s="540"/>
      <c r="AG626" s="351"/>
      <c r="AH626" s="540"/>
      <c r="AI626" s="351"/>
      <c r="AJ626" s="545"/>
      <c r="AK626" s="351"/>
      <c r="AL626" s="555" t="s">
        <v>325</v>
      </c>
      <c r="AM626" s="351"/>
      <c r="AN626" s="531" t="s">
        <v>325</v>
      </c>
      <c r="AO626" s="351"/>
      <c r="AP626" s="532"/>
      <c r="AQ626" s="351"/>
      <c r="AR626" s="533"/>
      <c r="AS626" s="351"/>
      <c r="AT626" s="534"/>
      <c r="AU626" s="351"/>
      <c r="AV626" s="531" t="s">
        <v>325</v>
      </c>
      <c r="AW626" s="351"/>
      <c r="AX626" s="553"/>
      <c r="AY626" s="350"/>
      <c r="AZ626" s="351"/>
      <c r="BA626" s="545"/>
      <c r="BB626" s="351"/>
      <c r="BC626" s="36"/>
      <c r="BD626" s="556" t="s">
        <v>325</v>
      </c>
      <c r="BE626" s="351"/>
      <c r="BF626" s="557"/>
      <c r="BG626" s="350"/>
      <c r="BH626" s="350"/>
      <c r="BI626" s="351"/>
      <c r="BJ626" s="506" t="s">
        <v>294</v>
      </c>
      <c r="BK626" s="350"/>
      <c r="BL626" s="350"/>
      <c r="BM626" s="351"/>
      <c r="BN626" s="530" t="s">
        <v>294</v>
      </c>
      <c r="BO626" s="350"/>
      <c r="BP626" s="350"/>
      <c r="BQ626" s="350"/>
      <c r="BR626" s="350"/>
      <c r="BS626" s="350"/>
      <c r="BT626" s="350"/>
      <c r="BU626" s="350"/>
      <c r="BV626" s="351"/>
    </row>
    <row r="627" spans="1:74" ht="45" customHeight="1">
      <c r="A627" s="24">
        <f t="shared" si="2"/>
        <v>613</v>
      </c>
      <c r="B627" s="522" t="s">
        <v>294</v>
      </c>
      <c r="C627" s="351"/>
      <c r="D627" s="523" t="s">
        <v>298</v>
      </c>
      <c r="E627" s="351"/>
      <c r="F627" s="524" t="s">
        <v>325</v>
      </c>
      <c r="G627" s="351"/>
      <c r="H627" s="561" t="s">
        <v>325</v>
      </c>
      <c r="I627" s="351"/>
      <c r="J627" s="562"/>
      <c r="K627" s="351"/>
      <c r="L627" s="562"/>
      <c r="M627" s="351"/>
      <c r="N627" s="37"/>
      <c r="O627" s="38"/>
      <c r="P627" s="560"/>
      <c r="Q627" s="351"/>
      <c r="R627" s="527"/>
      <c r="S627" s="351"/>
      <c r="T627" s="528"/>
      <c r="U627" s="351"/>
      <c r="V627" s="541"/>
      <c r="W627" s="351"/>
      <c r="X627" s="542" t="s">
        <v>294</v>
      </c>
      <c r="Y627" s="350"/>
      <c r="Z627" s="350"/>
      <c r="AA627" s="351"/>
      <c r="AB627" s="543" t="s">
        <v>294</v>
      </c>
      <c r="AC627" s="350"/>
      <c r="AD627" s="350"/>
      <c r="AE627" s="351"/>
      <c r="AF627" s="544"/>
      <c r="AG627" s="351"/>
      <c r="AH627" s="544"/>
      <c r="AI627" s="351"/>
      <c r="AJ627" s="545"/>
      <c r="AK627" s="351"/>
      <c r="AL627" s="524" t="s">
        <v>325</v>
      </c>
      <c r="AM627" s="351"/>
      <c r="AN627" s="549" t="s">
        <v>325</v>
      </c>
      <c r="AO627" s="351"/>
      <c r="AP627" s="550"/>
      <c r="AQ627" s="351"/>
      <c r="AR627" s="551"/>
      <c r="AS627" s="351"/>
      <c r="AT627" s="534"/>
      <c r="AU627" s="351"/>
      <c r="AV627" s="549" t="s">
        <v>325</v>
      </c>
      <c r="AW627" s="351"/>
      <c r="AX627" s="553"/>
      <c r="AY627" s="350"/>
      <c r="AZ627" s="351"/>
      <c r="BA627" s="554"/>
      <c r="BB627" s="351"/>
      <c r="BC627" s="39"/>
      <c r="BD627" s="546" t="s">
        <v>325</v>
      </c>
      <c r="BE627" s="351"/>
      <c r="BF627" s="547"/>
      <c r="BG627" s="350"/>
      <c r="BH627" s="350"/>
      <c r="BI627" s="351"/>
      <c r="BJ627" s="548" t="s">
        <v>294</v>
      </c>
      <c r="BK627" s="350"/>
      <c r="BL627" s="350"/>
      <c r="BM627" s="351"/>
      <c r="BN627" s="530" t="s">
        <v>294</v>
      </c>
      <c r="BO627" s="350"/>
      <c r="BP627" s="350"/>
      <c r="BQ627" s="350"/>
      <c r="BR627" s="350"/>
      <c r="BS627" s="350"/>
      <c r="BT627" s="350"/>
      <c r="BU627" s="350"/>
      <c r="BV627" s="351"/>
    </row>
    <row r="628" spans="1:74" ht="45" customHeight="1">
      <c r="A628" s="24">
        <f t="shared" si="2"/>
        <v>614</v>
      </c>
      <c r="B628" s="558" t="s">
        <v>294</v>
      </c>
      <c r="C628" s="351"/>
      <c r="D628" s="559" t="s">
        <v>298</v>
      </c>
      <c r="E628" s="351"/>
      <c r="F628" s="524" t="s">
        <v>325</v>
      </c>
      <c r="G628" s="351"/>
      <c r="H628" s="525" t="s">
        <v>325</v>
      </c>
      <c r="I628" s="351"/>
      <c r="J628" s="563"/>
      <c r="K628" s="351"/>
      <c r="L628" s="563"/>
      <c r="M628" s="351"/>
      <c r="N628" s="34"/>
      <c r="O628" s="35"/>
      <c r="P628" s="526"/>
      <c r="Q628" s="351"/>
      <c r="R628" s="535"/>
      <c r="S628" s="351"/>
      <c r="T628" s="536"/>
      <c r="U628" s="351"/>
      <c r="V628" s="537"/>
      <c r="W628" s="351"/>
      <c r="X628" s="538" t="s">
        <v>294</v>
      </c>
      <c r="Y628" s="350"/>
      <c r="Z628" s="350"/>
      <c r="AA628" s="351"/>
      <c r="AB628" s="539" t="s">
        <v>294</v>
      </c>
      <c r="AC628" s="350"/>
      <c r="AD628" s="350"/>
      <c r="AE628" s="351"/>
      <c r="AF628" s="540"/>
      <c r="AG628" s="351"/>
      <c r="AH628" s="540"/>
      <c r="AI628" s="351"/>
      <c r="AJ628" s="545"/>
      <c r="AK628" s="351"/>
      <c r="AL628" s="555" t="s">
        <v>325</v>
      </c>
      <c r="AM628" s="351"/>
      <c r="AN628" s="531" t="s">
        <v>325</v>
      </c>
      <c r="AO628" s="351"/>
      <c r="AP628" s="532"/>
      <c r="AQ628" s="351"/>
      <c r="AR628" s="533"/>
      <c r="AS628" s="351"/>
      <c r="AT628" s="534"/>
      <c r="AU628" s="351"/>
      <c r="AV628" s="531" t="s">
        <v>325</v>
      </c>
      <c r="AW628" s="351"/>
      <c r="AX628" s="553"/>
      <c r="AY628" s="350"/>
      <c r="AZ628" s="351"/>
      <c r="BA628" s="545"/>
      <c r="BB628" s="351"/>
      <c r="BC628" s="36"/>
      <c r="BD628" s="556" t="s">
        <v>325</v>
      </c>
      <c r="BE628" s="351"/>
      <c r="BF628" s="557"/>
      <c r="BG628" s="350"/>
      <c r="BH628" s="350"/>
      <c r="BI628" s="351"/>
      <c r="BJ628" s="506" t="s">
        <v>294</v>
      </c>
      <c r="BK628" s="350"/>
      <c r="BL628" s="350"/>
      <c r="BM628" s="351"/>
      <c r="BN628" s="530" t="s">
        <v>294</v>
      </c>
      <c r="BO628" s="350"/>
      <c r="BP628" s="350"/>
      <c r="BQ628" s="350"/>
      <c r="BR628" s="350"/>
      <c r="BS628" s="350"/>
      <c r="BT628" s="350"/>
      <c r="BU628" s="350"/>
      <c r="BV628" s="351"/>
    </row>
    <row r="629" spans="1:74" ht="45" customHeight="1">
      <c r="A629" s="24">
        <f t="shared" si="2"/>
        <v>615</v>
      </c>
      <c r="B629" s="522" t="s">
        <v>294</v>
      </c>
      <c r="C629" s="351"/>
      <c r="D629" s="523" t="s">
        <v>298</v>
      </c>
      <c r="E629" s="351"/>
      <c r="F629" s="524" t="s">
        <v>325</v>
      </c>
      <c r="G629" s="351"/>
      <c r="H629" s="561" t="s">
        <v>325</v>
      </c>
      <c r="I629" s="351"/>
      <c r="J629" s="562"/>
      <c r="K629" s="351"/>
      <c r="L629" s="562"/>
      <c r="M629" s="351"/>
      <c r="N629" s="37"/>
      <c r="O629" s="38"/>
      <c r="P629" s="560"/>
      <c r="Q629" s="351"/>
      <c r="R629" s="527"/>
      <c r="S629" s="351"/>
      <c r="T629" s="528"/>
      <c r="U629" s="351"/>
      <c r="V629" s="541"/>
      <c r="W629" s="351"/>
      <c r="X629" s="542" t="s">
        <v>294</v>
      </c>
      <c r="Y629" s="350"/>
      <c r="Z629" s="350"/>
      <c r="AA629" s="351"/>
      <c r="AB629" s="543" t="s">
        <v>294</v>
      </c>
      <c r="AC629" s="350"/>
      <c r="AD629" s="350"/>
      <c r="AE629" s="351"/>
      <c r="AF629" s="544"/>
      <c r="AG629" s="351"/>
      <c r="AH629" s="544"/>
      <c r="AI629" s="351"/>
      <c r="AJ629" s="545"/>
      <c r="AK629" s="351"/>
      <c r="AL629" s="524" t="s">
        <v>325</v>
      </c>
      <c r="AM629" s="351"/>
      <c r="AN629" s="549" t="s">
        <v>325</v>
      </c>
      <c r="AO629" s="351"/>
      <c r="AP629" s="550"/>
      <c r="AQ629" s="351"/>
      <c r="AR629" s="551"/>
      <c r="AS629" s="351"/>
      <c r="AT629" s="552"/>
      <c r="AU629" s="351"/>
      <c r="AV629" s="549" t="s">
        <v>325</v>
      </c>
      <c r="AW629" s="351"/>
      <c r="AX629" s="553"/>
      <c r="AY629" s="350"/>
      <c r="AZ629" s="351"/>
      <c r="BA629" s="554"/>
      <c r="BB629" s="351"/>
      <c r="BC629" s="39"/>
      <c r="BD629" s="546" t="s">
        <v>325</v>
      </c>
      <c r="BE629" s="351"/>
      <c r="BF629" s="547"/>
      <c r="BG629" s="350"/>
      <c r="BH629" s="350"/>
      <c r="BI629" s="351"/>
      <c r="BJ629" s="548" t="s">
        <v>294</v>
      </c>
      <c r="BK629" s="350"/>
      <c r="BL629" s="350"/>
      <c r="BM629" s="351"/>
      <c r="BN629" s="530" t="s">
        <v>294</v>
      </c>
      <c r="BO629" s="350"/>
      <c r="BP629" s="350"/>
      <c r="BQ629" s="350"/>
      <c r="BR629" s="350"/>
      <c r="BS629" s="350"/>
      <c r="BT629" s="350"/>
      <c r="BU629" s="350"/>
      <c r="BV629" s="351"/>
    </row>
    <row r="630" spans="1:74" ht="45" customHeight="1">
      <c r="A630" s="24">
        <f t="shared" si="2"/>
        <v>616</v>
      </c>
      <c r="B630" s="558" t="s">
        <v>294</v>
      </c>
      <c r="C630" s="351"/>
      <c r="D630" s="559" t="s">
        <v>298</v>
      </c>
      <c r="E630" s="351"/>
      <c r="F630" s="524" t="s">
        <v>325</v>
      </c>
      <c r="G630" s="351"/>
      <c r="H630" s="525" t="s">
        <v>325</v>
      </c>
      <c r="I630" s="351"/>
      <c r="J630" s="563"/>
      <c r="K630" s="351"/>
      <c r="L630" s="563"/>
      <c r="M630" s="351"/>
      <c r="N630" s="34"/>
      <c r="O630" s="35"/>
      <c r="P630" s="526"/>
      <c r="Q630" s="351"/>
      <c r="R630" s="535"/>
      <c r="S630" s="351"/>
      <c r="T630" s="536"/>
      <c r="U630" s="351"/>
      <c r="V630" s="537"/>
      <c r="W630" s="351"/>
      <c r="X630" s="538" t="s">
        <v>294</v>
      </c>
      <c r="Y630" s="350"/>
      <c r="Z630" s="350"/>
      <c r="AA630" s="351"/>
      <c r="AB630" s="539" t="s">
        <v>294</v>
      </c>
      <c r="AC630" s="350"/>
      <c r="AD630" s="350"/>
      <c r="AE630" s="351"/>
      <c r="AF630" s="540"/>
      <c r="AG630" s="351"/>
      <c r="AH630" s="540"/>
      <c r="AI630" s="351"/>
      <c r="AJ630" s="545"/>
      <c r="AK630" s="351"/>
      <c r="AL630" s="555" t="s">
        <v>325</v>
      </c>
      <c r="AM630" s="351"/>
      <c r="AN630" s="531" t="s">
        <v>325</v>
      </c>
      <c r="AO630" s="351"/>
      <c r="AP630" s="532"/>
      <c r="AQ630" s="351"/>
      <c r="AR630" s="533"/>
      <c r="AS630" s="351"/>
      <c r="AT630" s="534"/>
      <c r="AU630" s="351"/>
      <c r="AV630" s="531" t="s">
        <v>325</v>
      </c>
      <c r="AW630" s="351"/>
      <c r="AX630" s="553"/>
      <c r="AY630" s="350"/>
      <c r="AZ630" s="351"/>
      <c r="BA630" s="545"/>
      <c r="BB630" s="351"/>
      <c r="BC630" s="36"/>
      <c r="BD630" s="556" t="s">
        <v>325</v>
      </c>
      <c r="BE630" s="351"/>
      <c r="BF630" s="529"/>
      <c r="BG630" s="350"/>
      <c r="BH630" s="350"/>
      <c r="BI630" s="351"/>
      <c r="BJ630" s="506" t="s">
        <v>294</v>
      </c>
      <c r="BK630" s="350"/>
      <c r="BL630" s="350"/>
      <c r="BM630" s="351"/>
      <c r="BN630" s="530" t="s">
        <v>294</v>
      </c>
      <c r="BO630" s="350"/>
      <c r="BP630" s="350"/>
      <c r="BQ630" s="350"/>
      <c r="BR630" s="350"/>
      <c r="BS630" s="350"/>
      <c r="BT630" s="350"/>
      <c r="BU630" s="350"/>
      <c r="BV630" s="351"/>
    </row>
    <row r="631" spans="1:74" ht="45" customHeight="1">
      <c r="A631" s="24">
        <f t="shared" si="2"/>
        <v>617</v>
      </c>
      <c r="B631" s="522" t="s">
        <v>294</v>
      </c>
      <c r="C631" s="351"/>
      <c r="D631" s="523" t="s">
        <v>298</v>
      </c>
      <c r="E631" s="351"/>
      <c r="F631" s="524" t="s">
        <v>325</v>
      </c>
      <c r="G631" s="351"/>
      <c r="H631" s="561" t="s">
        <v>325</v>
      </c>
      <c r="I631" s="351"/>
      <c r="J631" s="562"/>
      <c r="K631" s="351"/>
      <c r="L631" s="562"/>
      <c r="M631" s="351"/>
      <c r="N631" s="37"/>
      <c r="O631" s="38"/>
      <c r="P631" s="560"/>
      <c r="Q631" s="351"/>
      <c r="R631" s="527"/>
      <c r="S631" s="351"/>
      <c r="T631" s="528"/>
      <c r="U631" s="351"/>
      <c r="V631" s="541"/>
      <c r="W631" s="351"/>
      <c r="X631" s="542" t="s">
        <v>294</v>
      </c>
      <c r="Y631" s="350"/>
      <c r="Z631" s="350"/>
      <c r="AA631" s="351"/>
      <c r="AB631" s="543" t="s">
        <v>294</v>
      </c>
      <c r="AC631" s="350"/>
      <c r="AD631" s="350"/>
      <c r="AE631" s="351"/>
      <c r="AF631" s="544"/>
      <c r="AG631" s="351"/>
      <c r="AH631" s="544"/>
      <c r="AI631" s="351"/>
      <c r="AJ631" s="545"/>
      <c r="AK631" s="351"/>
      <c r="AL631" s="524" t="s">
        <v>325</v>
      </c>
      <c r="AM631" s="351"/>
      <c r="AN631" s="549" t="s">
        <v>325</v>
      </c>
      <c r="AO631" s="351"/>
      <c r="AP631" s="550"/>
      <c r="AQ631" s="351"/>
      <c r="AR631" s="551"/>
      <c r="AS631" s="351"/>
      <c r="AT631" s="552"/>
      <c r="AU631" s="351"/>
      <c r="AV631" s="549" t="s">
        <v>325</v>
      </c>
      <c r="AW631" s="351"/>
      <c r="AX631" s="553"/>
      <c r="AY631" s="350"/>
      <c r="AZ631" s="351"/>
      <c r="BA631" s="554"/>
      <c r="BB631" s="351"/>
      <c r="BC631" s="39"/>
      <c r="BD631" s="546" t="s">
        <v>325</v>
      </c>
      <c r="BE631" s="351"/>
      <c r="BF631" s="547"/>
      <c r="BG631" s="350"/>
      <c r="BH631" s="350"/>
      <c r="BI631" s="351"/>
      <c r="BJ631" s="548" t="s">
        <v>294</v>
      </c>
      <c r="BK631" s="350"/>
      <c r="BL631" s="350"/>
      <c r="BM631" s="351"/>
      <c r="BN631" s="530" t="s">
        <v>294</v>
      </c>
      <c r="BO631" s="350"/>
      <c r="BP631" s="350"/>
      <c r="BQ631" s="350"/>
      <c r="BR631" s="350"/>
      <c r="BS631" s="350"/>
      <c r="BT631" s="350"/>
      <c r="BU631" s="350"/>
      <c r="BV631" s="351"/>
    </row>
    <row r="632" spans="1:74" ht="45" customHeight="1">
      <c r="A632" s="24">
        <f t="shared" si="2"/>
        <v>618</v>
      </c>
      <c r="B632" s="558" t="s">
        <v>294</v>
      </c>
      <c r="C632" s="351"/>
      <c r="D632" s="559" t="s">
        <v>298</v>
      </c>
      <c r="E632" s="351"/>
      <c r="F632" s="524" t="s">
        <v>325</v>
      </c>
      <c r="G632" s="351"/>
      <c r="H632" s="525" t="s">
        <v>325</v>
      </c>
      <c r="I632" s="351"/>
      <c r="J632" s="563"/>
      <c r="K632" s="351"/>
      <c r="L632" s="563"/>
      <c r="M632" s="351"/>
      <c r="N632" s="34"/>
      <c r="O632" s="35"/>
      <c r="P632" s="526"/>
      <c r="Q632" s="351"/>
      <c r="R632" s="535"/>
      <c r="S632" s="351"/>
      <c r="T632" s="536"/>
      <c r="U632" s="351"/>
      <c r="V632" s="537"/>
      <c r="W632" s="351"/>
      <c r="X632" s="538" t="s">
        <v>294</v>
      </c>
      <c r="Y632" s="350"/>
      <c r="Z632" s="350"/>
      <c r="AA632" s="351"/>
      <c r="AB632" s="539" t="s">
        <v>294</v>
      </c>
      <c r="AC632" s="350"/>
      <c r="AD632" s="350"/>
      <c r="AE632" s="351"/>
      <c r="AF632" s="540"/>
      <c r="AG632" s="351"/>
      <c r="AH632" s="540"/>
      <c r="AI632" s="351"/>
      <c r="AJ632" s="545"/>
      <c r="AK632" s="351"/>
      <c r="AL632" s="555" t="s">
        <v>325</v>
      </c>
      <c r="AM632" s="351"/>
      <c r="AN632" s="531" t="s">
        <v>325</v>
      </c>
      <c r="AO632" s="351"/>
      <c r="AP632" s="532"/>
      <c r="AQ632" s="351"/>
      <c r="AR632" s="533"/>
      <c r="AS632" s="351"/>
      <c r="AT632" s="534"/>
      <c r="AU632" s="351"/>
      <c r="AV632" s="531" t="s">
        <v>325</v>
      </c>
      <c r="AW632" s="351"/>
      <c r="AX632" s="553"/>
      <c r="AY632" s="350"/>
      <c r="AZ632" s="351"/>
      <c r="BA632" s="545"/>
      <c r="BB632" s="351"/>
      <c r="BC632" s="36"/>
      <c r="BD632" s="556" t="s">
        <v>325</v>
      </c>
      <c r="BE632" s="351"/>
      <c r="BF632" s="557"/>
      <c r="BG632" s="350"/>
      <c r="BH632" s="350"/>
      <c r="BI632" s="351"/>
      <c r="BJ632" s="506" t="s">
        <v>294</v>
      </c>
      <c r="BK632" s="350"/>
      <c r="BL632" s="350"/>
      <c r="BM632" s="351"/>
      <c r="BN632" s="530" t="s">
        <v>294</v>
      </c>
      <c r="BO632" s="350"/>
      <c r="BP632" s="350"/>
      <c r="BQ632" s="350"/>
      <c r="BR632" s="350"/>
      <c r="BS632" s="350"/>
      <c r="BT632" s="350"/>
      <c r="BU632" s="350"/>
      <c r="BV632" s="351"/>
    </row>
    <row r="633" spans="1:74" ht="45" customHeight="1">
      <c r="A633" s="24">
        <f t="shared" si="2"/>
        <v>619</v>
      </c>
      <c r="B633" s="522" t="s">
        <v>294</v>
      </c>
      <c r="C633" s="351"/>
      <c r="D633" s="523" t="s">
        <v>298</v>
      </c>
      <c r="E633" s="351"/>
      <c r="F633" s="524" t="s">
        <v>325</v>
      </c>
      <c r="G633" s="351"/>
      <c r="H633" s="561" t="s">
        <v>325</v>
      </c>
      <c r="I633" s="351"/>
      <c r="J633" s="562"/>
      <c r="K633" s="351"/>
      <c r="L633" s="562"/>
      <c r="M633" s="351"/>
      <c r="N633" s="37"/>
      <c r="O633" s="38"/>
      <c r="P633" s="560"/>
      <c r="Q633" s="351"/>
      <c r="R633" s="527"/>
      <c r="S633" s="351"/>
      <c r="T633" s="528"/>
      <c r="U633" s="351"/>
      <c r="V633" s="541"/>
      <c r="W633" s="351"/>
      <c r="X633" s="542" t="s">
        <v>294</v>
      </c>
      <c r="Y633" s="350"/>
      <c r="Z633" s="350"/>
      <c r="AA633" s="351"/>
      <c r="AB633" s="543" t="s">
        <v>294</v>
      </c>
      <c r="AC633" s="350"/>
      <c r="AD633" s="350"/>
      <c r="AE633" s="351"/>
      <c r="AF633" s="544"/>
      <c r="AG633" s="351"/>
      <c r="AH633" s="544"/>
      <c r="AI633" s="351"/>
      <c r="AJ633" s="545"/>
      <c r="AK633" s="351"/>
      <c r="AL633" s="524" t="s">
        <v>325</v>
      </c>
      <c r="AM633" s="351"/>
      <c r="AN633" s="549" t="s">
        <v>325</v>
      </c>
      <c r="AO633" s="351"/>
      <c r="AP633" s="550"/>
      <c r="AQ633" s="351"/>
      <c r="AR633" s="551"/>
      <c r="AS633" s="351"/>
      <c r="AT633" s="552"/>
      <c r="AU633" s="351"/>
      <c r="AV633" s="549" t="s">
        <v>325</v>
      </c>
      <c r="AW633" s="351"/>
      <c r="AX633" s="553"/>
      <c r="AY633" s="350"/>
      <c r="AZ633" s="351"/>
      <c r="BA633" s="554"/>
      <c r="BB633" s="351"/>
      <c r="BC633" s="39"/>
      <c r="BD633" s="546" t="s">
        <v>325</v>
      </c>
      <c r="BE633" s="351"/>
      <c r="BF633" s="547"/>
      <c r="BG633" s="350"/>
      <c r="BH633" s="350"/>
      <c r="BI633" s="351"/>
      <c r="BJ633" s="548" t="s">
        <v>294</v>
      </c>
      <c r="BK633" s="350"/>
      <c r="BL633" s="350"/>
      <c r="BM633" s="351"/>
      <c r="BN633" s="530" t="s">
        <v>294</v>
      </c>
      <c r="BO633" s="350"/>
      <c r="BP633" s="350"/>
      <c r="BQ633" s="350"/>
      <c r="BR633" s="350"/>
      <c r="BS633" s="350"/>
      <c r="BT633" s="350"/>
      <c r="BU633" s="350"/>
      <c r="BV633" s="351"/>
    </row>
    <row r="634" spans="1:74" ht="45" customHeight="1">
      <c r="A634" s="24">
        <f t="shared" si="2"/>
        <v>620</v>
      </c>
      <c r="B634" s="558" t="s">
        <v>294</v>
      </c>
      <c r="C634" s="351"/>
      <c r="D634" s="559" t="s">
        <v>298</v>
      </c>
      <c r="E634" s="351"/>
      <c r="F634" s="524" t="s">
        <v>325</v>
      </c>
      <c r="G634" s="351"/>
      <c r="H634" s="525" t="s">
        <v>325</v>
      </c>
      <c r="I634" s="351"/>
      <c r="J634" s="563"/>
      <c r="K634" s="351"/>
      <c r="L634" s="563"/>
      <c r="M634" s="351"/>
      <c r="N634" s="34"/>
      <c r="O634" s="35"/>
      <c r="P634" s="526"/>
      <c r="Q634" s="351"/>
      <c r="R634" s="535"/>
      <c r="S634" s="351"/>
      <c r="T634" s="536"/>
      <c r="U634" s="351"/>
      <c r="V634" s="537"/>
      <c r="W634" s="351"/>
      <c r="X634" s="538" t="s">
        <v>294</v>
      </c>
      <c r="Y634" s="350"/>
      <c r="Z634" s="350"/>
      <c r="AA634" s="351"/>
      <c r="AB634" s="539" t="s">
        <v>294</v>
      </c>
      <c r="AC634" s="350"/>
      <c r="AD634" s="350"/>
      <c r="AE634" s="351"/>
      <c r="AF634" s="540"/>
      <c r="AG634" s="351"/>
      <c r="AH634" s="540"/>
      <c r="AI634" s="351"/>
      <c r="AJ634" s="545"/>
      <c r="AK634" s="351"/>
      <c r="AL634" s="555" t="s">
        <v>325</v>
      </c>
      <c r="AM634" s="351"/>
      <c r="AN634" s="531" t="s">
        <v>325</v>
      </c>
      <c r="AO634" s="351"/>
      <c r="AP634" s="532"/>
      <c r="AQ634" s="351"/>
      <c r="AR634" s="533"/>
      <c r="AS634" s="351"/>
      <c r="AT634" s="534"/>
      <c r="AU634" s="351"/>
      <c r="AV634" s="531" t="s">
        <v>325</v>
      </c>
      <c r="AW634" s="351"/>
      <c r="AX634" s="553"/>
      <c r="AY634" s="350"/>
      <c r="AZ634" s="351"/>
      <c r="BA634" s="545"/>
      <c r="BB634" s="351"/>
      <c r="BC634" s="36"/>
      <c r="BD634" s="556" t="s">
        <v>325</v>
      </c>
      <c r="BE634" s="351"/>
      <c r="BF634" s="557"/>
      <c r="BG634" s="350"/>
      <c r="BH634" s="350"/>
      <c r="BI634" s="351"/>
      <c r="BJ634" s="506" t="s">
        <v>294</v>
      </c>
      <c r="BK634" s="350"/>
      <c r="BL634" s="350"/>
      <c r="BM634" s="351"/>
      <c r="BN634" s="530" t="s">
        <v>294</v>
      </c>
      <c r="BO634" s="350"/>
      <c r="BP634" s="350"/>
      <c r="BQ634" s="350"/>
      <c r="BR634" s="350"/>
      <c r="BS634" s="350"/>
      <c r="BT634" s="350"/>
      <c r="BU634" s="350"/>
      <c r="BV634" s="351"/>
    </row>
    <row r="635" spans="1:74" ht="45" customHeight="1">
      <c r="A635" s="24">
        <f t="shared" si="2"/>
        <v>621</v>
      </c>
      <c r="B635" s="522" t="s">
        <v>294</v>
      </c>
      <c r="C635" s="351"/>
      <c r="D635" s="523" t="s">
        <v>298</v>
      </c>
      <c r="E635" s="351"/>
      <c r="F635" s="524" t="s">
        <v>325</v>
      </c>
      <c r="G635" s="351"/>
      <c r="H635" s="561" t="s">
        <v>325</v>
      </c>
      <c r="I635" s="351"/>
      <c r="J635" s="562"/>
      <c r="K635" s="351"/>
      <c r="L635" s="562"/>
      <c r="M635" s="351"/>
      <c r="N635" s="37"/>
      <c r="O635" s="38"/>
      <c r="P635" s="560"/>
      <c r="Q635" s="351"/>
      <c r="R635" s="527"/>
      <c r="S635" s="351"/>
      <c r="T635" s="528"/>
      <c r="U635" s="351"/>
      <c r="V635" s="541"/>
      <c r="W635" s="351"/>
      <c r="X635" s="542" t="s">
        <v>294</v>
      </c>
      <c r="Y635" s="350"/>
      <c r="Z635" s="350"/>
      <c r="AA635" s="351"/>
      <c r="AB635" s="543" t="s">
        <v>294</v>
      </c>
      <c r="AC635" s="350"/>
      <c r="AD635" s="350"/>
      <c r="AE635" s="351"/>
      <c r="AF635" s="544"/>
      <c r="AG635" s="351"/>
      <c r="AH635" s="544"/>
      <c r="AI635" s="351"/>
      <c r="AJ635" s="545"/>
      <c r="AK635" s="351"/>
      <c r="AL635" s="524" t="s">
        <v>325</v>
      </c>
      <c r="AM635" s="351"/>
      <c r="AN635" s="549" t="s">
        <v>325</v>
      </c>
      <c r="AO635" s="351"/>
      <c r="AP635" s="550"/>
      <c r="AQ635" s="351"/>
      <c r="AR635" s="551"/>
      <c r="AS635" s="351"/>
      <c r="AT635" s="552"/>
      <c r="AU635" s="351"/>
      <c r="AV635" s="549" t="s">
        <v>325</v>
      </c>
      <c r="AW635" s="351"/>
      <c r="AX635" s="553"/>
      <c r="AY635" s="350"/>
      <c r="AZ635" s="351"/>
      <c r="BA635" s="554"/>
      <c r="BB635" s="351"/>
      <c r="BC635" s="39"/>
      <c r="BD635" s="546" t="s">
        <v>325</v>
      </c>
      <c r="BE635" s="351"/>
      <c r="BF635" s="547"/>
      <c r="BG635" s="350"/>
      <c r="BH635" s="350"/>
      <c r="BI635" s="351"/>
      <c r="BJ635" s="548" t="s">
        <v>294</v>
      </c>
      <c r="BK635" s="350"/>
      <c r="BL635" s="350"/>
      <c r="BM635" s="351"/>
      <c r="BN635" s="530" t="s">
        <v>294</v>
      </c>
      <c r="BO635" s="350"/>
      <c r="BP635" s="350"/>
      <c r="BQ635" s="350"/>
      <c r="BR635" s="350"/>
      <c r="BS635" s="350"/>
      <c r="BT635" s="350"/>
      <c r="BU635" s="350"/>
      <c r="BV635" s="351"/>
    </row>
    <row r="636" spans="1:74" ht="45" customHeight="1">
      <c r="A636" s="24">
        <f t="shared" si="2"/>
        <v>622</v>
      </c>
      <c r="B636" s="558" t="s">
        <v>294</v>
      </c>
      <c r="C636" s="351"/>
      <c r="D636" s="559" t="s">
        <v>298</v>
      </c>
      <c r="E636" s="351"/>
      <c r="F636" s="524" t="s">
        <v>325</v>
      </c>
      <c r="G636" s="351"/>
      <c r="H636" s="525" t="s">
        <v>325</v>
      </c>
      <c r="I636" s="351"/>
      <c r="J636" s="563"/>
      <c r="K636" s="351"/>
      <c r="L636" s="563"/>
      <c r="M636" s="351"/>
      <c r="N636" s="34"/>
      <c r="O636" s="35"/>
      <c r="P636" s="526"/>
      <c r="Q636" s="351"/>
      <c r="R636" s="535"/>
      <c r="S636" s="351"/>
      <c r="T636" s="536"/>
      <c r="U636" s="351"/>
      <c r="V636" s="537"/>
      <c r="W636" s="351"/>
      <c r="X636" s="538" t="s">
        <v>294</v>
      </c>
      <c r="Y636" s="350"/>
      <c r="Z636" s="350"/>
      <c r="AA636" s="351"/>
      <c r="AB636" s="539" t="s">
        <v>294</v>
      </c>
      <c r="AC636" s="350"/>
      <c r="AD636" s="350"/>
      <c r="AE636" s="351"/>
      <c r="AF636" s="540"/>
      <c r="AG636" s="351"/>
      <c r="AH636" s="540"/>
      <c r="AI636" s="351"/>
      <c r="AJ636" s="545"/>
      <c r="AK636" s="351"/>
      <c r="AL636" s="555" t="s">
        <v>325</v>
      </c>
      <c r="AM636" s="351"/>
      <c r="AN636" s="531" t="s">
        <v>325</v>
      </c>
      <c r="AO636" s="351"/>
      <c r="AP636" s="532"/>
      <c r="AQ636" s="351"/>
      <c r="AR636" s="533"/>
      <c r="AS636" s="351"/>
      <c r="AT636" s="534"/>
      <c r="AU636" s="351"/>
      <c r="AV636" s="531" t="s">
        <v>325</v>
      </c>
      <c r="AW636" s="351"/>
      <c r="AX636" s="553"/>
      <c r="AY636" s="350"/>
      <c r="AZ636" s="351"/>
      <c r="BA636" s="545"/>
      <c r="BB636" s="351"/>
      <c r="BC636" s="36"/>
      <c r="BD636" s="556" t="s">
        <v>325</v>
      </c>
      <c r="BE636" s="351"/>
      <c r="BF636" s="529"/>
      <c r="BG636" s="350"/>
      <c r="BH636" s="350"/>
      <c r="BI636" s="351"/>
      <c r="BJ636" s="506" t="s">
        <v>294</v>
      </c>
      <c r="BK636" s="350"/>
      <c r="BL636" s="350"/>
      <c r="BM636" s="351"/>
      <c r="BN636" s="530" t="s">
        <v>294</v>
      </c>
      <c r="BO636" s="350"/>
      <c r="BP636" s="350"/>
      <c r="BQ636" s="350"/>
      <c r="BR636" s="350"/>
      <c r="BS636" s="350"/>
      <c r="BT636" s="350"/>
      <c r="BU636" s="350"/>
      <c r="BV636" s="351"/>
    </row>
    <row r="637" spans="1:74" ht="45" customHeight="1">
      <c r="A637" s="24">
        <f t="shared" si="2"/>
        <v>623</v>
      </c>
      <c r="B637" s="522" t="s">
        <v>294</v>
      </c>
      <c r="C637" s="351"/>
      <c r="D637" s="523" t="s">
        <v>298</v>
      </c>
      <c r="E637" s="351"/>
      <c r="F637" s="524" t="s">
        <v>325</v>
      </c>
      <c r="G637" s="351"/>
      <c r="H637" s="561" t="s">
        <v>325</v>
      </c>
      <c r="I637" s="351"/>
      <c r="J637" s="562"/>
      <c r="K637" s="351"/>
      <c r="L637" s="562"/>
      <c r="M637" s="351"/>
      <c r="N637" s="37"/>
      <c r="O637" s="38"/>
      <c r="P637" s="560"/>
      <c r="Q637" s="351"/>
      <c r="R637" s="527"/>
      <c r="S637" s="351"/>
      <c r="T637" s="528"/>
      <c r="U637" s="351"/>
      <c r="V637" s="541"/>
      <c r="W637" s="351"/>
      <c r="X637" s="542" t="s">
        <v>294</v>
      </c>
      <c r="Y637" s="350"/>
      <c r="Z637" s="350"/>
      <c r="AA637" s="351"/>
      <c r="AB637" s="543" t="s">
        <v>294</v>
      </c>
      <c r="AC637" s="350"/>
      <c r="AD637" s="350"/>
      <c r="AE637" s="351"/>
      <c r="AF637" s="544"/>
      <c r="AG637" s="351"/>
      <c r="AH637" s="544"/>
      <c r="AI637" s="351"/>
      <c r="AJ637" s="545"/>
      <c r="AK637" s="351"/>
      <c r="AL637" s="524" t="s">
        <v>325</v>
      </c>
      <c r="AM637" s="351"/>
      <c r="AN637" s="549" t="s">
        <v>325</v>
      </c>
      <c r="AO637" s="351"/>
      <c r="AP637" s="550"/>
      <c r="AQ637" s="351"/>
      <c r="AR637" s="551"/>
      <c r="AS637" s="351"/>
      <c r="AT637" s="552"/>
      <c r="AU637" s="351"/>
      <c r="AV637" s="549" t="s">
        <v>325</v>
      </c>
      <c r="AW637" s="351"/>
      <c r="AX637" s="553"/>
      <c r="AY637" s="350"/>
      <c r="AZ637" s="351"/>
      <c r="BA637" s="554"/>
      <c r="BB637" s="351"/>
      <c r="BC637" s="39"/>
      <c r="BD637" s="546" t="s">
        <v>325</v>
      </c>
      <c r="BE637" s="351"/>
      <c r="BF637" s="547"/>
      <c r="BG637" s="350"/>
      <c r="BH637" s="350"/>
      <c r="BI637" s="351"/>
      <c r="BJ637" s="548" t="s">
        <v>294</v>
      </c>
      <c r="BK637" s="350"/>
      <c r="BL637" s="350"/>
      <c r="BM637" s="351"/>
      <c r="BN637" s="530" t="s">
        <v>294</v>
      </c>
      <c r="BO637" s="350"/>
      <c r="BP637" s="350"/>
      <c r="BQ637" s="350"/>
      <c r="BR637" s="350"/>
      <c r="BS637" s="350"/>
      <c r="BT637" s="350"/>
      <c r="BU637" s="350"/>
      <c r="BV637" s="351"/>
    </row>
    <row r="638" spans="1:74" ht="45" customHeight="1">
      <c r="A638" s="24">
        <f t="shared" si="2"/>
        <v>624</v>
      </c>
      <c r="B638" s="558" t="s">
        <v>294</v>
      </c>
      <c r="C638" s="351"/>
      <c r="D638" s="559" t="s">
        <v>298</v>
      </c>
      <c r="E638" s="351"/>
      <c r="F638" s="524" t="s">
        <v>325</v>
      </c>
      <c r="G638" s="351"/>
      <c r="H638" s="525" t="s">
        <v>325</v>
      </c>
      <c r="I638" s="351"/>
      <c r="J638" s="563"/>
      <c r="K638" s="351"/>
      <c r="L638" s="563"/>
      <c r="M638" s="351"/>
      <c r="N638" s="34"/>
      <c r="O638" s="35"/>
      <c r="P638" s="526"/>
      <c r="Q638" s="351"/>
      <c r="R638" s="535"/>
      <c r="S638" s="351"/>
      <c r="T638" s="536"/>
      <c r="U638" s="351"/>
      <c r="V638" s="537"/>
      <c r="W638" s="351"/>
      <c r="X638" s="538" t="s">
        <v>294</v>
      </c>
      <c r="Y638" s="350"/>
      <c r="Z638" s="350"/>
      <c r="AA638" s="351"/>
      <c r="AB638" s="539" t="s">
        <v>294</v>
      </c>
      <c r="AC638" s="350"/>
      <c r="AD638" s="350"/>
      <c r="AE638" s="351"/>
      <c r="AF638" s="540"/>
      <c r="AG638" s="351"/>
      <c r="AH638" s="540"/>
      <c r="AI638" s="351"/>
      <c r="AJ638" s="545"/>
      <c r="AK638" s="351"/>
      <c r="AL638" s="555" t="s">
        <v>325</v>
      </c>
      <c r="AM638" s="351"/>
      <c r="AN638" s="531" t="s">
        <v>325</v>
      </c>
      <c r="AO638" s="351"/>
      <c r="AP638" s="532"/>
      <c r="AQ638" s="351"/>
      <c r="AR638" s="533"/>
      <c r="AS638" s="351"/>
      <c r="AT638" s="534"/>
      <c r="AU638" s="351"/>
      <c r="AV638" s="531" t="s">
        <v>325</v>
      </c>
      <c r="AW638" s="351"/>
      <c r="AX638" s="553"/>
      <c r="AY638" s="350"/>
      <c r="AZ638" s="351"/>
      <c r="BA638" s="545"/>
      <c r="BB638" s="351"/>
      <c r="BC638" s="36"/>
      <c r="BD638" s="556" t="s">
        <v>325</v>
      </c>
      <c r="BE638" s="351"/>
      <c r="BF638" s="557"/>
      <c r="BG638" s="350"/>
      <c r="BH638" s="350"/>
      <c r="BI638" s="351"/>
      <c r="BJ638" s="506" t="s">
        <v>294</v>
      </c>
      <c r="BK638" s="350"/>
      <c r="BL638" s="350"/>
      <c r="BM638" s="351"/>
      <c r="BN638" s="530" t="s">
        <v>294</v>
      </c>
      <c r="BO638" s="350"/>
      <c r="BP638" s="350"/>
      <c r="BQ638" s="350"/>
      <c r="BR638" s="350"/>
      <c r="BS638" s="350"/>
      <c r="BT638" s="350"/>
      <c r="BU638" s="350"/>
      <c r="BV638" s="351"/>
    </row>
    <row r="639" spans="1:74" ht="45" customHeight="1">
      <c r="A639" s="24">
        <f t="shared" si="2"/>
        <v>625</v>
      </c>
      <c r="B639" s="522" t="s">
        <v>294</v>
      </c>
      <c r="C639" s="351"/>
      <c r="D639" s="523" t="s">
        <v>298</v>
      </c>
      <c r="E639" s="351"/>
      <c r="F639" s="524" t="s">
        <v>325</v>
      </c>
      <c r="G639" s="351"/>
      <c r="H639" s="561" t="s">
        <v>325</v>
      </c>
      <c r="I639" s="351"/>
      <c r="J639" s="562"/>
      <c r="K639" s="351"/>
      <c r="L639" s="562"/>
      <c r="M639" s="351"/>
      <c r="N639" s="37"/>
      <c r="O639" s="38"/>
      <c r="P639" s="560"/>
      <c r="Q639" s="351"/>
      <c r="R639" s="527"/>
      <c r="S639" s="351"/>
      <c r="T639" s="528"/>
      <c r="U639" s="351"/>
      <c r="V639" s="541"/>
      <c r="W639" s="351"/>
      <c r="X639" s="542" t="s">
        <v>294</v>
      </c>
      <c r="Y639" s="350"/>
      <c r="Z639" s="350"/>
      <c r="AA639" s="351"/>
      <c r="AB639" s="543" t="s">
        <v>294</v>
      </c>
      <c r="AC639" s="350"/>
      <c r="AD639" s="350"/>
      <c r="AE639" s="351"/>
      <c r="AF639" s="544"/>
      <c r="AG639" s="351"/>
      <c r="AH639" s="544"/>
      <c r="AI639" s="351"/>
      <c r="AJ639" s="545"/>
      <c r="AK639" s="351"/>
      <c r="AL639" s="524" t="s">
        <v>325</v>
      </c>
      <c r="AM639" s="351"/>
      <c r="AN639" s="549" t="s">
        <v>325</v>
      </c>
      <c r="AO639" s="351"/>
      <c r="AP639" s="550"/>
      <c r="AQ639" s="351"/>
      <c r="AR639" s="551"/>
      <c r="AS639" s="351"/>
      <c r="AT639" s="534"/>
      <c r="AU639" s="351"/>
      <c r="AV639" s="549" t="s">
        <v>325</v>
      </c>
      <c r="AW639" s="351"/>
      <c r="AX639" s="553"/>
      <c r="AY639" s="350"/>
      <c r="AZ639" s="351"/>
      <c r="BA639" s="554"/>
      <c r="BB639" s="351"/>
      <c r="BC639" s="39"/>
      <c r="BD639" s="546" t="s">
        <v>325</v>
      </c>
      <c r="BE639" s="351"/>
      <c r="BF639" s="547"/>
      <c r="BG639" s="350"/>
      <c r="BH639" s="350"/>
      <c r="BI639" s="351"/>
      <c r="BJ639" s="548" t="s">
        <v>294</v>
      </c>
      <c r="BK639" s="350"/>
      <c r="BL639" s="350"/>
      <c r="BM639" s="351"/>
      <c r="BN639" s="530" t="s">
        <v>294</v>
      </c>
      <c r="BO639" s="350"/>
      <c r="BP639" s="350"/>
      <c r="BQ639" s="350"/>
      <c r="BR639" s="350"/>
      <c r="BS639" s="350"/>
      <c r="BT639" s="350"/>
      <c r="BU639" s="350"/>
      <c r="BV639" s="351"/>
    </row>
    <row r="640" spans="1:74" ht="45" customHeight="1">
      <c r="A640" s="24">
        <f t="shared" si="2"/>
        <v>626</v>
      </c>
      <c r="B640" s="558" t="s">
        <v>294</v>
      </c>
      <c r="C640" s="351"/>
      <c r="D640" s="559" t="s">
        <v>298</v>
      </c>
      <c r="E640" s="351"/>
      <c r="F640" s="524" t="s">
        <v>325</v>
      </c>
      <c r="G640" s="351"/>
      <c r="H640" s="525" t="s">
        <v>325</v>
      </c>
      <c r="I640" s="351"/>
      <c r="J640" s="563"/>
      <c r="K640" s="351"/>
      <c r="L640" s="563"/>
      <c r="M640" s="351"/>
      <c r="N640" s="34"/>
      <c r="O640" s="35"/>
      <c r="P640" s="526"/>
      <c r="Q640" s="351"/>
      <c r="R640" s="535"/>
      <c r="S640" s="351"/>
      <c r="T640" s="536"/>
      <c r="U640" s="351"/>
      <c r="V640" s="537"/>
      <c r="W640" s="351"/>
      <c r="X640" s="538" t="s">
        <v>294</v>
      </c>
      <c r="Y640" s="350"/>
      <c r="Z640" s="350"/>
      <c r="AA640" s="351"/>
      <c r="AB640" s="539" t="s">
        <v>294</v>
      </c>
      <c r="AC640" s="350"/>
      <c r="AD640" s="350"/>
      <c r="AE640" s="351"/>
      <c r="AF640" s="540"/>
      <c r="AG640" s="351"/>
      <c r="AH640" s="540"/>
      <c r="AI640" s="351"/>
      <c r="AJ640" s="545"/>
      <c r="AK640" s="351"/>
      <c r="AL640" s="555" t="s">
        <v>325</v>
      </c>
      <c r="AM640" s="351"/>
      <c r="AN640" s="531" t="s">
        <v>325</v>
      </c>
      <c r="AO640" s="351"/>
      <c r="AP640" s="532"/>
      <c r="AQ640" s="351"/>
      <c r="AR640" s="533"/>
      <c r="AS640" s="351"/>
      <c r="AT640" s="534"/>
      <c r="AU640" s="351"/>
      <c r="AV640" s="531" t="s">
        <v>325</v>
      </c>
      <c r="AW640" s="351"/>
      <c r="AX640" s="553"/>
      <c r="AY640" s="350"/>
      <c r="AZ640" s="351"/>
      <c r="BA640" s="545"/>
      <c r="BB640" s="351"/>
      <c r="BC640" s="36"/>
      <c r="BD640" s="556" t="s">
        <v>325</v>
      </c>
      <c r="BE640" s="351"/>
      <c r="BF640" s="557"/>
      <c r="BG640" s="350"/>
      <c r="BH640" s="350"/>
      <c r="BI640" s="351"/>
      <c r="BJ640" s="506" t="s">
        <v>294</v>
      </c>
      <c r="BK640" s="350"/>
      <c r="BL640" s="350"/>
      <c r="BM640" s="351"/>
      <c r="BN640" s="530" t="s">
        <v>294</v>
      </c>
      <c r="BO640" s="350"/>
      <c r="BP640" s="350"/>
      <c r="BQ640" s="350"/>
      <c r="BR640" s="350"/>
      <c r="BS640" s="350"/>
      <c r="BT640" s="350"/>
      <c r="BU640" s="350"/>
      <c r="BV640" s="351"/>
    </row>
    <row r="641" spans="1:74" ht="45" customHeight="1">
      <c r="A641" s="24">
        <f t="shared" si="2"/>
        <v>627</v>
      </c>
      <c r="B641" s="522" t="s">
        <v>294</v>
      </c>
      <c r="C641" s="351"/>
      <c r="D641" s="523" t="s">
        <v>298</v>
      </c>
      <c r="E641" s="351"/>
      <c r="F641" s="524" t="s">
        <v>325</v>
      </c>
      <c r="G641" s="351"/>
      <c r="H641" s="561" t="s">
        <v>325</v>
      </c>
      <c r="I641" s="351"/>
      <c r="J641" s="562"/>
      <c r="K641" s="351"/>
      <c r="L641" s="562"/>
      <c r="M641" s="351"/>
      <c r="N641" s="37"/>
      <c r="O641" s="38"/>
      <c r="P641" s="560"/>
      <c r="Q641" s="351"/>
      <c r="R641" s="527"/>
      <c r="S641" s="351"/>
      <c r="T641" s="528"/>
      <c r="U641" s="351"/>
      <c r="V641" s="541"/>
      <c r="W641" s="351"/>
      <c r="X641" s="542" t="s">
        <v>294</v>
      </c>
      <c r="Y641" s="350"/>
      <c r="Z641" s="350"/>
      <c r="AA641" s="351"/>
      <c r="AB641" s="543" t="s">
        <v>294</v>
      </c>
      <c r="AC641" s="350"/>
      <c r="AD641" s="350"/>
      <c r="AE641" s="351"/>
      <c r="AF641" s="544"/>
      <c r="AG641" s="351"/>
      <c r="AH641" s="544"/>
      <c r="AI641" s="351"/>
      <c r="AJ641" s="545"/>
      <c r="AK641" s="351"/>
      <c r="AL641" s="524" t="s">
        <v>325</v>
      </c>
      <c r="AM641" s="351"/>
      <c r="AN641" s="549" t="s">
        <v>325</v>
      </c>
      <c r="AO641" s="351"/>
      <c r="AP641" s="550"/>
      <c r="AQ641" s="351"/>
      <c r="AR641" s="551"/>
      <c r="AS641" s="351"/>
      <c r="AT641" s="534"/>
      <c r="AU641" s="351"/>
      <c r="AV641" s="549" t="s">
        <v>325</v>
      </c>
      <c r="AW641" s="351"/>
      <c r="AX641" s="553"/>
      <c r="AY641" s="350"/>
      <c r="AZ641" s="351"/>
      <c r="BA641" s="554"/>
      <c r="BB641" s="351"/>
      <c r="BC641" s="39"/>
      <c r="BD641" s="546" t="s">
        <v>325</v>
      </c>
      <c r="BE641" s="351"/>
      <c r="BF641" s="547"/>
      <c r="BG641" s="350"/>
      <c r="BH641" s="350"/>
      <c r="BI641" s="351"/>
      <c r="BJ641" s="548" t="s">
        <v>294</v>
      </c>
      <c r="BK641" s="350"/>
      <c r="BL641" s="350"/>
      <c r="BM641" s="351"/>
      <c r="BN641" s="530" t="s">
        <v>294</v>
      </c>
      <c r="BO641" s="350"/>
      <c r="BP641" s="350"/>
      <c r="BQ641" s="350"/>
      <c r="BR641" s="350"/>
      <c r="BS641" s="350"/>
      <c r="BT641" s="350"/>
      <c r="BU641" s="350"/>
      <c r="BV641" s="351"/>
    </row>
    <row r="642" spans="1:74" ht="45" customHeight="1">
      <c r="A642" s="24">
        <f t="shared" si="2"/>
        <v>628</v>
      </c>
      <c r="B642" s="558" t="s">
        <v>294</v>
      </c>
      <c r="C642" s="351"/>
      <c r="D642" s="559" t="s">
        <v>298</v>
      </c>
      <c r="E642" s="351"/>
      <c r="F642" s="524" t="s">
        <v>325</v>
      </c>
      <c r="G642" s="351"/>
      <c r="H642" s="525" t="s">
        <v>325</v>
      </c>
      <c r="I642" s="351"/>
      <c r="J642" s="563"/>
      <c r="K642" s="351"/>
      <c r="L642" s="563"/>
      <c r="M642" s="351"/>
      <c r="N642" s="34"/>
      <c r="O642" s="35"/>
      <c r="P642" s="526"/>
      <c r="Q642" s="351"/>
      <c r="R642" s="535"/>
      <c r="S642" s="351"/>
      <c r="T642" s="536"/>
      <c r="U642" s="351"/>
      <c r="V642" s="537"/>
      <c r="W642" s="351"/>
      <c r="X642" s="538" t="s">
        <v>294</v>
      </c>
      <c r="Y642" s="350"/>
      <c r="Z642" s="350"/>
      <c r="AA642" s="351"/>
      <c r="AB642" s="539" t="s">
        <v>294</v>
      </c>
      <c r="AC642" s="350"/>
      <c r="AD642" s="350"/>
      <c r="AE642" s="351"/>
      <c r="AF642" s="540"/>
      <c r="AG642" s="351"/>
      <c r="AH642" s="540"/>
      <c r="AI642" s="351"/>
      <c r="AJ642" s="545"/>
      <c r="AK642" s="351"/>
      <c r="AL642" s="555" t="s">
        <v>325</v>
      </c>
      <c r="AM642" s="351"/>
      <c r="AN642" s="531" t="s">
        <v>325</v>
      </c>
      <c r="AO642" s="351"/>
      <c r="AP642" s="532"/>
      <c r="AQ642" s="351"/>
      <c r="AR642" s="533"/>
      <c r="AS642" s="351"/>
      <c r="AT642" s="534"/>
      <c r="AU642" s="351"/>
      <c r="AV642" s="531" t="s">
        <v>325</v>
      </c>
      <c r="AW642" s="351"/>
      <c r="AX642" s="553"/>
      <c r="AY642" s="350"/>
      <c r="AZ642" s="351"/>
      <c r="BA642" s="545"/>
      <c r="BB642" s="351"/>
      <c r="BC642" s="36"/>
      <c r="BD642" s="556" t="s">
        <v>325</v>
      </c>
      <c r="BE642" s="351"/>
      <c r="BF642" s="557"/>
      <c r="BG642" s="350"/>
      <c r="BH642" s="350"/>
      <c r="BI642" s="351"/>
      <c r="BJ642" s="506" t="s">
        <v>294</v>
      </c>
      <c r="BK642" s="350"/>
      <c r="BL642" s="350"/>
      <c r="BM642" s="351"/>
      <c r="BN642" s="530" t="s">
        <v>294</v>
      </c>
      <c r="BO642" s="350"/>
      <c r="BP642" s="350"/>
      <c r="BQ642" s="350"/>
      <c r="BR642" s="350"/>
      <c r="BS642" s="350"/>
      <c r="BT642" s="350"/>
      <c r="BU642" s="350"/>
      <c r="BV642" s="351"/>
    </row>
    <row r="643" spans="1:74" ht="45" customHeight="1">
      <c r="A643" s="24">
        <f t="shared" si="2"/>
        <v>629</v>
      </c>
      <c r="B643" s="522" t="s">
        <v>294</v>
      </c>
      <c r="C643" s="351"/>
      <c r="D643" s="523" t="s">
        <v>298</v>
      </c>
      <c r="E643" s="351"/>
      <c r="F643" s="524" t="s">
        <v>325</v>
      </c>
      <c r="G643" s="351"/>
      <c r="H643" s="561" t="s">
        <v>325</v>
      </c>
      <c r="I643" s="351"/>
      <c r="J643" s="562"/>
      <c r="K643" s="351"/>
      <c r="L643" s="562"/>
      <c r="M643" s="351"/>
      <c r="N643" s="37"/>
      <c r="O643" s="38"/>
      <c r="P643" s="560"/>
      <c r="Q643" s="351"/>
      <c r="R643" s="527"/>
      <c r="S643" s="351"/>
      <c r="T643" s="528"/>
      <c r="U643" s="351"/>
      <c r="V643" s="541"/>
      <c r="W643" s="351"/>
      <c r="X643" s="542" t="s">
        <v>294</v>
      </c>
      <c r="Y643" s="350"/>
      <c r="Z643" s="350"/>
      <c r="AA643" s="351"/>
      <c r="AB643" s="543" t="s">
        <v>294</v>
      </c>
      <c r="AC643" s="350"/>
      <c r="AD643" s="350"/>
      <c r="AE643" s="351"/>
      <c r="AF643" s="544"/>
      <c r="AG643" s="351"/>
      <c r="AH643" s="544"/>
      <c r="AI643" s="351"/>
      <c r="AJ643" s="545"/>
      <c r="AK643" s="351"/>
      <c r="AL643" s="524" t="s">
        <v>325</v>
      </c>
      <c r="AM643" s="351"/>
      <c r="AN643" s="549" t="s">
        <v>325</v>
      </c>
      <c r="AO643" s="351"/>
      <c r="AP643" s="550"/>
      <c r="AQ643" s="351"/>
      <c r="AR643" s="551"/>
      <c r="AS643" s="351"/>
      <c r="AT643" s="552"/>
      <c r="AU643" s="351"/>
      <c r="AV643" s="549" t="s">
        <v>325</v>
      </c>
      <c r="AW643" s="351"/>
      <c r="AX643" s="553"/>
      <c r="AY643" s="350"/>
      <c r="AZ643" s="351"/>
      <c r="BA643" s="554"/>
      <c r="BB643" s="351"/>
      <c r="BC643" s="39"/>
      <c r="BD643" s="546" t="s">
        <v>325</v>
      </c>
      <c r="BE643" s="351"/>
      <c r="BF643" s="547"/>
      <c r="BG643" s="350"/>
      <c r="BH643" s="350"/>
      <c r="BI643" s="351"/>
      <c r="BJ643" s="548" t="s">
        <v>294</v>
      </c>
      <c r="BK643" s="350"/>
      <c r="BL643" s="350"/>
      <c r="BM643" s="351"/>
      <c r="BN643" s="530" t="s">
        <v>294</v>
      </c>
      <c r="BO643" s="350"/>
      <c r="BP643" s="350"/>
      <c r="BQ643" s="350"/>
      <c r="BR643" s="350"/>
      <c r="BS643" s="350"/>
      <c r="BT643" s="350"/>
      <c r="BU643" s="350"/>
      <c r="BV643" s="351"/>
    </row>
    <row r="644" spans="1:74" ht="45" customHeight="1">
      <c r="A644" s="24">
        <f t="shared" si="2"/>
        <v>630</v>
      </c>
      <c r="B644" s="558" t="s">
        <v>294</v>
      </c>
      <c r="C644" s="351"/>
      <c r="D644" s="559" t="s">
        <v>298</v>
      </c>
      <c r="E644" s="351"/>
      <c r="F644" s="524" t="s">
        <v>325</v>
      </c>
      <c r="G644" s="351"/>
      <c r="H644" s="525" t="s">
        <v>325</v>
      </c>
      <c r="I644" s="351"/>
      <c r="J644" s="563"/>
      <c r="K644" s="351"/>
      <c r="L644" s="563"/>
      <c r="M644" s="351"/>
      <c r="N644" s="34"/>
      <c r="O644" s="35"/>
      <c r="P644" s="526"/>
      <c r="Q644" s="351"/>
      <c r="R644" s="535"/>
      <c r="S644" s="351"/>
      <c r="T644" s="536"/>
      <c r="U644" s="351"/>
      <c r="V644" s="537"/>
      <c r="W644" s="351"/>
      <c r="X644" s="538" t="s">
        <v>294</v>
      </c>
      <c r="Y644" s="350"/>
      <c r="Z644" s="350"/>
      <c r="AA644" s="351"/>
      <c r="AB644" s="539" t="s">
        <v>294</v>
      </c>
      <c r="AC644" s="350"/>
      <c r="AD644" s="350"/>
      <c r="AE644" s="351"/>
      <c r="AF644" s="540"/>
      <c r="AG644" s="351"/>
      <c r="AH644" s="540"/>
      <c r="AI644" s="351"/>
      <c r="AJ644" s="545"/>
      <c r="AK644" s="351"/>
      <c r="AL644" s="555" t="s">
        <v>325</v>
      </c>
      <c r="AM644" s="351"/>
      <c r="AN644" s="531" t="s">
        <v>325</v>
      </c>
      <c r="AO644" s="351"/>
      <c r="AP644" s="532"/>
      <c r="AQ644" s="351"/>
      <c r="AR644" s="533"/>
      <c r="AS644" s="351"/>
      <c r="AT644" s="534"/>
      <c r="AU644" s="351"/>
      <c r="AV644" s="531" t="s">
        <v>325</v>
      </c>
      <c r="AW644" s="351"/>
      <c r="AX644" s="553"/>
      <c r="AY644" s="350"/>
      <c r="AZ644" s="351"/>
      <c r="BA644" s="545"/>
      <c r="BB644" s="351"/>
      <c r="BC644" s="36"/>
      <c r="BD644" s="556" t="s">
        <v>325</v>
      </c>
      <c r="BE644" s="351"/>
      <c r="BF644" s="529"/>
      <c r="BG644" s="350"/>
      <c r="BH644" s="350"/>
      <c r="BI644" s="351"/>
      <c r="BJ644" s="506" t="s">
        <v>294</v>
      </c>
      <c r="BK644" s="350"/>
      <c r="BL644" s="350"/>
      <c r="BM644" s="351"/>
      <c r="BN644" s="530" t="s">
        <v>294</v>
      </c>
      <c r="BO644" s="350"/>
      <c r="BP644" s="350"/>
      <c r="BQ644" s="350"/>
      <c r="BR644" s="350"/>
      <c r="BS644" s="350"/>
      <c r="BT644" s="350"/>
      <c r="BU644" s="350"/>
      <c r="BV644" s="351"/>
    </row>
    <row r="645" spans="1:74" ht="45" customHeight="1">
      <c r="A645" s="24">
        <f t="shared" si="2"/>
        <v>631</v>
      </c>
      <c r="B645" s="522" t="s">
        <v>294</v>
      </c>
      <c r="C645" s="351"/>
      <c r="D645" s="523" t="s">
        <v>298</v>
      </c>
      <c r="E645" s="351"/>
      <c r="F645" s="524" t="s">
        <v>325</v>
      </c>
      <c r="G645" s="351"/>
      <c r="H645" s="561" t="s">
        <v>325</v>
      </c>
      <c r="I645" s="351"/>
      <c r="J645" s="562"/>
      <c r="K645" s="351"/>
      <c r="L645" s="562"/>
      <c r="M645" s="351"/>
      <c r="N645" s="37"/>
      <c r="O645" s="38"/>
      <c r="P645" s="560"/>
      <c r="Q645" s="351"/>
      <c r="R645" s="527"/>
      <c r="S645" s="351"/>
      <c r="T645" s="528"/>
      <c r="U645" s="351"/>
      <c r="V645" s="541"/>
      <c r="W645" s="351"/>
      <c r="X645" s="542" t="s">
        <v>294</v>
      </c>
      <c r="Y645" s="350"/>
      <c r="Z645" s="350"/>
      <c r="AA645" s="351"/>
      <c r="AB645" s="543" t="s">
        <v>294</v>
      </c>
      <c r="AC645" s="350"/>
      <c r="AD645" s="350"/>
      <c r="AE645" s="351"/>
      <c r="AF645" s="544"/>
      <c r="AG645" s="351"/>
      <c r="AH645" s="544"/>
      <c r="AI645" s="351"/>
      <c r="AJ645" s="545"/>
      <c r="AK645" s="351"/>
      <c r="AL645" s="524" t="s">
        <v>325</v>
      </c>
      <c r="AM645" s="351"/>
      <c r="AN645" s="549" t="s">
        <v>325</v>
      </c>
      <c r="AO645" s="351"/>
      <c r="AP645" s="550"/>
      <c r="AQ645" s="351"/>
      <c r="AR645" s="551"/>
      <c r="AS645" s="351"/>
      <c r="AT645" s="552"/>
      <c r="AU645" s="351"/>
      <c r="AV645" s="549" t="s">
        <v>325</v>
      </c>
      <c r="AW645" s="351"/>
      <c r="AX645" s="553"/>
      <c r="AY645" s="350"/>
      <c r="AZ645" s="351"/>
      <c r="BA645" s="554"/>
      <c r="BB645" s="351"/>
      <c r="BC645" s="39"/>
      <c r="BD645" s="546" t="s">
        <v>325</v>
      </c>
      <c r="BE645" s="351"/>
      <c r="BF645" s="547"/>
      <c r="BG645" s="350"/>
      <c r="BH645" s="350"/>
      <c r="BI645" s="351"/>
      <c r="BJ645" s="548" t="s">
        <v>294</v>
      </c>
      <c r="BK645" s="350"/>
      <c r="BL645" s="350"/>
      <c r="BM645" s="351"/>
      <c r="BN645" s="530" t="s">
        <v>294</v>
      </c>
      <c r="BO645" s="350"/>
      <c r="BP645" s="350"/>
      <c r="BQ645" s="350"/>
      <c r="BR645" s="350"/>
      <c r="BS645" s="350"/>
      <c r="BT645" s="350"/>
      <c r="BU645" s="350"/>
      <c r="BV645" s="351"/>
    </row>
    <row r="646" spans="1:74" ht="45" customHeight="1">
      <c r="A646" s="24">
        <f t="shared" si="2"/>
        <v>632</v>
      </c>
      <c r="B646" s="558" t="s">
        <v>294</v>
      </c>
      <c r="C646" s="351"/>
      <c r="D646" s="559" t="s">
        <v>298</v>
      </c>
      <c r="E646" s="351"/>
      <c r="F646" s="524" t="s">
        <v>325</v>
      </c>
      <c r="G646" s="351"/>
      <c r="H646" s="525" t="s">
        <v>325</v>
      </c>
      <c r="I646" s="351"/>
      <c r="J646" s="563"/>
      <c r="K646" s="351"/>
      <c r="L646" s="563"/>
      <c r="M646" s="351"/>
      <c r="N646" s="34"/>
      <c r="O646" s="35"/>
      <c r="P646" s="526"/>
      <c r="Q646" s="351"/>
      <c r="R646" s="535"/>
      <c r="S646" s="351"/>
      <c r="T646" s="536"/>
      <c r="U646" s="351"/>
      <c r="V646" s="537"/>
      <c r="W646" s="351"/>
      <c r="X646" s="538" t="s">
        <v>294</v>
      </c>
      <c r="Y646" s="350"/>
      <c r="Z646" s="350"/>
      <c r="AA646" s="351"/>
      <c r="AB646" s="539" t="s">
        <v>294</v>
      </c>
      <c r="AC646" s="350"/>
      <c r="AD646" s="350"/>
      <c r="AE646" s="351"/>
      <c r="AF646" s="540"/>
      <c r="AG646" s="351"/>
      <c r="AH646" s="540"/>
      <c r="AI646" s="351"/>
      <c r="AJ646" s="545"/>
      <c r="AK646" s="351"/>
      <c r="AL646" s="555" t="s">
        <v>325</v>
      </c>
      <c r="AM646" s="351"/>
      <c r="AN646" s="531" t="s">
        <v>325</v>
      </c>
      <c r="AO646" s="351"/>
      <c r="AP646" s="532"/>
      <c r="AQ646" s="351"/>
      <c r="AR646" s="533"/>
      <c r="AS646" s="351"/>
      <c r="AT646" s="534"/>
      <c r="AU646" s="351"/>
      <c r="AV646" s="531" t="s">
        <v>325</v>
      </c>
      <c r="AW646" s="351"/>
      <c r="AX646" s="553"/>
      <c r="AY646" s="350"/>
      <c r="AZ646" s="351"/>
      <c r="BA646" s="545"/>
      <c r="BB646" s="351"/>
      <c r="BC646" s="36"/>
      <c r="BD646" s="556" t="s">
        <v>325</v>
      </c>
      <c r="BE646" s="351"/>
      <c r="BF646" s="557"/>
      <c r="BG646" s="350"/>
      <c r="BH646" s="350"/>
      <c r="BI646" s="351"/>
      <c r="BJ646" s="506" t="s">
        <v>294</v>
      </c>
      <c r="BK646" s="350"/>
      <c r="BL646" s="350"/>
      <c r="BM646" s="351"/>
      <c r="BN646" s="530" t="s">
        <v>294</v>
      </c>
      <c r="BO646" s="350"/>
      <c r="BP646" s="350"/>
      <c r="BQ646" s="350"/>
      <c r="BR646" s="350"/>
      <c r="BS646" s="350"/>
      <c r="BT646" s="350"/>
      <c r="BU646" s="350"/>
      <c r="BV646" s="351"/>
    </row>
    <row r="647" spans="1:74" ht="45" customHeight="1">
      <c r="A647" s="24">
        <f t="shared" si="2"/>
        <v>633</v>
      </c>
      <c r="B647" s="522" t="s">
        <v>294</v>
      </c>
      <c r="C647" s="351"/>
      <c r="D647" s="523" t="s">
        <v>298</v>
      </c>
      <c r="E647" s="351"/>
      <c r="F647" s="524" t="s">
        <v>325</v>
      </c>
      <c r="G647" s="351"/>
      <c r="H647" s="561" t="s">
        <v>325</v>
      </c>
      <c r="I647" s="351"/>
      <c r="J647" s="562"/>
      <c r="K647" s="351"/>
      <c r="L647" s="562"/>
      <c r="M647" s="351"/>
      <c r="N647" s="37"/>
      <c r="O647" s="38"/>
      <c r="P647" s="560"/>
      <c r="Q647" s="351"/>
      <c r="R647" s="527"/>
      <c r="S647" s="351"/>
      <c r="T647" s="528"/>
      <c r="U647" s="351"/>
      <c r="V647" s="541"/>
      <c r="W647" s="351"/>
      <c r="X647" s="542" t="s">
        <v>294</v>
      </c>
      <c r="Y647" s="350"/>
      <c r="Z647" s="350"/>
      <c r="AA647" s="351"/>
      <c r="AB647" s="543" t="s">
        <v>294</v>
      </c>
      <c r="AC647" s="350"/>
      <c r="AD647" s="350"/>
      <c r="AE647" s="351"/>
      <c r="AF647" s="544"/>
      <c r="AG647" s="351"/>
      <c r="AH647" s="544"/>
      <c r="AI647" s="351"/>
      <c r="AJ647" s="545"/>
      <c r="AK647" s="351"/>
      <c r="AL647" s="524" t="s">
        <v>325</v>
      </c>
      <c r="AM647" s="351"/>
      <c r="AN647" s="549" t="s">
        <v>325</v>
      </c>
      <c r="AO647" s="351"/>
      <c r="AP647" s="550"/>
      <c r="AQ647" s="351"/>
      <c r="AR647" s="551"/>
      <c r="AS647" s="351"/>
      <c r="AT647" s="552"/>
      <c r="AU647" s="351"/>
      <c r="AV647" s="549" t="s">
        <v>325</v>
      </c>
      <c r="AW647" s="351"/>
      <c r="AX647" s="553"/>
      <c r="AY647" s="350"/>
      <c r="AZ647" s="351"/>
      <c r="BA647" s="554"/>
      <c r="BB647" s="351"/>
      <c r="BC647" s="39"/>
      <c r="BD647" s="546" t="s">
        <v>325</v>
      </c>
      <c r="BE647" s="351"/>
      <c r="BF647" s="547"/>
      <c r="BG647" s="350"/>
      <c r="BH647" s="350"/>
      <c r="BI647" s="351"/>
      <c r="BJ647" s="548" t="s">
        <v>294</v>
      </c>
      <c r="BK647" s="350"/>
      <c r="BL647" s="350"/>
      <c r="BM647" s="351"/>
      <c r="BN647" s="530" t="s">
        <v>294</v>
      </c>
      <c r="BO647" s="350"/>
      <c r="BP647" s="350"/>
      <c r="BQ647" s="350"/>
      <c r="BR647" s="350"/>
      <c r="BS647" s="350"/>
      <c r="BT647" s="350"/>
      <c r="BU647" s="350"/>
      <c r="BV647" s="351"/>
    </row>
    <row r="648" spans="1:74" ht="45" customHeight="1">
      <c r="A648" s="24">
        <f t="shared" si="2"/>
        <v>634</v>
      </c>
      <c r="B648" s="558" t="s">
        <v>294</v>
      </c>
      <c r="C648" s="351"/>
      <c r="D648" s="559" t="s">
        <v>298</v>
      </c>
      <c r="E648" s="351"/>
      <c r="F648" s="524" t="s">
        <v>325</v>
      </c>
      <c r="G648" s="351"/>
      <c r="H648" s="525" t="s">
        <v>325</v>
      </c>
      <c r="I648" s="351"/>
      <c r="J648" s="563"/>
      <c r="K648" s="351"/>
      <c r="L648" s="563"/>
      <c r="M648" s="351"/>
      <c r="N648" s="34"/>
      <c r="O648" s="35"/>
      <c r="P648" s="526"/>
      <c r="Q648" s="351"/>
      <c r="R648" s="535"/>
      <c r="S648" s="351"/>
      <c r="T648" s="536"/>
      <c r="U648" s="351"/>
      <c r="V648" s="537"/>
      <c r="W648" s="351"/>
      <c r="X648" s="538" t="s">
        <v>294</v>
      </c>
      <c r="Y648" s="350"/>
      <c r="Z648" s="350"/>
      <c r="AA648" s="351"/>
      <c r="AB648" s="539" t="s">
        <v>294</v>
      </c>
      <c r="AC648" s="350"/>
      <c r="AD648" s="350"/>
      <c r="AE648" s="351"/>
      <c r="AF648" s="540"/>
      <c r="AG648" s="351"/>
      <c r="AH648" s="540"/>
      <c r="AI648" s="351"/>
      <c r="AJ648" s="545"/>
      <c r="AK648" s="351"/>
      <c r="AL648" s="555" t="s">
        <v>325</v>
      </c>
      <c r="AM648" s="351"/>
      <c r="AN648" s="531" t="s">
        <v>325</v>
      </c>
      <c r="AO648" s="351"/>
      <c r="AP648" s="532"/>
      <c r="AQ648" s="351"/>
      <c r="AR648" s="533"/>
      <c r="AS648" s="351"/>
      <c r="AT648" s="534"/>
      <c r="AU648" s="351"/>
      <c r="AV648" s="531" t="s">
        <v>325</v>
      </c>
      <c r="AW648" s="351"/>
      <c r="AX648" s="553"/>
      <c r="AY648" s="350"/>
      <c r="AZ648" s="351"/>
      <c r="BA648" s="545"/>
      <c r="BB648" s="351"/>
      <c r="BC648" s="36"/>
      <c r="BD648" s="556" t="s">
        <v>325</v>
      </c>
      <c r="BE648" s="351"/>
      <c r="BF648" s="557"/>
      <c r="BG648" s="350"/>
      <c r="BH648" s="350"/>
      <c r="BI648" s="351"/>
      <c r="BJ648" s="506" t="s">
        <v>294</v>
      </c>
      <c r="BK648" s="350"/>
      <c r="BL648" s="350"/>
      <c r="BM648" s="351"/>
      <c r="BN648" s="530" t="s">
        <v>294</v>
      </c>
      <c r="BO648" s="350"/>
      <c r="BP648" s="350"/>
      <c r="BQ648" s="350"/>
      <c r="BR648" s="350"/>
      <c r="BS648" s="350"/>
      <c r="BT648" s="350"/>
      <c r="BU648" s="350"/>
      <c r="BV648" s="351"/>
    </row>
    <row r="649" spans="1:74" ht="45" customHeight="1">
      <c r="A649" s="24">
        <f t="shared" si="2"/>
        <v>635</v>
      </c>
      <c r="B649" s="522" t="s">
        <v>294</v>
      </c>
      <c r="C649" s="351"/>
      <c r="D649" s="523" t="s">
        <v>298</v>
      </c>
      <c r="E649" s="351"/>
      <c r="F649" s="524" t="s">
        <v>325</v>
      </c>
      <c r="G649" s="351"/>
      <c r="H649" s="561" t="s">
        <v>325</v>
      </c>
      <c r="I649" s="351"/>
      <c r="J649" s="562"/>
      <c r="K649" s="351"/>
      <c r="L649" s="562"/>
      <c r="M649" s="351"/>
      <c r="N649" s="37"/>
      <c r="O649" s="38"/>
      <c r="P649" s="560"/>
      <c r="Q649" s="351"/>
      <c r="R649" s="527"/>
      <c r="S649" s="351"/>
      <c r="T649" s="528"/>
      <c r="U649" s="351"/>
      <c r="V649" s="541"/>
      <c r="W649" s="351"/>
      <c r="X649" s="542" t="s">
        <v>294</v>
      </c>
      <c r="Y649" s="350"/>
      <c r="Z649" s="350"/>
      <c r="AA649" s="351"/>
      <c r="AB649" s="543" t="s">
        <v>294</v>
      </c>
      <c r="AC649" s="350"/>
      <c r="AD649" s="350"/>
      <c r="AE649" s="351"/>
      <c r="AF649" s="544"/>
      <c r="AG649" s="351"/>
      <c r="AH649" s="544"/>
      <c r="AI649" s="351"/>
      <c r="AJ649" s="545"/>
      <c r="AK649" s="351"/>
      <c r="AL649" s="524" t="s">
        <v>325</v>
      </c>
      <c r="AM649" s="351"/>
      <c r="AN649" s="549" t="s">
        <v>325</v>
      </c>
      <c r="AO649" s="351"/>
      <c r="AP649" s="550"/>
      <c r="AQ649" s="351"/>
      <c r="AR649" s="551"/>
      <c r="AS649" s="351"/>
      <c r="AT649" s="552"/>
      <c r="AU649" s="351"/>
      <c r="AV649" s="549" t="s">
        <v>325</v>
      </c>
      <c r="AW649" s="351"/>
      <c r="AX649" s="553"/>
      <c r="AY649" s="350"/>
      <c r="AZ649" s="351"/>
      <c r="BA649" s="554"/>
      <c r="BB649" s="351"/>
      <c r="BC649" s="39"/>
      <c r="BD649" s="546" t="s">
        <v>325</v>
      </c>
      <c r="BE649" s="351"/>
      <c r="BF649" s="547"/>
      <c r="BG649" s="350"/>
      <c r="BH649" s="350"/>
      <c r="BI649" s="351"/>
      <c r="BJ649" s="548" t="s">
        <v>294</v>
      </c>
      <c r="BK649" s="350"/>
      <c r="BL649" s="350"/>
      <c r="BM649" s="351"/>
      <c r="BN649" s="530" t="s">
        <v>294</v>
      </c>
      <c r="BO649" s="350"/>
      <c r="BP649" s="350"/>
      <c r="BQ649" s="350"/>
      <c r="BR649" s="350"/>
      <c r="BS649" s="350"/>
      <c r="BT649" s="350"/>
      <c r="BU649" s="350"/>
      <c r="BV649" s="351"/>
    </row>
    <row r="650" spans="1:74" ht="45" customHeight="1">
      <c r="A650" s="24">
        <f t="shared" si="2"/>
        <v>636</v>
      </c>
      <c r="B650" s="558" t="s">
        <v>294</v>
      </c>
      <c r="C650" s="351"/>
      <c r="D650" s="559" t="s">
        <v>298</v>
      </c>
      <c r="E650" s="351"/>
      <c r="F650" s="524" t="s">
        <v>325</v>
      </c>
      <c r="G650" s="351"/>
      <c r="H650" s="525" t="s">
        <v>325</v>
      </c>
      <c r="I650" s="351"/>
      <c r="J650" s="563"/>
      <c r="K650" s="351"/>
      <c r="L650" s="563"/>
      <c r="M650" s="351"/>
      <c r="N650" s="34"/>
      <c r="O650" s="35"/>
      <c r="P650" s="526"/>
      <c r="Q650" s="351"/>
      <c r="R650" s="535"/>
      <c r="S650" s="351"/>
      <c r="T650" s="536"/>
      <c r="U650" s="351"/>
      <c r="V650" s="537"/>
      <c r="W650" s="351"/>
      <c r="X650" s="538" t="s">
        <v>294</v>
      </c>
      <c r="Y650" s="350"/>
      <c r="Z650" s="350"/>
      <c r="AA650" s="351"/>
      <c r="AB650" s="539" t="s">
        <v>294</v>
      </c>
      <c r="AC650" s="350"/>
      <c r="AD650" s="350"/>
      <c r="AE650" s="351"/>
      <c r="AF650" s="540"/>
      <c r="AG650" s="351"/>
      <c r="AH650" s="540"/>
      <c r="AI650" s="351"/>
      <c r="AJ650" s="545"/>
      <c r="AK650" s="351"/>
      <c r="AL650" s="555" t="s">
        <v>325</v>
      </c>
      <c r="AM650" s="351"/>
      <c r="AN650" s="531" t="s">
        <v>325</v>
      </c>
      <c r="AO650" s="351"/>
      <c r="AP650" s="532"/>
      <c r="AQ650" s="351"/>
      <c r="AR650" s="533"/>
      <c r="AS650" s="351"/>
      <c r="AT650" s="534"/>
      <c r="AU650" s="351"/>
      <c r="AV650" s="531" t="s">
        <v>325</v>
      </c>
      <c r="AW650" s="351"/>
      <c r="AX650" s="553"/>
      <c r="AY650" s="350"/>
      <c r="AZ650" s="351"/>
      <c r="BA650" s="545"/>
      <c r="BB650" s="351"/>
      <c r="BC650" s="36"/>
      <c r="BD650" s="556" t="s">
        <v>325</v>
      </c>
      <c r="BE650" s="351"/>
      <c r="BF650" s="529"/>
      <c r="BG650" s="350"/>
      <c r="BH650" s="350"/>
      <c r="BI650" s="351"/>
      <c r="BJ650" s="506" t="s">
        <v>294</v>
      </c>
      <c r="BK650" s="350"/>
      <c r="BL650" s="350"/>
      <c r="BM650" s="351"/>
      <c r="BN650" s="530" t="s">
        <v>294</v>
      </c>
      <c r="BO650" s="350"/>
      <c r="BP650" s="350"/>
      <c r="BQ650" s="350"/>
      <c r="BR650" s="350"/>
      <c r="BS650" s="350"/>
      <c r="BT650" s="350"/>
      <c r="BU650" s="350"/>
      <c r="BV650" s="351"/>
    </row>
    <row r="651" spans="1:74" ht="45" customHeight="1">
      <c r="A651" s="24">
        <f t="shared" si="2"/>
        <v>637</v>
      </c>
      <c r="B651" s="522" t="s">
        <v>294</v>
      </c>
      <c r="C651" s="351"/>
      <c r="D651" s="523" t="s">
        <v>298</v>
      </c>
      <c r="E651" s="351"/>
      <c r="F651" s="524" t="s">
        <v>325</v>
      </c>
      <c r="G651" s="351"/>
      <c r="H651" s="561" t="s">
        <v>325</v>
      </c>
      <c r="I651" s="351"/>
      <c r="J651" s="562"/>
      <c r="K651" s="351"/>
      <c r="L651" s="562"/>
      <c r="M651" s="351"/>
      <c r="N651" s="37"/>
      <c r="O651" s="38"/>
      <c r="P651" s="560"/>
      <c r="Q651" s="351"/>
      <c r="R651" s="527"/>
      <c r="S651" s="351"/>
      <c r="T651" s="528"/>
      <c r="U651" s="351"/>
      <c r="V651" s="541"/>
      <c r="W651" s="351"/>
      <c r="X651" s="542" t="s">
        <v>294</v>
      </c>
      <c r="Y651" s="350"/>
      <c r="Z651" s="350"/>
      <c r="AA651" s="351"/>
      <c r="AB651" s="543" t="s">
        <v>294</v>
      </c>
      <c r="AC651" s="350"/>
      <c r="AD651" s="350"/>
      <c r="AE651" s="351"/>
      <c r="AF651" s="544"/>
      <c r="AG651" s="351"/>
      <c r="AH651" s="544"/>
      <c r="AI651" s="351"/>
      <c r="AJ651" s="545"/>
      <c r="AK651" s="351"/>
      <c r="AL651" s="524" t="s">
        <v>325</v>
      </c>
      <c r="AM651" s="351"/>
      <c r="AN651" s="549" t="s">
        <v>325</v>
      </c>
      <c r="AO651" s="351"/>
      <c r="AP651" s="550"/>
      <c r="AQ651" s="351"/>
      <c r="AR651" s="551"/>
      <c r="AS651" s="351"/>
      <c r="AT651" s="552"/>
      <c r="AU651" s="351"/>
      <c r="AV651" s="549" t="s">
        <v>325</v>
      </c>
      <c r="AW651" s="351"/>
      <c r="AX651" s="553"/>
      <c r="AY651" s="350"/>
      <c r="AZ651" s="351"/>
      <c r="BA651" s="554"/>
      <c r="BB651" s="351"/>
      <c r="BC651" s="39"/>
      <c r="BD651" s="546" t="s">
        <v>325</v>
      </c>
      <c r="BE651" s="351"/>
      <c r="BF651" s="547"/>
      <c r="BG651" s="350"/>
      <c r="BH651" s="350"/>
      <c r="BI651" s="351"/>
      <c r="BJ651" s="548" t="s">
        <v>294</v>
      </c>
      <c r="BK651" s="350"/>
      <c r="BL651" s="350"/>
      <c r="BM651" s="351"/>
      <c r="BN651" s="530" t="s">
        <v>294</v>
      </c>
      <c r="BO651" s="350"/>
      <c r="BP651" s="350"/>
      <c r="BQ651" s="350"/>
      <c r="BR651" s="350"/>
      <c r="BS651" s="350"/>
      <c r="BT651" s="350"/>
      <c r="BU651" s="350"/>
      <c r="BV651" s="351"/>
    </row>
    <row r="652" spans="1:74" ht="45" customHeight="1">
      <c r="A652" s="24">
        <f t="shared" si="2"/>
        <v>638</v>
      </c>
      <c r="B652" s="558" t="s">
        <v>294</v>
      </c>
      <c r="C652" s="351"/>
      <c r="D652" s="559" t="s">
        <v>298</v>
      </c>
      <c r="E652" s="351"/>
      <c r="F652" s="524" t="s">
        <v>325</v>
      </c>
      <c r="G652" s="351"/>
      <c r="H652" s="525" t="s">
        <v>325</v>
      </c>
      <c r="I652" s="351"/>
      <c r="J652" s="563"/>
      <c r="K652" s="351"/>
      <c r="L652" s="563"/>
      <c r="M652" s="351"/>
      <c r="N652" s="34"/>
      <c r="O652" s="35"/>
      <c r="P652" s="526"/>
      <c r="Q652" s="351"/>
      <c r="R652" s="535"/>
      <c r="S652" s="351"/>
      <c r="T652" s="536"/>
      <c r="U652" s="351"/>
      <c r="V652" s="537"/>
      <c r="W652" s="351"/>
      <c r="X652" s="538" t="s">
        <v>294</v>
      </c>
      <c r="Y652" s="350"/>
      <c r="Z652" s="350"/>
      <c r="AA652" s="351"/>
      <c r="AB652" s="539" t="s">
        <v>294</v>
      </c>
      <c r="AC652" s="350"/>
      <c r="AD652" s="350"/>
      <c r="AE652" s="351"/>
      <c r="AF652" s="540"/>
      <c r="AG652" s="351"/>
      <c r="AH652" s="540"/>
      <c r="AI652" s="351"/>
      <c r="AJ652" s="545"/>
      <c r="AK652" s="351"/>
      <c r="AL652" s="555" t="s">
        <v>325</v>
      </c>
      <c r="AM652" s="351"/>
      <c r="AN652" s="531" t="s">
        <v>325</v>
      </c>
      <c r="AO652" s="351"/>
      <c r="AP652" s="532"/>
      <c r="AQ652" s="351"/>
      <c r="AR652" s="533"/>
      <c r="AS652" s="351"/>
      <c r="AT652" s="534"/>
      <c r="AU652" s="351"/>
      <c r="AV652" s="531" t="s">
        <v>325</v>
      </c>
      <c r="AW652" s="351"/>
      <c r="AX652" s="553"/>
      <c r="AY652" s="350"/>
      <c r="AZ652" s="351"/>
      <c r="BA652" s="545"/>
      <c r="BB652" s="351"/>
      <c r="BC652" s="36"/>
      <c r="BD652" s="556" t="s">
        <v>325</v>
      </c>
      <c r="BE652" s="351"/>
      <c r="BF652" s="557"/>
      <c r="BG652" s="350"/>
      <c r="BH652" s="350"/>
      <c r="BI652" s="351"/>
      <c r="BJ652" s="506" t="s">
        <v>294</v>
      </c>
      <c r="BK652" s="350"/>
      <c r="BL652" s="350"/>
      <c r="BM652" s="351"/>
      <c r="BN652" s="530" t="s">
        <v>294</v>
      </c>
      <c r="BO652" s="350"/>
      <c r="BP652" s="350"/>
      <c r="BQ652" s="350"/>
      <c r="BR652" s="350"/>
      <c r="BS652" s="350"/>
      <c r="BT652" s="350"/>
      <c r="BU652" s="350"/>
      <c r="BV652" s="351"/>
    </row>
    <row r="653" spans="1:74" ht="45" customHeight="1">
      <c r="A653" s="24">
        <f t="shared" si="2"/>
        <v>639</v>
      </c>
      <c r="B653" s="522" t="s">
        <v>294</v>
      </c>
      <c r="C653" s="351"/>
      <c r="D653" s="523" t="s">
        <v>298</v>
      </c>
      <c r="E653" s="351"/>
      <c r="F653" s="524" t="s">
        <v>325</v>
      </c>
      <c r="G653" s="351"/>
      <c r="H653" s="561" t="s">
        <v>325</v>
      </c>
      <c r="I653" s="351"/>
      <c r="J653" s="562"/>
      <c r="K653" s="351"/>
      <c r="L653" s="562"/>
      <c r="M653" s="351"/>
      <c r="N653" s="37"/>
      <c r="O653" s="38"/>
      <c r="P653" s="560"/>
      <c r="Q653" s="351"/>
      <c r="R653" s="527"/>
      <c r="S653" s="351"/>
      <c r="T653" s="528"/>
      <c r="U653" s="351"/>
      <c r="V653" s="541"/>
      <c r="W653" s="351"/>
      <c r="X653" s="542" t="s">
        <v>294</v>
      </c>
      <c r="Y653" s="350"/>
      <c r="Z653" s="350"/>
      <c r="AA653" s="351"/>
      <c r="AB653" s="543" t="s">
        <v>294</v>
      </c>
      <c r="AC653" s="350"/>
      <c r="AD653" s="350"/>
      <c r="AE653" s="351"/>
      <c r="AF653" s="544"/>
      <c r="AG653" s="351"/>
      <c r="AH653" s="544"/>
      <c r="AI653" s="351"/>
      <c r="AJ653" s="545"/>
      <c r="AK653" s="351"/>
      <c r="AL653" s="524" t="s">
        <v>325</v>
      </c>
      <c r="AM653" s="351"/>
      <c r="AN653" s="549" t="s">
        <v>325</v>
      </c>
      <c r="AO653" s="351"/>
      <c r="AP653" s="550"/>
      <c r="AQ653" s="351"/>
      <c r="AR653" s="551"/>
      <c r="AS653" s="351"/>
      <c r="AT653" s="534"/>
      <c r="AU653" s="351"/>
      <c r="AV653" s="549" t="s">
        <v>325</v>
      </c>
      <c r="AW653" s="351"/>
      <c r="AX653" s="553"/>
      <c r="AY653" s="350"/>
      <c r="AZ653" s="351"/>
      <c r="BA653" s="554"/>
      <c r="BB653" s="351"/>
      <c r="BC653" s="39"/>
      <c r="BD653" s="546" t="s">
        <v>325</v>
      </c>
      <c r="BE653" s="351"/>
      <c r="BF653" s="547"/>
      <c r="BG653" s="350"/>
      <c r="BH653" s="350"/>
      <c r="BI653" s="351"/>
      <c r="BJ653" s="548" t="s">
        <v>294</v>
      </c>
      <c r="BK653" s="350"/>
      <c r="BL653" s="350"/>
      <c r="BM653" s="351"/>
      <c r="BN653" s="530" t="s">
        <v>294</v>
      </c>
      <c r="BO653" s="350"/>
      <c r="BP653" s="350"/>
      <c r="BQ653" s="350"/>
      <c r="BR653" s="350"/>
      <c r="BS653" s="350"/>
      <c r="BT653" s="350"/>
      <c r="BU653" s="350"/>
      <c r="BV653" s="351"/>
    </row>
    <row r="654" spans="1:74" ht="45" customHeight="1">
      <c r="A654" s="24">
        <f t="shared" si="2"/>
        <v>640</v>
      </c>
      <c r="B654" s="558" t="s">
        <v>294</v>
      </c>
      <c r="C654" s="351"/>
      <c r="D654" s="559" t="s">
        <v>298</v>
      </c>
      <c r="E654" s="351"/>
      <c r="F654" s="524" t="s">
        <v>325</v>
      </c>
      <c r="G654" s="351"/>
      <c r="H654" s="525" t="s">
        <v>325</v>
      </c>
      <c r="I654" s="351"/>
      <c r="J654" s="563"/>
      <c r="K654" s="351"/>
      <c r="L654" s="563"/>
      <c r="M654" s="351"/>
      <c r="N654" s="34"/>
      <c r="O654" s="35"/>
      <c r="P654" s="526"/>
      <c r="Q654" s="351"/>
      <c r="R654" s="535"/>
      <c r="S654" s="351"/>
      <c r="T654" s="536"/>
      <c r="U654" s="351"/>
      <c r="V654" s="537"/>
      <c r="W654" s="351"/>
      <c r="X654" s="538" t="s">
        <v>294</v>
      </c>
      <c r="Y654" s="350"/>
      <c r="Z654" s="350"/>
      <c r="AA654" s="351"/>
      <c r="AB654" s="539" t="s">
        <v>294</v>
      </c>
      <c r="AC654" s="350"/>
      <c r="AD654" s="350"/>
      <c r="AE654" s="351"/>
      <c r="AF654" s="540"/>
      <c r="AG654" s="351"/>
      <c r="AH654" s="540"/>
      <c r="AI654" s="351"/>
      <c r="AJ654" s="545"/>
      <c r="AK654" s="351"/>
      <c r="AL654" s="555" t="s">
        <v>325</v>
      </c>
      <c r="AM654" s="351"/>
      <c r="AN654" s="531" t="s">
        <v>325</v>
      </c>
      <c r="AO654" s="351"/>
      <c r="AP654" s="532"/>
      <c r="AQ654" s="351"/>
      <c r="AR654" s="533"/>
      <c r="AS654" s="351"/>
      <c r="AT654" s="534"/>
      <c r="AU654" s="351"/>
      <c r="AV654" s="531" t="s">
        <v>325</v>
      </c>
      <c r="AW654" s="351"/>
      <c r="AX654" s="553"/>
      <c r="AY654" s="350"/>
      <c r="AZ654" s="351"/>
      <c r="BA654" s="545"/>
      <c r="BB654" s="351"/>
      <c r="BC654" s="36"/>
      <c r="BD654" s="556" t="s">
        <v>325</v>
      </c>
      <c r="BE654" s="351"/>
      <c r="BF654" s="557"/>
      <c r="BG654" s="350"/>
      <c r="BH654" s="350"/>
      <c r="BI654" s="351"/>
      <c r="BJ654" s="506" t="s">
        <v>294</v>
      </c>
      <c r="BK654" s="350"/>
      <c r="BL654" s="350"/>
      <c r="BM654" s="351"/>
      <c r="BN654" s="530" t="s">
        <v>294</v>
      </c>
      <c r="BO654" s="350"/>
      <c r="BP654" s="350"/>
      <c r="BQ654" s="350"/>
      <c r="BR654" s="350"/>
      <c r="BS654" s="350"/>
      <c r="BT654" s="350"/>
      <c r="BU654" s="350"/>
      <c r="BV654" s="351"/>
    </row>
    <row r="655" spans="1:74" ht="45" customHeight="1">
      <c r="A655" s="24">
        <f t="shared" si="2"/>
        <v>641</v>
      </c>
      <c r="B655" s="522" t="s">
        <v>294</v>
      </c>
      <c r="C655" s="351"/>
      <c r="D655" s="523" t="s">
        <v>298</v>
      </c>
      <c r="E655" s="351"/>
      <c r="F655" s="524" t="s">
        <v>325</v>
      </c>
      <c r="G655" s="351"/>
      <c r="H655" s="561" t="s">
        <v>325</v>
      </c>
      <c r="I655" s="351"/>
      <c r="J655" s="562"/>
      <c r="K655" s="351"/>
      <c r="L655" s="562"/>
      <c r="M655" s="351"/>
      <c r="N655" s="37"/>
      <c r="O655" s="38"/>
      <c r="P655" s="560"/>
      <c r="Q655" s="351"/>
      <c r="R655" s="527"/>
      <c r="S655" s="351"/>
      <c r="T655" s="528"/>
      <c r="U655" s="351"/>
      <c r="V655" s="541"/>
      <c r="W655" s="351"/>
      <c r="X655" s="542" t="s">
        <v>294</v>
      </c>
      <c r="Y655" s="350"/>
      <c r="Z655" s="350"/>
      <c r="AA655" s="351"/>
      <c r="AB655" s="543" t="s">
        <v>294</v>
      </c>
      <c r="AC655" s="350"/>
      <c r="AD655" s="350"/>
      <c r="AE655" s="351"/>
      <c r="AF655" s="544"/>
      <c r="AG655" s="351"/>
      <c r="AH655" s="544"/>
      <c r="AI655" s="351"/>
      <c r="AJ655" s="545"/>
      <c r="AK655" s="351"/>
      <c r="AL655" s="524" t="s">
        <v>325</v>
      </c>
      <c r="AM655" s="351"/>
      <c r="AN655" s="549" t="s">
        <v>325</v>
      </c>
      <c r="AO655" s="351"/>
      <c r="AP655" s="550"/>
      <c r="AQ655" s="351"/>
      <c r="AR655" s="551"/>
      <c r="AS655" s="351"/>
      <c r="AT655" s="534"/>
      <c r="AU655" s="351"/>
      <c r="AV655" s="549" t="s">
        <v>325</v>
      </c>
      <c r="AW655" s="351"/>
      <c r="AX655" s="553"/>
      <c r="AY655" s="350"/>
      <c r="AZ655" s="351"/>
      <c r="BA655" s="554"/>
      <c r="BB655" s="351"/>
      <c r="BC655" s="39"/>
      <c r="BD655" s="546" t="s">
        <v>325</v>
      </c>
      <c r="BE655" s="351"/>
      <c r="BF655" s="547"/>
      <c r="BG655" s="350"/>
      <c r="BH655" s="350"/>
      <c r="BI655" s="351"/>
      <c r="BJ655" s="548" t="s">
        <v>294</v>
      </c>
      <c r="BK655" s="350"/>
      <c r="BL655" s="350"/>
      <c r="BM655" s="351"/>
      <c r="BN655" s="530" t="s">
        <v>294</v>
      </c>
      <c r="BO655" s="350"/>
      <c r="BP655" s="350"/>
      <c r="BQ655" s="350"/>
      <c r="BR655" s="350"/>
      <c r="BS655" s="350"/>
      <c r="BT655" s="350"/>
      <c r="BU655" s="350"/>
      <c r="BV655" s="351"/>
    </row>
    <row r="656" spans="1:74" ht="45" customHeight="1">
      <c r="A656" s="24">
        <f t="shared" si="2"/>
        <v>642</v>
      </c>
      <c r="B656" s="558" t="s">
        <v>294</v>
      </c>
      <c r="C656" s="351"/>
      <c r="D656" s="559" t="s">
        <v>298</v>
      </c>
      <c r="E656" s="351"/>
      <c r="F656" s="524" t="s">
        <v>325</v>
      </c>
      <c r="G656" s="351"/>
      <c r="H656" s="525" t="s">
        <v>325</v>
      </c>
      <c r="I656" s="351"/>
      <c r="J656" s="563"/>
      <c r="K656" s="351"/>
      <c r="L656" s="563"/>
      <c r="M656" s="351"/>
      <c r="N656" s="34"/>
      <c r="O656" s="35"/>
      <c r="P656" s="526"/>
      <c r="Q656" s="351"/>
      <c r="R656" s="535"/>
      <c r="S656" s="351"/>
      <c r="T656" s="536"/>
      <c r="U656" s="351"/>
      <c r="V656" s="537"/>
      <c r="W656" s="351"/>
      <c r="X656" s="538" t="s">
        <v>294</v>
      </c>
      <c r="Y656" s="350"/>
      <c r="Z656" s="350"/>
      <c r="AA656" s="351"/>
      <c r="AB656" s="539" t="s">
        <v>294</v>
      </c>
      <c r="AC656" s="350"/>
      <c r="AD656" s="350"/>
      <c r="AE656" s="351"/>
      <c r="AF656" s="540"/>
      <c r="AG656" s="351"/>
      <c r="AH656" s="540"/>
      <c r="AI656" s="351"/>
      <c r="AJ656" s="545"/>
      <c r="AK656" s="351"/>
      <c r="AL656" s="555" t="s">
        <v>325</v>
      </c>
      <c r="AM656" s="351"/>
      <c r="AN656" s="531" t="s">
        <v>325</v>
      </c>
      <c r="AO656" s="351"/>
      <c r="AP656" s="532"/>
      <c r="AQ656" s="351"/>
      <c r="AR656" s="533"/>
      <c r="AS656" s="351"/>
      <c r="AT656" s="534"/>
      <c r="AU656" s="351"/>
      <c r="AV656" s="531" t="s">
        <v>325</v>
      </c>
      <c r="AW656" s="351"/>
      <c r="AX656" s="553"/>
      <c r="AY656" s="350"/>
      <c r="AZ656" s="351"/>
      <c r="BA656" s="545"/>
      <c r="BB656" s="351"/>
      <c r="BC656" s="36"/>
      <c r="BD656" s="556" t="s">
        <v>325</v>
      </c>
      <c r="BE656" s="351"/>
      <c r="BF656" s="557"/>
      <c r="BG656" s="350"/>
      <c r="BH656" s="350"/>
      <c r="BI656" s="351"/>
      <c r="BJ656" s="506" t="s">
        <v>294</v>
      </c>
      <c r="BK656" s="350"/>
      <c r="BL656" s="350"/>
      <c r="BM656" s="351"/>
      <c r="BN656" s="530" t="s">
        <v>294</v>
      </c>
      <c r="BO656" s="350"/>
      <c r="BP656" s="350"/>
      <c r="BQ656" s="350"/>
      <c r="BR656" s="350"/>
      <c r="BS656" s="350"/>
      <c r="BT656" s="350"/>
      <c r="BU656" s="350"/>
      <c r="BV656" s="351"/>
    </row>
    <row r="657" spans="1:74" ht="45" customHeight="1">
      <c r="A657" s="24">
        <f t="shared" si="2"/>
        <v>643</v>
      </c>
      <c r="B657" s="522" t="s">
        <v>294</v>
      </c>
      <c r="C657" s="351"/>
      <c r="D657" s="523" t="s">
        <v>298</v>
      </c>
      <c r="E657" s="351"/>
      <c r="F657" s="524" t="s">
        <v>325</v>
      </c>
      <c r="G657" s="351"/>
      <c r="H657" s="561" t="s">
        <v>325</v>
      </c>
      <c r="I657" s="351"/>
      <c r="J657" s="562"/>
      <c r="K657" s="351"/>
      <c r="L657" s="562"/>
      <c r="M657" s="351"/>
      <c r="N657" s="37"/>
      <c r="O657" s="38"/>
      <c r="P657" s="560"/>
      <c r="Q657" s="351"/>
      <c r="R657" s="527"/>
      <c r="S657" s="351"/>
      <c r="T657" s="528"/>
      <c r="U657" s="351"/>
      <c r="V657" s="541"/>
      <c r="W657" s="351"/>
      <c r="X657" s="542" t="s">
        <v>294</v>
      </c>
      <c r="Y657" s="350"/>
      <c r="Z657" s="350"/>
      <c r="AA657" s="351"/>
      <c r="AB657" s="543" t="s">
        <v>294</v>
      </c>
      <c r="AC657" s="350"/>
      <c r="AD657" s="350"/>
      <c r="AE657" s="351"/>
      <c r="AF657" s="544"/>
      <c r="AG657" s="351"/>
      <c r="AH657" s="544"/>
      <c r="AI657" s="351"/>
      <c r="AJ657" s="545"/>
      <c r="AK657" s="351"/>
      <c r="AL657" s="524" t="s">
        <v>325</v>
      </c>
      <c r="AM657" s="351"/>
      <c r="AN657" s="549" t="s">
        <v>325</v>
      </c>
      <c r="AO657" s="351"/>
      <c r="AP657" s="550"/>
      <c r="AQ657" s="351"/>
      <c r="AR657" s="551"/>
      <c r="AS657" s="351"/>
      <c r="AT657" s="552"/>
      <c r="AU657" s="351"/>
      <c r="AV657" s="549" t="s">
        <v>325</v>
      </c>
      <c r="AW657" s="351"/>
      <c r="AX657" s="553"/>
      <c r="AY657" s="350"/>
      <c r="AZ657" s="351"/>
      <c r="BA657" s="554"/>
      <c r="BB657" s="351"/>
      <c r="BC657" s="39"/>
      <c r="BD657" s="546" t="s">
        <v>325</v>
      </c>
      <c r="BE657" s="351"/>
      <c r="BF657" s="547"/>
      <c r="BG657" s="350"/>
      <c r="BH657" s="350"/>
      <c r="BI657" s="351"/>
      <c r="BJ657" s="548" t="s">
        <v>294</v>
      </c>
      <c r="BK657" s="350"/>
      <c r="BL657" s="350"/>
      <c r="BM657" s="351"/>
      <c r="BN657" s="530" t="s">
        <v>294</v>
      </c>
      <c r="BO657" s="350"/>
      <c r="BP657" s="350"/>
      <c r="BQ657" s="350"/>
      <c r="BR657" s="350"/>
      <c r="BS657" s="350"/>
      <c r="BT657" s="350"/>
      <c r="BU657" s="350"/>
      <c r="BV657" s="351"/>
    </row>
    <row r="658" spans="1:74" ht="45" customHeight="1">
      <c r="A658" s="24">
        <f t="shared" si="2"/>
        <v>644</v>
      </c>
      <c r="B658" s="558" t="s">
        <v>294</v>
      </c>
      <c r="C658" s="351"/>
      <c r="D658" s="559" t="s">
        <v>298</v>
      </c>
      <c r="E658" s="351"/>
      <c r="F658" s="524" t="s">
        <v>325</v>
      </c>
      <c r="G658" s="351"/>
      <c r="H658" s="525" t="s">
        <v>325</v>
      </c>
      <c r="I658" s="351"/>
      <c r="J658" s="563"/>
      <c r="K658" s="351"/>
      <c r="L658" s="563"/>
      <c r="M658" s="351"/>
      <c r="N658" s="34"/>
      <c r="O658" s="35"/>
      <c r="P658" s="526"/>
      <c r="Q658" s="351"/>
      <c r="R658" s="535"/>
      <c r="S658" s="351"/>
      <c r="T658" s="536"/>
      <c r="U658" s="351"/>
      <c r="V658" s="537"/>
      <c r="W658" s="351"/>
      <c r="X658" s="538" t="s">
        <v>294</v>
      </c>
      <c r="Y658" s="350"/>
      <c r="Z658" s="350"/>
      <c r="AA658" s="351"/>
      <c r="AB658" s="539" t="s">
        <v>294</v>
      </c>
      <c r="AC658" s="350"/>
      <c r="AD658" s="350"/>
      <c r="AE658" s="351"/>
      <c r="AF658" s="540"/>
      <c r="AG658" s="351"/>
      <c r="AH658" s="540"/>
      <c r="AI658" s="351"/>
      <c r="AJ658" s="545"/>
      <c r="AK658" s="351"/>
      <c r="AL658" s="555" t="s">
        <v>325</v>
      </c>
      <c r="AM658" s="351"/>
      <c r="AN658" s="531" t="s">
        <v>325</v>
      </c>
      <c r="AO658" s="351"/>
      <c r="AP658" s="532"/>
      <c r="AQ658" s="351"/>
      <c r="AR658" s="533"/>
      <c r="AS658" s="351"/>
      <c r="AT658" s="534"/>
      <c r="AU658" s="351"/>
      <c r="AV658" s="531" t="s">
        <v>325</v>
      </c>
      <c r="AW658" s="351"/>
      <c r="AX658" s="553"/>
      <c r="AY658" s="350"/>
      <c r="AZ658" s="351"/>
      <c r="BA658" s="545"/>
      <c r="BB658" s="351"/>
      <c r="BC658" s="36"/>
      <c r="BD658" s="556" t="s">
        <v>325</v>
      </c>
      <c r="BE658" s="351"/>
      <c r="BF658" s="529"/>
      <c r="BG658" s="350"/>
      <c r="BH658" s="350"/>
      <c r="BI658" s="351"/>
      <c r="BJ658" s="506" t="s">
        <v>294</v>
      </c>
      <c r="BK658" s="350"/>
      <c r="BL658" s="350"/>
      <c r="BM658" s="351"/>
      <c r="BN658" s="530" t="s">
        <v>294</v>
      </c>
      <c r="BO658" s="350"/>
      <c r="BP658" s="350"/>
      <c r="BQ658" s="350"/>
      <c r="BR658" s="350"/>
      <c r="BS658" s="350"/>
      <c r="BT658" s="350"/>
      <c r="BU658" s="350"/>
      <c r="BV658" s="351"/>
    </row>
    <row r="659" spans="1:74" ht="45" customHeight="1">
      <c r="A659" s="24">
        <f t="shared" si="2"/>
        <v>645</v>
      </c>
      <c r="B659" s="522" t="s">
        <v>294</v>
      </c>
      <c r="C659" s="351"/>
      <c r="D659" s="523" t="s">
        <v>298</v>
      </c>
      <c r="E659" s="351"/>
      <c r="F659" s="524" t="s">
        <v>325</v>
      </c>
      <c r="G659" s="351"/>
      <c r="H659" s="561" t="s">
        <v>325</v>
      </c>
      <c r="I659" s="351"/>
      <c r="J659" s="562"/>
      <c r="K659" s="351"/>
      <c r="L659" s="562"/>
      <c r="M659" s="351"/>
      <c r="N659" s="37"/>
      <c r="O659" s="38"/>
      <c r="P659" s="560"/>
      <c r="Q659" s="351"/>
      <c r="R659" s="527"/>
      <c r="S659" s="351"/>
      <c r="T659" s="528"/>
      <c r="U659" s="351"/>
      <c r="V659" s="541"/>
      <c r="W659" s="351"/>
      <c r="X659" s="542" t="s">
        <v>294</v>
      </c>
      <c r="Y659" s="350"/>
      <c r="Z659" s="350"/>
      <c r="AA659" s="351"/>
      <c r="AB659" s="543" t="s">
        <v>294</v>
      </c>
      <c r="AC659" s="350"/>
      <c r="AD659" s="350"/>
      <c r="AE659" s="351"/>
      <c r="AF659" s="544"/>
      <c r="AG659" s="351"/>
      <c r="AH659" s="544"/>
      <c r="AI659" s="351"/>
      <c r="AJ659" s="545"/>
      <c r="AK659" s="351"/>
      <c r="AL659" s="524" t="s">
        <v>325</v>
      </c>
      <c r="AM659" s="351"/>
      <c r="AN659" s="549" t="s">
        <v>325</v>
      </c>
      <c r="AO659" s="351"/>
      <c r="AP659" s="550"/>
      <c r="AQ659" s="351"/>
      <c r="AR659" s="551"/>
      <c r="AS659" s="351"/>
      <c r="AT659" s="552"/>
      <c r="AU659" s="351"/>
      <c r="AV659" s="549" t="s">
        <v>325</v>
      </c>
      <c r="AW659" s="351"/>
      <c r="AX659" s="553"/>
      <c r="AY659" s="350"/>
      <c r="AZ659" s="351"/>
      <c r="BA659" s="554"/>
      <c r="BB659" s="351"/>
      <c r="BC659" s="39"/>
      <c r="BD659" s="546" t="s">
        <v>325</v>
      </c>
      <c r="BE659" s="351"/>
      <c r="BF659" s="547"/>
      <c r="BG659" s="350"/>
      <c r="BH659" s="350"/>
      <c r="BI659" s="351"/>
      <c r="BJ659" s="548" t="s">
        <v>294</v>
      </c>
      <c r="BK659" s="350"/>
      <c r="BL659" s="350"/>
      <c r="BM659" s="351"/>
      <c r="BN659" s="530" t="s">
        <v>294</v>
      </c>
      <c r="BO659" s="350"/>
      <c r="BP659" s="350"/>
      <c r="BQ659" s="350"/>
      <c r="BR659" s="350"/>
      <c r="BS659" s="350"/>
      <c r="BT659" s="350"/>
      <c r="BU659" s="350"/>
      <c r="BV659" s="351"/>
    </row>
    <row r="660" spans="1:74" ht="45" customHeight="1">
      <c r="A660" s="24">
        <f t="shared" si="2"/>
        <v>646</v>
      </c>
      <c r="B660" s="558" t="s">
        <v>294</v>
      </c>
      <c r="C660" s="351"/>
      <c r="D660" s="559" t="s">
        <v>298</v>
      </c>
      <c r="E660" s="351"/>
      <c r="F660" s="524" t="s">
        <v>325</v>
      </c>
      <c r="G660" s="351"/>
      <c r="H660" s="525" t="s">
        <v>325</v>
      </c>
      <c r="I660" s="351"/>
      <c r="J660" s="563"/>
      <c r="K660" s="351"/>
      <c r="L660" s="563"/>
      <c r="M660" s="351"/>
      <c r="N660" s="34"/>
      <c r="O660" s="35"/>
      <c r="P660" s="526"/>
      <c r="Q660" s="351"/>
      <c r="R660" s="535"/>
      <c r="S660" s="351"/>
      <c r="T660" s="536"/>
      <c r="U660" s="351"/>
      <c r="V660" s="537"/>
      <c r="W660" s="351"/>
      <c r="X660" s="538" t="s">
        <v>294</v>
      </c>
      <c r="Y660" s="350"/>
      <c r="Z660" s="350"/>
      <c r="AA660" s="351"/>
      <c r="AB660" s="539" t="s">
        <v>294</v>
      </c>
      <c r="AC660" s="350"/>
      <c r="AD660" s="350"/>
      <c r="AE660" s="351"/>
      <c r="AF660" s="540"/>
      <c r="AG660" s="351"/>
      <c r="AH660" s="540"/>
      <c r="AI660" s="351"/>
      <c r="AJ660" s="545"/>
      <c r="AK660" s="351"/>
      <c r="AL660" s="555" t="s">
        <v>325</v>
      </c>
      <c r="AM660" s="351"/>
      <c r="AN660" s="531" t="s">
        <v>325</v>
      </c>
      <c r="AO660" s="351"/>
      <c r="AP660" s="532"/>
      <c r="AQ660" s="351"/>
      <c r="AR660" s="533"/>
      <c r="AS660" s="351"/>
      <c r="AT660" s="534"/>
      <c r="AU660" s="351"/>
      <c r="AV660" s="531" t="s">
        <v>325</v>
      </c>
      <c r="AW660" s="351"/>
      <c r="AX660" s="553"/>
      <c r="AY660" s="350"/>
      <c r="AZ660" s="351"/>
      <c r="BA660" s="545"/>
      <c r="BB660" s="351"/>
      <c r="BC660" s="36"/>
      <c r="BD660" s="556" t="s">
        <v>325</v>
      </c>
      <c r="BE660" s="351"/>
      <c r="BF660" s="557"/>
      <c r="BG660" s="350"/>
      <c r="BH660" s="350"/>
      <c r="BI660" s="351"/>
      <c r="BJ660" s="506" t="s">
        <v>294</v>
      </c>
      <c r="BK660" s="350"/>
      <c r="BL660" s="350"/>
      <c r="BM660" s="351"/>
      <c r="BN660" s="530" t="s">
        <v>294</v>
      </c>
      <c r="BO660" s="350"/>
      <c r="BP660" s="350"/>
      <c r="BQ660" s="350"/>
      <c r="BR660" s="350"/>
      <c r="BS660" s="350"/>
      <c r="BT660" s="350"/>
      <c r="BU660" s="350"/>
      <c r="BV660" s="351"/>
    </row>
    <row r="661" spans="1:74" ht="45" customHeight="1">
      <c r="A661" s="24">
        <f t="shared" si="2"/>
        <v>647</v>
      </c>
      <c r="B661" s="522" t="s">
        <v>294</v>
      </c>
      <c r="C661" s="351"/>
      <c r="D661" s="523" t="s">
        <v>298</v>
      </c>
      <c r="E661" s="351"/>
      <c r="F661" s="524" t="s">
        <v>325</v>
      </c>
      <c r="G661" s="351"/>
      <c r="H661" s="561" t="s">
        <v>325</v>
      </c>
      <c r="I661" s="351"/>
      <c r="J661" s="562"/>
      <c r="K661" s="351"/>
      <c r="L661" s="562"/>
      <c r="M661" s="351"/>
      <c r="N661" s="37"/>
      <c r="O661" s="38"/>
      <c r="P661" s="560"/>
      <c r="Q661" s="351"/>
      <c r="R661" s="527"/>
      <c r="S661" s="351"/>
      <c r="T661" s="528"/>
      <c r="U661" s="351"/>
      <c r="V661" s="541"/>
      <c r="W661" s="351"/>
      <c r="X661" s="542" t="s">
        <v>294</v>
      </c>
      <c r="Y661" s="350"/>
      <c r="Z661" s="350"/>
      <c r="AA661" s="351"/>
      <c r="AB661" s="543" t="s">
        <v>294</v>
      </c>
      <c r="AC661" s="350"/>
      <c r="AD661" s="350"/>
      <c r="AE661" s="351"/>
      <c r="AF661" s="544"/>
      <c r="AG661" s="351"/>
      <c r="AH661" s="544"/>
      <c r="AI661" s="351"/>
      <c r="AJ661" s="545"/>
      <c r="AK661" s="351"/>
      <c r="AL661" s="524" t="s">
        <v>325</v>
      </c>
      <c r="AM661" s="351"/>
      <c r="AN661" s="549" t="s">
        <v>325</v>
      </c>
      <c r="AO661" s="351"/>
      <c r="AP661" s="550"/>
      <c r="AQ661" s="351"/>
      <c r="AR661" s="551"/>
      <c r="AS661" s="351"/>
      <c r="AT661" s="552"/>
      <c r="AU661" s="351"/>
      <c r="AV661" s="549" t="s">
        <v>325</v>
      </c>
      <c r="AW661" s="351"/>
      <c r="AX661" s="553"/>
      <c r="AY661" s="350"/>
      <c r="AZ661" s="351"/>
      <c r="BA661" s="554"/>
      <c r="BB661" s="351"/>
      <c r="BC661" s="39"/>
      <c r="BD661" s="546" t="s">
        <v>325</v>
      </c>
      <c r="BE661" s="351"/>
      <c r="BF661" s="547"/>
      <c r="BG661" s="350"/>
      <c r="BH661" s="350"/>
      <c r="BI661" s="351"/>
      <c r="BJ661" s="548" t="s">
        <v>294</v>
      </c>
      <c r="BK661" s="350"/>
      <c r="BL661" s="350"/>
      <c r="BM661" s="351"/>
      <c r="BN661" s="530" t="s">
        <v>294</v>
      </c>
      <c r="BO661" s="350"/>
      <c r="BP661" s="350"/>
      <c r="BQ661" s="350"/>
      <c r="BR661" s="350"/>
      <c r="BS661" s="350"/>
      <c r="BT661" s="350"/>
      <c r="BU661" s="350"/>
      <c r="BV661" s="351"/>
    </row>
    <row r="662" spans="1:74" ht="45" customHeight="1">
      <c r="A662" s="24">
        <f t="shared" si="2"/>
        <v>648</v>
      </c>
      <c r="B662" s="558" t="s">
        <v>294</v>
      </c>
      <c r="C662" s="351"/>
      <c r="D662" s="559" t="s">
        <v>298</v>
      </c>
      <c r="E662" s="351"/>
      <c r="F662" s="524" t="s">
        <v>325</v>
      </c>
      <c r="G662" s="351"/>
      <c r="H662" s="525" t="s">
        <v>325</v>
      </c>
      <c r="I662" s="351"/>
      <c r="J662" s="563"/>
      <c r="K662" s="351"/>
      <c r="L662" s="563"/>
      <c r="M662" s="351"/>
      <c r="N662" s="37"/>
      <c r="O662" s="38"/>
      <c r="P662" s="560"/>
      <c r="Q662" s="351"/>
      <c r="R662" s="527"/>
      <c r="S662" s="351"/>
      <c r="T662" s="528"/>
      <c r="U662" s="351"/>
      <c r="V662" s="537"/>
      <c r="W662" s="351"/>
      <c r="X662" s="538" t="s">
        <v>294</v>
      </c>
      <c r="Y662" s="350"/>
      <c r="Z662" s="350"/>
      <c r="AA662" s="351"/>
      <c r="AB662" s="539" t="s">
        <v>294</v>
      </c>
      <c r="AC662" s="350"/>
      <c r="AD662" s="350"/>
      <c r="AE662" s="351"/>
      <c r="AF662" s="540"/>
      <c r="AG662" s="351"/>
      <c r="AH662" s="540"/>
      <c r="AI662" s="351"/>
      <c r="AJ662" s="545"/>
      <c r="AK662" s="351"/>
      <c r="AL662" s="555" t="s">
        <v>325</v>
      </c>
      <c r="AM662" s="351"/>
      <c r="AN662" s="531" t="s">
        <v>325</v>
      </c>
      <c r="AO662" s="351"/>
      <c r="AP662" s="532"/>
      <c r="AQ662" s="351"/>
      <c r="AR662" s="533"/>
      <c r="AS662" s="351"/>
      <c r="AT662" s="534"/>
      <c r="AU662" s="351"/>
      <c r="AV662" s="531" t="s">
        <v>325</v>
      </c>
      <c r="AW662" s="351"/>
      <c r="AX662" s="553"/>
      <c r="AY662" s="350"/>
      <c r="AZ662" s="351"/>
      <c r="BA662" s="545"/>
      <c r="BB662" s="351"/>
      <c r="BC662" s="36"/>
      <c r="BD662" s="556" t="s">
        <v>325</v>
      </c>
      <c r="BE662" s="351"/>
      <c r="BF662" s="557"/>
      <c r="BG662" s="350"/>
      <c r="BH662" s="350"/>
      <c r="BI662" s="351"/>
      <c r="BJ662" s="506" t="s">
        <v>294</v>
      </c>
      <c r="BK662" s="350"/>
      <c r="BL662" s="350"/>
      <c r="BM662" s="351"/>
      <c r="BN662" s="530" t="s">
        <v>294</v>
      </c>
      <c r="BO662" s="350"/>
      <c r="BP662" s="350"/>
      <c r="BQ662" s="350"/>
      <c r="BR662" s="350"/>
      <c r="BS662" s="350"/>
      <c r="BT662" s="350"/>
      <c r="BU662" s="350"/>
      <c r="BV662" s="351"/>
    </row>
    <row r="663" spans="1:74" ht="45" customHeight="1">
      <c r="A663" s="24">
        <f t="shared" si="2"/>
        <v>649</v>
      </c>
      <c r="B663" s="522" t="s">
        <v>294</v>
      </c>
      <c r="C663" s="351"/>
      <c r="D663" s="523" t="s">
        <v>298</v>
      </c>
      <c r="E663" s="351"/>
      <c r="F663" s="524" t="s">
        <v>325</v>
      </c>
      <c r="G663" s="351"/>
      <c r="H663" s="561" t="s">
        <v>325</v>
      </c>
      <c r="I663" s="351"/>
      <c r="J663" s="562"/>
      <c r="K663" s="351"/>
      <c r="L663" s="562"/>
      <c r="M663" s="351"/>
      <c r="N663" s="34"/>
      <c r="O663" s="35"/>
      <c r="P663" s="526"/>
      <c r="Q663" s="351"/>
      <c r="R663" s="535"/>
      <c r="S663" s="351"/>
      <c r="T663" s="536"/>
      <c r="U663" s="351"/>
      <c r="V663" s="541"/>
      <c r="W663" s="351"/>
      <c r="X663" s="542" t="s">
        <v>294</v>
      </c>
      <c r="Y663" s="350"/>
      <c r="Z663" s="350"/>
      <c r="AA663" s="351"/>
      <c r="AB663" s="543" t="s">
        <v>294</v>
      </c>
      <c r="AC663" s="350"/>
      <c r="AD663" s="350"/>
      <c r="AE663" s="351"/>
      <c r="AF663" s="544"/>
      <c r="AG663" s="351"/>
      <c r="AH663" s="544"/>
      <c r="AI663" s="351"/>
      <c r="AJ663" s="545"/>
      <c r="AK663" s="351"/>
      <c r="AL663" s="524" t="s">
        <v>325</v>
      </c>
      <c r="AM663" s="351"/>
      <c r="AN663" s="549" t="s">
        <v>325</v>
      </c>
      <c r="AO663" s="351"/>
      <c r="AP663" s="550"/>
      <c r="AQ663" s="351"/>
      <c r="AR663" s="551"/>
      <c r="AS663" s="351"/>
      <c r="AT663" s="552"/>
      <c r="AU663" s="351"/>
      <c r="AV663" s="549" t="s">
        <v>325</v>
      </c>
      <c r="AW663" s="351"/>
      <c r="AX663" s="553"/>
      <c r="AY663" s="350"/>
      <c r="AZ663" s="351"/>
      <c r="BA663" s="554"/>
      <c r="BB663" s="351"/>
      <c r="BC663" s="39"/>
      <c r="BD663" s="546" t="s">
        <v>325</v>
      </c>
      <c r="BE663" s="351"/>
      <c r="BF663" s="547"/>
      <c r="BG663" s="350"/>
      <c r="BH663" s="350"/>
      <c r="BI663" s="351"/>
      <c r="BJ663" s="548" t="s">
        <v>294</v>
      </c>
      <c r="BK663" s="350"/>
      <c r="BL663" s="350"/>
      <c r="BM663" s="351"/>
      <c r="BN663" s="530" t="s">
        <v>294</v>
      </c>
      <c r="BO663" s="350"/>
      <c r="BP663" s="350"/>
      <c r="BQ663" s="350"/>
      <c r="BR663" s="350"/>
      <c r="BS663" s="350"/>
      <c r="BT663" s="350"/>
      <c r="BU663" s="350"/>
      <c r="BV663" s="351"/>
    </row>
    <row r="664" spans="1:74" ht="45" customHeight="1">
      <c r="A664" s="24">
        <f t="shared" si="2"/>
        <v>650</v>
      </c>
      <c r="B664" s="558" t="s">
        <v>294</v>
      </c>
      <c r="C664" s="351"/>
      <c r="D664" s="559" t="s">
        <v>298</v>
      </c>
      <c r="E664" s="351"/>
      <c r="F664" s="524" t="s">
        <v>325</v>
      </c>
      <c r="G664" s="351"/>
      <c r="H664" s="525" t="s">
        <v>325</v>
      </c>
      <c r="I664" s="351"/>
      <c r="J664" s="563"/>
      <c r="K664" s="351"/>
      <c r="L664" s="563"/>
      <c r="M664" s="351"/>
      <c r="N664" s="37"/>
      <c r="O664" s="38"/>
      <c r="P664" s="560"/>
      <c r="Q664" s="351"/>
      <c r="R664" s="527"/>
      <c r="S664" s="351"/>
      <c r="T664" s="528"/>
      <c r="U664" s="351"/>
      <c r="V664" s="537"/>
      <c r="W664" s="351"/>
      <c r="X664" s="538" t="s">
        <v>294</v>
      </c>
      <c r="Y664" s="350"/>
      <c r="Z664" s="350"/>
      <c r="AA664" s="351"/>
      <c r="AB664" s="539" t="s">
        <v>294</v>
      </c>
      <c r="AC664" s="350"/>
      <c r="AD664" s="350"/>
      <c r="AE664" s="351"/>
      <c r="AF664" s="540"/>
      <c r="AG664" s="351"/>
      <c r="AH664" s="540"/>
      <c r="AI664" s="351"/>
      <c r="AJ664" s="545"/>
      <c r="AK664" s="351"/>
      <c r="AL664" s="555" t="s">
        <v>325</v>
      </c>
      <c r="AM664" s="351"/>
      <c r="AN664" s="531" t="s">
        <v>325</v>
      </c>
      <c r="AO664" s="351"/>
      <c r="AP664" s="532"/>
      <c r="AQ664" s="351"/>
      <c r="AR664" s="533"/>
      <c r="AS664" s="351"/>
      <c r="AT664" s="534"/>
      <c r="AU664" s="351"/>
      <c r="AV664" s="531" t="s">
        <v>325</v>
      </c>
      <c r="AW664" s="351"/>
      <c r="AX664" s="553"/>
      <c r="AY664" s="350"/>
      <c r="AZ664" s="351"/>
      <c r="BA664" s="545"/>
      <c r="BB664" s="351"/>
      <c r="BC664" s="36"/>
      <c r="BD664" s="556" t="s">
        <v>325</v>
      </c>
      <c r="BE664" s="351"/>
      <c r="BF664" s="529"/>
      <c r="BG664" s="350"/>
      <c r="BH664" s="350"/>
      <c r="BI664" s="351"/>
      <c r="BJ664" s="506" t="s">
        <v>294</v>
      </c>
      <c r="BK664" s="350"/>
      <c r="BL664" s="350"/>
      <c r="BM664" s="351"/>
      <c r="BN664" s="530" t="s">
        <v>294</v>
      </c>
      <c r="BO664" s="350"/>
      <c r="BP664" s="350"/>
      <c r="BQ664" s="350"/>
      <c r="BR664" s="350"/>
      <c r="BS664" s="350"/>
      <c r="BT664" s="350"/>
      <c r="BU664" s="350"/>
      <c r="BV664" s="351"/>
    </row>
    <row r="665" spans="1:74" ht="45" customHeight="1">
      <c r="A665" s="24">
        <f t="shared" si="2"/>
        <v>651</v>
      </c>
      <c r="B665" s="522" t="s">
        <v>294</v>
      </c>
      <c r="C665" s="351"/>
      <c r="D665" s="523" t="s">
        <v>298</v>
      </c>
      <c r="E665" s="351"/>
      <c r="F665" s="524" t="s">
        <v>325</v>
      </c>
      <c r="G665" s="351"/>
      <c r="H665" s="561" t="s">
        <v>325</v>
      </c>
      <c r="I665" s="351"/>
      <c r="J665" s="562"/>
      <c r="K665" s="351"/>
      <c r="L665" s="562"/>
      <c r="M665" s="351"/>
      <c r="N665" s="34"/>
      <c r="O665" s="35"/>
      <c r="P665" s="526"/>
      <c r="Q665" s="351"/>
      <c r="R665" s="535"/>
      <c r="S665" s="351"/>
      <c r="T665" s="536"/>
      <c r="U665" s="351"/>
      <c r="V665" s="541"/>
      <c r="W665" s="351"/>
      <c r="X665" s="542" t="s">
        <v>294</v>
      </c>
      <c r="Y665" s="350"/>
      <c r="Z665" s="350"/>
      <c r="AA665" s="351"/>
      <c r="AB665" s="543" t="s">
        <v>294</v>
      </c>
      <c r="AC665" s="350"/>
      <c r="AD665" s="350"/>
      <c r="AE665" s="351"/>
      <c r="AF665" s="544"/>
      <c r="AG665" s="351"/>
      <c r="AH665" s="544"/>
      <c r="AI665" s="351"/>
      <c r="AJ665" s="545"/>
      <c r="AK665" s="351"/>
      <c r="AL665" s="524" t="s">
        <v>325</v>
      </c>
      <c r="AM665" s="351"/>
      <c r="AN665" s="549" t="s">
        <v>325</v>
      </c>
      <c r="AO665" s="351"/>
      <c r="AP665" s="550"/>
      <c r="AQ665" s="351"/>
      <c r="AR665" s="551"/>
      <c r="AS665" s="351"/>
      <c r="AT665" s="552"/>
      <c r="AU665" s="351"/>
      <c r="AV665" s="549" t="s">
        <v>325</v>
      </c>
      <c r="AW665" s="351"/>
      <c r="AX665" s="553"/>
      <c r="AY665" s="350"/>
      <c r="AZ665" s="351"/>
      <c r="BA665" s="554"/>
      <c r="BB665" s="351"/>
      <c r="BC665" s="39"/>
      <c r="BD665" s="546" t="s">
        <v>325</v>
      </c>
      <c r="BE665" s="351"/>
      <c r="BF665" s="547"/>
      <c r="BG665" s="350"/>
      <c r="BH665" s="350"/>
      <c r="BI665" s="351"/>
      <c r="BJ665" s="548" t="s">
        <v>294</v>
      </c>
      <c r="BK665" s="350"/>
      <c r="BL665" s="350"/>
      <c r="BM665" s="351"/>
      <c r="BN665" s="530" t="s">
        <v>294</v>
      </c>
      <c r="BO665" s="350"/>
      <c r="BP665" s="350"/>
      <c r="BQ665" s="350"/>
      <c r="BR665" s="350"/>
      <c r="BS665" s="350"/>
      <c r="BT665" s="350"/>
      <c r="BU665" s="350"/>
      <c r="BV665" s="351"/>
    </row>
    <row r="666" spans="1:74" ht="45" customHeight="1">
      <c r="A666" s="24">
        <f t="shared" si="2"/>
        <v>652</v>
      </c>
      <c r="B666" s="558" t="s">
        <v>294</v>
      </c>
      <c r="C666" s="351"/>
      <c r="D666" s="559" t="s">
        <v>298</v>
      </c>
      <c r="E666" s="351"/>
      <c r="F666" s="524" t="s">
        <v>325</v>
      </c>
      <c r="G666" s="351"/>
      <c r="H666" s="525" t="s">
        <v>325</v>
      </c>
      <c r="I666" s="351"/>
      <c r="J666" s="563"/>
      <c r="K666" s="351"/>
      <c r="L666" s="563"/>
      <c r="M666" s="351"/>
      <c r="N666" s="37"/>
      <c r="O666" s="38"/>
      <c r="P666" s="560"/>
      <c r="Q666" s="351"/>
      <c r="R666" s="527"/>
      <c r="S666" s="351"/>
      <c r="T666" s="528"/>
      <c r="U666" s="351"/>
      <c r="V666" s="537"/>
      <c r="W666" s="351"/>
      <c r="X666" s="538" t="s">
        <v>294</v>
      </c>
      <c r="Y666" s="350"/>
      <c r="Z666" s="350"/>
      <c r="AA666" s="351"/>
      <c r="AB666" s="539" t="s">
        <v>294</v>
      </c>
      <c r="AC666" s="350"/>
      <c r="AD666" s="350"/>
      <c r="AE666" s="351"/>
      <c r="AF666" s="540"/>
      <c r="AG666" s="351"/>
      <c r="AH666" s="540"/>
      <c r="AI666" s="351"/>
      <c r="AJ666" s="545"/>
      <c r="AK666" s="351"/>
      <c r="AL666" s="555" t="s">
        <v>325</v>
      </c>
      <c r="AM666" s="351"/>
      <c r="AN666" s="531" t="s">
        <v>325</v>
      </c>
      <c r="AO666" s="351"/>
      <c r="AP666" s="532"/>
      <c r="AQ666" s="351"/>
      <c r="AR666" s="533"/>
      <c r="AS666" s="351"/>
      <c r="AT666" s="534"/>
      <c r="AU666" s="351"/>
      <c r="AV666" s="531" t="s">
        <v>325</v>
      </c>
      <c r="AW666" s="351"/>
      <c r="AX666" s="553"/>
      <c r="AY666" s="350"/>
      <c r="AZ666" s="351"/>
      <c r="BA666" s="545"/>
      <c r="BB666" s="351"/>
      <c r="BC666" s="36"/>
      <c r="BD666" s="556" t="s">
        <v>325</v>
      </c>
      <c r="BE666" s="351"/>
      <c r="BF666" s="557"/>
      <c r="BG666" s="350"/>
      <c r="BH666" s="350"/>
      <c r="BI666" s="351"/>
      <c r="BJ666" s="506" t="s">
        <v>294</v>
      </c>
      <c r="BK666" s="350"/>
      <c r="BL666" s="350"/>
      <c r="BM666" s="351"/>
      <c r="BN666" s="530" t="s">
        <v>294</v>
      </c>
      <c r="BO666" s="350"/>
      <c r="BP666" s="350"/>
      <c r="BQ666" s="350"/>
      <c r="BR666" s="350"/>
      <c r="BS666" s="350"/>
      <c r="BT666" s="350"/>
      <c r="BU666" s="350"/>
      <c r="BV666" s="351"/>
    </row>
    <row r="667" spans="1:74" ht="45" customHeight="1">
      <c r="A667" s="24">
        <f t="shared" si="2"/>
        <v>653</v>
      </c>
      <c r="B667" s="522" t="s">
        <v>294</v>
      </c>
      <c r="C667" s="351"/>
      <c r="D667" s="523" t="s">
        <v>298</v>
      </c>
      <c r="E667" s="351"/>
      <c r="F667" s="524" t="s">
        <v>325</v>
      </c>
      <c r="G667" s="351"/>
      <c r="H667" s="561" t="s">
        <v>325</v>
      </c>
      <c r="I667" s="351"/>
      <c r="J667" s="562"/>
      <c r="K667" s="351"/>
      <c r="L667" s="562"/>
      <c r="M667" s="351"/>
      <c r="N667" s="34"/>
      <c r="O667" s="35"/>
      <c r="P667" s="526"/>
      <c r="Q667" s="351"/>
      <c r="R667" s="535"/>
      <c r="S667" s="351"/>
      <c r="T667" s="536"/>
      <c r="U667" s="351"/>
      <c r="V667" s="541"/>
      <c r="W667" s="351"/>
      <c r="X667" s="542" t="s">
        <v>294</v>
      </c>
      <c r="Y667" s="350"/>
      <c r="Z667" s="350"/>
      <c r="AA667" s="351"/>
      <c r="AB667" s="543" t="s">
        <v>294</v>
      </c>
      <c r="AC667" s="350"/>
      <c r="AD667" s="350"/>
      <c r="AE667" s="351"/>
      <c r="AF667" s="544"/>
      <c r="AG667" s="351"/>
      <c r="AH667" s="544"/>
      <c r="AI667" s="351"/>
      <c r="AJ667" s="545"/>
      <c r="AK667" s="351"/>
      <c r="AL667" s="524" t="s">
        <v>325</v>
      </c>
      <c r="AM667" s="351"/>
      <c r="AN667" s="549" t="s">
        <v>325</v>
      </c>
      <c r="AO667" s="351"/>
      <c r="AP667" s="550"/>
      <c r="AQ667" s="351"/>
      <c r="AR667" s="551"/>
      <c r="AS667" s="351"/>
      <c r="AT667" s="534"/>
      <c r="AU667" s="351"/>
      <c r="AV667" s="549" t="s">
        <v>325</v>
      </c>
      <c r="AW667" s="351"/>
      <c r="AX667" s="553"/>
      <c r="AY667" s="350"/>
      <c r="AZ667" s="351"/>
      <c r="BA667" s="554"/>
      <c r="BB667" s="351"/>
      <c r="BC667" s="39"/>
      <c r="BD667" s="546" t="s">
        <v>325</v>
      </c>
      <c r="BE667" s="351"/>
      <c r="BF667" s="547"/>
      <c r="BG667" s="350"/>
      <c r="BH667" s="350"/>
      <c r="BI667" s="351"/>
      <c r="BJ667" s="548" t="s">
        <v>294</v>
      </c>
      <c r="BK667" s="350"/>
      <c r="BL667" s="350"/>
      <c r="BM667" s="351"/>
      <c r="BN667" s="530" t="s">
        <v>294</v>
      </c>
      <c r="BO667" s="350"/>
      <c r="BP667" s="350"/>
      <c r="BQ667" s="350"/>
      <c r="BR667" s="350"/>
      <c r="BS667" s="350"/>
      <c r="BT667" s="350"/>
      <c r="BU667" s="350"/>
      <c r="BV667" s="351"/>
    </row>
    <row r="668" spans="1:74" ht="45" customHeight="1">
      <c r="A668" s="24">
        <f t="shared" si="2"/>
        <v>654</v>
      </c>
      <c r="B668" s="558" t="s">
        <v>294</v>
      </c>
      <c r="C668" s="351"/>
      <c r="D668" s="559" t="s">
        <v>298</v>
      </c>
      <c r="E668" s="351"/>
      <c r="F668" s="524" t="s">
        <v>325</v>
      </c>
      <c r="G668" s="351"/>
      <c r="H668" s="525" t="s">
        <v>325</v>
      </c>
      <c r="I668" s="351"/>
      <c r="J668" s="563"/>
      <c r="K668" s="351"/>
      <c r="L668" s="563"/>
      <c r="M668" s="351"/>
      <c r="N668" s="37"/>
      <c r="O668" s="38"/>
      <c r="P668" s="560"/>
      <c r="Q668" s="351"/>
      <c r="R668" s="527"/>
      <c r="S668" s="351"/>
      <c r="T668" s="528"/>
      <c r="U668" s="351"/>
      <c r="V668" s="537"/>
      <c r="W668" s="351"/>
      <c r="X668" s="538" t="s">
        <v>294</v>
      </c>
      <c r="Y668" s="350"/>
      <c r="Z668" s="350"/>
      <c r="AA668" s="351"/>
      <c r="AB668" s="539" t="s">
        <v>294</v>
      </c>
      <c r="AC668" s="350"/>
      <c r="AD668" s="350"/>
      <c r="AE668" s="351"/>
      <c r="AF668" s="540"/>
      <c r="AG668" s="351"/>
      <c r="AH668" s="540"/>
      <c r="AI668" s="351"/>
      <c r="AJ668" s="545"/>
      <c r="AK668" s="351"/>
      <c r="AL668" s="555" t="s">
        <v>325</v>
      </c>
      <c r="AM668" s="351"/>
      <c r="AN668" s="531" t="s">
        <v>325</v>
      </c>
      <c r="AO668" s="351"/>
      <c r="AP668" s="532"/>
      <c r="AQ668" s="351"/>
      <c r="AR668" s="533"/>
      <c r="AS668" s="351"/>
      <c r="AT668" s="534"/>
      <c r="AU668" s="351"/>
      <c r="AV668" s="531" t="s">
        <v>325</v>
      </c>
      <c r="AW668" s="351"/>
      <c r="AX668" s="553"/>
      <c r="AY668" s="350"/>
      <c r="AZ668" s="351"/>
      <c r="BA668" s="545"/>
      <c r="BB668" s="351"/>
      <c r="BC668" s="36"/>
      <c r="BD668" s="556" t="s">
        <v>325</v>
      </c>
      <c r="BE668" s="351"/>
      <c r="BF668" s="557"/>
      <c r="BG668" s="350"/>
      <c r="BH668" s="350"/>
      <c r="BI668" s="351"/>
      <c r="BJ668" s="506" t="s">
        <v>294</v>
      </c>
      <c r="BK668" s="350"/>
      <c r="BL668" s="350"/>
      <c r="BM668" s="351"/>
      <c r="BN668" s="530" t="s">
        <v>294</v>
      </c>
      <c r="BO668" s="350"/>
      <c r="BP668" s="350"/>
      <c r="BQ668" s="350"/>
      <c r="BR668" s="350"/>
      <c r="BS668" s="350"/>
      <c r="BT668" s="350"/>
      <c r="BU668" s="350"/>
      <c r="BV668" s="351"/>
    </row>
    <row r="669" spans="1:74" ht="45" customHeight="1">
      <c r="A669" s="24">
        <f t="shared" si="2"/>
        <v>655</v>
      </c>
      <c r="B669" s="522" t="s">
        <v>294</v>
      </c>
      <c r="C669" s="351"/>
      <c r="D669" s="523" t="s">
        <v>298</v>
      </c>
      <c r="E669" s="351"/>
      <c r="F669" s="524" t="s">
        <v>325</v>
      </c>
      <c r="G669" s="351"/>
      <c r="H669" s="561" t="s">
        <v>325</v>
      </c>
      <c r="I669" s="351"/>
      <c r="J669" s="562"/>
      <c r="K669" s="351"/>
      <c r="L669" s="562"/>
      <c r="M669" s="351"/>
      <c r="N669" s="34"/>
      <c r="O669" s="35"/>
      <c r="P669" s="526"/>
      <c r="Q669" s="351"/>
      <c r="R669" s="535"/>
      <c r="S669" s="351"/>
      <c r="T669" s="536"/>
      <c r="U669" s="351"/>
      <c r="V669" s="541"/>
      <c r="W669" s="351"/>
      <c r="X669" s="542" t="s">
        <v>294</v>
      </c>
      <c r="Y669" s="350"/>
      <c r="Z669" s="350"/>
      <c r="AA669" s="351"/>
      <c r="AB669" s="543" t="s">
        <v>294</v>
      </c>
      <c r="AC669" s="350"/>
      <c r="AD669" s="350"/>
      <c r="AE669" s="351"/>
      <c r="AF669" s="544"/>
      <c r="AG669" s="351"/>
      <c r="AH669" s="544"/>
      <c r="AI669" s="351"/>
      <c r="AJ669" s="545"/>
      <c r="AK669" s="351"/>
      <c r="AL669" s="524" t="s">
        <v>325</v>
      </c>
      <c r="AM669" s="351"/>
      <c r="AN669" s="549" t="s">
        <v>325</v>
      </c>
      <c r="AO669" s="351"/>
      <c r="AP669" s="550"/>
      <c r="AQ669" s="351"/>
      <c r="AR669" s="551"/>
      <c r="AS669" s="351"/>
      <c r="AT669" s="534"/>
      <c r="AU669" s="351"/>
      <c r="AV669" s="549" t="s">
        <v>325</v>
      </c>
      <c r="AW669" s="351"/>
      <c r="AX669" s="553"/>
      <c r="AY669" s="350"/>
      <c r="AZ669" s="351"/>
      <c r="BA669" s="554"/>
      <c r="BB669" s="351"/>
      <c r="BC669" s="39"/>
      <c r="BD669" s="546" t="s">
        <v>325</v>
      </c>
      <c r="BE669" s="351"/>
      <c r="BF669" s="547"/>
      <c r="BG669" s="350"/>
      <c r="BH669" s="350"/>
      <c r="BI669" s="351"/>
      <c r="BJ669" s="548" t="s">
        <v>294</v>
      </c>
      <c r="BK669" s="350"/>
      <c r="BL669" s="350"/>
      <c r="BM669" s="351"/>
      <c r="BN669" s="530" t="s">
        <v>294</v>
      </c>
      <c r="BO669" s="350"/>
      <c r="BP669" s="350"/>
      <c r="BQ669" s="350"/>
      <c r="BR669" s="350"/>
      <c r="BS669" s="350"/>
      <c r="BT669" s="350"/>
      <c r="BU669" s="350"/>
      <c r="BV669" s="351"/>
    </row>
    <row r="670" spans="1:74" ht="45" customHeight="1">
      <c r="A670" s="24">
        <f t="shared" si="2"/>
        <v>656</v>
      </c>
      <c r="B670" s="558" t="s">
        <v>294</v>
      </c>
      <c r="C670" s="351"/>
      <c r="D670" s="559" t="s">
        <v>298</v>
      </c>
      <c r="E670" s="351"/>
      <c r="F670" s="524" t="s">
        <v>325</v>
      </c>
      <c r="G670" s="351"/>
      <c r="H670" s="525" t="s">
        <v>325</v>
      </c>
      <c r="I670" s="351"/>
      <c r="J670" s="563"/>
      <c r="K670" s="351"/>
      <c r="L670" s="563"/>
      <c r="M670" s="351"/>
      <c r="N670" s="37"/>
      <c r="O670" s="38"/>
      <c r="P670" s="560"/>
      <c r="Q670" s="351"/>
      <c r="R670" s="527"/>
      <c r="S670" s="351"/>
      <c r="T670" s="528"/>
      <c r="U670" s="351"/>
      <c r="V670" s="537"/>
      <c r="W670" s="351"/>
      <c r="X670" s="538" t="s">
        <v>294</v>
      </c>
      <c r="Y670" s="350"/>
      <c r="Z670" s="350"/>
      <c r="AA670" s="351"/>
      <c r="AB670" s="539" t="s">
        <v>294</v>
      </c>
      <c r="AC670" s="350"/>
      <c r="AD670" s="350"/>
      <c r="AE670" s="351"/>
      <c r="AF670" s="540"/>
      <c r="AG670" s="351"/>
      <c r="AH670" s="540"/>
      <c r="AI670" s="351"/>
      <c r="AJ670" s="545"/>
      <c r="AK670" s="351"/>
      <c r="AL670" s="555" t="s">
        <v>325</v>
      </c>
      <c r="AM670" s="351"/>
      <c r="AN670" s="531" t="s">
        <v>325</v>
      </c>
      <c r="AO670" s="351"/>
      <c r="AP670" s="532"/>
      <c r="AQ670" s="351"/>
      <c r="AR670" s="533"/>
      <c r="AS670" s="351"/>
      <c r="AT670" s="534"/>
      <c r="AU670" s="351"/>
      <c r="AV670" s="531" t="s">
        <v>325</v>
      </c>
      <c r="AW670" s="351"/>
      <c r="AX670" s="553"/>
      <c r="AY670" s="350"/>
      <c r="AZ670" s="351"/>
      <c r="BA670" s="545"/>
      <c r="BB670" s="351"/>
      <c r="BC670" s="36"/>
      <c r="BD670" s="556" t="s">
        <v>325</v>
      </c>
      <c r="BE670" s="351"/>
      <c r="BF670" s="557"/>
      <c r="BG670" s="350"/>
      <c r="BH670" s="350"/>
      <c r="BI670" s="351"/>
      <c r="BJ670" s="506" t="s">
        <v>294</v>
      </c>
      <c r="BK670" s="350"/>
      <c r="BL670" s="350"/>
      <c r="BM670" s="351"/>
      <c r="BN670" s="530" t="s">
        <v>294</v>
      </c>
      <c r="BO670" s="350"/>
      <c r="BP670" s="350"/>
      <c r="BQ670" s="350"/>
      <c r="BR670" s="350"/>
      <c r="BS670" s="350"/>
      <c r="BT670" s="350"/>
      <c r="BU670" s="350"/>
      <c r="BV670" s="351"/>
    </row>
    <row r="671" spans="1:74" ht="45" customHeight="1">
      <c r="A671" s="24">
        <f t="shared" si="2"/>
        <v>657</v>
      </c>
      <c r="B671" s="522" t="s">
        <v>294</v>
      </c>
      <c r="C671" s="351"/>
      <c r="D671" s="523" t="s">
        <v>298</v>
      </c>
      <c r="E671" s="351"/>
      <c r="F671" s="524" t="s">
        <v>325</v>
      </c>
      <c r="G671" s="351"/>
      <c r="H671" s="561" t="s">
        <v>325</v>
      </c>
      <c r="I671" s="351"/>
      <c r="J671" s="562"/>
      <c r="K671" s="351"/>
      <c r="L671" s="562"/>
      <c r="M671" s="351"/>
      <c r="N671" s="34"/>
      <c r="O671" s="35"/>
      <c r="P671" s="526"/>
      <c r="Q671" s="351"/>
      <c r="R671" s="535"/>
      <c r="S671" s="351"/>
      <c r="T671" s="536"/>
      <c r="U671" s="351"/>
      <c r="V671" s="541"/>
      <c r="W671" s="351"/>
      <c r="X671" s="542" t="s">
        <v>294</v>
      </c>
      <c r="Y671" s="350"/>
      <c r="Z671" s="350"/>
      <c r="AA671" s="351"/>
      <c r="AB671" s="543" t="s">
        <v>294</v>
      </c>
      <c r="AC671" s="350"/>
      <c r="AD671" s="350"/>
      <c r="AE671" s="351"/>
      <c r="AF671" s="544"/>
      <c r="AG671" s="351"/>
      <c r="AH671" s="544"/>
      <c r="AI671" s="351"/>
      <c r="AJ671" s="545"/>
      <c r="AK671" s="351"/>
      <c r="AL671" s="524" t="s">
        <v>325</v>
      </c>
      <c r="AM671" s="351"/>
      <c r="AN671" s="549" t="s">
        <v>325</v>
      </c>
      <c r="AO671" s="351"/>
      <c r="AP671" s="550"/>
      <c r="AQ671" s="351"/>
      <c r="AR671" s="551"/>
      <c r="AS671" s="351"/>
      <c r="AT671" s="552"/>
      <c r="AU671" s="351"/>
      <c r="AV671" s="549" t="s">
        <v>325</v>
      </c>
      <c r="AW671" s="351"/>
      <c r="AX671" s="553"/>
      <c r="AY671" s="350"/>
      <c r="AZ671" s="351"/>
      <c r="BA671" s="554"/>
      <c r="BB671" s="351"/>
      <c r="BC671" s="39"/>
      <c r="BD671" s="546" t="s">
        <v>325</v>
      </c>
      <c r="BE671" s="351"/>
      <c r="BF671" s="547"/>
      <c r="BG671" s="350"/>
      <c r="BH671" s="350"/>
      <c r="BI671" s="351"/>
      <c r="BJ671" s="548" t="s">
        <v>294</v>
      </c>
      <c r="BK671" s="350"/>
      <c r="BL671" s="350"/>
      <c r="BM671" s="351"/>
      <c r="BN671" s="530" t="s">
        <v>294</v>
      </c>
      <c r="BO671" s="350"/>
      <c r="BP671" s="350"/>
      <c r="BQ671" s="350"/>
      <c r="BR671" s="350"/>
      <c r="BS671" s="350"/>
      <c r="BT671" s="350"/>
      <c r="BU671" s="350"/>
      <c r="BV671" s="351"/>
    </row>
    <row r="672" spans="1:74" ht="45" customHeight="1">
      <c r="A672" s="24">
        <f t="shared" si="2"/>
        <v>658</v>
      </c>
      <c r="B672" s="558" t="s">
        <v>294</v>
      </c>
      <c r="C672" s="351"/>
      <c r="D672" s="559" t="s">
        <v>298</v>
      </c>
      <c r="E672" s="351"/>
      <c r="F672" s="524" t="s">
        <v>325</v>
      </c>
      <c r="G672" s="351"/>
      <c r="H672" s="525" t="s">
        <v>325</v>
      </c>
      <c r="I672" s="351"/>
      <c r="J672" s="563"/>
      <c r="K672" s="351"/>
      <c r="L672" s="563"/>
      <c r="M672" s="351"/>
      <c r="N672" s="37"/>
      <c r="O672" s="38"/>
      <c r="P672" s="560"/>
      <c r="Q672" s="351"/>
      <c r="R672" s="527"/>
      <c r="S672" s="351"/>
      <c r="T672" s="528"/>
      <c r="U672" s="351"/>
      <c r="V672" s="537"/>
      <c r="W672" s="351"/>
      <c r="X672" s="538" t="s">
        <v>294</v>
      </c>
      <c r="Y672" s="350"/>
      <c r="Z672" s="350"/>
      <c r="AA672" s="351"/>
      <c r="AB672" s="539" t="s">
        <v>294</v>
      </c>
      <c r="AC672" s="350"/>
      <c r="AD672" s="350"/>
      <c r="AE672" s="351"/>
      <c r="AF672" s="540"/>
      <c r="AG672" s="351"/>
      <c r="AH672" s="540"/>
      <c r="AI672" s="351"/>
      <c r="AJ672" s="545"/>
      <c r="AK672" s="351"/>
      <c r="AL672" s="555" t="s">
        <v>325</v>
      </c>
      <c r="AM672" s="351"/>
      <c r="AN672" s="531" t="s">
        <v>325</v>
      </c>
      <c r="AO672" s="351"/>
      <c r="AP672" s="532"/>
      <c r="AQ672" s="351"/>
      <c r="AR672" s="533"/>
      <c r="AS672" s="351"/>
      <c r="AT672" s="534"/>
      <c r="AU672" s="351"/>
      <c r="AV672" s="531" t="s">
        <v>325</v>
      </c>
      <c r="AW672" s="351"/>
      <c r="AX672" s="553"/>
      <c r="AY672" s="350"/>
      <c r="AZ672" s="351"/>
      <c r="BA672" s="545"/>
      <c r="BB672" s="351"/>
      <c r="BC672" s="36"/>
      <c r="BD672" s="556" t="s">
        <v>325</v>
      </c>
      <c r="BE672" s="351"/>
      <c r="BF672" s="529"/>
      <c r="BG672" s="350"/>
      <c r="BH672" s="350"/>
      <c r="BI672" s="351"/>
      <c r="BJ672" s="506" t="s">
        <v>294</v>
      </c>
      <c r="BK672" s="350"/>
      <c r="BL672" s="350"/>
      <c r="BM672" s="351"/>
      <c r="BN672" s="530" t="s">
        <v>294</v>
      </c>
      <c r="BO672" s="350"/>
      <c r="BP672" s="350"/>
      <c r="BQ672" s="350"/>
      <c r="BR672" s="350"/>
      <c r="BS672" s="350"/>
      <c r="BT672" s="350"/>
      <c r="BU672" s="350"/>
      <c r="BV672" s="351"/>
    </row>
    <row r="673" spans="1:74" ht="45" customHeight="1">
      <c r="A673" s="24">
        <f t="shared" si="2"/>
        <v>659</v>
      </c>
      <c r="B673" s="522" t="s">
        <v>294</v>
      </c>
      <c r="C673" s="351"/>
      <c r="D673" s="523" t="s">
        <v>298</v>
      </c>
      <c r="E673" s="351"/>
      <c r="F673" s="524" t="s">
        <v>325</v>
      </c>
      <c r="G673" s="351"/>
      <c r="H673" s="561" t="s">
        <v>325</v>
      </c>
      <c r="I673" s="351"/>
      <c r="J673" s="562"/>
      <c r="K673" s="351"/>
      <c r="L673" s="562"/>
      <c r="M673" s="351"/>
      <c r="N673" s="34"/>
      <c r="O673" s="35"/>
      <c r="P673" s="526"/>
      <c r="Q673" s="351"/>
      <c r="R673" s="535"/>
      <c r="S673" s="351"/>
      <c r="T673" s="536"/>
      <c r="U673" s="351"/>
      <c r="V673" s="541"/>
      <c r="W673" s="351"/>
      <c r="X673" s="542" t="s">
        <v>294</v>
      </c>
      <c r="Y673" s="350"/>
      <c r="Z673" s="350"/>
      <c r="AA673" s="351"/>
      <c r="AB673" s="543" t="s">
        <v>294</v>
      </c>
      <c r="AC673" s="350"/>
      <c r="AD673" s="350"/>
      <c r="AE673" s="351"/>
      <c r="AF673" s="544"/>
      <c r="AG673" s="351"/>
      <c r="AH673" s="544"/>
      <c r="AI673" s="351"/>
      <c r="AJ673" s="545"/>
      <c r="AK673" s="351"/>
      <c r="AL673" s="524" t="s">
        <v>325</v>
      </c>
      <c r="AM673" s="351"/>
      <c r="AN673" s="549" t="s">
        <v>325</v>
      </c>
      <c r="AO673" s="351"/>
      <c r="AP673" s="550"/>
      <c r="AQ673" s="351"/>
      <c r="AR673" s="551"/>
      <c r="AS673" s="351"/>
      <c r="AT673" s="552"/>
      <c r="AU673" s="351"/>
      <c r="AV673" s="549" t="s">
        <v>325</v>
      </c>
      <c r="AW673" s="351"/>
      <c r="AX673" s="553"/>
      <c r="AY673" s="350"/>
      <c r="AZ673" s="351"/>
      <c r="BA673" s="554"/>
      <c r="BB673" s="351"/>
      <c r="BC673" s="39"/>
      <c r="BD673" s="546" t="s">
        <v>325</v>
      </c>
      <c r="BE673" s="351"/>
      <c r="BF673" s="547"/>
      <c r="BG673" s="350"/>
      <c r="BH673" s="350"/>
      <c r="BI673" s="351"/>
      <c r="BJ673" s="548" t="s">
        <v>294</v>
      </c>
      <c r="BK673" s="350"/>
      <c r="BL673" s="350"/>
      <c r="BM673" s="351"/>
      <c r="BN673" s="530" t="s">
        <v>294</v>
      </c>
      <c r="BO673" s="350"/>
      <c r="BP673" s="350"/>
      <c r="BQ673" s="350"/>
      <c r="BR673" s="350"/>
      <c r="BS673" s="350"/>
      <c r="BT673" s="350"/>
      <c r="BU673" s="350"/>
      <c r="BV673" s="351"/>
    </row>
    <row r="674" spans="1:74" ht="45" customHeight="1">
      <c r="A674" s="24">
        <f t="shared" si="2"/>
        <v>660</v>
      </c>
      <c r="B674" s="558" t="s">
        <v>294</v>
      </c>
      <c r="C674" s="351"/>
      <c r="D674" s="559" t="s">
        <v>298</v>
      </c>
      <c r="E674" s="351"/>
      <c r="F674" s="524" t="s">
        <v>325</v>
      </c>
      <c r="G674" s="351"/>
      <c r="H674" s="525" t="s">
        <v>325</v>
      </c>
      <c r="I674" s="351"/>
      <c r="J674" s="563"/>
      <c r="K674" s="351"/>
      <c r="L674" s="563"/>
      <c r="M674" s="351"/>
      <c r="N674" s="37"/>
      <c r="O674" s="38"/>
      <c r="P674" s="560"/>
      <c r="Q674" s="351"/>
      <c r="R674" s="527"/>
      <c r="S674" s="351"/>
      <c r="T674" s="528"/>
      <c r="U674" s="351"/>
      <c r="V674" s="537"/>
      <c r="W674" s="351"/>
      <c r="X674" s="538" t="s">
        <v>294</v>
      </c>
      <c r="Y674" s="350"/>
      <c r="Z674" s="350"/>
      <c r="AA674" s="351"/>
      <c r="AB674" s="539" t="s">
        <v>294</v>
      </c>
      <c r="AC674" s="350"/>
      <c r="AD674" s="350"/>
      <c r="AE674" s="351"/>
      <c r="AF674" s="540"/>
      <c r="AG674" s="351"/>
      <c r="AH674" s="540"/>
      <c r="AI674" s="351"/>
      <c r="AJ674" s="545"/>
      <c r="AK674" s="351"/>
      <c r="AL674" s="555" t="s">
        <v>325</v>
      </c>
      <c r="AM674" s="351"/>
      <c r="AN674" s="531" t="s">
        <v>325</v>
      </c>
      <c r="AO674" s="351"/>
      <c r="AP674" s="532"/>
      <c r="AQ674" s="351"/>
      <c r="AR674" s="533"/>
      <c r="AS674" s="351"/>
      <c r="AT674" s="534"/>
      <c r="AU674" s="351"/>
      <c r="AV674" s="531" t="s">
        <v>325</v>
      </c>
      <c r="AW674" s="351"/>
      <c r="AX674" s="553"/>
      <c r="AY674" s="350"/>
      <c r="AZ674" s="351"/>
      <c r="BA674" s="545"/>
      <c r="BB674" s="351"/>
      <c r="BC674" s="36"/>
      <c r="BD674" s="556" t="s">
        <v>325</v>
      </c>
      <c r="BE674" s="351"/>
      <c r="BF674" s="557"/>
      <c r="BG674" s="350"/>
      <c r="BH674" s="350"/>
      <c r="BI674" s="351"/>
      <c r="BJ674" s="506" t="s">
        <v>294</v>
      </c>
      <c r="BK674" s="350"/>
      <c r="BL674" s="350"/>
      <c r="BM674" s="351"/>
      <c r="BN674" s="530" t="s">
        <v>294</v>
      </c>
      <c r="BO674" s="350"/>
      <c r="BP674" s="350"/>
      <c r="BQ674" s="350"/>
      <c r="BR674" s="350"/>
      <c r="BS674" s="350"/>
      <c r="BT674" s="350"/>
      <c r="BU674" s="350"/>
      <c r="BV674" s="351"/>
    </row>
    <row r="675" spans="1:74" ht="45" customHeight="1">
      <c r="A675" s="24">
        <f t="shared" si="2"/>
        <v>661</v>
      </c>
      <c r="B675" s="522" t="s">
        <v>294</v>
      </c>
      <c r="C675" s="351"/>
      <c r="D675" s="523" t="s">
        <v>298</v>
      </c>
      <c r="E675" s="351"/>
      <c r="F675" s="524" t="s">
        <v>325</v>
      </c>
      <c r="G675" s="351"/>
      <c r="H675" s="561" t="s">
        <v>325</v>
      </c>
      <c r="I675" s="351"/>
      <c r="J675" s="562"/>
      <c r="K675" s="351"/>
      <c r="L675" s="562"/>
      <c r="M675" s="351"/>
      <c r="N675" s="34"/>
      <c r="O675" s="35"/>
      <c r="P675" s="526"/>
      <c r="Q675" s="351"/>
      <c r="R675" s="535"/>
      <c r="S675" s="351"/>
      <c r="T675" s="536"/>
      <c r="U675" s="351"/>
      <c r="V675" s="541"/>
      <c r="W675" s="351"/>
      <c r="X675" s="542" t="s">
        <v>294</v>
      </c>
      <c r="Y675" s="350"/>
      <c r="Z675" s="350"/>
      <c r="AA675" s="351"/>
      <c r="AB675" s="543" t="s">
        <v>294</v>
      </c>
      <c r="AC675" s="350"/>
      <c r="AD675" s="350"/>
      <c r="AE675" s="351"/>
      <c r="AF675" s="544"/>
      <c r="AG675" s="351"/>
      <c r="AH675" s="544"/>
      <c r="AI675" s="351"/>
      <c r="AJ675" s="545"/>
      <c r="AK675" s="351"/>
      <c r="AL675" s="524" t="s">
        <v>325</v>
      </c>
      <c r="AM675" s="351"/>
      <c r="AN675" s="549" t="s">
        <v>325</v>
      </c>
      <c r="AO675" s="351"/>
      <c r="AP675" s="550"/>
      <c r="AQ675" s="351"/>
      <c r="AR675" s="551"/>
      <c r="AS675" s="351"/>
      <c r="AT675" s="552"/>
      <c r="AU675" s="351"/>
      <c r="AV675" s="549" t="s">
        <v>325</v>
      </c>
      <c r="AW675" s="351"/>
      <c r="AX675" s="553"/>
      <c r="AY675" s="350"/>
      <c r="AZ675" s="351"/>
      <c r="BA675" s="554"/>
      <c r="BB675" s="351"/>
      <c r="BC675" s="39"/>
      <c r="BD675" s="546" t="s">
        <v>325</v>
      </c>
      <c r="BE675" s="351"/>
      <c r="BF675" s="547"/>
      <c r="BG675" s="350"/>
      <c r="BH675" s="350"/>
      <c r="BI675" s="351"/>
      <c r="BJ675" s="548" t="s">
        <v>294</v>
      </c>
      <c r="BK675" s="350"/>
      <c r="BL675" s="350"/>
      <c r="BM675" s="351"/>
      <c r="BN675" s="530" t="s">
        <v>294</v>
      </c>
      <c r="BO675" s="350"/>
      <c r="BP675" s="350"/>
      <c r="BQ675" s="350"/>
      <c r="BR675" s="350"/>
      <c r="BS675" s="350"/>
      <c r="BT675" s="350"/>
      <c r="BU675" s="350"/>
      <c r="BV675" s="351"/>
    </row>
    <row r="676" spans="1:74" ht="45" customHeight="1">
      <c r="A676" s="24">
        <f t="shared" si="2"/>
        <v>662</v>
      </c>
      <c r="B676" s="558" t="s">
        <v>294</v>
      </c>
      <c r="C676" s="351"/>
      <c r="D676" s="559" t="s">
        <v>298</v>
      </c>
      <c r="E676" s="351"/>
      <c r="F676" s="524" t="s">
        <v>325</v>
      </c>
      <c r="G676" s="351"/>
      <c r="H676" s="525" t="s">
        <v>325</v>
      </c>
      <c r="I676" s="351"/>
      <c r="J676" s="563"/>
      <c r="K676" s="351"/>
      <c r="L676" s="563"/>
      <c r="M676" s="351"/>
      <c r="N676" s="34"/>
      <c r="O676" s="35"/>
      <c r="P676" s="526"/>
      <c r="Q676" s="351"/>
      <c r="R676" s="535"/>
      <c r="S676" s="351"/>
      <c r="T676" s="536"/>
      <c r="U676" s="351"/>
      <c r="V676" s="537"/>
      <c r="W676" s="351"/>
      <c r="X676" s="538" t="s">
        <v>294</v>
      </c>
      <c r="Y676" s="350"/>
      <c r="Z676" s="350"/>
      <c r="AA676" s="351"/>
      <c r="AB676" s="539" t="s">
        <v>294</v>
      </c>
      <c r="AC676" s="350"/>
      <c r="AD676" s="350"/>
      <c r="AE676" s="351"/>
      <c r="AF676" s="540"/>
      <c r="AG676" s="351"/>
      <c r="AH676" s="540"/>
      <c r="AI676" s="351"/>
      <c r="AJ676" s="545"/>
      <c r="AK676" s="351"/>
      <c r="AL676" s="555" t="s">
        <v>325</v>
      </c>
      <c r="AM676" s="351"/>
      <c r="AN676" s="531" t="s">
        <v>325</v>
      </c>
      <c r="AO676" s="351"/>
      <c r="AP676" s="532"/>
      <c r="AQ676" s="351"/>
      <c r="AR676" s="533"/>
      <c r="AS676" s="351"/>
      <c r="AT676" s="534"/>
      <c r="AU676" s="351"/>
      <c r="AV676" s="531" t="s">
        <v>325</v>
      </c>
      <c r="AW676" s="351"/>
      <c r="AX676" s="553"/>
      <c r="AY676" s="350"/>
      <c r="AZ676" s="351"/>
      <c r="BA676" s="545"/>
      <c r="BB676" s="351"/>
      <c r="BC676" s="36"/>
      <c r="BD676" s="556" t="s">
        <v>325</v>
      </c>
      <c r="BE676" s="351"/>
      <c r="BF676" s="557"/>
      <c r="BG676" s="350"/>
      <c r="BH676" s="350"/>
      <c r="BI676" s="351"/>
      <c r="BJ676" s="506" t="s">
        <v>294</v>
      </c>
      <c r="BK676" s="350"/>
      <c r="BL676" s="350"/>
      <c r="BM676" s="351"/>
      <c r="BN676" s="530" t="s">
        <v>294</v>
      </c>
      <c r="BO676" s="350"/>
      <c r="BP676" s="350"/>
      <c r="BQ676" s="350"/>
      <c r="BR676" s="350"/>
      <c r="BS676" s="350"/>
      <c r="BT676" s="350"/>
      <c r="BU676" s="350"/>
      <c r="BV676" s="351"/>
    </row>
    <row r="677" spans="1:74" ht="45" customHeight="1">
      <c r="A677" s="24">
        <f t="shared" si="2"/>
        <v>663</v>
      </c>
      <c r="B677" s="522" t="s">
        <v>294</v>
      </c>
      <c r="C677" s="351"/>
      <c r="D677" s="523" t="s">
        <v>298</v>
      </c>
      <c r="E677" s="351"/>
      <c r="F677" s="524" t="s">
        <v>325</v>
      </c>
      <c r="G677" s="351"/>
      <c r="H677" s="561" t="s">
        <v>325</v>
      </c>
      <c r="I677" s="351"/>
      <c r="J677" s="562"/>
      <c r="K677" s="351"/>
      <c r="L677" s="562"/>
      <c r="M677" s="351"/>
      <c r="N677" s="37"/>
      <c r="O677" s="38"/>
      <c r="P677" s="560"/>
      <c r="Q677" s="351"/>
      <c r="R677" s="527"/>
      <c r="S677" s="351"/>
      <c r="T677" s="528"/>
      <c r="U677" s="351"/>
      <c r="V677" s="541"/>
      <c r="W677" s="351"/>
      <c r="X677" s="542" t="s">
        <v>294</v>
      </c>
      <c r="Y677" s="350"/>
      <c r="Z677" s="350"/>
      <c r="AA677" s="351"/>
      <c r="AB677" s="543" t="s">
        <v>294</v>
      </c>
      <c r="AC677" s="350"/>
      <c r="AD677" s="350"/>
      <c r="AE677" s="351"/>
      <c r="AF677" s="544"/>
      <c r="AG677" s="351"/>
      <c r="AH677" s="544"/>
      <c r="AI677" s="351"/>
      <c r="AJ677" s="545"/>
      <c r="AK677" s="351"/>
      <c r="AL677" s="524" t="s">
        <v>325</v>
      </c>
      <c r="AM677" s="351"/>
      <c r="AN677" s="549" t="s">
        <v>325</v>
      </c>
      <c r="AO677" s="351"/>
      <c r="AP677" s="550"/>
      <c r="AQ677" s="351"/>
      <c r="AR677" s="551"/>
      <c r="AS677" s="351"/>
      <c r="AT677" s="552"/>
      <c r="AU677" s="351"/>
      <c r="AV677" s="549" t="s">
        <v>325</v>
      </c>
      <c r="AW677" s="351"/>
      <c r="AX677" s="553"/>
      <c r="AY677" s="350"/>
      <c r="AZ677" s="351"/>
      <c r="BA677" s="554"/>
      <c r="BB677" s="351"/>
      <c r="BC677" s="39"/>
      <c r="BD677" s="546" t="s">
        <v>325</v>
      </c>
      <c r="BE677" s="351"/>
      <c r="BF677" s="547"/>
      <c r="BG677" s="350"/>
      <c r="BH677" s="350"/>
      <c r="BI677" s="351"/>
      <c r="BJ677" s="548" t="s">
        <v>294</v>
      </c>
      <c r="BK677" s="350"/>
      <c r="BL677" s="350"/>
      <c r="BM677" s="351"/>
      <c r="BN677" s="530" t="s">
        <v>294</v>
      </c>
      <c r="BO677" s="350"/>
      <c r="BP677" s="350"/>
      <c r="BQ677" s="350"/>
      <c r="BR677" s="350"/>
      <c r="BS677" s="350"/>
      <c r="BT677" s="350"/>
      <c r="BU677" s="350"/>
      <c r="BV677" s="351"/>
    </row>
    <row r="678" spans="1:74" ht="45" customHeight="1">
      <c r="A678" s="24">
        <f t="shared" si="2"/>
        <v>664</v>
      </c>
      <c r="B678" s="558" t="s">
        <v>294</v>
      </c>
      <c r="C678" s="351"/>
      <c r="D678" s="559" t="s">
        <v>298</v>
      </c>
      <c r="E678" s="351"/>
      <c r="F678" s="524" t="s">
        <v>325</v>
      </c>
      <c r="G678" s="351"/>
      <c r="H678" s="525" t="s">
        <v>325</v>
      </c>
      <c r="I678" s="351"/>
      <c r="J678" s="563"/>
      <c r="K678" s="351"/>
      <c r="L678" s="563"/>
      <c r="M678" s="351"/>
      <c r="N678" s="34"/>
      <c r="O678" s="35"/>
      <c r="P678" s="526"/>
      <c r="Q678" s="351"/>
      <c r="R678" s="535"/>
      <c r="S678" s="351"/>
      <c r="T678" s="536"/>
      <c r="U678" s="351"/>
      <c r="V678" s="537"/>
      <c r="W678" s="351"/>
      <c r="X678" s="538" t="s">
        <v>294</v>
      </c>
      <c r="Y678" s="350"/>
      <c r="Z678" s="350"/>
      <c r="AA678" s="351"/>
      <c r="AB678" s="539" t="s">
        <v>294</v>
      </c>
      <c r="AC678" s="350"/>
      <c r="AD678" s="350"/>
      <c r="AE678" s="351"/>
      <c r="AF678" s="540"/>
      <c r="AG678" s="351"/>
      <c r="AH678" s="540"/>
      <c r="AI678" s="351"/>
      <c r="AJ678" s="545"/>
      <c r="AK678" s="351"/>
      <c r="AL678" s="555" t="s">
        <v>325</v>
      </c>
      <c r="AM678" s="351"/>
      <c r="AN678" s="531" t="s">
        <v>325</v>
      </c>
      <c r="AO678" s="351"/>
      <c r="AP678" s="532"/>
      <c r="AQ678" s="351"/>
      <c r="AR678" s="533"/>
      <c r="AS678" s="351"/>
      <c r="AT678" s="534"/>
      <c r="AU678" s="351"/>
      <c r="AV678" s="531" t="s">
        <v>325</v>
      </c>
      <c r="AW678" s="351"/>
      <c r="AX678" s="553"/>
      <c r="AY678" s="350"/>
      <c r="AZ678" s="351"/>
      <c r="BA678" s="545"/>
      <c r="BB678" s="351"/>
      <c r="BC678" s="36"/>
      <c r="BD678" s="556" t="s">
        <v>325</v>
      </c>
      <c r="BE678" s="351"/>
      <c r="BF678" s="529"/>
      <c r="BG678" s="350"/>
      <c r="BH678" s="350"/>
      <c r="BI678" s="351"/>
      <c r="BJ678" s="506" t="s">
        <v>294</v>
      </c>
      <c r="BK678" s="350"/>
      <c r="BL678" s="350"/>
      <c r="BM678" s="351"/>
      <c r="BN678" s="530" t="s">
        <v>294</v>
      </c>
      <c r="BO678" s="350"/>
      <c r="BP678" s="350"/>
      <c r="BQ678" s="350"/>
      <c r="BR678" s="350"/>
      <c r="BS678" s="350"/>
      <c r="BT678" s="350"/>
      <c r="BU678" s="350"/>
      <c r="BV678" s="351"/>
    </row>
    <row r="679" spans="1:74" ht="45" customHeight="1">
      <c r="A679" s="24">
        <f t="shared" si="2"/>
        <v>665</v>
      </c>
      <c r="B679" s="522" t="s">
        <v>294</v>
      </c>
      <c r="C679" s="351"/>
      <c r="D679" s="523" t="s">
        <v>298</v>
      </c>
      <c r="E679" s="351"/>
      <c r="F679" s="524" t="s">
        <v>325</v>
      </c>
      <c r="G679" s="351"/>
      <c r="H679" s="561" t="s">
        <v>325</v>
      </c>
      <c r="I679" s="351"/>
      <c r="J679" s="562"/>
      <c r="K679" s="351"/>
      <c r="L679" s="562"/>
      <c r="M679" s="351"/>
      <c r="N679" s="37"/>
      <c r="O679" s="38"/>
      <c r="P679" s="560"/>
      <c r="Q679" s="351"/>
      <c r="R679" s="527"/>
      <c r="S679" s="351"/>
      <c r="T679" s="528"/>
      <c r="U679" s="351"/>
      <c r="V679" s="541"/>
      <c r="W679" s="351"/>
      <c r="X679" s="542" t="s">
        <v>294</v>
      </c>
      <c r="Y679" s="350"/>
      <c r="Z679" s="350"/>
      <c r="AA679" s="351"/>
      <c r="AB679" s="543" t="s">
        <v>294</v>
      </c>
      <c r="AC679" s="350"/>
      <c r="AD679" s="350"/>
      <c r="AE679" s="351"/>
      <c r="AF679" s="544"/>
      <c r="AG679" s="351"/>
      <c r="AH679" s="544"/>
      <c r="AI679" s="351"/>
      <c r="AJ679" s="545"/>
      <c r="AK679" s="351"/>
      <c r="AL679" s="524" t="s">
        <v>325</v>
      </c>
      <c r="AM679" s="351"/>
      <c r="AN679" s="549" t="s">
        <v>325</v>
      </c>
      <c r="AO679" s="351"/>
      <c r="AP679" s="550"/>
      <c r="AQ679" s="351"/>
      <c r="AR679" s="551"/>
      <c r="AS679" s="351"/>
      <c r="AT679" s="552"/>
      <c r="AU679" s="351"/>
      <c r="AV679" s="549" t="s">
        <v>325</v>
      </c>
      <c r="AW679" s="351"/>
      <c r="AX679" s="553"/>
      <c r="AY679" s="350"/>
      <c r="AZ679" s="351"/>
      <c r="BA679" s="554"/>
      <c r="BB679" s="351"/>
      <c r="BC679" s="39"/>
      <c r="BD679" s="546" t="s">
        <v>325</v>
      </c>
      <c r="BE679" s="351"/>
      <c r="BF679" s="547"/>
      <c r="BG679" s="350"/>
      <c r="BH679" s="350"/>
      <c r="BI679" s="351"/>
      <c r="BJ679" s="548" t="s">
        <v>294</v>
      </c>
      <c r="BK679" s="350"/>
      <c r="BL679" s="350"/>
      <c r="BM679" s="351"/>
      <c r="BN679" s="530" t="s">
        <v>294</v>
      </c>
      <c r="BO679" s="350"/>
      <c r="BP679" s="350"/>
      <c r="BQ679" s="350"/>
      <c r="BR679" s="350"/>
      <c r="BS679" s="350"/>
      <c r="BT679" s="350"/>
      <c r="BU679" s="350"/>
      <c r="BV679" s="351"/>
    </row>
    <row r="680" spans="1:74" ht="45" customHeight="1">
      <c r="A680" s="24">
        <f t="shared" si="2"/>
        <v>666</v>
      </c>
      <c r="B680" s="558" t="s">
        <v>294</v>
      </c>
      <c r="C680" s="351"/>
      <c r="D680" s="559" t="s">
        <v>298</v>
      </c>
      <c r="E680" s="351"/>
      <c r="F680" s="524" t="s">
        <v>325</v>
      </c>
      <c r="G680" s="351"/>
      <c r="H680" s="525" t="s">
        <v>325</v>
      </c>
      <c r="I680" s="351"/>
      <c r="J680" s="563"/>
      <c r="K680" s="351"/>
      <c r="L680" s="563"/>
      <c r="M680" s="351"/>
      <c r="N680" s="34"/>
      <c r="O680" s="35"/>
      <c r="P680" s="526"/>
      <c r="Q680" s="351"/>
      <c r="R680" s="535"/>
      <c r="S680" s="351"/>
      <c r="T680" s="536"/>
      <c r="U680" s="351"/>
      <c r="V680" s="537"/>
      <c r="W680" s="351"/>
      <c r="X680" s="538" t="s">
        <v>294</v>
      </c>
      <c r="Y680" s="350"/>
      <c r="Z680" s="350"/>
      <c r="AA680" s="351"/>
      <c r="AB680" s="539" t="s">
        <v>294</v>
      </c>
      <c r="AC680" s="350"/>
      <c r="AD680" s="350"/>
      <c r="AE680" s="351"/>
      <c r="AF680" s="540"/>
      <c r="AG680" s="351"/>
      <c r="AH680" s="540"/>
      <c r="AI680" s="351"/>
      <c r="AJ680" s="545"/>
      <c r="AK680" s="351"/>
      <c r="AL680" s="555" t="s">
        <v>325</v>
      </c>
      <c r="AM680" s="351"/>
      <c r="AN680" s="531" t="s">
        <v>325</v>
      </c>
      <c r="AO680" s="351"/>
      <c r="AP680" s="532"/>
      <c r="AQ680" s="351"/>
      <c r="AR680" s="533"/>
      <c r="AS680" s="351"/>
      <c r="AT680" s="534"/>
      <c r="AU680" s="351"/>
      <c r="AV680" s="531" t="s">
        <v>325</v>
      </c>
      <c r="AW680" s="351"/>
      <c r="AX680" s="553"/>
      <c r="AY680" s="350"/>
      <c r="AZ680" s="351"/>
      <c r="BA680" s="545"/>
      <c r="BB680" s="351"/>
      <c r="BC680" s="36"/>
      <c r="BD680" s="556" t="s">
        <v>325</v>
      </c>
      <c r="BE680" s="351"/>
      <c r="BF680" s="557"/>
      <c r="BG680" s="350"/>
      <c r="BH680" s="350"/>
      <c r="BI680" s="351"/>
      <c r="BJ680" s="506" t="s">
        <v>294</v>
      </c>
      <c r="BK680" s="350"/>
      <c r="BL680" s="350"/>
      <c r="BM680" s="351"/>
      <c r="BN680" s="530" t="s">
        <v>294</v>
      </c>
      <c r="BO680" s="350"/>
      <c r="BP680" s="350"/>
      <c r="BQ680" s="350"/>
      <c r="BR680" s="350"/>
      <c r="BS680" s="350"/>
      <c r="BT680" s="350"/>
      <c r="BU680" s="350"/>
      <c r="BV680" s="351"/>
    </row>
    <row r="681" spans="1:74" ht="45" customHeight="1">
      <c r="A681" s="24">
        <f t="shared" si="2"/>
        <v>667</v>
      </c>
      <c r="B681" s="522" t="s">
        <v>294</v>
      </c>
      <c r="C681" s="351"/>
      <c r="D681" s="523" t="s">
        <v>298</v>
      </c>
      <c r="E681" s="351"/>
      <c r="F681" s="524" t="s">
        <v>325</v>
      </c>
      <c r="G681" s="351"/>
      <c r="H681" s="561" t="s">
        <v>325</v>
      </c>
      <c r="I681" s="351"/>
      <c r="J681" s="562"/>
      <c r="K681" s="351"/>
      <c r="L681" s="562"/>
      <c r="M681" s="351"/>
      <c r="N681" s="37"/>
      <c r="O681" s="38"/>
      <c r="P681" s="560"/>
      <c r="Q681" s="351"/>
      <c r="R681" s="527"/>
      <c r="S681" s="351"/>
      <c r="T681" s="528"/>
      <c r="U681" s="351"/>
      <c r="V681" s="541"/>
      <c r="W681" s="351"/>
      <c r="X681" s="542" t="s">
        <v>294</v>
      </c>
      <c r="Y681" s="350"/>
      <c r="Z681" s="350"/>
      <c r="AA681" s="351"/>
      <c r="AB681" s="543" t="s">
        <v>294</v>
      </c>
      <c r="AC681" s="350"/>
      <c r="AD681" s="350"/>
      <c r="AE681" s="351"/>
      <c r="AF681" s="544"/>
      <c r="AG681" s="351"/>
      <c r="AH681" s="544"/>
      <c r="AI681" s="351"/>
      <c r="AJ681" s="545"/>
      <c r="AK681" s="351"/>
      <c r="AL681" s="524" t="s">
        <v>325</v>
      </c>
      <c r="AM681" s="351"/>
      <c r="AN681" s="549" t="s">
        <v>325</v>
      </c>
      <c r="AO681" s="351"/>
      <c r="AP681" s="550"/>
      <c r="AQ681" s="351"/>
      <c r="AR681" s="551"/>
      <c r="AS681" s="351"/>
      <c r="AT681" s="534"/>
      <c r="AU681" s="351"/>
      <c r="AV681" s="549" t="s">
        <v>325</v>
      </c>
      <c r="AW681" s="351"/>
      <c r="AX681" s="553"/>
      <c r="AY681" s="350"/>
      <c r="AZ681" s="351"/>
      <c r="BA681" s="554"/>
      <c r="BB681" s="351"/>
      <c r="BC681" s="39"/>
      <c r="BD681" s="546" t="s">
        <v>325</v>
      </c>
      <c r="BE681" s="351"/>
      <c r="BF681" s="547"/>
      <c r="BG681" s="350"/>
      <c r="BH681" s="350"/>
      <c r="BI681" s="351"/>
      <c r="BJ681" s="548" t="s">
        <v>294</v>
      </c>
      <c r="BK681" s="350"/>
      <c r="BL681" s="350"/>
      <c r="BM681" s="351"/>
      <c r="BN681" s="530" t="s">
        <v>294</v>
      </c>
      <c r="BO681" s="350"/>
      <c r="BP681" s="350"/>
      <c r="BQ681" s="350"/>
      <c r="BR681" s="350"/>
      <c r="BS681" s="350"/>
      <c r="BT681" s="350"/>
      <c r="BU681" s="350"/>
      <c r="BV681" s="351"/>
    </row>
    <row r="682" spans="1:74" ht="45" customHeight="1">
      <c r="A682" s="24">
        <f t="shared" si="2"/>
        <v>668</v>
      </c>
      <c r="B682" s="558" t="s">
        <v>294</v>
      </c>
      <c r="C682" s="351"/>
      <c r="D682" s="559" t="s">
        <v>298</v>
      </c>
      <c r="E682" s="351"/>
      <c r="F682" s="524" t="s">
        <v>325</v>
      </c>
      <c r="G682" s="351"/>
      <c r="H682" s="525" t="s">
        <v>325</v>
      </c>
      <c r="I682" s="351"/>
      <c r="J682" s="563"/>
      <c r="K682" s="351"/>
      <c r="L682" s="563"/>
      <c r="M682" s="351"/>
      <c r="N682" s="34"/>
      <c r="O682" s="35"/>
      <c r="P682" s="526"/>
      <c r="Q682" s="351"/>
      <c r="R682" s="535"/>
      <c r="S682" s="351"/>
      <c r="T682" s="536"/>
      <c r="U682" s="351"/>
      <c r="V682" s="537"/>
      <c r="W682" s="351"/>
      <c r="X682" s="538" t="s">
        <v>294</v>
      </c>
      <c r="Y682" s="350"/>
      <c r="Z682" s="350"/>
      <c r="AA682" s="351"/>
      <c r="AB682" s="539" t="s">
        <v>294</v>
      </c>
      <c r="AC682" s="350"/>
      <c r="AD682" s="350"/>
      <c r="AE682" s="351"/>
      <c r="AF682" s="540"/>
      <c r="AG682" s="351"/>
      <c r="AH682" s="540"/>
      <c r="AI682" s="351"/>
      <c r="AJ682" s="545"/>
      <c r="AK682" s="351"/>
      <c r="AL682" s="555" t="s">
        <v>325</v>
      </c>
      <c r="AM682" s="351"/>
      <c r="AN682" s="531" t="s">
        <v>325</v>
      </c>
      <c r="AO682" s="351"/>
      <c r="AP682" s="532"/>
      <c r="AQ682" s="351"/>
      <c r="AR682" s="533"/>
      <c r="AS682" s="351"/>
      <c r="AT682" s="534"/>
      <c r="AU682" s="351"/>
      <c r="AV682" s="531" t="s">
        <v>325</v>
      </c>
      <c r="AW682" s="351"/>
      <c r="AX682" s="553"/>
      <c r="AY682" s="350"/>
      <c r="AZ682" s="351"/>
      <c r="BA682" s="545"/>
      <c r="BB682" s="351"/>
      <c r="BC682" s="36"/>
      <c r="BD682" s="556" t="s">
        <v>325</v>
      </c>
      <c r="BE682" s="351"/>
      <c r="BF682" s="557"/>
      <c r="BG682" s="350"/>
      <c r="BH682" s="350"/>
      <c r="BI682" s="351"/>
      <c r="BJ682" s="506" t="s">
        <v>294</v>
      </c>
      <c r="BK682" s="350"/>
      <c r="BL682" s="350"/>
      <c r="BM682" s="351"/>
      <c r="BN682" s="530" t="s">
        <v>294</v>
      </c>
      <c r="BO682" s="350"/>
      <c r="BP682" s="350"/>
      <c r="BQ682" s="350"/>
      <c r="BR682" s="350"/>
      <c r="BS682" s="350"/>
      <c r="BT682" s="350"/>
      <c r="BU682" s="350"/>
      <c r="BV682" s="351"/>
    </row>
    <row r="683" spans="1:74" ht="45" customHeight="1">
      <c r="A683" s="24">
        <f t="shared" si="2"/>
        <v>669</v>
      </c>
      <c r="B683" s="522" t="s">
        <v>294</v>
      </c>
      <c r="C683" s="351"/>
      <c r="D683" s="523" t="s">
        <v>298</v>
      </c>
      <c r="E683" s="351"/>
      <c r="F683" s="524" t="s">
        <v>325</v>
      </c>
      <c r="G683" s="351"/>
      <c r="H683" s="561" t="s">
        <v>325</v>
      </c>
      <c r="I683" s="351"/>
      <c r="J683" s="562"/>
      <c r="K683" s="351"/>
      <c r="L683" s="562"/>
      <c r="M683" s="351"/>
      <c r="N683" s="34"/>
      <c r="O683" s="35"/>
      <c r="P683" s="526"/>
      <c r="Q683" s="351"/>
      <c r="R683" s="527"/>
      <c r="S683" s="351"/>
      <c r="T683" s="528"/>
      <c r="U683" s="351"/>
      <c r="V683" s="541"/>
      <c r="W683" s="351"/>
      <c r="X683" s="542" t="s">
        <v>294</v>
      </c>
      <c r="Y683" s="350"/>
      <c r="Z683" s="350"/>
      <c r="AA683" s="351"/>
      <c r="AB683" s="543" t="s">
        <v>294</v>
      </c>
      <c r="AC683" s="350"/>
      <c r="AD683" s="350"/>
      <c r="AE683" s="351"/>
      <c r="AF683" s="544"/>
      <c r="AG683" s="351"/>
      <c r="AH683" s="544"/>
      <c r="AI683" s="351"/>
      <c r="AJ683" s="545"/>
      <c r="AK683" s="351"/>
      <c r="AL683" s="524" t="s">
        <v>325</v>
      </c>
      <c r="AM683" s="351"/>
      <c r="AN683" s="549" t="s">
        <v>325</v>
      </c>
      <c r="AO683" s="351"/>
      <c r="AP683" s="550"/>
      <c r="AQ683" s="351"/>
      <c r="AR683" s="551"/>
      <c r="AS683" s="351"/>
      <c r="AT683" s="534"/>
      <c r="AU683" s="351"/>
      <c r="AV683" s="549" t="s">
        <v>325</v>
      </c>
      <c r="AW683" s="351"/>
      <c r="AX683" s="553"/>
      <c r="AY683" s="350"/>
      <c r="AZ683" s="351"/>
      <c r="BA683" s="554"/>
      <c r="BB683" s="351"/>
      <c r="BC683" s="39"/>
      <c r="BD683" s="546" t="s">
        <v>325</v>
      </c>
      <c r="BE683" s="351"/>
      <c r="BF683" s="547"/>
      <c r="BG683" s="350"/>
      <c r="BH683" s="350"/>
      <c r="BI683" s="351"/>
      <c r="BJ683" s="548" t="s">
        <v>294</v>
      </c>
      <c r="BK683" s="350"/>
      <c r="BL683" s="350"/>
      <c r="BM683" s="351"/>
      <c r="BN683" s="530" t="s">
        <v>294</v>
      </c>
      <c r="BO683" s="350"/>
      <c r="BP683" s="350"/>
      <c r="BQ683" s="350"/>
      <c r="BR683" s="350"/>
      <c r="BS683" s="350"/>
      <c r="BT683" s="350"/>
      <c r="BU683" s="350"/>
      <c r="BV683" s="351"/>
    </row>
    <row r="684" spans="1:74" ht="45" customHeight="1">
      <c r="A684" s="24">
        <f t="shared" si="2"/>
        <v>670</v>
      </c>
      <c r="B684" s="558" t="s">
        <v>294</v>
      </c>
      <c r="C684" s="351"/>
      <c r="D684" s="559" t="s">
        <v>298</v>
      </c>
      <c r="E684" s="351"/>
      <c r="F684" s="524" t="s">
        <v>325</v>
      </c>
      <c r="G684" s="351"/>
      <c r="H684" s="525" t="s">
        <v>325</v>
      </c>
      <c r="I684" s="351"/>
      <c r="J684" s="563"/>
      <c r="K684" s="351"/>
      <c r="L684" s="563"/>
      <c r="M684" s="351"/>
      <c r="N684" s="37"/>
      <c r="O684" s="38"/>
      <c r="P684" s="560"/>
      <c r="Q684" s="351"/>
      <c r="R684" s="535"/>
      <c r="S684" s="351"/>
      <c r="T684" s="536"/>
      <c r="U684" s="351"/>
      <c r="V684" s="537"/>
      <c r="W684" s="351"/>
      <c r="X684" s="538" t="s">
        <v>294</v>
      </c>
      <c r="Y684" s="350"/>
      <c r="Z684" s="350"/>
      <c r="AA684" s="351"/>
      <c r="AB684" s="539" t="s">
        <v>294</v>
      </c>
      <c r="AC684" s="350"/>
      <c r="AD684" s="350"/>
      <c r="AE684" s="351"/>
      <c r="AF684" s="540"/>
      <c r="AG684" s="351"/>
      <c r="AH684" s="540"/>
      <c r="AI684" s="351"/>
      <c r="AJ684" s="545"/>
      <c r="AK684" s="351"/>
      <c r="AL684" s="555" t="s">
        <v>325</v>
      </c>
      <c r="AM684" s="351"/>
      <c r="AN684" s="531" t="s">
        <v>325</v>
      </c>
      <c r="AO684" s="351"/>
      <c r="AP684" s="532"/>
      <c r="AQ684" s="351"/>
      <c r="AR684" s="533"/>
      <c r="AS684" s="351"/>
      <c r="AT684" s="534"/>
      <c r="AU684" s="351"/>
      <c r="AV684" s="531" t="s">
        <v>325</v>
      </c>
      <c r="AW684" s="351"/>
      <c r="AX684" s="553"/>
      <c r="AY684" s="350"/>
      <c r="AZ684" s="351"/>
      <c r="BA684" s="545"/>
      <c r="BB684" s="351"/>
      <c r="BC684" s="36"/>
      <c r="BD684" s="556" t="s">
        <v>325</v>
      </c>
      <c r="BE684" s="351"/>
      <c r="BF684" s="557"/>
      <c r="BG684" s="350"/>
      <c r="BH684" s="350"/>
      <c r="BI684" s="351"/>
      <c r="BJ684" s="506" t="s">
        <v>294</v>
      </c>
      <c r="BK684" s="350"/>
      <c r="BL684" s="350"/>
      <c r="BM684" s="351"/>
      <c r="BN684" s="530" t="s">
        <v>294</v>
      </c>
      <c r="BO684" s="350"/>
      <c r="BP684" s="350"/>
      <c r="BQ684" s="350"/>
      <c r="BR684" s="350"/>
      <c r="BS684" s="350"/>
      <c r="BT684" s="350"/>
      <c r="BU684" s="350"/>
      <c r="BV684" s="351"/>
    </row>
    <row r="685" spans="1:74" ht="45" customHeight="1">
      <c r="A685" s="24">
        <f t="shared" si="2"/>
        <v>671</v>
      </c>
      <c r="B685" s="522" t="s">
        <v>294</v>
      </c>
      <c r="C685" s="351"/>
      <c r="D685" s="523" t="s">
        <v>298</v>
      </c>
      <c r="E685" s="351"/>
      <c r="F685" s="524" t="s">
        <v>325</v>
      </c>
      <c r="G685" s="351"/>
      <c r="H685" s="561" t="s">
        <v>325</v>
      </c>
      <c r="I685" s="351"/>
      <c r="J685" s="562"/>
      <c r="K685" s="351"/>
      <c r="L685" s="562"/>
      <c r="M685" s="351"/>
      <c r="N685" s="34"/>
      <c r="O685" s="38"/>
      <c r="P685" s="526"/>
      <c r="Q685" s="351"/>
      <c r="R685" s="527"/>
      <c r="S685" s="351"/>
      <c r="T685" s="528"/>
      <c r="U685" s="351"/>
      <c r="V685" s="541"/>
      <c r="W685" s="351"/>
      <c r="X685" s="542" t="s">
        <v>294</v>
      </c>
      <c r="Y685" s="350"/>
      <c r="Z685" s="350"/>
      <c r="AA685" s="351"/>
      <c r="AB685" s="543" t="s">
        <v>294</v>
      </c>
      <c r="AC685" s="350"/>
      <c r="AD685" s="350"/>
      <c r="AE685" s="351"/>
      <c r="AF685" s="544"/>
      <c r="AG685" s="351"/>
      <c r="AH685" s="544"/>
      <c r="AI685" s="351"/>
      <c r="AJ685" s="545"/>
      <c r="AK685" s="351"/>
      <c r="AL685" s="524" t="s">
        <v>325</v>
      </c>
      <c r="AM685" s="351"/>
      <c r="AN685" s="549" t="s">
        <v>325</v>
      </c>
      <c r="AO685" s="351"/>
      <c r="AP685" s="550"/>
      <c r="AQ685" s="351"/>
      <c r="AR685" s="551"/>
      <c r="AS685" s="351"/>
      <c r="AT685" s="552"/>
      <c r="AU685" s="351"/>
      <c r="AV685" s="549" t="s">
        <v>325</v>
      </c>
      <c r="AW685" s="351"/>
      <c r="AX685" s="553"/>
      <c r="AY685" s="350"/>
      <c r="AZ685" s="351"/>
      <c r="BA685" s="554"/>
      <c r="BB685" s="351"/>
      <c r="BC685" s="39"/>
      <c r="BD685" s="546" t="s">
        <v>325</v>
      </c>
      <c r="BE685" s="351"/>
      <c r="BF685" s="547"/>
      <c r="BG685" s="350"/>
      <c r="BH685" s="350"/>
      <c r="BI685" s="351"/>
      <c r="BJ685" s="548" t="s">
        <v>294</v>
      </c>
      <c r="BK685" s="350"/>
      <c r="BL685" s="350"/>
      <c r="BM685" s="351"/>
      <c r="BN685" s="530" t="s">
        <v>294</v>
      </c>
      <c r="BO685" s="350"/>
      <c r="BP685" s="350"/>
      <c r="BQ685" s="350"/>
      <c r="BR685" s="350"/>
      <c r="BS685" s="350"/>
      <c r="BT685" s="350"/>
      <c r="BU685" s="350"/>
      <c r="BV685" s="351"/>
    </row>
    <row r="686" spans="1:74" ht="45" customHeight="1">
      <c r="A686" s="24">
        <f t="shared" si="2"/>
        <v>672</v>
      </c>
      <c r="B686" s="558" t="s">
        <v>294</v>
      </c>
      <c r="C686" s="351"/>
      <c r="D686" s="559" t="s">
        <v>298</v>
      </c>
      <c r="E686" s="351"/>
      <c r="F686" s="524" t="s">
        <v>325</v>
      </c>
      <c r="G686" s="351"/>
      <c r="H686" s="525" t="s">
        <v>325</v>
      </c>
      <c r="I686" s="351"/>
      <c r="J686" s="563"/>
      <c r="K686" s="351"/>
      <c r="L686" s="563"/>
      <c r="M686" s="351"/>
      <c r="N686" s="37"/>
      <c r="O686" s="35"/>
      <c r="P686" s="560"/>
      <c r="Q686" s="351"/>
      <c r="R686" s="535"/>
      <c r="S686" s="351"/>
      <c r="T686" s="536"/>
      <c r="U686" s="351"/>
      <c r="V686" s="537"/>
      <c r="W686" s="351"/>
      <c r="X686" s="538" t="s">
        <v>294</v>
      </c>
      <c r="Y686" s="350"/>
      <c r="Z686" s="350"/>
      <c r="AA686" s="351"/>
      <c r="AB686" s="539" t="s">
        <v>294</v>
      </c>
      <c r="AC686" s="350"/>
      <c r="AD686" s="350"/>
      <c r="AE686" s="351"/>
      <c r="AF686" s="540"/>
      <c r="AG686" s="351"/>
      <c r="AH686" s="540"/>
      <c r="AI686" s="351"/>
      <c r="AJ686" s="545"/>
      <c r="AK686" s="351"/>
      <c r="AL686" s="555" t="s">
        <v>325</v>
      </c>
      <c r="AM686" s="351"/>
      <c r="AN686" s="531" t="s">
        <v>325</v>
      </c>
      <c r="AO686" s="351"/>
      <c r="AP686" s="532"/>
      <c r="AQ686" s="351"/>
      <c r="AR686" s="533"/>
      <c r="AS686" s="351"/>
      <c r="AT686" s="534"/>
      <c r="AU686" s="351"/>
      <c r="AV686" s="531" t="s">
        <v>325</v>
      </c>
      <c r="AW686" s="351"/>
      <c r="AX686" s="553"/>
      <c r="AY686" s="350"/>
      <c r="AZ686" s="351"/>
      <c r="BA686" s="545"/>
      <c r="BB686" s="351"/>
      <c r="BC686" s="36"/>
      <c r="BD686" s="556" t="s">
        <v>325</v>
      </c>
      <c r="BE686" s="351"/>
      <c r="BF686" s="529"/>
      <c r="BG686" s="350"/>
      <c r="BH686" s="350"/>
      <c r="BI686" s="351"/>
      <c r="BJ686" s="506" t="s">
        <v>294</v>
      </c>
      <c r="BK686" s="350"/>
      <c r="BL686" s="350"/>
      <c r="BM686" s="351"/>
      <c r="BN686" s="530" t="s">
        <v>294</v>
      </c>
      <c r="BO686" s="350"/>
      <c r="BP686" s="350"/>
      <c r="BQ686" s="350"/>
      <c r="BR686" s="350"/>
      <c r="BS686" s="350"/>
      <c r="BT686" s="350"/>
      <c r="BU686" s="350"/>
      <c r="BV686" s="351"/>
    </row>
    <row r="687" spans="1:74" ht="45" customHeight="1">
      <c r="A687" s="24">
        <f t="shared" si="2"/>
        <v>673</v>
      </c>
      <c r="B687" s="522" t="s">
        <v>294</v>
      </c>
      <c r="C687" s="351"/>
      <c r="D687" s="523" t="s">
        <v>298</v>
      </c>
      <c r="E687" s="351"/>
      <c r="F687" s="524" t="s">
        <v>325</v>
      </c>
      <c r="G687" s="351"/>
      <c r="H687" s="561" t="s">
        <v>325</v>
      </c>
      <c r="I687" s="351"/>
      <c r="J687" s="562"/>
      <c r="K687" s="351"/>
      <c r="L687" s="562"/>
      <c r="M687" s="351"/>
      <c r="N687" s="34"/>
      <c r="O687" s="38"/>
      <c r="P687" s="526"/>
      <c r="Q687" s="351"/>
      <c r="R687" s="527"/>
      <c r="S687" s="351"/>
      <c r="T687" s="528"/>
      <c r="U687" s="351"/>
      <c r="V687" s="541"/>
      <c r="W687" s="351"/>
      <c r="X687" s="542" t="s">
        <v>294</v>
      </c>
      <c r="Y687" s="350"/>
      <c r="Z687" s="350"/>
      <c r="AA687" s="351"/>
      <c r="AB687" s="543" t="s">
        <v>294</v>
      </c>
      <c r="AC687" s="350"/>
      <c r="AD687" s="350"/>
      <c r="AE687" s="351"/>
      <c r="AF687" s="544"/>
      <c r="AG687" s="351"/>
      <c r="AH687" s="544"/>
      <c r="AI687" s="351"/>
      <c r="AJ687" s="545"/>
      <c r="AK687" s="351"/>
      <c r="AL687" s="524" t="s">
        <v>325</v>
      </c>
      <c r="AM687" s="351"/>
      <c r="AN687" s="549" t="s">
        <v>325</v>
      </c>
      <c r="AO687" s="351"/>
      <c r="AP687" s="550"/>
      <c r="AQ687" s="351"/>
      <c r="AR687" s="551"/>
      <c r="AS687" s="351"/>
      <c r="AT687" s="552"/>
      <c r="AU687" s="351"/>
      <c r="AV687" s="549" t="s">
        <v>325</v>
      </c>
      <c r="AW687" s="351"/>
      <c r="AX687" s="553"/>
      <c r="AY687" s="350"/>
      <c r="AZ687" s="351"/>
      <c r="BA687" s="554"/>
      <c r="BB687" s="351"/>
      <c r="BC687" s="39"/>
      <c r="BD687" s="546" t="s">
        <v>325</v>
      </c>
      <c r="BE687" s="351"/>
      <c r="BF687" s="547"/>
      <c r="BG687" s="350"/>
      <c r="BH687" s="350"/>
      <c r="BI687" s="351"/>
      <c r="BJ687" s="548" t="s">
        <v>294</v>
      </c>
      <c r="BK687" s="350"/>
      <c r="BL687" s="350"/>
      <c r="BM687" s="351"/>
      <c r="BN687" s="530" t="s">
        <v>294</v>
      </c>
      <c r="BO687" s="350"/>
      <c r="BP687" s="350"/>
      <c r="BQ687" s="350"/>
      <c r="BR687" s="350"/>
      <c r="BS687" s="350"/>
      <c r="BT687" s="350"/>
      <c r="BU687" s="350"/>
      <c r="BV687" s="351"/>
    </row>
    <row r="688" spans="1:74" ht="45" customHeight="1">
      <c r="A688" s="24">
        <f t="shared" si="2"/>
        <v>674</v>
      </c>
      <c r="B688" s="558" t="s">
        <v>294</v>
      </c>
      <c r="C688" s="351"/>
      <c r="D688" s="559" t="s">
        <v>298</v>
      </c>
      <c r="E688" s="351"/>
      <c r="F688" s="524" t="s">
        <v>325</v>
      </c>
      <c r="G688" s="351"/>
      <c r="H688" s="525" t="s">
        <v>325</v>
      </c>
      <c r="I688" s="351"/>
      <c r="J688" s="563"/>
      <c r="K688" s="351"/>
      <c r="L688" s="563"/>
      <c r="M688" s="351"/>
      <c r="N688" s="37"/>
      <c r="O688" s="35"/>
      <c r="P688" s="560"/>
      <c r="Q688" s="351"/>
      <c r="R688" s="535"/>
      <c r="S688" s="351"/>
      <c r="T688" s="536"/>
      <c r="U688" s="351"/>
      <c r="V688" s="537"/>
      <c r="W688" s="351"/>
      <c r="X688" s="538" t="s">
        <v>294</v>
      </c>
      <c r="Y688" s="350"/>
      <c r="Z688" s="350"/>
      <c r="AA688" s="351"/>
      <c r="AB688" s="539" t="s">
        <v>294</v>
      </c>
      <c r="AC688" s="350"/>
      <c r="AD688" s="350"/>
      <c r="AE688" s="351"/>
      <c r="AF688" s="540"/>
      <c r="AG688" s="351"/>
      <c r="AH688" s="540"/>
      <c r="AI688" s="351"/>
      <c r="AJ688" s="545"/>
      <c r="AK688" s="351"/>
      <c r="AL688" s="555" t="s">
        <v>325</v>
      </c>
      <c r="AM688" s="351"/>
      <c r="AN688" s="531" t="s">
        <v>325</v>
      </c>
      <c r="AO688" s="351"/>
      <c r="AP688" s="532"/>
      <c r="AQ688" s="351"/>
      <c r="AR688" s="533"/>
      <c r="AS688" s="351"/>
      <c r="AT688" s="534"/>
      <c r="AU688" s="351"/>
      <c r="AV688" s="531" t="s">
        <v>325</v>
      </c>
      <c r="AW688" s="351"/>
      <c r="AX688" s="553"/>
      <c r="AY688" s="350"/>
      <c r="AZ688" s="351"/>
      <c r="BA688" s="545"/>
      <c r="BB688" s="351"/>
      <c r="BC688" s="36"/>
      <c r="BD688" s="556" t="s">
        <v>325</v>
      </c>
      <c r="BE688" s="351"/>
      <c r="BF688" s="557"/>
      <c r="BG688" s="350"/>
      <c r="BH688" s="350"/>
      <c r="BI688" s="351"/>
      <c r="BJ688" s="506" t="s">
        <v>294</v>
      </c>
      <c r="BK688" s="350"/>
      <c r="BL688" s="350"/>
      <c r="BM688" s="351"/>
      <c r="BN688" s="530" t="s">
        <v>294</v>
      </c>
      <c r="BO688" s="350"/>
      <c r="BP688" s="350"/>
      <c r="BQ688" s="350"/>
      <c r="BR688" s="350"/>
      <c r="BS688" s="350"/>
      <c r="BT688" s="350"/>
      <c r="BU688" s="350"/>
      <c r="BV688" s="351"/>
    </row>
    <row r="689" spans="1:74" ht="45" customHeight="1">
      <c r="A689" s="24">
        <f t="shared" si="2"/>
        <v>675</v>
      </c>
      <c r="B689" s="522" t="s">
        <v>294</v>
      </c>
      <c r="C689" s="351"/>
      <c r="D689" s="523" t="s">
        <v>298</v>
      </c>
      <c r="E689" s="351"/>
      <c r="F689" s="524" t="s">
        <v>325</v>
      </c>
      <c r="G689" s="351"/>
      <c r="H689" s="561" t="s">
        <v>325</v>
      </c>
      <c r="I689" s="351"/>
      <c r="J689" s="562"/>
      <c r="K689" s="351"/>
      <c r="L689" s="562"/>
      <c r="M689" s="351"/>
      <c r="N689" s="34"/>
      <c r="O689" s="38"/>
      <c r="P689" s="526"/>
      <c r="Q689" s="351"/>
      <c r="R689" s="527"/>
      <c r="S689" s="351"/>
      <c r="T689" s="528"/>
      <c r="U689" s="351"/>
      <c r="V689" s="541"/>
      <c r="W689" s="351"/>
      <c r="X689" s="542" t="s">
        <v>294</v>
      </c>
      <c r="Y689" s="350"/>
      <c r="Z689" s="350"/>
      <c r="AA689" s="351"/>
      <c r="AB689" s="543" t="s">
        <v>294</v>
      </c>
      <c r="AC689" s="350"/>
      <c r="AD689" s="350"/>
      <c r="AE689" s="351"/>
      <c r="AF689" s="544"/>
      <c r="AG689" s="351"/>
      <c r="AH689" s="544"/>
      <c r="AI689" s="351"/>
      <c r="AJ689" s="545"/>
      <c r="AK689" s="351"/>
      <c r="AL689" s="524" t="s">
        <v>325</v>
      </c>
      <c r="AM689" s="351"/>
      <c r="AN689" s="549" t="s">
        <v>325</v>
      </c>
      <c r="AO689" s="351"/>
      <c r="AP689" s="550"/>
      <c r="AQ689" s="351"/>
      <c r="AR689" s="551"/>
      <c r="AS689" s="351"/>
      <c r="AT689" s="552"/>
      <c r="AU689" s="351"/>
      <c r="AV689" s="549" t="s">
        <v>325</v>
      </c>
      <c r="AW689" s="351"/>
      <c r="AX689" s="553"/>
      <c r="AY689" s="350"/>
      <c r="AZ689" s="351"/>
      <c r="BA689" s="554"/>
      <c r="BB689" s="351"/>
      <c r="BC689" s="39"/>
      <c r="BD689" s="546" t="s">
        <v>325</v>
      </c>
      <c r="BE689" s="351"/>
      <c r="BF689" s="547"/>
      <c r="BG689" s="350"/>
      <c r="BH689" s="350"/>
      <c r="BI689" s="351"/>
      <c r="BJ689" s="548" t="s">
        <v>294</v>
      </c>
      <c r="BK689" s="350"/>
      <c r="BL689" s="350"/>
      <c r="BM689" s="351"/>
      <c r="BN689" s="530" t="s">
        <v>294</v>
      </c>
      <c r="BO689" s="350"/>
      <c r="BP689" s="350"/>
      <c r="BQ689" s="350"/>
      <c r="BR689" s="350"/>
      <c r="BS689" s="350"/>
      <c r="BT689" s="350"/>
      <c r="BU689" s="350"/>
      <c r="BV689" s="351"/>
    </row>
    <row r="690" spans="1:74" ht="45" customHeight="1">
      <c r="A690" s="24">
        <f t="shared" si="2"/>
        <v>676</v>
      </c>
      <c r="B690" s="558" t="s">
        <v>294</v>
      </c>
      <c r="C690" s="351"/>
      <c r="D690" s="559" t="s">
        <v>298</v>
      </c>
      <c r="E690" s="351"/>
      <c r="F690" s="524" t="s">
        <v>325</v>
      </c>
      <c r="G690" s="351"/>
      <c r="H690" s="525" t="s">
        <v>325</v>
      </c>
      <c r="I690" s="351"/>
      <c r="J690" s="563"/>
      <c r="K690" s="351"/>
      <c r="L690" s="563"/>
      <c r="M690" s="351"/>
      <c r="N690" s="37"/>
      <c r="O690" s="35"/>
      <c r="P690" s="560"/>
      <c r="Q690" s="351"/>
      <c r="R690" s="535"/>
      <c r="S690" s="351"/>
      <c r="T690" s="536"/>
      <c r="U690" s="351"/>
      <c r="V690" s="537"/>
      <c r="W690" s="351"/>
      <c r="X690" s="538" t="s">
        <v>294</v>
      </c>
      <c r="Y690" s="350"/>
      <c r="Z690" s="350"/>
      <c r="AA690" s="351"/>
      <c r="AB690" s="539" t="s">
        <v>294</v>
      </c>
      <c r="AC690" s="350"/>
      <c r="AD690" s="350"/>
      <c r="AE690" s="351"/>
      <c r="AF690" s="540"/>
      <c r="AG690" s="351"/>
      <c r="AH690" s="540"/>
      <c r="AI690" s="351"/>
      <c r="AJ690" s="545"/>
      <c r="AK690" s="351"/>
      <c r="AL690" s="555" t="s">
        <v>325</v>
      </c>
      <c r="AM690" s="351"/>
      <c r="AN690" s="531" t="s">
        <v>325</v>
      </c>
      <c r="AO690" s="351"/>
      <c r="AP690" s="532"/>
      <c r="AQ690" s="351"/>
      <c r="AR690" s="533"/>
      <c r="AS690" s="351"/>
      <c r="AT690" s="534"/>
      <c r="AU690" s="351"/>
      <c r="AV690" s="531" t="s">
        <v>325</v>
      </c>
      <c r="AW690" s="351"/>
      <c r="AX690" s="553"/>
      <c r="AY690" s="350"/>
      <c r="AZ690" s="351"/>
      <c r="BA690" s="545"/>
      <c r="BB690" s="351"/>
      <c r="BC690" s="36"/>
      <c r="BD690" s="556" t="s">
        <v>325</v>
      </c>
      <c r="BE690" s="351"/>
      <c r="BF690" s="557"/>
      <c r="BG690" s="350"/>
      <c r="BH690" s="350"/>
      <c r="BI690" s="351"/>
      <c r="BJ690" s="506" t="s">
        <v>294</v>
      </c>
      <c r="BK690" s="350"/>
      <c r="BL690" s="350"/>
      <c r="BM690" s="351"/>
      <c r="BN690" s="530" t="s">
        <v>294</v>
      </c>
      <c r="BO690" s="350"/>
      <c r="BP690" s="350"/>
      <c r="BQ690" s="350"/>
      <c r="BR690" s="350"/>
      <c r="BS690" s="350"/>
      <c r="BT690" s="350"/>
      <c r="BU690" s="350"/>
      <c r="BV690" s="351"/>
    </row>
    <row r="691" spans="1:74" ht="45" customHeight="1">
      <c r="A691" s="24">
        <f t="shared" si="2"/>
        <v>677</v>
      </c>
      <c r="B691" s="522" t="s">
        <v>294</v>
      </c>
      <c r="C691" s="351"/>
      <c r="D691" s="523" t="s">
        <v>298</v>
      </c>
      <c r="E691" s="351"/>
      <c r="F691" s="524" t="s">
        <v>325</v>
      </c>
      <c r="G691" s="351"/>
      <c r="H691" s="561" t="s">
        <v>325</v>
      </c>
      <c r="I691" s="351"/>
      <c r="J691" s="562"/>
      <c r="K691" s="351"/>
      <c r="L691" s="562"/>
      <c r="M691" s="351"/>
      <c r="N691" s="34"/>
      <c r="O691" s="38"/>
      <c r="P691" s="526"/>
      <c r="Q691" s="351"/>
      <c r="R691" s="527"/>
      <c r="S691" s="351"/>
      <c r="T691" s="528"/>
      <c r="U691" s="351"/>
      <c r="V691" s="541"/>
      <c r="W691" s="351"/>
      <c r="X691" s="542" t="s">
        <v>294</v>
      </c>
      <c r="Y691" s="350"/>
      <c r="Z691" s="350"/>
      <c r="AA691" s="351"/>
      <c r="AB691" s="543" t="s">
        <v>294</v>
      </c>
      <c r="AC691" s="350"/>
      <c r="AD691" s="350"/>
      <c r="AE691" s="351"/>
      <c r="AF691" s="544"/>
      <c r="AG691" s="351"/>
      <c r="AH691" s="544"/>
      <c r="AI691" s="351"/>
      <c r="AJ691" s="545"/>
      <c r="AK691" s="351"/>
      <c r="AL691" s="524" t="s">
        <v>325</v>
      </c>
      <c r="AM691" s="351"/>
      <c r="AN691" s="549" t="s">
        <v>325</v>
      </c>
      <c r="AO691" s="351"/>
      <c r="AP691" s="550"/>
      <c r="AQ691" s="351"/>
      <c r="AR691" s="551"/>
      <c r="AS691" s="351"/>
      <c r="AT691" s="552"/>
      <c r="AU691" s="351"/>
      <c r="AV691" s="549" t="s">
        <v>325</v>
      </c>
      <c r="AW691" s="351"/>
      <c r="AX691" s="553"/>
      <c r="AY691" s="350"/>
      <c r="AZ691" s="351"/>
      <c r="BA691" s="554"/>
      <c r="BB691" s="351"/>
      <c r="BC691" s="39"/>
      <c r="BD691" s="546" t="s">
        <v>325</v>
      </c>
      <c r="BE691" s="351"/>
      <c r="BF691" s="547"/>
      <c r="BG691" s="350"/>
      <c r="BH691" s="350"/>
      <c r="BI691" s="351"/>
      <c r="BJ691" s="548" t="s">
        <v>294</v>
      </c>
      <c r="BK691" s="350"/>
      <c r="BL691" s="350"/>
      <c r="BM691" s="351"/>
      <c r="BN691" s="530" t="s">
        <v>294</v>
      </c>
      <c r="BO691" s="350"/>
      <c r="BP691" s="350"/>
      <c r="BQ691" s="350"/>
      <c r="BR691" s="350"/>
      <c r="BS691" s="350"/>
      <c r="BT691" s="350"/>
      <c r="BU691" s="350"/>
      <c r="BV691" s="351"/>
    </row>
    <row r="692" spans="1:74" ht="45" customHeight="1">
      <c r="A692" s="24">
        <f t="shared" si="2"/>
        <v>678</v>
      </c>
      <c r="B692" s="558" t="s">
        <v>294</v>
      </c>
      <c r="C692" s="351"/>
      <c r="D692" s="559" t="s">
        <v>298</v>
      </c>
      <c r="E692" s="351"/>
      <c r="F692" s="524" t="s">
        <v>325</v>
      </c>
      <c r="G692" s="351"/>
      <c r="H692" s="525" t="s">
        <v>325</v>
      </c>
      <c r="I692" s="351"/>
      <c r="J692" s="563"/>
      <c r="K692" s="351"/>
      <c r="L692" s="563"/>
      <c r="M692" s="351"/>
      <c r="N692" s="37"/>
      <c r="O692" s="35"/>
      <c r="P692" s="560"/>
      <c r="Q692" s="351"/>
      <c r="R692" s="535"/>
      <c r="S692" s="351"/>
      <c r="T692" s="536"/>
      <c r="U692" s="351"/>
      <c r="V692" s="537"/>
      <c r="W692" s="351"/>
      <c r="X692" s="538" t="s">
        <v>294</v>
      </c>
      <c r="Y692" s="350"/>
      <c r="Z692" s="350"/>
      <c r="AA692" s="351"/>
      <c r="AB692" s="539" t="s">
        <v>294</v>
      </c>
      <c r="AC692" s="350"/>
      <c r="AD692" s="350"/>
      <c r="AE692" s="351"/>
      <c r="AF692" s="540"/>
      <c r="AG692" s="351"/>
      <c r="AH692" s="540"/>
      <c r="AI692" s="351"/>
      <c r="AJ692" s="545"/>
      <c r="AK692" s="351"/>
      <c r="AL692" s="555" t="s">
        <v>325</v>
      </c>
      <c r="AM692" s="351"/>
      <c r="AN692" s="531" t="s">
        <v>325</v>
      </c>
      <c r="AO692" s="351"/>
      <c r="AP692" s="532"/>
      <c r="AQ692" s="351"/>
      <c r="AR692" s="533"/>
      <c r="AS692" s="351"/>
      <c r="AT692" s="534"/>
      <c r="AU692" s="351"/>
      <c r="AV692" s="531" t="s">
        <v>325</v>
      </c>
      <c r="AW692" s="351"/>
      <c r="AX692" s="553"/>
      <c r="AY692" s="350"/>
      <c r="AZ692" s="351"/>
      <c r="BA692" s="545"/>
      <c r="BB692" s="351"/>
      <c r="BC692" s="36"/>
      <c r="BD692" s="556" t="s">
        <v>325</v>
      </c>
      <c r="BE692" s="351"/>
      <c r="BF692" s="529"/>
      <c r="BG692" s="350"/>
      <c r="BH692" s="350"/>
      <c r="BI692" s="351"/>
      <c r="BJ692" s="506" t="s">
        <v>294</v>
      </c>
      <c r="BK692" s="350"/>
      <c r="BL692" s="350"/>
      <c r="BM692" s="351"/>
      <c r="BN692" s="530" t="s">
        <v>294</v>
      </c>
      <c r="BO692" s="350"/>
      <c r="BP692" s="350"/>
      <c r="BQ692" s="350"/>
      <c r="BR692" s="350"/>
      <c r="BS692" s="350"/>
      <c r="BT692" s="350"/>
      <c r="BU692" s="350"/>
      <c r="BV692" s="351"/>
    </row>
    <row r="693" spans="1:74" ht="45" customHeight="1">
      <c r="A693" s="24">
        <f t="shared" si="2"/>
        <v>679</v>
      </c>
      <c r="B693" s="522" t="s">
        <v>294</v>
      </c>
      <c r="C693" s="351"/>
      <c r="D693" s="523" t="s">
        <v>298</v>
      </c>
      <c r="E693" s="351"/>
      <c r="F693" s="524" t="s">
        <v>325</v>
      </c>
      <c r="G693" s="351"/>
      <c r="H693" s="561" t="s">
        <v>325</v>
      </c>
      <c r="I693" s="351"/>
      <c r="J693" s="562"/>
      <c r="K693" s="351"/>
      <c r="L693" s="562"/>
      <c r="M693" s="351"/>
      <c r="N693" s="34"/>
      <c r="O693" s="38"/>
      <c r="P693" s="526"/>
      <c r="Q693" s="351"/>
      <c r="R693" s="527"/>
      <c r="S693" s="351"/>
      <c r="T693" s="528"/>
      <c r="U693" s="351"/>
      <c r="V693" s="541"/>
      <c r="W693" s="351"/>
      <c r="X693" s="542" t="s">
        <v>294</v>
      </c>
      <c r="Y693" s="350"/>
      <c r="Z693" s="350"/>
      <c r="AA693" s="351"/>
      <c r="AB693" s="543" t="s">
        <v>294</v>
      </c>
      <c r="AC693" s="350"/>
      <c r="AD693" s="350"/>
      <c r="AE693" s="351"/>
      <c r="AF693" s="544"/>
      <c r="AG693" s="351"/>
      <c r="AH693" s="544"/>
      <c r="AI693" s="351"/>
      <c r="AJ693" s="545"/>
      <c r="AK693" s="351"/>
      <c r="AL693" s="524" t="s">
        <v>325</v>
      </c>
      <c r="AM693" s="351"/>
      <c r="AN693" s="549" t="s">
        <v>325</v>
      </c>
      <c r="AO693" s="351"/>
      <c r="AP693" s="550"/>
      <c r="AQ693" s="351"/>
      <c r="AR693" s="551"/>
      <c r="AS693" s="351"/>
      <c r="AT693" s="552"/>
      <c r="AU693" s="351"/>
      <c r="AV693" s="549" t="s">
        <v>325</v>
      </c>
      <c r="AW693" s="351"/>
      <c r="AX693" s="553"/>
      <c r="AY693" s="350"/>
      <c r="AZ693" s="351"/>
      <c r="BA693" s="554"/>
      <c r="BB693" s="351"/>
      <c r="BC693" s="39"/>
      <c r="BD693" s="546" t="s">
        <v>325</v>
      </c>
      <c r="BE693" s="351"/>
      <c r="BF693" s="547"/>
      <c r="BG693" s="350"/>
      <c r="BH693" s="350"/>
      <c r="BI693" s="351"/>
      <c r="BJ693" s="548" t="s">
        <v>294</v>
      </c>
      <c r="BK693" s="350"/>
      <c r="BL693" s="350"/>
      <c r="BM693" s="351"/>
      <c r="BN693" s="530" t="s">
        <v>294</v>
      </c>
      <c r="BO693" s="350"/>
      <c r="BP693" s="350"/>
      <c r="BQ693" s="350"/>
      <c r="BR693" s="350"/>
      <c r="BS693" s="350"/>
      <c r="BT693" s="350"/>
      <c r="BU693" s="350"/>
      <c r="BV693" s="351"/>
    </row>
    <row r="694" spans="1:74" ht="45" customHeight="1">
      <c r="A694" s="24">
        <f t="shared" si="2"/>
        <v>680</v>
      </c>
      <c r="B694" s="558" t="s">
        <v>294</v>
      </c>
      <c r="C694" s="351"/>
      <c r="D694" s="559" t="s">
        <v>298</v>
      </c>
      <c r="E694" s="351"/>
      <c r="F694" s="524" t="s">
        <v>325</v>
      </c>
      <c r="G694" s="351"/>
      <c r="H694" s="525" t="s">
        <v>325</v>
      </c>
      <c r="I694" s="351"/>
      <c r="J694" s="563"/>
      <c r="K694" s="351"/>
      <c r="L694" s="563"/>
      <c r="M694" s="351"/>
      <c r="N694" s="37"/>
      <c r="O694" s="35"/>
      <c r="P694" s="560"/>
      <c r="Q694" s="351"/>
      <c r="R694" s="535"/>
      <c r="S694" s="351"/>
      <c r="T694" s="536"/>
      <c r="U694" s="351"/>
      <c r="V694" s="537"/>
      <c r="W694" s="351"/>
      <c r="X694" s="538" t="s">
        <v>294</v>
      </c>
      <c r="Y694" s="350"/>
      <c r="Z694" s="350"/>
      <c r="AA694" s="351"/>
      <c r="AB694" s="539" t="s">
        <v>294</v>
      </c>
      <c r="AC694" s="350"/>
      <c r="AD694" s="350"/>
      <c r="AE694" s="351"/>
      <c r="AF694" s="540"/>
      <c r="AG694" s="351"/>
      <c r="AH694" s="540"/>
      <c r="AI694" s="351"/>
      <c r="AJ694" s="545"/>
      <c r="AK694" s="351"/>
      <c r="AL694" s="555" t="s">
        <v>325</v>
      </c>
      <c r="AM694" s="351"/>
      <c r="AN694" s="531" t="s">
        <v>325</v>
      </c>
      <c r="AO694" s="351"/>
      <c r="AP694" s="532"/>
      <c r="AQ694" s="351"/>
      <c r="AR694" s="533"/>
      <c r="AS694" s="351"/>
      <c r="AT694" s="534"/>
      <c r="AU694" s="351"/>
      <c r="AV694" s="531" t="s">
        <v>325</v>
      </c>
      <c r="AW694" s="351"/>
      <c r="AX694" s="553"/>
      <c r="AY694" s="350"/>
      <c r="AZ694" s="351"/>
      <c r="BA694" s="545"/>
      <c r="BB694" s="351"/>
      <c r="BC694" s="36"/>
      <c r="BD694" s="556" t="s">
        <v>325</v>
      </c>
      <c r="BE694" s="351"/>
      <c r="BF694" s="557"/>
      <c r="BG694" s="350"/>
      <c r="BH694" s="350"/>
      <c r="BI694" s="351"/>
      <c r="BJ694" s="506" t="s">
        <v>294</v>
      </c>
      <c r="BK694" s="350"/>
      <c r="BL694" s="350"/>
      <c r="BM694" s="351"/>
      <c r="BN694" s="530" t="s">
        <v>294</v>
      </c>
      <c r="BO694" s="350"/>
      <c r="BP694" s="350"/>
      <c r="BQ694" s="350"/>
      <c r="BR694" s="350"/>
      <c r="BS694" s="350"/>
      <c r="BT694" s="350"/>
      <c r="BU694" s="350"/>
      <c r="BV694" s="351"/>
    </row>
    <row r="695" spans="1:74" ht="45" customHeight="1">
      <c r="A695" s="24">
        <f t="shared" si="2"/>
        <v>681</v>
      </c>
      <c r="B695" s="522" t="s">
        <v>294</v>
      </c>
      <c r="C695" s="351"/>
      <c r="D695" s="523" t="s">
        <v>298</v>
      </c>
      <c r="E695" s="351"/>
      <c r="F695" s="524" t="s">
        <v>325</v>
      </c>
      <c r="G695" s="351"/>
      <c r="H695" s="561" t="s">
        <v>325</v>
      </c>
      <c r="I695" s="351"/>
      <c r="J695" s="562"/>
      <c r="K695" s="351"/>
      <c r="L695" s="562"/>
      <c r="M695" s="351"/>
      <c r="N695" s="37"/>
      <c r="O695" s="38"/>
      <c r="P695" s="560"/>
      <c r="Q695" s="351"/>
      <c r="R695" s="527"/>
      <c r="S695" s="351"/>
      <c r="T695" s="528"/>
      <c r="U695" s="351"/>
      <c r="V695" s="541"/>
      <c r="W695" s="351"/>
      <c r="X695" s="542" t="s">
        <v>294</v>
      </c>
      <c r="Y695" s="350"/>
      <c r="Z695" s="350"/>
      <c r="AA695" s="351"/>
      <c r="AB695" s="543" t="s">
        <v>294</v>
      </c>
      <c r="AC695" s="350"/>
      <c r="AD695" s="350"/>
      <c r="AE695" s="351"/>
      <c r="AF695" s="544"/>
      <c r="AG695" s="351"/>
      <c r="AH695" s="544"/>
      <c r="AI695" s="351"/>
      <c r="AJ695" s="545"/>
      <c r="AK695" s="351"/>
      <c r="AL695" s="524" t="s">
        <v>325</v>
      </c>
      <c r="AM695" s="351"/>
      <c r="AN695" s="549" t="s">
        <v>325</v>
      </c>
      <c r="AO695" s="351"/>
      <c r="AP695" s="550"/>
      <c r="AQ695" s="351"/>
      <c r="AR695" s="551"/>
      <c r="AS695" s="351"/>
      <c r="AT695" s="534"/>
      <c r="AU695" s="351"/>
      <c r="AV695" s="549" t="s">
        <v>325</v>
      </c>
      <c r="AW695" s="351"/>
      <c r="AX695" s="553"/>
      <c r="AY695" s="350"/>
      <c r="AZ695" s="351"/>
      <c r="BA695" s="554"/>
      <c r="BB695" s="351"/>
      <c r="BC695" s="39"/>
      <c r="BD695" s="546" t="s">
        <v>325</v>
      </c>
      <c r="BE695" s="351"/>
      <c r="BF695" s="547"/>
      <c r="BG695" s="350"/>
      <c r="BH695" s="350"/>
      <c r="BI695" s="351"/>
      <c r="BJ695" s="548" t="s">
        <v>294</v>
      </c>
      <c r="BK695" s="350"/>
      <c r="BL695" s="350"/>
      <c r="BM695" s="351"/>
      <c r="BN695" s="530" t="s">
        <v>294</v>
      </c>
      <c r="BO695" s="350"/>
      <c r="BP695" s="350"/>
      <c r="BQ695" s="350"/>
      <c r="BR695" s="350"/>
      <c r="BS695" s="350"/>
      <c r="BT695" s="350"/>
      <c r="BU695" s="350"/>
      <c r="BV695" s="351"/>
    </row>
    <row r="696" spans="1:74" ht="45" customHeight="1">
      <c r="A696" s="24">
        <f t="shared" si="2"/>
        <v>682</v>
      </c>
      <c r="B696" s="558" t="s">
        <v>294</v>
      </c>
      <c r="C696" s="351"/>
      <c r="D696" s="559" t="s">
        <v>298</v>
      </c>
      <c r="E696" s="351"/>
      <c r="F696" s="524" t="s">
        <v>325</v>
      </c>
      <c r="G696" s="351"/>
      <c r="H696" s="525" t="s">
        <v>325</v>
      </c>
      <c r="I696" s="351"/>
      <c r="J696" s="563"/>
      <c r="K696" s="351"/>
      <c r="L696" s="563"/>
      <c r="M696" s="351"/>
      <c r="N696" s="34"/>
      <c r="O696" s="35"/>
      <c r="P696" s="526"/>
      <c r="Q696" s="351"/>
      <c r="R696" s="535"/>
      <c r="S696" s="351"/>
      <c r="T696" s="536"/>
      <c r="U696" s="351"/>
      <c r="V696" s="537"/>
      <c r="W696" s="351"/>
      <c r="X696" s="538" t="s">
        <v>294</v>
      </c>
      <c r="Y696" s="350"/>
      <c r="Z696" s="350"/>
      <c r="AA696" s="351"/>
      <c r="AB696" s="539" t="s">
        <v>294</v>
      </c>
      <c r="AC696" s="350"/>
      <c r="AD696" s="350"/>
      <c r="AE696" s="351"/>
      <c r="AF696" s="540"/>
      <c r="AG696" s="351"/>
      <c r="AH696" s="540"/>
      <c r="AI696" s="351"/>
      <c r="AJ696" s="545"/>
      <c r="AK696" s="351"/>
      <c r="AL696" s="555" t="s">
        <v>325</v>
      </c>
      <c r="AM696" s="351"/>
      <c r="AN696" s="531" t="s">
        <v>325</v>
      </c>
      <c r="AO696" s="351"/>
      <c r="AP696" s="532"/>
      <c r="AQ696" s="351"/>
      <c r="AR696" s="533"/>
      <c r="AS696" s="351"/>
      <c r="AT696" s="534"/>
      <c r="AU696" s="351"/>
      <c r="AV696" s="531" t="s">
        <v>325</v>
      </c>
      <c r="AW696" s="351"/>
      <c r="AX696" s="553"/>
      <c r="AY696" s="350"/>
      <c r="AZ696" s="351"/>
      <c r="BA696" s="545"/>
      <c r="BB696" s="351"/>
      <c r="BC696" s="36"/>
      <c r="BD696" s="556" t="s">
        <v>325</v>
      </c>
      <c r="BE696" s="351"/>
      <c r="BF696" s="557"/>
      <c r="BG696" s="350"/>
      <c r="BH696" s="350"/>
      <c r="BI696" s="351"/>
      <c r="BJ696" s="506" t="s">
        <v>294</v>
      </c>
      <c r="BK696" s="350"/>
      <c r="BL696" s="350"/>
      <c r="BM696" s="351"/>
      <c r="BN696" s="530" t="s">
        <v>294</v>
      </c>
      <c r="BO696" s="350"/>
      <c r="BP696" s="350"/>
      <c r="BQ696" s="350"/>
      <c r="BR696" s="350"/>
      <c r="BS696" s="350"/>
      <c r="BT696" s="350"/>
      <c r="BU696" s="350"/>
      <c r="BV696" s="351"/>
    </row>
    <row r="697" spans="1:74" ht="45" customHeight="1">
      <c r="A697" s="24">
        <f t="shared" si="2"/>
        <v>683</v>
      </c>
      <c r="B697" s="522" t="s">
        <v>294</v>
      </c>
      <c r="C697" s="351"/>
      <c r="D697" s="523" t="s">
        <v>298</v>
      </c>
      <c r="E697" s="351"/>
      <c r="F697" s="524" t="s">
        <v>325</v>
      </c>
      <c r="G697" s="351"/>
      <c r="H697" s="561" t="s">
        <v>325</v>
      </c>
      <c r="I697" s="351"/>
      <c r="J697" s="562"/>
      <c r="K697" s="351"/>
      <c r="L697" s="562"/>
      <c r="M697" s="351"/>
      <c r="N697" s="37"/>
      <c r="O697" s="38"/>
      <c r="P697" s="560"/>
      <c r="Q697" s="351"/>
      <c r="R697" s="527"/>
      <c r="S697" s="351"/>
      <c r="T697" s="528"/>
      <c r="U697" s="351"/>
      <c r="V697" s="541"/>
      <c r="W697" s="351"/>
      <c r="X697" s="542" t="s">
        <v>294</v>
      </c>
      <c r="Y697" s="350"/>
      <c r="Z697" s="350"/>
      <c r="AA697" s="351"/>
      <c r="AB697" s="543" t="s">
        <v>294</v>
      </c>
      <c r="AC697" s="350"/>
      <c r="AD697" s="350"/>
      <c r="AE697" s="351"/>
      <c r="AF697" s="544"/>
      <c r="AG697" s="351"/>
      <c r="AH697" s="544"/>
      <c r="AI697" s="351"/>
      <c r="AJ697" s="545"/>
      <c r="AK697" s="351"/>
      <c r="AL697" s="524" t="s">
        <v>325</v>
      </c>
      <c r="AM697" s="351"/>
      <c r="AN697" s="549" t="s">
        <v>325</v>
      </c>
      <c r="AO697" s="351"/>
      <c r="AP697" s="550"/>
      <c r="AQ697" s="351"/>
      <c r="AR697" s="551"/>
      <c r="AS697" s="351"/>
      <c r="AT697" s="534"/>
      <c r="AU697" s="351"/>
      <c r="AV697" s="549" t="s">
        <v>325</v>
      </c>
      <c r="AW697" s="351"/>
      <c r="AX697" s="553"/>
      <c r="AY697" s="350"/>
      <c r="AZ697" s="351"/>
      <c r="BA697" s="554"/>
      <c r="BB697" s="351"/>
      <c r="BC697" s="39"/>
      <c r="BD697" s="546" t="s">
        <v>325</v>
      </c>
      <c r="BE697" s="351"/>
      <c r="BF697" s="547"/>
      <c r="BG697" s="350"/>
      <c r="BH697" s="350"/>
      <c r="BI697" s="351"/>
      <c r="BJ697" s="548" t="s">
        <v>294</v>
      </c>
      <c r="BK697" s="350"/>
      <c r="BL697" s="350"/>
      <c r="BM697" s="351"/>
      <c r="BN697" s="530" t="s">
        <v>294</v>
      </c>
      <c r="BO697" s="350"/>
      <c r="BP697" s="350"/>
      <c r="BQ697" s="350"/>
      <c r="BR697" s="350"/>
      <c r="BS697" s="350"/>
      <c r="BT697" s="350"/>
      <c r="BU697" s="350"/>
      <c r="BV697" s="351"/>
    </row>
    <row r="698" spans="1:74" ht="45" customHeight="1">
      <c r="A698" s="24">
        <f t="shared" si="2"/>
        <v>684</v>
      </c>
      <c r="B698" s="558" t="s">
        <v>294</v>
      </c>
      <c r="C698" s="351"/>
      <c r="D698" s="559" t="s">
        <v>298</v>
      </c>
      <c r="E698" s="351"/>
      <c r="F698" s="524" t="s">
        <v>325</v>
      </c>
      <c r="G698" s="351"/>
      <c r="H698" s="525" t="s">
        <v>325</v>
      </c>
      <c r="I698" s="351"/>
      <c r="J698" s="563"/>
      <c r="K698" s="351"/>
      <c r="L698" s="563"/>
      <c r="M698" s="351"/>
      <c r="N698" s="34"/>
      <c r="O698" s="35"/>
      <c r="P698" s="526"/>
      <c r="Q698" s="351"/>
      <c r="R698" s="535"/>
      <c r="S698" s="351"/>
      <c r="T698" s="536"/>
      <c r="U698" s="351"/>
      <c r="V698" s="537"/>
      <c r="W698" s="351"/>
      <c r="X698" s="538" t="s">
        <v>294</v>
      </c>
      <c r="Y698" s="350"/>
      <c r="Z698" s="350"/>
      <c r="AA698" s="351"/>
      <c r="AB698" s="539" t="s">
        <v>294</v>
      </c>
      <c r="AC698" s="350"/>
      <c r="AD698" s="350"/>
      <c r="AE698" s="351"/>
      <c r="AF698" s="540"/>
      <c r="AG698" s="351"/>
      <c r="AH698" s="540"/>
      <c r="AI698" s="351"/>
      <c r="AJ698" s="545"/>
      <c r="AK698" s="351"/>
      <c r="AL698" s="555" t="s">
        <v>325</v>
      </c>
      <c r="AM698" s="351"/>
      <c r="AN698" s="531" t="s">
        <v>325</v>
      </c>
      <c r="AO698" s="351"/>
      <c r="AP698" s="532"/>
      <c r="AQ698" s="351"/>
      <c r="AR698" s="533"/>
      <c r="AS698" s="351"/>
      <c r="AT698" s="534"/>
      <c r="AU698" s="351"/>
      <c r="AV698" s="531" t="s">
        <v>325</v>
      </c>
      <c r="AW698" s="351"/>
      <c r="AX698" s="553"/>
      <c r="AY698" s="350"/>
      <c r="AZ698" s="351"/>
      <c r="BA698" s="545"/>
      <c r="BB698" s="351"/>
      <c r="BC698" s="36"/>
      <c r="BD698" s="556" t="s">
        <v>325</v>
      </c>
      <c r="BE698" s="351"/>
      <c r="BF698" s="557"/>
      <c r="BG698" s="350"/>
      <c r="BH698" s="350"/>
      <c r="BI698" s="351"/>
      <c r="BJ698" s="506" t="s">
        <v>294</v>
      </c>
      <c r="BK698" s="350"/>
      <c r="BL698" s="350"/>
      <c r="BM698" s="351"/>
      <c r="BN698" s="530" t="s">
        <v>294</v>
      </c>
      <c r="BO698" s="350"/>
      <c r="BP698" s="350"/>
      <c r="BQ698" s="350"/>
      <c r="BR698" s="350"/>
      <c r="BS698" s="350"/>
      <c r="BT698" s="350"/>
      <c r="BU698" s="350"/>
      <c r="BV698" s="351"/>
    </row>
    <row r="699" spans="1:74" ht="45" customHeight="1">
      <c r="A699" s="24">
        <f t="shared" si="2"/>
        <v>685</v>
      </c>
      <c r="B699" s="522" t="s">
        <v>294</v>
      </c>
      <c r="C699" s="351"/>
      <c r="D699" s="523" t="s">
        <v>298</v>
      </c>
      <c r="E699" s="351"/>
      <c r="F699" s="524" t="s">
        <v>325</v>
      </c>
      <c r="G699" s="351"/>
      <c r="H699" s="561" t="s">
        <v>325</v>
      </c>
      <c r="I699" s="351"/>
      <c r="J699" s="562"/>
      <c r="K699" s="351"/>
      <c r="L699" s="562"/>
      <c r="M699" s="351"/>
      <c r="N699" s="37"/>
      <c r="O699" s="38"/>
      <c r="P699" s="560"/>
      <c r="Q699" s="351"/>
      <c r="R699" s="527"/>
      <c r="S699" s="351"/>
      <c r="T699" s="528"/>
      <c r="U699" s="351"/>
      <c r="V699" s="541"/>
      <c r="W699" s="351"/>
      <c r="X699" s="542" t="s">
        <v>294</v>
      </c>
      <c r="Y699" s="350"/>
      <c r="Z699" s="350"/>
      <c r="AA699" s="351"/>
      <c r="AB699" s="543" t="s">
        <v>294</v>
      </c>
      <c r="AC699" s="350"/>
      <c r="AD699" s="350"/>
      <c r="AE699" s="351"/>
      <c r="AF699" s="544"/>
      <c r="AG699" s="351"/>
      <c r="AH699" s="544"/>
      <c r="AI699" s="351"/>
      <c r="AJ699" s="545"/>
      <c r="AK699" s="351"/>
      <c r="AL699" s="524" t="s">
        <v>325</v>
      </c>
      <c r="AM699" s="351"/>
      <c r="AN699" s="549" t="s">
        <v>325</v>
      </c>
      <c r="AO699" s="351"/>
      <c r="AP699" s="550"/>
      <c r="AQ699" s="351"/>
      <c r="AR699" s="551"/>
      <c r="AS699" s="351"/>
      <c r="AT699" s="552"/>
      <c r="AU699" s="351"/>
      <c r="AV699" s="549" t="s">
        <v>325</v>
      </c>
      <c r="AW699" s="351"/>
      <c r="AX699" s="553"/>
      <c r="AY699" s="350"/>
      <c r="AZ699" s="351"/>
      <c r="BA699" s="554"/>
      <c r="BB699" s="351"/>
      <c r="BC699" s="39"/>
      <c r="BD699" s="546" t="s">
        <v>325</v>
      </c>
      <c r="BE699" s="351"/>
      <c r="BF699" s="547"/>
      <c r="BG699" s="350"/>
      <c r="BH699" s="350"/>
      <c r="BI699" s="351"/>
      <c r="BJ699" s="548" t="s">
        <v>294</v>
      </c>
      <c r="BK699" s="350"/>
      <c r="BL699" s="350"/>
      <c r="BM699" s="351"/>
      <c r="BN699" s="530" t="s">
        <v>294</v>
      </c>
      <c r="BO699" s="350"/>
      <c r="BP699" s="350"/>
      <c r="BQ699" s="350"/>
      <c r="BR699" s="350"/>
      <c r="BS699" s="350"/>
      <c r="BT699" s="350"/>
      <c r="BU699" s="350"/>
      <c r="BV699" s="351"/>
    </row>
    <row r="700" spans="1:74" ht="45" customHeight="1">
      <c r="A700" s="24">
        <f t="shared" si="2"/>
        <v>686</v>
      </c>
      <c r="B700" s="558" t="s">
        <v>294</v>
      </c>
      <c r="C700" s="351"/>
      <c r="D700" s="559" t="s">
        <v>298</v>
      </c>
      <c r="E700" s="351"/>
      <c r="F700" s="524" t="s">
        <v>325</v>
      </c>
      <c r="G700" s="351"/>
      <c r="H700" s="525" t="s">
        <v>325</v>
      </c>
      <c r="I700" s="351"/>
      <c r="J700" s="563"/>
      <c r="K700" s="351"/>
      <c r="L700" s="563"/>
      <c r="M700" s="351"/>
      <c r="N700" s="34"/>
      <c r="O700" s="35"/>
      <c r="P700" s="526"/>
      <c r="Q700" s="351"/>
      <c r="R700" s="535"/>
      <c r="S700" s="351"/>
      <c r="T700" s="536"/>
      <c r="U700" s="351"/>
      <c r="V700" s="537"/>
      <c r="W700" s="351"/>
      <c r="X700" s="538" t="s">
        <v>294</v>
      </c>
      <c r="Y700" s="350"/>
      <c r="Z700" s="350"/>
      <c r="AA700" s="351"/>
      <c r="AB700" s="539" t="s">
        <v>294</v>
      </c>
      <c r="AC700" s="350"/>
      <c r="AD700" s="350"/>
      <c r="AE700" s="351"/>
      <c r="AF700" s="540"/>
      <c r="AG700" s="351"/>
      <c r="AH700" s="540"/>
      <c r="AI700" s="351"/>
      <c r="AJ700" s="545"/>
      <c r="AK700" s="351"/>
      <c r="AL700" s="555" t="s">
        <v>325</v>
      </c>
      <c r="AM700" s="351"/>
      <c r="AN700" s="531" t="s">
        <v>325</v>
      </c>
      <c r="AO700" s="351"/>
      <c r="AP700" s="532"/>
      <c r="AQ700" s="351"/>
      <c r="AR700" s="533"/>
      <c r="AS700" s="351"/>
      <c r="AT700" s="534"/>
      <c r="AU700" s="351"/>
      <c r="AV700" s="531" t="s">
        <v>325</v>
      </c>
      <c r="AW700" s="351"/>
      <c r="AX700" s="553"/>
      <c r="AY700" s="350"/>
      <c r="AZ700" s="351"/>
      <c r="BA700" s="545"/>
      <c r="BB700" s="351"/>
      <c r="BC700" s="36"/>
      <c r="BD700" s="556" t="s">
        <v>325</v>
      </c>
      <c r="BE700" s="351"/>
      <c r="BF700" s="529"/>
      <c r="BG700" s="350"/>
      <c r="BH700" s="350"/>
      <c r="BI700" s="351"/>
      <c r="BJ700" s="506" t="s">
        <v>294</v>
      </c>
      <c r="BK700" s="350"/>
      <c r="BL700" s="350"/>
      <c r="BM700" s="351"/>
      <c r="BN700" s="530" t="s">
        <v>294</v>
      </c>
      <c r="BO700" s="350"/>
      <c r="BP700" s="350"/>
      <c r="BQ700" s="350"/>
      <c r="BR700" s="350"/>
      <c r="BS700" s="350"/>
      <c r="BT700" s="350"/>
      <c r="BU700" s="350"/>
      <c r="BV700" s="351"/>
    </row>
    <row r="701" spans="1:74" ht="45" customHeight="1">
      <c r="A701" s="24">
        <f t="shared" si="2"/>
        <v>687</v>
      </c>
      <c r="B701" s="522" t="s">
        <v>294</v>
      </c>
      <c r="C701" s="351"/>
      <c r="D701" s="523" t="s">
        <v>298</v>
      </c>
      <c r="E701" s="351"/>
      <c r="F701" s="524" t="s">
        <v>325</v>
      </c>
      <c r="G701" s="351"/>
      <c r="H701" s="561" t="s">
        <v>325</v>
      </c>
      <c r="I701" s="351"/>
      <c r="J701" s="562"/>
      <c r="K701" s="351"/>
      <c r="L701" s="562"/>
      <c r="M701" s="351"/>
      <c r="N701" s="37"/>
      <c r="O701" s="38"/>
      <c r="P701" s="560"/>
      <c r="Q701" s="351"/>
      <c r="R701" s="527"/>
      <c r="S701" s="351"/>
      <c r="T701" s="528"/>
      <c r="U701" s="351"/>
      <c r="V701" s="541"/>
      <c r="W701" s="351"/>
      <c r="X701" s="542" t="s">
        <v>294</v>
      </c>
      <c r="Y701" s="350"/>
      <c r="Z701" s="350"/>
      <c r="AA701" s="351"/>
      <c r="AB701" s="543" t="s">
        <v>294</v>
      </c>
      <c r="AC701" s="350"/>
      <c r="AD701" s="350"/>
      <c r="AE701" s="351"/>
      <c r="AF701" s="544"/>
      <c r="AG701" s="351"/>
      <c r="AH701" s="544"/>
      <c r="AI701" s="351"/>
      <c r="AJ701" s="545"/>
      <c r="AK701" s="351"/>
      <c r="AL701" s="524" t="s">
        <v>325</v>
      </c>
      <c r="AM701" s="351"/>
      <c r="AN701" s="549" t="s">
        <v>325</v>
      </c>
      <c r="AO701" s="351"/>
      <c r="AP701" s="550"/>
      <c r="AQ701" s="351"/>
      <c r="AR701" s="551"/>
      <c r="AS701" s="351"/>
      <c r="AT701" s="552"/>
      <c r="AU701" s="351"/>
      <c r="AV701" s="549" t="s">
        <v>325</v>
      </c>
      <c r="AW701" s="351"/>
      <c r="AX701" s="553"/>
      <c r="AY701" s="350"/>
      <c r="AZ701" s="351"/>
      <c r="BA701" s="554"/>
      <c r="BB701" s="351"/>
      <c r="BC701" s="39"/>
      <c r="BD701" s="546" t="s">
        <v>325</v>
      </c>
      <c r="BE701" s="351"/>
      <c r="BF701" s="547"/>
      <c r="BG701" s="350"/>
      <c r="BH701" s="350"/>
      <c r="BI701" s="351"/>
      <c r="BJ701" s="548" t="s">
        <v>294</v>
      </c>
      <c r="BK701" s="350"/>
      <c r="BL701" s="350"/>
      <c r="BM701" s="351"/>
      <c r="BN701" s="530" t="s">
        <v>294</v>
      </c>
      <c r="BO701" s="350"/>
      <c r="BP701" s="350"/>
      <c r="BQ701" s="350"/>
      <c r="BR701" s="350"/>
      <c r="BS701" s="350"/>
      <c r="BT701" s="350"/>
      <c r="BU701" s="350"/>
      <c r="BV701" s="351"/>
    </row>
    <row r="702" spans="1:74" ht="45" customHeight="1">
      <c r="A702" s="24">
        <f t="shared" si="2"/>
        <v>688</v>
      </c>
      <c r="B702" s="558" t="s">
        <v>294</v>
      </c>
      <c r="C702" s="351"/>
      <c r="D702" s="559" t="s">
        <v>298</v>
      </c>
      <c r="E702" s="351"/>
      <c r="F702" s="524" t="s">
        <v>325</v>
      </c>
      <c r="G702" s="351"/>
      <c r="H702" s="525" t="s">
        <v>325</v>
      </c>
      <c r="I702" s="351"/>
      <c r="J702" s="563"/>
      <c r="K702" s="351"/>
      <c r="L702" s="563"/>
      <c r="M702" s="351"/>
      <c r="N702" s="34"/>
      <c r="O702" s="35"/>
      <c r="P702" s="526"/>
      <c r="Q702" s="351"/>
      <c r="R702" s="535"/>
      <c r="S702" s="351"/>
      <c r="T702" s="536"/>
      <c r="U702" s="351"/>
      <c r="V702" s="537"/>
      <c r="W702" s="351"/>
      <c r="X702" s="538" t="s">
        <v>294</v>
      </c>
      <c r="Y702" s="350"/>
      <c r="Z702" s="350"/>
      <c r="AA702" s="351"/>
      <c r="AB702" s="539" t="s">
        <v>294</v>
      </c>
      <c r="AC702" s="350"/>
      <c r="AD702" s="350"/>
      <c r="AE702" s="351"/>
      <c r="AF702" s="540"/>
      <c r="AG702" s="351"/>
      <c r="AH702" s="540"/>
      <c r="AI702" s="351"/>
      <c r="AJ702" s="545"/>
      <c r="AK702" s="351"/>
      <c r="AL702" s="555" t="s">
        <v>325</v>
      </c>
      <c r="AM702" s="351"/>
      <c r="AN702" s="531" t="s">
        <v>325</v>
      </c>
      <c r="AO702" s="351"/>
      <c r="AP702" s="532"/>
      <c r="AQ702" s="351"/>
      <c r="AR702" s="533"/>
      <c r="AS702" s="351"/>
      <c r="AT702" s="534"/>
      <c r="AU702" s="351"/>
      <c r="AV702" s="531" t="s">
        <v>325</v>
      </c>
      <c r="AW702" s="351"/>
      <c r="AX702" s="553"/>
      <c r="AY702" s="350"/>
      <c r="AZ702" s="351"/>
      <c r="BA702" s="545"/>
      <c r="BB702" s="351"/>
      <c r="BC702" s="36"/>
      <c r="BD702" s="556" t="s">
        <v>325</v>
      </c>
      <c r="BE702" s="351"/>
      <c r="BF702" s="557"/>
      <c r="BG702" s="350"/>
      <c r="BH702" s="350"/>
      <c r="BI702" s="351"/>
      <c r="BJ702" s="506" t="s">
        <v>294</v>
      </c>
      <c r="BK702" s="350"/>
      <c r="BL702" s="350"/>
      <c r="BM702" s="351"/>
      <c r="BN702" s="530" t="s">
        <v>294</v>
      </c>
      <c r="BO702" s="350"/>
      <c r="BP702" s="350"/>
      <c r="BQ702" s="350"/>
      <c r="BR702" s="350"/>
      <c r="BS702" s="350"/>
      <c r="BT702" s="350"/>
      <c r="BU702" s="350"/>
      <c r="BV702" s="351"/>
    </row>
    <row r="703" spans="1:74" ht="45" customHeight="1">
      <c r="A703" s="24">
        <f t="shared" si="2"/>
        <v>689</v>
      </c>
      <c r="B703" s="522" t="s">
        <v>294</v>
      </c>
      <c r="C703" s="351"/>
      <c r="D703" s="523" t="s">
        <v>298</v>
      </c>
      <c r="E703" s="351"/>
      <c r="F703" s="524" t="s">
        <v>325</v>
      </c>
      <c r="G703" s="351"/>
      <c r="H703" s="561" t="s">
        <v>325</v>
      </c>
      <c r="I703" s="351"/>
      <c r="J703" s="562"/>
      <c r="K703" s="351"/>
      <c r="L703" s="562"/>
      <c r="M703" s="351"/>
      <c r="N703" s="37"/>
      <c r="O703" s="38"/>
      <c r="P703" s="560"/>
      <c r="Q703" s="351"/>
      <c r="R703" s="527"/>
      <c r="S703" s="351"/>
      <c r="T703" s="528"/>
      <c r="U703" s="351"/>
      <c r="V703" s="541"/>
      <c r="W703" s="351"/>
      <c r="X703" s="542" t="s">
        <v>294</v>
      </c>
      <c r="Y703" s="350"/>
      <c r="Z703" s="350"/>
      <c r="AA703" s="351"/>
      <c r="AB703" s="543" t="s">
        <v>294</v>
      </c>
      <c r="AC703" s="350"/>
      <c r="AD703" s="350"/>
      <c r="AE703" s="351"/>
      <c r="AF703" s="544"/>
      <c r="AG703" s="351"/>
      <c r="AH703" s="544"/>
      <c r="AI703" s="351"/>
      <c r="AJ703" s="545"/>
      <c r="AK703" s="351"/>
      <c r="AL703" s="524" t="s">
        <v>325</v>
      </c>
      <c r="AM703" s="351"/>
      <c r="AN703" s="549" t="s">
        <v>325</v>
      </c>
      <c r="AO703" s="351"/>
      <c r="AP703" s="550"/>
      <c r="AQ703" s="351"/>
      <c r="AR703" s="551"/>
      <c r="AS703" s="351"/>
      <c r="AT703" s="552"/>
      <c r="AU703" s="351"/>
      <c r="AV703" s="549" t="s">
        <v>325</v>
      </c>
      <c r="AW703" s="351"/>
      <c r="AX703" s="553"/>
      <c r="AY703" s="350"/>
      <c r="AZ703" s="351"/>
      <c r="BA703" s="554"/>
      <c r="BB703" s="351"/>
      <c r="BC703" s="39"/>
      <c r="BD703" s="546" t="s">
        <v>325</v>
      </c>
      <c r="BE703" s="351"/>
      <c r="BF703" s="547"/>
      <c r="BG703" s="350"/>
      <c r="BH703" s="350"/>
      <c r="BI703" s="351"/>
      <c r="BJ703" s="548" t="s">
        <v>294</v>
      </c>
      <c r="BK703" s="350"/>
      <c r="BL703" s="350"/>
      <c r="BM703" s="351"/>
      <c r="BN703" s="530" t="s">
        <v>294</v>
      </c>
      <c r="BO703" s="350"/>
      <c r="BP703" s="350"/>
      <c r="BQ703" s="350"/>
      <c r="BR703" s="350"/>
      <c r="BS703" s="350"/>
      <c r="BT703" s="350"/>
      <c r="BU703" s="350"/>
      <c r="BV703" s="351"/>
    </row>
    <row r="704" spans="1:74" ht="45" customHeight="1">
      <c r="A704" s="24">
        <f t="shared" si="2"/>
        <v>690</v>
      </c>
      <c r="B704" s="558" t="s">
        <v>294</v>
      </c>
      <c r="C704" s="351"/>
      <c r="D704" s="559" t="s">
        <v>298</v>
      </c>
      <c r="E704" s="351"/>
      <c r="F704" s="524" t="s">
        <v>325</v>
      </c>
      <c r="G704" s="351"/>
      <c r="H704" s="525" t="s">
        <v>325</v>
      </c>
      <c r="I704" s="351"/>
      <c r="J704" s="563"/>
      <c r="K704" s="351"/>
      <c r="L704" s="563"/>
      <c r="M704" s="351"/>
      <c r="N704" s="34"/>
      <c r="O704" s="35"/>
      <c r="P704" s="526"/>
      <c r="Q704" s="351"/>
      <c r="R704" s="535"/>
      <c r="S704" s="351"/>
      <c r="T704" s="536"/>
      <c r="U704" s="351"/>
      <c r="V704" s="537"/>
      <c r="W704" s="351"/>
      <c r="X704" s="538" t="s">
        <v>294</v>
      </c>
      <c r="Y704" s="350"/>
      <c r="Z704" s="350"/>
      <c r="AA704" s="351"/>
      <c r="AB704" s="539" t="s">
        <v>294</v>
      </c>
      <c r="AC704" s="350"/>
      <c r="AD704" s="350"/>
      <c r="AE704" s="351"/>
      <c r="AF704" s="540"/>
      <c r="AG704" s="351"/>
      <c r="AH704" s="540"/>
      <c r="AI704" s="351"/>
      <c r="AJ704" s="545"/>
      <c r="AK704" s="351"/>
      <c r="AL704" s="555" t="s">
        <v>325</v>
      </c>
      <c r="AM704" s="351"/>
      <c r="AN704" s="531" t="s">
        <v>325</v>
      </c>
      <c r="AO704" s="351"/>
      <c r="AP704" s="532"/>
      <c r="AQ704" s="351"/>
      <c r="AR704" s="533"/>
      <c r="AS704" s="351"/>
      <c r="AT704" s="534"/>
      <c r="AU704" s="351"/>
      <c r="AV704" s="531" t="s">
        <v>325</v>
      </c>
      <c r="AW704" s="351"/>
      <c r="AX704" s="553"/>
      <c r="AY704" s="350"/>
      <c r="AZ704" s="351"/>
      <c r="BA704" s="545"/>
      <c r="BB704" s="351"/>
      <c r="BC704" s="36"/>
      <c r="BD704" s="556" t="s">
        <v>325</v>
      </c>
      <c r="BE704" s="351"/>
      <c r="BF704" s="557"/>
      <c r="BG704" s="350"/>
      <c r="BH704" s="350"/>
      <c r="BI704" s="351"/>
      <c r="BJ704" s="506" t="s">
        <v>294</v>
      </c>
      <c r="BK704" s="350"/>
      <c r="BL704" s="350"/>
      <c r="BM704" s="351"/>
      <c r="BN704" s="530" t="s">
        <v>294</v>
      </c>
      <c r="BO704" s="350"/>
      <c r="BP704" s="350"/>
      <c r="BQ704" s="350"/>
      <c r="BR704" s="350"/>
      <c r="BS704" s="350"/>
      <c r="BT704" s="350"/>
      <c r="BU704" s="350"/>
      <c r="BV704" s="351"/>
    </row>
    <row r="705" spans="1:74" ht="45" customHeight="1">
      <c r="A705" s="24">
        <f t="shared" si="2"/>
        <v>691</v>
      </c>
      <c r="B705" s="522" t="s">
        <v>294</v>
      </c>
      <c r="C705" s="351"/>
      <c r="D705" s="523" t="s">
        <v>298</v>
      </c>
      <c r="E705" s="351"/>
      <c r="F705" s="524" t="s">
        <v>325</v>
      </c>
      <c r="G705" s="351"/>
      <c r="H705" s="561" t="s">
        <v>325</v>
      </c>
      <c r="I705" s="351"/>
      <c r="J705" s="562"/>
      <c r="K705" s="351"/>
      <c r="L705" s="562"/>
      <c r="M705" s="351"/>
      <c r="N705" s="37"/>
      <c r="O705" s="38"/>
      <c r="P705" s="560"/>
      <c r="Q705" s="351"/>
      <c r="R705" s="527"/>
      <c r="S705" s="351"/>
      <c r="T705" s="528"/>
      <c r="U705" s="351"/>
      <c r="V705" s="541"/>
      <c r="W705" s="351"/>
      <c r="X705" s="542" t="s">
        <v>294</v>
      </c>
      <c r="Y705" s="350"/>
      <c r="Z705" s="350"/>
      <c r="AA705" s="351"/>
      <c r="AB705" s="543" t="s">
        <v>294</v>
      </c>
      <c r="AC705" s="350"/>
      <c r="AD705" s="350"/>
      <c r="AE705" s="351"/>
      <c r="AF705" s="544"/>
      <c r="AG705" s="351"/>
      <c r="AH705" s="544"/>
      <c r="AI705" s="351"/>
      <c r="AJ705" s="545"/>
      <c r="AK705" s="351"/>
      <c r="AL705" s="524" t="s">
        <v>325</v>
      </c>
      <c r="AM705" s="351"/>
      <c r="AN705" s="549" t="s">
        <v>325</v>
      </c>
      <c r="AO705" s="351"/>
      <c r="AP705" s="550"/>
      <c r="AQ705" s="351"/>
      <c r="AR705" s="551"/>
      <c r="AS705" s="351"/>
      <c r="AT705" s="552"/>
      <c r="AU705" s="351"/>
      <c r="AV705" s="549" t="s">
        <v>325</v>
      </c>
      <c r="AW705" s="351"/>
      <c r="AX705" s="553"/>
      <c r="AY705" s="350"/>
      <c r="AZ705" s="351"/>
      <c r="BA705" s="554"/>
      <c r="BB705" s="351"/>
      <c r="BC705" s="39"/>
      <c r="BD705" s="546" t="s">
        <v>325</v>
      </c>
      <c r="BE705" s="351"/>
      <c r="BF705" s="547"/>
      <c r="BG705" s="350"/>
      <c r="BH705" s="350"/>
      <c r="BI705" s="351"/>
      <c r="BJ705" s="548" t="s">
        <v>294</v>
      </c>
      <c r="BK705" s="350"/>
      <c r="BL705" s="350"/>
      <c r="BM705" s="351"/>
      <c r="BN705" s="530" t="s">
        <v>294</v>
      </c>
      <c r="BO705" s="350"/>
      <c r="BP705" s="350"/>
      <c r="BQ705" s="350"/>
      <c r="BR705" s="350"/>
      <c r="BS705" s="350"/>
      <c r="BT705" s="350"/>
      <c r="BU705" s="350"/>
      <c r="BV705" s="351"/>
    </row>
    <row r="706" spans="1:74" ht="45" customHeight="1">
      <c r="A706" s="24">
        <f t="shared" si="2"/>
        <v>692</v>
      </c>
      <c r="B706" s="558" t="s">
        <v>294</v>
      </c>
      <c r="C706" s="351"/>
      <c r="D706" s="559" t="s">
        <v>298</v>
      </c>
      <c r="E706" s="351"/>
      <c r="F706" s="524" t="s">
        <v>325</v>
      </c>
      <c r="G706" s="351"/>
      <c r="H706" s="525" t="s">
        <v>325</v>
      </c>
      <c r="I706" s="351"/>
      <c r="J706" s="563"/>
      <c r="K706" s="351"/>
      <c r="L706" s="563"/>
      <c r="M706" s="351"/>
      <c r="N706" s="34"/>
      <c r="O706" s="35"/>
      <c r="P706" s="526"/>
      <c r="Q706" s="351"/>
      <c r="R706" s="535"/>
      <c r="S706" s="351"/>
      <c r="T706" s="536"/>
      <c r="U706" s="351"/>
      <c r="V706" s="537"/>
      <c r="W706" s="351"/>
      <c r="X706" s="538" t="s">
        <v>294</v>
      </c>
      <c r="Y706" s="350"/>
      <c r="Z706" s="350"/>
      <c r="AA706" s="351"/>
      <c r="AB706" s="539" t="s">
        <v>294</v>
      </c>
      <c r="AC706" s="350"/>
      <c r="AD706" s="350"/>
      <c r="AE706" s="351"/>
      <c r="AF706" s="540"/>
      <c r="AG706" s="351"/>
      <c r="AH706" s="540"/>
      <c r="AI706" s="351"/>
      <c r="AJ706" s="545"/>
      <c r="AK706" s="351"/>
      <c r="AL706" s="555" t="s">
        <v>325</v>
      </c>
      <c r="AM706" s="351"/>
      <c r="AN706" s="531" t="s">
        <v>325</v>
      </c>
      <c r="AO706" s="351"/>
      <c r="AP706" s="532"/>
      <c r="AQ706" s="351"/>
      <c r="AR706" s="533"/>
      <c r="AS706" s="351"/>
      <c r="AT706" s="534"/>
      <c r="AU706" s="351"/>
      <c r="AV706" s="531" t="s">
        <v>325</v>
      </c>
      <c r="AW706" s="351"/>
      <c r="AX706" s="553"/>
      <c r="AY706" s="350"/>
      <c r="AZ706" s="351"/>
      <c r="BA706" s="545"/>
      <c r="BB706" s="351"/>
      <c r="BC706" s="36"/>
      <c r="BD706" s="556" t="s">
        <v>325</v>
      </c>
      <c r="BE706" s="351"/>
      <c r="BF706" s="529"/>
      <c r="BG706" s="350"/>
      <c r="BH706" s="350"/>
      <c r="BI706" s="351"/>
      <c r="BJ706" s="506" t="s">
        <v>294</v>
      </c>
      <c r="BK706" s="350"/>
      <c r="BL706" s="350"/>
      <c r="BM706" s="351"/>
      <c r="BN706" s="530" t="s">
        <v>294</v>
      </c>
      <c r="BO706" s="350"/>
      <c r="BP706" s="350"/>
      <c r="BQ706" s="350"/>
      <c r="BR706" s="350"/>
      <c r="BS706" s="350"/>
      <c r="BT706" s="350"/>
      <c r="BU706" s="350"/>
      <c r="BV706" s="351"/>
    </row>
    <row r="707" spans="1:74" ht="45" customHeight="1">
      <c r="A707" s="24">
        <f t="shared" si="2"/>
        <v>693</v>
      </c>
      <c r="B707" s="522" t="s">
        <v>294</v>
      </c>
      <c r="C707" s="351"/>
      <c r="D707" s="523" t="s">
        <v>298</v>
      </c>
      <c r="E707" s="351"/>
      <c r="F707" s="524" t="s">
        <v>325</v>
      </c>
      <c r="G707" s="351"/>
      <c r="H707" s="561" t="s">
        <v>325</v>
      </c>
      <c r="I707" s="351"/>
      <c r="J707" s="562"/>
      <c r="K707" s="351"/>
      <c r="L707" s="562"/>
      <c r="M707" s="351"/>
      <c r="N707" s="37"/>
      <c r="O707" s="38"/>
      <c r="P707" s="560"/>
      <c r="Q707" s="351"/>
      <c r="R707" s="527"/>
      <c r="S707" s="351"/>
      <c r="T707" s="528"/>
      <c r="U707" s="351"/>
      <c r="V707" s="541"/>
      <c r="W707" s="351"/>
      <c r="X707" s="542" t="s">
        <v>294</v>
      </c>
      <c r="Y707" s="350"/>
      <c r="Z707" s="350"/>
      <c r="AA707" s="351"/>
      <c r="AB707" s="543" t="s">
        <v>294</v>
      </c>
      <c r="AC707" s="350"/>
      <c r="AD707" s="350"/>
      <c r="AE707" s="351"/>
      <c r="AF707" s="544"/>
      <c r="AG707" s="351"/>
      <c r="AH707" s="544"/>
      <c r="AI707" s="351"/>
      <c r="AJ707" s="545"/>
      <c r="AK707" s="351"/>
      <c r="AL707" s="524" t="s">
        <v>325</v>
      </c>
      <c r="AM707" s="351"/>
      <c r="AN707" s="549" t="s">
        <v>325</v>
      </c>
      <c r="AO707" s="351"/>
      <c r="AP707" s="550"/>
      <c r="AQ707" s="351"/>
      <c r="AR707" s="551"/>
      <c r="AS707" s="351"/>
      <c r="AT707" s="552"/>
      <c r="AU707" s="351"/>
      <c r="AV707" s="549" t="s">
        <v>325</v>
      </c>
      <c r="AW707" s="351"/>
      <c r="AX707" s="553"/>
      <c r="AY707" s="350"/>
      <c r="AZ707" s="351"/>
      <c r="BA707" s="554"/>
      <c r="BB707" s="351"/>
      <c r="BC707" s="39"/>
      <c r="BD707" s="546" t="s">
        <v>325</v>
      </c>
      <c r="BE707" s="351"/>
      <c r="BF707" s="547"/>
      <c r="BG707" s="350"/>
      <c r="BH707" s="350"/>
      <c r="BI707" s="351"/>
      <c r="BJ707" s="548" t="s">
        <v>294</v>
      </c>
      <c r="BK707" s="350"/>
      <c r="BL707" s="350"/>
      <c r="BM707" s="351"/>
      <c r="BN707" s="530" t="s">
        <v>294</v>
      </c>
      <c r="BO707" s="350"/>
      <c r="BP707" s="350"/>
      <c r="BQ707" s="350"/>
      <c r="BR707" s="350"/>
      <c r="BS707" s="350"/>
      <c r="BT707" s="350"/>
      <c r="BU707" s="350"/>
      <c r="BV707" s="351"/>
    </row>
    <row r="708" spans="1:74" ht="45" customHeight="1">
      <c r="A708" s="24">
        <f t="shared" si="2"/>
        <v>694</v>
      </c>
      <c r="B708" s="558" t="s">
        <v>294</v>
      </c>
      <c r="C708" s="351"/>
      <c r="D708" s="559" t="s">
        <v>298</v>
      </c>
      <c r="E708" s="351"/>
      <c r="F708" s="524" t="s">
        <v>325</v>
      </c>
      <c r="G708" s="351"/>
      <c r="H708" s="525" t="s">
        <v>325</v>
      </c>
      <c r="I708" s="351"/>
      <c r="J708" s="563"/>
      <c r="K708" s="351"/>
      <c r="L708" s="563"/>
      <c r="M708" s="351"/>
      <c r="N708" s="34"/>
      <c r="O708" s="35"/>
      <c r="P708" s="526"/>
      <c r="Q708" s="351"/>
      <c r="R708" s="535"/>
      <c r="S708" s="351"/>
      <c r="T708" s="536"/>
      <c r="U708" s="351"/>
      <c r="V708" s="537"/>
      <c r="W708" s="351"/>
      <c r="X708" s="538" t="s">
        <v>294</v>
      </c>
      <c r="Y708" s="350"/>
      <c r="Z708" s="350"/>
      <c r="AA708" s="351"/>
      <c r="AB708" s="539" t="s">
        <v>294</v>
      </c>
      <c r="AC708" s="350"/>
      <c r="AD708" s="350"/>
      <c r="AE708" s="351"/>
      <c r="AF708" s="540"/>
      <c r="AG708" s="351"/>
      <c r="AH708" s="540"/>
      <c r="AI708" s="351"/>
      <c r="AJ708" s="545"/>
      <c r="AK708" s="351"/>
      <c r="AL708" s="555" t="s">
        <v>325</v>
      </c>
      <c r="AM708" s="351"/>
      <c r="AN708" s="531" t="s">
        <v>325</v>
      </c>
      <c r="AO708" s="351"/>
      <c r="AP708" s="532"/>
      <c r="AQ708" s="351"/>
      <c r="AR708" s="533"/>
      <c r="AS708" s="351"/>
      <c r="AT708" s="534"/>
      <c r="AU708" s="351"/>
      <c r="AV708" s="531" t="s">
        <v>325</v>
      </c>
      <c r="AW708" s="351"/>
      <c r="AX708" s="553"/>
      <c r="AY708" s="350"/>
      <c r="AZ708" s="351"/>
      <c r="BA708" s="545"/>
      <c r="BB708" s="351"/>
      <c r="BC708" s="36"/>
      <c r="BD708" s="556" t="s">
        <v>325</v>
      </c>
      <c r="BE708" s="351"/>
      <c r="BF708" s="557"/>
      <c r="BG708" s="350"/>
      <c r="BH708" s="350"/>
      <c r="BI708" s="351"/>
      <c r="BJ708" s="506" t="s">
        <v>294</v>
      </c>
      <c r="BK708" s="350"/>
      <c r="BL708" s="350"/>
      <c r="BM708" s="351"/>
      <c r="BN708" s="530" t="s">
        <v>294</v>
      </c>
      <c r="BO708" s="350"/>
      <c r="BP708" s="350"/>
      <c r="BQ708" s="350"/>
      <c r="BR708" s="350"/>
      <c r="BS708" s="350"/>
      <c r="BT708" s="350"/>
      <c r="BU708" s="350"/>
      <c r="BV708" s="351"/>
    </row>
    <row r="709" spans="1:74" ht="45" customHeight="1">
      <c r="A709" s="24">
        <f t="shared" si="2"/>
        <v>695</v>
      </c>
      <c r="B709" s="522" t="s">
        <v>294</v>
      </c>
      <c r="C709" s="351"/>
      <c r="D709" s="523" t="s">
        <v>298</v>
      </c>
      <c r="E709" s="351"/>
      <c r="F709" s="524" t="s">
        <v>325</v>
      </c>
      <c r="G709" s="351"/>
      <c r="H709" s="561" t="s">
        <v>325</v>
      </c>
      <c r="I709" s="351"/>
      <c r="J709" s="562"/>
      <c r="K709" s="351"/>
      <c r="L709" s="562"/>
      <c r="M709" s="351"/>
      <c r="N709" s="34"/>
      <c r="O709" s="35"/>
      <c r="P709" s="526"/>
      <c r="Q709" s="351"/>
      <c r="R709" s="527"/>
      <c r="S709" s="351"/>
      <c r="T709" s="528"/>
      <c r="U709" s="351"/>
      <c r="V709" s="541"/>
      <c r="W709" s="351"/>
      <c r="X709" s="542" t="s">
        <v>294</v>
      </c>
      <c r="Y709" s="350"/>
      <c r="Z709" s="350"/>
      <c r="AA709" s="351"/>
      <c r="AB709" s="543" t="s">
        <v>294</v>
      </c>
      <c r="AC709" s="350"/>
      <c r="AD709" s="350"/>
      <c r="AE709" s="351"/>
      <c r="AF709" s="544"/>
      <c r="AG709" s="351"/>
      <c r="AH709" s="544"/>
      <c r="AI709" s="351"/>
      <c r="AJ709" s="545"/>
      <c r="AK709" s="351"/>
      <c r="AL709" s="524" t="s">
        <v>325</v>
      </c>
      <c r="AM709" s="351"/>
      <c r="AN709" s="549" t="s">
        <v>325</v>
      </c>
      <c r="AO709" s="351"/>
      <c r="AP709" s="550"/>
      <c r="AQ709" s="351"/>
      <c r="AR709" s="551"/>
      <c r="AS709" s="351"/>
      <c r="AT709" s="534"/>
      <c r="AU709" s="351"/>
      <c r="AV709" s="549" t="s">
        <v>325</v>
      </c>
      <c r="AW709" s="351"/>
      <c r="AX709" s="553"/>
      <c r="AY709" s="350"/>
      <c r="AZ709" s="351"/>
      <c r="BA709" s="554"/>
      <c r="BB709" s="351"/>
      <c r="BC709" s="39"/>
      <c r="BD709" s="546" t="s">
        <v>325</v>
      </c>
      <c r="BE709" s="351"/>
      <c r="BF709" s="547"/>
      <c r="BG709" s="350"/>
      <c r="BH709" s="350"/>
      <c r="BI709" s="351"/>
      <c r="BJ709" s="548" t="s">
        <v>294</v>
      </c>
      <c r="BK709" s="350"/>
      <c r="BL709" s="350"/>
      <c r="BM709" s="351"/>
      <c r="BN709" s="530" t="s">
        <v>294</v>
      </c>
      <c r="BO709" s="350"/>
      <c r="BP709" s="350"/>
      <c r="BQ709" s="350"/>
      <c r="BR709" s="350"/>
      <c r="BS709" s="350"/>
      <c r="BT709" s="350"/>
      <c r="BU709" s="350"/>
      <c r="BV709" s="351"/>
    </row>
    <row r="710" spans="1:74" ht="45" customHeight="1">
      <c r="A710" s="24">
        <f t="shared" si="2"/>
        <v>696</v>
      </c>
      <c r="B710" s="558" t="s">
        <v>294</v>
      </c>
      <c r="C710" s="351"/>
      <c r="D710" s="559" t="s">
        <v>298</v>
      </c>
      <c r="E710" s="351"/>
      <c r="F710" s="524" t="s">
        <v>325</v>
      </c>
      <c r="G710" s="351"/>
      <c r="H710" s="525" t="s">
        <v>325</v>
      </c>
      <c r="I710" s="351"/>
      <c r="J710" s="563"/>
      <c r="K710" s="351"/>
      <c r="L710" s="563"/>
      <c r="M710" s="351"/>
      <c r="N710" s="37"/>
      <c r="O710" s="38"/>
      <c r="P710" s="560"/>
      <c r="Q710" s="351"/>
      <c r="R710" s="535"/>
      <c r="S710" s="351"/>
      <c r="T710" s="536"/>
      <c r="U710" s="351"/>
      <c r="V710" s="537"/>
      <c r="W710" s="351"/>
      <c r="X710" s="538" t="s">
        <v>294</v>
      </c>
      <c r="Y710" s="350"/>
      <c r="Z710" s="350"/>
      <c r="AA710" s="351"/>
      <c r="AB710" s="539" t="s">
        <v>294</v>
      </c>
      <c r="AC710" s="350"/>
      <c r="AD710" s="350"/>
      <c r="AE710" s="351"/>
      <c r="AF710" s="540"/>
      <c r="AG710" s="351"/>
      <c r="AH710" s="540"/>
      <c r="AI710" s="351"/>
      <c r="AJ710" s="545"/>
      <c r="AK710" s="351"/>
      <c r="AL710" s="555" t="s">
        <v>325</v>
      </c>
      <c r="AM710" s="351"/>
      <c r="AN710" s="531" t="s">
        <v>325</v>
      </c>
      <c r="AO710" s="351"/>
      <c r="AP710" s="532"/>
      <c r="AQ710" s="351"/>
      <c r="AR710" s="533"/>
      <c r="AS710" s="351"/>
      <c r="AT710" s="534"/>
      <c r="AU710" s="351"/>
      <c r="AV710" s="531" t="s">
        <v>325</v>
      </c>
      <c r="AW710" s="351"/>
      <c r="AX710" s="553"/>
      <c r="AY710" s="350"/>
      <c r="AZ710" s="351"/>
      <c r="BA710" s="545"/>
      <c r="BB710" s="351"/>
      <c r="BC710" s="36"/>
      <c r="BD710" s="556" t="s">
        <v>325</v>
      </c>
      <c r="BE710" s="351"/>
      <c r="BF710" s="557"/>
      <c r="BG710" s="350"/>
      <c r="BH710" s="350"/>
      <c r="BI710" s="351"/>
      <c r="BJ710" s="506" t="s">
        <v>294</v>
      </c>
      <c r="BK710" s="350"/>
      <c r="BL710" s="350"/>
      <c r="BM710" s="351"/>
      <c r="BN710" s="530" t="s">
        <v>294</v>
      </c>
      <c r="BO710" s="350"/>
      <c r="BP710" s="350"/>
      <c r="BQ710" s="350"/>
      <c r="BR710" s="350"/>
      <c r="BS710" s="350"/>
      <c r="BT710" s="350"/>
      <c r="BU710" s="350"/>
      <c r="BV710" s="351"/>
    </row>
    <row r="711" spans="1:74" ht="45" customHeight="1">
      <c r="A711" s="24">
        <f t="shared" si="2"/>
        <v>697</v>
      </c>
      <c r="B711" s="522" t="s">
        <v>294</v>
      </c>
      <c r="C711" s="351"/>
      <c r="D711" s="523" t="s">
        <v>298</v>
      </c>
      <c r="E711" s="351"/>
      <c r="F711" s="524" t="s">
        <v>325</v>
      </c>
      <c r="G711" s="351"/>
      <c r="H711" s="561" t="s">
        <v>325</v>
      </c>
      <c r="I711" s="351"/>
      <c r="J711" s="562"/>
      <c r="K711" s="351"/>
      <c r="L711" s="562"/>
      <c r="M711" s="351"/>
      <c r="N711" s="34"/>
      <c r="O711" s="35"/>
      <c r="P711" s="526"/>
      <c r="Q711" s="351"/>
      <c r="R711" s="527"/>
      <c r="S711" s="351"/>
      <c r="T711" s="528"/>
      <c r="U711" s="351"/>
      <c r="V711" s="541"/>
      <c r="W711" s="351"/>
      <c r="X711" s="542" t="s">
        <v>294</v>
      </c>
      <c r="Y711" s="350"/>
      <c r="Z711" s="350"/>
      <c r="AA711" s="351"/>
      <c r="AB711" s="543" t="s">
        <v>294</v>
      </c>
      <c r="AC711" s="350"/>
      <c r="AD711" s="350"/>
      <c r="AE711" s="351"/>
      <c r="AF711" s="544"/>
      <c r="AG711" s="351"/>
      <c r="AH711" s="544"/>
      <c r="AI711" s="351"/>
      <c r="AJ711" s="545"/>
      <c r="AK711" s="351"/>
      <c r="AL711" s="524" t="s">
        <v>325</v>
      </c>
      <c r="AM711" s="351"/>
      <c r="AN711" s="549" t="s">
        <v>325</v>
      </c>
      <c r="AO711" s="351"/>
      <c r="AP711" s="550"/>
      <c r="AQ711" s="351"/>
      <c r="AR711" s="551"/>
      <c r="AS711" s="351"/>
      <c r="AT711" s="534"/>
      <c r="AU711" s="351"/>
      <c r="AV711" s="549" t="s">
        <v>325</v>
      </c>
      <c r="AW711" s="351"/>
      <c r="AX711" s="553"/>
      <c r="AY711" s="350"/>
      <c r="AZ711" s="351"/>
      <c r="BA711" s="554"/>
      <c r="BB711" s="351"/>
      <c r="BC711" s="39"/>
      <c r="BD711" s="546" t="s">
        <v>325</v>
      </c>
      <c r="BE711" s="351"/>
      <c r="BF711" s="547"/>
      <c r="BG711" s="350"/>
      <c r="BH711" s="350"/>
      <c r="BI711" s="351"/>
      <c r="BJ711" s="548" t="s">
        <v>294</v>
      </c>
      <c r="BK711" s="350"/>
      <c r="BL711" s="350"/>
      <c r="BM711" s="351"/>
      <c r="BN711" s="530" t="s">
        <v>294</v>
      </c>
      <c r="BO711" s="350"/>
      <c r="BP711" s="350"/>
      <c r="BQ711" s="350"/>
      <c r="BR711" s="350"/>
      <c r="BS711" s="350"/>
      <c r="BT711" s="350"/>
      <c r="BU711" s="350"/>
      <c r="BV711" s="351"/>
    </row>
    <row r="712" spans="1:74" ht="45" customHeight="1">
      <c r="A712" s="24">
        <f t="shared" si="2"/>
        <v>698</v>
      </c>
      <c r="B712" s="558" t="s">
        <v>294</v>
      </c>
      <c r="C712" s="351"/>
      <c r="D712" s="559" t="s">
        <v>298</v>
      </c>
      <c r="E712" s="351"/>
      <c r="F712" s="524" t="s">
        <v>325</v>
      </c>
      <c r="G712" s="351"/>
      <c r="H712" s="525" t="s">
        <v>325</v>
      </c>
      <c r="I712" s="351"/>
      <c r="J712" s="563"/>
      <c r="K712" s="351"/>
      <c r="L712" s="563"/>
      <c r="M712" s="351"/>
      <c r="N712" s="37"/>
      <c r="O712" s="38"/>
      <c r="P712" s="560"/>
      <c r="Q712" s="351"/>
      <c r="R712" s="535"/>
      <c r="S712" s="351"/>
      <c r="T712" s="536"/>
      <c r="U712" s="351"/>
      <c r="V712" s="537"/>
      <c r="W712" s="351"/>
      <c r="X712" s="538" t="s">
        <v>294</v>
      </c>
      <c r="Y712" s="350"/>
      <c r="Z712" s="350"/>
      <c r="AA712" s="351"/>
      <c r="AB712" s="539" t="s">
        <v>294</v>
      </c>
      <c r="AC712" s="350"/>
      <c r="AD712" s="350"/>
      <c r="AE712" s="351"/>
      <c r="AF712" s="540"/>
      <c r="AG712" s="351"/>
      <c r="AH712" s="540"/>
      <c r="AI712" s="351"/>
      <c r="AJ712" s="545"/>
      <c r="AK712" s="351"/>
      <c r="AL712" s="555" t="s">
        <v>325</v>
      </c>
      <c r="AM712" s="351"/>
      <c r="AN712" s="531" t="s">
        <v>325</v>
      </c>
      <c r="AO712" s="351"/>
      <c r="AP712" s="532"/>
      <c r="AQ712" s="351"/>
      <c r="AR712" s="533"/>
      <c r="AS712" s="351"/>
      <c r="AT712" s="534"/>
      <c r="AU712" s="351"/>
      <c r="AV712" s="531" t="s">
        <v>325</v>
      </c>
      <c r="AW712" s="351"/>
      <c r="AX712" s="553"/>
      <c r="AY712" s="350"/>
      <c r="AZ712" s="351"/>
      <c r="BA712" s="545"/>
      <c r="BB712" s="351"/>
      <c r="BC712" s="36"/>
      <c r="BD712" s="556" t="s">
        <v>325</v>
      </c>
      <c r="BE712" s="351"/>
      <c r="BF712" s="557"/>
      <c r="BG712" s="350"/>
      <c r="BH712" s="350"/>
      <c r="BI712" s="351"/>
      <c r="BJ712" s="506" t="s">
        <v>294</v>
      </c>
      <c r="BK712" s="350"/>
      <c r="BL712" s="350"/>
      <c r="BM712" s="351"/>
      <c r="BN712" s="530" t="s">
        <v>294</v>
      </c>
      <c r="BO712" s="350"/>
      <c r="BP712" s="350"/>
      <c r="BQ712" s="350"/>
      <c r="BR712" s="350"/>
      <c r="BS712" s="350"/>
      <c r="BT712" s="350"/>
      <c r="BU712" s="350"/>
      <c r="BV712" s="351"/>
    </row>
    <row r="713" spans="1:74" ht="45" customHeight="1">
      <c r="A713" s="24">
        <f t="shared" si="2"/>
        <v>699</v>
      </c>
      <c r="B713" s="522" t="s">
        <v>294</v>
      </c>
      <c r="C713" s="351"/>
      <c r="D713" s="523" t="s">
        <v>298</v>
      </c>
      <c r="E713" s="351"/>
      <c r="F713" s="524" t="s">
        <v>325</v>
      </c>
      <c r="G713" s="351"/>
      <c r="H713" s="561" t="s">
        <v>325</v>
      </c>
      <c r="I713" s="351"/>
      <c r="J713" s="562"/>
      <c r="K713" s="351"/>
      <c r="L713" s="562"/>
      <c r="M713" s="351"/>
      <c r="N713" s="34"/>
      <c r="O713" s="38"/>
      <c r="P713" s="526"/>
      <c r="Q713" s="351"/>
      <c r="R713" s="527"/>
      <c r="S713" s="351"/>
      <c r="T713" s="528"/>
      <c r="U713" s="351"/>
      <c r="V713" s="541"/>
      <c r="W713" s="351"/>
      <c r="X713" s="542" t="s">
        <v>294</v>
      </c>
      <c r="Y713" s="350"/>
      <c r="Z713" s="350"/>
      <c r="AA713" s="351"/>
      <c r="AB713" s="543" t="s">
        <v>294</v>
      </c>
      <c r="AC713" s="350"/>
      <c r="AD713" s="350"/>
      <c r="AE713" s="351"/>
      <c r="AF713" s="544"/>
      <c r="AG713" s="351"/>
      <c r="AH713" s="544"/>
      <c r="AI713" s="351"/>
      <c r="AJ713" s="545"/>
      <c r="AK713" s="351"/>
      <c r="AL713" s="524" t="s">
        <v>325</v>
      </c>
      <c r="AM713" s="351"/>
      <c r="AN713" s="549" t="s">
        <v>325</v>
      </c>
      <c r="AO713" s="351"/>
      <c r="AP713" s="550"/>
      <c r="AQ713" s="351"/>
      <c r="AR713" s="551"/>
      <c r="AS713" s="351"/>
      <c r="AT713" s="552"/>
      <c r="AU713" s="351"/>
      <c r="AV713" s="549" t="s">
        <v>325</v>
      </c>
      <c r="AW713" s="351"/>
      <c r="AX713" s="553"/>
      <c r="AY713" s="350"/>
      <c r="AZ713" s="351"/>
      <c r="BA713" s="554"/>
      <c r="BB713" s="351"/>
      <c r="BC713" s="39"/>
      <c r="BD713" s="546" t="s">
        <v>325</v>
      </c>
      <c r="BE713" s="351"/>
      <c r="BF713" s="547"/>
      <c r="BG713" s="350"/>
      <c r="BH713" s="350"/>
      <c r="BI713" s="351"/>
      <c r="BJ713" s="548" t="s">
        <v>294</v>
      </c>
      <c r="BK713" s="350"/>
      <c r="BL713" s="350"/>
      <c r="BM713" s="351"/>
      <c r="BN713" s="530" t="s">
        <v>294</v>
      </c>
      <c r="BO713" s="350"/>
      <c r="BP713" s="350"/>
      <c r="BQ713" s="350"/>
      <c r="BR713" s="350"/>
      <c r="BS713" s="350"/>
      <c r="BT713" s="350"/>
      <c r="BU713" s="350"/>
      <c r="BV713" s="351"/>
    </row>
    <row r="714" spans="1:74" ht="45" customHeight="1">
      <c r="A714" s="24">
        <f t="shared" si="2"/>
        <v>700</v>
      </c>
      <c r="B714" s="558" t="s">
        <v>294</v>
      </c>
      <c r="C714" s="351"/>
      <c r="D714" s="559" t="s">
        <v>298</v>
      </c>
      <c r="E714" s="351"/>
      <c r="F714" s="524" t="s">
        <v>325</v>
      </c>
      <c r="G714" s="351"/>
      <c r="H714" s="525" t="s">
        <v>325</v>
      </c>
      <c r="I714" s="351"/>
      <c r="J714" s="563"/>
      <c r="K714" s="351"/>
      <c r="L714" s="563"/>
      <c r="M714" s="351"/>
      <c r="N714" s="37"/>
      <c r="O714" s="35"/>
      <c r="P714" s="560"/>
      <c r="Q714" s="351"/>
      <c r="R714" s="535"/>
      <c r="S714" s="351"/>
      <c r="T714" s="536"/>
      <c r="U714" s="351"/>
      <c r="V714" s="537"/>
      <c r="W714" s="351"/>
      <c r="X714" s="538" t="s">
        <v>294</v>
      </c>
      <c r="Y714" s="350"/>
      <c r="Z714" s="350"/>
      <c r="AA714" s="351"/>
      <c r="AB714" s="539" t="s">
        <v>294</v>
      </c>
      <c r="AC714" s="350"/>
      <c r="AD714" s="350"/>
      <c r="AE714" s="351"/>
      <c r="AF714" s="540"/>
      <c r="AG714" s="351"/>
      <c r="AH714" s="540"/>
      <c r="AI714" s="351"/>
      <c r="AJ714" s="545"/>
      <c r="AK714" s="351"/>
      <c r="AL714" s="555" t="s">
        <v>325</v>
      </c>
      <c r="AM714" s="351"/>
      <c r="AN714" s="531" t="s">
        <v>325</v>
      </c>
      <c r="AO714" s="351"/>
      <c r="AP714" s="532"/>
      <c r="AQ714" s="351"/>
      <c r="AR714" s="533"/>
      <c r="AS714" s="351"/>
      <c r="AT714" s="534"/>
      <c r="AU714" s="351"/>
      <c r="AV714" s="531" t="s">
        <v>325</v>
      </c>
      <c r="AW714" s="351"/>
      <c r="AX714" s="553"/>
      <c r="AY714" s="350"/>
      <c r="AZ714" s="351"/>
      <c r="BA714" s="545"/>
      <c r="BB714" s="351"/>
      <c r="BC714" s="36"/>
      <c r="BD714" s="556" t="s">
        <v>325</v>
      </c>
      <c r="BE714" s="351"/>
      <c r="BF714" s="529"/>
      <c r="BG714" s="350"/>
      <c r="BH714" s="350"/>
      <c r="BI714" s="351"/>
      <c r="BJ714" s="506" t="s">
        <v>294</v>
      </c>
      <c r="BK714" s="350"/>
      <c r="BL714" s="350"/>
      <c r="BM714" s="351"/>
      <c r="BN714" s="530" t="s">
        <v>294</v>
      </c>
      <c r="BO714" s="350"/>
      <c r="BP714" s="350"/>
      <c r="BQ714" s="350"/>
      <c r="BR714" s="350"/>
      <c r="BS714" s="350"/>
      <c r="BT714" s="350"/>
      <c r="BU714" s="350"/>
      <c r="BV714" s="351"/>
    </row>
    <row r="715" spans="1:74" ht="45" customHeight="1">
      <c r="A715" s="24">
        <f t="shared" si="2"/>
        <v>701</v>
      </c>
      <c r="B715" s="522" t="s">
        <v>294</v>
      </c>
      <c r="C715" s="351"/>
      <c r="D715" s="523" t="s">
        <v>298</v>
      </c>
      <c r="E715" s="351"/>
      <c r="F715" s="524" t="s">
        <v>325</v>
      </c>
      <c r="G715" s="351"/>
      <c r="H715" s="561" t="s">
        <v>325</v>
      </c>
      <c r="I715" s="351"/>
      <c r="J715" s="562"/>
      <c r="K715" s="351"/>
      <c r="L715" s="562"/>
      <c r="M715" s="351"/>
      <c r="N715" s="34"/>
      <c r="O715" s="38"/>
      <c r="P715" s="526"/>
      <c r="Q715" s="351"/>
      <c r="R715" s="527"/>
      <c r="S715" s="351"/>
      <c r="T715" s="528"/>
      <c r="U715" s="351"/>
      <c r="V715" s="541"/>
      <c r="W715" s="351"/>
      <c r="X715" s="542" t="s">
        <v>294</v>
      </c>
      <c r="Y715" s="350"/>
      <c r="Z715" s="350"/>
      <c r="AA715" s="351"/>
      <c r="AB715" s="543" t="s">
        <v>294</v>
      </c>
      <c r="AC715" s="350"/>
      <c r="AD715" s="350"/>
      <c r="AE715" s="351"/>
      <c r="AF715" s="544"/>
      <c r="AG715" s="351"/>
      <c r="AH715" s="544"/>
      <c r="AI715" s="351"/>
      <c r="AJ715" s="545"/>
      <c r="AK715" s="351"/>
      <c r="AL715" s="524" t="s">
        <v>325</v>
      </c>
      <c r="AM715" s="351"/>
      <c r="AN715" s="549" t="s">
        <v>325</v>
      </c>
      <c r="AO715" s="351"/>
      <c r="AP715" s="550"/>
      <c r="AQ715" s="351"/>
      <c r="AR715" s="551"/>
      <c r="AS715" s="351"/>
      <c r="AT715" s="552"/>
      <c r="AU715" s="351"/>
      <c r="AV715" s="549" t="s">
        <v>325</v>
      </c>
      <c r="AW715" s="351"/>
      <c r="AX715" s="553"/>
      <c r="AY715" s="350"/>
      <c r="AZ715" s="351"/>
      <c r="BA715" s="554"/>
      <c r="BB715" s="351"/>
      <c r="BC715" s="39"/>
      <c r="BD715" s="546" t="s">
        <v>325</v>
      </c>
      <c r="BE715" s="351"/>
      <c r="BF715" s="547"/>
      <c r="BG715" s="350"/>
      <c r="BH715" s="350"/>
      <c r="BI715" s="351"/>
      <c r="BJ715" s="548" t="s">
        <v>294</v>
      </c>
      <c r="BK715" s="350"/>
      <c r="BL715" s="350"/>
      <c r="BM715" s="351"/>
      <c r="BN715" s="530" t="s">
        <v>294</v>
      </c>
      <c r="BO715" s="350"/>
      <c r="BP715" s="350"/>
      <c r="BQ715" s="350"/>
      <c r="BR715" s="350"/>
      <c r="BS715" s="350"/>
      <c r="BT715" s="350"/>
      <c r="BU715" s="350"/>
      <c r="BV715" s="351"/>
    </row>
    <row r="716" spans="1:74" ht="45" customHeight="1">
      <c r="A716" s="24">
        <f t="shared" si="2"/>
        <v>702</v>
      </c>
      <c r="B716" s="558" t="s">
        <v>294</v>
      </c>
      <c r="C716" s="351"/>
      <c r="D716" s="559" t="s">
        <v>298</v>
      </c>
      <c r="E716" s="351"/>
      <c r="F716" s="524" t="s">
        <v>325</v>
      </c>
      <c r="G716" s="351"/>
      <c r="H716" s="525" t="s">
        <v>325</v>
      </c>
      <c r="I716" s="351"/>
      <c r="J716" s="563"/>
      <c r="K716" s="351"/>
      <c r="L716" s="563"/>
      <c r="M716" s="351"/>
      <c r="N716" s="37"/>
      <c r="O716" s="35"/>
      <c r="P716" s="560"/>
      <c r="Q716" s="351"/>
      <c r="R716" s="535"/>
      <c r="S716" s="351"/>
      <c r="T716" s="536"/>
      <c r="U716" s="351"/>
      <c r="V716" s="537"/>
      <c r="W716" s="351"/>
      <c r="X716" s="538" t="s">
        <v>294</v>
      </c>
      <c r="Y716" s="350"/>
      <c r="Z716" s="350"/>
      <c r="AA716" s="351"/>
      <c r="AB716" s="539" t="s">
        <v>294</v>
      </c>
      <c r="AC716" s="350"/>
      <c r="AD716" s="350"/>
      <c r="AE716" s="351"/>
      <c r="AF716" s="540"/>
      <c r="AG716" s="351"/>
      <c r="AH716" s="540"/>
      <c r="AI716" s="351"/>
      <c r="AJ716" s="545"/>
      <c r="AK716" s="351"/>
      <c r="AL716" s="555" t="s">
        <v>325</v>
      </c>
      <c r="AM716" s="351"/>
      <c r="AN716" s="531" t="s">
        <v>325</v>
      </c>
      <c r="AO716" s="351"/>
      <c r="AP716" s="532"/>
      <c r="AQ716" s="351"/>
      <c r="AR716" s="533"/>
      <c r="AS716" s="351"/>
      <c r="AT716" s="534"/>
      <c r="AU716" s="351"/>
      <c r="AV716" s="531" t="s">
        <v>325</v>
      </c>
      <c r="AW716" s="351"/>
      <c r="AX716" s="553"/>
      <c r="AY716" s="350"/>
      <c r="AZ716" s="351"/>
      <c r="BA716" s="545"/>
      <c r="BB716" s="351"/>
      <c r="BC716" s="36"/>
      <c r="BD716" s="556" t="s">
        <v>325</v>
      </c>
      <c r="BE716" s="351"/>
      <c r="BF716" s="557"/>
      <c r="BG716" s="350"/>
      <c r="BH716" s="350"/>
      <c r="BI716" s="351"/>
      <c r="BJ716" s="506" t="s">
        <v>294</v>
      </c>
      <c r="BK716" s="350"/>
      <c r="BL716" s="350"/>
      <c r="BM716" s="351"/>
      <c r="BN716" s="530" t="s">
        <v>294</v>
      </c>
      <c r="BO716" s="350"/>
      <c r="BP716" s="350"/>
      <c r="BQ716" s="350"/>
      <c r="BR716" s="350"/>
      <c r="BS716" s="350"/>
      <c r="BT716" s="350"/>
      <c r="BU716" s="350"/>
      <c r="BV716" s="351"/>
    </row>
    <row r="717" spans="1:74" ht="45" customHeight="1">
      <c r="A717" s="24">
        <f t="shared" si="2"/>
        <v>703</v>
      </c>
      <c r="B717" s="522" t="s">
        <v>294</v>
      </c>
      <c r="C717" s="351"/>
      <c r="D717" s="523" t="s">
        <v>298</v>
      </c>
      <c r="E717" s="351"/>
      <c r="F717" s="524" t="s">
        <v>325</v>
      </c>
      <c r="G717" s="351"/>
      <c r="H717" s="561" t="s">
        <v>325</v>
      </c>
      <c r="I717" s="351"/>
      <c r="J717" s="562"/>
      <c r="K717" s="351"/>
      <c r="L717" s="562"/>
      <c r="M717" s="351"/>
      <c r="N717" s="34"/>
      <c r="O717" s="38"/>
      <c r="P717" s="526"/>
      <c r="Q717" s="351"/>
      <c r="R717" s="527"/>
      <c r="S717" s="351"/>
      <c r="T717" s="528"/>
      <c r="U717" s="351"/>
      <c r="V717" s="541"/>
      <c r="W717" s="351"/>
      <c r="X717" s="542" t="s">
        <v>294</v>
      </c>
      <c r="Y717" s="350"/>
      <c r="Z717" s="350"/>
      <c r="AA717" s="351"/>
      <c r="AB717" s="543" t="s">
        <v>294</v>
      </c>
      <c r="AC717" s="350"/>
      <c r="AD717" s="350"/>
      <c r="AE717" s="351"/>
      <c r="AF717" s="544"/>
      <c r="AG717" s="351"/>
      <c r="AH717" s="544"/>
      <c r="AI717" s="351"/>
      <c r="AJ717" s="545"/>
      <c r="AK717" s="351"/>
      <c r="AL717" s="524" t="s">
        <v>325</v>
      </c>
      <c r="AM717" s="351"/>
      <c r="AN717" s="549" t="s">
        <v>325</v>
      </c>
      <c r="AO717" s="351"/>
      <c r="AP717" s="550"/>
      <c r="AQ717" s="351"/>
      <c r="AR717" s="551"/>
      <c r="AS717" s="351"/>
      <c r="AT717" s="552"/>
      <c r="AU717" s="351"/>
      <c r="AV717" s="549" t="s">
        <v>325</v>
      </c>
      <c r="AW717" s="351"/>
      <c r="AX717" s="553"/>
      <c r="AY717" s="350"/>
      <c r="AZ717" s="351"/>
      <c r="BA717" s="554"/>
      <c r="BB717" s="351"/>
      <c r="BC717" s="39"/>
      <c r="BD717" s="546" t="s">
        <v>325</v>
      </c>
      <c r="BE717" s="351"/>
      <c r="BF717" s="547"/>
      <c r="BG717" s="350"/>
      <c r="BH717" s="350"/>
      <c r="BI717" s="351"/>
      <c r="BJ717" s="548" t="s">
        <v>294</v>
      </c>
      <c r="BK717" s="350"/>
      <c r="BL717" s="350"/>
      <c r="BM717" s="351"/>
      <c r="BN717" s="530" t="s">
        <v>294</v>
      </c>
      <c r="BO717" s="350"/>
      <c r="BP717" s="350"/>
      <c r="BQ717" s="350"/>
      <c r="BR717" s="350"/>
      <c r="BS717" s="350"/>
      <c r="BT717" s="350"/>
      <c r="BU717" s="350"/>
      <c r="BV717" s="351"/>
    </row>
    <row r="718" spans="1:74" ht="45" customHeight="1">
      <c r="A718" s="24">
        <f t="shared" si="2"/>
        <v>704</v>
      </c>
      <c r="B718" s="558" t="s">
        <v>294</v>
      </c>
      <c r="C718" s="351"/>
      <c r="D718" s="559" t="s">
        <v>298</v>
      </c>
      <c r="E718" s="351"/>
      <c r="F718" s="524" t="s">
        <v>325</v>
      </c>
      <c r="G718" s="351"/>
      <c r="H718" s="525" t="s">
        <v>325</v>
      </c>
      <c r="I718" s="351"/>
      <c r="J718" s="563"/>
      <c r="K718" s="351"/>
      <c r="L718" s="563"/>
      <c r="M718" s="351"/>
      <c r="N718" s="37"/>
      <c r="O718" s="35"/>
      <c r="P718" s="560"/>
      <c r="Q718" s="351"/>
      <c r="R718" s="535"/>
      <c r="S718" s="351"/>
      <c r="T718" s="536"/>
      <c r="U718" s="351"/>
      <c r="V718" s="537"/>
      <c r="W718" s="351"/>
      <c r="X718" s="538" t="s">
        <v>294</v>
      </c>
      <c r="Y718" s="350"/>
      <c r="Z718" s="350"/>
      <c r="AA718" s="351"/>
      <c r="AB718" s="539" t="s">
        <v>294</v>
      </c>
      <c r="AC718" s="350"/>
      <c r="AD718" s="350"/>
      <c r="AE718" s="351"/>
      <c r="AF718" s="540"/>
      <c r="AG718" s="351"/>
      <c r="AH718" s="540"/>
      <c r="AI718" s="351"/>
      <c r="AJ718" s="545"/>
      <c r="AK718" s="351"/>
      <c r="AL718" s="555" t="s">
        <v>325</v>
      </c>
      <c r="AM718" s="351"/>
      <c r="AN718" s="531" t="s">
        <v>325</v>
      </c>
      <c r="AO718" s="351"/>
      <c r="AP718" s="532"/>
      <c r="AQ718" s="351"/>
      <c r="AR718" s="533"/>
      <c r="AS718" s="351"/>
      <c r="AT718" s="534"/>
      <c r="AU718" s="351"/>
      <c r="AV718" s="531" t="s">
        <v>325</v>
      </c>
      <c r="AW718" s="351"/>
      <c r="AX718" s="553"/>
      <c r="AY718" s="350"/>
      <c r="AZ718" s="351"/>
      <c r="BA718" s="545"/>
      <c r="BB718" s="351"/>
      <c r="BC718" s="36"/>
      <c r="BD718" s="556" t="s">
        <v>325</v>
      </c>
      <c r="BE718" s="351"/>
      <c r="BF718" s="557"/>
      <c r="BG718" s="350"/>
      <c r="BH718" s="350"/>
      <c r="BI718" s="351"/>
      <c r="BJ718" s="506" t="s">
        <v>294</v>
      </c>
      <c r="BK718" s="350"/>
      <c r="BL718" s="350"/>
      <c r="BM718" s="351"/>
      <c r="BN718" s="530" t="s">
        <v>294</v>
      </c>
      <c r="BO718" s="350"/>
      <c r="BP718" s="350"/>
      <c r="BQ718" s="350"/>
      <c r="BR718" s="350"/>
      <c r="BS718" s="350"/>
      <c r="BT718" s="350"/>
      <c r="BU718" s="350"/>
      <c r="BV718" s="351"/>
    </row>
    <row r="719" spans="1:74" ht="45" customHeight="1">
      <c r="A719" s="24">
        <f t="shared" si="2"/>
        <v>705</v>
      </c>
      <c r="B719" s="522" t="s">
        <v>294</v>
      </c>
      <c r="C719" s="351"/>
      <c r="D719" s="523" t="s">
        <v>298</v>
      </c>
      <c r="E719" s="351"/>
      <c r="F719" s="524" t="s">
        <v>325</v>
      </c>
      <c r="G719" s="351"/>
      <c r="H719" s="561" t="s">
        <v>325</v>
      </c>
      <c r="I719" s="351"/>
      <c r="J719" s="562"/>
      <c r="K719" s="351"/>
      <c r="L719" s="562"/>
      <c r="M719" s="351"/>
      <c r="N719" s="34"/>
      <c r="O719" s="38"/>
      <c r="P719" s="526"/>
      <c r="Q719" s="351"/>
      <c r="R719" s="527"/>
      <c r="S719" s="351"/>
      <c r="T719" s="528"/>
      <c r="U719" s="351"/>
      <c r="V719" s="541"/>
      <c r="W719" s="351"/>
      <c r="X719" s="542" t="s">
        <v>294</v>
      </c>
      <c r="Y719" s="350"/>
      <c r="Z719" s="350"/>
      <c r="AA719" s="351"/>
      <c r="AB719" s="543" t="s">
        <v>294</v>
      </c>
      <c r="AC719" s="350"/>
      <c r="AD719" s="350"/>
      <c r="AE719" s="351"/>
      <c r="AF719" s="544"/>
      <c r="AG719" s="351"/>
      <c r="AH719" s="544"/>
      <c r="AI719" s="351"/>
      <c r="AJ719" s="545"/>
      <c r="AK719" s="351"/>
      <c r="AL719" s="524" t="s">
        <v>325</v>
      </c>
      <c r="AM719" s="351"/>
      <c r="AN719" s="549" t="s">
        <v>325</v>
      </c>
      <c r="AO719" s="351"/>
      <c r="AP719" s="550"/>
      <c r="AQ719" s="351"/>
      <c r="AR719" s="551"/>
      <c r="AS719" s="351"/>
      <c r="AT719" s="552"/>
      <c r="AU719" s="351"/>
      <c r="AV719" s="549" t="s">
        <v>325</v>
      </c>
      <c r="AW719" s="351"/>
      <c r="AX719" s="553"/>
      <c r="AY719" s="350"/>
      <c r="AZ719" s="351"/>
      <c r="BA719" s="554"/>
      <c r="BB719" s="351"/>
      <c r="BC719" s="39"/>
      <c r="BD719" s="546" t="s">
        <v>325</v>
      </c>
      <c r="BE719" s="351"/>
      <c r="BF719" s="547"/>
      <c r="BG719" s="350"/>
      <c r="BH719" s="350"/>
      <c r="BI719" s="351"/>
      <c r="BJ719" s="548" t="s">
        <v>294</v>
      </c>
      <c r="BK719" s="350"/>
      <c r="BL719" s="350"/>
      <c r="BM719" s="351"/>
      <c r="BN719" s="530" t="s">
        <v>294</v>
      </c>
      <c r="BO719" s="350"/>
      <c r="BP719" s="350"/>
      <c r="BQ719" s="350"/>
      <c r="BR719" s="350"/>
      <c r="BS719" s="350"/>
      <c r="BT719" s="350"/>
      <c r="BU719" s="350"/>
      <c r="BV719" s="351"/>
    </row>
    <row r="720" spans="1:74" ht="45" customHeight="1">
      <c r="A720" s="24">
        <f t="shared" si="2"/>
        <v>706</v>
      </c>
      <c r="B720" s="558" t="s">
        <v>294</v>
      </c>
      <c r="C720" s="351"/>
      <c r="D720" s="559" t="s">
        <v>298</v>
      </c>
      <c r="E720" s="351"/>
      <c r="F720" s="524" t="s">
        <v>325</v>
      </c>
      <c r="G720" s="351"/>
      <c r="H720" s="525" t="s">
        <v>325</v>
      </c>
      <c r="I720" s="351"/>
      <c r="J720" s="563"/>
      <c r="K720" s="351"/>
      <c r="L720" s="563"/>
      <c r="M720" s="351"/>
      <c r="N720" s="37"/>
      <c r="O720" s="35"/>
      <c r="P720" s="560"/>
      <c r="Q720" s="351"/>
      <c r="R720" s="535"/>
      <c r="S720" s="351"/>
      <c r="T720" s="536"/>
      <c r="U720" s="351"/>
      <c r="V720" s="537"/>
      <c r="W720" s="351"/>
      <c r="X720" s="538" t="s">
        <v>294</v>
      </c>
      <c r="Y720" s="350"/>
      <c r="Z720" s="350"/>
      <c r="AA720" s="351"/>
      <c r="AB720" s="539" t="s">
        <v>294</v>
      </c>
      <c r="AC720" s="350"/>
      <c r="AD720" s="350"/>
      <c r="AE720" s="351"/>
      <c r="AF720" s="540"/>
      <c r="AG720" s="351"/>
      <c r="AH720" s="540"/>
      <c r="AI720" s="351"/>
      <c r="AJ720" s="545"/>
      <c r="AK720" s="351"/>
      <c r="AL720" s="555" t="s">
        <v>325</v>
      </c>
      <c r="AM720" s="351"/>
      <c r="AN720" s="531" t="s">
        <v>325</v>
      </c>
      <c r="AO720" s="351"/>
      <c r="AP720" s="532"/>
      <c r="AQ720" s="351"/>
      <c r="AR720" s="533"/>
      <c r="AS720" s="351"/>
      <c r="AT720" s="534"/>
      <c r="AU720" s="351"/>
      <c r="AV720" s="531" t="s">
        <v>325</v>
      </c>
      <c r="AW720" s="351"/>
      <c r="AX720" s="553"/>
      <c r="AY720" s="350"/>
      <c r="AZ720" s="351"/>
      <c r="BA720" s="545"/>
      <c r="BB720" s="351"/>
      <c r="BC720" s="36"/>
      <c r="BD720" s="556" t="s">
        <v>325</v>
      </c>
      <c r="BE720" s="351"/>
      <c r="BF720" s="529"/>
      <c r="BG720" s="350"/>
      <c r="BH720" s="350"/>
      <c r="BI720" s="351"/>
      <c r="BJ720" s="506" t="s">
        <v>294</v>
      </c>
      <c r="BK720" s="350"/>
      <c r="BL720" s="350"/>
      <c r="BM720" s="351"/>
      <c r="BN720" s="530" t="s">
        <v>294</v>
      </c>
      <c r="BO720" s="350"/>
      <c r="BP720" s="350"/>
      <c r="BQ720" s="350"/>
      <c r="BR720" s="350"/>
      <c r="BS720" s="350"/>
      <c r="BT720" s="350"/>
      <c r="BU720" s="350"/>
      <c r="BV720" s="351"/>
    </row>
    <row r="721" spans="1:74" ht="45" customHeight="1">
      <c r="A721" s="24">
        <f t="shared" si="2"/>
        <v>707</v>
      </c>
      <c r="B721" s="522" t="s">
        <v>294</v>
      </c>
      <c r="C721" s="351"/>
      <c r="D721" s="523" t="s">
        <v>298</v>
      </c>
      <c r="E721" s="351"/>
      <c r="F721" s="524" t="s">
        <v>325</v>
      </c>
      <c r="G721" s="351"/>
      <c r="H721" s="561" t="s">
        <v>325</v>
      </c>
      <c r="I721" s="351"/>
      <c r="J721" s="562"/>
      <c r="K721" s="351"/>
      <c r="L721" s="562"/>
      <c r="M721" s="351"/>
      <c r="N721" s="34"/>
      <c r="O721" s="38"/>
      <c r="P721" s="526"/>
      <c r="Q721" s="351"/>
      <c r="R721" s="527"/>
      <c r="S721" s="351"/>
      <c r="T721" s="528"/>
      <c r="U721" s="351"/>
      <c r="V721" s="541"/>
      <c r="W721" s="351"/>
      <c r="X721" s="542" t="s">
        <v>294</v>
      </c>
      <c r="Y721" s="350"/>
      <c r="Z721" s="350"/>
      <c r="AA721" s="351"/>
      <c r="AB721" s="543" t="s">
        <v>294</v>
      </c>
      <c r="AC721" s="350"/>
      <c r="AD721" s="350"/>
      <c r="AE721" s="351"/>
      <c r="AF721" s="544"/>
      <c r="AG721" s="351"/>
      <c r="AH721" s="544"/>
      <c r="AI721" s="351"/>
      <c r="AJ721" s="545"/>
      <c r="AK721" s="351"/>
      <c r="AL721" s="524" t="s">
        <v>325</v>
      </c>
      <c r="AM721" s="351"/>
      <c r="AN721" s="549" t="s">
        <v>325</v>
      </c>
      <c r="AO721" s="351"/>
      <c r="AP721" s="550"/>
      <c r="AQ721" s="351"/>
      <c r="AR721" s="551"/>
      <c r="AS721" s="351"/>
      <c r="AT721" s="552"/>
      <c r="AU721" s="351"/>
      <c r="AV721" s="549" t="s">
        <v>325</v>
      </c>
      <c r="AW721" s="351"/>
      <c r="AX721" s="553"/>
      <c r="AY721" s="350"/>
      <c r="AZ721" s="351"/>
      <c r="BA721" s="554"/>
      <c r="BB721" s="351"/>
      <c r="BC721" s="39"/>
      <c r="BD721" s="546" t="s">
        <v>325</v>
      </c>
      <c r="BE721" s="351"/>
      <c r="BF721" s="547"/>
      <c r="BG721" s="350"/>
      <c r="BH721" s="350"/>
      <c r="BI721" s="351"/>
      <c r="BJ721" s="548" t="s">
        <v>294</v>
      </c>
      <c r="BK721" s="350"/>
      <c r="BL721" s="350"/>
      <c r="BM721" s="351"/>
      <c r="BN721" s="530" t="s">
        <v>294</v>
      </c>
      <c r="BO721" s="350"/>
      <c r="BP721" s="350"/>
      <c r="BQ721" s="350"/>
      <c r="BR721" s="350"/>
      <c r="BS721" s="350"/>
      <c r="BT721" s="350"/>
      <c r="BU721" s="350"/>
      <c r="BV721" s="351"/>
    </row>
    <row r="722" spans="1:74" ht="45" customHeight="1">
      <c r="A722" s="24">
        <f t="shared" si="2"/>
        <v>708</v>
      </c>
      <c r="B722" s="558" t="s">
        <v>294</v>
      </c>
      <c r="C722" s="351"/>
      <c r="D722" s="559" t="s">
        <v>298</v>
      </c>
      <c r="E722" s="351"/>
      <c r="F722" s="524" t="s">
        <v>325</v>
      </c>
      <c r="G722" s="351"/>
      <c r="H722" s="525" t="s">
        <v>325</v>
      </c>
      <c r="I722" s="351"/>
      <c r="J722" s="563"/>
      <c r="K722" s="351"/>
      <c r="L722" s="563"/>
      <c r="M722" s="351"/>
      <c r="N722" s="34"/>
      <c r="O722" s="35"/>
      <c r="P722" s="526"/>
      <c r="Q722" s="351"/>
      <c r="R722" s="535"/>
      <c r="S722" s="351"/>
      <c r="T722" s="536"/>
      <c r="U722" s="351"/>
      <c r="V722" s="537"/>
      <c r="W722" s="351"/>
      <c r="X722" s="538" t="s">
        <v>294</v>
      </c>
      <c r="Y722" s="350"/>
      <c r="Z722" s="350"/>
      <c r="AA722" s="351"/>
      <c r="AB722" s="539" t="s">
        <v>294</v>
      </c>
      <c r="AC722" s="350"/>
      <c r="AD722" s="350"/>
      <c r="AE722" s="351"/>
      <c r="AF722" s="540"/>
      <c r="AG722" s="351"/>
      <c r="AH722" s="540"/>
      <c r="AI722" s="351"/>
      <c r="AJ722" s="545"/>
      <c r="AK722" s="351"/>
      <c r="AL722" s="555" t="s">
        <v>325</v>
      </c>
      <c r="AM722" s="351"/>
      <c r="AN722" s="531" t="s">
        <v>325</v>
      </c>
      <c r="AO722" s="351"/>
      <c r="AP722" s="532"/>
      <c r="AQ722" s="351"/>
      <c r="AR722" s="533"/>
      <c r="AS722" s="351"/>
      <c r="AT722" s="534"/>
      <c r="AU722" s="351"/>
      <c r="AV722" s="531" t="s">
        <v>325</v>
      </c>
      <c r="AW722" s="351"/>
      <c r="AX722" s="553"/>
      <c r="AY722" s="350"/>
      <c r="AZ722" s="351"/>
      <c r="BA722" s="545"/>
      <c r="BB722" s="351"/>
      <c r="BC722" s="36"/>
      <c r="BD722" s="556" t="s">
        <v>325</v>
      </c>
      <c r="BE722" s="351"/>
      <c r="BF722" s="529"/>
      <c r="BG722" s="350"/>
      <c r="BH722" s="350"/>
      <c r="BI722" s="351"/>
      <c r="BJ722" s="506" t="s">
        <v>294</v>
      </c>
      <c r="BK722" s="350"/>
      <c r="BL722" s="350"/>
      <c r="BM722" s="351"/>
      <c r="BN722" s="530" t="s">
        <v>294</v>
      </c>
      <c r="BO722" s="350"/>
      <c r="BP722" s="350"/>
      <c r="BQ722" s="350"/>
      <c r="BR722" s="350"/>
      <c r="BS722" s="350"/>
      <c r="BT722" s="350"/>
      <c r="BU722" s="350"/>
      <c r="BV722" s="351"/>
    </row>
    <row r="723" spans="1:74" ht="45" customHeight="1">
      <c r="A723" s="24">
        <f t="shared" si="2"/>
        <v>709</v>
      </c>
      <c r="B723" s="522" t="s">
        <v>294</v>
      </c>
      <c r="C723" s="351"/>
      <c r="D723" s="523" t="s">
        <v>298</v>
      </c>
      <c r="E723" s="351"/>
      <c r="F723" s="524" t="s">
        <v>325</v>
      </c>
      <c r="G723" s="351"/>
      <c r="H723" s="561" t="s">
        <v>325</v>
      </c>
      <c r="I723" s="351"/>
      <c r="J723" s="562"/>
      <c r="K723" s="351"/>
      <c r="L723" s="562"/>
      <c r="M723" s="351"/>
      <c r="N723" s="37"/>
      <c r="O723" s="38"/>
      <c r="P723" s="560"/>
      <c r="Q723" s="351"/>
      <c r="R723" s="527"/>
      <c r="S723" s="351"/>
      <c r="T723" s="528"/>
      <c r="U723" s="351"/>
      <c r="V723" s="541"/>
      <c r="W723" s="351"/>
      <c r="X723" s="542" t="s">
        <v>294</v>
      </c>
      <c r="Y723" s="350"/>
      <c r="Z723" s="350"/>
      <c r="AA723" s="351"/>
      <c r="AB723" s="543" t="s">
        <v>294</v>
      </c>
      <c r="AC723" s="350"/>
      <c r="AD723" s="350"/>
      <c r="AE723" s="351"/>
      <c r="AF723" s="544"/>
      <c r="AG723" s="351"/>
      <c r="AH723" s="544"/>
      <c r="AI723" s="351"/>
      <c r="AJ723" s="545"/>
      <c r="AK723" s="351"/>
      <c r="AL723" s="524" t="s">
        <v>325</v>
      </c>
      <c r="AM723" s="351"/>
      <c r="AN723" s="549" t="s">
        <v>325</v>
      </c>
      <c r="AO723" s="351"/>
      <c r="AP723" s="550"/>
      <c r="AQ723" s="351"/>
      <c r="AR723" s="551"/>
      <c r="AS723" s="351"/>
      <c r="AT723" s="534"/>
      <c r="AU723" s="351"/>
      <c r="AV723" s="549" t="s">
        <v>325</v>
      </c>
      <c r="AW723" s="351"/>
      <c r="AX723" s="553"/>
      <c r="AY723" s="350"/>
      <c r="AZ723" s="351"/>
      <c r="BA723" s="554"/>
      <c r="BB723" s="351"/>
      <c r="BC723" s="39"/>
      <c r="BD723" s="546" t="s">
        <v>325</v>
      </c>
      <c r="BE723" s="351"/>
      <c r="BF723" s="547"/>
      <c r="BG723" s="350"/>
      <c r="BH723" s="350"/>
      <c r="BI723" s="351"/>
      <c r="BJ723" s="548" t="s">
        <v>294</v>
      </c>
      <c r="BK723" s="350"/>
      <c r="BL723" s="350"/>
      <c r="BM723" s="351"/>
      <c r="BN723" s="530" t="s">
        <v>294</v>
      </c>
      <c r="BO723" s="350"/>
      <c r="BP723" s="350"/>
      <c r="BQ723" s="350"/>
      <c r="BR723" s="350"/>
      <c r="BS723" s="350"/>
      <c r="BT723" s="350"/>
      <c r="BU723" s="350"/>
      <c r="BV723" s="351"/>
    </row>
    <row r="724" spans="1:74" ht="45" customHeight="1">
      <c r="A724" s="24">
        <f t="shared" si="2"/>
        <v>710</v>
      </c>
      <c r="B724" s="558" t="s">
        <v>294</v>
      </c>
      <c r="C724" s="351"/>
      <c r="D724" s="559" t="s">
        <v>298</v>
      </c>
      <c r="E724" s="351"/>
      <c r="F724" s="524" t="s">
        <v>325</v>
      </c>
      <c r="G724" s="351"/>
      <c r="H724" s="525" t="s">
        <v>325</v>
      </c>
      <c r="I724" s="351"/>
      <c r="J724" s="563"/>
      <c r="K724" s="351"/>
      <c r="L724" s="563"/>
      <c r="M724" s="351"/>
      <c r="N724" s="34"/>
      <c r="O724" s="35"/>
      <c r="P724" s="526"/>
      <c r="Q724" s="351"/>
      <c r="R724" s="535"/>
      <c r="S724" s="351"/>
      <c r="T724" s="536"/>
      <c r="U724" s="351"/>
      <c r="V724" s="537"/>
      <c r="W724" s="351"/>
      <c r="X724" s="538" t="s">
        <v>294</v>
      </c>
      <c r="Y724" s="350"/>
      <c r="Z724" s="350"/>
      <c r="AA724" s="351"/>
      <c r="AB724" s="539" t="s">
        <v>294</v>
      </c>
      <c r="AC724" s="350"/>
      <c r="AD724" s="350"/>
      <c r="AE724" s="351"/>
      <c r="AF724" s="540"/>
      <c r="AG724" s="351"/>
      <c r="AH724" s="540"/>
      <c r="AI724" s="351"/>
      <c r="AJ724" s="545"/>
      <c r="AK724" s="351"/>
      <c r="AL724" s="555" t="s">
        <v>325</v>
      </c>
      <c r="AM724" s="351"/>
      <c r="AN724" s="531" t="s">
        <v>325</v>
      </c>
      <c r="AO724" s="351"/>
      <c r="AP724" s="532"/>
      <c r="AQ724" s="351"/>
      <c r="AR724" s="533"/>
      <c r="AS724" s="351"/>
      <c r="AT724" s="534"/>
      <c r="AU724" s="351"/>
      <c r="AV724" s="531" t="s">
        <v>325</v>
      </c>
      <c r="AW724" s="351"/>
      <c r="AX724" s="553"/>
      <c r="AY724" s="350"/>
      <c r="AZ724" s="351"/>
      <c r="BA724" s="545"/>
      <c r="BB724" s="351"/>
      <c r="BC724" s="36"/>
      <c r="BD724" s="556" t="s">
        <v>325</v>
      </c>
      <c r="BE724" s="351"/>
      <c r="BF724" s="557"/>
      <c r="BG724" s="350"/>
      <c r="BH724" s="350"/>
      <c r="BI724" s="351"/>
      <c r="BJ724" s="506" t="s">
        <v>294</v>
      </c>
      <c r="BK724" s="350"/>
      <c r="BL724" s="350"/>
      <c r="BM724" s="351"/>
      <c r="BN724" s="530" t="s">
        <v>294</v>
      </c>
      <c r="BO724" s="350"/>
      <c r="BP724" s="350"/>
      <c r="BQ724" s="350"/>
      <c r="BR724" s="350"/>
      <c r="BS724" s="350"/>
      <c r="BT724" s="350"/>
      <c r="BU724" s="350"/>
      <c r="BV724" s="351"/>
    </row>
    <row r="725" spans="1:74" ht="45" customHeight="1">
      <c r="A725" s="24">
        <f t="shared" si="2"/>
        <v>711</v>
      </c>
      <c r="B725" s="522" t="s">
        <v>294</v>
      </c>
      <c r="C725" s="351"/>
      <c r="D725" s="523" t="s">
        <v>298</v>
      </c>
      <c r="E725" s="351"/>
      <c r="F725" s="524" t="s">
        <v>325</v>
      </c>
      <c r="G725" s="351"/>
      <c r="H725" s="561" t="s">
        <v>325</v>
      </c>
      <c r="I725" s="351"/>
      <c r="J725" s="562"/>
      <c r="K725" s="351"/>
      <c r="L725" s="562"/>
      <c r="M725" s="351"/>
      <c r="N725" s="37"/>
      <c r="O725" s="38"/>
      <c r="P725" s="560"/>
      <c r="Q725" s="351"/>
      <c r="R725" s="527"/>
      <c r="S725" s="351"/>
      <c r="T725" s="528"/>
      <c r="U725" s="351"/>
      <c r="V725" s="541"/>
      <c r="W725" s="351"/>
      <c r="X725" s="542" t="s">
        <v>294</v>
      </c>
      <c r="Y725" s="350"/>
      <c r="Z725" s="350"/>
      <c r="AA725" s="351"/>
      <c r="AB725" s="543" t="s">
        <v>294</v>
      </c>
      <c r="AC725" s="350"/>
      <c r="AD725" s="350"/>
      <c r="AE725" s="351"/>
      <c r="AF725" s="544"/>
      <c r="AG725" s="351"/>
      <c r="AH725" s="544"/>
      <c r="AI725" s="351"/>
      <c r="AJ725" s="545"/>
      <c r="AK725" s="351"/>
      <c r="AL725" s="524" t="s">
        <v>325</v>
      </c>
      <c r="AM725" s="351"/>
      <c r="AN725" s="549" t="s">
        <v>325</v>
      </c>
      <c r="AO725" s="351"/>
      <c r="AP725" s="550"/>
      <c r="AQ725" s="351"/>
      <c r="AR725" s="551"/>
      <c r="AS725" s="351"/>
      <c r="AT725" s="534"/>
      <c r="AU725" s="351"/>
      <c r="AV725" s="549" t="s">
        <v>325</v>
      </c>
      <c r="AW725" s="351"/>
      <c r="AX725" s="553"/>
      <c r="AY725" s="350"/>
      <c r="AZ725" s="351"/>
      <c r="BA725" s="554"/>
      <c r="BB725" s="351"/>
      <c r="BC725" s="39"/>
      <c r="BD725" s="546" t="s">
        <v>325</v>
      </c>
      <c r="BE725" s="351"/>
      <c r="BF725" s="547"/>
      <c r="BG725" s="350"/>
      <c r="BH725" s="350"/>
      <c r="BI725" s="351"/>
      <c r="BJ725" s="548" t="s">
        <v>294</v>
      </c>
      <c r="BK725" s="350"/>
      <c r="BL725" s="350"/>
      <c r="BM725" s="351"/>
      <c r="BN725" s="530" t="s">
        <v>294</v>
      </c>
      <c r="BO725" s="350"/>
      <c r="BP725" s="350"/>
      <c r="BQ725" s="350"/>
      <c r="BR725" s="350"/>
      <c r="BS725" s="350"/>
      <c r="BT725" s="350"/>
      <c r="BU725" s="350"/>
      <c r="BV725" s="351"/>
    </row>
    <row r="726" spans="1:74" ht="45" customHeight="1">
      <c r="A726" s="24">
        <f t="shared" si="2"/>
        <v>712</v>
      </c>
      <c r="B726" s="558" t="s">
        <v>294</v>
      </c>
      <c r="C726" s="351"/>
      <c r="D726" s="559" t="s">
        <v>298</v>
      </c>
      <c r="E726" s="351"/>
      <c r="F726" s="524" t="s">
        <v>325</v>
      </c>
      <c r="G726" s="351"/>
      <c r="H726" s="525" t="s">
        <v>325</v>
      </c>
      <c r="I726" s="351"/>
      <c r="J726" s="563"/>
      <c r="K726" s="351"/>
      <c r="L726" s="563"/>
      <c r="M726" s="351"/>
      <c r="N726" s="34"/>
      <c r="O726" s="35"/>
      <c r="P726" s="526"/>
      <c r="Q726" s="351"/>
      <c r="R726" s="535"/>
      <c r="S726" s="351"/>
      <c r="T726" s="536"/>
      <c r="U726" s="351"/>
      <c r="V726" s="537"/>
      <c r="W726" s="351"/>
      <c r="X726" s="538" t="s">
        <v>294</v>
      </c>
      <c r="Y726" s="350"/>
      <c r="Z726" s="350"/>
      <c r="AA726" s="351"/>
      <c r="AB726" s="539" t="s">
        <v>294</v>
      </c>
      <c r="AC726" s="350"/>
      <c r="AD726" s="350"/>
      <c r="AE726" s="351"/>
      <c r="AF726" s="540"/>
      <c r="AG726" s="351"/>
      <c r="AH726" s="540"/>
      <c r="AI726" s="351"/>
      <c r="AJ726" s="545"/>
      <c r="AK726" s="351"/>
      <c r="AL726" s="555" t="s">
        <v>325</v>
      </c>
      <c r="AM726" s="351"/>
      <c r="AN726" s="531" t="s">
        <v>325</v>
      </c>
      <c r="AO726" s="351"/>
      <c r="AP726" s="532"/>
      <c r="AQ726" s="351"/>
      <c r="AR726" s="533"/>
      <c r="AS726" s="351"/>
      <c r="AT726" s="534"/>
      <c r="AU726" s="351"/>
      <c r="AV726" s="531" t="s">
        <v>325</v>
      </c>
      <c r="AW726" s="351"/>
      <c r="AX726" s="553"/>
      <c r="AY726" s="350"/>
      <c r="AZ726" s="351"/>
      <c r="BA726" s="545"/>
      <c r="BB726" s="351"/>
      <c r="BC726" s="36"/>
      <c r="BD726" s="556" t="s">
        <v>325</v>
      </c>
      <c r="BE726" s="351"/>
      <c r="BF726" s="557"/>
      <c r="BG726" s="350"/>
      <c r="BH726" s="350"/>
      <c r="BI726" s="351"/>
      <c r="BJ726" s="506" t="s">
        <v>294</v>
      </c>
      <c r="BK726" s="350"/>
      <c r="BL726" s="350"/>
      <c r="BM726" s="351"/>
      <c r="BN726" s="530" t="s">
        <v>294</v>
      </c>
      <c r="BO726" s="350"/>
      <c r="BP726" s="350"/>
      <c r="BQ726" s="350"/>
      <c r="BR726" s="350"/>
      <c r="BS726" s="350"/>
      <c r="BT726" s="350"/>
      <c r="BU726" s="350"/>
      <c r="BV726" s="351"/>
    </row>
    <row r="727" spans="1:74" ht="45" customHeight="1">
      <c r="A727" s="24">
        <f t="shared" si="2"/>
        <v>713</v>
      </c>
      <c r="B727" s="522" t="s">
        <v>294</v>
      </c>
      <c r="C727" s="351"/>
      <c r="D727" s="523" t="s">
        <v>298</v>
      </c>
      <c r="E727" s="351"/>
      <c r="F727" s="524" t="s">
        <v>325</v>
      </c>
      <c r="G727" s="351"/>
      <c r="H727" s="561" t="s">
        <v>325</v>
      </c>
      <c r="I727" s="351"/>
      <c r="J727" s="562"/>
      <c r="K727" s="351"/>
      <c r="L727" s="562"/>
      <c r="M727" s="351"/>
      <c r="N727" s="37"/>
      <c r="O727" s="38"/>
      <c r="P727" s="560"/>
      <c r="Q727" s="351"/>
      <c r="R727" s="527"/>
      <c r="S727" s="351"/>
      <c r="T727" s="528"/>
      <c r="U727" s="351"/>
      <c r="V727" s="541"/>
      <c r="W727" s="351"/>
      <c r="X727" s="542" t="s">
        <v>294</v>
      </c>
      <c r="Y727" s="350"/>
      <c r="Z727" s="350"/>
      <c r="AA727" s="351"/>
      <c r="AB727" s="543" t="s">
        <v>294</v>
      </c>
      <c r="AC727" s="350"/>
      <c r="AD727" s="350"/>
      <c r="AE727" s="351"/>
      <c r="AF727" s="544"/>
      <c r="AG727" s="351"/>
      <c r="AH727" s="544"/>
      <c r="AI727" s="351"/>
      <c r="AJ727" s="545"/>
      <c r="AK727" s="351"/>
      <c r="AL727" s="524" t="s">
        <v>325</v>
      </c>
      <c r="AM727" s="351"/>
      <c r="AN727" s="549" t="s">
        <v>325</v>
      </c>
      <c r="AO727" s="351"/>
      <c r="AP727" s="550"/>
      <c r="AQ727" s="351"/>
      <c r="AR727" s="551"/>
      <c r="AS727" s="351"/>
      <c r="AT727" s="552"/>
      <c r="AU727" s="351"/>
      <c r="AV727" s="549" t="s">
        <v>325</v>
      </c>
      <c r="AW727" s="351"/>
      <c r="AX727" s="553"/>
      <c r="AY727" s="350"/>
      <c r="AZ727" s="351"/>
      <c r="BA727" s="554"/>
      <c r="BB727" s="351"/>
      <c r="BC727" s="39"/>
      <c r="BD727" s="546" t="s">
        <v>325</v>
      </c>
      <c r="BE727" s="351"/>
      <c r="BF727" s="547"/>
      <c r="BG727" s="350"/>
      <c r="BH727" s="350"/>
      <c r="BI727" s="351"/>
      <c r="BJ727" s="548" t="s">
        <v>294</v>
      </c>
      <c r="BK727" s="350"/>
      <c r="BL727" s="350"/>
      <c r="BM727" s="351"/>
      <c r="BN727" s="530" t="s">
        <v>294</v>
      </c>
      <c r="BO727" s="350"/>
      <c r="BP727" s="350"/>
      <c r="BQ727" s="350"/>
      <c r="BR727" s="350"/>
      <c r="BS727" s="350"/>
      <c r="BT727" s="350"/>
      <c r="BU727" s="350"/>
      <c r="BV727" s="351"/>
    </row>
    <row r="728" spans="1:74" ht="45" customHeight="1">
      <c r="A728" s="24">
        <f t="shared" si="2"/>
        <v>714</v>
      </c>
      <c r="B728" s="558" t="s">
        <v>294</v>
      </c>
      <c r="C728" s="351"/>
      <c r="D728" s="559" t="s">
        <v>298</v>
      </c>
      <c r="E728" s="351"/>
      <c r="F728" s="524" t="s">
        <v>325</v>
      </c>
      <c r="G728" s="351"/>
      <c r="H728" s="525" t="s">
        <v>325</v>
      </c>
      <c r="I728" s="351"/>
      <c r="J728" s="563"/>
      <c r="K728" s="351"/>
      <c r="L728" s="563"/>
      <c r="M728" s="351"/>
      <c r="N728" s="34"/>
      <c r="O728" s="35"/>
      <c r="P728" s="526"/>
      <c r="Q728" s="351"/>
      <c r="R728" s="535"/>
      <c r="S728" s="351"/>
      <c r="T728" s="536"/>
      <c r="U728" s="351"/>
      <c r="V728" s="537"/>
      <c r="W728" s="351"/>
      <c r="X728" s="538" t="s">
        <v>294</v>
      </c>
      <c r="Y728" s="350"/>
      <c r="Z728" s="350"/>
      <c r="AA728" s="351"/>
      <c r="AB728" s="539" t="s">
        <v>294</v>
      </c>
      <c r="AC728" s="350"/>
      <c r="AD728" s="350"/>
      <c r="AE728" s="351"/>
      <c r="AF728" s="540"/>
      <c r="AG728" s="351"/>
      <c r="AH728" s="540"/>
      <c r="AI728" s="351"/>
      <c r="AJ728" s="545"/>
      <c r="AK728" s="351"/>
      <c r="AL728" s="555" t="s">
        <v>325</v>
      </c>
      <c r="AM728" s="351"/>
      <c r="AN728" s="531" t="s">
        <v>325</v>
      </c>
      <c r="AO728" s="351"/>
      <c r="AP728" s="532"/>
      <c r="AQ728" s="351"/>
      <c r="AR728" s="533"/>
      <c r="AS728" s="351"/>
      <c r="AT728" s="534"/>
      <c r="AU728" s="351"/>
      <c r="AV728" s="531" t="s">
        <v>325</v>
      </c>
      <c r="AW728" s="351"/>
      <c r="AX728" s="553"/>
      <c r="AY728" s="350"/>
      <c r="AZ728" s="351"/>
      <c r="BA728" s="545"/>
      <c r="BB728" s="351"/>
      <c r="BC728" s="36"/>
      <c r="BD728" s="556" t="s">
        <v>325</v>
      </c>
      <c r="BE728" s="351"/>
      <c r="BF728" s="529"/>
      <c r="BG728" s="350"/>
      <c r="BH728" s="350"/>
      <c r="BI728" s="351"/>
      <c r="BJ728" s="506" t="s">
        <v>294</v>
      </c>
      <c r="BK728" s="350"/>
      <c r="BL728" s="350"/>
      <c r="BM728" s="351"/>
      <c r="BN728" s="530" t="s">
        <v>294</v>
      </c>
      <c r="BO728" s="350"/>
      <c r="BP728" s="350"/>
      <c r="BQ728" s="350"/>
      <c r="BR728" s="350"/>
      <c r="BS728" s="350"/>
      <c r="BT728" s="350"/>
      <c r="BU728" s="350"/>
      <c r="BV728" s="351"/>
    </row>
    <row r="729" spans="1:74" ht="45" customHeight="1">
      <c r="A729" s="24">
        <f t="shared" si="2"/>
        <v>715</v>
      </c>
      <c r="B729" s="522" t="s">
        <v>294</v>
      </c>
      <c r="C729" s="351"/>
      <c r="D729" s="523" t="s">
        <v>298</v>
      </c>
      <c r="E729" s="351"/>
      <c r="F729" s="524" t="s">
        <v>325</v>
      </c>
      <c r="G729" s="351"/>
      <c r="H729" s="561" t="s">
        <v>325</v>
      </c>
      <c r="I729" s="351"/>
      <c r="J729" s="562"/>
      <c r="K729" s="351"/>
      <c r="L729" s="562"/>
      <c r="M729" s="351"/>
      <c r="N729" s="37"/>
      <c r="O729" s="38"/>
      <c r="P729" s="560"/>
      <c r="Q729" s="351"/>
      <c r="R729" s="527"/>
      <c r="S729" s="351"/>
      <c r="T729" s="528"/>
      <c r="U729" s="351"/>
      <c r="V729" s="541"/>
      <c r="W729" s="351"/>
      <c r="X729" s="542" t="s">
        <v>294</v>
      </c>
      <c r="Y729" s="350"/>
      <c r="Z729" s="350"/>
      <c r="AA729" s="351"/>
      <c r="AB729" s="543" t="s">
        <v>294</v>
      </c>
      <c r="AC729" s="350"/>
      <c r="AD729" s="350"/>
      <c r="AE729" s="351"/>
      <c r="AF729" s="544"/>
      <c r="AG729" s="351"/>
      <c r="AH729" s="544"/>
      <c r="AI729" s="351"/>
      <c r="AJ729" s="545"/>
      <c r="AK729" s="351"/>
      <c r="AL729" s="524" t="s">
        <v>325</v>
      </c>
      <c r="AM729" s="351"/>
      <c r="AN729" s="549" t="s">
        <v>325</v>
      </c>
      <c r="AO729" s="351"/>
      <c r="AP729" s="550"/>
      <c r="AQ729" s="351"/>
      <c r="AR729" s="551"/>
      <c r="AS729" s="351"/>
      <c r="AT729" s="552"/>
      <c r="AU729" s="351"/>
      <c r="AV729" s="549" t="s">
        <v>325</v>
      </c>
      <c r="AW729" s="351"/>
      <c r="AX729" s="553"/>
      <c r="AY729" s="350"/>
      <c r="AZ729" s="351"/>
      <c r="BA729" s="554"/>
      <c r="BB729" s="351"/>
      <c r="BC729" s="39"/>
      <c r="BD729" s="546" t="s">
        <v>325</v>
      </c>
      <c r="BE729" s="351"/>
      <c r="BF729" s="547"/>
      <c r="BG729" s="350"/>
      <c r="BH729" s="350"/>
      <c r="BI729" s="351"/>
      <c r="BJ729" s="548" t="s">
        <v>294</v>
      </c>
      <c r="BK729" s="350"/>
      <c r="BL729" s="350"/>
      <c r="BM729" s="351"/>
      <c r="BN729" s="530" t="s">
        <v>294</v>
      </c>
      <c r="BO729" s="350"/>
      <c r="BP729" s="350"/>
      <c r="BQ729" s="350"/>
      <c r="BR729" s="350"/>
      <c r="BS729" s="350"/>
      <c r="BT729" s="350"/>
      <c r="BU729" s="350"/>
      <c r="BV729" s="351"/>
    </row>
    <row r="730" spans="1:74" ht="45" customHeight="1">
      <c r="A730" s="24">
        <f t="shared" si="2"/>
        <v>716</v>
      </c>
      <c r="B730" s="558" t="s">
        <v>294</v>
      </c>
      <c r="C730" s="351"/>
      <c r="D730" s="559" t="s">
        <v>298</v>
      </c>
      <c r="E730" s="351"/>
      <c r="F730" s="524" t="s">
        <v>325</v>
      </c>
      <c r="G730" s="351"/>
      <c r="H730" s="525" t="s">
        <v>325</v>
      </c>
      <c r="I730" s="351"/>
      <c r="J730" s="563"/>
      <c r="K730" s="351"/>
      <c r="L730" s="563"/>
      <c r="M730" s="351"/>
      <c r="N730" s="34"/>
      <c r="O730" s="35"/>
      <c r="P730" s="526"/>
      <c r="Q730" s="351"/>
      <c r="R730" s="535"/>
      <c r="S730" s="351"/>
      <c r="T730" s="536"/>
      <c r="U730" s="351"/>
      <c r="V730" s="537"/>
      <c r="W730" s="351"/>
      <c r="X730" s="538" t="s">
        <v>294</v>
      </c>
      <c r="Y730" s="350"/>
      <c r="Z730" s="350"/>
      <c r="AA730" s="351"/>
      <c r="AB730" s="539" t="s">
        <v>294</v>
      </c>
      <c r="AC730" s="350"/>
      <c r="AD730" s="350"/>
      <c r="AE730" s="351"/>
      <c r="AF730" s="540"/>
      <c r="AG730" s="351"/>
      <c r="AH730" s="540"/>
      <c r="AI730" s="351"/>
      <c r="AJ730" s="545"/>
      <c r="AK730" s="351"/>
      <c r="AL730" s="555" t="s">
        <v>325</v>
      </c>
      <c r="AM730" s="351"/>
      <c r="AN730" s="531" t="s">
        <v>325</v>
      </c>
      <c r="AO730" s="351"/>
      <c r="AP730" s="532"/>
      <c r="AQ730" s="351"/>
      <c r="AR730" s="533"/>
      <c r="AS730" s="351"/>
      <c r="AT730" s="534"/>
      <c r="AU730" s="351"/>
      <c r="AV730" s="531" t="s">
        <v>325</v>
      </c>
      <c r="AW730" s="351"/>
      <c r="AX730" s="553"/>
      <c r="AY730" s="350"/>
      <c r="AZ730" s="351"/>
      <c r="BA730" s="545"/>
      <c r="BB730" s="351"/>
      <c r="BC730" s="36"/>
      <c r="BD730" s="556" t="s">
        <v>325</v>
      </c>
      <c r="BE730" s="351"/>
      <c r="BF730" s="557"/>
      <c r="BG730" s="350"/>
      <c r="BH730" s="350"/>
      <c r="BI730" s="351"/>
      <c r="BJ730" s="506" t="s">
        <v>294</v>
      </c>
      <c r="BK730" s="350"/>
      <c r="BL730" s="350"/>
      <c r="BM730" s="351"/>
      <c r="BN730" s="530" t="s">
        <v>294</v>
      </c>
      <c r="BO730" s="350"/>
      <c r="BP730" s="350"/>
      <c r="BQ730" s="350"/>
      <c r="BR730" s="350"/>
      <c r="BS730" s="350"/>
      <c r="BT730" s="350"/>
      <c r="BU730" s="350"/>
      <c r="BV730" s="351"/>
    </row>
    <row r="731" spans="1:74" ht="45" customHeight="1">
      <c r="A731" s="24">
        <f t="shared" si="2"/>
        <v>717</v>
      </c>
      <c r="B731" s="522" t="s">
        <v>294</v>
      </c>
      <c r="C731" s="351"/>
      <c r="D731" s="523" t="s">
        <v>298</v>
      </c>
      <c r="E731" s="351"/>
      <c r="F731" s="524" t="s">
        <v>325</v>
      </c>
      <c r="G731" s="351"/>
      <c r="H731" s="561" t="s">
        <v>325</v>
      </c>
      <c r="I731" s="351"/>
      <c r="J731" s="562"/>
      <c r="K731" s="351"/>
      <c r="L731" s="562"/>
      <c r="M731" s="351"/>
      <c r="N731" s="37"/>
      <c r="O731" s="38"/>
      <c r="P731" s="560"/>
      <c r="Q731" s="351"/>
      <c r="R731" s="527"/>
      <c r="S731" s="351"/>
      <c r="T731" s="528"/>
      <c r="U731" s="351"/>
      <c r="V731" s="541"/>
      <c r="W731" s="351"/>
      <c r="X731" s="542" t="s">
        <v>294</v>
      </c>
      <c r="Y731" s="350"/>
      <c r="Z731" s="350"/>
      <c r="AA731" s="351"/>
      <c r="AB731" s="543" t="s">
        <v>294</v>
      </c>
      <c r="AC731" s="350"/>
      <c r="AD731" s="350"/>
      <c r="AE731" s="351"/>
      <c r="AF731" s="544"/>
      <c r="AG731" s="351"/>
      <c r="AH731" s="544"/>
      <c r="AI731" s="351"/>
      <c r="AJ731" s="545"/>
      <c r="AK731" s="351"/>
      <c r="AL731" s="524" t="s">
        <v>325</v>
      </c>
      <c r="AM731" s="351"/>
      <c r="AN731" s="549" t="s">
        <v>325</v>
      </c>
      <c r="AO731" s="351"/>
      <c r="AP731" s="550"/>
      <c r="AQ731" s="351"/>
      <c r="AR731" s="551"/>
      <c r="AS731" s="351"/>
      <c r="AT731" s="552"/>
      <c r="AU731" s="351"/>
      <c r="AV731" s="549" t="s">
        <v>325</v>
      </c>
      <c r="AW731" s="351"/>
      <c r="AX731" s="553"/>
      <c r="AY731" s="350"/>
      <c r="AZ731" s="351"/>
      <c r="BA731" s="554"/>
      <c r="BB731" s="351"/>
      <c r="BC731" s="39"/>
      <c r="BD731" s="546" t="s">
        <v>325</v>
      </c>
      <c r="BE731" s="351"/>
      <c r="BF731" s="547"/>
      <c r="BG731" s="350"/>
      <c r="BH731" s="350"/>
      <c r="BI731" s="351"/>
      <c r="BJ731" s="548" t="s">
        <v>294</v>
      </c>
      <c r="BK731" s="350"/>
      <c r="BL731" s="350"/>
      <c r="BM731" s="351"/>
      <c r="BN731" s="530" t="s">
        <v>294</v>
      </c>
      <c r="BO731" s="350"/>
      <c r="BP731" s="350"/>
      <c r="BQ731" s="350"/>
      <c r="BR731" s="350"/>
      <c r="BS731" s="350"/>
      <c r="BT731" s="350"/>
      <c r="BU731" s="350"/>
      <c r="BV731" s="351"/>
    </row>
    <row r="732" spans="1:74" ht="45" customHeight="1">
      <c r="A732" s="24">
        <f t="shared" si="2"/>
        <v>718</v>
      </c>
      <c r="B732" s="558" t="s">
        <v>294</v>
      </c>
      <c r="C732" s="351"/>
      <c r="D732" s="559" t="s">
        <v>298</v>
      </c>
      <c r="E732" s="351"/>
      <c r="F732" s="524" t="s">
        <v>325</v>
      </c>
      <c r="G732" s="351"/>
      <c r="H732" s="525" t="s">
        <v>325</v>
      </c>
      <c r="I732" s="351"/>
      <c r="J732" s="563"/>
      <c r="K732" s="351"/>
      <c r="L732" s="563"/>
      <c r="M732" s="351"/>
      <c r="N732" s="34"/>
      <c r="O732" s="35"/>
      <c r="P732" s="526"/>
      <c r="Q732" s="351"/>
      <c r="R732" s="535"/>
      <c r="S732" s="351"/>
      <c r="T732" s="536"/>
      <c r="U732" s="351"/>
      <c r="V732" s="537"/>
      <c r="W732" s="351"/>
      <c r="X732" s="538" t="s">
        <v>294</v>
      </c>
      <c r="Y732" s="350"/>
      <c r="Z732" s="350"/>
      <c r="AA732" s="351"/>
      <c r="AB732" s="539" t="s">
        <v>294</v>
      </c>
      <c r="AC732" s="350"/>
      <c r="AD732" s="350"/>
      <c r="AE732" s="351"/>
      <c r="AF732" s="540"/>
      <c r="AG732" s="351"/>
      <c r="AH732" s="540"/>
      <c r="AI732" s="351"/>
      <c r="AJ732" s="545"/>
      <c r="AK732" s="351"/>
      <c r="AL732" s="555" t="s">
        <v>325</v>
      </c>
      <c r="AM732" s="351"/>
      <c r="AN732" s="531" t="s">
        <v>325</v>
      </c>
      <c r="AO732" s="351"/>
      <c r="AP732" s="532"/>
      <c r="AQ732" s="351"/>
      <c r="AR732" s="533"/>
      <c r="AS732" s="351"/>
      <c r="AT732" s="534"/>
      <c r="AU732" s="351"/>
      <c r="AV732" s="531" t="s">
        <v>325</v>
      </c>
      <c r="AW732" s="351"/>
      <c r="AX732" s="553"/>
      <c r="AY732" s="350"/>
      <c r="AZ732" s="351"/>
      <c r="BA732" s="545"/>
      <c r="BB732" s="351"/>
      <c r="BC732" s="36"/>
      <c r="BD732" s="556" t="s">
        <v>325</v>
      </c>
      <c r="BE732" s="351"/>
      <c r="BF732" s="557"/>
      <c r="BG732" s="350"/>
      <c r="BH732" s="350"/>
      <c r="BI732" s="351"/>
      <c r="BJ732" s="506" t="s">
        <v>294</v>
      </c>
      <c r="BK732" s="350"/>
      <c r="BL732" s="350"/>
      <c r="BM732" s="351"/>
      <c r="BN732" s="530" t="s">
        <v>294</v>
      </c>
      <c r="BO732" s="350"/>
      <c r="BP732" s="350"/>
      <c r="BQ732" s="350"/>
      <c r="BR732" s="350"/>
      <c r="BS732" s="350"/>
      <c r="BT732" s="350"/>
      <c r="BU732" s="350"/>
      <c r="BV732" s="351"/>
    </row>
    <row r="733" spans="1:74" ht="45" customHeight="1">
      <c r="A733" s="24">
        <f t="shared" si="2"/>
        <v>719</v>
      </c>
      <c r="B733" s="522" t="s">
        <v>294</v>
      </c>
      <c r="C733" s="351"/>
      <c r="D733" s="523" t="s">
        <v>298</v>
      </c>
      <c r="E733" s="351"/>
      <c r="F733" s="524" t="s">
        <v>325</v>
      </c>
      <c r="G733" s="351"/>
      <c r="H733" s="561" t="s">
        <v>325</v>
      </c>
      <c r="I733" s="351"/>
      <c r="J733" s="562"/>
      <c r="K733" s="351"/>
      <c r="L733" s="562"/>
      <c r="M733" s="351"/>
      <c r="N733" s="37"/>
      <c r="O733" s="38"/>
      <c r="P733" s="560"/>
      <c r="Q733" s="351"/>
      <c r="R733" s="527"/>
      <c r="S733" s="351"/>
      <c r="T733" s="528"/>
      <c r="U733" s="351"/>
      <c r="V733" s="541"/>
      <c r="W733" s="351"/>
      <c r="X733" s="542" t="s">
        <v>294</v>
      </c>
      <c r="Y733" s="350"/>
      <c r="Z733" s="350"/>
      <c r="AA733" s="351"/>
      <c r="AB733" s="543" t="s">
        <v>294</v>
      </c>
      <c r="AC733" s="350"/>
      <c r="AD733" s="350"/>
      <c r="AE733" s="351"/>
      <c r="AF733" s="544"/>
      <c r="AG733" s="351"/>
      <c r="AH733" s="544"/>
      <c r="AI733" s="351"/>
      <c r="AJ733" s="545"/>
      <c r="AK733" s="351"/>
      <c r="AL733" s="524" t="s">
        <v>325</v>
      </c>
      <c r="AM733" s="351"/>
      <c r="AN733" s="549" t="s">
        <v>325</v>
      </c>
      <c r="AO733" s="351"/>
      <c r="AP733" s="550"/>
      <c r="AQ733" s="351"/>
      <c r="AR733" s="551"/>
      <c r="AS733" s="351"/>
      <c r="AT733" s="552"/>
      <c r="AU733" s="351"/>
      <c r="AV733" s="549" t="s">
        <v>325</v>
      </c>
      <c r="AW733" s="351"/>
      <c r="AX733" s="553"/>
      <c r="AY733" s="350"/>
      <c r="AZ733" s="351"/>
      <c r="BA733" s="554"/>
      <c r="BB733" s="351"/>
      <c r="BC733" s="39"/>
      <c r="BD733" s="546" t="s">
        <v>325</v>
      </c>
      <c r="BE733" s="351"/>
      <c r="BF733" s="547"/>
      <c r="BG733" s="350"/>
      <c r="BH733" s="350"/>
      <c r="BI733" s="351"/>
      <c r="BJ733" s="548" t="s">
        <v>294</v>
      </c>
      <c r="BK733" s="350"/>
      <c r="BL733" s="350"/>
      <c r="BM733" s="351"/>
      <c r="BN733" s="530" t="s">
        <v>294</v>
      </c>
      <c r="BO733" s="350"/>
      <c r="BP733" s="350"/>
      <c r="BQ733" s="350"/>
      <c r="BR733" s="350"/>
      <c r="BS733" s="350"/>
      <c r="BT733" s="350"/>
      <c r="BU733" s="350"/>
      <c r="BV733" s="351"/>
    </row>
    <row r="734" spans="1:74" ht="45" customHeight="1">
      <c r="A734" s="24">
        <f t="shared" si="2"/>
        <v>720</v>
      </c>
      <c r="B734" s="558" t="s">
        <v>294</v>
      </c>
      <c r="C734" s="351"/>
      <c r="D734" s="559" t="s">
        <v>298</v>
      </c>
      <c r="E734" s="351"/>
      <c r="F734" s="524" t="s">
        <v>325</v>
      </c>
      <c r="G734" s="351"/>
      <c r="H734" s="525" t="s">
        <v>325</v>
      </c>
      <c r="I734" s="351"/>
      <c r="J734" s="563"/>
      <c r="K734" s="351"/>
      <c r="L734" s="563"/>
      <c r="M734" s="351"/>
      <c r="N734" s="34"/>
      <c r="O734" s="35"/>
      <c r="P734" s="526"/>
      <c r="Q734" s="351"/>
      <c r="R734" s="535"/>
      <c r="S734" s="351"/>
      <c r="T734" s="536"/>
      <c r="U734" s="351"/>
      <c r="V734" s="537"/>
      <c r="W734" s="351"/>
      <c r="X734" s="538" t="s">
        <v>294</v>
      </c>
      <c r="Y734" s="350"/>
      <c r="Z734" s="350"/>
      <c r="AA734" s="351"/>
      <c r="AB734" s="539" t="s">
        <v>294</v>
      </c>
      <c r="AC734" s="350"/>
      <c r="AD734" s="350"/>
      <c r="AE734" s="351"/>
      <c r="AF734" s="540"/>
      <c r="AG734" s="351"/>
      <c r="AH734" s="540"/>
      <c r="AI734" s="351"/>
      <c r="AJ734" s="545"/>
      <c r="AK734" s="351"/>
      <c r="AL734" s="555" t="s">
        <v>325</v>
      </c>
      <c r="AM734" s="351"/>
      <c r="AN734" s="531" t="s">
        <v>325</v>
      </c>
      <c r="AO734" s="351"/>
      <c r="AP734" s="532"/>
      <c r="AQ734" s="351"/>
      <c r="AR734" s="533"/>
      <c r="AS734" s="351"/>
      <c r="AT734" s="534"/>
      <c r="AU734" s="351"/>
      <c r="AV734" s="531" t="s">
        <v>325</v>
      </c>
      <c r="AW734" s="351"/>
      <c r="AX734" s="553"/>
      <c r="AY734" s="350"/>
      <c r="AZ734" s="351"/>
      <c r="BA734" s="545"/>
      <c r="BB734" s="351"/>
      <c r="BC734" s="36"/>
      <c r="BD734" s="556" t="s">
        <v>325</v>
      </c>
      <c r="BE734" s="351"/>
      <c r="BF734" s="529"/>
      <c r="BG734" s="350"/>
      <c r="BH734" s="350"/>
      <c r="BI734" s="351"/>
      <c r="BJ734" s="506" t="s">
        <v>294</v>
      </c>
      <c r="BK734" s="350"/>
      <c r="BL734" s="350"/>
      <c r="BM734" s="351"/>
      <c r="BN734" s="530" t="s">
        <v>294</v>
      </c>
      <c r="BO734" s="350"/>
      <c r="BP734" s="350"/>
      <c r="BQ734" s="350"/>
      <c r="BR734" s="350"/>
      <c r="BS734" s="350"/>
      <c r="BT734" s="350"/>
      <c r="BU734" s="350"/>
      <c r="BV734" s="351"/>
    </row>
    <row r="735" spans="1:74" ht="45" customHeight="1">
      <c r="A735" s="24">
        <f t="shared" si="2"/>
        <v>721</v>
      </c>
      <c r="B735" s="522" t="s">
        <v>294</v>
      </c>
      <c r="C735" s="351"/>
      <c r="D735" s="523" t="s">
        <v>298</v>
      </c>
      <c r="E735" s="351"/>
      <c r="F735" s="524" t="s">
        <v>325</v>
      </c>
      <c r="G735" s="351"/>
      <c r="H735" s="561" t="s">
        <v>325</v>
      </c>
      <c r="I735" s="351"/>
      <c r="J735" s="562"/>
      <c r="K735" s="351"/>
      <c r="L735" s="562"/>
      <c r="M735" s="351"/>
      <c r="N735" s="37"/>
      <c r="O735" s="38"/>
      <c r="P735" s="560"/>
      <c r="Q735" s="351"/>
      <c r="R735" s="527"/>
      <c r="S735" s="351"/>
      <c r="T735" s="528"/>
      <c r="U735" s="351"/>
      <c r="V735" s="541"/>
      <c r="W735" s="351"/>
      <c r="X735" s="542" t="s">
        <v>294</v>
      </c>
      <c r="Y735" s="350"/>
      <c r="Z735" s="350"/>
      <c r="AA735" s="351"/>
      <c r="AB735" s="543" t="s">
        <v>294</v>
      </c>
      <c r="AC735" s="350"/>
      <c r="AD735" s="350"/>
      <c r="AE735" s="351"/>
      <c r="AF735" s="544"/>
      <c r="AG735" s="351"/>
      <c r="AH735" s="544"/>
      <c r="AI735" s="351"/>
      <c r="AJ735" s="545"/>
      <c r="AK735" s="351"/>
      <c r="AL735" s="524" t="s">
        <v>325</v>
      </c>
      <c r="AM735" s="351"/>
      <c r="AN735" s="549" t="s">
        <v>325</v>
      </c>
      <c r="AO735" s="351"/>
      <c r="AP735" s="550"/>
      <c r="AQ735" s="351"/>
      <c r="AR735" s="551"/>
      <c r="AS735" s="351"/>
      <c r="AT735" s="552"/>
      <c r="AU735" s="351"/>
      <c r="AV735" s="549" t="s">
        <v>325</v>
      </c>
      <c r="AW735" s="351"/>
      <c r="AX735" s="553"/>
      <c r="AY735" s="350"/>
      <c r="AZ735" s="351"/>
      <c r="BA735" s="554"/>
      <c r="BB735" s="351"/>
      <c r="BC735" s="39"/>
      <c r="BD735" s="546" t="s">
        <v>325</v>
      </c>
      <c r="BE735" s="351"/>
      <c r="BF735" s="547"/>
      <c r="BG735" s="350"/>
      <c r="BH735" s="350"/>
      <c r="BI735" s="351"/>
      <c r="BJ735" s="548" t="s">
        <v>294</v>
      </c>
      <c r="BK735" s="350"/>
      <c r="BL735" s="350"/>
      <c r="BM735" s="351"/>
      <c r="BN735" s="530" t="s">
        <v>294</v>
      </c>
      <c r="BO735" s="350"/>
      <c r="BP735" s="350"/>
      <c r="BQ735" s="350"/>
      <c r="BR735" s="350"/>
      <c r="BS735" s="350"/>
      <c r="BT735" s="350"/>
      <c r="BU735" s="350"/>
      <c r="BV735" s="351"/>
    </row>
    <row r="736" spans="1:74" ht="45" customHeight="1">
      <c r="A736" s="24">
        <f t="shared" si="2"/>
        <v>722</v>
      </c>
      <c r="B736" s="558" t="s">
        <v>294</v>
      </c>
      <c r="C736" s="351"/>
      <c r="D736" s="559" t="s">
        <v>298</v>
      </c>
      <c r="E736" s="351"/>
      <c r="F736" s="524" t="s">
        <v>325</v>
      </c>
      <c r="G736" s="351"/>
      <c r="H736" s="525" t="s">
        <v>325</v>
      </c>
      <c r="I736" s="351"/>
      <c r="J736" s="563"/>
      <c r="K736" s="351"/>
      <c r="L736" s="563"/>
      <c r="M736" s="351"/>
      <c r="N736" s="34"/>
      <c r="O736" s="35"/>
      <c r="P736" s="526"/>
      <c r="Q736" s="351"/>
      <c r="R736" s="535"/>
      <c r="S736" s="351"/>
      <c r="T736" s="536"/>
      <c r="U736" s="351"/>
      <c r="V736" s="537"/>
      <c r="W736" s="351"/>
      <c r="X736" s="538" t="s">
        <v>294</v>
      </c>
      <c r="Y736" s="350"/>
      <c r="Z736" s="350"/>
      <c r="AA736" s="351"/>
      <c r="AB736" s="539" t="s">
        <v>294</v>
      </c>
      <c r="AC736" s="350"/>
      <c r="AD736" s="350"/>
      <c r="AE736" s="351"/>
      <c r="AF736" s="540"/>
      <c r="AG736" s="351"/>
      <c r="AH736" s="540"/>
      <c r="AI736" s="351"/>
      <c r="AJ736" s="545"/>
      <c r="AK736" s="351"/>
      <c r="AL736" s="555" t="s">
        <v>325</v>
      </c>
      <c r="AM736" s="351"/>
      <c r="AN736" s="531" t="s">
        <v>325</v>
      </c>
      <c r="AO736" s="351"/>
      <c r="AP736" s="532"/>
      <c r="AQ736" s="351"/>
      <c r="AR736" s="533"/>
      <c r="AS736" s="351"/>
      <c r="AT736" s="534"/>
      <c r="AU736" s="351"/>
      <c r="AV736" s="531" t="s">
        <v>325</v>
      </c>
      <c r="AW736" s="351"/>
      <c r="AX736" s="553"/>
      <c r="AY736" s="350"/>
      <c r="AZ736" s="351"/>
      <c r="BA736" s="545"/>
      <c r="BB736" s="351"/>
      <c r="BC736" s="36"/>
      <c r="BD736" s="556" t="s">
        <v>325</v>
      </c>
      <c r="BE736" s="351"/>
      <c r="BF736" s="557"/>
      <c r="BG736" s="350"/>
      <c r="BH736" s="350"/>
      <c r="BI736" s="351"/>
      <c r="BJ736" s="506" t="s">
        <v>294</v>
      </c>
      <c r="BK736" s="350"/>
      <c r="BL736" s="350"/>
      <c r="BM736" s="351"/>
      <c r="BN736" s="530" t="s">
        <v>294</v>
      </c>
      <c r="BO736" s="350"/>
      <c r="BP736" s="350"/>
      <c r="BQ736" s="350"/>
      <c r="BR736" s="350"/>
      <c r="BS736" s="350"/>
      <c r="BT736" s="350"/>
      <c r="BU736" s="350"/>
      <c r="BV736" s="351"/>
    </row>
    <row r="737" spans="1:74" ht="45" customHeight="1">
      <c r="A737" s="24">
        <f t="shared" si="2"/>
        <v>723</v>
      </c>
      <c r="B737" s="522" t="s">
        <v>294</v>
      </c>
      <c r="C737" s="351"/>
      <c r="D737" s="523" t="s">
        <v>298</v>
      </c>
      <c r="E737" s="351"/>
      <c r="F737" s="524" t="s">
        <v>325</v>
      </c>
      <c r="G737" s="351"/>
      <c r="H737" s="561" t="s">
        <v>325</v>
      </c>
      <c r="I737" s="351"/>
      <c r="J737" s="562"/>
      <c r="K737" s="351"/>
      <c r="L737" s="562"/>
      <c r="M737" s="351"/>
      <c r="N737" s="34"/>
      <c r="O737" s="35"/>
      <c r="P737" s="526"/>
      <c r="Q737" s="351"/>
      <c r="R737" s="527"/>
      <c r="S737" s="351"/>
      <c r="T737" s="528"/>
      <c r="U737" s="351"/>
      <c r="V737" s="541"/>
      <c r="W737" s="351"/>
      <c r="X737" s="542" t="s">
        <v>294</v>
      </c>
      <c r="Y737" s="350"/>
      <c r="Z737" s="350"/>
      <c r="AA737" s="351"/>
      <c r="AB737" s="543" t="s">
        <v>294</v>
      </c>
      <c r="AC737" s="350"/>
      <c r="AD737" s="350"/>
      <c r="AE737" s="351"/>
      <c r="AF737" s="544"/>
      <c r="AG737" s="351"/>
      <c r="AH737" s="544"/>
      <c r="AI737" s="351"/>
      <c r="AJ737" s="545"/>
      <c r="AK737" s="351"/>
      <c r="AL737" s="524" t="s">
        <v>325</v>
      </c>
      <c r="AM737" s="351"/>
      <c r="AN737" s="549" t="s">
        <v>325</v>
      </c>
      <c r="AO737" s="351"/>
      <c r="AP737" s="550"/>
      <c r="AQ737" s="351"/>
      <c r="AR737" s="551"/>
      <c r="AS737" s="351"/>
      <c r="AT737" s="534"/>
      <c r="AU737" s="351"/>
      <c r="AV737" s="549" t="s">
        <v>325</v>
      </c>
      <c r="AW737" s="351"/>
      <c r="AX737" s="553"/>
      <c r="AY737" s="350"/>
      <c r="AZ737" s="351"/>
      <c r="BA737" s="554"/>
      <c r="BB737" s="351"/>
      <c r="BC737" s="39"/>
      <c r="BD737" s="546" t="s">
        <v>325</v>
      </c>
      <c r="BE737" s="351"/>
      <c r="BF737" s="547"/>
      <c r="BG737" s="350"/>
      <c r="BH737" s="350"/>
      <c r="BI737" s="351"/>
      <c r="BJ737" s="548" t="s">
        <v>294</v>
      </c>
      <c r="BK737" s="350"/>
      <c r="BL737" s="350"/>
      <c r="BM737" s="351"/>
      <c r="BN737" s="530" t="s">
        <v>294</v>
      </c>
      <c r="BO737" s="350"/>
      <c r="BP737" s="350"/>
      <c r="BQ737" s="350"/>
      <c r="BR737" s="350"/>
      <c r="BS737" s="350"/>
      <c r="BT737" s="350"/>
      <c r="BU737" s="350"/>
      <c r="BV737" s="351"/>
    </row>
    <row r="738" spans="1:74" ht="45" customHeight="1">
      <c r="A738" s="24">
        <f t="shared" si="2"/>
        <v>724</v>
      </c>
      <c r="B738" s="558" t="s">
        <v>294</v>
      </c>
      <c r="C738" s="351"/>
      <c r="D738" s="559" t="s">
        <v>298</v>
      </c>
      <c r="E738" s="351"/>
      <c r="F738" s="524" t="s">
        <v>325</v>
      </c>
      <c r="G738" s="351"/>
      <c r="H738" s="525" t="s">
        <v>325</v>
      </c>
      <c r="I738" s="351"/>
      <c r="J738" s="563"/>
      <c r="K738" s="351"/>
      <c r="L738" s="563"/>
      <c r="M738" s="351"/>
      <c r="N738" s="37"/>
      <c r="O738" s="38"/>
      <c r="P738" s="560"/>
      <c r="Q738" s="351"/>
      <c r="R738" s="535"/>
      <c r="S738" s="351"/>
      <c r="T738" s="536"/>
      <c r="U738" s="351"/>
      <c r="V738" s="537"/>
      <c r="W738" s="351"/>
      <c r="X738" s="538" t="s">
        <v>294</v>
      </c>
      <c r="Y738" s="350"/>
      <c r="Z738" s="350"/>
      <c r="AA738" s="351"/>
      <c r="AB738" s="539" t="s">
        <v>294</v>
      </c>
      <c r="AC738" s="350"/>
      <c r="AD738" s="350"/>
      <c r="AE738" s="351"/>
      <c r="AF738" s="540"/>
      <c r="AG738" s="351"/>
      <c r="AH738" s="540"/>
      <c r="AI738" s="351"/>
      <c r="AJ738" s="545"/>
      <c r="AK738" s="351"/>
      <c r="AL738" s="555" t="s">
        <v>325</v>
      </c>
      <c r="AM738" s="351"/>
      <c r="AN738" s="531" t="s">
        <v>325</v>
      </c>
      <c r="AO738" s="351"/>
      <c r="AP738" s="532"/>
      <c r="AQ738" s="351"/>
      <c r="AR738" s="533"/>
      <c r="AS738" s="351"/>
      <c r="AT738" s="534"/>
      <c r="AU738" s="351"/>
      <c r="AV738" s="531" t="s">
        <v>325</v>
      </c>
      <c r="AW738" s="351"/>
      <c r="AX738" s="553"/>
      <c r="AY738" s="350"/>
      <c r="AZ738" s="351"/>
      <c r="BA738" s="545"/>
      <c r="BB738" s="351"/>
      <c r="BC738" s="36"/>
      <c r="BD738" s="556" t="s">
        <v>325</v>
      </c>
      <c r="BE738" s="351"/>
      <c r="BF738" s="557"/>
      <c r="BG738" s="350"/>
      <c r="BH738" s="350"/>
      <c r="BI738" s="351"/>
      <c r="BJ738" s="506" t="s">
        <v>294</v>
      </c>
      <c r="BK738" s="350"/>
      <c r="BL738" s="350"/>
      <c r="BM738" s="351"/>
      <c r="BN738" s="530" t="s">
        <v>294</v>
      </c>
      <c r="BO738" s="350"/>
      <c r="BP738" s="350"/>
      <c r="BQ738" s="350"/>
      <c r="BR738" s="350"/>
      <c r="BS738" s="350"/>
      <c r="BT738" s="350"/>
      <c r="BU738" s="350"/>
      <c r="BV738" s="351"/>
    </row>
    <row r="739" spans="1:74" ht="45" customHeight="1">
      <c r="A739" s="24">
        <f t="shared" si="2"/>
        <v>725</v>
      </c>
      <c r="B739" s="522" t="s">
        <v>294</v>
      </c>
      <c r="C739" s="351"/>
      <c r="D739" s="523" t="s">
        <v>298</v>
      </c>
      <c r="E739" s="351"/>
      <c r="F739" s="524" t="s">
        <v>325</v>
      </c>
      <c r="G739" s="351"/>
      <c r="H739" s="561" t="s">
        <v>325</v>
      </c>
      <c r="I739" s="351"/>
      <c r="J739" s="562"/>
      <c r="K739" s="351"/>
      <c r="L739" s="562"/>
      <c r="M739" s="351"/>
      <c r="N739" s="34"/>
      <c r="O739" s="35"/>
      <c r="P739" s="526"/>
      <c r="Q739" s="351"/>
      <c r="R739" s="527"/>
      <c r="S739" s="351"/>
      <c r="T739" s="528"/>
      <c r="U739" s="351"/>
      <c r="V739" s="541"/>
      <c r="W739" s="351"/>
      <c r="X739" s="542" t="s">
        <v>294</v>
      </c>
      <c r="Y739" s="350"/>
      <c r="Z739" s="350"/>
      <c r="AA739" s="351"/>
      <c r="AB739" s="543" t="s">
        <v>294</v>
      </c>
      <c r="AC739" s="350"/>
      <c r="AD739" s="350"/>
      <c r="AE739" s="351"/>
      <c r="AF739" s="544"/>
      <c r="AG739" s="351"/>
      <c r="AH739" s="544"/>
      <c r="AI739" s="351"/>
      <c r="AJ739" s="545"/>
      <c r="AK739" s="351"/>
      <c r="AL739" s="524" t="s">
        <v>325</v>
      </c>
      <c r="AM739" s="351"/>
      <c r="AN739" s="549" t="s">
        <v>325</v>
      </c>
      <c r="AO739" s="351"/>
      <c r="AP739" s="550"/>
      <c r="AQ739" s="351"/>
      <c r="AR739" s="551"/>
      <c r="AS739" s="351"/>
      <c r="AT739" s="534"/>
      <c r="AU739" s="351"/>
      <c r="AV739" s="549" t="s">
        <v>325</v>
      </c>
      <c r="AW739" s="351"/>
      <c r="AX739" s="553"/>
      <c r="AY739" s="350"/>
      <c r="AZ739" s="351"/>
      <c r="BA739" s="554"/>
      <c r="BB739" s="351"/>
      <c r="BC739" s="39"/>
      <c r="BD739" s="546" t="s">
        <v>325</v>
      </c>
      <c r="BE739" s="351"/>
      <c r="BF739" s="547"/>
      <c r="BG739" s="350"/>
      <c r="BH739" s="350"/>
      <c r="BI739" s="351"/>
      <c r="BJ739" s="548" t="s">
        <v>294</v>
      </c>
      <c r="BK739" s="350"/>
      <c r="BL739" s="350"/>
      <c r="BM739" s="351"/>
      <c r="BN739" s="530" t="s">
        <v>294</v>
      </c>
      <c r="BO739" s="350"/>
      <c r="BP739" s="350"/>
      <c r="BQ739" s="350"/>
      <c r="BR739" s="350"/>
      <c r="BS739" s="350"/>
      <c r="BT739" s="350"/>
      <c r="BU739" s="350"/>
      <c r="BV739" s="351"/>
    </row>
    <row r="740" spans="1:74" ht="45" customHeight="1">
      <c r="A740" s="24">
        <f t="shared" si="2"/>
        <v>726</v>
      </c>
      <c r="B740" s="558" t="s">
        <v>294</v>
      </c>
      <c r="C740" s="351"/>
      <c r="D740" s="559" t="s">
        <v>298</v>
      </c>
      <c r="E740" s="351"/>
      <c r="F740" s="524" t="s">
        <v>325</v>
      </c>
      <c r="G740" s="351"/>
      <c r="H740" s="525" t="s">
        <v>325</v>
      </c>
      <c r="I740" s="351"/>
      <c r="J740" s="563"/>
      <c r="K740" s="351"/>
      <c r="L740" s="563"/>
      <c r="M740" s="351"/>
      <c r="N740" s="37"/>
      <c r="O740" s="38"/>
      <c r="P740" s="560"/>
      <c r="Q740" s="351"/>
      <c r="R740" s="535"/>
      <c r="S740" s="351"/>
      <c r="T740" s="536"/>
      <c r="U740" s="351"/>
      <c r="V740" s="537"/>
      <c r="W740" s="351"/>
      <c r="X740" s="538" t="s">
        <v>294</v>
      </c>
      <c r="Y740" s="350"/>
      <c r="Z740" s="350"/>
      <c r="AA740" s="351"/>
      <c r="AB740" s="539" t="s">
        <v>294</v>
      </c>
      <c r="AC740" s="350"/>
      <c r="AD740" s="350"/>
      <c r="AE740" s="351"/>
      <c r="AF740" s="540"/>
      <c r="AG740" s="351"/>
      <c r="AH740" s="540"/>
      <c r="AI740" s="351"/>
      <c r="AJ740" s="545"/>
      <c r="AK740" s="351"/>
      <c r="AL740" s="555" t="s">
        <v>325</v>
      </c>
      <c r="AM740" s="351"/>
      <c r="AN740" s="531" t="s">
        <v>325</v>
      </c>
      <c r="AO740" s="351"/>
      <c r="AP740" s="532"/>
      <c r="AQ740" s="351"/>
      <c r="AR740" s="533"/>
      <c r="AS740" s="351"/>
      <c r="AT740" s="534"/>
      <c r="AU740" s="351"/>
      <c r="AV740" s="531" t="s">
        <v>325</v>
      </c>
      <c r="AW740" s="351"/>
      <c r="AX740" s="553"/>
      <c r="AY740" s="350"/>
      <c r="AZ740" s="351"/>
      <c r="BA740" s="545"/>
      <c r="BB740" s="351"/>
      <c r="BC740" s="36"/>
      <c r="BD740" s="556" t="s">
        <v>325</v>
      </c>
      <c r="BE740" s="351"/>
      <c r="BF740" s="557"/>
      <c r="BG740" s="350"/>
      <c r="BH740" s="350"/>
      <c r="BI740" s="351"/>
      <c r="BJ740" s="506" t="s">
        <v>294</v>
      </c>
      <c r="BK740" s="350"/>
      <c r="BL740" s="350"/>
      <c r="BM740" s="351"/>
      <c r="BN740" s="530" t="s">
        <v>294</v>
      </c>
      <c r="BO740" s="350"/>
      <c r="BP740" s="350"/>
      <c r="BQ740" s="350"/>
      <c r="BR740" s="350"/>
      <c r="BS740" s="350"/>
      <c r="BT740" s="350"/>
      <c r="BU740" s="350"/>
      <c r="BV740" s="351"/>
    </row>
    <row r="741" spans="1:74" ht="45" customHeight="1">
      <c r="A741" s="24">
        <f t="shared" si="2"/>
        <v>727</v>
      </c>
      <c r="B741" s="522" t="s">
        <v>294</v>
      </c>
      <c r="C741" s="351"/>
      <c r="D741" s="523" t="s">
        <v>298</v>
      </c>
      <c r="E741" s="351"/>
      <c r="F741" s="524" t="s">
        <v>325</v>
      </c>
      <c r="G741" s="351"/>
      <c r="H741" s="561" t="s">
        <v>325</v>
      </c>
      <c r="I741" s="351"/>
      <c r="J741" s="562"/>
      <c r="K741" s="351"/>
      <c r="L741" s="562"/>
      <c r="M741" s="351"/>
      <c r="N741" s="34"/>
      <c r="O741" s="38"/>
      <c r="P741" s="526"/>
      <c r="Q741" s="351"/>
      <c r="R741" s="527"/>
      <c r="S741" s="351"/>
      <c r="T741" s="528"/>
      <c r="U741" s="351"/>
      <c r="V741" s="541"/>
      <c r="W741" s="351"/>
      <c r="X741" s="542" t="s">
        <v>294</v>
      </c>
      <c r="Y741" s="350"/>
      <c r="Z741" s="350"/>
      <c r="AA741" s="351"/>
      <c r="AB741" s="543" t="s">
        <v>294</v>
      </c>
      <c r="AC741" s="350"/>
      <c r="AD741" s="350"/>
      <c r="AE741" s="351"/>
      <c r="AF741" s="544"/>
      <c r="AG741" s="351"/>
      <c r="AH741" s="544"/>
      <c r="AI741" s="351"/>
      <c r="AJ741" s="545"/>
      <c r="AK741" s="351"/>
      <c r="AL741" s="524" t="s">
        <v>325</v>
      </c>
      <c r="AM741" s="351"/>
      <c r="AN741" s="549" t="s">
        <v>325</v>
      </c>
      <c r="AO741" s="351"/>
      <c r="AP741" s="550"/>
      <c r="AQ741" s="351"/>
      <c r="AR741" s="551"/>
      <c r="AS741" s="351"/>
      <c r="AT741" s="552"/>
      <c r="AU741" s="351"/>
      <c r="AV741" s="549" t="s">
        <v>325</v>
      </c>
      <c r="AW741" s="351"/>
      <c r="AX741" s="553"/>
      <c r="AY741" s="350"/>
      <c r="AZ741" s="351"/>
      <c r="BA741" s="554"/>
      <c r="BB741" s="351"/>
      <c r="BC741" s="39"/>
      <c r="BD741" s="546" t="s">
        <v>325</v>
      </c>
      <c r="BE741" s="351"/>
      <c r="BF741" s="547"/>
      <c r="BG741" s="350"/>
      <c r="BH741" s="350"/>
      <c r="BI741" s="351"/>
      <c r="BJ741" s="548" t="s">
        <v>294</v>
      </c>
      <c r="BK741" s="350"/>
      <c r="BL741" s="350"/>
      <c r="BM741" s="351"/>
      <c r="BN741" s="530" t="s">
        <v>294</v>
      </c>
      <c r="BO741" s="350"/>
      <c r="BP741" s="350"/>
      <c r="BQ741" s="350"/>
      <c r="BR741" s="350"/>
      <c r="BS741" s="350"/>
      <c r="BT741" s="350"/>
      <c r="BU741" s="350"/>
      <c r="BV741" s="351"/>
    </row>
    <row r="742" spans="1:74" ht="45" customHeight="1">
      <c r="A742" s="24">
        <f t="shared" si="2"/>
        <v>728</v>
      </c>
      <c r="B742" s="558" t="s">
        <v>294</v>
      </c>
      <c r="C742" s="351"/>
      <c r="D742" s="559" t="s">
        <v>298</v>
      </c>
      <c r="E742" s="351"/>
      <c r="F742" s="524" t="s">
        <v>325</v>
      </c>
      <c r="G742" s="351"/>
      <c r="H742" s="525" t="s">
        <v>325</v>
      </c>
      <c r="I742" s="351"/>
      <c r="J742" s="563"/>
      <c r="K742" s="351"/>
      <c r="L742" s="563"/>
      <c r="M742" s="351"/>
      <c r="N742" s="37"/>
      <c r="O742" s="35"/>
      <c r="P742" s="560"/>
      <c r="Q742" s="351"/>
      <c r="R742" s="535"/>
      <c r="S742" s="351"/>
      <c r="T742" s="536"/>
      <c r="U742" s="351"/>
      <c r="V742" s="537"/>
      <c r="W742" s="351"/>
      <c r="X742" s="538" t="s">
        <v>294</v>
      </c>
      <c r="Y742" s="350"/>
      <c r="Z742" s="350"/>
      <c r="AA742" s="351"/>
      <c r="AB742" s="539" t="s">
        <v>294</v>
      </c>
      <c r="AC742" s="350"/>
      <c r="AD742" s="350"/>
      <c r="AE742" s="351"/>
      <c r="AF742" s="540"/>
      <c r="AG742" s="351"/>
      <c r="AH742" s="540"/>
      <c r="AI742" s="351"/>
      <c r="AJ742" s="545"/>
      <c r="AK742" s="351"/>
      <c r="AL742" s="555" t="s">
        <v>325</v>
      </c>
      <c r="AM742" s="351"/>
      <c r="AN742" s="531" t="s">
        <v>325</v>
      </c>
      <c r="AO742" s="351"/>
      <c r="AP742" s="532"/>
      <c r="AQ742" s="351"/>
      <c r="AR742" s="533"/>
      <c r="AS742" s="351"/>
      <c r="AT742" s="534"/>
      <c r="AU742" s="351"/>
      <c r="AV742" s="531" t="s">
        <v>325</v>
      </c>
      <c r="AW742" s="351"/>
      <c r="AX742" s="553"/>
      <c r="AY742" s="350"/>
      <c r="AZ742" s="351"/>
      <c r="BA742" s="545"/>
      <c r="BB742" s="351"/>
      <c r="BC742" s="36"/>
      <c r="BD742" s="556" t="s">
        <v>325</v>
      </c>
      <c r="BE742" s="351"/>
      <c r="BF742" s="529"/>
      <c r="BG742" s="350"/>
      <c r="BH742" s="350"/>
      <c r="BI742" s="351"/>
      <c r="BJ742" s="506" t="s">
        <v>294</v>
      </c>
      <c r="BK742" s="350"/>
      <c r="BL742" s="350"/>
      <c r="BM742" s="351"/>
      <c r="BN742" s="530" t="s">
        <v>294</v>
      </c>
      <c r="BO742" s="350"/>
      <c r="BP742" s="350"/>
      <c r="BQ742" s="350"/>
      <c r="BR742" s="350"/>
      <c r="BS742" s="350"/>
      <c r="BT742" s="350"/>
      <c r="BU742" s="350"/>
      <c r="BV742" s="351"/>
    </row>
    <row r="743" spans="1:74" ht="45" customHeight="1">
      <c r="A743" s="24">
        <f t="shared" si="2"/>
        <v>729</v>
      </c>
      <c r="B743" s="522" t="s">
        <v>294</v>
      </c>
      <c r="C743" s="351"/>
      <c r="D743" s="523" t="s">
        <v>298</v>
      </c>
      <c r="E743" s="351"/>
      <c r="F743" s="524" t="s">
        <v>325</v>
      </c>
      <c r="G743" s="351"/>
      <c r="H743" s="561" t="s">
        <v>325</v>
      </c>
      <c r="I743" s="351"/>
      <c r="J743" s="562"/>
      <c r="K743" s="351"/>
      <c r="L743" s="562"/>
      <c r="M743" s="351"/>
      <c r="N743" s="34"/>
      <c r="O743" s="38"/>
      <c r="P743" s="526"/>
      <c r="Q743" s="351"/>
      <c r="R743" s="527"/>
      <c r="S743" s="351"/>
      <c r="T743" s="528"/>
      <c r="U743" s="351"/>
      <c r="V743" s="541"/>
      <c r="W743" s="351"/>
      <c r="X743" s="542" t="s">
        <v>294</v>
      </c>
      <c r="Y743" s="350"/>
      <c r="Z743" s="350"/>
      <c r="AA743" s="351"/>
      <c r="AB743" s="543" t="s">
        <v>294</v>
      </c>
      <c r="AC743" s="350"/>
      <c r="AD743" s="350"/>
      <c r="AE743" s="351"/>
      <c r="AF743" s="544"/>
      <c r="AG743" s="351"/>
      <c r="AH743" s="544"/>
      <c r="AI743" s="351"/>
      <c r="AJ743" s="545"/>
      <c r="AK743" s="351"/>
      <c r="AL743" s="524" t="s">
        <v>325</v>
      </c>
      <c r="AM743" s="351"/>
      <c r="AN743" s="549" t="s">
        <v>325</v>
      </c>
      <c r="AO743" s="351"/>
      <c r="AP743" s="550"/>
      <c r="AQ743" s="351"/>
      <c r="AR743" s="551"/>
      <c r="AS743" s="351"/>
      <c r="AT743" s="552"/>
      <c r="AU743" s="351"/>
      <c r="AV743" s="549" t="s">
        <v>325</v>
      </c>
      <c r="AW743" s="351"/>
      <c r="AX743" s="553"/>
      <c r="AY743" s="350"/>
      <c r="AZ743" s="351"/>
      <c r="BA743" s="554"/>
      <c r="BB743" s="351"/>
      <c r="BC743" s="39"/>
      <c r="BD743" s="546" t="s">
        <v>325</v>
      </c>
      <c r="BE743" s="351"/>
      <c r="BF743" s="547"/>
      <c r="BG743" s="350"/>
      <c r="BH743" s="350"/>
      <c r="BI743" s="351"/>
      <c r="BJ743" s="548" t="s">
        <v>294</v>
      </c>
      <c r="BK743" s="350"/>
      <c r="BL743" s="350"/>
      <c r="BM743" s="351"/>
      <c r="BN743" s="530" t="s">
        <v>294</v>
      </c>
      <c r="BO743" s="350"/>
      <c r="BP743" s="350"/>
      <c r="BQ743" s="350"/>
      <c r="BR743" s="350"/>
      <c r="BS743" s="350"/>
      <c r="BT743" s="350"/>
      <c r="BU743" s="350"/>
      <c r="BV743" s="351"/>
    </row>
    <row r="744" spans="1:74" ht="45" customHeight="1">
      <c r="A744" s="24">
        <f t="shared" si="2"/>
        <v>730</v>
      </c>
      <c r="B744" s="558" t="s">
        <v>294</v>
      </c>
      <c r="C744" s="351"/>
      <c r="D744" s="559" t="s">
        <v>298</v>
      </c>
      <c r="E744" s="351"/>
      <c r="F744" s="524" t="s">
        <v>325</v>
      </c>
      <c r="G744" s="351"/>
      <c r="H744" s="525" t="s">
        <v>325</v>
      </c>
      <c r="I744" s="351"/>
      <c r="J744" s="563"/>
      <c r="K744" s="351"/>
      <c r="L744" s="563"/>
      <c r="M744" s="351"/>
      <c r="N744" s="37"/>
      <c r="O744" s="35"/>
      <c r="P744" s="560"/>
      <c r="Q744" s="351"/>
      <c r="R744" s="535"/>
      <c r="S744" s="351"/>
      <c r="T744" s="536"/>
      <c r="U744" s="351"/>
      <c r="V744" s="537"/>
      <c r="W744" s="351"/>
      <c r="X744" s="538" t="s">
        <v>294</v>
      </c>
      <c r="Y744" s="350"/>
      <c r="Z744" s="350"/>
      <c r="AA744" s="351"/>
      <c r="AB744" s="539" t="s">
        <v>294</v>
      </c>
      <c r="AC744" s="350"/>
      <c r="AD744" s="350"/>
      <c r="AE744" s="351"/>
      <c r="AF744" s="540"/>
      <c r="AG744" s="351"/>
      <c r="AH744" s="540"/>
      <c r="AI744" s="351"/>
      <c r="AJ744" s="545"/>
      <c r="AK744" s="351"/>
      <c r="AL744" s="555" t="s">
        <v>325</v>
      </c>
      <c r="AM744" s="351"/>
      <c r="AN744" s="531" t="s">
        <v>325</v>
      </c>
      <c r="AO744" s="351"/>
      <c r="AP744" s="532"/>
      <c r="AQ744" s="351"/>
      <c r="AR744" s="533"/>
      <c r="AS744" s="351"/>
      <c r="AT744" s="534"/>
      <c r="AU744" s="351"/>
      <c r="AV744" s="531" t="s">
        <v>325</v>
      </c>
      <c r="AW744" s="351"/>
      <c r="AX744" s="553"/>
      <c r="AY744" s="350"/>
      <c r="AZ744" s="351"/>
      <c r="BA744" s="545"/>
      <c r="BB744" s="351"/>
      <c r="BC744" s="36"/>
      <c r="BD744" s="556" t="s">
        <v>325</v>
      </c>
      <c r="BE744" s="351"/>
      <c r="BF744" s="557"/>
      <c r="BG744" s="350"/>
      <c r="BH744" s="350"/>
      <c r="BI744" s="351"/>
      <c r="BJ744" s="506" t="s">
        <v>294</v>
      </c>
      <c r="BK744" s="350"/>
      <c r="BL744" s="350"/>
      <c r="BM744" s="351"/>
      <c r="BN744" s="530" t="s">
        <v>294</v>
      </c>
      <c r="BO744" s="350"/>
      <c r="BP744" s="350"/>
      <c r="BQ744" s="350"/>
      <c r="BR744" s="350"/>
      <c r="BS744" s="350"/>
      <c r="BT744" s="350"/>
      <c r="BU744" s="350"/>
      <c r="BV744" s="351"/>
    </row>
    <row r="745" spans="1:74" ht="45" customHeight="1">
      <c r="A745" s="24">
        <f t="shared" si="2"/>
        <v>731</v>
      </c>
      <c r="B745" s="522" t="s">
        <v>294</v>
      </c>
      <c r="C745" s="351"/>
      <c r="D745" s="523" t="s">
        <v>298</v>
      </c>
      <c r="E745" s="351"/>
      <c r="F745" s="524" t="s">
        <v>325</v>
      </c>
      <c r="G745" s="351"/>
      <c r="H745" s="561" t="s">
        <v>325</v>
      </c>
      <c r="I745" s="351"/>
      <c r="J745" s="562"/>
      <c r="K745" s="351"/>
      <c r="L745" s="562"/>
      <c r="M745" s="351"/>
      <c r="N745" s="34"/>
      <c r="O745" s="38"/>
      <c r="P745" s="526"/>
      <c r="Q745" s="351"/>
      <c r="R745" s="527"/>
      <c r="S745" s="351"/>
      <c r="T745" s="528"/>
      <c r="U745" s="351"/>
      <c r="V745" s="541"/>
      <c r="W745" s="351"/>
      <c r="X745" s="542" t="s">
        <v>294</v>
      </c>
      <c r="Y745" s="350"/>
      <c r="Z745" s="350"/>
      <c r="AA745" s="351"/>
      <c r="AB745" s="543" t="s">
        <v>294</v>
      </c>
      <c r="AC745" s="350"/>
      <c r="AD745" s="350"/>
      <c r="AE745" s="351"/>
      <c r="AF745" s="544"/>
      <c r="AG745" s="351"/>
      <c r="AH745" s="544"/>
      <c r="AI745" s="351"/>
      <c r="AJ745" s="545"/>
      <c r="AK745" s="351"/>
      <c r="AL745" s="524" t="s">
        <v>325</v>
      </c>
      <c r="AM745" s="351"/>
      <c r="AN745" s="549" t="s">
        <v>325</v>
      </c>
      <c r="AO745" s="351"/>
      <c r="AP745" s="550"/>
      <c r="AQ745" s="351"/>
      <c r="AR745" s="551"/>
      <c r="AS745" s="351"/>
      <c r="AT745" s="552"/>
      <c r="AU745" s="351"/>
      <c r="AV745" s="549" t="s">
        <v>325</v>
      </c>
      <c r="AW745" s="351"/>
      <c r="AX745" s="553"/>
      <c r="AY745" s="350"/>
      <c r="AZ745" s="351"/>
      <c r="BA745" s="554"/>
      <c r="BB745" s="351"/>
      <c r="BC745" s="39"/>
      <c r="BD745" s="546" t="s">
        <v>325</v>
      </c>
      <c r="BE745" s="351"/>
      <c r="BF745" s="547"/>
      <c r="BG745" s="350"/>
      <c r="BH745" s="350"/>
      <c r="BI745" s="351"/>
      <c r="BJ745" s="548" t="s">
        <v>294</v>
      </c>
      <c r="BK745" s="350"/>
      <c r="BL745" s="350"/>
      <c r="BM745" s="351"/>
      <c r="BN745" s="530" t="s">
        <v>294</v>
      </c>
      <c r="BO745" s="350"/>
      <c r="BP745" s="350"/>
      <c r="BQ745" s="350"/>
      <c r="BR745" s="350"/>
      <c r="BS745" s="350"/>
      <c r="BT745" s="350"/>
      <c r="BU745" s="350"/>
      <c r="BV745" s="351"/>
    </row>
    <row r="746" spans="1:74" ht="45" customHeight="1">
      <c r="A746" s="24">
        <f t="shared" si="2"/>
        <v>732</v>
      </c>
      <c r="B746" s="558" t="s">
        <v>294</v>
      </c>
      <c r="C746" s="351"/>
      <c r="D746" s="559" t="s">
        <v>298</v>
      </c>
      <c r="E746" s="351"/>
      <c r="F746" s="524" t="s">
        <v>325</v>
      </c>
      <c r="G746" s="351"/>
      <c r="H746" s="525" t="s">
        <v>325</v>
      </c>
      <c r="I746" s="351"/>
      <c r="J746" s="563"/>
      <c r="K746" s="351"/>
      <c r="L746" s="563"/>
      <c r="M746" s="351"/>
      <c r="N746" s="37"/>
      <c r="O746" s="35"/>
      <c r="P746" s="560"/>
      <c r="Q746" s="351"/>
      <c r="R746" s="535"/>
      <c r="S746" s="351"/>
      <c r="T746" s="536"/>
      <c r="U746" s="351"/>
      <c r="V746" s="537"/>
      <c r="W746" s="351"/>
      <c r="X746" s="538" t="s">
        <v>294</v>
      </c>
      <c r="Y746" s="350"/>
      <c r="Z746" s="350"/>
      <c r="AA746" s="351"/>
      <c r="AB746" s="539" t="s">
        <v>294</v>
      </c>
      <c r="AC746" s="350"/>
      <c r="AD746" s="350"/>
      <c r="AE746" s="351"/>
      <c r="AF746" s="540"/>
      <c r="AG746" s="351"/>
      <c r="AH746" s="540"/>
      <c r="AI746" s="351"/>
      <c r="AJ746" s="545"/>
      <c r="AK746" s="351"/>
      <c r="AL746" s="555" t="s">
        <v>325</v>
      </c>
      <c r="AM746" s="351"/>
      <c r="AN746" s="531" t="s">
        <v>325</v>
      </c>
      <c r="AO746" s="351"/>
      <c r="AP746" s="532"/>
      <c r="AQ746" s="351"/>
      <c r="AR746" s="533"/>
      <c r="AS746" s="351"/>
      <c r="AT746" s="534"/>
      <c r="AU746" s="351"/>
      <c r="AV746" s="531" t="s">
        <v>325</v>
      </c>
      <c r="AW746" s="351"/>
      <c r="AX746" s="553"/>
      <c r="AY746" s="350"/>
      <c r="AZ746" s="351"/>
      <c r="BA746" s="545"/>
      <c r="BB746" s="351"/>
      <c r="BC746" s="36"/>
      <c r="BD746" s="556" t="s">
        <v>325</v>
      </c>
      <c r="BE746" s="351"/>
      <c r="BF746" s="557"/>
      <c r="BG746" s="350"/>
      <c r="BH746" s="350"/>
      <c r="BI746" s="351"/>
      <c r="BJ746" s="506" t="s">
        <v>294</v>
      </c>
      <c r="BK746" s="350"/>
      <c r="BL746" s="350"/>
      <c r="BM746" s="351"/>
      <c r="BN746" s="530" t="s">
        <v>294</v>
      </c>
      <c r="BO746" s="350"/>
      <c r="BP746" s="350"/>
      <c r="BQ746" s="350"/>
      <c r="BR746" s="350"/>
      <c r="BS746" s="350"/>
      <c r="BT746" s="350"/>
      <c r="BU746" s="350"/>
      <c r="BV746" s="351"/>
    </row>
    <row r="747" spans="1:74" ht="45" customHeight="1">
      <c r="A747" s="24">
        <f t="shared" si="2"/>
        <v>733</v>
      </c>
      <c r="B747" s="522" t="s">
        <v>294</v>
      </c>
      <c r="C747" s="351"/>
      <c r="D747" s="523" t="s">
        <v>298</v>
      </c>
      <c r="E747" s="351"/>
      <c r="F747" s="524" t="s">
        <v>325</v>
      </c>
      <c r="G747" s="351"/>
      <c r="H747" s="561" t="s">
        <v>325</v>
      </c>
      <c r="I747" s="351"/>
      <c r="J747" s="562"/>
      <c r="K747" s="351"/>
      <c r="L747" s="562"/>
      <c r="M747" s="351"/>
      <c r="N747" s="34"/>
      <c r="O747" s="38"/>
      <c r="P747" s="526"/>
      <c r="Q747" s="351"/>
      <c r="R747" s="527"/>
      <c r="S747" s="351"/>
      <c r="T747" s="528"/>
      <c r="U747" s="351"/>
      <c r="V747" s="541"/>
      <c r="W747" s="351"/>
      <c r="X747" s="542" t="s">
        <v>294</v>
      </c>
      <c r="Y747" s="350"/>
      <c r="Z747" s="350"/>
      <c r="AA747" s="351"/>
      <c r="AB747" s="543" t="s">
        <v>294</v>
      </c>
      <c r="AC747" s="350"/>
      <c r="AD747" s="350"/>
      <c r="AE747" s="351"/>
      <c r="AF747" s="544"/>
      <c r="AG747" s="351"/>
      <c r="AH747" s="544"/>
      <c r="AI747" s="351"/>
      <c r="AJ747" s="545"/>
      <c r="AK747" s="351"/>
      <c r="AL747" s="524" t="s">
        <v>325</v>
      </c>
      <c r="AM747" s="351"/>
      <c r="AN747" s="549" t="s">
        <v>325</v>
      </c>
      <c r="AO747" s="351"/>
      <c r="AP747" s="550"/>
      <c r="AQ747" s="351"/>
      <c r="AR747" s="551"/>
      <c r="AS747" s="351"/>
      <c r="AT747" s="552"/>
      <c r="AU747" s="351"/>
      <c r="AV747" s="549" t="s">
        <v>325</v>
      </c>
      <c r="AW747" s="351"/>
      <c r="AX747" s="553"/>
      <c r="AY747" s="350"/>
      <c r="AZ747" s="351"/>
      <c r="BA747" s="554"/>
      <c r="BB747" s="351"/>
      <c r="BC747" s="39"/>
      <c r="BD747" s="546" t="s">
        <v>325</v>
      </c>
      <c r="BE747" s="351"/>
      <c r="BF747" s="547"/>
      <c r="BG747" s="350"/>
      <c r="BH747" s="350"/>
      <c r="BI747" s="351"/>
      <c r="BJ747" s="548" t="s">
        <v>294</v>
      </c>
      <c r="BK747" s="350"/>
      <c r="BL747" s="350"/>
      <c r="BM747" s="351"/>
      <c r="BN747" s="530" t="s">
        <v>294</v>
      </c>
      <c r="BO747" s="350"/>
      <c r="BP747" s="350"/>
      <c r="BQ747" s="350"/>
      <c r="BR747" s="350"/>
      <c r="BS747" s="350"/>
      <c r="BT747" s="350"/>
      <c r="BU747" s="350"/>
      <c r="BV747" s="351"/>
    </row>
    <row r="748" spans="1:74" ht="45" customHeight="1">
      <c r="A748" s="24">
        <f t="shared" si="2"/>
        <v>734</v>
      </c>
      <c r="B748" s="558" t="s">
        <v>294</v>
      </c>
      <c r="C748" s="351"/>
      <c r="D748" s="559" t="s">
        <v>298</v>
      </c>
      <c r="E748" s="351"/>
      <c r="F748" s="524" t="s">
        <v>325</v>
      </c>
      <c r="G748" s="351"/>
      <c r="H748" s="525" t="s">
        <v>325</v>
      </c>
      <c r="I748" s="351"/>
      <c r="J748" s="563"/>
      <c r="K748" s="351"/>
      <c r="L748" s="563"/>
      <c r="M748" s="351"/>
      <c r="N748" s="37"/>
      <c r="O748" s="35"/>
      <c r="P748" s="560"/>
      <c r="Q748" s="351"/>
      <c r="R748" s="535"/>
      <c r="S748" s="351"/>
      <c r="T748" s="536"/>
      <c r="U748" s="351"/>
      <c r="V748" s="537"/>
      <c r="W748" s="351"/>
      <c r="X748" s="538" t="s">
        <v>294</v>
      </c>
      <c r="Y748" s="350"/>
      <c r="Z748" s="350"/>
      <c r="AA748" s="351"/>
      <c r="AB748" s="539" t="s">
        <v>294</v>
      </c>
      <c r="AC748" s="350"/>
      <c r="AD748" s="350"/>
      <c r="AE748" s="351"/>
      <c r="AF748" s="540"/>
      <c r="AG748" s="351"/>
      <c r="AH748" s="540"/>
      <c r="AI748" s="351"/>
      <c r="AJ748" s="545"/>
      <c r="AK748" s="351"/>
      <c r="AL748" s="555" t="s">
        <v>325</v>
      </c>
      <c r="AM748" s="351"/>
      <c r="AN748" s="531" t="s">
        <v>325</v>
      </c>
      <c r="AO748" s="351"/>
      <c r="AP748" s="532"/>
      <c r="AQ748" s="351"/>
      <c r="AR748" s="533"/>
      <c r="AS748" s="351"/>
      <c r="AT748" s="534"/>
      <c r="AU748" s="351"/>
      <c r="AV748" s="531" t="s">
        <v>325</v>
      </c>
      <c r="AW748" s="351"/>
      <c r="AX748" s="553"/>
      <c r="AY748" s="350"/>
      <c r="AZ748" s="351"/>
      <c r="BA748" s="545"/>
      <c r="BB748" s="351"/>
      <c r="BC748" s="36"/>
      <c r="BD748" s="556" t="s">
        <v>325</v>
      </c>
      <c r="BE748" s="351"/>
      <c r="BF748" s="529"/>
      <c r="BG748" s="350"/>
      <c r="BH748" s="350"/>
      <c r="BI748" s="351"/>
      <c r="BJ748" s="506" t="s">
        <v>294</v>
      </c>
      <c r="BK748" s="350"/>
      <c r="BL748" s="350"/>
      <c r="BM748" s="351"/>
      <c r="BN748" s="530" t="s">
        <v>294</v>
      </c>
      <c r="BO748" s="350"/>
      <c r="BP748" s="350"/>
      <c r="BQ748" s="350"/>
      <c r="BR748" s="350"/>
      <c r="BS748" s="350"/>
      <c r="BT748" s="350"/>
      <c r="BU748" s="350"/>
      <c r="BV748" s="351"/>
    </row>
    <row r="749" spans="1:74" ht="45" customHeight="1">
      <c r="A749" s="24">
        <f t="shared" si="2"/>
        <v>735</v>
      </c>
      <c r="B749" s="522" t="s">
        <v>294</v>
      </c>
      <c r="C749" s="351"/>
      <c r="D749" s="523" t="s">
        <v>298</v>
      </c>
      <c r="E749" s="351"/>
      <c r="F749" s="524" t="s">
        <v>325</v>
      </c>
      <c r="G749" s="351"/>
      <c r="H749" s="561" t="s">
        <v>325</v>
      </c>
      <c r="I749" s="351"/>
      <c r="J749" s="562"/>
      <c r="K749" s="351"/>
      <c r="L749" s="562"/>
      <c r="M749" s="351"/>
      <c r="N749" s="34"/>
      <c r="O749" s="38"/>
      <c r="P749" s="526"/>
      <c r="Q749" s="351"/>
      <c r="R749" s="527"/>
      <c r="S749" s="351"/>
      <c r="T749" s="528"/>
      <c r="U749" s="351"/>
      <c r="V749" s="541"/>
      <c r="W749" s="351"/>
      <c r="X749" s="542" t="s">
        <v>294</v>
      </c>
      <c r="Y749" s="350"/>
      <c r="Z749" s="350"/>
      <c r="AA749" s="351"/>
      <c r="AB749" s="543" t="s">
        <v>294</v>
      </c>
      <c r="AC749" s="350"/>
      <c r="AD749" s="350"/>
      <c r="AE749" s="351"/>
      <c r="AF749" s="544"/>
      <c r="AG749" s="351"/>
      <c r="AH749" s="544"/>
      <c r="AI749" s="351"/>
      <c r="AJ749" s="545"/>
      <c r="AK749" s="351"/>
      <c r="AL749" s="524" t="s">
        <v>325</v>
      </c>
      <c r="AM749" s="351"/>
      <c r="AN749" s="549" t="s">
        <v>325</v>
      </c>
      <c r="AO749" s="351"/>
      <c r="AP749" s="550"/>
      <c r="AQ749" s="351"/>
      <c r="AR749" s="551"/>
      <c r="AS749" s="351"/>
      <c r="AT749" s="552"/>
      <c r="AU749" s="351"/>
      <c r="AV749" s="549" t="s">
        <v>325</v>
      </c>
      <c r="AW749" s="351"/>
      <c r="AX749" s="553"/>
      <c r="AY749" s="350"/>
      <c r="AZ749" s="351"/>
      <c r="BA749" s="554"/>
      <c r="BB749" s="351"/>
      <c r="BC749" s="39"/>
      <c r="BD749" s="546" t="s">
        <v>325</v>
      </c>
      <c r="BE749" s="351"/>
      <c r="BF749" s="547"/>
      <c r="BG749" s="350"/>
      <c r="BH749" s="350"/>
      <c r="BI749" s="351"/>
      <c r="BJ749" s="548" t="s">
        <v>294</v>
      </c>
      <c r="BK749" s="350"/>
      <c r="BL749" s="350"/>
      <c r="BM749" s="351"/>
      <c r="BN749" s="530" t="s">
        <v>294</v>
      </c>
      <c r="BO749" s="350"/>
      <c r="BP749" s="350"/>
      <c r="BQ749" s="350"/>
      <c r="BR749" s="350"/>
      <c r="BS749" s="350"/>
      <c r="BT749" s="350"/>
      <c r="BU749" s="350"/>
      <c r="BV749" s="351"/>
    </row>
    <row r="750" spans="1:74" ht="45" customHeight="1">
      <c r="A750" s="24">
        <f t="shared" si="2"/>
        <v>736</v>
      </c>
      <c r="B750" s="558" t="s">
        <v>294</v>
      </c>
      <c r="C750" s="351"/>
      <c r="D750" s="559" t="s">
        <v>298</v>
      </c>
      <c r="E750" s="351"/>
      <c r="F750" s="524" t="s">
        <v>325</v>
      </c>
      <c r="G750" s="351"/>
      <c r="H750" s="525" t="s">
        <v>325</v>
      </c>
      <c r="I750" s="351"/>
      <c r="J750" s="563"/>
      <c r="K750" s="351"/>
      <c r="L750" s="563"/>
      <c r="M750" s="351"/>
      <c r="N750" s="37"/>
      <c r="O750" s="35"/>
      <c r="P750" s="560"/>
      <c r="Q750" s="351"/>
      <c r="R750" s="535"/>
      <c r="S750" s="351"/>
      <c r="T750" s="536"/>
      <c r="U750" s="351"/>
      <c r="V750" s="537"/>
      <c r="W750" s="351"/>
      <c r="X750" s="538" t="s">
        <v>294</v>
      </c>
      <c r="Y750" s="350"/>
      <c r="Z750" s="350"/>
      <c r="AA750" s="351"/>
      <c r="AB750" s="539" t="s">
        <v>294</v>
      </c>
      <c r="AC750" s="350"/>
      <c r="AD750" s="350"/>
      <c r="AE750" s="351"/>
      <c r="AF750" s="540"/>
      <c r="AG750" s="351"/>
      <c r="AH750" s="540"/>
      <c r="AI750" s="351"/>
      <c r="AJ750" s="545"/>
      <c r="AK750" s="351"/>
      <c r="AL750" s="555" t="s">
        <v>325</v>
      </c>
      <c r="AM750" s="351"/>
      <c r="AN750" s="531" t="s">
        <v>325</v>
      </c>
      <c r="AO750" s="351"/>
      <c r="AP750" s="532"/>
      <c r="AQ750" s="351"/>
      <c r="AR750" s="533"/>
      <c r="AS750" s="351"/>
      <c r="AT750" s="534"/>
      <c r="AU750" s="351"/>
      <c r="AV750" s="531" t="s">
        <v>325</v>
      </c>
      <c r="AW750" s="351"/>
      <c r="AX750" s="553"/>
      <c r="AY750" s="350"/>
      <c r="AZ750" s="351"/>
      <c r="BA750" s="545"/>
      <c r="BB750" s="351"/>
      <c r="BC750" s="36"/>
      <c r="BD750" s="556" t="s">
        <v>325</v>
      </c>
      <c r="BE750" s="351"/>
      <c r="BF750" s="557"/>
      <c r="BG750" s="350"/>
      <c r="BH750" s="350"/>
      <c r="BI750" s="351"/>
      <c r="BJ750" s="506" t="s">
        <v>294</v>
      </c>
      <c r="BK750" s="350"/>
      <c r="BL750" s="350"/>
      <c r="BM750" s="351"/>
      <c r="BN750" s="530" t="s">
        <v>294</v>
      </c>
      <c r="BO750" s="350"/>
      <c r="BP750" s="350"/>
      <c r="BQ750" s="350"/>
      <c r="BR750" s="350"/>
      <c r="BS750" s="350"/>
      <c r="BT750" s="350"/>
      <c r="BU750" s="350"/>
      <c r="BV750" s="351"/>
    </row>
    <row r="751" spans="1:74" ht="45" customHeight="1">
      <c r="A751" s="24">
        <f t="shared" si="2"/>
        <v>737</v>
      </c>
      <c r="B751" s="522" t="s">
        <v>294</v>
      </c>
      <c r="C751" s="351"/>
      <c r="D751" s="523" t="s">
        <v>298</v>
      </c>
      <c r="E751" s="351"/>
      <c r="F751" s="524" t="s">
        <v>325</v>
      </c>
      <c r="G751" s="351"/>
      <c r="H751" s="561" t="s">
        <v>325</v>
      </c>
      <c r="I751" s="351"/>
      <c r="J751" s="562"/>
      <c r="K751" s="351"/>
      <c r="L751" s="562"/>
      <c r="M751" s="351"/>
      <c r="N751" s="37"/>
      <c r="O751" s="38"/>
      <c r="P751" s="560"/>
      <c r="Q751" s="351"/>
      <c r="R751" s="527"/>
      <c r="S751" s="351"/>
      <c r="T751" s="528"/>
      <c r="U751" s="351"/>
      <c r="V751" s="541"/>
      <c r="W751" s="351"/>
      <c r="X751" s="542" t="s">
        <v>294</v>
      </c>
      <c r="Y751" s="350"/>
      <c r="Z751" s="350"/>
      <c r="AA751" s="351"/>
      <c r="AB751" s="543" t="s">
        <v>294</v>
      </c>
      <c r="AC751" s="350"/>
      <c r="AD751" s="350"/>
      <c r="AE751" s="351"/>
      <c r="AF751" s="544"/>
      <c r="AG751" s="351"/>
      <c r="AH751" s="544"/>
      <c r="AI751" s="351"/>
      <c r="AJ751" s="545"/>
      <c r="AK751" s="351"/>
      <c r="AL751" s="524" t="s">
        <v>325</v>
      </c>
      <c r="AM751" s="351"/>
      <c r="AN751" s="549" t="s">
        <v>325</v>
      </c>
      <c r="AO751" s="351"/>
      <c r="AP751" s="550"/>
      <c r="AQ751" s="351"/>
      <c r="AR751" s="551"/>
      <c r="AS751" s="351"/>
      <c r="AT751" s="534"/>
      <c r="AU751" s="351"/>
      <c r="AV751" s="549" t="s">
        <v>325</v>
      </c>
      <c r="AW751" s="351"/>
      <c r="AX751" s="553"/>
      <c r="AY751" s="350"/>
      <c r="AZ751" s="351"/>
      <c r="BA751" s="554"/>
      <c r="BB751" s="351"/>
      <c r="BC751" s="39"/>
      <c r="BD751" s="556" t="s">
        <v>325</v>
      </c>
      <c r="BE751" s="351"/>
      <c r="BF751" s="547"/>
      <c r="BG751" s="350"/>
      <c r="BH751" s="350"/>
      <c r="BI751" s="351"/>
      <c r="BJ751" s="548" t="s">
        <v>294</v>
      </c>
      <c r="BK751" s="350"/>
      <c r="BL751" s="350"/>
      <c r="BM751" s="351"/>
      <c r="BN751" s="530" t="s">
        <v>294</v>
      </c>
      <c r="BO751" s="350"/>
      <c r="BP751" s="350"/>
      <c r="BQ751" s="350"/>
      <c r="BR751" s="350"/>
      <c r="BS751" s="350"/>
      <c r="BT751" s="350"/>
      <c r="BU751" s="350"/>
      <c r="BV751" s="351"/>
    </row>
    <row r="752" spans="1:74" ht="45" customHeight="1">
      <c r="A752" s="24">
        <f t="shared" si="2"/>
        <v>738</v>
      </c>
      <c r="B752" s="558" t="s">
        <v>294</v>
      </c>
      <c r="C752" s="351"/>
      <c r="D752" s="559" t="s">
        <v>298</v>
      </c>
      <c r="E752" s="351"/>
      <c r="F752" s="524" t="s">
        <v>325</v>
      </c>
      <c r="G752" s="351"/>
      <c r="H752" s="525" t="s">
        <v>325</v>
      </c>
      <c r="I752" s="351"/>
      <c r="J752" s="563"/>
      <c r="K752" s="351"/>
      <c r="L752" s="563"/>
      <c r="M752" s="351"/>
      <c r="N752" s="34"/>
      <c r="O752" s="35"/>
      <c r="P752" s="526"/>
      <c r="Q752" s="351"/>
      <c r="R752" s="535"/>
      <c r="S752" s="351"/>
      <c r="T752" s="536"/>
      <c r="U752" s="351"/>
      <c r="V752" s="537"/>
      <c r="W752" s="351"/>
      <c r="X752" s="538" t="s">
        <v>294</v>
      </c>
      <c r="Y752" s="350"/>
      <c r="Z752" s="350"/>
      <c r="AA752" s="351"/>
      <c r="AB752" s="539" t="s">
        <v>294</v>
      </c>
      <c r="AC752" s="350"/>
      <c r="AD752" s="350"/>
      <c r="AE752" s="351"/>
      <c r="AF752" s="540"/>
      <c r="AG752" s="351"/>
      <c r="AH752" s="540"/>
      <c r="AI752" s="351"/>
      <c r="AJ752" s="545"/>
      <c r="AK752" s="351"/>
      <c r="AL752" s="555" t="s">
        <v>325</v>
      </c>
      <c r="AM752" s="351"/>
      <c r="AN752" s="531" t="s">
        <v>325</v>
      </c>
      <c r="AO752" s="351"/>
      <c r="AP752" s="532"/>
      <c r="AQ752" s="351"/>
      <c r="AR752" s="533"/>
      <c r="AS752" s="351"/>
      <c r="AT752" s="534"/>
      <c r="AU752" s="351"/>
      <c r="AV752" s="531" t="s">
        <v>325</v>
      </c>
      <c r="AW752" s="351"/>
      <c r="AX752" s="553"/>
      <c r="AY752" s="350"/>
      <c r="AZ752" s="351"/>
      <c r="BA752" s="545"/>
      <c r="BB752" s="351"/>
      <c r="BC752" s="36"/>
      <c r="BD752" s="546" t="s">
        <v>325</v>
      </c>
      <c r="BE752" s="351"/>
      <c r="BF752" s="557"/>
      <c r="BG752" s="350"/>
      <c r="BH752" s="350"/>
      <c r="BI752" s="351"/>
      <c r="BJ752" s="506" t="s">
        <v>294</v>
      </c>
      <c r="BK752" s="350"/>
      <c r="BL752" s="350"/>
      <c r="BM752" s="351"/>
      <c r="BN752" s="530" t="s">
        <v>294</v>
      </c>
      <c r="BO752" s="350"/>
      <c r="BP752" s="350"/>
      <c r="BQ752" s="350"/>
      <c r="BR752" s="350"/>
      <c r="BS752" s="350"/>
      <c r="BT752" s="350"/>
      <c r="BU752" s="350"/>
      <c r="BV752" s="351"/>
    </row>
    <row r="753" spans="1:74" ht="45" customHeight="1">
      <c r="A753" s="24">
        <f t="shared" si="2"/>
        <v>739</v>
      </c>
      <c r="B753" s="522" t="s">
        <v>294</v>
      </c>
      <c r="C753" s="351"/>
      <c r="D753" s="523" t="s">
        <v>298</v>
      </c>
      <c r="E753" s="351"/>
      <c r="F753" s="524" t="s">
        <v>325</v>
      </c>
      <c r="G753" s="351"/>
      <c r="H753" s="561" t="s">
        <v>325</v>
      </c>
      <c r="I753" s="351"/>
      <c r="J753" s="562"/>
      <c r="K753" s="351"/>
      <c r="L753" s="562"/>
      <c r="M753" s="351"/>
      <c r="N753" s="37"/>
      <c r="O753" s="38"/>
      <c r="P753" s="560"/>
      <c r="Q753" s="351"/>
      <c r="R753" s="527"/>
      <c r="S753" s="351"/>
      <c r="T753" s="528"/>
      <c r="U753" s="351"/>
      <c r="V753" s="541"/>
      <c r="W753" s="351"/>
      <c r="X753" s="542" t="s">
        <v>294</v>
      </c>
      <c r="Y753" s="350"/>
      <c r="Z753" s="350"/>
      <c r="AA753" s="351"/>
      <c r="AB753" s="543" t="s">
        <v>294</v>
      </c>
      <c r="AC753" s="350"/>
      <c r="AD753" s="350"/>
      <c r="AE753" s="351"/>
      <c r="AF753" s="544"/>
      <c r="AG753" s="351"/>
      <c r="AH753" s="544"/>
      <c r="AI753" s="351"/>
      <c r="AJ753" s="545"/>
      <c r="AK753" s="351"/>
      <c r="AL753" s="524" t="s">
        <v>325</v>
      </c>
      <c r="AM753" s="351"/>
      <c r="AN753" s="549" t="s">
        <v>325</v>
      </c>
      <c r="AO753" s="351"/>
      <c r="AP753" s="550"/>
      <c r="AQ753" s="351"/>
      <c r="AR753" s="551"/>
      <c r="AS753" s="351"/>
      <c r="AT753" s="534"/>
      <c r="AU753" s="351"/>
      <c r="AV753" s="549" t="s">
        <v>325</v>
      </c>
      <c r="AW753" s="351"/>
      <c r="AX753" s="553"/>
      <c r="AY753" s="350"/>
      <c r="AZ753" s="351"/>
      <c r="BA753" s="554"/>
      <c r="BB753" s="351"/>
      <c r="BC753" s="39"/>
      <c r="BD753" s="556" t="s">
        <v>325</v>
      </c>
      <c r="BE753" s="351"/>
      <c r="BF753" s="547"/>
      <c r="BG753" s="350"/>
      <c r="BH753" s="350"/>
      <c r="BI753" s="351"/>
      <c r="BJ753" s="548" t="s">
        <v>294</v>
      </c>
      <c r="BK753" s="350"/>
      <c r="BL753" s="350"/>
      <c r="BM753" s="351"/>
      <c r="BN753" s="530" t="s">
        <v>294</v>
      </c>
      <c r="BO753" s="350"/>
      <c r="BP753" s="350"/>
      <c r="BQ753" s="350"/>
      <c r="BR753" s="350"/>
      <c r="BS753" s="350"/>
      <c r="BT753" s="350"/>
      <c r="BU753" s="350"/>
      <c r="BV753" s="351"/>
    </row>
    <row r="754" spans="1:74" ht="45" customHeight="1">
      <c r="A754" s="24">
        <f t="shared" si="2"/>
        <v>740</v>
      </c>
      <c r="B754" s="558" t="s">
        <v>294</v>
      </c>
      <c r="C754" s="351"/>
      <c r="D754" s="559" t="s">
        <v>298</v>
      </c>
      <c r="E754" s="351"/>
      <c r="F754" s="524" t="s">
        <v>325</v>
      </c>
      <c r="G754" s="351"/>
      <c r="H754" s="525" t="s">
        <v>325</v>
      </c>
      <c r="I754" s="351"/>
      <c r="J754" s="563"/>
      <c r="K754" s="351"/>
      <c r="L754" s="563"/>
      <c r="M754" s="351"/>
      <c r="N754" s="34"/>
      <c r="O754" s="35"/>
      <c r="P754" s="526"/>
      <c r="Q754" s="351"/>
      <c r="R754" s="535"/>
      <c r="S754" s="351"/>
      <c r="T754" s="536"/>
      <c r="U754" s="351"/>
      <c r="V754" s="537"/>
      <c r="W754" s="351"/>
      <c r="X754" s="538" t="s">
        <v>294</v>
      </c>
      <c r="Y754" s="350"/>
      <c r="Z754" s="350"/>
      <c r="AA754" s="351"/>
      <c r="AB754" s="539" t="s">
        <v>294</v>
      </c>
      <c r="AC754" s="350"/>
      <c r="AD754" s="350"/>
      <c r="AE754" s="351"/>
      <c r="AF754" s="540"/>
      <c r="AG754" s="351"/>
      <c r="AH754" s="540"/>
      <c r="AI754" s="351"/>
      <c r="AJ754" s="545"/>
      <c r="AK754" s="351"/>
      <c r="AL754" s="555" t="s">
        <v>325</v>
      </c>
      <c r="AM754" s="351"/>
      <c r="AN754" s="531" t="s">
        <v>325</v>
      </c>
      <c r="AO754" s="351"/>
      <c r="AP754" s="532"/>
      <c r="AQ754" s="351"/>
      <c r="AR754" s="533"/>
      <c r="AS754" s="351"/>
      <c r="AT754" s="534"/>
      <c r="AU754" s="351"/>
      <c r="AV754" s="531" t="s">
        <v>325</v>
      </c>
      <c r="AW754" s="351"/>
      <c r="AX754" s="553"/>
      <c r="AY754" s="350"/>
      <c r="AZ754" s="351"/>
      <c r="BA754" s="545"/>
      <c r="BB754" s="351"/>
      <c r="BC754" s="36"/>
      <c r="BD754" s="556" t="s">
        <v>325</v>
      </c>
      <c r="BE754" s="351"/>
      <c r="BF754" s="557"/>
      <c r="BG754" s="350"/>
      <c r="BH754" s="350"/>
      <c r="BI754" s="351"/>
      <c r="BJ754" s="506" t="s">
        <v>294</v>
      </c>
      <c r="BK754" s="350"/>
      <c r="BL754" s="350"/>
      <c r="BM754" s="351"/>
      <c r="BN754" s="530" t="s">
        <v>294</v>
      </c>
      <c r="BO754" s="350"/>
      <c r="BP754" s="350"/>
      <c r="BQ754" s="350"/>
      <c r="BR754" s="350"/>
      <c r="BS754" s="350"/>
      <c r="BT754" s="350"/>
      <c r="BU754" s="350"/>
      <c r="BV754" s="351"/>
    </row>
    <row r="755" spans="1:74" ht="45" customHeight="1">
      <c r="A755" s="24">
        <f t="shared" si="2"/>
        <v>741</v>
      </c>
      <c r="B755" s="522" t="s">
        <v>294</v>
      </c>
      <c r="C755" s="351"/>
      <c r="D755" s="523" t="s">
        <v>298</v>
      </c>
      <c r="E755" s="351"/>
      <c r="F755" s="524" t="s">
        <v>325</v>
      </c>
      <c r="G755" s="351"/>
      <c r="H755" s="561" t="s">
        <v>325</v>
      </c>
      <c r="I755" s="351"/>
      <c r="J755" s="562"/>
      <c r="K755" s="351"/>
      <c r="L755" s="562"/>
      <c r="M755" s="351"/>
      <c r="N755" s="37"/>
      <c r="O755" s="38"/>
      <c r="P755" s="560"/>
      <c r="Q755" s="351"/>
      <c r="R755" s="527"/>
      <c r="S755" s="351"/>
      <c r="T755" s="528"/>
      <c r="U755" s="351"/>
      <c r="V755" s="541"/>
      <c r="W755" s="351"/>
      <c r="X755" s="542" t="s">
        <v>294</v>
      </c>
      <c r="Y755" s="350"/>
      <c r="Z755" s="350"/>
      <c r="AA755" s="351"/>
      <c r="AB755" s="543" t="s">
        <v>294</v>
      </c>
      <c r="AC755" s="350"/>
      <c r="AD755" s="350"/>
      <c r="AE755" s="351"/>
      <c r="AF755" s="544"/>
      <c r="AG755" s="351"/>
      <c r="AH755" s="544"/>
      <c r="AI755" s="351"/>
      <c r="AJ755" s="545"/>
      <c r="AK755" s="351"/>
      <c r="AL755" s="524" t="s">
        <v>325</v>
      </c>
      <c r="AM755" s="351"/>
      <c r="AN755" s="549" t="s">
        <v>325</v>
      </c>
      <c r="AO755" s="351"/>
      <c r="AP755" s="550"/>
      <c r="AQ755" s="351"/>
      <c r="AR755" s="551"/>
      <c r="AS755" s="351"/>
      <c r="AT755" s="552"/>
      <c r="AU755" s="351"/>
      <c r="AV755" s="549" t="s">
        <v>325</v>
      </c>
      <c r="AW755" s="351"/>
      <c r="AX755" s="553"/>
      <c r="AY755" s="350"/>
      <c r="AZ755" s="351"/>
      <c r="BA755" s="554"/>
      <c r="BB755" s="351"/>
      <c r="BC755" s="39"/>
      <c r="BD755" s="546" t="s">
        <v>325</v>
      </c>
      <c r="BE755" s="351"/>
      <c r="BF755" s="547"/>
      <c r="BG755" s="350"/>
      <c r="BH755" s="350"/>
      <c r="BI755" s="351"/>
      <c r="BJ755" s="548" t="s">
        <v>294</v>
      </c>
      <c r="BK755" s="350"/>
      <c r="BL755" s="350"/>
      <c r="BM755" s="351"/>
      <c r="BN755" s="530" t="s">
        <v>294</v>
      </c>
      <c r="BO755" s="350"/>
      <c r="BP755" s="350"/>
      <c r="BQ755" s="350"/>
      <c r="BR755" s="350"/>
      <c r="BS755" s="350"/>
      <c r="BT755" s="350"/>
      <c r="BU755" s="350"/>
      <c r="BV755" s="351"/>
    </row>
    <row r="756" spans="1:74" ht="45" customHeight="1">
      <c r="A756" s="24">
        <f t="shared" si="2"/>
        <v>742</v>
      </c>
      <c r="B756" s="558" t="s">
        <v>294</v>
      </c>
      <c r="C756" s="351"/>
      <c r="D756" s="559" t="s">
        <v>298</v>
      </c>
      <c r="E756" s="351"/>
      <c r="F756" s="524" t="s">
        <v>325</v>
      </c>
      <c r="G756" s="351"/>
      <c r="H756" s="525" t="s">
        <v>325</v>
      </c>
      <c r="I756" s="351"/>
      <c r="J756" s="563"/>
      <c r="K756" s="351"/>
      <c r="L756" s="563"/>
      <c r="M756" s="351"/>
      <c r="N756" s="34"/>
      <c r="O756" s="35"/>
      <c r="P756" s="526"/>
      <c r="Q756" s="351"/>
      <c r="R756" s="535"/>
      <c r="S756" s="351"/>
      <c r="T756" s="536"/>
      <c r="U756" s="351"/>
      <c r="V756" s="537"/>
      <c r="W756" s="351"/>
      <c r="X756" s="538" t="s">
        <v>294</v>
      </c>
      <c r="Y756" s="350"/>
      <c r="Z756" s="350"/>
      <c r="AA756" s="351"/>
      <c r="AB756" s="539" t="s">
        <v>294</v>
      </c>
      <c r="AC756" s="350"/>
      <c r="AD756" s="350"/>
      <c r="AE756" s="351"/>
      <c r="AF756" s="540"/>
      <c r="AG756" s="351"/>
      <c r="AH756" s="540"/>
      <c r="AI756" s="351"/>
      <c r="AJ756" s="545"/>
      <c r="AK756" s="351"/>
      <c r="AL756" s="555" t="s">
        <v>325</v>
      </c>
      <c r="AM756" s="351"/>
      <c r="AN756" s="531" t="s">
        <v>325</v>
      </c>
      <c r="AO756" s="351"/>
      <c r="AP756" s="532"/>
      <c r="AQ756" s="351"/>
      <c r="AR756" s="533"/>
      <c r="AS756" s="351"/>
      <c r="AT756" s="534"/>
      <c r="AU756" s="351"/>
      <c r="AV756" s="531" t="s">
        <v>325</v>
      </c>
      <c r="AW756" s="351"/>
      <c r="AX756" s="553"/>
      <c r="AY756" s="350"/>
      <c r="AZ756" s="351"/>
      <c r="BA756" s="545"/>
      <c r="BB756" s="351"/>
      <c r="BC756" s="36"/>
      <c r="BD756" s="556" t="s">
        <v>325</v>
      </c>
      <c r="BE756" s="351"/>
      <c r="BF756" s="529"/>
      <c r="BG756" s="350"/>
      <c r="BH756" s="350"/>
      <c r="BI756" s="351"/>
      <c r="BJ756" s="506" t="s">
        <v>294</v>
      </c>
      <c r="BK756" s="350"/>
      <c r="BL756" s="350"/>
      <c r="BM756" s="351"/>
      <c r="BN756" s="530" t="s">
        <v>294</v>
      </c>
      <c r="BO756" s="350"/>
      <c r="BP756" s="350"/>
      <c r="BQ756" s="350"/>
      <c r="BR756" s="350"/>
      <c r="BS756" s="350"/>
      <c r="BT756" s="350"/>
      <c r="BU756" s="350"/>
      <c r="BV756" s="351"/>
    </row>
    <row r="757" spans="1:74" ht="45" customHeight="1">
      <c r="A757" s="24">
        <f t="shared" si="2"/>
        <v>743</v>
      </c>
      <c r="B757" s="522" t="s">
        <v>294</v>
      </c>
      <c r="C757" s="351"/>
      <c r="D757" s="523" t="s">
        <v>298</v>
      </c>
      <c r="E757" s="351"/>
      <c r="F757" s="524" t="s">
        <v>325</v>
      </c>
      <c r="G757" s="351"/>
      <c r="H757" s="561" t="s">
        <v>325</v>
      </c>
      <c r="I757" s="351"/>
      <c r="J757" s="562"/>
      <c r="K757" s="351"/>
      <c r="L757" s="562"/>
      <c r="M757" s="351"/>
      <c r="N757" s="37"/>
      <c r="O757" s="38"/>
      <c r="P757" s="560"/>
      <c r="Q757" s="351"/>
      <c r="R757" s="527"/>
      <c r="S757" s="351"/>
      <c r="T757" s="528"/>
      <c r="U757" s="351"/>
      <c r="V757" s="541"/>
      <c r="W757" s="351"/>
      <c r="X757" s="542" t="s">
        <v>294</v>
      </c>
      <c r="Y757" s="350"/>
      <c r="Z757" s="350"/>
      <c r="AA757" s="351"/>
      <c r="AB757" s="543" t="s">
        <v>294</v>
      </c>
      <c r="AC757" s="350"/>
      <c r="AD757" s="350"/>
      <c r="AE757" s="351"/>
      <c r="AF757" s="544"/>
      <c r="AG757" s="351"/>
      <c r="AH757" s="544"/>
      <c r="AI757" s="351"/>
      <c r="AJ757" s="545"/>
      <c r="AK757" s="351"/>
      <c r="AL757" s="524" t="s">
        <v>325</v>
      </c>
      <c r="AM757" s="351"/>
      <c r="AN757" s="549" t="s">
        <v>325</v>
      </c>
      <c r="AO757" s="351"/>
      <c r="AP757" s="550"/>
      <c r="AQ757" s="351"/>
      <c r="AR757" s="551"/>
      <c r="AS757" s="351"/>
      <c r="AT757" s="552"/>
      <c r="AU757" s="351"/>
      <c r="AV757" s="549" t="s">
        <v>325</v>
      </c>
      <c r="AW757" s="351"/>
      <c r="AX757" s="553"/>
      <c r="AY757" s="350"/>
      <c r="AZ757" s="351"/>
      <c r="BA757" s="554"/>
      <c r="BB757" s="351"/>
      <c r="BC757" s="39"/>
      <c r="BD757" s="546" t="s">
        <v>325</v>
      </c>
      <c r="BE757" s="351"/>
      <c r="BF757" s="547"/>
      <c r="BG757" s="350"/>
      <c r="BH757" s="350"/>
      <c r="BI757" s="351"/>
      <c r="BJ757" s="548" t="s">
        <v>294</v>
      </c>
      <c r="BK757" s="350"/>
      <c r="BL757" s="350"/>
      <c r="BM757" s="351"/>
      <c r="BN757" s="530" t="s">
        <v>294</v>
      </c>
      <c r="BO757" s="350"/>
      <c r="BP757" s="350"/>
      <c r="BQ757" s="350"/>
      <c r="BR757" s="350"/>
      <c r="BS757" s="350"/>
      <c r="BT757" s="350"/>
      <c r="BU757" s="350"/>
      <c r="BV757" s="351"/>
    </row>
    <row r="758" spans="1:74" ht="45" customHeight="1">
      <c r="A758" s="24">
        <f t="shared" si="2"/>
        <v>744</v>
      </c>
      <c r="B758" s="558" t="s">
        <v>294</v>
      </c>
      <c r="C758" s="351"/>
      <c r="D758" s="559" t="s">
        <v>298</v>
      </c>
      <c r="E758" s="351"/>
      <c r="F758" s="524" t="s">
        <v>325</v>
      </c>
      <c r="G758" s="351"/>
      <c r="H758" s="525" t="s">
        <v>325</v>
      </c>
      <c r="I758" s="351"/>
      <c r="J758" s="563"/>
      <c r="K758" s="351"/>
      <c r="L758" s="563"/>
      <c r="M758" s="351"/>
      <c r="N758" s="34"/>
      <c r="O758" s="35"/>
      <c r="P758" s="526"/>
      <c r="Q758" s="351"/>
      <c r="R758" s="535"/>
      <c r="S758" s="351"/>
      <c r="T758" s="536"/>
      <c r="U758" s="351"/>
      <c r="V758" s="537"/>
      <c r="W758" s="351"/>
      <c r="X758" s="538" t="s">
        <v>294</v>
      </c>
      <c r="Y758" s="350"/>
      <c r="Z758" s="350"/>
      <c r="AA758" s="351"/>
      <c r="AB758" s="539" t="s">
        <v>294</v>
      </c>
      <c r="AC758" s="350"/>
      <c r="AD758" s="350"/>
      <c r="AE758" s="351"/>
      <c r="AF758" s="540"/>
      <c r="AG758" s="351"/>
      <c r="AH758" s="540"/>
      <c r="AI758" s="351"/>
      <c r="AJ758" s="545"/>
      <c r="AK758" s="351"/>
      <c r="AL758" s="555" t="s">
        <v>325</v>
      </c>
      <c r="AM758" s="351"/>
      <c r="AN758" s="531" t="s">
        <v>325</v>
      </c>
      <c r="AO758" s="351"/>
      <c r="AP758" s="532"/>
      <c r="AQ758" s="351"/>
      <c r="AR758" s="533"/>
      <c r="AS758" s="351"/>
      <c r="AT758" s="534"/>
      <c r="AU758" s="351"/>
      <c r="AV758" s="531" t="s">
        <v>325</v>
      </c>
      <c r="AW758" s="351"/>
      <c r="AX758" s="553"/>
      <c r="AY758" s="350"/>
      <c r="AZ758" s="351"/>
      <c r="BA758" s="545"/>
      <c r="BB758" s="351"/>
      <c r="BC758" s="36"/>
      <c r="BD758" s="556" t="s">
        <v>325</v>
      </c>
      <c r="BE758" s="351"/>
      <c r="BF758" s="557"/>
      <c r="BG758" s="350"/>
      <c r="BH758" s="350"/>
      <c r="BI758" s="351"/>
      <c r="BJ758" s="506" t="s">
        <v>294</v>
      </c>
      <c r="BK758" s="350"/>
      <c r="BL758" s="350"/>
      <c r="BM758" s="351"/>
      <c r="BN758" s="530" t="s">
        <v>294</v>
      </c>
      <c r="BO758" s="350"/>
      <c r="BP758" s="350"/>
      <c r="BQ758" s="350"/>
      <c r="BR758" s="350"/>
      <c r="BS758" s="350"/>
      <c r="BT758" s="350"/>
      <c r="BU758" s="350"/>
      <c r="BV758" s="351"/>
    </row>
    <row r="759" spans="1:74" ht="45" customHeight="1">
      <c r="A759" s="24">
        <f t="shared" si="2"/>
        <v>745</v>
      </c>
      <c r="B759" s="522" t="s">
        <v>294</v>
      </c>
      <c r="C759" s="351"/>
      <c r="D759" s="523" t="s">
        <v>298</v>
      </c>
      <c r="E759" s="351"/>
      <c r="F759" s="524" t="s">
        <v>325</v>
      </c>
      <c r="G759" s="351"/>
      <c r="H759" s="561" t="s">
        <v>325</v>
      </c>
      <c r="I759" s="351"/>
      <c r="J759" s="562"/>
      <c r="K759" s="351"/>
      <c r="L759" s="562"/>
      <c r="M759" s="351"/>
      <c r="N759" s="37"/>
      <c r="O759" s="38"/>
      <c r="P759" s="560"/>
      <c r="Q759" s="351"/>
      <c r="R759" s="527"/>
      <c r="S759" s="351"/>
      <c r="T759" s="528"/>
      <c r="U759" s="351"/>
      <c r="V759" s="541"/>
      <c r="W759" s="351"/>
      <c r="X759" s="542" t="s">
        <v>294</v>
      </c>
      <c r="Y759" s="350"/>
      <c r="Z759" s="350"/>
      <c r="AA759" s="351"/>
      <c r="AB759" s="543" t="s">
        <v>294</v>
      </c>
      <c r="AC759" s="350"/>
      <c r="AD759" s="350"/>
      <c r="AE759" s="351"/>
      <c r="AF759" s="544"/>
      <c r="AG759" s="351"/>
      <c r="AH759" s="544"/>
      <c r="AI759" s="351"/>
      <c r="AJ759" s="545"/>
      <c r="AK759" s="351"/>
      <c r="AL759" s="524" t="s">
        <v>325</v>
      </c>
      <c r="AM759" s="351"/>
      <c r="AN759" s="549" t="s">
        <v>325</v>
      </c>
      <c r="AO759" s="351"/>
      <c r="AP759" s="550"/>
      <c r="AQ759" s="351"/>
      <c r="AR759" s="551"/>
      <c r="AS759" s="351"/>
      <c r="AT759" s="552"/>
      <c r="AU759" s="351"/>
      <c r="AV759" s="549" t="s">
        <v>325</v>
      </c>
      <c r="AW759" s="351"/>
      <c r="AX759" s="553"/>
      <c r="AY759" s="350"/>
      <c r="AZ759" s="351"/>
      <c r="BA759" s="554"/>
      <c r="BB759" s="351"/>
      <c r="BC759" s="39"/>
      <c r="BD759" s="546" t="s">
        <v>325</v>
      </c>
      <c r="BE759" s="351"/>
      <c r="BF759" s="547"/>
      <c r="BG759" s="350"/>
      <c r="BH759" s="350"/>
      <c r="BI759" s="351"/>
      <c r="BJ759" s="548" t="s">
        <v>294</v>
      </c>
      <c r="BK759" s="350"/>
      <c r="BL759" s="350"/>
      <c r="BM759" s="351"/>
      <c r="BN759" s="530" t="s">
        <v>294</v>
      </c>
      <c r="BO759" s="350"/>
      <c r="BP759" s="350"/>
      <c r="BQ759" s="350"/>
      <c r="BR759" s="350"/>
      <c r="BS759" s="350"/>
      <c r="BT759" s="350"/>
      <c r="BU759" s="350"/>
      <c r="BV759" s="351"/>
    </row>
    <row r="760" spans="1:74" ht="45" customHeight="1">
      <c r="A760" s="24">
        <f t="shared" si="2"/>
        <v>746</v>
      </c>
      <c r="B760" s="558" t="s">
        <v>294</v>
      </c>
      <c r="C760" s="351"/>
      <c r="D760" s="559" t="s">
        <v>298</v>
      </c>
      <c r="E760" s="351"/>
      <c r="F760" s="524" t="s">
        <v>325</v>
      </c>
      <c r="G760" s="351"/>
      <c r="H760" s="525" t="s">
        <v>325</v>
      </c>
      <c r="I760" s="351"/>
      <c r="J760" s="563"/>
      <c r="K760" s="351"/>
      <c r="L760" s="563"/>
      <c r="M760" s="351"/>
      <c r="N760" s="34"/>
      <c r="O760" s="35"/>
      <c r="P760" s="526"/>
      <c r="Q760" s="351"/>
      <c r="R760" s="535"/>
      <c r="S760" s="351"/>
      <c r="T760" s="536"/>
      <c r="U760" s="351"/>
      <c r="V760" s="537"/>
      <c r="W760" s="351"/>
      <c r="X760" s="538" t="s">
        <v>294</v>
      </c>
      <c r="Y760" s="350"/>
      <c r="Z760" s="350"/>
      <c r="AA760" s="351"/>
      <c r="AB760" s="539" t="s">
        <v>294</v>
      </c>
      <c r="AC760" s="350"/>
      <c r="AD760" s="350"/>
      <c r="AE760" s="351"/>
      <c r="AF760" s="540"/>
      <c r="AG760" s="351"/>
      <c r="AH760" s="540"/>
      <c r="AI760" s="351"/>
      <c r="AJ760" s="545"/>
      <c r="AK760" s="351"/>
      <c r="AL760" s="555" t="s">
        <v>325</v>
      </c>
      <c r="AM760" s="351"/>
      <c r="AN760" s="531" t="s">
        <v>325</v>
      </c>
      <c r="AO760" s="351"/>
      <c r="AP760" s="532"/>
      <c r="AQ760" s="351"/>
      <c r="AR760" s="533"/>
      <c r="AS760" s="351"/>
      <c r="AT760" s="534"/>
      <c r="AU760" s="351"/>
      <c r="AV760" s="531" t="s">
        <v>325</v>
      </c>
      <c r="AW760" s="351"/>
      <c r="AX760" s="553"/>
      <c r="AY760" s="350"/>
      <c r="AZ760" s="351"/>
      <c r="BA760" s="545"/>
      <c r="BB760" s="351"/>
      <c r="BC760" s="36"/>
      <c r="BD760" s="556" t="s">
        <v>325</v>
      </c>
      <c r="BE760" s="351"/>
      <c r="BF760" s="557"/>
      <c r="BG760" s="350"/>
      <c r="BH760" s="350"/>
      <c r="BI760" s="351"/>
      <c r="BJ760" s="506" t="s">
        <v>294</v>
      </c>
      <c r="BK760" s="350"/>
      <c r="BL760" s="350"/>
      <c r="BM760" s="351"/>
      <c r="BN760" s="530" t="s">
        <v>294</v>
      </c>
      <c r="BO760" s="350"/>
      <c r="BP760" s="350"/>
      <c r="BQ760" s="350"/>
      <c r="BR760" s="350"/>
      <c r="BS760" s="350"/>
      <c r="BT760" s="350"/>
      <c r="BU760" s="350"/>
      <c r="BV760" s="351"/>
    </row>
    <row r="761" spans="1:74" ht="45" customHeight="1">
      <c r="A761" s="24">
        <f t="shared" si="2"/>
        <v>747</v>
      </c>
      <c r="B761" s="522" t="s">
        <v>294</v>
      </c>
      <c r="C761" s="351"/>
      <c r="D761" s="523" t="s">
        <v>298</v>
      </c>
      <c r="E761" s="351"/>
      <c r="F761" s="524" t="s">
        <v>325</v>
      </c>
      <c r="G761" s="351"/>
      <c r="H761" s="561" t="s">
        <v>325</v>
      </c>
      <c r="I761" s="351"/>
      <c r="J761" s="562"/>
      <c r="K761" s="351"/>
      <c r="L761" s="562"/>
      <c r="M761" s="351"/>
      <c r="N761" s="37"/>
      <c r="O761" s="38"/>
      <c r="P761" s="560"/>
      <c r="Q761" s="351"/>
      <c r="R761" s="527"/>
      <c r="S761" s="351"/>
      <c r="T761" s="528"/>
      <c r="U761" s="351"/>
      <c r="V761" s="541"/>
      <c r="W761" s="351"/>
      <c r="X761" s="542" t="s">
        <v>294</v>
      </c>
      <c r="Y761" s="350"/>
      <c r="Z761" s="350"/>
      <c r="AA761" s="351"/>
      <c r="AB761" s="543" t="s">
        <v>294</v>
      </c>
      <c r="AC761" s="350"/>
      <c r="AD761" s="350"/>
      <c r="AE761" s="351"/>
      <c r="AF761" s="544"/>
      <c r="AG761" s="351"/>
      <c r="AH761" s="544"/>
      <c r="AI761" s="351"/>
      <c r="AJ761" s="545"/>
      <c r="AK761" s="351"/>
      <c r="AL761" s="524" t="s">
        <v>325</v>
      </c>
      <c r="AM761" s="351"/>
      <c r="AN761" s="549" t="s">
        <v>325</v>
      </c>
      <c r="AO761" s="351"/>
      <c r="AP761" s="550"/>
      <c r="AQ761" s="351"/>
      <c r="AR761" s="551"/>
      <c r="AS761" s="351"/>
      <c r="AT761" s="552"/>
      <c r="AU761" s="351"/>
      <c r="AV761" s="549" t="s">
        <v>325</v>
      </c>
      <c r="AW761" s="351"/>
      <c r="AX761" s="553"/>
      <c r="AY761" s="350"/>
      <c r="AZ761" s="351"/>
      <c r="BA761" s="554"/>
      <c r="BB761" s="351"/>
      <c r="BC761" s="39"/>
      <c r="BD761" s="546" t="s">
        <v>325</v>
      </c>
      <c r="BE761" s="351"/>
      <c r="BF761" s="547"/>
      <c r="BG761" s="350"/>
      <c r="BH761" s="350"/>
      <c r="BI761" s="351"/>
      <c r="BJ761" s="548" t="s">
        <v>294</v>
      </c>
      <c r="BK761" s="350"/>
      <c r="BL761" s="350"/>
      <c r="BM761" s="351"/>
      <c r="BN761" s="530" t="s">
        <v>294</v>
      </c>
      <c r="BO761" s="350"/>
      <c r="BP761" s="350"/>
      <c r="BQ761" s="350"/>
      <c r="BR761" s="350"/>
      <c r="BS761" s="350"/>
      <c r="BT761" s="350"/>
      <c r="BU761" s="350"/>
      <c r="BV761" s="351"/>
    </row>
    <row r="762" spans="1:74" ht="45" customHeight="1">
      <c r="A762" s="24">
        <f t="shared" si="2"/>
        <v>748</v>
      </c>
      <c r="B762" s="558" t="s">
        <v>294</v>
      </c>
      <c r="C762" s="351"/>
      <c r="D762" s="559" t="s">
        <v>298</v>
      </c>
      <c r="E762" s="351"/>
      <c r="F762" s="524" t="s">
        <v>325</v>
      </c>
      <c r="G762" s="351"/>
      <c r="H762" s="525" t="s">
        <v>325</v>
      </c>
      <c r="I762" s="351"/>
      <c r="J762" s="563"/>
      <c r="K762" s="351"/>
      <c r="L762" s="563"/>
      <c r="M762" s="351"/>
      <c r="N762" s="34"/>
      <c r="O762" s="35"/>
      <c r="P762" s="526"/>
      <c r="Q762" s="351"/>
      <c r="R762" s="535"/>
      <c r="S762" s="351"/>
      <c r="T762" s="536"/>
      <c r="U762" s="351"/>
      <c r="V762" s="537"/>
      <c r="W762" s="351"/>
      <c r="X762" s="538" t="s">
        <v>294</v>
      </c>
      <c r="Y762" s="350"/>
      <c r="Z762" s="350"/>
      <c r="AA762" s="351"/>
      <c r="AB762" s="539" t="s">
        <v>294</v>
      </c>
      <c r="AC762" s="350"/>
      <c r="AD762" s="350"/>
      <c r="AE762" s="351"/>
      <c r="AF762" s="540"/>
      <c r="AG762" s="351"/>
      <c r="AH762" s="540"/>
      <c r="AI762" s="351"/>
      <c r="AJ762" s="545"/>
      <c r="AK762" s="351"/>
      <c r="AL762" s="555" t="s">
        <v>325</v>
      </c>
      <c r="AM762" s="351"/>
      <c r="AN762" s="531" t="s">
        <v>325</v>
      </c>
      <c r="AO762" s="351"/>
      <c r="AP762" s="532"/>
      <c r="AQ762" s="351"/>
      <c r="AR762" s="533"/>
      <c r="AS762" s="351"/>
      <c r="AT762" s="534"/>
      <c r="AU762" s="351"/>
      <c r="AV762" s="531" t="s">
        <v>325</v>
      </c>
      <c r="AW762" s="351"/>
      <c r="AX762" s="553"/>
      <c r="AY762" s="350"/>
      <c r="AZ762" s="351"/>
      <c r="BA762" s="545"/>
      <c r="BB762" s="351"/>
      <c r="BC762" s="36"/>
      <c r="BD762" s="556" t="s">
        <v>325</v>
      </c>
      <c r="BE762" s="351"/>
      <c r="BF762" s="529"/>
      <c r="BG762" s="350"/>
      <c r="BH762" s="350"/>
      <c r="BI762" s="351"/>
      <c r="BJ762" s="506" t="s">
        <v>294</v>
      </c>
      <c r="BK762" s="350"/>
      <c r="BL762" s="350"/>
      <c r="BM762" s="351"/>
      <c r="BN762" s="530" t="s">
        <v>294</v>
      </c>
      <c r="BO762" s="350"/>
      <c r="BP762" s="350"/>
      <c r="BQ762" s="350"/>
      <c r="BR762" s="350"/>
      <c r="BS762" s="350"/>
      <c r="BT762" s="350"/>
      <c r="BU762" s="350"/>
      <c r="BV762" s="351"/>
    </row>
    <row r="763" spans="1:74" ht="45" customHeight="1">
      <c r="A763" s="24">
        <f t="shared" si="2"/>
        <v>749</v>
      </c>
      <c r="B763" s="522" t="s">
        <v>294</v>
      </c>
      <c r="C763" s="351"/>
      <c r="D763" s="523" t="s">
        <v>298</v>
      </c>
      <c r="E763" s="351"/>
      <c r="F763" s="524" t="s">
        <v>325</v>
      </c>
      <c r="G763" s="351"/>
      <c r="H763" s="561" t="s">
        <v>325</v>
      </c>
      <c r="I763" s="351"/>
      <c r="J763" s="562"/>
      <c r="K763" s="351"/>
      <c r="L763" s="562"/>
      <c r="M763" s="351"/>
      <c r="N763" s="37"/>
      <c r="O763" s="38"/>
      <c r="P763" s="560"/>
      <c r="Q763" s="351"/>
      <c r="R763" s="527"/>
      <c r="S763" s="351"/>
      <c r="T763" s="528"/>
      <c r="U763" s="351"/>
      <c r="V763" s="541"/>
      <c r="W763" s="351"/>
      <c r="X763" s="542" t="s">
        <v>294</v>
      </c>
      <c r="Y763" s="350"/>
      <c r="Z763" s="350"/>
      <c r="AA763" s="351"/>
      <c r="AB763" s="543" t="s">
        <v>294</v>
      </c>
      <c r="AC763" s="350"/>
      <c r="AD763" s="350"/>
      <c r="AE763" s="351"/>
      <c r="AF763" s="544"/>
      <c r="AG763" s="351"/>
      <c r="AH763" s="544"/>
      <c r="AI763" s="351"/>
      <c r="AJ763" s="545"/>
      <c r="AK763" s="351"/>
      <c r="AL763" s="524" t="s">
        <v>325</v>
      </c>
      <c r="AM763" s="351"/>
      <c r="AN763" s="549" t="s">
        <v>325</v>
      </c>
      <c r="AO763" s="351"/>
      <c r="AP763" s="550"/>
      <c r="AQ763" s="351"/>
      <c r="AR763" s="551"/>
      <c r="AS763" s="351"/>
      <c r="AT763" s="552"/>
      <c r="AU763" s="351"/>
      <c r="AV763" s="549" t="s">
        <v>325</v>
      </c>
      <c r="AW763" s="351"/>
      <c r="AX763" s="553"/>
      <c r="AY763" s="350"/>
      <c r="AZ763" s="351"/>
      <c r="BA763" s="554"/>
      <c r="BB763" s="351"/>
      <c r="BC763" s="39"/>
      <c r="BD763" s="546" t="s">
        <v>325</v>
      </c>
      <c r="BE763" s="351"/>
      <c r="BF763" s="547"/>
      <c r="BG763" s="350"/>
      <c r="BH763" s="350"/>
      <c r="BI763" s="351"/>
      <c r="BJ763" s="548" t="s">
        <v>294</v>
      </c>
      <c r="BK763" s="350"/>
      <c r="BL763" s="350"/>
      <c r="BM763" s="351"/>
      <c r="BN763" s="530" t="s">
        <v>294</v>
      </c>
      <c r="BO763" s="350"/>
      <c r="BP763" s="350"/>
      <c r="BQ763" s="350"/>
      <c r="BR763" s="350"/>
      <c r="BS763" s="350"/>
      <c r="BT763" s="350"/>
      <c r="BU763" s="350"/>
      <c r="BV763" s="351"/>
    </row>
    <row r="764" spans="1:74" ht="45" customHeight="1">
      <c r="A764" s="24">
        <f t="shared" si="2"/>
        <v>750</v>
      </c>
      <c r="B764" s="558" t="s">
        <v>294</v>
      </c>
      <c r="C764" s="351"/>
      <c r="D764" s="559" t="s">
        <v>298</v>
      </c>
      <c r="E764" s="351"/>
      <c r="F764" s="524" t="s">
        <v>325</v>
      </c>
      <c r="G764" s="351"/>
      <c r="H764" s="525" t="s">
        <v>325</v>
      </c>
      <c r="I764" s="351"/>
      <c r="J764" s="563"/>
      <c r="K764" s="351"/>
      <c r="L764" s="563"/>
      <c r="M764" s="351"/>
      <c r="N764" s="34"/>
      <c r="O764" s="35"/>
      <c r="P764" s="526"/>
      <c r="Q764" s="351"/>
      <c r="R764" s="535"/>
      <c r="S764" s="351"/>
      <c r="T764" s="536"/>
      <c r="U764" s="351"/>
      <c r="V764" s="537"/>
      <c r="W764" s="351"/>
      <c r="X764" s="538" t="s">
        <v>294</v>
      </c>
      <c r="Y764" s="350"/>
      <c r="Z764" s="350"/>
      <c r="AA764" s="351"/>
      <c r="AB764" s="539" t="s">
        <v>294</v>
      </c>
      <c r="AC764" s="350"/>
      <c r="AD764" s="350"/>
      <c r="AE764" s="351"/>
      <c r="AF764" s="540"/>
      <c r="AG764" s="351"/>
      <c r="AH764" s="540"/>
      <c r="AI764" s="351"/>
      <c r="AJ764" s="545"/>
      <c r="AK764" s="351"/>
      <c r="AL764" s="555" t="s">
        <v>325</v>
      </c>
      <c r="AM764" s="351"/>
      <c r="AN764" s="531" t="s">
        <v>325</v>
      </c>
      <c r="AO764" s="351"/>
      <c r="AP764" s="532"/>
      <c r="AQ764" s="351"/>
      <c r="AR764" s="533"/>
      <c r="AS764" s="351"/>
      <c r="AT764" s="534"/>
      <c r="AU764" s="351"/>
      <c r="AV764" s="531" t="s">
        <v>325</v>
      </c>
      <c r="AW764" s="351"/>
      <c r="AX764" s="553"/>
      <c r="AY764" s="350"/>
      <c r="AZ764" s="351"/>
      <c r="BA764" s="545"/>
      <c r="BB764" s="351"/>
      <c r="BC764" s="36"/>
      <c r="BD764" s="556" t="s">
        <v>325</v>
      </c>
      <c r="BE764" s="351"/>
      <c r="BF764" s="557"/>
      <c r="BG764" s="350"/>
      <c r="BH764" s="350"/>
      <c r="BI764" s="351"/>
      <c r="BJ764" s="506" t="s">
        <v>294</v>
      </c>
      <c r="BK764" s="350"/>
      <c r="BL764" s="350"/>
      <c r="BM764" s="351"/>
      <c r="BN764" s="530" t="s">
        <v>294</v>
      </c>
      <c r="BO764" s="350"/>
      <c r="BP764" s="350"/>
      <c r="BQ764" s="350"/>
      <c r="BR764" s="350"/>
      <c r="BS764" s="350"/>
      <c r="BT764" s="350"/>
      <c r="BU764" s="350"/>
      <c r="BV764" s="351"/>
    </row>
    <row r="765" spans="1:74" ht="45" customHeight="1">
      <c r="A765" s="24">
        <f t="shared" si="2"/>
        <v>751</v>
      </c>
      <c r="B765" s="522" t="s">
        <v>294</v>
      </c>
      <c r="C765" s="351"/>
      <c r="D765" s="523" t="s">
        <v>298</v>
      </c>
      <c r="E765" s="351"/>
      <c r="F765" s="524" t="s">
        <v>325</v>
      </c>
      <c r="G765" s="351"/>
      <c r="H765" s="561" t="s">
        <v>325</v>
      </c>
      <c r="I765" s="351"/>
      <c r="J765" s="562"/>
      <c r="K765" s="351"/>
      <c r="L765" s="562"/>
      <c r="M765" s="351"/>
      <c r="N765" s="34"/>
      <c r="O765" s="35"/>
      <c r="P765" s="526"/>
      <c r="Q765" s="351"/>
      <c r="R765" s="527"/>
      <c r="S765" s="351"/>
      <c r="T765" s="528"/>
      <c r="U765" s="351"/>
      <c r="V765" s="541"/>
      <c r="W765" s="351"/>
      <c r="X765" s="542" t="s">
        <v>294</v>
      </c>
      <c r="Y765" s="350"/>
      <c r="Z765" s="350"/>
      <c r="AA765" s="351"/>
      <c r="AB765" s="543" t="s">
        <v>294</v>
      </c>
      <c r="AC765" s="350"/>
      <c r="AD765" s="350"/>
      <c r="AE765" s="351"/>
      <c r="AF765" s="544"/>
      <c r="AG765" s="351"/>
      <c r="AH765" s="544"/>
      <c r="AI765" s="351"/>
      <c r="AJ765" s="545"/>
      <c r="AK765" s="351"/>
      <c r="AL765" s="524" t="s">
        <v>325</v>
      </c>
      <c r="AM765" s="351"/>
      <c r="AN765" s="549" t="s">
        <v>325</v>
      </c>
      <c r="AO765" s="351"/>
      <c r="AP765" s="550"/>
      <c r="AQ765" s="351"/>
      <c r="AR765" s="551"/>
      <c r="AS765" s="351"/>
      <c r="AT765" s="534"/>
      <c r="AU765" s="351"/>
      <c r="AV765" s="549" t="s">
        <v>325</v>
      </c>
      <c r="AW765" s="351"/>
      <c r="AX765" s="553"/>
      <c r="AY765" s="350"/>
      <c r="AZ765" s="351"/>
      <c r="BA765" s="554"/>
      <c r="BB765" s="351"/>
      <c r="BC765" s="39"/>
      <c r="BD765" s="546" t="s">
        <v>325</v>
      </c>
      <c r="BE765" s="351"/>
      <c r="BF765" s="547"/>
      <c r="BG765" s="350"/>
      <c r="BH765" s="350"/>
      <c r="BI765" s="351"/>
      <c r="BJ765" s="548" t="s">
        <v>294</v>
      </c>
      <c r="BK765" s="350"/>
      <c r="BL765" s="350"/>
      <c r="BM765" s="351"/>
      <c r="BN765" s="530" t="s">
        <v>294</v>
      </c>
      <c r="BO765" s="350"/>
      <c r="BP765" s="350"/>
      <c r="BQ765" s="350"/>
      <c r="BR765" s="350"/>
      <c r="BS765" s="350"/>
      <c r="BT765" s="350"/>
      <c r="BU765" s="350"/>
      <c r="BV765" s="351"/>
    </row>
    <row r="766" spans="1:74" ht="45" customHeight="1">
      <c r="A766" s="24">
        <f t="shared" si="2"/>
        <v>752</v>
      </c>
      <c r="B766" s="558" t="s">
        <v>294</v>
      </c>
      <c r="C766" s="351"/>
      <c r="D766" s="559" t="s">
        <v>298</v>
      </c>
      <c r="E766" s="351"/>
      <c r="F766" s="524" t="s">
        <v>325</v>
      </c>
      <c r="G766" s="351"/>
      <c r="H766" s="525" t="s">
        <v>325</v>
      </c>
      <c r="I766" s="351"/>
      <c r="J766" s="563"/>
      <c r="K766" s="351"/>
      <c r="L766" s="563"/>
      <c r="M766" s="351"/>
      <c r="N766" s="37"/>
      <c r="O766" s="38"/>
      <c r="P766" s="560"/>
      <c r="Q766" s="351"/>
      <c r="R766" s="535"/>
      <c r="S766" s="351"/>
      <c r="T766" s="536"/>
      <c r="U766" s="351"/>
      <c r="V766" s="537"/>
      <c r="W766" s="351"/>
      <c r="X766" s="538" t="s">
        <v>294</v>
      </c>
      <c r="Y766" s="350"/>
      <c r="Z766" s="350"/>
      <c r="AA766" s="351"/>
      <c r="AB766" s="539" t="s">
        <v>294</v>
      </c>
      <c r="AC766" s="350"/>
      <c r="AD766" s="350"/>
      <c r="AE766" s="351"/>
      <c r="AF766" s="540"/>
      <c r="AG766" s="351"/>
      <c r="AH766" s="540"/>
      <c r="AI766" s="351"/>
      <c r="AJ766" s="545"/>
      <c r="AK766" s="351"/>
      <c r="AL766" s="555" t="s">
        <v>325</v>
      </c>
      <c r="AM766" s="351"/>
      <c r="AN766" s="531" t="s">
        <v>325</v>
      </c>
      <c r="AO766" s="351"/>
      <c r="AP766" s="532"/>
      <c r="AQ766" s="351"/>
      <c r="AR766" s="533"/>
      <c r="AS766" s="351"/>
      <c r="AT766" s="534"/>
      <c r="AU766" s="351"/>
      <c r="AV766" s="531" t="s">
        <v>325</v>
      </c>
      <c r="AW766" s="351"/>
      <c r="AX766" s="553"/>
      <c r="AY766" s="350"/>
      <c r="AZ766" s="351"/>
      <c r="BA766" s="545"/>
      <c r="BB766" s="351"/>
      <c r="BC766" s="36"/>
      <c r="BD766" s="556" t="s">
        <v>325</v>
      </c>
      <c r="BE766" s="351"/>
      <c r="BF766" s="557"/>
      <c r="BG766" s="350"/>
      <c r="BH766" s="350"/>
      <c r="BI766" s="351"/>
      <c r="BJ766" s="506" t="s">
        <v>294</v>
      </c>
      <c r="BK766" s="350"/>
      <c r="BL766" s="350"/>
      <c r="BM766" s="351"/>
      <c r="BN766" s="530" t="s">
        <v>294</v>
      </c>
      <c r="BO766" s="350"/>
      <c r="BP766" s="350"/>
      <c r="BQ766" s="350"/>
      <c r="BR766" s="350"/>
      <c r="BS766" s="350"/>
      <c r="BT766" s="350"/>
      <c r="BU766" s="350"/>
      <c r="BV766" s="351"/>
    </row>
    <row r="767" spans="1:74" ht="45" customHeight="1">
      <c r="A767" s="24">
        <f t="shared" si="2"/>
        <v>753</v>
      </c>
      <c r="B767" s="522" t="s">
        <v>294</v>
      </c>
      <c r="C767" s="351"/>
      <c r="D767" s="523" t="s">
        <v>298</v>
      </c>
      <c r="E767" s="351"/>
      <c r="F767" s="524" t="s">
        <v>325</v>
      </c>
      <c r="G767" s="351"/>
      <c r="H767" s="561" t="s">
        <v>325</v>
      </c>
      <c r="I767" s="351"/>
      <c r="J767" s="562"/>
      <c r="K767" s="351"/>
      <c r="L767" s="562"/>
      <c r="M767" s="351"/>
      <c r="N767" s="34"/>
      <c r="O767" s="35"/>
      <c r="P767" s="526"/>
      <c r="Q767" s="351"/>
      <c r="R767" s="527"/>
      <c r="S767" s="351"/>
      <c r="T767" s="528"/>
      <c r="U767" s="351"/>
      <c r="V767" s="541"/>
      <c r="W767" s="351"/>
      <c r="X767" s="542" t="s">
        <v>294</v>
      </c>
      <c r="Y767" s="350"/>
      <c r="Z767" s="350"/>
      <c r="AA767" s="351"/>
      <c r="AB767" s="543" t="s">
        <v>294</v>
      </c>
      <c r="AC767" s="350"/>
      <c r="AD767" s="350"/>
      <c r="AE767" s="351"/>
      <c r="AF767" s="544"/>
      <c r="AG767" s="351"/>
      <c r="AH767" s="544"/>
      <c r="AI767" s="351"/>
      <c r="AJ767" s="545"/>
      <c r="AK767" s="351"/>
      <c r="AL767" s="524" t="s">
        <v>325</v>
      </c>
      <c r="AM767" s="351"/>
      <c r="AN767" s="549" t="s">
        <v>325</v>
      </c>
      <c r="AO767" s="351"/>
      <c r="AP767" s="550"/>
      <c r="AQ767" s="351"/>
      <c r="AR767" s="551"/>
      <c r="AS767" s="351"/>
      <c r="AT767" s="534"/>
      <c r="AU767" s="351"/>
      <c r="AV767" s="549" t="s">
        <v>325</v>
      </c>
      <c r="AW767" s="351"/>
      <c r="AX767" s="553"/>
      <c r="AY767" s="350"/>
      <c r="AZ767" s="351"/>
      <c r="BA767" s="554"/>
      <c r="BB767" s="351"/>
      <c r="BC767" s="39"/>
      <c r="BD767" s="546" t="s">
        <v>325</v>
      </c>
      <c r="BE767" s="351"/>
      <c r="BF767" s="547"/>
      <c r="BG767" s="350"/>
      <c r="BH767" s="350"/>
      <c r="BI767" s="351"/>
      <c r="BJ767" s="548" t="s">
        <v>294</v>
      </c>
      <c r="BK767" s="350"/>
      <c r="BL767" s="350"/>
      <c r="BM767" s="351"/>
      <c r="BN767" s="530" t="s">
        <v>294</v>
      </c>
      <c r="BO767" s="350"/>
      <c r="BP767" s="350"/>
      <c r="BQ767" s="350"/>
      <c r="BR767" s="350"/>
      <c r="BS767" s="350"/>
      <c r="BT767" s="350"/>
      <c r="BU767" s="350"/>
      <c r="BV767" s="351"/>
    </row>
    <row r="768" spans="1:74" ht="45" customHeight="1">
      <c r="A768" s="24">
        <f t="shared" si="2"/>
        <v>754</v>
      </c>
      <c r="B768" s="558" t="s">
        <v>294</v>
      </c>
      <c r="C768" s="351"/>
      <c r="D768" s="559" t="s">
        <v>298</v>
      </c>
      <c r="E768" s="351"/>
      <c r="F768" s="524" t="s">
        <v>325</v>
      </c>
      <c r="G768" s="351"/>
      <c r="H768" s="525" t="s">
        <v>325</v>
      </c>
      <c r="I768" s="351"/>
      <c r="J768" s="563"/>
      <c r="K768" s="351"/>
      <c r="L768" s="563"/>
      <c r="M768" s="351"/>
      <c r="N768" s="37"/>
      <c r="O768" s="38"/>
      <c r="P768" s="560"/>
      <c r="Q768" s="351"/>
      <c r="R768" s="535"/>
      <c r="S768" s="351"/>
      <c r="T768" s="536"/>
      <c r="U768" s="351"/>
      <c r="V768" s="537"/>
      <c r="W768" s="351"/>
      <c r="X768" s="538" t="s">
        <v>294</v>
      </c>
      <c r="Y768" s="350"/>
      <c r="Z768" s="350"/>
      <c r="AA768" s="351"/>
      <c r="AB768" s="539" t="s">
        <v>294</v>
      </c>
      <c r="AC768" s="350"/>
      <c r="AD768" s="350"/>
      <c r="AE768" s="351"/>
      <c r="AF768" s="540"/>
      <c r="AG768" s="351"/>
      <c r="AH768" s="540"/>
      <c r="AI768" s="351"/>
      <c r="AJ768" s="545"/>
      <c r="AK768" s="351"/>
      <c r="AL768" s="555" t="s">
        <v>325</v>
      </c>
      <c r="AM768" s="351"/>
      <c r="AN768" s="531" t="s">
        <v>325</v>
      </c>
      <c r="AO768" s="351"/>
      <c r="AP768" s="532"/>
      <c r="AQ768" s="351"/>
      <c r="AR768" s="533"/>
      <c r="AS768" s="351"/>
      <c r="AT768" s="534"/>
      <c r="AU768" s="351"/>
      <c r="AV768" s="531" t="s">
        <v>325</v>
      </c>
      <c r="AW768" s="351"/>
      <c r="AX768" s="553"/>
      <c r="AY768" s="350"/>
      <c r="AZ768" s="351"/>
      <c r="BA768" s="545"/>
      <c r="BB768" s="351"/>
      <c r="BC768" s="36"/>
      <c r="BD768" s="556" t="s">
        <v>325</v>
      </c>
      <c r="BE768" s="351"/>
      <c r="BF768" s="557"/>
      <c r="BG768" s="350"/>
      <c r="BH768" s="350"/>
      <c r="BI768" s="351"/>
      <c r="BJ768" s="506" t="s">
        <v>294</v>
      </c>
      <c r="BK768" s="350"/>
      <c r="BL768" s="350"/>
      <c r="BM768" s="351"/>
      <c r="BN768" s="530" t="s">
        <v>294</v>
      </c>
      <c r="BO768" s="350"/>
      <c r="BP768" s="350"/>
      <c r="BQ768" s="350"/>
      <c r="BR768" s="350"/>
      <c r="BS768" s="350"/>
      <c r="BT768" s="350"/>
      <c r="BU768" s="350"/>
      <c r="BV768" s="351"/>
    </row>
    <row r="769" spans="1:74" ht="45" customHeight="1">
      <c r="A769" s="24">
        <f t="shared" si="2"/>
        <v>755</v>
      </c>
      <c r="B769" s="522" t="s">
        <v>294</v>
      </c>
      <c r="C769" s="351"/>
      <c r="D769" s="523" t="s">
        <v>298</v>
      </c>
      <c r="E769" s="351"/>
      <c r="F769" s="524" t="s">
        <v>325</v>
      </c>
      <c r="G769" s="351"/>
      <c r="H769" s="561" t="s">
        <v>325</v>
      </c>
      <c r="I769" s="351"/>
      <c r="J769" s="562"/>
      <c r="K769" s="351"/>
      <c r="L769" s="562"/>
      <c r="M769" s="351"/>
      <c r="N769" s="34"/>
      <c r="O769" s="38"/>
      <c r="P769" s="526"/>
      <c r="Q769" s="351"/>
      <c r="R769" s="527"/>
      <c r="S769" s="351"/>
      <c r="T769" s="528"/>
      <c r="U769" s="351"/>
      <c r="V769" s="541"/>
      <c r="W769" s="351"/>
      <c r="X769" s="542" t="s">
        <v>294</v>
      </c>
      <c r="Y769" s="350"/>
      <c r="Z769" s="350"/>
      <c r="AA769" s="351"/>
      <c r="AB769" s="543" t="s">
        <v>294</v>
      </c>
      <c r="AC769" s="350"/>
      <c r="AD769" s="350"/>
      <c r="AE769" s="351"/>
      <c r="AF769" s="544"/>
      <c r="AG769" s="351"/>
      <c r="AH769" s="544"/>
      <c r="AI769" s="351"/>
      <c r="AJ769" s="545"/>
      <c r="AK769" s="351"/>
      <c r="AL769" s="524" t="s">
        <v>325</v>
      </c>
      <c r="AM769" s="351"/>
      <c r="AN769" s="549" t="s">
        <v>325</v>
      </c>
      <c r="AO769" s="351"/>
      <c r="AP769" s="550"/>
      <c r="AQ769" s="351"/>
      <c r="AR769" s="551"/>
      <c r="AS769" s="351"/>
      <c r="AT769" s="552"/>
      <c r="AU769" s="351"/>
      <c r="AV769" s="549" t="s">
        <v>325</v>
      </c>
      <c r="AW769" s="351"/>
      <c r="AX769" s="553"/>
      <c r="AY769" s="350"/>
      <c r="AZ769" s="351"/>
      <c r="BA769" s="554"/>
      <c r="BB769" s="351"/>
      <c r="BC769" s="39"/>
      <c r="BD769" s="546" t="s">
        <v>325</v>
      </c>
      <c r="BE769" s="351"/>
      <c r="BF769" s="547"/>
      <c r="BG769" s="350"/>
      <c r="BH769" s="350"/>
      <c r="BI769" s="351"/>
      <c r="BJ769" s="548" t="s">
        <v>294</v>
      </c>
      <c r="BK769" s="350"/>
      <c r="BL769" s="350"/>
      <c r="BM769" s="351"/>
      <c r="BN769" s="530" t="s">
        <v>294</v>
      </c>
      <c r="BO769" s="350"/>
      <c r="BP769" s="350"/>
      <c r="BQ769" s="350"/>
      <c r="BR769" s="350"/>
      <c r="BS769" s="350"/>
      <c r="BT769" s="350"/>
      <c r="BU769" s="350"/>
      <c r="BV769" s="351"/>
    </row>
    <row r="770" spans="1:74" ht="45" customHeight="1">
      <c r="A770" s="24">
        <f t="shared" si="2"/>
        <v>756</v>
      </c>
      <c r="B770" s="558" t="s">
        <v>294</v>
      </c>
      <c r="C770" s="351"/>
      <c r="D770" s="559" t="s">
        <v>298</v>
      </c>
      <c r="E770" s="351"/>
      <c r="F770" s="524" t="s">
        <v>325</v>
      </c>
      <c r="G770" s="351"/>
      <c r="H770" s="525" t="s">
        <v>325</v>
      </c>
      <c r="I770" s="351"/>
      <c r="J770" s="563"/>
      <c r="K770" s="351"/>
      <c r="L770" s="563"/>
      <c r="M770" s="351"/>
      <c r="N770" s="37"/>
      <c r="O770" s="35"/>
      <c r="P770" s="560"/>
      <c r="Q770" s="351"/>
      <c r="R770" s="535"/>
      <c r="S770" s="351"/>
      <c r="T770" s="536"/>
      <c r="U770" s="351"/>
      <c r="V770" s="537"/>
      <c r="W770" s="351"/>
      <c r="X770" s="538" t="s">
        <v>294</v>
      </c>
      <c r="Y770" s="350"/>
      <c r="Z770" s="350"/>
      <c r="AA770" s="351"/>
      <c r="AB770" s="539" t="s">
        <v>294</v>
      </c>
      <c r="AC770" s="350"/>
      <c r="AD770" s="350"/>
      <c r="AE770" s="351"/>
      <c r="AF770" s="540"/>
      <c r="AG770" s="351"/>
      <c r="AH770" s="540"/>
      <c r="AI770" s="351"/>
      <c r="AJ770" s="545"/>
      <c r="AK770" s="351"/>
      <c r="AL770" s="555" t="s">
        <v>325</v>
      </c>
      <c r="AM770" s="351"/>
      <c r="AN770" s="531" t="s">
        <v>325</v>
      </c>
      <c r="AO770" s="351"/>
      <c r="AP770" s="532"/>
      <c r="AQ770" s="351"/>
      <c r="AR770" s="533"/>
      <c r="AS770" s="351"/>
      <c r="AT770" s="534"/>
      <c r="AU770" s="351"/>
      <c r="AV770" s="531" t="s">
        <v>325</v>
      </c>
      <c r="AW770" s="351"/>
      <c r="AX770" s="553"/>
      <c r="AY770" s="350"/>
      <c r="AZ770" s="351"/>
      <c r="BA770" s="545"/>
      <c r="BB770" s="351"/>
      <c r="BC770" s="36"/>
      <c r="BD770" s="556" t="s">
        <v>325</v>
      </c>
      <c r="BE770" s="351"/>
      <c r="BF770" s="529"/>
      <c r="BG770" s="350"/>
      <c r="BH770" s="350"/>
      <c r="BI770" s="351"/>
      <c r="BJ770" s="506" t="s">
        <v>294</v>
      </c>
      <c r="BK770" s="350"/>
      <c r="BL770" s="350"/>
      <c r="BM770" s="351"/>
      <c r="BN770" s="530" t="s">
        <v>294</v>
      </c>
      <c r="BO770" s="350"/>
      <c r="BP770" s="350"/>
      <c r="BQ770" s="350"/>
      <c r="BR770" s="350"/>
      <c r="BS770" s="350"/>
      <c r="BT770" s="350"/>
      <c r="BU770" s="350"/>
      <c r="BV770" s="351"/>
    </row>
    <row r="771" spans="1:74" ht="45" customHeight="1">
      <c r="A771" s="24">
        <f t="shared" si="2"/>
        <v>757</v>
      </c>
      <c r="B771" s="522" t="s">
        <v>294</v>
      </c>
      <c r="C771" s="351"/>
      <c r="D771" s="523" t="s">
        <v>298</v>
      </c>
      <c r="E771" s="351"/>
      <c r="F771" s="524" t="s">
        <v>325</v>
      </c>
      <c r="G771" s="351"/>
      <c r="H771" s="561" t="s">
        <v>325</v>
      </c>
      <c r="I771" s="351"/>
      <c r="J771" s="562"/>
      <c r="K771" s="351"/>
      <c r="L771" s="562"/>
      <c r="M771" s="351"/>
      <c r="N771" s="34"/>
      <c r="O771" s="38"/>
      <c r="P771" s="526"/>
      <c r="Q771" s="351"/>
      <c r="R771" s="527"/>
      <c r="S771" s="351"/>
      <c r="T771" s="528"/>
      <c r="U771" s="351"/>
      <c r="V771" s="541"/>
      <c r="W771" s="351"/>
      <c r="X771" s="542" t="s">
        <v>294</v>
      </c>
      <c r="Y771" s="350"/>
      <c r="Z771" s="350"/>
      <c r="AA771" s="351"/>
      <c r="AB771" s="543" t="s">
        <v>294</v>
      </c>
      <c r="AC771" s="350"/>
      <c r="AD771" s="350"/>
      <c r="AE771" s="351"/>
      <c r="AF771" s="544"/>
      <c r="AG771" s="351"/>
      <c r="AH771" s="544"/>
      <c r="AI771" s="351"/>
      <c r="AJ771" s="545"/>
      <c r="AK771" s="351"/>
      <c r="AL771" s="524" t="s">
        <v>325</v>
      </c>
      <c r="AM771" s="351"/>
      <c r="AN771" s="549" t="s">
        <v>325</v>
      </c>
      <c r="AO771" s="351"/>
      <c r="AP771" s="550"/>
      <c r="AQ771" s="351"/>
      <c r="AR771" s="551"/>
      <c r="AS771" s="351"/>
      <c r="AT771" s="552"/>
      <c r="AU771" s="351"/>
      <c r="AV771" s="549" t="s">
        <v>325</v>
      </c>
      <c r="AW771" s="351"/>
      <c r="AX771" s="553"/>
      <c r="AY771" s="350"/>
      <c r="AZ771" s="351"/>
      <c r="BA771" s="554"/>
      <c r="BB771" s="351"/>
      <c r="BC771" s="39"/>
      <c r="BD771" s="546" t="s">
        <v>325</v>
      </c>
      <c r="BE771" s="351"/>
      <c r="BF771" s="547"/>
      <c r="BG771" s="350"/>
      <c r="BH771" s="350"/>
      <c r="BI771" s="351"/>
      <c r="BJ771" s="548" t="s">
        <v>294</v>
      </c>
      <c r="BK771" s="350"/>
      <c r="BL771" s="350"/>
      <c r="BM771" s="351"/>
      <c r="BN771" s="530" t="s">
        <v>294</v>
      </c>
      <c r="BO771" s="350"/>
      <c r="BP771" s="350"/>
      <c r="BQ771" s="350"/>
      <c r="BR771" s="350"/>
      <c r="BS771" s="350"/>
      <c r="BT771" s="350"/>
      <c r="BU771" s="350"/>
      <c r="BV771" s="351"/>
    </row>
    <row r="772" spans="1:74" ht="45" customHeight="1">
      <c r="A772" s="24">
        <f t="shared" si="2"/>
        <v>758</v>
      </c>
      <c r="B772" s="558" t="s">
        <v>294</v>
      </c>
      <c r="C772" s="351"/>
      <c r="D772" s="559" t="s">
        <v>298</v>
      </c>
      <c r="E772" s="351"/>
      <c r="F772" s="524" t="s">
        <v>325</v>
      </c>
      <c r="G772" s="351"/>
      <c r="H772" s="525" t="s">
        <v>325</v>
      </c>
      <c r="I772" s="351"/>
      <c r="J772" s="563"/>
      <c r="K772" s="351"/>
      <c r="L772" s="563"/>
      <c r="M772" s="351"/>
      <c r="N772" s="37"/>
      <c r="O772" s="35"/>
      <c r="P772" s="560"/>
      <c r="Q772" s="351"/>
      <c r="R772" s="535"/>
      <c r="S772" s="351"/>
      <c r="T772" s="536"/>
      <c r="U772" s="351"/>
      <c r="V772" s="537"/>
      <c r="W772" s="351"/>
      <c r="X772" s="538" t="s">
        <v>294</v>
      </c>
      <c r="Y772" s="350"/>
      <c r="Z772" s="350"/>
      <c r="AA772" s="351"/>
      <c r="AB772" s="539" t="s">
        <v>294</v>
      </c>
      <c r="AC772" s="350"/>
      <c r="AD772" s="350"/>
      <c r="AE772" s="351"/>
      <c r="AF772" s="540"/>
      <c r="AG772" s="351"/>
      <c r="AH772" s="540"/>
      <c r="AI772" s="351"/>
      <c r="AJ772" s="545"/>
      <c r="AK772" s="351"/>
      <c r="AL772" s="555" t="s">
        <v>325</v>
      </c>
      <c r="AM772" s="351"/>
      <c r="AN772" s="531" t="s">
        <v>325</v>
      </c>
      <c r="AO772" s="351"/>
      <c r="AP772" s="532"/>
      <c r="AQ772" s="351"/>
      <c r="AR772" s="533"/>
      <c r="AS772" s="351"/>
      <c r="AT772" s="534"/>
      <c r="AU772" s="351"/>
      <c r="AV772" s="531" t="s">
        <v>325</v>
      </c>
      <c r="AW772" s="351"/>
      <c r="AX772" s="553"/>
      <c r="AY772" s="350"/>
      <c r="AZ772" s="351"/>
      <c r="BA772" s="545"/>
      <c r="BB772" s="351"/>
      <c r="BC772" s="36"/>
      <c r="BD772" s="556" t="s">
        <v>325</v>
      </c>
      <c r="BE772" s="351"/>
      <c r="BF772" s="557"/>
      <c r="BG772" s="350"/>
      <c r="BH772" s="350"/>
      <c r="BI772" s="351"/>
      <c r="BJ772" s="506" t="s">
        <v>294</v>
      </c>
      <c r="BK772" s="350"/>
      <c r="BL772" s="350"/>
      <c r="BM772" s="351"/>
      <c r="BN772" s="530" t="s">
        <v>294</v>
      </c>
      <c r="BO772" s="350"/>
      <c r="BP772" s="350"/>
      <c r="BQ772" s="350"/>
      <c r="BR772" s="350"/>
      <c r="BS772" s="350"/>
      <c r="BT772" s="350"/>
      <c r="BU772" s="350"/>
      <c r="BV772" s="351"/>
    </row>
    <row r="773" spans="1:74" ht="45" customHeight="1">
      <c r="A773" s="24">
        <f t="shared" si="2"/>
        <v>759</v>
      </c>
      <c r="B773" s="522" t="s">
        <v>294</v>
      </c>
      <c r="C773" s="351"/>
      <c r="D773" s="523" t="s">
        <v>298</v>
      </c>
      <c r="E773" s="351"/>
      <c r="F773" s="524" t="s">
        <v>325</v>
      </c>
      <c r="G773" s="351"/>
      <c r="H773" s="561" t="s">
        <v>325</v>
      </c>
      <c r="I773" s="351"/>
      <c r="J773" s="562"/>
      <c r="K773" s="351"/>
      <c r="L773" s="562"/>
      <c r="M773" s="351"/>
      <c r="N773" s="34"/>
      <c r="O773" s="38"/>
      <c r="P773" s="526"/>
      <c r="Q773" s="351"/>
      <c r="R773" s="527"/>
      <c r="S773" s="351"/>
      <c r="T773" s="528"/>
      <c r="U773" s="351"/>
      <c r="V773" s="541"/>
      <c r="W773" s="351"/>
      <c r="X773" s="542" t="s">
        <v>294</v>
      </c>
      <c r="Y773" s="350"/>
      <c r="Z773" s="350"/>
      <c r="AA773" s="351"/>
      <c r="AB773" s="543" t="s">
        <v>294</v>
      </c>
      <c r="AC773" s="350"/>
      <c r="AD773" s="350"/>
      <c r="AE773" s="351"/>
      <c r="AF773" s="544"/>
      <c r="AG773" s="351"/>
      <c r="AH773" s="544"/>
      <c r="AI773" s="351"/>
      <c r="AJ773" s="545"/>
      <c r="AK773" s="351"/>
      <c r="AL773" s="524" t="s">
        <v>325</v>
      </c>
      <c r="AM773" s="351"/>
      <c r="AN773" s="549" t="s">
        <v>325</v>
      </c>
      <c r="AO773" s="351"/>
      <c r="AP773" s="550"/>
      <c r="AQ773" s="351"/>
      <c r="AR773" s="551"/>
      <c r="AS773" s="351"/>
      <c r="AT773" s="552"/>
      <c r="AU773" s="351"/>
      <c r="AV773" s="549" t="s">
        <v>325</v>
      </c>
      <c r="AW773" s="351"/>
      <c r="AX773" s="553"/>
      <c r="AY773" s="350"/>
      <c r="AZ773" s="351"/>
      <c r="BA773" s="554"/>
      <c r="BB773" s="351"/>
      <c r="BC773" s="39"/>
      <c r="BD773" s="546" t="s">
        <v>325</v>
      </c>
      <c r="BE773" s="351"/>
      <c r="BF773" s="547"/>
      <c r="BG773" s="350"/>
      <c r="BH773" s="350"/>
      <c r="BI773" s="351"/>
      <c r="BJ773" s="548" t="s">
        <v>294</v>
      </c>
      <c r="BK773" s="350"/>
      <c r="BL773" s="350"/>
      <c r="BM773" s="351"/>
      <c r="BN773" s="530" t="s">
        <v>294</v>
      </c>
      <c r="BO773" s="350"/>
      <c r="BP773" s="350"/>
      <c r="BQ773" s="350"/>
      <c r="BR773" s="350"/>
      <c r="BS773" s="350"/>
      <c r="BT773" s="350"/>
      <c r="BU773" s="350"/>
      <c r="BV773" s="351"/>
    </row>
    <row r="774" spans="1:74" ht="45" customHeight="1">
      <c r="A774" s="24">
        <f t="shared" si="2"/>
        <v>760</v>
      </c>
      <c r="B774" s="558" t="s">
        <v>294</v>
      </c>
      <c r="C774" s="351"/>
      <c r="D774" s="559" t="s">
        <v>298</v>
      </c>
      <c r="E774" s="351"/>
      <c r="F774" s="524" t="s">
        <v>325</v>
      </c>
      <c r="G774" s="351"/>
      <c r="H774" s="525" t="s">
        <v>325</v>
      </c>
      <c r="I774" s="351"/>
      <c r="J774" s="563"/>
      <c r="K774" s="351"/>
      <c r="L774" s="563"/>
      <c r="M774" s="351"/>
      <c r="N774" s="37"/>
      <c r="O774" s="35"/>
      <c r="P774" s="560"/>
      <c r="Q774" s="351"/>
      <c r="R774" s="535"/>
      <c r="S774" s="351"/>
      <c r="T774" s="536"/>
      <c r="U774" s="351"/>
      <c r="V774" s="537"/>
      <c r="W774" s="351"/>
      <c r="X774" s="538" t="s">
        <v>294</v>
      </c>
      <c r="Y774" s="350"/>
      <c r="Z774" s="350"/>
      <c r="AA774" s="351"/>
      <c r="AB774" s="539" t="s">
        <v>294</v>
      </c>
      <c r="AC774" s="350"/>
      <c r="AD774" s="350"/>
      <c r="AE774" s="351"/>
      <c r="AF774" s="540"/>
      <c r="AG774" s="351"/>
      <c r="AH774" s="540"/>
      <c r="AI774" s="351"/>
      <c r="AJ774" s="545"/>
      <c r="AK774" s="351"/>
      <c r="AL774" s="555" t="s">
        <v>325</v>
      </c>
      <c r="AM774" s="351"/>
      <c r="AN774" s="531" t="s">
        <v>325</v>
      </c>
      <c r="AO774" s="351"/>
      <c r="AP774" s="532"/>
      <c r="AQ774" s="351"/>
      <c r="AR774" s="533"/>
      <c r="AS774" s="351"/>
      <c r="AT774" s="534"/>
      <c r="AU774" s="351"/>
      <c r="AV774" s="531" t="s">
        <v>325</v>
      </c>
      <c r="AW774" s="351"/>
      <c r="AX774" s="553"/>
      <c r="AY774" s="350"/>
      <c r="AZ774" s="351"/>
      <c r="BA774" s="545"/>
      <c r="BB774" s="351"/>
      <c r="BC774" s="36"/>
      <c r="BD774" s="556" t="s">
        <v>325</v>
      </c>
      <c r="BE774" s="351"/>
      <c r="BF774" s="557"/>
      <c r="BG774" s="350"/>
      <c r="BH774" s="350"/>
      <c r="BI774" s="351"/>
      <c r="BJ774" s="506" t="s">
        <v>294</v>
      </c>
      <c r="BK774" s="350"/>
      <c r="BL774" s="350"/>
      <c r="BM774" s="351"/>
      <c r="BN774" s="530" t="s">
        <v>294</v>
      </c>
      <c r="BO774" s="350"/>
      <c r="BP774" s="350"/>
      <c r="BQ774" s="350"/>
      <c r="BR774" s="350"/>
      <c r="BS774" s="350"/>
      <c r="BT774" s="350"/>
      <c r="BU774" s="350"/>
      <c r="BV774" s="351"/>
    </row>
    <row r="775" spans="1:74" ht="45" customHeight="1">
      <c r="A775" s="24">
        <f t="shared" si="2"/>
        <v>761</v>
      </c>
      <c r="B775" s="522" t="s">
        <v>294</v>
      </c>
      <c r="C775" s="351"/>
      <c r="D775" s="523" t="s">
        <v>298</v>
      </c>
      <c r="E775" s="351"/>
      <c r="F775" s="524" t="s">
        <v>325</v>
      </c>
      <c r="G775" s="351"/>
      <c r="H775" s="561" t="s">
        <v>325</v>
      </c>
      <c r="I775" s="351"/>
      <c r="J775" s="562"/>
      <c r="K775" s="351"/>
      <c r="L775" s="562"/>
      <c r="M775" s="351"/>
      <c r="N775" s="34"/>
      <c r="O775" s="38"/>
      <c r="P775" s="526"/>
      <c r="Q775" s="351"/>
      <c r="R775" s="527"/>
      <c r="S775" s="351"/>
      <c r="T775" s="528"/>
      <c r="U775" s="351"/>
      <c r="V775" s="541"/>
      <c r="W775" s="351"/>
      <c r="X775" s="542" t="s">
        <v>294</v>
      </c>
      <c r="Y775" s="350"/>
      <c r="Z775" s="350"/>
      <c r="AA775" s="351"/>
      <c r="AB775" s="543" t="s">
        <v>294</v>
      </c>
      <c r="AC775" s="350"/>
      <c r="AD775" s="350"/>
      <c r="AE775" s="351"/>
      <c r="AF775" s="544"/>
      <c r="AG775" s="351"/>
      <c r="AH775" s="544"/>
      <c r="AI775" s="351"/>
      <c r="AJ775" s="545"/>
      <c r="AK775" s="351"/>
      <c r="AL775" s="524" t="s">
        <v>325</v>
      </c>
      <c r="AM775" s="351"/>
      <c r="AN775" s="549" t="s">
        <v>325</v>
      </c>
      <c r="AO775" s="351"/>
      <c r="AP775" s="550"/>
      <c r="AQ775" s="351"/>
      <c r="AR775" s="551"/>
      <c r="AS775" s="351"/>
      <c r="AT775" s="552"/>
      <c r="AU775" s="351"/>
      <c r="AV775" s="549" t="s">
        <v>325</v>
      </c>
      <c r="AW775" s="351"/>
      <c r="AX775" s="553"/>
      <c r="AY775" s="350"/>
      <c r="AZ775" s="351"/>
      <c r="BA775" s="554"/>
      <c r="BB775" s="351"/>
      <c r="BC775" s="39"/>
      <c r="BD775" s="546" t="s">
        <v>325</v>
      </c>
      <c r="BE775" s="351"/>
      <c r="BF775" s="547"/>
      <c r="BG775" s="350"/>
      <c r="BH775" s="350"/>
      <c r="BI775" s="351"/>
      <c r="BJ775" s="548" t="s">
        <v>294</v>
      </c>
      <c r="BK775" s="350"/>
      <c r="BL775" s="350"/>
      <c r="BM775" s="351"/>
      <c r="BN775" s="530" t="s">
        <v>294</v>
      </c>
      <c r="BO775" s="350"/>
      <c r="BP775" s="350"/>
      <c r="BQ775" s="350"/>
      <c r="BR775" s="350"/>
      <c r="BS775" s="350"/>
      <c r="BT775" s="350"/>
      <c r="BU775" s="350"/>
      <c r="BV775" s="351"/>
    </row>
    <row r="776" spans="1:74" ht="45" customHeight="1">
      <c r="A776" s="24">
        <f t="shared" si="2"/>
        <v>762</v>
      </c>
      <c r="B776" s="558" t="s">
        <v>294</v>
      </c>
      <c r="C776" s="351"/>
      <c r="D776" s="559" t="s">
        <v>298</v>
      </c>
      <c r="E776" s="351"/>
      <c r="F776" s="524" t="s">
        <v>325</v>
      </c>
      <c r="G776" s="351"/>
      <c r="H776" s="525" t="s">
        <v>325</v>
      </c>
      <c r="I776" s="351"/>
      <c r="J776" s="563"/>
      <c r="K776" s="351"/>
      <c r="L776" s="563"/>
      <c r="M776" s="351"/>
      <c r="N776" s="37"/>
      <c r="O776" s="35"/>
      <c r="P776" s="560"/>
      <c r="Q776" s="351"/>
      <c r="R776" s="535"/>
      <c r="S776" s="351"/>
      <c r="T776" s="536"/>
      <c r="U776" s="351"/>
      <c r="V776" s="537"/>
      <c r="W776" s="351"/>
      <c r="X776" s="538" t="s">
        <v>294</v>
      </c>
      <c r="Y776" s="350"/>
      <c r="Z776" s="350"/>
      <c r="AA776" s="351"/>
      <c r="AB776" s="539" t="s">
        <v>294</v>
      </c>
      <c r="AC776" s="350"/>
      <c r="AD776" s="350"/>
      <c r="AE776" s="351"/>
      <c r="AF776" s="540"/>
      <c r="AG776" s="351"/>
      <c r="AH776" s="540"/>
      <c r="AI776" s="351"/>
      <c r="AJ776" s="545"/>
      <c r="AK776" s="351"/>
      <c r="AL776" s="555" t="s">
        <v>325</v>
      </c>
      <c r="AM776" s="351"/>
      <c r="AN776" s="531" t="s">
        <v>325</v>
      </c>
      <c r="AO776" s="351"/>
      <c r="AP776" s="532"/>
      <c r="AQ776" s="351"/>
      <c r="AR776" s="533"/>
      <c r="AS776" s="351"/>
      <c r="AT776" s="534"/>
      <c r="AU776" s="351"/>
      <c r="AV776" s="531" t="s">
        <v>325</v>
      </c>
      <c r="AW776" s="351"/>
      <c r="AX776" s="553"/>
      <c r="AY776" s="350"/>
      <c r="AZ776" s="351"/>
      <c r="BA776" s="545"/>
      <c r="BB776" s="351"/>
      <c r="BC776" s="36"/>
      <c r="BD776" s="556" t="s">
        <v>325</v>
      </c>
      <c r="BE776" s="351"/>
      <c r="BF776" s="529"/>
      <c r="BG776" s="350"/>
      <c r="BH776" s="350"/>
      <c r="BI776" s="351"/>
      <c r="BJ776" s="506" t="s">
        <v>294</v>
      </c>
      <c r="BK776" s="350"/>
      <c r="BL776" s="350"/>
      <c r="BM776" s="351"/>
      <c r="BN776" s="530" t="s">
        <v>294</v>
      </c>
      <c r="BO776" s="350"/>
      <c r="BP776" s="350"/>
      <c r="BQ776" s="350"/>
      <c r="BR776" s="350"/>
      <c r="BS776" s="350"/>
      <c r="BT776" s="350"/>
      <c r="BU776" s="350"/>
      <c r="BV776" s="351"/>
    </row>
    <row r="777" spans="1:74" ht="45" customHeight="1">
      <c r="A777" s="24">
        <f t="shared" si="2"/>
        <v>763</v>
      </c>
      <c r="B777" s="522" t="s">
        <v>294</v>
      </c>
      <c r="C777" s="351"/>
      <c r="D777" s="523" t="s">
        <v>298</v>
      </c>
      <c r="E777" s="351"/>
      <c r="F777" s="524" t="s">
        <v>325</v>
      </c>
      <c r="G777" s="351"/>
      <c r="H777" s="561" t="s">
        <v>325</v>
      </c>
      <c r="I777" s="351"/>
      <c r="J777" s="562"/>
      <c r="K777" s="351"/>
      <c r="L777" s="562"/>
      <c r="M777" s="351"/>
      <c r="N777" s="34"/>
      <c r="O777" s="38"/>
      <c r="P777" s="526"/>
      <c r="Q777" s="351"/>
      <c r="R777" s="527"/>
      <c r="S777" s="351"/>
      <c r="T777" s="528"/>
      <c r="U777" s="351"/>
      <c r="V777" s="541"/>
      <c r="W777" s="351"/>
      <c r="X777" s="542" t="s">
        <v>294</v>
      </c>
      <c r="Y777" s="350"/>
      <c r="Z777" s="350"/>
      <c r="AA777" s="351"/>
      <c r="AB777" s="543" t="s">
        <v>294</v>
      </c>
      <c r="AC777" s="350"/>
      <c r="AD777" s="350"/>
      <c r="AE777" s="351"/>
      <c r="AF777" s="544"/>
      <c r="AG777" s="351"/>
      <c r="AH777" s="544"/>
      <c r="AI777" s="351"/>
      <c r="AJ777" s="545"/>
      <c r="AK777" s="351"/>
      <c r="AL777" s="524" t="s">
        <v>325</v>
      </c>
      <c r="AM777" s="351"/>
      <c r="AN777" s="549" t="s">
        <v>325</v>
      </c>
      <c r="AO777" s="351"/>
      <c r="AP777" s="550"/>
      <c r="AQ777" s="351"/>
      <c r="AR777" s="551"/>
      <c r="AS777" s="351"/>
      <c r="AT777" s="552"/>
      <c r="AU777" s="351"/>
      <c r="AV777" s="549" t="s">
        <v>325</v>
      </c>
      <c r="AW777" s="351"/>
      <c r="AX777" s="553"/>
      <c r="AY777" s="350"/>
      <c r="AZ777" s="351"/>
      <c r="BA777" s="554"/>
      <c r="BB777" s="351"/>
      <c r="BC777" s="39"/>
      <c r="BD777" s="546" t="s">
        <v>325</v>
      </c>
      <c r="BE777" s="351"/>
      <c r="BF777" s="547"/>
      <c r="BG777" s="350"/>
      <c r="BH777" s="350"/>
      <c r="BI777" s="351"/>
      <c r="BJ777" s="548" t="s">
        <v>294</v>
      </c>
      <c r="BK777" s="350"/>
      <c r="BL777" s="350"/>
      <c r="BM777" s="351"/>
      <c r="BN777" s="530" t="s">
        <v>294</v>
      </c>
      <c r="BO777" s="350"/>
      <c r="BP777" s="350"/>
      <c r="BQ777" s="350"/>
      <c r="BR777" s="350"/>
      <c r="BS777" s="350"/>
      <c r="BT777" s="350"/>
      <c r="BU777" s="350"/>
      <c r="BV777" s="351"/>
    </row>
    <row r="778" spans="1:74" ht="45" customHeight="1">
      <c r="A778" s="24">
        <f t="shared" si="2"/>
        <v>764</v>
      </c>
      <c r="B778" s="558" t="s">
        <v>294</v>
      </c>
      <c r="C778" s="351"/>
      <c r="D778" s="559" t="s">
        <v>298</v>
      </c>
      <c r="E778" s="351"/>
      <c r="F778" s="524" t="s">
        <v>325</v>
      </c>
      <c r="G778" s="351"/>
      <c r="H778" s="525" t="s">
        <v>325</v>
      </c>
      <c r="I778" s="351"/>
      <c r="J778" s="563"/>
      <c r="K778" s="351"/>
      <c r="L778" s="563"/>
      <c r="M778" s="351"/>
      <c r="N778" s="37"/>
      <c r="O778" s="35"/>
      <c r="P778" s="560"/>
      <c r="Q778" s="351"/>
      <c r="R778" s="535"/>
      <c r="S778" s="351"/>
      <c r="T778" s="536"/>
      <c r="U778" s="351"/>
      <c r="V778" s="537"/>
      <c r="W778" s="351"/>
      <c r="X778" s="538" t="s">
        <v>294</v>
      </c>
      <c r="Y778" s="350"/>
      <c r="Z778" s="350"/>
      <c r="AA778" s="351"/>
      <c r="AB778" s="539" t="s">
        <v>294</v>
      </c>
      <c r="AC778" s="350"/>
      <c r="AD778" s="350"/>
      <c r="AE778" s="351"/>
      <c r="AF778" s="540"/>
      <c r="AG778" s="351"/>
      <c r="AH778" s="540"/>
      <c r="AI778" s="351"/>
      <c r="AJ778" s="545"/>
      <c r="AK778" s="351"/>
      <c r="AL778" s="555" t="s">
        <v>325</v>
      </c>
      <c r="AM778" s="351"/>
      <c r="AN778" s="531" t="s">
        <v>325</v>
      </c>
      <c r="AO778" s="351"/>
      <c r="AP778" s="532"/>
      <c r="AQ778" s="351"/>
      <c r="AR778" s="533"/>
      <c r="AS778" s="351"/>
      <c r="AT778" s="534"/>
      <c r="AU778" s="351"/>
      <c r="AV778" s="531" t="s">
        <v>325</v>
      </c>
      <c r="AW778" s="351"/>
      <c r="AX778" s="553"/>
      <c r="AY778" s="350"/>
      <c r="AZ778" s="351"/>
      <c r="BA778" s="545"/>
      <c r="BB778" s="351"/>
      <c r="BC778" s="36"/>
      <c r="BD778" s="556" t="s">
        <v>325</v>
      </c>
      <c r="BE778" s="351"/>
      <c r="BF778" s="557"/>
      <c r="BG778" s="350"/>
      <c r="BH778" s="350"/>
      <c r="BI778" s="351"/>
      <c r="BJ778" s="506" t="s">
        <v>294</v>
      </c>
      <c r="BK778" s="350"/>
      <c r="BL778" s="350"/>
      <c r="BM778" s="351"/>
      <c r="BN778" s="530" t="s">
        <v>294</v>
      </c>
      <c r="BO778" s="350"/>
      <c r="BP778" s="350"/>
      <c r="BQ778" s="350"/>
      <c r="BR778" s="350"/>
      <c r="BS778" s="350"/>
      <c r="BT778" s="350"/>
      <c r="BU778" s="350"/>
      <c r="BV778" s="351"/>
    </row>
    <row r="779" spans="1:74" ht="45" customHeight="1">
      <c r="A779" s="24">
        <f t="shared" si="2"/>
        <v>765</v>
      </c>
      <c r="B779" s="522" t="s">
        <v>294</v>
      </c>
      <c r="C779" s="351"/>
      <c r="D779" s="523" t="s">
        <v>298</v>
      </c>
      <c r="E779" s="351"/>
      <c r="F779" s="524" t="s">
        <v>325</v>
      </c>
      <c r="G779" s="351"/>
      <c r="H779" s="561" t="s">
        <v>325</v>
      </c>
      <c r="I779" s="351"/>
      <c r="J779" s="562"/>
      <c r="K779" s="351"/>
      <c r="L779" s="562"/>
      <c r="M779" s="351"/>
      <c r="N779" s="37"/>
      <c r="O779" s="38"/>
      <c r="P779" s="560"/>
      <c r="Q779" s="351"/>
      <c r="R779" s="527"/>
      <c r="S779" s="351"/>
      <c r="T779" s="528"/>
      <c r="U779" s="351"/>
      <c r="V779" s="541"/>
      <c r="W779" s="351"/>
      <c r="X779" s="542" t="s">
        <v>294</v>
      </c>
      <c r="Y779" s="350"/>
      <c r="Z779" s="350"/>
      <c r="AA779" s="351"/>
      <c r="AB779" s="543" t="s">
        <v>294</v>
      </c>
      <c r="AC779" s="350"/>
      <c r="AD779" s="350"/>
      <c r="AE779" s="351"/>
      <c r="AF779" s="544"/>
      <c r="AG779" s="351"/>
      <c r="AH779" s="544"/>
      <c r="AI779" s="351"/>
      <c r="AJ779" s="545"/>
      <c r="AK779" s="351"/>
      <c r="AL779" s="524" t="s">
        <v>325</v>
      </c>
      <c r="AM779" s="351"/>
      <c r="AN779" s="549" t="s">
        <v>325</v>
      </c>
      <c r="AO779" s="351"/>
      <c r="AP779" s="550"/>
      <c r="AQ779" s="351"/>
      <c r="AR779" s="551"/>
      <c r="AS779" s="351"/>
      <c r="AT779" s="534"/>
      <c r="AU779" s="351"/>
      <c r="AV779" s="549" t="s">
        <v>325</v>
      </c>
      <c r="AW779" s="351"/>
      <c r="AX779" s="553"/>
      <c r="AY779" s="350"/>
      <c r="AZ779" s="351"/>
      <c r="BA779" s="554"/>
      <c r="BB779" s="351"/>
      <c r="BC779" s="39"/>
      <c r="BD779" s="546" t="s">
        <v>325</v>
      </c>
      <c r="BE779" s="351"/>
      <c r="BF779" s="547"/>
      <c r="BG779" s="350"/>
      <c r="BH779" s="350"/>
      <c r="BI779" s="351"/>
      <c r="BJ779" s="548" t="s">
        <v>294</v>
      </c>
      <c r="BK779" s="350"/>
      <c r="BL779" s="350"/>
      <c r="BM779" s="351"/>
      <c r="BN779" s="530" t="s">
        <v>294</v>
      </c>
      <c r="BO779" s="350"/>
      <c r="BP779" s="350"/>
      <c r="BQ779" s="350"/>
      <c r="BR779" s="350"/>
      <c r="BS779" s="350"/>
      <c r="BT779" s="350"/>
      <c r="BU779" s="350"/>
      <c r="BV779" s="351"/>
    </row>
    <row r="780" spans="1:74" ht="45" customHeight="1">
      <c r="A780" s="24">
        <f t="shared" ref="A780:A1034" si="3">ROW(A766)</f>
        <v>766</v>
      </c>
      <c r="B780" s="558" t="s">
        <v>294</v>
      </c>
      <c r="C780" s="351"/>
      <c r="D780" s="559" t="s">
        <v>298</v>
      </c>
      <c r="E780" s="351"/>
      <c r="F780" s="524" t="s">
        <v>325</v>
      </c>
      <c r="G780" s="351"/>
      <c r="H780" s="525" t="s">
        <v>325</v>
      </c>
      <c r="I780" s="351"/>
      <c r="J780" s="563"/>
      <c r="K780" s="351"/>
      <c r="L780" s="563"/>
      <c r="M780" s="351"/>
      <c r="N780" s="34"/>
      <c r="O780" s="35"/>
      <c r="P780" s="526"/>
      <c r="Q780" s="351"/>
      <c r="R780" s="535"/>
      <c r="S780" s="351"/>
      <c r="T780" s="536"/>
      <c r="U780" s="351"/>
      <c r="V780" s="537"/>
      <c r="W780" s="351"/>
      <c r="X780" s="538" t="s">
        <v>294</v>
      </c>
      <c r="Y780" s="350"/>
      <c r="Z780" s="350"/>
      <c r="AA780" s="351"/>
      <c r="AB780" s="539" t="s">
        <v>294</v>
      </c>
      <c r="AC780" s="350"/>
      <c r="AD780" s="350"/>
      <c r="AE780" s="351"/>
      <c r="AF780" s="540"/>
      <c r="AG780" s="351"/>
      <c r="AH780" s="540"/>
      <c r="AI780" s="351"/>
      <c r="AJ780" s="545"/>
      <c r="AK780" s="351"/>
      <c r="AL780" s="555" t="s">
        <v>325</v>
      </c>
      <c r="AM780" s="351"/>
      <c r="AN780" s="531" t="s">
        <v>325</v>
      </c>
      <c r="AO780" s="351"/>
      <c r="AP780" s="532"/>
      <c r="AQ780" s="351"/>
      <c r="AR780" s="533"/>
      <c r="AS780" s="351"/>
      <c r="AT780" s="534"/>
      <c r="AU780" s="351"/>
      <c r="AV780" s="531" t="s">
        <v>325</v>
      </c>
      <c r="AW780" s="351"/>
      <c r="AX780" s="553"/>
      <c r="AY780" s="350"/>
      <c r="AZ780" s="351"/>
      <c r="BA780" s="545"/>
      <c r="BB780" s="351"/>
      <c r="BC780" s="36"/>
      <c r="BD780" s="556" t="s">
        <v>325</v>
      </c>
      <c r="BE780" s="351"/>
      <c r="BF780" s="557"/>
      <c r="BG780" s="350"/>
      <c r="BH780" s="350"/>
      <c r="BI780" s="351"/>
      <c r="BJ780" s="506" t="s">
        <v>294</v>
      </c>
      <c r="BK780" s="350"/>
      <c r="BL780" s="350"/>
      <c r="BM780" s="351"/>
      <c r="BN780" s="530" t="s">
        <v>294</v>
      </c>
      <c r="BO780" s="350"/>
      <c r="BP780" s="350"/>
      <c r="BQ780" s="350"/>
      <c r="BR780" s="350"/>
      <c r="BS780" s="350"/>
      <c r="BT780" s="350"/>
      <c r="BU780" s="350"/>
      <c r="BV780" s="351"/>
    </row>
    <row r="781" spans="1:74" ht="45" customHeight="1">
      <c r="A781" s="24">
        <f t="shared" si="3"/>
        <v>767</v>
      </c>
      <c r="B781" s="522" t="s">
        <v>294</v>
      </c>
      <c r="C781" s="351"/>
      <c r="D781" s="523" t="s">
        <v>298</v>
      </c>
      <c r="E781" s="351"/>
      <c r="F781" s="524" t="s">
        <v>325</v>
      </c>
      <c r="G781" s="351"/>
      <c r="H781" s="561" t="s">
        <v>325</v>
      </c>
      <c r="I781" s="351"/>
      <c r="J781" s="562"/>
      <c r="K781" s="351"/>
      <c r="L781" s="562"/>
      <c r="M781" s="351"/>
      <c r="N781" s="37"/>
      <c r="O781" s="38"/>
      <c r="P781" s="560"/>
      <c r="Q781" s="351"/>
      <c r="R781" s="527"/>
      <c r="S781" s="351"/>
      <c r="T781" s="528"/>
      <c r="U781" s="351"/>
      <c r="V781" s="541"/>
      <c r="W781" s="351"/>
      <c r="X781" s="542" t="s">
        <v>294</v>
      </c>
      <c r="Y781" s="350"/>
      <c r="Z781" s="350"/>
      <c r="AA781" s="351"/>
      <c r="AB781" s="543" t="s">
        <v>294</v>
      </c>
      <c r="AC781" s="350"/>
      <c r="AD781" s="350"/>
      <c r="AE781" s="351"/>
      <c r="AF781" s="544"/>
      <c r="AG781" s="351"/>
      <c r="AH781" s="544"/>
      <c r="AI781" s="351"/>
      <c r="AJ781" s="545"/>
      <c r="AK781" s="351"/>
      <c r="AL781" s="524" t="s">
        <v>325</v>
      </c>
      <c r="AM781" s="351"/>
      <c r="AN781" s="549" t="s">
        <v>325</v>
      </c>
      <c r="AO781" s="351"/>
      <c r="AP781" s="550"/>
      <c r="AQ781" s="351"/>
      <c r="AR781" s="551"/>
      <c r="AS781" s="351"/>
      <c r="AT781" s="534"/>
      <c r="AU781" s="351"/>
      <c r="AV781" s="549" t="s">
        <v>325</v>
      </c>
      <c r="AW781" s="351"/>
      <c r="AX781" s="553"/>
      <c r="AY781" s="350"/>
      <c r="AZ781" s="351"/>
      <c r="BA781" s="554"/>
      <c r="BB781" s="351"/>
      <c r="BC781" s="39"/>
      <c r="BD781" s="546" t="s">
        <v>325</v>
      </c>
      <c r="BE781" s="351"/>
      <c r="BF781" s="547"/>
      <c r="BG781" s="350"/>
      <c r="BH781" s="350"/>
      <c r="BI781" s="351"/>
      <c r="BJ781" s="548" t="s">
        <v>294</v>
      </c>
      <c r="BK781" s="350"/>
      <c r="BL781" s="350"/>
      <c r="BM781" s="351"/>
      <c r="BN781" s="530" t="s">
        <v>294</v>
      </c>
      <c r="BO781" s="350"/>
      <c r="BP781" s="350"/>
      <c r="BQ781" s="350"/>
      <c r="BR781" s="350"/>
      <c r="BS781" s="350"/>
      <c r="BT781" s="350"/>
      <c r="BU781" s="350"/>
      <c r="BV781" s="351"/>
    </row>
    <row r="782" spans="1:74" ht="45" customHeight="1">
      <c r="A782" s="24">
        <f t="shared" si="3"/>
        <v>768</v>
      </c>
      <c r="B782" s="558" t="s">
        <v>294</v>
      </c>
      <c r="C782" s="351"/>
      <c r="D782" s="559" t="s">
        <v>298</v>
      </c>
      <c r="E782" s="351"/>
      <c r="F782" s="524" t="s">
        <v>325</v>
      </c>
      <c r="G782" s="351"/>
      <c r="H782" s="525" t="s">
        <v>325</v>
      </c>
      <c r="I782" s="351"/>
      <c r="J782" s="563"/>
      <c r="K782" s="351"/>
      <c r="L782" s="563"/>
      <c r="M782" s="351"/>
      <c r="N782" s="34"/>
      <c r="O782" s="35"/>
      <c r="P782" s="526"/>
      <c r="Q782" s="351"/>
      <c r="R782" s="535"/>
      <c r="S782" s="351"/>
      <c r="T782" s="536"/>
      <c r="U782" s="351"/>
      <c r="V782" s="537"/>
      <c r="W782" s="351"/>
      <c r="X782" s="538" t="s">
        <v>294</v>
      </c>
      <c r="Y782" s="350"/>
      <c r="Z782" s="350"/>
      <c r="AA782" s="351"/>
      <c r="AB782" s="539" t="s">
        <v>294</v>
      </c>
      <c r="AC782" s="350"/>
      <c r="AD782" s="350"/>
      <c r="AE782" s="351"/>
      <c r="AF782" s="540"/>
      <c r="AG782" s="351"/>
      <c r="AH782" s="540"/>
      <c r="AI782" s="351"/>
      <c r="AJ782" s="545"/>
      <c r="AK782" s="351"/>
      <c r="AL782" s="555" t="s">
        <v>325</v>
      </c>
      <c r="AM782" s="351"/>
      <c r="AN782" s="531" t="s">
        <v>325</v>
      </c>
      <c r="AO782" s="351"/>
      <c r="AP782" s="532"/>
      <c r="AQ782" s="351"/>
      <c r="AR782" s="533"/>
      <c r="AS782" s="351"/>
      <c r="AT782" s="534"/>
      <c r="AU782" s="351"/>
      <c r="AV782" s="531" t="s">
        <v>325</v>
      </c>
      <c r="AW782" s="351"/>
      <c r="AX782" s="553"/>
      <c r="AY782" s="350"/>
      <c r="AZ782" s="351"/>
      <c r="BA782" s="545"/>
      <c r="BB782" s="351"/>
      <c r="BC782" s="36"/>
      <c r="BD782" s="556" t="s">
        <v>325</v>
      </c>
      <c r="BE782" s="351"/>
      <c r="BF782" s="557"/>
      <c r="BG782" s="350"/>
      <c r="BH782" s="350"/>
      <c r="BI782" s="351"/>
      <c r="BJ782" s="506" t="s">
        <v>294</v>
      </c>
      <c r="BK782" s="350"/>
      <c r="BL782" s="350"/>
      <c r="BM782" s="351"/>
      <c r="BN782" s="530" t="s">
        <v>294</v>
      </c>
      <c r="BO782" s="350"/>
      <c r="BP782" s="350"/>
      <c r="BQ782" s="350"/>
      <c r="BR782" s="350"/>
      <c r="BS782" s="350"/>
      <c r="BT782" s="350"/>
      <c r="BU782" s="350"/>
      <c r="BV782" s="351"/>
    </row>
    <row r="783" spans="1:74" ht="45" customHeight="1">
      <c r="A783" s="24">
        <f t="shared" si="3"/>
        <v>769</v>
      </c>
      <c r="B783" s="522" t="s">
        <v>294</v>
      </c>
      <c r="C783" s="351"/>
      <c r="D783" s="523" t="s">
        <v>298</v>
      </c>
      <c r="E783" s="351"/>
      <c r="F783" s="524" t="s">
        <v>325</v>
      </c>
      <c r="G783" s="351"/>
      <c r="H783" s="561" t="s">
        <v>325</v>
      </c>
      <c r="I783" s="351"/>
      <c r="J783" s="562"/>
      <c r="K783" s="351"/>
      <c r="L783" s="562"/>
      <c r="M783" s="351"/>
      <c r="N783" s="37"/>
      <c r="O783" s="38"/>
      <c r="P783" s="560"/>
      <c r="Q783" s="351"/>
      <c r="R783" s="527"/>
      <c r="S783" s="351"/>
      <c r="T783" s="528"/>
      <c r="U783" s="351"/>
      <c r="V783" s="541"/>
      <c r="W783" s="351"/>
      <c r="X783" s="542" t="s">
        <v>294</v>
      </c>
      <c r="Y783" s="350"/>
      <c r="Z783" s="350"/>
      <c r="AA783" s="351"/>
      <c r="AB783" s="543" t="s">
        <v>294</v>
      </c>
      <c r="AC783" s="350"/>
      <c r="AD783" s="350"/>
      <c r="AE783" s="351"/>
      <c r="AF783" s="544"/>
      <c r="AG783" s="351"/>
      <c r="AH783" s="544"/>
      <c r="AI783" s="351"/>
      <c r="AJ783" s="545"/>
      <c r="AK783" s="351"/>
      <c r="AL783" s="524" t="s">
        <v>325</v>
      </c>
      <c r="AM783" s="351"/>
      <c r="AN783" s="549" t="s">
        <v>325</v>
      </c>
      <c r="AO783" s="351"/>
      <c r="AP783" s="550"/>
      <c r="AQ783" s="351"/>
      <c r="AR783" s="551"/>
      <c r="AS783" s="351"/>
      <c r="AT783" s="552"/>
      <c r="AU783" s="351"/>
      <c r="AV783" s="549" t="s">
        <v>325</v>
      </c>
      <c r="AW783" s="351"/>
      <c r="AX783" s="553"/>
      <c r="AY783" s="350"/>
      <c r="AZ783" s="351"/>
      <c r="BA783" s="554"/>
      <c r="BB783" s="351"/>
      <c r="BC783" s="39"/>
      <c r="BD783" s="546" t="s">
        <v>325</v>
      </c>
      <c r="BE783" s="351"/>
      <c r="BF783" s="547"/>
      <c r="BG783" s="350"/>
      <c r="BH783" s="350"/>
      <c r="BI783" s="351"/>
      <c r="BJ783" s="548" t="s">
        <v>294</v>
      </c>
      <c r="BK783" s="350"/>
      <c r="BL783" s="350"/>
      <c r="BM783" s="351"/>
      <c r="BN783" s="530" t="s">
        <v>294</v>
      </c>
      <c r="BO783" s="350"/>
      <c r="BP783" s="350"/>
      <c r="BQ783" s="350"/>
      <c r="BR783" s="350"/>
      <c r="BS783" s="350"/>
      <c r="BT783" s="350"/>
      <c r="BU783" s="350"/>
      <c r="BV783" s="351"/>
    </row>
    <row r="784" spans="1:74" ht="45" customHeight="1">
      <c r="A784" s="24">
        <f t="shared" si="3"/>
        <v>770</v>
      </c>
      <c r="B784" s="558" t="s">
        <v>294</v>
      </c>
      <c r="C784" s="351"/>
      <c r="D784" s="559" t="s">
        <v>298</v>
      </c>
      <c r="E784" s="351"/>
      <c r="F784" s="524" t="s">
        <v>325</v>
      </c>
      <c r="G784" s="351"/>
      <c r="H784" s="525" t="s">
        <v>325</v>
      </c>
      <c r="I784" s="351"/>
      <c r="J784" s="563"/>
      <c r="K784" s="351"/>
      <c r="L784" s="563"/>
      <c r="M784" s="351"/>
      <c r="N784" s="34"/>
      <c r="O784" s="35"/>
      <c r="P784" s="526"/>
      <c r="Q784" s="351"/>
      <c r="R784" s="535"/>
      <c r="S784" s="351"/>
      <c r="T784" s="536"/>
      <c r="U784" s="351"/>
      <c r="V784" s="537"/>
      <c r="W784" s="351"/>
      <c r="X784" s="538" t="s">
        <v>294</v>
      </c>
      <c r="Y784" s="350"/>
      <c r="Z784" s="350"/>
      <c r="AA784" s="351"/>
      <c r="AB784" s="539" t="s">
        <v>294</v>
      </c>
      <c r="AC784" s="350"/>
      <c r="AD784" s="350"/>
      <c r="AE784" s="351"/>
      <c r="AF784" s="540"/>
      <c r="AG784" s="351"/>
      <c r="AH784" s="540"/>
      <c r="AI784" s="351"/>
      <c r="AJ784" s="545"/>
      <c r="AK784" s="351"/>
      <c r="AL784" s="555" t="s">
        <v>325</v>
      </c>
      <c r="AM784" s="351"/>
      <c r="AN784" s="531" t="s">
        <v>325</v>
      </c>
      <c r="AO784" s="351"/>
      <c r="AP784" s="532"/>
      <c r="AQ784" s="351"/>
      <c r="AR784" s="533"/>
      <c r="AS784" s="351"/>
      <c r="AT784" s="534"/>
      <c r="AU784" s="351"/>
      <c r="AV784" s="531" t="s">
        <v>325</v>
      </c>
      <c r="AW784" s="351"/>
      <c r="AX784" s="553"/>
      <c r="AY784" s="350"/>
      <c r="AZ784" s="351"/>
      <c r="BA784" s="545"/>
      <c r="BB784" s="351"/>
      <c r="BC784" s="36"/>
      <c r="BD784" s="556" t="s">
        <v>325</v>
      </c>
      <c r="BE784" s="351"/>
      <c r="BF784" s="529"/>
      <c r="BG784" s="350"/>
      <c r="BH784" s="350"/>
      <c r="BI784" s="351"/>
      <c r="BJ784" s="506" t="s">
        <v>294</v>
      </c>
      <c r="BK784" s="350"/>
      <c r="BL784" s="350"/>
      <c r="BM784" s="351"/>
      <c r="BN784" s="530" t="s">
        <v>294</v>
      </c>
      <c r="BO784" s="350"/>
      <c r="BP784" s="350"/>
      <c r="BQ784" s="350"/>
      <c r="BR784" s="350"/>
      <c r="BS784" s="350"/>
      <c r="BT784" s="350"/>
      <c r="BU784" s="350"/>
      <c r="BV784" s="351"/>
    </row>
    <row r="785" spans="1:74" ht="45" customHeight="1">
      <c r="A785" s="24">
        <f t="shared" si="3"/>
        <v>771</v>
      </c>
      <c r="B785" s="522" t="s">
        <v>294</v>
      </c>
      <c r="C785" s="351"/>
      <c r="D785" s="523" t="s">
        <v>298</v>
      </c>
      <c r="E785" s="351"/>
      <c r="F785" s="524" t="s">
        <v>325</v>
      </c>
      <c r="G785" s="351"/>
      <c r="H785" s="561" t="s">
        <v>325</v>
      </c>
      <c r="I785" s="351"/>
      <c r="J785" s="562"/>
      <c r="K785" s="351"/>
      <c r="L785" s="562"/>
      <c r="M785" s="351"/>
      <c r="N785" s="37"/>
      <c r="O785" s="38"/>
      <c r="P785" s="560"/>
      <c r="Q785" s="351"/>
      <c r="R785" s="527"/>
      <c r="S785" s="351"/>
      <c r="T785" s="528"/>
      <c r="U785" s="351"/>
      <c r="V785" s="541"/>
      <c r="W785" s="351"/>
      <c r="X785" s="542" t="s">
        <v>294</v>
      </c>
      <c r="Y785" s="350"/>
      <c r="Z785" s="350"/>
      <c r="AA785" s="351"/>
      <c r="AB785" s="543" t="s">
        <v>294</v>
      </c>
      <c r="AC785" s="350"/>
      <c r="AD785" s="350"/>
      <c r="AE785" s="351"/>
      <c r="AF785" s="544"/>
      <c r="AG785" s="351"/>
      <c r="AH785" s="544"/>
      <c r="AI785" s="351"/>
      <c r="AJ785" s="545"/>
      <c r="AK785" s="351"/>
      <c r="AL785" s="524" t="s">
        <v>325</v>
      </c>
      <c r="AM785" s="351"/>
      <c r="AN785" s="549" t="s">
        <v>325</v>
      </c>
      <c r="AO785" s="351"/>
      <c r="AP785" s="550"/>
      <c r="AQ785" s="351"/>
      <c r="AR785" s="551"/>
      <c r="AS785" s="351"/>
      <c r="AT785" s="552"/>
      <c r="AU785" s="351"/>
      <c r="AV785" s="549" t="s">
        <v>325</v>
      </c>
      <c r="AW785" s="351"/>
      <c r="AX785" s="553"/>
      <c r="AY785" s="350"/>
      <c r="AZ785" s="351"/>
      <c r="BA785" s="554"/>
      <c r="BB785" s="351"/>
      <c r="BC785" s="39"/>
      <c r="BD785" s="546" t="s">
        <v>325</v>
      </c>
      <c r="BE785" s="351"/>
      <c r="BF785" s="547"/>
      <c r="BG785" s="350"/>
      <c r="BH785" s="350"/>
      <c r="BI785" s="351"/>
      <c r="BJ785" s="548" t="s">
        <v>294</v>
      </c>
      <c r="BK785" s="350"/>
      <c r="BL785" s="350"/>
      <c r="BM785" s="351"/>
      <c r="BN785" s="530" t="s">
        <v>294</v>
      </c>
      <c r="BO785" s="350"/>
      <c r="BP785" s="350"/>
      <c r="BQ785" s="350"/>
      <c r="BR785" s="350"/>
      <c r="BS785" s="350"/>
      <c r="BT785" s="350"/>
      <c r="BU785" s="350"/>
      <c r="BV785" s="351"/>
    </row>
    <row r="786" spans="1:74" ht="45" customHeight="1">
      <c r="A786" s="24">
        <f t="shared" si="3"/>
        <v>772</v>
      </c>
      <c r="B786" s="558" t="s">
        <v>294</v>
      </c>
      <c r="C786" s="351"/>
      <c r="D786" s="559" t="s">
        <v>298</v>
      </c>
      <c r="E786" s="351"/>
      <c r="F786" s="524" t="s">
        <v>325</v>
      </c>
      <c r="G786" s="351"/>
      <c r="H786" s="525" t="s">
        <v>325</v>
      </c>
      <c r="I786" s="351"/>
      <c r="J786" s="563"/>
      <c r="K786" s="351"/>
      <c r="L786" s="563"/>
      <c r="M786" s="351"/>
      <c r="N786" s="34"/>
      <c r="O786" s="35"/>
      <c r="P786" s="526"/>
      <c r="Q786" s="351"/>
      <c r="R786" s="535"/>
      <c r="S786" s="351"/>
      <c r="T786" s="536"/>
      <c r="U786" s="351"/>
      <c r="V786" s="537"/>
      <c r="W786" s="351"/>
      <c r="X786" s="538" t="s">
        <v>294</v>
      </c>
      <c r="Y786" s="350"/>
      <c r="Z786" s="350"/>
      <c r="AA786" s="351"/>
      <c r="AB786" s="539" t="s">
        <v>294</v>
      </c>
      <c r="AC786" s="350"/>
      <c r="AD786" s="350"/>
      <c r="AE786" s="351"/>
      <c r="AF786" s="540"/>
      <c r="AG786" s="351"/>
      <c r="AH786" s="540"/>
      <c r="AI786" s="351"/>
      <c r="AJ786" s="545"/>
      <c r="AK786" s="351"/>
      <c r="AL786" s="555" t="s">
        <v>325</v>
      </c>
      <c r="AM786" s="351"/>
      <c r="AN786" s="531" t="s">
        <v>325</v>
      </c>
      <c r="AO786" s="351"/>
      <c r="AP786" s="532"/>
      <c r="AQ786" s="351"/>
      <c r="AR786" s="533"/>
      <c r="AS786" s="351"/>
      <c r="AT786" s="534"/>
      <c r="AU786" s="351"/>
      <c r="AV786" s="531" t="s">
        <v>325</v>
      </c>
      <c r="AW786" s="351"/>
      <c r="AX786" s="553"/>
      <c r="AY786" s="350"/>
      <c r="AZ786" s="351"/>
      <c r="BA786" s="545"/>
      <c r="BB786" s="351"/>
      <c r="BC786" s="36"/>
      <c r="BD786" s="556" t="s">
        <v>325</v>
      </c>
      <c r="BE786" s="351"/>
      <c r="BF786" s="557"/>
      <c r="BG786" s="350"/>
      <c r="BH786" s="350"/>
      <c r="BI786" s="351"/>
      <c r="BJ786" s="506" t="s">
        <v>294</v>
      </c>
      <c r="BK786" s="350"/>
      <c r="BL786" s="350"/>
      <c r="BM786" s="351"/>
      <c r="BN786" s="530" t="s">
        <v>294</v>
      </c>
      <c r="BO786" s="350"/>
      <c r="BP786" s="350"/>
      <c r="BQ786" s="350"/>
      <c r="BR786" s="350"/>
      <c r="BS786" s="350"/>
      <c r="BT786" s="350"/>
      <c r="BU786" s="350"/>
      <c r="BV786" s="351"/>
    </row>
    <row r="787" spans="1:74" ht="45" customHeight="1">
      <c r="A787" s="24">
        <f t="shared" si="3"/>
        <v>773</v>
      </c>
      <c r="B787" s="522" t="s">
        <v>294</v>
      </c>
      <c r="C787" s="351"/>
      <c r="D787" s="523" t="s">
        <v>298</v>
      </c>
      <c r="E787" s="351"/>
      <c r="F787" s="524" t="s">
        <v>325</v>
      </c>
      <c r="G787" s="351"/>
      <c r="H787" s="561" t="s">
        <v>325</v>
      </c>
      <c r="I787" s="351"/>
      <c r="J787" s="562"/>
      <c r="K787" s="351"/>
      <c r="L787" s="562"/>
      <c r="M787" s="351"/>
      <c r="N787" s="37"/>
      <c r="O787" s="38"/>
      <c r="P787" s="560"/>
      <c r="Q787" s="351"/>
      <c r="R787" s="527"/>
      <c r="S787" s="351"/>
      <c r="T787" s="528"/>
      <c r="U787" s="351"/>
      <c r="V787" s="541"/>
      <c r="W787" s="351"/>
      <c r="X787" s="542" t="s">
        <v>294</v>
      </c>
      <c r="Y787" s="350"/>
      <c r="Z787" s="350"/>
      <c r="AA787" s="351"/>
      <c r="AB787" s="543" t="s">
        <v>294</v>
      </c>
      <c r="AC787" s="350"/>
      <c r="AD787" s="350"/>
      <c r="AE787" s="351"/>
      <c r="AF787" s="544"/>
      <c r="AG787" s="351"/>
      <c r="AH787" s="544"/>
      <c r="AI787" s="351"/>
      <c r="AJ787" s="545"/>
      <c r="AK787" s="351"/>
      <c r="AL787" s="524" t="s">
        <v>325</v>
      </c>
      <c r="AM787" s="351"/>
      <c r="AN787" s="549" t="s">
        <v>325</v>
      </c>
      <c r="AO787" s="351"/>
      <c r="AP787" s="550"/>
      <c r="AQ787" s="351"/>
      <c r="AR787" s="551"/>
      <c r="AS787" s="351"/>
      <c r="AT787" s="552"/>
      <c r="AU787" s="351"/>
      <c r="AV787" s="549" t="s">
        <v>325</v>
      </c>
      <c r="AW787" s="351"/>
      <c r="AX787" s="553"/>
      <c r="AY787" s="350"/>
      <c r="AZ787" s="351"/>
      <c r="BA787" s="554"/>
      <c r="BB787" s="351"/>
      <c r="BC787" s="39"/>
      <c r="BD787" s="546" t="s">
        <v>325</v>
      </c>
      <c r="BE787" s="351"/>
      <c r="BF787" s="547"/>
      <c r="BG787" s="350"/>
      <c r="BH787" s="350"/>
      <c r="BI787" s="351"/>
      <c r="BJ787" s="548" t="s">
        <v>294</v>
      </c>
      <c r="BK787" s="350"/>
      <c r="BL787" s="350"/>
      <c r="BM787" s="351"/>
      <c r="BN787" s="530" t="s">
        <v>294</v>
      </c>
      <c r="BO787" s="350"/>
      <c r="BP787" s="350"/>
      <c r="BQ787" s="350"/>
      <c r="BR787" s="350"/>
      <c r="BS787" s="350"/>
      <c r="BT787" s="350"/>
      <c r="BU787" s="350"/>
      <c r="BV787" s="351"/>
    </row>
    <row r="788" spans="1:74" ht="45" customHeight="1">
      <c r="A788" s="24">
        <f t="shared" si="3"/>
        <v>774</v>
      </c>
      <c r="B788" s="558" t="s">
        <v>294</v>
      </c>
      <c r="C788" s="351"/>
      <c r="D788" s="559" t="s">
        <v>298</v>
      </c>
      <c r="E788" s="351"/>
      <c r="F788" s="524" t="s">
        <v>325</v>
      </c>
      <c r="G788" s="351"/>
      <c r="H788" s="525" t="s">
        <v>325</v>
      </c>
      <c r="I788" s="351"/>
      <c r="J788" s="563"/>
      <c r="K788" s="351"/>
      <c r="L788" s="563"/>
      <c r="M788" s="351"/>
      <c r="N788" s="34"/>
      <c r="O788" s="35"/>
      <c r="P788" s="526"/>
      <c r="Q788" s="351"/>
      <c r="R788" s="535"/>
      <c r="S788" s="351"/>
      <c r="T788" s="536"/>
      <c r="U788" s="351"/>
      <c r="V788" s="537"/>
      <c r="W788" s="351"/>
      <c r="X788" s="538" t="s">
        <v>294</v>
      </c>
      <c r="Y788" s="350"/>
      <c r="Z788" s="350"/>
      <c r="AA788" s="351"/>
      <c r="AB788" s="539" t="s">
        <v>294</v>
      </c>
      <c r="AC788" s="350"/>
      <c r="AD788" s="350"/>
      <c r="AE788" s="351"/>
      <c r="AF788" s="540"/>
      <c r="AG788" s="351"/>
      <c r="AH788" s="540"/>
      <c r="AI788" s="351"/>
      <c r="AJ788" s="545"/>
      <c r="AK788" s="351"/>
      <c r="AL788" s="555" t="s">
        <v>325</v>
      </c>
      <c r="AM788" s="351"/>
      <c r="AN788" s="531" t="s">
        <v>325</v>
      </c>
      <c r="AO788" s="351"/>
      <c r="AP788" s="532"/>
      <c r="AQ788" s="351"/>
      <c r="AR788" s="533"/>
      <c r="AS788" s="351"/>
      <c r="AT788" s="534"/>
      <c r="AU788" s="351"/>
      <c r="AV788" s="531" t="s">
        <v>325</v>
      </c>
      <c r="AW788" s="351"/>
      <c r="AX788" s="553"/>
      <c r="AY788" s="350"/>
      <c r="AZ788" s="351"/>
      <c r="BA788" s="545"/>
      <c r="BB788" s="351"/>
      <c r="BC788" s="36"/>
      <c r="BD788" s="556" t="s">
        <v>325</v>
      </c>
      <c r="BE788" s="351"/>
      <c r="BF788" s="557"/>
      <c r="BG788" s="350"/>
      <c r="BH788" s="350"/>
      <c r="BI788" s="351"/>
      <c r="BJ788" s="506" t="s">
        <v>294</v>
      </c>
      <c r="BK788" s="350"/>
      <c r="BL788" s="350"/>
      <c r="BM788" s="351"/>
      <c r="BN788" s="530" t="s">
        <v>294</v>
      </c>
      <c r="BO788" s="350"/>
      <c r="BP788" s="350"/>
      <c r="BQ788" s="350"/>
      <c r="BR788" s="350"/>
      <c r="BS788" s="350"/>
      <c r="BT788" s="350"/>
      <c r="BU788" s="350"/>
      <c r="BV788" s="351"/>
    </row>
    <row r="789" spans="1:74" ht="45" customHeight="1">
      <c r="A789" s="24">
        <f t="shared" si="3"/>
        <v>775</v>
      </c>
      <c r="B789" s="522" t="s">
        <v>294</v>
      </c>
      <c r="C789" s="351"/>
      <c r="D789" s="523" t="s">
        <v>298</v>
      </c>
      <c r="E789" s="351"/>
      <c r="F789" s="524" t="s">
        <v>325</v>
      </c>
      <c r="G789" s="351"/>
      <c r="H789" s="561" t="s">
        <v>325</v>
      </c>
      <c r="I789" s="351"/>
      <c r="J789" s="562"/>
      <c r="K789" s="351"/>
      <c r="L789" s="562"/>
      <c r="M789" s="351"/>
      <c r="N789" s="37"/>
      <c r="O789" s="38"/>
      <c r="P789" s="560"/>
      <c r="Q789" s="351"/>
      <c r="R789" s="527"/>
      <c r="S789" s="351"/>
      <c r="T789" s="528"/>
      <c r="U789" s="351"/>
      <c r="V789" s="541"/>
      <c r="W789" s="351"/>
      <c r="X789" s="542" t="s">
        <v>294</v>
      </c>
      <c r="Y789" s="350"/>
      <c r="Z789" s="350"/>
      <c r="AA789" s="351"/>
      <c r="AB789" s="543" t="s">
        <v>294</v>
      </c>
      <c r="AC789" s="350"/>
      <c r="AD789" s="350"/>
      <c r="AE789" s="351"/>
      <c r="AF789" s="544"/>
      <c r="AG789" s="351"/>
      <c r="AH789" s="544"/>
      <c r="AI789" s="351"/>
      <c r="AJ789" s="545"/>
      <c r="AK789" s="351"/>
      <c r="AL789" s="524" t="s">
        <v>325</v>
      </c>
      <c r="AM789" s="351"/>
      <c r="AN789" s="549" t="s">
        <v>325</v>
      </c>
      <c r="AO789" s="351"/>
      <c r="AP789" s="550"/>
      <c r="AQ789" s="351"/>
      <c r="AR789" s="551"/>
      <c r="AS789" s="351"/>
      <c r="AT789" s="552"/>
      <c r="AU789" s="351"/>
      <c r="AV789" s="549" t="s">
        <v>325</v>
      </c>
      <c r="AW789" s="351"/>
      <c r="AX789" s="553"/>
      <c r="AY789" s="350"/>
      <c r="AZ789" s="351"/>
      <c r="BA789" s="554"/>
      <c r="BB789" s="351"/>
      <c r="BC789" s="39"/>
      <c r="BD789" s="546" t="s">
        <v>325</v>
      </c>
      <c r="BE789" s="351"/>
      <c r="BF789" s="547"/>
      <c r="BG789" s="350"/>
      <c r="BH789" s="350"/>
      <c r="BI789" s="351"/>
      <c r="BJ789" s="548" t="s">
        <v>294</v>
      </c>
      <c r="BK789" s="350"/>
      <c r="BL789" s="350"/>
      <c r="BM789" s="351"/>
      <c r="BN789" s="530" t="s">
        <v>294</v>
      </c>
      <c r="BO789" s="350"/>
      <c r="BP789" s="350"/>
      <c r="BQ789" s="350"/>
      <c r="BR789" s="350"/>
      <c r="BS789" s="350"/>
      <c r="BT789" s="350"/>
      <c r="BU789" s="350"/>
      <c r="BV789" s="351"/>
    </row>
    <row r="790" spans="1:74" ht="45" customHeight="1">
      <c r="A790" s="24">
        <f t="shared" si="3"/>
        <v>776</v>
      </c>
      <c r="B790" s="558" t="s">
        <v>294</v>
      </c>
      <c r="C790" s="351"/>
      <c r="D790" s="559" t="s">
        <v>298</v>
      </c>
      <c r="E790" s="351"/>
      <c r="F790" s="524" t="s">
        <v>325</v>
      </c>
      <c r="G790" s="351"/>
      <c r="H790" s="525" t="s">
        <v>325</v>
      </c>
      <c r="I790" s="351"/>
      <c r="J790" s="563"/>
      <c r="K790" s="351"/>
      <c r="L790" s="563"/>
      <c r="M790" s="351"/>
      <c r="N790" s="34"/>
      <c r="O790" s="35"/>
      <c r="P790" s="526"/>
      <c r="Q790" s="351"/>
      <c r="R790" s="535"/>
      <c r="S790" s="351"/>
      <c r="T790" s="536"/>
      <c r="U790" s="351"/>
      <c r="V790" s="537"/>
      <c r="W790" s="351"/>
      <c r="X790" s="538" t="s">
        <v>294</v>
      </c>
      <c r="Y790" s="350"/>
      <c r="Z790" s="350"/>
      <c r="AA790" s="351"/>
      <c r="AB790" s="539" t="s">
        <v>294</v>
      </c>
      <c r="AC790" s="350"/>
      <c r="AD790" s="350"/>
      <c r="AE790" s="351"/>
      <c r="AF790" s="540"/>
      <c r="AG790" s="351"/>
      <c r="AH790" s="540"/>
      <c r="AI790" s="351"/>
      <c r="AJ790" s="545"/>
      <c r="AK790" s="351"/>
      <c r="AL790" s="555" t="s">
        <v>325</v>
      </c>
      <c r="AM790" s="351"/>
      <c r="AN790" s="531" t="s">
        <v>325</v>
      </c>
      <c r="AO790" s="351"/>
      <c r="AP790" s="532"/>
      <c r="AQ790" s="351"/>
      <c r="AR790" s="533"/>
      <c r="AS790" s="351"/>
      <c r="AT790" s="534"/>
      <c r="AU790" s="351"/>
      <c r="AV790" s="531" t="s">
        <v>325</v>
      </c>
      <c r="AW790" s="351"/>
      <c r="AX790" s="553"/>
      <c r="AY790" s="350"/>
      <c r="AZ790" s="351"/>
      <c r="BA790" s="545"/>
      <c r="BB790" s="351"/>
      <c r="BC790" s="36"/>
      <c r="BD790" s="556" t="s">
        <v>325</v>
      </c>
      <c r="BE790" s="351"/>
      <c r="BF790" s="529"/>
      <c r="BG790" s="350"/>
      <c r="BH790" s="350"/>
      <c r="BI790" s="351"/>
      <c r="BJ790" s="506" t="s">
        <v>294</v>
      </c>
      <c r="BK790" s="350"/>
      <c r="BL790" s="350"/>
      <c r="BM790" s="351"/>
      <c r="BN790" s="530" t="s">
        <v>294</v>
      </c>
      <c r="BO790" s="350"/>
      <c r="BP790" s="350"/>
      <c r="BQ790" s="350"/>
      <c r="BR790" s="350"/>
      <c r="BS790" s="350"/>
      <c r="BT790" s="350"/>
      <c r="BU790" s="350"/>
      <c r="BV790" s="351"/>
    </row>
    <row r="791" spans="1:74" ht="45" customHeight="1">
      <c r="A791" s="24">
        <f t="shared" si="3"/>
        <v>777</v>
      </c>
      <c r="B791" s="522" t="s">
        <v>294</v>
      </c>
      <c r="C791" s="351"/>
      <c r="D791" s="523" t="s">
        <v>298</v>
      </c>
      <c r="E791" s="351"/>
      <c r="F791" s="524" t="s">
        <v>325</v>
      </c>
      <c r="G791" s="351"/>
      <c r="H791" s="561" t="s">
        <v>325</v>
      </c>
      <c r="I791" s="351"/>
      <c r="J791" s="562"/>
      <c r="K791" s="351"/>
      <c r="L791" s="562"/>
      <c r="M791" s="351"/>
      <c r="N791" s="37"/>
      <c r="O791" s="38"/>
      <c r="P791" s="560"/>
      <c r="Q791" s="351"/>
      <c r="R791" s="527"/>
      <c r="S791" s="351"/>
      <c r="T791" s="528"/>
      <c r="U791" s="351"/>
      <c r="V791" s="541"/>
      <c r="W791" s="351"/>
      <c r="X791" s="542" t="s">
        <v>294</v>
      </c>
      <c r="Y791" s="350"/>
      <c r="Z791" s="350"/>
      <c r="AA791" s="351"/>
      <c r="AB791" s="543" t="s">
        <v>294</v>
      </c>
      <c r="AC791" s="350"/>
      <c r="AD791" s="350"/>
      <c r="AE791" s="351"/>
      <c r="AF791" s="544"/>
      <c r="AG791" s="351"/>
      <c r="AH791" s="544"/>
      <c r="AI791" s="351"/>
      <c r="AJ791" s="545"/>
      <c r="AK791" s="351"/>
      <c r="AL791" s="524" t="s">
        <v>325</v>
      </c>
      <c r="AM791" s="351"/>
      <c r="AN791" s="549" t="s">
        <v>325</v>
      </c>
      <c r="AO791" s="351"/>
      <c r="AP791" s="550"/>
      <c r="AQ791" s="351"/>
      <c r="AR791" s="551"/>
      <c r="AS791" s="351"/>
      <c r="AT791" s="552"/>
      <c r="AU791" s="351"/>
      <c r="AV791" s="549" t="s">
        <v>325</v>
      </c>
      <c r="AW791" s="351"/>
      <c r="AX791" s="553"/>
      <c r="AY791" s="350"/>
      <c r="AZ791" s="351"/>
      <c r="BA791" s="554"/>
      <c r="BB791" s="351"/>
      <c r="BC791" s="39"/>
      <c r="BD791" s="546" t="s">
        <v>325</v>
      </c>
      <c r="BE791" s="351"/>
      <c r="BF791" s="547"/>
      <c r="BG791" s="350"/>
      <c r="BH791" s="350"/>
      <c r="BI791" s="351"/>
      <c r="BJ791" s="548" t="s">
        <v>294</v>
      </c>
      <c r="BK791" s="350"/>
      <c r="BL791" s="350"/>
      <c r="BM791" s="351"/>
      <c r="BN791" s="530" t="s">
        <v>294</v>
      </c>
      <c r="BO791" s="350"/>
      <c r="BP791" s="350"/>
      <c r="BQ791" s="350"/>
      <c r="BR791" s="350"/>
      <c r="BS791" s="350"/>
      <c r="BT791" s="350"/>
      <c r="BU791" s="350"/>
      <c r="BV791" s="351"/>
    </row>
    <row r="792" spans="1:74" ht="45" customHeight="1">
      <c r="A792" s="24">
        <f t="shared" si="3"/>
        <v>778</v>
      </c>
      <c r="B792" s="558" t="s">
        <v>294</v>
      </c>
      <c r="C792" s="351"/>
      <c r="D792" s="559" t="s">
        <v>298</v>
      </c>
      <c r="E792" s="351"/>
      <c r="F792" s="524" t="s">
        <v>325</v>
      </c>
      <c r="G792" s="351"/>
      <c r="H792" s="525" t="s">
        <v>325</v>
      </c>
      <c r="I792" s="351"/>
      <c r="J792" s="563"/>
      <c r="K792" s="351"/>
      <c r="L792" s="563"/>
      <c r="M792" s="351"/>
      <c r="N792" s="34"/>
      <c r="O792" s="35"/>
      <c r="P792" s="526"/>
      <c r="Q792" s="351"/>
      <c r="R792" s="535"/>
      <c r="S792" s="351"/>
      <c r="T792" s="536"/>
      <c r="U792" s="351"/>
      <c r="V792" s="537"/>
      <c r="W792" s="351"/>
      <c r="X792" s="538" t="s">
        <v>294</v>
      </c>
      <c r="Y792" s="350"/>
      <c r="Z792" s="350"/>
      <c r="AA792" s="351"/>
      <c r="AB792" s="539" t="s">
        <v>294</v>
      </c>
      <c r="AC792" s="350"/>
      <c r="AD792" s="350"/>
      <c r="AE792" s="351"/>
      <c r="AF792" s="540"/>
      <c r="AG792" s="351"/>
      <c r="AH792" s="540"/>
      <c r="AI792" s="351"/>
      <c r="AJ792" s="545"/>
      <c r="AK792" s="351"/>
      <c r="AL792" s="555" t="s">
        <v>325</v>
      </c>
      <c r="AM792" s="351"/>
      <c r="AN792" s="531" t="s">
        <v>325</v>
      </c>
      <c r="AO792" s="351"/>
      <c r="AP792" s="532"/>
      <c r="AQ792" s="351"/>
      <c r="AR792" s="533"/>
      <c r="AS792" s="351"/>
      <c r="AT792" s="534"/>
      <c r="AU792" s="351"/>
      <c r="AV792" s="531" t="s">
        <v>325</v>
      </c>
      <c r="AW792" s="351"/>
      <c r="AX792" s="553"/>
      <c r="AY792" s="350"/>
      <c r="AZ792" s="351"/>
      <c r="BA792" s="545"/>
      <c r="BB792" s="351"/>
      <c r="BC792" s="36"/>
      <c r="BD792" s="556" t="s">
        <v>325</v>
      </c>
      <c r="BE792" s="351"/>
      <c r="BF792" s="557"/>
      <c r="BG792" s="350"/>
      <c r="BH792" s="350"/>
      <c r="BI792" s="351"/>
      <c r="BJ792" s="506" t="s">
        <v>294</v>
      </c>
      <c r="BK792" s="350"/>
      <c r="BL792" s="350"/>
      <c r="BM792" s="351"/>
      <c r="BN792" s="530" t="s">
        <v>294</v>
      </c>
      <c r="BO792" s="350"/>
      <c r="BP792" s="350"/>
      <c r="BQ792" s="350"/>
      <c r="BR792" s="350"/>
      <c r="BS792" s="350"/>
      <c r="BT792" s="350"/>
      <c r="BU792" s="350"/>
      <c r="BV792" s="351"/>
    </row>
    <row r="793" spans="1:74" ht="45" customHeight="1">
      <c r="A793" s="24">
        <f t="shared" si="3"/>
        <v>779</v>
      </c>
      <c r="B793" s="522" t="s">
        <v>294</v>
      </c>
      <c r="C793" s="351"/>
      <c r="D793" s="523" t="s">
        <v>298</v>
      </c>
      <c r="E793" s="351"/>
      <c r="F793" s="524" t="s">
        <v>325</v>
      </c>
      <c r="G793" s="351"/>
      <c r="H793" s="561" t="s">
        <v>325</v>
      </c>
      <c r="I793" s="351"/>
      <c r="J793" s="562"/>
      <c r="K793" s="351"/>
      <c r="L793" s="562"/>
      <c r="M793" s="351"/>
      <c r="N793" s="34"/>
      <c r="O793" s="35"/>
      <c r="P793" s="526"/>
      <c r="Q793" s="351"/>
      <c r="R793" s="527"/>
      <c r="S793" s="351"/>
      <c r="T793" s="528"/>
      <c r="U793" s="351"/>
      <c r="V793" s="541"/>
      <c r="W793" s="351"/>
      <c r="X793" s="542" t="s">
        <v>294</v>
      </c>
      <c r="Y793" s="350"/>
      <c r="Z793" s="350"/>
      <c r="AA793" s="351"/>
      <c r="AB793" s="543" t="s">
        <v>294</v>
      </c>
      <c r="AC793" s="350"/>
      <c r="AD793" s="350"/>
      <c r="AE793" s="351"/>
      <c r="AF793" s="544"/>
      <c r="AG793" s="351"/>
      <c r="AH793" s="544"/>
      <c r="AI793" s="351"/>
      <c r="AJ793" s="545"/>
      <c r="AK793" s="351"/>
      <c r="AL793" s="524" t="s">
        <v>325</v>
      </c>
      <c r="AM793" s="351"/>
      <c r="AN793" s="549" t="s">
        <v>325</v>
      </c>
      <c r="AO793" s="351"/>
      <c r="AP793" s="550"/>
      <c r="AQ793" s="351"/>
      <c r="AR793" s="551"/>
      <c r="AS793" s="351"/>
      <c r="AT793" s="534"/>
      <c r="AU793" s="351"/>
      <c r="AV793" s="549" t="s">
        <v>325</v>
      </c>
      <c r="AW793" s="351"/>
      <c r="AX793" s="553"/>
      <c r="AY793" s="350"/>
      <c r="AZ793" s="351"/>
      <c r="BA793" s="554"/>
      <c r="BB793" s="351"/>
      <c r="BC793" s="39"/>
      <c r="BD793" s="546" t="s">
        <v>325</v>
      </c>
      <c r="BE793" s="351"/>
      <c r="BF793" s="547"/>
      <c r="BG793" s="350"/>
      <c r="BH793" s="350"/>
      <c r="BI793" s="351"/>
      <c r="BJ793" s="548" t="s">
        <v>294</v>
      </c>
      <c r="BK793" s="350"/>
      <c r="BL793" s="350"/>
      <c r="BM793" s="351"/>
      <c r="BN793" s="530" t="s">
        <v>294</v>
      </c>
      <c r="BO793" s="350"/>
      <c r="BP793" s="350"/>
      <c r="BQ793" s="350"/>
      <c r="BR793" s="350"/>
      <c r="BS793" s="350"/>
      <c r="BT793" s="350"/>
      <c r="BU793" s="350"/>
      <c r="BV793" s="351"/>
    </row>
    <row r="794" spans="1:74" ht="45" customHeight="1">
      <c r="A794" s="24">
        <f t="shared" si="3"/>
        <v>780</v>
      </c>
      <c r="B794" s="558" t="s">
        <v>294</v>
      </c>
      <c r="C794" s="351"/>
      <c r="D794" s="559" t="s">
        <v>298</v>
      </c>
      <c r="E794" s="351"/>
      <c r="F794" s="524" t="s">
        <v>325</v>
      </c>
      <c r="G794" s="351"/>
      <c r="H794" s="525" t="s">
        <v>325</v>
      </c>
      <c r="I794" s="351"/>
      <c r="J794" s="563"/>
      <c r="K794" s="351"/>
      <c r="L794" s="563"/>
      <c r="M794" s="351"/>
      <c r="N794" s="37"/>
      <c r="O794" s="38"/>
      <c r="P794" s="560"/>
      <c r="Q794" s="351"/>
      <c r="R794" s="535"/>
      <c r="S794" s="351"/>
      <c r="T794" s="536"/>
      <c r="U794" s="351"/>
      <c r="V794" s="537"/>
      <c r="W794" s="351"/>
      <c r="X794" s="538" t="s">
        <v>294</v>
      </c>
      <c r="Y794" s="350"/>
      <c r="Z794" s="350"/>
      <c r="AA794" s="351"/>
      <c r="AB794" s="539" t="s">
        <v>294</v>
      </c>
      <c r="AC794" s="350"/>
      <c r="AD794" s="350"/>
      <c r="AE794" s="351"/>
      <c r="AF794" s="540"/>
      <c r="AG794" s="351"/>
      <c r="AH794" s="540"/>
      <c r="AI794" s="351"/>
      <c r="AJ794" s="545"/>
      <c r="AK794" s="351"/>
      <c r="AL794" s="555" t="s">
        <v>325</v>
      </c>
      <c r="AM794" s="351"/>
      <c r="AN794" s="531" t="s">
        <v>325</v>
      </c>
      <c r="AO794" s="351"/>
      <c r="AP794" s="532"/>
      <c r="AQ794" s="351"/>
      <c r="AR794" s="533"/>
      <c r="AS794" s="351"/>
      <c r="AT794" s="534"/>
      <c r="AU794" s="351"/>
      <c r="AV794" s="531" t="s">
        <v>325</v>
      </c>
      <c r="AW794" s="351"/>
      <c r="AX794" s="553"/>
      <c r="AY794" s="350"/>
      <c r="AZ794" s="351"/>
      <c r="BA794" s="545"/>
      <c r="BB794" s="351"/>
      <c r="BC794" s="36"/>
      <c r="BD794" s="556" t="s">
        <v>325</v>
      </c>
      <c r="BE794" s="351"/>
      <c r="BF794" s="557"/>
      <c r="BG794" s="350"/>
      <c r="BH794" s="350"/>
      <c r="BI794" s="351"/>
      <c r="BJ794" s="506" t="s">
        <v>294</v>
      </c>
      <c r="BK794" s="350"/>
      <c r="BL794" s="350"/>
      <c r="BM794" s="351"/>
      <c r="BN794" s="530" t="s">
        <v>294</v>
      </c>
      <c r="BO794" s="350"/>
      <c r="BP794" s="350"/>
      <c r="BQ794" s="350"/>
      <c r="BR794" s="350"/>
      <c r="BS794" s="350"/>
      <c r="BT794" s="350"/>
      <c r="BU794" s="350"/>
      <c r="BV794" s="351"/>
    </row>
    <row r="795" spans="1:74" ht="45" customHeight="1">
      <c r="A795" s="24">
        <f t="shared" si="3"/>
        <v>781</v>
      </c>
      <c r="B795" s="522" t="s">
        <v>294</v>
      </c>
      <c r="C795" s="351"/>
      <c r="D795" s="523" t="s">
        <v>298</v>
      </c>
      <c r="E795" s="351"/>
      <c r="F795" s="524" t="s">
        <v>325</v>
      </c>
      <c r="G795" s="351"/>
      <c r="H795" s="561" t="s">
        <v>325</v>
      </c>
      <c r="I795" s="351"/>
      <c r="J795" s="562"/>
      <c r="K795" s="351"/>
      <c r="L795" s="562"/>
      <c r="M795" s="351"/>
      <c r="N795" s="34"/>
      <c r="O795" s="35"/>
      <c r="P795" s="526"/>
      <c r="Q795" s="351"/>
      <c r="R795" s="527"/>
      <c r="S795" s="351"/>
      <c r="T795" s="528"/>
      <c r="U795" s="351"/>
      <c r="V795" s="541"/>
      <c r="W795" s="351"/>
      <c r="X795" s="542" t="s">
        <v>294</v>
      </c>
      <c r="Y795" s="350"/>
      <c r="Z795" s="350"/>
      <c r="AA795" s="351"/>
      <c r="AB795" s="543" t="s">
        <v>294</v>
      </c>
      <c r="AC795" s="350"/>
      <c r="AD795" s="350"/>
      <c r="AE795" s="351"/>
      <c r="AF795" s="544"/>
      <c r="AG795" s="351"/>
      <c r="AH795" s="544"/>
      <c r="AI795" s="351"/>
      <c r="AJ795" s="545"/>
      <c r="AK795" s="351"/>
      <c r="AL795" s="524" t="s">
        <v>325</v>
      </c>
      <c r="AM795" s="351"/>
      <c r="AN795" s="549" t="s">
        <v>325</v>
      </c>
      <c r="AO795" s="351"/>
      <c r="AP795" s="550"/>
      <c r="AQ795" s="351"/>
      <c r="AR795" s="551"/>
      <c r="AS795" s="351"/>
      <c r="AT795" s="534"/>
      <c r="AU795" s="351"/>
      <c r="AV795" s="549" t="s">
        <v>325</v>
      </c>
      <c r="AW795" s="351"/>
      <c r="AX795" s="553"/>
      <c r="AY795" s="350"/>
      <c r="AZ795" s="351"/>
      <c r="BA795" s="554"/>
      <c r="BB795" s="351"/>
      <c r="BC795" s="39"/>
      <c r="BD795" s="546" t="s">
        <v>325</v>
      </c>
      <c r="BE795" s="351"/>
      <c r="BF795" s="547"/>
      <c r="BG795" s="350"/>
      <c r="BH795" s="350"/>
      <c r="BI795" s="351"/>
      <c r="BJ795" s="548" t="s">
        <v>294</v>
      </c>
      <c r="BK795" s="350"/>
      <c r="BL795" s="350"/>
      <c r="BM795" s="351"/>
      <c r="BN795" s="530" t="s">
        <v>294</v>
      </c>
      <c r="BO795" s="350"/>
      <c r="BP795" s="350"/>
      <c r="BQ795" s="350"/>
      <c r="BR795" s="350"/>
      <c r="BS795" s="350"/>
      <c r="BT795" s="350"/>
      <c r="BU795" s="350"/>
      <c r="BV795" s="351"/>
    </row>
    <row r="796" spans="1:74" ht="45" customHeight="1">
      <c r="A796" s="24">
        <f t="shared" si="3"/>
        <v>782</v>
      </c>
      <c r="B796" s="558" t="s">
        <v>294</v>
      </c>
      <c r="C796" s="351"/>
      <c r="D796" s="559" t="s">
        <v>298</v>
      </c>
      <c r="E796" s="351"/>
      <c r="F796" s="524" t="s">
        <v>325</v>
      </c>
      <c r="G796" s="351"/>
      <c r="H796" s="525" t="s">
        <v>325</v>
      </c>
      <c r="I796" s="351"/>
      <c r="J796" s="563"/>
      <c r="K796" s="351"/>
      <c r="L796" s="563"/>
      <c r="M796" s="351"/>
      <c r="N796" s="37"/>
      <c r="O796" s="38"/>
      <c r="P796" s="560"/>
      <c r="Q796" s="351"/>
      <c r="R796" s="535"/>
      <c r="S796" s="351"/>
      <c r="T796" s="536"/>
      <c r="U796" s="351"/>
      <c r="V796" s="537"/>
      <c r="W796" s="351"/>
      <c r="X796" s="538" t="s">
        <v>294</v>
      </c>
      <c r="Y796" s="350"/>
      <c r="Z796" s="350"/>
      <c r="AA796" s="351"/>
      <c r="AB796" s="539" t="s">
        <v>294</v>
      </c>
      <c r="AC796" s="350"/>
      <c r="AD796" s="350"/>
      <c r="AE796" s="351"/>
      <c r="AF796" s="540"/>
      <c r="AG796" s="351"/>
      <c r="AH796" s="540"/>
      <c r="AI796" s="351"/>
      <c r="AJ796" s="545"/>
      <c r="AK796" s="351"/>
      <c r="AL796" s="555" t="s">
        <v>325</v>
      </c>
      <c r="AM796" s="351"/>
      <c r="AN796" s="531" t="s">
        <v>325</v>
      </c>
      <c r="AO796" s="351"/>
      <c r="AP796" s="532"/>
      <c r="AQ796" s="351"/>
      <c r="AR796" s="533"/>
      <c r="AS796" s="351"/>
      <c r="AT796" s="534"/>
      <c r="AU796" s="351"/>
      <c r="AV796" s="531" t="s">
        <v>325</v>
      </c>
      <c r="AW796" s="351"/>
      <c r="AX796" s="553"/>
      <c r="AY796" s="350"/>
      <c r="AZ796" s="351"/>
      <c r="BA796" s="545"/>
      <c r="BB796" s="351"/>
      <c r="BC796" s="36"/>
      <c r="BD796" s="556" t="s">
        <v>325</v>
      </c>
      <c r="BE796" s="351"/>
      <c r="BF796" s="557"/>
      <c r="BG796" s="350"/>
      <c r="BH796" s="350"/>
      <c r="BI796" s="351"/>
      <c r="BJ796" s="506" t="s">
        <v>294</v>
      </c>
      <c r="BK796" s="350"/>
      <c r="BL796" s="350"/>
      <c r="BM796" s="351"/>
      <c r="BN796" s="530" t="s">
        <v>294</v>
      </c>
      <c r="BO796" s="350"/>
      <c r="BP796" s="350"/>
      <c r="BQ796" s="350"/>
      <c r="BR796" s="350"/>
      <c r="BS796" s="350"/>
      <c r="BT796" s="350"/>
      <c r="BU796" s="350"/>
      <c r="BV796" s="351"/>
    </row>
    <row r="797" spans="1:74" ht="45" customHeight="1">
      <c r="A797" s="24">
        <f t="shared" si="3"/>
        <v>783</v>
      </c>
      <c r="B797" s="522" t="s">
        <v>294</v>
      </c>
      <c r="C797" s="351"/>
      <c r="D797" s="523" t="s">
        <v>298</v>
      </c>
      <c r="E797" s="351"/>
      <c r="F797" s="524" t="s">
        <v>325</v>
      </c>
      <c r="G797" s="351"/>
      <c r="H797" s="561" t="s">
        <v>325</v>
      </c>
      <c r="I797" s="351"/>
      <c r="J797" s="562"/>
      <c r="K797" s="351"/>
      <c r="L797" s="562"/>
      <c r="M797" s="351"/>
      <c r="N797" s="34"/>
      <c r="O797" s="38"/>
      <c r="P797" s="526"/>
      <c r="Q797" s="351"/>
      <c r="R797" s="527"/>
      <c r="S797" s="351"/>
      <c r="T797" s="528"/>
      <c r="U797" s="351"/>
      <c r="V797" s="541"/>
      <c r="W797" s="351"/>
      <c r="X797" s="542" t="s">
        <v>294</v>
      </c>
      <c r="Y797" s="350"/>
      <c r="Z797" s="350"/>
      <c r="AA797" s="351"/>
      <c r="AB797" s="543" t="s">
        <v>294</v>
      </c>
      <c r="AC797" s="350"/>
      <c r="AD797" s="350"/>
      <c r="AE797" s="351"/>
      <c r="AF797" s="544"/>
      <c r="AG797" s="351"/>
      <c r="AH797" s="544"/>
      <c r="AI797" s="351"/>
      <c r="AJ797" s="545"/>
      <c r="AK797" s="351"/>
      <c r="AL797" s="524" t="s">
        <v>325</v>
      </c>
      <c r="AM797" s="351"/>
      <c r="AN797" s="549" t="s">
        <v>325</v>
      </c>
      <c r="AO797" s="351"/>
      <c r="AP797" s="550"/>
      <c r="AQ797" s="351"/>
      <c r="AR797" s="551"/>
      <c r="AS797" s="351"/>
      <c r="AT797" s="552"/>
      <c r="AU797" s="351"/>
      <c r="AV797" s="549" t="s">
        <v>325</v>
      </c>
      <c r="AW797" s="351"/>
      <c r="AX797" s="553"/>
      <c r="AY797" s="350"/>
      <c r="AZ797" s="351"/>
      <c r="BA797" s="554"/>
      <c r="BB797" s="351"/>
      <c r="BC797" s="39"/>
      <c r="BD797" s="546" t="s">
        <v>325</v>
      </c>
      <c r="BE797" s="351"/>
      <c r="BF797" s="547"/>
      <c r="BG797" s="350"/>
      <c r="BH797" s="350"/>
      <c r="BI797" s="351"/>
      <c r="BJ797" s="548" t="s">
        <v>294</v>
      </c>
      <c r="BK797" s="350"/>
      <c r="BL797" s="350"/>
      <c r="BM797" s="351"/>
      <c r="BN797" s="530" t="s">
        <v>294</v>
      </c>
      <c r="BO797" s="350"/>
      <c r="BP797" s="350"/>
      <c r="BQ797" s="350"/>
      <c r="BR797" s="350"/>
      <c r="BS797" s="350"/>
      <c r="BT797" s="350"/>
      <c r="BU797" s="350"/>
      <c r="BV797" s="351"/>
    </row>
    <row r="798" spans="1:74" ht="45" customHeight="1">
      <c r="A798" s="24">
        <f t="shared" si="3"/>
        <v>784</v>
      </c>
      <c r="B798" s="558" t="s">
        <v>294</v>
      </c>
      <c r="C798" s="351"/>
      <c r="D798" s="559" t="s">
        <v>298</v>
      </c>
      <c r="E798" s="351"/>
      <c r="F798" s="524" t="s">
        <v>325</v>
      </c>
      <c r="G798" s="351"/>
      <c r="H798" s="525" t="s">
        <v>325</v>
      </c>
      <c r="I798" s="351"/>
      <c r="J798" s="563"/>
      <c r="K798" s="351"/>
      <c r="L798" s="563"/>
      <c r="M798" s="351"/>
      <c r="N798" s="37"/>
      <c r="O798" s="35"/>
      <c r="P798" s="560"/>
      <c r="Q798" s="351"/>
      <c r="R798" s="535"/>
      <c r="S798" s="351"/>
      <c r="T798" s="536"/>
      <c r="U798" s="351"/>
      <c r="V798" s="537"/>
      <c r="W798" s="351"/>
      <c r="X798" s="538" t="s">
        <v>294</v>
      </c>
      <c r="Y798" s="350"/>
      <c r="Z798" s="350"/>
      <c r="AA798" s="351"/>
      <c r="AB798" s="539" t="s">
        <v>294</v>
      </c>
      <c r="AC798" s="350"/>
      <c r="AD798" s="350"/>
      <c r="AE798" s="351"/>
      <c r="AF798" s="540"/>
      <c r="AG798" s="351"/>
      <c r="AH798" s="540"/>
      <c r="AI798" s="351"/>
      <c r="AJ798" s="545"/>
      <c r="AK798" s="351"/>
      <c r="AL798" s="555" t="s">
        <v>325</v>
      </c>
      <c r="AM798" s="351"/>
      <c r="AN798" s="531" t="s">
        <v>325</v>
      </c>
      <c r="AO798" s="351"/>
      <c r="AP798" s="532"/>
      <c r="AQ798" s="351"/>
      <c r="AR798" s="533"/>
      <c r="AS798" s="351"/>
      <c r="AT798" s="534"/>
      <c r="AU798" s="351"/>
      <c r="AV798" s="531" t="s">
        <v>325</v>
      </c>
      <c r="AW798" s="351"/>
      <c r="AX798" s="553"/>
      <c r="AY798" s="350"/>
      <c r="AZ798" s="351"/>
      <c r="BA798" s="545"/>
      <c r="BB798" s="351"/>
      <c r="BC798" s="36"/>
      <c r="BD798" s="556" t="s">
        <v>325</v>
      </c>
      <c r="BE798" s="351"/>
      <c r="BF798" s="529"/>
      <c r="BG798" s="350"/>
      <c r="BH798" s="350"/>
      <c r="BI798" s="351"/>
      <c r="BJ798" s="506" t="s">
        <v>294</v>
      </c>
      <c r="BK798" s="350"/>
      <c r="BL798" s="350"/>
      <c r="BM798" s="351"/>
      <c r="BN798" s="530" t="s">
        <v>294</v>
      </c>
      <c r="BO798" s="350"/>
      <c r="BP798" s="350"/>
      <c r="BQ798" s="350"/>
      <c r="BR798" s="350"/>
      <c r="BS798" s="350"/>
      <c r="BT798" s="350"/>
      <c r="BU798" s="350"/>
      <c r="BV798" s="351"/>
    </row>
    <row r="799" spans="1:74" ht="45" customHeight="1">
      <c r="A799" s="24">
        <f t="shared" si="3"/>
        <v>785</v>
      </c>
      <c r="B799" s="522" t="s">
        <v>294</v>
      </c>
      <c r="C799" s="351"/>
      <c r="D799" s="523" t="s">
        <v>298</v>
      </c>
      <c r="E799" s="351"/>
      <c r="F799" s="524" t="s">
        <v>325</v>
      </c>
      <c r="G799" s="351"/>
      <c r="H799" s="561" t="s">
        <v>325</v>
      </c>
      <c r="I799" s="351"/>
      <c r="J799" s="562"/>
      <c r="K799" s="351"/>
      <c r="L799" s="562"/>
      <c r="M799" s="351"/>
      <c r="N799" s="34"/>
      <c r="O799" s="38"/>
      <c r="P799" s="526"/>
      <c r="Q799" s="351"/>
      <c r="R799" s="527"/>
      <c r="S799" s="351"/>
      <c r="T799" s="528"/>
      <c r="U799" s="351"/>
      <c r="V799" s="541"/>
      <c r="W799" s="351"/>
      <c r="X799" s="542" t="s">
        <v>294</v>
      </c>
      <c r="Y799" s="350"/>
      <c r="Z799" s="350"/>
      <c r="AA799" s="351"/>
      <c r="AB799" s="543" t="s">
        <v>294</v>
      </c>
      <c r="AC799" s="350"/>
      <c r="AD799" s="350"/>
      <c r="AE799" s="351"/>
      <c r="AF799" s="544"/>
      <c r="AG799" s="351"/>
      <c r="AH799" s="544"/>
      <c r="AI799" s="351"/>
      <c r="AJ799" s="545"/>
      <c r="AK799" s="351"/>
      <c r="AL799" s="524" t="s">
        <v>325</v>
      </c>
      <c r="AM799" s="351"/>
      <c r="AN799" s="549" t="s">
        <v>325</v>
      </c>
      <c r="AO799" s="351"/>
      <c r="AP799" s="550"/>
      <c r="AQ799" s="351"/>
      <c r="AR799" s="551"/>
      <c r="AS799" s="351"/>
      <c r="AT799" s="552"/>
      <c r="AU799" s="351"/>
      <c r="AV799" s="549" t="s">
        <v>325</v>
      </c>
      <c r="AW799" s="351"/>
      <c r="AX799" s="553"/>
      <c r="AY799" s="350"/>
      <c r="AZ799" s="351"/>
      <c r="BA799" s="554"/>
      <c r="BB799" s="351"/>
      <c r="BC799" s="39"/>
      <c r="BD799" s="546" t="s">
        <v>325</v>
      </c>
      <c r="BE799" s="351"/>
      <c r="BF799" s="547"/>
      <c r="BG799" s="350"/>
      <c r="BH799" s="350"/>
      <c r="BI799" s="351"/>
      <c r="BJ799" s="548" t="s">
        <v>294</v>
      </c>
      <c r="BK799" s="350"/>
      <c r="BL799" s="350"/>
      <c r="BM799" s="351"/>
      <c r="BN799" s="530" t="s">
        <v>294</v>
      </c>
      <c r="BO799" s="350"/>
      <c r="BP799" s="350"/>
      <c r="BQ799" s="350"/>
      <c r="BR799" s="350"/>
      <c r="BS799" s="350"/>
      <c r="BT799" s="350"/>
      <c r="BU799" s="350"/>
      <c r="BV799" s="351"/>
    </row>
    <row r="800" spans="1:74" ht="45" customHeight="1">
      <c r="A800" s="24">
        <f t="shared" si="3"/>
        <v>786</v>
      </c>
      <c r="B800" s="558" t="s">
        <v>294</v>
      </c>
      <c r="C800" s="351"/>
      <c r="D800" s="559" t="s">
        <v>298</v>
      </c>
      <c r="E800" s="351"/>
      <c r="F800" s="524" t="s">
        <v>325</v>
      </c>
      <c r="G800" s="351"/>
      <c r="H800" s="525" t="s">
        <v>325</v>
      </c>
      <c r="I800" s="351"/>
      <c r="J800" s="563"/>
      <c r="K800" s="351"/>
      <c r="L800" s="563"/>
      <c r="M800" s="351"/>
      <c r="N800" s="37"/>
      <c r="O800" s="35"/>
      <c r="P800" s="560"/>
      <c r="Q800" s="351"/>
      <c r="R800" s="535"/>
      <c r="S800" s="351"/>
      <c r="T800" s="536"/>
      <c r="U800" s="351"/>
      <c r="V800" s="537"/>
      <c r="W800" s="351"/>
      <c r="X800" s="538" t="s">
        <v>294</v>
      </c>
      <c r="Y800" s="350"/>
      <c r="Z800" s="350"/>
      <c r="AA800" s="351"/>
      <c r="AB800" s="539" t="s">
        <v>294</v>
      </c>
      <c r="AC800" s="350"/>
      <c r="AD800" s="350"/>
      <c r="AE800" s="351"/>
      <c r="AF800" s="540"/>
      <c r="AG800" s="351"/>
      <c r="AH800" s="540"/>
      <c r="AI800" s="351"/>
      <c r="AJ800" s="545"/>
      <c r="AK800" s="351"/>
      <c r="AL800" s="555" t="s">
        <v>325</v>
      </c>
      <c r="AM800" s="351"/>
      <c r="AN800" s="531" t="s">
        <v>325</v>
      </c>
      <c r="AO800" s="351"/>
      <c r="AP800" s="532"/>
      <c r="AQ800" s="351"/>
      <c r="AR800" s="533"/>
      <c r="AS800" s="351"/>
      <c r="AT800" s="534"/>
      <c r="AU800" s="351"/>
      <c r="AV800" s="531" t="s">
        <v>325</v>
      </c>
      <c r="AW800" s="351"/>
      <c r="AX800" s="553"/>
      <c r="AY800" s="350"/>
      <c r="AZ800" s="351"/>
      <c r="BA800" s="545"/>
      <c r="BB800" s="351"/>
      <c r="BC800" s="36"/>
      <c r="BD800" s="556" t="s">
        <v>325</v>
      </c>
      <c r="BE800" s="351"/>
      <c r="BF800" s="557"/>
      <c r="BG800" s="350"/>
      <c r="BH800" s="350"/>
      <c r="BI800" s="351"/>
      <c r="BJ800" s="506" t="s">
        <v>294</v>
      </c>
      <c r="BK800" s="350"/>
      <c r="BL800" s="350"/>
      <c r="BM800" s="351"/>
      <c r="BN800" s="530" t="s">
        <v>294</v>
      </c>
      <c r="BO800" s="350"/>
      <c r="BP800" s="350"/>
      <c r="BQ800" s="350"/>
      <c r="BR800" s="350"/>
      <c r="BS800" s="350"/>
      <c r="BT800" s="350"/>
      <c r="BU800" s="350"/>
      <c r="BV800" s="351"/>
    </row>
    <row r="801" spans="1:74" ht="45" customHeight="1">
      <c r="A801" s="24">
        <f t="shared" si="3"/>
        <v>787</v>
      </c>
      <c r="B801" s="522" t="s">
        <v>294</v>
      </c>
      <c r="C801" s="351"/>
      <c r="D801" s="523" t="s">
        <v>298</v>
      </c>
      <c r="E801" s="351"/>
      <c r="F801" s="524" t="s">
        <v>325</v>
      </c>
      <c r="G801" s="351"/>
      <c r="H801" s="561" t="s">
        <v>325</v>
      </c>
      <c r="I801" s="351"/>
      <c r="J801" s="562"/>
      <c r="K801" s="351"/>
      <c r="L801" s="562"/>
      <c r="M801" s="351"/>
      <c r="N801" s="34"/>
      <c r="O801" s="38"/>
      <c r="P801" s="526"/>
      <c r="Q801" s="351"/>
      <c r="R801" s="527"/>
      <c r="S801" s="351"/>
      <c r="T801" s="528"/>
      <c r="U801" s="351"/>
      <c r="V801" s="541"/>
      <c r="W801" s="351"/>
      <c r="X801" s="542" t="s">
        <v>294</v>
      </c>
      <c r="Y801" s="350"/>
      <c r="Z801" s="350"/>
      <c r="AA801" s="351"/>
      <c r="AB801" s="543" t="s">
        <v>294</v>
      </c>
      <c r="AC801" s="350"/>
      <c r="AD801" s="350"/>
      <c r="AE801" s="351"/>
      <c r="AF801" s="544"/>
      <c r="AG801" s="351"/>
      <c r="AH801" s="544"/>
      <c r="AI801" s="351"/>
      <c r="AJ801" s="545"/>
      <c r="AK801" s="351"/>
      <c r="AL801" s="524" t="s">
        <v>325</v>
      </c>
      <c r="AM801" s="351"/>
      <c r="AN801" s="549" t="s">
        <v>325</v>
      </c>
      <c r="AO801" s="351"/>
      <c r="AP801" s="550"/>
      <c r="AQ801" s="351"/>
      <c r="AR801" s="551"/>
      <c r="AS801" s="351"/>
      <c r="AT801" s="552"/>
      <c r="AU801" s="351"/>
      <c r="AV801" s="549" t="s">
        <v>325</v>
      </c>
      <c r="AW801" s="351"/>
      <c r="AX801" s="553"/>
      <c r="AY801" s="350"/>
      <c r="AZ801" s="351"/>
      <c r="BA801" s="554"/>
      <c r="BB801" s="351"/>
      <c r="BC801" s="39"/>
      <c r="BD801" s="546" t="s">
        <v>325</v>
      </c>
      <c r="BE801" s="351"/>
      <c r="BF801" s="547"/>
      <c r="BG801" s="350"/>
      <c r="BH801" s="350"/>
      <c r="BI801" s="351"/>
      <c r="BJ801" s="548" t="s">
        <v>294</v>
      </c>
      <c r="BK801" s="350"/>
      <c r="BL801" s="350"/>
      <c r="BM801" s="351"/>
      <c r="BN801" s="530" t="s">
        <v>294</v>
      </c>
      <c r="BO801" s="350"/>
      <c r="BP801" s="350"/>
      <c r="BQ801" s="350"/>
      <c r="BR801" s="350"/>
      <c r="BS801" s="350"/>
      <c r="BT801" s="350"/>
      <c r="BU801" s="350"/>
      <c r="BV801" s="351"/>
    </row>
    <row r="802" spans="1:74" ht="45" customHeight="1">
      <c r="A802" s="24">
        <f t="shared" si="3"/>
        <v>788</v>
      </c>
      <c r="B802" s="558" t="s">
        <v>294</v>
      </c>
      <c r="C802" s="351"/>
      <c r="D802" s="559" t="s">
        <v>298</v>
      </c>
      <c r="E802" s="351"/>
      <c r="F802" s="524" t="s">
        <v>325</v>
      </c>
      <c r="G802" s="351"/>
      <c r="H802" s="525" t="s">
        <v>325</v>
      </c>
      <c r="I802" s="351"/>
      <c r="J802" s="563"/>
      <c r="K802" s="351"/>
      <c r="L802" s="563"/>
      <c r="M802" s="351"/>
      <c r="N802" s="37"/>
      <c r="O802" s="35"/>
      <c r="P802" s="560"/>
      <c r="Q802" s="351"/>
      <c r="R802" s="535"/>
      <c r="S802" s="351"/>
      <c r="T802" s="536"/>
      <c r="U802" s="351"/>
      <c r="V802" s="537"/>
      <c r="W802" s="351"/>
      <c r="X802" s="538" t="s">
        <v>294</v>
      </c>
      <c r="Y802" s="350"/>
      <c r="Z802" s="350"/>
      <c r="AA802" s="351"/>
      <c r="AB802" s="539" t="s">
        <v>294</v>
      </c>
      <c r="AC802" s="350"/>
      <c r="AD802" s="350"/>
      <c r="AE802" s="351"/>
      <c r="AF802" s="540"/>
      <c r="AG802" s="351"/>
      <c r="AH802" s="540"/>
      <c r="AI802" s="351"/>
      <c r="AJ802" s="545"/>
      <c r="AK802" s="351"/>
      <c r="AL802" s="555" t="s">
        <v>325</v>
      </c>
      <c r="AM802" s="351"/>
      <c r="AN802" s="531" t="s">
        <v>325</v>
      </c>
      <c r="AO802" s="351"/>
      <c r="AP802" s="532"/>
      <c r="AQ802" s="351"/>
      <c r="AR802" s="533"/>
      <c r="AS802" s="351"/>
      <c r="AT802" s="534"/>
      <c r="AU802" s="351"/>
      <c r="AV802" s="531" t="s">
        <v>325</v>
      </c>
      <c r="AW802" s="351"/>
      <c r="AX802" s="553"/>
      <c r="AY802" s="350"/>
      <c r="AZ802" s="351"/>
      <c r="BA802" s="545"/>
      <c r="BB802" s="351"/>
      <c r="BC802" s="36"/>
      <c r="BD802" s="556" t="s">
        <v>325</v>
      </c>
      <c r="BE802" s="351"/>
      <c r="BF802" s="557"/>
      <c r="BG802" s="350"/>
      <c r="BH802" s="350"/>
      <c r="BI802" s="351"/>
      <c r="BJ802" s="506" t="s">
        <v>294</v>
      </c>
      <c r="BK802" s="350"/>
      <c r="BL802" s="350"/>
      <c r="BM802" s="351"/>
      <c r="BN802" s="530" t="s">
        <v>294</v>
      </c>
      <c r="BO802" s="350"/>
      <c r="BP802" s="350"/>
      <c r="BQ802" s="350"/>
      <c r="BR802" s="350"/>
      <c r="BS802" s="350"/>
      <c r="BT802" s="350"/>
      <c r="BU802" s="350"/>
      <c r="BV802" s="351"/>
    </row>
    <row r="803" spans="1:74" ht="45" customHeight="1">
      <c r="A803" s="24">
        <f t="shared" si="3"/>
        <v>789</v>
      </c>
      <c r="B803" s="522" t="s">
        <v>294</v>
      </c>
      <c r="C803" s="351"/>
      <c r="D803" s="523" t="s">
        <v>298</v>
      </c>
      <c r="E803" s="351"/>
      <c r="F803" s="524" t="s">
        <v>325</v>
      </c>
      <c r="G803" s="351"/>
      <c r="H803" s="561" t="s">
        <v>325</v>
      </c>
      <c r="I803" s="351"/>
      <c r="J803" s="562"/>
      <c r="K803" s="351"/>
      <c r="L803" s="562"/>
      <c r="M803" s="351"/>
      <c r="N803" s="34"/>
      <c r="O803" s="38"/>
      <c r="P803" s="526"/>
      <c r="Q803" s="351"/>
      <c r="R803" s="527"/>
      <c r="S803" s="351"/>
      <c r="T803" s="528"/>
      <c r="U803" s="351"/>
      <c r="V803" s="541"/>
      <c r="W803" s="351"/>
      <c r="X803" s="542" t="s">
        <v>294</v>
      </c>
      <c r="Y803" s="350"/>
      <c r="Z803" s="350"/>
      <c r="AA803" s="351"/>
      <c r="AB803" s="543" t="s">
        <v>294</v>
      </c>
      <c r="AC803" s="350"/>
      <c r="AD803" s="350"/>
      <c r="AE803" s="351"/>
      <c r="AF803" s="544"/>
      <c r="AG803" s="351"/>
      <c r="AH803" s="544"/>
      <c r="AI803" s="351"/>
      <c r="AJ803" s="545"/>
      <c r="AK803" s="351"/>
      <c r="AL803" s="524" t="s">
        <v>325</v>
      </c>
      <c r="AM803" s="351"/>
      <c r="AN803" s="549" t="s">
        <v>325</v>
      </c>
      <c r="AO803" s="351"/>
      <c r="AP803" s="550"/>
      <c r="AQ803" s="351"/>
      <c r="AR803" s="551"/>
      <c r="AS803" s="351"/>
      <c r="AT803" s="552"/>
      <c r="AU803" s="351"/>
      <c r="AV803" s="549" t="s">
        <v>325</v>
      </c>
      <c r="AW803" s="351"/>
      <c r="AX803" s="553"/>
      <c r="AY803" s="350"/>
      <c r="AZ803" s="351"/>
      <c r="BA803" s="554"/>
      <c r="BB803" s="351"/>
      <c r="BC803" s="39"/>
      <c r="BD803" s="546" t="s">
        <v>325</v>
      </c>
      <c r="BE803" s="351"/>
      <c r="BF803" s="547"/>
      <c r="BG803" s="350"/>
      <c r="BH803" s="350"/>
      <c r="BI803" s="351"/>
      <c r="BJ803" s="548" t="s">
        <v>294</v>
      </c>
      <c r="BK803" s="350"/>
      <c r="BL803" s="350"/>
      <c r="BM803" s="351"/>
      <c r="BN803" s="530" t="s">
        <v>294</v>
      </c>
      <c r="BO803" s="350"/>
      <c r="BP803" s="350"/>
      <c r="BQ803" s="350"/>
      <c r="BR803" s="350"/>
      <c r="BS803" s="350"/>
      <c r="BT803" s="350"/>
      <c r="BU803" s="350"/>
      <c r="BV803" s="351"/>
    </row>
    <row r="804" spans="1:74" ht="45" customHeight="1">
      <c r="A804" s="24">
        <f t="shared" si="3"/>
        <v>790</v>
      </c>
      <c r="B804" s="558" t="s">
        <v>294</v>
      </c>
      <c r="C804" s="351"/>
      <c r="D804" s="559" t="s">
        <v>298</v>
      </c>
      <c r="E804" s="351"/>
      <c r="F804" s="524" t="s">
        <v>325</v>
      </c>
      <c r="G804" s="351"/>
      <c r="H804" s="525" t="s">
        <v>325</v>
      </c>
      <c r="I804" s="351"/>
      <c r="J804" s="563"/>
      <c r="K804" s="351"/>
      <c r="L804" s="563"/>
      <c r="M804" s="351"/>
      <c r="N804" s="37"/>
      <c r="O804" s="35"/>
      <c r="P804" s="560"/>
      <c r="Q804" s="351"/>
      <c r="R804" s="535"/>
      <c r="S804" s="351"/>
      <c r="T804" s="536"/>
      <c r="U804" s="351"/>
      <c r="V804" s="537"/>
      <c r="W804" s="351"/>
      <c r="X804" s="538" t="s">
        <v>294</v>
      </c>
      <c r="Y804" s="350"/>
      <c r="Z804" s="350"/>
      <c r="AA804" s="351"/>
      <c r="AB804" s="539" t="s">
        <v>294</v>
      </c>
      <c r="AC804" s="350"/>
      <c r="AD804" s="350"/>
      <c r="AE804" s="351"/>
      <c r="AF804" s="540"/>
      <c r="AG804" s="351"/>
      <c r="AH804" s="540"/>
      <c r="AI804" s="351"/>
      <c r="AJ804" s="545"/>
      <c r="AK804" s="351"/>
      <c r="AL804" s="555" t="s">
        <v>325</v>
      </c>
      <c r="AM804" s="351"/>
      <c r="AN804" s="531" t="s">
        <v>325</v>
      </c>
      <c r="AO804" s="351"/>
      <c r="AP804" s="532"/>
      <c r="AQ804" s="351"/>
      <c r="AR804" s="533"/>
      <c r="AS804" s="351"/>
      <c r="AT804" s="534"/>
      <c r="AU804" s="351"/>
      <c r="AV804" s="531" t="s">
        <v>325</v>
      </c>
      <c r="AW804" s="351"/>
      <c r="AX804" s="553"/>
      <c r="AY804" s="350"/>
      <c r="AZ804" s="351"/>
      <c r="BA804" s="545"/>
      <c r="BB804" s="351"/>
      <c r="BC804" s="36"/>
      <c r="BD804" s="556" t="s">
        <v>325</v>
      </c>
      <c r="BE804" s="351"/>
      <c r="BF804" s="529"/>
      <c r="BG804" s="350"/>
      <c r="BH804" s="350"/>
      <c r="BI804" s="351"/>
      <c r="BJ804" s="506" t="s">
        <v>294</v>
      </c>
      <c r="BK804" s="350"/>
      <c r="BL804" s="350"/>
      <c r="BM804" s="351"/>
      <c r="BN804" s="530" t="s">
        <v>294</v>
      </c>
      <c r="BO804" s="350"/>
      <c r="BP804" s="350"/>
      <c r="BQ804" s="350"/>
      <c r="BR804" s="350"/>
      <c r="BS804" s="350"/>
      <c r="BT804" s="350"/>
      <c r="BU804" s="350"/>
      <c r="BV804" s="351"/>
    </row>
    <row r="805" spans="1:74" ht="45" customHeight="1">
      <c r="A805" s="24">
        <f t="shared" si="3"/>
        <v>791</v>
      </c>
      <c r="B805" s="522" t="s">
        <v>294</v>
      </c>
      <c r="C805" s="351"/>
      <c r="D805" s="523" t="s">
        <v>298</v>
      </c>
      <c r="E805" s="351"/>
      <c r="F805" s="524" t="s">
        <v>325</v>
      </c>
      <c r="G805" s="351"/>
      <c r="H805" s="561" t="s">
        <v>325</v>
      </c>
      <c r="I805" s="351"/>
      <c r="J805" s="562"/>
      <c r="K805" s="351"/>
      <c r="L805" s="562"/>
      <c r="M805" s="351"/>
      <c r="N805" s="34"/>
      <c r="O805" s="38"/>
      <c r="P805" s="526"/>
      <c r="Q805" s="351"/>
      <c r="R805" s="527"/>
      <c r="S805" s="351"/>
      <c r="T805" s="528"/>
      <c r="U805" s="351"/>
      <c r="V805" s="541"/>
      <c r="W805" s="351"/>
      <c r="X805" s="542" t="s">
        <v>294</v>
      </c>
      <c r="Y805" s="350"/>
      <c r="Z805" s="350"/>
      <c r="AA805" s="351"/>
      <c r="AB805" s="543" t="s">
        <v>294</v>
      </c>
      <c r="AC805" s="350"/>
      <c r="AD805" s="350"/>
      <c r="AE805" s="351"/>
      <c r="AF805" s="544"/>
      <c r="AG805" s="351"/>
      <c r="AH805" s="544"/>
      <c r="AI805" s="351"/>
      <c r="AJ805" s="545"/>
      <c r="AK805" s="351"/>
      <c r="AL805" s="524" t="s">
        <v>325</v>
      </c>
      <c r="AM805" s="351"/>
      <c r="AN805" s="549" t="s">
        <v>325</v>
      </c>
      <c r="AO805" s="351"/>
      <c r="AP805" s="550"/>
      <c r="AQ805" s="351"/>
      <c r="AR805" s="551"/>
      <c r="AS805" s="351"/>
      <c r="AT805" s="552"/>
      <c r="AU805" s="351"/>
      <c r="AV805" s="549" t="s">
        <v>325</v>
      </c>
      <c r="AW805" s="351"/>
      <c r="AX805" s="553"/>
      <c r="AY805" s="350"/>
      <c r="AZ805" s="351"/>
      <c r="BA805" s="554"/>
      <c r="BB805" s="351"/>
      <c r="BC805" s="39"/>
      <c r="BD805" s="546" t="s">
        <v>325</v>
      </c>
      <c r="BE805" s="351"/>
      <c r="BF805" s="547"/>
      <c r="BG805" s="350"/>
      <c r="BH805" s="350"/>
      <c r="BI805" s="351"/>
      <c r="BJ805" s="548" t="s">
        <v>294</v>
      </c>
      <c r="BK805" s="350"/>
      <c r="BL805" s="350"/>
      <c r="BM805" s="351"/>
      <c r="BN805" s="530" t="s">
        <v>294</v>
      </c>
      <c r="BO805" s="350"/>
      <c r="BP805" s="350"/>
      <c r="BQ805" s="350"/>
      <c r="BR805" s="350"/>
      <c r="BS805" s="350"/>
      <c r="BT805" s="350"/>
      <c r="BU805" s="350"/>
      <c r="BV805" s="351"/>
    </row>
    <row r="806" spans="1:74" ht="45" customHeight="1">
      <c r="A806" s="24">
        <f t="shared" si="3"/>
        <v>792</v>
      </c>
      <c r="B806" s="558" t="s">
        <v>294</v>
      </c>
      <c r="C806" s="351"/>
      <c r="D806" s="559" t="s">
        <v>298</v>
      </c>
      <c r="E806" s="351"/>
      <c r="F806" s="524" t="s">
        <v>325</v>
      </c>
      <c r="G806" s="351"/>
      <c r="H806" s="525" t="s">
        <v>325</v>
      </c>
      <c r="I806" s="351"/>
      <c r="J806" s="40"/>
      <c r="K806" s="41"/>
      <c r="L806" s="40"/>
      <c r="M806" s="41"/>
      <c r="N806" s="37"/>
      <c r="O806" s="35"/>
      <c r="P806" s="560"/>
      <c r="Q806" s="351"/>
      <c r="R806" s="535"/>
      <c r="S806" s="351"/>
      <c r="T806" s="536"/>
      <c r="U806" s="351"/>
      <c r="V806" s="537"/>
      <c r="W806" s="351"/>
      <c r="X806" s="538" t="s">
        <v>294</v>
      </c>
      <c r="Y806" s="350"/>
      <c r="Z806" s="350"/>
      <c r="AA806" s="351"/>
      <c r="AB806" s="539" t="s">
        <v>294</v>
      </c>
      <c r="AC806" s="350"/>
      <c r="AD806" s="350"/>
      <c r="AE806" s="351"/>
      <c r="AF806" s="540"/>
      <c r="AG806" s="351"/>
      <c r="AH806" s="540"/>
      <c r="AI806" s="351"/>
      <c r="AJ806" s="545"/>
      <c r="AK806" s="351"/>
      <c r="AL806" s="555" t="s">
        <v>325</v>
      </c>
      <c r="AM806" s="351"/>
      <c r="AN806" s="531" t="s">
        <v>325</v>
      </c>
      <c r="AO806" s="351"/>
      <c r="AP806" s="532"/>
      <c r="AQ806" s="351"/>
      <c r="AR806" s="533"/>
      <c r="AS806" s="351"/>
      <c r="AT806" s="534"/>
      <c r="AU806" s="351"/>
      <c r="AV806" s="531" t="s">
        <v>325</v>
      </c>
      <c r="AW806" s="351"/>
      <c r="AX806" s="553"/>
      <c r="AY806" s="350"/>
      <c r="AZ806" s="351"/>
      <c r="BA806" s="545"/>
      <c r="BB806" s="351"/>
      <c r="BC806" s="36"/>
      <c r="BD806" s="556" t="s">
        <v>325</v>
      </c>
      <c r="BE806" s="351"/>
      <c r="BF806" s="557"/>
      <c r="BG806" s="350"/>
      <c r="BH806" s="350"/>
      <c r="BI806" s="351"/>
      <c r="BJ806" s="506" t="s">
        <v>294</v>
      </c>
      <c r="BK806" s="350"/>
      <c r="BL806" s="350"/>
      <c r="BM806" s="351"/>
      <c r="BN806" s="530" t="s">
        <v>294</v>
      </c>
      <c r="BO806" s="350"/>
      <c r="BP806" s="350"/>
      <c r="BQ806" s="350"/>
      <c r="BR806" s="350"/>
      <c r="BS806" s="350"/>
      <c r="BT806" s="350"/>
      <c r="BU806" s="350"/>
      <c r="BV806" s="351"/>
    </row>
    <row r="807" spans="1:74" ht="45" customHeight="1">
      <c r="A807" s="24">
        <f t="shared" si="3"/>
        <v>793</v>
      </c>
      <c r="B807" s="558" t="s">
        <v>294</v>
      </c>
      <c r="C807" s="351"/>
      <c r="D807" s="559" t="s">
        <v>298</v>
      </c>
      <c r="E807" s="351"/>
      <c r="F807" s="524" t="s">
        <v>325</v>
      </c>
      <c r="G807" s="351"/>
      <c r="H807" s="561" t="s">
        <v>325</v>
      </c>
      <c r="I807" s="351"/>
      <c r="J807" s="562"/>
      <c r="K807" s="351"/>
      <c r="L807" s="562"/>
      <c r="M807" s="351"/>
      <c r="N807" s="37"/>
      <c r="O807" s="35"/>
      <c r="P807" s="560"/>
      <c r="Q807" s="351"/>
      <c r="R807" s="535"/>
      <c r="S807" s="351"/>
      <c r="T807" s="536"/>
      <c r="U807" s="351"/>
      <c r="V807" s="537"/>
      <c r="W807" s="351"/>
      <c r="X807" s="538" t="s">
        <v>294</v>
      </c>
      <c r="Y807" s="350"/>
      <c r="Z807" s="350"/>
      <c r="AA807" s="351"/>
      <c r="AB807" s="539" t="s">
        <v>294</v>
      </c>
      <c r="AC807" s="350"/>
      <c r="AD807" s="350"/>
      <c r="AE807" s="351"/>
      <c r="AF807" s="540"/>
      <c r="AG807" s="351"/>
      <c r="AH807" s="540"/>
      <c r="AI807" s="351"/>
      <c r="AJ807" s="545"/>
      <c r="AK807" s="351"/>
      <c r="AL807" s="555" t="s">
        <v>325</v>
      </c>
      <c r="AM807" s="351"/>
      <c r="AN807" s="531" t="s">
        <v>325</v>
      </c>
      <c r="AO807" s="351"/>
      <c r="AP807" s="532"/>
      <c r="AQ807" s="351"/>
      <c r="AR807" s="533"/>
      <c r="AS807" s="351"/>
      <c r="AT807" s="534"/>
      <c r="AU807" s="351"/>
      <c r="AV807" s="531" t="s">
        <v>325</v>
      </c>
      <c r="AW807" s="351"/>
      <c r="AX807" s="553"/>
      <c r="AY807" s="350"/>
      <c r="AZ807" s="351"/>
      <c r="BA807" s="545"/>
      <c r="BB807" s="351"/>
      <c r="BC807" s="36"/>
      <c r="BD807" s="556" t="s">
        <v>325</v>
      </c>
      <c r="BE807" s="351"/>
      <c r="BF807" s="529"/>
      <c r="BG807" s="350"/>
      <c r="BH807" s="350"/>
      <c r="BI807" s="351"/>
      <c r="BJ807" s="506" t="s">
        <v>294</v>
      </c>
      <c r="BK807" s="350"/>
      <c r="BL807" s="350"/>
      <c r="BM807" s="351"/>
      <c r="BN807" s="530" t="s">
        <v>294</v>
      </c>
      <c r="BO807" s="350"/>
      <c r="BP807" s="350"/>
      <c r="BQ807" s="350"/>
      <c r="BR807" s="350"/>
      <c r="BS807" s="350"/>
      <c r="BT807" s="350"/>
      <c r="BU807" s="350"/>
      <c r="BV807" s="351"/>
    </row>
    <row r="808" spans="1:74" ht="45" customHeight="1">
      <c r="A808" s="24">
        <f t="shared" si="3"/>
        <v>794</v>
      </c>
      <c r="B808" s="522" t="s">
        <v>294</v>
      </c>
      <c r="C808" s="351"/>
      <c r="D808" s="523" t="s">
        <v>298</v>
      </c>
      <c r="E808" s="351"/>
      <c r="F808" s="524" t="s">
        <v>325</v>
      </c>
      <c r="G808" s="351"/>
      <c r="H808" s="525" t="s">
        <v>325</v>
      </c>
      <c r="I808" s="351"/>
      <c r="J808" s="40"/>
      <c r="K808" s="41"/>
      <c r="L808" s="40"/>
      <c r="M808" s="41"/>
      <c r="N808" s="34"/>
      <c r="O808" s="38"/>
      <c r="P808" s="526"/>
      <c r="Q808" s="351"/>
      <c r="R808" s="527"/>
      <c r="S808" s="351"/>
      <c r="T808" s="528"/>
      <c r="U808" s="351"/>
      <c r="V808" s="541"/>
      <c r="W808" s="351"/>
      <c r="X808" s="542" t="s">
        <v>294</v>
      </c>
      <c r="Y808" s="350"/>
      <c r="Z808" s="350"/>
      <c r="AA808" s="351"/>
      <c r="AB808" s="543" t="s">
        <v>294</v>
      </c>
      <c r="AC808" s="350"/>
      <c r="AD808" s="350"/>
      <c r="AE808" s="351"/>
      <c r="AF808" s="544"/>
      <c r="AG808" s="351"/>
      <c r="AH808" s="544"/>
      <c r="AI808" s="351"/>
      <c r="AJ808" s="545"/>
      <c r="AK808" s="351"/>
      <c r="AL808" s="524" t="s">
        <v>325</v>
      </c>
      <c r="AM808" s="351"/>
      <c r="AN808" s="549" t="s">
        <v>325</v>
      </c>
      <c r="AO808" s="351"/>
      <c r="AP808" s="550"/>
      <c r="AQ808" s="351"/>
      <c r="AR808" s="551"/>
      <c r="AS808" s="351"/>
      <c r="AT808" s="552"/>
      <c r="AU808" s="351"/>
      <c r="AV808" s="549" t="s">
        <v>325</v>
      </c>
      <c r="AW808" s="351"/>
      <c r="AX808" s="553"/>
      <c r="AY808" s="350"/>
      <c r="AZ808" s="351"/>
      <c r="BA808" s="554"/>
      <c r="BB808" s="351"/>
      <c r="BC808" s="39"/>
      <c r="BD808" s="546" t="s">
        <v>325</v>
      </c>
      <c r="BE808" s="351"/>
      <c r="BF808" s="547"/>
      <c r="BG808" s="350"/>
      <c r="BH808" s="350"/>
      <c r="BI808" s="351"/>
      <c r="BJ808" s="548" t="s">
        <v>294</v>
      </c>
      <c r="BK808" s="350"/>
      <c r="BL808" s="350"/>
      <c r="BM808" s="351"/>
      <c r="BN808" s="530" t="s">
        <v>294</v>
      </c>
      <c r="BO808" s="350"/>
      <c r="BP808" s="350"/>
      <c r="BQ808" s="350"/>
      <c r="BR808" s="350"/>
      <c r="BS808" s="350"/>
      <c r="BT808" s="350"/>
      <c r="BU808" s="350"/>
      <c r="BV808" s="351"/>
    </row>
    <row r="809" spans="1:74" ht="45" customHeight="1">
      <c r="A809" s="24">
        <f t="shared" si="3"/>
        <v>795</v>
      </c>
      <c r="B809" s="558" t="s">
        <v>294</v>
      </c>
      <c r="C809" s="351"/>
      <c r="D809" s="559" t="s">
        <v>298</v>
      </c>
      <c r="E809" s="351"/>
      <c r="F809" s="524" t="s">
        <v>325</v>
      </c>
      <c r="G809" s="351"/>
      <c r="H809" s="561" t="s">
        <v>325</v>
      </c>
      <c r="I809" s="351"/>
      <c r="J809" s="562"/>
      <c r="K809" s="351"/>
      <c r="L809" s="562"/>
      <c r="M809" s="351"/>
      <c r="N809" s="37"/>
      <c r="O809" s="35"/>
      <c r="P809" s="560"/>
      <c r="Q809" s="351"/>
      <c r="R809" s="535"/>
      <c r="S809" s="351"/>
      <c r="T809" s="536"/>
      <c r="U809" s="351"/>
      <c r="V809" s="537"/>
      <c r="W809" s="351"/>
      <c r="X809" s="538" t="s">
        <v>294</v>
      </c>
      <c r="Y809" s="350"/>
      <c r="Z809" s="350"/>
      <c r="AA809" s="351"/>
      <c r="AB809" s="539" t="s">
        <v>294</v>
      </c>
      <c r="AC809" s="350"/>
      <c r="AD809" s="350"/>
      <c r="AE809" s="351"/>
      <c r="AF809" s="540"/>
      <c r="AG809" s="351"/>
      <c r="AH809" s="540"/>
      <c r="AI809" s="351"/>
      <c r="AJ809" s="545"/>
      <c r="AK809" s="351"/>
      <c r="AL809" s="555" t="s">
        <v>325</v>
      </c>
      <c r="AM809" s="351"/>
      <c r="AN809" s="531" t="s">
        <v>325</v>
      </c>
      <c r="AO809" s="351"/>
      <c r="AP809" s="532"/>
      <c r="AQ809" s="351"/>
      <c r="AR809" s="533"/>
      <c r="AS809" s="351"/>
      <c r="AT809" s="534"/>
      <c r="AU809" s="351"/>
      <c r="AV809" s="531" t="s">
        <v>325</v>
      </c>
      <c r="AW809" s="351"/>
      <c r="AX809" s="553"/>
      <c r="AY809" s="350"/>
      <c r="AZ809" s="351"/>
      <c r="BA809" s="545"/>
      <c r="BB809" s="351"/>
      <c r="BC809" s="36"/>
      <c r="BD809" s="556" t="s">
        <v>325</v>
      </c>
      <c r="BE809" s="351"/>
      <c r="BF809" s="557"/>
      <c r="BG809" s="350"/>
      <c r="BH809" s="350"/>
      <c r="BI809" s="351"/>
      <c r="BJ809" s="506" t="s">
        <v>294</v>
      </c>
      <c r="BK809" s="350"/>
      <c r="BL809" s="350"/>
      <c r="BM809" s="351"/>
      <c r="BN809" s="530" t="s">
        <v>294</v>
      </c>
      <c r="BO809" s="350"/>
      <c r="BP809" s="350"/>
      <c r="BQ809" s="350"/>
      <c r="BR809" s="350"/>
      <c r="BS809" s="350"/>
      <c r="BT809" s="350"/>
      <c r="BU809" s="350"/>
      <c r="BV809" s="351"/>
    </row>
    <row r="810" spans="1:74" ht="45" customHeight="1">
      <c r="A810" s="24">
        <f t="shared" si="3"/>
        <v>796</v>
      </c>
      <c r="B810" s="558" t="s">
        <v>294</v>
      </c>
      <c r="C810" s="351"/>
      <c r="D810" s="559" t="s">
        <v>298</v>
      </c>
      <c r="E810" s="351"/>
      <c r="F810" s="524" t="s">
        <v>325</v>
      </c>
      <c r="G810" s="351"/>
      <c r="H810" s="525" t="s">
        <v>325</v>
      </c>
      <c r="I810" s="351"/>
      <c r="J810" s="40"/>
      <c r="K810" s="41"/>
      <c r="L810" s="40"/>
      <c r="M810" s="41"/>
      <c r="N810" s="34"/>
      <c r="O810" s="35"/>
      <c r="P810" s="526"/>
      <c r="Q810" s="351"/>
      <c r="R810" s="535"/>
      <c r="S810" s="351"/>
      <c r="T810" s="536"/>
      <c r="U810" s="351"/>
      <c r="V810" s="537"/>
      <c r="W810" s="351"/>
      <c r="X810" s="538" t="s">
        <v>294</v>
      </c>
      <c r="Y810" s="350"/>
      <c r="Z810" s="350"/>
      <c r="AA810" s="351"/>
      <c r="AB810" s="539" t="s">
        <v>294</v>
      </c>
      <c r="AC810" s="350"/>
      <c r="AD810" s="350"/>
      <c r="AE810" s="351"/>
      <c r="AF810" s="540"/>
      <c r="AG810" s="351"/>
      <c r="AH810" s="540"/>
      <c r="AI810" s="351"/>
      <c r="AJ810" s="545"/>
      <c r="AK810" s="351"/>
      <c r="AL810" s="555" t="s">
        <v>325</v>
      </c>
      <c r="AM810" s="351"/>
      <c r="AN810" s="531" t="s">
        <v>325</v>
      </c>
      <c r="AO810" s="351"/>
      <c r="AP810" s="532"/>
      <c r="AQ810" s="351"/>
      <c r="AR810" s="533"/>
      <c r="AS810" s="351"/>
      <c r="AT810" s="534"/>
      <c r="AU810" s="351"/>
      <c r="AV810" s="531" t="s">
        <v>325</v>
      </c>
      <c r="AW810" s="351"/>
      <c r="AX810" s="553"/>
      <c r="AY810" s="350"/>
      <c r="AZ810" s="351"/>
      <c r="BA810" s="545"/>
      <c r="BB810" s="351"/>
      <c r="BC810" s="36"/>
      <c r="BD810" s="556" t="s">
        <v>325</v>
      </c>
      <c r="BE810" s="351"/>
      <c r="BF810" s="529"/>
      <c r="BG810" s="350"/>
      <c r="BH810" s="350"/>
      <c r="BI810" s="351"/>
      <c r="BJ810" s="506" t="s">
        <v>294</v>
      </c>
      <c r="BK810" s="350"/>
      <c r="BL810" s="350"/>
      <c r="BM810" s="351"/>
      <c r="BN810" s="530" t="s">
        <v>294</v>
      </c>
      <c r="BO810" s="350"/>
      <c r="BP810" s="350"/>
      <c r="BQ810" s="350"/>
      <c r="BR810" s="350"/>
      <c r="BS810" s="350"/>
      <c r="BT810" s="350"/>
      <c r="BU810" s="350"/>
      <c r="BV810" s="351"/>
    </row>
    <row r="811" spans="1:74" ht="45" customHeight="1">
      <c r="A811" s="24">
        <f t="shared" si="3"/>
        <v>797</v>
      </c>
      <c r="B811" s="522" t="s">
        <v>294</v>
      </c>
      <c r="C811" s="351"/>
      <c r="D811" s="523" t="s">
        <v>298</v>
      </c>
      <c r="E811" s="351"/>
      <c r="F811" s="524" t="s">
        <v>325</v>
      </c>
      <c r="G811" s="351"/>
      <c r="H811" s="561" t="s">
        <v>325</v>
      </c>
      <c r="I811" s="351"/>
      <c r="J811" s="562"/>
      <c r="K811" s="351"/>
      <c r="L811" s="562"/>
      <c r="M811" s="351"/>
      <c r="N811" s="37"/>
      <c r="O811" s="38"/>
      <c r="P811" s="560"/>
      <c r="Q811" s="351"/>
      <c r="R811" s="527"/>
      <c r="S811" s="351"/>
      <c r="T811" s="528"/>
      <c r="U811" s="351"/>
      <c r="V811" s="541"/>
      <c r="W811" s="351"/>
      <c r="X811" s="542" t="s">
        <v>294</v>
      </c>
      <c r="Y811" s="350"/>
      <c r="Z811" s="350"/>
      <c r="AA811" s="351"/>
      <c r="AB811" s="543" t="s">
        <v>294</v>
      </c>
      <c r="AC811" s="350"/>
      <c r="AD811" s="350"/>
      <c r="AE811" s="351"/>
      <c r="AF811" s="544"/>
      <c r="AG811" s="351"/>
      <c r="AH811" s="544"/>
      <c r="AI811" s="351"/>
      <c r="AJ811" s="545"/>
      <c r="AK811" s="351"/>
      <c r="AL811" s="524" t="s">
        <v>325</v>
      </c>
      <c r="AM811" s="351"/>
      <c r="AN811" s="549" t="s">
        <v>325</v>
      </c>
      <c r="AO811" s="351"/>
      <c r="AP811" s="550"/>
      <c r="AQ811" s="351"/>
      <c r="AR811" s="551"/>
      <c r="AS811" s="351"/>
      <c r="AT811" s="534"/>
      <c r="AU811" s="351"/>
      <c r="AV811" s="549" t="s">
        <v>325</v>
      </c>
      <c r="AW811" s="351"/>
      <c r="AX811" s="553"/>
      <c r="AY811" s="350"/>
      <c r="AZ811" s="351"/>
      <c r="BA811" s="554"/>
      <c r="BB811" s="351"/>
      <c r="BC811" s="39"/>
      <c r="BD811" s="546" t="s">
        <v>325</v>
      </c>
      <c r="BE811" s="351"/>
      <c r="BF811" s="547"/>
      <c r="BG811" s="350"/>
      <c r="BH811" s="350"/>
      <c r="BI811" s="351"/>
      <c r="BJ811" s="548" t="s">
        <v>294</v>
      </c>
      <c r="BK811" s="350"/>
      <c r="BL811" s="350"/>
      <c r="BM811" s="351"/>
      <c r="BN811" s="530" t="s">
        <v>294</v>
      </c>
      <c r="BO811" s="350"/>
      <c r="BP811" s="350"/>
      <c r="BQ811" s="350"/>
      <c r="BR811" s="350"/>
      <c r="BS811" s="350"/>
      <c r="BT811" s="350"/>
      <c r="BU811" s="350"/>
      <c r="BV811" s="351"/>
    </row>
    <row r="812" spans="1:74" ht="45" customHeight="1">
      <c r="A812" s="24">
        <f t="shared" si="3"/>
        <v>798</v>
      </c>
      <c r="B812" s="558" t="s">
        <v>294</v>
      </c>
      <c r="C812" s="351"/>
      <c r="D812" s="559" t="s">
        <v>298</v>
      </c>
      <c r="E812" s="351"/>
      <c r="F812" s="524" t="s">
        <v>325</v>
      </c>
      <c r="G812" s="351"/>
      <c r="H812" s="525" t="s">
        <v>325</v>
      </c>
      <c r="I812" s="351"/>
      <c r="J812" s="40"/>
      <c r="K812" s="41"/>
      <c r="L812" s="40"/>
      <c r="M812" s="41"/>
      <c r="N812" s="34"/>
      <c r="O812" s="35"/>
      <c r="P812" s="526"/>
      <c r="Q812" s="351"/>
      <c r="R812" s="535"/>
      <c r="S812" s="351"/>
      <c r="T812" s="536"/>
      <c r="U812" s="351"/>
      <c r="V812" s="537"/>
      <c r="W812" s="351"/>
      <c r="X812" s="538" t="s">
        <v>294</v>
      </c>
      <c r="Y812" s="350"/>
      <c r="Z812" s="350"/>
      <c r="AA812" s="351"/>
      <c r="AB812" s="539" t="s">
        <v>294</v>
      </c>
      <c r="AC812" s="350"/>
      <c r="AD812" s="350"/>
      <c r="AE812" s="351"/>
      <c r="AF812" s="540"/>
      <c r="AG812" s="351"/>
      <c r="AH812" s="540"/>
      <c r="AI812" s="351"/>
      <c r="AJ812" s="545"/>
      <c r="AK812" s="351"/>
      <c r="AL812" s="555" t="s">
        <v>325</v>
      </c>
      <c r="AM812" s="351"/>
      <c r="AN812" s="531" t="s">
        <v>325</v>
      </c>
      <c r="AO812" s="351"/>
      <c r="AP812" s="532"/>
      <c r="AQ812" s="351"/>
      <c r="AR812" s="533"/>
      <c r="AS812" s="351"/>
      <c r="AT812" s="534"/>
      <c r="AU812" s="351"/>
      <c r="AV812" s="531" t="s">
        <v>325</v>
      </c>
      <c r="AW812" s="351"/>
      <c r="AX812" s="553"/>
      <c r="AY812" s="350"/>
      <c r="AZ812" s="351"/>
      <c r="BA812" s="545"/>
      <c r="BB812" s="351"/>
      <c r="BC812" s="36"/>
      <c r="BD812" s="556" t="s">
        <v>325</v>
      </c>
      <c r="BE812" s="351"/>
      <c r="BF812" s="557"/>
      <c r="BG812" s="350"/>
      <c r="BH812" s="350"/>
      <c r="BI812" s="351"/>
      <c r="BJ812" s="506" t="s">
        <v>294</v>
      </c>
      <c r="BK812" s="350"/>
      <c r="BL812" s="350"/>
      <c r="BM812" s="351"/>
      <c r="BN812" s="530" t="s">
        <v>294</v>
      </c>
      <c r="BO812" s="350"/>
      <c r="BP812" s="350"/>
      <c r="BQ812" s="350"/>
      <c r="BR812" s="350"/>
      <c r="BS812" s="350"/>
      <c r="BT812" s="350"/>
      <c r="BU812" s="350"/>
      <c r="BV812" s="351"/>
    </row>
    <row r="813" spans="1:74" ht="45" customHeight="1">
      <c r="A813" s="24">
        <f t="shared" si="3"/>
        <v>799</v>
      </c>
      <c r="B813" s="522" t="s">
        <v>294</v>
      </c>
      <c r="C813" s="351"/>
      <c r="D813" s="523" t="s">
        <v>298</v>
      </c>
      <c r="E813" s="351"/>
      <c r="F813" s="524" t="s">
        <v>325</v>
      </c>
      <c r="G813" s="351"/>
      <c r="H813" s="561" t="s">
        <v>325</v>
      </c>
      <c r="I813" s="351"/>
      <c r="J813" s="562"/>
      <c r="K813" s="351"/>
      <c r="L813" s="562"/>
      <c r="M813" s="351"/>
      <c r="N813" s="37"/>
      <c r="O813" s="38"/>
      <c r="P813" s="560"/>
      <c r="Q813" s="351"/>
      <c r="R813" s="527"/>
      <c r="S813" s="351"/>
      <c r="T813" s="528"/>
      <c r="U813" s="351"/>
      <c r="V813" s="541"/>
      <c r="W813" s="351"/>
      <c r="X813" s="542" t="s">
        <v>294</v>
      </c>
      <c r="Y813" s="350"/>
      <c r="Z813" s="350"/>
      <c r="AA813" s="351"/>
      <c r="AB813" s="543" t="s">
        <v>294</v>
      </c>
      <c r="AC813" s="350"/>
      <c r="AD813" s="350"/>
      <c r="AE813" s="351"/>
      <c r="AF813" s="544"/>
      <c r="AG813" s="351"/>
      <c r="AH813" s="544"/>
      <c r="AI813" s="351"/>
      <c r="AJ813" s="545"/>
      <c r="AK813" s="351"/>
      <c r="AL813" s="524" t="s">
        <v>325</v>
      </c>
      <c r="AM813" s="351"/>
      <c r="AN813" s="549" t="s">
        <v>325</v>
      </c>
      <c r="AO813" s="351"/>
      <c r="AP813" s="550"/>
      <c r="AQ813" s="351"/>
      <c r="AR813" s="551"/>
      <c r="AS813" s="351"/>
      <c r="AT813" s="534"/>
      <c r="AU813" s="351"/>
      <c r="AV813" s="549" t="s">
        <v>325</v>
      </c>
      <c r="AW813" s="351"/>
      <c r="AX813" s="553"/>
      <c r="AY813" s="350"/>
      <c r="AZ813" s="351"/>
      <c r="BA813" s="554"/>
      <c r="BB813" s="351"/>
      <c r="BC813" s="39"/>
      <c r="BD813" s="546" t="s">
        <v>325</v>
      </c>
      <c r="BE813" s="351"/>
      <c r="BF813" s="547"/>
      <c r="BG813" s="350"/>
      <c r="BH813" s="350"/>
      <c r="BI813" s="351"/>
      <c r="BJ813" s="548" t="s">
        <v>294</v>
      </c>
      <c r="BK813" s="350"/>
      <c r="BL813" s="350"/>
      <c r="BM813" s="351"/>
      <c r="BN813" s="530" t="s">
        <v>294</v>
      </c>
      <c r="BO813" s="350"/>
      <c r="BP813" s="350"/>
      <c r="BQ813" s="350"/>
      <c r="BR813" s="350"/>
      <c r="BS813" s="350"/>
      <c r="BT813" s="350"/>
      <c r="BU813" s="350"/>
      <c r="BV813" s="351"/>
    </row>
    <row r="814" spans="1:74" ht="45" customHeight="1">
      <c r="A814" s="24">
        <f t="shared" si="3"/>
        <v>800</v>
      </c>
      <c r="B814" s="558" t="s">
        <v>294</v>
      </c>
      <c r="C814" s="351"/>
      <c r="D814" s="559" t="s">
        <v>298</v>
      </c>
      <c r="E814" s="351"/>
      <c r="F814" s="524" t="s">
        <v>325</v>
      </c>
      <c r="G814" s="351"/>
      <c r="H814" s="525" t="s">
        <v>325</v>
      </c>
      <c r="I814" s="351"/>
      <c r="J814" s="40"/>
      <c r="K814" s="41"/>
      <c r="L814" s="40"/>
      <c r="M814" s="41"/>
      <c r="N814" s="34"/>
      <c r="O814" s="35"/>
      <c r="P814" s="526"/>
      <c r="Q814" s="351"/>
      <c r="R814" s="535"/>
      <c r="S814" s="351"/>
      <c r="T814" s="536"/>
      <c r="U814" s="351"/>
      <c r="V814" s="537"/>
      <c r="W814" s="351"/>
      <c r="X814" s="538" t="s">
        <v>294</v>
      </c>
      <c r="Y814" s="350"/>
      <c r="Z814" s="350"/>
      <c r="AA814" s="351"/>
      <c r="AB814" s="539" t="s">
        <v>294</v>
      </c>
      <c r="AC814" s="350"/>
      <c r="AD814" s="350"/>
      <c r="AE814" s="351"/>
      <c r="AF814" s="540"/>
      <c r="AG814" s="351"/>
      <c r="AH814" s="540"/>
      <c r="AI814" s="351"/>
      <c r="AJ814" s="545"/>
      <c r="AK814" s="351"/>
      <c r="AL814" s="555" t="s">
        <v>325</v>
      </c>
      <c r="AM814" s="351"/>
      <c r="AN814" s="531" t="s">
        <v>325</v>
      </c>
      <c r="AO814" s="351"/>
      <c r="AP814" s="532"/>
      <c r="AQ814" s="351"/>
      <c r="AR814" s="533"/>
      <c r="AS814" s="351"/>
      <c r="AT814" s="534"/>
      <c r="AU814" s="351"/>
      <c r="AV814" s="531" t="s">
        <v>325</v>
      </c>
      <c r="AW814" s="351"/>
      <c r="AX814" s="553"/>
      <c r="AY814" s="350"/>
      <c r="AZ814" s="351"/>
      <c r="BA814" s="545"/>
      <c r="BB814" s="351"/>
      <c r="BC814" s="36"/>
      <c r="BD814" s="556" t="s">
        <v>325</v>
      </c>
      <c r="BE814" s="351"/>
      <c r="BF814" s="557"/>
      <c r="BG814" s="350"/>
      <c r="BH814" s="350"/>
      <c r="BI814" s="351"/>
      <c r="BJ814" s="506" t="s">
        <v>294</v>
      </c>
      <c r="BK814" s="350"/>
      <c r="BL814" s="350"/>
      <c r="BM814" s="351"/>
      <c r="BN814" s="530" t="s">
        <v>294</v>
      </c>
      <c r="BO814" s="350"/>
      <c r="BP814" s="350"/>
      <c r="BQ814" s="350"/>
      <c r="BR814" s="350"/>
      <c r="BS814" s="350"/>
      <c r="BT814" s="350"/>
      <c r="BU814" s="350"/>
      <c r="BV814" s="351"/>
    </row>
    <row r="815" spans="1:74" ht="45" customHeight="1">
      <c r="A815" s="24">
        <f t="shared" si="3"/>
        <v>801</v>
      </c>
      <c r="B815" s="522" t="s">
        <v>294</v>
      </c>
      <c r="C815" s="351"/>
      <c r="D815" s="523" t="s">
        <v>298</v>
      </c>
      <c r="E815" s="351"/>
      <c r="F815" s="524" t="s">
        <v>325</v>
      </c>
      <c r="G815" s="351"/>
      <c r="H815" s="561" t="s">
        <v>325</v>
      </c>
      <c r="I815" s="351"/>
      <c r="J815" s="562"/>
      <c r="K815" s="351"/>
      <c r="L815" s="562"/>
      <c r="M815" s="351"/>
      <c r="N815" s="37"/>
      <c r="O815" s="38"/>
      <c r="P815" s="560"/>
      <c r="Q815" s="351"/>
      <c r="R815" s="527"/>
      <c r="S815" s="351"/>
      <c r="T815" s="528"/>
      <c r="U815" s="351"/>
      <c r="V815" s="541"/>
      <c r="W815" s="351"/>
      <c r="X815" s="542" t="s">
        <v>294</v>
      </c>
      <c r="Y815" s="350"/>
      <c r="Z815" s="350"/>
      <c r="AA815" s="351"/>
      <c r="AB815" s="543" t="s">
        <v>294</v>
      </c>
      <c r="AC815" s="350"/>
      <c r="AD815" s="350"/>
      <c r="AE815" s="351"/>
      <c r="AF815" s="544"/>
      <c r="AG815" s="351"/>
      <c r="AH815" s="544"/>
      <c r="AI815" s="351"/>
      <c r="AJ815" s="545"/>
      <c r="AK815" s="351"/>
      <c r="AL815" s="524" t="s">
        <v>325</v>
      </c>
      <c r="AM815" s="351"/>
      <c r="AN815" s="549" t="s">
        <v>325</v>
      </c>
      <c r="AO815" s="351"/>
      <c r="AP815" s="550"/>
      <c r="AQ815" s="351"/>
      <c r="AR815" s="551"/>
      <c r="AS815" s="351"/>
      <c r="AT815" s="552"/>
      <c r="AU815" s="351"/>
      <c r="AV815" s="549" t="s">
        <v>325</v>
      </c>
      <c r="AW815" s="351"/>
      <c r="AX815" s="553"/>
      <c r="AY815" s="350"/>
      <c r="AZ815" s="351"/>
      <c r="BA815" s="554"/>
      <c r="BB815" s="351"/>
      <c r="BC815" s="39"/>
      <c r="BD815" s="546" t="s">
        <v>325</v>
      </c>
      <c r="BE815" s="351"/>
      <c r="BF815" s="547"/>
      <c r="BG815" s="350"/>
      <c r="BH815" s="350"/>
      <c r="BI815" s="351"/>
      <c r="BJ815" s="548" t="s">
        <v>294</v>
      </c>
      <c r="BK815" s="350"/>
      <c r="BL815" s="350"/>
      <c r="BM815" s="351"/>
      <c r="BN815" s="530" t="s">
        <v>294</v>
      </c>
      <c r="BO815" s="350"/>
      <c r="BP815" s="350"/>
      <c r="BQ815" s="350"/>
      <c r="BR815" s="350"/>
      <c r="BS815" s="350"/>
      <c r="BT815" s="350"/>
      <c r="BU815" s="350"/>
      <c r="BV815" s="351"/>
    </row>
    <row r="816" spans="1:74" ht="45" customHeight="1">
      <c r="A816" s="24">
        <f t="shared" si="3"/>
        <v>802</v>
      </c>
      <c r="B816" s="558" t="s">
        <v>294</v>
      </c>
      <c r="C816" s="351"/>
      <c r="D816" s="559" t="s">
        <v>298</v>
      </c>
      <c r="E816" s="351"/>
      <c r="F816" s="524" t="s">
        <v>325</v>
      </c>
      <c r="G816" s="351"/>
      <c r="H816" s="525" t="s">
        <v>325</v>
      </c>
      <c r="I816" s="351"/>
      <c r="J816" s="40"/>
      <c r="K816" s="41"/>
      <c r="L816" s="40"/>
      <c r="M816" s="41"/>
      <c r="N816" s="34"/>
      <c r="O816" s="35"/>
      <c r="P816" s="526"/>
      <c r="Q816" s="351"/>
      <c r="R816" s="535"/>
      <c r="S816" s="351"/>
      <c r="T816" s="536"/>
      <c r="U816" s="351"/>
      <c r="V816" s="537"/>
      <c r="W816" s="351"/>
      <c r="X816" s="538" t="s">
        <v>294</v>
      </c>
      <c r="Y816" s="350"/>
      <c r="Z816" s="350"/>
      <c r="AA816" s="351"/>
      <c r="AB816" s="539" t="s">
        <v>294</v>
      </c>
      <c r="AC816" s="350"/>
      <c r="AD816" s="350"/>
      <c r="AE816" s="351"/>
      <c r="AF816" s="540"/>
      <c r="AG816" s="351"/>
      <c r="AH816" s="540"/>
      <c r="AI816" s="351"/>
      <c r="AJ816" s="545"/>
      <c r="AK816" s="351"/>
      <c r="AL816" s="555" t="s">
        <v>325</v>
      </c>
      <c r="AM816" s="351"/>
      <c r="AN816" s="531" t="s">
        <v>325</v>
      </c>
      <c r="AO816" s="351"/>
      <c r="AP816" s="532"/>
      <c r="AQ816" s="351"/>
      <c r="AR816" s="533"/>
      <c r="AS816" s="351"/>
      <c r="AT816" s="534"/>
      <c r="AU816" s="351"/>
      <c r="AV816" s="531" t="s">
        <v>325</v>
      </c>
      <c r="AW816" s="351"/>
      <c r="AX816" s="553"/>
      <c r="AY816" s="350"/>
      <c r="AZ816" s="351"/>
      <c r="BA816" s="545"/>
      <c r="BB816" s="351"/>
      <c r="BC816" s="36"/>
      <c r="BD816" s="556" t="s">
        <v>325</v>
      </c>
      <c r="BE816" s="351"/>
      <c r="BF816" s="529"/>
      <c r="BG816" s="350"/>
      <c r="BH816" s="350"/>
      <c r="BI816" s="351"/>
      <c r="BJ816" s="506" t="s">
        <v>294</v>
      </c>
      <c r="BK816" s="350"/>
      <c r="BL816" s="350"/>
      <c r="BM816" s="351"/>
      <c r="BN816" s="530" t="s">
        <v>294</v>
      </c>
      <c r="BO816" s="350"/>
      <c r="BP816" s="350"/>
      <c r="BQ816" s="350"/>
      <c r="BR816" s="350"/>
      <c r="BS816" s="350"/>
      <c r="BT816" s="350"/>
      <c r="BU816" s="350"/>
      <c r="BV816" s="351"/>
    </row>
    <row r="817" spans="1:74" ht="45" customHeight="1">
      <c r="A817" s="24">
        <f t="shared" si="3"/>
        <v>803</v>
      </c>
      <c r="B817" s="522" t="s">
        <v>294</v>
      </c>
      <c r="C817" s="351"/>
      <c r="D817" s="523" t="s">
        <v>298</v>
      </c>
      <c r="E817" s="351"/>
      <c r="F817" s="524" t="s">
        <v>325</v>
      </c>
      <c r="G817" s="351"/>
      <c r="H817" s="561" t="s">
        <v>325</v>
      </c>
      <c r="I817" s="351"/>
      <c r="J817" s="562"/>
      <c r="K817" s="351"/>
      <c r="L817" s="562"/>
      <c r="M817" s="351"/>
      <c r="N817" s="37"/>
      <c r="O817" s="38"/>
      <c r="P817" s="560"/>
      <c r="Q817" s="351"/>
      <c r="R817" s="527"/>
      <c r="S817" s="351"/>
      <c r="T817" s="528"/>
      <c r="U817" s="351"/>
      <c r="V817" s="541"/>
      <c r="W817" s="351"/>
      <c r="X817" s="542" t="s">
        <v>294</v>
      </c>
      <c r="Y817" s="350"/>
      <c r="Z817" s="350"/>
      <c r="AA817" s="351"/>
      <c r="AB817" s="543" t="s">
        <v>294</v>
      </c>
      <c r="AC817" s="350"/>
      <c r="AD817" s="350"/>
      <c r="AE817" s="351"/>
      <c r="AF817" s="544"/>
      <c r="AG817" s="351"/>
      <c r="AH817" s="544"/>
      <c r="AI817" s="351"/>
      <c r="AJ817" s="545"/>
      <c r="AK817" s="351"/>
      <c r="AL817" s="524" t="s">
        <v>325</v>
      </c>
      <c r="AM817" s="351"/>
      <c r="AN817" s="549" t="s">
        <v>325</v>
      </c>
      <c r="AO817" s="351"/>
      <c r="AP817" s="550"/>
      <c r="AQ817" s="351"/>
      <c r="AR817" s="551"/>
      <c r="AS817" s="351"/>
      <c r="AT817" s="552"/>
      <c r="AU817" s="351"/>
      <c r="AV817" s="549" t="s">
        <v>325</v>
      </c>
      <c r="AW817" s="351"/>
      <c r="AX817" s="553"/>
      <c r="AY817" s="350"/>
      <c r="AZ817" s="351"/>
      <c r="BA817" s="554"/>
      <c r="BB817" s="351"/>
      <c r="BC817" s="39"/>
      <c r="BD817" s="546" t="s">
        <v>325</v>
      </c>
      <c r="BE817" s="351"/>
      <c r="BF817" s="547"/>
      <c r="BG817" s="350"/>
      <c r="BH817" s="350"/>
      <c r="BI817" s="351"/>
      <c r="BJ817" s="548" t="s">
        <v>294</v>
      </c>
      <c r="BK817" s="350"/>
      <c r="BL817" s="350"/>
      <c r="BM817" s="351"/>
      <c r="BN817" s="530" t="s">
        <v>294</v>
      </c>
      <c r="BO817" s="350"/>
      <c r="BP817" s="350"/>
      <c r="BQ817" s="350"/>
      <c r="BR817" s="350"/>
      <c r="BS817" s="350"/>
      <c r="BT817" s="350"/>
      <c r="BU817" s="350"/>
      <c r="BV817" s="351"/>
    </row>
    <row r="818" spans="1:74" ht="45" customHeight="1">
      <c r="A818" s="24">
        <f t="shared" si="3"/>
        <v>804</v>
      </c>
      <c r="B818" s="558" t="s">
        <v>294</v>
      </c>
      <c r="C818" s="351"/>
      <c r="D818" s="559" t="s">
        <v>298</v>
      </c>
      <c r="E818" s="351"/>
      <c r="F818" s="524" t="s">
        <v>325</v>
      </c>
      <c r="G818" s="351"/>
      <c r="H818" s="525" t="s">
        <v>325</v>
      </c>
      <c r="I818" s="351"/>
      <c r="J818" s="40"/>
      <c r="K818" s="41"/>
      <c r="L818" s="40"/>
      <c r="M818" s="41"/>
      <c r="N818" s="34"/>
      <c r="O818" s="35"/>
      <c r="P818" s="526"/>
      <c r="Q818" s="351"/>
      <c r="R818" s="535"/>
      <c r="S818" s="351"/>
      <c r="T818" s="536"/>
      <c r="U818" s="351"/>
      <c r="V818" s="537"/>
      <c r="W818" s="351"/>
      <c r="X818" s="538" t="s">
        <v>294</v>
      </c>
      <c r="Y818" s="350"/>
      <c r="Z818" s="350"/>
      <c r="AA818" s="351"/>
      <c r="AB818" s="539" t="s">
        <v>294</v>
      </c>
      <c r="AC818" s="350"/>
      <c r="AD818" s="350"/>
      <c r="AE818" s="351"/>
      <c r="AF818" s="540"/>
      <c r="AG818" s="351"/>
      <c r="AH818" s="540"/>
      <c r="AI818" s="351"/>
      <c r="AJ818" s="545"/>
      <c r="AK818" s="351"/>
      <c r="AL818" s="555" t="s">
        <v>325</v>
      </c>
      <c r="AM818" s="351"/>
      <c r="AN818" s="531" t="s">
        <v>325</v>
      </c>
      <c r="AO818" s="351"/>
      <c r="AP818" s="532"/>
      <c r="AQ818" s="351"/>
      <c r="AR818" s="533"/>
      <c r="AS818" s="351"/>
      <c r="AT818" s="534"/>
      <c r="AU818" s="351"/>
      <c r="AV818" s="531" t="s">
        <v>325</v>
      </c>
      <c r="AW818" s="351"/>
      <c r="AX818" s="553"/>
      <c r="AY818" s="350"/>
      <c r="AZ818" s="351"/>
      <c r="BA818" s="545"/>
      <c r="BB818" s="351"/>
      <c r="BC818" s="36"/>
      <c r="BD818" s="556" t="s">
        <v>325</v>
      </c>
      <c r="BE818" s="351"/>
      <c r="BF818" s="557"/>
      <c r="BG818" s="350"/>
      <c r="BH818" s="350"/>
      <c r="BI818" s="351"/>
      <c r="BJ818" s="506" t="s">
        <v>294</v>
      </c>
      <c r="BK818" s="350"/>
      <c r="BL818" s="350"/>
      <c r="BM818" s="351"/>
      <c r="BN818" s="530" t="s">
        <v>294</v>
      </c>
      <c r="BO818" s="350"/>
      <c r="BP818" s="350"/>
      <c r="BQ818" s="350"/>
      <c r="BR818" s="350"/>
      <c r="BS818" s="350"/>
      <c r="BT818" s="350"/>
      <c r="BU818" s="350"/>
      <c r="BV818" s="351"/>
    </row>
    <row r="819" spans="1:74" ht="45" customHeight="1">
      <c r="A819" s="24">
        <f t="shared" si="3"/>
        <v>805</v>
      </c>
      <c r="B819" s="522" t="s">
        <v>294</v>
      </c>
      <c r="C819" s="351"/>
      <c r="D819" s="523" t="s">
        <v>298</v>
      </c>
      <c r="E819" s="351"/>
      <c r="F819" s="524" t="s">
        <v>325</v>
      </c>
      <c r="G819" s="351"/>
      <c r="H819" s="561" t="s">
        <v>325</v>
      </c>
      <c r="I819" s="351"/>
      <c r="J819" s="562"/>
      <c r="K819" s="351"/>
      <c r="L819" s="562"/>
      <c r="M819" s="351"/>
      <c r="N819" s="37"/>
      <c r="O819" s="38"/>
      <c r="P819" s="560"/>
      <c r="Q819" s="351"/>
      <c r="R819" s="527"/>
      <c r="S819" s="351"/>
      <c r="T819" s="528"/>
      <c r="U819" s="351"/>
      <c r="V819" s="541"/>
      <c r="W819" s="351"/>
      <c r="X819" s="542" t="s">
        <v>294</v>
      </c>
      <c r="Y819" s="350"/>
      <c r="Z819" s="350"/>
      <c r="AA819" s="351"/>
      <c r="AB819" s="543" t="s">
        <v>294</v>
      </c>
      <c r="AC819" s="350"/>
      <c r="AD819" s="350"/>
      <c r="AE819" s="351"/>
      <c r="AF819" s="544"/>
      <c r="AG819" s="351"/>
      <c r="AH819" s="544"/>
      <c r="AI819" s="351"/>
      <c r="AJ819" s="545"/>
      <c r="AK819" s="351"/>
      <c r="AL819" s="524" t="s">
        <v>325</v>
      </c>
      <c r="AM819" s="351"/>
      <c r="AN819" s="549" t="s">
        <v>325</v>
      </c>
      <c r="AO819" s="351"/>
      <c r="AP819" s="550"/>
      <c r="AQ819" s="351"/>
      <c r="AR819" s="551"/>
      <c r="AS819" s="351"/>
      <c r="AT819" s="552"/>
      <c r="AU819" s="351"/>
      <c r="AV819" s="549" t="s">
        <v>325</v>
      </c>
      <c r="AW819" s="351"/>
      <c r="AX819" s="553"/>
      <c r="AY819" s="350"/>
      <c r="AZ819" s="351"/>
      <c r="BA819" s="554"/>
      <c r="BB819" s="351"/>
      <c r="BC819" s="39"/>
      <c r="BD819" s="546" t="s">
        <v>325</v>
      </c>
      <c r="BE819" s="351"/>
      <c r="BF819" s="547"/>
      <c r="BG819" s="350"/>
      <c r="BH819" s="350"/>
      <c r="BI819" s="351"/>
      <c r="BJ819" s="548" t="s">
        <v>294</v>
      </c>
      <c r="BK819" s="350"/>
      <c r="BL819" s="350"/>
      <c r="BM819" s="351"/>
      <c r="BN819" s="530" t="s">
        <v>294</v>
      </c>
      <c r="BO819" s="350"/>
      <c r="BP819" s="350"/>
      <c r="BQ819" s="350"/>
      <c r="BR819" s="350"/>
      <c r="BS819" s="350"/>
      <c r="BT819" s="350"/>
      <c r="BU819" s="350"/>
      <c r="BV819" s="351"/>
    </row>
    <row r="820" spans="1:74" ht="45" customHeight="1">
      <c r="A820" s="24">
        <f t="shared" si="3"/>
        <v>806</v>
      </c>
      <c r="B820" s="558" t="s">
        <v>294</v>
      </c>
      <c r="C820" s="351"/>
      <c r="D820" s="559" t="s">
        <v>298</v>
      </c>
      <c r="E820" s="351"/>
      <c r="F820" s="524" t="s">
        <v>325</v>
      </c>
      <c r="G820" s="351"/>
      <c r="H820" s="525" t="s">
        <v>325</v>
      </c>
      <c r="I820" s="351"/>
      <c r="J820" s="40"/>
      <c r="K820" s="41"/>
      <c r="L820" s="40"/>
      <c r="M820" s="41"/>
      <c r="N820" s="34"/>
      <c r="O820" s="35"/>
      <c r="P820" s="526"/>
      <c r="Q820" s="351"/>
      <c r="R820" s="535"/>
      <c r="S820" s="351"/>
      <c r="T820" s="536"/>
      <c r="U820" s="351"/>
      <c r="V820" s="537"/>
      <c r="W820" s="351"/>
      <c r="X820" s="538" t="s">
        <v>294</v>
      </c>
      <c r="Y820" s="350"/>
      <c r="Z820" s="350"/>
      <c r="AA820" s="351"/>
      <c r="AB820" s="539" t="s">
        <v>294</v>
      </c>
      <c r="AC820" s="350"/>
      <c r="AD820" s="350"/>
      <c r="AE820" s="351"/>
      <c r="AF820" s="540"/>
      <c r="AG820" s="351"/>
      <c r="AH820" s="540"/>
      <c r="AI820" s="351"/>
      <c r="AJ820" s="545"/>
      <c r="AK820" s="351"/>
      <c r="AL820" s="555" t="s">
        <v>325</v>
      </c>
      <c r="AM820" s="351"/>
      <c r="AN820" s="531" t="s">
        <v>325</v>
      </c>
      <c r="AO820" s="351"/>
      <c r="AP820" s="532"/>
      <c r="AQ820" s="351"/>
      <c r="AR820" s="533"/>
      <c r="AS820" s="351"/>
      <c r="AT820" s="534"/>
      <c r="AU820" s="351"/>
      <c r="AV820" s="531" t="s">
        <v>325</v>
      </c>
      <c r="AW820" s="351"/>
      <c r="AX820" s="553"/>
      <c r="AY820" s="350"/>
      <c r="AZ820" s="351"/>
      <c r="BA820" s="545"/>
      <c r="BB820" s="351"/>
      <c r="BC820" s="36"/>
      <c r="BD820" s="556" t="s">
        <v>325</v>
      </c>
      <c r="BE820" s="351"/>
      <c r="BF820" s="557"/>
      <c r="BG820" s="350"/>
      <c r="BH820" s="350"/>
      <c r="BI820" s="351"/>
      <c r="BJ820" s="506" t="s">
        <v>294</v>
      </c>
      <c r="BK820" s="350"/>
      <c r="BL820" s="350"/>
      <c r="BM820" s="351"/>
      <c r="BN820" s="530" t="s">
        <v>294</v>
      </c>
      <c r="BO820" s="350"/>
      <c r="BP820" s="350"/>
      <c r="BQ820" s="350"/>
      <c r="BR820" s="350"/>
      <c r="BS820" s="350"/>
      <c r="BT820" s="350"/>
      <c r="BU820" s="350"/>
      <c r="BV820" s="351"/>
    </row>
    <row r="821" spans="1:74" ht="45" customHeight="1">
      <c r="A821" s="24">
        <f t="shared" si="3"/>
        <v>807</v>
      </c>
      <c r="B821" s="522" t="s">
        <v>294</v>
      </c>
      <c r="C821" s="351"/>
      <c r="D821" s="523" t="s">
        <v>298</v>
      </c>
      <c r="E821" s="351"/>
      <c r="F821" s="524" t="s">
        <v>325</v>
      </c>
      <c r="G821" s="351"/>
      <c r="H821" s="561" t="s">
        <v>325</v>
      </c>
      <c r="I821" s="351"/>
      <c r="J821" s="562"/>
      <c r="K821" s="351"/>
      <c r="L821" s="562"/>
      <c r="M821" s="351"/>
      <c r="N821" s="37"/>
      <c r="O821" s="38"/>
      <c r="P821" s="560"/>
      <c r="Q821" s="351"/>
      <c r="R821" s="527"/>
      <c r="S821" s="351"/>
      <c r="T821" s="528"/>
      <c r="U821" s="351"/>
      <c r="V821" s="541"/>
      <c r="W821" s="351"/>
      <c r="X821" s="542" t="s">
        <v>294</v>
      </c>
      <c r="Y821" s="350"/>
      <c r="Z821" s="350"/>
      <c r="AA821" s="351"/>
      <c r="AB821" s="543" t="s">
        <v>294</v>
      </c>
      <c r="AC821" s="350"/>
      <c r="AD821" s="350"/>
      <c r="AE821" s="351"/>
      <c r="AF821" s="544"/>
      <c r="AG821" s="351"/>
      <c r="AH821" s="544"/>
      <c r="AI821" s="351"/>
      <c r="AJ821" s="545"/>
      <c r="AK821" s="351"/>
      <c r="AL821" s="524" t="s">
        <v>325</v>
      </c>
      <c r="AM821" s="351"/>
      <c r="AN821" s="549" t="s">
        <v>325</v>
      </c>
      <c r="AO821" s="351"/>
      <c r="AP821" s="550"/>
      <c r="AQ821" s="351"/>
      <c r="AR821" s="551"/>
      <c r="AS821" s="351"/>
      <c r="AT821" s="552"/>
      <c r="AU821" s="351"/>
      <c r="AV821" s="549" t="s">
        <v>325</v>
      </c>
      <c r="AW821" s="351"/>
      <c r="AX821" s="553"/>
      <c r="AY821" s="350"/>
      <c r="AZ821" s="351"/>
      <c r="BA821" s="554"/>
      <c r="BB821" s="351"/>
      <c r="BC821" s="39"/>
      <c r="BD821" s="546" t="s">
        <v>325</v>
      </c>
      <c r="BE821" s="351"/>
      <c r="BF821" s="547"/>
      <c r="BG821" s="350"/>
      <c r="BH821" s="350"/>
      <c r="BI821" s="351"/>
      <c r="BJ821" s="548" t="s">
        <v>294</v>
      </c>
      <c r="BK821" s="350"/>
      <c r="BL821" s="350"/>
      <c r="BM821" s="351"/>
      <c r="BN821" s="530" t="s">
        <v>294</v>
      </c>
      <c r="BO821" s="350"/>
      <c r="BP821" s="350"/>
      <c r="BQ821" s="350"/>
      <c r="BR821" s="350"/>
      <c r="BS821" s="350"/>
      <c r="BT821" s="350"/>
      <c r="BU821" s="350"/>
      <c r="BV821" s="351"/>
    </row>
    <row r="822" spans="1:74" ht="45" customHeight="1">
      <c r="A822" s="24">
        <f t="shared" si="3"/>
        <v>808</v>
      </c>
      <c r="B822" s="558" t="s">
        <v>294</v>
      </c>
      <c r="C822" s="351"/>
      <c r="D822" s="559" t="s">
        <v>298</v>
      </c>
      <c r="E822" s="351"/>
      <c r="F822" s="524" t="s">
        <v>325</v>
      </c>
      <c r="G822" s="351"/>
      <c r="H822" s="525" t="s">
        <v>325</v>
      </c>
      <c r="I822" s="351"/>
      <c r="J822" s="40"/>
      <c r="K822" s="41"/>
      <c r="L822" s="40"/>
      <c r="M822" s="41"/>
      <c r="N822" s="34"/>
      <c r="O822" s="35"/>
      <c r="P822" s="526"/>
      <c r="Q822" s="351"/>
      <c r="R822" s="535"/>
      <c r="S822" s="351"/>
      <c r="T822" s="536"/>
      <c r="U822" s="351"/>
      <c r="V822" s="537"/>
      <c r="W822" s="351"/>
      <c r="X822" s="538" t="s">
        <v>294</v>
      </c>
      <c r="Y822" s="350"/>
      <c r="Z822" s="350"/>
      <c r="AA822" s="351"/>
      <c r="AB822" s="539" t="s">
        <v>294</v>
      </c>
      <c r="AC822" s="350"/>
      <c r="AD822" s="350"/>
      <c r="AE822" s="351"/>
      <c r="AF822" s="540"/>
      <c r="AG822" s="351"/>
      <c r="AH822" s="540"/>
      <c r="AI822" s="351"/>
      <c r="AJ822" s="545"/>
      <c r="AK822" s="351"/>
      <c r="AL822" s="555" t="s">
        <v>325</v>
      </c>
      <c r="AM822" s="351"/>
      <c r="AN822" s="531" t="s">
        <v>325</v>
      </c>
      <c r="AO822" s="351"/>
      <c r="AP822" s="532"/>
      <c r="AQ822" s="351"/>
      <c r="AR822" s="533"/>
      <c r="AS822" s="351"/>
      <c r="AT822" s="534"/>
      <c r="AU822" s="351"/>
      <c r="AV822" s="531" t="s">
        <v>325</v>
      </c>
      <c r="AW822" s="351"/>
      <c r="AX822" s="553"/>
      <c r="AY822" s="350"/>
      <c r="AZ822" s="351"/>
      <c r="BA822" s="545"/>
      <c r="BB822" s="351"/>
      <c r="BC822" s="36"/>
      <c r="BD822" s="556" t="s">
        <v>325</v>
      </c>
      <c r="BE822" s="351"/>
      <c r="BF822" s="529"/>
      <c r="BG822" s="350"/>
      <c r="BH822" s="350"/>
      <c r="BI822" s="351"/>
      <c r="BJ822" s="506" t="s">
        <v>294</v>
      </c>
      <c r="BK822" s="350"/>
      <c r="BL822" s="350"/>
      <c r="BM822" s="351"/>
      <c r="BN822" s="530" t="s">
        <v>294</v>
      </c>
      <c r="BO822" s="350"/>
      <c r="BP822" s="350"/>
      <c r="BQ822" s="350"/>
      <c r="BR822" s="350"/>
      <c r="BS822" s="350"/>
      <c r="BT822" s="350"/>
      <c r="BU822" s="350"/>
      <c r="BV822" s="351"/>
    </row>
    <row r="823" spans="1:74" ht="45" customHeight="1">
      <c r="A823" s="24">
        <f t="shared" si="3"/>
        <v>809</v>
      </c>
      <c r="B823" s="522" t="s">
        <v>294</v>
      </c>
      <c r="C823" s="351"/>
      <c r="D823" s="523" t="s">
        <v>298</v>
      </c>
      <c r="E823" s="351"/>
      <c r="F823" s="524" t="s">
        <v>325</v>
      </c>
      <c r="G823" s="351"/>
      <c r="H823" s="561" t="s">
        <v>325</v>
      </c>
      <c r="I823" s="351"/>
      <c r="J823" s="562"/>
      <c r="K823" s="351"/>
      <c r="L823" s="562"/>
      <c r="M823" s="351"/>
      <c r="N823" s="37"/>
      <c r="O823" s="38"/>
      <c r="P823" s="560"/>
      <c r="Q823" s="351"/>
      <c r="R823" s="527"/>
      <c r="S823" s="351"/>
      <c r="T823" s="528"/>
      <c r="U823" s="351"/>
      <c r="V823" s="541"/>
      <c r="W823" s="351"/>
      <c r="X823" s="542" t="s">
        <v>294</v>
      </c>
      <c r="Y823" s="350"/>
      <c r="Z823" s="350"/>
      <c r="AA823" s="351"/>
      <c r="AB823" s="543" t="s">
        <v>294</v>
      </c>
      <c r="AC823" s="350"/>
      <c r="AD823" s="350"/>
      <c r="AE823" s="351"/>
      <c r="AF823" s="544"/>
      <c r="AG823" s="351"/>
      <c r="AH823" s="544"/>
      <c r="AI823" s="351"/>
      <c r="AJ823" s="545"/>
      <c r="AK823" s="351"/>
      <c r="AL823" s="524" t="s">
        <v>325</v>
      </c>
      <c r="AM823" s="351"/>
      <c r="AN823" s="549" t="s">
        <v>325</v>
      </c>
      <c r="AO823" s="351"/>
      <c r="AP823" s="550"/>
      <c r="AQ823" s="351"/>
      <c r="AR823" s="551"/>
      <c r="AS823" s="351"/>
      <c r="AT823" s="552"/>
      <c r="AU823" s="351"/>
      <c r="AV823" s="549" t="s">
        <v>325</v>
      </c>
      <c r="AW823" s="351"/>
      <c r="AX823" s="553"/>
      <c r="AY823" s="350"/>
      <c r="AZ823" s="351"/>
      <c r="BA823" s="554"/>
      <c r="BB823" s="351"/>
      <c r="BC823" s="39"/>
      <c r="BD823" s="546" t="s">
        <v>325</v>
      </c>
      <c r="BE823" s="351"/>
      <c r="BF823" s="547"/>
      <c r="BG823" s="350"/>
      <c r="BH823" s="350"/>
      <c r="BI823" s="351"/>
      <c r="BJ823" s="548" t="s">
        <v>294</v>
      </c>
      <c r="BK823" s="350"/>
      <c r="BL823" s="350"/>
      <c r="BM823" s="351"/>
      <c r="BN823" s="530" t="s">
        <v>294</v>
      </c>
      <c r="BO823" s="350"/>
      <c r="BP823" s="350"/>
      <c r="BQ823" s="350"/>
      <c r="BR823" s="350"/>
      <c r="BS823" s="350"/>
      <c r="BT823" s="350"/>
      <c r="BU823" s="350"/>
      <c r="BV823" s="351"/>
    </row>
    <row r="824" spans="1:74" ht="45" customHeight="1">
      <c r="A824" s="24">
        <f t="shared" si="3"/>
        <v>810</v>
      </c>
      <c r="B824" s="558" t="s">
        <v>294</v>
      </c>
      <c r="C824" s="351"/>
      <c r="D824" s="559" t="s">
        <v>298</v>
      </c>
      <c r="E824" s="351"/>
      <c r="F824" s="524" t="s">
        <v>325</v>
      </c>
      <c r="G824" s="351"/>
      <c r="H824" s="525" t="s">
        <v>325</v>
      </c>
      <c r="I824" s="351"/>
      <c r="J824" s="40"/>
      <c r="K824" s="41"/>
      <c r="L824" s="40"/>
      <c r="M824" s="41"/>
      <c r="N824" s="34"/>
      <c r="O824" s="35"/>
      <c r="P824" s="526"/>
      <c r="Q824" s="351"/>
      <c r="R824" s="535"/>
      <c r="S824" s="351"/>
      <c r="T824" s="536"/>
      <c r="U824" s="351"/>
      <c r="V824" s="537"/>
      <c r="W824" s="351"/>
      <c r="X824" s="538" t="s">
        <v>294</v>
      </c>
      <c r="Y824" s="350"/>
      <c r="Z824" s="350"/>
      <c r="AA824" s="351"/>
      <c r="AB824" s="539" t="s">
        <v>294</v>
      </c>
      <c r="AC824" s="350"/>
      <c r="AD824" s="350"/>
      <c r="AE824" s="351"/>
      <c r="AF824" s="540"/>
      <c r="AG824" s="351"/>
      <c r="AH824" s="540"/>
      <c r="AI824" s="351"/>
      <c r="AJ824" s="545"/>
      <c r="AK824" s="351"/>
      <c r="AL824" s="555" t="s">
        <v>325</v>
      </c>
      <c r="AM824" s="351"/>
      <c r="AN824" s="531" t="s">
        <v>325</v>
      </c>
      <c r="AO824" s="351"/>
      <c r="AP824" s="532"/>
      <c r="AQ824" s="351"/>
      <c r="AR824" s="533"/>
      <c r="AS824" s="351"/>
      <c r="AT824" s="534"/>
      <c r="AU824" s="351"/>
      <c r="AV824" s="531" t="s">
        <v>325</v>
      </c>
      <c r="AW824" s="351"/>
      <c r="AX824" s="553"/>
      <c r="AY824" s="350"/>
      <c r="AZ824" s="351"/>
      <c r="BA824" s="545"/>
      <c r="BB824" s="351"/>
      <c r="BC824" s="36"/>
      <c r="BD824" s="556" t="s">
        <v>325</v>
      </c>
      <c r="BE824" s="351"/>
      <c r="BF824" s="557"/>
      <c r="BG824" s="350"/>
      <c r="BH824" s="350"/>
      <c r="BI824" s="351"/>
      <c r="BJ824" s="506" t="s">
        <v>294</v>
      </c>
      <c r="BK824" s="350"/>
      <c r="BL824" s="350"/>
      <c r="BM824" s="351"/>
      <c r="BN824" s="530" t="s">
        <v>294</v>
      </c>
      <c r="BO824" s="350"/>
      <c r="BP824" s="350"/>
      <c r="BQ824" s="350"/>
      <c r="BR824" s="350"/>
      <c r="BS824" s="350"/>
      <c r="BT824" s="350"/>
      <c r="BU824" s="350"/>
      <c r="BV824" s="351"/>
    </row>
    <row r="825" spans="1:74" ht="45" customHeight="1">
      <c r="A825" s="24">
        <f t="shared" si="3"/>
        <v>811</v>
      </c>
      <c r="B825" s="522" t="s">
        <v>294</v>
      </c>
      <c r="C825" s="351"/>
      <c r="D825" s="523" t="s">
        <v>298</v>
      </c>
      <c r="E825" s="351"/>
      <c r="F825" s="524" t="s">
        <v>325</v>
      </c>
      <c r="G825" s="351"/>
      <c r="H825" s="561" t="s">
        <v>325</v>
      </c>
      <c r="I825" s="351"/>
      <c r="J825" s="562"/>
      <c r="K825" s="351"/>
      <c r="L825" s="562"/>
      <c r="M825" s="351"/>
      <c r="N825" s="37"/>
      <c r="O825" s="38"/>
      <c r="P825" s="560"/>
      <c r="Q825" s="351"/>
      <c r="R825" s="527"/>
      <c r="S825" s="351"/>
      <c r="T825" s="528"/>
      <c r="U825" s="351"/>
      <c r="V825" s="541"/>
      <c r="W825" s="351"/>
      <c r="X825" s="542" t="s">
        <v>294</v>
      </c>
      <c r="Y825" s="350"/>
      <c r="Z825" s="350"/>
      <c r="AA825" s="351"/>
      <c r="AB825" s="543" t="s">
        <v>294</v>
      </c>
      <c r="AC825" s="350"/>
      <c r="AD825" s="350"/>
      <c r="AE825" s="351"/>
      <c r="AF825" s="544"/>
      <c r="AG825" s="351"/>
      <c r="AH825" s="544"/>
      <c r="AI825" s="351"/>
      <c r="AJ825" s="545"/>
      <c r="AK825" s="351"/>
      <c r="AL825" s="524" t="s">
        <v>325</v>
      </c>
      <c r="AM825" s="351"/>
      <c r="AN825" s="549" t="s">
        <v>325</v>
      </c>
      <c r="AO825" s="351"/>
      <c r="AP825" s="550"/>
      <c r="AQ825" s="351"/>
      <c r="AR825" s="551"/>
      <c r="AS825" s="351"/>
      <c r="AT825" s="534"/>
      <c r="AU825" s="351"/>
      <c r="AV825" s="549" t="s">
        <v>325</v>
      </c>
      <c r="AW825" s="351"/>
      <c r="AX825" s="553"/>
      <c r="AY825" s="350"/>
      <c r="AZ825" s="351"/>
      <c r="BA825" s="554"/>
      <c r="BB825" s="351"/>
      <c r="BC825" s="39"/>
      <c r="BD825" s="546" t="s">
        <v>325</v>
      </c>
      <c r="BE825" s="351"/>
      <c r="BF825" s="547"/>
      <c r="BG825" s="350"/>
      <c r="BH825" s="350"/>
      <c r="BI825" s="351"/>
      <c r="BJ825" s="548" t="s">
        <v>294</v>
      </c>
      <c r="BK825" s="350"/>
      <c r="BL825" s="350"/>
      <c r="BM825" s="351"/>
      <c r="BN825" s="530" t="s">
        <v>294</v>
      </c>
      <c r="BO825" s="350"/>
      <c r="BP825" s="350"/>
      <c r="BQ825" s="350"/>
      <c r="BR825" s="350"/>
      <c r="BS825" s="350"/>
      <c r="BT825" s="350"/>
      <c r="BU825" s="350"/>
      <c r="BV825" s="351"/>
    </row>
    <row r="826" spans="1:74" ht="45" customHeight="1">
      <c r="A826" s="24">
        <f t="shared" si="3"/>
        <v>812</v>
      </c>
      <c r="B826" s="558" t="s">
        <v>294</v>
      </c>
      <c r="C826" s="351"/>
      <c r="D826" s="559" t="s">
        <v>298</v>
      </c>
      <c r="E826" s="351"/>
      <c r="F826" s="524" t="s">
        <v>325</v>
      </c>
      <c r="G826" s="351"/>
      <c r="H826" s="525" t="s">
        <v>325</v>
      </c>
      <c r="I826" s="351"/>
      <c r="J826" s="40"/>
      <c r="K826" s="41"/>
      <c r="L826" s="40"/>
      <c r="M826" s="41"/>
      <c r="N826" s="34"/>
      <c r="O826" s="35"/>
      <c r="P826" s="526"/>
      <c r="Q826" s="351"/>
      <c r="R826" s="535"/>
      <c r="S826" s="351"/>
      <c r="T826" s="536"/>
      <c r="U826" s="351"/>
      <c r="V826" s="537"/>
      <c r="W826" s="351"/>
      <c r="X826" s="538" t="s">
        <v>294</v>
      </c>
      <c r="Y826" s="350"/>
      <c r="Z826" s="350"/>
      <c r="AA826" s="351"/>
      <c r="AB826" s="539" t="s">
        <v>294</v>
      </c>
      <c r="AC826" s="350"/>
      <c r="AD826" s="350"/>
      <c r="AE826" s="351"/>
      <c r="AF826" s="540"/>
      <c r="AG826" s="351"/>
      <c r="AH826" s="540"/>
      <c r="AI826" s="351"/>
      <c r="AJ826" s="545"/>
      <c r="AK826" s="351"/>
      <c r="AL826" s="555" t="s">
        <v>325</v>
      </c>
      <c r="AM826" s="351"/>
      <c r="AN826" s="531" t="s">
        <v>325</v>
      </c>
      <c r="AO826" s="351"/>
      <c r="AP826" s="532"/>
      <c r="AQ826" s="351"/>
      <c r="AR826" s="533"/>
      <c r="AS826" s="351"/>
      <c r="AT826" s="534"/>
      <c r="AU826" s="351"/>
      <c r="AV826" s="531" t="s">
        <v>325</v>
      </c>
      <c r="AW826" s="351"/>
      <c r="AX826" s="553"/>
      <c r="AY826" s="350"/>
      <c r="AZ826" s="351"/>
      <c r="BA826" s="545"/>
      <c r="BB826" s="351"/>
      <c r="BC826" s="36"/>
      <c r="BD826" s="556" t="s">
        <v>325</v>
      </c>
      <c r="BE826" s="351"/>
      <c r="BF826" s="557"/>
      <c r="BG826" s="350"/>
      <c r="BH826" s="350"/>
      <c r="BI826" s="351"/>
      <c r="BJ826" s="506" t="s">
        <v>294</v>
      </c>
      <c r="BK826" s="350"/>
      <c r="BL826" s="350"/>
      <c r="BM826" s="351"/>
      <c r="BN826" s="530" t="s">
        <v>294</v>
      </c>
      <c r="BO826" s="350"/>
      <c r="BP826" s="350"/>
      <c r="BQ826" s="350"/>
      <c r="BR826" s="350"/>
      <c r="BS826" s="350"/>
      <c r="BT826" s="350"/>
      <c r="BU826" s="350"/>
      <c r="BV826" s="351"/>
    </row>
    <row r="827" spans="1:74" ht="45" customHeight="1">
      <c r="A827" s="24">
        <f t="shared" si="3"/>
        <v>813</v>
      </c>
      <c r="B827" s="522" t="s">
        <v>294</v>
      </c>
      <c r="C827" s="351"/>
      <c r="D827" s="523" t="s">
        <v>298</v>
      </c>
      <c r="E827" s="351"/>
      <c r="F827" s="524" t="s">
        <v>325</v>
      </c>
      <c r="G827" s="351"/>
      <c r="H827" s="561" t="s">
        <v>325</v>
      </c>
      <c r="I827" s="351"/>
      <c r="J827" s="562"/>
      <c r="K827" s="351"/>
      <c r="L827" s="562"/>
      <c r="M827" s="351"/>
      <c r="N827" s="37"/>
      <c r="O827" s="38"/>
      <c r="P827" s="560"/>
      <c r="Q827" s="351"/>
      <c r="R827" s="527"/>
      <c r="S827" s="351"/>
      <c r="T827" s="528"/>
      <c r="U827" s="351"/>
      <c r="V827" s="541"/>
      <c r="W827" s="351"/>
      <c r="X827" s="542" t="s">
        <v>294</v>
      </c>
      <c r="Y827" s="350"/>
      <c r="Z827" s="350"/>
      <c r="AA827" s="351"/>
      <c r="AB827" s="543" t="s">
        <v>294</v>
      </c>
      <c r="AC827" s="350"/>
      <c r="AD827" s="350"/>
      <c r="AE827" s="351"/>
      <c r="AF827" s="544"/>
      <c r="AG827" s="351"/>
      <c r="AH827" s="544"/>
      <c r="AI827" s="351"/>
      <c r="AJ827" s="545"/>
      <c r="AK827" s="351"/>
      <c r="AL827" s="524" t="s">
        <v>325</v>
      </c>
      <c r="AM827" s="351"/>
      <c r="AN827" s="549" t="s">
        <v>325</v>
      </c>
      <c r="AO827" s="351"/>
      <c r="AP827" s="550"/>
      <c r="AQ827" s="351"/>
      <c r="AR827" s="551"/>
      <c r="AS827" s="351"/>
      <c r="AT827" s="534"/>
      <c r="AU827" s="351"/>
      <c r="AV827" s="549" t="s">
        <v>325</v>
      </c>
      <c r="AW827" s="351"/>
      <c r="AX827" s="553"/>
      <c r="AY827" s="350"/>
      <c r="AZ827" s="351"/>
      <c r="BA827" s="554"/>
      <c r="BB827" s="351"/>
      <c r="BC827" s="39"/>
      <c r="BD827" s="546" t="s">
        <v>325</v>
      </c>
      <c r="BE827" s="351"/>
      <c r="BF827" s="547"/>
      <c r="BG827" s="350"/>
      <c r="BH827" s="350"/>
      <c r="BI827" s="351"/>
      <c r="BJ827" s="548" t="s">
        <v>294</v>
      </c>
      <c r="BK827" s="350"/>
      <c r="BL827" s="350"/>
      <c r="BM827" s="351"/>
      <c r="BN827" s="530" t="s">
        <v>294</v>
      </c>
      <c r="BO827" s="350"/>
      <c r="BP827" s="350"/>
      <c r="BQ827" s="350"/>
      <c r="BR827" s="350"/>
      <c r="BS827" s="350"/>
      <c r="BT827" s="350"/>
      <c r="BU827" s="350"/>
      <c r="BV827" s="351"/>
    </row>
    <row r="828" spans="1:74" ht="45" customHeight="1">
      <c r="A828" s="24">
        <f t="shared" si="3"/>
        <v>814</v>
      </c>
      <c r="B828" s="558" t="s">
        <v>294</v>
      </c>
      <c r="C828" s="351"/>
      <c r="D828" s="559" t="s">
        <v>298</v>
      </c>
      <c r="E828" s="351"/>
      <c r="F828" s="524" t="s">
        <v>325</v>
      </c>
      <c r="G828" s="351"/>
      <c r="H828" s="525" t="s">
        <v>325</v>
      </c>
      <c r="I828" s="351"/>
      <c r="J828" s="40"/>
      <c r="K828" s="41"/>
      <c r="L828" s="40"/>
      <c r="M828" s="41"/>
      <c r="N828" s="34"/>
      <c r="O828" s="35"/>
      <c r="P828" s="526"/>
      <c r="Q828" s="351"/>
      <c r="R828" s="535"/>
      <c r="S828" s="351"/>
      <c r="T828" s="536"/>
      <c r="U828" s="351"/>
      <c r="V828" s="537"/>
      <c r="W828" s="351"/>
      <c r="X828" s="538" t="s">
        <v>294</v>
      </c>
      <c r="Y828" s="350"/>
      <c r="Z828" s="350"/>
      <c r="AA828" s="351"/>
      <c r="AB828" s="539" t="s">
        <v>294</v>
      </c>
      <c r="AC828" s="350"/>
      <c r="AD828" s="350"/>
      <c r="AE828" s="351"/>
      <c r="AF828" s="540"/>
      <c r="AG828" s="351"/>
      <c r="AH828" s="540"/>
      <c r="AI828" s="351"/>
      <c r="AJ828" s="545"/>
      <c r="AK828" s="351"/>
      <c r="AL828" s="555" t="s">
        <v>325</v>
      </c>
      <c r="AM828" s="351"/>
      <c r="AN828" s="531" t="s">
        <v>325</v>
      </c>
      <c r="AO828" s="351"/>
      <c r="AP828" s="532"/>
      <c r="AQ828" s="351"/>
      <c r="AR828" s="533"/>
      <c r="AS828" s="351"/>
      <c r="AT828" s="534"/>
      <c r="AU828" s="351"/>
      <c r="AV828" s="531" t="s">
        <v>325</v>
      </c>
      <c r="AW828" s="351"/>
      <c r="AX828" s="553"/>
      <c r="AY828" s="350"/>
      <c r="AZ828" s="351"/>
      <c r="BA828" s="545"/>
      <c r="BB828" s="351"/>
      <c r="BC828" s="36"/>
      <c r="BD828" s="556" t="s">
        <v>325</v>
      </c>
      <c r="BE828" s="351"/>
      <c r="BF828" s="557"/>
      <c r="BG828" s="350"/>
      <c r="BH828" s="350"/>
      <c r="BI828" s="351"/>
      <c r="BJ828" s="506" t="s">
        <v>294</v>
      </c>
      <c r="BK828" s="350"/>
      <c r="BL828" s="350"/>
      <c r="BM828" s="351"/>
      <c r="BN828" s="530" t="s">
        <v>294</v>
      </c>
      <c r="BO828" s="350"/>
      <c r="BP828" s="350"/>
      <c r="BQ828" s="350"/>
      <c r="BR828" s="350"/>
      <c r="BS828" s="350"/>
      <c r="BT828" s="350"/>
      <c r="BU828" s="350"/>
      <c r="BV828" s="351"/>
    </row>
    <row r="829" spans="1:74" ht="45" customHeight="1">
      <c r="A829" s="24">
        <f t="shared" si="3"/>
        <v>815</v>
      </c>
      <c r="B829" s="522" t="s">
        <v>294</v>
      </c>
      <c r="C829" s="351"/>
      <c r="D829" s="523" t="s">
        <v>298</v>
      </c>
      <c r="E829" s="351"/>
      <c r="F829" s="524" t="s">
        <v>325</v>
      </c>
      <c r="G829" s="351"/>
      <c r="H829" s="561" t="s">
        <v>325</v>
      </c>
      <c r="I829" s="351"/>
      <c r="J829" s="562"/>
      <c r="K829" s="351"/>
      <c r="L829" s="562"/>
      <c r="M829" s="351"/>
      <c r="N829" s="37"/>
      <c r="O829" s="38"/>
      <c r="P829" s="560"/>
      <c r="Q829" s="351"/>
      <c r="R829" s="527"/>
      <c r="S829" s="351"/>
      <c r="T829" s="528"/>
      <c r="U829" s="351"/>
      <c r="V829" s="541"/>
      <c r="W829" s="351"/>
      <c r="X829" s="542" t="s">
        <v>294</v>
      </c>
      <c r="Y829" s="350"/>
      <c r="Z829" s="350"/>
      <c r="AA829" s="351"/>
      <c r="AB829" s="543" t="s">
        <v>294</v>
      </c>
      <c r="AC829" s="350"/>
      <c r="AD829" s="350"/>
      <c r="AE829" s="351"/>
      <c r="AF829" s="544"/>
      <c r="AG829" s="351"/>
      <c r="AH829" s="544"/>
      <c r="AI829" s="351"/>
      <c r="AJ829" s="545"/>
      <c r="AK829" s="351"/>
      <c r="AL829" s="524" t="s">
        <v>325</v>
      </c>
      <c r="AM829" s="351"/>
      <c r="AN829" s="549" t="s">
        <v>325</v>
      </c>
      <c r="AO829" s="351"/>
      <c r="AP829" s="550"/>
      <c r="AQ829" s="351"/>
      <c r="AR829" s="551"/>
      <c r="AS829" s="351"/>
      <c r="AT829" s="552"/>
      <c r="AU829" s="351"/>
      <c r="AV829" s="549" t="s">
        <v>325</v>
      </c>
      <c r="AW829" s="351"/>
      <c r="AX829" s="553"/>
      <c r="AY829" s="350"/>
      <c r="AZ829" s="351"/>
      <c r="BA829" s="554"/>
      <c r="BB829" s="351"/>
      <c r="BC829" s="39"/>
      <c r="BD829" s="546" t="s">
        <v>325</v>
      </c>
      <c r="BE829" s="351"/>
      <c r="BF829" s="547"/>
      <c r="BG829" s="350"/>
      <c r="BH829" s="350"/>
      <c r="BI829" s="351"/>
      <c r="BJ829" s="548" t="s">
        <v>294</v>
      </c>
      <c r="BK829" s="350"/>
      <c r="BL829" s="350"/>
      <c r="BM829" s="351"/>
      <c r="BN829" s="530" t="s">
        <v>294</v>
      </c>
      <c r="BO829" s="350"/>
      <c r="BP829" s="350"/>
      <c r="BQ829" s="350"/>
      <c r="BR829" s="350"/>
      <c r="BS829" s="350"/>
      <c r="BT829" s="350"/>
      <c r="BU829" s="350"/>
      <c r="BV829" s="351"/>
    </row>
    <row r="830" spans="1:74" ht="45" customHeight="1">
      <c r="A830" s="24">
        <f t="shared" si="3"/>
        <v>816</v>
      </c>
      <c r="B830" s="558" t="s">
        <v>294</v>
      </c>
      <c r="C830" s="351"/>
      <c r="D830" s="559" t="s">
        <v>298</v>
      </c>
      <c r="E830" s="351"/>
      <c r="F830" s="524" t="s">
        <v>325</v>
      </c>
      <c r="G830" s="351"/>
      <c r="H830" s="525" t="s">
        <v>325</v>
      </c>
      <c r="I830" s="351"/>
      <c r="J830" s="40"/>
      <c r="K830" s="41"/>
      <c r="L830" s="40"/>
      <c r="M830" s="41"/>
      <c r="N830" s="34"/>
      <c r="O830" s="35"/>
      <c r="P830" s="526"/>
      <c r="Q830" s="351"/>
      <c r="R830" s="535"/>
      <c r="S830" s="351"/>
      <c r="T830" s="536"/>
      <c r="U830" s="351"/>
      <c r="V830" s="537"/>
      <c r="W830" s="351"/>
      <c r="X830" s="538" t="s">
        <v>294</v>
      </c>
      <c r="Y830" s="350"/>
      <c r="Z830" s="350"/>
      <c r="AA830" s="351"/>
      <c r="AB830" s="539" t="s">
        <v>294</v>
      </c>
      <c r="AC830" s="350"/>
      <c r="AD830" s="350"/>
      <c r="AE830" s="351"/>
      <c r="AF830" s="540"/>
      <c r="AG830" s="351"/>
      <c r="AH830" s="540"/>
      <c r="AI830" s="351"/>
      <c r="AJ830" s="545"/>
      <c r="AK830" s="351"/>
      <c r="AL830" s="555" t="s">
        <v>325</v>
      </c>
      <c r="AM830" s="351"/>
      <c r="AN830" s="531" t="s">
        <v>325</v>
      </c>
      <c r="AO830" s="351"/>
      <c r="AP830" s="532"/>
      <c r="AQ830" s="351"/>
      <c r="AR830" s="533"/>
      <c r="AS830" s="351"/>
      <c r="AT830" s="534"/>
      <c r="AU830" s="351"/>
      <c r="AV830" s="531" t="s">
        <v>325</v>
      </c>
      <c r="AW830" s="351"/>
      <c r="AX830" s="553"/>
      <c r="AY830" s="350"/>
      <c r="AZ830" s="351"/>
      <c r="BA830" s="545"/>
      <c r="BB830" s="351"/>
      <c r="BC830" s="36"/>
      <c r="BD830" s="556" t="s">
        <v>325</v>
      </c>
      <c r="BE830" s="351"/>
      <c r="BF830" s="529"/>
      <c r="BG830" s="350"/>
      <c r="BH830" s="350"/>
      <c r="BI830" s="351"/>
      <c r="BJ830" s="506" t="s">
        <v>294</v>
      </c>
      <c r="BK830" s="350"/>
      <c r="BL830" s="350"/>
      <c r="BM830" s="351"/>
      <c r="BN830" s="530" t="s">
        <v>294</v>
      </c>
      <c r="BO830" s="350"/>
      <c r="BP830" s="350"/>
      <c r="BQ830" s="350"/>
      <c r="BR830" s="350"/>
      <c r="BS830" s="350"/>
      <c r="BT830" s="350"/>
      <c r="BU830" s="350"/>
      <c r="BV830" s="351"/>
    </row>
    <row r="831" spans="1:74" ht="45" customHeight="1">
      <c r="A831" s="24">
        <f t="shared" si="3"/>
        <v>817</v>
      </c>
      <c r="B831" s="522" t="s">
        <v>294</v>
      </c>
      <c r="C831" s="351"/>
      <c r="D831" s="523" t="s">
        <v>298</v>
      </c>
      <c r="E831" s="351"/>
      <c r="F831" s="524" t="s">
        <v>325</v>
      </c>
      <c r="G831" s="351"/>
      <c r="H831" s="561" t="s">
        <v>325</v>
      </c>
      <c r="I831" s="351"/>
      <c r="J831" s="562"/>
      <c r="K831" s="351"/>
      <c r="L831" s="562"/>
      <c r="M831" s="351"/>
      <c r="N831" s="37"/>
      <c r="O831" s="38"/>
      <c r="P831" s="560"/>
      <c r="Q831" s="351"/>
      <c r="R831" s="527"/>
      <c r="S831" s="351"/>
      <c r="T831" s="528"/>
      <c r="U831" s="351"/>
      <c r="V831" s="541"/>
      <c r="W831" s="351"/>
      <c r="X831" s="542" t="s">
        <v>294</v>
      </c>
      <c r="Y831" s="350"/>
      <c r="Z831" s="350"/>
      <c r="AA831" s="351"/>
      <c r="AB831" s="543" t="s">
        <v>294</v>
      </c>
      <c r="AC831" s="350"/>
      <c r="AD831" s="350"/>
      <c r="AE831" s="351"/>
      <c r="AF831" s="544"/>
      <c r="AG831" s="351"/>
      <c r="AH831" s="544"/>
      <c r="AI831" s="351"/>
      <c r="AJ831" s="545"/>
      <c r="AK831" s="351"/>
      <c r="AL831" s="524" t="s">
        <v>325</v>
      </c>
      <c r="AM831" s="351"/>
      <c r="AN831" s="549" t="s">
        <v>325</v>
      </c>
      <c r="AO831" s="351"/>
      <c r="AP831" s="550"/>
      <c r="AQ831" s="351"/>
      <c r="AR831" s="551"/>
      <c r="AS831" s="351"/>
      <c r="AT831" s="552"/>
      <c r="AU831" s="351"/>
      <c r="AV831" s="549" t="s">
        <v>325</v>
      </c>
      <c r="AW831" s="351"/>
      <c r="AX831" s="553"/>
      <c r="AY831" s="350"/>
      <c r="AZ831" s="351"/>
      <c r="BA831" s="554"/>
      <c r="BB831" s="351"/>
      <c r="BC831" s="39"/>
      <c r="BD831" s="546" t="s">
        <v>325</v>
      </c>
      <c r="BE831" s="351"/>
      <c r="BF831" s="547"/>
      <c r="BG831" s="350"/>
      <c r="BH831" s="350"/>
      <c r="BI831" s="351"/>
      <c r="BJ831" s="548" t="s">
        <v>294</v>
      </c>
      <c r="BK831" s="350"/>
      <c r="BL831" s="350"/>
      <c r="BM831" s="351"/>
      <c r="BN831" s="530" t="s">
        <v>294</v>
      </c>
      <c r="BO831" s="350"/>
      <c r="BP831" s="350"/>
      <c r="BQ831" s="350"/>
      <c r="BR831" s="350"/>
      <c r="BS831" s="350"/>
      <c r="BT831" s="350"/>
      <c r="BU831" s="350"/>
      <c r="BV831" s="351"/>
    </row>
    <row r="832" spans="1:74" ht="45" customHeight="1">
      <c r="A832" s="24">
        <f t="shared" si="3"/>
        <v>818</v>
      </c>
      <c r="B832" s="558" t="s">
        <v>294</v>
      </c>
      <c r="C832" s="351"/>
      <c r="D832" s="559" t="s">
        <v>298</v>
      </c>
      <c r="E832" s="351"/>
      <c r="F832" s="524" t="s">
        <v>325</v>
      </c>
      <c r="G832" s="351"/>
      <c r="H832" s="525" t="s">
        <v>325</v>
      </c>
      <c r="I832" s="351"/>
      <c r="J832" s="40"/>
      <c r="K832" s="41"/>
      <c r="L832" s="40"/>
      <c r="M832" s="41"/>
      <c r="N832" s="34"/>
      <c r="O832" s="35"/>
      <c r="P832" s="526"/>
      <c r="Q832" s="351"/>
      <c r="R832" s="535"/>
      <c r="S832" s="351"/>
      <c r="T832" s="536"/>
      <c r="U832" s="351"/>
      <c r="V832" s="537"/>
      <c r="W832" s="351"/>
      <c r="X832" s="538" t="s">
        <v>294</v>
      </c>
      <c r="Y832" s="350"/>
      <c r="Z832" s="350"/>
      <c r="AA832" s="351"/>
      <c r="AB832" s="539" t="s">
        <v>294</v>
      </c>
      <c r="AC832" s="350"/>
      <c r="AD832" s="350"/>
      <c r="AE832" s="351"/>
      <c r="AF832" s="540"/>
      <c r="AG832" s="351"/>
      <c r="AH832" s="540"/>
      <c r="AI832" s="351"/>
      <c r="AJ832" s="545"/>
      <c r="AK832" s="351"/>
      <c r="AL832" s="555" t="s">
        <v>325</v>
      </c>
      <c r="AM832" s="351"/>
      <c r="AN832" s="531" t="s">
        <v>325</v>
      </c>
      <c r="AO832" s="351"/>
      <c r="AP832" s="532"/>
      <c r="AQ832" s="351"/>
      <c r="AR832" s="533"/>
      <c r="AS832" s="351"/>
      <c r="AT832" s="534"/>
      <c r="AU832" s="351"/>
      <c r="AV832" s="531" t="s">
        <v>325</v>
      </c>
      <c r="AW832" s="351"/>
      <c r="AX832" s="553"/>
      <c r="AY832" s="350"/>
      <c r="AZ832" s="351"/>
      <c r="BA832" s="545"/>
      <c r="BB832" s="351"/>
      <c r="BC832" s="36"/>
      <c r="BD832" s="556" t="s">
        <v>325</v>
      </c>
      <c r="BE832" s="351"/>
      <c r="BF832" s="557"/>
      <c r="BG832" s="350"/>
      <c r="BH832" s="350"/>
      <c r="BI832" s="351"/>
      <c r="BJ832" s="506" t="s">
        <v>294</v>
      </c>
      <c r="BK832" s="350"/>
      <c r="BL832" s="350"/>
      <c r="BM832" s="351"/>
      <c r="BN832" s="530" t="s">
        <v>294</v>
      </c>
      <c r="BO832" s="350"/>
      <c r="BP832" s="350"/>
      <c r="BQ832" s="350"/>
      <c r="BR832" s="350"/>
      <c r="BS832" s="350"/>
      <c r="BT832" s="350"/>
      <c r="BU832" s="350"/>
      <c r="BV832" s="351"/>
    </row>
    <row r="833" spans="1:74" ht="45" customHeight="1">
      <c r="A833" s="24">
        <f t="shared" si="3"/>
        <v>819</v>
      </c>
      <c r="B833" s="522" t="s">
        <v>294</v>
      </c>
      <c r="C833" s="351"/>
      <c r="D833" s="523" t="s">
        <v>298</v>
      </c>
      <c r="E833" s="351"/>
      <c r="F833" s="524" t="s">
        <v>325</v>
      </c>
      <c r="G833" s="351"/>
      <c r="H833" s="561" t="s">
        <v>325</v>
      </c>
      <c r="I833" s="351"/>
      <c r="J833" s="562"/>
      <c r="K833" s="351"/>
      <c r="L833" s="562"/>
      <c r="M833" s="351"/>
      <c r="N833" s="37"/>
      <c r="O833" s="38"/>
      <c r="P833" s="560"/>
      <c r="Q833" s="351"/>
      <c r="R833" s="527"/>
      <c r="S833" s="351"/>
      <c r="T833" s="528"/>
      <c r="U833" s="351"/>
      <c r="V833" s="541"/>
      <c r="W833" s="351"/>
      <c r="X833" s="542" t="s">
        <v>294</v>
      </c>
      <c r="Y833" s="350"/>
      <c r="Z833" s="350"/>
      <c r="AA833" s="351"/>
      <c r="AB833" s="543" t="s">
        <v>294</v>
      </c>
      <c r="AC833" s="350"/>
      <c r="AD833" s="350"/>
      <c r="AE833" s="351"/>
      <c r="AF833" s="544"/>
      <c r="AG833" s="351"/>
      <c r="AH833" s="544"/>
      <c r="AI833" s="351"/>
      <c r="AJ833" s="545"/>
      <c r="AK833" s="351"/>
      <c r="AL833" s="524" t="s">
        <v>325</v>
      </c>
      <c r="AM833" s="351"/>
      <c r="AN833" s="549" t="s">
        <v>325</v>
      </c>
      <c r="AO833" s="351"/>
      <c r="AP833" s="550"/>
      <c r="AQ833" s="351"/>
      <c r="AR833" s="551"/>
      <c r="AS833" s="351"/>
      <c r="AT833" s="552"/>
      <c r="AU833" s="351"/>
      <c r="AV833" s="549" t="s">
        <v>325</v>
      </c>
      <c r="AW833" s="351"/>
      <c r="AX833" s="553"/>
      <c r="AY833" s="350"/>
      <c r="AZ833" s="351"/>
      <c r="BA833" s="554"/>
      <c r="BB833" s="351"/>
      <c r="BC833" s="39"/>
      <c r="BD833" s="546" t="s">
        <v>325</v>
      </c>
      <c r="BE833" s="351"/>
      <c r="BF833" s="547"/>
      <c r="BG833" s="350"/>
      <c r="BH833" s="350"/>
      <c r="BI833" s="351"/>
      <c r="BJ833" s="548" t="s">
        <v>294</v>
      </c>
      <c r="BK833" s="350"/>
      <c r="BL833" s="350"/>
      <c r="BM833" s="351"/>
      <c r="BN833" s="530" t="s">
        <v>294</v>
      </c>
      <c r="BO833" s="350"/>
      <c r="BP833" s="350"/>
      <c r="BQ833" s="350"/>
      <c r="BR833" s="350"/>
      <c r="BS833" s="350"/>
      <c r="BT833" s="350"/>
      <c r="BU833" s="350"/>
      <c r="BV833" s="351"/>
    </row>
    <row r="834" spans="1:74" ht="45" customHeight="1">
      <c r="A834" s="24">
        <f t="shared" si="3"/>
        <v>820</v>
      </c>
      <c r="B834" s="558" t="s">
        <v>294</v>
      </c>
      <c r="C834" s="351"/>
      <c r="D834" s="559" t="s">
        <v>298</v>
      </c>
      <c r="E834" s="351"/>
      <c r="F834" s="524" t="s">
        <v>325</v>
      </c>
      <c r="G834" s="351"/>
      <c r="H834" s="525" t="s">
        <v>325</v>
      </c>
      <c r="I834" s="351"/>
      <c r="J834" s="40"/>
      <c r="K834" s="41"/>
      <c r="L834" s="40"/>
      <c r="M834" s="41"/>
      <c r="N834" s="34"/>
      <c r="O834" s="35"/>
      <c r="P834" s="526"/>
      <c r="Q834" s="351"/>
      <c r="R834" s="535"/>
      <c r="S834" s="351"/>
      <c r="T834" s="536"/>
      <c r="U834" s="351"/>
      <c r="V834" s="537"/>
      <c r="W834" s="351"/>
      <c r="X834" s="538" t="s">
        <v>294</v>
      </c>
      <c r="Y834" s="350"/>
      <c r="Z834" s="350"/>
      <c r="AA834" s="351"/>
      <c r="AB834" s="539" t="s">
        <v>294</v>
      </c>
      <c r="AC834" s="350"/>
      <c r="AD834" s="350"/>
      <c r="AE834" s="351"/>
      <c r="AF834" s="540"/>
      <c r="AG834" s="351"/>
      <c r="AH834" s="540"/>
      <c r="AI834" s="351"/>
      <c r="AJ834" s="545"/>
      <c r="AK834" s="351"/>
      <c r="AL834" s="555" t="s">
        <v>325</v>
      </c>
      <c r="AM834" s="351"/>
      <c r="AN834" s="531" t="s">
        <v>325</v>
      </c>
      <c r="AO834" s="351"/>
      <c r="AP834" s="532"/>
      <c r="AQ834" s="351"/>
      <c r="AR834" s="533"/>
      <c r="AS834" s="351"/>
      <c r="AT834" s="534"/>
      <c r="AU834" s="351"/>
      <c r="AV834" s="531" t="s">
        <v>325</v>
      </c>
      <c r="AW834" s="351"/>
      <c r="AX834" s="553"/>
      <c r="AY834" s="350"/>
      <c r="AZ834" s="351"/>
      <c r="BA834" s="545"/>
      <c r="BB834" s="351"/>
      <c r="BC834" s="36"/>
      <c r="BD834" s="556" t="s">
        <v>325</v>
      </c>
      <c r="BE834" s="351"/>
      <c r="BF834" s="557"/>
      <c r="BG834" s="350"/>
      <c r="BH834" s="350"/>
      <c r="BI834" s="351"/>
      <c r="BJ834" s="506" t="s">
        <v>294</v>
      </c>
      <c r="BK834" s="350"/>
      <c r="BL834" s="350"/>
      <c r="BM834" s="351"/>
      <c r="BN834" s="530" t="s">
        <v>294</v>
      </c>
      <c r="BO834" s="350"/>
      <c r="BP834" s="350"/>
      <c r="BQ834" s="350"/>
      <c r="BR834" s="350"/>
      <c r="BS834" s="350"/>
      <c r="BT834" s="350"/>
      <c r="BU834" s="350"/>
      <c r="BV834" s="351"/>
    </row>
    <row r="835" spans="1:74" ht="45" customHeight="1">
      <c r="A835" s="24">
        <f t="shared" si="3"/>
        <v>821</v>
      </c>
      <c r="B835" s="522" t="s">
        <v>294</v>
      </c>
      <c r="C835" s="351"/>
      <c r="D835" s="523" t="s">
        <v>298</v>
      </c>
      <c r="E835" s="351"/>
      <c r="F835" s="524" t="s">
        <v>325</v>
      </c>
      <c r="G835" s="351"/>
      <c r="H835" s="561" t="s">
        <v>325</v>
      </c>
      <c r="I835" s="351"/>
      <c r="J835" s="562"/>
      <c r="K835" s="351"/>
      <c r="L835" s="562"/>
      <c r="M835" s="351"/>
      <c r="N835" s="37"/>
      <c r="O835" s="38"/>
      <c r="P835" s="560"/>
      <c r="Q835" s="351"/>
      <c r="R835" s="527"/>
      <c r="S835" s="351"/>
      <c r="T835" s="528"/>
      <c r="U835" s="351"/>
      <c r="V835" s="541"/>
      <c r="W835" s="351"/>
      <c r="X835" s="542" t="s">
        <v>294</v>
      </c>
      <c r="Y835" s="350"/>
      <c r="Z835" s="350"/>
      <c r="AA835" s="351"/>
      <c r="AB835" s="543" t="s">
        <v>294</v>
      </c>
      <c r="AC835" s="350"/>
      <c r="AD835" s="350"/>
      <c r="AE835" s="351"/>
      <c r="AF835" s="544"/>
      <c r="AG835" s="351"/>
      <c r="AH835" s="544"/>
      <c r="AI835" s="351"/>
      <c r="AJ835" s="545"/>
      <c r="AK835" s="351"/>
      <c r="AL835" s="524" t="s">
        <v>325</v>
      </c>
      <c r="AM835" s="351"/>
      <c r="AN835" s="549" t="s">
        <v>325</v>
      </c>
      <c r="AO835" s="351"/>
      <c r="AP835" s="550"/>
      <c r="AQ835" s="351"/>
      <c r="AR835" s="551"/>
      <c r="AS835" s="351"/>
      <c r="AT835" s="552"/>
      <c r="AU835" s="351"/>
      <c r="AV835" s="549" t="s">
        <v>325</v>
      </c>
      <c r="AW835" s="351"/>
      <c r="AX835" s="553"/>
      <c r="AY835" s="350"/>
      <c r="AZ835" s="351"/>
      <c r="BA835" s="554"/>
      <c r="BB835" s="351"/>
      <c r="BC835" s="39"/>
      <c r="BD835" s="546" t="s">
        <v>325</v>
      </c>
      <c r="BE835" s="351"/>
      <c r="BF835" s="547"/>
      <c r="BG835" s="350"/>
      <c r="BH835" s="350"/>
      <c r="BI835" s="351"/>
      <c r="BJ835" s="548" t="s">
        <v>294</v>
      </c>
      <c r="BK835" s="350"/>
      <c r="BL835" s="350"/>
      <c r="BM835" s="351"/>
      <c r="BN835" s="530" t="s">
        <v>294</v>
      </c>
      <c r="BO835" s="350"/>
      <c r="BP835" s="350"/>
      <c r="BQ835" s="350"/>
      <c r="BR835" s="350"/>
      <c r="BS835" s="350"/>
      <c r="BT835" s="350"/>
      <c r="BU835" s="350"/>
      <c r="BV835" s="351"/>
    </row>
    <row r="836" spans="1:74" ht="45" customHeight="1">
      <c r="A836" s="24">
        <f t="shared" si="3"/>
        <v>822</v>
      </c>
      <c r="B836" s="558" t="s">
        <v>294</v>
      </c>
      <c r="C836" s="351"/>
      <c r="D836" s="559" t="s">
        <v>298</v>
      </c>
      <c r="E836" s="351"/>
      <c r="F836" s="524" t="s">
        <v>325</v>
      </c>
      <c r="G836" s="351"/>
      <c r="H836" s="525" t="s">
        <v>325</v>
      </c>
      <c r="I836" s="351"/>
      <c r="J836" s="40"/>
      <c r="K836" s="41"/>
      <c r="L836" s="40"/>
      <c r="M836" s="41"/>
      <c r="N836" s="34"/>
      <c r="O836" s="35"/>
      <c r="P836" s="526"/>
      <c r="Q836" s="351"/>
      <c r="R836" s="535"/>
      <c r="S836" s="351"/>
      <c r="T836" s="536"/>
      <c r="U836" s="351"/>
      <c r="V836" s="537"/>
      <c r="W836" s="351"/>
      <c r="X836" s="538" t="s">
        <v>294</v>
      </c>
      <c r="Y836" s="350"/>
      <c r="Z836" s="350"/>
      <c r="AA836" s="351"/>
      <c r="AB836" s="539" t="s">
        <v>294</v>
      </c>
      <c r="AC836" s="350"/>
      <c r="AD836" s="350"/>
      <c r="AE836" s="351"/>
      <c r="AF836" s="540"/>
      <c r="AG836" s="351"/>
      <c r="AH836" s="540"/>
      <c r="AI836" s="351"/>
      <c r="AJ836" s="545"/>
      <c r="AK836" s="351"/>
      <c r="AL836" s="555" t="s">
        <v>325</v>
      </c>
      <c r="AM836" s="351"/>
      <c r="AN836" s="531" t="s">
        <v>325</v>
      </c>
      <c r="AO836" s="351"/>
      <c r="AP836" s="532"/>
      <c r="AQ836" s="351"/>
      <c r="AR836" s="533"/>
      <c r="AS836" s="351"/>
      <c r="AT836" s="534"/>
      <c r="AU836" s="351"/>
      <c r="AV836" s="531" t="s">
        <v>325</v>
      </c>
      <c r="AW836" s="351"/>
      <c r="AX836" s="553"/>
      <c r="AY836" s="350"/>
      <c r="AZ836" s="351"/>
      <c r="BA836" s="545"/>
      <c r="BB836" s="351"/>
      <c r="BC836" s="36"/>
      <c r="BD836" s="556" t="s">
        <v>325</v>
      </c>
      <c r="BE836" s="351"/>
      <c r="BF836" s="529"/>
      <c r="BG836" s="350"/>
      <c r="BH836" s="350"/>
      <c r="BI836" s="351"/>
      <c r="BJ836" s="506" t="s">
        <v>294</v>
      </c>
      <c r="BK836" s="350"/>
      <c r="BL836" s="350"/>
      <c r="BM836" s="351"/>
      <c r="BN836" s="530" t="s">
        <v>294</v>
      </c>
      <c r="BO836" s="350"/>
      <c r="BP836" s="350"/>
      <c r="BQ836" s="350"/>
      <c r="BR836" s="350"/>
      <c r="BS836" s="350"/>
      <c r="BT836" s="350"/>
      <c r="BU836" s="350"/>
      <c r="BV836" s="351"/>
    </row>
    <row r="837" spans="1:74" ht="45" customHeight="1">
      <c r="A837" s="24">
        <f t="shared" si="3"/>
        <v>823</v>
      </c>
      <c r="B837" s="522" t="s">
        <v>294</v>
      </c>
      <c r="C837" s="351"/>
      <c r="D837" s="523" t="s">
        <v>298</v>
      </c>
      <c r="E837" s="351"/>
      <c r="F837" s="524" t="s">
        <v>325</v>
      </c>
      <c r="G837" s="351"/>
      <c r="H837" s="561" t="s">
        <v>325</v>
      </c>
      <c r="I837" s="351"/>
      <c r="J837" s="562"/>
      <c r="K837" s="351"/>
      <c r="L837" s="562"/>
      <c r="M837" s="351"/>
      <c r="N837" s="37"/>
      <c r="O837" s="38"/>
      <c r="P837" s="560"/>
      <c r="Q837" s="351"/>
      <c r="R837" s="527"/>
      <c r="S837" s="351"/>
      <c r="T837" s="528"/>
      <c r="U837" s="351"/>
      <c r="V837" s="541"/>
      <c r="W837" s="351"/>
      <c r="X837" s="542" t="s">
        <v>294</v>
      </c>
      <c r="Y837" s="350"/>
      <c r="Z837" s="350"/>
      <c r="AA837" s="351"/>
      <c r="AB837" s="543" t="s">
        <v>294</v>
      </c>
      <c r="AC837" s="350"/>
      <c r="AD837" s="350"/>
      <c r="AE837" s="351"/>
      <c r="AF837" s="544"/>
      <c r="AG837" s="351"/>
      <c r="AH837" s="544"/>
      <c r="AI837" s="351"/>
      <c r="AJ837" s="545"/>
      <c r="AK837" s="351"/>
      <c r="AL837" s="524" t="s">
        <v>325</v>
      </c>
      <c r="AM837" s="351"/>
      <c r="AN837" s="549" t="s">
        <v>325</v>
      </c>
      <c r="AO837" s="351"/>
      <c r="AP837" s="550"/>
      <c r="AQ837" s="351"/>
      <c r="AR837" s="551"/>
      <c r="AS837" s="351"/>
      <c r="AT837" s="552"/>
      <c r="AU837" s="351"/>
      <c r="AV837" s="549" t="s">
        <v>325</v>
      </c>
      <c r="AW837" s="351"/>
      <c r="AX837" s="553"/>
      <c r="AY837" s="350"/>
      <c r="AZ837" s="351"/>
      <c r="BA837" s="554"/>
      <c r="BB837" s="351"/>
      <c r="BC837" s="39"/>
      <c r="BD837" s="546" t="s">
        <v>325</v>
      </c>
      <c r="BE837" s="351"/>
      <c r="BF837" s="547"/>
      <c r="BG837" s="350"/>
      <c r="BH837" s="350"/>
      <c r="BI837" s="351"/>
      <c r="BJ837" s="548" t="s">
        <v>294</v>
      </c>
      <c r="BK837" s="350"/>
      <c r="BL837" s="350"/>
      <c r="BM837" s="351"/>
      <c r="BN837" s="530" t="s">
        <v>294</v>
      </c>
      <c r="BO837" s="350"/>
      <c r="BP837" s="350"/>
      <c r="BQ837" s="350"/>
      <c r="BR837" s="350"/>
      <c r="BS837" s="350"/>
      <c r="BT837" s="350"/>
      <c r="BU837" s="350"/>
      <c r="BV837" s="351"/>
    </row>
    <row r="838" spans="1:74" ht="45" customHeight="1">
      <c r="A838" s="24">
        <f t="shared" si="3"/>
        <v>824</v>
      </c>
      <c r="B838" s="558" t="s">
        <v>294</v>
      </c>
      <c r="C838" s="351"/>
      <c r="D838" s="559" t="s">
        <v>298</v>
      </c>
      <c r="E838" s="351"/>
      <c r="F838" s="524" t="s">
        <v>325</v>
      </c>
      <c r="G838" s="351"/>
      <c r="H838" s="525" t="s">
        <v>325</v>
      </c>
      <c r="I838" s="351"/>
      <c r="J838" s="40"/>
      <c r="K838" s="41"/>
      <c r="L838" s="40"/>
      <c r="M838" s="41"/>
      <c r="N838" s="34"/>
      <c r="O838" s="35"/>
      <c r="P838" s="526"/>
      <c r="Q838" s="351"/>
      <c r="R838" s="535"/>
      <c r="S838" s="351"/>
      <c r="T838" s="536"/>
      <c r="U838" s="351"/>
      <c r="V838" s="537"/>
      <c r="W838" s="351"/>
      <c r="X838" s="538" t="s">
        <v>294</v>
      </c>
      <c r="Y838" s="350"/>
      <c r="Z838" s="350"/>
      <c r="AA838" s="351"/>
      <c r="AB838" s="539" t="s">
        <v>294</v>
      </c>
      <c r="AC838" s="350"/>
      <c r="AD838" s="350"/>
      <c r="AE838" s="351"/>
      <c r="AF838" s="540"/>
      <c r="AG838" s="351"/>
      <c r="AH838" s="540"/>
      <c r="AI838" s="351"/>
      <c r="AJ838" s="545"/>
      <c r="AK838" s="351"/>
      <c r="AL838" s="555" t="s">
        <v>325</v>
      </c>
      <c r="AM838" s="351"/>
      <c r="AN838" s="531" t="s">
        <v>325</v>
      </c>
      <c r="AO838" s="351"/>
      <c r="AP838" s="532"/>
      <c r="AQ838" s="351"/>
      <c r="AR838" s="533"/>
      <c r="AS838" s="351"/>
      <c r="AT838" s="534"/>
      <c r="AU838" s="351"/>
      <c r="AV838" s="531" t="s">
        <v>325</v>
      </c>
      <c r="AW838" s="351"/>
      <c r="AX838" s="553"/>
      <c r="AY838" s="350"/>
      <c r="AZ838" s="351"/>
      <c r="BA838" s="545"/>
      <c r="BB838" s="351"/>
      <c r="BC838" s="36"/>
      <c r="BD838" s="556" t="s">
        <v>325</v>
      </c>
      <c r="BE838" s="351"/>
      <c r="BF838" s="557"/>
      <c r="BG838" s="350"/>
      <c r="BH838" s="350"/>
      <c r="BI838" s="351"/>
      <c r="BJ838" s="506" t="s">
        <v>294</v>
      </c>
      <c r="BK838" s="350"/>
      <c r="BL838" s="350"/>
      <c r="BM838" s="351"/>
      <c r="BN838" s="530" t="s">
        <v>294</v>
      </c>
      <c r="BO838" s="350"/>
      <c r="BP838" s="350"/>
      <c r="BQ838" s="350"/>
      <c r="BR838" s="350"/>
      <c r="BS838" s="350"/>
      <c r="BT838" s="350"/>
      <c r="BU838" s="350"/>
      <c r="BV838" s="351"/>
    </row>
    <row r="839" spans="1:74" ht="45" customHeight="1">
      <c r="A839" s="24">
        <f t="shared" si="3"/>
        <v>825</v>
      </c>
      <c r="B839" s="522" t="s">
        <v>294</v>
      </c>
      <c r="C839" s="351"/>
      <c r="D839" s="523" t="s">
        <v>298</v>
      </c>
      <c r="E839" s="351"/>
      <c r="F839" s="524" t="s">
        <v>325</v>
      </c>
      <c r="G839" s="351"/>
      <c r="H839" s="561" t="s">
        <v>325</v>
      </c>
      <c r="I839" s="351"/>
      <c r="J839" s="562"/>
      <c r="K839" s="351"/>
      <c r="L839" s="562"/>
      <c r="M839" s="351"/>
      <c r="N839" s="37"/>
      <c r="O839" s="38"/>
      <c r="P839" s="560"/>
      <c r="Q839" s="351"/>
      <c r="R839" s="527"/>
      <c r="S839" s="351"/>
      <c r="T839" s="528"/>
      <c r="U839" s="351"/>
      <c r="V839" s="541"/>
      <c r="W839" s="351"/>
      <c r="X839" s="542" t="s">
        <v>294</v>
      </c>
      <c r="Y839" s="350"/>
      <c r="Z839" s="350"/>
      <c r="AA839" s="351"/>
      <c r="AB839" s="543" t="s">
        <v>294</v>
      </c>
      <c r="AC839" s="350"/>
      <c r="AD839" s="350"/>
      <c r="AE839" s="351"/>
      <c r="AF839" s="544"/>
      <c r="AG839" s="351"/>
      <c r="AH839" s="544"/>
      <c r="AI839" s="351"/>
      <c r="AJ839" s="545"/>
      <c r="AK839" s="351"/>
      <c r="AL839" s="524" t="s">
        <v>325</v>
      </c>
      <c r="AM839" s="351"/>
      <c r="AN839" s="549" t="s">
        <v>325</v>
      </c>
      <c r="AO839" s="351"/>
      <c r="AP839" s="550"/>
      <c r="AQ839" s="351"/>
      <c r="AR839" s="551"/>
      <c r="AS839" s="351"/>
      <c r="AT839" s="534"/>
      <c r="AU839" s="351"/>
      <c r="AV839" s="549" t="s">
        <v>325</v>
      </c>
      <c r="AW839" s="351"/>
      <c r="AX839" s="553"/>
      <c r="AY839" s="350"/>
      <c r="AZ839" s="351"/>
      <c r="BA839" s="554"/>
      <c r="BB839" s="351"/>
      <c r="BC839" s="39"/>
      <c r="BD839" s="546" t="s">
        <v>325</v>
      </c>
      <c r="BE839" s="351"/>
      <c r="BF839" s="547"/>
      <c r="BG839" s="350"/>
      <c r="BH839" s="350"/>
      <c r="BI839" s="351"/>
      <c r="BJ839" s="548" t="s">
        <v>294</v>
      </c>
      <c r="BK839" s="350"/>
      <c r="BL839" s="350"/>
      <c r="BM839" s="351"/>
      <c r="BN839" s="530" t="s">
        <v>294</v>
      </c>
      <c r="BO839" s="350"/>
      <c r="BP839" s="350"/>
      <c r="BQ839" s="350"/>
      <c r="BR839" s="350"/>
      <c r="BS839" s="350"/>
      <c r="BT839" s="350"/>
      <c r="BU839" s="350"/>
      <c r="BV839" s="351"/>
    </row>
    <row r="840" spans="1:74" ht="45" customHeight="1">
      <c r="A840" s="24">
        <f t="shared" si="3"/>
        <v>826</v>
      </c>
      <c r="B840" s="558" t="s">
        <v>294</v>
      </c>
      <c r="C840" s="351"/>
      <c r="D840" s="559" t="s">
        <v>298</v>
      </c>
      <c r="E840" s="351"/>
      <c r="F840" s="524" t="s">
        <v>325</v>
      </c>
      <c r="G840" s="351"/>
      <c r="H840" s="525" t="s">
        <v>325</v>
      </c>
      <c r="I840" s="351"/>
      <c r="J840" s="40"/>
      <c r="K840" s="41"/>
      <c r="L840" s="40"/>
      <c r="M840" s="41"/>
      <c r="N840" s="34"/>
      <c r="O840" s="35"/>
      <c r="P840" s="526"/>
      <c r="Q840" s="351"/>
      <c r="R840" s="535"/>
      <c r="S840" s="351"/>
      <c r="T840" s="536"/>
      <c r="U840" s="351"/>
      <c r="V840" s="537"/>
      <c r="W840" s="351"/>
      <c r="X840" s="538" t="s">
        <v>294</v>
      </c>
      <c r="Y840" s="350"/>
      <c r="Z840" s="350"/>
      <c r="AA840" s="351"/>
      <c r="AB840" s="539" t="s">
        <v>294</v>
      </c>
      <c r="AC840" s="350"/>
      <c r="AD840" s="350"/>
      <c r="AE840" s="351"/>
      <c r="AF840" s="540"/>
      <c r="AG840" s="351"/>
      <c r="AH840" s="540"/>
      <c r="AI840" s="351"/>
      <c r="AJ840" s="545"/>
      <c r="AK840" s="351"/>
      <c r="AL840" s="555" t="s">
        <v>325</v>
      </c>
      <c r="AM840" s="351"/>
      <c r="AN840" s="531" t="s">
        <v>325</v>
      </c>
      <c r="AO840" s="351"/>
      <c r="AP840" s="532"/>
      <c r="AQ840" s="351"/>
      <c r="AR840" s="533"/>
      <c r="AS840" s="351"/>
      <c r="AT840" s="534"/>
      <c r="AU840" s="351"/>
      <c r="AV840" s="531" t="s">
        <v>325</v>
      </c>
      <c r="AW840" s="351"/>
      <c r="AX840" s="553"/>
      <c r="AY840" s="350"/>
      <c r="AZ840" s="351"/>
      <c r="BA840" s="545"/>
      <c r="BB840" s="351"/>
      <c r="BC840" s="36"/>
      <c r="BD840" s="556" t="s">
        <v>325</v>
      </c>
      <c r="BE840" s="351"/>
      <c r="BF840" s="557"/>
      <c r="BG840" s="350"/>
      <c r="BH840" s="350"/>
      <c r="BI840" s="351"/>
      <c r="BJ840" s="506" t="s">
        <v>294</v>
      </c>
      <c r="BK840" s="350"/>
      <c r="BL840" s="350"/>
      <c r="BM840" s="351"/>
      <c r="BN840" s="530" t="s">
        <v>294</v>
      </c>
      <c r="BO840" s="350"/>
      <c r="BP840" s="350"/>
      <c r="BQ840" s="350"/>
      <c r="BR840" s="350"/>
      <c r="BS840" s="350"/>
      <c r="BT840" s="350"/>
      <c r="BU840" s="350"/>
      <c r="BV840" s="351"/>
    </row>
    <row r="841" spans="1:74" ht="45" customHeight="1">
      <c r="A841" s="24">
        <f t="shared" si="3"/>
        <v>827</v>
      </c>
      <c r="B841" s="522" t="s">
        <v>294</v>
      </c>
      <c r="C841" s="351"/>
      <c r="D841" s="523" t="s">
        <v>298</v>
      </c>
      <c r="E841" s="351"/>
      <c r="F841" s="524" t="s">
        <v>325</v>
      </c>
      <c r="G841" s="351"/>
      <c r="H841" s="561" t="s">
        <v>325</v>
      </c>
      <c r="I841" s="351"/>
      <c r="J841" s="562"/>
      <c r="K841" s="351"/>
      <c r="L841" s="562"/>
      <c r="M841" s="351"/>
      <c r="N841" s="37"/>
      <c r="O841" s="38"/>
      <c r="P841" s="560"/>
      <c r="Q841" s="351"/>
      <c r="R841" s="527"/>
      <c r="S841" s="351"/>
      <c r="T841" s="528"/>
      <c r="U841" s="351"/>
      <c r="V841" s="541"/>
      <c r="W841" s="351"/>
      <c r="X841" s="542" t="s">
        <v>294</v>
      </c>
      <c r="Y841" s="350"/>
      <c r="Z841" s="350"/>
      <c r="AA841" s="351"/>
      <c r="AB841" s="543" t="s">
        <v>294</v>
      </c>
      <c r="AC841" s="350"/>
      <c r="AD841" s="350"/>
      <c r="AE841" s="351"/>
      <c r="AF841" s="544"/>
      <c r="AG841" s="351"/>
      <c r="AH841" s="544"/>
      <c r="AI841" s="351"/>
      <c r="AJ841" s="545"/>
      <c r="AK841" s="351"/>
      <c r="AL841" s="524" t="s">
        <v>325</v>
      </c>
      <c r="AM841" s="351"/>
      <c r="AN841" s="549" t="s">
        <v>325</v>
      </c>
      <c r="AO841" s="351"/>
      <c r="AP841" s="550"/>
      <c r="AQ841" s="351"/>
      <c r="AR841" s="551"/>
      <c r="AS841" s="351"/>
      <c r="AT841" s="534"/>
      <c r="AU841" s="351"/>
      <c r="AV841" s="549" t="s">
        <v>325</v>
      </c>
      <c r="AW841" s="351"/>
      <c r="AX841" s="553"/>
      <c r="AY841" s="350"/>
      <c r="AZ841" s="351"/>
      <c r="BA841" s="554"/>
      <c r="BB841" s="351"/>
      <c r="BC841" s="39"/>
      <c r="BD841" s="546" t="s">
        <v>325</v>
      </c>
      <c r="BE841" s="351"/>
      <c r="BF841" s="547"/>
      <c r="BG841" s="350"/>
      <c r="BH841" s="350"/>
      <c r="BI841" s="351"/>
      <c r="BJ841" s="548" t="s">
        <v>294</v>
      </c>
      <c r="BK841" s="350"/>
      <c r="BL841" s="350"/>
      <c r="BM841" s="351"/>
      <c r="BN841" s="530" t="s">
        <v>294</v>
      </c>
      <c r="BO841" s="350"/>
      <c r="BP841" s="350"/>
      <c r="BQ841" s="350"/>
      <c r="BR841" s="350"/>
      <c r="BS841" s="350"/>
      <c r="BT841" s="350"/>
      <c r="BU841" s="350"/>
      <c r="BV841" s="351"/>
    </row>
    <row r="842" spans="1:74" ht="45" customHeight="1">
      <c r="A842" s="24">
        <f t="shared" si="3"/>
        <v>828</v>
      </c>
      <c r="B842" s="558" t="s">
        <v>294</v>
      </c>
      <c r="C842" s="351"/>
      <c r="D842" s="559" t="s">
        <v>298</v>
      </c>
      <c r="E842" s="351"/>
      <c r="F842" s="524" t="s">
        <v>325</v>
      </c>
      <c r="G842" s="351"/>
      <c r="H842" s="525" t="s">
        <v>325</v>
      </c>
      <c r="I842" s="351"/>
      <c r="J842" s="40"/>
      <c r="K842" s="41"/>
      <c r="L842" s="40"/>
      <c r="M842" s="41"/>
      <c r="N842" s="34"/>
      <c r="O842" s="35"/>
      <c r="P842" s="526"/>
      <c r="Q842" s="351"/>
      <c r="R842" s="535"/>
      <c r="S842" s="351"/>
      <c r="T842" s="536"/>
      <c r="U842" s="351"/>
      <c r="V842" s="537"/>
      <c r="W842" s="351"/>
      <c r="X842" s="538" t="s">
        <v>294</v>
      </c>
      <c r="Y842" s="350"/>
      <c r="Z842" s="350"/>
      <c r="AA842" s="351"/>
      <c r="AB842" s="539" t="s">
        <v>294</v>
      </c>
      <c r="AC842" s="350"/>
      <c r="AD842" s="350"/>
      <c r="AE842" s="351"/>
      <c r="AF842" s="540"/>
      <c r="AG842" s="351"/>
      <c r="AH842" s="540"/>
      <c r="AI842" s="351"/>
      <c r="AJ842" s="545"/>
      <c r="AK842" s="351"/>
      <c r="AL842" s="555" t="s">
        <v>325</v>
      </c>
      <c r="AM842" s="351"/>
      <c r="AN842" s="531" t="s">
        <v>325</v>
      </c>
      <c r="AO842" s="351"/>
      <c r="AP842" s="532"/>
      <c r="AQ842" s="351"/>
      <c r="AR842" s="533"/>
      <c r="AS842" s="351"/>
      <c r="AT842" s="534"/>
      <c r="AU842" s="351"/>
      <c r="AV842" s="531" t="s">
        <v>325</v>
      </c>
      <c r="AW842" s="351"/>
      <c r="AX842" s="553"/>
      <c r="AY842" s="350"/>
      <c r="AZ842" s="351"/>
      <c r="BA842" s="545"/>
      <c r="BB842" s="351"/>
      <c r="BC842" s="36"/>
      <c r="BD842" s="556" t="s">
        <v>325</v>
      </c>
      <c r="BE842" s="351"/>
      <c r="BF842" s="557"/>
      <c r="BG842" s="350"/>
      <c r="BH842" s="350"/>
      <c r="BI842" s="351"/>
      <c r="BJ842" s="506" t="s">
        <v>294</v>
      </c>
      <c r="BK842" s="350"/>
      <c r="BL842" s="350"/>
      <c r="BM842" s="351"/>
      <c r="BN842" s="530" t="s">
        <v>294</v>
      </c>
      <c r="BO842" s="350"/>
      <c r="BP842" s="350"/>
      <c r="BQ842" s="350"/>
      <c r="BR842" s="350"/>
      <c r="BS842" s="350"/>
      <c r="BT842" s="350"/>
      <c r="BU842" s="350"/>
      <c r="BV842" s="351"/>
    </row>
    <row r="843" spans="1:74" ht="45" customHeight="1">
      <c r="A843" s="24">
        <f t="shared" si="3"/>
        <v>829</v>
      </c>
      <c r="B843" s="522" t="s">
        <v>294</v>
      </c>
      <c r="C843" s="351"/>
      <c r="D843" s="523" t="s">
        <v>298</v>
      </c>
      <c r="E843" s="351"/>
      <c r="F843" s="524" t="s">
        <v>325</v>
      </c>
      <c r="G843" s="351"/>
      <c r="H843" s="561" t="s">
        <v>325</v>
      </c>
      <c r="I843" s="351"/>
      <c r="J843" s="562"/>
      <c r="K843" s="351"/>
      <c r="L843" s="562"/>
      <c r="M843" s="351"/>
      <c r="N843" s="37"/>
      <c r="O843" s="38"/>
      <c r="P843" s="560"/>
      <c r="Q843" s="351"/>
      <c r="R843" s="527"/>
      <c r="S843" s="351"/>
      <c r="T843" s="528"/>
      <c r="U843" s="351"/>
      <c r="V843" s="541"/>
      <c r="W843" s="351"/>
      <c r="X843" s="542" t="s">
        <v>294</v>
      </c>
      <c r="Y843" s="350"/>
      <c r="Z843" s="350"/>
      <c r="AA843" s="351"/>
      <c r="AB843" s="543" t="s">
        <v>294</v>
      </c>
      <c r="AC843" s="350"/>
      <c r="AD843" s="350"/>
      <c r="AE843" s="351"/>
      <c r="AF843" s="544"/>
      <c r="AG843" s="351"/>
      <c r="AH843" s="544"/>
      <c r="AI843" s="351"/>
      <c r="AJ843" s="545"/>
      <c r="AK843" s="351"/>
      <c r="AL843" s="524" t="s">
        <v>325</v>
      </c>
      <c r="AM843" s="351"/>
      <c r="AN843" s="549" t="s">
        <v>325</v>
      </c>
      <c r="AO843" s="351"/>
      <c r="AP843" s="550"/>
      <c r="AQ843" s="351"/>
      <c r="AR843" s="551"/>
      <c r="AS843" s="351"/>
      <c r="AT843" s="552"/>
      <c r="AU843" s="351"/>
      <c r="AV843" s="549" t="s">
        <v>325</v>
      </c>
      <c r="AW843" s="351"/>
      <c r="AX843" s="553"/>
      <c r="AY843" s="350"/>
      <c r="AZ843" s="351"/>
      <c r="BA843" s="554"/>
      <c r="BB843" s="351"/>
      <c r="BC843" s="39"/>
      <c r="BD843" s="546" t="s">
        <v>325</v>
      </c>
      <c r="BE843" s="351"/>
      <c r="BF843" s="547"/>
      <c r="BG843" s="350"/>
      <c r="BH843" s="350"/>
      <c r="BI843" s="351"/>
      <c r="BJ843" s="548" t="s">
        <v>294</v>
      </c>
      <c r="BK843" s="350"/>
      <c r="BL843" s="350"/>
      <c r="BM843" s="351"/>
      <c r="BN843" s="530" t="s">
        <v>294</v>
      </c>
      <c r="BO843" s="350"/>
      <c r="BP843" s="350"/>
      <c r="BQ843" s="350"/>
      <c r="BR843" s="350"/>
      <c r="BS843" s="350"/>
      <c r="BT843" s="350"/>
      <c r="BU843" s="350"/>
      <c r="BV843" s="351"/>
    </row>
    <row r="844" spans="1:74" ht="45" customHeight="1">
      <c r="A844" s="24">
        <f t="shared" si="3"/>
        <v>830</v>
      </c>
      <c r="B844" s="558" t="s">
        <v>294</v>
      </c>
      <c r="C844" s="351"/>
      <c r="D844" s="559" t="s">
        <v>298</v>
      </c>
      <c r="E844" s="351"/>
      <c r="F844" s="524" t="s">
        <v>325</v>
      </c>
      <c r="G844" s="351"/>
      <c r="H844" s="525" t="s">
        <v>325</v>
      </c>
      <c r="I844" s="351"/>
      <c r="J844" s="40"/>
      <c r="K844" s="41"/>
      <c r="L844" s="40"/>
      <c r="M844" s="41"/>
      <c r="N844" s="34"/>
      <c r="O844" s="35"/>
      <c r="P844" s="526"/>
      <c r="Q844" s="351"/>
      <c r="R844" s="535"/>
      <c r="S844" s="351"/>
      <c r="T844" s="536"/>
      <c r="U844" s="351"/>
      <c r="V844" s="537"/>
      <c r="W844" s="351"/>
      <c r="X844" s="538" t="s">
        <v>294</v>
      </c>
      <c r="Y844" s="350"/>
      <c r="Z844" s="350"/>
      <c r="AA844" s="351"/>
      <c r="AB844" s="539" t="s">
        <v>294</v>
      </c>
      <c r="AC844" s="350"/>
      <c r="AD844" s="350"/>
      <c r="AE844" s="351"/>
      <c r="AF844" s="540"/>
      <c r="AG844" s="351"/>
      <c r="AH844" s="540"/>
      <c r="AI844" s="351"/>
      <c r="AJ844" s="545"/>
      <c r="AK844" s="351"/>
      <c r="AL844" s="555" t="s">
        <v>325</v>
      </c>
      <c r="AM844" s="351"/>
      <c r="AN844" s="531" t="s">
        <v>325</v>
      </c>
      <c r="AO844" s="351"/>
      <c r="AP844" s="532"/>
      <c r="AQ844" s="351"/>
      <c r="AR844" s="533"/>
      <c r="AS844" s="351"/>
      <c r="AT844" s="534"/>
      <c r="AU844" s="351"/>
      <c r="AV844" s="531" t="s">
        <v>325</v>
      </c>
      <c r="AW844" s="351"/>
      <c r="AX844" s="553"/>
      <c r="AY844" s="350"/>
      <c r="AZ844" s="351"/>
      <c r="BA844" s="545"/>
      <c r="BB844" s="351"/>
      <c r="BC844" s="36"/>
      <c r="BD844" s="556" t="s">
        <v>325</v>
      </c>
      <c r="BE844" s="351"/>
      <c r="BF844" s="529"/>
      <c r="BG844" s="350"/>
      <c r="BH844" s="350"/>
      <c r="BI844" s="351"/>
      <c r="BJ844" s="506" t="s">
        <v>294</v>
      </c>
      <c r="BK844" s="350"/>
      <c r="BL844" s="350"/>
      <c r="BM844" s="351"/>
      <c r="BN844" s="530" t="s">
        <v>294</v>
      </c>
      <c r="BO844" s="350"/>
      <c r="BP844" s="350"/>
      <c r="BQ844" s="350"/>
      <c r="BR844" s="350"/>
      <c r="BS844" s="350"/>
      <c r="BT844" s="350"/>
      <c r="BU844" s="350"/>
      <c r="BV844" s="351"/>
    </row>
    <row r="845" spans="1:74" ht="45" customHeight="1">
      <c r="A845" s="24">
        <f t="shared" si="3"/>
        <v>831</v>
      </c>
      <c r="B845" s="522" t="s">
        <v>294</v>
      </c>
      <c r="C845" s="351"/>
      <c r="D845" s="523" t="s">
        <v>298</v>
      </c>
      <c r="E845" s="351"/>
      <c r="F845" s="524" t="s">
        <v>325</v>
      </c>
      <c r="G845" s="351"/>
      <c r="H845" s="561" t="s">
        <v>325</v>
      </c>
      <c r="I845" s="351"/>
      <c r="J845" s="562"/>
      <c r="K845" s="351"/>
      <c r="L845" s="562"/>
      <c r="M845" s="351"/>
      <c r="N845" s="37"/>
      <c r="O845" s="38"/>
      <c r="P845" s="560"/>
      <c r="Q845" s="351"/>
      <c r="R845" s="527"/>
      <c r="S845" s="351"/>
      <c r="T845" s="528"/>
      <c r="U845" s="351"/>
      <c r="V845" s="541"/>
      <c r="W845" s="351"/>
      <c r="X845" s="542" t="s">
        <v>294</v>
      </c>
      <c r="Y845" s="350"/>
      <c r="Z845" s="350"/>
      <c r="AA845" s="351"/>
      <c r="AB845" s="543" t="s">
        <v>294</v>
      </c>
      <c r="AC845" s="350"/>
      <c r="AD845" s="350"/>
      <c r="AE845" s="351"/>
      <c r="AF845" s="544"/>
      <c r="AG845" s="351"/>
      <c r="AH845" s="544"/>
      <c r="AI845" s="351"/>
      <c r="AJ845" s="545"/>
      <c r="AK845" s="351"/>
      <c r="AL845" s="524" t="s">
        <v>325</v>
      </c>
      <c r="AM845" s="351"/>
      <c r="AN845" s="549" t="s">
        <v>325</v>
      </c>
      <c r="AO845" s="351"/>
      <c r="AP845" s="550"/>
      <c r="AQ845" s="351"/>
      <c r="AR845" s="551"/>
      <c r="AS845" s="351"/>
      <c r="AT845" s="552"/>
      <c r="AU845" s="351"/>
      <c r="AV845" s="549" t="s">
        <v>325</v>
      </c>
      <c r="AW845" s="351"/>
      <c r="AX845" s="553"/>
      <c r="AY845" s="350"/>
      <c r="AZ845" s="351"/>
      <c r="BA845" s="554"/>
      <c r="BB845" s="351"/>
      <c r="BC845" s="39"/>
      <c r="BD845" s="546" t="s">
        <v>325</v>
      </c>
      <c r="BE845" s="351"/>
      <c r="BF845" s="547"/>
      <c r="BG845" s="350"/>
      <c r="BH845" s="350"/>
      <c r="BI845" s="351"/>
      <c r="BJ845" s="548" t="s">
        <v>294</v>
      </c>
      <c r="BK845" s="350"/>
      <c r="BL845" s="350"/>
      <c r="BM845" s="351"/>
      <c r="BN845" s="530" t="s">
        <v>294</v>
      </c>
      <c r="BO845" s="350"/>
      <c r="BP845" s="350"/>
      <c r="BQ845" s="350"/>
      <c r="BR845" s="350"/>
      <c r="BS845" s="350"/>
      <c r="BT845" s="350"/>
      <c r="BU845" s="350"/>
      <c r="BV845" s="351"/>
    </row>
    <row r="846" spans="1:74" ht="45" customHeight="1">
      <c r="A846" s="24">
        <f t="shared" si="3"/>
        <v>832</v>
      </c>
      <c r="B846" s="558" t="s">
        <v>294</v>
      </c>
      <c r="C846" s="351"/>
      <c r="D846" s="559" t="s">
        <v>298</v>
      </c>
      <c r="E846" s="351"/>
      <c r="F846" s="524" t="s">
        <v>325</v>
      </c>
      <c r="G846" s="351"/>
      <c r="H846" s="525" t="s">
        <v>325</v>
      </c>
      <c r="I846" s="351"/>
      <c r="J846" s="40"/>
      <c r="K846" s="41"/>
      <c r="L846" s="40"/>
      <c r="M846" s="41"/>
      <c r="N846" s="34"/>
      <c r="O846" s="35"/>
      <c r="P846" s="526"/>
      <c r="Q846" s="351"/>
      <c r="R846" s="535"/>
      <c r="S846" s="351"/>
      <c r="T846" s="536"/>
      <c r="U846" s="351"/>
      <c r="V846" s="537"/>
      <c r="W846" s="351"/>
      <c r="X846" s="538" t="s">
        <v>294</v>
      </c>
      <c r="Y846" s="350"/>
      <c r="Z846" s="350"/>
      <c r="AA846" s="351"/>
      <c r="AB846" s="539" t="s">
        <v>294</v>
      </c>
      <c r="AC846" s="350"/>
      <c r="AD846" s="350"/>
      <c r="AE846" s="351"/>
      <c r="AF846" s="540"/>
      <c r="AG846" s="351"/>
      <c r="AH846" s="540"/>
      <c r="AI846" s="351"/>
      <c r="AJ846" s="545"/>
      <c r="AK846" s="351"/>
      <c r="AL846" s="555" t="s">
        <v>325</v>
      </c>
      <c r="AM846" s="351"/>
      <c r="AN846" s="531" t="s">
        <v>325</v>
      </c>
      <c r="AO846" s="351"/>
      <c r="AP846" s="532"/>
      <c r="AQ846" s="351"/>
      <c r="AR846" s="533"/>
      <c r="AS846" s="351"/>
      <c r="AT846" s="534"/>
      <c r="AU846" s="351"/>
      <c r="AV846" s="531" t="s">
        <v>325</v>
      </c>
      <c r="AW846" s="351"/>
      <c r="AX846" s="553"/>
      <c r="AY846" s="350"/>
      <c r="AZ846" s="351"/>
      <c r="BA846" s="545"/>
      <c r="BB846" s="351"/>
      <c r="BC846" s="36"/>
      <c r="BD846" s="556" t="s">
        <v>325</v>
      </c>
      <c r="BE846" s="351"/>
      <c r="BF846" s="557"/>
      <c r="BG846" s="350"/>
      <c r="BH846" s="350"/>
      <c r="BI846" s="351"/>
      <c r="BJ846" s="506" t="s">
        <v>294</v>
      </c>
      <c r="BK846" s="350"/>
      <c r="BL846" s="350"/>
      <c r="BM846" s="351"/>
      <c r="BN846" s="530" t="s">
        <v>294</v>
      </c>
      <c r="BO846" s="350"/>
      <c r="BP846" s="350"/>
      <c r="BQ846" s="350"/>
      <c r="BR846" s="350"/>
      <c r="BS846" s="350"/>
      <c r="BT846" s="350"/>
      <c r="BU846" s="350"/>
      <c r="BV846" s="351"/>
    </row>
    <row r="847" spans="1:74" ht="45" customHeight="1">
      <c r="A847" s="24">
        <f t="shared" si="3"/>
        <v>833</v>
      </c>
      <c r="B847" s="522" t="s">
        <v>294</v>
      </c>
      <c r="C847" s="351"/>
      <c r="D847" s="523" t="s">
        <v>298</v>
      </c>
      <c r="E847" s="351"/>
      <c r="F847" s="524" t="s">
        <v>325</v>
      </c>
      <c r="G847" s="351"/>
      <c r="H847" s="561" t="s">
        <v>325</v>
      </c>
      <c r="I847" s="351"/>
      <c r="J847" s="562"/>
      <c r="K847" s="351"/>
      <c r="L847" s="562"/>
      <c r="M847" s="351"/>
      <c r="N847" s="37"/>
      <c r="O847" s="38"/>
      <c r="P847" s="560"/>
      <c r="Q847" s="351"/>
      <c r="R847" s="527"/>
      <c r="S847" s="351"/>
      <c r="T847" s="528"/>
      <c r="U847" s="351"/>
      <c r="V847" s="541"/>
      <c r="W847" s="351"/>
      <c r="X847" s="542" t="s">
        <v>294</v>
      </c>
      <c r="Y847" s="350"/>
      <c r="Z847" s="350"/>
      <c r="AA847" s="351"/>
      <c r="AB847" s="543" t="s">
        <v>294</v>
      </c>
      <c r="AC847" s="350"/>
      <c r="AD847" s="350"/>
      <c r="AE847" s="351"/>
      <c r="AF847" s="544"/>
      <c r="AG847" s="351"/>
      <c r="AH847" s="544"/>
      <c r="AI847" s="351"/>
      <c r="AJ847" s="545"/>
      <c r="AK847" s="351"/>
      <c r="AL847" s="524" t="s">
        <v>325</v>
      </c>
      <c r="AM847" s="351"/>
      <c r="AN847" s="549" t="s">
        <v>325</v>
      </c>
      <c r="AO847" s="351"/>
      <c r="AP847" s="550"/>
      <c r="AQ847" s="351"/>
      <c r="AR847" s="551"/>
      <c r="AS847" s="351"/>
      <c r="AT847" s="552"/>
      <c r="AU847" s="351"/>
      <c r="AV847" s="549" t="s">
        <v>325</v>
      </c>
      <c r="AW847" s="351"/>
      <c r="AX847" s="553"/>
      <c r="AY847" s="350"/>
      <c r="AZ847" s="351"/>
      <c r="BA847" s="554"/>
      <c r="BB847" s="351"/>
      <c r="BC847" s="39"/>
      <c r="BD847" s="546" t="s">
        <v>325</v>
      </c>
      <c r="BE847" s="351"/>
      <c r="BF847" s="547"/>
      <c r="BG847" s="350"/>
      <c r="BH847" s="350"/>
      <c r="BI847" s="351"/>
      <c r="BJ847" s="548" t="s">
        <v>294</v>
      </c>
      <c r="BK847" s="350"/>
      <c r="BL847" s="350"/>
      <c r="BM847" s="351"/>
      <c r="BN847" s="530" t="s">
        <v>294</v>
      </c>
      <c r="BO847" s="350"/>
      <c r="BP847" s="350"/>
      <c r="BQ847" s="350"/>
      <c r="BR847" s="350"/>
      <c r="BS847" s="350"/>
      <c r="BT847" s="350"/>
      <c r="BU847" s="350"/>
      <c r="BV847" s="351"/>
    </row>
    <row r="848" spans="1:74" ht="45" customHeight="1">
      <c r="A848" s="24">
        <f t="shared" si="3"/>
        <v>834</v>
      </c>
      <c r="B848" s="558" t="s">
        <v>294</v>
      </c>
      <c r="C848" s="351"/>
      <c r="D848" s="559" t="s">
        <v>298</v>
      </c>
      <c r="E848" s="351"/>
      <c r="F848" s="524" t="s">
        <v>325</v>
      </c>
      <c r="G848" s="351"/>
      <c r="H848" s="525" t="s">
        <v>325</v>
      </c>
      <c r="I848" s="351"/>
      <c r="J848" s="40"/>
      <c r="K848" s="41"/>
      <c r="L848" s="40"/>
      <c r="M848" s="41"/>
      <c r="N848" s="34"/>
      <c r="O848" s="35"/>
      <c r="P848" s="526"/>
      <c r="Q848" s="351"/>
      <c r="R848" s="535"/>
      <c r="S848" s="351"/>
      <c r="T848" s="536"/>
      <c r="U848" s="351"/>
      <c r="V848" s="537"/>
      <c r="W848" s="351"/>
      <c r="X848" s="538" t="s">
        <v>294</v>
      </c>
      <c r="Y848" s="350"/>
      <c r="Z848" s="350"/>
      <c r="AA848" s="351"/>
      <c r="AB848" s="539" t="s">
        <v>294</v>
      </c>
      <c r="AC848" s="350"/>
      <c r="AD848" s="350"/>
      <c r="AE848" s="351"/>
      <c r="AF848" s="540"/>
      <c r="AG848" s="351"/>
      <c r="AH848" s="540"/>
      <c r="AI848" s="351"/>
      <c r="AJ848" s="545"/>
      <c r="AK848" s="351"/>
      <c r="AL848" s="555" t="s">
        <v>325</v>
      </c>
      <c r="AM848" s="351"/>
      <c r="AN848" s="531" t="s">
        <v>325</v>
      </c>
      <c r="AO848" s="351"/>
      <c r="AP848" s="532"/>
      <c r="AQ848" s="351"/>
      <c r="AR848" s="533"/>
      <c r="AS848" s="351"/>
      <c r="AT848" s="534"/>
      <c r="AU848" s="351"/>
      <c r="AV848" s="531" t="s">
        <v>325</v>
      </c>
      <c r="AW848" s="351"/>
      <c r="AX848" s="553"/>
      <c r="AY848" s="350"/>
      <c r="AZ848" s="351"/>
      <c r="BA848" s="545"/>
      <c r="BB848" s="351"/>
      <c r="BC848" s="36"/>
      <c r="BD848" s="556" t="s">
        <v>325</v>
      </c>
      <c r="BE848" s="351"/>
      <c r="BF848" s="557"/>
      <c r="BG848" s="350"/>
      <c r="BH848" s="350"/>
      <c r="BI848" s="351"/>
      <c r="BJ848" s="506" t="s">
        <v>294</v>
      </c>
      <c r="BK848" s="350"/>
      <c r="BL848" s="350"/>
      <c r="BM848" s="351"/>
      <c r="BN848" s="530" t="s">
        <v>294</v>
      </c>
      <c r="BO848" s="350"/>
      <c r="BP848" s="350"/>
      <c r="BQ848" s="350"/>
      <c r="BR848" s="350"/>
      <c r="BS848" s="350"/>
      <c r="BT848" s="350"/>
      <c r="BU848" s="350"/>
      <c r="BV848" s="351"/>
    </row>
    <row r="849" spans="1:74" ht="45" customHeight="1">
      <c r="A849" s="24">
        <f t="shared" si="3"/>
        <v>835</v>
      </c>
      <c r="B849" s="522" t="s">
        <v>294</v>
      </c>
      <c r="C849" s="351"/>
      <c r="D849" s="523" t="s">
        <v>298</v>
      </c>
      <c r="E849" s="351"/>
      <c r="F849" s="524" t="s">
        <v>325</v>
      </c>
      <c r="G849" s="351"/>
      <c r="H849" s="561" t="s">
        <v>325</v>
      </c>
      <c r="I849" s="351"/>
      <c r="J849" s="562"/>
      <c r="K849" s="351"/>
      <c r="L849" s="562"/>
      <c r="M849" s="351"/>
      <c r="N849" s="37"/>
      <c r="O849" s="38"/>
      <c r="P849" s="560"/>
      <c r="Q849" s="351"/>
      <c r="R849" s="527"/>
      <c r="S849" s="351"/>
      <c r="T849" s="528"/>
      <c r="U849" s="351"/>
      <c r="V849" s="541"/>
      <c r="W849" s="351"/>
      <c r="X849" s="542" t="s">
        <v>294</v>
      </c>
      <c r="Y849" s="350"/>
      <c r="Z849" s="350"/>
      <c r="AA849" s="351"/>
      <c r="AB849" s="543" t="s">
        <v>294</v>
      </c>
      <c r="AC849" s="350"/>
      <c r="AD849" s="350"/>
      <c r="AE849" s="351"/>
      <c r="AF849" s="544"/>
      <c r="AG849" s="351"/>
      <c r="AH849" s="544"/>
      <c r="AI849" s="351"/>
      <c r="AJ849" s="545"/>
      <c r="AK849" s="351"/>
      <c r="AL849" s="524" t="s">
        <v>325</v>
      </c>
      <c r="AM849" s="351"/>
      <c r="AN849" s="549" t="s">
        <v>325</v>
      </c>
      <c r="AO849" s="351"/>
      <c r="AP849" s="550"/>
      <c r="AQ849" s="351"/>
      <c r="AR849" s="551"/>
      <c r="AS849" s="351"/>
      <c r="AT849" s="552"/>
      <c r="AU849" s="351"/>
      <c r="AV849" s="549" t="s">
        <v>325</v>
      </c>
      <c r="AW849" s="351"/>
      <c r="AX849" s="553"/>
      <c r="AY849" s="350"/>
      <c r="AZ849" s="351"/>
      <c r="BA849" s="554"/>
      <c r="BB849" s="351"/>
      <c r="BC849" s="39"/>
      <c r="BD849" s="546" t="s">
        <v>325</v>
      </c>
      <c r="BE849" s="351"/>
      <c r="BF849" s="547"/>
      <c r="BG849" s="350"/>
      <c r="BH849" s="350"/>
      <c r="BI849" s="351"/>
      <c r="BJ849" s="548" t="s">
        <v>294</v>
      </c>
      <c r="BK849" s="350"/>
      <c r="BL849" s="350"/>
      <c r="BM849" s="351"/>
      <c r="BN849" s="530" t="s">
        <v>294</v>
      </c>
      <c r="BO849" s="350"/>
      <c r="BP849" s="350"/>
      <c r="BQ849" s="350"/>
      <c r="BR849" s="350"/>
      <c r="BS849" s="350"/>
      <c r="BT849" s="350"/>
      <c r="BU849" s="350"/>
      <c r="BV849" s="351"/>
    </row>
    <row r="850" spans="1:74" ht="45" customHeight="1">
      <c r="A850" s="24">
        <f t="shared" si="3"/>
        <v>836</v>
      </c>
      <c r="B850" s="558" t="s">
        <v>294</v>
      </c>
      <c r="C850" s="351"/>
      <c r="D850" s="559" t="s">
        <v>298</v>
      </c>
      <c r="E850" s="351"/>
      <c r="F850" s="524" t="s">
        <v>325</v>
      </c>
      <c r="G850" s="351"/>
      <c r="H850" s="525" t="s">
        <v>325</v>
      </c>
      <c r="I850" s="351"/>
      <c r="J850" s="40"/>
      <c r="K850" s="41"/>
      <c r="L850" s="40"/>
      <c r="M850" s="41"/>
      <c r="N850" s="34"/>
      <c r="O850" s="35"/>
      <c r="P850" s="526"/>
      <c r="Q850" s="351"/>
      <c r="R850" s="535"/>
      <c r="S850" s="351"/>
      <c r="T850" s="536"/>
      <c r="U850" s="351"/>
      <c r="V850" s="537"/>
      <c r="W850" s="351"/>
      <c r="X850" s="538" t="s">
        <v>294</v>
      </c>
      <c r="Y850" s="350"/>
      <c r="Z850" s="350"/>
      <c r="AA850" s="351"/>
      <c r="AB850" s="539" t="s">
        <v>294</v>
      </c>
      <c r="AC850" s="350"/>
      <c r="AD850" s="350"/>
      <c r="AE850" s="351"/>
      <c r="AF850" s="540"/>
      <c r="AG850" s="351"/>
      <c r="AH850" s="540"/>
      <c r="AI850" s="351"/>
      <c r="AJ850" s="545"/>
      <c r="AK850" s="351"/>
      <c r="AL850" s="555" t="s">
        <v>325</v>
      </c>
      <c r="AM850" s="351"/>
      <c r="AN850" s="531" t="s">
        <v>325</v>
      </c>
      <c r="AO850" s="351"/>
      <c r="AP850" s="532"/>
      <c r="AQ850" s="351"/>
      <c r="AR850" s="533"/>
      <c r="AS850" s="351"/>
      <c r="AT850" s="534"/>
      <c r="AU850" s="351"/>
      <c r="AV850" s="531" t="s">
        <v>325</v>
      </c>
      <c r="AW850" s="351"/>
      <c r="AX850" s="553"/>
      <c r="AY850" s="350"/>
      <c r="AZ850" s="351"/>
      <c r="BA850" s="545"/>
      <c r="BB850" s="351"/>
      <c r="BC850" s="36"/>
      <c r="BD850" s="556" t="s">
        <v>325</v>
      </c>
      <c r="BE850" s="351"/>
      <c r="BF850" s="529"/>
      <c r="BG850" s="350"/>
      <c r="BH850" s="350"/>
      <c r="BI850" s="351"/>
      <c r="BJ850" s="506" t="s">
        <v>294</v>
      </c>
      <c r="BK850" s="350"/>
      <c r="BL850" s="350"/>
      <c r="BM850" s="351"/>
      <c r="BN850" s="530" t="s">
        <v>294</v>
      </c>
      <c r="BO850" s="350"/>
      <c r="BP850" s="350"/>
      <c r="BQ850" s="350"/>
      <c r="BR850" s="350"/>
      <c r="BS850" s="350"/>
      <c r="BT850" s="350"/>
      <c r="BU850" s="350"/>
      <c r="BV850" s="351"/>
    </row>
    <row r="851" spans="1:74" ht="45" customHeight="1">
      <c r="A851" s="24">
        <f t="shared" si="3"/>
        <v>837</v>
      </c>
      <c r="B851" s="522" t="s">
        <v>294</v>
      </c>
      <c r="C851" s="351"/>
      <c r="D851" s="523" t="s">
        <v>298</v>
      </c>
      <c r="E851" s="351"/>
      <c r="F851" s="524" t="s">
        <v>325</v>
      </c>
      <c r="G851" s="351"/>
      <c r="H851" s="561" t="s">
        <v>325</v>
      </c>
      <c r="I851" s="351"/>
      <c r="J851" s="562"/>
      <c r="K851" s="351"/>
      <c r="L851" s="562"/>
      <c r="M851" s="351"/>
      <c r="N851" s="37"/>
      <c r="O851" s="38"/>
      <c r="P851" s="560"/>
      <c r="Q851" s="351"/>
      <c r="R851" s="527"/>
      <c r="S851" s="351"/>
      <c r="T851" s="528"/>
      <c r="U851" s="351"/>
      <c r="V851" s="541"/>
      <c r="W851" s="351"/>
      <c r="X851" s="542" t="s">
        <v>294</v>
      </c>
      <c r="Y851" s="350"/>
      <c r="Z851" s="350"/>
      <c r="AA851" s="351"/>
      <c r="AB851" s="543" t="s">
        <v>294</v>
      </c>
      <c r="AC851" s="350"/>
      <c r="AD851" s="350"/>
      <c r="AE851" s="351"/>
      <c r="AF851" s="544"/>
      <c r="AG851" s="351"/>
      <c r="AH851" s="544"/>
      <c r="AI851" s="351"/>
      <c r="AJ851" s="545"/>
      <c r="AK851" s="351"/>
      <c r="AL851" s="524" t="s">
        <v>325</v>
      </c>
      <c r="AM851" s="351"/>
      <c r="AN851" s="549" t="s">
        <v>325</v>
      </c>
      <c r="AO851" s="351"/>
      <c r="AP851" s="550"/>
      <c r="AQ851" s="351"/>
      <c r="AR851" s="551"/>
      <c r="AS851" s="351"/>
      <c r="AT851" s="552"/>
      <c r="AU851" s="351"/>
      <c r="AV851" s="549" t="s">
        <v>325</v>
      </c>
      <c r="AW851" s="351"/>
      <c r="AX851" s="553"/>
      <c r="AY851" s="350"/>
      <c r="AZ851" s="351"/>
      <c r="BA851" s="554"/>
      <c r="BB851" s="351"/>
      <c r="BC851" s="39"/>
      <c r="BD851" s="546" t="s">
        <v>325</v>
      </c>
      <c r="BE851" s="351"/>
      <c r="BF851" s="547"/>
      <c r="BG851" s="350"/>
      <c r="BH851" s="350"/>
      <c r="BI851" s="351"/>
      <c r="BJ851" s="548" t="s">
        <v>294</v>
      </c>
      <c r="BK851" s="350"/>
      <c r="BL851" s="350"/>
      <c r="BM851" s="351"/>
      <c r="BN851" s="530" t="s">
        <v>294</v>
      </c>
      <c r="BO851" s="350"/>
      <c r="BP851" s="350"/>
      <c r="BQ851" s="350"/>
      <c r="BR851" s="350"/>
      <c r="BS851" s="350"/>
      <c r="BT851" s="350"/>
      <c r="BU851" s="350"/>
      <c r="BV851" s="351"/>
    </row>
    <row r="852" spans="1:74" ht="45" customHeight="1">
      <c r="A852" s="24">
        <f t="shared" si="3"/>
        <v>838</v>
      </c>
      <c r="B852" s="558" t="s">
        <v>294</v>
      </c>
      <c r="C852" s="351"/>
      <c r="D852" s="559" t="s">
        <v>298</v>
      </c>
      <c r="E852" s="351"/>
      <c r="F852" s="524" t="s">
        <v>325</v>
      </c>
      <c r="G852" s="351"/>
      <c r="H852" s="525" t="s">
        <v>325</v>
      </c>
      <c r="I852" s="351"/>
      <c r="J852" s="40"/>
      <c r="K852" s="41"/>
      <c r="L852" s="40"/>
      <c r="M852" s="41"/>
      <c r="N852" s="34"/>
      <c r="O852" s="35"/>
      <c r="P852" s="526"/>
      <c r="Q852" s="351"/>
      <c r="R852" s="535"/>
      <c r="S852" s="351"/>
      <c r="T852" s="536"/>
      <c r="U852" s="351"/>
      <c r="V852" s="537"/>
      <c r="W852" s="351"/>
      <c r="X852" s="538" t="s">
        <v>294</v>
      </c>
      <c r="Y852" s="350"/>
      <c r="Z852" s="350"/>
      <c r="AA852" s="351"/>
      <c r="AB852" s="539" t="s">
        <v>294</v>
      </c>
      <c r="AC852" s="350"/>
      <c r="AD852" s="350"/>
      <c r="AE852" s="351"/>
      <c r="AF852" s="540"/>
      <c r="AG852" s="351"/>
      <c r="AH852" s="540"/>
      <c r="AI852" s="351"/>
      <c r="AJ852" s="545"/>
      <c r="AK852" s="351"/>
      <c r="AL852" s="555" t="s">
        <v>325</v>
      </c>
      <c r="AM852" s="351"/>
      <c r="AN852" s="531" t="s">
        <v>325</v>
      </c>
      <c r="AO852" s="351"/>
      <c r="AP852" s="532"/>
      <c r="AQ852" s="351"/>
      <c r="AR852" s="533"/>
      <c r="AS852" s="351"/>
      <c r="AT852" s="534"/>
      <c r="AU852" s="351"/>
      <c r="AV852" s="531" t="s">
        <v>325</v>
      </c>
      <c r="AW852" s="351"/>
      <c r="AX852" s="553"/>
      <c r="AY852" s="350"/>
      <c r="AZ852" s="351"/>
      <c r="BA852" s="545"/>
      <c r="BB852" s="351"/>
      <c r="BC852" s="36"/>
      <c r="BD852" s="556" t="s">
        <v>325</v>
      </c>
      <c r="BE852" s="351"/>
      <c r="BF852" s="557"/>
      <c r="BG852" s="350"/>
      <c r="BH852" s="350"/>
      <c r="BI852" s="351"/>
      <c r="BJ852" s="506" t="s">
        <v>294</v>
      </c>
      <c r="BK852" s="350"/>
      <c r="BL852" s="350"/>
      <c r="BM852" s="351"/>
      <c r="BN852" s="530" t="s">
        <v>294</v>
      </c>
      <c r="BO852" s="350"/>
      <c r="BP852" s="350"/>
      <c r="BQ852" s="350"/>
      <c r="BR852" s="350"/>
      <c r="BS852" s="350"/>
      <c r="BT852" s="350"/>
      <c r="BU852" s="350"/>
      <c r="BV852" s="351"/>
    </row>
    <row r="853" spans="1:74" ht="45" customHeight="1">
      <c r="A853" s="24">
        <f t="shared" si="3"/>
        <v>839</v>
      </c>
      <c r="B853" s="522" t="s">
        <v>294</v>
      </c>
      <c r="C853" s="351"/>
      <c r="D853" s="523" t="s">
        <v>298</v>
      </c>
      <c r="E853" s="351"/>
      <c r="F853" s="524" t="s">
        <v>325</v>
      </c>
      <c r="G853" s="351"/>
      <c r="H853" s="561" t="s">
        <v>325</v>
      </c>
      <c r="I853" s="351"/>
      <c r="J853" s="562"/>
      <c r="K853" s="351"/>
      <c r="L853" s="562"/>
      <c r="M853" s="351"/>
      <c r="N853" s="37"/>
      <c r="O853" s="38"/>
      <c r="P853" s="560"/>
      <c r="Q853" s="351"/>
      <c r="R853" s="527"/>
      <c r="S853" s="351"/>
      <c r="T853" s="528"/>
      <c r="U853" s="351"/>
      <c r="V853" s="541"/>
      <c r="W853" s="351"/>
      <c r="X853" s="542" t="s">
        <v>294</v>
      </c>
      <c r="Y853" s="350"/>
      <c r="Z853" s="350"/>
      <c r="AA853" s="351"/>
      <c r="AB853" s="543" t="s">
        <v>294</v>
      </c>
      <c r="AC853" s="350"/>
      <c r="AD853" s="350"/>
      <c r="AE853" s="351"/>
      <c r="AF853" s="544"/>
      <c r="AG853" s="351"/>
      <c r="AH853" s="544"/>
      <c r="AI853" s="351"/>
      <c r="AJ853" s="545"/>
      <c r="AK853" s="351"/>
      <c r="AL853" s="524" t="s">
        <v>325</v>
      </c>
      <c r="AM853" s="351"/>
      <c r="AN853" s="549" t="s">
        <v>325</v>
      </c>
      <c r="AO853" s="351"/>
      <c r="AP853" s="550"/>
      <c r="AQ853" s="351"/>
      <c r="AR853" s="551"/>
      <c r="AS853" s="351"/>
      <c r="AT853" s="534"/>
      <c r="AU853" s="351"/>
      <c r="AV853" s="549" t="s">
        <v>325</v>
      </c>
      <c r="AW853" s="351"/>
      <c r="AX853" s="553"/>
      <c r="AY853" s="350"/>
      <c r="AZ853" s="351"/>
      <c r="BA853" s="554"/>
      <c r="BB853" s="351"/>
      <c r="BC853" s="39"/>
      <c r="BD853" s="546" t="s">
        <v>325</v>
      </c>
      <c r="BE853" s="351"/>
      <c r="BF853" s="547"/>
      <c r="BG853" s="350"/>
      <c r="BH853" s="350"/>
      <c r="BI853" s="351"/>
      <c r="BJ853" s="548" t="s">
        <v>294</v>
      </c>
      <c r="BK853" s="350"/>
      <c r="BL853" s="350"/>
      <c r="BM853" s="351"/>
      <c r="BN853" s="530" t="s">
        <v>294</v>
      </c>
      <c r="BO853" s="350"/>
      <c r="BP853" s="350"/>
      <c r="BQ853" s="350"/>
      <c r="BR853" s="350"/>
      <c r="BS853" s="350"/>
      <c r="BT853" s="350"/>
      <c r="BU853" s="350"/>
      <c r="BV853" s="351"/>
    </row>
    <row r="854" spans="1:74" ht="45" customHeight="1">
      <c r="A854" s="24">
        <f t="shared" si="3"/>
        <v>840</v>
      </c>
      <c r="B854" s="558" t="s">
        <v>294</v>
      </c>
      <c r="C854" s="351"/>
      <c r="D854" s="559" t="s">
        <v>298</v>
      </c>
      <c r="E854" s="351"/>
      <c r="F854" s="524" t="s">
        <v>325</v>
      </c>
      <c r="G854" s="351"/>
      <c r="H854" s="525" t="s">
        <v>325</v>
      </c>
      <c r="I854" s="351"/>
      <c r="J854" s="40"/>
      <c r="K854" s="41"/>
      <c r="L854" s="40"/>
      <c r="M854" s="41"/>
      <c r="N854" s="34"/>
      <c r="O854" s="35"/>
      <c r="P854" s="526"/>
      <c r="Q854" s="351"/>
      <c r="R854" s="535"/>
      <c r="S854" s="351"/>
      <c r="T854" s="536"/>
      <c r="U854" s="351"/>
      <c r="V854" s="537"/>
      <c r="W854" s="351"/>
      <c r="X854" s="538" t="s">
        <v>294</v>
      </c>
      <c r="Y854" s="350"/>
      <c r="Z854" s="350"/>
      <c r="AA854" s="351"/>
      <c r="AB854" s="539" t="s">
        <v>294</v>
      </c>
      <c r="AC854" s="350"/>
      <c r="AD854" s="350"/>
      <c r="AE854" s="351"/>
      <c r="AF854" s="540"/>
      <c r="AG854" s="351"/>
      <c r="AH854" s="540"/>
      <c r="AI854" s="351"/>
      <c r="AJ854" s="545"/>
      <c r="AK854" s="351"/>
      <c r="AL854" s="555" t="s">
        <v>325</v>
      </c>
      <c r="AM854" s="351"/>
      <c r="AN854" s="531" t="s">
        <v>325</v>
      </c>
      <c r="AO854" s="351"/>
      <c r="AP854" s="532"/>
      <c r="AQ854" s="351"/>
      <c r="AR854" s="533"/>
      <c r="AS854" s="351"/>
      <c r="AT854" s="534"/>
      <c r="AU854" s="351"/>
      <c r="AV854" s="531" t="s">
        <v>325</v>
      </c>
      <c r="AW854" s="351"/>
      <c r="AX854" s="553"/>
      <c r="AY854" s="350"/>
      <c r="AZ854" s="351"/>
      <c r="BA854" s="545"/>
      <c r="BB854" s="351"/>
      <c r="BC854" s="36"/>
      <c r="BD854" s="556" t="s">
        <v>325</v>
      </c>
      <c r="BE854" s="351"/>
      <c r="BF854" s="557"/>
      <c r="BG854" s="350"/>
      <c r="BH854" s="350"/>
      <c r="BI854" s="351"/>
      <c r="BJ854" s="506" t="s">
        <v>294</v>
      </c>
      <c r="BK854" s="350"/>
      <c r="BL854" s="350"/>
      <c r="BM854" s="351"/>
      <c r="BN854" s="530" t="s">
        <v>294</v>
      </c>
      <c r="BO854" s="350"/>
      <c r="BP854" s="350"/>
      <c r="BQ854" s="350"/>
      <c r="BR854" s="350"/>
      <c r="BS854" s="350"/>
      <c r="BT854" s="350"/>
      <c r="BU854" s="350"/>
      <c r="BV854" s="351"/>
    </row>
    <row r="855" spans="1:74" ht="45" customHeight="1">
      <c r="A855" s="24">
        <f t="shared" si="3"/>
        <v>841</v>
      </c>
      <c r="B855" s="522" t="s">
        <v>294</v>
      </c>
      <c r="C855" s="351"/>
      <c r="D855" s="523" t="s">
        <v>298</v>
      </c>
      <c r="E855" s="351"/>
      <c r="F855" s="524" t="s">
        <v>325</v>
      </c>
      <c r="G855" s="351"/>
      <c r="H855" s="561" t="s">
        <v>325</v>
      </c>
      <c r="I855" s="351"/>
      <c r="J855" s="562"/>
      <c r="K855" s="351"/>
      <c r="L855" s="562"/>
      <c r="M855" s="351"/>
      <c r="N855" s="37"/>
      <c r="O855" s="38"/>
      <c r="P855" s="560"/>
      <c r="Q855" s="351"/>
      <c r="R855" s="527"/>
      <c r="S855" s="351"/>
      <c r="T855" s="528"/>
      <c r="U855" s="351"/>
      <c r="V855" s="541"/>
      <c r="W855" s="351"/>
      <c r="X855" s="542" t="s">
        <v>294</v>
      </c>
      <c r="Y855" s="350"/>
      <c r="Z855" s="350"/>
      <c r="AA855" s="351"/>
      <c r="AB855" s="543" t="s">
        <v>294</v>
      </c>
      <c r="AC855" s="350"/>
      <c r="AD855" s="350"/>
      <c r="AE855" s="351"/>
      <c r="AF855" s="544"/>
      <c r="AG855" s="351"/>
      <c r="AH855" s="544"/>
      <c r="AI855" s="351"/>
      <c r="AJ855" s="545"/>
      <c r="AK855" s="351"/>
      <c r="AL855" s="524" t="s">
        <v>325</v>
      </c>
      <c r="AM855" s="351"/>
      <c r="AN855" s="549" t="s">
        <v>325</v>
      </c>
      <c r="AO855" s="351"/>
      <c r="AP855" s="550"/>
      <c r="AQ855" s="351"/>
      <c r="AR855" s="551"/>
      <c r="AS855" s="351"/>
      <c r="AT855" s="534"/>
      <c r="AU855" s="351"/>
      <c r="AV855" s="549" t="s">
        <v>325</v>
      </c>
      <c r="AW855" s="351"/>
      <c r="AX855" s="553"/>
      <c r="AY855" s="350"/>
      <c r="AZ855" s="351"/>
      <c r="BA855" s="554"/>
      <c r="BB855" s="351"/>
      <c r="BC855" s="39"/>
      <c r="BD855" s="546" t="s">
        <v>325</v>
      </c>
      <c r="BE855" s="351"/>
      <c r="BF855" s="547"/>
      <c r="BG855" s="350"/>
      <c r="BH855" s="350"/>
      <c r="BI855" s="351"/>
      <c r="BJ855" s="548" t="s">
        <v>294</v>
      </c>
      <c r="BK855" s="350"/>
      <c r="BL855" s="350"/>
      <c r="BM855" s="351"/>
      <c r="BN855" s="530" t="s">
        <v>294</v>
      </c>
      <c r="BO855" s="350"/>
      <c r="BP855" s="350"/>
      <c r="BQ855" s="350"/>
      <c r="BR855" s="350"/>
      <c r="BS855" s="350"/>
      <c r="BT855" s="350"/>
      <c r="BU855" s="350"/>
      <c r="BV855" s="351"/>
    </row>
    <row r="856" spans="1:74" ht="45" customHeight="1">
      <c r="A856" s="24">
        <f t="shared" si="3"/>
        <v>842</v>
      </c>
      <c r="B856" s="558" t="s">
        <v>294</v>
      </c>
      <c r="C856" s="351"/>
      <c r="D856" s="559" t="s">
        <v>298</v>
      </c>
      <c r="E856" s="351"/>
      <c r="F856" s="524" t="s">
        <v>325</v>
      </c>
      <c r="G856" s="351"/>
      <c r="H856" s="525" t="s">
        <v>325</v>
      </c>
      <c r="I856" s="351"/>
      <c r="J856" s="40"/>
      <c r="K856" s="41"/>
      <c r="L856" s="40"/>
      <c r="M856" s="41"/>
      <c r="N856" s="34"/>
      <c r="O856" s="35"/>
      <c r="P856" s="526"/>
      <c r="Q856" s="351"/>
      <c r="R856" s="535"/>
      <c r="S856" s="351"/>
      <c r="T856" s="536"/>
      <c r="U856" s="351"/>
      <c r="V856" s="537"/>
      <c r="W856" s="351"/>
      <c r="X856" s="538" t="s">
        <v>294</v>
      </c>
      <c r="Y856" s="350"/>
      <c r="Z856" s="350"/>
      <c r="AA856" s="351"/>
      <c r="AB856" s="539" t="s">
        <v>294</v>
      </c>
      <c r="AC856" s="350"/>
      <c r="AD856" s="350"/>
      <c r="AE856" s="351"/>
      <c r="AF856" s="540"/>
      <c r="AG856" s="351"/>
      <c r="AH856" s="540"/>
      <c r="AI856" s="351"/>
      <c r="AJ856" s="545"/>
      <c r="AK856" s="351"/>
      <c r="AL856" s="555" t="s">
        <v>325</v>
      </c>
      <c r="AM856" s="351"/>
      <c r="AN856" s="531" t="s">
        <v>325</v>
      </c>
      <c r="AO856" s="351"/>
      <c r="AP856" s="532"/>
      <c r="AQ856" s="351"/>
      <c r="AR856" s="533"/>
      <c r="AS856" s="351"/>
      <c r="AT856" s="534"/>
      <c r="AU856" s="351"/>
      <c r="AV856" s="531" t="s">
        <v>325</v>
      </c>
      <c r="AW856" s="351"/>
      <c r="AX856" s="553"/>
      <c r="AY856" s="350"/>
      <c r="AZ856" s="351"/>
      <c r="BA856" s="545"/>
      <c r="BB856" s="351"/>
      <c r="BC856" s="36"/>
      <c r="BD856" s="556" t="s">
        <v>325</v>
      </c>
      <c r="BE856" s="351"/>
      <c r="BF856" s="557"/>
      <c r="BG856" s="350"/>
      <c r="BH856" s="350"/>
      <c r="BI856" s="351"/>
      <c r="BJ856" s="506" t="s">
        <v>294</v>
      </c>
      <c r="BK856" s="350"/>
      <c r="BL856" s="350"/>
      <c r="BM856" s="351"/>
      <c r="BN856" s="530" t="s">
        <v>294</v>
      </c>
      <c r="BO856" s="350"/>
      <c r="BP856" s="350"/>
      <c r="BQ856" s="350"/>
      <c r="BR856" s="350"/>
      <c r="BS856" s="350"/>
      <c r="BT856" s="350"/>
      <c r="BU856" s="350"/>
      <c r="BV856" s="351"/>
    </row>
    <row r="857" spans="1:74" ht="45" customHeight="1">
      <c r="A857" s="24">
        <f t="shared" si="3"/>
        <v>843</v>
      </c>
      <c r="B857" s="522" t="s">
        <v>294</v>
      </c>
      <c r="C857" s="351"/>
      <c r="D857" s="523" t="s">
        <v>298</v>
      </c>
      <c r="E857" s="351"/>
      <c r="F857" s="524" t="s">
        <v>325</v>
      </c>
      <c r="G857" s="351"/>
      <c r="H857" s="561" t="s">
        <v>325</v>
      </c>
      <c r="I857" s="351"/>
      <c r="J857" s="562"/>
      <c r="K857" s="351"/>
      <c r="L857" s="562"/>
      <c r="M857" s="351"/>
      <c r="N857" s="37"/>
      <c r="O857" s="38"/>
      <c r="P857" s="560"/>
      <c r="Q857" s="351"/>
      <c r="R857" s="527"/>
      <c r="S857" s="351"/>
      <c r="T857" s="528"/>
      <c r="U857" s="351"/>
      <c r="V857" s="541"/>
      <c r="W857" s="351"/>
      <c r="X857" s="542" t="s">
        <v>294</v>
      </c>
      <c r="Y857" s="350"/>
      <c r="Z857" s="350"/>
      <c r="AA857" s="351"/>
      <c r="AB857" s="543" t="s">
        <v>294</v>
      </c>
      <c r="AC857" s="350"/>
      <c r="AD857" s="350"/>
      <c r="AE857" s="351"/>
      <c r="AF857" s="544"/>
      <c r="AG857" s="351"/>
      <c r="AH857" s="544"/>
      <c r="AI857" s="351"/>
      <c r="AJ857" s="545"/>
      <c r="AK857" s="351"/>
      <c r="AL857" s="524" t="s">
        <v>325</v>
      </c>
      <c r="AM857" s="351"/>
      <c r="AN857" s="549" t="s">
        <v>325</v>
      </c>
      <c r="AO857" s="351"/>
      <c r="AP857" s="550"/>
      <c r="AQ857" s="351"/>
      <c r="AR857" s="551"/>
      <c r="AS857" s="351"/>
      <c r="AT857" s="552"/>
      <c r="AU857" s="351"/>
      <c r="AV857" s="549" t="s">
        <v>325</v>
      </c>
      <c r="AW857" s="351"/>
      <c r="AX857" s="553"/>
      <c r="AY857" s="350"/>
      <c r="AZ857" s="351"/>
      <c r="BA857" s="554"/>
      <c r="BB857" s="351"/>
      <c r="BC857" s="39"/>
      <c r="BD857" s="546" t="s">
        <v>325</v>
      </c>
      <c r="BE857" s="351"/>
      <c r="BF857" s="547"/>
      <c r="BG857" s="350"/>
      <c r="BH857" s="350"/>
      <c r="BI857" s="351"/>
      <c r="BJ857" s="548" t="s">
        <v>294</v>
      </c>
      <c r="BK857" s="350"/>
      <c r="BL857" s="350"/>
      <c r="BM857" s="351"/>
      <c r="BN857" s="530" t="s">
        <v>294</v>
      </c>
      <c r="BO857" s="350"/>
      <c r="BP857" s="350"/>
      <c r="BQ857" s="350"/>
      <c r="BR857" s="350"/>
      <c r="BS857" s="350"/>
      <c r="BT857" s="350"/>
      <c r="BU857" s="350"/>
      <c r="BV857" s="351"/>
    </row>
    <row r="858" spans="1:74" ht="45" customHeight="1">
      <c r="A858" s="24">
        <f t="shared" si="3"/>
        <v>844</v>
      </c>
      <c r="B858" s="558" t="s">
        <v>294</v>
      </c>
      <c r="C858" s="351"/>
      <c r="D858" s="559" t="s">
        <v>298</v>
      </c>
      <c r="E858" s="351"/>
      <c r="F858" s="524" t="s">
        <v>325</v>
      </c>
      <c r="G858" s="351"/>
      <c r="H858" s="525" t="s">
        <v>325</v>
      </c>
      <c r="I858" s="351"/>
      <c r="J858" s="40"/>
      <c r="K858" s="41"/>
      <c r="L858" s="40"/>
      <c r="M858" s="41"/>
      <c r="N858" s="34"/>
      <c r="O858" s="35"/>
      <c r="P858" s="526"/>
      <c r="Q858" s="351"/>
      <c r="R858" s="535"/>
      <c r="S858" s="351"/>
      <c r="T858" s="536"/>
      <c r="U858" s="351"/>
      <c r="V858" s="537"/>
      <c r="W858" s="351"/>
      <c r="X858" s="538" t="s">
        <v>294</v>
      </c>
      <c r="Y858" s="350"/>
      <c r="Z858" s="350"/>
      <c r="AA858" s="351"/>
      <c r="AB858" s="539" t="s">
        <v>294</v>
      </c>
      <c r="AC858" s="350"/>
      <c r="AD858" s="350"/>
      <c r="AE858" s="351"/>
      <c r="AF858" s="540"/>
      <c r="AG858" s="351"/>
      <c r="AH858" s="540"/>
      <c r="AI858" s="351"/>
      <c r="AJ858" s="545"/>
      <c r="AK858" s="351"/>
      <c r="AL858" s="555" t="s">
        <v>325</v>
      </c>
      <c r="AM858" s="351"/>
      <c r="AN858" s="531" t="s">
        <v>325</v>
      </c>
      <c r="AO858" s="351"/>
      <c r="AP858" s="532"/>
      <c r="AQ858" s="351"/>
      <c r="AR858" s="533"/>
      <c r="AS858" s="351"/>
      <c r="AT858" s="534"/>
      <c r="AU858" s="351"/>
      <c r="AV858" s="531" t="s">
        <v>325</v>
      </c>
      <c r="AW858" s="351"/>
      <c r="AX858" s="553"/>
      <c r="AY858" s="350"/>
      <c r="AZ858" s="351"/>
      <c r="BA858" s="545"/>
      <c r="BB858" s="351"/>
      <c r="BC858" s="36"/>
      <c r="BD858" s="556" t="s">
        <v>325</v>
      </c>
      <c r="BE858" s="351"/>
      <c r="BF858" s="529"/>
      <c r="BG858" s="350"/>
      <c r="BH858" s="350"/>
      <c r="BI858" s="351"/>
      <c r="BJ858" s="506" t="s">
        <v>294</v>
      </c>
      <c r="BK858" s="350"/>
      <c r="BL858" s="350"/>
      <c r="BM858" s="351"/>
      <c r="BN858" s="530" t="s">
        <v>294</v>
      </c>
      <c r="BO858" s="350"/>
      <c r="BP858" s="350"/>
      <c r="BQ858" s="350"/>
      <c r="BR858" s="350"/>
      <c r="BS858" s="350"/>
      <c r="BT858" s="350"/>
      <c r="BU858" s="350"/>
      <c r="BV858" s="351"/>
    </row>
    <row r="859" spans="1:74" ht="45" customHeight="1">
      <c r="A859" s="24">
        <f t="shared" si="3"/>
        <v>845</v>
      </c>
      <c r="B859" s="522" t="s">
        <v>294</v>
      </c>
      <c r="C859" s="351"/>
      <c r="D859" s="523" t="s">
        <v>298</v>
      </c>
      <c r="E859" s="351"/>
      <c r="F859" s="524" t="s">
        <v>325</v>
      </c>
      <c r="G859" s="351"/>
      <c r="H859" s="561" t="s">
        <v>325</v>
      </c>
      <c r="I859" s="351"/>
      <c r="J859" s="562"/>
      <c r="K859" s="351"/>
      <c r="L859" s="562"/>
      <c r="M859" s="351"/>
      <c r="N859" s="37"/>
      <c r="O859" s="38"/>
      <c r="P859" s="560"/>
      <c r="Q859" s="351"/>
      <c r="R859" s="527"/>
      <c r="S859" s="351"/>
      <c r="T859" s="528"/>
      <c r="U859" s="351"/>
      <c r="V859" s="541"/>
      <c r="W859" s="351"/>
      <c r="X859" s="542" t="s">
        <v>294</v>
      </c>
      <c r="Y859" s="350"/>
      <c r="Z859" s="350"/>
      <c r="AA859" s="351"/>
      <c r="AB859" s="543" t="s">
        <v>294</v>
      </c>
      <c r="AC859" s="350"/>
      <c r="AD859" s="350"/>
      <c r="AE859" s="351"/>
      <c r="AF859" s="544"/>
      <c r="AG859" s="351"/>
      <c r="AH859" s="544"/>
      <c r="AI859" s="351"/>
      <c r="AJ859" s="545"/>
      <c r="AK859" s="351"/>
      <c r="AL859" s="524" t="s">
        <v>325</v>
      </c>
      <c r="AM859" s="351"/>
      <c r="AN859" s="549" t="s">
        <v>325</v>
      </c>
      <c r="AO859" s="351"/>
      <c r="AP859" s="550"/>
      <c r="AQ859" s="351"/>
      <c r="AR859" s="551"/>
      <c r="AS859" s="351"/>
      <c r="AT859" s="552"/>
      <c r="AU859" s="351"/>
      <c r="AV859" s="549" t="s">
        <v>325</v>
      </c>
      <c r="AW859" s="351"/>
      <c r="AX859" s="553"/>
      <c r="AY859" s="350"/>
      <c r="AZ859" s="351"/>
      <c r="BA859" s="554"/>
      <c r="BB859" s="351"/>
      <c r="BC859" s="39"/>
      <c r="BD859" s="546" t="s">
        <v>325</v>
      </c>
      <c r="BE859" s="351"/>
      <c r="BF859" s="547"/>
      <c r="BG859" s="350"/>
      <c r="BH859" s="350"/>
      <c r="BI859" s="351"/>
      <c r="BJ859" s="548" t="s">
        <v>294</v>
      </c>
      <c r="BK859" s="350"/>
      <c r="BL859" s="350"/>
      <c r="BM859" s="351"/>
      <c r="BN859" s="530" t="s">
        <v>294</v>
      </c>
      <c r="BO859" s="350"/>
      <c r="BP859" s="350"/>
      <c r="BQ859" s="350"/>
      <c r="BR859" s="350"/>
      <c r="BS859" s="350"/>
      <c r="BT859" s="350"/>
      <c r="BU859" s="350"/>
      <c r="BV859" s="351"/>
    </row>
    <row r="860" spans="1:74" ht="45" customHeight="1">
      <c r="A860" s="24">
        <f t="shared" si="3"/>
        <v>846</v>
      </c>
      <c r="B860" s="558" t="s">
        <v>294</v>
      </c>
      <c r="C860" s="351"/>
      <c r="D860" s="559" t="s">
        <v>298</v>
      </c>
      <c r="E860" s="351"/>
      <c r="F860" s="524" t="s">
        <v>325</v>
      </c>
      <c r="G860" s="351"/>
      <c r="H860" s="525" t="s">
        <v>325</v>
      </c>
      <c r="I860" s="351"/>
      <c r="J860" s="40"/>
      <c r="K860" s="41"/>
      <c r="L860" s="40"/>
      <c r="M860" s="41"/>
      <c r="N860" s="34"/>
      <c r="O860" s="35"/>
      <c r="P860" s="526"/>
      <c r="Q860" s="351"/>
      <c r="R860" s="535"/>
      <c r="S860" s="351"/>
      <c r="T860" s="536"/>
      <c r="U860" s="351"/>
      <c r="V860" s="537"/>
      <c r="W860" s="351"/>
      <c r="X860" s="538" t="s">
        <v>294</v>
      </c>
      <c r="Y860" s="350"/>
      <c r="Z860" s="350"/>
      <c r="AA860" s="351"/>
      <c r="AB860" s="539" t="s">
        <v>294</v>
      </c>
      <c r="AC860" s="350"/>
      <c r="AD860" s="350"/>
      <c r="AE860" s="351"/>
      <c r="AF860" s="540"/>
      <c r="AG860" s="351"/>
      <c r="AH860" s="540"/>
      <c r="AI860" s="351"/>
      <c r="AJ860" s="545"/>
      <c r="AK860" s="351"/>
      <c r="AL860" s="555" t="s">
        <v>325</v>
      </c>
      <c r="AM860" s="351"/>
      <c r="AN860" s="531" t="s">
        <v>325</v>
      </c>
      <c r="AO860" s="351"/>
      <c r="AP860" s="532"/>
      <c r="AQ860" s="351"/>
      <c r="AR860" s="533"/>
      <c r="AS860" s="351"/>
      <c r="AT860" s="534"/>
      <c r="AU860" s="351"/>
      <c r="AV860" s="531" t="s">
        <v>325</v>
      </c>
      <c r="AW860" s="351"/>
      <c r="AX860" s="553"/>
      <c r="AY860" s="350"/>
      <c r="AZ860" s="351"/>
      <c r="BA860" s="545"/>
      <c r="BB860" s="351"/>
      <c r="BC860" s="36"/>
      <c r="BD860" s="556" t="s">
        <v>325</v>
      </c>
      <c r="BE860" s="351"/>
      <c r="BF860" s="557"/>
      <c r="BG860" s="350"/>
      <c r="BH860" s="350"/>
      <c r="BI860" s="351"/>
      <c r="BJ860" s="506" t="s">
        <v>294</v>
      </c>
      <c r="BK860" s="350"/>
      <c r="BL860" s="350"/>
      <c r="BM860" s="351"/>
      <c r="BN860" s="530" t="s">
        <v>294</v>
      </c>
      <c r="BO860" s="350"/>
      <c r="BP860" s="350"/>
      <c r="BQ860" s="350"/>
      <c r="BR860" s="350"/>
      <c r="BS860" s="350"/>
      <c r="BT860" s="350"/>
      <c r="BU860" s="350"/>
      <c r="BV860" s="351"/>
    </row>
    <row r="861" spans="1:74" ht="45" customHeight="1">
      <c r="A861" s="24">
        <f t="shared" si="3"/>
        <v>847</v>
      </c>
      <c r="B861" s="522" t="s">
        <v>294</v>
      </c>
      <c r="C861" s="351"/>
      <c r="D861" s="523" t="s">
        <v>298</v>
      </c>
      <c r="E861" s="351"/>
      <c r="F861" s="524" t="s">
        <v>325</v>
      </c>
      <c r="G861" s="351"/>
      <c r="H861" s="561" t="s">
        <v>325</v>
      </c>
      <c r="I861" s="351"/>
      <c r="J861" s="562"/>
      <c r="K861" s="351"/>
      <c r="L861" s="562"/>
      <c r="M861" s="351"/>
      <c r="N861" s="37"/>
      <c r="O861" s="38"/>
      <c r="P861" s="560"/>
      <c r="Q861" s="351"/>
      <c r="R861" s="527"/>
      <c r="S861" s="351"/>
      <c r="T861" s="528"/>
      <c r="U861" s="351"/>
      <c r="V861" s="541"/>
      <c r="W861" s="351"/>
      <c r="X861" s="542" t="s">
        <v>294</v>
      </c>
      <c r="Y861" s="350"/>
      <c r="Z861" s="350"/>
      <c r="AA861" s="351"/>
      <c r="AB861" s="543" t="s">
        <v>294</v>
      </c>
      <c r="AC861" s="350"/>
      <c r="AD861" s="350"/>
      <c r="AE861" s="351"/>
      <c r="AF861" s="544"/>
      <c r="AG861" s="351"/>
      <c r="AH861" s="544"/>
      <c r="AI861" s="351"/>
      <c r="AJ861" s="545"/>
      <c r="AK861" s="351"/>
      <c r="AL861" s="524" t="s">
        <v>325</v>
      </c>
      <c r="AM861" s="351"/>
      <c r="AN861" s="549" t="s">
        <v>325</v>
      </c>
      <c r="AO861" s="351"/>
      <c r="AP861" s="550"/>
      <c r="AQ861" s="351"/>
      <c r="AR861" s="551"/>
      <c r="AS861" s="351"/>
      <c r="AT861" s="552"/>
      <c r="AU861" s="351"/>
      <c r="AV861" s="549" t="s">
        <v>325</v>
      </c>
      <c r="AW861" s="351"/>
      <c r="AX861" s="553"/>
      <c r="AY861" s="350"/>
      <c r="AZ861" s="351"/>
      <c r="BA861" s="554"/>
      <c r="BB861" s="351"/>
      <c r="BC861" s="39"/>
      <c r="BD861" s="546" t="s">
        <v>325</v>
      </c>
      <c r="BE861" s="351"/>
      <c r="BF861" s="547"/>
      <c r="BG861" s="350"/>
      <c r="BH861" s="350"/>
      <c r="BI861" s="351"/>
      <c r="BJ861" s="548" t="s">
        <v>294</v>
      </c>
      <c r="BK861" s="350"/>
      <c r="BL861" s="350"/>
      <c r="BM861" s="351"/>
      <c r="BN861" s="530" t="s">
        <v>294</v>
      </c>
      <c r="BO861" s="350"/>
      <c r="BP861" s="350"/>
      <c r="BQ861" s="350"/>
      <c r="BR861" s="350"/>
      <c r="BS861" s="350"/>
      <c r="BT861" s="350"/>
      <c r="BU861" s="350"/>
      <c r="BV861" s="351"/>
    </row>
    <row r="862" spans="1:74" ht="45" customHeight="1">
      <c r="A862" s="24">
        <f t="shared" si="3"/>
        <v>848</v>
      </c>
      <c r="B862" s="558" t="s">
        <v>294</v>
      </c>
      <c r="C862" s="351"/>
      <c r="D862" s="559" t="s">
        <v>298</v>
      </c>
      <c r="E862" s="351"/>
      <c r="F862" s="524" t="s">
        <v>325</v>
      </c>
      <c r="G862" s="351"/>
      <c r="H862" s="525" t="s">
        <v>325</v>
      </c>
      <c r="I862" s="351"/>
      <c r="J862" s="40"/>
      <c r="K862" s="41"/>
      <c r="L862" s="40"/>
      <c r="M862" s="41"/>
      <c r="N862" s="37"/>
      <c r="O862" s="38"/>
      <c r="P862" s="560"/>
      <c r="Q862" s="351"/>
      <c r="R862" s="527"/>
      <c r="S862" s="351"/>
      <c r="T862" s="528"/>
      <c r="U862" s="351"/>
      <c r="V862" s="537"/>
      <c r="W862" s="351"/>
      <c r="X862" s="538" t="s">
        <v>294</v>
      </c>
      <c r="Y862" s="350"/>
      <c r="Z862" s="350"/>
      <c r="AA862" s="351"/>
      <c r="AB862" s="539" t="s">
        <v>294</v>
      </c>
      <c r="AC862" s="350"/>
      <c r="AD862" s="350"/>
      <c r="AE862" s="351"/>
      <c r="AF862" s="540"/>
      <c r="AG862" s="351"/>
      <c r="AH862" s="540"/>
      <c r="AI862" s="351"/>
      <c r="AJ862" s="545"/>
      <c r="AK862" s="351"/>
      <c r="AL862" s="555" t="s">
        <v>325</v>
      </c>
      <c r="AM862" s="351"/>
      <c r="AN862" s="531" t="s">
        <v>325</v>
      </c>
      <c r="AO862" s="351"/>
      <c r="AP862" s="532"/>
      <c r="AQ862" s="351"/>
      <c r="AR862" s="533"/>
      <c r="AS862" s="351"/>
      <c r="AT862" s="534"/>
      <c r="AU862" s="351"/>
      <c r="AV862" s="531" t="s">
        <v>325</v>
      </c>
      <c r="AW862" s="351"/>
      <c r="AX862" s="553"/>
      <c r="AY862" s="350"/>
      <c r="AZ862" s="351"/>
      <c r="BA862" s="545"/>
      <c r="BB862" s="351"/>
      <c r="BC862" s="36"/>
      <c r="BD862" s="556" t="s">
        <v>325</v>
      </c>
      <c r="BE862" s="351"/>
      <c r="BF862" s="557"/>
      <c r="BG862" s="350"/>
      <c r="BH862" s="350"/>
      <c r="BI862" s="351"/>
      <c r="BJ862" s="506" t="s">
        <v>294</v>
      </c>
      <c r="BK862" s="350"/>
      <c r="BL862" s="350"/>
      <c r="BM862" s="351"/>
      <c r="BN862" s="530" t="s">
        <v>294</v>
      </c>
      <c r="BO862" s="350"/>
      <c r="BP862" s="350"/>
      <c r="BQ862" s="350"/>
      <c r="BR862" s="350"/>
      <c r="BS862" s="350"/>
      <c r="BT862" s="350"/>
      <c r="BU862" s="350"/>
      <c r="BV862" s="351"/>
    </row>
    <row r="863" spans="1:74" ht="45" customHeight="1">
      <c r="A863" s="24">
        <f t="shared" si="3"/>
        <v>849</v>
      </c>
      <c r="B863" s="522" t="s">
        <v>294</v>
      </c>
      <c r="C863" s="351"/>
      <c r="D863" s="523" t="s">
        <v>298</v>
      </c>
      <c r="E863" s="351"/>
      <c r="F863" s="524" t="s">
        <v>325</v>
      </c>
      <c r="G863" s="351"/>
      <c r="H863" s="561" t="s">
        <v>325</v>
      </c>
      <c r="I863" s="351"/>
      <c r="J863" s="562"/>
      <c r="K863" s="351"/>
      <c r="L863" s="562"/>
      <c r="M863" s="351"/>
      <c r="N863" s="34"/>
      <c r="O863" s="35"/>
      <c r="P863" s="526"/>
      <c r="Q863" s="351"/>
      <c r="R863" s="535"/>
      <c r="S863" s="351"/>
      <c r="T863" s="536"/>
      <c r="U863" s="351"/>
      <c r="V863" s="541"/>
      <c r="W863" s="351"/>
      <c r="X863" s="542" t="s">
        <v>294</v>
      </c>
      <c r="Y863" s="350"/>
      <c r="Z863" s="350"/>
      <c r="AA863" s="351"/>
      <c r="AB863" s="543" t="s">
        <v>294</v>
      </c>
      <c r="AC863" s="350"/>
      <c r="AD863" s="350"/>
      <c r="AE863" s="351"/>
      <c r="AF863" s="544"/>
      <c r="AG863" s="351"/>
      <c r="AH863" s="544"/>
      <c r="AI863" s="351"/>
      <c r="AJ863" s="545"/>
      <c r="AK863" s="351"/>
      <c r="AL863" s="524" t="s">
        <v>325</v>
      </c>
      <c r="AM863" s="351"/>
      <c r="AN863" s="549" t="s">
        <v>325</v>
      </c>
      <c r="AO863" s="351"/>
      <c r="AP863" s="550"/>
      <c r="AQ863" s="351"/>
      <c r="AR863" s="551"/>
      <c r="AS863" s="351"/>
      <c r="AT863" s="552"/>
      <c r="AU863" s="351"/>
      <c r="AV863" s="549" t="s">
        <v>325</v>
      </c>
      <c r="AW863" s="351"/>
      <c r="AX863" s="553"/>
      <c r="AY863" s="350"/>
      <c r="AZ863" s="351"/>
      <c r="BA863" s="554"/>
      <c r="BB863" s="351"/>
      <c r="BC863" s="39"/>
      <c r="BD863" s="546" t="s">
        <v>325</v>
      </c>
      <c r="BE863" s="351"/>
      <c r="BF863" s="547"/>
      <c r="BG863" s="350"/>
      <c r="BH863" s="350"/>
      <c r="BI863" s="351"/>
      <c r="BJ863" s="548" t="s">
        <v>294</v>
      </c>
      <c r="BK863" s="350"/>
      <c r="BL863" s="350"/>
      <c r="BM863" s="351"/>
      <c r="BN863" s="530" t="s">
        <v>294</v>
      </c>
      <c r="BO863" s="350"/>
      <c r="BP863" s="350"/>
      <c r="BQ863" s="350"/>
      <c r="BR863" s="350"/>
      <c r="BS863" s="350"/>
      <c r="BT863" s="350"/>
      <c r="BU863" s="350"/>
      <c r="BV863" s="351"/>
    </row>
    <row r="864" spans="1:74" ht="45" customHeight="1">
      <c r="A864" s="24">
        <f t="shared" si="3"/>
        <v>850</v>
      </c>
      <c r="B864" s="558" t="s">
        <v>294</v>
      </c>
      <c r="C864" s="351"/>
      <c r="D864" s="559" t="s">
        <v>298</v>
      </c>
      <c r="E864" s="351"/>
      <c r="F864" s="524" t="s">
        <v>325</v>
      </c>
      <c r="G864" s="351"/>
      <c r="H864" s="525" t="s">
        <v>325</v>
      </c>
      <c r="I864" s="351"/>
      <c r="J864" s="40"/>
      <c r="K864" s="41"/>
      <c r="L864" s="40"/>
      <c r="M864" s="41"/>
      <c r="N864" s="37"/>
      <c r="O864" s="38"/>
      <c r="P864" s="560"/>
      <c r="Q864" s="351"/>
      <c r="R864" s="527"/>
      <c r="S864" s="351"/>
      <c r="T864" s="528"/>
      <c r="U864" s="351"/>
      <c r="V864" s="537"/>
      <c r="W864" s="351"/>
      <c r="X864" s="538" t="s">
        <v>294</v>
      </c>
      <c r="Y864" s="350"/>
      <c r="Z864" s="350"/>
      <c r="AA864" s="351"/>
      <c r="AB864" s="539" t="s">
        <v>294</v>
      </c>
      <c r="AC864" s="350"/>
      <c r="AD864" s="350"/>
      <c r="AE864" s="351"/>
      <c r="AF864" s="540"/>
      <c r="AG864" s="351"/>
      <c r="AH864" s="540"/>
      <c r="AI864" s="351"/>
      <c r="AJ864" s="545"/>
      <c r="AK864" s="351"/>
      <c r="AL864" s="555" t="s">
        <v>325</v>
      </c>
      <c r="AM864" s="351"/>
      <c r="AN864" s="531" t="s">
        <v>325</v>
      </c>
      <c r="AO864" s="351"/>
      <c r="AP864" s="532"/>
      <c r="AQ864" s="351"/>
      <c r="AR864" s="533"/>
      <c r="AS864" s="351"/>
      <c r="AT864" s="534"/>
      <c r="AU864" s="351"/>
      <c r="AV864" s="531" t="s">
        <v>325</v>
      </c>
      <c r="AW864" s="351"/>
      <c r="AX864" s="553"/>
      <c r="AY864" s="350"/>
      <c r="AZ864" s="351"/>
      <c r="BA864" s="545"/>
      <c r="BB864" s="351"/>
      <c r="BC864" s="36"/>
      <c r="BD864" s="556" t="s">
        <v>325</v>
      </c>
      <c r="BE864" s="351"/>
      <c r="BF864" s="529"/>
      <c r="BG864" s="350"/>
      <c r="BH864" s="350"/>
      <c r="BI864" s="351"/>
      <c r="BJ864" s="506" t="s">
        <v>294</v>
      </c>
      <c r="BK864" s="350"/>
      <c r="BL864" s="350"/>
      <c r="BM864" s="351"/>
      <c r="BN864" s="530" t="s">
        <v>294</v>
      </c>
      <c r="BO864" s="350"/>
      <c r="BP864" s="350"/>
      <c r="BQ864" s="350"/>
      <c r="BR864" s="350"/>
      <c r="BS864" s="350"/>
      <c r="BT864" s="350"/>
      <c r="BU864" s="350"/>
      <c r="BV864" s="351"/>
    </row>
    <row r="865" spans="1:74" ht="45" customHeight="1">
      <c r="A865" s="24">
        <f t="shared" si="3"/>
        <v>851</v>
      </c>
      <c r="B865" s="522" t="s">
        <v>294</v>
      </c>
      <c r="C865" s="351"/>
      <c r="D865" s="523" t="s">
        <v>298</v>
      </c>
      <c r="E865" s="351"/>
      <c r="F865" s="524" t="s">
        <v>325</v>
      </c>
      <c r="G865" s="351"/>
      <c r="H865" s="561" t="s">
        <v>325</v>
      </c>
      <c r="I865" s="351"/>
      <c r="J865" s="562"/>
      <c r="K865" s="351"/>
      <c r="L865" s="562"/>
      <c r="M865" s="351"/>
      <c r="N865" s="34"/>
      <c r="O865" s="35"/>
      <c r="P865" s="526"/>
      <c r="Q865" s="351"/>
      <c r="R865" s="535"/>
      <c r="S865" s="351"/>
      <c r="T865" s="536"/>
      <c r="U865" s="351"/>
      <c r="V865" s="541"/>
      <c r="W865" s="351"/>
      <c r="X865" s="542" t="s">
        <v>294</v>
      </c>
      <c r="Y865" s="350"/>
      <c r="Z865" s="350"/>
      <c r="AA865" s="351"/>
      <c r="AB865" s="543" t="s">
        <v>294</v>
      </c>
      <c r="AC865" s="350"/>
      <c r="AD865" s="350"/>
      <c r="AE865" s="351"/>
      <c r="AF865" s="544"/>
      <c r="AG865" s="351"/>
      <c r="AH865" s="544"/>
      <c r="AI865" s="351"/>
      <c r="AJ865" s="545"/>
      <c r="AK865" s="351"/>
      <c r="AL865" s="524" t="s">
        <v>325</v>
      </c>
      <c r="AM865" s="351"/>
      <c r="AN865" s="549" t="s">
        <v>325</v>
      </c>
      <c r="AO865" s="351"/>
      <c r="AP865" s="550"/>
      <c r="AQ865" s="351"/>
      <c r="AR865" s="551"/>
      <c r="AS865" s="351"/>
      <c r="AT865" s="552"/>
      <c r="AU865" s="351"/>
      <c r="AV865" s="549" t="s">
        <v>325</v>
      </c>
      <c r="AW865" s="351"/>
      <c r="AX865" s="553"/>
      <c r="AY865" s="350"/>
      <c r="AZ865" s="351"/>
      <c r="BA865" s="554"/>
      <c r="BB865" s="351"/>
      <c r="BC865" s="39"/>
      <c r="BD865" s="546" t="s">
        <v>325</v>
      </c>
      <c r="BE865" s="351"/>
      <c r="BF865" s="547"/>
      <c r="BG865" s="350"/>
      <c r="BH865" s="350"/>
      <c r="BI865" s="351"/>
      <c r="BJ865" s="548" t="s">
        <v>294</v>
      </c>
      <c r="BK865" s="350"/>
      <c r="BL865" s="350"/>
      <c r="BM865" s="351"/>
      <c r="BN865" s="530" t="s">
        <v>294</v>
      </c>
      <c r="BO865" s="350"/>
      <c r="BP865" s="350"/>
      <c r="BQ865" s="350"/>
      <c r="BR865" s="350"/>
      <c r="BS865" s="350"/>
      <c r="BT865" s="350"/>
      <c r="BU865" s="350"/>
      <c r="BV865" s="351"/>
    </row>
    <row r="866" spans="1:74" ht="45" customHeight="1">
      <c r="A866" s="24">
        <f t="shared" si="3"/>
        <v>852</v>
      </c>
      <c r="B866" s="558" t="s">
        <v>294</v>
      </c>
      <c r="C866" s="351"/>
      <c r="D866" s="559" t="s">
        <v>298</v>
      </c>
      <c r="E866" s="351"/>
      <c r="F866" s="524" t="s">
        <v>325</v>
      </c>
      <c r="G866" s="351"/>
      <c r="H866" s="525" t="s">
        <v>325</v>
      </c>
      <c r="I866" s="351"/>
      <c r="J866" s="40"/>
      <c r="K866" s="41"/>
      <c r="L866" s="40"/>
      <c r="M866" s="41"/>
      <c r="N866" s="37"/>
      <c r="O866" s="38"/>
      <c r="P866" s="560"/>
      <c r="Q866" s="351"/>
      <c r="R866" s="527"/>
      <c r="S866" s="351"/>
      <c r="T866" s="528"/>
      <c r="U866" s="351"/>
      <c r="V866" s="537"/>
      <c r="W866" s="351"/>
      <c r="X866" s="538" t="s">
        <v>294</v>
      </c>
      <c r="Y866" s="350"/>
      <c r="Z866" s="350"/>
      <c r="AA866" s="351"/>
      <c r="AB866" s="539" t="s">
        <v>294</v>
      </c>
      <c r="AC866" s="350"/>
      <c r="AD866" s="350"/>
      <c r="AE866" s="351"/>
      <c r="AF866" s="540"/>
      <c r="AG866" s="351"/>
      <c r="AH866" s="540"/>
      <c r="AI866" s="351"/>
      <c r="AJ866" s="545"/>
      <c r="AK866" s="351"/>
      <c r="AL866" s="555" t="s">
        <v>325</v>
      </c>
      <c r="AM866" s="351"/>
      <c r="AN866" s="531" t="s">
        <v>325</v>
      </c>
      <c r="AO866" s="351"/>
      <c r="AP866" s="532"/>
      <c r="AQ866" s="351"/>
      <c r="AR866" s="533"/>
      <c r="AS866" s="351"/>
      <c r="AT866" s="534"/>
      <c r="AU866" s="351"/>
      <c r="AV866" s="531" t="s">
        <v>325</v>
      </c>
      <c r="AW866" s="351"/>
      <c r="AX866" s="553"/>
      <c r="AY866" s="350"/>
      <c r="AZ866" s="351"/>
      <c r="BA866" s="545"/>
      <c r="BB866" s="351"/>
      <c r="BC866" s="36"/>
      <c r="BD866" s="556" t="s">
        <v>325</v>
      </c>
      <c r="BE866" s="351"/>
      <c r="BF866" s="557"/>
      <c r="BG866" s="350"/>
      <c r="BH866" s="350"/>
      <c r="BI866" s="351"/>
      <c r="BJ866" s="506" t="s">
        <v>294</v>
      </c>
      <c r="BK866" s="350"/>
      <c r="BL866" s="350"/>
      <c r="BM866" s="351"/>
      <c r="BN866" s="530" t="s">
        <v>294</v>
      </c>
      <c r="BO866" s="350"/>
      <c r="BP866" s="350"/>
      <c r="BQ866" s="350"/>
      <c r="BR866" s="350"/>
      <c r="BS866" s="350"/>
      <c r="BT866" s="350"/>
      <c r="BU866" s="350"/>
      <c r="BV866" s="351"/>
    </row>
    <row r="867" spans="1:74" ht="45" customHeight="1">
      <c r="A867" s="24">
        <f t="shared" si="3"/>
        <v>853</v>
      </c>
      <c r="B867" s="522" t="s">
        <v>294</v>
      </c>
      <c r="C867" s="351"/>
      <c r="D867" s="523" t="s">
        <v>298</v>
      </c>
      <c r="E867" s="351"/>
      <c r="F867" s="524" t="s">
        <v>325</v>
      </c>
      <c r="G867" s="351"/>
      <c r="H867" s="561" t="s">
        <v>325</v>
      </c>
      <c r="I867" s="351"/>
      <c r="J867" s="562"/>
      <c r="K867" s="351"/>
      <c r="L867" s="562"/>
      <c r="M867" s="351"/>
      <c r="N867" s="34"/>
      <c r="O867" s="35"/>
      <c r="P867" s="526"/>
      <c r="Q867" s="351"/>
      <c r="R867" s="535"/>
      <c r="S867" s="351"/>
      <c r="T867" s="536"/>
      <c r="U867" s="351"/>
      <c r="V867" s="541"/>
      <c r="W867" s="351"/>
      <c r="X867" s="542" t="s">
        <v>294</v>
      </c>
      <c r="Y867" s="350"/>
      <c r="Z867" s="350"/>
      <c r="AA867" s="351"/>
      <c r="AB867" s="543" t="s">
        <v>294</v>
      </c>
      <c r="AC867" s="350"/>
      <c r="AD867" s="350"/>
      <c r="AE867" s="351"/>
      <c r="AF867" s="544"/>
      <c r="AG867" s="351"/>
      <c r="AH867" s="544"/>
      <c r="AI867" s="351"/>
      <c r="AJ867" s="545"/>
      <c r="AK867" s="351"/>
      <c r="AL867" s="524" t="s">
        <v>325</v>
      </c>
      <c r="AM867" s="351"/>
      <c r="AN867" s="549" t="s">
        <v>325</v>
      </c>
      <c r="AO867" s="351"/>
      <c r="AP867" s="550"/>
      <c r="AQ867" s="351"/>
      <c r="AR867" s="551"/>
      <c r="AS867" s="351"/>
      <c r="AT867" s="534"/>
      <c r="AU867" s="351"/>
      <c r="AV867" s="549" t="s">
        <v>325</v>
      </c>
      <c r="AW867" s="351"/>
      <c r="AX867" s="553"/>
      <c r="AY867" s="350"/>
      <c r="AZ867" s="351"/>
      <c r="BA867" s="554"/>
      <c r="BB867" s="351"/>
      <c r="BC867" s="39"/>
      <c r="BD867" s="546" t="s">
        <v>325</v>
      </c>
      <c r="BE867" s="351"/>
      <c r="BF867" s="547"/>
      <c r="BG867" s="350"/>
      <c r="BH867" s="350"/>
      <c r="BI867" s="351"/>
      <c r="BJ867" s="548" t="s">
        <v>294</v>
      </c>
      <c r="BK867" s="350"/>
      <c r="BL867" s="350"/>
      <c r="BM867" s="351"/>
      <c r="BN867" s="530" t="s">
        <v>294</v>
      </c>
      <c r="BO867" s="350"/>
      <c r="BP867" s="350"/>
      <c r="BQ867" s="350"/>
      <c r="BR867" s="350"/>
      <c r="BS867" s="350"/>
      <c r="BT867" s="350"/>
      <c r="BU867" s="350"/>
      <c r="BV867" s="351"/>
    </row>
    <row r="868" spans="1:74" ht="45" customHeight="1">
      <c r="A868" s="24">
        <f t="shared" si="3"/>
        <v>854</v>
      </c>
      <c r="B868" s="558" t="s">
        <v>294</v>
      </c>
      <c r="C868" s="351"/>
      <c r="D868" s="559" t="s">
        <v>298</v>
      </c>
      <c r="E868" s="351"/>
      <c r="F868" s="524" t="s">
        <v>325</v>
      </c>
      <c r="G868" s="351"/>
      <c r="H868" s="525" t="s">
        <v>325</v>
      </c>
      <c r="I868" s="351"/>
      <c r="J868" s="40"/>
      <c r="K868" s="41"/>
      <c r="L868" s="40"/>
      <c r="M868" s="41"/>
      <c r="N868" s="37"/>
      <c r="O868" s="38"/>
      <c r="P868" s="560"/>
      <c r="Q868" s="351"/>
      <c r="R868" s="527"/>
      <c r="S868" s="351"/>
      <c r="T868" s="528"/>
      <c r="U868" s="351"/>
      <c r="V868" s="537"/>
      <c r="W868" s="351"/>
      <c r="X868" s="538" t="s">
        <v>294</v>
      </c>
      <c r="Y868" s="350"/>
      <c r="Z868" s="350"/>
      <c r="AA868" s="351"/>
      <c r="AB868" s="539" t="s">
        <v>294</v>
      </c>
      <c r="AC868" s="350"/>
      <c r="AD868" s="350"/>
      <c r="AE868" s="351"/>
      <c r="AF868" s="540"/>
      <c r="AG868" s="351"/>
      <c r="AH868" s="540"/>
      <c r="AI868" s="351"/>
      <c r="AJ868" s="545"/>
      <c r="AK868" s="351"/>
      <c r="AL868" s="555" t="s">
        <v>325</v>
      </c>
      <c r="AM868" s="351"/>
      <c r="AN868" s="531" t="s">
        <v>325</v>
      </c>
      <c r="AO868" s="351"/>
      <c r="AP868" s="532"/>
      <c r="AQ868" s="351"/>
      <c r="AR868" s="533"/>
      <c r="AS868" s="351"/>
      <c r="AT868" s="534"/>
      <c r="AU868" s="351"/>
      <c r="AV868" s="531" t="s">
        <v>325</v>
      </c>
      <c r="AW868" s="351"/>
      <c r="AX868" s="553"/>
      <c r="AY868" s="350"/>
      <c r="AZ868" s="351"/>
      <c r="BA868" s="545"/>
      <c r="BB868" s="351"/>
      <c r="BC868" s="36"/>
      <c r="BD868" s="556" t="s">
        <v>325</v>
      </c>
      <c r="BE868" s="351"/>
      <c r="BF868" s="557"/>
      <c r="BG868" s="350"/>
      <c r="BH868" s="350"/>
      <c r="BI868" s="351"/>
      <c r="BJ868" s="506" t="s">
        <v>294</v>
      </c>
      <c r="BK868" s="350"/>
      <c r="BL868" s="350"/>
      <c r="BM868" s="351"/>
      <c r="BN868" s="530" t="s">
        <v>294</v>
      </c>
      <c r="BO868" s="350"/>
      <c r="BP868" s="350"/>
      <c r="BQ868" s="350"/>
      <c r="BR868" s="350"/>
      <c r="BS868" s="350"/>
      <c r="BT868" s="350"/>
      <c r="BU868" s="350"/>
      <c r="BV868" s="351"/>
    </row>
    <row r="869" spans="1:74" ht="45" customHeight="1">
      <c r="A869" s="24">
        <f t="shared" si="3"/>
        <v>855</v>
      </c>
      <c r="B869" s="522" t="s">
        <v>294</v>
      </c>
      <c r="C869" s="351"/>
      <c r="D869" s="523" t="s">
        <v>298</v>
      </c>
      <c r="E869" s="351"/>
      <c r="F869" s="524" t="s">
        <v>325</v>
      </c>
      <c r="G869" s="351"/>
      <c r="H869" s="561" t="s">
        <v>325</v>
      </c>
      <c r="I869" s="351"/>
      <c r="J869" s="562"/>
      <c r="K869" s="351"/>
      <c r="L869" s="562"/>
      <c r="M869" s="351"/>
      <c r="N869" s="34"/>
      <c r="O869" s="35"/>
      <c r="P869" s="526"/>
      <c r="Q869" s="351"/>
      <c r="R869" s="535"/>
      <c r="S869" s="351"/>
      <c r="T869" s="536"/>
      <c r="U869" s="351"/>
      <c r="V869" s="541"/>
      <c r="W869" s="351"/>
      <c r="X869" s="542" t="s">
        <v>294</v>
      </c>
      <c r="Y869" s="350"/>
      <c r="Z869" s="350"/>
      <c r="AA869" s="351"/>
      <c r="AB869" s="543" t="s">
        <v>294</v>
      </c>
      <c r="AC869" s="350"/>
      <c r="AD869" s="350"/>
      <c r="AE869" s="351"/>
      <c r="AF869" s="544"/>
      <c r="AG869" s="351"/>
      <c r="AH869" s="544"/>
      <c r="AI869" s="351"/>
      <c r="AJ869" s="545"/>
      <c r="AK869" s="351"/>
      <c r="AL869" s="524" t="s">
        <v>325</v>
      </c>
      <c r="AM869" s="351"/>
      <c r="AN869" s="549" t="s">
        <v>325</v>
      </c>
      <c r="AO869" s="351"/>
      <c r="AP869" s="550"/>
      <c r="AQ869" s="351"/>
      <c r="AR869" s="551"/>
      <c r="AS869" s="351"/>
      <c r="AT869" s="534"/>
      <c r="AU869" s="351"/>
      <c r="AV869" s="549" t="s">
        <v>325</v>
      </c>
      <c r="AW869" s="351"/>
      <c r="AX869" s="553"/>
      <c r="AY869" s="350"/>
      <c r="AZ869" s="351"/>
      <c r="BA869" s="554"/>
      <c r="BB869" s="351"/>
      <c r="BC869" s="39"/>
      <c r="BD869" s="546" t="s">
        <v>325</v>
      </c>
      <c r="BE869" s="351"/>
      <c r="BF869" s="547"/>
      <c r="BG869" s="350"/>
      <c r="BH869" s="350"/>
      <c r="BI869" s="351"/>
      <c r="BJ869" s="548" t="s">
        <v>294</v>
      </c>
      <c r="BK869" s="350"/>
      <c r="BL869" s="350"/>
      <c r="BM869" s="351"/>
      <c r="BN869" s="530" t="s">
        <v>294</v>
      </c>
      <c r="BO869" s="350"/>
      <c r="BP869" s="350"/>
      <c r="BQ869" s="350"/>
      <c r="BR869" s="350"/>
      <c r="BS869" s="350"/>
      <c r="BT869" s="350"/>
      <c r="BU869" s="350"/>
      <c r="BV869" s="351"/>
    </row>
    <row r="870" spans="1:74" ht="45" customHeight="1">
      <c r="A870" s="24">
        <f t="shared" si="3"/>
        <v>856</v>
      </c>
      <c r="B870" s="558" t="s">
        <v>294</v>
      </c>
      <c r="C870" s="351"/>
      <c r="D870" s="559" t="s">
        <v>298</v>
      </c>
      <c r="E870" s="351"/>
      <c r="F870" s="524" t="s">
        <v>325</v>
      </c>
      <c r="G870" s="351"/>
      <c r="H870" s="525" t="s">
        <v>325</v>
      </c>
      <c r="I870" s="351"/>
      <c r="J870" s="40"/>
      <c r="K870" s="41"/>
      <c r="L870" s="40"/>
      <c r="M870" s="41"/>
      <c r="N870" s="37"/>
      <c r="O870" s="38"/>
      <c r="P870" s="560"/>
      <c r="Q870" s="351"/>
      <c r="R870" s="527"/>
      <c r="S870" s="351"/>
      <c r="T870" s="528"/>
      <c r="U870" s="351"/>
      <c r="V870" s="537"/>
      <c r="W870" s="351"/>
      <c r="X870" s="538" t="s">
        <v>294</v>
      </c>
      <c r="Y870" s="350"/>
      <c r="Z870" s="350"/>
      <c r="AA870" s="351"/>
      <c r="AB870" s="539" t="s">
        <v>294</v>
      </c>
      <c r="AC870" s="350"/>
      <c r="AD870" s="350"/>
      <c r="AE870" s="351"/>
      <c r="AF870" s="540"/>
      <c r="AG870" s="351"/>
      <c r="AH870" s="540"/>
      <c r="AI870" s="351"/>
      <c r="AJ870" s="545"/>
      <c r="AK870" s="351"/>
      <c r="AL870" s="555" t="s">
        <v>325</v>
      </c>
      <c r="AM870" s="351"/>
      <c r="AN870" s="531" t="s">
        <v>325</v>
      </c>
      <c r="AO870" s="351"/>
      <c r="AP870" s="532"/>
      <c r="AQ870" s="351"/>
      <c r="AR870" s="533"/>
      <c r="AS870" s="351"/>
      <c r="AT870" s="534"/>
      <c r="AU870" s="351"/>
      <c r="AV870" s="531" t="s">
        <v>325</v>
      </c>
      <c r="AW870" s="351"/>
      <c r="AX870" s="553"/>
      <c r="AY870" s="350"/>
      <c r="AZ870" s="351"/>
      <c r="BA870" s="545"/>
      <c r="BB870" s="351"/>
      <c r="BC870" s="36"/>
      <c r="BD870" s="556" t="s">
        <v>325</v>
      </c>
      <c r="BE870" s="351"/>
      <c r="BF870" s="557"/>
      <c r="BG870" s="350"/>
      <c r="BH870" s="350"/>
      <c r="BI870" s="351"/>
      <c r="BJ870" s="506" t="s">
        <v>294</v>
      </c>
      <c r="BK870" s="350"/>
      <c r="BL870" s="350"/>
      <c r="BM870" s="351"/>
      <c r="BN870" s="530" t="s">
        <v>294</v>
      </c>
      <c r="BO870" s="350"/>
      <c r="BP870" s="350"/>
      <c r="BQ870" s="350"/>
      <c r="BR870" s="350"/>
      <c r="BS870" s="350"/>
      <c r="BT870" s="350"/>
      <c r="BU870" s="350"/>
      <c r="BV870" s="351"/>
    </row>
    <row r="871" spans="1:74" ht="45" customHeight="1">
      <c r="A871" s="24">
        <f t="shared" si="3"/>
        <v>857</v>
      </c>
      <c r="B871" s="522" t="s">
        <v>294</v>
      </c>
      <c r="C871" s="351"/>
      <c r="D871" s="523" t="s">
        <v>298</v>
      </c>
      <c r="E871" s="351"/>
      <c r="F871" s="524" t="s">
        <v>325</v>
      </c>
      <c r="G871" s="351"/>
      <c r="H871" s="561" t="s">
        <v>325</v>
      </c>
      <c r="I871" s="351"/>
      <c r="J871" s="562"/>
      <c r="K871" s="351"/>
      <c r="L871" s="562"/>
      <c r="M871" s="351"/>
      <c r="N871" s="34"/>
      <c r="O871" s="35"/>
      <c r="P871" s="526"/>
      <c r="Q871" s="351"/>
      <c r="R871" s="535"/>
      <c r="S871" s="351"/>
      <c r="T871" s="536"/>
      <c r="U871" s="351"/>
      <c r="V871" s="541"/>
      <c r="W871" s="351"/>
      <c r="X871" s="542" t="s">
        <v>294</v>
      </c>
      <c r="Y871" s="350"/>
      <c r="Z871" s="350"/>
      <c r="AA871" s="351"/>
      <c r="AB871" s="543" t="s">
        <v>294</v>
      </c>
      <c r="AC871" s="350"/>
      <c r="AD871" s="350"/>
      <c r="AE871" s="351"/>
      <c r="AF871" s="544"/>
      <c r="AG871" s="351"/>
      <c r="AH871" s="544"/>
      <c r="AI871" s="351"/>
      <c r="AJ871" s="545"/>
      <c r="AK871" s="351"/>
      <c r="AL871" s="524" t="s">
        <v>325</v>
      </c>
      <c r="AM871" s="351"/>
      <c r="AN871" s="549" t="s">
        <v>325</v>
      </c>
      <c r="AO871" s="351"/>
      <c r="AP871" s="550"/>
      <c r="AQ871" s="351"/>
      <c r="AR871" s="551"/>
      <c r="AS871" s="351"/>
      <c r="AT871" s="552"/>
      <c r="AU871" s="351"/>
      <c r="AV871" s="549" t="s">
        <v>325</v>
      </c>
      <c r="AW871" s="351"/>
      <c r="AX871" s="553"/>
      <c r="AY871" s="350"/>
      <c r="AZ871" s="351"/>
      <c r="BA871" s="554"/>
      <c r="BB871" s="351"/>
      <c r="BC871" s="39"/>
      <c r="BD871" s="546" t="s">
        <v>325</v>
      </c>
      <c r="BE871" s="351"/>
      <c r="BF871" s="547"/>
      <c r="BG871" s="350"/>
      <c r="BH871" s="350"/>
      <c r="BI871" s="351"/>
      <c r="BJ871" s="548" t="s">
        <v>294</v>
      </c>
      <c r="BK871" s="350"/>
      <c r="BL871" s="350"/>
      <c r="BM871" s="351"/>
      <c r="BN871" s="530" t="s">
        <v>294</v>
      </c>
      <c r="BO871" s="350"/>
      <c r="BP871" s="350"/>
      <c r="BQ871" s="350"/>
      <c r="BR871" s="350"/>
      <c r="BS871" s="350"/>
      <c r="BT871" s="350"/>
      <c r="BU871" s="350"/>
      <c r="BV871" s="351"/>
    </row>
    <row r="872" spans="1:74" ht="45" customHeight="1">
      <c r="A872" s="24">
        <f t="shared" si="3"/>
        <v>858</v>
      </c>
      <c r="B872" s="558" t="s">
        <v>294</v>
      </c>
      <c r="C872" s="351"/>
      <c r="D872" s="559" t="s">
        <v>298</v>
      </c>
      <c r="E872" s="351"/>
      <c r="F872" s="524" t="s">
        <v>325</v>
      </c>
      <c r="G872" s="351"/>
      <c r="H872" s="525" t="s">
        <v>325</v>
      </c>
      <c r="I872" s="351"/>
      <c r="J872" s="40"/>
      <c r="K872" s="41"/>
      <c r="L872" s="40"/>
      <c r="M872" s="41"/>
      <c r="N872" s="37"/>
      <c r="O872" s="38"/>
      <c r="P872" s="560"/>
      <c r="Q872" s="351"/>
      <c r="R872" s="527"/>
      <c r="S872" s="351"/>
      <c r="T872" s="528"/>
      <c r="U872" s="351"/>
      <c r="V872" s="537"/>
      <c r="W872" s="351"/>
      <c r="X872" s="538" t="s">
        <v>294</v>
      </c>
      <c r="Y872" s="350"/>
      <c r="Z872" s="350"/>
      <c r="AA872" s="351"/>
      <c r="AB872" s="539" t="s">
        <v>294</v>
      </c>
      <c r="AC872" s="350"/>
      <c r="AD872" s="350"/>
      <c r="AE872" s="351"/>
      <c r="AF872" s="540"/>
      <c r="AG872" s="351"/>
      <c r="AH872" s="540"/>
      <c r="AI872" s="351"/>
      <c r="AJ872" s="545"/>
      <c r="AK872" s="351"/>
      <c r="AL872" s="555" t="s">
        <v>325</v>
      </c>
      <c r="AM872" s="351"/>
      <c r="AN872" s="531" t="s">
        <v>325</v>
      </c>
      <c r="AO872" s="351"/>
      <c r="AP872" s="532"/>
      <c r="AQ872" s="351"/>
      <c r="AR872" s="533"/>
      <c r="AS872" s="351"/>
      <c r="AT872" s="534"/>
      <c r="AU872" s="351"/>
      <c r="AV872" s="531" t="s">
        <v>325</v>
      </c>
      <c r="AW872" s="351"/>
      <c r="AX872" s="553"/>
      <c r="AY872" s="350"/>
      <c r="AZ872" s="351"/>
      <c r="BA872" s="545"/>
      <c r="BB872" s="351"/>
      <c r="BC872" s="36"/>
      <c r="BD872" s="556" t="s">
        <v>325</v>
      </c>
      <c r="BE872" s="351"/>
      <c r="BF872" s="529"/>
      <c r="BG872" s="350"/>
      <c r="BH872" s="350"/>
      <c r="BI872" s="351"/>
      <c r="BJ872" s="506" t="s">
        <v>294</v>
      </c>
      <c r="BK872" s="350"/>
      <c r="BL872" s="350"/>
      <c r="BM872" s="351"/>
      <c r="BN872" s="530" t="s">
        <v>294</v>
      </c>
      <c r="BO872" s="350"/>
      <c r="BP872" s="350"/>
      <c r="BQ872" s="350"/>
      <c r="BR872" s="350"/>
      <c r="BS872" s="350"/>
      <c r="BT872" s="350"/>
      <c r="BU872" s="350"/>
      <c r="BV872" s="351"/>
    </row>
    <row r="873" spans="1:74" ht="45" customHeight="1">
      <c r="A873" s="24">
        <f t="shared" si="3"/>
        <v>859</v>
      </c>
      <c r="B873" s="522" t="s">
        <v>294</v>
      </c>
      <c r="C873" s="351"/>
      <c r="D873" s="523" t="s">
        <v>298</v>
      </c>
      <c r="E873" s="351"/>
      <c r="F873" s="524" t="s">
        <v>325</v>
      </c>
      <c r="G873" s="351"/>
      <c r="H873" s="561" t="s">
        <v>325</v>
      </c>
      <c r="I873" s="351"/>
      <c r="J873" s="562"/>
      <c r="K873" s="351"/>
      <c r="L873" s="562"/>
      <c r="M873" s="351"/>
      <c r="N873" s="34"/>
      <c r="O873" s="35"/>
      <c r="P873" s="526"/>
      <c r="Q873" s="351"/>
      <c r="R873" s="535"/>
      <c r="S873" s="351"/>
      <c r="T873" s="536"/>
      <c r="U873" s="351"/>
      <c r="V873" s="541"/>
      <c r="W873" s="351"/>
      <c r="X873" s="542" t="s">
        <v>294</v>
      </c>
      <c r="Y873" s="350"/>
      <c r="Z873" s="350"/>
      <c r="AA873" s="351"/>
      <c r="AB873" s="543" t="s">
        <v>294</v>
      </c>
      <c r="AC873" s="350"/>
      <c r="AD873" s="350"/>
      <c r="AE873" s="351"/>
      <c r="AF873" s="544"/>
      <c r="AG873" s="351"/>
      <c r="AH873" s="544"/>
      <c r="AI873" s="351"/>
      <c r="AJ873" s="545"/>
      <c r="AK873" s="351"/>
      <c r="AL873" s="524" t="s">
        <v>325</v>
      </c>
      <c r="AM873" s="351"/>
      <c r="AN873" s="549" t="s">
        <v>325</v>
      </c>
      <c r="AO873" s="351"/>
      <c r="AP873" s="550"/>
      <c r="AQ873" s="351"/>
      <c r="AR873" s="551"/>
      <c r="AS873" s="351"/>
      <c r="AT873" s="552"/>
      <c r="AU873" s="351"/>
      <c r="AV873" s="549" t="s">
        <v>325</v>
      </c>
      <c r="AW873" s="351"/>
      <c r="AX873" s="553"/>
      <c r="AY873" s="350"/>
      <c r="AZ873" s="351"/>
      <c r="BA873" s="554"/>
      <c r="BB873" s="351"/>
      <c r="BC873" s="39"/>
      <c r="BD873" s="546" t="s">
        <v>325</v>
      </c>
      <c r="BE873" s="351"/>
      <c r="BF873" s="547"/>
      <c r="BG873" s="350"/>
      <c r="BH873" s="350"/>
      <c r="BI873" s="351"/>
      <c r="BJ873" s="548" t="s">
        <v>294</v>
      </c>
      <c r="BK873" s="350"/>
      <c r="BL873" s="350"/>
      <c r="BM873" s="351"/>
      <c r="BN873" s="530" t="s">
        <v>294</v>
      </c>
      <c r="BO873" s="350"/>
      <c r="BP873" s="350"/>
      <c r="BQ873" s="350"/>
      <c r="BR873" s="350"/>
      <c r="BS873" s="350"/>
      <c r="BT873" s="350"/>
      <c r="BU873" s="350"/>
      <c r="BV873" s="351"/>
    </row>
    <row r="874" spans="1:74" ht="45" customHeight="1">
      <c r="A874" s="24">
        <f t="shared" si="3"/>
        <v>860</v>
      </c>
      <c r="B874" s="558" t="s">
        <v>294</v>
      </c>
      <c r="C874" s="351"/>
      <c r="D874" s="559" t="s">
        <v>298</v>
      </c>
      <c r="E874" s="351"/>
      <c r="F874" s="524" t="s">
        <v>325</v>
      </c>
      <c r="G874" s="351"/>
      <c r="H874" s="525" t="s">
        <v>325</v>
      </c>
      <c r="I874" s="351"/>
      <c r="J874" s="40"/>
      <c r="K874" s="41"/>
      <c r="L874" s="40"/>
      <c r="M874" s="41"/>
      <c r="N874" s="37"/>
      <c r="O874" s="38"/>
      <c r="P874" s="560"/>
      <c r="Q874" s="351"/>
      <c r="R874" s="527"/>
      <c r="S874" s="351"/>
      <c r="T874" s="528"/>
      <c r="U874" s="351"/>
      <c r="V874" s="537"/>
      <c r="W874" s="351"/>
      <c r="X874" s="538" t="s">
        <v>294</v>
      </c>
      <c r="Y874" s="350"/>
      <c r="Z874" s="350"/>
      <c r="AA874" s="351"/>
      <c r="AB874" s="539" t="s">
        <v>294</v>
      </c>
      <c r="AC874" s="350"/>
      <c r="AD874" s="350"/>
      <c r="AE874" s="351"/>
      <c r="AF874" s="540"/>
      <c r="AG874" s="351"/>
      <c r="AH874" s="540"/>
      <c r="AI874" s="351"/>
      <c r="AJ874" s="545"/>
      <c r="AK874" s="351"/>
      <c r="AL874" s="555" t="s">
        <v>325</v>
      </c>
      <c r="AM874" s="351"/>
      <c r="AN874" s="531" t="s">
        <v>325</v>
      </c>
      <c r="AO874" s="351"/>
      <c r="AP874" s="532"/>
      <c r="AQ874" s="351"/>
      <c r="AR874" s="533"/>
      <c r="AS874" s="351"/>
      <c r="AT874" s="534"/>
      <c r="AU874" s="351"/>
      <c r="AV874" s="531" t="s">
        <v>325</v>
      </c>
      <c r="AW874" s="351"/>
      <c r="AX874" s="553"/>
      <c r="AY874" s="350"/>
      <c r="AZ874" s="351"/>
      <c r="BA874" s="545"/>
      <c r="BB874" s="351"/>
      <c r="BC874" s="36"/>
      <c r="BD874" s="556" t="s">
        <v>325</v>
      </c>
      <c r="BE874" s="351"/>
      <c r="BF874" s="557"/>
      <c r="BG874" s="350"/>
      <c r="BH874" s="350"/>
      <c r="BI874" s="351"/>
      <c r="BJ874" s="506" t="s">
        <v>294</v>
      </c>
      <c r="BK874" s="350"/>
      <c r="BL874" s="350"/>
      <c r="BM874" s="351"/>
      <c r="BN874" s="530" t="s">
        <v>294</v>
      </c>
      <c r="BO874" s="350"/>
      <c r="BP874" s="350"/>
      <c r="BQ874" s="350"/>
      <c r="BR874" s="350"/>
      <c r="BS874" s="350"/>
      <c r="BT874" s="350"/>
      <c r="BU874" s="350"/>
      <c r="BV874" s="351"/>
    </row>
    <row r="875" spans="1:74" ht="45" customHeight="1">
      <c r="A875" s="24">
        <f t="shared" si="3"/>
        <v>861</v>
      </c>
      <c r="B875" s="522" t="s">
        <v>294</v>
      </c>
      <c r="C875" s="351"/>
      <c r="D875" s="523" t="s">
        <v>298</v>
      </c>
      <c r="E875" s="351"/>
      <c r="F875" s="524" t="s">
        <v>325</v>
      </c>
      <c r="G875" s="351"/>
      <c r="H875" s="561" t="s">
        <v>325</v>
      </c>
      <c r="I875" s="351"/>
      <c r="J875" s="562"/>
      <c r="K875" s="351"/>
      <c r="L875" s="562"/>
      <c r="M875" s="351"/>
      <c r="N875" s="34"/>
      <c r="O875" s="35"/>
      <c r="P875" s="526"/>
      <c r="Q875" s="351"/>
      <c r="R875" s="535"/>
      <c r="S875" s="351"/>
      <c r="T875" s="536"/>
      <c r="U875" s="351"/>
      <c r="V875" s="541"/>
      <c r="W875" s="351"/>
      <c r="X875" s="542" t="s">
        <v>294</v>
      </c>
      <c r="Y875" s="350"/>
      <c r="Z875" s="350"/>
      <c r="AA875" s="351"/>
      <c r="AB875" s="543" t="s">
        <v>294</v>
      </c>
      <c r="AC875" s="350"/>
      <c r="AD875" s="350"/>
      <c r="AE875" s="351"/>
      <c r="AF875" s="544"/>
      <c r="AG875" s="351"/>
      <c r="AH875" s="544"/>
      <c r="AI875" s="351"/>
      <c r="AJ875" s="545"/>
      <c r="AK875" s="351"/>
      <c r="AL875" s="524" t="s">
        <v>325</v>
      </c>
      <c r="AM875" s="351"/>
      <c r="AN875" s="549" t="s">
        <v>325</v>
      </c>
      <c r="AO875" s="351"/>
      <c r="AP875" s="550"/>
      <c r="AQ875" s="351"/>
      <c r="AR875" s="551"/>
      <c r="AS875" s="351"/>
      <c r="AT875" s="552"/>
      <c r="AU875" s="351"/>
      <c r="AV875" s="549" t="s">
        <v>325</v>
      </c>
      <c r="AW875" s="351"/>
      <c r="AX875" s="553"/>
      <c r="AY875" s="350"/>
      <c r="AZ875" s="351"/>
      <c r="BA875" s="554"/>
      <c r="BB875" s="351"/>
      <c r="BC875" s="39"/>
      <c r="BD875" s="546" t="s">
        <v>325</v>
      </c>
      <c r="BE875" s="351"/>
      <c r="BF875" s="547"/>
      <c r="BG875" s="350"/>
      <c r="BH875" s="350"/>
      <c r="BI875" s="351"/>
      <c r="BJ875" s="548" t="s">
        <v>294</v>
      </c>
      <c r="BK875" s="350"/>
      <c r="BL875" s="350"/>
      <c r="BM875" s="351"/>
      <c r="BN875" s="530" t="s">
        <v>294</v>
      </c>
      <c r="BO875" s="350"/>
      <c r="BP875" s="350"/>
      <c r="BQ875" s="350"/>
      <c r="BR875" s="350"/>
      <c r="BS875" s="350"/>
      <c r="BT875" s="350"/>
      <c r="BU875" s="350"/>
      <c r="BV875" s="351"/>
    </row>
    <row r="876" spans="1:74" ht="45" customHeight="1">
      <c r="A876" s="24">
        <f t="shared" si="3"/>
        <v>862</v>
      </c>
      <c r="B876" s="558" t="s">
        <v>294</v>
      </c>
      <c r="C876" s="351"/>
      <c r="D876" s="559" t="s">
        <v>298</v>
      </c>
      <c r="E876" s="351"/>
      <c r="F876" s="524" t="s">
        <v>325</v>
      </c>
      <c r="G876" s="351"/>
      <c r="H876" s="525" t="s">
        <v>325</v>
      </c>
      <c r="I876" s="351"/>
      <c r="J876" s="40"/>
      <c r="K876" s="41"/>
      <c r="L876" s="40"/>
      <c r="M876" s="41"/>
      <c r="N876" s="34"/>
      <c r="O876" s="35"/>
      <c r="P876" s="526"/>
      <c r="Q876" s="351"/>
      <c r="R876" s="535"/>
      <c r="S876" s="351"/>
      <c r="T876" s="536"/>
      <c r="U876" s="351"/>
      <c r="V876" s="537"/>
      <c r="W876" s="351"/>
      <c r="X876" s="538" t="s">
        <v>294</v>
      </c>
      <c r="Y876" s="350"/>
      <c r="Z876" s="350"/>
      <c r="AA876" s="351"/>
      <c r="AB876" s="539" t="s">
        <v>294</v>
      </c>
      <c r="AC876" s="350"/>
      <c r="AD876" s="350"/>
      <c r="AE876" s="351"/>
      <c r="AF876" s="540"/>
      <c r="AG876" s="351"/>
      <c r="AH876" s="540"/>
      <c r="AI876" s="351"/>
      <c r="AJ876" s="545"/>
      <c r="AK876" s="351"/>
      <c r="AL876" s="555" t="s">
        <v>325</v>
      </c>
      <c r="AM876" s="351"/>
      <c r="AN876" s="531" t="s">
        <v>325</v>
      </c>
      <c r="AO876" s="351"/>
      <c r="AP876" s="532"/>
      <c r="AQ876" s="351"/>
      <c r="AR876" s="533"/>
      <c r="AS876" s="351"/>
      <c r="AT876" s="534"/>
      <c r="AU876" s="351"/>
      <c r="AV876" s="531" t="s">
        <v>325</v>
      </c>
      <c r="AW876" s="351"/>
      <c r="AX876" s="553"/>
      <c r="AY876" s="350"/>
      <c r="AZ876" s="351"/>
      <c r="BA876" s="545"/>
      <c r="BB876" s="351"/>
      <c r="BC876" s="36"/>
      <c r="BD876" s="556" t="s">
        <v>325</v>
      </c>
      <c r="BE876" s="351"/>
      <c r="BF876" s="557"/>
      <c r="BG876" s="350"/>
      <c r="BH876" s="350"/>
      <c r="BI876" s="351"/>
      <c r="BJ876" s="506" t="s">
        <v>294</v>
      </c>
      <c r="BK876" s="350"/>
      <c r="BL876" s="350"/>
      <c r="BM876" s="351"/>
      <c r="BN876" s="530" t="s">
        <v>294</v>
      </c>
      <c r="BO876" s="350"/>
      <c r="BP876" s="350"/>
      <c r="BQ876" s="350"/>
      <c r="BR876" s="350"/>
      <c r="BS876" s="350"/>
      <c r="BT876" s="350"/>
      <c r="BU876" s="350"/>
      <c r="BV876" s="351"/>
    </row>
    <row r="877" spans="1:74" ht="45" customHeight="1">
      <c r="A877" s="24">
        <f t="shared" si="3"/>
        <v>863</v>
      </c>
      <c r="B877" s="522" t="s">
        <v>294</v>
      </c>
      <c r="C877" s="351"/>
      <c r="D877" s="523" t="s">
        <v>298</v>
      </c>
      <c r="E877" s="351"/>
      <c r="F877" s="524" t="s">
        <v>325</v>
      </c>
      <c r="G877" s="351"/>
      <c r="H877" s="561" t="s">
        <v>325</v>
      </c>
      <c r="I877" s="351"/>
      <c r="J877" s="562"/>
      <c r="K877" s="351"/>
      <c r="L877" s="562"/>
      <c r="M877" s="351"/>
      <c r="N877" s="37"/>
      <c r="O877" s="38"/>
      <c r="P877" s="560"/>
      <c r="Q877" s="351"/>
      <c r="R877" s="527"/>
      <c r="S877" s="351"/>
      <c r="T877" s="528"/>
      <c r="U877" s="351"/>
      <c r="V877" s="541"/>
      <c r="W877" s="351"/>
      <c r="X877" s="542" t="s">
        <v>294</v>
      </c>
      <c r="Y877" s="350"/>
      <c r="Z877" s="350"/>
      <c r="AA877" s="351"/>
      <c r="AB877" s="543" t="s">
        <v>294</v>
      </c>
      <c r="AC877" s="350"/>
      <c r="AD877" s="350"/>
      <c r="AE877" s="351"/>
      <c r="AF877" s="544"/>
      <c r="AG877" s="351"/>
      <c r="AH877" s="544"/>
      <c r="AI877" s="351"/>
      <c r="AJ877" s="545"/>
      <c r="AK877" s="351"/>
      <c r="AL877" s="524" t="s">
        <v>325</v>
      </c>
      <c r="AM877" s="351"/>
      <c r="AN877" s="549" t="s">
        <v>325</v>
      </c>
      <c r="AO877" s="351"/>
      <c r="AP877" s="550"/>
      <c r="AQ877" s="351"/>
      <c r="AR877" s="551"/>
      <c r="AS877" s="351"/>
      <c r="AT877" s="552"/>
      <c r="AU877" s="351"/>
      <c r="AV877" s="549" t="s">
        <v>325</v>
      </c>
      <c r="AW877" s="351"/>
      <c r="AX877" s="553"/>
      <c r="AY877" s="350"/>
      <c r="AZ877" s="351"/>
      <c r="BA877" s="554"/>
      <c r="BB877" s="351"/>
      <c r="BC877" s="39"/>
      <c r="BD877" s="546" t="s">
        <v>325</v>
      </c>
      <c r="BE877" s="351"/>
      <c r="BF877" s="547"/>
      <c r="BG877" s="350"/>
      <c r="BH877" s="350"/>
      <c r="BI877" s="351"/>
      <c r="BJ877" s="548" t="s">
        <v>294</v>
      </c>
      <c r="BK877" s="350"/>
      <c r="BL877" s="350"/>
      <c r="BM877" s="351"/>
      <c r="BN877" s="530" t="s">
        <v>294</v>
      </c>
      <c r="BO877" s="350"/>
      <c r="BP877" s="350"/>
      <c r="BQ877" s="350"/>
      <c r="BR877" s="350"/>
      <c r="BS877" s="350"/>
      <c r="BT877" s="350"/>
      <c r="BU877" s="350"/>
      <c r="BV877" s="351"/>
    </row>
    <row r="878" spans="1:74" ht="45" customHeight="1">
      <c r="A878" s="24">
        <f t="shared" si="3"/>
        <v>864</v>
      </c>
      <c r="B878" s="558" t="s">
        <v>294</v>
      </c>
      <c r="C878" s="351"/>
      <c r="D878" s="559" t="s">
        <v>298</v>
      </c>
      <c r="E878" s="351"/>
      <c r="F878" s="524" t="s">
        <v>325</v>
      </c>
      <c r="G878" s="351"/>
      <c r="H878" s="525" t="s">
        <v>325</v>
      </c>
      <c r="I878" s="351"/>
      <c r="J878" s="40"/>
      <c r="K878" s="41"/>
      <c r="L878" s="40"/>
      <c r="M878" s="41"/>
      <c r="N878" s="34"/>
      <c r="O878" s="35"/>
      <c r="P878" s="526"/>
      <c r="Q878" s="351"/>
      <c r="R878" s="535"/>
      <c r="S878" s="351"/>
      <c r="T878" s="536"/>
      <c r="U878" s="351"/>
      <c r="V878" s="537"/>
      <c r="W878" s="351"/>
      <c r="X878" s="538" t="s">
        <v>294</v>
      </c>
      <c r="Y878" s="350"/>
      <c r="Z878" s="350"/>
      <c r="AA878" s="351"/>
      <c r="AB878" s="539" t="s">
        <v>294</v>
      </c>
      <c r="AC878" s="350"/>
      <c r="AD878" s="350"/>
      <c r="AE878" s="351"/>
      <c r="AF878" s="540"/>
      <c r="AG878" s="351"/>
      <c r="AH878" s="540"/>
      <c r="AI878" s="351"/>
      <c r="AJ878" s="545"/>
      <c r="AK878" s="351"/>
      <c r="AL878" s="555" t="s">
        <v>325</v>
      </c>
      <c r="AM878" s="351"/>
      <c r="AN878" s="531" t="s">
        <v>325</v>
      </c>
      <c r="AO878" s="351"/>
      <c r="AP878" s="532"/>
      <c r="AQ878" s="351"/>
      <c r="AR878" s="533"/>
      <c r="AS878" s="351"/>
      <c r="AT878" s="534"/>
      <c r="AU878" s="351"/>
      <c r="AV878" s="531" t="s">
        <v>325</v>
      </c>
      <c r="AW878" s="351"/>
      <c r="AX878" s="553"/>
      <c r="AY878" s="350"/>
      <c r="AZ878" s="351"/>
      <c r="BA878" s="545"/>
      <c r="BB878" s="351"/>
      <c r="BC878" s="36"/>
      <c r="BD878" s="556" t="s">
        <v>325</v>
      </c>
      <c r="BE878" s="351"/>
      <c r="BF878" s="529"/>
      <c r="BG878" s="350"/>
      <c r="BH878" s="350"/>
      <c r="BI878" s="351"/>
      <c r="BJ878" s="506" t="s">
        <v>294</v>
      </c>
      <c r="BK878" s="350"/>
      <c r="BL878" s="350"/>
      <c r="BM878" s="351"/>
      <c r="BN878" s="530" t="s">
        <v>294</v>
      </c>
      <c r="BO878" s="350"/>
      <c r="BP878" s="350"/>
      <c r="BQ878" s="350"/>
      <c r="BR878" s="350"/>
      <c r="BS878" s="350"/>
      <c r="BT878" s="350"/>
      <c r="BU878" s="350"/>
      <c r="BV878" s="351"/>
    </row>
    <row r="879" spans="1:74" ht="45" customHeight="1">
      <c r="A879" s="24">
        <f t="shared" si="3"/>
        <v>865</v>
      </c>
      <c r="B879" s="522" t="s">
        <v>294</v>
      </c>
      <c r="C879" s="351"/>
      <c r="D879" s="523" t="s">
        <v>298</v>
      </c>
      <c r="E879" s="351"/>
      <c r="F879" s="524" t="s">
        <v>325</v>
      </c>
      <c r="G879" s="351"/>
      <c r="H879" s="561" t="s">
        <v>325</v>
      </c>
      <c r="I879" s="351"/>
      <c r="J879" s="562"/>
      <c r="K879" s="351"/>
      <c r="L879" s="562"/>
      <c r="M879" s="351"/>
      <c r="N879" s="37"/>
      <c r="O879" s="38"/>
      <c r="P879" s="560"/>
      <c r="Q879" s="351"/>
      <c r="R879" s="527"/>
      <c r="S879" s="351"/>
      <c r="T879" s="528"/>
      <c r="U879" s="351"/>
      <c r="V879" s="541"/>
      <c r="W879" s="351"/>
      <c r="X879" s="542" t="s">
        <v>294</v>
      </c>
      <c r="Y879" s="350"/>
      <c r="Z879" s="350"/>
      <c r="AA879" s="351"/>
      <c r="AB879" s="543" t="s">
        <v>294</v>
      </c>
      <c r="AC879" s="350"/>
      <c r="AD879" s="350"/>
      <c r="AE879" s="351"/>
      <c r="AF879" s="544"/>
      <c r="AG879" s="351"/>
      <c r="AH879" s="544"/>
      <c r="AI879" s="351"/>
      <c r="AJ879" s="545"/>
      <c r="AK879" s="351"/>
      <c r="AL879" s="524" t="s">
        <v>325</v>
      </c>
      <c r="AM879" s="351"/>
      <c r="AN879" s="549" t="s">
        <v>325</v>
      </c>
      <c r="AO879" s="351"/>
      <c r="AP879" s="550"/>
      <c r="AQ879" s="351"/>
      <c r="AR879" s="551"/>
      <c r="AS879" s="351"/>
      <c r="AT879" s="552"/>
      <c r="AU879" s="351"/>
      <c r="AV879" s="549" t="s">
        <v>325</v>
      </c>
      <c r="AW879" s="351"/>
      <c r="AX879" s="553"/>
      <c r="AY879" s="350"/>
      <c r="AZ879" s="351"/>
      <c r="BA879" s="554"/>
      <c r="BB879" s="351"/>
      <c r="BC879" s="39"/>
      <c r="BD879" s="546" t="s">
        <v>325</v>
      </c>
      <c r="BE879" s="351"/>
      <c r="BF879" s="547"/>
      <c r="BG879" s="350"/>
      <c r="BH879" s="350"/>
      <c r="BI879" s="351"/>
      <c r="BJ879" s="548" t="s">
        <v>294</v>
      </c>
      <c r="BK879" s="350"/>
      <c r="BL879" s="350"/>
      <c r="BM879" s="351"/>
      <c r="BN879" s="530" t="s">
        <v>294</v>
      </c>
      <c r="BO879" s="350"/>
      <c r="BP879" s="350"/>
      <c r="BQ879" s="350"/>
      <c r="BR879" s="350"/>
      <c r="BS879" s="350"/>
      <c r="BT879" s="350"/>
      <c r="BU879" s="350"/>
      <c r="BV879" s="351"/>
    </row>
    <row r="880" spans="1:74" ht="45" customHeight="1">
      <c r="A880" s="24">
        <f t="shared" si="3"/>
        <v>866</v>
      </c>
      <c r="B880" s="558" t="s">
        <v>294</v>
      </c>
      <c r="C880" s="351"/>
      <c r="D880" s="559" t="s">
        <v>298</v>
      </c>
      <c r="E880" s="351"/>
      <c r="F880" s="524" t="s">
        <v>325</v>
      </c>
      <c r="G880" s="351"/>
      <c r="H880" s="525" t="s">
        <v>325</v>
      </c>
      <c r="I880" s="351"/>
      <c r="J880" s="40"/>
      <c r="K880" s="41"/>
      <c r="L880" s="40"/>
      <c r="M880" s="41"/>
      <c r="N880" s="34"/>
      <c r="O880" s="35"/>
      <c r="P880" s="526"/>
      <c r="Q880" s="351"/>
      <c r="R880" s="535"/>
      <c r="S880" s="351"/>
      <c r="T880" s="536"/>
      <c r="U880" s="351"/>
      <c r="V880" s="537"/>
      <c r="W880" s="351"/>
      <c r="X880" s="538" t="s">
        <v>294</v>
      </c>
      <c r="Y880" s="350"/>
      <c r="Z880" s="350"/>
      <c r="AA880" s="351"/>
      <c r="AB880" s="539" t="s">
        <v>294</v>
      </c>
      <c r="AC880" s="350"/>
      <c r="AD880" s="350"/>
      <c r="AE880" s="351"/>
      <c r="AF880" s="540"/>
      <c r="AG880" s="351"/>
      <c r="AH880" s="540"/>
      <c r="AI880" s="351"/>
      <c r="AJ880" s="545"/>
      <c r="AK880" s="351"/>
      <c r="AL880" s="555" t="s">
        <v>325</v>
      </c>
      <c r="AM880" s="351"/>
      <c r="AN880" s="531" t="s">
        <v>325</v>
      </c>
      <c r="AO880" s="351"/>
      <c r="AP880" s="532"/>
      <c r="AQ880" s="351"/>
      <c r="AR880" s="533"/>
      <c r="AS880" s="351"/>
      <c r="AT880" s="534"/>
      <c r="AU880" s="351"/>
      <c r="AV880" s="531" t="s">
        <v>325</v>
      </c>
      <c r="AW880" s="351"/>
      <c r="AX880" s="553"/>
      <c r="AY880" s="350"/>
      <c r="AZ880" s="351"/>
      <c r="BA880" s="545"/>
      <c r="BB880" s="351"/>
      <c r="BC880" s="36"/>
      <c r="BD880" s="556" t="s">
        <v>325</v>
      </c>
      <c r="BE880" s="351"/>
      <c r="BF880" s="557"/>
      <c r="BG880" s="350"/>
      <c r="BH880" s="350"/>
      <c r="BI880" s="351"/>
      <c r="BJ880" s="506" t="s">
        <v>294</v>
      </c>
      <c r="BK880" s="350"/>
      <c r="BL880" s="350"/>
      <c r="BM880" s="351"/>
      <c r="BN880" s="530" t="s">
        <v>294</v>
      </c>
      <c r="BO880" s="350"/>
      <c r="BP880" s="350"/>
      <c r="BQ880" s="350"/>
      <c r="BR880" s="350"/>
      <c r="BS880" s="350"/>
      <c r="BT880" s="350"/>
      <c r="BU880" s="350"/>
      <c r="BV880" s="351"/>
    </row>
    <row r="881" spans="1:74" ht="45" customHeight="1">
      <c r="A881" s="24">
        <f t="shared" si="3"/>
        <v>867</v>
      </c>
      <c r="B881" s="522" t="s">
        <v>294</v>
      </c>
      <c r="C881" s="351"/>
      <c r="D881" s="523" t="s">
        <v>298</v>
      </c>
      <c r="E881" s="351"/>
      <c r="F881" s="524" t="s">
        <v>325</v>
      </c>
      <c r="G881" s="351"/>
      <c r="H881" s="561" t="s">
        <v>325</v>
      </c>
      <c r="I881" s="351"/>
      <c r="J881" s="562"/>
      <c r="K881" s="351"/>
      <c r="L881" s="562"/>
      <c r="M881" s="351"/>
      <c r="N881" s="37"/>
      <c r="O881" s="38"/>
      <c r="P881" s="560"/>
      <c r="Q881" s="351"/>
      <c r="R881" s="527"/>
      <c r="S881" s="351"/>
      <c r="T881" s="528"/>
      <c r="U881" s="351"/>
      <c r="V881" s="541"/>
      <c r="W881" s="351"/>
      <c r="X881" s="542" t="s">
        <v>294</v>
      </c>
      <c r="Y881" s="350"/>
      <c r="Z881" s="350"/>
      <c r="AA881" s="351"/>
      <c r="AB881" s="543" t="s">
        <v>294</v>
      </c>
      <c r="AC881" s="350"/>
      <c r="AD881" s="350"/>
      <c r="AE881" s="351"/>
      <c r="AF881" s="544"/>
      <c r="AG881" s="351"/>
      <c r="AH881" s="544"/>
      <c r="AI881" s="351"/>
      <c r="AJ881" s="545"/>
      <c r="AK881" s="351"/>
      <c r="AL881" s="524" t="s">
        <v>325</v>
      </c>
      <c r="AM881" s="351"/>
      <c r="AN881" s="549" t="s">
        <v>325</v>
      </c>
      <c r="AO881" s="351"/>
      <c r="AP881" s="550"/>
      <c r="AQ881" s="351"/>
      <c r="AR881" s="551"/>
      <c r="AS881" s="351"/>
      <c r="AT881" s="534"/>
      <c r="AU881" s="351"/>
      <c r="AV881" s="549" t="s">
        <v>325</v>
      </c>
      <c r="AW881" s="351"/>
      <c r="AX881" s="553"/>
      <c r="AY881" s="350"/>
      <c r="AZ881" s="351"/>
      <c r="BA881" s="554"/>
      <c r="BB881" s="351"/>
      <c r="BC881" s="39"/>
      <c r="BD881" s="546" t="s">
        <v>325</v>
      </c>
      <c r="BE881" s="351"/>
      <c r="BF881" s="547"/>
      <c r="BG881" s="350"/>
      <c r="BH881" s="350"/>
      <c r="BI881" s="351"/>
      <c r="BJ881" s="548" t="s">
        <v>294</v>
      </c>
      <c r="BK881" s="350"/>
      <c r="BL881" s="350"/>
      <c r="BM881" s="351"/>
      <c r="BN881" s="530" t="s">
        <v>294</v>
      </c>
      <c r="BO881" s="350"/>
      <c r="BP881" s="350"/>
      <c r="BQ881" s="350"/>
      <c r="BR881" s="350"/>
      <c r="BS881" s="350"/>
      <c r="BT881" s="350"/>
      <c r="BU881" s="350"/>
      <c r="BV881" s="351"/>
    </row>
    <row r="882" spans="1:74" ht="45" customHeight="1">
      <c r="A882" s="24">
        <f t="shared" si="3"/>
        <v>868</v>
      </c>
      <c r="B882" s="558" t="s">
        <v>294</v>
      </c>
      <c r="C882" s="351"/>
      <c r="D882" s="559" t="s">
        <v>298</v>
      </c>
      <c r="E882" s="351"/>
      <c r="F882" s="524" t="s">
        <v>325</v>
      </c>
      <c r="G882" s="351"/>
      <c r="H882" s="525" t="s">
        <v>325</v>
      </c>
      <c r="I882" s="351"/>
      <c r="J882" s="40"/>
      <c r="K882" s="41"/>
      <c r="L882" s="40"/>
      <c r="M882" s="41"/>
      <c r="N882" s="34"/>
      <c r="O882" s="35"/>
      <c r="P882" s="526"/>
      <c r="Q882" s="351"/>
      <c r="R882" s="535"/>
      <c r="S882" s="351"/>
      <c r="T882" s="536"/>
      <c r="U882" s="351"/>
      <c r="V882" s="537"/>
      <c r="W882" s="351"/>
      <c r="X882" s="538" t="s">
        <v>294</v>
      </c>
      <c r="Y882" s="350"/>
      <c r="Z882" s="350"/>
      <c r="AA882" s="351"/>
      <c r="AB882" s="539" t="s">
        <v>294</v>
      </c>
      <c r="AC882" s="350"/>
      <c r="AD882" s="350"/>
      <c r="AE882" s="351"/>
      <c r="AF882" s="540"/>
      <c r="AG882" s="351"/>
      <c r="AH882" s="540"/>
      <c r="AI882" s="351"/>
      <c r="AJ882" s="545"/>
      <c r="AK882" s="351"/>
      <c r="AL882" s="555" t="s">
        <v>325</v>
      </c>
      <c r="AM882" s="351"/>
      <c r="AN882" s="531" t="s">
        <v>325</v>
      </c>
      <c r="AO882" s="351"/>
      <c r="AP882" s="532"/>
      <c r="AQ882" s="351"/>
      <c r="AR882" s="533"/>
      <c r="AS882" s="351"/>
      <c r="AT882" s="534"/>
      <c r="AU882" s="351"/>
      <c r="AV882" s="531" t="s">
        <v>325</v>
      </c>
      <c r="AW882" s="351"/>
      <c r="AX882" s="553"/>
      <c r="AY882" s="350"/>
      <c r="AZ882" s="351"/>
      <c r="BA882" s="545"/>
      <c r="BB882" s="351"/>
      <c r="BC882" s="36"/>
      <c r="BD882" s="556" t="s">
        <v>325</v>
      </c>
      <c r="BE882" s="351"/>
      <c r="BF882" s="557"/>
      <c r="BG882" s="350"/>
      <c r="BH882" s="350"/>
      <c r="BI882" s="351"/>
      <c r="BJ882" s="506" t="s">
        <v>294</v>
      </c>
      <c r="BK882" s="350"/>
      <c r="BL882" s="350"/>
      <c r="BM882" s="351"/>
      <c r="BN882" s="530" t="s">
        <v>294</v>
      </c>
      <c r="BO882" s="350"/>
      <c r="BP882" s="350"/>
      <c r="BQ882" s="350"/>
      <c r="BR882" s="350"/>
      <c r="BS882" s="350"/>
      <c r="BT882" s="350"/>
      <c r="BU882" s="350"/>
      <c r="BV882" s="351"/>
    </row>
    <row r="883" spans="1:74" ht="45" customHeight="1">
      <c r="A883" s="24">
        <f t="shared" si="3"/>
        <v>869</v>
      </c>
      <c r="B883" s="522" t="s">
        <v>294</v>
      </c>
      <c r="C883" s="351"/>
      <c r="D883" s="523" t="s">
        <v>298</v>
      </c>
      <c r="E883" s="351"/>
      <c r="F883" s="524" t="s">
        <v>325</v>
      </c>
      <c r="G883" s="351"/>
      <c r="H883" s="561" t="s">
        <v>325</v>
      </c>
      <c r="I883" s="351"/>
      <c r="J883" s="562"/>
      <c r="K883" s="351"/>
      <c r="L883" s="562"/>
      <c r="M883" s="351"/>
      <c r="N883" s="34"/>
      <c r="O883" s="35"/>
      <c r="P883" s="526"/>
      <c r="Q883" s="351"/>
      <c r="R883" s="527"/>
      <c r="S883" s="351"/>
      <c r="T883" s="528"/>
      <c r="U883" s="351"/>
      <c r="V883" s="541"/>
      <c r="W883" s="351"/>
      <c r="X883" s="542" t="s">
        <v>294</v>
      </c>
      <c r="Y883" s="350"/>
      <c r="Z883" s="350"/>
      <c r="AA883" s="351"/>
      <c r="AB883" s="543" t="s">
        <v>294</v>
      </c>
      <c r="AC883" s="350"/>
      <c r="AD883" s="350"/>
      <c r="AE883" s="351"/>
      <c r="AF883" s="544"/>
      <c r="AG883" s="351"/>
      <c r="AH883" s="544"/>
      <c r="AI883" s="351"/>
      <c r="AJ883" s="545"/>
      <c r="AK883" s="351"/>
      <c r="AL883" s="524" t="s">
        <v>325</v>
      </c>
      <c r="AM883" s="351"/>
      <c r="AN883" s="549" t="s">
        <v>325</v>
      </c>
      <c r="AO883" s="351"/>
      <c r="AP883" s="550"/>
      <c r="AQ883" s="351"/>
      <c r="AR883" s="551"/>
      <c r="AS883" s="351"/>
      <c r="AT883" s="534"/>
      <c r="AU883" s="351"/>
      <c r="AV883" s="549" t="s">
        <v>325</v>
      </c>
      <c r="AW883" s="351"/>
      <c r="AX883" s="553"/>
      <c r="AY883" s="350"/>
      <c r="AZ883" s="351"/>
      <c r="BA883" s="554"/>
      <c r="BB883" s="351"/>
      <c r="BC883" s="39"/>
      <c r="BD883" s="546" t="s">
        <v>325</v>
      </c>
      <c r="BE883" s="351"/>
      <c r="BF883" s="547"/>
      <c r="BG883" s="350"/>
      <c r="BH883" s="350"/>
      <c r="BI883" s="351"/>
      <c r="BJ883" s="548" t="s">
        <v>294</v>
      </c>
      <c r="BK883" s="350"/>
      <c r="BL883" s="350"/>
      <c r="BM883" s="351"/>
      <c r="BN883" s="530" t="s">
        <v>294</v>
      </c>
      <c r="BO883" s="350"/>
      <c r="BP883" s="350"/>
      <c r="BQ883" s="350"/>
      <c r="BR883" s="350"/>
      <c r="BS883" s="350"/>
      <c r="BT883" s="350"/>
      <c r="BU883" s="350"/>
      <c r="BV883" s="351"/>
    </row>
    <row r="884" spans="1:74" ht="45" customHeight="1">
      <c r="A884" s="24">
        <f t="shared" si="3"/>
        <v>870</v>
      </c>
      <c r="B884" s="558" t="s">
        <v>294</v>
      </c>
      <c r="C884" s="351"/>
      <c r="D884" s="559" t="s">
        <v>298</v>
      </c>
      <c r="E884" s="351"/>
      <c r="F884" s="524" t="s">
        <v>325</v>
      </c>
      <c r="G884" s="351"/>
      <c r="H884" s="525" t="s">
        <v>325</v>
      </c>
      <c r="I884" s="351"/>
      <c r="J884" s="40"/>
      <c r="K884" s="41"/>
      <c r="L884" s="40"/>
      <c r="M884" s="41"/>
      <c r="N884" s="37"/>
      <c r="O884" s="38"/>
      <c r="P884" s="560"/>
      <c r="Q884" s="351"/>
      <c r="R884" s="535"/>
      <c r="S884" s="351"/>
      <c r="T884" s="536"/>
      <c r="U884" s="351"/>
      <c r="V884" s="537"/>
      <c r="W884" s="351"/>
      <c r="X884" s="538" t="s">
        <v>294</v>
      </c>
      <c r="Y884" s="350"/>
      <c r="Z884" s="350"/>
      <c r="AA884" s="351"/>
      <c r="AB884" s="539" t="s">
        <v>294</v>
      </c>
      <c r="AC884" s="350"/>
      <c r="AD884" s="350"/>
      <c r="AE884" s="351"/>
      <c r="AF884" s="540"/>
      <c r="AG884" s="351"/>
      <c r="AH884" s="540"/>
      <c r="AI884" s="351"/>
      <c r="AJ884" s="545"/>
      <c r="AK884" s="351"/>
      <c r="AL884" s="555" t="s">
        <v>325</v>
      </c>
      <c r="AM884" s="351"/>
      <c r="AN884" s="531" t="s">
        <v>325</v>
      </c>
      <c r="AO884" s="351"/>
      <c r="AP884" s="532"/>
      <c r="AQ884" s="351"/>
      <c r="AR884" s="533"/>
      <c r="AS884" s="351"/>
      <c r="AT884" s="534"/>
      <c r="AU884" s="351"/>
      <c r="AV884" s="531" t="s">
        <v>325</v>
      </c>
      <c r="AW884" s="351"/>
      <c r="AX884" s="553"/>
      <c r="AY884" s="350"/>
      <c r="AZ884" s="351"/>
      <c r="BA884" s="545"/>
      <c r="BB884" s="351"/>
      <c r="BC884" s="36"/>
      <c r="BD884" s="556" t="s">
        <v>325</v>
      </c>
      <c r="BE884" s="351"/>
      <c r="BF884" s="557"/>
      <c r="BG884" s="350"/>
      <c r="BH884" s="350"/>
      <c r="BI884" s="351"/>
      <c r="BJ884" s="506" t="s">
        <v>294</v>
      </c>
      <c r="BK884" s="350"/>
      <c r="BL884" s="350"/>
      <c r="BM884" s="351"/>
      <c r="BN884" s="530" t="s">
        <v>294</v>
      </c>
      <c r="BO884" s="350"/>
      <c r="BP884" s="350"/>
      <c r="BQ884" s="350"/>
      <c r="BR884" s="350"/>
      <c r="BS884" s="350"/>
      <c r="BT884" s="350"/>
      <c r="BU884" s="350"/>
      <c r="BV884" s="351"/>
    </row>
    <row r="885" spans="1:74" ht="45" customHeight="1">
      <c r="A885" s="24">
        <f t="shared" si="3"/>
        <v>871</v>
      </c>
      <c r="B885" s="522" t="s">
        <v>294</v>
      </c>
      <c r="C885" s="351"/>
      <c r="D885" s="523" t="s">
        <v>298</v>
      </c>
      <c r="E885" s="351"/>
      <c r="F885" s="524" t="s">
        <v>325</v>
      </c>
      <c r="G885" s="351"/>
      <c r="H885" s="561" t="s">
        <v>325</v>
      </c>
      <c r="I885" s="351"/>
      <c r="J885" s="562"/>
      <c r="K885" s="351"/>
      <c r="L885" s="562"/>
      <c r="M885" s="351"/>
      <c r="N885" s="34"/>
      <c r="O885" s="38"/>
      <c r="P885" s="526"/>
      <c r="Q885" s="351"/>
      <c r="R885" s="527"/>
      <c r="S885" s="351"/>
      <c r="T885" s="528"/>
      <c r="U885" s="351"/>
      <c r="V885" s="541"/>
      <c r="W885" s="351"/>
      <c r="X885" s="542" t="s">
        <v>294</v>
      </c>
      <c r="Y885" s="350"/>
      <c r="Z885" s="350"/>
      <c r="AA885" s="351"/>
      <c r="AB885" s="543" t="s">
        <v>294</v>
      </c>
      <c r="AC885" s="350"/>
      <c r="AD885" s="350"/>
      <c r="AE885" s="351"/>
      <c r="AF885" s="544"/>
      <c r="AG885" s="351"/>
      <c r="AH885" s="544"/>
      <c r="AI885" s="351"/>
      <c r="AJ885" s="545"/>
      <c r="AK885" s="351"/>
      <c r="AL885" s="524" t="s">
        <v>325</v>
      </c>
      <c r="AM885" s="351"/>
      <c r="AN885" s="549" t="s">
        <v>325</v>
      </c>
      <c r="AO885" s="351"/>
      <c r="AP885" s="550"/>
      <c r="AQ885" s="351"/>
      <c r="AR885" s="551"/>
      <c r="AS885" s="351"/>
      <c r="AT885" s="552"/>
      <c r="AU885" s="351"/>
      <c r="AV885" s="549" t="s">
        <v>325</v>
      </c>
      <c r="AW885" s="351"/>
      <c r="AX885" s="553"/>
      <c r="AY885" s="350"/>
      <c r="AZ885" s="351"/>
      <c r="BA885" s="554"/>
      <c r="BB885" s="351"/>
      <c r="BC885" s="39"/>
      <c r="BD885" s="546" t="s">
        <v>325</v>
      </c>
      <c r="BE885" s="351"/>
      <c r="BF885" s="547"/>
      <c r="BG885" s="350"/>
      <c r="BH885" s="350"/>
      <c r="BI885" s="351"/>
      <c r="BJ885" s="548" t="s">
        <v>294</v>
      </c>
      <c r="BK885" s="350"/>
      <c r="BL885" s="350"/>
      <c r="BM885" s="351"/>
      <c r="BN885" s="530" t="s">
        <v>294</v>
      </c>
      <c r="BO885" s="350"/>
      <c r="BP885" s="350"/>
      <c r="BQ885" s="350"/>
      <c r="BR885" s="350"/>
      <c r="BS885" s="350"/>
      <c r="BT885" s="350"/>
      <c r="BU885" s="350"/>
      <c r="BV885" s="351"/>
    </row>
    <row r="886" spans="1:74" ht="45" customHeight="1">
      <c r="A886" s="24">
        <f t="shared" si="3"/>
        <v>872</v>
      </c>
      <c r="B886" s="558" t="s">
        <v>294</v>
      </c>
      <c r="C886" s="351"/>
      <c r="D886" s="559" t="s">
        <v>298</v>
      </c>
      <c r="E886" s="351"/>
      <c r="F886" s="524" t="s">
        <v>325</v>
      </c>
      <c r="G886" s="351"/>
      <c r="H886" s="525" t="s">
        <v>325</v>
      </c>
      <c r="I886" s="351"/>
      <c r="J886" s="40"/>
      <c r="K886" s="41"/>
      <c r="L886" s="40"/>
      <c r="M886" s="41"/>
      <c r="N886" s="37"/>
      <c r="O886" s="35"/>
      <c r="P886" s="560"/>
      <c r="Q886" s="351"/>
      <c r="R886" s="535"/>
      <c r="S886" s="351"/>
      <c r="T886" s="536"/>
      <c r="U886" s="351"/>
      <c r="V886" s="537"/>
      <c r="W886" s="351"/>
      <c r="X886" s="538" t="s">
        <v>294</v>
      </c>
      <c r="Y886" s="350"/>
      <c r="Z886" s="350"/>
      <c r="AA886" s="351"/>
      <c r="AB886" s="539" t="s">
        <v>294</v>
      </c>
      <c r="AC886" s="350"/>
      <c r="AD886" s="350"/>
      <c r="AE886" s="351"/>
      <c r="AF886" s="540"/>
      <c r="AG886" s="351"/>
      <c r="AH886" s="540"/>
      <c r="AI886" s="351"/>
      <c r="AJ886" s="545"/>
      <c r="AK886" s="351"/>
      <c r="AL886" s="555" t="s">
        <v>325</v>
      </c>
      <c r="AM886" s="351"/>
      <c r="AN886" s="531" t="s">
        <v>325</v>
      </c>
      <c r="AO886" s="351"/>
      <c r="AP886" s="532"/>
      <c r="AQ886" s="351"/>
      <c r="AR886" s="533"/>
      <c r="AS886" s="351"/>
      <c r="AT886" s="534"/>
      <c r="AU886" s="351"/>
      <c r="AV886" s="531" t="s">
        <v>325</v>
      </c>
      <c r="AW886" s="351"/>
      <c r="AX886" s="553"/>
      <c r="AY886" s="350"/>
      <c r="AZ886" s="351"/>
      <c r="BA886" s="545"/>
      <c r="BB886" s="351"/>
      <c r="BC886" s="36"/>
      <c r="BD886" s="556" t="s">
        <v>325</v>
      </c>
      <c r="BE886" s="351"/>
      <c r="BF886" s="529"/>
      <c r="BG886" s="350"/>
      <c r="BH886" s="350"/>
      <c r="BI886" s="351"/>
      <c r="BJ886" s="506" t="s">
        <v>294</v>
      </c>
      <c r="BK886" s="350"/>
      <c r="BL886" s="350"/>
      <c r="BM886" s="351"/>
      <c r="BN886" s="530" t="s">
        <v>294</v>
      </c>
      <c r="BO886" s="350"/>
      <c r="BP886" s="350"/>
      <c r="BQ886" s="350"/>
      <c r="BR886" s="350"/>
      <c r="BS886" s="350"/>
      <c r="BT886" s="350"/>
      <c r="BU886" s="350"/>
      <c r="BV886" s="351"/>
    </row>
    <row r="887" spans="1:74" ht="45" customHeight="1">
      <c r="A887" s="24">
        <f t="shared" si="3"/>
        <v>873</v>
      </c>
      <c r="B887" s="522" t="s">
        <v>294</v>
      </c>
      <c r="C887" s="351"/>
      <c r="D887" s="523" t="s">
        <v>298</v>
      </c>
      <c r="E887" s="351"/>
      <c r="F887" s="524" t="s">
        <v>325</v>
      </c>
      <c r="G887" s="351"/>
      <c r="H887" s="561" t="s">
        <v>325</v>
      </c>
      <c r="I887" s="351"/>
      <c r="J887" s="562"/>
      <c r="K887" s="351"/>
      <c r="L887" s="562"/>
      <c r="M887" s="351"/>
      <c r="N887" s="34"/>
      <c r="O887" s="38"/>
      <c r="P887" s="526"/>
      <c r="Q887" s="351"/>
      <c r="R887" s="527"/>
      <c r="S887" s="351"/>
      <c r="T887" s="528"/>
      <c r="U887" s="351"/>
      <c r="V887" s="541"/>
      <c r="W887" s="351"/>
      <c r="X887" s="542" t="s">
        <v>294</v>
      </c>
      <c r="Y887" s="350"/>
      <c r="Z887" s="350"/>
      <c r="AA887" s="351"/>
      <c r="AB887" s="543" t="s">
        <v>294</v>
      </c>
      <c r="AC887" s="350"/>
      <c r="AD887" s="350"/>
      <c r="AE887" s="351"/>
      <c r="AF887" s="544"/>
      <c r="AG887" s="351"/>
      <c r="AH887" s="544"/>
      <c r="AI887" s="351"/>
      <c r="AJ887" s="545"/>
      <c r="AK887" s="351"/>
      <c r="AL887" s="524" t="s">
        <v>325</v>
      </c>
      <c r="AM887" s="351"/>
      <c r="AN887" s="549" t="s">
        <v>325</v>
      </c>
      <c r="AO887" s="351"/>
      <c r="AP887" s="550"/>
      <c r="AQ887" s="351"/>
      <c r="AR887" s="551"/>
      <c r="AS887" s="351"/>
      <c r="AT887" s="552"/>
      <c r="AU887" s="351"/>
      <c r="AV887" s="549" t="s">
        <v>325</v>
      </c>
      <c r="AW887" s="351"/>
      <c r="AX887" s="553"/>
      <c r="AY887" s="350"/>
      <c r="AZ887" s="351"/>
      <c r="BA887" s="554"/>
      <c r="BB887" s="351"/>
      <c r="BC887" s="39"/>
      <c r="BD887" s="546" t="s">
        <v>325</v>
      </c>
      <c r="BE887" s="351"/>
      <c r="BF887" s="547"/>
      <c r="BG887" s="350"/>
      <c r="BH887" s="350"/>
      <c r="BI887" s="351"/>
      <c r="BJ887" s="548" t="s">
        <v>294</v>
      </c>
      <c r="BK887" s="350"/>
      <c r="BL887" s="350"/>
      <c r="BM887" s="351"/>
      <c r="BN887" s="530" t="s">
        <v>294</v>
      </c>
      <c r="BO887" s="350"/>
      <c r="BP887" s="350"/>
      <c r="BQ887" s="350"/>
      <c r="BR887" s="350"/>
      <c r="BS887" s="350"/>
      <c r="BT887" s="350"/>
      <c r="BU887" s="350"/>
      <c r="BV887" s="351"/>
    </row>
    <row r="888" spans="1:74" ht="45" customHeight="1">
      <c r="A888" s="24">
        <f t="shared" si="3"/>
        <v>874</v>
      </c>
      <c r="B888" s="558" t="s">
        <v>294</v>
      </c>
      <c r="C888" s="351"/>
      <c r="D888" s="559" t="s">
        <v>298</v>
      </c>
      <c r="E888" s="351"/>
      <c r="F888" s="524" t="s">
        <v>325</v>
      </c>
      <c r="G888" s="351"/>
      <c r="H888" s="525" t="s">
        <v>325</v>
      </c>
      <c r="I888" s="351"/>
      <c r="J888" s="40"/>
      <c r="K888" s="41"/>
      <c r="L888" s="40"/>
      <c r="M888" s="41"/>
      <c r="N888" s="37"/>
      <c r="O888" s="35"/>
      <c r="P888" s="560"/>
      <c r="Q888" s="351"/>
      <c r="R888" s="535"/>
      <c r="S888" s="351"/>
      <c r="T888" s="536"/>
      <c r="U888" s="351"/>
      <c r="V888" s="537"/>
      <c r="W888" s="351"/>
      <c r="X888" s="538" t="s">
        <v>294</v>
      </c>
      <c r="Y888" s="350"/>
      <c r="Z888" s="350"/>
      <c r="AA888" s="351"/>
      <c r="AB888" s="539" t="s">
        <v>294</v>
      </c>
      <c r="AC888" s="350"/>
      <c r="AD888" s="350"/>
      <c r="AE888" s="351"/>
      <c r="AF888" s="540"/>
      <c r="AG888" s="351"/>
      <c r="AH888" s="540"/>
      <c r="AI888" s="351"/>
      <c r="AJ888" s="545"/>
      <c r="AK888" s="351"/>
      <c r="AL888" s="555" t="s">
        <v>325</v>
      </c>
      <c r="AM888" s="351"/>
      <c r="AN888" s="531" t="s">
        <v>325</v>
      </c>
      <c r="AO888" s="351"/>
      <c r="AP888" s="532"/>
      <c r="AQ888" s="351"/>
      <c r="AR888" s="533"/>
      <c r="AS888" s="351"/>
      <c r="AT888" s="534"/>
      <c r="AU888" s="351"/>
      <c r="AV888" s="531" t="s">
        <v>325</v>
      </c>
      <c r="AW888" s="351"/>
      <c r="AX888" s="553"/>
      <c r="AY888" s="350"/>
      <c r="AZ888" s="351"/>
      <c r="BA888" s="545"/>
      <c r="BB888" s="351"/>
      <c r="BC888" s="36"/>
      <c r="BD888" s="556" t="s">
        <v>325</v>
      </c>
      <c r="BE888" s="351"/>
      <c r="BF888" s="557"/>
      <c r="BG888" s="350"/>
      <c r="BH888" s="350"/>
      <c r="BI888" s="351"/>
      <c r="BJ888" s="506" t="s">
        <v>294</v>
      </c>
      <c r="BK888" s="350"/>
      <c r="BL888" s="350"/>
      <c r="BM888" s="351"/>
      <c r="BN888" s="530" t="s">
        <v>294</v>
      </c>
      <c r="BO888" s="350"/>
      <c r="BP888" s="350"/>
      <c r="BQ888" s="350"/>
      <c r="BR888" s="350"/>
      <c r="BS888" s="350"/>
      <c r="BT888" s="350"/>
      <c r="BU888" s="350"/>
      <c r="BV888" s="351"/>
    </row>
    <row r="889" spans="1:74" ht="45" customHeight="1">
      <c r="A889" s="24">
        <f t="shared" si="3"/>
        <v>875</v>
      </c>
      <c r="B889" s="522" t="s">
        <v>294</v>
      </c>
      <c r="C889" s="351"/>
      <c r="D889" s="523" t="s">
        <v>298</v>
      </c>
      <c r="E889" s="351"/>
      <c r="F889" s="524" t="s">
        <v>325</v>
      </c>
      <c r="G889" s="351"/>
      <c r="H889" s="561" t="s">
        <v>325</v>
      </c>
      <c r="I889" s="351"/>
      <c r="J889" s="562"/>
      <c r="K889" s="351"/>
      <c r="L889" s="562"/>
      <c r="M889" s="351"/>
      <c r="N889" s="34"/>
      <c r="O889" s="38"/>
      <c r="P889" s="526"/>
      <c r="Q889" s="351"/>
      <c r="R889" s="527"/>
      <c r="S889" s="351"/>
      <c r="T889" s="528"/>
      <c r="U889" s="351"/>
      <c r="V889" s="541"/>
      <c r="W889" s="351"/>
      <c r="X889" s="542" t="s">
        <v>294</v>
      </c>
      <c r="Y889" s="350"/>
      <c r="Z889" s="350"/>
      <c r="AA889" s="351"/>
      <c r="AB889" s="543" t="s">
        <v>294</v>
      </c>
      <c r="AC889" s="350"/>
      <c r="AD889" s="350"/>
      <c r="AE889" s="351"/>
      <c r="AF889" s="544"/>
      <c r="AG889" s="351"/>
      <c r="AH889" s="544"/>
      <c r="AI889" s="351"/>
      <c r="AJ889" s="545"/>
      <c r="AK889" s="351"/>
      <c r="AL889" s="524" t="s">
        <v>325</v>
      </c>
      <c r="AM889" s="351"/>
      <c r="AN889" s="549" t="s">
        <v>325</v>
      </c>
      <c r="AO889" s="351"/>
      <c r="AP889" s="550"/>
      <c r="AQ889" s="351"/>
      <c r="AR889" s="551"/>
      <c r="AS889" s="351"/>
      <c r="AT889" s="552"/>
      <c r="AU889" s="351"/>
      <c r="AV889" s="549" t="s">
        <v>325</v>
      </c>
      <c r="AW889" s="351"/>
      <c r="AX889" s="553"/>
      <c r="AY889" s="350"/>
      <c r="AZ889" s="351"/>
      <c r="BA889" s="554"/>
      <c r="BB889" s="351"/>
      <c r="BC889" s="39"/>
      <c r="BD889" s="546" t="s">
        <v>325</v>
      </c>
      <c r="BE889" s="351"/>
      <c r="BF889" s="547"/>
      <c r="BG889" s="350"/>
      <c r="BH889" s="350"/>
      <c r="BI889" s="351"/>
      <c r="BJ889" s="548" t="s">
        <v>294</v>
      </c>
      <c r="BK889" s="350"/>
      <c r="BL889" s="350"/>
      <c r="BM889" s="351"/>
      <c r="BN889" s="530" t="s">
        <v>294</v>
      </c>
      <c r="BO889" s="350"/>
      <c r="BP889" s="350"/>
      <c r="BQ889" s="350"/>
      <c r="BR889" s="350"/>
      <c r="BS889" s="350"/>
      <c r="BT889" s="350"/>
      <c r="BU889" s="350"/>
      <c r="BV889" s="351"/>
    </row>
    <row r="890" spans="1:74" ht="45" customHeight="1">
      <c r="A890" s="24">
        <f t="shared" si="3"/>
        <v>876</v>
      </c>
      <c r="B890" s="558" t="s">
        <v>294</v>
      </c>
      <c r="C890" s="351"/>
      <c r="D890" s="559" t="s">
        <v>298</v>
      </c>
      <c r="E890" s="351"/>
      <c r="F890" s="524" t="s">
        <v>325</v>
      </c>
      <c r="G890" s="351"/>
      <c r="H890" s="525" t="s">
        <v>325</v>
      </c>
      <c r="I890" s="351"/>
      <c r="J890" s="40"/>
      <c r="K890" s="41"/>
      <c r="L890" s="40"/>
      <c r="M890" s="41"/>
      <c r="N890" s="37"/>
      <c r="O890" s="35"/>
      <c r="P890" s="560"/>
      <c r="Q890" s="351"/>
      <c r="R890" s="535"/>
      <c r="S890" s="351"/>
      <c r="T890" s="536"/>
      <c r="U890" s="351"/>
      <c r="V890" s="537"/>
      <c r="W890" s="351"/>
      <c r="X890" s="538" t="s">
        <v>294</v>
      </c>
      <c r="Y890" s="350"/>
      <c r="Z890" s="350"/>
      <c r="AA890" s="351"/>
      <c r="AB890" s="539" t="s">
        <v>294</v>
      </c>
      <c r="AC890" s="350"/>
      <c r="AD890" s="350"/>
      <c r="AE890" s="351"/>
      <c r="AF890" s="540"/>
      <c r="AG890" s="351"/>
      <c r="AH890" s="540"/>
      <c r="AI890" s="351"/>
      <c r="AJ890" s="545"/>
      <c r="AK890" s="351"/>
      <c r="AL890" s="555" t="s">
        <v>325</v>
      </c>
      <c r="AM890" s="351"/>
      <c r="AN890" s="531" t="s">
        <v>325</v>
      </c>
      <c r="AO890" s="351"/>
      <c r="AP890" s="532"/>
      <c r="AQ890" s="351"/>
      <c r="AR890" s="533"/>
      <c r="AS890" s="351"/>
      <c r="AT890" s="534"/>
      <c r="AU890" s="351"/>
      <c r="AV890" s="531" t="s">
        <v>325</v>
      </c>
      <c r="AW890" s="351"/>
      <c r="AX890" s="553"/>
      <c r="AY890" s="350"/>
      <c r="AZ890" s="351"/>
      <c r="BA890" s="545"/>
      <c r="BB890" s="351"/>
      <c r="BC890" s="36"/>
      <c r="BD890" s="556" t="s">
        <v>325</v>
      </c>
      <c r="BE890" s="351"/>
      <c r="BF890" s="557"/>
      <c r="BG890" s="350"/>
      <c r="BH890" s="350"/>
      <c r="BI890" s="351"/>
      <c r="BJ890" s="506" t="s">
        <v>294</v>
      </c>
      <c r="BK890" s="350"/>
      <c r="BL890" s="350"/>
      <c r="BM890" s="351"/>
      <c r="BN890" s="530" t="s">
        <v>294</v>
      </c>
      <c r="BO890" s="350"/>
      <c r="BP890" s="350"/>
      <c r="BQ890" s="350"/>
      <c r="BR890" s="350"/>
      <c r="BS890" s="350"/>
      <c r="BT890" s="350"/>
      <c r="BU890" s="350"/>
      <c r="BV890" s="351"/>
    </row>
    <row r="891" spans="1:74" ht="45" customHeight="1">
      <c r="A891" s="24">
        <f t="shared" si="3"/>
        <v>877</v>
      </c>
      <c r="B891" s="522" t="s">
        <v>294</v>
      </c>
      <c r="C891" s="351"/>
      <c r="D891" s="523" t="s">
        <v>298</v>
      </c>
      <c r="E891" s="351"/>
      <c r="F891" s="524" t="s">
        <v>325</v>
      </c>
      <c r="G891" s="351"/>
      <c r="H891" s="561" t="s">
        <v>325</v>
      </c>
      <c r="I891" s="351"/>
      <c r="J891" s="562"/>
      <c r="K891" s="351"/>
      <c r="L891" s="562"/>
      <c r="M891" s="351"/>
      <c r="N891" s="34"/>
      <c r="O891" s="38"/>
      <c r="P891" s="526"/>
      <c r="Q891" s="351"/>
      <c r="R891" s="527"/>
      <c r="S891" s="351"/>
      <c r="T891" s="528"/>
      <c r="U891" s="351"/>
      <c r="V891" s="541"/>
      <c r="W891" s="351"/>
      <c r="X891" s="542" t="s">
        <v>294</v>
      </c>
      <c r="Y891" s="350"/>
      <c r="Z891" s="350"/>
      <c r="AA891" s="351"/>
      <c r="AB891" s="543" t="s">
        <v>294</v>
      </c>
      <c r="AC891" s="350"/>
      <c r="AD891" s="350"/>
      <c r="AE891" s="351"/>
      <c r="AF891" s="544"/>
      <c r="AG891" s="351"/>
      <c r="AH891" s="544"/>
      <c r="AI891" s="351"/>
      <c r="AJ891" s="545"/>
      <c r="AK891" s="351"/>
      <c r="AL891" s="524" t="s">
        <v>325</v>
      </c>
      <c r="AM891" s="351"/>
      <c r="AN891" s="549" t="s">
        <v>325</v>
      </c>
      <c r="AO891" s="351"/>
      <c r="AP891" s="550"/>
      <c r="AQ891" s="351"/>
      <c r="AR891" s="551"/>
      <c r="AS891" s="351"/>
      <c r="AT891" s="552"/>
      <c r="AU891" s="351"/>
      <c r="AV891" s="549" t="s">
        <v>325</v>
      </c>
      <c r="AW891" s="351"/>
      <c r="AX891" s="553"/>
      <c r="AY891" s="350"/>
      <c r="AZ891" s="351"/>
      <c r="BA891" s="554"/>
      <c r="BB891" s="351"/>
      <c r="BC891" s="39"/>
      <c r="BD891" s="546" t="s">
        <v>325</v>
      </c>
      <c r="BE891" s="351"/>
      <c r="BF891" s="547"/>
      <c r="BG891" s="350"/>
      <c r="BH891" s="350"/>
      <c r="BI891" s="351"/>
      <c r="BJ891" s="548" t="s">
        <v>294</v>
      </c>
      <c r="BK891" s="350"/>
      <c r="BL891" s="350"/>
      <c r="BM891" s="351"/>
      <c r="BN891" s="530" t="s">
        <v>294</v>
      </c>
      <c r="BO891" s="350"/>
      <c r="BP891" s="350"/>
      <c r="BQ891" s="350"/>
      <c r="BR891" s="350"/>
      <c r="BS891" s="350"/>
      <c r="BT891" s="350"/>
      <c r="BU891" s="350"/>
      <c r="BV891" s="351"/>
    </row>
    <row r="892" spans="1:74" ht="45" customHeight="1">
      <c r="A892" s="24">
        <f t="shared" si="3"/>
        <v>878</v>
      </c>
      <c r="B892" s="558" t="s">
        <v>294</v>
      </c>
      <c r="C892" s="351"/>
      <c r="D892" s="559" t="s">
        <v>298</v>
      </c>
      <c r="E892" s="351"/>
      <c r="F892" s="524" t="s">
        <v>325</v>
      </c>
      <c r="G892" s="351"/>
      <c r="H892" s="525" t="s">
        <v>325</v>
      </c>
      <c r="I892" s="351"/>
      <c r="J892" s="40"/>
      <c r="K892" s="41"/>
      <c r="L892" s="40"/>
      <c r="M892" s="41"/>
      <c r="N892" s="37"/>
      <c r="O892" s="35"/>
      <c r="P892" s="560"/>
      <c r="Q892" s="351"/>
      <c r="R892" s="535"/>
      <c r="S892" s="351"/>
      <c r="T892" s="536"/>
      <c r="U892" s="351"/>
      <c r="V892" s="537"/>
      <c r="W892" s="351"/>
      <c r="X892" s="538" t="s">
        <v>294</v>
      </c>
      <c r="Y892" s="350"/>
      <c r="Z892" s="350"/>
      <c r="AA892" s="351"/>
      <c r="AB892" s="539" t="s">
        <v>294</v>
      </c>
      <c r="AC892" s="350"/>
      <c r="AD892" s="350"/>
      <c r="AE892" s="351"/>
      <c r="AF892" s="540"/>
      <c r="AG892" s="351"/>
      <c r="AH892" s="540"/>
      <c r="AI892" s="351"/>
      <c r="AJ892" s="545"/>
      <c r="AK892" s="351"/>
      <c r="AL892" s="555" t="s">
        <v>325</v>
      </c>
      <c r="AM892" s="351"/>
      <c r="AN892" s="531" t="s">
        <v>325</v>
      </c>
      <c r="AO892" s="351"/>
      <c r="AP892" s="532"/>
      <c r="AQ892" s="351"/>
      <c r="AR892" s="533"/>
      <c r="AS892" s="351"/>
      <c r="AT892" s="534"/>
      <c r="AU892" s="351"/>
      <c r="AV892" s="531" t="s">
        <v>325</v>
      </c>
      <c r="AW892" s="351"/>
      <c r="AX892" s="553"/>
      <c r="AY892" s="350"/>
      <c r="AZ892" s="351"/>
      <c r="BA892" s="545"/>
      <c r="BB892" s="351"/>
      <c r="BC892" s="36"/>
      <c r="BD892" s="556" t="s">
        <v>325</v>
      </c>
      <c r="BE892" s="351"/>
      <c r="BF892" s="529"/>
      <c r="BG892" s="350"/>
      <c r="BH892" s="350"/>
      <c r="BI892" s="351"/>
      <c r="BJ892" s="506" t="s">
        <v>294</v>
      </c>
      <c r="BK892" s="350"/>
      <c r="BL892" s="350"/>
      <c r="BM892" s="351"/>
      <c r="BN892" s="530" t="s">
        <v>294</v>
      </c>
      <c r="BO892" s="350"/>
      <c r="BP892" s="350"/>
      <c r="BQ892" s="350"/>
      <c r="BR892" s="350"/>
      <c r="BS892" s="350"/>
      <c r="BT892" s="350"/>
      <c r="BU892" s="350"/>
      <c r="BV892" s="351"/>
    </row>
    <row r="893" spans="1:74" ht="45" customHeight="1">
      <c r="A893" s="24">
        <f t="shared" si="3"/>
        <v>879</v>
      </c>
      <c r="B893" s="522" t="s">
        <v>294</v>
      </c>
      <c r="C893" s="351"/>
      <c r="D893" s="523" t="s">
        <v>298</v>
      </c>
      <c r="E893" s="351"/>
      <c r="F893" s="524" t="s">
        <v>325</v>
      </c>
      <c r="G893" s="351"/>
      <c r="H893" s="561" t="s">
        <v>325</v>
      </c>
      <c r="I893" s="351"/>
      <c r="J893" s="562"/>
      <c r="K893" s="351"/>
      <c r="L893" s="562"/>
      <c r="M893" s="351"/>
      <c r="N893" s="34"/>
      <c r="O893" s="38"/>
      <c r="P893" s="526"/>
      <c r="Q893" s="351"/>
      <c r="R893" s="527"/>
      <c r="S893" s="351"/>
      <c r="T893" s="528"/>
      <c r="U893" s="351"/>
      <c r="V893" s="541"/>
      <c r="W893" s="351"/>
      <c r="X893" s="542" t="s">
        <v>294</v>
      </c>
      <c r="Y893" s="350"/>
      <c r="Z893" s="350"/>
      <c r="AA893" s="351"/>
      <c r="AB893" s="543" t="s">
        <v>294</v>
      </c>
      <c r="AC893" s="350"/>
      <c r="AD893" s="350"/>
      <c r="AE893" s="351"/>
      <c r="AF893" s="544"/>
      <c r="AG893" s="351"/>
      <c r="AH893" s="544"/>
      <c r="AI893" s="351"/>
      <c r="AJ893" s="545"/>
      <c r="AK893" s="351"/>
      <c r="AL893" s="524" t="s">
        <v>325</v>
      </c>
      <c r="AM893" s="351"/>
      <c r="AN893" s="549" t="s">
        <v>325</v>
      </c>
      <c r="AO893" s="351"/>
      <c r="AP893" s="550"/>
      <c r="AQ893" s="351"/>
      <c r="AR893" s="551"/>
      <c r="AS893" s="351"/>
      <c r="AT893" s="552"/>
      <c r="AU893" s="351"/>
      <c r="AV893" s="549" t="s">
        <v>325</v>
      </c>
      <c r="AW893" s="351"/>
      <c r="AX893" s="553"/>
      <c r="AY893" s="350"/>
      <c r="AZ893" s="351"/>
      <c r="BA893" s="554"/>
      <c r="BB893" s="351"/>
      <c r="BC893" s="39"/>
      <c r="BD893" s="546" t="s">
        <v>325</v>
      </c>
      <c r="BE893" s="351"/>
      <c r="BF893" s="547"/>
      <c r="BG893" s="350"/>
      <c r="BH893" s="350"/>
      <c r="BI893" s="351"/>
      <c r="BJ893" s="548" t="s">
        <v>294</v>
      </c>
      <c r="BK893" s="350"/>
      <c r="BL893" s="350"/>
      <c r="BM893" s="351"/>
      <c r="BN893" s="530" t="s">
        <v>294</v>
      </c>
      <c r="BO893" s="350"/>
      <c r="BP893" s="350"/>
      <c r="BQ893" s="350"/>
      <c r="BR893" s="350"/>
      <c r="BS893" s="350"/>
      <c r="BT893" s="350"/>
      <c r="BU893" s="350"/>
      <c r="BV893" s="351"/>
    </row>
    <row r="894" spans="1:74" ht="45" customHeight="1">
      <c r="A894" s="24">
        <f t="shared" si="3"/>
        <v>880</v>
      </c>
      <c r="B894" s="558" t="s">
        <v>294</v>
      </c>
      <c r="C894" s="351"/>
      <c r="D894" s="559" t="s">
        <v>298</v>
      </c>
      <c r="E894" s="351"/>
      <c r="F894" s="524" t="s">
        <v>325</v>
      </c>
      <c r="G894" s="351"/>
      <c r="H894" s="525" t="s">
        <v>325</v>
      </c>
      <c r="I894" s="351"/>
      <c r="J894" s="40"/>
      <c r="K894" s="41"/>
      <c r="L894" s="40"/>
      <c r="M894" s="41"/>
      <c r="N894" s="37"/>
      <c r="O894" s="35"/>
      <c r="P894" s="560"/>
      <c r="Q894" s="351"/>
      <c r="R894" s="535"/>
      <c r="S894" s="351"/>
      <c r="T894" s="536"/>
      <c r="U894" s="351"/>
      <c r="V894" s="537"/>
      <c r="W894" s="351"/>
      <c r="X894" s="538" t="s">
        <v>294</v>
      </c>
      <c r="Y894" s="350"/>
      <c r="Z894" s="350"/>
      <c r="AA894" s="351"/>
      <c r="AB894" s="539" t="s">
        <v>294</v>
      </c>
      <c r="AC894" s="350"/>
      <c r="AD894" s="350"/>
      <c r="AE894" s="351"/>
      <c r="AF894" s="540"/>
      <c r="AG894" s="351"/>
      <c r="AH894" s="540"/>
      <c r="AI894" s="351"/>
      <c r="AJ894" s="545"/>
      <c r="AK894" s="351"/>
      <c r="AL894" s="555" t="s">
        <v>325</v>
      </c>
      <c r="AM894" s="351"/>
      <c r="AN894" s="531" t="s">
        <v>325</v>
      </c>
      <c r="AO894" s="351"/>
      <c r="AP894" s="532"/>
      <c r="AQ894" s="351"/>
      <c r="AR894" s="533"/>
      <c r="AS894" s="351"/>
      <c r="AT894" s="534"/>
      <c r="AU894" s="351"/>
      <c r="AV894" s="531" t="s">
        <v>325</v>
      </c>
      <c r="AW894" s="351"/>
      <c r="AX894" s="553"/>
      <c r="AY894" s="350"/>
      <c r="AZ894" s="351"/>
      <c r="BA894" s="545"/>
      <c r="BB894" s="351"/>
      <c r="BC894" s="36"/>
      <c r="BD894" s="556" t="s">
        <v>325</v>
      </c>
      <c r="BE894" s="351"/>
      <c r="BF894" s="557"/>
      <c r="BG894" s="350"/>
      <c r="BH894" s="350"/>
      <c r="BI894" s="351"/>
      <c r="BJ894" s="506" t="s">
        <v>294</v>
      </c>
      <c r="BK894" s="350"/>
      <c r="BL894" s="350"/>
      <c r="BM894" s="351"/>
      <c r="BN894" s="530" t="s">
        <v>294</v>
      </c>
      <c r="BO894" s="350"/>
      <c r="BP894" s="350"/>
      <c r="BQ894" s="350"/>
      <c r="BR894" s="350"/>
      <c r="BS894" s="350"/>
      <c r="BT894" s="350"/>
      <c r="BU894" s="350"/>
      <c r="BV894" s="351"/>
    </row>
    <row r="895" spans="1:74" ht="45" customHeight="1">
      <c r="A895" s="24">
        <f t="shared" si="3"/>
        <v>881</v>
      </c>
      <c r="B895" s="522" t="s">
        <v>294</v>
      </c>
      <c r="C895" s="351"/>
      <c r="D895" s="523" t="s">
        <v>298</v>
      </c>
      <c r="E895" s="351"/>
      <c r="F895" s="524" t="s">
        <v>325</v>
      </c>
      <c r="G895" s="351"/>
      <c r="H895" s="561" t="s">
        <v>325</v>
      </c>
      <c r="I895" s="351"/>
      <c r="J895" s="562"/>
      <c r="K895" s="351"/>
      <c r="L895" s="562"/>
      <c r="M895" s="351"/>
      <c r="N895" s="37"/>
      <c r="O895" s="38"/>
      <c r="P895" s="560"/>
      <c r="Q895" s="351"/>
      <c r="R895" s="527"/>
      <c r="S895" s="351"/>
      <c r="T895" s="528"/>
      <c r="U895" s="351"/>
      <c r="V895" s="541"/>
      <c r="W895" s="351"/>
      <c r="X895" s="542" t="s">
        <v>294</v>
      </c>
      <c r="Y895" s="350"/>
      <c r="Z895" s="350"/>
      <c r="AA895" s="351"/>
      <c r="AB895" s="543" t="s">
        <v>294</v>
      </c>
      <c r="AC895" s="350"/>
      <c r="AD895" s="350"/>
      <c r="AE895" s="351"/>
      <c r="AF895" s="544"/>
      <c r="AG895" s="351"/>
      <c r="AH895" s="544"/>
      <c r="AI895" s="351"/>
      <c r="AJ895" s="545"/>
      <c r="AK895" s="351"/>
      <c r="AL895" s="524" t="s">
        <v>325</v>
      </c>
      <c r="AM895" s="351"/>
      <c r="AN895" s="549" t="s">
        <v>325</v>
      </c>
      <c r="AO895" s="351"/>
      <c r="AP895" s="550"/>
      <c r="AQ895" s="351"/>
      <c r="AR895" s="551"/>
      <c r="AS895" s="351"/>
      <c r="AT895" s="534"/>
      <c r="AU895" s="351"/>
      <c r="AV895" s="549" t="s">
        <v>325</v>
      </c>
      <c r="AW895" s="351"/>
      <c r="AX895" s="553"/>
      <c r="AY895" s="350"/>
      <c r="AZ895" s="351"/>
      <c r="BA895" s="554"/>
      <c r="BB895" s="351"/>
      <c r="BC895" s="39"/>
      <c r="BD895" s="546" t="s">
        <v>325</v>
      </c>
      <c r="BE895" s="351"/>
      <c r="BF895" s="547"/>
      <c r="BG895" s="350"/>
      <c r="BH895" s="350"/>
      <c r="BI895" s="351"/>
      <c r="BJ895" s="548" t="s">
        <v>294</v>
      </c>
      <c r="BK895" s="350"/>
      <c r="BL895" s="350"/>
      <c r="BM895" s="351"/>
      <c r="BN895" s="530" t="s">
        <v>294</v>
      </c>
      <c r="BO895" s="350"/>
      <c r="BP895" s="350"/>
      <c r="BQ895" s="350"/>
      <c r="BR895" s="350"/>
      <c r="BS895" s="350"/>
      <c r="BT895" s="350"/>
      <c r="BU895" s="350"/>
      <c r="BV895" s="351"/>
    </row>
    <row r="896" spans="1:74" ht="45" customHeight="1">
      <c r="A896" s="24">
        <f t="shared" si="3"/>
        <v>882</v>
      </c>
      <c r="B896" s="558" t="s">
        <v>294</v>
      </c>
      <c r="C896" s="351"/>
      <c r="D896" s="559" t="s">
        <v>298</v>
      </c>
      <c r="E896" s="351"/>
      <c r="F896" s="524" t="s">
        <v>325</v>
      </c>
      <c r="G896" s="351"/>
      <c r="H896" s="525" t="s">
        <v>325</v>
      </c>
      <c r="I896" s="351"/>
      <c r="J896" s="40"/>
      <c r="K896" s="41"/>
      <c r="L896" s="40"/>
      <c r="M896" s="41"/>
      <c r="N896" s="34"/>
      <c r="O896" s="35"/>
      <c r="P896" s="526"/>
      <c r="Q896" s="351"/>
      <c r="R896" s="535"/>
      <c r="S896" s="351"/>
      <c r="T896" s="536"/>
      <c r="U896" s="351"/>
      <c r="V896" s="537"/>
      <c r="W896" s="351"/>
      <c r="X896" s="538" t="s">
        <v>294</v>
      </c>
      <c r="Y896" s="350"/>
      <c r="Z896" s="350"/>
      <c r="AA896" s="351"/>
      <c r="AB896" s="539" t="s">
        <v>294</v>
      </c>
      <c r="AC896" s="350"/>
      <c r="AD896" s="350"/>
      <c r="AE896" s="351"/>
      <c r="AF896" s="540"/>
      <c r="AG896" s="351"/>
      <c r="AH896" s="540"/>
      <c r="AI896" s="351"/>
      <c r="AJ896" s="545"/>
      <c r="AK896" s="351"/>
      <c r="AL896" s="555" t="s">
        <v>325</v>
      </c>
      <c r="AM896" s="351"/>
      <c r="AN896" s="531" t="s">
        <v>325</v>
      </c>
      <c r="AO896" s="351"/>
      <c r="AP896" s="532"/>
      <c r="AQ896" s="351"/>
      <c r="AR896" s="533"/>
      <c r="AS896" s="351"/>
      <c r="AT896" s="534"/>
      <c r="AU896" s="351"/>
      <c r="AV896" s="531" t="s">
        <v>325</v>
      </c>
      <c r="AW896" s="351"/>
      <c r="AX896" s="553"/>
      <c r="AY896" s="350"/>
      <c r="AZ896" s="351"/>
      <c r="BA896" s="545"/>
      <c r="BB896" s="351"/>
      <c r="BC896" s="36"/>
      <c r="BD896" s="556" t="s">
        <v>325</v>
      </c>
      <c r="BE896" s="351"/>
      <c r="BF896" s="557"/>
      <c r="BG896" s="350"/>
      <c r="BH896" s="350"/>
      <c r="BI896" s="351"/>
      <c r="BJ896" s="506" t="s">
        <v>294</v>
      </c>
      <c r="BK896" s="350"/>
      <c r="BL896" s="350"/>
      <c r="BM896" s="351"/>
      <c r="BN896" s="530" t="s">
        <v>294</v>
      </c>
      <c r="BO896" s="350"/>
      <c r="BP896" s="350"/>
      <c r="BQ896" s="350"/>
      <c r="BR896" s="350"/>
      <c r="BS896" s="350"/>
      <c r="BT896" s="350"/>
      <c r="BU896" s="350"/>
      <c r="BV896" s="351"/>
    </row>
    <row r="897" spans="1:74" ht="45" customHeight="1">
      <c r="A897" s="24">
        <f t="shared" si="3"/>
        <v>883</v>
      </c>
      <c r="B897" s="522" t="s">
        <v>294</v>
      </c>
      <c r="C897" s="351"/>
      <c r="D897" s="523" t="s">
        <v>298</v>
      </c>
      <c r="E897" s="351"/>
      <c r="F897" s="524" t="s">
        <v>325</v>
      </c>
      <c r="G897" s="351"/>
      <c r="H897" s="561" t="s">
        <v>325</v>
      </c>
      <c r="I897" s="351"/>
      <c r="J897" s="562"/>
      <c r="K897" s="351"/>
      <c r="L897" s="562"/>
      <c r="M897" s="351"/>
      <c r="N897" s="37"/>
      <c r="O897" s="38"/>
      <c r="P897" s="560"/>
      <c r="Q897" s="351"/>
      <c r="R897" s="527"/>
      <c r="S897" s="351"/>
      <c r="T897" s="528"/>
      <c r="U897" s="351"/>
      <c r="V897" s="541"/>
      <c r="W897" s="351"/>
      <c r="X897" s="542" t="s">
        <v>294</v>
      </c>
      <c r="Y897" s="350"/>
      <c r="Z897" s="350"/>
      <c r="AA897" s="351"/>
      <c r="AB897" s="543" t="s">
        <v>294</v>
      </c>
      <c r="AC897" s="350"/>
      <c r="AD897" s="350"/>
      <c r="AE897" s="351"/>
      <c r="AF897" s="544"/>
      <c r="AG897" s="351"/>
      <c r="AH897" s="544"/>
      <c r="AI897" s="351"/>
      <c r="AJ897" s="545"/>
      <c r="AK897" s="351"/>
      <c r="AL897" s="524" t="s">
        <v>325</v>
      </c>
      <c r="AM897" s="351"/>
      <c r="AN897" s="549" t="s">
        <v>325</v>
      </c>
      <c r="AO897" s="351"/>
      <c r="AP897" s="550"/>
      <c r="AQ897" s="351"/>
      <c r="AR897" s="551"/>
      <c r="AS897" s="351"/>
      <c r="AT897" s="534"/>
      <c r="AU897" s="351"/>
      <c r="AV897" s="549" t="s">
        <v>325</v>
      </c>
      <c r="AW897" s="351"/>
      <c r="AX897" s="553"/>
      <c r="AY897" s="350"/>
      <c r="AZ897" s="351"/>
      <c r="BA897" s="554"/>
      <c r="BB897" s="351"/>
      <c r="BC897" s="39"/>
      <c r="BD897" s="546" t="s">
        <v>325</v>
      </c>
      <c r="BE897" s="351"/>
      <c r="BF897" s="547"/>
      <c r="BG897" s="350"/>
      <c r="BH897" s="350"/>
      <c r="BI897" s="351"/>
      <c r="BJ897" s="548" t="s">
        <v>294</v>
      </c>
      <c r="BK897" s="350"/>
      <c r="BL897" s="350"/>
      <c r="BM897" s="351"/>
      <c r="BN897" s="530" t="s">
        <v>294</v>
      </c>
      <c r="BO897" s="350"/>
      <c r="BP897" s="350"/>
      <c r="BQ897" s="350"/>
      <c r="BR897" s="350"/>
      <c r="BS897" s="350"/>
      <c r="BT897" s="350"/>
      <c r="BU897" s="350"/>
      <c r="BV897" s="351"/>
    </row>
    <row r="898" spans="1:74" ht="45" customHeight="1">
      <c r="A898" s="24">
        <f t="shared" si="3"/>
        <v>884</v>
      </c>
      <c r="B898" s="558" t="s">
        <v>294</v>
      </c>
      <c r="C898" s="351"/>
      <c r="D898" s="559" t="s">
        <v>298</v>
      </c>
      <c r="E898" s="351"/>
      <c r="F898" s="524" t="s">
        <v>325</v>
      </c>
      <c r="G898" s="351"/>
      <c r="H898" s="525" t="s">
        <v>325</v>
      </c>
      <c r="I898" s="351"/>
      <c r="J898" s="40"/>
      <c r="K898" s="41"/>
      <c r="L898" s="40"/>
      <c r="M898" s="41"/>
      <c r="N898" s="34"/>
      <c r="O898" s="35"/>
      <c r="P898" s="526"/>
      <c r="Q898" s="351"/>
      <c r="R898" s="535"/>
      <c r="S898" s="351"/>
      <c r="T898" s="536"/>
      <c r="U898" s="351"/>
      <c r="V898" s="537"/>
      <c r="W898" s="351"/>
      <c r="X898" s="538" t="s">
        <v>294</v>
      </c>
      <c r="Y898" s="350"/>
      <c r="Z898" s="350"/>
      <c r="AA898" s="351"/>
      <c r="AB898" s="539" t="s">
        <v>294</v>
      </c>
      <c r="AC898" s="350"/>
      <c r="AD898" s="350"/>
      <c r="AE898" s="351"/>
      <c r="AF898" s="540"/>
      <c r="AG898" s="351"/>
      <c r="AH898" s="540"/>
      <c r="AI898" s="351"/>
      <c r="AJ898" s="545"/>
      <c r="AK898" s="351"/>
      <c r="AL898" s="555" t="s">
        <v>325</v>
      </c>
      <c r="AM898" s="351"/>
      <c r="AN898" s="531" t="s">
        <v>325</v>
      </c>
      <c r="AO898" s="351"/>
      <c r="AP898" s="532"/>
      <c r="AQ898" s="351"/>
      <c r="AR898" s="533"/>
      <c r="AS898" s="351"/>
      <c r="AT898" s="534"/>
      <c r="AU898" s="351"/>
      <c r="AV898" s="531" t="s">
        <v>325</v>
      </c>
      <c r="AW898" s="351"/>
      <c r="AX898" s="553"/>
      <c r="AY898" s="350"/>
      <c r="AZ898" s="351"/>
      <c r="BA898" s="545"/>
      <c r="BB898" s="351"/>
      <c r="BC898" s="36"/>
      <c r="BD898" s="556" t="s">
        <v>325</v>
      </c>
      <c r="BE898" s="351"/>
      <c r="BF898" s="557"/>
      <c r="BG898" s="350"/>
      <c r="BH898" s="350"/>
      <c r="BI898" s="351"/>
      <c r="BJ898" s="506" t="s">
        <v>294</v>
      </c>
      <c r="BK898" s="350"/>
      <c r="BL898" s="350"/>
      <c r="BM898" s="351"/>
      <c r="BN898" s="530" t="s">
        <v>294</v>
      </c>
      <c r="BO898" s="350"/>
      <c r="BP898" s="350"/>
      <c r="BQ898" s="350"/>
      <c r="BR898" s="350"/>
      <c r="BS898" s="350"/>
      <c r="BT898" s="350"/>
      <c r="BU898" s="350"/>
      <c r="BV898" s="351"/>
    </row>
    <row r="899" spans="1:74" ht="45" customHeight="1">
      <c r="A899" s="24">
        <f t="shared" si="3"/>
        <v>885</v>
      </c>
      <c r="B899" s="522" t="s">
        <v>294</v>
      </c>
      <c r="C899" s="351"/>
      <c r="D899" s="523" t="s">
        <v>298</v>
      </c>
      <c r="E899" s="351"/>
      <c r="F899" s="524" t="s">
        <v>325</v>
      </c>
      <c r="G899" s="351"/>
      <c r="H899" s="561" t="s">
        <v>325</v>
      </c>
      <c r="I899" s="351"/>
      <c r="J899" s="562"/>
      <c r="K899" s="351"/>
      <c r="L899" s="562"/>
      <c r="M899" s="351"/>
      <c r="N899" s="37"/>
      <c r="O899" s="38"/>
      <c r="P899" s="560"/>
      <c r="Q899" s="351"/>
      <c r="R899" s="527"/>
      <c r="S899" s="351"/>
      <c r="T899" s="528"/>
      <c r="U899" s="351"/>
      <c r="V899" s="541"/>
      <c r="W899" s="351"/>
      <c r="X899" s="542" t="s">
        <v>294</v>
      </c>
      <c r="Y899" s="350"/>
      <c r="Z899" s="350"/>
      <c r="AA899" s="351"/>
      <c r="AB899" s="543" t="s">
        <v>294</v>
      </c>
      <c r="AC899" s="350"/>
      <c r="AD899" s="350"/>
      <c r="AE899" s="351"/>
      <c r="AF899" s="544"/>
      <c r="AG899" s="351"/>
      <c r="AH899" s="544"/>
      <c r="AI899" s="351"/>
      <c r="AJ899" s="545"/>
      <c r="AK899" s="351"/>
      <c r="AL899" s="524" t="s">
        <v>325</v>
      </c>
      <c r="AM899" s="351"/>
      <c r="AN899" s="549" t="s">
        <v>325</v>
      </c>
      <c r="AO899" s="351"/>
      <c r="AP899" s="550"/>
      <c r="AQ899" s="351"/>
      <c r="AR899" s="551"/>
      <c r="AS899" s="351"/>
      <c r="AT899" s="552"/>
      <c r="AU899" s="351"/>
      <c r="AV899" s="549" t="s">
        <v>325</v>
      </c>
      <c r="AW899" s="351"/>
      <c r="AX899" s="553"/>
      <c r="AY899" s="350"/>
      <c r="AZ899" s="351"/>
      <c r="BA899" s="554"/>
      <c r="BB899" s="351"/>
      <c r="BC899" s="39"/>
      <c r="BD899" s="546" t="s">
        <v>325</v>
      </c>
      <c r="BE899" s="351"/>
      <c r="BF899" s="547"/>
      <c r="BG899" s="350"/>
      <c r="BH899" s="350"/>
      <c r="BI899" s="351"/>
      <c r="BJ899" s="548" t="s">
        <v>294</v>
      </c>
      <c r="BK899" s="350"/>
      <c r="BL899" s="350"/>
      <c r="BM899" s="351"/>
      <c r="BN899" s="530" t="s">
        <v>294</v>
      </c>
      <c r="BO899" s="350"/>
      <c r="BP899" s="350"/>
      <c r="BQ899" s="350"/>
      <c r="BR899" s="350"/>
      <c r="BS899" s="350"/>
      <c r="BT899" s="350"/>
      <c r="BU899" s="350"/>
      <c r="BV899" s="351"/>
    </row>
    <row r="900" spans="1:74" ht="45" customHeight="1">
      <c r="A900" s="24">
        <f t="shared" si="3"/>
        <v>886</v>
      </c>
      <c r="B900" s="558" t="s">
        <v>294</v>
      </c>
      <c r="C900" s="351"/>
      <c r="D900" s="559" t="s">
        <v>298</v>
      </c>
      <c r="E900" s="351"/>
      <c r="F900" s="524" t="s">
        <v>325</v>
      </c>
      <c r="G900" s="351"/>
      <c r="H900" s="525" t="s">
        <v>325</v>
      </c>
      <c r="I900" s="351"/>
      <c r="J900" s="40"/>
      <c r="K900" s="41"/>
      <c r="L900" s="40"/>
      <c r="M900" s="41"/>
      <c r="N900" s="34"/>
      <c r="O900" s="35"/>
      <c r="P900" s="526"/>
      <c r="Q900" s="351"/>
      <c r="R900" s="535"/>
      <c r="S900" s="351"/>
      <c r="T900" s="536"/>
      <c r="U900" s="351"/>
      <c r="V900" s="537"/>
      <c r="W900" s="351"/>
      <c r="X900" s="538" t="s">
        <v>294</v>
      </c>
      <c r="Y900" s="350"/>
      <c r="Z900" s="350"/>
      <c r="AA900" s="351"/>
      <c r="AB900" s="539" t="s">
        <v>294</v>
      </c>
      <c r="AC900" s="350"/>
      <c r="AD900" s="350"/>
      <c r="AE900" s="351"/>
      <c r="AF900" s="540"/>
      <c r="AG900" s="351"/>
      <c r="AH900" s="540"/>
      <c r="AI900" s="351"/>
      <c r="AJ900" s="545"/>
      <c r="AK900" s="351"/>
      <c r="AL900" s="555" t="s">
        <v>325</v>
      </c>
      <c r="AM900" s="351"/>
      <c r="AN900" s="531" t="s">
        <v>325</v>
      </c>
      <c r="AO900" s="351"/>
      <c r="AP900" s="532"/>
      <c r="AQ900" s="351"/>
      <c r="AR900" s="533"/>
      <c r="AS900" s="351"/>
      <c r="AT900" s="534"/>
      <c r="AU900" s="351"/>
      <c r="AV900" s="531" t="s">
        <v>325</v>
      </c>
      <c r="AW900" s="351"/>
      <c r="AX900" s="553"/>
      <c r="AY900" s="350"/>
      <c r="AZ900" s="351"/>
      <c r="BA900" s="545"/>
      <c r="BB900" s="351"/>
      <c r="BC900" s="36"/>
      <c r="BD900" s="556" t="s">
        <v>325</v>
      </c>
      <c r="BE900" s="351"/>
      <c r="BF900" s="529"/>
      <c r="BG900" s="350"/>
      <c r="BH900" s="350"/>
      <c r="BI900" s="351"/>
      <c r="BJ900" s="506" t="s">
        <v>294</v>
      </c>
      <c r="BK900" s="350"/>
      <c r="BL900" s="350"/>
      <c r="BM900" s="351"/>
      <c r="BN900" s="530" t="s">
        <v>294</v>
      </c>
      <c r="BO900" s="350"/>
      <c r="BP900" s="350"/>
      <c r="BQ900" s="350"/>
      <c r="BR900" s="350"/>
      <c r="BS900" s="350"/>
      <c r="BT900" s="350"/>
      <c r="BU900" s="350"/>
      <c r="BV900" s="351"/>
    </row>
    <row r="901" spans="1:74" ht="45" customHeight="1">
      <c r="A901" s="24">
        <f t="shared" si="3"/>
        <v>887</v>
      </c>
      <c r="B901" s="522" t="s">
        <v>294</v>
      </c>
      <c r="C901" s="351"/>
      <c r="D901" s="523" t="s">
        <v>298</v>
      </c>
      <c r="E901" s="351"/>
      <c r="F901" s="524" t="s">
        <v>325</v>
      </c>
      <c r="G901" s="351"/>
      <c r="H901" s="561" t="s">
        <v>325</v>
      </c>
      <c r="I901" s="351"/>
      <c r="J901" s="562"/>
      <c r="K901" s="351"/>
      <c r="L901" s="562"/>
      <c r="M901" s="351"/>
      <c r="N901" s="37"/>
      <c r="O901" s="38"/>
      <c r="P901" s="560"/>
      <c r="Q901" s="351"/>
      <c r="R901" s="527"/>
      <c r="S901" s="351"/>
      <c r="T901" s="528"/>
      <c r="U901" s="351"/>
      <c r="V901" s="541"/>
      <c r="W901" s="351"/>
      <c r="X901" s="542" t="s">
        <v>294</v>
      </c>
      <c r="Y901" s="350"/>
      <c r="Z901" s="350"/>
      <c r="AA901" s="351"/>
      <c r="AB901" s="543" t="s">
        <v>294</v>
      </c>
      <c r="AC901" s="350"/>
      <c r="AD901" s="350"/>
      <c r="AE901" s="351"/>
      <c r="AF901" s="544"/>
      <c r="AG901" s="351"/>
      <c r="AH901" s="544"/>
      <c r="AI901" s="351"/>
      <c r="AJ901" s="545"/>
      <c r="AK901" s="351"/>
      <c r="AL901" s="524" t="s">
        <v>325</v>
      </c>
      <c r="AM901" s="351"/>
      <c r="AN901" s="549" t="s">
        <v>325</v>
      </c>
      <c r="AO901" s="351"/>
      <c r="AP901" s="550"/>
      <c r="AQ901" s="351"/>
      <c r="AR901" s="551"/>
      <c r="AS901" s="351"/>
      <c r="AT901" s="552"/>
      <c r="AU901" s="351"/>
      <c r="AV901" s="549" t="s">
        <v>325</v>
      </c>
      <c r="AW901" s="351"/>
      <c r="AX901" s="553"/>
      <c r="AY901" s="350"/>
      <c r="AZ901" s="351"/>
      <c r="BA901" s="554"/>
      <c r="BB901" s="351"/>
      <c r="BC901" s="39"/>
      <c r="BD901" s="546" t="s">
        <v>325</v>
      </c>
      <c r="BE901" s="351"/>
      <c r="BF901" s="547"/>
      <c r="BG901" s="350"/>
      <c r="BH901" s="350"/>
      <c r="BI901" s="351"/>
      <c r="BJ901" s="548" t="s">
        <v>294</v>
      </c>
      <c r="BK901" s="350"/>
      <c r="BL901" s="350"/>
      <c r="BM901" s="351"/>
      <c r="BN901" s="530" t="s">
        <v>294</v>
      </c>
      <c r="BO901" s="350"/>
      <c r="BP901" s="350"/>
      <c r="BQ901" s="350"/>
      <c r="BR901" s="350"/>
      <c r="BS901" s="350"/>
      <c r="BT901" s="350"/>
      <c r="BU901" s="350"/>
      <c r="BV901" s="351"/>
    </row>
    <row r="902" spans="1:74" ht="45" customHeight="1">
      <c r="A902" s="24">
        <f t="shared" si="3"/>
        <v>888</v>
      </c>
      <c r="B902" s="558" t="s">
        <v>294</v>
      </c>
      <c r="C902" s="351"/>
      <c r="D902" s="559" t="s">
        <v>298</v>
      </c>
      <c r="E902" s="351"/>
      <c r="F902" s="524" t="s">
        <v>325</v>
      </c>
      <c r="G902" s="351"/>
      <c r="H902" s="525" t="s">
        <v>325</v>
      </c>
      <c r="I902" s="351"/>
      <c r="J902" s="40"/>
      <c r="K902" s="41"/>
      <c r="L902" s="40"/>
      <c r="M902" s="41"/>
      <c r="N902" s="34"/>
      <c r="O902" s="35"/>
      <c r="P902" s="526"/>
      <c r="Q902" s="351"/>
      <c r="R902" s="535"/>
      <c r="S902" s="351"/>
      <c r="T902" s="536"/>
      <c r="U902" s="351"/>
      <c r="V902" s="537"/>
      <c r="W902" s="351"/>
      <c r="X902" s="538" t="s">
        <v>294</v>
      </c>
      <c r="Y902" s="350"/>
      <c r="Z902" s="350"/>
      <c r="AA902" s="351"/>
      <c r="AB902" s="539" t="s">
        <v>294</v>
      </c>
      <c r="AC902" s="350"/>
      <c r="AD902" s="350"/>
      <c r="AE902" s="351"/>
      <c r="AF902" s="540"/>
      <c r="AG902" s="351"/>
      <c r="AH902" s="540"/>
      <c r="AI902" s="351"/>
      <c r="AJ902" s="545"/>
      <c r="AK902" s="351"/>
      <c r="AL902" s="555" t="s">
        <v>325</v>
      </c>
      <c r="AM902" s="351"/>
      <c r="AN902" s="531" t="s">
        <v>325</v>
      </c>
      <c r="AO902" s="351"/>
      <c r="AP902" s="532"/>
      <c r="AQ902" s="351"/>
      <c r="AR902" s="533"/>
      <c r="AS902" s="351"/>
      <c r="AT902" s="534"/>
      <c r="AU902" s="351"/>
      <c r="AV902" s="531" t="s">
        <v>325</v>
      </c>
      <c r="AW902" s="351"/>
      <c r="AX902" s="553"/>
      <c r="AY902" s="350"/>
      <c r="AZ902" s="351"/>
      <c r="BA902" s="545"/>
      <c r="BB902" s="351"/>
      <c r="BC902" s="36"/>
      <c r="BD902" s="556" t="s">
        <v>325</v>
      </c>
      <c r="BE902" s="351"/>
      <c r="BF902" s="557"/>
      <c r="BG902" s="350"/>
      <c r="BH902" s="350"/>
      <c r="BI902" s="351"/>
      <c r="BJ902" s="506" t="s">
        <v>294</v>
      </c>
      <c r="BK902" s="350"/>
      <c r="BL902" s="350"/>
      <c r="BM902" s="351"/>
      <c r="BN902" s="530" t="s">
        <v>294</v>
      </c>
      <c r="BO902" s="350"/>
      <c r="BP902" s="350"/>
      <c r="BQ902" s="350"/>
      <c r="BR902" s="350"/>
      <c r="BS902" s="350"/>
      <c r="BT902" s="350"/>
      <c r="BU902" s="350"/>
      <c r="BV902" s="351"/>
    </row>
    <row r="903" spans="1:74" ht="45" customHeight="1">
      <c r="A903" s="24">
        <f t="shared" si="3"/>
        <v>889</v>
      </c>
      <c r="B903" s="522" t="s">
        <v>294</v>
      </c>
      <c r="C903" s="351"/>
      <c r="D903" s="523" t="s">
        <v>298</v>
      </c>
      <c r="E903" s="351"/>
      <c r="F903" s="524" t="s">
        <v>325</v>
      </c>
      <c r="G903" s="351"/>
      <c r="H903" s="561" t="s">
        <v>325</v>
      </c>
      <c r="I903" s="351"/>
      <c r="J903" s="562"/>
      <c r="K903" s="351"/>
      <c r="L903" s="562"/>
      <c r="M903" s="351"/>
      <c r="N903" s="37"/>
      <c r="O903" s="38"/>
      <c r="P903" s="560"/>
      <c r="Q903" s="351"/>
      <c r="R903" s="527"/>
      <c r="S903" s="351"/>
      <c r="T903" s="528"/>
      <c r="U903" s="351"/>
      <c r="V903" s="541"/>
      <c r="W903" s="351"/>
      <c r="X903" s="542" t="s">
        <v>294</v>
      </c>
      <c r="Y903" s="350"/>
      <c r="Z903" s="350"/>
      <c r="AA903" s="351"/>
      <c r="AB903" s="543" t="s">
        <v>294</v>
      </c>
      <c r="AC903" s="350"/>
      <c r="AD903" s="350"/>
      <c r="AE903" s="351"/>
      <c r="AF903" s="544"/>
      <c r="AG903" s="351"/>
      <c r="AH903" s="544"/>
      <c r="AI903" s="351"/>
      <c r="AJ903" s="545"/>
      <c r="AK903" s="351"/>
      <c r="AL903" s="524" t="s">
        <v>325</v>
      </c>
      <c r="AM903" s="351"/>
      <c r="AN903" s="549" t="s">
        <v>325</v>
      </c>
      <c r="AO903" s="351"/>
      <c r="AP903" s="550"/>
      <c r="AQ903" s="351"/>
      <c r="AR903" s="551"/>
      <c r="AS903" s="351"/>
      <c r="AT903" s="552"/>
      <c r="AU903" s="351"/>
      <c r="AV903" s="549" t="s">
        <v>325</v>
      </c>
      <c r="AW903" s="351"/>
      <c r="AX903" s="553"/>
      <c r="AY903" s="350"/>
      <c r="AZ903" s="351"/>
      <c r="BA903" s="554"/>
      <c r="BB903" s="351"/>
      <c r="BC903" s="39"/>
      <c r="BD903" s="546" t="s">
        <v>325</v>
      </c>
      <c r="BE903" s="351"/>
      <c r="BF903" s="547"/>
      <c r="BG903" s="350"/>
      <c r="BH903" s="350"/>
      <c r="BI903" s="351"/>
      <c r="BJ903" s="548" t="s">
        <v>294</v>
      </c>
      <c r="BK903" s="350"/>
      <c r="BL903" s="350"/>
      <c r="BM903" s="351"/>
      <c r="BN903" s="530" t="s">
        <v>294</v>
      </c>
      <c r="BO903" s="350"/>
      <c r="BP903" s="350"/>
      <c r="BQ903" s="350"/>
      <c r="BR903" s="350"/>
      <c r="BS903" s="350"/>
      <c r="BT903" s="350"/>
      <c r="BU903" s="350"/>
      <c r="BV903" s="351"/>
    </row>
    <row r="904" spans="1:74" ht="45" customHeight="1">
      <c r="A904" s="24">
        <f t="shared" si="3"/>
        <v>890</v>
      </c>
      <c r="B904" s="558" t="s">
        <v>294</v>
      </c>
      <c r="C904" s="351"/>
      <c r="D904" s="559" t="s">
        <v>298</v>
      </c>
      <c r="E904" s="351"/>
      <c r="F904" s="524" t="s">
        <v>325</v>
      </c>
      <c r="G904" s="351"/>
      <c r="H904" s="525" t="s">
        <v>325</v>
      </c>
      <c r="I904" s="351"/>
      <c r="J904" s="40"/>
      <c r="K904" s="41"/>
      <c r="L904" s="40"/>
      <c r="M904" s="41"/>
      <c r="N904" s="34"/>
      <c r="O904" s="35"/>
      <c r="P904" s="526"/>
      <c r="Q904" s="351"/>
      <c r="R904" s="535"/>
      <c r="S904" s="351"/>
      <c r="T904" s="536"/>
      <c r="U904" s="351"/>
      <c r="V904" s="537"/>
      <c r="W904" s="351"/>
      <c r="X904" s="538" t="s">
        <v>294</v>
      </c>
      <c r="Y904" s="350"/>
      <c r="Z904" s="350"/>
      <c r="AA904" s="351"/>
      <c r="AB904" s="539" t="s">
        <v>294</v>
      </c>
      <c r="AC904" s="350"/>
      <c r="AD904" s="350"/>
      <c r="AE904" s="351"/>
      <c r="AF904" s="540"/>
      <c r="AG904" s="351"/>
      <c r="AH904" s="540"/>
      <c r="AI904" s="351"/>
      <c r="AJ904" s="545"/>
      <c r="AK904" s="351"/>
      <c r="AL904" s="555" t="s">
        <v>325</v>
      </c>
      <c r="AM904" s="351"/>
      <c r="AN904" s="531" t="s">
        <v>325</v>
      </c>
      <c r="AO904" s="351"/>
      <c r="AP904" s="532"/>
      <c r="AQ904" s="351"/>
      <c r="AR904" s="533"/>
      <c r="AS904" s="351"/>
      <c r="AT904" s="534"/>
      <c r="AU904" s="351"/>
      <c r="AV904" s="531" t="s">
        <v>325</v>
      </c>
      <c r="AW904" s="351"/>
      <c r="AX904" s="553"/>
      <c r="AY904" s="350"/>
      <c r="AZ904" s="351"/>
      <c r="BA904" s="545"/>
      <c r="BB904" s="351"/>
      <c r="BC904" s="36"/>
      <c r="BD904" s="556" t="s">
        <v>325</v>
      </c>
      <c r="BE904" s="351"/>
      <c r="BF904" s="557"/>
      <c r="BG904" s="350"/>
      <c r="BH904" s="350"/>
      <c r="BI904" s="351"/>
      <c r="BJ904" s="506" t="s">
        <v>294</v>
      </c>
      <c r="BK904" s="350"/>
      <c r="BL904" s="350"/>
      <c r="BM904" s="351"/>
      <c r="BN904" s="530" t="s">
        <v>294</v>
      </c>
      <c r="BO904" s="350"/>
      <c r="BP904" s="350"/>
      <c r="BQ904" s="350"/>
      <c r="BR904" s="350"/>
      <c r="BS904" s="350"/>
      <c r="BT904" s="350"/>
      <c r="BU904" s="350"/>
      <c r="BV904" s="351"/>
    </row>
    <row r="905" spans="1:74" ht="45" customHeight="1">
      <c r="A905" s="24">
        <f t="shared" si="3"/>
        <v>891</v>
      </c>
      <c r="B905" s="522" t="s">
        <v>294</v>
      </c>
      <c r="C905" s="351"/>
      <c r="D905" s="523" t="s">
        <v>298</v>
      </c>
      <c r="E905" s="351"/>
      <c r="F905" s="524" t="s">
        <v>325</v>
      </c>
      <c r="G905" s="351"/>
      <c r="H905" s="561" t="s">
        <v>325</v>
      </c>
      <c r="I905" s="351"/>
      <c r="J905" s="562"/>
      <c r="K905" s="351"/>
      <c r="L905" s="562"/>
      <c r="M905" s="351"/>
      <c r="N905" s="37"/>
      <c r="O905" s="38"/>
      <c r="P905" s="560"/>
      <c r="Q905" s="351"/>
      <c r="R905" s="527"/>
      <c r="S905" s="351"/>
      <c r="T905" s="528"/>
      <c r="U905" s="351"/>
      <c r="V905" s="541"/>
      <c r="W905" s="351"/>
      <c r="X905" s="542" t="s">
        <v>294</v>
      </c>
      <c r="Y905" s="350"/>
      <c r="Z905" s="350"/>
      <c r="AA905" s="351"/>
      <c r="AB905" s="543" t="s">
        <v>294</v>
      </c>
      <c r="AC905" s="350"/>
      <c r="AD905" s="350"/>
      <c r="AE905" s="351"/>
      <c r="AF905" s="544"/>
      <c r="AG905" s="351"/>
      <c r="AH905" s="544"/>
      <c r="AI905" s="351"/>
      <c r="AJ905" s="545"/>
      <c r="AK905" s="351"/>
      <c r="AL905" s="524" t="s">
        <v>325</v>
      </c>
      <c r="AM905" s="351"/>
      <c r="AN905" s="549" t="s">
        <v>325</v>
      </c>
      <c r="AO905" s="351"/>
      <c r="AP905" s="550"/>
      <c r="AQ905" s="351"/>
      <c r="AR905" s="551"/>
      <c r="AS905" s="351"/>
      <c r="AT905" s="552"/>
      <c r="AU905" s="351"/>
      <c r="AV905" s="549" t="s">
        <v>325</v>
      </c>
      <c r="AW905" s="351"/>
      <c r="AX905" s="553"/>
      <c r="AY905" s="350"/>
      <c r="AZ905" s="351"/>
      <c r="BA905" s="554"/>
      <c r="BB905" s="351"/>
      <c r="BC905" s="39"/>
      <c r="BD905" s="546" t="s">
        <v>325</v>
      </c>
      <c r="BE905" s="351"/>
      <c r="BF905" s="547"/>
      <c r="BG905" s="350"/>
      <c r="BH905" s="350"/>
      <c r="BI905" s="351"/>
      <c r="BJ905" s="548" t="s">
        <v>294</v>
      </c>
      <c r="BK905" s="350"/>
      <c r="BL905" s="350"/>
      <c r="BM905" s="351"/>
      <c r="BN905" s="530" t="s">
        <v>294</v>
      </c>
      <c r="BO905" s="350"/>
      <c r="BP905" s="350"/>
      <c r="BQ905" s="350"/>
      <c r="BR905" s="350"/>
      <c r="BS905" s="350"/>
      <c r="BT905" s="350"/>
      <c r="BU905" s="350"/>
      <c r="BV905" s="351"/>
    </row>
    <row r="906" spans="1:74" ht="45" customHeight="1">
      <c r="A906" s="24">
        <f t="shared" si="3"/>
        <v>892</v>
      </c>
      <c r="B906" s="558" t="s">
        <v>294</v>
      </c>
      <c r="C906" s="351"/>
      <c r="D906" s="559" t="s">
        <v>298</v>
      </c>
      <c r="E906" s="351"/>
      <c r="F906" s="524" t="s">
        <v>325</v>
      </c>
      <c r="G906" s="351"/>
      <c r="H906" s="525" t="s">
        <v>325</v>
      </c>
      <c r="I906" s="351"/>
      <c r="J906" s="40"/>
      <c r="K906" s="41"/>
      <c r="L906" s="40"/>
      <c r="M906" s="41"/>
      <c r="N906" s="34"/>
      <c r="O906" s="35"/>
      <c r="P906" s="526"/>
      <c r="Q906" s="351"/>
      <c r="R906" s="535"/>
      <c r="S906" s="351"/>
      <c r="T906" s="536"/>
      <c r="U906" s="351"/>
      <c r="V906" s="537"/>
      <c r="W906" s="351"/>
      <c r="X906" s="538" t="s">
        <v>294</v>
      </c>
      <c r="Y906" s="350"/>
      <c r="Z906" s="350"/>
      <c r="AA906" s="351"/>
      <c r="AB906" s="539" t="s">
        <v>294</v>
      </c>
      <c r="AC906" s="350"/>
      <c r="AD906" s="350"/>
      <c r="AE906" s="351"/>
      <c r="AF906" s="540"/>
      <c r="AG906" s="351"/>
      <c r="AH906" s="540"/>
      <c r="AI906" s="351"/>
      <c r="AJ906" s="545"/>
      <c r="AK906" s="351"/>
      <c r="AL906" s="555" t="s">
        <v>325</v>
      </c>
      <c r="AM906" s="351"/>
      <c r="AN906" s="531" t="s">
        <v>325</v>
      </c>
      <c r="AO906" s="351"/>
      <c r="AP906" s="532"/>
      <c r="AQ906" s="351"/>
      <c r="AR906" s="533"/>
      <c r="AS906" s="351"/>
      <c r="AT906" s="534"/>
      <c r="AU906" s="351"/>
      <c r="AV906" s="531" t="s">
        <v>325</v>
      </c>
      <c r="AW906" s="351"/>
      <c r="AX906" s="553"/>
      <c r="AY906" s="350"/>
      <c r="AZ906" s="351"/>
      <c r="BA906" s="545"/>
      <c r="BB906" s="351"/>
      <c r="BC906" s="36"/>
      <c r="BD906" s="556" t="s">
        <v>325</v>
      </c>
      <c r="BE906" s="351"/>
      <c r="BF906" s="529"/>
      <c r="BG906" s="350"/>
      <c r="BH906" s="350"/>
      <c r="BI906" s="351"/>
      <c r="BJ906" s="506" t="s">
        <v>294</v>
      </c>
      <c r="BK906" s="350"/>
      <c r="BL906" s="350"/>
      <c r="BM906" s="351"/>
      <c r="BN906" s="530" t="s">
        <v>294</v>
      </c>
      <c r="BO906" s="350"/>
      <c r="BP906" s="350"/>
      <c r="BQ906" s="350"/>
      <c r="BR906" s="350"/>
      <c r="BS906" s="350"/>
      <c r="BT906" s="350"/>
      <c r="BU906" s="350"/>
      <c r="BV906" s="351"/>
    </row>
    <row r="907" spans="1:74" ht="45" customHeight="1">
      <c r="A907" s="24">
        <f t="shared" si="3"/>
        <v>893</v>
      </c>
      <c r="B907" s="522" t="s">
        <v>294</v>
      </c>
      <c r="C907" s="351"/>
      <c r="D907" s="523" t="s">
        <v>298</v>
      </c>
      <c r="E907" s="351"/>
      <c r="F907" s="524" t="s">
        <v>325</v>
      </c>
      <c r="G907" s="351"/>
      <c r="H907" s="561" t="s">
        <v>325</v>
      </c>
      <c r="I907" s="351"/>
      <c r="J907" s="562"/>
      <c r="K907" s="351"/>
      <c r="L907" s="562"/>
      <c r="M907" s="351"/>
      <c r="N907" s="37"/>
      <c r="O907" s="38"/>
      <c r="P907" s="560"/>
      <c r="Q907" s="351"/>
      <c r="R907" s="527"/>
      <c r="S907" s="351"/>
      <c r="T907" s="528"/>
      <c r="U907" s="351"/>
      <c r="V907" s="541"/>
      <c r="W907" s="351"/>
      <c r="X907" s="542" t="s">
        <v>294</v>
      </c>
      <c r="Y907" s="350"/>
      <c r="Z907" s="350"/>
      <c r="AA907" s="351"/>
      <c r="AB907" s="543" t="s">
        <v>294</v>
      </c>
      <c r="AC907" s="350"/>
      <c r="AD907" s="350"/>
      <c r="AE907" s="351"/>
      <c r="AF907" s="544"/>
      <c r="AG907" s="351"/>
      <c r="AH907" s="544"/>
      <c r="AI907" s="351"/>
      <c r="AJ907" s="545"/>
      <c r="AK907" s="351"/>
      <c r="AL907" s="524" t="s">
        <v>325</v>
      </c>
      <c r="AM907" s="351"/>
      <c r="AN907" s="549" t="s">
        <v>325</v>
      </c>
      <c r="AO907" s="351"/>
      <c r="AP907" s="550"/>
      <c r="AQ907" s="351"/>
      <c r="AR907" s="551"/>
      <c r="AS907" s="351"/>
      <c r="AT907" s="552"/>
      <c r="AU907" s="351"/>
      <c r="AV907" s="549" t="s">
        <v>325</v>
      </c>
      <c r="AW907" s="351"/>
      <c r="AX907" s="553"/>
      <c r="AY907" s="350"/>
      <c r="AZ907" s="351"/>
      <c r="BA907" s="554"/>
      <c r="BB907" s="351"/>
      <c r="BC907" s="39"/>
      <c r="BD907" s="546" t="s">
        <v>325</v>
      </c>
      <c r="BE907" s="351"/>
      <c r="BF907" s="547"/>
      <c r="BG907" s="350"/>
      <c r="BH907" s="350"/>
      <c r="BI907" s="351"/>
      <c r="BJ907" s="548" t="s">
        <v>294</v>
      </c>
      <c r="BK907" s="350"/>
      <c r="BL907" s="350"/>
      <c r="BM907" s="351"/>
      <c r="BN907" s="530" t="s">
        <v>294</v>
      </c>
      <c r="BO907" s="350"/>
      <c r="BP907" s="350"/>
      <c r="BQ907" s="350"/>
      <c r="BR907" s="350"/>
      <c r="BS907" s="350"/>
      <c r="BT907" s="350"/>
      <c r="BU907" s="350"/>
      <c r="BV907" s="351"/>
    </row>
    <row r="908" spans="1:74" ht="45" customHeight="1">
      <c r="A908" s="24">
        <f t="shared" si="3"/>
        <v>894</v>
      </c>
      <c r="B908" s="558" t="s">
        <v>294</v>
      </c>
      <c r="C908" s="351"/>
      <c r="D908" s="559" t="s">
        <v>298</v>
      </c>
      <c r="E908" s="351"/>
      <c r="F908" s="524" t="s">
        <v>325</v>
      </c>
      <c r="G908" s="351"/>
      <c r="H908" s="525" t="s">
        <v>325</v>
      </c>
      <c r="I908" s="351"/>
      <c r="J908" s="40"/>
      <c r="K908" s="41"/>
      <c r="L908" s="40"/>
      <c r="M908" s="41"/>
      <c r="N908" s="34"/>
      <c r="O908" s="35"/>
      <c r="P908" s="526"/>
      <c r="Q908" s="351"/>
      <c r="R908" s="535"/>
      <c r="S908" s="351"/>
      <c r="T908" s="536"/>
      <c r="U908" s="351"/>
      <c r="V908" s="537"/>
      <c r="W908" s="351"/>
      <c r="X908" s="538" t="s">
        <v>294</v>
      </c>
      <c r="Y908" s="350"/>
      <c r="Z908" s="350"/>
      <c r="AA908" s="351"/>
      <c r="AB908" s="539" t="s">
        <v>294</v>
      </c>
      <c r="AC908" s="350"/>
      <c r="AD908" s="350"/>
      <c r="AE908" s="351"/>
      <c r="AF908" s="540"/>
      <c r="AG908" s="351"/>
      <c r="AH908" s="540"/>
      <c r="AI908" s="351"/>
      <c r="AJ908" s="545"/>
      <c r="AK908" s="351"/>
      <c r="AL908" s="555" t="s">
        <v>325</v>
      </c>
      <c r="AM908" s="351"/>
      <c r="AN908" s="531" t="s">
        <v>325</v>
      </c>
      <c r="AO908" s="351"/>
      <c r="AP908" s="532"/>
      <c r="AQ908" s="351"/>
      <c r="AR908" s="533"/>
      <c r="AS908" s="351"/>
      <c r="AT908" s="534"/>
      <c r="AU908" s="351"/>
      <c r="AV908" s="531" t="s">
        <v>325</v>
      </c>
      <c r="AW908" s="351"/>
      <c r="AX908" s="553"/>
      <c r="AY908" s="350"/>
      <c r="AZ908" s="351"/>
      <c r="BA908" s="545"/>
      <c r="BB908" s="351"/>
      <c r="BC908" s="36"/>
      <c r="BD908" s="556" t="s">
        <v>325</v>
      </c>
      <c r="BE908" s="351"/>
      <c r="BF908" s="557"/>
      <c r="BG908" s="350"/>
      <c r="BH908" s="350"/>
      <c r="BI908" s="351"/>
      <c r="BJ908" s="506" t="s">
        <v>294</v>
      </c>
      <c r="BK908" s="350"/>
      <c r="BL908" s="350"/>
      <c r="BM908" s="351"/>
      <c r="BN908" s="530" t="s">
        <v>294</v>
      </c>
      <c r="BO908" s="350"/>
      <c r="BP908" s="350"/>
      <c r="BQ908" s="350"/>
      <c r="BR908" s="350"/>
      <c r="BS908" s="350"/>
      <c r="BT908" s="350"/>
      <c r="BU908" s="350"/>
      <c r="BV908" s="351"/>
    </row>
    <row r="909" spans="1:74" ht="45" customHeight="1">
      <c r="A909" s="24">
        <f t="shared" si="3"/>
        <v>895</v>
      </c>
      <c r="B909" s="522" t="s">
        <v>294</v>
      </c>
      <c r="C909" s="351"/>
      <c r="D909" s="523" t="s">
        <v>298</v>
      </c>
      <c r="E909" s="351"/>
      <c r="F909" s="524" t="s">
        <v>325</v>
      </c>
      <c r="G909" s="351"/>
      <c r="H909" s="561" t="s">
        <v>325</v>
      </c>
      <c r="I909" s="351"/>
      <c r="J909" s="562"/>
      <c r="K909" s="351"/>
      <c r="L909" s="562"/>
      <c r="M909" s="351"/>
      <c r="N909" s="34"/>
      <c r="O909" s="35"/>
      <c r="P909" s="526"/>
      <c r="Q909" s="351"/>
      <c r="R909" s="527"/>
      <c r="S909" s="351"/>
      <c r="T909" s="528"/>
      <c r="U909" s="351"/>
      <c r="V909" s="541"/>
      <c r="W909" s="351"/>
      <c r="X909" s="542" t="s">
        <v>294</v>
      </c>
      <c r="Y909" s="350"/>
      <c r="Z909" s="350"/>
      <c r="AA909" s="351"/>
      <c r="AB909" s="543" t="s">
        <v>294</v>
      </c>
      <c r="AC909" s="350"/>
      <c r="AD909" s="350"/>
      <c r="AE909" s="351"/>
      <c r="AF909" s="544"/>
      <c r="AG909" s="351"/>
      <c r="AH909" s="544"/>
      <c r="AI909" s="351"/>
      <c r="AJ909" s="545"/>
      <c r="AK909" s="351"/>
      <c r="AL909" s="524" t="s">
        <v>325</v>
      </c>
      <c r="AM909" s="351"/>
      <c r="AN909" s="549" t="s">
        <v>325</v>
      </c>
      <c r="AO909" s="351"/>
      <c r="AP909" s="550"/>
      <c r="AQ909" s="351"/>
      <c r="AR909" s="551"/>
      <c r="AS909" s="351"/>
      <c r="AT909" s="534"/>
      <c r="AU909" s="351"/>
      <c r="AV909" s="549" t="s">
        <v>325</v>
      </c>
      <c r="AW909" s="351"/>
      <c r="AX909" s="553"/>
      <c r="AY909" s="350"/>
      <c r="AZ909" s="351"/>
      <c r="BA909" s="554"/>
      <c r="BB909" s="351"/>
      <c r="BC909" s="39"/>
      <c r="BD909" s="546" t="s">
        <v>325</v>
      </c>
      <c r="BE909" s="351"/>
      <c r="BF909" s="547"/>
      <c r="BG909" s="350"/>
      <c r="BH909" s="350"/>
      <c r="BI909" s="351"/>
      <c r="BJ909" s="548" t="s">
        <v>294</v>
      </c>
      <c r="BK909" s="350"/>
      <c r="BL909" s="350"/>
      <c r="BM909" s="351"/>
      <c r="BN909" s="530" t="s">
        <v>294</v>
      </c>
      <c r="BO909" s="350"/>
      <c r="BP909" s="350"/>
      <c r="BQ909" s="350"/>
      <c r="BR909" s="350"/>
      <c r="BS909" s="350"/>
      <c r="BT909" s="350"/>
      <c r="BU909" s="350"/>
      <c r="BV909" s="351"/>
    </row>
    <row r="910" spans="1:74" ht="45" customHeight="1">
      <c r="A910" s="24">
        <f t="shared" si="3"/>
        <v>896</v>
      </c>
      <c r="B910" s="558" t="s">
        <v>294</v>
      </c>
      <c r="C910" s="351"/>
      <c r="D910" s="559" t="s">
        <v>298</v>
      </c>
      <c r="E910" s="351"/>
      <c r="F910" s="524" t="s">
        <v>325</v>
      </c>
      <c r="G910" s="351"/>
      <c r="H910" s="525" t="s">
        <v>325</v>
      </c>
      <c r="I910" s="351"/>
      <c r="J910" s="563"/>
      <c r="K910" s="351"/>
      <c r="L910" s="563"/>
      <c r="M910" s="351"/>
      <c r="N910" s="37"/>
      <c r="O910" s="38"/>
      <c r="P910" s="560"/>
      <c r="Q910" s="351"/>
      <c r="R910" s="535"/>
      <c r="S910" s="351"/>
      <c r="T910" s="536"/>
      <c r="U910" s="351"/>
      <c r="V910" s="537"/>
      <c r="W910" s="351"/>
      <c r="X910" s="538" t="s">
        <v>294</v>
      </c>
      <c r="Y910" s="350"/>
      <c r="Z910" s="350"/>
      <c r="AA910" s="351"/>
      <c r="AB910" s="539" t="s">
        <v>294</v>
      </c>
      <c r="AC910" s="350"/>
      <c r="AD910" s="350"/>
      <c r="AE910" s="351"/>
      <c r="AF910" s="540"/>
      <c r="AG910" s="351"/>
      <c r="AH910" s="540"/>
      <c r="AI910" s="351"/>
      <c r="AJ910" s="545"/>
      <c r="AK910" s="351"/>
      <c r="AL910" s="555" t="s">
        <v>325</v>
      </c>
      <c r="AM910" s="351"/>
      <c r="AN910" s="531" t="s">
        <v>325</v>
      </c>
      <c r="AO910" s="351"/>
      <c r="AP910" s="532"/>
      <c r="AQ910" s="351"/>
      <c r="AR910" s="533"/>
      <c r="AS910" s="351"/>
      <c r="AT910" s="534"/>
      <c r="AU910" s="351"/>
      <c r="AV910" s="531" t="s">
        <v>325</v>
      </c>
      <c r="AW910" s="351"/>
      <c r="AX910" s="553"/>
      <c r="AY910" s="350"/>
      <c r="AZ910" s="351"/>
      <c r="BA910" s="545"/>
      <c r="BB910" s="351"/>
      <c r="BC910" s="36"/>
      <c r="BD910" s="556" t="s">
        <v>325</v>
      </c>
      <c r="BE910" s="351"/>
      <c r="BF910" s="557"/>
      <c r="BG910" s="350"/>
      <c r="BH910" s="350"/>
      <c r="BI910" s="351"/>
      <c r="BJ910" s="506" t="s">
        <v>294</v>
      </c>
      <c r="BK910" s="350"/>
      <c r="BL910" s="350"/>
      <c r="BM910" s="351"/>
      <c r="BN910" s="530" t="s">
        <v>294</v>
      </c>
      <c r="BO910" s="350"/>
      <c r="BP910" s="350"/>
      <c r="BQ910" s="350"/>
      <c r="BR910" s="350"/>
      <c r="BS910" s="350"/>
      <c r="BT910" s="350"/>
      <c r="BU910" s="350"/>
      <c r="BV910" s="351"/>
    </row>
    <row r="911" spans="1:74" ht="45" customHeight="1">
      <c r="A911" s="24">
        <f t="shared" si="3"/>
        <v>897</v>
      </c>
      <c r="B911" s="522" t="s">
        <v>294</v>
      </c>
      <c r="C911" s="351"/>
      <c r="D911" s="523" t="s">
        <v>298</v>
      </c>
      <c r="E911" s="351"/>
      <c r="F911" s="524" t="s">
        <v>325</v>
      </c>
      <c r="G911" s="351"/>
      <c r="H911" s="561" t="s">
        <v>325</v>
      </c>
      <c r="I911" s="351"/>
      <c r="J911" s="562"/>
      <c r="K911" s="351"/>
      <c r="L911" s="562"/>
      <c r="M911" s="351"/>
      <c r="N911" s="34"/>
      <c r="O911" s="35"/>
      <c r="P911" s="526"/>
      <c r="Q911" s="351"/>
      <c r="R911" s="527"/>
      <c r="S911" s="351"/>
      <c r="T911" s="528"/>
      <c r="U911" s="351"/>
      <c r="V911" s="541"/>
      <c r="W911" s="351"/>
      <c r="X911" s="542" t="s">
        <v>294</v>
      </c>
      <c r="Y911" s="350"/>
      <c r="Z911" s="350"/>
      <c r="AA911" s="351"/>
      <c r="AB911" s="543" t="s">
        <v>294</v>
      </c>
      <c r="AC911" s="350"/>
      <c r="AD911" s="350"/>
      <c r="AE911" s="351"/>
      <c r="AF911" s="544"/>
      <c r="AG911" s="351"/>
      <c r="AH911" s="544"/>
      <c r="AI911" s="351"/>
      <c r="AJ911" s="545"/>
      <c r="AK911" s="351"/>
      <c r="AL911" s="524" t="s">
        <v>325</v>
      </c>
      <c r="AM911" s="351"/>
      <c r="AN911" s="549" t="s">
        <v>325</v>
      </c>
      <c r="AO911" s="351"/>
      <c r="AP911" s="550"/>
      <c r="AQ911" s="351"/>
      <c r="AR911" s="551"/>
      <c r="AS911" s="351"/>
      <c r="AT911" s="534"/>
      <c r="AU911" s="351"/>
      <c r="AV911" s="549" t="s">
        <v>325</v>
      </c>
      <c r="AW911" s="351"/>
      <c r="AX911" s="553"/>
      <c r="AY911" s="350"/>
      <c r="AZ911" s="351"/>
      <c r="BA911" s="554"/>
      <c r="BB911" s="351"/>
      <c r="BC911" s="39"/>
      <c r="BD911" s="546" t="s">
        <v>325</v>
      </c>
      <c r="BE911" s="351"/>
      <c r="BF911" s="547"/>
      <c r="BG911" s="350"/>
      <c r="BH911" s="350"/>
      <c r="BI911" s="351"/>
      <c r="BJ911" s="548" t="s">
        <v>294</v>
      </c>
      <c r="BK911" s="350"/>
      <c r="BL911" s="350"/>
      <c r="BM911" s="351"/>
      <c r="BN911" s="530" t="s">
        <v>294</v>
      </c>
      <c r="BO911" s="350"/>
      <c r="BP911" s="350"/>
      <c r="BQ911" s="350"/>
      <c r="BR911" s="350"/>
      <c r="BS911" s="350"/>
      <c r="BT911" s="350"/>
      <c r="BU911" s="350"/>
      <c r="BV911" s="351"/>
    </row>
    <row r="912" spans="1:74" ht="45" customHeight="1">
      <c r="A912" s="24">
        <f t="shared" si="3"/>
        <v>898</v>
      </c>
      <c r="B912" s="558" t="s">
        <v>294</v>
      </c>
      <c r="C912" s="351"/>
      <c r="D912" s="559" t="s">
        <v>298</v>
      </c>
      <c r="E912" s="351"/>
      <c r="F912" s="524" t="s">
        <v>325</v>
      </c>
      <c r="G912" s="351"/>
      <c r="H912" s="525" t="s">
        <v>325</v>
      </c>
      <c r="I912" s="351"/>
      <c r="J912" s="563"/>
      <c r="K912" s="351"/>
      <c r="L912" s="563"/>
      <c r="M912" s="351"/>
      <c r="N912" s="37"/>
      <c r="O912" s="38"/>
      <c r="P912" s="560"/>
      <c r="Q912" s="351"/>
      <c r="R912" s="535"/>
      <c r="S912" s="351"/>
      <c r="T912" s="536"/>
      <c r="U912" s="351"/>
      <c r="V912" s="537"/>
      <c r="W912" s="351"/>
      <c r="X912" s="538" t="s">
        <v>294</v>
      </c>
      <c r="Y912" s="350"/>
      <c r="Z912" s="350"/>
      <c r="AA912" s="351"/>
      <c r="AB912" s="539" t="s">
        <v>294</v>
      </c>
      <c r="AC912" s="350"/>
      <c r="AD912" s="350"/>
      <c r="AE912" s="351"/>
      <c r="AF912" s="540"/>
      <c r="AG912" s="351"/>
      <c r="AH912" s="540"/>
      <c r="AI912" s="351"/>
      <c r="AJ912" s="545"/>
      <c r="AK912" s="351"/>
      <c r="AL912" s="555" t="s">
        <v>325</v>
      </c>
      <c r="AM912" s="351"/>
      <c r="AN912" s="531" t="s">
        <v>325</v>
      </c>
      <c r="AO912" s="351"/>
      <c r="AP912" s="532"/>
      <c r="AQ912" s="351"/>
      <c r="AR912" s="533"/>
      <c r="AS912" s="351"/>
      <c r="AT912" s="534"/>
      <c r="AU912" s="351"/>
      <c r="AV912" s="531" t="s">
        <v>325</v>
      </c>
      <c r="AW912" s="351"/>
      <c r="AX912" s="553"/>
      <c r="AY912" s="350"/>
      <c r="AZ912" s="351"/>
      <c r="BA912" s="545"/>
      <c r="BB912" s="351"/>
      <c r="BC912" s="36"/>
      <c r="BD912" s="556" t="s">
        <v>325</v>
      </c>
      <c r="BE912" s="351"/>
      <c r="BF912" s="557"/>
      <c r="BG912" s="350"/>
      <c r="BH912" s="350"/>
      <c r="BI912" s="351"/>
      <c r="BJ912" s="506" t="s">
        <v>294</v>
      </c>
      <c r="BK912" s="350"/>
      <c r="BL912" s="350"/>
      <c r="BM912" s="351"/>
      <c r="BN912" s="530" t="s">
        <v>294</v>
      </c>
      <c r="BO912" s="350"/>
      <c r="BP912" s="350"/>
      <c r="BQ912" s="350"/>
      <c r="BR912" s="350"/>
      <c r="BS912" s="350"/>
      <c r="BT912" s="350"/>
      <c r="BU912" s="350"/>
      <c r="BV912" s="351"/>
    </row>
    <row r="913" spans="1:74" ht="45" customHeight="1">
      <c r="A913" s="24">
        <f t="shared" si="3"/>
        <v>899</v>
      </c>
      <c r="B913" s="522" t="s">
        <v>294</v>
      </c>
      <c r="C913" s="351"/>
      <c r="D913" s="523" t="s">
        <v>298</v>
      </c>
      <c r="E913" s="351"/>
      <c r="F913" s="524" t="s">
        <v>325</v>
      </c>
      <c r="G913" s="351"/>
      <c r="H913" s="561" t="s">
        <v>325</v>
      </c>
      <c r="I913" s="351"/>
      <c r="J913" s="562"/>
      <c r="K913" s="351"/>
      <c r="L913" s="562"/>
      <c r="M913" s="351"/>
      <c r="N913" s="34"/>
      <c r="O913" s="38"/>
      <c r="P913" s="526"/>
      <c r="Q913" s="351"/>
      <c r="R913" s="527"/>
      <c r="S913" s="351"/>
      <c r="T913" s="528"/>
      <c r="U913" s="351"/>
      <c r="V913" s="541"/>
      <c r="W913" s="351"/>
      <c r="X913" s="542" t="s">
        <v>294</v>
      </c>
      <c r="Y913" s="350"/>
      <c r="Z913" s="350"/>
      <c r="AA913" s="351"/>
      <c r="AB913" s="543" t="s">
        <v>294</v>
      </c>
      <c r="AC913" s="350"/>
      <c r="AD913" s="350"/>
      <c r="AE913" s="351"/>
      <c r="AF913" s="544"/>
      <c r="AG913" s="351"/>
      <c r="AH913" s="544"/>
      <c r="AI913" s="351"/>
      <c r="AJ913" s="545"/>
      <c r="AK913" s="351"/>
      <c r="AL913" s="524" t="s">
        <v>325</v>
      </c>
      <c r="AM913" s="351"/>
      <c r="AN913" s="549" t="s">
        <v>325</v>
      </c>
      <c r="AO913" s="351"/>
      <c r="AP913" s="550"/>
      <c r="AQ913" s="351"/>
      <c r="AR913" s="551"/>
      <c r="AS913" s="351"/>
      <c r="AT913" s="552"/>
      <c r="AU913" s="351"/>
      <c r="AV913" s="549" t="s">
        <v>325</v>
      </c>
      <c r="AW913" s="351"/>
      <c r="AX913" s="553"/>
      <c r="AY913" s="350"/>
      <c r="AZ913" s="351"/>
      <c r="BA913" s="554"/>
      <c r="BB913" s="351"/>
      <c r="BC913" s="39"/>
      <c r="BD913" s="546" t="s">
        <v>325</v>
      </c>
      <c r="BE913" s="351"/>
      <c r="BF913" s="547"/>
      <c r="BG913" s="350"/>
      <c r="BH913" s="350"/>
      <c r="BI913" s="351"/>
      <c r="BJ913" s="548" t="s">
        <v>294</v>
      </c>
      <c r="BK913" s="350"/>
      <c r="BL913" s="350"/>
      <c r="BM913" s="351"/>
      <c r="BN913" s="530" t="s">
        <v>294</v>
      </c>
      <c r="BO913" s="350"/>
      <c r="BP913" s="350"/>
      <c r="BQ913" s="350"/>
      <c r="BR913" s="350"/>
      <c r="BS913" s="350"/>
      <c r="BT913" s="350"/>
      <c r="BU913" s="350"/>
      <c r="BV913" s="351"/>
    </row>
    <row r="914" spans="1:74" ht="45" customHeight="1">
      <c r="A914" s="24">
        <f t="shared" si="3"/>
        <v>900</v>
      </c>
      <c r="B914" s="558" t="s">
        <v>294</v>
      </c>
      <c r="C914" s="351"/>
      <c r="D914" s="559" t="s">
        <v>298</v>
      </c>
      <c r="E914" s="351"/>
      <c r="F914" s="524" t="s">
        <v>325</v>
      </c>
      <c r="G914" s="351"/>
      <c r="H914" s="525" t="s">
        <v>325</v>
      </c>
      <c r="I914" s="351"/>
      <c r="J914" s="563"/>
      <c r="K914" s="351"/>
      <c r="L914" s="563"/>
      <c r="M914" s="351"/>
      <c r="N914" s="37"/>
      <c r="O914" s="35"/>
      <c r="P914" s="560"/>
      <c r="Q914" s="351"/>
      <c r="R914" s="535"/>
      <c r="S914" s="351"/>
      <c r="T914" s="536"/>
      <c r="U914" s="351"/>
      <c r="V914" s="537"/>
      <c r="W914" s="351"/>
      <c r="X914" s="538" t="s">
        <v>294</v>
      </c>
      <c r="Y914" s="350"/>
      <c r="Z914" s="350"/>
      <c r="AA914" s="351"/>
      <c r="AB914" s="539" t="s">
        <v>294</v>
      </c>
      <c r="AC914" s="350"/>
      <c r="AD914" s="350"/>
      <c r="AE914" s="351"/>
      <c r="AF914" s="540"/>
      <c r="AG914" s="351"/>
      <c r="AH914" s="540"/>
      <c r="AI914" s="351"/>
      <c r="AJ914" s="545"/>
      <c r="AK914" s="351"/>
      <c r="AL914" s="555" t="s">
        <v>325</v>
      </c>
      <c r="AM914" s="351"/>
      <c r="AN914" s="531" t="s">
        <v>325</v>
      </c>
      <c r="AO914" s="351"/>
      <c r="AP914" s="532"/>
      <c r="AQ914" s="351"/>
      <c r="AR914" s="533"/>
      <c r="AS914" s="351"/>
      <c r="AT914" s="534"/>
      <c r="AU914" s="351"/>
      <c r="AV914" s="531" t="s">
        <v>325</v>
      </c>
      <c r="AW914" s="351"/>
      <c r="AX914" s="553"/>
      <c r="AY914" s="350"/>
      <c r="AZ914" s="351"/>
      <c r="BA914" s="545"/>
      <c r="BB914" s="351"/>
      <c r="BC914" s="36"/>
      <c r="BD914" s="556" t="s">
        <v>325</v>
      </c>
      <c r="BE914" s="351"/>
      <c r="BF914" s="529"/>
      <c r="BG914" s="350"/>
      <c r="BH914" s="350"/>
      <c r="BI914" s="351"/>
      <c r="BJ914" s="506" t="s">
        <v>294</v>
      </c>
      <c r="BK914" s="350"/>
      <c r="BL914" s="350"/>
      <c r="BM914" s="351"/>
      <c r="BN914" s="530" t="s">
        <v>294</v>
      </c>
      <c r="BO914" s="350"/>
      <c r="BP914" s="350"/>
      <c r="BQ914" s="350"/>
      <c r="BR914" s="350"/>
      <c r="BS914" s="350"/>
      <c r="BT914" s="350"/>
      <c r="BU914" s="350"/>
      <c r="BV914" s="351"/>
    </row>
    <row r="915" spans="1:74" ht="45" customHeight="1">
      <c r="A915" s="24">
        <f t="shared" si="3"/>
        <v>901</v>
      </c>
      <c r="B915" s="522" t="s">
        <v>294</v>
      </c>
      <c r="C915" s="351"/>
      <c r="D915" s="523" t="s">
        <v>298</v>
      </c>
      <c r="E915" s="351"/>
      <c r="F915" s="524" t="s">
        <v>325</v>
      </c>
      <c r="G915" s="351"/>
      <c r="H915" s="561" t="s">
        <v>325</v>
      </c>
      <c r="I915" s="351"/>
      <c r="J915" s="562"/>
      <c r="K915" s="351"/>
      <c r="L915" s="562"/>
      <c r="M915" s="351"/>
      <c r="N915" s="34"/>
      <c r="O915" s="38"/>
      <c r="P915" s="526"/>
      <c r="Q915" s="351"/>
      <c r="R915" s="527"/>
      <c r="S915" s="351"/>
      <c r="T915" s="528"/>
      <c r="U915" s="351"/>
      <c r="V915" s="541"/>
      <c r="W915" s="351"/>
      <c r="X915" s="542" t="s">
        <v>294</v>
      </c>
      <c r="Y915" s="350"/>
      <c r="Z915" s="350"/>
      <c r="AA915" s="351"/>
      <c r="AB915" s="543" t="s">
        <v>294</v>
      </c>
      <c r="AC915" s="350"/>
      <c r="AD915" s="350"/>
      <c r="AE915" s="351"/>
      <c r="AF915" s="544"/>
      <c r="AG915" s="351"/>
      <c r="AH915" s="544"/>
      <c r="AI915" s="351"/>
      <c r="AJ915" s="545"/>
      <c r="AK915" s="351"/>
      <c r="AL915" s="524" t="s">
        <v>325</v>
      </c>
      <c r="AM915" s="351"/>
      <c r="AN915" s="549" t="s">
        <v>325</v>
      </c>
      <c r="AO915" s="351"/>
      <c r="AP915" s="550"/>
      <c r="AQ915" s="351"/>
      <c r="AR915" s="551"/>
      <c r="AS915" s="351"/>
      <c r="AT915" s="552"/>
      <c r="AU915" s="351"/>
      <c r="AV915" s="549" t="s">
        <v>325</v>
      </c>
      <c r="AW915" s="351"/>
      <c r="AX915" s="553"/>
      <c r="AY915" s="350"/>
      <c r="AZ915" s="351"/>
      <c r="BA915" s="554"/>
      <c r="BB915" s="351"/>
      <c r="BC915" s="39"/>
      <c r="BD915" s="546" t="s">
        <v>325</v>
      </c>
      <c r="BE915" s="351"/>
      <c r="BF915" s="547"/>
      <c r="BG915" s="350"/>
      <c r="BH915" s="350"/>
      <c r="BI915" s="351"/>
      <c r="BJ915" s="548" t="s">
        <v>294</v>
      </c>
      <c r="BK915" s="350"/>
      <c r="BL915" s="350"/>
      <c r="BM915" s="351"/>
      <c r="BN915" s="530" t="s">
        <v>294</v>
      </c>
      <c r="BO915" s="350"/>
      <c r="BP915" s="350"/>
      <c r="BQ915" s="350"/>
      <c r="BR915" s="350"/>
      <c r="BS915" s="350"/>
      <c r="BT915" s="350"/>
      <c r="BU915" s="350"/>
      <c r="BV915" s="351"/>
    </row>
    <row r="916" spans="1:74" ht="45" customHeight="1">
      <c r="A916" s="24">
        <f t="shared" si="3"/>
        <v>902</v>
      </c>
      <c r="B916" s="558" t="s">
        <v>294</v>
      </c>
      <c r="C916" s="351"/>
      <c r="D916" s="559" t="s">
        <v>298</v>
      </c>
      <c r="E916" s="351"/>
      <c r="F916" s="524" t="s">
        <v>325</v>
      </c>
      <c r="G916" s="351"/>
      <c r="H916" s="525" t="s">
        <v>325</v>
      </c>
      <c r="I916" s="351"/>
      <c r="J916" s="563"/>
      <c r="K916" s="351"/>
      <c r="L916" s="563"/>
      <c r="M916" s="351"/>
      <c r="N916" s="37"/>
      <c r="O916" s="35"/>
      <c r="P916" s="560"/>
      <c r="Q916" s="351"/>
      <c r="R916" s="535"/>
      <c r="S916" s="351"/>
      <c r="T916" s="536"/>
      <c r="U916" s="351"/>
      <c r="V916" s="537"/>
      <c r="W916" s="351"/>
      <c r="X916" s="538" t="s">
        <v>294</v>
      </c>
      <c r="Y916" s="350"/>
      <c r="Z916" s="350"/>
      <c r="AA916" s="351"/>
      <c r="AB916" s="539" t="s">
        <v>294</v>
      </c>
      <c r="AC916" s="350"/>
      <c r="AD916" s="350"/>
      <c r="AE916" s="351"/>
      <c r="AF916" s="540"/>
      <c r="AG916" s="351"/>
      <c r="AH916" s="540"/>
      <c r="AI916" s="351"/>
      <c r="AJ916" s="545"/>
      <c r="AK916" s="351"/>
      <c r="AL916" s="555" t="s">
        <v>325</v>
      </c>
      <c r="AM916" s="351"/>
      <c r="AN916" s="531" t="s">
        <v>325</v>
      </c>
      <c r="AO916" s="351"/>
      <c r="AP916" s="532"/>
      <c r="AQ916" s="351"/>
      <c r="AR916" s="533"/>
      <c r="AS916" s="351"/>
      <c r="AT916" s="534"/>
      <c r="AU916" s="351"/>
      <c r="AV916" s="531" t="s">
        <v>325</v>
      </c>
      <c r="AW916" s="351"/>
      <c r="AX916" s="553"/>
      <c r="AY916" s="350"/>
      <c r="AZ916" s="351"/>
      <c r="BA916" s="545"/>
      <c r="BB916" s="351"/>
      <c r="BC916" s="36"/>
      <c r="BD916" s="556" t="s">
        <v>325</v>
      </c>
      <c r="BE916" s="351"/>
      <c r="BF916" s="557"/>
      <c r="BG916" s="350"/>
      <c r="BH916" s="350"/>
      <c r="BI916" s="351"/>
      <c r="BJ916" s="506" t="s">
        <v>294</v>
      </c>
      <c r="BK916" s="350"/>
      <c r="BL916" s="350"/>
      <c r="BM916" s="351"/>
      <c r="BN916" s="530" t="s">
        <v>294</v>
      </c>
      <c r="BO916" s="350"/>
      <c r="BP916" s="350"/>
      <c r="BQ916" s="350"/>
      <c r="BR916" s="350"/>
      <c r="BS916" s="350"/>
      <c r="BT916" s="350"/>
      <c r="BU916" s="350"/>
      <c r="BV916" s="351"/>
    </row>
    <row r="917" spans="1:74" ht="45" customHeight="1">
      <c r="A917" s="24">
        <f t="shared" si="3"/>
        <v>903</v>
      </c>
      <c r="B917" s="522" t="s">
        <v>294</v>
      </c>
      <c r="C917" s="351"/>
      <c r="D917" s="523" t="s">
        <v>298</v>
      </c>
      <c r="E917" s="351"/>
      <c r="F917" s="524" t="s">
        <v>325</v>
      </c>
      <c r="G917" s="351"/>
      <c r="H917" s="561" t="s">
        <v>325</v>
      </c>
      <c r="I917" s="351"/>
      <c r="J917" s="562"/>
      <c r="K917" s="351"/>
      <c r="L917" s="562"/>
      <c r="M917" s="351"/>
      <c r="N917" s="34"/>
      <c r="O917" s="38"/>
      <c r="P917" s="526"/>
      <c r="Q917" s="351"/>
      <c r="R917" s="527"/>
      <c r="S917" s="351"/>
      <c r="T917" s="528"/>
      <c r="U917" s="351"/>
      <c r="V917" s="541"/>
      <c r="W917" s="351"/>
      <c r="X917" s="542" t="s">
        <v>294</v>
      </c>
      <c r="Y917" s="350"/>
      <c r="Z917" s="350"/>
      <c r="AA917" s="351"/>
      <c r="AB917" s="543" t="s">
        <v>294</v>
      </c>
      <c r="AC917" s="350"/>
      <c r="AD917" s="350"/>
      <c r="AE917" s="351"/>
      <c r="AF917" s="544"/>
      <c r="AG917" s="351"/>
      <c r="AH917" s="544"/>
      <c r="AI917" s="351"/>
      <c r="AJ917" s="545"/>
      <c r="AK917" s="351"/>
      <c r="AL917" s="524" t="s">
        <v>325</v>
      </c>
      <c r="AM917" s="351"/>
      <c r="AN917" s="549" t="s">
        <v>325</v>
      </c>
      <c r="AO917" s="351"/>
      <c r="AP917" s="550"/>
      <c r="AQ917" s="351"/>
      <c r="AR917" s="551"/>
      <c r="AS917" s="351"/>
      <c r="AT917" s="552"/>
      <c r="AU917" s="351"/>
      <c r="AV917" s="549" t="s">
        <v>325</v>
      </c>
      <c r="AW917" s="351"/>
      <c r="AX917" s="553"/>
      <c r="AY917" s="350"/>
      <c r="AZ917" s="351"/>
      <c r="BA917" s="554"/>
      <c r="BB917" s="351"/>
      <c r="BC917" s="39"/>
      <c r="BD917" s="546" t="s">
        <v>325</v>
      </c>
      <c r="BE917" s="351"/>
      <c r="BF917" s="547"/>
      <c r="BG917" s="350"/>
      <c r="BH917" s="350"/>
      <c r="BI917" s="351"/>
      <c r="BJ917" s="548" t="s">
        <v>294</v>
      </c>
      <c r="BK917" s="350"/>
      <c r="BL917" s="350"/>
      <c r="BM917" s="351"/>
      <c r="BN917" s="530" t="s">
        <v>294</v>
      </c>
      <c r="BO917" s="350"/>
      <c r="BP917" s="350"/>
      <c r="BQ917" s="350"/>
      <c r="BR917" s="350"/>
      <c r="BS917" s="350"/>
      <c r="BT917" s="350"/>
      <c r="BU917" s="350"/>
      <c r="BV917" s="351"/>
    </row>
    <row r="918" spans="1:74" ht="45" customHeight="1">
      <c r="A918" s="24">
        <f t="shared" si="3"/>
        <v>904</v>
      </c>
      <c r="B918" s="558" t="s">
        <v>294</v>
      </c>
      <c r="C918" s="351"/>
      <c r="D918" s="559" t="s">
        <v>298</v>
      </c>
      <c r="E918" s="351"/>
      <c r="F918" s="524" t="s">
        <v>325</v>
      </c>
      <c r="G918" s="351"/>
      <c r="H918" s="525" t="s">
        <v>325</v>
      </c>
      <c r="I918" s="351"/>
      <c r="J918" s="563"/>
      <c r="K918" s="351"/>
      <c r="L918" s="563"/>
      <c r="M918" s="351"/>
      <c r="N918" s="37"/>
      <c r="O918" s="35"/>
      <c r="P918" s="560"/>
      <c r="Q918" s="351"/>
      <c r="R918" s="535"/>
      <c r="S918" s="351"/>
      <c r="T918" s="536"/>
      <c r="U918" s="351"/>
      <c r="V918" s="537"/>
      <c r="W918" s="351"/>
      <c r="X918" s="538" t="s">
        <v>294</v>
      </c>
      <c r="Y918" s="350"/>
      <c r="Z918" s="350"/>
      <c r="AA918" s="351"/>
      <c r="AB918" s="539" t="s">
        <v>294</v>
      </c>
      <c r="AC918" s="350"/>
      <c r="AD918" s="350"/>
      <c r="AE918" s="351"/>
      <c r="AF918" s="540"/>
      <c r="AG918" s="351"/>
      <c r="AH918" s="540"/>
      <c r="AI918" s="351"/>
      <c r="AJ918" s="545"/>
      <c r="AK918" s="351"/>
      <c r="AL918" s="555" t="s">
        <v>325</v>
      </c>
      <c r="AM918" s="351"/>
      <c r="AN918" s="531" t="s">
        <v>325</v>
      </c>
      <c r="AO918" s="351"/>
      <c r="AP918" s="532"/>
      <c r="AQ918" s="351"/>
      <c r="AR918" s="533"/>
      <c r="AS918" s="351"/>
      <c r="AT918" s="534"/>
      <c r="AU918" s="351"/>
      <c r="AV918" s="531" t="s">
        <v>325</v>
      </c>
      <c r="AW918" s="351"/>
      <c r="AX918" s="553"/>
      <c r="AY918" s="350"/>
      <c r="AZ918" s="351"/>
      <c r="BA918" s="545"/>
      <c r="BB918" s="351"/>
      <c r="BC918" s="36"/>
      <c r="BD918" s="556" t="s">
        <v>325</v>
      </c>
      <c r="BE918" s="351"/>
      <c r="BF918" s="557"/>
      <c r="BG918" s="350"/>
      <c r="BH918" s="350"/>
      <c r="BI918" s="351"/>
      <c r="BJ918" s="506" t="s">
        <v>294</v>
      </c>
      <c r="BK918" s="350"/>
      <c r="BL918" s="350"/>
      <c r="BM918" s="351"/>
      <c r="BN918" s="530" t="s">
        <v>294</v>
      </c>
      <c r="BO918" s="350"/>
      <c r="BP918" s="350"/>
      <c r="BQ918" s="350"/>
      <c r="BR918" s="350"/>
      <c r="BS918" s="350"/>
      <c r="BT918" s="350"/>
      <c r="BU918" s="350"/>
      <c r="BV918" s="351"/>
    </row>
    <row r="919" spans="1:74" ht="45" customHeight="1">
      <c r="A919" s="24">
        <f t="shared" si="3"/>
        <v>905</v>
      </c>
      <c r="B919" s="522" t="s">
        <v>294</v>
      </c>
      <c r="C919" s="351"/>
      <c r="D919" s="523" t="s">
        <v>298</v>
      </c>
      <c r="E919" s="351"/>
      <c r="F919" s="524" t="s">
        <v>325</v>
      </c>
      <c r="G919" s="351"/>
      <c r="H919" s="561" t="s">
        <v>325</v>
      </c>
      <c r="I919" s="351"/>
      <c r="J919" s="562"/>
      <c r="K919" s="351"/>
      <c r="L919" s="562"/>
      <c r="M919" s="351"/>
      <c r="N919" s="34"/>
      <c r="O919" s="38"/>
      <c r="P919" s="526"/>
      <c r="Q919" s="351"/>
      <c r="R919" s="527"/>
      <c r="S919" s="351"/>
      <c r="T919" s="528"/>
      <c r="U919" s="351"/>
      <c r="V919" s="541"/>
      <c r="W919" s="351"/>
      <c r="X919" s="542" t="s">
        <v>294</v>
      </c>
      <c r="Y919" s="350"/>
      <c r="Z919" s="350"/>
      <c r="AA919" s="351"/>
      <c r="AB919" s="543" t="s">
        <v>294</v>
      </c>
      <c r="AC919" s="350"/>
      <c r="AD919" s="350"/>
      <c r="AE919" s="351"/>
      <c r="AF919" s="544"/>
      <c r="AG919" s="351"/>
      <c r="AH919" s="544"/>
      <c r="AI919" s="351"/>
      <c r="AJ919" s="545"/>
      <c r="AK919" s="351"/>
      <c r="AL919" s="524" t="s">
        <v>325</v>
      </c>
      <c r="AM919" s="351"/>
      <c r="AN919" s="549" t="s">
        <v>325</v>
      </c>
      <c r="AO919" s="351"/>
      <c r="AP919" s="550"/>
      <c r="AQ919" s="351"/>
      <c r="AR919" s="551"/>
      <c r="AS919" s="351"/>
      <c r="AT919" s="552"/>
      <c r="AU919" s="351"/>
      <c r="AV919" s="549" t="s">
        <v>325</v>
      </c>
      <c r="AW919" s="351"/>
      <c r="AX919" s="553"/>
      <c r="AY919" s="350"/>
      <c r="AZ919" s="351"/>
      <c r="BA919" s="554"/>
      <c r="BB919" s="351"/>
      <c r="BC919" s="39"/>
      <c r="BD919" s="546" t="s">
        <v>325</v>
      </c>
      <c r="BE919" s="351"/>
      <c r="BF919" s="547"/>
      <c r="BG919" s="350"/>
      <c r="BH919" s="350"/>
      <c r="BI919" s="351"/>
      <c r="BJ919" s="548" t="s">
        <v>294</v>
      </c>
      <c r="BK919" s="350"/>
      <c r="BL919" s="350"/>
      <c r="BM919" s="351"/>
      <c r="BN919" s="530" t="s">
        <v>294</v>
      </c>
      <c r="BO919" s="350"/>
      <c r="BP919" s="350"/>
      <c r="BQ919" s="350"/>
      <c r="BR919" s="350"/>
      <c r="BS919" s="350"/>
      <c r="BT919" s="350"/>
      <c r="BU919" s="350"/>
      <c r="BV919" s="351"/>
    </row>
    <row r="920" spans="1:74" ht="45" customHeight="1">
      <c r="A920" s="24">
        <f t="shared" si="3"/>
        <v>906</v>
      </c>
      <c r="B920" s="558" t="s">
        <v>294</v>
      </c>
      <c r="C920" s="351"/>
      <c r="D920" s="559" t="s">
        <v>298</v>
      </c>
      <c r="E920" s="351"/>
      <c r="F920" s="524" t="s">
        <v>325</v>
      </c>
      <c r="G920" s="351"/>
      <c r="H920" s="525" t="s">
        <v>325</v>
      </c>
      <c r="I920" s="351"/>
      <c r="J920" s="563"/>
      <c r="K920" s="351"/>
      <c r="L920" s="563"/>
      <c r="M920" s="351"/>
      <c r="N920" s="37"/>
      <c r="O920" s="35"/>
      <c r="P920" s="560"/>
      <c r="Q920" s="351"/>
      <c r="R920" s="535"/>
      <c r="S920" s="351"/>
      <c r="T920" s="536"/>
      <c r="U920" s="351"/>
      <c r="V920" s="537"/>
      <c r="W920" s="351"/>
      <c r="X920" s="538" t="s">
        <v>294</v>
      </c>
      <c r="Y920" s="350"/>
      <c r="Z920" s="350"/>
      <c r="AA920" s="351"/>
      <c r="AB920" s="539" t="s">
        <v>294</v>
      </c>
      <c r="AC920" s="350"/>
      <c r="AD920" s="350"/>
      <c r="AE920" s="351"/>
      <c r="AF920" s="540"/>
      <c r="AG920" s="351"/>
      <c r="AH920" s="540"/>
      <c r="AI920" s="351"/>
      <c r="AJ920" s="545"/>
      <c r="AK920" s="351"/>
      <c r="AL920" s="555" t="s">
        <v>325</v>
      </c>
      <c r="AM920" s="351"/>
      <c r="AN920" s="531" t="s">
        <v>325</v>
      </c>
      <c r="AO920" s="351"/>
      <c r="AP920" s="532"/>
      <c r="AQ920" s="351"/>
      <c r="AR920" s="533"/>
      <c r="AS920" s="351"/>
      <c r="AT920" s="534"/>
      <c r="AU920" s="351"/>
      <c r="AV920" s="531" t="s">
        <v>325</v>
      </c>
      <c r="AW920" s="351"/>
      <c r="AX920" s="553"/>
      <c r="AY920" s="350"/>
      <c r="AZ920" s="351"/>
      <c r="BA920" s="545"/>
      <c r="BB920" s="351"/>
      <c r="BC920" s="36"/>
      <c r="BD920" s="556" t="s">
        <v>325</v>
      </c>
      <c r="BE920" s="351"/>
      <c r="BF920" s="529"/>
      <c r="BG920" s="350"/>
      <c r="BH920" s="350"/>
      <c r="BI920" s="351"/>
      <c r="BJ920" s="506" t="s">
        <v>294</v>
      </c>
      <c r="BK920" s="350"/>
      <c r="BL920" s="350"/>
      <c r="BM920" s="351"/>
      <c r="BN920" s="530" t="s">
        <v>294</v>
      </c>
      <c r="BO920" s="350"/>
      <c r="BP920" s="350"/>
      <c r="BQ920" s="350"/>
      <c r="BR920" s="350"/>
      <c r="BS920" s="350"/>
      <c r="BT920" s="350"/>
      <c r="BU920" s="350"/>
      <c r="BV920" s="351"/>
    </row>
    <row r="921" spans="1:74" ht="45" customHeight="1">
      <c r="A921" s="24">
        <f t="shared" si="3"/>
        <v>907</v>
      </c>
      <c r="B921" s="522" t="s">
        <v>294</v>
      </c>
      <c r="C921" s="351"/>
      <c r="D921" s="523" t="s">
        <v>298</v>
      </c>
      <c r="E921" s="351"/>
      <c r="F921" s="524" t="s">
        <v>325</v>
      </c>
      <c r="G921" s="351"/>
      <c r="H921" s="561" t="s">
        <v>325</v>
      </c>
      <c r="I921" s="351"/>
      <c r="J921" s="562"/>
      <c r="K921" s="351"/>
      <c r="L921" s="562"/>
      <c r="M921" s="351"/>
      <c r="N921" s="34"/>
      <c r="O921" s="38"/>
      <c r="P921" s="526"/>
      <c r="Q921" s="351"/>
      <c r="R921" s="527"/>
      <c r="S921" s="351"/>
      <c r="T921" s="528"/>
      <c r="U921" s="351"/>
      <c r="V921" s="541"/>
      <c r="W921" s="351"/>
      <c r="X921" s="542" t="s">
        <v>294</v>
      </c>
      <c r="Y921" s="350"/>
      <c r="Z921" s="350"/>
      <c r="AA921" s="351"/>
      <c r="AB921" s="543" t="s">
        <v>294</v>
      </c>
      <c r="AC921" s="350"/>
      <c r="AD921" s="350"/>
      <c r="AE921" s="351"/>
      <c r="AF921" s="544"/>
      <c r="AG921" s="351"/>
      <c r="AH921" s="544"/>
      <c r="AI921" s="351"/>
      <c r="AJ921" s="545"/>
      <c r="AK921" s="351"/>
      <c r="AL921" s="524" t="s">
        <v>325</v>
      </c>
      <c r="AM921" s="351"/>
      <c r="AN921" s="549" t="s">
        <v>325</v>
      </c>
      <c r="AO921" s="351"/>
      <c r="AP921" s="550"/>
      <c r="AQ921" s="351"/>
      <c r="AR921" s="551"/>
      <c r="AS921" s="351"/>
      <c r="AT921" s="552"/>
      <c r="AU921" s="351"/>
      <c r="AV921" s="549" t="s">
        <v>325</v>
      </c>
      <c r="AW921" s="351"/>
      <c r="AX921" s="553"/>
      <c r="AY921" s="350"/>
      <c r="AZ921" s="351"/>
      <c r="BA921" s="554"/>
      <c r="BB921" s="351"/>
      <c r="BC921" s="39"/>
      <c r="BD921" s="546" t="s">
        <v>325</v>
      </c>
      <c r="BE921" s="351"/>
      <c r="BF921" s="547"/>
      <c r="BG921" s="350"/>
      <c r="BH921" s="350"/>
      <c r="BI921" s="351"/>
      <c r="BJ921" s="548" t="s">
        <v>294</v>
      </c>
      <c r="BK921" s="350"/>
      <c r="BL921" s="350"/>
      <c r="BM921" s="351"/>
      <c r="BN921" s="530" t="s">
        <v>294</v>
      </c>
      <c r="BO921" s="350"/>
      <c r="BP921" s="350"/>
      <c r="BQ921" s="350"/>
      <c r="BR921" s="350"/>
      <c r="BS921" s="350"/>
      <c r="BT921" s="350"/>
      <c r="BU921" s="350"/>
      <c r="BV921" s="351"/>
    </row>
    <row r="922" spans="1:74" ht="45" customHeight="1">
      <c r="A922" s="24">
        <f t="shared" si="3"/>
        <v>908</v>
      </c>
      <c r="B922" s="558" t="s">
        <v>294</v>
      </c>
      <c r="C922" s="351"/>
      <c r="D922" s="559" t="s">
        <v>298</v>
      </c>
      <c r="E922" s="351"/>
      <c r="F922" s="524" t="s">
        <v>325</v>
      </c>
      <c r="G922" s="351"/>
      <c r="H922" s="525" t="s">
        <v>325</v>
      </c>
      <c r="I922" s="351"/>
      <c r="J922" s="563"/>
      <c r="K922" s="351"/>
      <c r="L922" s="563"/>
      <c r="M922" s="351"/>
      <c r="N922" s="34"/>
      <c r="O922" s="35"/>
      <c r="P922" s="526"/>
      <c r="Q922" s="351"/>
      <c r="R922" s="535"/>
      <c r="S922" s="351"/>
      <c r="T922" s="536"/>
      <c r="U922" s="351"/>
      <c r="V922" s="537"/>
      <c r="W922" s="351"/>
      <c r="X922" s="538" t="s">
        <v>294</v>
      </c>
      <c r="Y922" s="350"/>
      <c r="Z922" s="350"/>
      <c r="AA922" s="351"/>
      <c r="AB922" s="539" t="s">
        <v>294</v>
      </c>
      <c r="AC922" s="350"/>
      <c r="AD922" s="350"/>
      <c r="AE922" s="351"/>
      <c r="AF922" s="540"/>
      <c r="AG922" s="351"/>
      <c r="AH922" s="540"/>
      <c r="AI922" s="351"/>
      <c r="AJ922" s="545"/>
      <c r="AK922" s="351"/>
      <c r="AL922" s="555" t="s">
        <v>325</v>
      </c>
      <c r="AM922" s="351"/>
      <c r="AN922" s="531" t="s">
        <v>325</v>
      </c>
      <c r="AO922" s="351"/>
      <c r="AP922" s="532"/>
      <c r="AQ922" s="351"/>
      <c r="AR922" s="533"/>
      <c r="AS922" s="351"/>
      <c r="AT922" s="534"/>
      <c r="AU922" s="351"/>
      <c r="AV922" s="531" t="s">
        <v>325</v>
      </c>
      <c r="AW922" s="351"/>
      <c r="AX922" s="553"/>
      <c r="AY922" s="350"/>
      <c r="AZ922" s="351"/>
      <c r="BA922" s="545"/>
      <c r="BB922" s="351"/>
      <c r="BC922" s="36"/>
      <c r="BD922" s="556" t="s">
        <v>325</v>
      </c>
      <c r="BE922" s="351"/>
      <c r="BF922" s="529"/>
      <c r="BG922" s="350"/>
      <c r="BH922" s="350"/>
      <c r="BI922" s="351"/>
      <c r="BJ922" s="506" t="s">
        <v>294</v>
      </c>
      <c r="BK922" s="350"/>
      <c r="BL922" s="350"/>
      <c r="BM922" s="351"/>
      <c r="BN922" s="530" t="s">
        <v>294</v>
      </c>
      <c r="BO922" s="350"/>
      <c r="BP922" s="350"/>
      <c r="BQ922" s="350"/>
      <c r="BR922" s="350"/>
      <c r="BS922" s="350"/>
      <c r="BT922" s="350"/>
      <c r="BU922" s="350"/>
      <c r="BV922" s="351"/>
    </row>
    <row r="923" spans="1:74" ht="45" customHeight="1">
      <c r="A923" s="24">
        <f t="shared" si="3"/>
        <v>909</v>
      </c>
      <c r="B923" s="522" t="s">
        <v>294</v>
      </c>
      <c r="C923" s="351"/>
      <c r="D923" s="523" t="s">
        <v>298</v>
      </c>
      <c r="E923" s="351"/>
      <c r="F923" s="524" t="s">
        <v>325</v>
      </c>
      <c r="G923" s="351"/>
      <c r="H923" s="561" t="s">
        <v>325</v>
      </c>
      <c r="I923" s="351"/>
      <c r="J923" s="562"/>
      <c r="K923" s="351"/>
      <c r="L923" s="562"/>
      <c r="M923" s="351"/>
      <c r="N923" s="37"/>
      <c r="O923" s="38"/>
      <c r="P923" s="560"/>
      <c r="Q923" s="351"/>
      <c r="R923" s="527"/>
      <c r="S923" s="351"/>
      <c r="T923" s="528"/>
      <c r="U923" s="351"/>
      <c r="V923" s="541"/>
      <c r="W923" s="351"/>
      <c r="X923" s="542" t="s">
        <v>294</v>
      </c>
      <c r="Y923" s="350"/>
      <c r="Z923" s="350"/>
      <c r="AA923" s="351"/>
      <c r="AB923" s="543" t="s">
        <v>294</v>
      </c>
      <c r="AC923" s="350"/>
      <c r="AD923" s="350"/>
      <c r="AE923" s="351"/>
      <c r="AF923" s="544"/>
      <c r="AG923" s="351"/>
      <c r="AH923" s="544"/>
      <c r="AI923" s="351"/>
      <c r="AJ923" s="545"/>
      <c r="AK923" s="351"/>
      <c r="AL923" s="524" t="s">
        <v>325</v>
      </c>
      <c r="AM923" s="351"/>
      <c r="AN923" s="549" t="s">
        <v>325</v>
      </c>
      <c r="AO923" s="351"/>
      <c r="AP923" s="550"/>
      <c r="AQ923" s="351"/>
      <c r="AR923" s="551"/>
      <c r="AS923" s="351"/>
      <c r="AT923" s="534"/>
      <c r="AU923" s="351"/>
      <c r="AV923" s="549" t="s">
        <v>325</v>
      </c>
      <c r="AW923" s="351"/>
      <c r="AX923" s="553"/>
      <c r="AY923" s="350"/>
      <c r="AZ923" s="351"/>
      <c r="BA923" s="554"/>
      <c r="BB923" s="351"/>
      <c r="BC923" s="39"/>
      <c r="BD923" s="546" t="s">
        <v>325</v>
      </c>
      <c r="BE923" s="351"/>
      <c r="BF923" s="547"/>
      <c r="BG923" s="350"/>
      <c r="BH923" s="350"/>
      <c r="BI923" s="351"/>
      <c r="BJ923" s="548" t="s">
        <v>294</v>
      </c>
      <c r="BK923" s="350"/>
      <c r="BL923" s="350"/>
      <c r="BM923" s="351"/>
      <c r="BN923" s="530" t="s">
        <v>294</v>
      </c>
      <c r="BO923" s="350"/>
      <c r="BP923" s="350"/>
      <c r="BQ923" s="350"/>
      <c r="BR923" s="350"/>
      <c r="BS923" s="350"/>
      <c r="BT923" s="350"/>
      <c r="BU923" s="350"/>
      <c r="BV923" s="351"/>
    </row>
    <row r="924" spans="1:74" ht="45" customHeight="1">
      <c r="A924" s="24">
        <f t="shared" si="3"/>
        <v>910</v>
      </c>
      <c r="B924" s="558" t="s">
        <v>294</v>
      </c>
      <c r="C924" s="351"/>
      <c r="D924" s="559" t="s">
        <v>298</v>
      </c>
      <c r="E924" s="351"/>
      <c r="F924" s="524" t="s">
        <v>325</v>
      </c>
      <c r="G924" s="351"/>
      <c r="H924" s="525" t="s">
        <v>325</v>
      </c>
      <c r="I924" s="351"/>
      <c r="J924" s="563"/>
      <c r="K924" s="351"/>
      <c r="L924" s="563"/>
      <c r="M924" s="351"/>
      <c r="N924" s="34"/>
      <c r="O924" s="35"/>
      <c r="P924" s="526"/>
      <c r="Q924" s="351"/>
      <c r="R924" s="535"/>
      <c r="S924" s="351"/>
      <c r="T924" s="536"/>
      <c r="U924" s="351"/>
      <c r="V924" s="537"/>
      <c r="W924" s="351"/>
      <c r="X924" s="538" t="s">
        <v>294</v>
      </c>
      <c r="Y924" s="350"/>
      <c r="Z924" s="350"/>
      <c r="AA924" s="351"/>
      <c r="AB924" s="539" t="s">
        <v>294</v>
      </c>
      <c r="AC924" s="350"/>
      <c r="AD924" s="350"/>
      <c r="AE924" s="351"/>
      <c r="AF924" s="540"/>
      <c r="AG924" s="351"/>
      <c r="AH924" s="540"/>
      <c r="AI924" s="351"/>
      <c r="AJ924" s="545"/>
      <c r="AK924" s="351"/>
      <c r="AL924" s="555" t="s">
        <v>325</v>
      </c>
      <c r="AM924" s="351"/>
      <c r="AN924" s="531" t="s">
        <v>325</v>
      </c>
      <c r="AO924" s="351"/>
      <c r="AP924" s="532"/>
      <c r="AQ924" s="351"/>
      <c r="AR924" s="533"/>
      <c r="AS924" s="351"/>
      <c r="AT924" s="534"/>
      <c r="AU924" s="351"/>
      <c r="AV924" s="531" t="s">
        <v>325</v>
      </c>
      <c r="AW924" s="351"/>
      <c r="AX924" s="553"/>
      <c r="AY924" s="350"/>
      <c r="AZ924" s="351"/>
      <c r="BA924" s="545"/>
      <c r="BB924" s="351"/>
      <c r="BC924" s="36"/>
      <c r="BD924" s="556" t="s">
        <v>325</v>
      </c>
      <c r="BE924" s="351"/>
      <c r="BF924" s="557"/>
      <c r="BG924" s="350"/>
      <c r="BH924" s="350"/>
      <c r="BI924" s="351"/>
      <c r="BJ924" s="506" t="s">
        <v>294</v>
      </c>
      <c r="BK924" s="350"/>
      <c r="BL924" s="350"/>
      <c r="BM924" s="351"/>
      <c r="BN924" s="530" t="s">
        <v>294</v>
      </c>
      <c r="BO924" s="350"/>
      <c r="BP924" s="350"/>
      <c r="BQ924" s="350"/>
      <c r="BR924" s="350"/>
      <c r="BS924" s="350"/>
      <c r="BT924" s="350"/>
      <c r="BU924" s="350"/>
      <c r="BV924" s="351"/>
    </row>
    <row r="925" spans="1:74" ht="45" customHeight="1">
      <c r="A925" s="24">
        <f t="shared" si="3"/>
        <v>911</v>
      </c>
      <c r="B925" s="522" t="s">
        <v>294</v>
      </c>
      <c r="C925" s="351"/>
      <c r="D925" s="523" t="s">
        <v>298</v>
      </c>
      <c r="E925" s="351"/>
      <c r="F925" s="524" t="s">
        <v>325</v>
      </c>
      <c r="G925" s="351"/>
      <c r="H925" s="561" t="s">
        <v>325</v>
      </c>
      <c r="I925" s="351"/>
      <c r="J925" s="562"/>
      <c r="K925" s="351"/>
      <c r="L925" s="562"/>
      <c r="M925" s="351"/>
      <c r="N925" s="37"/>
      <c r="O925" s="38"/>
      <c r="P925" s="560"/>
      <c r="Q925" s="351"/>
      <c r="R925" s="527"/>
      <c r="S925" s="351"/>
      <c r="T925" s="528"/>
      <c r="U925" s="351"/>
      <c r="V925" s="541"/>
      <c r="W925" s="351"/>
      <c r="X925" s="542" t="s">
        <v>294</v>
      </c>
      <c r="Y925" s="350"/>
      <c r="Z925" s="350"/>
      <c r="AA925" s="351"/>
      <c r="AB925" s="543" t="s">
        <v>294</v>
      </c>
      <c r="AC925" s="350"/>
      <c r="AD925" s="350"/>
      <c r="AE925" s="351"/>
      <c r="AF925" s="544"/>
      <c r="AG925" s="351"/>
      <c r="AH925" s="544"/>
      <c r="AI925" s="351"/>
      <c r="AJ925" s="545"/>
      <c r="AK925" s="351"/>
      <c r="AL925" s="524" t="s">
        <v>325</v>
      </c>
      <c r="AM925" s="351"/>
      <c r="AN925" s="549" t="s">
        <v>325</v>
      </c>
      <c r="AO925" s="351"/>
      <c r="AP925" s="550"/>
      <c r="AQ925" s="351"/>
      <c r="AR925" s="551"/>
      <c r="AS925" s="351"/>
      <c r="AT925" s="534"/>
      <c r="AU925" s="351"/>
      <c r="AV925" s="549" t="s">
        <v>325</v>
      </c>
      <c r="AW925" s="351"/>
      <c r="AX925" s="553"/>
      <c r="AY925" s="350"/>
      <c r="AZ925" s="351"/>
      <c r="BA925" s="554"/>
      <c r="BB925" s="351"/>
      <c r="BC925" s="39"/>
      <c r="BD925" s="546" t="s">
        <v>325</v>
      </c>
      <c r="BE925" s="351"/>
      <c r="BF925" s="547"/>
      <c r="BG925" s="350"/>
      <c r="BH925" s="350"/>
      <c r="BI925" s="351"/>
      <c r="BJ925" s="548" t="s">
        <v>294</v>
      </c>
      <c r="BK925" s="350"/>
      <c r="BL925" s="350"/>
      <c r="BM925" s="351"/>
      <c r="BN925" s="530" t="s">
        <v>294</v>
      </c>
      <c r="BO925" s="350"/>
      <c r="BP925" s="350"/>
      <c r="BQ925" s="350"/>
      <c r="BR925" s="350"/>
      <c r="BS925" s="350"/>
      <c r="BT925" s="350"/>
      <c r="BU925" s="350"/>
      <c r="BV925" s="351"/>
    </row>
    <row r="926" spans="1:74" ht="45" customHeight="1">
      <c r="A926" s="24">
        <f t="shared" si="3"/>
        <v>912</v>
      </c>
      <c r="B926" s="558" t="s">
        <v>294</v>
      </c>
      <c r="C926" s="351"/>
      <c r="D926" s="559" t="s">
        <v>298</v>
      </c>
      <c r="E926" s="351"/>
      <c r="F926" s="524" t="s">
        <v>325</v>
      </c>
      <c r="G926" s="351"/>
      <c r="H926" s="525" t="s">
        <v>325</v>
      </c>
      <c r="I926" s="351"/>
      <c r="J926" s="563"/>
      <c r="K926" s="351"/>
      <c r="L926" s="563"/>
      <c r="M926" s="351"/>
      <c r="N926" s="34"/>
      <c r="O926" s="35"/>
      <c r="P926" s="526"/>
      <c r="Q926" s="351"/>
      <c r="R926" s="535"/>
      <c r="S926" s="351"/>
      <c r="T926" s="536"/>
      <c r="U926" s="351"/>
      <c r="V926" s="537"/>
      <c r="W926" s="351"/>
      <c r="X926" s="538" t="s">
        <v>294</v>
      </c>
      <c r="Y926" s="350"/>
      <c r="Z926" s="350"/>
      <c r="AA926" s="351"/>
      <c r="AB926" s="539" t="s">
        <v>294</v>
      </c>
      <c r="AC926" s="350"/>
      <c r="AD926" s="350"/>
      <c r="AE926" s="351"/>
      <c r="AF926" s="540"/>
      <c r="AG926" s="351"/>
      <c r="AH926" s="540"/>
      <c r="AI926" s="351"/>
      <c r="AJ926" s="545"/>
      <c r="AK926" s="351"/>
      <c r="AL926" s="555" t="s">
        <v>325</v>
      </c>
      <c r="AM926" s="351"/>
      <c r="AN926" s="531" t="s">
        <v>325</v>
      </c>
      <c r="AO926" s="351"/>
      <c r="AP926" s="532"/>
      <c r="AQ926" s="351"/>
      <c r="AR926" s="533"/>
      <c r="AS926" s="351"/>
      <c r="AT926" s="534"/>
      <c r="AU926" s="351"/>
      <c r="AV926" s="531" t="s">
        <v>325</v>
      </c>
      <c r="AW926" s="351"/>
      <c r="AX926" s="553"/>
      <c r="AY926" s="350"/>
      <c r="AZ926" s="351"/>
      <c r="BA926" s="545"/>
      <c r="BB926" s="351"/>
      <c r="BC926" s="36"/>
      <c r="BD926" s="556" t="s">
        <v>325</v>
      </c>
      <c r="BE926" s="351"/>
      <c r="BF926" s="557"/>
      <c r="BG926" s="350"/>
      <c r="BH926" s="350"/>
      <c r="BI926" s="351"/>
      <c r="BJ926" s="506" t="s">
        <v>294</v>
      </c>
      <c r="BK926" s="350"/>
      <c r="BL926" s="350"/>
      <c r="BM926" s="351"/>
      <c r="BN926" s="530" t="s">
        <v>294</v>
      </c>
      <c r="BO926" s="350"/>
      <c r="BP926" s="350"/>
      <c r="BQ926" s="350"/>
      <c r="BR926" s="350"/>
      <c r="BS926" s="350"/>
      <c r="BT926" s="350"/>
      <c r="BU926" s="350"/>
      <c r="BV926" s="351"/>
    </row>
    <row r="927" spans="1:74" ht="45" customHeight="1">
      <c r="A927" s="24">
        <f t="shared" si="3"/>
        <v>913</v>
      </c>
      <c r="B927" s="522" t="s">
        <v>294</v>
      </c>
      <c r="C927" s="351"/>
      <c r="D927" s="523" t="s">
        <v>298</v>
      </c>
      <c r="E927" s="351"/>
      <c r="F927" s="524" t="s">
        <v>325</v>
      </c>
      <c r="G927" s="351"/>
      <c r="H927" s="561" t="s">
        <v>325</v>
      </c>
      <c r="I927" s="351"/>
      <c r="J927" s="562"/>
      <c r="K927" s="351"/>
      <c r="L927" s="562"/>
      <c r="M927" s="351"/>
      <c r="N927" s="37"/>
      <c r="O927" s="38"/>
      <c r="P927" s="560"/>
      <c r="Q927" s="351"/>
      <c r="R927" s="527"/>
      <c r="S927" s="351"/>
      <c r="T927" s="528"/>
      <c r="U927" s="351"/>
      <c r="V927" s="541"/>
      <c r="W927" s="351"/>
      <c r="X927" s="542" t="s">
        <v>294</v>
      </c>
      <c r="Y927" s="350"/>
      <c r="Z927" s="350"/>
      <c r="AA927" s="351"/>
      <c r="AB927" s="543" t="s">
        <v>294</v>
      </c>
      <c r="AC927" s="350"/>
      <c r="AD927" s="350"/>
      <c r="AE927" s="351"/>
      <c r="AF927" s="544"/>
      <c r="AG927" s="351"/>
      <c r="AH927" s="544"/>
      <c r="AI927" s="351"/>
      <c r="AJ927" s="545"/>
      <c r="AK927" s="351"/>
      <c r="AL927" s="524" t="s">
        <v>325</v>
      </c>
      <c r="AM927" s="351"/>
      <c r="AN927" s="549" t="s">
        <v>325</v>
      </c>
      <c r="AO927" s="351"/>
      <c r="AP927" s="550"/>
      <c r="AQ927" s="351"/>
      <c r="AR927" s="551"/>
      <c r="AS927" s="351"/>
      <c r="AT927" s="552"/>
      <c r="AU927" s="351"/>
      <c r="AV927" s="549" t="s">
        <v>325</v>
      </c>
      <c r="AW927" s="351"/>
      <c r="AX927" s="553"/>
      <c r="AY927" s="350"/>
      <c r="AZ927" s="351"/>
      <c r="BA927" s="554"/>
      <c r="BB927" s="351"/>
      <c r="BC927" s="39"/>
      <c r="BD927" s="546" t="s">
        <v>325</v>
      </c>
      <c r="BE927" s="351"/>
      <c r="BF927" s="547"/>
      <c r="BG927" s="350"/>
      <c r="BH927" s="350"/>
      <c r="BI927" s="351"/>
      <c r="BJ927" s="548" t="s">
        <v>294</v>
      </c>
      <c r="BK927" s="350"/>
      <c r="BL927" s="350"/>
      <c r="BM927" s="351"/>
      <c r="BN927" s="530" t="s">
        <v>294</v>
      </c>
      <c r="BO927" s="350"/>
      <c r="BP927" s="350"/>
      <c r="BQ927" s="350"/>
      <c r="BR927" s="350"/>
      <c r="BS927" s="350"/>
      <c r="BT927" s="350"/>
      <c r="BU927" s="350"/>
      <c r="BV927" s="351"/>
    </row>
    <row r="928" spans="1:74" ht="45" customHeight="1">
      <c r="A928" s="24">
        <f t="shared" si="3"/>
        <v>914</v>
      </c>
      <c r="B928" s="558" t="s">
        <v>294</v>
      </c>
      <c r="C928" s="351"/>
      <c r="D928" s="559" t="s">
        <v>298</v>
      </c>
      <c r="E928" s="351"/>
      <c r="F928" s="524" t="s">
        <v>325</v>
      </c>
      <c r="G928" s="351"/>
      <c r="H928" s="525" t="s">
        <v>325</v>
      </c>
      <c r="I928" s="351"/>
      <c r="J928" s="563"/>
      <c r="K928" s="351"/>
      <c r="L928" s="563"/>
      <c r="M928" s="351"/>
      <c r="N928" s="34"/>
      <c r="O928" s="35"/>
      <c r="P928" s="526"/>
      <c r="Q928" s="351"/>
      <c r="R928" s="535"/>
      <c r="S928" s="351"/>
      <c r="T928" s="536"/>
      <c r="U928" s="351"/>
      <c r="V928" s="537"/>
      <c r="W928" s="351"/>
      <c r="X928" s="538" t="s">
        <v>294</v>
      </c>
      <c r="Y928" s="350"/>
      <c r="Z928" s="350"/>
      <c r="AA928" s="351"/>
      <c r="AB928" s="539" t="s">
        <v>294</v>
      </c>
      <c r="AC928" s="350"/>
      <c r="AD928" s="350"/>
      <c r="AE928" s="351"/>
      <c r="AF928" s="540"/>
      <c r="AG928" s="351"/>
      <c r="AH928" s="540"/>
      <c r="AI928" s="351"/>
      <c r="AJ928" s="545"/>
      <c r="AK928" s="351"/>
      <c r="AL928" s="555" t="s">
        <v>325</v>
      </c>
      <c r="AM928" s="351"/>
      <c r="AN928" s="531" t="s">
        <v>325</v>
      </c>
      <c r="AO928" s="351"/>
      <c r="AP928" s="532"/>
      <c r="AQ928" s="351"/>
      <c r="AR928" s="533"/>
      <c r="AS928" s="351"/>
      <c r="AT928" s="534"/>
      <c r="AU928" s="351"/>
      <c r="AV928" s="531" t="s">
        <v>325</v>
      </c>
      <c r="AW928" s="351"/>
      <c r="AX928" s="553"/>
      <c r="AY928" s="350"/>
      <c r="AZ928" s="351"/>
      <c r="BA928" s="545"/>
      <c r="BB928" s="351"/>
      <c r="BC928" s="36"/>
      <c r="BD928" s="556" t="s">
        <v>325</v>
      </c>
      <c r="BE928" s="351"/>
      <c r="BF928" s="529"/>
      <c r="BG928" s="350"/>
      <c r="BH928" s="350"/>
      <c r="BI928" s="351"/>
      <c r="BJ928" s="506" t="s">
        <v>294</v>
      </c>
      <c r="BK928" s="350"/>
      <c r="BL928" s="350"/>
      <c r="BM928" s="351"/>
      <c r="BN928" s="530" t="s">
        <v>294</v>
      </c>
      <c r="BO928" s="350"/>
      <c r="BP928" s="350"/>
      <c r="BQ928" s="350"/>
      <c r="BR928" s="350"/>
      <c r="BS928" s="350"/>
      <c r="BT928" s="350"/>
      <c r="BU928" s="350"/>
      <c r="BV928" s="351"/>
    </row>
    <row r="929" spans="1:74" ht="45" customHeight="1">
      <c r="A929" s="24">
        <f t="shared" si="3"/>
        <v>915</v>
      </c>
      <c r="B929" s="522" t="s">
        <v>294</v>
      </c>
      <c r="C929" s="351"/>
      <c r="D929" s="523" t="s">
        <v>298</v>
      </c>
      <c r="E929" s="351"/>
      <c r="F929" s="524" t="s">
        <v>325</v>
      </c>
      <c r="G929" s="351"/>
      <c r="H929" s="561" t="s">
        <v>325</v>
      </c>
      <c r="I929" s="351"/>
      <c r="J929" s="562"/>
      <c r="K929" s="351"/>
      <c r="L929" s="562"/>
      <c r="M929" s="351"/>
      <c r="N929" s="37"/>
      <c r="O929" s="38"/>
      <c r="P929" s="560"/>
      <c r="Q929" s="351"/>
      <c r="R929" s="527"/>
      <c r="S929" s="351"/>
      <c r="T929" s="528"/>
      <c r="U929" s="351"/>
      <c r="V929" s="541"/>
      <c r="W929" s="351"/>
      <c r="X929" s="542" t="s">
        <v>294</v>
      </c>
      <c r="Y929" s="350"/>
      <c r="Z929" s="350"/>
      <c r="AA929" s="351"/>
      <c r="AB929" s="543" t="s">
        <v>294</v>
      </c>
      <c r="AC929" s="350"/>
      <c r="AD929" s="350"/>
      <c r="AE929" s="351"/>
      <c r="AF929" s="544"/>
      <c r="AG929" s="351"/>
      <c r="AH929" s="544"/>
      <c r="AI929" s="351"/>
      <c r="AJ929" s="545"/>
      <c r="AK929" s="351"/>
      <c r="AL929" s="524" t="s">
        <v>325</v>
      </c>
      <c r="AM929" s="351"/>
      <c r="AN929" s="549" t="s">
        <v>325</v>
      </c>
      <c r="AO929" s="351"/>
      <c r="AP929" s="550"/>
      <c r="AQ929" s="351"/>
      <c r="AR929" s="551"/>
      <c r="AS929" s="351"/>
      <c r="AT929" s="552"/>
      <c r="AU929" s="351"/>
      <c r="AV929" s="549" t="s">
        <v>325</v>
      </c>
      <c r="AW929" s="351"/>
      <c r="AX929" s="553"/>
      <c r="AY929" s="350"/>
      <c r="AZ929" s="351"/>
      <c r="BA929" s="554"/>
      <c r="BB929" s="351"/>
      <c r="BC929" s="39"/>
      <c r="BD929" s="546" t="s">
        <v>325</v>
      </c>
      <c r="BE929" s="351"/>
      <c r="BF929" s="547"/>
      <c r="BG929" s="350"/>
      <c r="BH929" s="350"/>
      <c r="BI929" s="351"/>
      <c r="BJ929" s="548" t="s">
        <v>294</v>
      </c>
      <c r="BK929" s="350"/>
      <c r="BL929" s="350"/>
      <c r="BM929" s="351"/>
      <c r="BN929" s="530" t="s">
        <v>294</v>
      </c>
      <c r="BO929" s="350"/>
      <c r="BP929" s="350"/>
      <c r="BQ929" s="350"/>
      <c r="BR929" s="350"/>
      <c r="BS929" s="350"/>
      <c r="BT929" s="350"/>
      <c r="BU929" s="350"/>
      <c r="BV929" s="351"/>
    </row>
    <row r="930" spans="1:74" ht="45" customHeight="1">
      <c r="A930" s="24">
        <f t="shared" si="3"/>
        <v>916</v>
      </c>
      <c r="B930" s="558" t="s">
        <v>294</v>
      </c>
      <c r="C930" s="351"/>
      <c r="D930" s="559" t="s">
        <v>298</v>
      </c>
      <c r="E930" s="351"/>
      <c r="F930" s="524" t="s">
        <v>325</v>
      </c>
      <c r="G930" s="351"/>
      <c r="H930" s="525" t="s">
        <v>325</v>
      </c>
      <c r="I930" s="351"/>
      <c r="J930" s="563"/>
      <c r="K930" s="351"/>
      <c r="L930" s="563"/>
      <c r="M930" s="351"/>
      <c r="N930" s="34"/>
      <c r="O930" s="35"/>
      <c r="P930" s="526"/>
      <c r="Q930" s="351"/>
      <c r="R930" s="535"/>
      <c r="S930" s="351"/>
      <c r="T930" s="536"/>
      <c r="U930" s="351"/>
      <c r="V930" s="537"/>
      <c r="W930" s="351"/>
      <c r="X930" s="538" t="s">
        <v>294</v>
      </c>
      <c r="Y930" s="350"/>
      <c r="Z930" s="350"/>
      <c r="AA930" s="351"/>
      <c r="AB930" s="539" t="s">
        <v>294</v>
      </c>
      <c r="AC930" s="350"/>
      <c r="AD930" s="350"/>
      <c r="AE930" s="351"/>
      <c r="AF930" s="540"/>
      <c r="AG930" s="351"/>
      <c r="AH930" s="540"/>
      <c r="AI930" s="351"/>
      <c r="AJ930" s="545"/>
      <c r="AK930" s="351"/>
      <c r="AL930" s="555" t="s">
        <v>325</v>
      </c>
      <c r="AM930" s="351"/>
      <c r="AN930" s="531" t="s">
        <v>325</v>
      </c>
      <c r="AO930" s="351"/>
      <c r="AP930" s="532"/>
      <c r="AQ930" s="351"/>
      <c r="AR930" s="533"/>
      <c r="AS930" s="351"/>
      <c r="AT930" s="534"/>
      <c r="AU930" s="351"/>
      <c r="AV930" s="531" t="s">
        <v>325</v>
      </c>
      <c r="AW930" s="351"/>
      <c r="AX930" s="553"/>
      <c r="AY930" s="350"/>
      <c r="AZ930" s="351"/>
      <c r="BA930" s="545"/>
      <c r="BB930" s="351"/>
      <c r="BC930" s="36"/>
      <c r="BD930" s="556" t="s">
        <v>325</v>
      </c>
      <c r="BE930" s="351"/>
      <c r="BF930" s="557"/>
      <c r="BG930" s="350"/>
      <c r="BH930" s="350"/>
      <c r="BI930" s="351"/>
      <c r="BJ930" s="506" t="s">
        <v>294</v>
      </c>
      <c r="BK930" s="350"/>
      <c r="BL930" s="350"/>
      <c r="BM930" s="351"/>
      <c r="BN930" s="530" t="s">
        <v>294</v>
      </c>
      <c r="BO930" s="350"/>
      <c r="BP930" s="350"/>
      <c r="BQ930" s="350"/>
      <c r="BR930" s="350"/>
      <c r="BS930" s="350"/>
      <c r="BT930" s="350"/>
      <c r="BU930" s="350"/>
      <c r="BV930" s="351"/>
    </row>
    <row r="931" spans="1:74" ht="45" customHeight="1">
      <c r="A931" s="24">
        <f t="shared" si="3"/>
        <v>917</v>
      </c>
      <c r="B931" s="522" t="s">
        <v>294</v>
      </c>
      <c r="C931" s="351"/>
      <c r="D931" s="523" t="s">
        <v>298</v>
      </c>
      <c r="E931" s="351"/>
      <c r="F931" s="524" t="s">
        <v>325</v>
      </c>
      <c r="G931" s="351"/>
      <c r="H931" s="561" t="s">
        <v>325</v>
      </c>
      <c r="I931" s="351"/>
      <c r="J931" s="562"/>
      <c r="K931" s="351"/>
      <c r="L931" s="562"/>
      <c r="M931" s="351"/>
      <c r="N931" s="37"/>
      <c r="O931" s="38"/>
      <c r="P931" s="560"/>
      <c r="Q931" s="351"/>
      <c r="R931" s="527"/>
      <c r="S931" s="351"/>
      <c r="T931" s="528"/>
      <c r="U931" s="351"/>
      <c r="V931" s="541"/>
      <c r="W931" s="351"/>
      <c r="X931" s="542" t="s">
        <v>294</v>
      </c>
      <c r="Y931" s="350"/>
      <c r="Z931" s="350"/>
      <c r="AA931" s="351"/>
      <c r="AB931" s="543" t="s">
        <v>294</v>
      </c>
      <c r="AC931" s="350"/>
      <c r="AD931" s="350"/>
      <c r="AE931" s="351"/>
      <c r="AF931" s="544"/>
      <c r="AG931" s="351"/>
      <c r="AH931" s="544"/>
      <c r="AI931" s="351"/>
      <c r="AJ931" s="545"/>
      <c r="AK931" s="351"/>
      <c r="AL931" s="524" t="s">
        <v>325</v>
      </c>
      <c r="AM931" s="351"/>
      <c r="AN931" s="549" t="s">
        <v>325</v>
      </c>
      <c r="AO931" s="351"/>
      <c r="AP931" s="550"/>
      <c r="AQ931" s="351"/>
      <c r="AR931" s="551"/>
      <c r="AS931" s="351"/>
      <c r="AT931" s="552"/>
      <c r="AU931" s="351"/>
      <c r="AV931" s="549" t="s">
        <v>325</v>
      </c>
      <c r="AW931" s="351"/>
      <c r="AX931" s="553"/>
      <c r="AY931" s="350"/>
      <c r="AZ931" s="351"/>
      <c r="BA931" s="554"/>
      <c r="BB931" s="351"/>
      <c r="BC931" s="39"/>
      <c r="BD931" s="546" t="s">
        <v>325</v>
      </c>
      <c r="BE931" s="351"/>
      <c r="BF931" s="547"/>
      <c r="BG931" s="350"/>
      <c r="BH931" s="350"/>
      <c r="BI931" s="351"/>
      <c r="BJ931" s="548" t="s">
        <v>294</v>
      </c>
      <c r="BK931" s="350"/>
      <c r="BL931" s="350"/>
      <c r="BM931" s="351"/>
      <c r="BN931" s="530" t="s">
        <v>294</v>
      </c>
      <c r="BO931" s="350"/>
      <c r="BP931" s="350"/>
      <c r="BQ931" s="350"/>
      <c r="BR931" s="350"/>
      <c r="BS931" s="350"/>
      <c r="BT931" s="350"/>
      <c r="BU931" s="350"/>
      <c r="BV931" s="351"/>
    </row>
    <row r="932" spans="1:74" ht="45" customHeight="1">
      <c r="A932" s="24">
        <f t="shared" si="3"/>
        <v>918</v>
      </c>
      <c r="B932" s="558" t="s">
        <v>294</v>
      </c>
      <c r="C932" s="351"/>
      <c r="D932" s="559" t="s">
        <v>298</v>
      </c>
      <c r="E932" s="351"/>
      <c r="F932" s="524" t="s">
        <v>325</v>
      </c>
      <c r="G932" s="351"/>
      <c r="H932" s="525" t="s">
        <v>325</v>
      </c>
      <c r="I932" s="351"/>
      <c r="J932" s="563"/>
      <c r="K932" s="351"/>
      <c r="L932" s="563"/>
      <c r="M932" s="351"/>
      <c r="N932" s="34"/>
      <c r="O932" s="35"/>
      <c r="P932" s="526"/>
      <c r="Q932" s="351"/>
      <c r="R932" s="535"/>
      <c r="S932" s="351"/>
      <c r="T932" s="536"/>
      <c r="U932" s="351"/>
      <c r="V932" s="537"/>
      <c r="W932" s="351"/>
      <c r="X932" s="538" t="s">
        <v>294</v>
      </c>
      <c r="Y932" s="350"/>
      <c r="Z932" s="350"/>
      <c r="AA932" s="351"/>
      <c r="AB932" s="539" t="s">
        <v>294</v>
      </c>
      <c r="AC932" s="350"/>
      <c r="AD932" s="350"/>
      <c r="AE932" s="351"/>
      <c r="AF932" s="540"/>
      <c r="AG932" s="351"/>
      <c r="AH932" s="540"/>
      <c r="AI932" s="351"/>
      <c r="AJ932" s="545"/>
      <c r="AK932" s="351"/>
      <c r="AL932" s="555" t="s">
        <v>325</v>
      </c>
      <c r="AM932" s="351"/>
      <c r="AN932" s="531" t="s">
        <v>325</v>
      </c>
      <c r="AO932" s="351"/>
      <c r="AP932" s="532"/>
      <c r="AQ932" s="351"/>
      <c r="AR932" s="533"/>
      <c r="AS932" s="351"/>
      <c r="AT932" s="534"/>
      <c r="AU932" s="351"/>
      <c r="AV932" s="531" t="s">
        <v>325</v>
      </c>
      <c r="AW932" s="351"/>
      <c r="AX932" s="553"/>
      <c r="AY932" s="350"/>
      <c r="AZ932" s="351"/>
      <c r="BA932" s="545"/>
      <c r="BB932" s="351"/>
      <c r="BC932" s="36"/>
      <c r="BD932" s="556" t="s">
        <v>325</v>
      </c>
      <c r="BE932" s="351"/>
      <c r="BF932" s="557"/>
      <c r="BG932" s="350"/>
      <c r="BH932" s="350"/>
      <c r="BI932" s="351"/>
      <c r="BJ932" s="506" t="s">
        <v>294</v>
      </c>
      <c r="BK932" s="350"/>
      <c r="BL932" s="350"/>
      <c r="BM932" s="351"/>
      <c r="BN932" s="530" t="s">
        <v>294</v>
      </c>
      <c r="BO932" s="350"/>
      <c r="BP932" s="350"/>
      <c r="BQ932" s="350"/>
      <c r="BR932" s="350"/>
      <c r="BS932" s="350"/>
      <c r="BT932" s="350"/>
      <c r="BU932" s="350"/>
      <c r="BV932" s="351"/>
    </row>
    <row r="933" spans="1:74" ht="45" customHeight="1">
      <c r="A933" s="24">
        <f t="shared" si="3"/>
        <v>919</v>
      </c>
      <c r="B933" s="522" t="s">
        <v>294</v>
      </c>
      <c r="C933" s="351"/>
      <c r="D933" s="523" t="s">
        <v>298</v>
      </c>
      <c r="E933" s="351"/>
      <c r="F933" s="524" t="s">
        <v>325</v>
      </c>
      <c r="G933" s="351"/>
      <c r="H933" s="561" t="s">
        <v>325</v>
      </c>
      <c r="I933" s="351"/>
      <c r="J933" s="562"/>
      <c r="K933" s="351"/>
      <c r="L933" s="562"/>
      <c r="M933" s="351"/>
      <c r="N933" s="37"/>
      <c r="O933" s="38"/>
      <c r="P933" s="560"/>
      <c r="Q933" s="351"/>
      <c r="R933" s="527"/>
      <c r="S933" s="351"/>
      <c r="T933" s="528"/>
      <c r="U933" s="351"/>
      <c r="V933" s="541"/>
      <c r="W933" s="351"/>
      <c r="X933" s="542" t="s">
        <v>294</v>
      </c>
      <c r="Y933" s="350"/>
      <c r="Z933" s="350"/>
      <c r="AA933" s="351"/>
      <c r="AB933" s="543" t="s">
        <v>294</v>
      </c>
      <c r="AC933" s="350"/>
      <c r="AD933" s="350"/>
      <c r="AE933" s="351"/>
      <c r="AF933" s="544"/>
      <c r="AG933" s="351"/>
      <c r="AH933" s="544"/>
      <c r="AI933" s="351"/>
      <c r="AJ933" s="545"/>
      <c r="AK933" s="351"/>
      <c r="AL933" s="524" t="s">
        <v>325</v>
      </c>
      <c r="AM933" s="351"/>
      <c r="AN933" s="549" t="s">
        <v>325</v>
      </c>
      <c r="AO933" s="351"/>
      <c r="AP933" s="550"/>
      <c r="AQ933" s="351"/>
      <c r="AR933" s="551"/>
      <c r="AS933" s="351"/>
      <c r="AT933" s="552"/>
      <c r="AU933" s="351"/>
      <c r="AV933" s="549" t="s">
        <v>325</v>
      </c>
      <c r="AW933" s="351"/>
      <c r="AX933" s="553"/>
      <c r="AY933" s="350"/>
      <c r="AZ933" s="351"/>
      <c r="BA933" s="554"/>
      <c r="BB933" s="351"/>
      <c r="BC933" s="39"/>
      <c r="BD933" s="546" t="s">
        <v>325</v>
      </c>
      <c r="BE933" s="351"/>
      <c r="BF933" s="547"/>
      <c r="BG933" s="350"/>
      <c r="BH933" s="350"/>
      <c r="BI933" s="351"/>
      <c r="BJ933" s="548" t="s">
        <v>294</v>
      </c>
      <c r="BK933" s="350"/>
      <c r="BL933" s="350"/>
      <c r="BM933" s="351"/>
      <c r="BN933" s="530" t="s">
        <v>294</v>
      </c>
      <c r="BO933" s="350"/>
      <c r="BP933" s="350"/>
      <c r="BQ933" s="350"/>
      <c r="BR933" s="350"/>
      <c r="BS933" s="350"/>
      <c r="BT933" s="350"/>
      <c r="BU933" s="350"/>
      <c r="BV933" s="351"/>
    </row>
    <row r="934" spans="1:74" ht="45" customHeight="1">
      <c r="A934" s="24">
        <f t="shared" si="3"/>
        <v>920</v>
      </c>
      <c r="B934" s="558" t="s">
        <v>294</v>
      </c>
      <c r="C934" s="351"/>
      <c r="D934" s="559" t="s">
        <v>298</v>
      </c>
      <c r="E934" s="351"/>
      <c r="F934" s="524" t="s">
        <v>325</v>
      </c>
      <c r="G934" s="351"/>
      <c r="H934" s="525" t="s">
        <v>325</v>
      </c>
      <c r="I934" s="351"/>
      <c r="J934" s="563"/>
      <c r="K934" s="351"/>
      <c r="L934" s="563"/>
      <c r="M934" s="351"/>
      <c r="N934" s="34"/>
      <c r="O934" s="35"/>
      <c r="P934" s="526"/>
      <c r="Q934" s="351"/>
      <c r="R934" s="535"/>
      <c r="S934" s="351"/>
      <c r="T934" s="536"/>
      <c r="U934" s="351"/>
      <c r="V934" s="537"/>
      <c r="W934" s="351"/>
      <c r="X934" s="538" t="s">
        <v>294</v>
      </c>
      <c r="Y934" s="350"/>
      <c r="Z934" s="350"/>
      <c r="AA934" s="351"/>
      <c r="AB934" s="539" t="s">
        <v>294</v>
      </c>
      <c r="AC934" s="350"/>
      <c r="AD934" s="350"/>
      <c r="AE934" s="351"/>
      <c r="AF934" s="540"/>
      <c r="AG934" s="351"/>
      <c r="AH934" s="540"/>
      <c r="AI934" s="351"/>
      <c r="AJ934" s="545"/>
      <c r="AK934" s="351"/>
      <c r="AL934" s="555" t="s">
        <v>325</v>
      </c>
      <c r="AM934" s="351"/>
      <c r="AN934" s="531" t="s">
        <v>325</v>
      </c>
      <c r="AO934" s="351"/>
      <c r="AP934" s="532"/>
      <c r="AQ934" s="351"/>
      <c r="AR934" s="533"/>
      <c r="AS934" s="351"/>
      <c r="AT934" s="534"/>
      <c r="AU934" s="351"/>
      <c r="AV934" s="531" t="s">
        <v>325</v>
      </c>
      <c r="AW934" s="351"/>
      <c r="AX934" s="553"/>
      <c r="AY934" s="350"/>
      <c r="AZ934" s="351"/>
      <c r="BA934" s="545"/>
      <c r="BB934" s="351"/>
      <c r="BC934" s="36"/>
      <c r="BD934" s="556" t="s">
        <v>325</v>
      </c>
      <c r="BE934" s="351"/>
      <c r="BF934" s="529"/>
      <c r="BG934" s="350"/>
      <c r="BH934" s="350"/>
      <c r="BI934" s="351"/>
      <c r="BJ934" s="506" t="s">
        <v>294</v>
      </c>
      <c r="BK934" s="350"/>
      <c r="BL934" s="350"/>
      <c r="BM934" s="351"/>
      <c r="BN934" s="530" t="s">
        <v>294</v>
      </c>
      <c r="BO934" s="350"/>
      <c r="BP934" s="350"/>
      <c r="BQ934" s="350"/>
      <c r="BR934" s="350"/>
      <c r="BS934" s="350"/>
      <c r="BT934" s="350"/>
      <c r="BU934" s="350"/>
      <c r="BV934" s="351"/>
    </row>
    <row r="935" spans="1:74" ht="45" customHeight="1">
      <c r="A935" s="24">
        <f t="shared" si="3"/>
        <v>921</v>
      </c>
      <c r="B935" s="522" t="s">
        <v>294</v>
      </c>
      <c r="C935" s="351"/>
      <c r="D935" s="523" t="s">
        <v>298</v>
      </c>
      <c r="E935" s="351"/>
      <c r="F935" s="524" t="s">
        <v>325</v>
      </c>
      <c r="G935" s="351"/>
      <c r="H935" s="561" t="s">
        <v>325</v>
      </c>
      <c r="I935" s="351"/>
      <c r="J935" s="562"/>
      <c r="K935" s="351"/>
      <c r="L935" s="562"/>
      <c r="M935" s="351"/>
      <c r="N935" s="37"/>
      <c r="O935" s="38"/>
      <c r="P935" s="560"/>
      <c r="Q935" s="351"/>
      <c r="R935" s="527"/>
      <c r="S935" s="351"/>
      <c r="T935" s="528"/>
      <c r="U935" s="351"/>
      <c r="V935" s="541"/>
      <c r="W935" s="351"/>
      <c r="X935" s="542" t="s">
        <v>294</v>
      </c>
      <c r="Y935" s="350"/>
      <c r="Z935" s="350"/>
      <c r="AA935" s="351"/>
      <c r="AB935" s="543" t="s">
        <v>294</v>
      </c>
      <c r="AC935" s="350"/>
      <c r="AD935" s="350"/>
      <c r="AE935" s="351"/>
      <c r="AF935" s="544"/>
      <c r="AG935" s="351"/>
      <c r="AH935" s="544"/>
      <c r="AI935" s="351"/>
      <c r="AJ935" s="545"/>
      <c r="AK935" s="351"/>
      <c r="AL935" s="524" t="s">
        <v>325</v>
      </c>
      <c r="AM935" s="351"/>
      <c r="AN935" s="549" t="s">
        <v>325</v>
      </c>
      <c r="AO935" s="351"/>
      <c r="AP935" s="550"/>
      <c r="AQ935" s="351"/>
      <c r="AR935" s="551"/>
      <c r="AS935" s="351"/>
      <c r="AT935" s="552"/>
      <c r="AU935" s="351"/>
      <c r="AV935" s="549" t="s">
        <v>325</v>
      </c>
      <c r="AW935" s="351"/>
      <c r="AX935" s="553"/>
      <c r="AY935" s="350"/>
      <c r="AZ935" s="351"/>
      <c r="BA935" s="554"/>
      <c r="BB935" s="351"/>
      <c r="BC935" s="39"/>
      <c r="BD935" s="546" t="s">
        <v>325</v>
      </c>
      <c r="BE935" s="351"/>
      <c r="BF935" s="547"/>
      <c r="BG935" s="350"/>
      <c r="BH935" s="350"/>
      <c r="BI935" s="351"/>
      <c r="BJ935" s="548" t="s">
        <v>294</v>
      </c>
      <c r="BK935" s="350"/>
      <c r="BL935" s="350"/>
      <c r="BM935" s="351"/>
      <c r="BN935" s="530" t="s">
        <v>294</v>
      </c>
      <c r="BO935" s="350"/>
      <c r="BP935" s="350"/>
      <c r="BQ935" s="350"/>
      <c r="BR935" s="350"/>
      <c r="BS935" s="350"/>
      <c r="BT935" s="350"/>
      <c r="BU935" s="350"/>
      <c r="BV935" s="351"/>
    </row>
    <row r="936" spans="1:74" ht="45" customHeight="1">
      <c r="A936" s="24">
        <f t="shared" si="3"/>
        <v>922</v>
      </c>
      <c r="B936" s="558" t="s">
        <v>294</v>
      </c>
      <c r="C936" s="351"/>
      <c r="D936" s="559" t="s">
        <v>298</v>
      </c>
      <c r="E936" s="351"/>
      <c r="F936" s="524" t="s">
        <v>325</v>
      </c>
      <c r="G936" s="351"/>
      <c r="H936" s="525" t="s">
        <v>325</v>
      </c>
      <c r="I936" s="351"/>
      <c r="J936" s="563"/>
      <c r="K936" s="351"/>
      <c r="L936" s="563"/>
      <c r="M936" s="351"/>
      <c r="N936" s="34"/>
      <c r="O936" s="35"/>
      <c r="P936" s="526"/>
      <c r="Q936" s="351"/>
      <c r="R936" s="535"/>
      <c r="S936" s="351"/>
      <c r="T936" s="536"/>
      <c r="U936" s="351"/>
      <c r="V936" s="537"/>
      <c r="W936" s="351"/>
      <c r="X936" s="538" t="s">
        <v>294</v>
      </c>
      <c r="Y936" s="350"/>
      <c r="Z936" s="350"/>
      <c r="AA936" s="351"/>
      <c r="AB936" s="539" t="s">
        <v>294</v>
      </c>
      <c r="AC936" s="350"/>
      <c r="AD936" s="350"/>
      <c r="AE936" s="351"/>
      <c r="AF936" s="540"/>
      <c r="AG936" s="351"/>
      <c r="AH936" s="540"/>
      <c r="AI936" s="351"/>
      <c r="AJ936" s="545"/>
      <c r="AK936" s="351"/>
      <c r="AL936" s="555" t="s">
        <v>325</v>
      </c>
      <c r="AM936" s="351"/>
      <c r="AN936" s="531" t="s">
        <v>325</v>
      </c>
      <c r="AO936" s="351"/>
      <c r="AP936" s="532"/>
      <c r="AQ936" s="351"/>
      <c r="AR936" s="533"/>
      <c r="AS936" s="351"/>
      <c r="AT936" s="534"/>
      <c r="AU936" s="351"/>
      <c r="AV936" s="531" t="s">
        <v>325</v>
      </c>
      <c r="AW936" s="351"/>
      <c r="AX936" s="553"/>
      <c r="AY936" s="350"/>
      <c r="AZ936" s="351"/>
      <c r="BA936" s="545"/>
      <c r="BB936" s="351"/>
      <c r="BC936" s="36"/>
      <c r="BD936" s="556" t="s">
        <v>325</v>
      </c>
      <c r="BE936" s="351"/>
      <c r="BF936" s="557"/>
      <c r="BG936" s="350"/>
      <c r="BH936" s="350"/>
      <c r="BI936" s="351"/>
      <c r="BJ936" s="506" t="s">
        <v>294</v>
      </c>
      <c r="BK936" s="350"/>
      <c r="BL936" s="350"/>
      <c r="BM936" s="351"/>
      <c r="BN936" s="530" t="s">
        <v>294</v>
      </c>
      <c r="BO936" s="350"/>
      <c r="BP936" s="350"/>
      <c r="BQ936" s="350"/>
      <c r="BR936" s="350"/>
      <c r="BS936" s="350"/>
      <c r="BT936" s="350"/>
      <c r="BU936" s="350"/>
      <c r="BV936" s="351"/>
    </row>
    <row r="937" spans="1:74" ht="45" customHeight="1">
      <c r="A937" s="24">
        <f t="shared" si="3"/>
        <v>923</v>
      </c>
      <c r="B937" s="522" t="s">
        <v>294</v>
      </c>
      <c r="C937" s="351"/>
      <c r="D937" s="523" t="s">
        <v>298</v>
      </c>
      <c r="E937" s="351"/>
      <c r="F937" s="524" t="s">
        <v>325</v>
      </c>
      <c r="G937" s="351"/>
      <c r="H937" s="561" t="s">
        <v>325</v>
      </c>
      <c r="I937" s="351"/>
      <c r="J937" s="562"/>
      <c r="K937" s="351"/>
      <c r="L937" s="562"/>
      <c r="M937" s="351"/>
      <c r="N937" s="34"/>
      <c r="O937" s="35"/>
      <c r="P937" s="526"/>
      <c r="Q937" s="351"/>
      <c r="R937" s="527"/>
      <c r="S937" s="351"/>
      <c r="T937" s="528"/>
      <c r="U937" s="351"/>
      <c r="V937" s="541"/>
      <c r="W937" s="351"/>
      <c r="X937" s="542" t="s">
        <v>294</v>
      </c>
      <c r="Y937" s="350"/>
      <c r="Z937" s="350"/>
      <c r="AA937" s="351"/>
      <c r="AB937" s="543" t="s">
        <v>294</v>
      </c>
      <c r="AC937" s="350"/>
      <c r="AD937" s="350"/>
      <c r="AE937" s="351"/>
      <c r="AF937" s="544"/>
      <c r="AG937" s="351"/>
      <c r="AH937" s="544"/>
      <c r="AI937" s="351"/>
      <c r="AJ937" s="545"/>
      <c r="AK937" s="351"/>
      <c r="AL937" s="524" t="s">
        <v>325</v>
      </c>
      <c r="AM937" s="351"/>
      <c r="AN937" s="549" t="s">
        <v>325</v>
      </c>
      <c r="AO937" s="351"/>
      <c r="AP937" s="550"/>
      <c r="AQ937" s="351"/>
      <c r="AR937" s="551"/>
      <c r="AS937" s="351"/>
      <c r="AT937" s="534"/>
      <c r="AU937" s="351"/>
      <c r="AV937" s="549" t="s">
        <v>325</v>
      </c>
      <c r="AW937" s="351"/>
      <c r="AX937" s="553"/>
      <c r="AY937" s="350"/>
      <c r="AZ937" s="351"/>
      <c r="BA937" s="554"/>
      <c r="BB937" s="351"/>
      <c r="BC937" s="39"/>
      <c r="BD937" s="546" t="s">
        <v>325</v>
      </c>
      <c r="BE937" s="351"/>
      <c r="BF937" s="547"/>
      <c r="BG937" s="350"/>
      <c r="BH937" s="350"/>
      <c r="BI937" s="351"/>
      <c r="BJ937" s="548" t="s">
        <v>294</v>
      </c>
      <c r="BK937" s="350"/>
      <c r="BL937" s="350"/>
      <c r="BM937" s="351"/>
      <c r="BN937" s="530" t="s">
        <v>294</v>
      </c>
      <c r="BO937" s="350"/>
      <c r="BP937" s="350"/>
      <c r="BQ937" s="350"/>
      <c r="BR937" s="350"/>
      <c r="BS937" s="350"/>
      <c r="BT937" s="350"/>
      <c r="BU937" s="350"/>
      <c r="BV937" s="351"/>
    </row>
    <row r="938" spans="1:74" ht="45" customHeight="1">
      <c r="A938" s="24">
        <f t="shared" si="3"/>
        <v>924</v>
      </c>
      <c r="B938" s="558" t="s">
        <v>294</v>
      </c>
      <c r="C938" s="351"/>
      <c r="D938" s="559" t="s">
        <v>298</v>
      </c>
      <c r="E938" s="351"/>
      <c r="F938" s="524" t="s">
        <v>325</v>
      </c>
      <c r="G938" s="351"/>
      <c r="H938" s="525" t="s">
        <v>325</v>
      </c>
      <c r="I938" s="351"/>
      <c r="J938" s="563"/>
      <c r="K938" s="351"/>
      <c r="L938" s="563"/>
      <c r="M938" s="351"/>
      <c r="N938" s="37"/>
      <c r="O938" s="38"/>
      <c r="P938" s="560"/>
      <c r="Q938" s="351"/>
      <c r="R938" s="535"/>
      <c r="S938" s="351"/>
      <c r="T938" s="536"/>
      <c r="U938" s="351"/>
      <c r="V938" s="537"/>
      <c r="W938" s="351"/>
      <c r="X938" s="538" t="s">
        <v>294</v>
      </c>
      <c r="Y938" s="350"/>
      <c r="Z938" s="350"/>
      <c r="AA938" s="351"/>
      <c r="AB938" s="539" t="s">
        <v>294</v>
      </c>
      <c r="AC938" s="350"/>
      <c r="AD938" s="350"/>
      <c r="AE938" s="351"/>
      <c r="AF938" s="540"/>
      <c r="AG938" s="351"/>
      <c r="AH938" s="540"/>
      <c r="AI938" s="351"/>
      <c r="AJ938" s="545"/>
      <c r="AK938" s="351"/>
      <c r="AL938" s="555" t="s">
        <v>325</v>
      </c>
      <c r="AM938" s="351"/>
      <c r="AN938" s="531" t="s">
        <v>325</v>
      </c>
      <c r="AO938" s="351"/>
      <c r="AP938" s="532"/>
      <c r="AQ938" s="351"/>
      <c r="AR938" s="533"/>
      <c r="AS938" s="351"/>
      <c r="AT938" s="534"/>
      <c r="AU938" s="351"/>
      <c r="AV938" s="531" t="s">
        <v>325</v>
      </c>
      <c r="AW938" s="351"/>
      <c r="AX938" s="553"/>
      <c r="AY938" s="350"/>
      <c r="AZ938" s="351"/>
      <c r="BA938" s="545"/>
      <c r="BB938" s="351"/>
      <c r="BC938" s="36"/>
      <c r="BD938" s="556" t="s">
        <v>325</v>
      </c>
      <c r="BE938" s="351"/>
      <c r="BF938" s="557"/>
      <c r="BG938" s="350"/>
      <c r="BH938" s="350"/>
      <c r="BI938" s="351"/>
      <c r="BJ938" s="506" t="s">
        <v>294</v>
      </c>
      <c r="BK938" s="350"/>
      <c r="BL938" s="350"/>
      <c r="BM938" s="351"/>
      <c r="BN938" s="530" t="s">
        <v>294</v>
      </c>
      <c r="BO938" s="350"/>
      <c r="BP938" s="350"/>
      <c r="BQ938" s="350"/>
      <c r="BR938" s="350"/>
      <c r="BS938" s="350"/>
      <c r="BT938" s="350"/>
      <c r="BU938" s="350"/>
      <c r="BV938" s="351"/>
    </row>
    <row r="939" spans="1:74" ht="45" customHeight="1">
      <c r="A939" s="24">
        <f t="shared" si="3"/>
        <v>925</v>
      </c>
      <c r="B939" s="522" t="s">
        <v>294</v>
      </c>
      <c r="C939" s="351"/>
      <c r="D939" s="523" t="s">
        <v>298</v>
      </c>
      <c r="E939" s="351"/>
      <c r="F939" s="524" t="s">
        <v>325</v>
      </c>
      <c r="G939" s="351"/>
      <c r="H939" s="561" t="s">
        <v>325</v>
      </c>
      <c r="I939" s="351"/>
      <c r="J939" s="562"/>
      <c r="K939" s="351"/>
      <c r="L939" s="562"/>
      <c r="M939" s="351"/>
      <c r="N939" s="34"/>
      <c r="O939" s="35"/>
      <c r="P939" s="526"/>
      <c r="Q939" s="351"/>
      <c r="R939" s="527"/>
      <c r="S939" s="351"/>
      <c r="T939" s="528"/>
      <c r="U939" s="351"/>
      <c r="V939" s="541"/>
      <c r="W939" s="351"/>
      <c r="X939" s="542" t="s">
        <v>294</v>
      </c>
      <c r="Y939" s="350"/>
      <c r="Z939" s="350"/>
      <c r="AA939" s="351"/>
      <c r="AB939" s="543" t="s">
        <v>294</v>
      </c>
      <c r="AC939" s="350"/>
      <c r="AD939" s="350"/>
      <c r="AE939" s="351"/>
      <c r="AF939" s="544"/>
      <c r="AG939" s="351"/>
      <c r="AH939" s="544"/>
      <c r="AI939" s="351"/>
      <c r="AJ939" s="545"/>
      <c r="AK939" s="351"/>
      <c r="AL939" s="524" t="s">
        <v>325</v>
      </c>
      <c r="AM939" s="351"/>
      <c r="AN939" s="549" t="s">
        <v>325</v>
      </c>
      <c r="AO939" s="351"/>
      <c r="AP939" s="550"/>
      <c r="AQ939" s="351"/>
      <c r="AR939" s="551"/>
      <c r="AS939" s="351"/>
      <c r="AT939" s="534"/>
      <c r="AU939" s="351"/>
      <c r="AV939" s="549" t="s">
        <v>325</v>
      </c>
      <c r="AW939" s="351"/>
      <c r="AX939" s="553"/>
      <c r="AY939" s="350"/>
      <c r="AZ939" s="351"/>
      <c r="BA939" s="554"/>
      <c r="BB939" s="351"/>
      <c r="BC939" s="39"/>
      <c r="BD939" s="546" t="s">
        <v>325</v>
      </c>
      <c r="BE939" s="351"/>
      <c r="BF939" s="547"/>
      <c r="BG939" s="350"/>
      <c r="BH939" s="350"/>
      <c r="BI939" s="351"/>
      <c r="BJ939" s="548" t="s">
        <v>294</v>
      </c>
      <c r="BK939" s="350"/>
      <c r="BL939" s="350"/>
      <c r="BM939" s="351"/>
      <c r="BN939" s="530" t="s">
        <v>294</v>
      </c>
      <c r="BO939" s="350"/>
      <c r="BP939" s="350"/>
      <c r="BQ939" s="350"/>
      <c r="BR939" s="350"/>
      <c r="BS939" s="350"/>
      <c r="BT939" s="350"/>
      <c r="BU939" s="350"/>
      <c r="BV939" s="351"/>
    </row>
    <row r="940" spans="1:74" ht="45" customHeight="1">
      <c r="A940" s="24">
        <f t="shared" si="3"/>
        <v>926</v>
      </c>
      <c r="B940" s="558" t="s">
        <v>294</v>
      </c>
      <c r="C940" s="351"/>
      <c r="D940" s="559" t="s">
        <v>298</v>
      </c>
      <c r="E940" s="351"/>
      <c r="F940" s="524" t="s">
        <v>325</v>
      </c>
      <c r="G940" s="351"/>
      <c r="H940" s="525" t="s">
        <v>325</v>
      </c>
      <c r="I940" s="351"/>
      <c r="J940" s="563"/>
      <c r="K940" s="351"/>
      <c r="L940" s="563"/>
      <c r="M940" s="351"/>
      <c r="N940" s="37"/>
      <c r="O940" s="38"/>
      <c r="P940" s="560"/>
      <c r="Q940" s="351"/>
      <c r="R940" s="535"/>
      <c r="S940" s="351"/>
      <c r="T940" s="536"/>
      <c r="U940" s="351"/>
      <c r="V940" s="537"/>
      <c r="W940" s="351"/>
      <c r="X940" s="538" t="s">
        <v>294</v>
      </c>
      <c r="Y940" s="350"/>
      <c r="Z940" s="350"/>
      <c r="AA940" s="351"/>
      <c r="AB940" s="539" t="s">
        <v>294</v>
      </c>
      <c r="AC940" s="350"/>
      <c r="AD940" s="350"/>
      <c r="AE940" s="351"/>
      <c r="AF940" s="540"/>
      <c r="AG940" s="351"/>
      <c r="AH940" s="540"/>
      <c r="AI940" s="351"/>
      <c r="AJ940" s="545"/>
      <c r="AK940" s="351"/>
      <c r="AL940" s="555" t="s">
        <v>325</v>
      </c>
      <c r="AM940" s="351"/>
      <c r="AN940" s="531" t="s">
        <v>325</v>
      </c>
      <c r="AO940" s="351"/>
      <c r="AP940" s="532"/>
      <c r="AQ940" s="351"/>
      <c r="AR940" s="533"/>
      <c r="AS940" s="351"/>
      <c r="AT940" s="534"/>
      <c r="AU940" s="351"/>
      <c r="AV940" s="531" t="s">
        <v>325</v>
      </c>
      <c r="AW940" s="351"/>
      <c r="AX940" s="553"/>
      <c r="AY940" s="350"/>
      <c r="AZ940" s="351"/>
      <c r="BA940" s="545"/>
      <c r="BB940" s="351"/>
      <c r="BC940" s="36"/>
      <c r="BD940" s="556" t="s">
        <v>325</v>
      </c>
      <c r="BE940" s="351"/>
      <c r="BF940" s="557"/>
      <c r="BG940" s="350"/>
      <c r="BH940" s="350"/>
      <c r="BI940" s="351"/>
      <c r="BJ940" s="506" t="s">
        <v>294</v>
      </c>
      <c r="BK940" s="350"/>
      <c r="BL940" s="350"/>
      <c r="BM940" s="351"/>
      <c r="BN940" s="530" t="s">
        <v>294</v>
      </c>
      <c r="BO940" s="350"/>
      <c r="BP940" s="350"/>
      <c r="BQ940" s="350"/>
      <c r="BR940" s="350"/>
      <c r="BS940" s="350"/>
      <c r="BT940" s="350"/>
      <c r="BU940" s="350"/>
      <c r="BV940" s="351"/>
    </row>
    <row r="941" spans="1:74" ht="45" customHeight="1">
      <c r="A941" s="24">
        <f t="shared" si="3"/>
        <v>927</v>
      </c>
      <c r="B941" s="522" t="s">
        <v>294</v>
      </c>
      <c r="C941" s="351"/>
      <c r="D941" s="523" t="s">
        <v>298</v>
      </c>
      <c r="E941" s="351"/>
      <c r="F941" s="524" t="s">
        <v>325</v>
      </c>
      <c r="G941" s="351"/>
      <c r="H941" s="561" t="s">
        <v>325</v>
      </c>
      <c r="I941" s="351"/>
      <c r="J941" s="562"/>
      <c r="K941" s="351"/>
      <c r="L941" s="562"/>
      <c r="M941" s="351"/>
      <c r="N941" s="34"/>
      <c r="O941" s="38"/>
      <c r="P941" s="526"/>
      <c r="Q941" s="351"/>
      <c r="R941" s="527"/>
      <c r="S941" s="351"/>
      <c r="T941" s="528"/>
      <c r="U941" s="351"/>
      <c r="V941" s="541"/>
      <c r="W941" s="351"/>
      <c r="X941" s="542" t="s">
        <v>294</v>
      </c>
      <c r="Y941" s="350"/>
      <c r="Z941" s="350"/>
      <c r="AA941" s="351"/>
      <c r="AB941" s="543" t="s">
        <v>294</v>
      </c>
      <c r="AC941" s="350"/>
      <c r="AD941" s="350"/>
      <c r="AE941" s="351"/>
      <c r="AF941" s="544"/>
      <c r="AG941" s="351"/>
      <c r="AH941" s="544"/>
      <c r="AI941" s="351"/>
      <c r="AJ941" s="545"/>
      <c r="AK941" s="351"/>
      <c r="AL941" s="524" t="s">
        <v>325</v>
      </c>
      <c r="AM941" s="351"/>
      <c r="AN941" s="549" t="s">
        <v>325</v>
      </c>
      <c r="AO941" s="351"/>
      <c r="AP941" s="550"/>
      <c r="AQ941" s="351"/>
      <c r="AR941" s="551"/>
      <c r="AS941" s="351"/>
      <c r="AT941" s="552"/>
      <c r="AU941" s="351"/>
      <c r="AV941" s="549" t="s">
        <v>325</v>
      </c>
      <c r="AW941" s="351"/>
      <c r="AX941" s="553"/>
      <c r="AY941" s="350"/>
      <c r="AZ941" s="351"/>
      <c r="BA941" s="554"/>
      <c r="BB941" s="351"/>
      <c r="BC941" s="39"/>
      <c r="BD941" s="546" t="s">
        <v>325</v>
      </c>
      <c r="BE941" s="351"/>
      <c r="BF941" s="547"/>
      <c r="BG941" s="350"/>
      <c r="BH941" s="350"/>
      <c r="BI941" s="351"/>
      <c r="BJ941" s="548" t="s">
        <v>294</v>
      </c>
      <c r="BK941" s="350"/>
      <c r="BL941" s="350"/>
      <c r="BM941" s="351"/>
      <c r="BN941" s="530" t="s">
        <v>294</v>
      </c>
      <c r="BO941" s="350"/>
      <c r="BP941" s="350"/>
      <c r="BQ941" s="350"/>
      <c r="BR941" s="350"/>
      <c r="BS941" s="350"/>
      <c r="BT941" s="350"/>
      <c r="BU941" s="350"/>
      <c r="BV941" s="351"/>
    </row>
    <row r="942" spans="1:74" ht="45" customHeight="1">
      <c r="A942" s="24">
        <f t="shared" si="3"/>
        <v>928</v>
      </c>
      <c r="B942" s="558" t="s">
        <v>294</v>
      </c>
      <c r="C942" s="351"/>
      <c r="D942" s="559" t="s">
        <v>298</v>
      </c>
      <c r="E942" s="351"/>
      <c r="F942" s="524" t="s">
        <v>325</v>
      </c>
      <c r="G942" s="351"/>
      <c r="H942" s="525" t="s">
        <v>325</v>
      </c>
      <c r="I942" s="351"/>
      <c r="J942" s="563"/>
      <c r="K942" s="351"/>
      <c r="L942" s="563"/>
      <c r="M942" s="351"/>
      <c r="N942" s="37"/>
      <c r="O942" s="35"/>
      <c r="P942" s="560"/>
      <c r="Q942" s="351"/>
      <c r="R942" s="535"/>
      <c r="S942" s="351"/>
      <c r="T942" s="536"/>
      <c r="U942" s="351"/>
      <c r="V942" s="537"/>
      <c r="W942" s="351"/>
      <c r="X942" s="538" t="s">
        <v>294</v>
      </c>
      <c r="Y942" s="350"/>
      <c r="Z942" s="350"/>
      <c r="AA942" s="351"/>
      <c r="AB942" s="539" t="s">
        <v>294</v>
      </c>
      <c r="AC942" s="350"/>
      <c r="AD942" s="350"/>
      <c r="AE942" s="351"/>
      <c r="AF942" s="540"/>
      <c r="AG942" s="351"/>
      <c r="AH942" s="540"/>
      <c r="AI942" s="351"/>
      <c r="AJ942" s="545"/>
      <c r="AK942" s="351"/>
      <c r="AL942" s="555" t="s">
        <v>325</v>
      </c>
      <c r="AM942" s="351"/>
      <c r="AN942" s="531" t="s">
        <v>325</v>
      </c>
      <c r="AO942" s="351"/>
      <c r="AP942" s="532"/>
      <c r="AQ942" s="351"/>
      <c r="AR942" s="533"/>
      <c r="AS942" s="351"/>
      <c r="AT942" s="534"/>
      <c r="AU942" s="351"/>
      <c r="AV942" s="531" t="s">
        <v>325</v>
      </c>
      <c r="AW942" s="351"/>
      <c r="AX942" s="553"/>
      <c r="AY942" s="350"/>
      <c r="AZ942" s="351"/>
      <c r="BA942" s="545"/>
      <c r="BB942" s="351"/>
      <c r="BC942" s="36"/>
      <c r="BD942" s="556" t="s">
        <v>325</v>
      </c>
      <c r="BE942" s="351"/>
      <c r="BF942" s="529"/>
      <c r="BG942" s="350"/>
      <c r="BH942" s="350"/>
      <c r="BI942" s="351"/>
      <c r="BJ942" s="506" t="s">
        <v>294</v>
      </c>
      <c r="BK942" s="350"/>
      <c r="BL942" s="350"/>
      <c r="BM942" s="351"/>
      <c r="BN942" s="530" t="s">
        <v>294</v>
      </c>
      <c r="BO942" s="350"/>
      <c r="BP942" s="350"/>
      <c r="BQ942" s="350"/>
      <c r="BR942" s="350"/>
      <c r="BS942" s="350"/>
      <c r="BT942" s="350"/>
      <c r="BU942" s="350"/>
      <c r="BV942" s="351"/>
    </row>
    <row r="943" spans="1:74" ht="45" customHeight="1">
      <c r="A943" s="24">
        <f t="shared" si="3"/>
        <v>929</v>
      </c>
      <c r="B943" s="522" t="s">
        <v>294</v>
      </c>
      <c r="C943" s="351"/>
      <c r="D943" s="523" t="s">
        <v>298</v>
      </c>
      <c r="E943" s="351"/>
      <c r="F943" s="524" t="s">
        <v>325</v>
      </c>
      <c r="G943" s="351"/>
      <c r="H943" s="561" t="s">
        <v>325</v>
      </c>
      <c r="I943" s="351"/>
      <c r="J943" s="562"/>
      <c r="K943" s="351"/>
      <c r="L943" s="562"/>
      <c r="M943" s="351"/>
      <c r="N943" s="34"/>
      <c r="O943" s="38"/>
      <c r="P943" s="526"/>
      <c r="Q943" s="351"/>
      <c r="R943" s="527"/>
      <c r="S943" s="351"/>
      <c r="T943" s="528"/>
      <c r="U943" s="351"/>
      <c r="V943" s="541"/>
      <c r="W943" s="351"/>
      <c r="X943" s="542" t="s">
        <v>294</v>
      </c>
      <c r="Y943" s="350"/>
      <c r="Z943" s="350"/>
      <c r="AA943" s="351"/>
      <c r="AB943" s="543" t="s">
        <v>294</v>
      </c>
      <c r="AC943" s="350"/>
      <c r="AD943" s="350"/>
      <c r="AE943" s="351"/>
      <c r="AF943" s="544"/>
      <c r="AG943" s="351"/>
      <c r="AH943" s="544"/>
      <c r="AI943" s="351"/>
      <c r="AJ943" s="545"/>
      <c r="AK943" s="351"/>
      <c r="AL943" s="524" t="s">
        <v>325</v>
      </c>
      <c r="AM943" s="351"/>
      <c r="AN943" s="549" t="s">
        <v>325</v>
      </c>
      <c r="AO943" s="351"/>
      <c r="AP943" s="550"/>
      <c r="AQ943" s="351"/>
      <c r="AR943" s="551"/>
      <c r="AS943" s="351"/>
      <c r="AT943" s="552"/>
      <c r="AU943" s="351"/>
      <c r="AV943" s="549" t="s">
        <v>325</v>
      </c>
      <c r="AW943" s="351"/>
      <c r="AX943" s="553"/>
      <c r="AY943" s="350"/>
      <c r="AZ943" s="351"/>
      <c r="BA943" s="554"/>
      <c r="BB943" s="351"/>
      <c r="BC943" s="39"/>
      <c r="BD943" s="546" t="s">
        <v>325</v>
      </c>
      <c r="BE943" s="351"/>
      <c r="BF943" s="547"/>
      <c r="BG943" s="350"/>
      <c r="BH943" s="350"/>
      <c r="BI943" s="351"/>
      <c r="BJ943" s="548" t="s">
        <v>294</v>
      </c>
      <c r="BK943" s="350"/>
      <c r="BL943" s="350"/>
      <c r="BM943" s="351"/>
      <c r="BN943" s="530" t="s">
        <v>294</v>
      </c>
      <c r="BO943" s="350"/>
      <c r="BP943" s="350"/>
      <c r="BQ943" s="350"/>
      <c r="BR943" s="350"/>
      <c r="BS943" s="350"/>
      <c r="BT943" s="350"/>
      <c r="BU943" s="350"/>
      <c r="BV943" s="351"/>
    </row>
    <row r="944" spans="1:74" ht="45" customHeight="1">
      <c r="A944" s="24">
        <f t="shared" si="3"/>
        <v>930</v>
      </c>
      <c r="B944" s="558" t="s">
        <v>294</v>
      </c>
      <c r="C944" s="351"/>
      <c r="D944" s="559" t="s">
        <v>298</v>
      </c>
      <c r="E944" s="351"/>
      <c r="F944" s="524" t="s">
        <v>325</v>
      </c>
      <c r="G944" s="351"/>
      <c r="H944" s="525" t="s">
        <v>325</v>
      </c>
      <c r="I944" s="351"/>
      <c r="J944" s="563"/>
      <c r="K944" s="351"/>
      <c r="L944" s="563"/>
      <c r="M944" s="351"/>
      <c r="N944" s="37"/>
      <c r="O944" s="35"/>
      <c r="P944" s="560"/>
      <c r="Q944" s="351"/>
      <c r="R944" s="535"/>
      <c r="S944" s="351"/>
      <c r="T944" s="536"/>
      <c r="U944" s="351"/>
      <c r="V944" s="537"/>
      <c r="W944" s="351"/>
      <c r="X944" s="538" t="s">
        <v>294</v>
      </c>
      <c r="Y944" s="350"/>
      <c r="Z944" s="350"/>
      <c r="AA944" s="351"/>
      <c r="AB944" s="539" t="s">
        <v>294</v>
      </c>
      <c r="AC944" s="350"/>
      <c r="AD944" s="350"/>
      <c r="AE944" s="351"/>
      <c r="AF944" s="540"/>
      <c r="AG944" s="351"/>
      <c r="AH944" s="540"/>
      <c r="AI944" s="351"/>
      <c r="AJ944" s="545"/>
      <c r="AK944" s="351"/>
      <c r="AL944" s="555" t="s">
        <v>325</v>
      </c>
      <c r="AM944" s="351"/>
      <c r="AN944" s="531" t="s">
        <v>325</v>
      </c>
      <c r="AO944" s="351"/>
      <c r="AP944" s="532"/>
      <c r="AQ944" s="351"/>
      <c r="AR944" s="533"/>
      <c r="AS944" s="351"/>
      <c r="AT944" s="534"/>
      <c r="AU944" s="351"/>
      <c r="AV944" s="531" t="s">
        <v>325</v>
      </c>
      <c r="AW944" s="351"/>
      <c r="AX944" s="553"/>
      <c r="AY944" s="350"/>
      <c r="AZ944" s="351"/>
      <c r="BA944" s="545"/>
      <c r="BB944" s="351"/>
      <c r="BC944" s="36"/>
      <c r="BD944" s="556" t="s">
        <v>325</v>
      </c>
      <c r="BE944" s="351"/>
      <c r="BF944" s="557"/>
      <c r="BG944" s="350"/>
      <c r="BH944" s="350"/>
      <c r="BI944" s="351"/>
      <c r="BJ944" s="506" t="s">
        <v>294</v>
      </c>
      <c r="BK944" s="350"/>
      <c r="BL944" s="350"/>
      <c r="BM944" s="351"/>
      <c r="BN944" s="530" t="s">
        <v>294</v>
      </c>
      <c r="BO944" s="350"/>
      <c r="BP944" s="350"/>
      <c r="BQ944" s="350"/>
      <c r="BR944" s="350"/>
      <c r="BS944" s="350"/>
      <c r="BT944" s="350"/>
      <c r="BU944" s="350"/>
      <c r="BV944" s="351"/>
    </row>
    <row r="945" spans="1:74" ht="45" customHeight="1">
      <c r="A945" s="24">
        <f t="shared" si="3"/>
        <v>931</v>
      </c>
      <c r="B945" s="522" t="s">
        <v>294</v>
      </c>
      <c r="C945" s="351"/>
      <c r="D945" s="523" t="s">
        <v>298</v>
      </c>
      <c r="E945" s="351"/>
      <c r="F945" s="524" t="s">
        <v>325</v>
      </c>
      <c r="G945" s="351"/>
      <c r="H945" s="561" t="s">
        <v>325</v>
      </c>
      <c r="I945" s="351"/>
      <c r="J945" s="562"/>
      <c r="K945" s="351"/>
      <c r="L945" s="562"/>
      <c r="M945" s="351"/>
      <c r="N945" s="34"/>
      <c r="O945" s="38"/>
      <c r="P945" s="526"/>
      <c r="Q945" s="351"/>
      <c r="R945" s="527"/>
      <c r="S945" s="351"/>
      <c r="T945" s="528"/>
      <c r="U945" s="351"/>
      <c r="V945" s="541"/>
      <c r="W945" s="351"/>
      <c r="X945" s="542" t="s">
        <v>294</v>
      </c>
      <c r="Y945" s="350"/>
      <c r="Z945" s="350"/>
      <c r="AA945" s="351"/>
      <c r="AB945" s="543" t="s">
        <v>294</v>
      </c>
      <c r="AC945" s="350"/>
      <c r="AD945" s="350"/>
      <c r="AE945" s="351"/>
      <c r="AF945" s="544"/>
      <c r="AG945" s="351"/>
      <c r="AH945" s="544"/>
      <c r="AI945" s="351"/>
      <c r="AJ945" s="545"/>
      <c r="AK945" s="351"/>
      <c r="AL945" s="524" t="s">
        <v>325</v>
      </c>
      <c r="AM945" s="351"/>
      <c r="AN945" s="549" t="s">
        <v>325</v>
      </c>
      <c r="AO945" s="351"/>
      <c r="AP945" s="550"/>
      <c r="AQ945" s="351"/>
      <c r="AR945" s="551"/>
      <c r="AS945" s="351"/>
      <c r="AT945" s="552"/>
      <c r="AU945" s="351"/>
      <c r="AV945" s="549" t="s">
        <v>325</v>
      </c>
      <c r="AW945" s="351"/>
      <c r="AX945" s="553"/>
      <c r="AY945" s="350"/>
      <c r="AZ945" s="351"/>
      <c r="BA945" s="554"/>
      <c r="BB945" s="351"/>
      <c r="BC945" s="39"/>
      <c r="BD945" s="546" t="s">
        <v>325</v>
      </c>
      <c r="BE945" s="351"/>
      <c r="BF945" s="547"/>
      <c r="BG945" s="350"/>
      <c r="BH945" s="350"/>
      <c r="BI945" s="351"/>
      <c r="BJ945" s="548" t="s">
        <v>294</v>
      </c>
      <c r="BK945" s="350"/>
      <c r="BL945" s="350"/>
      <c r="BM945" s="351"/>
      <c r="BN945" s="530" t="s">
        <v>294</v>
      </c>
      <c r="BO945" s="350"/>
      <c r="BP945" s="350"/>
      <c r="BQ945" s="350"/>
      <c r="BR945" s="350"/>
      <c r="BS945" s="350"/>
      <c r="BT945" s="350"/>
      <c r="BU945" s="350"/>
      <c r="BV945" s="351"/>
    </row>
    <row r="946" spans="1:74" ht="45" customHeight="1">
      <c r="A946" s="24">
        <f t="shared" si="3"/>
        <v>932</v>
      </c>
      <c r="B946" s="558" t="s">
        <v>294</v>
      </c>
      <c r="C946" s="351"/>
      <c r="D946" s="559" t="s">
        <v>298</v>
      </c>
      <c r="E946" s="351"/>
      <c r="F946" s="524" t="s">
        <v>325</v>
      </c>
      <c r="G946" s="351"/>
      <c r="H946" s="525" t="s">
        <v>325</v>
      </c>
      <c r="I946" s="351"/>
      <c r="J946" s="563"/>
      <c r="K946" s="351"/>
      <c r="L946" s="563"/>
      <c r="M946" s="351"/>
      <c r="N946" s="37"/>
      <c r="O946" s="35"/>
      <c r="P946" s="560"/>
      <c r="Q946" s="351"/>
      <c r="R946" s="535"/>
      <c r="S946" s="351"/>
      <c r="T946" s="536"/>
      <c r="U946" s="351"/>
      <c r="V946" s="537"/>
      <c r="W946" s="351"/>
      <c r="X946" s="538" t="s">
        <v>294</v>
      </c>
      <c r="Y946" s="350"/>
      <c r="Z946" s="350"/>
      <c r="AA946" s="351"/>
      <c r="AB946" s="539" t="s">
        <v>294</v>
      </c>
      <c r="AC946" s="350"/>
      <c r="AD946" s="350"/>
      <c r="AE946" s="351"/>
      <c r="AF946" s="540"/>
      <c r="AG946" s="351"/>
      <c r="AH946" s="540"/>
      <c r="AI946" s="351"/>
      <c r="AJ946" s="545"/>
      <c r="AK946" s="351"/>
      <c r="AL946" s="555" t="s">
        <v>325</v>
      </c>
      <c r="AM946" s="351"/>
      <c r="AN946" s="531" t="s">
        <v>325</v>
      </c>
      <c r="AO946" s="351"/>
      <c r="AP946" s="532"/>
      <c r="AQ946" s="351"/>
      <c r="AR946" s="533"/>
      <c r="AS946" s="351"/>
      <c r="AT946" s="534"/>
      <c r="AU946" s="351"/>
      <c r="AV946" s="531" t="s">
        <v>325</v>
      </c>
      <c r="AW946" s="351"/>
      <c r="AX946" s="553"/>
      <c r="AY946" s="350"/>
      <c r="AZ946" s="351"/>
      <c r="BA946" s="545"/>
      <c r="BB946" s="351"/>
      <c r="BC946" s="36"/>
      <c r="BD946" s="556" t="s">
        <v>325</v>
      </c>
      <c r="BE946" s="351"/>
      <c r="BF946" s="557"/>
      <c r="BG946" s="350"/>
      <c r="BH946" s="350"/>
      <c r="BI946" s="351"/>
      <c r="BJ946" s="506" t="s">
        <v>294</v>
      </c>
      <c r="BK946" s="350"/>
      <c r="BL946" s="350"/>
      <c r="BM946" s="351"/>
      <c r="BN946" s="530" t="s">
        <v>294</v>
      </c>
      <c r="BO946" s="350"/>
      <c r="BP946" s="350"/>
      <c r="BQ946" s="350"/>
      <c r="BR946" s="350"/>
      <c r="BS946" s="350"/>
      <c r="BT946" s="350"/>
      <c r="BU946" s="350"/>
      <c r="BV946" s="351"/>
    </row>
    <row r="947" spans="1:74" ht="45" customHeight="1">
      <c r="A947" s="24">
        <f t="shared" si="3"/>
        <v>933</v>
      </c>
      <c r="B947" s="522" t="s">
        <v>294</v>
      </c>
      <c r="C947" s="351"/>
      <c r="D947" s="523" t="s">
        <v>298</v>
      </c>
      <c r="E947" s="351"/>
      <c r="F947" s="524" t="s">
        <v>325</v>
      </c>
      <c r="G947" s="351"/>
      <c r="H947" s="561" t="s">
        <v>325</v>
      </c>
      <c r="I947" s="351"/>
      <c r="J947" s="562"/>
      <c r="K947" s="351"/>
      <c r="L947" s="562"/>
      <c r="M947" s="351"/>
      <c r="N947" s="34"/>
      <c r="O947" s="38"/>
      <c r="P947" s="526"/>
      <c r="Q947" s="351"/>
      <c r="R947" s="527"/>
      <c r="S947" s="351"/>
      <c r="T947" s="528"/>
      <c r="U947" s="351"/>
      <c r="V947" s="541"/>
      <c r="W947" s="351"/>
      <c r="X947" s="542" t="s">
        <v>294</v>
      </c>
      <c r="Y947" s="350"/>
      <c r="Z947" s="350"/>
      <c r="AA947" s="351"/>
      <c r="AB947" s="543" t="s">
        <v>294</v>
      </c>
      <c r="AC947" s="350"/>
      <c r="AD947" s="350"/>
      <c r="AE947" s="351"/>
      <c r="AF947" s="544"/>
      <c r="AG947" s="351"/>
      <c r="AH947" s="544"/>
      <c r="AI947" s="351"/>
      <c r="AJ947" s="545"/>
      <c r="AK947" s="351"/>
      <c r="AL947" s="524" t="s">
        <v>325</v>
      </c>
      <c r="AM947" s="351"/>
      <c r="AN947" s="549" t="s">
        <v>325</v>
      </c>
      <c r="AO947" s="351"/>
      <c r="AP947" s="550"/>
      <c r="AQ947" s="351"/>
      <c r="AR947" s="551"/>
      <c r="AS947" s="351"/>
      <c r="AT947" s="552"/>
      <c r="AU947" s="351"/>
      <c r="AV947" s="549" t="s">
        <v>325</v>
      </c>
      <c r="AW947" s="351"/>
      <c r="AX947" s="553"/>
      <c r="AY947" s="350"/>
      <c r="AZ947" s="351"/>
      <c r="BA947" s="554"/>
      <c r="BB947" s="351"/>
      <c r="BC947" s="39"/>
      <c r="BD947" s="546" t="s">
        <v>325</v>
      </c>
      <c r="BE947" s="351"/>
      <c r="BF947" s="547"/>
      <c r="BG947" s="350"/>
      <c r="BH947" s="350"/>
      <c r="BI947" s="351"/>
      <c r="BJ947" s="548" t="s">
        <v>294</v>
      </c>
      <c r="BK947" s="350"/>
      <c r="BL947" s="350"/>
      <c r="BM947" s="351"/>
      <c r="BN947" s="530" t="s">
        <v>294</v>
      </c>
      <c r="BO947" s="350"/>
      <c r="BP947" s="350"/>
      <c r="BQ947" s="350"/>
      <c r="BR947" s="350"/>
      <c r="BS947" s="350"/>
      <c r="BT947" s="350"/>
      <c r="BU947" s="350"/>
      <c r="BV947" s="351"/>
    </row>
    <row r="948" spans="1:74" ht="45" customHeight="1">
      <c r="A948" s="24">
        <f t="shared" si="3"/>
        <v>934</v>
      </c>
      <c r="B948" s="558" t="s">
        <v>294</v>
      </c>
      <c r="C948" s="351"/>
      <c r="D948" s="559" t="s">
        <v>298</v>
      </c>
      <c r="E948" s="351"/>
      <c r="F948" s="524" t="s">
        <v>325</v>
      </c>
      <c r="G948" s="351"/>
      <c r="H948" s="525" t="s">
        <v>325</v>
      </c>
      <c r="I948" s="351"/>
      <c r="J948" s="563"/>
      <c r="K948" s="351"/>
      <c r="L948" s="563"/>
      <c r="M948" s="351"/>
      <c r="N948" s="37"/>
      <c r="O948" s="35"/>
      <c r="P948" s="560"/>
      <c r="Q948" s="351"/>
      <c r="R948" s="535"/>
      <c r="S948" s="351"/>
      <c r="T948" s="536"/>
      <c r="U948" s="351"/>
      <c r="V948" s="537"/>
      <c r="W948" s="351"/>
      <c r="X948" s="538" t="s">
        <v>294</v>
      </c>
      <c r="Y948" s="350"/>
      <c r="Z948" s="350"/>
      <c r="AA948" s="351"/>
      <c r="AB948" s="539" t="s">
        <v>294</v>
      </c>
      <c r="AC948" s="350"/>
      <c r="AD948" s="350"/>
      <c r="AE948" s="351"/>
      <c r="AF948" s="540"/>
      <c r="AG948" s="351"/>
      <c r="AH948" s="540"/>
      <c r="AI948" s="351"/>
      <c r="AJ948" s="545"/>
      <c r="AK948" s="351"/>
      <c r="AL948" s="555" t="s">
        <v>325</v>
      </c>
      <c r="AM948" s="351"/>
      <c r="AN948" s="531" t="s">
        <v>325</v>
      </c>
      <c r="AO948" s="351"/>
      <c r="AP948" s="532"/>
      <c r="AQ948" s="351"/>
      <c r="AR948" s="533"/>
      <c r="AS948" s="351"/>
      <c r="AT948" s="534"/>
      <c r="AU948" s="351"/>
      <c r="AV948" s="531" t="s">
        <v>325</v>
      </c>
      <c r="AW948" s="351"/>
      <c r="AX948" s="553"/>
      <c r="AY948" s="350"/>
      <c r="AZ948" s="351"/>
      <c r="BA948" s="545"/>
      <c r="BB948" s="351"/>
      <c r="BC948" s="36"/>
      <c r="BD948" s="556" t="s">
        <v>325</v>
      </c>
      <c r="BE948" s="351"/>
      <c r="BF948" s="529"/>
      <c r="BG948" s="350"/>
      <c r="BH948" s="350"/>
      <c r="BI948" s="351"/>
      <c r="BJ948" s="506" t="s">
        <v>294</v>
      </c>
      <c r="BK948" s="350"/>
      <c r="BL948" s="350"/>
      <c r="BM948" s="351"/>
      <c r="BN948" s="530" t="s">
        <v>294</v>
      </c>
      <c r="BO948" s="350"/>
      <c r="BP948" s="350"/>
      <c r="BQ948" s="350"/>
      <c r="BR948" s="350"/>
      <c r="BS948" s="350"/>
      <c r="BT948" s="350"/>
      <c r="BU948" s="350"/>
      <c r="BV948" s="351"/>
    </row>
    <row r="949" spans="1:74" ht="45" customHeight="1">
      <c r="A949" s="24">
        <f t="shared" si="3"/>
        <v>935</v>
      </c>
      <c r="B949" s="522" t="s">
        <v>294</v>
      </c>
      <c r="C949" s="351"/>
      <c r="D949" s="523" t="s">
        <v>298</v>
      </c>
      <c r="E949" s="351"/>
      <c r="F949" s="524" t="s">
        <v>325</v>
      </c>
      <c r="G949" s="351"/>
      <c r="H949" s="561" t="s">
        <v>325</v>
      </c>
      <c r="I949" s="351"/>
      <c r="J949" s="562"/>
      <c r="K949" s="351"/>
      <c r="L949" s="562"/>
      <c r="M949" s="351"/>
      <c r="N949" s="34"/>
      <c r="O949" s="38"/>
      <c r="P949" s="526"/>
      <c r="Q949" s="351"/>
      <c r="R949" s="527"/>
      <c r="S949" s="351"/>
      <c r="T949" s="528"/>
      <c r="U949" s="351"/>
      <c r="V949" s="541"/>
      <c r="W949" s="351"/>
      <c r="X949" s="542" t="s">
        <v>294</v>
      </c>
      <c r="Y949" s="350"/>
      <c r="Z949" s="350"/>
      <c r="AA949" s="351"/>
      <c r="AB949" s="543" t="s">
        <v>294</v>
      </c>
      <c r="AC949" s="350"/>
      <c r="AD949" s="350"/>
      <c r="AE949" s="351"/>
      <c r="AF949" s="544"/>
      <c r="AG949" s="351"/>
      <c r="AH949" s="544"/>
      <c r="AI949" s="351"/>
      <c r="AJ949" s="545"/>
      <c r="AK949" s="351"/>
      <c r="AL949" s="524" t="s">
        <v>325</v>
      </c>
      <c r="AM949" s="351"/>
      <c r="AN949" s="549" t="s">
        <v>325</v>
      </c>
      <c r="AO949" s="351"/>
      <c r="AP949" s="550"/>
      <c r="AQ949" s="351"/>
      <c r="AR949" s="551"/>
      <c r="AS949" s="351"/>
      <c r="AT949" s="552"/>
      <c r="AU949" s="351"/>
      <c r="AV949" s="549" t="s">
        <v>325</v>
      </c>
      <c r="AW949" s="351"/>
      <c r="AX949" s="553"/>
      <c r="AY949" s="350"/>
      <c r="AZ949" s="351"/>
      <c r="BA949" s="554"/>
      <c r="BB949" s="351"/>
      <c r="BC949" s="39"/>
      <c r="BD949" s="546" t="s">
        <v>325</v>
      </c>
      <c r="BE949" s="351"/>
      <c r="BF949" s="547"/>
      <c r="BG949" s="350"/>
      <c r="BH949" s="350"/>
      <c r="BI949" s="351"/>
      <c r="BJ949" s="548" t="s">
        <v>294</v>
      </c>
      <c r="BK949" s="350"/>
      <c r="BL949" s="350"/>
      <c r="BM949" s="351"/>
      <c r="BN949" s="530" t="s">
        <v>294</v>
      </c>
      <c r="BO949" s="350"/>
      <c r="BP949" s="350"/>
      <c r="BQ949" s="350"/>
      <c r="BR949" s="350"/>
      <c r="BS949" s="350"/>
      <c r="BT949" s="350"/>
      <c r="BU949" s="350"/>
      <c r="BV949" s="351"/>
    </row>
    <row r="950" spans="1:74" ht="45" customHeight="1">
      <c r="A950" s="24">
        <f t="shared" si="3"/>
        <v>936</v>
      </c>
      <c r="B950" s="558" t="s">
        <v>294</v>
      </c>
      <c r="C950" s="351"/>
      <c r="D950" s="559" t="s">
        <v>298</v>
      </c>
      <c r="E950" s="351"/>
      <c r="F950" s="524" t="s">
        <v>325</v>
      </c>
      <c r="G950" s="351"/>
      <c r="H950" s="525" t="s">
        <v>325</v>
      </c>
      <c r="I950" s="351"/>
      <c r="J950" s="563"/>
      <c r="K950" s="351"/>
      <c r="L950" s="563"/>
      <c r="M950" s="351"/>
      <c r="N950" s="37"/>
      <c r="O950" s="35"/>
      <c r="P950" s="560"/>
      <c r="Q950" s="351"/>
      <c r="R950" s="535"/>
      <c r="S950" s="351"/>
      <c r="T950" s="536"/>
      <c r="U950" s="351"/>
      <c r="V950" s="537"/>
      <c r="W950" s="351"/>
      <c r="X950" s="538" t="s">
        <v>294</v>
      </c>
      <c r="Y950" s="350"/>
      <c r="Z950" s="350"/>
      <c r="AA950" s="351"/>
      <c r="AB950" s="539" t="s">
        <v>294</v>
      </c>
      <c r="AC950" s="350"/>
      <c r="AD950" s="350"/>
      <c r="AE950" s="351"/>
      <c r="AF950" s="540"/>
      <c r="AG950" s="351"/>
      <c r="AH950" s="540"/>
      <c r="AI950" s="351"/>
      <c r="AJ950" s="545"/>
      <c r="AK950" s="351"/>
      <c r="AL950" s="555" t="s">
        <v>325</v>
      </c>
      <c r="AM950" s="351"/>
      <c r="AN950" s="531" t="s">
        <v>325</v>
      </c>
      <c r="AO950" s="351"/>
      <c r="AP950" s="532"/>
      <c r="AQ950" s="351"/>
      <c r="AR950" s="533"/>
      <c r="AS950" s="351"/>
      <c r="AT950" s="534"/>
      <c r="AU950" s="351"/>
      <c r="AV950" s="531" t="s">
        <v>325</v>
      </c>
      <c r="AW950" s="351"/>
      <c r="AX950" s="553"/>
      <c r="AY950" s="350"/>
      <c r="AZ950" s="351"/>
      <c r="BA950" s="545"/>
      <c r="BB950" s="351"/>
      <c r="BC950" s="36"/>
      <c r="BD950" s="556" t="s">
        <v>325</v>
      </c>
      <c r="BE950" s="351"/>
      <c r="BF950" s="557"/>
      <c r="BG950" s="350"/>
      <c r="BH950" s="350"/>
      <c r="BI950" s="351"/>
      <c r="BJ950" s="506" t="s">
        <v>294</v>
      </c>
      <c r="BK950" s="350"/>
      <c r="BL950" s="350"/>
      <c r="BM950" s="351"/>
      <c r="BN950" s="530" t="s">
        <v>294</v>
      </c>
      <c r="BO950" s="350"/>
      <c r="BP950" s="350"/>
      <c r="BQ950" s="350"/>
      <c r="BR950" s="350"/>
      <c r="BS950" s="350"/>
      <c r="BT950" s="350"/>
      <c r="BU950" s="350"/>
      <c r="BV950" s="351"/>
    </row>
    <row r="951" spans="1:74" ht="45" customHeight="1">
      <c r="A951" s="24">
        <f t="shared" si="3"/>
        <v>937</v>
      </c>
      <c r="B951" s="522" t="s">
        <v>294</v>
      </c>
      <c r="C951" s="351"/>
      <c r="D951" s="523" t="s">
        <v>298</v>
      </c>
      <c r="E951" s="351"/>
      <c r="F951" s="524" t="s">
        <v>325</v>
      </c>
      <c r="G951" s="351"/>
      <c r="H951" s="561" t="s">
        <v>325</v>
      </c>
      <c r="I951" s="351"/>
      <c r="J951" s="562"/>
      <c r="K951" s="351"/>
      <c r="L951" s="562"/>
      <c r="M951" s="351"/>
      <c r="N951" s="37"/>
      <c r="O951" s="38"/>
      <c r="P951" s="560"/>
      <c r="Q951" s="351"/>
      <c r="R951" s="527"/>
      <c r="S951" s="351"/>
      <c r="T951" s="528"/>
      <c r="U951" s="351"/>
      <c r="V951" s="541"/>
      <c r="W951" s="351"/>
      <c r="X951" s="542" t="s">
        <v>294</v>
      </c>
      <c r="Y951" s="350"/>
      <c r="Z951" s="350"/>
      <c r="AA951" s="351"/>
      <c r="AB951" s="543" t="s">
        <v>294</v>
      </c>
      <c r="AC951" s="350"/>
      <c r="AD951" s="350"/>
      <c r="AE951" s="351"/>
      <c r="AF951" s="544"/>
      <c r="AG951" s="351"/>
      <c r="AH951" s="544"/>
      <c r="AI951" s="351"/>
      <c r="AJ951" s="545"/>
      <c r="AK951" s="351"/>
      <c r="AL951" s="524" t="s">
        <v>325</v>
      </c>
      <c r="AM951" s="351"/>
      <c r="AN951" s="549" t="s">
        <v>325</v>
      </c>
      <c r="AO951" s="351"/>
      <c r="AP951" s="550"/>
      <c r="AQ951" s="351"/>
      <c r="AR951" s="551"/>
      <c r="AS951" s="351"/>
      <c r="AT951" s="534"/>
      <c r="AU951" s="351"/>
      <c r="AV951" s="549" t="s">
        <v>325</v>
      </c>
      <c r="AW951" s="351"/>
      <c r="AX951" s="553"/>
      <c r="AY951" s="350"/>
      <c r="AZ951" s="351"/>
      <c r="BA951" s="554"/>
      <c r="BB951" s="351"/>
      <c r="BC951" s="39"/>
      <c r="BD951" s="556" t="s">
        <v>325</v>
      </c>
      <c r="BE951" s="351"/>
      <c r="BF951" s="547"/>
      <c r="BG951" s="350"/>
      <c r="BH951" s="350"/>
      <c r="BI951" s="351"/>
      <c r="BJ951" s="548" t="s">
        <v>294</v>
      </c>
      <c r="BK951" s="350"/>
      <c r="BL951" s="350"/>
      <c r="BM951" s="351"/>
      <c r="BN951" s="530" t="s">
        <v>294</v>
      </c>
      <c r="BO951" s="350"/>
      <c r="BP951" s="350"/>
      <c r="BQ951" s="350"/>
      <c r="BR951" s="350"/>
      <c r="BS951" s="350"/>
      <c r="BT951" s="350"/>
      <c r="BU951" s="350"/>
      <c r="BV951" s="351"/>
    </row>
    <row r="952" spans="1:74" ht="45" customHeight="1">
      <c r="A952" s="24">
        <f t="shared" si="3"/>
        <v>938</v>
      </c>
      <c r="B952" s="558" t="s">
        <v>294</v>
      </c>
      <c r="C952" s="351"/>
      <c r="D952" s="559" t="s">
        <v>298</v>
      </c>
      <c r="E952" s="351"/>
      <c r="F952" s="524" t="s">
        <v>325</v>
      </c>
      <c r="G952" s="351"/>
      <c r="H952" s="525" t="s">
        <v>325</v>
      </c>
      <c r="I952" s="351"/>
      <c r="J952" s="563"/>
      <c r="K952" s="351"/>
      <c r="L952" s="563"/>
      <c r="M952" s="351"/>
      <c r="N952" s="34"/>
      <c r="O952" s="35"/>
      <c r="P952" s="526"/>
      <c r="Q952" s="351"/>
      <c r="R952" s="535"/>
      <c r="S952" s="351"/>
      <c r="T952" s="536"/>
      <c r="U952" s="351"/>
      <c r="V952" s="537"/>
      <c r="W952" s="351"/>
      <c r="X952" s="538" t="s">
        <v>294</v>
      </c>
      <c r="Y952" s="350"/>
      <c r="Z952" s="350"/>
      <c r="AA952" s="351"/>
      <c r="AB952" s="539" t="s">
        <v>294</v>
      </c>
      <c r="AC952" s="350"/>
      <c r="AD952" s="350"/>
      <c r="AE952" s="351"/>
      <c r="AF952" s="540"/>
      <c r="AG952" s="351"/>
      <c r="AH952" s="540"/>
      <c r="AI952" s="351"/>
      <c r="AJ952" s="545"/>
      <c r="AK952" s="351"/>
      <c r="AL952" s="555" t="s">
        <v>325</v>
      </c>
      <c r="AM952" s="351"/>
      <c r="AN952" s="531" t="s">
        <v>325</v>
      </c>
      <c r="AO952" s="351"/>
      <c r="AP952" s="532"/>
      <c r="AQ952" s="351"/>
      <c r="AR952" s="533"/>
      <c r="AS952" s="351"/>
      <c r="AT952" s="534"/>
      <c r="AU952" s="351"/>
      <c r="AV952" s="531" t="s">
        <v>325</v>
      </c>
      <c r="AW952" s="351"/>
      <c r="AX952" s="553"/>
      <c r="AY952" s="350"/>
      <c r="AZ952" s="351"/>
      <c r="BA952" s="545"/>
      <c r="BB952" s="351"/>
      <c r="BC952" s="36"/>
      <c r="BD952" s="546" t="s">
        <v>325</v>
      </c>
      <c r="BE952" s="351"/>
      <c r="BF952" s="557"/>
      <c r="BG952" s="350"/>
      <c r="BH952" s="350"/>
      <c r="BI952" s="351"/>
      <c r="BJ952" s="506" t="s">
        <v>294</v>
      </c>
      <c r="BK952" s="350"/>
      <c r="BL952" s="350"/>
      <c r="BM952" s="351"/>
      <c r="BN952" s="530" t="s">
        <v>294</v>
      </c>
      <c r="BO952" s="350"/>
      <c r="BP952" s="350"/>
      <c r="BQ952" s="350"/>
      <c r="BR952" s="350"/>
      <c r="BS952" s="350"/>
      <c r="BT952" s="350"/>
      <c r="BU952" s="350"/>
      <c r="BV952" s="351"/>
    </row>
    <row r="953" spans="1:74" ht="45" customHeight="1">
      <c r="A953" s="24">
        <f t="shared" si="3"/>
        <v>939</v>
      </c>
      <c r="B953" s="522" t="s">
        <v>294</v>
      </c>
      <c r="C953" s="351"/>
      <c r="D953" s="523" t="s">
        <v>298</v>
      </c>
      <c r="E953" s="351"/>
      <c r="F953" s="524" t="s">
        <v>325</v>
      </c>
      <c r="G953" s="351"/>
      <c r="H953" s="561" t="s">
        <v>325</v>
      </c>
      <c r="I953" s="351"/>
      <c r="J953" s="562"/>
      <c r="K953" s="351"/>
      <c r="L953" s="562"/>
      <c r="M953" s="351"/>
      <c r="N953" s="37"/>
      <c r="O953" s="38"/>
      <c r="P953" s="560"/>
      <c r="Q953" s="351"/>
      <c r="R953" s="527"/>
      <c r="S953" s="351"/>
      <c r="T953" s="528"/>
      <c r="U953" s="351"/>
      <c r="V953" s="541"/>
      <c r="W953" s="351"/>
      <c r="X953" s="542" t="s">
        <v>294</v>
      </c>
      <c r="Y953" s="350"/>
      <c r="Z953" s="350"/>
      <c r="AA953" s="351"/>
      <c r="AB953" s="543" t="s">
        <v>294</v>
      </c>
      <c r="AC953" s="350"/>
      <c r="AD953" s="350"/>
      <c r="AE953" s="351"/>
      <c r="AF953" s="544"/>
      <c r="AG953" s="351"/>
      <c r="AH953" s="544"/>
      <c r="AI953" s="351"/>
      <c r="AJ953" s="545"/>
      <c r="AK953" s="351"/>
      <c r="AL953" s="524" t="s">
        <v>325</v>
      </c>
      <c r="AM953" s="351"/>
      <c r="AN953" s="549" t="s">
        <v>325</v>
      </c>
      <c r="AO953" s="351"/>
      <c r="AP953" s="550"/>
      <c r="AQ953" s="351"/>
      <c r="AR953" s="551"/>
      <c r="AS953" s="351"/>
      <c r="AT953" s="534"/>
      <c r="AU953" s="351"/>
      <c r="AV953" s="549" t="s">
        <v>325</v>
      </c>
      <c r="AW953" s="351"/>
      <c r="AX953" s="553"/>
      <c r="AY953" s="350"/>
      <c r="AZ953" s="351"/>
      <c r="BA953" s="554"/>
      <c r="BB953" s="351"/>
      <c r="BC953" s="39"/>
      <c r="BD953" s="556" t="s">
        <v>325</v>
      </c>
      <c r="BE953" s="351"/>
      <c r="BF953" s="547"/>
      <c r="BG953" s="350"/>
      <c r="BH953" s="350"/>
      <c r="BI953" s="351"/>
      <c r="BJ953" s="548" t="s">
        <v>294</v>
      </c>
      <c r="BK953" s="350"/>
      <c r="BL953" s="350"/>
      <c r="BM953" s="351"/>
      <c r="BN953" s="530" t="s">
        <v>294</v>
      </c>
      <c r="BO953" s="350"/>
      <c r="BP953" s="350"/>
      <c r="BQ953" s="350"/>
      <c r="BR953" s="350"/>
      <c r="BS953" s="350"/>
      <c r="BT953" s="350"/>
      <c r="BU953" s="350"/>
      <c r="BV953" s="351"/>
    </row>
    <row r="954" spans="1:74" ht="45" customHeight="1">
      <c r="A954" s="24">
        <f t="shared" si="3"/>
        <v>940</v>
      </c>
      <c r="B954" s="558" t="s">
        <v>294</v>
      </c>
      <c r="C954" s="351"/>
      <c r="D954" s="559" t="s">
        <v>298</v>
      </c>
      <c r="E954" s="351"/>
      <c r="F954" s="524" t="s">
        <v>325</v>
      </c>
      <c r="G954" s="351"/>
      <c r="H954" s="525" t="s">
        <v>325</v>
      </c>
      <c r="I954" s="351"/>
      <c r="J954" s="563"/>
      <c r="K954" s="351"/>
      <c r="L954" s="563"/>
      <c r="M954" s="351"/>
      <c r="N954" s="34"/>
      <c r="O954" s="35"/>
      <c r="P954" s="526"/>
      <c r="Q954" s="351"/>
      <c r="R954" s="535"/>
      <c r="S954" s="351"/>
      <c r="T954" s="536"/>
      <c r="U954" s="351"/>
      <c r="V954" s="537"/>
      <c r="W954" s="351"/>
      <c r="X954" s="538" t="s">
        <v>294</v>
      </c>
      <c r="Y954" s="350"/>
      <c r="Z954" s="350"/>
      <c r="AA954" s="351"/>
      <c r="AB954" s="539" t="s">
        <v>294</v>
      </c>
      <c r="AC954" s="350"/>
      <c r="AD954" s="350"/>
      <c r="AE954" s="351"/>
      <c r="AF954" s="540"/>
      <c r="AG954" s="351"/>
      <c r="AH954" s="540"/>
      <c r="AI954" s="351"/>
      <c r="AJ954" s="545"/>
      <c r="AK954" s="351"/>
      <c r="AL954" s="555" t="s">
        <v>325</v>
      </c>
      <c r="AM954" s="351"/>
      <c r="AN954" s="531" t="s">
        <v>325</v>
      </c>
      <c r="AO954" s="351"/>
      <c r="AP954" s="532"/>
      <c r="AQ954" s="351"/>
      <c r="AR954" s="533"/>
      <c r="AS954" s="351"/>
      <c r="AT954" s="534"/>
      <c r="AU954" s="351"/>
      <c r="AV954" s="531" t="s">
        <v>325</v>
      </c>
      <c r="AW954" s="351"/>
      <c r="AX954" s="553"/>
      <c r="AY954" s="350"/>
      <c r="AZ954" s="351"/>
      <c r="BA954" s="545"/>
      <c r="BB954" s="351"/>
      <c r="BC954" s="36"/>
      <c r="BD954" s="556" t="s">
        <v>325</v>
      </c>
      <c r="BE954" s="351"/>
      <c r="BF954" s="557"/>
      <c r="BG954" s="350"/>
      <c r="BH954" s="350"/>
      <c r="BI954" s="351"/>
      <c r="BJ954" s="506" t="s">
        <v>294</v>
      </c>
      <c r="BK954" s="350"/>
      <c r="BL954" s="350"/>
      <c r="BM954" s="351"/>
      <c r="BN954" s="530" t="s">
        <v>294</v>
      </c>
      <c r="BO954" s="350"/>
      <c r="BP954" s="350"/>
      <c r="BQ954" s="350"/>
      <c r="BR954" s="350"/>
      <c r="BS954" s="350"/>
      <c r="BT954" s="350"/>
      <c r="BU954" s="350"/>
      <c r="BV954" s="351"/>
    </row>
    <row r="955" spans="1:74" ht="45" customHeight="1">
      <c r="A955" s="24">
        <f t="shared" si="3"/>
        <v>941</v>
      </c>
      <c r="B955" s="522" t="s">
        <v>294</v>
      </c>
      <c r="C955" s="351"/>
      <c r="D955" s="523" t="s">
        <v>298</v>
      </c>
      <c r="E955" s="351"/>
      <c r="F955" s="524" t="s">
        <v>325</v>
      </c>
      <c r="G955" s="351"/>
      <c r="H955" s="561" t="s">
        <v>325</v>
      </c>
      <c r="I955" s="351"/>
      <c r="J955" s="562"/>
      <c r="K955" s="351"/>
      <c r="L955" s="562"/>
      <c r="M955" s="351"/>
      <c r="N955" s="37"/>
      <c r="O955" s="38"/>
      <c r="P955" s="560"/>
      <c r="Q955" s="351"/>
      <c r="R955" s="527"/>
      <c r="S955" s="351"/>
      <c r="T955" s="528"/>
      <c r="U955" s="351"/>
      <c r="V955" s="541"/>
      <c r="W955" s="351"/>
      <c r="X955" s="542" t="s">
        <v>294</v>
      </c>
      <c r="Y955" s="350"/>
      <c r="Z955" s="350"/>
      <c r="AA955" s="351"/>
      <c r="AB955" s="543" t="s">
        <v>294</v>
      </c>
      <c r="AC955" s="350"/>
      <c r="AD955" s="350"/>
      <c r="AE955" s="351"/>
      <c r="AF955" s="544"/>
      <c r="AG955" s="351"/>
      <c r="AH955" s="544"/>
      <c r="AI955" s="351"/>
      <c r="AJ955" s="545"/>
      <c r="AK955" s="351"/>
      <c r="AL955" s="524" t="s">
        <v>325</v>
      </c>
      <c r="AM955" s="351"/>
      <c r="AN955" s="549" t="s">
        <v>325</v>
      </c>
      <c r="AO955" s="351"/>
      <c r="AP955" s="550"/>
      <c r="AQ955" s="351"/>
      <c r="AR955" s="551"/>
      <c r="AS955" s="351"/>
      <c r="AT955" s="552"/>
      <c r="AU955" s="351"/>
      <c r="AV955" s="549" t="s">
        <v>325</v>
      </c>
      <c r="AW955" s="351"/>
      <c r="AX955" s="553"/>
      <c r="AY955" s="350"/>
      <c r="AZ955" s="351"/>
      <c r="BA955" s="554"/>
      <c r="BB955" s="351"/>
      <c r="BC955" s="39"/>
      <c r="BD955" s="546" t="s">
        <v>325</v>
      </c>
      <c r="BE955" s="351"/>
      <c r="BF955" s="547"/>
      <c r="BG955" s="350"/>
      <c r="BH955" s="350"/>
      <c r="BI955" s="351"/>
      <c r="BJ955" s="548" t="s">
        <v>294</v>
      </c>
      <c r="BK955" s="350"/>
      <c r="BL955" s="350"/>
      <c r="BM955" s="351"/>
      <c r="BN955" s="530" t="s">
        <v>294</v>
      </c>
      <c r="BO955" s="350"/>
      <c r="BP955" s="350"/>
      <c r="BQ955" s="350"/>
      <c r="BR955" s="350"/>
      <c r="BS955" s="350"/>
      <c r="BT955" s="350"/>
      <c r="BU955" s="350"/>
      <c r="BV955" s="351"/>
    </row>
    <row r="956" spans="1:74" ht="45" customHeight="1">
      <c r="A956" s="24">
        <f t="shared" si="3"/>
        <v>942</v>
      </c>
      <c r="B956" s="558" t="s">
        <v>294</v>
      </c>
      <c r="C956" s="351"/>
      <c r="D956" s="559" t="s">
        <v>298</v>
      </c>
      <c r="E956" s="351"/>
      <c r="F956" s="524" t="s">
        <v>325</v>
      </c>
      <c r="G956" s="351"/>
      <c r="H956" s="525" t="s">
        <v>325</v>
      </c>
      <c r="I956" s="351"/>
      <c r="J956" s="563"/>
      <c r="K956" s="351"/>
      <c r="L956" s="563"/>
      <c r="M956" s="351"/>
      <c r="N956" s="34"/>
      <c r="O956" s="35"/>
      <c r="P956" s="526"/>
      <c r="Q956" s="351"/>
      <c r="R956" s="535"/>
      <c r="S956" s="351"/>
      <c r="T956" s="536"/>
      <c r="U956" s="351"/>
      <c r="V956" s="537"/>
      <c r="W956" s="351"/>
      <c r="X956" s="538" t="s">
        <v>294</v>
      </c>
      <c r="Y956" s="350"/>
      <c r="Z956" s="350"/>
      <c r="AA956" s="351"/>
      <c r="AB956" s="539" t="s">
        <v>294</v>
      </c>
      <c r="AC956" s="350"/>
      <c r="AD956" s="350"/>
      <c r="AE956" s="351"/>
      <c r="AF956" s="540"/>
      <c r="AG956" s="351"/>
      <c r="AH956" s="540"/>
      <c r="AI956" s="351"/>
      <c r="AJ956" s="545"/>
      <c r="AK956" s="351"/>
      <c r="AL956" s="555" t="s">
        <v>325</v>
      </c>
      <c r="AM956" s="351"/>
      <c r="AN956" s="531" t="s">
        <v>325</v>
      </c>
      <c r="AO956" s="351"/>
      <c r="AP956" s="532"/>
      <c r="AQ956" s="351"/>
      <c r="AR956" s="533"/>
      <c r="AS956" s="351"/>
      <c r="AT956" s="534"/>
      <c r="AU956" s="351"/>
      <c r="AV956" s="531" t="s">
        <v>325</v>
      </c>
      <c r="AW956" s="351"/>
      <c r="AX956" s="553"/>
      <c r="AY956" s="350"/>
      <c r="AZ956" s="351"/>
      <c r="BA956" s="545"/>
      <c r="BB956" s="351"/>
      <c r="BC956" s="36"/>
      <c r="BD956" s="556" t="s">
        <v>325</v>
      </c>
      <c r="BE956" s="351"/>
      <c r="BF956" s="529"/>
      <c r="BG956" s="350"/>
      <c r="BH956" s="350"/>
      <c r="BI956" s="351"/>
      <c r="BJ956" s="506" t="s">
        <v>294</v>
      </c>
      <c r="BK956" s="350"/>
      <c r="BL956" s="350"/>
      <c r="BM956" s="351"/>
      <c r="BN956" s="530" t="s">
        <v>294</v>
      </c>
      <c r="BO956" s="350"/>
      <c r="BP956" s="350"/>
      <c r="BQ956" s="350"/>
      <c r="BR956" s="350"/>
      <c r="BS956" s="350"/>
      <c r="BT956" s="350"/>
      <c r="BU956" s="350"/>
      <c r="BV956" s="351"/>
    </row>
    <row r="957" spans="1:74" ht="45" customHeight="1">
      <c r="A957" s="24">
        <f t="shared" si="3"/>
        <v>943</v>
      </c>
      <c r="B957" s="522" t="s">
        <v>294</v>
      </c>
      <c r="C957" s="351"/>
      <c r="D957" s="523" t="s">
        <v>298</v>
      </c>
      <c r="E957" s="351"/>
      <c r="F957" s="524" t="s">
        <v>325</v>
      </c>
      <c r="G957" s="351"/>
      <c r="H957" s="561" t="s">
        <v>325</v>
      </c>
      <c r="I957" s="351"/>
      <c r="J957" s="562"/>
      <c r="K957" s="351"/>
      <c r="L957" s="562"/>
      <c r="M957" s="351"/>
      <c r="N957" s="37"/>
      <c r="O957" s="38"/>
      <c r="P957" s="560"/>
      <c r="Q957" s="351"/>
      <c r="R957" s="527"/>
      <c r="S957" s="351"/>
      <c r="T957" s="528"/>
      <c r="U957" s="351"/>
      <c r="V957" s="541"/>
      <c r="W957" s="351"/>
      <c r="X957" s="542" t="s">
        <v>294</v>
      </c>
      <c r="Y957" s="350"/>
      <c r="Z957" s="350"/>
      <c r="AA957" s="351"/>
      <c r="AB957" s="543" t="s">
        <v>294</v>
      </c>
      <c r="AC957" s="350"/>
      <c r="AD957" s="350"/>
      <c r="AE957" s="351"/>
      <c r="AF957" s="544"/>
      <c r="AG957" s="351"/>
      <c r="AH957" s="544"/>
      <c r="AI957" s="351"/>
      <c r="AJ957" s="545"/>
      <c r="AK957" s="351"/>
      <c r="AL957" s="524" t="s">
        <v>325</v>
      </c>
      <c r="AM957" s="351"/>
      <c r="AN957" s="549" t="s">
        <v>325</v>
      </c>
      <c r="AO957" s="351"/>
      <c r="AP957" s="550"/>
      <c r="AQ957" s="351"/>
      <c r="AR957" s="551"/>
      <c r="AS957" s="351"/>
      <c r="AT957" s="552"/>
      <c r="AU957" s="351"/>
      <c r="AV957" s="549" t="s">
        <v>325</v>
      </c>
      <c r="AW957" s="351"/>
      <c r="AX957" s="553"/>
      <c r="AY957" s="350"/>
      <c r="AZ957" s="351"/>
      <c r="BA957" s="554"/>
      <c r="BB957" s="351"/>
      <c r="BC957" s="39"/>
      <c r="BD957" s="546" t="s">
        <v>325</v>
      </c>
      <c r="BE957" s="351"/>
      <c r="BF957" s="547"/>
      <c r="BG957" s="350"/>
      <c r="BH957" s="350"/>
      <c r="BI957" s="351"/>
      <c r="BJ957" s="548" t="s">
        <v>294</v>
      </c>
      <c r="BK957" s="350"/>
      <c r="BL957" s="350"/>
      <c r="BM957" s="351"/>
      <c r="BN957" s="530" t="s">
        <v>294</v>
      </c>
      <c r="BO957" s="350"/>
      <c r="BP957" s="350"/>
      <c r="BQ957" s="350"/>
      <c r="BR957" s="350"/>
      <c r="BS957" s="350"/>
      <c r="BT957" s="350"/>
      <c r="BU957" s="350"/>
      <c r="BV957" s="351"/>
    </row>
    <row r="958" spans="1:74" ht="45" customHeight="1">
      <c r="A958" s="24">
        <f t="shared" si="3"/>
        <v>944</v>
      </c>
      <c r="B958" s="558" t="s">
        <v>294</v>
      </c>
      <c r="C958" s="351"/>
      <c r="D958" s="559" t="s">
        <v>298</v>
      </c>
      <c r="E958" s="351"/>
      <c r="F958" s="524" t="s">
        <v>325</v>
      </c>
      <c r="G958" s="351"/>
      <c r="H958" s="525" t="s">
        <v>325</v>
      </c>
      <c r="I958" s="351"/>
      <c r="J958" s="563"/>
      <c r="K958" s="351"/>
      <c r="L958" s="563"/>
      <c r="M958" s="351"/>
      <c r="N958" s="34"/>
      <c r="O958" s="35"/>
      <c r="P958" s="526"/>
      <c r="Q958" s="351"/>
      <c r="R958" s="535"/>
      <c r="S958" s="351"/>
      <c r="T958" s="536"/>
      <c r="U958" s="351"/>
      <c r="V958" s="537"/>
      <c r="W958" s="351"/>
      <c r="X958" s="538" t="s">
        <v>294</v>
      </c>
      <c r="Y958" s="350"/>
      <c r="Z958" s="350"/>
      <c r="AA958" s="351"/>
      <c r="AB958" s="539" t="s">
        <v>294</v>
      </c>
      <c r="AC958" s="350"/>
      <c r="AD958" s="350"/>
      <c r="AE958" s="351"/>
      <c r="AF958" s="540"/>
      <c r="AG958" s="351"/>
      <c r="AH958" s="540"/>
      <c r="AI958" s="351"/>
      <c r="AJ958" s="545"/>
      <c r="AK958" s="351"/>
      <c r="AL958" s="555" t="s">
        <v>325</v>
      </c>
      <c r="AM958" s="351"/>
      <c r="AN958" s="531" t="s">
        <v>325</v>
      </c>
      <c r="AO958" s="351"/>
      <c r="AP958" s="532"/>
      <c r="AQ958" s="351"/>
      <c r="AR958" s="533"/>
      <c r="AS958" s="351"/>
      <c r="AT958" s="534"/>
      <c r="AU958" s="351"/>
      <c r="AV958" s="531" t="s">
        <v>325</v>
      </c>
      <c r="AW958" s="351"/>
      <c r="AX958" s="553"/>
      <c r="AY958" s="350"/>
      <c r="AZ958" s="351"/>
      <c r="BA958" s="545"/>
      <c r="BB958" s="351"/>
      <c r="BC958" s="36"/>
      <c r="BD958" s="556" t="s">
        <v>325</v>
      </c>
      <c r="BE958" s="351"/>
      <c r="BF958" s="557"/>
      <c r="BG958" s="350"/>
      <c r="BH958" s="350"/>
      <c r="BI958" s="351"/>
      <c r="BJ958" s="506" t="s">
        <v>294</v>
      </c>
      <c r="BK958" s="350"/>
      <c r="BL958" s="350"/>
      <c r="BM958" s="351"/>
      <c r="BN958" s="530" t="s">
        <v>294</v>
      </c>
      <c r="BO958" s="350"/>
      <c r="BP958" s="350"/>
      <c r="BQ958" s="350"/>
      <c r="BR958" s="350"/>
      <c r="BS958" s="350"/>
      <c r="BT958" s="350"/>
      <c r="BU958" s="350"/>
      <c r="BV958" s="351"/>
    </row>
    <row r="959" spans="1:74" ht="45" customHeight="1">
      <c r="A959" s="24">
        <f t="shared" si="3"/>
        <v>945</v>
      </c>
      <c r="B959" s="522" t="s">
        <v>294</v>
      </c>
      <c r="C959" s="351"/>
      <c r="D959" s="523" t="s">
        <v>298</v>
      </c>
      <c r="E959" s="351"/>
      <c r="F959" s="524" t="s">
        <v>325</v>
      </c>
      <c r="G959" s="351"/>
      <c r="H959" s="561" t="s">
        <v>325</v>
      </c>
      <c r="I959" s="351"/>
      <c r="J959" s="562"/>
      <c r="K959" s="351"/>
      <c r="L959" s="562"/>
      <c r="M959" s="351"/>
      <c r="N959" s="37"/>
      <c r="O959" s="38"/>
      <c r="P959" s="560"/>
      <c r="Q959" s="351"/>
      <c r="R959" s="527"/>
      <c r="S959" s="351"/>
      <c r="T959" s="528"/>
      <c r="U959" s="351"/>
      <c r="V959" s="541"/>
      <c r="W959" s="351"/>
      <c r="X959" s="542" t="s">
        <v>294</v>
      </c>
      <c r="Y959" s="350"/>
      <c r="Z959" s="350"/>
      <c r="AA959" s="351"/>
      <c r="AB959" s="543" t="s">
        <v>294</v>
      </c>
      <c r="AC959" s="350"/>
      <c r="AD959" s="350"/>
      <c r="AE959" s="351"/>
      <c r="AF959" s="544"/>
      <c r="AG959" s="351"/>
      <c r="AH959" s="544"/>
      <c r="AI959" s="351"/>
      <c r="AJ959" s="545"/>
      <c r="AK959" s="351"/>
      <c r="AL959" s="524" t="s">
        <v>325</v>
      </c>
      <c r="AM959" s="351"/>
      <c r="AN959" s="549" t="s">
        <v>325</v>
      </c>
      <c r="AO959" s="351"/>
      <c r="AP959" s="550"/>
      <c r="AQ959" s="351"/>
      <c r="AR959" s="551"/>
      <c r="AS959" s="351"/>
      <c r="AT959" s="552"/>
      <c r="AU959" s="351"/>
      <c r="AV959" s="549" t="s">
        <v>325</v>
      </c>
      <c r="AW959" s="351"/>
      <c r="AX959" s="553"/>
      <c r="AY959" s="350"/>
      <c r="AZ959" s="351"/>
      <c r="BA959" s="554"/>
      <c r="BB959" s="351"/>
      <c r="BC959" s="39"/>
      <c r="BD959" s="546" t="s">
        <v>325</v>
      </c>
      <c r="BE959" s="351"/>
      <c r="BF959" s="547"/>
      <c r="BG959" s="350"/>
      <c r="BH959" s="350"/>
      <c r="BI959" s="351"/>
      <c r="BJ959" s="548" t="s">
        <v>294</v>
      </c>
      <c r="BK959" s="350"/>
      <c r="BL959" s="350"/>
      <c r="BM959" s="351"/>
      <c r="BN959" s="530" t="s">
        <v>294</v>
      </c>
      <c r="BO959" s="350"/>
      <c r="BP959" s="350"/>
      <c r="BQ959" s="350"/>
      <c r="BR959" s="350"/>
      <c r="BS959" s="350"/>
      <c r="BT959" s="350"/>
      <c r="BU959" s="350"/>
      <c r="BV959" s="351"/>
    </row>
    <row r="960" spans="1:74" ht="45" customHeight="1">
      <c r="A960" s="24">
        <f t="shared" si="3"/>
        <v>946</v>
      </c>
      <c r="B960" s="558" t="s">
        <v>294</v>
      </c>
      <c r="C960" s="351"/>
      <c r="D960" s="559" t="s">
        <v>298</v>
      </c>
      <c r="E960" s="351"/>
      <c r="F960" s="524" t="s">
        <v>325</v>
      </c>
      <c r="G960" s="351"/>
      <c r="H960" s="525" t="s">
        <v>325</v>
      </c>
      <c r="I960" s="351"/>
      <c r="J960" s="563"/>
      <c r="K960" s="351"/>
      <c r="L960" s="563"/>
      <c r="M960" s="351"/>
      <c r="N960" s="34"/>
      <c r="O960" s="35"/>
      <c r="P960" s="526"/>
      <c r="Q960" s="351"/>
      <c r="R960" s="535"/>
      <c r="S960" s="351"/>
      <c r="T960" s="536"/>
      <c r="U960" s="351"/>
      <c r="V960" s="537"/>
      <c r="W960" s="351"/>
      <c r="X960" s="538" t="s">
        <v>294</v>
      </c>
      <c r="Y960" s="350"/>
      <c r="Z960" s="350"/>
      <c r="AA960" s="351"/>
      <c r="AB960" s="539" t="s">
        <v>294</v>
      </c>
      <c r="AC960" s="350"/>
      <c r="AD960" s="350"/>
      <c r="AE960" s="351"/>
      <c r="AF960" s="540"/>
      <c r="AG960" s="351"/>
      <c r="AH960" s="540"/>
      <c r="AI960" s="351"/>
      <c r="AJ960" s="545"/>
      <c r="AK960" s="351"/>
      <c r="AL960" s="555" t="s">
        <v>325</v>
      </c>
      <c r="AM960" s="351"/>
      <c r="AN960" s="531" t="s">
        <v>325</v>
      </c>
      <c r="AO960" s="351"/>
      <c r="AP960" s="532"/>
      <c r="AQ960" s="351"/>
      <c r="AR960" s="533"/>
      <c r="AS960" s="351"/>
      <c r="AT960" s="534"/>
      <c r="AU960" s="351"/>
      <c r="AV960" s="531" t="s">
        <v>325</v>
      </c>
      <c r="AW960" s="351"/>
      <c r="AX960" s="553"/>
      <c r="AY960" s="350"/>
      <c r="AZ960" s="351"/>
      <c r="BA960" s="545"/>
      <c r="BB960" s="351"/>
      <c r="BC960" s="36"/>
      <c r="BD960" s="556" t="s">
        <v>325</v>
      </c>
      <c r="BE960" s="351"/>
      <c r="BF960" s="557"/>
      <c r="BG960" s="350"/>
      <c r="BH960" s="350"/>
      <c r="BI960" s="351"/>
      <c r="BJ960" s="506" t="s">
        <v>294</v>
      </c>
      <c r="BK960" s="350"/>
      <c r="BL960" s="350"/>
      <c r="BM960" s="351"/>
      <c r="BN960" s="530" t="s">
        <v>294</v>
      </c>
      <c r="BO960" s="350"/>
      <c r="BP960" s="350"/>
      <c r="BQ960" s="350"/>
      <c r="BR960" s="350"/>
      <c r="BS960" s="350"/>
      <c r="BT960" s="350"/>
      <c r="BU960" s="350"/>
      <c r="BV960" s="351"/>
    </row>
    <row r="961" spans="1:74" ht="45" customHeight="1">
      <c r="A961" s="24">
        <f t="shared" si="3"/>
        <v>947</v>
      </c>
      <c r="B961" s="522" t="s">
        <v>294</v>
      </c>
      <c r="C961" s="351"/>
      <c r="D961" s="523" t="s">
        <v>298</v>
      </c>
      <c r="E961" s="351"/>
      <c r="F961" s="524" t="s">
        <v>325</v>
      </c>
      <c r="G961" s="351"/>
      <c r="H961" s="561" t="s">
        <v>325</v>
      </c>
      <c r="I961" s="351"/>
      <c r="J961" s="562"/>
      <c r="K961" s="351"/>
      <c r="L961" s="562"/>
      <c r="M961" s="351"/>
      <c r="N961" s="37"/>
      <c r="O961" s="38"/>
      <c r="P961" s="560"/>
      <c r="Q961" s="351"/>
      <c r="R961" s="527"/>
      <c r="S961" s="351"/>
      <c r="T961" s="528"/>
      <c r="U961" s="351"/>
      <c r="V961" s="541"/>
      <c r="W961" s="351"/>
      <c r="X961" s="542" t="s">
        <v>294</v>
      </c>
      <c r="Y961" s="350"/>
      <c r="Z961" s="350"/>
      <c r="AA961" s="351"/>
      <c r="AB961" s="543" t="s">
        <v>294</v>
      </c>
      <c r="AC961" s="350"/>
      <c r="AD961" s="350"/>
      <c r="AE961" s="351"/>
      <c r="AF961" s="544"/>
      <c r="AG961" s="351"/>
      <c r="AH961" s="544"/>
      <c r="AI961" s="351"/>
      <c r="AJ961" s="545"/>
      <c r="AK961" s="351"/>
      <c r="AL961" s="524" t="s">
        <v>325</v>
      </c>
      <c r="AM961" s="351"/>
      <c r="AN961" s="549" t="s">
        <v>325</v>
      </c>
      <c r="AO961" s="351"/>
      <c r="AP961" s="550"/>
      <c r="AQ961" s="351"/>
      <c r="AR961" s="551"/>
      <c r="AS961" s="351"/>
      <c r="AT961" s="552"/>
      <c r="AU961" s="351"/>
      <c r="AV961" s="549" t="s">
        <v>325</v>
      </c>
      <c r="AW961" s="351"/>
      <c r="AX961" s="553"/>
      <c r="AY961" s="350"/>
      <c r="AZ961" s="351"/>
      <c r="BA961" s="554"/>
      <c r="BB961" s="351"/>
      <c r="BC961" s="39"/>
      <c r="BD961" s="546" t="s">
        <v>325</v>
      </c>
      <c r="BE961" s="351"/>
      <c r="BF961" s="547"/>
      <c r="BG961" s="350"/>
      <c r="BH961" s="350"/>
      <c r="BI961" s="351"/>
      <c r="BJ961" s="548" t="s">
        <v>294</v>
      </c>
      <c r="BK961" s="350"/>
      <c r="BL961" s="350"/>
      <c r="BM961" s="351"/>
      <c r="BN961" s="530" t="s">
        <v>294</v>
      </c>
      <c r="BO961" s="350"/>
      <c r="BP961" s="350"/>
      <c r="BQ961" s="350"/>
      <c r="BR961" s="350"/>
      <c r="BS961" s="350"/>
      <c r="BT961" s="350"/>
      <c r="BU961" s="350"/>
      <c r="BV961" s="351"/>
    </row>
    <row r="962" spans="1:74" ht="45" customHeight="1">
      <c r="A962" s="24">
        <f t="shared" si="3"/>
        <v>948</v>
      </c>
      <c r="B962" s="558" t="s">
        <v>294</v>
      </c>
      <c r="C962" s="351"/>
      <c r="D962" s="559" t="s">
        <v>298</v>
      </c>
      <c r="E962" s="351"/>
      <c r="F962" s="524" t="s">
        <v>325</v>
      </c>
      <c r="G962" s="351"/>
      <c r="H962" s="525" t="s">
        <v>325</v>
      </c>
      <c r="I962" s="351"/>
      <c r="J962" s="563"/>
      <c r="K962" s="351"/>
      <c r="L962" s="563"/>
      <c r="M962" s="351"/>
      <c r="N962" s="34"/>
      <c r="O962" s="35"/>
      <c r="P962" s="526"/>
      <c r="Q962" s="351"/>
      <c r="R962" s="535"/>
      <c r="S962" s="351"/>
      <c r="T962" s="536"/>
      <c r="U962" s="351"/>
      <c r="V962" s="537"/>
      <c r="W962" s="351"/>
      <c r="X962" s="538" t="s">
        <v>294</v>
      </c>
      <c r="Y962" s="350"/>
      <c r="Z962" s="350"/>
      <c r="AA962" s="351"/>
      <c r="AB962" s="539" t="s">
        <v>294</v>
      </c>
      <c r="AC962" s="350"/>
      <c r="AD962" s="350"/>
      <c r="AE962" s="351"/>
      <c r="AF962" s="540"/>
      <c r="AG962" s="351"/>
      <c r="AH962" s="540"/>
      <c r="AI962" s="351"/>
      <c r="AJ962" s="545"/>
      <c r="AK962" s="351"/>
      <c r="AL962" s="555" t="s">
        <v>325</v>
      </c>
      <c r="AM962" s="351"/>
      <c r="AN962" s="531" t="s">
        <v>325</v>
      </c>
      <c r="AO962" s="351"/>
      <c r="AP962" s="532"/>
      <c r="AQ962" s="351"/>
      <c r="AR962" s="533"/>
      <c r="AS962" s="351"/>
      <c r="AT962" s="534"/>
      <c r="AU962" s="351"/>
      <c r="AV962" s="531" t="s">
        <v>325</v>
      </c>
      <c r="AW962" s="351"/>
      <c r="AX962" s="553"/>
      <c r="AY962" s="350"/>
      <c r="AZ962" s="351"/>
      <c r="BA962" s="545"/>
      <c r="BB962" s="351"/>
      <c r="BC962" s="36"/>
      <c r="BD962" s="556" t="s">
        <v>325</v>
      </c>
      <c r="BE962" s="351"/>
      <c r="BF962" s="529"/>
      <c r="BG962" s="350"/>
      <c r="BH962" s="350"/>
      <c r="BI962" s="351"/>
      <c r="BJ962" s="506" t="s">
        <v>294</v>
      </c>
      <c r="BK962" s="350"/>
      <c r="BL962" s="350"/>
      <c r="BM962" s="351"/>
      <c r="BN962" s="530" t="s">
        <v>294</v>
      </c>
      <c r="BO962" s="350"/>
      <c r="BP962" s="350"/>
      <c r="BQ962" s="350"/>
      <c r="BR962" s="350"/>
      <c r="BS962" s="350"/>
      <c r="BT962" s="350"/>
      <c r="BU962" s="350"/>
      <c r="BV962" s="351"/>
    </row>
    <row r="963" spans="1:74" ht="45" customHeight="1">
      <c r="A963" s="24">
        <f t="shared" si="3"/>
        <v>949</v>
      </c>
      <c r="B963" s="522" t="s">
        <v>294</v>
      </c>
      <c r="C963" s="351"/>
      <c r="D963" s="523" t="s">
        <v>298</v>
      </c>
      <c r="E963" s="351"/>
      <c r="F963" s="524" t="s">
        <v>325</v>
      </c>
      <c r="G963" s="351"/>
      <c r="H963" s="561" t="s">
        <v>325</v>
      </c>
      <c r="I963" s="351"/>
      <c r="J963" s="562"/>
      <c r="K963" s="351"/>
      <c r="L963" s="562"/>
      <c r="M963" s="351"/>
      <c r="N963" s="37"/>
      <c r="O963" s="38"/>
      <c r="P963" s="560"/>
      <c r="Q963" s="351"/>
      <c r="R963" s="527"/>
      <c r="S963" s="351"/>
      <c r="T963" s="528"/>
      <c r="U963" s="351"/>
      <c r="V963" s="541"/>
      <c r="W963" s="351"/>
      <c r="X963" s="542" t="s">
        <v>294</v>
      </c>
      <c r="Y963" s="350"/>
      <c r="Z963" s="350"/>
      <c r="AA963" s="351"/>
      <c r="AB963" s="543" t="s">
        <v>294</v>
      </c>
      <c r="AC963" s="350"/>
      <c r="AD963" s="350"/>
      <c r="AE963" s="351"/>
      <c r="AF963" s="544"/>
      <c r="AG963" s="351"/>
      <c r="AH963" s="544"/>
      <c r="AI963" s="351"/>
      <c r="AJ963" s="545"/>
      <c r="AK963" s="351"/>
      <c r="AL963" s="524" t="s">
        <v>325</v>
      </c>
      <c r="AM963" s="351"/>
      <c r="AN963" s="549" t="s">
        <v>325</v>
      </c>
      <c r="AO963" s="351"/>
      <c r="AP963" s="550"/>
      <c r="AQ963" s="351"/>
      <c r="AR963" s="551"/>
      <c r="AS963" s="351"/>
      <c r="AT963" s="552"/>
      <c r="AU963" s="351"/>
      <c r="AV963" s="549" t="s">
        <v>325</v>
      </c>
      <c r="AW963" s="351"/>
      <c r="AX963" s="553"/>
      <c r="AY963" s="350"/>
      <c r="AZ963" s="351"/>
      <c r="BA963" s="554"/>
      <c r="BB963" s="351"/>
      <c r="BC963" s="39"/>
      <c r="BD963" s="546" t="s">
        <v>325</v>
      </c>
      <c r="BE963" s="351"/>
      <c r="BF963" s="547"/>
      <c r="BG963" s="350"/>
      <c r="BH963" s="350"/>
      <c r="BI963" s="351"/>
      <c r="BJ963" s="548" t="s">
        <v>294</v>
      </c>
      <c r="BK963" s="350"/>
      <c r="BL963" s="350"/>
      <c r="BM963" s="351"/>
      <c r="BN963" s="530" t="s">
        <v>294</v>
      </c>
      <c r="BO963" s="350"/>
      <c r="BP963" s="350"/>
      <c r="BQ963" s="350"/>
      <c r="BR963" s="350"/>
      <c r="BS963" s="350"/>
      <c r="BT963" s="350"/>
      <c r="BU963" s="350"/>
      <c r="BV963" s="351"/>
    </row>
    <row r="964" spans="1:74" ht="45" customHeight="1">
      <c r="A964" s="24">
        <f t="shared" si="3"/>
        <v>950</v>
      </c>
      <c r="B964" s="558" t="s">
        <v>294</v>
      </c>
      <c r="C964" s="351"/>
      <c r="D964" s="559" t="s">
        <v>298</v>
      </c>
      <c r="E964" s="351"/>
      <c r="F964" s="524" t="s">
        <v>325</v>
      </c>
      <c r="G964" s="351"/>
      <c r="H964" s="525" t="s">
        <v>325</v>
      </c>
      <c r="I964" s="351"/>
      <c r="J964" s="563"/>
      <c r="K964" s="351"/>
      <c r="L964" s="563"/>
      <c r="M964" s="351"/>
      <c r="N964" s="34"/>
      <c r="O964" s="35"/>
      <c r="P964" s="526"/>
      <c r="Q964" s="351"/>
      <c r="R964" s="535"/>
      <c r="S964" s="351"/>
      <c r="T964" s="536"/>
      <c r="U964" s="351"/>
      <c r="V964" s="537"/>
      <c r="W964" s="351"/>
      <c r="X964" s="538" t="s">
        <v>294</v>
      </c>
      <c r="Y964" s="350"/>
      <c r="Z964" s="350"/>
      <c r="AA964" s="351"/>
      <c r="AB964" s="539" t="s">
        <v>294</v>
      </c>
      <c r="AC964" s="350"/>
      <c r="AD964" s="350"/>
      <c r="AE964" s="351"/>
      <c r="AF964" s="540"/>
      <c r="AG964" s="351"/>
      <c r="AH964" s="540"/>
      <c r="AI964" s="351"/>
      <c r="AJ964" s="545"/>
      <c r="AK964" s="351"/>
      <c r="AL964" s="555" t="s">
        <v>325</v>
      </c>
      <c r="AM964" s="351"/>
      <c r="AN964" s="531" t="s">
        <v>325</v>
      </c>
      <c r="AO964" s="351"/>
      <c r="AP964" s="532"/>
      <c r="AQ964" s="351"/>
      <c r="AR964" s="533"/>
      <c r="AS964" s="351"/>
      <c r="AT964" s="534"/>
      <c r="AU964" s="351"/>
      <c r="AV964" s="531" t="s">
        <v>325</v>
      </c>
      <c r="AW964" s="351"/>
      <c r="AX964" s="553"/>
      <c r="AY964" s="350"/>
      <c r="AZ964" s="351"/>
      <c r="BA964" s="545"/>
      <c r="BB964" s="351"/>
      <c r="BC964" s="36"/>
      <c r="BD964" s="556" t="s">
        <v>325</v>
      </c>
      <c r="BE964" s="351"/>
      <c r="BF964" s="557"/>
      <c r="BG964" s="350"/>
      <c r="BH964" s="350"/>
      <c r="BI964" s="351"/>
      <c r="BJ964" s="506" t="s">
        <v>294</v>
      </c>
      <c r="BK964" s="350"/>
      <c r="BL964" s="350"/>
      <c r="BM964" s="351"/>
      <c r="BN964" s="530" t="s">
        <v>294</v>
      </c>
      <c r="BO964" s="350"/>
      <c r="BP964" s="350"/>
      <c r="BQ964" s="350"/>
      <c r="BR964" s="350"/>
      <c r="BS964" s="350"/>
      <c r="BT964" s="350"/>
      <c r="BU964" s="350"/>
      <c r="BV964" s="351"/>
    </row>
    <row r="965" spans="1:74" ht="45" customHeight="1">
      <c r="A965" s="24">
        <f t="shared" si="3"/>
        <v>951</v>
      </c>
      <c r="B965" s="522" t="s">
        <v>294</v>
      </c>
      <c r="C965" s="351"/>
      <c r="D965" s="523" t="s">
        <v>298</v>
      </c>
      <c r="E965" s="351"/>
      <c r="F965" s="524" t="s">
        <v>325</v>
      </c>
      <c r="G965" s="351"/>
      <c r="H965" s="561" t="s">
        <v>325</v>
      </c>
      <c r="I965" s="351"/>
      <c r="J965" s="562"/>
      <c r="K965" s="351"/>
      <c r="L965" s="562"/>
      <c r="M965" s="351"/>
      <c r="N965" s="34"/>
      <c r="O965" s="35"/>
      <c r="P965" s="526"/>
      <c r="Q965" s="351"/>
      <c r="R965" s="527"/>
      <c r="S965" s="351"/>
      <c r="T965" s="528"/>
      <c r="U965" s="351"/>
      <c r="V965" s="541"/>
      <c r="W965" s="351"/>
      <c r="X965" s="542" t="s">
        <v>294</v>
      </c>
      <c r="Y965" s="350"/>
      <c r="Z965" s="350"/>
      <c r="AA965" s="351"/>
      <c r="AB965" s="543" t="s">
        <v>294</v>
      </c>
      <c r="AC965" s="350"/>
      <c r="AD965" s="350"/>
      <c r="AE965" s="351"/>
      <c r="AF965" s="544"/>
      <c r="AG965" s="351"/>
      <c r="AH965" s="544"/>
      <c r="AI965" s="351"/>
      <c r="AJ965" s="545"/>
      <c r="AK965" s="351"/>
      <c r="AL965" s="524" t="s">
        <v>325</v>
      </c>
      <c r="AM965" s="351"/>
      <c r="AN965" s="549" t="s">
        <v>325</v>
      </c>
      <c r="AO965" s="351"/>
      <c r="AP965" s="550"/>
      <c r="AQ965" s="351"/>
      <c r="AR965" s="551"/>
      <c r="AS965" s="351"/>
      <c r="AT965" s="534"/>
      <c r="AU965" s="351"/>
      <c r="AV965" s="549" t="s">
        <v>325</v>
      </c>
      <c r="AW965" s="351"/>
      <c r="AX965" s="553"/>
      <c r="AY965" s="350"/>
      <c r="AZ965" s="351"/>
      <c r="BA965" s="554"/>
      <c r="BB965" s="351"/>
      <c r="BC965" s="39"/>
      <c r="BD965" s="546" t="s">
        <v>325</v>
      </c>
      <c r="BE965" s="351"/>
      <c r="BF965" s="547"/>
      <c r="BG965" s="350"/>
      <c r="BH965" s="350"/>
      <c r="BI965" s="351"/>
      <c r="BJ965" s="548" t="s">
        <v>294</v>
      </c>
      <c r="BK965" s="350"/>
      <c r="BL965" s="350"/>
      <c r="BM965" s="351"/>
      <c r="BN965" s="530" t="s">
        <v>294</v>
      </c>
      <c r="BO965" s="350"/>
      <c r="BP965" s="350"/>
      <c r="BQ965" s="350"/>
      <c r="BR965" s="350"/>
      <c r="BS965" s="350"/>
      <c r="BT965" s="350"/>
      <c r="BU965" s="350"/>
      <c r="BV965" s="351"/>
    </row>
    <row r="966" spans="1:74" ht="45" customHeight="1">
      <c r="A966" s="24">
        <f t="shared" si="3"/>
        <v>952</v>
      </c>
      <c r="B966" s="558" t="s">
        <v>294</v>
      </c>
      <c r="C966" s="351"/>
      <c r="D966" s="559" t="s">
        <v>298</v>
      </c>
      <c r="E966" s="351"/>
      <c r="F966" s="524" t="s">
        <v>325</v>
      </c>
      <c r="G966" s="351"/>
      <c r="H966" s="525" t="s">
        <v>325</v>
      </c>
      <c r="I966" s="351"/>
      <c r="J966" s="563"/>
      <c r="K966" s="351"/>
      <c r="L966" s="563"/>
      <c r="M966" s="351"/>
      <c r="N966" s="37"/>
      <c r="O966" s="38"/>
      <c r="P966" s="560"/>
      <c r="Q966" s="351"/>
      <c r="R966" s="535"/>
      <c r="S966" s="351"/>
      <c r="T966" s="536"/>
      <c r="U966" s="351"/>
      <c r="V966" s="537"/>
      <c r="W966" s="351"/>
      <c r="X966" s="538" t="s">
        <v>294</v>
      </c>
      <c r="Y966" s="350"/>
      <c r="Z966" s="350"/>
      <c r="AA966" s="351"/>
      <c r="AB966" s="539" t="s">
        <v>294</v>
      </c>
      <c r="AC966" s="350"/>
      <c r="AD966" s="350"/>
      <c r="AE966" s="351"/>
      <c r="AF966" s="540"/>
      <c r="AG966" s="351"/>
      <c r="AH966" s="540"/>
      <c r="AI966" s="351"/>
      <c r="AJ966" s="545"/>
      <c r="AK966" s="351"/>
      <c r="AL966" s="555" t="s">
        <v>325</v>
      </c>
      <c r="AM966" s="351"/>
      <c r="AN966" s="531" t="s">
        <v>325</v>
      </c>
      <c r="AO966" s="351"/>
      <c r="AP966" s="532"/>
      <c r="AQ966" s="351"/>
      <c r="AR966" s="533"/>
      <c r="AS966" s="351"/>
      <c r="AT966" s="534"/>
      <c r="AU966" s="351"/>
      <c r="AV966" s="531" t="s">
        <v>325</v>
      </c>
      <c r="AW966" s="351"/>
      <c r="AX966" s="553"/>
      <c r="AY966" s="350"/>
      <c r="AZ966" s="351"/>
      <c r="BA966" s="545"/>
      <c r="BB966" s="351"/>
      <c r="BC966" s="36"/>
      <c r="BD966" s="556" t="s">
        <v>325</v>
      </c>
      <c r="BE966" s="351"/>
      <c r="BF966" s="557"/>
      <c r="BG966" s="350"/>
      <c r="BH966" s="350"/>
      <c r="BI966" s="351"/>
      <c r="BJ966" s="506" t="s">
        <v>294</v>
      </c>
      <c r="BK966" s="350"/>
      <c r="BL966" s="350"/>
      <c r="BM966" s="351"/>
      <c r="BN966" s="530" t="s">
        <v>294</v>
      </c>
      <c r="BO966" s="350"/>
      <c r="BP966" s="350"/>
      <c r="BQ966" s="350"/>
      <c r="BR966" s="350"/>
      <c r="BS966" s="350"/>
      <c r="BT966" s="350"/>
      <c r="BU966" s="350"/>
      <c r="BV966" s="351"/>
    </row>
    <row r="967" spans="1:74" ht="45" customHeight="1">
      <c r="A967" s="24">
        <f t="shared" si="3"/>
        <v>953</v>
      </c>
      <c r="B967" s="522" t="s">
        <v>294</v>
      </c>
      <c r="C967" s="351"/>
      <c r="D967" s="523" t="s">
        <v>298</v>
      </c>
      <c r="E967" s="351"/>
      <c r="F967" s="524" t="s">
        <v>325</v>
      </c>
      <c r="G967" s="351"/>
      <c r="H967" s="561" t="s">
        <v>325</v>
      </c>
      <c r="I967" s="351"/>
      <c r="J967" s="562"/>
      <c r="K967" s="351"/>
      <c r="L967" s="562"/>
      <c r="M967" s="351"/>
      <c r="N967" s="34"/>
      <c r="O967" s="35"/>
      <c r="P967" s="526"/>
      <c r="Q967" s="351"/>
      <c r="R967" s="527"/>
      <c r="S967" s="351"/>
      <c r="T967" s="528"/>
      <c r="U967" s="351"/>
      <c r="V967" s="541"/>
      <c r="W967" s="351"/>
      <c r="X967" s="542" t="s">
        <v>294</v>
      </c>
      <c r="Y967" s="350"/>
      <c r="Z967" s="350"/>
      <c r="AA967" s="351"/>
      <c r="AB967" s="543" t="s">
        <v>294</v>
      </c>
      <c r="AC967" s="350"/>
      <c r="AD967" s="350"/>
      <c r="AE967" s="351"/>
      <c r="AF967" s="544"/>
      <c r="AG967" s="351"/>
      <c r="AH967" s="544"/>
      <c r="AI967" s="351"/>
      <c r="AJ967" s="545"/>
      <c r="AK967" s="351"/>
      <c r="AL967" s="524" t="s">
        <v>325</v>
      </c>
      <c r="AM967" s="351"/>
      <c r="AN967" s="549" t="s">
        <v>325</v>
      </c>
      <c r="AO967" s="351"/>
      <c r="AP967" s="550"/>
      <c r="AQ967" s="351"/>
      <c r="AR967" s="551"/>
      <c r="AS967" s="351"/>
      <c r="AT967" s="534"/>
      <c r="AU967" s="351"/>
      <c r="AV967" s="549" t="s">
        <v>325</v>
      </c>
      <c r="AW967" s="351"/>
      <c r="AX967" s="553"/>
      <c r="AY967" s="350"/>
      <c r="AZ967" s="351"/>
      <c r="BA967" s="554"/>
      <c r="BB967" s="351"/>
      <c r="BC967" s="39"/>
      <c r="BD967" s="546" t="s">
        <v>325</v>
      </c>
      <c r="BE967" s="351"/>
      <c r="BF967" s="547"/>
      <c r="BG967" s="350"/>
      <c r="BH967" s="350"/>
      <c r="BI967" s="351"/>
      <c r="BJ967" s="548" t="s">
        <v>294</v>
      </c>
      <c r="BK967" s="350"/>
      <c r="BL967" s="350"/>
      <c r="BM967" s="351"/>
      <c r="BN967" s="530" t="s">
        <v>294</v>
      </c>
      <c r="BO967" s="350"/>
      <c r="BP967" s="350"/>
      <c r="BQ967" s="350"/>
      <c r="BR967" s="350"/>
      <c r="BS967" s="350"/>
      <c r="BT967" s="350"/>
      <c r="BU967" s="350"/>
      <c r="BV967" s="351"/>
    </row>
    <row r="968" spans="1:74" ht="45" customHeight="1">
      <c r="A968" s="24">
        <f t="shared" si="3"/>
        <v>954</v>
      </c>
      <c r="B968" s="558" t="s">
        <v>294</v>
      </c>
      <c r="C968" s="351"/>
      <c r="D968" s="559" t="s">
        <v>298</v>
      </c>
      <c r="E968" s="351"/>
      <c r="F968" s="524" t="s">
        <v>325</v>
      </c>
      <c r="G968" s="351"/>
      <c r="H968" s="525" t="s">
        <v>325</v>
      </c>
      <c r="I968" s="351"/>
      <c r="J968" s="563"/>
      <c r="K968" s="351"/>
      <c r="L968" s="563"/>
      <c r="M968" s="351"/>
      <c r="N968" s="37"/>
      <c r="O968" s="38"/>
      <c r="P968" s="560"/>
      <c r="Q968" s="351"/>
      <c r="R968" s="535"/>
      <c r="S968" s="351"/>
      <c r="T968" s="536"/>
      <c r="U968" s="351"/>
      <c r="V968" s="537"/>
      <c r="W968" s="351"/>
      <c r="X968" s="538" t="s">
        <v>294</v>
      </c>
      <c r="Y968" s="350"/>
      <c r="Z968" s="350"/>
      <c r="AA968" s="351"/>
      <c r="AB968" s="539" t="s">
        <v>294</v>
      </c>
      <c r="AC968" s="350"/>
      <c r="AD968" s="350"/>
      <c r="AE968" s="351"/>
      <c r="AF968" s="540"/>
      <c r="AG968" s="351"/>
      <c r="AH968" s="540"/>
      <c r="AI968" s="351"/>
      <c r="AJ968" s="545"/>
      <c r="AK968" s="351"/>
      <c r="AL968" s="555" t="s">
        <v>325</v>
      </c>
      <c r="AM968" s="351"/>
      <c r="AN968" s="531" t="s">
        <v>325</v>
      </c>
      <c r="AO968" s="351"/>
      <c r="AP968" s="532"/>
      <c r="AQ968" s="351"/>
      <c r="AR968" s="533"/>
      <c r="AS968" s="351"/>
      <c r="AT968" s="534"/>
      <c r="AU968" s="351"/>
      <c r="AV968" s="531" t="s">
        <v>325</v>
      </c>
      <c r="AW968" s="351"/>
      <c r="AX968" s="553"/>
      <c r="AY968" s="350"/>
      <c r="AZ968" s="351"/>
      <c r="BA968" s="545"/>
      <c r="BB968" s="351"/>
      <c r="BC968" s="36"/>
      <c r="BD968" s="556" t="s">
        <v>325</v>
      </c>
      <c r="BE968" s="351"/>
      <c r="BF968" s="557"/>
      <c r="BG968" s="350"/>
      <c r="BH968" s="350"/>
      <c r="BI968" s="351"/>
      <c r="BJ968" s="506" t="s">
        <v>294</v>
      </c>
      <c r="BK968" s="350"/>
      <c r="BL968" s="350"/>
      <c r="BM968" s="351"/>
      <c r="BN968" s="530" t="s">
        <v>294</v>
      </c>
      <c r="BO968" s="350"/>
      <c r="BP968" s="350"/>
      <c r="BQ968" s="350"/>
      <c r="BR968" s="350"/>
      <c r="BS968" s="350"/>
      <c r="BT968" s="350"/>
      <c r="BU968" s="350"/>
      <c r="BV968" s="351"/>
    </row>
    <row r="969" spans="1:74" ht="45" customHeight="1">
      <c r="A969" s="24">
        <f t="shared" si="3"/>
        <v>955</v>
      </c>
      <c r="B969" s="522" t="s">
        <v>294</v>
      </c>
      <c r="C969" s="351"/>
      <c r="D969" s="523" t="s">
        <v>298</v>
      </c>
      <c r="E969" s="351"/>
      <c r="F969" s="524" t="s">
        <v>325</v>
      </c>
      <c r="G969" s="351"/>
      <c r="H969" s="561" t="s">
        <v>325</v>
      </c>
      <c r="I969" s="351"/>
      <c r="J969" s="562"/>
      <c r="K969" s="351"/>
      <c r="L969" s="562"/>
      <c r="M969" s="351"/>
      <c r="N969" s="34"/>
      <c r="O969" s="38"/>
      <c r="P969" s="526"/>
      <c r="Q969" s="351"/>
      <c r="R969" s="527"/>
      <c r="S969" s="351"/>
      <c r="T969" s="528"/>
      <c r="U969" s="351"/>
      <c r="V969" s="541"/>
      <c r="W969" s="351"/>
      <c r="X969" s="542" t="s">
        <v>294</v>
      </c>
      <c r="Y969" s="350"/>
      <c r="Z969" s="350"/>
      <c r="AA969" s="351"/>
      <c r="AB969" s="543" t="s">
        <v>294</v>
      </c>
      <c r="AC969" s="350"/>
      <c r="AD969" s="350"/>
      <c r="AE969" s="351"/>
      <c r="AF969" s="544"/>
      <c r="AG969" s="351"/>
      <c r="AH969" s="544"/>
      <c r="AI969" s="351"/>
      <c r="AJ969" s="545"/>
      <c r="AK969" s="351"/>
      <c r="AL969" s="524" t="s">
        <v>325</v>
      </c>
      <c r="AM969" s="351"/>
      <c r="AN969" s="549" t="s">
        <v>325</v>
      </c>
      <c r="AO969" s="351"/>
      <c r="AP969" s="550"/>
      <c r="AQ969" s="351"/>
      <c r="AR969" s="551"/>
      <c r="AS969" s="351"/>
      <c r="AT969" s="552"/>
      <c r="AU969" s="351"/>
      <c r="AV969" s="549" t="s">
        <v>325</v>
      </c>
      <c r="AW969" s="351"/>
      <c r="AX969" s="553"/>
      <c r="AY969" s="350"/>
      <c r="AZ969" s="351"/>
      <c r="BA969" s="554"/>
      <c r="BB969" s="351"/>
      <c r="BC969" s="39"/>
      <c r="BD969" s="546" t="s">
        <v>325</v>
      </c>
      <c r="BE969" s="351"/>
      <c r="BF969" s="547"/>
      <c r="BG969" s="350"/>
      <c r="BH969" s="350"/>
      <c r="BI969" s="351"/>
      <c r="BJ969" s="548" t="s">
        <v>294</v>
      </c>
      <c r="BK969" s="350"/>
      <c r="BL969" s="350"/>
      <c r="BM969" s="351"/>
      <c r="BN969" s="530" t="s">
        <v>294</v>
      </c>
      <c r="BO969" s="350"/>
      <c r="BP969" s="350"/>
      <c r="BQ969" s="350"/>
      <c r="BR969" s="350"/>
      <c r="BS969" s="350"/>
      <c r="BT969" s="350"/>
      <c r="BU969" s="350"/>
      <c r="BV969" s="351"/>
    </row>
    <row r="970" spans="1:74" ht="45" customHeight="1">
      <c r="A970" s="24">
        <f t="shared" si="3"/>
        <v>956</v>
      </c>
      <c r="B970" s="558" t="s">
        <v>294</v>
      </c>
      <c r="C970" s="351"/>
      <c r="D970" s="559" t="s">
        <v>298</v>
      </c>
      <c r="E970" s="351"/>
      <c r="F970" s="524" t="s">
        <v>325</v>
      </c>
      <c r="G970" s="351"/>
      <c r="H970" s="525" t="s">
        <v>325</v>
      </c>
      <c r="I970" s="351"/>
      <c r="J970" s="563"/>
      <c r="K970" s="351"/>
      <c r="L970" s="563"/>
      <c r="M970" s="351"/>
      <c r="N970" s="37"/>
      <c r="O970" s="35"/>
      <c r="P970" s="560"/>
      <c r="Q970" s="351"/>
      <c r="R970" s="535"/>
      <c r="S970" s="351"/>
      <c r="T970" s="536"/>
      <c r="U970" s="351"/>
      <c r="V970" s="537"/>
      <c r="W970" s="351"/>
      <c r="X970" s="538" t="s">
        <v>294</v>
      </c>
      <c r="Y970" s="350"/>
      <c r="Z970" s="350"/>
      <c r="AA970" s="351"/>
      <c r="AB970" s="539" t="s">
        <v>294</v>
      </c>
      <c r="AC970" s="350"/>
      <c r="AD970" s="350"/>
      <c r="AE970" s="351"/>
      <c r="AF970" s="540"/>
      <c r="AG970" s="351"/>
      <c r="AH970" s="540"/>
      <c r="AI970" s="351"/>
      <c r="AJ970" s="545"/>
      <c r="AK970" s="351"/>
      <c r="AL970" s="555" t="s">
        <v>325</v>
      </c>
      <c r="AM970" s="351"/>
      <c r="AN970" s="531" t="s">
        <v>325</v>
      </c>
      <c r="AO970" s="351"/>
      <c r="AP970" s="532"/>
      <c r="AQ970" s="351"/>
      <c r="AR970" s="533"/>
      <c r="AS970" s="351"/>
      <c r="AT970" s="534"/>
      <c r="AU970" s="351"/>
      <c r="AV970" s="531" t="s">
        <v>325</v>
      </c>
      <c r="AW970" s="351"/>
      <c r="AX970" s="553"/>
      <c r="AY970" s="350"/>
      <c r="AZ970" s="351"/>
      <c r="BA970" s="545"/>
      <c r="BB970" s="351"/>
      <c r="BC970" s="36"/>
      <c r="BD970" s="556" t="s">
        <v>325</v>
      </c>
      <c r="BE970" s="351"/>
      <c r="BF970" s="529"/>
      <c r="BG970" s="350"/>
      <c r="BH970" s="350"/>
      <c r="BI970" s="351"/>
      <c r="BJ970" s="506" t="s">
        <v>294</v>
      </c>
      <c r="BK970" s="350"/>
      <c r="BL970" s="350"/>
      <c r="BM970" s="351"/>
      <c r="BN970" s="530" t="s">
        <v>294</v>
      </c>
      <c r="BO970" s="350"/>
      <c r="BP970" s="350"/>
      <c r="BQ970" s="350"/>
      <c r="BR970" s="350"/>
      <c r="BS970" s="350"/>
      <c r="BT970" s="350"/>
      <c r="BU970" s="350"/>
      <c r="BV970" s="351"/>
    </row>
    <row r="971" spans="1:74" ht="45" customHeight="1">
      <c r="A971" s="24">
        <f t="shared" si="3"/>
        <v>957</v>
      </c>
      <c r="B971" s="522" t="s">
        <v>294</v>
      </c>
      <c r="C971" s="351"/>
      <c r="D971" s="523" t="s">
        <v>298</v>
      </c>
      <c r="E971" s="351"/>
      <c r="F971" s="524" t="s">
        <v>325</v>
      </c>
      <c r="G971" s="351"/>
      <c r="H971" s="561" t="s">
        <v>325</v>
      </c>
      <c r="I971" s="351"/>
      <c r="J971" s="562"/>
      <c r="K971" s="351"/>
      <c r="L971" s="562"/>
      <c r="M971" s="351"/>
      <c r="N971" s="34"/>
      <c r="O971" s="38"/>
      <c r="P971" s="526"/>
      <c r="Q971" s="351"/>
      <c r="R971" s="527"/>
      <c r="S971" s="351"/>
      <c r="T971" s="528"/>
      <c r="U971" s="351"/>
      <c r="V971" s="541"/>
      <c r="W971" s="351"/>
      <c r="X971" s="542" t="s">
        <v>294</v>
      </c>
      <c r="Y971" s="350"/>
      <c r="Z971" s="350"/>
      <c r="AA971" s="351"/>
      <c r="AB971" s="543" t="s">
        <v>294</v>
      </c>
      <c r="AC971" s="350"/>
      <c r="AD971" s="350"/>
      <c r="AE971" s="351"/>
      <c r="AF971" s="544"/>
      <c r="AG971" s="351"/>
      <c r="AH971" s="544"/>
      <c r="AI971" s="351"/>
      <c r="AJ971" s="545"/>
      <c r="AK971" s="351"/>
      <c r="AL971" s="524" t="s">
        <v>325</v>
      </c>
      <c r="AM971" s="351"/>
      <c r="AN971" s="549" t="s">
        <v>325</v>
      </c>
      <c r="AO971" s="351"/>
      <c r="AP971" s="550"/>
      <c r="AQ971" s="351"/>
      <c r="AR971" s="551"/>
      <c r="AS971" s="351"/>
      <c r="AT971" s="552"/>
      <c r="AU971" s="351"/>
      <c r="AV971" s="549" t="s">
        <v>325</v>
      </c>
      <c r="AW971" s="351"/>
      <c r="AX971" s="553"/>
      <c r="AY971" s="350"/>
      <c r="AZ971" s="351"/>
      <c r="BA971" s="554"/>
      <c r="BB971" s="351"/>
      <c r="BC971" s="39"/>
      <c r="BD971" s="546" t="s">
        <v>325</v>
      </c>
      <c r="BE971" s="351"/>
      <c r="BF971" s="547"/>
      <c r="BG971" s="350"/>
      <c r="BH971" s="350"/>
      <c r="BI971" s="351"/>
      <c r="BJ971" s="548" t="s">
        <v>294</v>
      </c>
      <c r="BK971" s="350"/>
      <c r="BL971" s="350"/>
      <c r="BM971" s="351"/>
      <c r="BN971" s="530" t="s">
        <v>294</v>
      </c>
      <c r="BO971" s="350"/>
      <c r="BP971" s="350"/>
      <c r="BQ971" s="350"/>
      <c r="BR971" s="350"/>
      <c r="BS971" s="350"/>
      <c r="BT971" s="350"/>
      <c r="BU971" s="350"/>
      <c r="BV971" s="351"/>
    </row>
    <row r="972" spans="1:74" ht="45" customHeight="1">
      <c r="A972" s="24">
        <f t="shared" si="3"/>
        <v>958</v>
      </c>
      <c r="B972" s="558" t="s">
        <v>294</v>
      </c>
      <c r="C972" s="351"/>
      <c r="D972" s="559" t="s">
        <v>298</v>
      </c>
      <c r="E972" s="351"/>
      <c r="F972" s="524" t="s">
        <v>325</v>
      </c>
      <c r="G972" s="351"/>
      <c r="H972" s="525" t="s">
        <v>325</v>
      </c>
      <c r="I972" s="351"/>
      <c r="J972" s="563"/>
      <c r="K972" s="351"/>
      <c r="L972" s="563"/>
      <c r="M972" s="351"/>
      <c r="N972" s="37"/>
      <c r="O972" s="35"/>
      <c r="P972" s="560"/>
      <c r="Q972" s="351"/>
      <c r="R972" s="535"/>
      <c r="S972" s="351"/>
      <c r="T972" s="536"/>
      <c r="U972" s="351"/>
      <c r="V972" s="537"/>
      <c r="W972" s="351"/>
      <c r="X972" s="538" t="s">
        <v>294</v>
      </c>
      <c r="Y972" s="350"/>
      <c r="Z972" s="350"/>
      <c r="AA972" s="351"/>
      <c r="AB972" s="539" t="s">
        <v>294</v>
      </c>
      <c r="AC972" s="350"/>
      <c r="AD972" s="350"/>
      <c r="AE972" s="351"/>
      <c r="AF972" s="540"/>
      <c r="AG972" s="351"/>
      <c r="AH972" s="540"/>
      <c r="AI972" s="351"/>
      <c r="AJ972" s="545"/>
      <c r="AK972" s="351"/>
      <c r="AL972" s="555" t="s">
        <v>325</v>
      </c>
      <c r="AM972" s="351"/>
      <c r="AN972" s="531" t="s">
        <v>325</v>
      </c>
      <c r="AO972" s="351"/>
      <c r="AP972" s="532"/>
      <c r="AQ972" s="351"/>
      <c r="AR972" s="533"/>
      <c r="AS972" s="351"/>
      <c r="AT972" s="534"/>
      <c r="AU972" s="351"/>
      <c r="AV972" s="531" t="s">
        <v>325</v>
      </c>
      <c r="AW972" s="351"/>
      <c r="AX972" s="553"/>
      <c r="AY972" s="350"/>
      <c r="AZ972" s="351"/>
      <c r="BA972" s="545"/>
      <c r="BB972" s="351"/>
      <c r="BC972" s="36"/>
      <c r="BD972" s="556" t="s">
        <v>325</v>
      </c>
      <c r="BE972" s="351"/>
      <c r="BF972" s="557"/>
      <c r="BG972" s="350"/>
      <c r="BH972" s="350"/>
      <c r="BI972" s="351"/>
      <c r="BJ972" s="506" t="s">
        <v>294</v>
      </c>
      <c r="BK972" s="350"/>
      <c r="BL972" s="350"/>
      <c r="BM972" s="351"/>
      <c r="BN972" s="530" t="s">
        <v>294</v>
      </c>
      <c r="BO972" s="350"/>
      <c r="BP972" s="350"/>
      <c r="BQ972" s="350"/>
      <c r="BR972" s="350"/>
      <c r="BS972" s="350"/>
      <c r="BT972" s="350"/>
      <c r="BU972" s="350"/>
      <c r="BV972" s="351"/>
    </row>
    <row r="973" spans="1:74" ht="45" customHeight="1">
      <c r="A973" s="24">
        <f t="shared" si="3"/>
        <v>959</v>
      </c>
      <c r="B973" s="522" t="s">
        <v>294</v>
      </c>
      <c r="C973" s="351"/>
      <c r="D973" s="523" t="s">
        <v>298</v>
      </c>
      <c r="E973" s="351"/>
      <c r="F973" s="524" t="s">
        <v>325</v>
      </c>
      <c r="G973" s="351"/>
      <c r="H973" s="561" t="s">
        <v>325</v>
      </c>
      <c r="I973" s="351"/>
      <c r="J973" s="562"/>
      <c r="K973" s="351"/>
      <c r="L973" s="562"/>
      <c r="M973" s="351"/>
      <c r="N973" s="34"/>
      <c r="O973" s="38"/>
      <c r="P973" s="526"/>
      <c r="Q973" s="351"/>
      <c r="R973" s="527"/>
      <c r="S973" s="351"/>
      <c r="T973" s="528"/>
      <c r="U973" s="351"/>
      <c r="V973" s="541"/>
      <c r="W973" s="351"/>
      <c r="X973" s="542" t="s">
        <v>294</v>
      </c>
      <c r="Y973" s="350"/>
      <c r="Z973" s="350"/>
      <c r="AA973" s="351"/>
      <c r="AB973" s="543" t="s">
        <v>294</v>
      </c>
      <c r="AC973" s="350"/>
      <c r="AD973" s="350"/>
      <c r="AE973" s="351"/>
      <c r="AF973" s="544"/>
      <c r="AG973" s="351"/>
      <c r="AH973" s="544"/>
      <c r="AI973" s="351"/>
      <c r="AJ973" s="545"/>
      <c r="AK973" s="351"/>
      <c r="AL973" s="524" t="s">
        <v>325</v>
      </c>
      <c r="AM973" s="351"/>
      <c r="AN973" s="549" t="s">
        <v>325</v>
      </c>
      <c r="AO973" s="351"/>
      <c r="AP973" s="550"/>
      <c r="AQ973" s="351"/>
      <c r="AR973" s="551"/>
      <c r="AS973" s="351"/>
      <c r="AT973" s="552"/>
      <c r="AU973" s="351"/>
      <c r="AV973" s="549" t="s">
        <v>325</v>
      </c>
      <c r="AW973" s="351"/>
      <c r="AX973" s="553"/>
      <c r="AY973" s="350"/>
      <c r="AZ973" s="351"/>
      <c r="BA973" s="554"/>
      <c r="BB973" s="351"/>
      <c r="BC973" s="39"/>
      <c r="BD973" s="546" t="s">
        <v>325</v>
      </c>
      <c r="BE973" s="351"/>
      <c r="BF973" s="547"/>
      <c r="BG973" s="350"/>
      <c r="BH973" s="350"/>
      <c r="BI973" s="351"/>
      <c r="BJ973" s="548" t="s">
        <v>294</v>
      </c>
      <c r="BK973" s="350"/>
      <c r="BL973" s="350"/>
      <c r="BM973" s="351"/>
      <c r="BN973" s="530" t="s">
        <v>294</v>
      </c>
      <c r="BO973" s="350"/>
      <c r="BP973" s="350"/>
      <c r="BQ973" s="350"/>
      <c r="BR973" s="350"/>
      <c r="BS973" s="350"/>
      <c r="BT973" s="350"/>
      <c r="BU973" s="350"/>
      <c r="BV973" s="351"/>
    </row>
    <row r="974" spans="1:74" ht="45" customHeight="1">
      <c r="A974" s="24">
        <f t="shared" si="3"/>
        <v>960</v>
      </c>
      <c r="B974" s="558" t="s">
        <v>294</v>
      </c>
      <c r="C974" s="351"/>
      <c r="D974" s="559" t="s">
        <v>298</v>
      </c>
      <c r="E974" s="351"/>
      <c r="F974" s="524" t="s">
        <v>325</v>
      </c>
      <c r="G974" s="351"/>
      <c r="H974" s="525" t="s">
        <v>325</v>
      </c>
      <c r="I974" s="351"/>
      <c r="J974" s="563"/>
      <c r="K974" s="351"/>
      <c r="L974" s="563"/>
      <c r="M974" s="351"/>
      <c r="N974" s="37"/>
      <c r="O974" s="35"/>
      <c r="P974" s="560"/>
      <c r="Q974" s="351"/>
      <c r="R974" s="535"/>
      <c r="S974" s="351"/>
      <c r="T974" s="536"/>
      <c r="U974" s="351"/>
      <c r="V974" s="537"/>
      <c r="W974" s="351"/>
      <c r="X974" s="538" t="s">
        <v>294</v>
      </c>
      <c r="Y974" s="350"/>
      <c r="Z974" s="350"/>
      <c r="AA974" s="351"/>
      <c r="AB974" s="539" t="s">
        <v>294</v>
      </c>
      <c r="AC974" s="350"/>
      <c r="AD974" s="350"/>
      <c r="AE974" s="351"/>
      <c r="AF974" s="540"/>
      <c r="AG974" s="351"/>
      <c r="AH974" s="540"/>
      <c r="AI974" s="351"/>
      <c r="AJ974" s="545"/>
      <c r="AK974" s="351"/>
      <c r="AL974" s="555" t="s">
        <v>325</v>
      </c>
      <c r="AM974" s="351"/>
      <c r="AN974" s="531" t="s">
        <v>325</v>
      </c>
      <c r="AO974" s="351"/>
      <c r="AP974" s="532"/>
      <c r="AQ974" s="351"/>
      <c r="AR974" s="533"/>
      <c r="AS974" s="351"/>
      <c r="AT974" s="534"/>
      <c r="AU974" s="351"/>
      <c r="AV974" s="531" t="s">
        <v>325</v>
      </c>
      <c r="AW974" s="351"/>
      <c r="AX974" s="553"/>
      <c r="AY974" s="350"/>
      <c r="AZ974" s="351"/>
      <c r="BA974" s="545"/>
      <c r="BB974" s="351"/>
      <c r="BC974" s="36"/>
      <c r="BD974" s="556" t="s">
        <v>325</v>
      </c>
      <c r="BE974" s="351"/>
      <c r="BF974" s="557"/>
      <c r="BG974" s="350"/>
      <c r="BH974" s="350"/>
      <c r="BI974" s="351"/>
      <c r="BJ974" s="506" t="s">
        <v>294</v>
      </c>
      <c r="BK974" s="350"/>
      <c r="BL974" s="350"/>
      <c r="BM974" s="351"/>
      <c r="BN974" s="530" t="s">
        <v>294</v>
      </c>
      <c r="BO974" s="350"/>
      <c r="BP974" s="350"/>
      <c r="BQ974" s="350"/>
      <c r="BR974" s="350"/>
      <c r="BS974" s="350"/>
      <c r="BT974" s="350"/>
      <c r="BU974" s="350"/>
      <c r="BV974" s="351"/>
    </row>
    <row r="975" spans="1:74" ht="45" customHeight="1">
      <c r="A975" s="24">
        <f t="shared" si="3"/>
        <v>961</v>
      </c>
      <c r="B975" s="522" t="s">
        <v>294</v>
      </c>
      <c r="C975" s="351"/>
      <c r="D975" s="523" t="s">
        <v>298</v>
      </c>
      <c r="E975" s="351"/>
      <c r="F975" s="524" t="s">
        <v>325</v>
      </c>
      <c r="G975" s="351"/>
      <c r="H975" s="561" t="s">
        <v>325</v>
      </c>
      <c r="I975" s="351"/>
      <c r="J975" s="562"/>
      <c r="K975" s="351"/>
      <c r="L975" s="562"/>
      <c r="M975" s="351"/>
      <c r="N975" s="34"/>
      <c r="O975" s="38"/>
      <c r="P975" s="526"/>
      <c r="Q975" s="351"/>
      <c r="R975" s="527"/>
      <c r="S975" s="351"/>
      <c r="T975" s="528"/>
      <c r="U975" s="351"/>
      <c r="V975" s="541"/>
      <c r="W975" s="351"/>
      <c r="X975" s="542" t="s">
        <v>294</v>
      </c>
      <c r="Y975" s="350"/>
      <c r="Z975" s="350"/>
      <c r="AA975" s="351"/>
      <c r="AB975" s="543" t="s">
        <v>294</v>
      </c>
      <c r="AC975" s="350"/>
      <c r="AD975" s="350"/>
      <c r="AE975" s="351"/>
      <c r="AF975" s="544"/>
      <c r="AG975" s="351"/>
      <c r="AH975" s="544"/>
      <c r="AI975" s="351"/>
      <c r="AJ975" s="545"/>
      <c r="AK975" s="351"/>
      <c r="AL975" s="524" t="s">
        <v>325</v>
      </c>
      <c r="AM975" s="351"/>
      <c r="AN975" s="549" t="s">
        <v>325</v>
      </c>
      <c r="AO975" s="351"/>
      <c r="AP975" s="550"/>
      <c r="AQ975" s="351"/>
      <c r="AR975" s="551"/>
      <c r="AS975" s="351"/>
      <c r="AT975" s="552"/>
      <c r="AU975" s="351"/>
      <c r="AV975" s="549" t="s">
        <v>325</v>
      </c>
      <c r="AW975" s="351"/>
      <c r="AX975" s="553"/>
      <c r="AY975" s="350"/>
      <c r="AZ975" s="351"/>
      <c r="BA975" s="554"/>
      <c r="BB975" s="351"/>
      <c r="BC975" s="39"/>
      <c r="BD975" s="546" t="s">
        <v>325</v>
      </c>
      <c r="BE975" s="351"/>
      <c r="BF975" s="547"/>
      <c r="BG975" s="350"/>
      <c r="BH975" s="350"/>
      <c r="BI975" s="351"/>
      <c r="BJ975" s="548" t="s">
        <v>294</v>
      </c>
      <c r="BK975" s="350"/>
      <c r="BL975" s="350"/>
      <c r="BM975" s="351"/>
      <c r="BN975" s="530" t="s">
        <v>294</v>
      </c>
      <c r="BO975" s="350"/>
      <c r="BP975" s="350"/>
      <c r="BQ975" s="350"/>
      <c r="BR975" s="350"/>
      <c r="BS975" s="350"/>
      <c r="BT975" s="350"/>
      <c r="BU975" s="350"/>
      <c r="BV975" s="351"/>
    </row>
    <row r="976" spans="1:74" ht="45" customHeight="1">
      <c r="A976" s="24">
        <f t="shared" si="3"/>
        <v>962</v>
      </c>
      <c r="B976" s="558" t="s">
        <v>294</v>
      </c>
      <c r="C976" s="351"/>
      <c r="D976" s="559" t="s">
        <v>298</v>
      </c>
      <c r="E976" s="351"/>
      <c r="F976" s="524" t="s">
        <v>325</v>
      </c>
      <c r="G976" s="351"/>
      <c r="H976" s="525" t="s">
        <v>325</v>
      </c>
      <c r="I976" s="351"/>
      <c r="J976" s="563"/>
      <c r="K976" s="351"/>
      <c r="L976" s="563"/>
      <c r="M976" s="351"/>
      <c r="N976" s="37"/>
      <c r="O976" s="35"/>
      <c r="P976" s="560"/>
      <c r="Q976" s="351"/>
      <c r="R976" s="535"/>
      <c r="S976" s="351"/>
      <c r="T976" s="536"/>
      <c r="U976" s="351"/>
      <c r="V976" s="537"/>
      <c r="W976" s="351"/>
      <c r="X976" s="538" t="s">
        <v>294</v>
      </c>
      <c r="Y976" s="350"/>
      <c r="Z976" s="350"/>
      <c r="AA976" s="351"/>
      <c r="AB976" s="539" t="s">
        <v>294</v>
      </c>
      <c r="AC976" s="350"/>
      <c r="AD976" s="350"/>
      <c r="AE976" s="351"/>
      <c r="AF976" s="540"/>
      <c r="AG976" s="351"/>
      <c r="AH976" s="540"/>
      <c r="AI976" s="351"/>
      <c r="AJ976" s="545"/>
      <c r="AK976" s="351"/>
      <c r="AL976" s="555" t="s">
        <v>325</v>
      </c>
      <c r="AM976" s="351"/>
      <c r="AN976" s="531" t="s">
        <v>325</v>
      </c>
      <c r="AO976" s="351"/>
      <c r="AP976" s="532"/>
      <c r="AQ976" s="351"/>
      <c r="AR976" s="533"/>
      <c r="AS976" s="351"/>
      <c r="AT976" s="534"/>
      <c r="AU976" s="351"/>
      <c r="AV976" s="531" t="s">
        <v>325</v>
      </c>
      <c r="AW976" s="351"/>
      <c r="AX976" s="553"/>
      <c r="AY976" s="350"/>
      <c r="AZ976" s="351"/>
      <c r="BA976" s="545"/>
      <c r="BB976" s="351"/>
      <c r="BC976" s="36"/>
      <c r="BD976" s="556" t="s">
        <v>325</v>
      </c>
      <c r="BE976" s="351"/>
      <c r="BF976" s="529"/>
      <c r="BG976" s="350"/>
      <c r="BH976" s="350"/>
      <c r="BI976" s="351"/>
      <c r="BJ976" s="506" t="s">
        <v>294</v>
      </c>
      <c r="BK976" s="350"/>
      <c r="BL976" s="350"/>
      <c r="BM976" s="351"/>
      <c r="BN976" s="530" t="s">
        <v>294</v>
      </c>
      <c r="BO976" s="350"/>
      <c r="BP976" s="350"/>
      <c r="BQ976" s="350"/>
      <c r="BR976" s="350"/>
      <c r="BS976" s="350"/>
      <c r="BT976" s="350"/>
      <c r="BU976" s="350"/>
      <c r="BV976" s="351"/>
    </row>
    <row r="977" spans="1:74" ht="45" customHeight="1">
      <c r="A977" s="24">
        <f t="shared" si="3"/>
        <v>963</v>
      </c>
      <c r="B977" s="522" t="s">
        <v>294</v>
      </c>
      <c r="C977" s="351"/>
      <c r="D977" s="523" t="s">
        <v>298</v>
      </c>
      <c r="E977" s="351"/>
      <c r="F977" s="524" t="s">
        <v>325</v>
      </c>
      <c r="G977" s="351"/>
      <c r="H977" s="561" t="s">
        <v>325</v>
      </c>
      <c r="I977" s="351"/>
      <c r="J977" s="562"/>
      <c r="K977" s="351"/>
      <c r="L977" s="562"/>
      <c r="M977" s="351"/>
      <c r="N977" s="34"/>
      <c r="O977" s="38"/>
      <c r="P977" s="526"/>
      <c r="Q977" s="351"/>
      <c r="R977" s="527"/>
      <c r="S977" s="351"/>
      <c r="T977" s="528"/>
      <c r="U977" s="351"/>
      <c r="V977" s="541"/>
      <c r="W977" s="351"/>
      <c r="X977" s="542" t="s">
        <v>294</v>
      </c>
      <c r="Y977" s="350"/>
      <c r="Z977" s="350"/>
      <c r="AA977" s="351"/>
      <c r="AB977" s="543" t="s">
        <v>294</v>
      </c>
      <c r="AC977" s="350"/>
      <c r="AD977" s="350"/>
      <c r="AE977" s="351"/>
      <c r="AF977" s="544"/>
      <c r="AG977" s="351"/>
      <c r="AH977" s="544"/>
      <c r="AI977" s="351"/>
      <c r="AJ977" s="545"/>
      <c r="AK977" s="351"/>
      <c r="AL977" s="524" t="s">
        <v>325</v>
      </c>
      <c r="AM977" s="351"/>
      <c r="AN977" s="549" t="s">
        <v>325</v>
      </c>
      <c r="AO977" s="351"/>
      <c r="AP977" s="550"/>
      <c r="AQ977" s="351"/>
      <c r="AR977" s="551"/>
      <c r="AS977" s="351"/>
      <c r="AT977" s="552"/>
      <c r="AU977" s="351"/>
      <c r="AV977" s="549" t="s">
        <v>325</v>
      </c>
      <c r="AW977" s="351"/>
      <c r="AX977" s="553"/>
      <c r="AY977" s="350"/>
      <c r="AZ977" s="351"/>
      <c r="BA977" s="554"/>
      <c r="BB977" s="351"/>
      <c r="BC977" s="39"/>
      <c r="BD977" s="546" t="s">
        <v>325</v>
      </c>
      <c r="BE977" s="351"/>
      <c r="BF977" s="547"/>
      <c r="BG977" s="350"/>
      <c r="BH977" s="350"/>
      <c r="BI977" s="351"/>
      <c r="BJ977" s="548" t="s">
        <v>294</v>
      </c>
      <c r="BK977" s="350"/>
      <c r="BL977" s="350"/>
      <c r="BM977" s="351"/>
      <c r="BN977" s="530" t="s">
        <v>294</v>
      </c>
      <c r="BO977" s="350"/>
      <c r="BP977" s="350"/>
      <c r="BQ977" s="350"/>
      <c r="BR977" s="350"/>
      <c r="BS977" s="350"/>
      <c r="BT977" s="350"/>
      <c r="BU977" s="350"/>
      <c r="BV977" s="351"/>
    </row>
    <row r="978" spans="1:74" ht="45" customHeight="1">
      <c r="A978" s="24">
        <f t="shared" si="3"/>
        <v>964</v>
      </c>
      <c r="B978" s="558" t="s">
        <v>294</v>
      </c>
      <c r="C978" s="351"/>
      <c r="D978" s="559" t="s">
        <v>298</v>
      </c>
      <c r="E978" s="351"/>
      <c r="F978" s="524" t="s">
        <v>325</v>
      </c>
      <c r="G978" s="351"/>
      <c r="H978" s="525" t="s">
        <v>325</v>
      </c>
      <c r="I978" s="351"/>
      <c r="J978" s="563"/>
      <c r="K978" s="351"/>
      <c r="L978" s="563"/>
      <c r="M978" s="351"/>
      <c r="N978" s="37"/>
      <c r="O978" s="35"/>
      <c r="P978" s="560"/>
      <c r="Q978" s="351"/>
      <c r="R978" s="535"/>
      <c r="S978" s="351"/>
      <c r="T978" s="536"/>
      <c r="U978" s="351"/>
      <c r="V978" s="537"/>
      <c r="W978" s="351"/>
      <c r="X978" s="538" t="s">
        <v>294</v>
      </c>
      <c r="Y978" s="350"/>
      <c r="Z978" s="350"/>
      <c r="AA978" s="351"/>
      <c r="AB978" s="539" t="s">
        <v>294</v>
      </c>
      <c r="AC978" s="350"/>
      <c r="AD978" s="350"/>
      <c r="AE978" s="351"/>
      <c r="AF978" s="540"/>
      <c r="AG978" s="351"/>
      <c r="AH978" s="540"/>
      <c r="AI978" s="351"/>
      <c r="AJ978" s="545"/>
      <c r="AK978" s="351"/>
      <c r="AL978" s="555" t="s">
        <v>325</v>
      </c>
      <c r="AM978" s="351"/>
      <c r="AN978" s="531" t="s">
        <v>325</v>
      </c>
      <c r="AO978" s="351"/>
      <c r="AP978" s="532"/>
      <c r="AQ978" s="351"/>
      <c r="AR978" s="533"/>
      <c r="AS978" s="351"/>
      <c r="AT978" s="534"/>
      <c r="AU978" s="351"/>
      <c r="AV978" s="531" t="s">
        <v>325</v>
      </c>
      <c r="AW978" s="351"/>
      <c r="AX978" s="553"/>
      <c r="AY978" s="350"/>
      <c r="AZ978" s="351"/>
      <c r="BA978" s="545"/>
      <c r="BB978" s="351"/>
      <c r="BC978" s="36"/>
      <c r="BD978" s="556" t="s">
        <v>325</v>
      </c>
      <c r="BE978" s="351"/>
      <c r="BF978" s="557"/>
      <c r="BG978" s="350"/>
      <c r="BH978" s="350"/>
      <c r="BI978" s="351"/>
      <c r="BJ978" s="506" t="s">
        <v>294</v>
      </c>
      <c r="BK978" s="350"/>
      <c r="BL978" s="350"/>
      <c r="BM978" s="351"/>
      <c r="BN978" s="530" t="s">
        <v>294</v>
      </c>
      <c r="BO978" s="350"/>
      <c r="BP978" s="350"/>
      <c r="BQ978" s="350"/>
      <c r="BR978" s="350"/>
      <c r="BS978" s="350"/>
      <c r="BT978" s="350"/>
      <c r="BU978" s="350"/>
      <c r="BV978" s="351"/>
    </row>
    <row r="979" spans="1:74" ht="45" customHeight="1">
      <c r="A979" s="24">
        <f t="shared" si="3"/>
        <v>965</v>
      </c>
      <c r="B979" s="522" t="s">
        <v>294</v>
      </c>
      <c r="C979" s="351"/>
      <c r="D979" s="523" t="s">
        <v>298</v>
      </c>
      <c r="E979" s="351"/>
      <c r="F979" s="524" t="s">
        <v>325</v>
      </c>
      <c r="G979" s="351"/>
      <c r="H979" s="561" t="s">
        <v>325</v>
      </c>
      <c r="I979" s="351"/>
      <c r="J979" s="562"/>
      <c r="K979" s="351"/>
      <c r="L979" s="562"/>
      <c r="M979" s="351"/>
      <c r="N979" s="37"/>
      <c r="O979" s="38"/>
      <c r="P979" s="560"/>
      <c r="Q979" s="351"/>
      <c r="R979" s="527"/>
      <c r="S979" s="351"/>
      <c r="T979" s="528"/>
      <c r="U979" s="351"/>
      <c r="V979" s="541"/>
      <c r="W979" s="351"/>
      <c r="X979" s="542" t="s">
        <v>294</v>
      </c>
      <c r="Y979" s="350"/>
      <c r="Z979" s="350"/>
      <c r="AA979" s="351"/>
      <c r="AB979" s="543" t="s">
        <v>294</v>
      </c>
      <c r="AC979" s="350"/>
      <c r="AD979" s="350"/>
      <c r="AE979" s="351"/>
      <c r="AF979" s="544"/>
      <c r="AG979" s="351"/>
      <c r="AH979" s="544"/>
      <c r="AI979" s="351"/>
      <c r="AJ979" s="545"/>
      <c r="AK979" s="351"/>
      <c r="AL979" s="524" t="s">
        <v>325</v>
      </c>
      <c r="AM979" s="351"/>
      <c r="AN979" s="549" t="s">
        <v>325</v>
      </c>
      <c r="AO979" s="351"/>
      <c r="AP979" s="550"/>
      <c r="AQ979" s="351"/>
      <c r="AR979" s="551"/>
      <c r="AS979" s="351"/>
      <c r="AT979" s="534"/>
      <c r="AU979" s="351"/>
      <c r="AV979" s="549" t="s">
        <v>325</v>
      </c>
      <c r="AW979" s="351"/>
      <c r="AX979" s="553"/>
      <c r="AY979" s="350"/>
      <c r="AZ979" s="351"/>
      <c r="BA979" s="554"/>
      <c r="BB979" s="351"/>
      <c r="BC979" s="39"/>
      <c r="BD979" s="546" t="s">
        <v>325</v>
      </c>
      <c r="BE979" s="351"/>
      <c r="BF979" s="547"/>
      <c r="BG979" s="350"/>
      <c r="BH979" s="350"/>
      <c r="BI979" s="351"/>
      <c r="BJ979" s="548" t="s">
        <v>294</v>
      </c>
      <c r="BK979" s="350"/>
      <c r="BL979" s="350"/>
      <c r="BM979" s="351"/>
      <c r="BN979" s="530" t="s">
        <v>294</v>
      </c>
      <c r="BO979" s="350"/>
      <c r="BP979" s="350"/>
      <c r="BQ979" s="350"/>
      <c r="BR979" s="350"/>
      <c r="BS979" s="350"/>
      <c r="BT979" s="350"/>
      <c r="BU979" s="350"/>
      <c r="BV979" s="351"/>
    </row>
    <row r="980" spans="1:74" ht="45" customHeight="1">
      <c r="A980" s="24">
        <f t="shared" si="3"/>
        <v>966</v>
      </c>
      <c r="B980" s="558" t="s">
        <v>294</v>
      </c>
      <c r="C980" s="351"/>
      <c r="D980" s="559" t="s">
        <v>298</v>
      </c>
      <c r="E980" s="351"/>
      <c r="F980" s="524" t="s">
        <v>325</v>
      </c>
      <c r="G980" s="351"/>
      <c r="H980" s="525" t="s">
        <v>325</v>
      </c>
      <c r="I980" s="351"/>
      <c r="J980" s="563"/>
      <c r="K980" s="351"/>
      <c r="L980" s="563"/>
      <c r="M980" s="351"/>
      <c r="N980" s="34"/>
      <c r="O980" s="35"/>
      <c r="P980" s="526"/>
      <c r="Q980" s="351"/>
      <c r="R980" s="535"/>
      <c r="S980" s="351"/>
      <c r="T980" s="536"/>
      <c r="U980" s="351"/>
      <c r="V980" s="537"/>
      <c r="W980" s="351"/>
      <c r="X980" s="538" t="s">
        <v>294</v>
      </c>
      <c r="Y980" s="350"/>
      <c r="Z980" s="350"/>
      <c r="AA980" s="351"/>
      <c r="AB980" s="539" t="s">
        <v>294</v>
      </c>
      <c r="AC980" s="350"/>
      <c r="AD980" s="350"/>
      <c r="AE980" s="351"/>
      <c r="AF980" s="540"/>
      <c r="AG980" s="351"/>
      <c r="AH980" s="540"/>
      <c r="AI980" s="351"/>
      <c r="AJ980" s="545"/>
      <c r="AK980" s="351"/>
      <c r="AL980" s="555" t="s">
        <v>325</v>
      </c>
      <c r="AM980" s="351"/>
      <c r="AN980" s="531" t="s">
        <v>325</v>
      </c>
      <c r="AO980" s="351"/>
      <c r="AP980" s="532"/>
      <c r="AQ980" s="351"/>
      <c r="AR980" s="533"/>
      <c r="AS980" s="351"/>
      <c r="AT980" s="534"/>
      <c r="AU980" s="351"/>
      <c r="AV980" s="531" t="s">
        <v>325</v>
      </c>
      <c r="AW980" s="351"/>
      <c r="AX980" s="553"/>
      <c r="AY980" s="350"/>
      <c r="AZ980" s="351"/>
      <c r="BA980" s="545"/>
      <c r="BB980" s="351"/>
      <c r="BC980" s="36"/>
      <c r="BD980" s="556" t="s">
        <v>325</v>
      </c>
      <c r="BE980" s="351"/>
      <c r="BF980" s="557"/>
      <c r="BG980" s="350"/>
      <c r="BH980" s="350"/>
      <c r="BI980" s="351"/>
      <c r="BJ980" s="506" t="s">
        <v>294</v>
      </c>
      <c r="BK980" s="350"/>
      <c r="BL980" s="350"/>
      <c r="BM980" s="351"/>
      <c r="BN980" s="530" t="s">
        <v>294</v>
      </c>
      <c r="BO980" s="350"/>
      <c r="BP980" s="350"/>
      <c r="BQ980" s="350"/>
      <c r="BR980" s="350"/>
      <c r="BS980" s="350"/>
      <c r="BT980" s="350"/>
      <c r="BU980" s="350"/>
      <c r="BV980" s="351"/>
    </row>
    <row r="981" spans="1:74" ht="45" customHeight="1">
      <c r="A981" s="24">
        <f t="shared" si="3"/>
        <v>967</v>
      </c>
      <c r="B981" s="522" t="s">
        <v>294</v>
      </c>
      <c r="C981" s="351"/>
      <c r="D981" s="523" t="s">
        <v>298</v>
      </c>
      <c r="E981" s="351"/>
      <c r="F981" s="524" t="s">
        <v>325</v>
      </c>
      <c r="G981" s="351"/>
      <c r="H981" s="561" t="s">
        <v>325</v>
      </c>
      <c r="I981" s="351"/>
      <c r="J981" s="562"/>
      <c r="K981" s="351"/>
      <c r="L981" s="562"/>
      <c r="M981" s="351"/>
      <c r="N981" s="37"/>
      <c r="O981" s="38"/>
      <c r="P981" s="560"/>
      <c r="Q981" s="351"/>
      <c r="R981" s="527"/>
      <c r="S981" s="351"/>
      <c r="T981" s="528"/>
      <c r="U981" s="351"/>
      <c r="V981" s="541"/>
      <c r="W981" s="351"/>
      <c r="X981" s="542" t="s">
        <v>294</v>
      </c>
      <c r="Y981" s="350"/>
      <c r="Z981" s="350"/>
      <c r="AA981" s="351"/>
      <c r="AB981" s="543" t="s">
        <v>294</v>
      </c>
      <c r="AC981" s="350"/>
      <c r="AD981" s="350"/>
      <c r="AE981" s="351"/>
      <c r="AF981" s="544"/>
      <c r="AG981" s="351"/>
      <c r="AH981" s="544"/>
      <c r="AI981" s="351"/>
      <c r="AJ981" s="545"/>
      <c r="AK981" s="351"/>
      <c r="AL981" s="524" t="s">
        <v>325</v>
      </c>
      <c r="AM981" s="351"/>
      <c r="AN981" s="549" t="s">
        <v>325</v>
      </c>
      <c r="AO981" s="351"/>
      <c r="AP981" s="550"/>
      <c r="AQ981" s="351"/>
      <c r="AR981" s="551"/>
      <c r="AS981" s="351"/>
      <c r="AT981" s="534"/>
      <c r="AU981" s="351"/>
      <c r="AV981" s="549" t="s">
        <v>325</v>
      </c>
      <c r="AW981" s="351"/>
      <c r="AX981" s="553"/>
      <c r="AY981" s="350"/>
      <c r="AZ981" s="351"/>
      <c r="BA981" s="554"/>
      <c r="BB981" s="351"/>
      <c r="BC981" s="39"/>
      <c r="BD981" s="546" t="s">
        <v>325</v>
      </c>
      <c r="BE981" s="351"/>
      <c r="BF981" s="547"/>
      <c r="BG981" s="350"/>
      <c r="BH981" s="350"/>
      <c r="BI981" s="351"/>
      <c r="BJ981" s="548" t="s">
        <v>294</v>
      </c>
      <c r="BK981" s="350"/>
      <c r="BL981" s="350"/>
      <c r="BM981" s="351"/>
      <c r="BN981" s="530" t="s">
        <v>294</v>
      </c>
      <c r="BO981" s="350"/>
      <c r="BP981" s="350"/>
      <c r="BQ981" s="350"/>
      <c r="BR981" s="350"/>
      <c r="BS981" s="350"/>
      <c r="BT981" s="350"/>
      <c r="BU981" s="350"/>
      <c r="BV981" s="351"/>
    </row>
    <row r="982" spans="1:74" ht="45" customHeight="1">
      <c r="A982" s="24">
        <f t="shared" si="3"/>
        <v>968</v>
      </c>
      <c r="B982" s="558" t="s">
        <v>294</v>
      </c>
      <c r="C982" s="351"/>
      <c r="D982" s="559" t="s">
        <v>298</v>
      </c>
      <c r="E982" s="351"/>
      <c r="F982" s="524" t="s">
        <v>325</v>
      </c>
      <c r="G982" s="351"/>
      <c r="H982" s="525" t="s">
        <v>325</v>
      </c>
      <c r="I982" s="351"/>
      <c r="J982" s="563"/>
      <c r="K982" s="351"/>
      <c r="L982" s="563"/>
      <c r="M982" s="351"/>
      <c r="N982" s="34"/>
      <c r="O982" s="35"/>
      <c r="P982" s="526"/>
      <c r="Q982" s="351"/>
      <c r="R982" s="535"/>
      <c r="S982" s="351"/>
      <c r="T982" s="536"/>
      <c r="U982" s="351"/>
      <c r="V982" s="537"/>
      <c r="W982" s="351"/>
      <c r="X982" s="538" t="s">
        <v>294</v>
      </c>
      <c r="Y982" s="350"/>
      <c r="Z982" s="350"/>
      <c r="AA982" s="351"/>
      <c r="AB982" s="539" t="s">
        <v>294</v>
      </c>
      <c r="AC982" s="350"/>
      <c r="AD982" s="350"/>
      <c r="AE982" s="351"/>
      <c r="AF982" s="540"/>
      <c r="AG982" s="351"/>
      <c r="AH982" s="540"/>
      <c r="AI982" s="351"/>
      <c r="AJ982" s="545"/>
      <c r="AK982" s="351"/>
      <c r="AL982" s="555" t="s">
        <v>325</v>
      </c>
      <c r="AM982" s="351"/>
      <c r="AN982" s="531" t="s">
        <v>325</v>
      </c>
      <c r="AO982" s="351"/>
      <c r="AP982" s="532"/>
      <c r="AQ982" s="351"/>
      <c r="AR982" s="533"/>
      <c r="AS982" s="351"/>
      <c r="AT982" s="534"/>
      <c r="AU982" s="351"/>
      <c r="AV982" s="531" t="s">
        <v>325</v>
      </c>
      <c r="AW982" s="351"/>
      <c r="AX982" s="553"/>
      <c r="AY982" s="350"/>
      <c r="AZ982" s="351"/>
      <c r="BA982" s="545"/>
      <c r="BB982" s="351"/>
      <c r="BC982" s="36"/>
      <c r="BD982" s="556" t="s">
        <v>325</v>
      </c>
      <c r="BE982" s="351"/>
      <c r="BF982" s="557"/>
      <c r="BG982" s="350"/>
      <c r="BH982" s="350"/>
      <c r="BI982" s="351"/>
      <c r="BJ982" s="506" t="s">
        <v>294</v>
      </c>
      <c r="BK982" s="350"/>
      <c r="BL982" s="350"/>
      <c r="BM982" s="351"/>
      <c r="BN982" s="530" t="s">
        <v>294</v>
      </c>
      <c r="BO982" s="350"/>
      <c r="BP982" s="350"/>
      <c r="BQ982" s="350"/>
      <c r="BR982" s="350"/>
      <c r="BS982" s="350"/>
      <c r="BT982" s="350"/>
      <c r="BU982" s="350"/>
      <c r="BV982" s="351"/>
    </row>
    <row r="983" spans="1:74" ht="45" customHeight="1">
      <c r="A983" s="24">
        <f t="shared" si="3"/>
        <v>969</v>
      </c>
      <c r="B983" s="522" t="s">
        <v>294</v>
      </c>
      <c r="C983" s="351"/>
      <c r="D983" s="523" t="s">
        <v>298</v>
      </c>
      <c r="E983" s="351"/>
      <c r="F983" s="524" t="s">
        <v>325</v>
      </c>
      <c r="G983" s="351"/>
      <c r="H983" s="561" t="s">
        <v>325</v>
      </c>
      <c r="I983" s="351"/>
      <c r="J983" s="562"/>
      <c r="K983" s="351"/>
      <c r="L983" s="562"/>
      <c r="M983" s="351"/>
      <c r="N983" s="37"/>
      <c r="O983" s="38"/>
      <c r="P983" s="560"/>
      <c r="Q983" s="351"/>
      <c r="R983" s="527"/>
      <c r="S983" s="351"/>
      <c r="T983" s="528"/>
      <c r="U983" s="351"/>
      <c r="V983" s="541"/>
      <c r="W983" s="351"/>
      <c r="X983" s="542" t="s">
        <v>294</v>
      </c>
      <c r="Y983" s="350"/>
      <c r="Z983" s="350"/>
      <c r="AA983" s="351"/>
      <c r="AB983" s="543" t="s">
        <v>294</v>
      </c>
      <c r="AC983" s="350"/>
      <c r="AD983" s="350"/>
      <c r="AE983" s="351"/>
      <c r="AF983" s="544"/>
      <c r="AG983" s="351"/>
      <c r="AH983" s="544"/>
      <c r="AI983" s="351"/>
      <c r="AJ983" s="545"/>
      <c r="AK983" s="351"/>
      <c r="AL983" s="524" t="s">
        <v>325</v>
      </c>
      <c r="AM983" s="351"/>
      <c r="AN983" s="549" t="s">
        <v>325</v>
      </c>
      <c r="AO983" s="351"/>
      <c r="AP983" s="550"/>
      <c r="AQ983" s="351"/>
      <c r="AR983" s="551"/>
      <c r="AS983" s="351"/>
      <c r="AT983" s="552"/>
      <c r="AU983" s="351"/>
      <c r="AV983" s="549" t="s">
        <v>325</v>
      </c>
      <c r="AW983" s="351"/>
      <c r="AX983" s="553"/>
      <c r="AY983" s="350"/>
      <c r="AZ983" s="351"/>
      <c r="BA983" s="554"/>
      <c r="BB983" s="351"/>
      <c r="BC983" s="39"/>
      <c r="BD983" s="546" t="s">
        <v>325</v>
      </c>
      <c r="BE983" s="351"/>
      <c r="BF983" s="547"/>
      <c r="BG983" s="350"/>
      <c r="BH983" s="350"/>
      <c r="BI983" s="351"/>
      <c r="BJ983" s="548" t="s">
        <v>294</v>
      </c>
      <c r="BK983" s="350"/>
      <c r="BL983" s="350"/>
      <c r="BM983" s="351"/>
      <c r="BN983" s="530" t="s">
        <v>294</v>
      </c>
      <c r="BO983" s="350"/>
      <c r="BP983" s="350"/>
      <c r="BQ983" s="350"/>
      <c r="BR983" s="350"/>
      <c r="BS983" s="350"/>
      <c r="BT983" s="350"/>
      <c r="BU983" s="350"/>
      <c r="BV983" s="351"/>
    </row>
    <row r="984" spans="1:74" ht="45" customHeight="1">
      <c r="A984" s="24">
        <f t="shared" si="3"/>
        <v>970</v>
      </c>
      <c r="B984" s="558" t="s">
        <v>294</v>
      </c>
      <c r="C984" s="351"/>
      <c r="D984" s="559" t="s">
        <v>298</v>
      </c>
      <c r="E984" s="351"/>
      <c r="F984" s="524" t="s">
        <v>325</v>
      </c>
      <c r="G984" s="351"/>
      <c r="H984" s="525" t="s">
        <v>325</v>
      </c>
      <c r="I984" s="351"/>
      <c r="J984" s="563"/>
      <c r="K984" s="351"/>
      <c r="L984" s="563"/>
      <c r="M984" s="351"/>
      <c r="N984" s="34"/>
      <c r="O984" s="35"/>
      <c r="P984" s="526"/>
      <c r="Q984" s="351"/>
      <c r="R984" s="535"/>
      <c r="S984" s="351"/>
      <c r="T984" s="536"/>
      <c r="U984" s="351"/>
      <c r="V984" s="537"/>
      <c r="W984" s="351"/>
      <c r="X984" s="538" t="s">
        <v>294</v>
      </c>
      <c r="Y984" s="350"/>
      <c r="Z984" s="350"/>
      <c r="AA984" s="351"/>
      <c r="AB984" s="539" t="s">
        <v>294</v>
      </c>
      <c r="AC984" s="350"/>
      <c r="AD984" s="350"/>
      <c r="AE984" s="351"/>
      <c r="AF984" s="540"/>
      <c r="AG984" s="351"/>
      <c r="AH984" s="540"/>
      <c r="AI984" s="351"/>
      <c r="AJ984" s="545"/>
      <c r="AK984" s="351"/>
      <c r="AL984" s="555" t="s">
        <v>325</v>
      </c>
      <c r="AM984" s="351"/>
      <c r="AN984" s="531" t="s">
        <v>325</v>
      </c>
      <c r="AO984" s="351"/>
      <c r="AP984" s="532"/>
      <c r="AQ984" s="351"/>
      <c r="AR984" s="533"/>
      <c r="AS984" s="351"/>
      <c r="AT984" s="534"/>
      <c r="AU984" s="351"/>
      <c r="AV984" s="531" t="s">
        <v>325</v>
      </c>
      <c r="AW984" s="351"/>
      <c r="AX984" s="553"/>
      <c r="AY984" s="350"/>
      <c r="AZ984" s="351"/>
      <c r="BA984" s="545"/>
      <c r="BB984" s="351"/>
      <c r="BC984" s="36"/>
      <c r="BD984" s="556" t="s">
        <v>325</v>
      </c>
      <c r="BE984" s="351"/>
      <c r="BF984" s="529"/>
      <c r="BG984" s="350"/>
      <c r="BH984" s="350"/>
      <c r="BI984" s="351"/>
      <c r="BJ984" s="506" t="s">
        <v>294</v>
      </c>
      <c r="BK984" s="350"/>
      <c r="BL984" s="350"/>
      <c r="BM984" s="351"/>
      <c r="BN984" s="530" t="s">
        <v>294</v>
      </c>
      <c r="BO984" s="350"/>
      <c r="BP984" s="350"/>
      <c r="BQ984" s="350"/>
      <c r="BR984" s="350"/>
      <c r="BS984" s="350"/>
      <c r="BT984" s="350"/>
      <c r="BU984" s="350"/>
      <c r="BV984" s="351"/>
    </row>
    <row r="985" spans="1:74" ht="45" customHeight="1">
      <c r="A985" s="24">
        <f t="shared" si="3"/>
        <v>971</v>
      </c>
      <c r="B985" s="522" t="s">
        <v>294</v>
      </c>
      <c r="C985" s="351"/>
      <c r="D985" s="523" t="s">
        <v>298</v>
      </c>
      <c r="E985" s="351"/>
      <c r="F985" s="524" t="s">
        <v>325</v>
      </c>
      <c r="G985" s="351"/>
      <c r="H985" s="561" t="s">
        <v>325</v>
      </c>
      <c r="I985" s="351"/>
      <c r="J985" s="562"/>
      <c r="K985" s="351"/>
      <c r="L985" s="562"/>
      <c r="M985" s="351"/>
      <c r="N985" s="37"/>
      <c r="O985" s="38"/>
      <c r="P985" s="560"/>
      <c r="Q985" s="351"/>
      <c r="R985" s="527"/>
      <c r="S985" s="351"/>
      <c r="T985" s="528"/>
      <c r="U985" s="351"/>
      <c r="V985" s="541"/>
      <c r="W985" s="351"/>
      <c r="X985" s="542" t="s">
        <v>294</v>
      </c>
      <c r="Y985" s="350"/>
      <c r="Z985" s="350"/>
      <c r="AA985" s="351"/>
      <c r="AB985" s="543" t="s">
        <v>294</v>
      </c>
      <c r="AC985" s="350"/>
      <c r="AD985" s="350"/>
      <c r="AE985" s="351"/>
      <c r="AF985" s="544"/>
      <c r="AG985" s="351"/>
      <c r="AH985" s="544"/>
      <c r="AI985" s="351"/>
      <c r="AJ985" s="545"/>
      <c r="AK985" s="351"/>
      <c r="AL985" s="524" t="s">
        <v>325</v>
      </c>
      <c r="AM985" s="351"/>
      <c r="AN985" s="549" t="s">
        <v>325</v>
      </c>
      <c r="AO985" s="351"/>
      <c r="AP985" s="550"/>
      <c r="AQ985" s="351"/>
      <c r="AR985" s="551"/>
      <c r="AS985" s="351"/>
      <c r="AT985" s="552"/>
      <c r="AU985" s="351"/>
      <c r="AV985" s="549" t="s">
        <v>325</v>
      </c>
      <c r="AW985" s="351"/>
      <c r="AX985" s="553"/>
      <c r="AY985" s="350"/>
      <c r="AZ985" s="351"/>
      <c r="BA985" s="554"/>
      <c r="BB985" s="351"/>
      <c r="BC985" s="39"/>
      <c r="BD985" s="546" t="s">
        <v>325</v>
      </c>
      <c r="BE985" s="351"/>
      <c r="BF985" s="547"/>
      <c r="BG985" s="350"/>
      <c r="BH985" s="350"/>
      <c r="BI985" s="351"/>
      <c r="BJ985" s="548" t="s">
        <v>294</v>
      </c>
      <c r="BK985" s="350"/>
      <c r="BL985" s="350"/>
      <c r="BM985" s="351"/>
      <c r="BN985" s="530" t="s">
        <v>294</v>
      </c>
      <c r="BO985" s="350"/>
      <c r="BP985" s="350"/>
      <c r="BQ985" s="350"/>
      <c r="BR985" s="350"/>
      <c r="BS985" s="350"/>
      <c r="BT985" s="350"/>
      <c r="BU985" s="350"/>
      <c r="BV985" s="351"/>
    </row>
    <row r="986" spans="1:74" ht="45" customHeight="1">
      <c r="A986" s="24">
        <f t="shared" si="3"/>
        <v>972</v>
      </c>
      <c r="B986" s="558" t="s">
        <v>294</v>
      </c>
      <c r="C986" s="351"/>
      <c r="D986" s="559" t="s">
        <v>298</v>
      </c>
      <c r="E986" s="351"/>
      <c r="F986" s="524" t="s">
        <v>325</v>
      </c>
      <c r="G986" s="351"/>
      <c r="H986" s="525" t="s">
        <v>325</v>
      </c>
      <c r="I986" s="351"/>
      <c r="J986" s="563"/>
      <c r="K986" s="351"/>
      <c r="L986" s="563"/>
      <c r="M986" s="351"/>
      <c r="N986" s="34"/>
      <c r="O986" s="35"/>
      <c r="P986" s="526"/>
      <c r="Q986" s="351"/>
      <c r="R986" s="535"/>
      <c r="S986" s="351"/>
      <c r="T986" s="536"/>
      <c r="U986" s="351"/>
      <c r="V986" s="537"/>
      <c r="W986" s="351"/>
      <c r="X986" s="538" t="s">
        <v>294</v>
      </c>
      <c r="Y986" s="350"/>
      <c r="Z986" s="350"/>
      <c r="AA986" s="351"/>
      <c r="AB986" s="539" t="s">
        <v>294</v>
      </c>
      <c r="AC986" s="350"/>
      <c r="AD986" s="350"/>
      <c r="AE986" s="351"/>
      <c r="AF986" s="540"/>
      <c r="AG986" s="351"/>
      <c r="AH986" s="540"/>
      <c r="AI986" s="351"/>
      <c r="AJ986" s="545"/>
      <c r="AK986" s="351"/>
      <c r="AL986" s="555" t="s">
        <v>325</v>
      </c>
      <c r="AM986" s="351"/>
      <c r="AN986" s="531" t="s">
        <v>325</v>
      </c>
      <c r="AO986" s="351"/>
      <c r="AP986" s="532"/>
      <c r="AQ986" s="351"/>
      <c r="AR986" s="533"/>
      <c r="AS986" s="351"/>
      <c r="AT986" s="534"/>
      <c r="AU986" s="351"/>
      <c r="AV986" s="531" t="s">
        <v>325</v>
      </c>
      <c r="AW986" s="351"/>
      <c r="AX986" s="553"/>
      <c r="AY986" s="350"/>
      <c r="AZ986" s="351"/>
      <c r="BA986" s="545"/>
      <c r="BB986" s="351"/>
      <c r="BC986" s="36"/>
      <c r="BD986" s="556" t="s">
        <v>325</v>
      </c>
      <c r="BE986" s="351"/>
      <c r="BF986" s="557"/>
      <c r="BG986" s="350"/>
      <c r="BH986" s="350"/>
      <c r="BI986" s="351"/>
      <c r="BJ986" s="506" t="s">
        <v>294</v>
      </c>
      <c r="BK986" s="350"/>
      <c r="BL986" s="350"/>
      <c r="BM986" s="351"/>
      <c r="BN986" s="530" t="s">
        <v>294</v>
      </c>
      <c r="BO986" s="350"/>
      <c r="BP986" s="350"/>
      <c r="BQ986" s="350"/>
      <c r="BR986" s="350"/>
      <c r="BS986" s="350"/>
      <c r="BT986" s="350"/>
      <c r="BU986" s="350"/>
      <c r="BV986" s="351"/>
    </row>
    <row r="987" spans="1:74" ht="45" customHeight="1">
      <c r="A987" s="24">
        <f t="shared" si="3"/>
        <v>973</v>
      </c>
      <c r="B987" s="522" t="s">
        <v>294</v>
      </c>
      <c r="C987" s="351"/>
      <c r="D987" s="523" t="s">
        <v>298</v>
      </c>
      <c r="E987" s="351"/>
      <c r="F987" s="524" t="s">
        <v>325</v>
      </c>
      <c r="G987" s="351"/>
      <c r="H987" s="561" t="s">
        <v>325</v>
      </c>
      <c r="I987" s="351"/>
      <c r="J987" s="562"/>
      <c r="K987" s="351"/>
      <c r="L987" s="562"/>
      <c r="M987" s="351"/>
      <c r="N987" s="37"/>
      <c r="O987" s="38"/>
      <c r="P987" s="560"/>
      <c r="Q987" s="351"/>
      <c r="R987" s="527"/>
      <c r="S987" s="351"/>
      <c r="T987" s="528"/>
      <c r="U987" s="351"/>
      <c r="V987" s="541"/>
      <c r="W987" s="351"/>
      <c r="X987" s="542" t="s">
        <v>294</v>
      </c>
      <c r="Y987" s="350"/>
      <c r="Z987" s="350"/>
      <c r="AA987" s="351"/>
      <c r="AB987" s="543" t="s">
        <v>294</v>
      </c>
      <c r="AC987" s="350"/>
      <c r="AD987" s="350"/>
      <c r="AE987" s="351"/>
      <c r="AF987" s="544"/>
      <c r="AG987" s="351"/>
      <c r="AH987" s="544"/>
      <c r="AI987" s="351"/>
      <c r="AJ987" s="545"/>
      <c r="AK987" s="351"/>
      <c r="AL987" s="524" t="s">
        <v>325</v>
      </c>
      <c r="AM987" s="351"/>
      <c r="AN987" s="549" t="s">
        <v>325</v>
      </c>
      <c r="AO987" s="351"/>
      <c r="AP987" s="550"/>
      <c r="AQ987" s="351"/>
      <c r="AR987" s="551"/>
      <c r="AS987" s="351"/>
      <c r="AT987" s="552"/>
      <c r="AU987" s="351"/>
      <c r="AV987" s="549" t="s">
        <v>325</v>
      </c>
      <c r="AW987" s="351"/>
      <c r="AX987" s="553"/>
      <c r="AY987" s="350"/>
      <c r="AZ987" s="351"/>
      <c r="BA987" s="554"/>
      <c r="BB987" s="351"/>
      <c r="BC987" s="39"/>
      <c r="BD987" s="546" t="s">
        <v>325</v>
      </c>
      <c r="BE987" s="351"/>
      <c r="BF987" s="547"/>
      <c r="BG987" s="350"/>
      <c r="BH987" s="350"/>
      <c r="BI987" s="351"/>
      <c r="BJ987" s="548" t="s">
        <v>294</v>
      </c>
      <c r="BK987" s="350"/>
      <c r="BL987" s="350"/>
      <c r="BM987" s="351"/>
      <c r="BN987" s="530" t="s">
        <v>294</v>
      </c>
      <c r="BO987" s="350"/>
      <c r="BP987" s="350"/>
      <c r="BQ987" s="350"/>
      <c r="BR987" s="350"/>
      <c r="BS987" s="350"/>
      <c r="BT987" s="350"/>
      <c r="BU987" s="350"/>
      <c r="BV987" s="351"/>
    </row>
    <row r="988" spans="1:74" ht="45" customHeight="1">
      <c r="A988" s="24">
        <f t="shared" si="3"/>
        <v>974</v>
      </c>
      <c r="B988" s="558" t="s">
        <v>294</v>
      </c>
      <c r="C988" s="351"/>
      <c r="D988" s="559" t="s">
        <v>298</v>
      </c>
      <c r="E988" s="351"/>
      <c r="F988" s="524" t="s">
        <v>325</v>
      </c>
      <c r="G988" s="351"/>
      <c r="H988" s="525" t="s">
        <v>325</v>
      </c>
      <c r="I988" s="351"/>
      <c r="J988" s="563"/>
      <c r="K988" s="351"/>
      <c r="L988" s="563"/>
      <c r="M988" s="351"/>
      <c r="N988" s="34"/>
      <c r="O988" s="35"/>
      <c r="P988" s="526"/>
      <c r="Q988" s="351"/>
      <c r="R988" s="535"/>
      <c r="S988" s="351"/>
      <c r="T988" s="536"/>
      <c r="U988" s="351"/>
      <c r="V988" s="537"/>
      <c r="W988" s="351"/>
      <c r="X988" s="538" t="s">
        <v>294</v>
      </c>
      <c r="Y988" s="350"/>
      <c r="Z988" s="350"/>
      <c r="AA988" s="351"/>
      <c r="AB988" s="539" t="s">
        <v>294</v>
      </c>
      <c r="AC988" s="350"/>
      <c r="AD988" s="350"/>
      <c r="AE988" s="351"/>
      <c r="AF988" s="540"/>
      <c r="AG988" s="351"/>
      <c r="AH988" s="540"/>
      <c r="AI988" s="351"/>
      <c r="AJ988" s="545"/>
      <c r="AK988" s="351"/>
      <c r="AL988" s="555" t="s">
        <v>325</v>
      </c>
      <c r="AM988" s="351"/>
      <c r="AN988" s="531" t="s">
        <v>325</v>
      </c>
      <c r="AO988" s="351"/>
      <c r="AP988" s="532"/>
      <c r="AQ988" s="351"/>
      <c r="AR988" s="533"/>
      <c r="AS988" s="351"/>
      <c r="AT988" s="534"/>
      <c r="AU988" s="351"/>
      <c r="AV988" s="531" t="s">
        <v>325</v>
      </c>
      <c r="AW988" s="351"/>
      <c r="AX988" s="553"/>
      <c r="AY988" s="350"/>
      <c r="AZ988" s="351"/>
      <c r="BA988" s="545"/>
      <c r="BB988" s="351"/>
      <c r="BC988" s="36"/>
      <c r="BD988" s="556" t="s">
        <v>325</v>
      </c>
      <c r="BE988" s="351"/>
      <c r="BF988" s="557"/>
      <c r="BG988" s="350"/>
      <c r="BH988" s="350"/>
      <c r="BI988" s="351"/>
      <c r="BJ988" s="506" t="s">
        <v>294</v>
      </c>
      <c r="BK988" s="350"/>
      <c r="BL988" s="350"/>
      <c r="BM988" s="351"/>
      <c r="BN988" s="530" t="s">
        <v>294</v>
      </c>
      <c r="BO988" s="350"/>
      <c r="BP988" s="350"/>
      <c r="BQ988" s="350"/>
      <c r="BR988" s="350"/>
      <c r="BS988" s="350"/>
      <c r="BT988" s="350"/>
      <c r="BU988" s="350"/>
      <c r="BV988" s="351"/>
    </row>
    <row r="989" spans="1:74" ht="45" customHeight="1">
      <c r="A989" s="24">
        <f t="shared" si="3"/>
        <v>975</v>
      </c>
      <c r="B989" s="522" t="s">
        <v>294</v>
      </c>
      <c r="C989" s="351"/>
      <c r="D989" s="523" t="s">
        <v>298</v>
      </c>
      <c r="E989" s="351"/>
      <c r="F989" s="524" t="s">
        <v>325</v>
      </c>
      <c r="G989" s="351"/>
      <c r="H989" s="561" t="s">
        <v>325</v>
      </c>
      <c r="I989" s="351"/>
      <c r="J989" s="562"/>
      <c r="K989" s="351"/>
      <c r="L989" s="562"/>
      <c r="M989" s="351"/>
      <c r="N989" s="37"/>
      <c r="O989" s="38"/>
      <c r="P989" s="560"/>
      <c r="Q989" s="351"/>
      <c r="R989" s="527"/>
      <c r="S989" s="351"/>
      <c r="T989" s="528"/>
      <c r="U989" s="351"/>
      <c r="V989" s="541"/>
      <c r="W989" s="351"/>
      <c r="X989" s="542" t="s">
        <v>294</v>
      </c>
      <c r="Y989" s="350"/>
      <c r="Z989" s="350"/>
      <c r="AA989" s="351"/>
      <c r="AB989" s="543" t="s">
        <v>294</v>
      </c>
      <c r="AC989" s="350"/>
      <c r="AD989" s="350"/>
      <c r="AE989" s="351"/>
      <c r="AF989" s="544"/>
      <c r="AG989" s="351"/>
      <c r="AH989" s="544"/>
      <c r="AI989" s="351"/>
      <c r="AJ989" s="545"/>
      <c r="AK989" s="351"/>
      <c r="AL989" s="524" t="s">
        <v>325</v>
      </c>
      <c r="AM989" s="351"/>
      <c r="AN989" s="549" t="s">
        <v>325</v>
      </c>
      <c r="AO989" s="351"/>
      <c r="AP989" s="550"/>
      <c r="AQ989" s="351"/>
      <c r="AR989" s="551"/>
      <c r="AS989" s="351"/>
      <c r="AT989" s="552"/>
      <c r="AU989" s="351"/>
      <c r="AV989" s="549" t="s">
        <v>325</v>
      </c>
      <c r="AW989" s="351"/>
      <c r="AX989" s="553"/>
      <c r="AY989" s="350"/>
      <c r="AZ989" s="351"/>
      <c r="BA989" s="554"/>
      <c r="BB989" s="351"/>
      <c r="BC989" s="39"/>
      <c r="BD989" s="546" t="s">
        <v>325</v>
      </c>
      <c r="BE989" s="351"/>
      <c r="BF989" s="547"/>
      <c r="BG989" s="350"/>
      <c r="BH989" s="350"/>
      <c r="BI989" s="351"/>
      <c r="BJ989" s="548" t="s">
        <v>294</v>
      </c>
      <c r="BK989" s="350"/>
      <c r="BL989" s="350"/>
      <c r="BM989" s="351"/>
      <c r="BN989" s="530" t="s">
        <v>294</v>
      </c>
      <c r="BO989" s="350"/>
      <c r="BP989" s="350"/>
      <c r="BQ989" s="350"/>
      <c r="BR989" s="350"/>
      <c r="BS989" s="350"/>
      <c r="BT989" s="350"/>
      <c r="BU989" s="350"/>
      <c r="BV989" s="351"/>
    </row>
    <row r="990" spans="1:74" ht="45" customHeight="1">
      <c r="A990" s="24">
        <f t="shared" si="3"/>
        <v>976</v>
      </c>
      <c r="B990" s="558" t="s">
        <v>294</v>
      </c>
      <c r="C990" s="351"/>
      <c r="D990" s="559" t="s">
        <v>298</v>
      </c>
      <c r="E990" s="351"/>
      <c r="F990" s="524" t="s">
        <v>325</v>
      </c>
      <c r="G990" s="351"/>
      <c r="H990" s="525" t="s">
        <v>325</v>
      </c>
      <c r="I990" s="351"/>
      <c r="J990" s="563"/>
      <c r="K990" s="351"/>
      <c r="L990" s="563"/>
      <c r="M990" s="351"/>
      <c r="N990" s="34"/>
      <c r="O990" s="35"/>
      <c r="P990" s="526"/>
      <c r="Q990" s="351"/>
      <c r="R990" s="535"/>
      <c r="S990" s="351"/>
      <c r="T990" s="536"/>
      <c r="U990" s="351"/>
      <c r="V990" s="537"/>
      <c r="W990" s="351"/>
      <c r="X990" s="538" t="s">
        <v>294</v>
      </c>
      <c r="Y990" s="350"/>
      <c r="Z990" s="350"/>
      <c r="AA990" s="351"/>
      <c r="AB990" s="539" t="s">
        <v>294</v>
      </c>
      <c r="AC990" s="350"/>
      <c r="AD990" s="350"/>
      <c r="AE990" s="351"/>
      <c r="AF990" s="540"/>
      <c r="AG990" s="351"/>
      <c r="AH990" s="540"/>
      <c r="AI990" s="351"/>
      <c r="AJ990" s="545"/>
      <c r="AK990" s="351"/>
      <c r="AL990" s="555" t="s">
        <v>325</v>
      </c>
      <c r="AM990" s="351"/>
      <c r="AN990" s="531" t="s">
        <v>325</v>
      </c>
      <c r="AO990" s="351"/>
      <c r="AP990" s="532"/>
      <c r="AQ990" s="351"/>
      <c r="AR990" s="533"/>
      <c r="AS990" s="351"/>
      <c r="AT990" s="534"/>
      <c r="AU990" s="351"/>
      <c r="AV990" s="531" t="s">
        <v>325</v>
      </c>
      <c r="AW990" s="351"/>
      <c r="AX990" s="553"/>
      <c r="AY990" s="350"/>
      <c r="AZ990" s="351"/>
      <c r="BA990" s="545"/>
      <c r="BB990" s="351"/>
      <c r="BC990" s="36"/>
      <c r="BD990" s="556" t="s">
        <v>325</v>
      </c>
      <c r="BE990" s="351"/>
      <c r="BF990" s="529"/>
      <c r="BG990" s="350"/>
      <c r="BH990" s="350"/>
      <c r="BI990" s="351"/>
      <c r="BJ990" s="506" t="s">
        <v>294</v>
      </c>
      <c r="BK990" s="350"/>
      <c r="BL990" s="350"/>
      <c r="BM990" s="351"/>
      <c r="BN990" s="530" t="s">
        <v>294</v>
      </c>
      <c r="BO990" s="350"/>
      <c r="BP990" s="350"/>
      <c r="BQ990" s="350"/>
      <c r="BR990" s="350"/>
      <c r="BS990" s="350"/>
      <c r="BT990" s="350"/>
      <c r="BU990" s="350"/>
      <c r="BV990" s="351"/>
    </row>
    <row r="991" spans="1:74" ht="45" customHeight="1">
      <c r="A991" s="24">
        <f t="shared" si="3"/>
        <v>977</v>
      </c>
      <c r="B991" s="522" t="s">
        <v>294</v>
      </c>
      <c r="C991" s="351"/>
      <c r="D991" s="523" t="s">
        <v>298</v>
      </c>
      <c r="E991" s="351"/>
      <c r="F991" s="524" t="s">
        <v>325</v>
      </c>
      <c r="G991" s="351"/>
      <c r="H991" s="561" t="s">
        <v>325</v>
      </c>
      <c r="I991" s="351"/>
      <c r="J991" s="562"/>
      <c r="K991" s="351"/>
      <c r="L991" s="562"/>
      <c r="M991" s="351"/>
      <c r="N991" s="37"/>
      <c r="O991" s="38"/>
      <c r="P991" s="560"/>
      <c r="Q991" s="351"/>
      <c r="R991" s="527"/>
      <c r="S991" s="351"/>
      <c r="T991" s="528"/>
      <c r="U991" s="351"/>
      <c r="V991" s="541"/>
      <c r="W991" s="351"/>
      <c r="X991" s="542" t="s">
        <v>294</v>
      </c>
      <c r="Y991" s="350"/>
      <c r="Z991" s="350"/>
      <c r="AA991" s="351"/>
      <c r="AB991" s="543" t="s">
        <v>294</v>
      </c>
      <c r="AC991" s="350"/>
      <c r="AD991" s="350"/>
      <c r="AE991" s="351"/>
      <c r="AF991" s="544"/>
      <c r="AG991" s="351"/>
      <c r="AH991" s="544"/>
      <c r="AI991" s="351"/>
      <c r="AJ991" s="545"/>
      <c r="AK991" s="351"/>
      <c r="AL991" s="524" t="s">
        <v>325</v>
      </c>
      <c r="AM991" s="351"/>
      <c r="AN991" s="549" t="s">
        <v>325</v>
      </c>
      <c r="AO991" s="351"/>
      <c r="AP991" s="550"/>
      <c r="AQ991" s="351"/>
      <c r="AR991" s="551"/>
      <c r="AS991" s="351"/>
      <c r="AT991" s="552"/>
      <c r="AU991" s="351"/>
      <c r="AV991" s="549" t="s">
        <v>325</v>
      </c>
      <c r="AW991" s="351"/>
      <c r="AX991" s="553"/>
      <c r="AY991" s="350"/>
      <c r="AZ991" s="351"/>
      <c r="BA991" s="554"/>
      <c r="BB991" s="351"/>
      <c r="BC991" s="39"/>
      <c r="BD991" s="546" t="s">
        <v>325</v>
      </c>
      <c r="BE991" s="351"/>
      <c r="BF991" s="547"/>
      <c r="BG991" s="350"/>
      <c r="BH991" s="350"/>
      <c r="BI991" s="351"/>
      <c r="BJ991" s="548" t="s">
        <v>294</v>
      </c>
      <c r="BK991" s="350"/>
      <c r="BL991" s="350"/>
      <c r="BM991" s="351"/>
      <c r="BN991" s="530" t="s">
        <v>294</v>
      </c>
      <c r="BO991" s="350"/>
      <c r="BP991" s="350"/>
      <c r="BQ991" s="350"/>
      <c r="BR991" s="350"/>
      <c r="BS991" s="350"/>
      <c r="BT991" s="350"/>
      <c r="BU991" s="350"/>
      <c r="BV991" s="351"/>
    </row>
    <row r="992" spans="1:74" ht="45" customHeight="1">
      <c r="A992" s="24">
        <f t="shared" si="3"/>
        <v>978</v>
      </c>
      <c r="B992" s="558" t="s">
        <v>294</v>
      </c>
      <c r="C992" s="351"/>
      <c r="D992" s="559" t="s">
        <v>298</v>
      </c>
      <c r="E992" s="351"/>
      <c r="F992" s="524" t="s">
        <v>325</v>
      </c>
      <c r="G992" s="351"/>
      <c r="H992" s="525" t="s">
        <v>325</v>
      </c>
      <c r="I992" s="351"/>
      <c r="J992" s="563"/>
      <c r="K992" s="351"/>
      <c r="L992" s="563"/>
      <c r="M992" s="351"/>
      <c r="N992" s="34"/>
      <c r="O992" s="35"/>
      <c r="P992" s="526"/>
      <c r="Q992" s="351"/>
      <c r="R992" s="535"/>
      <c r="S992" s="351"/>
      <c r="T992" s="536"/>
      <c r="U992" s="351"/>
      <c r="V992" s="537"/>
      <c r="W992" s="351"/>
      <c r="X992" s="538" t="s">
        <v>294</v>
      </c>
      <c r="Y992" s="350"/>
      <c r="Z992" s="350"/>
      <c r="AA992" s="351"/>
      <c r="AB992" s="539" t="s">
        <v>294</v>
      </c>
      <c r="AC992" s="350"/>
      <c r="AD992" s="350"/>
      <c r="AE992" s="351"/>
      <c r="AF992" s="540"/>
      <c r="AG992" s="351"/>
      <c r="AH992" s="540"/>
      <c r="AI992" s="351"/>
      <c r="AJ992" s="545"/>
      <c r="AK992" s="351"/>
      <c r="AL992" s="555" t="s">
        <v>325</v>
      </c>
      <c r="AM992" s="351"/>
      <c r="AN992" s="531" t="s">
        <v>325</v>
      </c>
      <c r="AO992" s="351"/>
      <c r="AP992" s="532"/>
      <c r="AQ992" s="351"/>
      <c r="AR992" s="533"/>
      <c r="AS992" s="351"/>
      <c r="AT992" s="534"/>
      <c r="AU992" s="351"/>
      <c r="AV992" s="531" t="s">
        <v>325</v>
      </c>
      <c r="AW992" s="351"/>
      <c r="AX992" s="553"/>
      <c r="AY992" s="350"/>
      <c r="AZ992" s="351"/>
      <c r="BA992" s="545"/>
      <c r="BB992" s="351"/>
      <c r="BC992" s="36"/>
      <c r="BD992" s="556" t="s">
        <v>325</v>
      </c>
      <c r="BE992" s="351"/>
      <c r="BF992" s="557"/>
      <c r="BG992" s="350"/>
      <c r="BH992" s="350"/>
      <c r="BI992" s="351"/>
      <c r="BJ992" s="506" t="s">
        <v>294</v>
      </c>
      <c r="BK992" s="350"/>
      <c r="BL992" s="350"/>
      <c r="BM992" s="351"/>
      <c r="BN992" s="530" t="s">
        <v>294</v>
      </c>
      <c r="BO992" s="350"/>
      <c r="BP992" s="350"/>
      <c r="BQ992" s="350"/>
      <c r="BR992" s="350"/>
      <c r="BS992" s="350"/>
      <c r="BT992" s="350"/>
      <c r="BU992" s="350"/>
      <c r="BV992" s="351"/>
    </row>
    <row r="993" spans="1:74" ht="45" customHeight="1">
      <c r="A993" s="24">
        <f t="shared" si="3"/>
        <v>979</v>
      </c>
      <c r="B993" s="522" t="s">
        <v>294</v>
      </c>
      <c r="C993" s="351"/>
      <c r="D993" s="523" t="s">
        <v>298</v>
      </c>
      <c r="E993" s="351"/>
      <c r="F993" s="524" t="s">
        <v>325</v>
      </c>
      <c r="G993" s="351"/>
      <c r="H993" s="561" t="s">
        <v>325</v>
      </c>
      <c r="I993" s="351"/>
      <c r="J993" s="562"/>
      <c r="K993" s="351"/>
      <c r="L993" s="562"/>
      <c r="M993" s="351"/>
      <c r="N993" s="34"/>
      <c r="O993" s="35"/>
      <c r="P993" s="526"/>
      <c r="Q993" s="351"/>
      <c r="R993" s="527"/>
      <c r="S993" s="351"/>
      <c r="T993" s="528"/>
      <c r="U993" s="351"/>
      <c r="V993" s="541"/>
      <c r="W993" s="351"/>
      <c r="X993" s="542" t="s">
        <v>294</v>
      </c>
      <c r="Y993" s="350"/>
      <c r="Z993" s="350"/>
      <c r="AA993" s="351"/>
      <c r="AB993" s="543" t="s">
        <v>294</v>
      </c>
      <c r="AC993" s="350"/>
      <c r="AD993" s="350"/>
      <c r="AE993" s="351"/>
      <c r="AF993" s="544"/>
      <c r="AG993" s="351"/>
      <c r="AH993" s="544"/>
      <c r="AI993" s="351"/>
      <c r="AJ993" s="545"/>
      <c r="AK993" s="351"/>
      <c r="AL993" s="524" t="s">
        <v>325</v>
      </c>
      <c r="AM993" s="351"/>
      <c r="AN993" s="549" t="s">
        <v>325</v>
      </c>
      <c r="AO993" s="351"/>
      <c r="AP993" s="550"/>
      <c r="AQ993" s="351"/>
      <c r="AR993" s="551"/>
      <c r="AS993" s="351"/>
      <c r="AT993" s="534"/>
      <c r="AU993" s="351"/>
      <c r="AV993" s="549" t="s">
        <v>325</v>
      </c>
      <c r="AW993" s="351"/>
      <c r="AX993" s="553"/>
      <c r="AY993" s="350"/>
      <c r="AZ993" s="351"/>
      <c r="BA993" s="554"/>
      <c r="BB993" s="351"/>
      <c r="BC993" s="39"/>
      <c r="BD993" s="546" t="s">
        <v>325</v>
      </c>
      <c r="BE993" s="351"/>
      <c r="BF993" s="547"/>
      <c r="BG993" s="350"/>
      <c r="BH993" s="350"/>
      <c r="BI993" s="351"/>
      <c r="BJ993" s="548" t="s">
        <v>294</v>
      </c>
      <c r="BK993" s="350"/>
      <c r="BL993" s="350"/>
      <c r="BM993" s="351"/>
      <c r="BN993" s="530" t="s">
        <v>294</v>
      </c>
      <c r="BO993" s="350"/>
      <c r="BP993" s="350"/>
      <c r="BQ993" s="350"/>
      <c r="BR993" s="350"/>
      <c r="BS993" s="350"/>
      <c r="BT993" s="350"/>
      <c r="BU993" s="350"/>
      <c r="BV993" s="351"/>
    </row>
    <row r="994" spans="1:74" ht="45" customHeight="1">
      <c r="A994" s="24">
        <f t="shared" si="3"/>
        <v>980</v>
      </c>
      <c r="B994" s="558" t="s">
        <v>294</v>
      </c>
      <c r="C994" s="351"/>
      <c r="D994" s="559" t="s">
        <v>298</v>
      </c>
      <c r="E994" s="351"/>
      <c r="F994" s="524" t="s">
        <v>325</v>
      </c>
      <c r="G994" s="351"/>
      <c r="H994" s="525" t="s">
        <v>325</v>
      </c>
      <c r="I994" s="351"/>
      <c r="J994" s="563"/>
      <c r="K994" s="351"/>
      <c r="L994" s="563"/>
      <c r="M994" s="351"/>
      <c r="N994" s="37"/>
      <c r="O994" s="38"/>
      <c r="P994" s="560"/>
      <c r="Q994" s="351"/>
      <c r="R994" s="535"/>
      <c r="S994" s="351"/>
      <c r="T994" s="536"/>
      <c r="U994" s="351"/>
      <c r="V994" s="537"/>
      <c r="W994" s="351"/>
      <c r="X994" s="538" t="s">
        <v>294</v>
      </c>
      <c r="Y994" s="350"/>
      <c r="Z994" s="350"/>
      <c r="AA994" s="351"/>
      <c r="AB994" s="539" t="s">
        <v>294</v>
      </c>
      <c r="AC994" s="350"/>
      <c r="AD994" s="350"/>
      <c r="AE994" s="351"/>
      <c r="AF994" s="540"/>
      <c r="AG994" s="351"/>
      <c r="AH994" s="540"/>
      <c r="AI994" s="351"/>
      <c r="AJ994" s="545"/>
      <c r="AK994" s="351"/>
      <c r="AL994" s="555" t="s">
        <v>325</v>
      </c>
      <c r="AM994" s="351"/>
      <c r="AN994" s="531" t="s">
        <v>325</v>
      </c>
      <c r="AO994" s="351"/>
      <c r="AP994" s="532"/>
      <c r="AQ994" s="351"/>
      <c r="AR994" s="533"/>
      <c r="AS994" s="351"/>
      <c r="AT994" s="534"/>
      <c r="AU994" s="351"/>
      <c r="AV994" s="531" t="s">
        <v>325</v>
      </c>
      <c r="AW994" s="351"/>
      <c r="AX994" s="553"/>
      <c r="AY994" s="350"/>
      <c r="AZ994" s="351"/>
      <c r="BA994" s="545"/>
      <c r="BB994" s="351"/>
      <c r="BC994" s="36"/>
      <c r="BD994" s="556" t="s">
        <v>325</v>
      </c>
      <c r="BE994" s="351"/>
      <c r="BF994" s="557"/>
      <c r="BG994" s="350"/>
      <c r="BH994" s="350"/>
      <c r="BI994" s="351"/>
      <c r="BJ994" s="506" t="s">
        <v>294</v>
      </c>
      <c r="BK994" s="350"/>
      <c r="BL994" s="350"/>
      <c r="BM994" s="351"/>
      <c r="BN994" s="530" t="s">
        <v>294</v>
      </c>
      <c r="BO994" s="350"/>
      <c r="BP994" s="350"/>
      <c r="BQ994" s="350"/>
      <c r="BR994" s="350"/>
      <c r="BS994" s="350"/>
      <c r="BT994" s="350"/>
      <c r="BU994" s="350"/>
      <c r="BV994" s="351"/>
    </row>
    <row r="995" spans="1:74" ht="45" customHeight="1">
      <c r="A995" s="24">
        <f t="shared" si="3"/>
        <v>981</v>
      </c>
      <c r="B995" s="522" t="s">
        <v>294</v>
      </c>
      <c r="C995" s="351"/>
      <c r="D995" s="523" t="s">
        <v>298</v>
      </c>
      <c r="E995" s="351"/>
      <c r="F995" s="524" t="s">
        <v>325</v>
      </c>
      <c r="G995" s="351"/>
      <c r="H995" s="561" t="s">
        <v>325</v>
      </c>
      <c r="I995" s="351"/>
      <c r="J995" s="562"/>
      <c r="K995" s="351"/>
      <c r="L995" s="562"/>
      <c r="M995" s="351"/>
      <c r="N995" s="34"/>
      <c r="O995" s="35"/>
      <c r="P995" s="526"/>
      <c r="Q995" s="351"/>
      <c r="R995" s="527"/>
      <c r="S995" s="351"/>
      <c r="T995" s="528"/>
      <c r="U995" s="351"/>
      <c r="V995" s="541"/>
      <c r="W995" s="351"/>
      <c r="X995" s="542" t="s">
        <v>294</v>
      </c>
      <c r="Y995" s="350"/>
      <c r="Z995" s="350"/>
      <c r="AA995" s="351"/>
      <c r="AB995" s="543" t="s">
        <v>294</v>
      </c>
      <c r="AC995" s="350"/>
      <c r="AD995" s="350"/>
      <c r="AE995" s="351"/>
      <c r="AF995" s="544"/>
      <c r="AG995" s="351"/>
      <c r="AH995" s="544"/>
      <c r="AI995" s="351"/>
      <c r="AJ995" s="545"/>
      <c r="AK995" s="351"/>
      <c r="AL995" s="524" t="s">
        <v>325</v>
      </c>
      <c r="AM995" s="351"/>
      <c r="AN995" s="549" t="s">
        <v>325</v>
      </c>
      <c r="AO995" s="351"/>
      <c r="AP995" s="550"/>
      <c r="AQ995" s="351"/>
      <c r="AR995" s="551"/>
      <c r="AS995" s="351"/>
      <c r="AT995" s="534"/>
      <c r="AU995" s="351"/>
      <c r="AV995" s="549" t="s">
        <v>325</v>
      </c>
      <c r="AW995" s="351"/>
      <c r="AX995" s="553"/>
      <c r="AY995" s="350"/>
      <c r="AZ995" s="351"/>
      <c r="BA995" s="554"/>
      <c r="BB995" s="351"/>
      <c r="BC995" s="39"/>
      <c r="BD995" s="546" t="s">
        <v>325</v>
      </c>
      <c r="BE995" s="351"/>
      <c r="BF995" s="547"/>
      <c r="BG995" s="350"/>
      <c r="BH995" s="350"/>
      <c r="BI995" s="351"/>
      <c r="BJ995" s="548" t="s">
        <v>294</v>
      </c>
      <c r="BK995" s="350"/>
      <c r="BL995" s="350"/>
      <c r="BM995" s="351"/>
      <c r="BN995" s="530" t="s">
        <v>294</v>
      </c>
      <c r="BO995" s="350"/>
      <c r="BP995" s="350"/>
      <c r="BQ995" s="350"/>
      <c r="BR995" s="350"/>
      <c r="BS995" s="350"/>
      <c r="BT995" s="350"/>
      <c r="BU995" s="350"/>
      <c r="BV995" s="351"/>
    </row>
    <row r="996" spans="1:74" ht="45" customHeight="1">
      <c r="A996" s="24">
        <f t="shared" si="3"/>
        <v>982</v>
      </c>
      <c r="B996" s="558" t="s">
        <v>294</v>
      </c>
      <c r="C996" s="351"/>
      <c r="D996" s="559" t="s">
        <v>298</v>
      </c>
      <c r="E996" s="351"/>
      <c r="F996" s="524" t="s">
        <v>325</v>
      </c>
      <c r="G996" s="351"/>
      <c r="H996" s="525" t="s">
        <v>325</v>
      </c>
      <c r="I996" s="351"/>
      <c r="J996" s="563"/>
      <c r="K996" s="351"/>
      <c r="L996" s="563"/>
      <c r="M996" s="351"/>
      <c r="N996" s="37"/>
      <c r="O996" s="38"/>
      <c r="P996" s="560"/>
      <c r="Q996" s="351"/>
      <c r="R996" s="535"/>
      <c r="S996" s="351"/>
      <c r="T996" s="536"/>
      <c r="U996" s="351"/>
      <c r="V996" s="537"/>
      <c r="W996" s="351"/>
      <c r="X996" s="538" t="s">
        <v>294</v>
      </c>
      <c r="Y996" s="350"/>
      <c r="Z996" s="350"/>
      <c r="AA996" s="351"/>
      <c r="AB996" s="539" t="s">
        <v>294</v>
      </c>
      <c r="AC996" s="350"/>
      <c r="AD996" s="350"/>
      <c r="AE996" s="351"/>
      <c r="AF996" s="540"/>
      <c r="AG996" s="351"/>
      <c r="AH996" s="540"/>
      <c r="AI996" s="351"/>
      <c r="AJ996" s="545"/>
      <c r="AK996" s="351"/>
      <c r="AL996" s="555" t="s">
        <v>325</v>
      </c>
      <c r="AM996" s="351"/>
      <c r="AN996" s="531" t="s">
        <v>325</v>
      </c>
      <c r="AO996" s="351"/>
      <c r="AP996" s="532"/>
      <c r="AQ996" s="351"/>
      <c r="AR996" s="533"/>
      <c r="AS996" s="351"/>
      <c r="AT996" s="534"/>
      <c r="AU996" s="351"/>
      <c r="AV996" s="531" t="s">
        <v>325</v>
      </c>
      <c r="AW996" s="351"/>
      <c r="AX996" s="553"/>
      <c r="AY996" s="350"/>
      <c r="AZ996" s="351"/>
      <c r="BA996" s="545"/>
      <c r="BB996" s="351"/>
      <c r="BC996" s="36"/>
      <c r="BD996" s="556" t="s">
        <v>325</v>
      </c>
      <c r="BE996" s="351"/>
      <c r="BF996" s="557"/>
      <c r="BG996" s="350"/>
      <c r="BH996" s="350"/>
      <c r="BI996" s="351"/>
      <c r="BJ996" s="506" t="s">
        <v>294</v>
      </c>
      <c r="BK996" s="350"/>
      <c r="BL996" s="350"/>
      <c r="BM996" s="351"/>
      <c r="BN996" s="530" t="s">
        <v>294</v>
      </c>
      <c r="BO996" s="350"/>
      <c r="BP996" s="350"/>
      <c r="BQ996" s="350"/>
      <c r="BR996" s="350"/>
      <c r="BS996" s="350"/>
      <c r="BT996" s="350"/>
      <c r="BU996" s="350"/>
      <c r="BV996" s="351"/>
    </row>
    <row r="997" spans="1:74" ht="45" customHeight="1">
      <c r="A997" s="24">
        <f t="shared" si="3"/>
        <v>983</v>
      </c>
      <c r="B997" s="522" t="s">
        <v>294</v>
      </c>
      <c r="C997" s="351"/>
      <c r="D997" s="523" t="s">
        <v>298</v>
      </c>
      <c r="E997" s="351"/>
      <c r="F997" s="524" t="s">
        <v>325</v>
      </c>
      <c r="G997" s="351"/>
      <c r="H997" s="561" t="s">
        <v>325</v>
      </c>
      <c r="I997" s="351"/>
      <c r="J997" s="562"/>
      <c r="K997" s="351"/>
      <c r="L997" s="562"/>
      <c r="M997" s="351"/>
      <c r="N997" s="34"/>
      <c r="O997" s="38"/>
      <c r="P997" s="526"/>
      <c r="Q997" s="351"/>
      <c r="R997" s="527"/>
      <c r="S997" s="351"/>
      <c r="T997" s="528"/>
      <c r="U997" s="351"/>
      <c r="V997" s="541"/>
      <c r="W997" s="351"/>
      <c r="X997" s="542" t="s">
        <v>294</v>
      </c>
      <c r="Y997" s="350"/>
      <c r="Z997" s="350"/>
      <c r="AA997" s="351"/>
      <c r="AB997" s="543" t="s">
        <v>294</v>
      </c>
      <c r="AC997" s="350"/>
      <c r="AD997" s="350"/>
      <c r="AE997" s="351"/>
      <c r="AF997" s="544"/>
      <c r="AG997" s="351"/>
      <c r="AH997" s="544"/>
      <c r="AI997" s="351"/>
      <c r="AJ997" s="545"/>
      <c r="AK997" s="351"/>
      <c r="AL997" s="524" t="s">
        <v>325</v>
      </c>
      <c r="AM997" s="351"/>
      <c r="AN997" s="549" t="s">
        <v>325</v>
      </c>
      <c r="AO997" s="351"/>
      <c r="AP997" s="550"/>
      <c r="AQ997" s="351"/>
      <c r="AR997" s="551"/>
      <c r="AS997" s="351"/>
      <c r="AT997" s="552"/>
      <c r="AU997" s="351"/>
      <c r="AV997" s="549" t="s">
        <v>325</v>
      </c>
      <c r="AW997" s="351"/>
      <c r="AX997" s="553"/>
      <c r="AY997" s="350"/>
      <c r="AZ997" s="351"/>
      <c r="BA997" s="554"/>
      <c r="BB997" s="351"/>
      <c r="BC997" s="39"/>
      <c r="BD997" s="546" t="s">
        <v>325</v>
      </c>
      <c r="BE997" s="351"/>
      <c r="BF997" s="547"/>
      <c r="BG997" s="350"/>
      <c r="BH997" s="350"/>
      <c r="BI997" s="351"/>
      <c r="BJ997" s="548" t="s">
        <v>294</v>
      </c>
      <c r="BK997" s="350"/>
      <c r="BL997" s="350"/>
      <c r="BM997" s="351"/>
      <c r="BN997" s="530" t="s">
        <v>294</v>
      </c>
      <c r="BO997" s="350"/>
      <c r="BP997" s="350"/>
      <c r="BQ997" s="350"/>
      <c r="BR997" s="350"/>
      <c r="BS997" s="350"/>
      <c r="BT997" s="350"/>
      <c r="BU997" s="350"/>
      <c r="BV997" s="351"/>
    </row>
    <row r="998" spans="1:74" ht="45" customHeight="1">
      <c r="A998" s="24">
        <f t="shared" si="3"/>
        <v>984</v>
      </c>
      <c r="B998" s="558" t="s">
        <v>294</v>
      </c>
      <c r="C998" s="351"/>
      <c r="D998" s="559" t="s">
        <v>298</v>
      </c>
      <c r="E998" s="351"/>
      <c r="F998" s="524" t="s">
        <v>325</v>
      </c>
      <c r="G998" s="351"/>
      <c r="H998" s="525" t="s">
        <v>325</v>
      </c>
      <c r="I998" s="351"/>
      <c r="J998" s="563"/>
      <c r="K998" s="351"/>
      <c r="L998" s="563"/>
      <c r="M998" s="351"/>
      <c r="N998" s="37"/>
      <c r="O998" s="35"/>
      <c r="P998" s="560"/>
      <c r="Q998" s="351"/>
      <c r="R998" s="535"/>
      <c r="S998" s="351"/>
      <c r="T998" s="536"/>
      <c r="U998" s="351"/>
      <c r="V998" s="537"/>
      <c r="W998" s="351"/>
      <c r="X998" s="538" t="s">
        <v>294</v>
      </c>
      <c r="Y998" s="350"/>
      <c r="Z998" s="350"/>
      <c r="AA998" s="351"/>
      <c r="AB998" s="539" t="s">
        <v>294</v>
      </c>
      <c r="AC998" s="350"/>
      <c r="AD998" s="350"/>
      <c r="AE998" s="351"/>
      <c r="AF998" s="540"/>
      <c r="AG998" s="351"/>
      <c r="AH998" s="540"/>
      <c r="AI998" s="351"/>
      <c r="AJ998" s="545"/>
      <c r="AK998" s="351"/>
      <c r="AL998" s="555" t="s">
        <v>325</v>
      </c>
      <c r="AM998" s="351"/>
      <c r="AN998" s="531" t="s">
        <v>325</v>
      </c>
      <c r="AO998" s="351"/>
      <c r="AP998" s="532"/>
      <c r="AQ998" s="351"/>
      <c r="AR998" s="533"/>
      <c r="AS998" s="351"/>
      <c r="AT998" s="534"/>
      <c r="AU998" s="351"/>
      <c r="AV998" s="531" t="s">
        <v>325</v>
      </c>
      <c r="AW998" s="351"/>
      <c r="AX998" s="553"/>
      <c r="AY998" s="350"/>
      <c r="AZ998" s="351"/>
      <c r="BA998" s="545"/>
      <c r="BB998" s="351"/>
      <c r="BC998" s="36"/>
      <c r="BD998" s="556" t="s">
        <v>325</v>
      </c>
      <c r="BE998" s="351"/>
      <c r="BF998" s="529"/>
      <c r="BG998" s="350"/>
      <c r="BH998" s="350"/>
      <c r="BI998" s="351"/>
      <c r="BJ998" s="506" t="s">
        <v>294</v>
      </c>
      <c r="BK998" s="350"/>
      <c r="BL998" s="350"/>
      <c r="BM998" s="351"/>
      <c r="BN998" s="530" t="s">
        <v>294</v>
      </c>
      <c r="BO998" s="350"/>
      <c r="BP998" s="350"/>
      <c r="BQ998" s="350"/>
      <c r="BR998" s="350"/>
      <c r="BS998" s="350"/>
      <c r="BT998" s="350"/>
      <c r="BU998" s="350"/>
      <c r="BV998" s="351"/>
    </row>
    <row r="999" spans="1:74" ht="45" customHeight="1">
      <c r="A999" s="24">
        <f t="shared" si="3"/>
        <v>985</v>
      </c>
      <c r="B999" s="522" t="s">
        <v>294</v>
      </c>
      <c r="C999" s="351"/>
      <c r="D999" s="523" t="s">
        <v>298</v>
      </c>
      <c r="E999" s="351"/>
      <c r="F999" s="524" t="s">
        <v>325</v>
      </c>
      <c r="G999" s="351"/>
      <c r="H999" s="561" t="s">
        <v>325</v>
      </c>
      <c r="I999" s="351"/>
      <c r="J999" s="562"/>
      <c r="K999" s="351"/>
      <c r="L999" s="562"/>
      <c r="M999" s="351"/>
      <c r="N999" s="34"/>
      <c r="O999" s="38"/>
      <c r="P999" s="526"/>
      <c r="Q999" s="351"/>
      <c r="R999" s="527"/>
      <c r="S999" s="351"/>
      <c r="T999" s="528"/>
      <c r="U999" s="351"/>
      <c r="V999" s="541"/>
      <c r="W999" s="351"/>
      <c r="X999" s="542" t="s">
        <v>294</v>
      </c>
      <c r="Y999" s="350"/>
      <c r="Z999" s="350"/>
      <c r="AA999" s="351"/>
      <c r="AB999" s="543" t="s">
        <v>294</v>
      </c>
      <c r="AC999" s="350"/>
      <c r="AD999" s="350"/>
      <c r="AE999" s="351"/>
      <c r="AF999" s="544"/>
      <c r="AG999" s="351"/>
      <c r="AH999" s="544"/>
      <c r="AI999" s="351"/>
      <c r="AJ999" s="545"/>
      <c r="AK999" s="351"/>
      <c r="AL999" s="524" t="s">
        <v>325</v>
      </c>
      <c r="AM999" s="351"/>
      <c r="AN999" s="549" t="s">
        <v>325</v>
      </c>
      <c r="AO999" s="351"/>
      <c r="AP999" s="550"/>
      <c r="AQ999" s="351"/>
      <c r="AR999" s="551"/>
      <c r="AS999" s="351"/>
      <c r="AT999" s="552"/>
      <c r="AU999" s="351"/>
      <c r="AV999" s="549" t="s">
        <v>325</v>
      </c>
      <c r="AW999" s="351"/>
      <c r="AX999" s="553"/>
      <c r="AY999" s="350"/>
      <c r="AZ999" s="351"/>
      <c r="BA999" s="554"/>
      <c r="BB999" s="351"/>
      <c r="BC999" s="39"/>
      <c r="BD999" s="546" t="s">
        <v>325</v>
      </c>
      <c r="BE999" s="351"/>
      <c r="BF999" s="547"/>
      <c r="BG999" s="350"/>
      <c r="BH999" s="350"/>
      <c r="BI999" s="351"/>
      <c r="BJ999" s="548" t="s">
        <v>294</v>
      </c>
      <c r="BK999" s="350"/>
      <c r="BL999" s="350"/>
      <c r="BM999" s="351"/>
      <c r="BN999" s="530" t="s">
        <v>294</v>
      </c>
      <c r="BO999" s="350"/>
      <c r="BP999" s="350"/>
      <c r="BQ999" s="350"/>
      <c r="BR999" s="350"/>
      <c r="BS999" s="350"/>
      <c r="BT999" s="350"/>
      <c r="BU999" s="350"/>
      <c r="BV999" s="351"/>
    </row>
    <row r="1000" spans="1:74" ht="45" customHeight="1">
      <c r="A1000" s="24">
        <f t="shared" si="3"/>
        <v>986</v>
      </c>
      <c r="B1000" s="558" t="s">
        <v>294</v>
      </c>
      <c r="C1000" s="351"/>
      <c r="D1000" s="559" t="s">
        <v>298</v>
      </c>
      <c r="E1000" s="351"/>
      <c r="F1000" s="524" t="s">
        <v>325</v>
      </c>
      <c r="G1000" s="351"/>
      <c r="H1000" s="525" t="s">
        <v>325</v>
      </c>
      <c r="I1000" s="351"/>
      <c r="J1000" s="563"/>
      <c r="K1000" s="351"/>
      <c r="L1000" s="563"/>
      <c r="M1000" s="351"/>
      <c r="N1000" s="37"/>
      <c r="O1000" s="35"/>
      <c r="P1000" s="560"/>
      <c r="Q1000" s="351"/>
      <c r="R1000" s="535"/>
      <c r="S1000" s="351"/>
      <c r="T1000" s="536"/>
      <c r="U1000" s="351"/>
      <c r="V1000" s="537"/>
      <c r="W1000" s="351"/>
      <c r="X1000" s="538" t="s">
        <v>294</v>
      </c>
      <c r="Y1000" s="350"/>
      <c r="Z1000" s="350"/>
      <c r="AA1000" s="351"/>
      <c r="AB1000" s="539" t="s">
        <v>294</v>
      </c>
      <c r="AC1000" s="350"/>
      <c r="AD1000" s="350"/>
      <c r="AE1000" s="351"/>
      <c r="AF1000" s="540"/>
      <c r="AG1000" s="351"/>
      <c r="AH1000" s="540"/>
      <c r="AI1000" s="351"/>
      <c r="AJ1000" s="545"/>
      <c r="AK1000" s="351"/>
      <c r="AL1000" s="555" t="s">
        <v>325</v>
      </c>
      <c r="AM1000" s="351"/>
      <c r="AN1000" s="531" t="s">
        <v>325</v>
      </c>
      <c r="AO1000" s="351"/>
      <c r="AP1000" s="532"/>
      <c r="AQ1000" s="351"/>
      <c r="AR1000" s="533"/>
      <c r="AS1000" s="351"/>
      <c r="AT1000" s="534"/>
      <c r="AU1000" s="351"/>
      <c r="AV1000" s="531" t="s">
        <v>325</v>
      </c>
      <c r="AW1000" s="351"/>
      <c r="AX1000" s="553"/>
      <c r="AY1000" s="350"/>
      <c r="AZ1000" s="351"/>
      <c r="BA1000" s="545"/>
      <c r="BB1000" s="351"/>
      <c r="BC1000" s="36"/>
      <c r="BD1000" s="556" t="s">
        <v>325</v>
      </c>
      <c r="BE1000" s="351"/>
      <c r="BF1000" s="557"/>
      <c r="BG1000" s="350"/>
      <c r="BH1000" s="350"/>
      <c r="BI1000" s="351"/>
      <c r="BJ1000" s="506" t="s">
        <v>294</v>
      </c>
      <c r="BK1000" s="350"/>
      <c r="BL1000" s="350"/>
      <c r="BM1000" s="351"/>
      <c r="BN1000" s="530" t="s">
        <v>294</v>
      </c>
      <c r="BO1000" s="350"/>
      <c r="BP1000" s="350"/>
      <c r="BQ1000" s="350"/>
      <c r="BR1000" s="350"/>
      <c r="BS1000" s="350"/>
      <c r="BT1000" s="350"/>
      <c r="BU1000" s="350"/>
      <c r="BV1000" s="351"/>
    </row>
    <row r="1001" spans="1:74" ht="45" customHeight="1">
      <c r="A1001" s="24">
        <f t="shared" si="3"/>
        <v>987</v>
      </c>
      <c r="B1001" s="522" t="s">
        <v>294</v>
      </c>
      <c r="C1001" s="351"/>
      <c r="D1001" s="523" t="s">
        <v>298</v>
      </c>
      <c r="E1001" s="351"/>
      <c r="F1001" s="524" t="s">
        <v>325</v>
      </c>
      <c r="G1001" s="351"/>
      <c r="H1001" s="561" t="s">
        <v>325</v>
      </c>
      <c r="I1001" s="351"/>
      <c r="J1001" s="562"/>
      <c r="K1001" s="351"/>
      <c r="L1001" s="562"/>
      <c r="M1001" s="351"/>
      <c r="N1001" s="34"/>
      <c r="O1001" s="38"/>
      <c r="P1001" s="526"/>
      <c r="Q1001" s="351"/>
      <c r="R1001" s="527"/>
      <c r="S1001" s="351"/>
      <c r="T1001" s="528"/>
      <c r="U1001" s="351"/>
      <c r="V1001" s="541"/>
      <c r="W1001" s="351"/>
      <c r="X1001" s="542" t="s">
        <v>294</v>
      </c>
      <c r="Y1001" s="350"/>
      <c r="Z1001" s="350"/>
      <c r="AA1001" s="351"/>
      <c r="AB1001" s="543" t="s">
        <v>294</v>
      </c>
      <c r="AC1001" s="350"/>
      <c r="AD1001" s="350"/>
      <c r="AE1001" s="351"/>
      <c r="AF1001" s="544"/>
      <c r="AG1001" s="351"/>
      <c r="AH1001" s="544"/>
      <c r="AI1001" s="351"/>
      <c r="AJ1001" s="545"/>
      <c r="AK1001" s="351"/>
      <c r="AL1001" s="524" t="s">
        <v>325</v>
      </c>
      <c r="AM1001" s="351"/>
      <c r="AN1001" s="549" t="s">
        <v>325</v>
      </c>
      <c r="AO1001" s="351"/>
      <c r="AP1001" s="550"/>
      <c r="AQ1001" s="351"/>
      <c r="AR1001" s="551"/>
      <c r="AS1001" s="351"/>
      <c r="AT1001" s="552"/>
      <c r="AU1001" s="351"/>
      <c r="AV1001" s="549" t="s">
        <v>325</v>
      </c>
      <c r="AW1001" s="351"/>
      <c r="AX1001" s="553"/>
      <c r="AY1001" s="350"/>
      <c r="AZ1001" s="351"/>
      <c r="BA1001" s="554"/>
      <c r="BB1001" s="351"/>
      <c r="BC1001" s="39"/>
      <c r="BD1001" s="546" t="s">
        <v>325</v>
      </c>
      <c r="BE1001" s="351"/>
      <c r="BF1001" s="547"/>
      <c r="BG1001" s="350"/>
      <c r="BH1001" s="350"/>
      <c r="BI1001" s="351"/>
      <c r="BJ1001" s="548" t="s">
        <v>294</v>
      </c>
      <c r="BK1001" s="350"/>
      <c r="BL1001" s="350"/>
      <c r="BM1001" s="351"/>
      <c r="BN1001" s="530" t="s">
        <v>294</v>
      </c>
      <c r="BO1001" s="350"/>
      <c r="BP1001" s="350"/>
      <c r="BQ1001" s="350"/>
      <c r="BR1001" s="350"/>
      <c r="BS1001" s="350"/>
      <c r="BT1001" s="350"/>
      <c r="BU1001" s="350"/>
      <c r="BV1001" s="351"/>
    </row>
    <row r="1002" spans="1:74" ht="45" customHeight="1">
      <c r="A1002" s="24">
        <f t="shared" si="3"/>
        <v>988</v>
      </c>
      <c r="B1002" s="558" t="s">
        <v>294</v>
      </c>
      <c r="C1002" s="351"/>
      <c r="D1002" s="559" t="s">
        <v>298</v>
      </c>
      <c r="E1002" s="351"/>
      <c r="F1002" s="524" t="s">
        <v>325</v>
      </c>
      <c r="G1002" s="351"/>
      <c r="H1002" s="525" t="s">
        <v>325</v>
      </c>
      <c r="I1002" s="351"/>
      <c r="J1002" s="563"/>
      <c r="K1002" s="351"/>
      <c r="L1002" s="563"/>
      <c r="M1002" s="351"/>
      <c r="N1002" s="37"/>
      <c r="O1002" s="35"/>
      <c r="P1002" s="560"/>
      <c r="Q1002" s="351"/>
      <c r="R1002" s="535"/>
      <c r="S1002" s="351"/>
      <c r="T1002" s="536"/>
      <c r="U1002" s="351"/>
      <c r="V1002" s="537"/>
      <c r="W1002" s="351"/>
      <c r="X1002" s="538" t="s">
        <v>294</v>
      </c>
      <c r="Y1002" s="350"/>
      <c r="Z1002" s="350"/>
      <c r="AA1002" s="351"/>
      <c r="AB1002" s="539" t="s">
        <v>294</v>
      </c>
      <c r="AC1002" s="350"/>
      <c r="AD1002" s="350"/>
      <c r="AE1002" s="351"/>
      <c r="AF1002" s="540"/>
      <c r="AG1002" s="351"/>
      <c r="AH1002" s="540"/>
      <c r="AI1002" s="351"/>
      <c r="AJ1002" s="545"/>
      <c r="AK1002" s="351"/>
      <c r="AL1002" s="555" t="s">
        <v>325</v>
      </c>
      <c r="AM1002" s="351"/>
      <c r="AN1002" s="531" t="s">
        <v>325</v>
      </c>
      <c r="AO1002" s="351"/>
      <c r="AP1002" s="532"/>
      <c r="AQ1002" s="351"/>
      <c r="AR1002" s="533"/>
      <c r="AS1002" s="351"/>
      <c r="AT1002" s="534"/>
      <c r="AU1002" s="351"/>
      <c r="AV1002" s="531" t="s">
        <v>325</v>
      </c>
      <c r="AW1002" s="351"/>
      <c r="AX1002" s="553"/>
      <c r="AY1002" s="350"/>
      <c r="AZ1002" s="351"/>
      <c r="BA1002" s="545"/>
      <c r="BB1002" s="351"/>
      <c r="BC1002" s="36"/>
      <c r="BD1002" s="556" t="s">
        <v>325</v>
      </c>
      <c r="BE1002" s="351"/>
      <c r="BF1002" s="557"/>
      <c r="BG1002" s="350"/>
      <c r="BH1002" s="350"/>
      <c r="BI1002" s="351"/>
      <c r="BJ1002" s="506" t="s">
        <v>294</v>
      </c>
      <c r="BK1002" s="350"/>
      <c r="BL1002" s="350"/>
      <c r="BM1002" s="351"/>
      <c r="BN1002" s="530" t="s">
        <v>294</v>
      </c>
      <c r="BO1002" s="350"/>
      <c r="BP1002" s="350"/>
      <c r="BQ1002" s="350"/>
      <c r="BR1002" s="350"/>
      <c r="BS1002" s="350"/>
      <c r="BT1002" s="350"/>
      <c r="BU1002" s="350"/>
      <c r="BV1002" s="351"/>
    </row>
    <row r="1003" spans="1:74" ht="45" customHeight="1">
      <c r="A1003" s="24">
        <f t="shared" si="3"/>
        <v>989</v>
      </c>
      <c r="B1003" s="522" t="s">
        <v>294</v>
      </c>
      <c r="C1003" s="351"/>
      <c r="D1003" s="523" t="s">
        <v>298</v>
      </c>
      <c r="E1003" s="351"/>
      <c r="F1003" s="524" t="s">
        <v>325</v>
      </c>
      <c r="G1003" s="351"/>
      <c r="H1003" s="561" t="s">
        <v>325</v>
      </c>
      <c r="I1003" s="351"/>
      <c r="J1003" s="562"/>
      <c r="K1003" s="351"/>
      <c r="L1003" s="562"/>
      <c r="M1003" s="351"/>
      <c r="N1003" s="34"/>
      <c r="O1003" s="38"/>
      <c r="P1003" s="526"/>
      <c r="Q1003" s="351"/>
      <c r="R1003" s="527"/>
      <c r="S1003" s="351"/>
      <c r="T1003" s="528"/>
      <c r="U1003" s="351"/>
      <c r="V1003" s="541"/>
      <c r="W1003" s="351"/>
      <c r="X1003" s="542" t="s">
        <v>294</v>
      </c>
      <c r="Y1003" s="350"/>
      <c r="Z1003" s="350"/>
      <c r="AA1003" s="351"/>
      <c r="AB1003" s="543" t="s">
        <v>294</v>
      </c>
      <c r="AC1003" s="350"/>
      <c r="AD1003" s="350"/>
      <c r="AE1003" s="351"/>
      <c r="AF1003" s="544"/>
      <c r="AG1003" s="351"/>
      <c r="AH1003" s="544"/>
      <c r="AI1003" s="351"/>
      <c r="AJ1003" s="545"/>
      <c r="AK1003" s="351"/>
      <c r="AL1003" s="524" t="s">
        <v>325</v>
      </c>
      <c r="AM1003" s="351"/>
      <c r="AN1003" s="549" t="s">
        <v>325</v>
      </c>
      <c r="AO1003" s="351"/>
      <c r="AP1003" s="550"/>
      <c r="AQ1003" s="351"/>
      <c r="AR1003" s="551"/>
      <c r="AS1003" s="351"/>
      <c r="AT1003" s="552"/>
      <c r="AU1003" s="351"/>
      <c r="AV1003" s="549" t="s">
        <v>325</v>
      </c>
      <c r="AW1003" s="351"/>
      <c r="AX1003" s="553"/>
      <c r="AY1003" s="350"/>
      <c r="AZ1003" s="351"/>
      <c r="BA1003" s="554"/>
      <c r="BB1003" s="351"/>
      <c r="BC1003" s="39"/>
      <c r="BD1003" s="546" t="s">
        <v>325</v>
      </c>
      <c r="BE1003" s="351"/>
      <c r="BF1003" s="547"/>
      <c r="BG1003" s="350"/>
      <c r="BH1003" s="350"/>
      <c r="BI1003" s="351"/>
      <c r="BJ1003" s="548" t="s">
        <v>294</v>
      </c>
      <c r="BK1003" s="350"/>
      <c r="BL1003" s="350"/>
      <c r="BM1003" s="351"/>
      <c r="BN1003" s="530" t="s">
        <v>294</v>
      </c>
      <c r="BO1003" s="350"/>
      <c r="BP1003" s="350"/>
      <c r="BQ1003" s="350"/>
      <c r="BR1003" s="350"/>
      <c r="BS1003" s="350"/>
      <c r="BT1003" s="350"/>
      <c r="BU1003" s="350"/>
      <c r="BV1003" s="351"/>
    </row>
    <row r="1004" spans="1:74" ht="45" customHeight="1">
      <c r="A1004" s="24">
        <f t="shared" si="3"/>
        <v>990</v>
      </c>
      <c r="B1004" s="558" t="s">
        <v>294</v>
      </c>
      <c r="C1004" s="351"/>
      <c r="D1004" s="559" t="s">
        <v>298</v>
      </c>
      <c r="E1004" s="351"/>
      <c r="F1004" s="524" t="s">
        <v>325</v>
      </c>
      <c r="G1004" s="351"/>
      <c r="H1004" s="525" t="s">
        <v>325</v>
      </c>
      <c r="I1004" s="351"/>
      <c r="J1004" s="563"/>
      <c r="K1004" s="351"/>
      <c r="L1004" s="563"/>
      <c r="M1004" s="351"/>
      <c r="N1004" s="37"/>
      <c r="O1004" s="35"/>
      <c r="P1004" s="560"/>
      <c r="Q1004" s="351"/>
      <c r="R1004" s="535"/>
      <c r="S1004" s="351"/>
      <c r="T1004" s="536"/>
      <c r="U1004" s="351"/>
      <c r="V1004" s="537"/>
      <c r="W1004" s="351"/>
      <c r="X1004" s="538" t="s">
        <v>294</v>
      </c>
      <c r="Y1004" s="350"/>
      <c r="Z1004" s="350"/>
      <c r="AA1004" s="351"/>
      <c r="AB1004" s="539" t="s">
        <v>294</v>
      </c>
      <c r="AC1004" s="350"/>
      <c r="AD1004" s="350"/>
      <c r="AE1004" s="351"/>
      <c r="AF1004" s="540"/>
      <c r="AG1004" s="351"/>
      <c r="AH1004" s="540"/>
      <c r="AI1004" s="351"/>
      <c r="AJ1004" s="545"/>
      <c r="AK1004" s="351"/>
      <c r="AL1004" s="555" t="s">
        <v>325</v>
      </c>
      <c r="AM1004" s="351"/>
      <c r="AN1004" s="531" t="s">
        <v>325</v>
      </c>
      <c r="AO1004" s="351"/>
      <c r="AP1004" s="532"/>
      <c r="AQ1004" s="351"/>
      <c r="AR1004" s="533"/>
      <c r="AS1004" s="351"/>
      <c r="AT1004" s="534"/>
      <c r="AU1004" s="351"/>
      <c r="AV1004" s="531" t="s">
        <v>325</v>
      </c>
      <c r="AW1004" s="351"/>
      <c r="AX1004" s="553"/>
      <c r="AY1004" s="350"/>
      <c r="AZ1004" s="351"/>
      <c r="BA1004" s="545"/>
      <c r="BB1004" s="351"/>
      <c r="BC1004" s="36"/>
      <c r="BD1004" s="556" t="s">
        <v>325</v>
      </c>
      <c r="BE1004" s="351"/>
      <c r="BF1004" s="529"/>
      <c r="BG1004" s="350"/>
      <c r="BH1004" s="350"/>
      <c r="BI1004" s="351"/>
      <c r="BJ1004" s="506" t="s">
        <v>294</v>
      </c>
      <c r="BK1004" s="350"/>
      <c r="BL1004" s="350"/>
      <c r="BM1004" s="351"/>
      <c r="BN1004" s="530" t="s">
        <v>294</v>
      </c>
      <c r="BO1004" s="350"/>
      <c r="BP1004" s="350"/>
      <c r="BQ1004" s="350"/>
      <c r="BR1004" s="350"/>
      <c r="BS1004" s="350"/>
      <c r="BT1004" s="350"/>
      <c r="BU1004" s="350"/>
      <c r="BV1004" s="351"/>
    </row>
    <row r="1005" spans="1:74" ht="45" customHeight="1">
      <c r="A1005" s="24">
        <f t="shared" si="3"/>
        <v>991</v>
      </c>
      <c r="B1005" s="522" t="s">
        <v>294</v>
      </c>
      <c r="C1005" s="351"/>
      <c r="D1005" s="523" t="s">
        <v>298</v>
      </c>
      <c r="E1005" s="351"/>
      <c r="F1005" s="524" t="s">
        <v>325</v>
      </c>
      <c r="G1005" s="351"/>
      <c r="H1005" s="561" t="s">
        <v>325</v>
      </c>
      <c r="I1005" s="351"/>
      <c r="J1005" s="562"/>
      <c r="K1005" s="351"/>
      <c r="L1005" s="562"/>
      <c r="M1005" s="351"/>
      <c r="N1005" s="34"/>
      <c r="O1005" s="38"/>
      <c r="P1005" s="526"/>
      <c r="Q1005" s="351"/>
      <c r="R1005" s="527"/>
      <c r="S1005" s="351"/>
      <c r="T1005" s="528"/>
      <c r="U1005" s="351"/>
      <c r="V1005" s="541"/>
      <c r="W1005" s="351"/>
      <c r="X1005" s="542" t="s">
        <v>294</v>
      </c>
      <c r="Y1005" s="350"/>
      <c r="Z1005" s="350"/>
      <c r="AA1005" s="351"/>
      <c r="AB1005" s="543" t="s">
        <v>294</v>
      </c>
      <c r="AC1005" s="350"/>
      <c r="AD1005" s="350"/>
      <c r="AE1005" s="351"/>
      <c r="AF1005" s="544"/>
      <c r="AG1005" s="351"/>
      <c r="AH1005" s="544"/>
      <c r="AI1005" s="351"/>
      <c r="AJ1005" s="545"/>
      <c r="AK1005" s="351"/>
      <c r="AL1005" s="524" t="s">
        <v>325</v>
      </c>
      <c r="AM1005" s="351"/>
      <c r="AN1005" s="549" t="s">
        <v>325</v>
      </c>
      <c r="AO1005" s="351"/>
      <c r="AP1005" s="550"/>
      <c r="AQ1005" s="351"/>
      <c r="AR1005" s="551"/>
      <c r="AS1005" s="351"/>
      <c r="AT1005" s="552"/>
      <c r="AU1005" s="351"/>
      <c r="AV1005" s="549" t="s">
        <v>325</v>
      </c>
      <c r="AW1005" s="351"/>
      <c r="AX1005" s="553"/>
      <c r="AY1005" s="350"/>
      <c r="AZ1005" s="351"/>
      <c r="BA1005" s="554"/>
      <c r="BB1005" s="351"/>
      <c r="BC1005" s="39"/>
      <c r="BD1005" s="546" t="s">
        <v>325</v>
      </c>
      <c r="BE1005" s="351"/>
      <c r="BF1005" s="547"/>
      <c r="BG1005" s="350"/>
      <c r="BH1005" s="350"/>
      <c r="BI1005" s="351"/>
      <c r="BJ1005" s="548" t="s">
        <v>294</v>
      </c>
      <c r="BK1005" s="350"/>
      <c r="BL1005" s="350"/>
      <c r="BM1005" s="351"/>
      <c r="BN1005" s="530" t="s">
        <v>294</v>
      </c>
      <c r="BO1005" s="350"/>
      <c r="BP1005" s="350"/>
      <c r="BQ1005" s="350"/>
      <c r="BR1005" s="350"/>
      <c r="BS1005" s="350"/>
      <c r="BT1005" s="350"/>
      <c r="BU1005" s="350"/>
      <c r="BV1005" s="351"/>
    </row>
    <row r="1006" spans="1:74" ht="45" customHeight="1">
      <c r="A1006" s="24">
        <f t="shared" si="3"/>
        <v>992</v>
      </c>
      <c r="B1006" s="558" t="s">
        <v>294</v>
      </c>
      <c r="C1006" s="351"/>
      <c r="D1006" s="559" t="s">
        <v>298</v>
      </c>
      <c r="E1006" s="351"/>
      <c r="F1006" s="524" t="s">
        <v>325</v>
      </c>
      <c r="G1006" s="351"/>
      <c r="H1006" s="525" t="s">
        <v>325</v>
      </c>
      <c r="I1006" s="351"/>
      <c r="J1006" s="563"/>
      <c r="K1006" s="351"/>
      <c r="L1006" s="563"/>
      <c r="M1006" s="351"/>
      <c r="N1006" s="37"/>
      <c r="O1006" s="35"/>
      <c r="P1006" s="560"/>
      <c r="Q1006" s="351"/>
      <c r="R1006" s="535"/>
      <c r="S1006" s="351"/>
      <c r="T1006" s="536"/>
      <c r="U1006" s="351"/>
      <c r="V1006" s="537"/>
      <c r="W1006" s="351"/>
      <c r="X1006" s="538" t="s">
        <v>294</v>
      </c>
      <c r="Y1006" s="350"/>
      <c r="Z1006" s="350"/>
      <c r="AA1006" s="351"/>
      <c r="AB1006" s="539" t="s">
        <v>294</v>
      </c>
      <c r="AC1006" s="350"/>
      <c r="AD1006" s="350"/>
      <c r="AE1006" s="351"/>
      <c r="AF1006" s="540"/>
      <c r="AG1006" s="351"/>
      <c r="AH1006" s="540"/>
      <c r="AI1006" s="351"/>
      <c r="AJ1006" s="545"/>
      <c r="AK1006" s="351"/>
      <c r="AL1006" s="555" t="s">
        <v>325</v>
      </c>
      <c r="AM1006" s="351"/>
      <c r="AN1006" s="531" t="s">
        <v>325</v>
      </c>
      <c r="AO1006" s="351"/>
      <c r="AP1006" s="532"/>
      <c r="AQ1006" s="351"/>
      <c r="AR1006" s="533"/>
      <c r="AS1006" s="351"/>
      <c r="AT1006" s="534"/>
      <c r="AU1006" s="351"/>
      <c r="AV1006" s="531" t="s">
        <v>325</v>
      </c>
      <c r="AW1006" s="351"/>
      <c r="AX1006" s="553"/>
      <c r="AY1006" s="350"/>
      <c r="AZ1006" s="351"/>
      <c r="BA1006" s="545"/>
      <c r="BB1006" s="351"/>
      <c r="BC1006" s="36"/>
      <c r="BD1006" s="556" t="s">
        <v>325</v>
      </c>
      <c r="BE1006" s="351"/>
      <c r="BF1006" s="557"/>
      <c r="BG1006" s="350"/>
      <c r="BH1006" s="350"/>
      <c r="BI1006" s="351"/>
      <c r="BJ1006" s="506" t="s">
        <v>294</v>
      </c>
      <c r="BK1006" s="350"/>
      <c r="BL1006" s="350"/>
      <c r="BM1006" s="351"/>
      <c r="BN1006" s="530" t="s">
        <v>294</v>
      </c>
      <c r="BO1006" s="350"/>
      <c r="BP1006" s="350"/>
      <c r="BQ1006" s="350"/>
      <c r="BR1006" s="350"/>
      <c r="BS1006" s="350"/>
      <c r="BT1006" s="350"/>
      <c r="BU1006" s="350"/>
      <c r="BV1006" s="351"/>
    </row>
    <row r="1007" spans="1:74" ht="45" customHeight="1">
      <c r="A1007" s="24">
        <f t="shared" si="3"/>
        <v>993</v>
      </c>
      <c r="B1007" s="558" t="s">
        <v>294</v>
      </c>
      <c r="C1007" s="351"/>
      <c r="D1007" s="559" t="s">
        <v>298</v>
      </c>
      <c r="E1007" s="351"/>
      <c r="F1007" s="524" t="s">
        <v>325</v>
      </c>
      <c r="G1007" s="351"/>
      <c r="H1007" s="561" t="s">
        <v>325</v>
      </c>
      <c r="I1007" s="351"/>
      <c r="J1007" s="562"/>
      <c r="K1007" s="351"/>
      <c r="L1007" s="562"/>
      <c r="M1007" s="351"/>
      <c r="N1007" s="37"/>
      <c r="O1007" s="35"/>
      <c r="P1007" s="560"/>
      <c r="Q1007" s="351"/>
      <c r="R1007" s="535"/>
      <c r="S1007" s="351"/>
      <c r="T1007" s="536"/>
      <c r="U1007" s="351"/>
      <c r="V1007" s="537"/>
      <c r="W1007" s="351"/>
      <c r="X1007" s="538" t="s">
        <v>294</v>
      </c>
      <c r="Y1007" s="350"/>
      <c r="Z1007" s="350"/>
      <c r="AA1007" s="351"/>
      <c r="AB1007" s="539" t="s">
        <v>294</v>
      </c>
      <c r="AC1007" s="350"/>
      <c r="AD1007" s="350"/>
      <c r="AE1007" s="351"/>
      <c r="AF1007" s="540"/>
      <c r="AG1007" s="351"/>
      <c r="AH1007" s="540"/>
      <c r="AI1007" s="351"/>
      <c r="AJ1007" s="545"/>
      <c r="AK1007" s="351"/>
      <c r="AL1007" s="555" t="s">
        <v>325</v>
      </c>
      <c r="AM1007" s="351"/>
      <c r="AN1007" s="531" t="s">
        <v>325</v>
      </c>
      <c r="AO1007" s="351"/>
      <c r="AP1007" s="532"/>
      <c r="AQ1007" s="351"/>
      <c r="AR1007" s="533"/>
      <c r="AS1007" s="351"/>
      <c r="AT1007" s="534"/>
      <c r="AU1007" s="351"/>
      <c r="AV1007" s="531" t="s">
        <v>325</v>
      </c>
      <c r="AW1007" s="351"/>
      <c r="AX1007" s="553"/>
      <c r="AY1007" s="350"/>
      <c r="AZ1007" s="351"/>
      <c r="BA1007" s="545"/>
      <c r="BB1007" s="351"/>
      <c r="BC1007" s="36"/>
      <c r="BD1007" s="556" t="s">
        <v>325</v>
      </c>
      <c r="BE1007" s="351"/>
      <c r="BF1007" s="529"/>
      <c r="BG1007" s="350"/>
      <c r="BH1007" s="350"/>
      <c r="BI1007" s="351"/>
      <c r="BJ1007" s="506" t="s">
        <v>294</v>
      </c>
      <c r="BK1007" s="350"/>
      <c r="BL1007" s="350"/>
      <c r="BM1007" s="351"/>
      <c r="BN1007" s="530" t="s">
        <v>294</v>
      </c>
      <c r="BO1007" s="350"/>
      <c r="BP1007" s="350"/>
      <c r="BQ1007" s="350"/>
      <c r="BR1007" s="350"/>
      <c r="BS1007" s="350"/>
      <c r="BT1007" s="350"/>
      <c r="BU1007" s="350"/>
      <c r="BV1007" s="351"/>
    </row>
    <row r="1008" spans="1:74" ht="45" customHeight="1">
      <c r="A1008" s="24">
        <f t="shared" si="3"/>
        <v>994</v>
      </c>
      <c r="B1008" s="522" t="s">
        <v>294</v>
      </c>
      <c r="C1008" s="351"/>
      <c r="D1008" s="523" t="s">
        <v>298</v>
      </c>
      <c r="E1008" s="351"/>
      <c r="F1008" s="524" t="s">
        <v>325</v>
      </c>
      <c r="G1008" s="351"/>
      <c r="H1008" s="525" t="s">
        <v>325</v>
      </c>
      <c r="I1008" s="351"/>
      <c r="J1008" s="563"/>
      <c r="K1008" s="351"/>
      <c r="L1008" s="563"/>
      <c r="M1008" s="351"/>
      <c r="N1008" s="34"/>
      <c r="O1008" s="38"/>
      <c r="P1008" s="526"/>
      <c r="Q1008" s="351"/>
      <c r="R1008" s="527"/>
      <c r="S1008" s="351"/>
      <c r="T1008" s="528"/>
      <c r="U1008" s="351"/>
      <c r="V1008" s="541"/>
      <c r="W1008" s="351"/>
      <c r="X1008" s="542" t="s">
        <v>294</v>
      </c>
      <c r="Y1008" s="350"/>
      <c r="Z1008" s="350"/>
      <c r="AA1008" s="351"/>
      <c r="AB1008" s="543" t="s">
        <v>294</v>
      </c>
      <c r="AC1008" s="350"/>
      <c r="AD1008" s="350"/>
      <c r="AE1008" s="351"/>
      <c r="AF1008" s="544"/>
      <c r="AG1008" s="351"/>
      <c r="AH1008" s="544"/>
      <c r="AI1008" s="351"/>
      <c r="AJ1008" s="545"/>
      <c r="AK1008" s="351"/>
      <c r="AL1008" s="524" t="s">
        <v>325</v>
      </c>
      <c r="AM1008" s="351"/>
      <c r="AN1008" s="549" t="s">
        <v>325</v>
      </c>
      <c r="AO1008" s="351"/>
      <c r="AP1008" s="550"/>
      <c r="AQ1008" s="351"/>
      <c r="AR1008" s="551"/>
      <c r="AS1008" s="351"/>
      <c r="AT1008" s="552"/>
      <c r="AU1008" s="351"/>
      <c r="AV1008" s="549" t="s">
        <v>325</v>
      </c>
      <c r="AW1008" s="351"/>
      <c r="AX1008" s="553"/>
      <c r="AY1008" s="350"/>
      <c r="AZ1008" s="351"/>
      <c r="BA1008" s="554"/>
      <c r="BB1008" s="351"/>
      <c r="BC1008" s="39"/>
      <c r="BD1008" s="546" t="s">
        <v>325</v>
      </c>
      <c r="BE1008" s="351"/>
      <c r="BF1008" s="547"/>
      <c r="BG1008" s="350"/>
      <c r="BH1008" s="350"/>
      <c r="BI1008" s="351"/>
      <c r="BJ1008" s="548" t="s">
        <v>294</v>
      </c>
      <c r="BK1008" s="350"/>
      <c r="BL1008" s="350"/>
      <c r="BM1008" s="351"/>
      <c r="BN1008" s="530" t="s">
        <v>294</v>
      </c>
      <c r="BO1008" s="350"/>
      <c r="BP1008" s="350"/>
      <c r="BQ1008" s="350"/>
      <c r="BR1008" s="350"/>
      <c r="BS1008" s="350"/>
      <c r="BT1008" s="350"/>
      <c r="BU1008" s="350"/>
      <c r="BV1008" s="351"/>
    </row>
    <row r="1009" spans="1:74" ht="45" customHeight="1">
      <c r="A1009" s="24">
        <f t="shared" si="3"/>
        <v>995</v>
      </c>
      <c r="B1009" s="558" t="s">
        <v>294</v>
      </c>
      <c r="C1009" s="351"/>
      <c r="D1009" s="559" t="s">
        <v>298</v>
      </c>
      <c r="E1009" s="351"/>
      <c r="F1009" s="524" t="s">
        <v>325</v>
      </c>
      <c r="G1009" s="351"/>
      <c r="H1009" s="561" t="s">
        <v>325</v>
      </c>
      <c r="I1009" s="351"/>
      <c r="J1009" s="562"/>
      <c r="K1009" s="351"/>
      <c r="L1009" s="562"/>
      <c r="M1009" s="351"/>
      <c r="N1009" s="37"/>
      <c r="O1009" s="35"/>
      <c r="P1009" s="560"/>
      <c r="Q1009" s="351"/>
      <c r="R1009" s="535"/>
      <c r="S1009" s="351"/>
      <c r="T1009" s="536"/>
      <c r="U1009" s="351"/>
      <c r="V1009" s="537"/>
      <c r="W1009" s="351"/>
      <c r="X1009" s="538" t="s">
        <v>294</v>
      </c>
      <c r="Y1009" s="350"/>
      <c r="Z1009" s="350"/>
      <c r="AA1009" s="351"/>
      <c r="AB1009" s="539" t="s">
        <v>294</v>
      </c>
      <c r="AC1009" s="350"/>
      <c r="AD1009" s="350"/>
      <c r="AE1009" s="351"/>
      <c r="AF1009" s="540"/>
      <c r="AG1009" s="351"/>
      <c r="AH1009" s="540"/>
      <c r="AI1009" s="351"/>
      <c r="AJ1009" s="545"/>
      <c r="AK1009" s="351"/>
      <c r="AL1009" s="555" t="s">
        <v>325</v>
      </c>
      <c r="AM1009" s="351"/>
      <c r="AN1009" s="531" t="s">
        <v>325</v>
      </c>
      <c r="AO1009" s="351"/>
      <c r="AP1009" s="532"/>
      <c r="AQ1009" s="351"/>
      <c r="AR1009" s="533"/>
      <c r="AS1009" s="351"/>
      <c r="AT1009" s="534"/>
      <c r="AU1009" s="351"/>
      <c r="AV1009" s="531" t="s">
        <v>325</v>
      </c>
      <c r="AW1009" s="351"/>
      <c r="AX1009" s="553"/>
      <c r="AY1009" s="350"/>
      <c r="AZ1009" s="351"/>
      <c r="BA1009" s="545"/>
      <c r="BB1009" s="351"/>
      <c r="BC1009" s="36"/>
      <c r="BD1009" s="556" t="s">
        <v>325</v>
      </c>
      <c r="BE1009" s="351"/>
      <c r="BF1009" s="557"/>
      <c r="BG1009" s="350"/>
      <c r="BH1009" s="350"/>
      <c r="BI1009" s="351"/>
      <c r="BJ1009" s="506" t="s">
        <v>294</v>
      </c>
      <c r="BK1009" s="350"/>
      <c r="BL1009" s="350"/>
      <c r="BM1009" s="351"/>
      <c r="BN1009" s="530" t="s">
        <v>294</v>
      </c>
      <c r="BO1009" s="350"/>
      <c r="BP1009" s="350"/>
      <c r="BQ1009" s="350"/>
      <c r="BR1009" s="350"/>
      <c r="BS1009" s="350"/>
      <c r="BT1009" s="350"/>
      <c r="BU1009" s="350"/>
      <c r="BV1009" s="351"/>
    </row>
    <row r="1010" spans="1:74" ht="45" customHeight="1">
      <c r="A1010" s="24">
        <f t="shared" si="3"/>
        <v>996</v>
      </c>
      <c r="B1010" s="558" t="s">
        <v>294</v>
      </c>
      <c r="C1010" s="351"/>
      <c r="D1010" s="559" t="s">
        <v>298</v>
      </c>
      <c r="E1010" s="351"/>
      <c r="F1010" s="524" t="s">
        <v>325</v>
      </c>
      <c r="G1010" s="351"/>
      <c r="H1010" s="525" t="s">
        <v>325</v>
      </c>
      <c r="I1010" s="351"/>
      <c r="J1010" s="563"/>
      <c r="K1010" s="351"/>
      <c r="L1010" s="563"/>
      <c r="M1010" s="351"/>
      <c r="N1010" s="34"/>
      <c r="O1010" s="35"/>
      <c r="P1010" s="526"/>
      <c r="Q1010" s="351"/>
      <c r="R1010" s="535"/>
      <c r="S1010" s="351"/>
      <c r="T1010" s="536"/>
      <c r="U1010" s="351"/>
      <c r="V1010" s="537"/>
      <c r="W1010" s="351"/>
      <c r="X1010" s="538" t="s">
        <v>294</v>
      </c>
      <c r="Y1010" s="350"/>
      <c r="Z1010" s="350"/>
      <c r="AA1010" s="351"/>
      <c r="AB1010" s="539" t="s">
        <v>294</v>
      </c>
      <c r="AC1010" s="350"/>
      <c r="AD1010" s="350"/>
      <c r="AE1010" s="351"/>
      <c r="AF1010" s="540"/>
      <c r="AG1010" s="351"/>
      <c r="AH1010" s="540"/>
      <c r="AI1010" s="351"/>
      <c r="AJ1010" s="545"/>
      <c r="AK1010" s="351"/>
      <c r="AL1010" s="555" t="s">
        <v>325</v>
      </c>
      <c r="AM1010" s="351"/>
      <c r="AN1010" s="531" t="s">
        <v>325</v>
      </c>
      <c r="AO1010" s="351"/>
      <c r="AP1010" s="532"/>
      <c r="AQ1010" s="351"/>
      <c r="AR1010" s="533"/>
      <c r="AS1010" s="351"/>
      <c r="AT1010" s="534"/>
      <c r="AU1010" s="351"/>
      <c r="AV1010" s="531" t="s">
        <v>325</v>
      </c>
      <c r="AW1010" s="351"/>
      <c r="AX1010" s="553"/>
      <c r="AY1010" s="350"/>
      <c r="AZ1010" s="351"/>
      <c r="BA1010" s="545"/>
      <c r="BB1010" s="351"/>
      <c r="BC1010" s="36"/>
      <c r="BD1010" s="556" t="s">
        <v>325</v>
      </c>
      <c r="BE1010" s="351"/>
      <c r="BF1010" s="529"/>
      <c r="BG1010" s="350"/>
      <c r="BH1010" s="350"/>
      <c r="BI1010" s="351"/>
      <c r="BJ1010" s="506" t="s">
        <v>294</v>
      </c>
      <c r="BK1010" s="350"/>
      <c r="BL1010" s="350"/>
      <c r="BM1010" s="351"/>
      <c r="BN1010" s="530" t="s">
        <v>294</v>
      </c>
      <c r="BO1010" s="350"/>
      <c r="BP1010" s="350"/>
      <c r="BQ1010" s="350"/>
      <c r="BR1010" s="350"/>
      <c r="BS1010" s="350"/>
      <c r="BT1010" s="350"/>
      <c r="BU1010" s="350"/>
      <c r="BV1010" s="351"/>
    </row>
    <row r="1011" spans="1:74" ht="45" customHeight="1">
      <c r="A1011" s="24">
        <f t="shared" si="3"/>
        <v>997</v>
      </c>
      <c r="B1011" s="522" t="s">
        <v>294</v>
      </c>
      <c r="C1011" s="351"/>
      <c r="D1011" s="523" t="s">
        <v>298</v>
      </c>
      <c r="E1011" s="351"/>
      <c r="F1011" s="524" t="s">
        <v>325</v>
      </c>
      <c r="G1011" s="351"/>
      <c r="H1011" s="561" t="s">
        <v>325</v>
      </c>
      <c r="I1011" s="351"/>
      <c r="J1011" s="562"/>
      <c r="K1011" s="351"/>
      <c r="L1011" s="562"/>
      <c r="M1011" s="351"/>
      <c r="N1011" s="37"/>
      <c r="O1011" s="38"/>
      <c r="P1011" s="560"/>
      <c r="Q1011" s="351"/>
      <c r="R1011" s="527"/>
      <c r="S1011" s="351"/>
      <c r="T1011" s="528"/>
      <c r="U1011" s="351"/>
      <c r="V1011" s="541"/>
      <c r="W1011" s="351"/>
      <c r="X1011" s="542" t="s">
        <v>294</v>
      </c>
      <c r="Y1011" s="350"/>
      <c r="Z1011" s="350"/>
      <c r="AA1011" s="351"/>
      <c r="AB1011" s="543" t="s">
        <v>294</v>
      </c>
      <c r="AC1011" s="350"/>
      <c r="AD1011" s="350"/>
      <c r="AE1011" s="351"/>
      <c r="AF1011" s="544"/>
      <c r="AG1011" s="351"/>
      <c r="AH1011" s="544"/>
      <c r="AI1011" s="351"/>
      <c r="AJ1011" s="545"/>
      <c r="AK1011" s="351"/>
      <c r="AL1011" s="524" t="s">
        <v>325</v>
      </c>
      <c r="AM1011" s="351"/>
      <c r="AN1011" s="549" t="s">
        <v>325</v>
      </c>
      <c r="AO1011" s="351"/>
      <c r="AP1011" s="550"/>
      <c r="AQ1011" s="351"/>
      <c r="AR1011" s="551"/>
      <c r="AS1011" s="351"/>
      <c r="AT1011" s="534"/>
      <c r="AU1011" s="351"/>
      <c r="AV1011" s="549" t="s">
        <v>325</v>
      </c>
      <c r="AW1011" s="351"/>
      <c r="AX1011" s="553"/>
      <c r="AY1011" s="350"/>
      <c r="AZ1011" s="351"/>
      <c r="BA1011" s="554"/>
      <c r="BB1011" s="351"/>
      <c r="BC1011" s="39"/>
      <c r="BD1011" s="546" t="s">
        <v>325</v>
      </c>
      <c r="BE1011" s="351"/>
      <c r="BF1011" s="547"/>
      <c r="BG1011" s="350"/>
      <c r="BH1011" s="350"/>
      <c r="BI1011" s="351"/>
      <c r="BJ1011" s="548" t="s">
        <v>294</v>
      </c>
      <c r="BK1011" s="350"/>
      <c r="BL1011" s="350"/>
      <c r="BM1011" s="351"/>
      <c r="BN1011" s="530" t="s">
        <v>294</v>
      </c>
      <c r="BO1011" s="350"/>
      <c r="BP1011" s="350"/>
      <c r="BQ1011" s="350"/>
      <c r="BR1011" s="350"/>
      <c r="BS1011" s="350"/>
      <c r="BT1011" s="350"/>
      <c r="BU1011" s="350"/>
      <c r="BV1011" s="351"/>
    </row>
    <row r="1012" spans="1:74" ht="45" customHeight="1">
      <c r="A1012" s="24">
        <f t="shared" si="3"/>
        <v>998</v>
      </c>
      <c r="B1012" s="558" t="s">
        <v>294</v>
      </c>
      <c r="C1012" s="351"/>
      <c r="D1012" s="559" t="s">
        <v>298</v>
      </c>
      <c r="E1012" s="351"/>
      <c r="F1012" s="524" t="s">
        <v>325</v>
      </c>
      <c r="G1012" s="351"/>
      <c r="H1012" s="525" t="s">
        <v>325</v>
      </c>
      <c r="I1012" s="351"/>
      <c r="J1012" s="563"/>
      <c r="K1012" s="351"/>
      <c r="L1012" s="563"/>
      <c r="M1012" s="351"/>
      <c r="N1012" s="34"/>
      <c r="O1012" s="35"/>
      <c r="P1012" s="526"/>
      <c r="Q1012" s="351"/>
      <c r="R1012" s="535"/>
      <c r="S1012" s="351"/>
      <c r="T1012" s="536"/>
      <c r="U1012" s="351"/>
      <c r="V1012" s="537"/>
      <c r="W1012" s="351"/>
      <c r="X1012" s="538" t="s">
        <v>294</v>
      </c>
      <c r="Y1012" s="350"/>
      <c r="Z1012" s="350"/>
      <c r="AA1012" s="351"/>
      <c r="AB1012" s="539" t="s">
        <v>294</v>
      </c>
      <c r="AC1012" s="350"/>
      <c r="AD1012" s="350"/>
      <c r="AE1012" s="351"/>
      <c r="AF1012" s="540"/>
      <c r="AG1012" s="351"/>
      <c r="AH1012" s="540"/>
      <c r="AI1012" s="351"/>
      <c r="AJ1012" s="545"/>
      <c r="AK1012" s="351"/>
      <c r="AL1012" s="555" t="s">
        <v>325</v>
      </c>
      <c r="AM1012" s="351"/>
      <c r="AN1012" s="531" t="s">
        <v>325</v>
      </c>
      <c r="AO1012" s="351"/>
      <c r="AP1012" s="532"/>
      <c r="AQ1012" s="351"/>
      <c r="AR1012" s="533"/>
      <c r="AS1012" s="351"/>
      <c r="AT1012" s="534"/>
      <c r="AU1012" s="351"/>
      <c r="AV1012" s="531" t="s">
        <v>325</v>
      </c>
      <c r="AW1012" s="351"/>
      <c r="AX1012" s="553"/>
      <c r="AY1012" s="350"/>
      <c r="AZ1012" s="351"/>
      <c r="BA1012" s="545"/>
      <c r="BB1012" s="351"/>
      <c r="BC1012" s="36"/>
      <c r="BD1012" s="556" t="s">
        <v>325</v>
      </c>
      <c r="BE1012" s="351"/>
      <c r="BF1012" s="557"/>
      <c r="BG1012" s="350"/>
      <c r="BH1012" s="350"/>
      <c r="BI1012" s="351"/>
      <c r="BJ1012" s="506" t="s">
        <v>294</v>
      </c>
      <c r="BK1012" s="350"/>
      <c r="BL1012" s="350"/>
      <c r="BM1012" s="351"/>
      <c r="BN1012" s="530" t="s">
        <v>294</v>
      </c>
      <c r="BO1012" s="350"/>
      <c r="BP1012" s="350"/>
      <c r="BQ1012" s="350"/>
      <c r="BR1012" s="350"/>
      <c r="BS1012" s="350"/>
      <c r="BT1012" s="350"/>
      <c r="BU1012" s="350"/>
      <c r="BV1012" s="351"/>
    </row>
    <row r="1013" spans="1:74" ht="45" customHeight="1">
      <c r="A1013" s="24">
        <f t="shared" si="3"/>
        <v>999</v>
      </c>
      <c r="B1013" s="522" t="s">
        <v>294</v>
      </c>
      <c r="C1013" s="351"/>
      <c r="D1013" s="523" t="s">
        <v>298</v>
      </c>
      <c r="E1013" s="351"/>
      <c r="F1013" s="524" t="s">
        <v>325</v>
      </c>
      <c r="G1013" s="351"/>
      <c r="H1013" s="561" t="s">
        <v>325</v>
      </c>
      <c r="I1013" s="351"/>
      <c r="J1013" s="562"/>
      <c r="K1013" s="351"/>
      <c r="L1013" s="562"/>
      <c r="M1013" s="351"/>
      <c r="N1013" s="37"/>
      <c r="O1013" s="38"/>
      <c r="P1013" s="560"/>
      <c r="Q1013" s="351"/>
      <c r="R1013" s="527"/>
      <c r="S1013" s="351"/>
      <c r="T1013" s="528"/>
      <c r="U1013" s="351"/>
      <c r="V1013" s="541"/>
      <c r="W1013" s="351"/>
      <c r="X1013" s="542" t="s">
        <v>294</v>
      </c>
      <c r="Y1013" s="350"/>
      <c r="Z1013" s="350"/>
      <c r="AA1013" s="351"/>
      <c r="AB1013" s="543" t="s">
        <v>294</v>
      </c>
      <c r="AC1013" s="350"/>
      <c r="AD1013" s="350"/>
      <c r="AE1013" s="351"/>
      <c r="AF1013" s="544"/>
      <c r="AG1013" s="351"/>
      <c r="AH1013" s="544"/>
      <c r="AI1013" s="351"/>
      <c r="AJ1013" s="545"/>
      <c r="AK1013" s="351"/>
      <c r="AL1013" s="524" t="s">
        <v>325</v>
      </c>
      <c r="AM1013" s="351"/>
      <c r="AN1013" s="549" t="s">
        <v>325</v>
      </c>
      <c r="AO1013" s="351"/>
      <c r="AP1013" s="550"/>
      <c r="AQ1013" s="351"/>
      <c r="AR1013" s="551"/>
      <c r="AS1013" s="351"/>
      <c r="AT1013" s="534"/>
      <c r="AU1013" s="351"/>
      <c r="AV1013" s="549" t="s">
        <v>325</v>
      </c>
      <c r="AW1013" s="351"/>
      <c r="AX1013" s="553"/>
      <c r="AY1013" s="350"/>
      <c r="AZ1013" s="351"/>
      <c r="BA1013" s="554"/>
      <c r="BB1013" s="351"/>
      <c r="BC1013" s="39"/>
      <c r="BD1013" s="546" t="s">
        <v>325</v>
      </c>
      <c r="BE1013" s="351"/>
      <c r="BF1013" s="547"/>
      <c r="BG1013" s="350"/>
      <c r="BH1013" s="350"/>
      <c r="BI1013" s="351"/>
      <c r="BJ1013" s="548" t="s">
        <v>294</v>
      </c>
      <c r="BK1013" s="350"/>
      <c r="BL1013" s="350"/>
      <c r="BM1013" s="351"/>
      <c r="BN1013" s="530" t="s">
        <v>294</v>
      </c>
      <c r="BO1013" s="350"/>
      <c r="BP1013" s="350"/>
      <c r="BQ1013" s="350"/>
      <c r="BR1013" s="350"/>
      <c r="BS1013" s="350"/>
      <c r="BT1013" s="350"/>
      <c r="BU1013" s="350"/>
      <c r="BV1013" s="351"/>
    </row>
    <row r="1014" spans="1:74" ht="45" customHeight="1">
      <c r="A1014" s="24">
        <f t="shared" si="3"/>
        <v>1000</v>
      </c>
      <c r="B1014" s="558" t="s">
        <v>294</v>
      </c>
      <c r="C1014" s="351"/>
      <c r="D1014" s="559" t="s">
        <v>298</v>
      </c>
      <c r="E1014" s="351"/>
      <c r="F1014" s="524" t="s">
        <v>325</v>
      </c>
      <c r="G1014" s="351"/>
      <c r="H1014" s="525" t="s">
        <v>325</v>
      </c>
      <c r="I1014" s="351"/>
      <c r="J1014" s="563"/>
      <c r="K1014" s="351"/>
      <c r="L1014" s="563"/>
      <c r="M1014" s="351"/>
      <c r="N1014" s="34"/>
      <c r="O1014" s="35"/>
      <c r="P1014" s="526"/>
      <c r="Q1014" s="351"/>
      <c r="R1014" s="535"/>
      <c r="S1014" s="351"/>
      <c r="T1014" s="536"/>
      <c r="U1014" s="351"/>
      <c r="V1014" s="537"/>
      <c r="W1014" s="351"/>
      <c r="X1014" s="538" t="s">
        <v>294</v>
      </c>
      <c r="Y1014" s="350"/>
      <c r="Z1014" s="350"/>
      <c r="AA1014" s="351"/>
      <c r="AB1014" s="539" t="s">
        <v>294</v>
      </c>
      <c r="AC1014" s="350"/>
      <c r="AD1014" s="350"/>
      <c r="AE1014" s="351"/>
      <c r="AF1014" s="540"/>
      <c r="AG1014" s="351"/>
      <c r="AH1014" s="540"/>
      <c r="AI1014" s="351"/>
      <c r="AJ1014" s="545"/>
      <c r="AK1014" s="351"/>
      <c r="AL1014" s="555" t="s">
        <v>325</v>
      </c>
      <c r="AM1014" s="351"/>
      <c r="AN1014" s="531" t="s">
        <v>325</v>
      </c>
      <c r="AO1014" s="351"/>
      <c r="AP1014" s="532"/>
      <c r="AQ1014" s="351"/>
      <c r="AR1014" s="533"/>
      <c r="AS1014" s="351"/>
      <c r="AT1014" s="534"/>
      <c r="AU1014" s="351"/>
      <c r="AV1014" s="531" t="s">
        <v>325</v>
      </c>
      <c r="AW1014" s="351"/>
      <c r="AX1014" s="553"/>
      <c r="AY1014" s="350"/>
      <c r="AZ1014" s="351"/>
      <c r="BA1014" s="545"/>
      <c r="BB1014" s="351"/>
      <c r="BC1014" s="36"/>
      <c r="BD1014" s="556" t="s">
        <v>325</v>
      </c>
      <c r="BE1014" s="351"/>
      <c r="BF1014" s="557"/>
      <c r="BG1014" s="350"/>
      <c r="BH1014" s="350"/>
      <c r="BI1014" s="351"/>
      <c r="BJ1014" s="506" t="s">
        <v>294</v>
      </c>
      <c r="BK1014" s="350"/>
      <c r="BL1014" s="350"/>
      <c r="BM1014" s="351"/>
      <c r="BN1014" s="530" t="s">
        <v>294</v>
      </c>
      <c r="BO1014" s="350"/>
      <c r="BP1014" s="350"/>
      <c r="BQ1014" s="350"/>
      <c r="BR1014" s="350"/>
      <c r="BS1014" s="350"/>
      <c r="BT1014" s="350"/>
      <c r="BU1014" s="350"/>
      <c r="BV1014" s="351"/>
    </row>
    <row r="1015" spans="1:74" ht="45" customHeight="1">
      <c r="A1015" s="24">
        <f t="shared" si="3"/>
        <v>1001</v>
      </c>
      <c r="B1015" s="522" t="s">
        <v>294</v>
      </c>
      <c r="C1015" s="351"/>
      <c r="D1015" s="523" t="s">
        <v>298</v>
      </c>
      <c r="E1015" s="351"/>
      <c r="F1015" s="524" t="s">
        <v>325</v>
      </c>
      <c r="G1015" s="351"/>
      <c r="H1015" s="561" t="s">
        <v>325</v>
      </c>
      <c r="I1015" s="351"/>
      <c r="J1015" s="562"/>
      <c r="K1015" s="351"/>
      <c r="L1015" s="562"/>
      <c r="M1015" s="351"/>
      <c r="N1015" s="37"/>
      <c r="O1015" s="38"/>
      <c r="P1015" s="560"/>
      <c r="Q1015" s="351"/>
      <c r="R1015" s="527"/>
      <c r="S1015" s="351"/>
      <c r="T1015" s="528"/>
      <c r="U1015" s="351"/>
      <c r="V1015" s="541"/>
      <c r="W1015" s="351"/>
      <c r="X1015" s="542" t="s">
        <v>294</v>
      </c>
      <c r="Y1015" s="350"/>
      <c r="Z1015" s="350"/>
      <c r="AA1015" s="351"/>
      <c r="AB1015" s="543" t="s">
        <v>294</v>
      </c>
      <c r="AC1015" s="350"/>
      <c r="AD1015" s="350"/>
      <c r="AE1015" s="351"/>
      <c r="AF1015" s="544"/>
      <c r="AG1015" s="351"/>
      <c r="AH1015" s="544"/>
      <c r="AI1015" s="351"/>
      <c r="AJ1015" s="545"/>
      <c r="AK1015" s="351"/>
      <c r="AL1015" s="524" t="s">
        <v>325</v>
      </c>
      <c r="AM1015" s="351"/>
      <c r="AN1015" s="549" t="s">
        <v>325</v>
      </c>
      <c r="AO1015" s="351"/>
      <c r="AP1015" s="550"/>
      <c r="AQ1015" s="351"/>
      <c r="AR1015" s="551"/>
      <c r="AS1015" s="351"/>
      <c r="AT1015" s="552"/>
      <c r="AU1015" s="351"/>
      <c r="AV1015" s="549" t="s">
        <v>325</v>
      </c>
      <c r="AW1015" s="351"/>
      <c r="AX1015" s="553"/>
      <c r="AY1015" s="350"/>
      <c r="AZ1015" s="351"/>
      <c r="BA1015" s="554"/>
      <c r="BB1015" s="351"/>
      <c r="BC1015" s="39"/>
      <c r="BD1015" s="546" t="s">
        <v>325</v>
      </c>
      <c r="BE1015" s="351"/>
      <c r="BF1015" s="547"/>
      <c r="BG1015" s="350"/>
      <c r="BH1015" s="350"/>
      <c r="BI1015" s="351"/>
      <c r="BJ1015" s="548" t="s">
        <v>294</v>
      </c>
      <c r="BK1015" s="350"/>
      <c r="BL1015" s="350"/>
      <c r="BM1015" s="351"/>
      <c r="BN1015" s="530" t="s">
        <v>294</v>
      </c>
      <c r="BO1015" s="350"/>
      <c r="BP1015" s="350"/>
      <c r="BQ1015" s="350"/>
      <c r="BR1015" s="350"/>
      <c r="BS1015" s="350"/>
      <c r="BT1015" s="350"/>
      <c r="BU1015" s="350"/>
      <c r="BV1015" s="351"/>
    </row>
    <row r="1016" spans="1:74" ht="45" customHeight="1">
      <c r="A1016" s="24">
        <f t="shared" si="3"/>
        <v>1002</v>
      </c>
      <c r="B1016" s="558" t="s">
        <v>294</v>
      </c>
      <c r="C1016" s="351"/>
      <c r="D1016" s="559" t="s">
        <v>298</v>
      </c>
      <c r="E1016" s="351"/>
      <c r="F1016" s="524" t="s">
        <v>325</v>
      </c>
      <c r="G1016" s="351"/>
      <c r="H1016" s="525" t="s">
        <v>325</v>
      </c>
      <c r="I1016" s="351"/>
      <c r="J1016" s="563"/>
      <c r="K1016" s="351"/>
      <c r="L1016" s="563"/>
      <c r="M1016" s="351"/>
      <c r="N1016" s="34"/>
      <c r="O1016" s="35"/>
      <c r="P1016" s="526"/>
      <c r="Q1016" s="351"/>
      <c r="R1016" s="535"/>
      <c r="S1016" s="351"/>
      <c r="T1016" s="536"/>
      <c r="U1016" s="351"/>
      <c r="V1016" s="537"/>
      <c r="W1016" s="351"/>
      <c r="X1016" s="538" t="s">
        <v>294</v>
      </c>
      <c r="Y1016" s="350"/>
      <c r="Z1016" s="350"/>
      <c r="AA1016" s="351"/>
      <c r="AB1016" s="539" t="s">
        <v>294</v>
      </c>
      <c r="AC1016" s="350"/>
      <c r="AD1016" s="350"/>
      <c r="AE1016" s="351"/>
      <c r="AF1016" s="540"/>
      <c r="AG1016" s="351"/>
      <c r="AH1016" s="540"/>
      <c r="AI1016" s="351"/>
      <c r="AJ1016" s="545"/>
      <c r="AK1016" s="351"/>
      <c r="AL1016" s="555" t="s">
        <v>325</v>
      </c>
      <c r="AM1016" s="351"/>
      <c r="AN1016" s="531" t="s">
        <v>325</v>
      </c>
      <c r="AO1016" s="351"/>
      <c r="AP1016" s="532"/>
      <c r="AQ1016" s="351"/>
      <c r="AR1016" s="533"/>
      <c r="AS1016" s="351"/>
      <c r="AT1016" s="534"/>
      <c r="AU1016" s="351"/>
      <c r="AV1016" s="531" t="s">
        <v>325</v>
      </c>
      <c r="AW1016" s="351"/>
      <c r="AX1016" s="553"/>
      <c r="AY1016" s="350"/>
      <c r="AZ1016" s="351"/>
      <c r="BA1016" s="545"/>
      <c r="BB1016" s="351"/>
      <c r="BC1016" s="36"/>
      <c r="BD1016" s="556" t="s">
        <v>325</v>
      </c>
      <c r="BE1016" s="351"/>
      <c r="BF1016" s="529"/>
      <c r="BG1016" s="350"/>
      <c r="BH1016" s="350"/>
      <c r="BI1016" s="351"/>
      <c r="BJ1016" s="506" t="s">
        <v>294</v>
      </c>
      <c r="BK1016" s="350"/>
      <c r="BL1016" s="350"/>
      <c r="BM1016" s="351"/>
      <c r="BN1016" s="530" t="s">
        <v>294</v>
      </c>
      <c r="BO1016" s="350"/>
      <c r="BP1016" s="350"/>
      <c r="BQ1016" s="350"/>
      <c r="BR1016" s="350"/>
      <c r="BS1016" s="350"/>
      <c r="BT1016" s="350"/>
      <c r="BU1016" s="350"/>
      <c r="BV1016" s="351"/>
    </row>
    <row r="1017" spans="1:74" ht="45" customHeight="1">
      <c r="A1017" s="24">
        <f t="shared" si="3"/>
        <v>1003</v>
      </c>
      <c r="B1017" s="522" t="s">
        <v>294</v>
      </c>
      <c r="C1017" s="351"/>
      <c r="D1017" s="523" t="s">
        <v>298</v>
      </c>
      <c r="E1017" s="351"/>
      <c r="F1017" s="524" t="s">
        <v>325</v>
      </c>
      <c r="G1017" s="351"/>
      <c r="H1017" s="561" t="s">
        <v>325</v>
      </c>
      <c r="I1017" s="351"/>
      <c r="J1017" s="562"/>
      <c r="K1017" s="351"/>
      <c r="L1017" s="562"/>
      <c r="M1017" s="351"/>
      <c r="N1017" s="37"/>
      <c r="O1017" s="38"/>
      <c r="P1017" s="560"/>
      <c r="Q1017" s="351"/>
      <c r="R1017" s="527"/>
      <c r="S1017" s="351"/>
      <c r="T1017" s="528"/>
      <c r="U1017" s="351"/>
      <c r="V1017" s="541"/>
      <c r="W1017" s="351"/>
      <c r="X1017" s="542" t="s">
        <v>294</v>
      </c>
      <c r="Y1017" s="350"/>
      <c r="Z1017" s="350"/>
      <c r="AA1017" s="351"/>
      <c r="AB1017" s="543" t="s">
        <v>294</v>
      </c>
      <c r="AC1017" s="350"/>
      <c r="AD1017" s="350"/>
      <c r="AE1017" s="351"/>
      <c r="AF1017" s="544"/>
      <c r="AG1017" s="351"/>
      <c r="AH1017" s="544"/>
      <c r="AI1017" s="351"/>
      <c r="AJ1017" s="545"/>
      <c r="AK1017" s="351"/>
      <c r="AL1017" s="524" t="s">
        <v>325</v>
      </c>
      <c r="AM1017" s="351"/>
      <c r="AN1017" s="549" t="s">
        <v>325</v>
      </c>
      <c r="AO1017" s="351"/>
      <c r="AP1017" s="550"/>
      <c r="AQ1017" s="351"/>
      <c r="AR1017" s="551"/>
      <c r="AS1017" s="351"/>
      <c r="AT1017" s="552"/>
      <c r="AU1017" s="351"/>
      <c r="AV1017" s="549" t="s">
        <v>325</v>
      </c>
      <c r="AW1017" s="351"/>
      <c r="AX1017" s="553"/>
      <c r="AY1017" s="350"/>
      <c r="AZ1017" s="351"/>
      <c r="BA1017" s="554"/>
      <c r="BB1017" s="351"/>
      <c r="BC1017" s="39"/>
      <c r="BD1017" s="546" t="s">
        <v>325</v>
      </c>
      <c r="BE1017" s="351"/>
      <c r="BF1017" s="547"/>
      <c r="BG1017" s="350"/>
      <c r="BH1017" s="350"/>
      <c r="BI1017" s="351"/>
      <c r="BJ1017" s="548" t="s">
        <v>294</v>
      </c>
      <c r="BK1017" s="350"/>
      <c r="BL1017" s="350"/>
      <c r="BM1017" s="351"/>
      <c r="BN1017" s="530" t="s">
        <v>294</v>
      </c>
      <c r="BO1017" s="350"/>
      <c r="BP1017" s="350"/>
      <c r="BQ1017" s="350"/>
      <c r="BR1017" s="350"/>
      <c r="BS1017" s="350"/>
      <c r="BT1017" s="350"/>
      <c r="BU1017" s="350"/>
      <c r="BV1017" s="351"/>
    </row>
    <row r="1018" spans="1:74" ht="45" customHeight="1">
      <c r="A1018" s="24">
        <f t="shared" si="3"/>
        <v>1004</v>
      </c>
      <c r="B1018" s="558" t="s">
        <v>294</v>
      </c>
      <c r="C1018" s="351"/>
      <c r="D1018" s="559" t="s">
        <v>298</v>
      </c>
      <c r="E1018" s="351"/>
      <c r="F1018" s="524" t="s">
        <v>325</v>
      </c>
      <c r="G1018" s="351"/>
      <c r="H1018" s="525" t="s">
        <v>325</v>
      </c>
      <c r="I1018" s="351"/>
      <c r="J1018" s="563"/>
      <c r="K1018" s="351"/>
      <c r="L1018" s="563"/>
      <c r="M1018" s="351"/>
      <c r="N1018" s="34"/>
      <c r="O1018" s="35"/>
      <c r="P1018" s="526"/>
      <c r="Q1018" s="351"/>
      <c r="R1018" s="535"/>
      <c r="S1018" s="351"/>
      <c r="T1018" s="536"/>
      <c r="U1018" s="351"/>
      <c r="V1018" s="537"/>
      <c r="W1018" s="351"/>
      <c r="X1018" s="538" t="s">
        <v>294</v>
      </c>
      <c r="Y1018" s="350"/>
      <c r="Z1018" s="350"/>
      <c r="AA1018" s="351"/>
      <c r="AB1018" s="539" t="s">
        <v>294</v>
      </c>
      <c r="AC1018" s="350"/>
      <c r="AD1018" s="350"/>
      <c r="AE1018" s="351"/>
      <c r="AF1018" s="540"/>
      <c r="AG1018" s="351"/>
      <c r="AH1018" s="540"/>
      <c r="AI1018" s="351"/>
      <c r="AJ1018" s="545"/>
      <c r="AK1018" s="351"/>
      <c r="AL1018" s="555" t="s">
        <v>325</v>
      </c>
      <c r="AM1018" s="351"/>
      <c r="AN1018" s="531" t="s">
        <v>325</v>
      </c>
      <c r="AO1018" s="351"/>
      <c r="AP1018" s="532"/>
      <c r="AQ1018" s="351"/>
      <c r="AR1018" s="533"/>
      <c r="AS1018" s="351"/>
      <c r="AT1018" s="534"/>
      <c r="AU1018" s="351"/>
      <c r="AV1018" s="531" t="s">
        <v>325</v>
      </c>
      <c r="AW1018" s="351"/>
      <c r="AX1018" s="553"/>
      <c r="AY1018" s="350"/>
      <c r="AZ1018" s="351"/>
      <c r="BA1018" s="545"/>
      <c r="BB1018" s="351"/>
      <c r="BC1018" s="36"/>
      <c r="BD1018" s="556" t="s">
        <v>325</v>
      </c>
      <c r="BE1018" s="351"/>
      <c r="BF1018" s="557"/>
      <c r="BG1018" s="350"/>
      <c r="BH1018" s="350"/>
      <c r="BI1018" s="351"/>
      <c r="BJ1018" s="506" t="s">
        <v>294</v>
      </c>
      <c r="BK1018" s="350"/>
      <c r="BL1018" s="350"/>
      <c r="BM1018" s="351"/>
      <c r="BN1018" s="530" t="s">
        <v>294</v>
      </c>
      <c r="BO1018" s="350"/>
      <c r="BP1018" s="350"/>
      <c r="BQ1018" s="350"/>
      <c r="BR1018" s="350"/>
      <c r="BS1018" s="350"/>
      <c r="BT1018" s="350"/>
      <c r="BU1018" s="350"/>
      <c r="BV1018" s="351"/>
    </row>
    <row r="1019" spans="1:74" ht="45" customHeight="1">
      <c r="A1019" s="24">
        <f t="shared" si="3"/>
        <v>1005</v>
      </c>
      <c r="B1019" s="522" t="s">
        <v>294</v>
      </c>
      <c r="C1019" s="351"/>
      <c r="D1019" s="523" t="s">
        <v>298</v>
      </c>
      <c r="E1019" s="351"/>
      <c r="F1019" s="524" t="s">
        <v>325</v>
      </c>
      <c r="G1019" s="351"/>
      <c r="H1019" s="561" t="s">
        <v>325</v>
      </c>
      <c r="I1019" s="351"/>
      <c r="J1019" s="562"/>
      <c r="K1019" s="351"/>
      <c r="L1019" s="562"/>
      <c r="M1019" s="351"/>
      <c r="N1019" s="37"/>
      <c r="O1019" s="38"/>
      <c r="P1019" s="560"/>
      <c r="Q1019" s="351"/>
      <c r="R1019" s="527"/>
      <c r="S1019" s="351"/>
      <c r="T1019" s="528"/>
      <c r="U1019" s="351"/>
      <c r="V1019" s="541"/>
      <c r="W1019" s="351"/>
      <c r="X1019" s="542" t="s">
        <v>294</v>
      </c>
      <c r="Y1019" s="350"/>
      <c r="Z1019" s="350"/>
      <c r="AA1019" s="351"/>
      <c r="AB1019" s="543" t="s">
        <v>294</v>
      </c>
      <c r="AC1019" s="350"/>
      <c r="AD1019" s="350"/>
      <c r="AE1019" s="351"/>
      <c r="AF1019" s="544"/>
      <c r="AG1019" s="351"/>
      <c r="AH1019" s="544"/>
      <c r="AI1019" s="351"/>
      <c r="AJ1019" s="545"/>
      <c r="AK1019" s="351"/>
      <c r="AL1019" s="524" t="s">
        <v>325</v>
      </c>
      <c r="AM1019" s="351"/>
      <c r="AN1019" s="549" t="s">
        <v>325</v>
      </c>
      <c r="AO1019" s="351"/>
      <c r="AP1019" s="550"/>
      <c r="AQ1019" s="351"/>
      <c r="AR1019" s="551"/>
      <c r="AS1019" s="351"/>
      <c r="AT1019" s="552"/>
      <c r="AU1019" s="351"/>
      <c r="AV1019" s="549" t="s">
        <v>325</v>
      </c>
      <c r="AW1019" s="351"/>
      <c r="AX1019" s="553"/>
      <c r="AY1019" s="350"/>
      <c r="AZ1019" s="351"/>
      <c r="BA1019" s="554"/>
      <c r="BB1019" s="351"/>
      <c r="BC1019" s="39"/>
      <c r="BD1019" s="546" t="s">
        <v>325</v>
      </c>
      <c r="BE1019" s="351"/>
      <c r="BF1019" s="547"/>
      <c r="BG1019" s="350"/>
      <c r="BH1019" s="350"/>
      <c r="BI1019" s="351"/>
      <c r="BJ1019" s="548" t="s">
        <v>294</v>
      </c>
      <c r="BK1019" s="350"/>
      <c r="BL1019" s="350"/>
      <c r="BM1019" s="351"/>
      <c r="BN1019" s="530" t="s">
        <v>294</v>
      </c>
      <c r="BO1019" s="350"/>
      <c r="BP1019" s="350"/>
      <c r="BQ1019" s="350"/>
      <c r="BR1019" s="350"/>
      <c r="BS1019" s="350"/>
      <c r="BT1019" s="350"/>
      <c r="BU1019" s="350"/>
      <c r="BV1019" s="351"/>
    </row>
    <row r="1020" spans="1:74" ht="45" customHeight="1">
      <c r="A1020" s="24">
        <f t="shared" si="3"/>
        <v>1006</v>
      </c>
      <c r="B1020" s="558" t="s">
        <v>294</v>
      </c>
      <c r="C1020" s="351"/>
      <c r="D1020" s="559" t="s">
        <v>298</v>
      </c>
      <c r="E1020" s="351"/>
      <c r="F1020" s="524" t="s">
        <v>325</v>
      </c>
      <c r="G1020" s="351"/>
      <c r="H1020" s="525" t="s">
        <v>325</v>
      </c>
      <c r="I1020" s="351"/>
      <c r="J1020" s="563"/>
      <c r="K1020" s="351"/>
      <c r="L1020" s="563"/>
      <c r="M1020" s="351"/>
      <c r="N1020" s="34"/>
      <c r="O1020" s="35"/>
      <c r="P1020" s="526"/>
      <c r="Q1020" s="351"/>
      <c r="R1020" s="535"/>
      <c r="S1020" s="351"/>
      <c r="T1020" s="536"/>
      <c r="U1020" s="351"/>
      <c r="V1020" s="537"/>
      <c r="W1020" s="351"/>
      <c r="X1020" s="538" t="s">
        <v>294</v>
      </c>
      <c r="Y1020" s="350"/>
      <c r="Z1020" s="350"/>
      <c r="AA1020" s="351"/>
      <c r="AB1020" s="539" t="s">
        <v>294</v>
      </c>
      <c r="AC1020" s="350"/>
      <c r="AD1020" s="350"/>
      <c r="AE1020" s="351"/>
      <c r="AF1020" s="540"/>
      <c r="AG1020" s="351"/>
      <c r="AH1020" s="540"/>
      <c r="AI1020" s="351"/>
      <c r="AJ1020" s="545"/>
      <c r="AK1020" s="351"/>
      <c r="AL1020" s="555" t="s">
        <v>325</v>
      </c>
      <c r="AM1020" s="351"/>
      <c r="AN1020" s="531" t="s">
        <v>325</v>
      </c>
      <c r="AO1020" s="351"/>
      <c r="AP1020" s="532"/>
      <c r="AQ1020" s="351"/>
      <c r="AR1020" s="533"/>
      <c r="AS1020" s="351"/>
      <c r="AT1020" s="534"/>
      <c r="AU1020" s="351"/>
      <c r="AV1020" s="531" t="s">
        <v>325</v>
      </c>
      <c r="AW1020" s="351"/>
      <c r="AX1020" s="553"/>
      <c r="AY1020" s="350"/>
      <c r="AZ1020" s="351"/>
      <c r="BA1020" s="545"/>
      <c r="BB1020" s="351"/>
      <c r="BC1020" s="36"/>
      <c r="BD1020" s="556" t="s">
        <v>325</v>
      </c>
      <c r="BE1020" s="351"/>
      <c r="BF1020" s="557"/>
      <c r="BG1020" s="350"/>
      <c r="BH1020" s="350"/>
      <c r="BI1020" s="351"/>
      <c r="BJ1020" s="506" t="s">
        <v>294</v>
      </c>
      <c r="BK1020" s="350"/>
      <c r="BL1020" s="350"/>
      <c r="BM1020" s="351"/>
      <c r="BN1020" s="530" t="s">
        <v>294</v>
      </c>
      <c r="BO1020" s="350"/>
      <c r="BP1020" s="350"/>
      <c r="BQ1020" s="350"/>
      <c r="BR1020" s="350"/>
      <c r="BS1020" s="350"/>
      <c r="BT1020" s="350"/>
      <c r="BU1020" s="350"/>
      <c r="BV1020" s="351"/>
    </row>
    <row r="1021" spans="1:74" ht="45" customHeight="1">
      <c r="A1021" s="24">
        <f t="shared" si="3"/>
        <v>1007</v>
      </c>
      <c r="B1021" s="522" t="s">
        <v>294</v>
      </c>
      <c r="C1021" s="351"/>
      <c r="D1021" s="523" t="s">
        <v>298</v>
      </c>
      <c r="E1021" s="351"/>
      <c r="F1021" s="524" t="s">
        <v>325</v>
      </c>
      <c r="G1021" s="351"/>
      <c r="H1021" s="561" t="s">
        <v>325</v>
      </c>
      <c r="I1021" s="351"/>
      <c r="J1021" s="562"/>
      <c r="K1021" s="351"/>
      <c r="L1021" s="562"/>
      <c r="M1021" s="351"/>
      <c r="N1021" s="37"/>
      <c r="O1021" s="38"/>
      <c r="P1021" s="560"/>
      <c r="Q1021" s="351"/>
      <c r="R1021" s="527"/>
      <c r="S1021" s="351"/>
      <c r="T1021" s="528"/>
      <c r="U1021" s="351"/>
      <c r="V1021" s="541"/>
      <c r="W1021" s="351"/>
      <c r="X1021" s="542" t="s">
        <v>294</v>
      </c>
      <c r="Y1021" s="350"/>
      <c r="Z1021" s="350"/>
      <c r="AA1021" s="351"/>
      <c r="AB1021" s="543" t="s">
        <v>294</v>
      </c>
      <c r="AC1021" s="350"/>
      <c r="AD1021" s="350"/>
      <c r="AE1021" s="351"/>
      <c r="AF1021" s="544"/>
      <c r="AG1021" s="351"/>
      <c r="AH1021" s="544"/>
      <c r="AI1021" s="351"/>
      <c r="AJ1021" s="545"/>
      <c r="AK1021" s="351"/>
      <c r="AL1021" s="524" t="s">
        <v>325</v>
      </c>
      <c r="AM1021" s="351"/>
      <c r="AN1021" s="549" t="s">
        <v>325</v>
      </c>
      <c r="AO1021" s="351"/>
      <c r="AP1021" s="550"/>
      <c r="AQ1021" s="351"/>
      <c r="AR1021" s="551"/>
      <c r="AS1021" s="351"/>
      <c r="AT1021" s="552"/>
      <c r="AU1021" s="351"/>
      <c r="AV1021" s="549" t="s">
        <v>325</v>
      </c>
      <c r="AW1021" s="351"/>
      <c r="AX1021" s="553"/>
      <c r="AY1021" s="350"/>
      <c r="AZ1021" s="351"/>
      <c r="BA1021" s="554"/>
      <c r="BB1021" s="351"/>
      <c r="BC1021" s="39"/>
      <c r="BD1021" s="546" t="s">
        <v>325</v>
      </c>
      <c r="BE1021" s="351"/>
      <c r="BF1021" s="547"/>
      <c r="BG1021" s="350"/>
      <c r="BH1021" s="350"/>
      <c r="BI1021" s="351"/>
      <c r="BJ1021" s="548" t="s">
        <v>294</v>
      </c>
      <c r="BK1021" s="350"/>
      <c r="BL1021" s="350"/>
      <c r="BM1021" s="351"/>
      <c r="BN1021" s="530" t="s">
        <v>294</v>
      </c>
      <c r="BO1021" s="350"/>
      <c r="BP1021" s="350"/>
      <c r="BQ1021" s="350"/>
      <c r="BR1021" s="350"/>
      <c r="BS1021" s="350"/>
      <c r="BT1021" s="350"/>
      <c r="BU1021" s="350"/>
      <c r="BV1021" s="351"/>
    </row>
    <row r="1022" spans="1:74" ht="45" customHeight="1">
      <c r="A1022" s="24">
        <f t="shared" si="3"/>
        <v>1008</v>
      </c>
      <c r="B1022" s="558" t="s">
        <v>294</v>
      </c>
      <c r="C1022" s="351"/>
      <c r="D1022" s="559" t="s">
        <v>298</v>
      </c>
      <c r="E1022" s="351"/>
      <c r="F1022" s="524" t="s">
        <v>325</v>
      </c>
      <c r="G1022" s="351"/>
      <c r="H1022" s="525" t="s">
        <v>325</v>
      </c>
      <c r="I1022" s="351"/>
      <c r="J1022" s="563"/>
      <c r="K1022" s="351"/>
      <c r="L1022" s="563"/>
      <c r="M1022" s="351"/>
      <c r="N1022" s="34"/>
      <c r="O1022" s="35"/>
      <c r="P1022" s="526"/>
      <c r="Q1022" s="351"/>
      <c r="R1022" s="535"/>
      <c r="S1022" s="351"/>
      <c r="T1022" s="536"/>
      <c r="U1022" s="351"/>
      <c r="V1022" s="537"/>
      <c r="W1022" s="351"/>
      <c r="X1022" s="538" t="s">
        <v>294</v>
      </c>
      <c r="Y1022" s="350"/>
      <c r="Z1022" s="350"/>
      <c r="AA1022" s="351"/>
      <c r="AB1022" s="539" t="s">
        <v>294</v>
      </c>
      <c r="AC1022" s="350"/>
      <c r="AD1022" s="350"/>
      <c r="AE1022" s="351"/>
      <c r="AF1022" s="540"/>
      <c r="AG1022" s="351"/>
      <c r="AH1022" s="540"/>
      <c r="AI1022" s="351"/>
      <c r="AJ1022" s="545"/>
      <c r="AK1022" s="351"/>
      <c r="AL1022" s="555" t="s">
        <v>325</v>
      </c>
      <c r="AM1022" s="351"/>
      <c r="AN1022" s="531" t="s">
        <v>325</v>
      </c>
      <c r="AO1022" s="351"/>
      <c r="AP1022" s="532"/>
      <c r="AQ1022" s="351"/>
      <c r="AR1022" s="533"/>
      <c r="AS1022" s="351"/>
      <c r="AT1022" s="534"/>
      <c r="AU1022" s="351"/>
      <c r="AV1022" s="531" t="s">
        <v>325</v>
      </c>
      <c r="AW1022" s="351"/>
      <c r="AX1022" s="553"/>
      <c r="AY1022" s="350"/>
      <c r="AZ1022" s="351"/>
      <c r="BA1022" s="545"/>
      <c r="BB1022" s="351"/>
      <c r="BC1022" s="36"/>
      <c r="BD1022" s="556" t="s">
        <v>325</v>
      </c>
      <c r="BE1022" s="351"/>
      <c r="BF1022" s="529"/>
      <c r="BG1022" s="350"/>
      <c r="BH1022" s="350"/>
      <c r="BI1022" s="351"/>
      <c r="BJ1022" s="506" t="s">
        <v>294</v>
      </c>
      <c r="BK1022" s="350"/>
      <c r="BL1022" s="350"/>
      <c r="BM1022" s="351"/>
      <c r="BN1022" s="530" t="s">
        <v>294</v>
      </c>
      <c r="BO1022" s="350"/>
      <c r="BP1022" s="350"/>
      <c r="BQ1022" s="350"/>
      <c r="BR1022" s="350"/>
      <c r="BS1022" s="350"/>
      <c r="BT1022" s="350"/>
      <c r="BU1022" s="350"/>
      <c r="BV1022" s="351"/>
    </row>
    <row r="1023" spans="1:74" ht="45" customHeight="1">
      <c r="A1023" s="24">
        <f t="shared" si="3"/>
        <v>1009</v>
      </c>
      <c r="B1023" s="522" t="s">
        <v>294</v>
      </c>
      <c r="C1023" s="351"/>
      <c r="D1023" s="523" t="s">
        <v>298</v>
      </c>
      <c r="E1023" s="351"/>
      <c r="F1023" s="524" t="s">
        <v>325</v>
      </c>
      <c r="G1023" s="351"/>
      <c r="H1023" s="561" t="s">
        <v>325</v>
      </c>
      <c r="I1023" s="351"/>
      <c r="J1023" s="562"/>
      <c r="K1023" s="351"/>
      <c r="L1023" s="562"/>
      <c r="M1023" s="351"/>
      <c r="N1023" s="37"/>
      <c r="O1023" s="38"/>
      <c r="P1023" s="560"/>
      <c r="Q1023" s="351"/>
      <c r="R1023" s="527"/>
      <c r="S1023" s="351"/>
      <c r="T1023" s="528"/>
      <c r="U1023" s="351"/>
      <c r="V1023" s="541"/>
      <c r="W1023" s="351"/>
      <c r="X1023" s="542" t="s">
        <v>294</v>
      </c>
      <c r="Y1023" s="350"/>
      <c r="Z1023" s="350"/>
      <c r="AA1023" s="351"/>
      <c r="AB1023" s="543" t="s">
        <v>294</v>
      </c>
      <c r="AC1023" s="350"/>
      <c r="AD1023" s="350"/>
      <c r="AE1023" s="351"/>
      <c r="AF1023" s="544"/>
      <c r="AG1023" s="351"/>
      <c r="AH1023" s="544"/>
      <c r="AI1023" s="351"/>
      <c r="AJ1023" s="545"/>
      <c r="AK1023" s="351"/>
      <c r="AL1023" s="524" t="s">
        <v>325</v>
      </c>
      <c r="AM1023" s="351"/>
      <c r="AN1023" s="549" t="s">
        <v>325</v>
      </c>
      <c r="AO1023" s="351"/>
      <c r="AP1023" s="550"/>
      <c r="AQ1023" s="351"/>
      <c r="AR1023" s="551"/>
      <c r="AS1023" s="351"/>
      <c r="AT1023" s="552"/>
      <c r="AU1023" s="351"/>
      <c r="AV1023" s="549" t="s">
        <v>325</v>
      </c>
      <c r="AW1023" s="351"/>
      <c r="AX1023" s="553"/>
      <c r="AY1023" s="350"/>
      <c r="AZ1023" s="351"/>
      <c r="BA1023" s="554"/>
      <c r="BB1023" s="351"/>
      <c r="BC1023" s="39"/>
      <c r="BD1023" s="546" t="s">
        <v>325</v>
      </c>
      <c r="BE1023" s="351"/>
      <c r="BF1023" s="547"/>
      <c r="BG1023" s="350"/>
      <c r="BH1023" s="350"/>
      <c r="BI1023" s="351"/>
      <c r="BJ1023" s="548" t="s">
        <v>294</v>
      </c>
      <c r="BK1023" s="350"/>
      <c r="BL1023" s="350"/>
      <c r="BM1023" s="351"/>
      <c r="BN1023" s="530" t="s">
        <v>294</v>
      </c>
      <c r="BO1023" s="350"/>
      <c r="BP1023" s="350"/>
      <c r="BQ1023" s="350"/>
      <c r="BR1023" s="350"/>
      <c r="BS1023" s="350"/>
      <c r="BT1023" s="350"/>
      <c r="BU1023" s="350"/>
      <c r="BV1023" s="351"/>
    </row>
    <row r="1024" spans="1:74" ht="45" customHeight="1">
      <c r="A1024" s="24">
        <f t="shared" si="3"/>
        <v>1010</v>
      </c>
      <c r="B1024" s="558" t="s">
        <v>294</v>
      </c>
      <c r="C1024" s="351"/>
      <c r="D1024" s="559" t="s">
        <v>298</v>
      </c>
      <c r="E1024" s="351"/>
      <c r="F1024" s="524" t="s">
        <v>325</v>
      </c>
      <c r="G1024" s="351"/>
      <c r="H1024" s="525" t="s">
        <v>325</v>
      </c>
      <c r="I1024" s="351"/>
      <c r="J1024" s="563"/>
      <c r="K1024" s="351"/>
      <c r="L1024" s="563"/>
      <c r="M1024" s="351"/>
      <c r="N1024" s="34"/>
      <c r="O1024" s="35"/>
      <c r="P1024" s="526"/>
      <c r="Q1024" s="351"/>
      <c r="R1024" s="535"/>
      <c r="S1024" s="351"/>
      <c r="T1024" s="536"/>
      <c r="U1024" s="351"/>
      <c r="V1024" s="537"/>
      <c r="W1024" s="351"/>
      <c r="X1024" s="538" t="s">
        <v>294</v>
      </c>
      <c r="Y1024" s="350"/>
      <c r="Z1024" s="350"/>
      <c r="AA1024" s="351"/>
      <c r="AB1024" s="539" t="s">
        <v>294</v>
      </c>
      <c r="AC1024" s="350"/>
      <c r="AD1024" s="350"/>
      <c r="AE1024" s="351"/>
      <c r="AF1024" s="540"/>
      <c r="AG1024" s="351"/>
      <c r="AH1024" s="540"/>
      <c r="AI1024" s="351"/>
      <c r="AJ1024" s="545"/>
      <c r="AK1024" s="351"/>
      <c r="AL1024" s="555" t="s">
        <v>325</v>
      </c>
      <c r="AM1024" s="351"/>
      <c r="AN1024" s="531" t="s">
        <v>325</v>
      </c>
      <c r="AO1024" s="351"/>
      <c r="AP1024" s="532"/>
      <c r="AQ1024" s="351"/>
      <c r="AR1024" s="533"/>
      <c r="AS1024" s="351"/>
      <c r="AT1024" s="534"/>
      <c r="AU1024" s="351"/>
      <c r="AV1024" s="531" t="s">
        <v>325</v>
      </c>
      <c r="AW1024" s="351"/>
      <c r="AX1024" s="553"/>
      <c r="AY1024" s="350"/>
      <c r="AZ1024" s="351"/>
      <c r="BA1024" s="545"/>
      <c r="BB1024" s="351"/>
      <c r="BC1024" s="36"/>
      <c r="BD1024" s="556" t="s">
        <v>325</v>
      </c>
      <c r="BE1024" s="351"/>
      <c r="BF1024" s="557"/>
      <c r="BG1024" s="350"/>
      <c r="BH1024" s="350"/>
      <c r="BI1024" s="351"/>
      <c r="BJ1024" s="506" t="s">
        <v>294</v>
      </c>
      <c r="BK1024" s="350"/>
      <c r="BL1024" s="350"/>
      <c r="BM1024" s="351"/>
      <c r="BN1024" s="530" t="s">
        <v>294</v>
      </c>
      <c r="BO1024" s="350"/>
      <c r="BP1024" s="350"/>
      <c r="BQ1024" s="350"/>
      <c r="BR1024" s="350"/>
      <c r="BS1024" s="350"/>
      <c r="BT1024" s="350"/>
      <c r="BU1024" s="350"/>
      <c r="BV1024" s="351"/>
    </row>
    <row r="1025" spans="1:74" ht="45" customHeight="1">
      <c r="A1025" s="24">
        <f t="shared" si="3"/>
        <v>1011</v>
      </c>
      <c r="B1025" s="522" t="s">
        <v>294</v>
      </c>
      <c r="C1025" s="351"/>
      <c r="D1025" s="523" t="s">
        <v>298</v>
      </c>
      <c r="E1025" s="351"/>
      <c r="F1025" s="524" t="s">
        <v>325</v>
      </c>
      <c r="G1025" s="351"/>
      <c r="H1025" s="561" t="s">
        <v>325</v>
      </c>
      <c r="I1025" s="351"/>
      <c r="J1025" s="562"/>
      <c r="K1025" s="351"/>
      <c r="L1025" s="562"/>
      <c r="M1025" s="351"/>
      <c r="N1025" s="37"/>
      <c r="O1025" s="38"/>
      <c r="P1025" s="560"/>
      <c r="Q1025" s="351"/>
      <c r="R1025" s="527"/>
      <c r="S1025" s="351"/>
      <c r="T1025" s="528"/>
      <c r="U1025" s="351"/>
      <c r="V1025" s="541"/>
      <c r="W1025" s="351"/>
      <c r="X1025" s="542" t="s">
        <v>294</v>
      </c>
      <c r="Y1025" s="350"/>
      <c r="Z1025" s="350"/>
      <c r="AA1025" s="351"/>
      <c r="AB1025" s="543" t="s">
        <v>294</v>
      </c>
      <c r="AC1025" s="350"/>
      <c r="AD1025" s="350"/>
      <c r="AE1025" s="351"/>
      <c r="AF1025" s="544"/>
      <c r="AG1025" s="351"/>
      <c r="AH1025" s="544"/>
      <c r="AI1025" s="351"/>
      <c r="AJ1025" s="545"/>
      <c r="AK1025" s="351"/>
      <c r="AL1025" s="524" t="s">
        <v>325</v>
      </c>
      <c r="AM1025" s="351"/>
      <c r="AN1025" s="549" t="s">
        <v>325</v>
      </c>
      <c r="AO1025" s="351"/>
      <c r="AP1025" s="550"/>
      <c r="AQ1025" s="351"/>
      <c r="AR1025" s="551"/>
      <c r="AS1025" s="351"/>
      <c r="AT1025" s="534"/>
      <c r="AU1025" s="351"/>
      <c r="AV1025" s="549" t="s">
        <v>325</v>
      </c>
      <c r="AW1025" s="351"/>
      <c r="AX1025" s="553"/>
      <c r="AY1025" s="350"/>
      <c r="AZ1025" s="351"/>
      <c r="BA1025" s="554"/>
      <c r="BB1025" s="351"/>
      <c r="BC1025" s="39"/>
      <c r="BD1025" s="546" t="s">
        <v>325</v>
      </c>
      <c r="BE1025" s="351"/>
      <c r="BF1025" s="547"/>
      <c r="BG1025" s="350"/>
      <c r="BH1025" s="350"/>
      <c r="BI1025" s="351"/>
      <c r="BJ1025" s="548" t="s">
        <v>294</v>
      </c>
      <c r="BK1025" s="350"/>
      <c r="BL1025" s="350"/>
      <c r="BM1025" s="351"/>
      <c r="BN1025" s="530" t="s">
        <v>294</v>
      </c>
      <c r="BO1025" s="350"/>
      <c r="BP1025" s="350"/>
      <c r="BQ1025" s="350"/>
      <c r="BR1025" s="350"/>
      <c r="BS1025" s="350"/>
      <c r="BT1025" s="350"/>
      <c r="BU1025" s="350"/>
      <c r="BV1025" s="351"/>
    </row>
    <row r="1026" spans="1:74" ht="45" customHeight="1">
      <c r="A1026" s="24">
        <f t="shared" si="3"/>
        <v>1012</v>
      </c>
      <c r="B1026" s="558" t="s">
        <v>294</v>
      </c>
      <c r="C1026" s="351"/>
      <c r="D1026" s="559" t="s">
        <v>298</v>
      </c>
      <c r="E1026" s="351"/>
      <c r="F1026" s="524" t="s">
        <v>325</v>
      </c>
      <c r="G1026" s="351"/>
      <c r="H1026" s="525" t="s">
        <v>325</v>
      </c>
      <c r="I1026" s="351"/>
      <c r="J1026" s="563"/>
      <c r="K1026" s="351"/>
      <c r="L1026" s="563"/>
      <c r="M1026" s="351"/>
      <c r="N1026" s="34"/>
      <c r="O1026" s="35"/>
      <c r="P1026" s="526"/>
      <c r="Q1026" s="351"/>
      <c r="R1026" s="535"/>
      <c r="S1026" s="351"/>
      <c r="T1026" s="536"/>
      <c r="U1026" s="351"/>
      <c r="V1026" s="537"/>
      <c r="W1026" s="351"/>
      <c r="X1026" s="538" t="s">
        <v>294</v>
      </c>
      <c r="Y1026" s="350"/>
      <c r="Z1026" s="350"/>
      <c r="AA1026" s="351"/>
      <c r="AB1026" s="539" t="s">
        <v>294</v>
      </c>
      <c r="AC1026" s="350"/>
      <c r="AD1026" s="350"/>
      <c r="AE1026" s="351"/>
      <c r="AF1026" s="540"/>
      <c r="AG1026" s="351"/>
      <c r="AH1026" s="540"/>
      <c r="AI1026" s="351"/>
      <c r="AJ1026" s="545"/>
      <c r="AK1026" s="351"/>
      <c r="AL1026" s="555" t="s">
        <v>325</v>
      </c>
      <c r="AM1026" s="351"/>
      <c r="AN1026" s="531" t="s">
        <v>325</v>
      </c>
      <c r="AO1026" s="351"/>
      <c r="AP1026" s="532"/>
      <c r="AQ1026" s="351"/>
      <c r="AR1026" s="533"/>
      <c r="AS1026" s="351"/>
      <c r="AT1026" s="534"/>
      <c r="AU1026" s="351"/>
      <c r="AV1026" s="531" t="s">
        <v>325</v>
      </c>
      <c r="AW1026" s="351"/>
      <c r="AX1026" s="553"/>
      <c r="AY1026" s="350"/>
      <c r="AZ1026" s="351"/>
      <c r="BA1026" s="545"/>
      <c r="BB1026" s="351"/>
      <c r="BC1026" s="36"/>
      <c r="BD1026" s="556" t="s">
        <v>325</v>
      </c>
      <c r="BE1026" s="351"/>
      <c r="BF1026" s="557"/>
      <c r="BG1026" s="350"/>
      <c r="BH1026" s="350"/>
      <c r="BI1026" s="351"/>
      <c r="BJ1026" s="506" t="s">
        <v>294</v>
      </c>
      <c r="BK1026" s="350"/>
      <c r="BL1026" s="350"/>
      <c r="BM1026" s="351"/>
      <c r="BN1026" s="530" t="s">
        <v>294</v>
      </c>
      <c r="BO1026" s="350"/>
      <c r="BP1026" s="350"/>
      <c r="BQ1026" s="350"/>
      <c r="BR1026" s="350"/>
      <c r="BS1026" s="350"/>
      <c r="BT1026" s="350"/>
      <c r="BU1026" s="350"/>
      <c r="BV1026" s="351"/>
    </row>
    <row r="1027" spans="1:74" ht="45" customHeight="1">
      <c r="A1027" s="24">
        <f t="shared" si="3"/>
        <v>1013</v>
      </c>
      <c r="B1027" s="522" t="s">
        <v>294</v>
      </c>
      <c r="C1027" s="351"/>
      <c r="D1027" s="523" t="s">
        <v>298</v>
      </c>
      <c r="E1027" s="351"/>
      <c r="F1027" s="524" t="s">
        <v>325</v>
      </c>
      <c r="G1027" s="351"/>
      <c r="H1027" s="561" t="s">
        <v>325</v>
      </c>
      <c r="I1027" s="351"/>
      <c r="J1027" s="562"/>
      <c r="K1027" s="351"/>
      <c r="L1027" s="562"/>
      <c r="M1027" s="351"/>
      <c r="N1027" s="37"/>
      <c r="O1027" s="38"/>
      <c r="P1027" s="560"/>
      <c r="Q1027" s="351"/>
      <c r="R1027" s="527"/>
      <c r="S1027" s="351"/>
      <c r="T1027" s="528"/>
      <c r="U1027" s="351"/>
      <c r="V1027" s="541"/>
      <c r="W1027" s="351"/>
      <c r="X1027" s="542" t="s">
        <v>294</v>
      </c>
      <c r="Y1027" s="350"/>
      <c r="Z1027" s="350"/>
      <c r="AA1027" s="351"/>
      <c r="AB1027" s="543" t="s">
        <v>294</v>
      </c>
      <c r="AC1027" s="350"/>
      <c r="AD1027" s="350"/>
      <c r="AE1027" s="351"/>
      <c r="AF1027" s="544"/>
      <c r="AG1027" s="351"/>
      <c r="AH1027" s="544"/>
      <c r="AI1027" s="351"/>
      <c r="AJ1027" s="545"/>
      <c r="AK1027" s="351"/>
      <c r="AL1027" s="524" t="s">
        <v>325</v>
      </c>
      <c r="AM1027" s="351"/>
      <c r="AN1027" s="549" t="s">
        <v>325</v>
      </c>
      <c r="AO1027" s="351"/>
      <c r="AP1027" s="550"/>
      <c r="AQ1027" s="351"/>
      <c r="AR1027" s="551"/>
      <c r="AS1027" s="351"/>
      <c r="AT1027" s="534"/>
      <c r="AU1027" s="351"/>
      <c r="AV1027" s="549" t="s">
        <v>325</v>
      </c>
      <c r="AW1027" s="351"/>
      <c r="AX1027" s="553"/>
      <c r="AY1027" s="350"/>
      <c r="AZ1027" s="351"/>
      <c r="BA1027" s="554"/>
      <c r="BB1027" s="351"/>
      <c r="BC1027" s="39"/>
      <c r="BD1027" s="546" t="s">
        <v>325</v>
      </c>
      <c r="BE1027" s="351"/>
      <c r="BF1027" s="547"/>
      <c r="BG1027" s="350"/>
      <c r="BH1027" s="350"/>
      <c r="BI1027" s="351"/>
      <c r="BJ1027" s="548" t="s">
        <v>294</v>
      </c>
      <c r="BK1027" s="350"/>
      <c r="BL1027" s="350"/>
      <c r="BM1027" s="351"/>
      <c r="BN1027" s="530" t="s">
        <v>294</v>
      </c>
      <c r="BO1027" s="350"/>
      <c r="BP1027" s="350"/>
      <c r="BQ1027" s="350"/>
      <c r="BR1027" s="350"/>
      <c r="BS1027" s="350"/>
      <c r="BT1027" s="350"/>
      <c r="BU1027" s="350"/>
      <c r="BV1027" s="351"/>
    </row>
    <row r="1028" spans="1:74" ht="45" customHeight="1">
      <c r="A1028" s="24">
        <f t="shared" si="3"/>
        <v>1014</v>
      </c>
      <c r="B1028" s="558" t="s">
        <v>294</v>
      </c>
      <c r="C1028" s="351"/>
      <c r="D1028" s="559" t="s">
        <v>298</v>
      </c>
      <c r="E1028" s="351"/>
      <c r="F1028" s="524" t="s">
        <v>325</v>
      </c>
      <c r="G1028" s="351"/>
      <c r="H1028" s="525" t="s">
        <v>325</v>
      </c>
      <c r="I1028" s="351"/>
      <c r="J1028" s="563"/>
      <c r="K1028" s="351"/>
      <c r="L1028" s="563"/>
      <c r="M1028" s="351"/>
      <c r="N1028" s="34"/>
      <c r="O1028" s="35"/>
      <c r="P1028" s="526"/>
      <c r="Q1028" s="351"/>
      <c r="R1028" s="535"/>
      <c r="S1028" s="351"/>
      <c r="T1028" s="536"/>
      <c r="U1028" s="351"/>
      <c r="V1028" s="537"/>
      <c r="W1028" s="351"/>
      <c r="X1028" s="538" t="s">
        <v>294</v>
      </c>
      <c r="Y1028" s="350"/>
      <c r="Z1028" s="350"/>
      <c r="AA1028" s="351"/>
      <c r="AB1028" s="539" t="s">
        <v>294</v>
      </c>
      <c r="AC1028" s="350"/>
      <c r="AD1028" s="350"/>
      <c r="AE1028" s="351"/>
      <c r="AF1028" s="540"/>
      <c r="AG1028" s="351"/>
      <c r="AH1028" s="540"/>
      <c r="AI1028" s="351"/>
      <c r="AJ1028" s="545"/>
      <c r="AK1028" s="351"/>
      <c r="AL1028" s="555" t="s">
        <v>325</v>
      </c>
      <c r="AM1028" s="351"/>
      <c r="AN1028" s="531" t="s">
        <v>325</v>
      </c>
      <c r="AO1028" s="351"/>
      <c r="AP1028" s="532"/>
      <c r="AQ1028" s="351"/>
      <c r="AR1028" s="533"/>
      <c r="AS1028" s="351"/>
      <c r="AT1028" s="534"/>
      <c r="AU1028" s="351"/>
      <c r="AV1028" s="531" t="s">
        <v>325</v>
      </c>
      <c r="AW1028" s="351"/>
      <c r="AX1028" s="553"/>
      <c r="AY1028" s="350"/>
      <c r="AZ1028" s="351"/>
      <c r="BA1028" s="545"/>
      <c r="BB1028" s="351"/>
      <c r="BC1028" s="36"/>
      <c r="BD1028" s="556" t="s">
        <v>325</v>
      </c>
      <c r="BE1028" s="351"/>
      <c r="BF1028" s="557"/>
      <c r="BG1028" s="350"/>
      <c r="BH1028" s="350"/>
      <c r="BI1028" s="351"/>
      <c r="BJ1028" s="506" t="s">
        <v>294</v>
      </c>
      <c r="BK1028" s="350"/>
      <c r="BL1028" s="350"/>
      <c r="BM1028" s="351"/>
      <c r="BN1028" s="530" t="s">
        <v>294</v>
      </c>
      <c r="BO1028" s="350"/>
      <c r="BP1028" s="350"/>
      <c r="BQ1028" s="350"/>
      <c r="BR1028" s="350"/>
      <c r="BS1028" s="350"/>
      <c r="BT1028" s="350"/>
      <c r="BU1028" s="350"/>
      <c r="BV1028" s="351"/>
    </row>
    <row r="1029" spans="1:74" ht="45" customHeight="1">
      <c r="A1029" s="24">
        <f t="shared" si="3"/>
        <v>1015</v>
      </c>
      <c r="B1029" s="522" t="s">
        <v>294</v>
      </c>
      <c r="C1029" s="351"/>
      <c r="D1029" s="523" t="s">
        <v>298</v>
      </c>
      <c r="E1029" s="351"/>
      <c r="F1029" s="524" t="s">
        <v>325</v>
      </c>
      <c r="G1029" s="351"/>
      <c r="H1029" s="561" t="s">
        <v>325</v>
      </c>
      <c r="I1029" s="351"/>
      <c r="J1029" s="562"/>
      <c r="K1029" s="351"/>
      <c r="L1029" s="562"/>
      <c r="M1029" s="351"/>
      <c r="N1029" s="37"/>
      <c r="O1029" s="38"/>
      <c r="P1029" s="560"/>
      <c r="Q1029" s="351"/>
      <c r="R1029" s="527"/>
      <c r="S1029" s="351"/>
      <c r="T1029" s="528"/>
      <c r="U1029" s="351"/>
      <c r="V1029" s="541"/>
      <c r="W1029" s="351"/>
      <c r="X1029" s="542" t="s">
        <v>294</v>
      </c>
      <c r="Y1029" s="350"/>
      <c r="Z1029" s="350"/>
      <c r="AA1029" s="351"/>
      <c r="AB1029" s="543" t="s">
        <v>294</v>
      </c>
      <c r="AC1029" s="350"/>
      <c r="AD1029" s="350"/>
      <c r="AE1029" s="351"/>
      <c r="AF1029" s="544"/>
      <c r="AG1029" s="351"/>
      <c r="AH1029" s="544"/>
      <c r="AI1029" s="351"/>
      <c r="AJ1029" s="545"/>
      <c r="AK1029" s="351"/>
      <c r="AL1029" s="524" t="s">
        <v>325</v>
      </c>
      <c r="AM1029" s="351"/>
      <c r="AN1029" s="549" t="s">
        <v>325</v>
      </c>
      <c r="AO1029" s="351"/>
      <c r="AP1029" s="550"/>
      <c r="AQ1029" s="351"/>
      <c r="AR1029" s="551"/>
      <c r="AS1029" s="351"/>
      <c r="AT1029" s="552"/>
      <c r="AU1029" s="351"/>
      <c r="AV1029" s="549" t="s">
        <v>325</v>
      </c>
      <c r="AW1029" s="351"/>
      <c r="AX1029" s="553"/>
      <c r="AY1029" s="350"/>
      <c r="AZ1029" s="351"/>
      <c r="BA1029" s="554"/>
      <c r="BB1029" s="351"/>
      <c r="BC1029" s="39"/>
      <c r="BD1029" s="546" t="s">
        <v>325</v>
      </c>
      <c r="BE1029" s="351"/>
      <c r="BF1029" s="547"/>
      <c r="BG1029" s="350"/>
      <c r="BH1029" s="350"/>
      <c r="BI1029" s="351"/>
      <c r="BJ1029" s="548" t="s">
        <v>294</v>
      </c>
      <c r="BK1029" s="350"/>
      <c r="BL1029" s="350"/>
      <c r="BM1029" s="351"/>
      <c r="BN1029" s="530" t="s">
        <v>294</v>
      </c>
      <c r="BO1029" s="350"/>
      <c r="BP1029" s="350"/>
      <c r="BQ1029" s="350"/>
      <c r="BR1029" s="350"/>
      <c r="BS1029" s="350"/>
      <c r="BT1029" s="350"/>
      <c r="BU1029" s="350"/>
      <c r="BV1029" s="351"/>
    </row>
    <row r="1030" spans="1:74" ht="45" customHeight="1">
      <c r="A1030" s="24">
        <f t="shared" si="3"/>
        <v>1016</v>
      </c>
      <c r="B1030" s="558" t="s">
        <v>294</v>
      </c>
      <c r="C1030" s="351"/>
      <c r="D1030" s="559" t="s">
        <v>298</v>
      </c>
      <c r="E1030" s="351"/>
      <c r="F1030" s="524" t="s">
        <v>325</v>
      </c>
      <c r="G1030" s="351"/>
      <c r="H1030" s="525" t="s">
        <v>325</v>
      </c>
      <c r="I1030" s="351"/>
      <c r="J1030" s="563"/>
      <c r="K1030" s="351"/>
      <c r="L1030" s="563"/>
      <c r="M1030" s="351"/>
      <c r="N1030" s="34"/>
      <c r="O1030" s="35"/>
      <c r="P1030" s="526"/>
      <c r="Q1030" s="351"/>
      <c r="R1030" s="535"/>
      <c r="S1030" s="351"/>
      <c r="T1030" s="536"/>
      <c r="U1030" s="351"/>
      <c r="V1030" s="537"/>
      <c r="W1030" s="351"/>
      <c r="X1030" s="538" t="s">
        <v>294</v>
      </c>
      <c r="Y1030" s="350"/>
      <c r="Z1030" s="350"/>
      <c r="AA1030" s="351"/>
      <c r="AB1030" s="539" t="s">
        <v>294</v>
      </c>
      <c r="AC1030" s="350"/>
      <c r="AD1030" s="350"/>
      <c r="AE1030" s="351"/>
      <c r="AF1030" s="540"/>
      <c r="AG1030" s="351"/>
      <c r="AH1030" s="540"/>
      <c r="AI1030" s="351"/>
      <c r="AJ1030" s="545"/>
      <c r="AK1030" s="351"/>
      <c r="AL1030" s="555" t="s">
        <v>325</v>
      </c>
      <c r="AM1030" s="351"/>
      <c r="AN1030" s="531" t="s">
        <v>325</v>
      </c>
      <c r="AO1030" s="351"/>
      <c r="AP1030" s="532"/>
      <c r="AQ1030" s="351"/>
      <c r="AR1030" s="533"/>
      <c r="AS1030" s="351"/>
      <c r="AT1030" s="534"/>
      <c r="AU1030" s="351"/>
      <c r="AV1030" s="531" t="s">
        <v>325</v>
      </c>
      <c r="AW1030" s="351"/>
      <c r="AX1030" s="553"/>
      <c r="AY1030" s="350"/>
      <c r="AZ1030" s="351"/>
      <c r="BA1030" s="545"/>
      <c r="BB1030" s="351"/>
      <c r="BC1030" s="36"/>
      <c r="BD1030" s="556" t="s">
        <v>325</v>
      </c>
      <c r="BE1030" s="351"/>
      <c r="BF1030" s="529"/>
      <c r="BG1030" s="350"/>
      <c r="BH1030" s="350"/>
      <c r="BI1030" s="351"/>
      <c r="BJ1030" s="506" t="s">
        <v>294</v>
      </c>
      <c r="BK1030" s="350"/>
      <c r="BL1030" s="350"/>
      <c r="BM1030" s="351"/>
      <c r="BN1030" s="530" t="s">
        <v>294</v>
      </c>
      <c r="BO1030" s="350"/>
      <c r="BP1030" s="350"/>
      <c r="BQ1030" s="350"/>
      <c r="BR1030" s="350"/>
      <c r="BS1030" s="350"/>
      <c r="BT1030" s="350"/>
      <c r="BU1030" s="350"/>
      <c r="BV1030" s="351"/>
    </row>
    <row r="1031" spans="1:74" ht="45" customHeight="1">
      <c r="A1031" s="24">
        <f t="shared" si="3"/>
        <v>1017</v>
      </c>
      <c r="B1031" s="522" t="s">
        <v>294</v>
      </c>
      <c r="C1031" s="351"/>
      <c r="D1031" s="523" t="s">
        <v>298</v>
      </c>
      <c r="E1031" s="351"/>
      <c r="F1031" s="524" t="s">
        <v>325</v>
      </c>
      <c r="G1031" s="351"/>
      <c r="H1031" s="561" t="s">
        <v>325</v>
      </c>
      <c r="I1031" s="351"/>
      <c r="J1031" s="562"/>
      <c r="K1031" s="351"/>
      <c r="L1031" s="562"/>
      <c r="M1031" s="351"/>
      <c r="N1031" s="37"/>
      <c r="O1031" s="38"/>
      <c r="P1031" s="560"/>
      <c r="Q1031" s="351"/>
      <c r="R1031" s="527"/>
      <c r="S1031" s="351"/>
      <c r="T1031" s="528"/>
      <c r="U1031" s="351"/>
      <c r="V1031" s="541"/>
      <c r="W1031" s="351"/>
      <c r="X1031" s="542" t="s">
        <v>294</v>
      </c>
      <c r="Y1031" s="350"/>
      <c r="Z1031" s="350"/>
      <c r="AA1031" s="351"/>
      <c r="AB1031" s="543" t="s">
        <v>294</v>
      </c>
      <c r="AC1031" s="350"/>
      <c r="AD1031" s="350"/>
      <c r="AE1031" s="351"/>
      <c r="AF1031" s="544"/>
      <c r="AG1031" s="351"/>
      <c r="AH1031" s="544"/>
      <c r="AI1031" s="351"/>
      <c r="AJ1031" s="545"/>
      <c r="AK1031" s="351"/>
      <c r="AL1031" s="524" t="s">
        <v>325</v>
      </c>
      <c r="AM1031" s="351"/>
      <c r="AN1031" s="549" t="s">
        <v>325</v>
      </c>
      <c r="AO1031" s="351"/>
      <c r="AP1031" s="550"/>
      <c r="AQ1031" s="351"/>
      <c r="AR1031" s="551"/>
      <c r="AS1031" s="351"/>
      <c r="AT1031" s="552"/>
      <c r="AU1031" s="351"/>
      <c r="AV1031" s="549" t="s">
        <v>325</v>
      </c>
      <c r="AW1031" s="351"/>
      <c r="AX1031" s="553"/>
      <c r="AY1031" s="350"/>
      <c r="AZ1031" s="351"/>
      <c r="BA1031" s="554"/>
      <c r="BB1031" s="351"/>
      <c r="BC1031" s="39"/>
      <c r="BD1031" s="546" t="s">
        <v>325</v>
      </c>
      <c r="BE1031" s="351"/>
      <c r="BF1031" s="547"/>
      <c r="BG1031" s="350"/>
      <c r="BH1031" s="350"/>
      <c r="BI1031" s="351"/>
      <c r="BJ1031" s="548" t="s">
        <v>294</v>
      </c>
      <c r="BK1031" s="350"/>
      <c r="BL1031" s="350"/>
      <c r="BM1031" s="351"/>
      <c r="BN1031" s="530" t="s">
        <v>294</v>
      </c>
      <c r="BO1031" s="350"/>
      <c r="BP1031" s="350"/>
      <c r="BQ1031" s="350"/>
      <c r="BR1031" s="350"/>
      <c r="BS1031" s="350"/>
      <c r="BT1031" s="350"/>
      <c r="BU1031" s="350"/>
      <c r="BV1031" s="351"/>
    </row>
    <row r="1032" spans="1:74" ht="45" customHeight="1">
      <c r="A1032" s="24">
        <f t="shared" si="3"/>
        <v>1018</v>
      </c>
      <c r="B1032" s="558" t="s">
        <v>294</v>
      </c>
      <c r="C1032" s="351"/>
      <c r="D1032" s="559" t="s">
        <v>298</v>
      </c>
      <c r="E1032" s="351"/>
      <c r="F1032" s="524" t="s">
        <v>325</v>
      </c>
      <c r="G1032" s="351"/>
      <c r="H1032" s="525" t="s">
        <v>325</v>
      </c>
      <c r="I1032" s="351"/>
      <c r="J1032" s="563"/>
      <c r="K1032" s="351"/>
      <c r="L1032" s="563"/>
      <c r="M1032" s="351"/>
      <c r="N1032" s="34"/>
      <c r="O1032" s="35"/>
      <c r="P1032" s="526"/>
      <c r="Q1032" s="351"/>
      <c r="R1032" s="535"/>
      <c r="S1032" s="351"/>
      <c r="T1032" s="536"/>
      <c r="U1032" s="351"/>
      <c r="V1032" s="537"/>
      <c r="W1032" s="351"/>
      <c r="X1032" s="538" t="s">
        <v>294</v>
      </c>
      <c r="Y1032" s="350"/>
      <c r="Z1032" s="350"/>
      <c r="AA1032" s="351"/>
      <c r="AB1032" s="539" t="s">
        <v>294</v>
      </c>
      <c r="AC1032" s="350"/>
      <c r="AD1032" s="350"/>
      <c r="AE1032" s="351"/>
      <c r="AF1032" s="540"/>
      <c r="AG1032" s="351"/>
      <c r="AH1032" s="540"/>
      <c r="AI1032" s="351"/>
      <c r="AJ1032" s="545"/>
      <c r="AK1032" s="351"/>
      <c r="AL1032" s="555" t="s">
        <v>325</v>
      </c>
      <c r="AM1032" s="351"/>
      <c r="AN1032" s="531" t="s">
        <v>325</v>
      </c>
      <c r="AO1032" s="351"/>
      <c r="AP1032" s="532"/>
      <c r="AQ1032" s="351"/>
      <c r="AR1032" s="533"/>
      <c r="AS1032" s="351"/>
      <c r="AT1032" s="534"/>
      <c r="AU1032" s="351"/>
      <c r="AV1032" s="531" t="s">
        <v>325</v>
      </c>
      <c r="AW1032" s="351"/>
      <c r="AX1032" s="553"/>
      <c r="AY1032" s="350"/>
      <c r="AZ1032" s="351"/>
      <c r="BA1032" s="545"/>
      <c r="BB1032" s="351"/>
      <c r="BC1032" s="36"/>
      <c r="BD1032" s="556" t="s">
        <v>325</v>
      </c>
      <c r="BE1032" s="351"/>
      <c r="BF1032" s="557"/>
      <c r="BG1032" s="350"/>
      <c r="BH1032" s="350"/>
      <c r="BI1032" s="351"/>
      <c r="BJ1032" s="506" t="s">
        <v>294</v>
      </c>
      <c r="BK1032" s="350"/>
      <c r="BL1032" s="350"/>
      <c r="BM1032" s="351"/>
      <c r="BN1032" s="530" t="s">
        <v>294</v>
      </c>
      <c r="BO1032" s="350"/>
      <c r="BP1032" s="350"/>
      <c r="BQ1032" s="350"/>
      <c r="BR1032" s="350"/>
      <c r="BS1032" s="350"/>
      <c r="BT1032" s="350"/>
      <c r="BU1032" s="350"/>
      <c r="BV1032" s="351"/>
    </row>
    <row r="1033" spans="1:74" ht="45" customHeight="1">
      <c r="A1033" s="24">
        <f t="shared" si="3"/>
        <v>1019</v>
      </c>
      <c r="B1033" s="522" t="s">
        <v>294</v>
      </c>
      <c r="C1033" s="351"/>
      <c r="D1033" s="523" t="s">
        <v>298</v>
      </c>
      <c r="E1033" s="351"/>
      <c r="F1033" s="524" t="s">
        <v>325</v>
      </c>
      <c r="G1033" s="351"/>
      <c r="H1033" s="561" t="s">
        <v>325</v>
      </c>
      <c r="I1033" s="351"/>
      <c r="J1033" s="562"/>
      <c r="K1033" s="351"/>
      <c r="L1033" s="562"/>
      <c r="M1033" s="351"/>
      <c r="N1033" s="37"/>
      <c r="O1033" s="38"/>
      <c r="P1033" s="560"/>
      <c r="Q1033" s="351"/>
      <c r="R1033" s="527"/>
      <c r="S1033" s="351"/>
      <c r="T1033" s="528"/>
      <c r="U1033" s="351"/>
      <c r="V1033" s="541"/>
      <c r="W1033" s="351"/>
      <c r="X1033" s="542" t="s">
        <v>294</v>
      </c>
      <c r="Y1033" s="350"/>
      <c r="Z1033" s="350"/>
      <c r="AA1033" s="351"/>
      <c r="AB1033" s="543" t="s">
        <v>294</v>
      </c>
      <c r="AC1033" s="350"/>
      <c r="AD1033" s="350"/>
      <c r="AE1033" s="351"/>
      <c r="AF1033" s="544"/>
      <c r="AG1033" s="351"/>
      <c r="AH1033" s="544"/>
      <c r="AI1033" s="351"/>
      <c r="AJ1033" s="545"/>
      <c r="AK1033" s="351"/>
      <c r="AL1033" s="524" t="s">
        <v>325</v>
      </c>
      <c r="AM1033" s="351"/>
      <c r="AN1033" s="549" t="s">
        <v>325</v>
      </c>
      <c r="AO1033" s="351"/>
      <c r="AP1033" s="550"/>
      <c r="AQ1033" s="351"/>
      <c r="AR1033" s="551"/>
      <c r="AS1033" s="351"/>
      <c r="AT1033" s="552"/>
      <c r="AU1033" s="351"/>
      <c r="AV1033" s="549" t="s">
        <v>325</v>
      </c>
      <c r="AW1033" s="351"/>
      <c r="AX1033" s="553"/>
      <c r="AY1033" s="350"/>
      <c r="AZ1033" s="351"/>
      <c r="BA1033" s="554"/>
      <c r="BB1033" s="351"/>
      <c r="BC1033" s="39"/>
      <c r="BD1033" s="546" t="s">
        <v>325</v>
      </c>
      <c r="BE1033" s="351"/>
      <c r="BF1033" s="547"/>
      <c r="BG1033" s="350"/>
      <c r="BH1033" s="350"/>
      <c r="BI1033" s="351"/>
      <c r="BJ1033" s="548" t="s">
        <v>294</v>
      </c>
      <c r="BK1033" s="350"/>
      <c r="BL1033" s="350"/>
      <c r="BM1033" s="351"/>
      <c r="BN1033" s="530" t="s">
        <v>294</v>
      </c>
      <c r="BO1033" s="350"/>
      <c r="BP1033" s="350"/>
      <c r="BQ1033" s="350"/>
      <c r="BR1033" s="350"/>
      <c r="BS1033" s="350"/>
      <c r="BT1033" s="350"/>
      <c r="BU1033" s="350"/>
      <c r="BV1033" s="351"/>
    </row>
    <row r="1034" spans="1:74" ht="45" customHeight="1">
      <c r="A1034" s="24">
        <f t="shared" si="3"/>
        <v>1020</v>
      </c>
      <c r="B1034" s="558" t="s">
        <v>294</v>
      </c>
      <c r="C1034" s="351"/>
      <c r="D1034" s="559" t="s">
        <v>298</v>
      </c>
      <c r="E1034" s="351"/>
      <c r="F1034" s="524" t="s">
        <v>325</v>
      </c>
      <c r="G1034" s="351"/>
      <c r="H1034" s="525" t="s">
        <v>325</v>
      </c>
      <c r="I1034" s="351"/>
      <c r="J1034" s="563"/>
      <c r="K1034" s="351"/>
      <c r="L1034" s="563"/>
      <c r="M1034" s="351"/>
      <c r="N1034" s="34"/>
      <c r="O1034" s="35"/>
      <c r="P1034" s="526"/>
      <c r="Q1034" s="351"/>
      <c r="R1034" s="535"/>
      <c r="S1034" s="351"/>
      <c r="T1034" s="536"/>
      <c r="U1034" s="351"/>
      <c r="V1034" s="537"/>
      <c r="W1034" s="351"/>
      <c r="X1034" s="538" t="s">
        <v>294</v>
      </c>
      <c r="Y1034" s="350"/>
      <c r="Z1034" s="350"/>
      <c r="AA1034" s="351"/>
      <c r="AB1034" s="539" t="s">
        <v>294</v>
      </c>
      <c r="AC1034" s="350"/>
      <c r="AD1034" s="350"/>
      <c r="AE1034" s="351"/>
      <c r="AF1034" s="540"/>
      <c r="AG1034" s="351"/>
      <c r="AH1034" s="540"/>
      <c r="AI1034" s="351"/>
      <c r="AJ1034" s="545"/>
      <c r="AK1034" s="351"/>
      <c r="AL1034" s="555" t="s">
        <v>325</v>
      </c>
      <c r="AM1034" s="351"/>
      <c r="AN1034" s="531" t="s">
        <v>325</v>
      </c>
      <c r="AO1034" s="351"/>
      <c r="AP1034" s="532"/>
      <c r="AQ1034" s="351"/>
      <c r="AR1034" s="533"/>
      <c r="AS1034" s="351"/>
      <c r="AT1034" s="534"/>
      <c r="AU1034" s="351"/>
      <c r="AV1034" s="531" t="s">
        <v>325</v>
      </c>
      <c r="AW1034" s="351"/>
      <c r="AX1034" s="553"/>
      <c r="AY1034" s="350"/>
      <c r="AZ1034" s="351"/>
      <c r="BA1034" s="545"/>
      <c r="BB1034" s="351"/>
      <c r="BC1034" s="36"/>
      <c r="BD1034" s="556" t="s">
        <v>325</v>
      </c>
      <c r="BE1034" s="351"/>
      <c r="BF1034" s="557"/>
      <c r="BG1034" s="350"/>
      <c r="BH1034" s="350"/>
      <c r="BI1034" s="351"/>
      <c r="BJ1034" s="506" t="s">
        <v>294</v>
      </c>
      <c r="BK1034" s="350"/>
      <c r="BL1034" s="350"/>
      <c r="BM1034" s="351"/>
      <c r="BN1034" s="530" t="s">
        <v>294</v>
      </c>
      <c r="BO1034" s="350"/>
      <c r="BP1034" s="350"/>
      <c r="BQ1034" s="350"/>
      <c r="BR1034" s="350"/>
      <c r="BS1034" s="350"/>
      <c r="BT1034" s="350"/>
      <c r="BU1034" s="350"/>
      <c r="BV1034" s="351"/>
    </row>
    <row r="1035" spans="1:74" ht="45" customHeight="1">
      <c r="A1035" s="24">
        <f t="shared" ref="A1035:A1289" si="4">ROW(A1021)</f>
        <v>1021</v>
      </c>
      <c r="B1035" s="522" t="s">
        <v>294</v>
      </c>
      <c r="C1035" s="351"/>
      <c r="D1035" s="523" t="s">
        <v>298</v>
      </c>
      <c r="E1035" s="351"/>
      <c r="F1035" s="524" t="s">
        <v>325</v>
      </c>
      <c r="G1035" s="351"/>
      <c r="H1035" s="561" t="s">
        <v>325</v>
      </c>
      <c r="I1035" s="351"/>
      <c r="J1035" s="562"/>
      <c r="K1035" s="351"/>
      <c r="L1035" s="562"/>
      <c r="M1035" s="351"/>
      <c r="N1035" s="37"/>
      <c r="O1035" s="38"/>
      <c r="P1035" s="560"/>
      <c r="Q1035" s="351"/>
      <c r="R1035" s="527"/>
      <c r="S1035" s="351"/>
      <c r="T1035" s="528"/>
      <c r="U1035" s="351"/>
      <c r="V1035" s="541"/>
      <c r="W1035" s="351"/>
      <c r="X1035" s="542" t="s">
        <v>294</v>
      </c>
      <c r="Y1035" s="350"/>
      <c r="Z1035" s="350"/>
      <c r="AA1035" s="351"/>
      <c r="AB1035" s="543" t="s">
        <v>294</v>
      </c>
      <c r="AC1035" s="350"/>
      <c r="AD1035" s="350"/>
      <c r="AE1035" s="351"/>
      <c r="AF1035" s="544"/>
      <c r="AG1035" s="351"/>
      <c r="AH1035" s="544"/>
      <c r="AI1035" s="351"/>
      <c r="AJ1035" s="545"/>
      <c r="AK1035" s="351"/>
      <c r="AL1035" s="524" t="s">
        <v>325</v>
      </c>
      <c r="AM1035" s="351"/>
      <c r="AN1035" s="549" t="s">
        <v>325</v>
      </c>
      <c r="AO1035" s="351"/>
      <c r="AP1035" s="550"/>
      <c r="AQ1035" s="351"/>
      <c r="AR1035" s="551"/>
      <c r="AS1035" s="351"/>
      <c r="AT1035" s="552"/>
      <c r="AU1035" s="351"/>
      <c r="AV1035" s="549" t="s">
        <v>325</v>
      </c>
      <c r="AW1035" s="351"/>
      <c r="AX1035" s="553"/>
      <c r="AY1035" s="350"/>
      <c r="AZ1035" s="351"/>
      <c r="BA1035" s="554"/>
      <c r="BB1035" s="351"/>
      <c r="BC1035" s="39"/>
      <c r="BD1035" s="546" t="s">
        <v>325</v>
      </c>
      <c r="BE1035" s="351"/>
      <c r="BF1035" s="547"/>
      <c r="BG1035" s="350"/>
      <c r="BH1035" s="350"/>
      <c r="BI1035" s="351"/>
      <c r="BJ1035" s="548" t="s">
        <v>294</v>
      </c>
      <c r="BK1035" s="350"/>
      <c r="BL1035" s="350"/>
      <c r="BM1035" s="351"/>
      <c r="BN1035" s="530" t="s">
        <v>294</v>
      </c>
      <c r="BO1035" s="350"/>
      <c r="BP1035" s="350"/>
      <c r="BQ1035" s="350"/>
      <c r="BR1035" s="350"/>
      <c r="BS1035" s="350"/>
      <c r="BT1035" s="350"/>
      <c r="BU1035" s="350"/>
      <c r="BV1035" s="351"/>
    </row>
    <row r="1036" spans="1:74" ht="45" customHeight="1">
      <c r="A1036" s="24">
        <f t="shared" si="4"/>
        <v>1022</v>
      </c>
      <c r="B1036" s="558" t="s">
        <v>294</v>
      </c>
      <c r="C1036" s="351"/>
      <c r="D1036" s="559" t="s">
        <v>298</v>
      </c>
      <c r="E1036" s="351"/>
      <c r="F1036" s="524" t="s">
        <v>325</v>
      </c>
      <c r="G1036" s="351"/>
      <c r="H1036" s="525" t="s">
        <v>325</v>
      </c>
      <c r="I1036" s="351"/>
      <c r="J1036" s="563"/>
      <c r="K1036" s="351"/>
      <c r="L1036" s="563"/>
      <c r="M1036" s="351"/>
      <c r="N1036" s="34"/>
      <c r="O1036" s="35"/>
      <c r="P1036" s="526"/>
      <c r="Q1036" s="351"/>
      <c r="R1036" s="535"/>
      <c r="S1036" s="351"/>
      <c r="T1036" s="536"/>
      <c r="U1036" s="351"/>
      <c r="V1036" s="537"/>
      <c r="W1036" s="351"/>
      <c r="X1036" s="538" t="s">
        <v>294</v>
      </c>
      <c r="Y1036" s="350"/>
      <c r="Z1036" s="350"/>
      <c r="AA1036" s="351"/>
      <c r="AB1036" s="539" t="s">
        <v>294</v>
      </c>
      <c r="AC1036" s="350"/>
      <c r="AD1036" s="350"/>
      <c r="AE1036" s="351"/>
      <c r="AF1036" s="540"/>
      <c r="AG1036" s="351"/>
      <c r="AH1036" s="540"/>
      <c r="AI1036" s="351"/>
      <c r="AJ1036" s="545"/>
      <c r="AK1036" s="351"/>
      <c r="AL1036" s="555" t="s">
        <v>325</v>
      </c>
      <c r="AM1036" s="351"/>
      <c r="AN1036" s="531" t="s">
        <v>325</v>
      </c>
      <c r="AO1036" s="351"/>
      <c r="AP1036" s="532"/>
      <c r="AQ1036" s="351"/>
      <c r="AR1036" s="533"/>
      <c r="AS1036" s="351"/>
      <c r="AT1036" s="534"/>
      <c r="AU1036" s="351"/>
      <c r="AV1036" s="531" t="s">
        <v>325</v>
      </c>
      <c r="AW1036" s="351"/>
      <c r="AX1036" s="553"/>
      <c r="AY1036" s="350"/>
      <c r="AZ1036" s="351"/>
      <c r="BA1036" s="545"/>
      <c r="BB1036" s="351"/>
      <c r="BC1036" s="36"/>
      <c r="BD1036" s="556" t="s">
        <v>325</v>
      </c>
      <c r="BE1036" s="351"/>
      <c r="BF1036" s="529"/>
      <c r="BG1036" s="350"/>
      <c r="BH1036" s="350"/>
      <c r="BI1036" s="351"/>
      <c r="BJ1036" s="506" t="s">
        <v>294</v>
      </c>
      <c r="BK1036" s="350"/>
      <c r="BL1036" s="350"/>
      <c r="BM1036" s="351"/>
      <c r="BN1036" s="530" t="s">
        <v>294</v>
      </c>
      <c r="BO1036" s="350"/>
      <c r="BP1036" s="350"/>
      <c r="BQ1036" s="350"/>
      <c r="BR1036" s="350"/>
      <c r="BS1036" s="350"/>
      <c r="BT1036" s="350"/>
      <c r="BU1036" s="350"/>
      <c r="BV1036" s="351"/>
    </row>
    <row r="1037" spans="1:74" ht="45" customHeight="1">
      <c r="A1037" s="24">
        <f t="shared" si="4"/>
        <v>1023</v>
      </c>
      <c r="B1037" s="522" t="s">
        <v>294</v>
      </c>
      <c r="C1037" s="351"/>
      <c r="D1037" s="523" t="s">
        <v>298</v>
      </c>
      <c r="E1037" s="351"/>
      <c r="F1037" s="524" t="s">
        <v>325</v>
      </c>
      <c r="G1037" s="351"/>
      <c r="H1037" s="561" t="s">
        <v>325</v>
      </c>
      <c r="I1037" s="351"/>
      <c r="J1037" s="562"/>
      <c r="K1037" s="351"/>
      <c r="L1037" s="562"/>
      <c r="M1037" s="351"/>
      <c r="N1037" s="37"/>
      <c r="O1037" s="38"/>
      <c r="P1037" s="560"/>
      <c r="Q1037" s="351"/>
      <c r="R1037" s="527"/>
      <c r="S1037" s="351"/>
      <c r="T1037" s="528"/>
      <c r="U1037" s="351"/>
      <c r="V1037" s="541"/>
      <c r="W1037" s="351"/>
      <c r="X1037" s="542" t="s">
        <v>294</v>
      </c>
      <c r="Y1037" s="350"/>
      <c r="Z1037" s="350"/>
      <c r="AA1037" s="351"/>
      <c r="AB1037" s="543" t="s">
        <v>294</v>
      </c>
      <c r="AC1037" s="350"/>
      <c r="AD1037" s="350"/>
      <c r="AE1037" s="351"/>
      <c r="AF1037" s="544"/>
      <c r="AG1037" s="351"/>
      <c r="AH1037" s="544"/>
      <c r="AI1037" s="351"/>
      <c r="AJ1037" s="545"/>
      <c r="AK1037" s="351"/>
      <c r="AL1037" s="524" t="s">
        <v>325</v>
      </c>
      <c r="AM1037" s="351"/>
      <c r="AN1037" s="549" t="s">
        <v>325</v>
      </c>
      <c r="AO1037" s="351"/>
      <c r="AP1037" s="550"/>
      <c r="AQ1037" s="351"/>
      <c r="AR1037" s="551"/>
      <c r="AS1037" s="351"/>
      <c r="AT1037" s="552"/>
      <c r="AU1037" s="351"/>
      <c r="AV1037" s="549" t="s">
        <v>325</v>
      </c>
      <c r="AW1037" s="351"/>
      <c r="AX1037" s="553"/>
      <c r="AY1037" s="350"/>
      <c r="AZ1037" s="351"/>
      <c r="BA1037" s="554"/>
      <c r="BB1037" s="351"/>
      <c r="BC1037" s="39"/>
      <c r="BD1037" s="546" t="s">
        <v>325</v>
      </c>
      <c r="BE1037" s="351"/>
      <c r="BF1037" s="547"/>
      <c r="BG1037" s="350"/>
      <c r="BH1037" s="350"/>
      <c r="BI1037" s="351"/>
      <c r="BJ1037" s="548" t="s">
        <v>294</v>
      </c>
      <c r="BK1037" s="350"/>
      <c r="BL1037" s="350"/>
      <c r="BM1037" s="351"/>
      <c r="BN1037" s="530" t="s">
        <v>294</v>
      </c>
      <c r="BO1037" s="350"/>
      <c r="BP1037" s="350"/>
      <c r="BQ1037" s="350"/>
      <c r="BR1037" s="350"/>
      <c r="BS1037" s="350"/>
      <c r="BT1037" s="350"/>
      <c r="BU1037" s="350"/>
      <c r="BV1037" s="351"/>
    </row>
    <row r="1038" spans="1:74" ht="45" customHeight="1">
      <c r="A1038" s="24">
        <f t="shared" si="4"/>
        <v>1024</v>
      </c>
      <c r="B1038" s="558" t="s">
        <v>294</v>
      </c>
      <c r="C1038" s="351"/>
      <c r="D1038" s="559" t="s">
        <v>298</v>
      </c>
      <c r="E1038" s="351"/>
      <c r="F1038" s="524" t="s">
        <v>325</v>
      </c>
      <c r="G1038" s="351"/>
      <c r="H1038" s="525" t="s">
        <v>325</v>
      </c>
      <c r="I1038" s="351"/>
      <c r="J1038" s="563"/>
      <c r="K1038" s="351"/>
      <c r="L1038" s="563"/>
      <c r="M1038" s="351"/>
      <c r="N1038" s="34"/>
      <c r="O1038" s="35"/>
      <c r="P1038" s="526"/>
      <c r="Q1038" s="351"/>
      <c r="R1038" s="535"/>
      <c r="S1038" s="351"/>
      <c r="T1038" s="536"/>
      <c r="U1038" s="351"/>
      <c r="V1038" s="537"/>
      <c r="W1038" s="351"/>
      <c r="X1038" s="538" t="s">
        <v>294</v>
      </c>
      <c r="Y1038" s="350"/>
      <c r="Z1038" s="350"/>
      <c r="AA1038" s="351"/>
      <c r="AB1038" s="539" t="s">
        <v>294</v>
      </c>
      <c r="AC1038" s="350"/>
      <c r="AD1038" s="350"/>
      <c r="AE1038" s="351"/>
      <c r="AF1038" s="540"/>
      <c r="AG1038" s="351"/>
      <c r="AH1038" s="540"/>
      <c r="AI1038" s="351"/>
      <c r="AJ1038" s="545"/>
      <c r="AK1038" s="351"/>
      <c r="AL1038" s="555" t="s">
        <v>325</v>
      </c>
      <c r="AM1038" s="351"/>
      <c r="AN1038" s="531" t="s">
        <v>325</v>
      </c>
      <c r="AO1038" s="351"/>
      <c r="AP1038" s="532"/>
      <c r="AQ1038" s="351"/>
      <c r="AR1038" s="533"/>
      <c r="AS1038" s="351"/>
      <c r="AT1038" s="534"/>
      <c r="AU1038" s="351"/>
      <c r="AV1038" s="531" t="s">
        <v>325</v>
      </c>
      <c r="AW1038" s="351"/>
      <c r="AX1038" s="553"/>
      <c r="AY1038" s="350"/>
      <c r="AZ1038" s="351"/>
      <c r="BA1038" s="545"/>
      <c r="BB1038" s="351"/>
      <c r="BC1038" s="36"/>
      <c r="BD1038" s="556" t="s">
        <v>325</v>
      </c>
      <c r="BE1038" s="351"/>
      <c r="BF1038" s="557"/>
      <c r="BG1038" s="350"/>
      <c r="BH1038" s="350"/>
      <c r="BI1038" s="351"/>
      <c r="BJ1038" s="506" t="s">
        <v>294</v>
      </c>
      <c r="BK1038" s="350"/>
      <c r="BL1038" s="350"/>
      <c r="BM1038" s="351"/>
      <c r="BN1038" s="530" t="s">
        <v>294</v>
      </c>
      <c r="BO1038" s="350"/>
      <c r="BP1038" s="350"/>
      <c r="BQ1038" s="350"/>
      <c r="BR1038" s="350"/>
      <c r="BS1038" s="350"/>
      <c r="BT1038" s="350"/>
      <c r="BU1038" s="350"/>
      <c r="BV1038" s="351"/>
    </row>
    <row r="1039" spans="1:74" ht="45" customHeight="1">
      <c r="A1039" s="24">
        <f t="shared" si="4"/>
        <v>1025</v>
      </c>
      <c r="B1039" s="522" t="s">
        <v>294</v>
      </c>
      <c r="C1039" s="351"/>
      <c r="D1039" s="523" t="s">
        <v>298</v>
      </c>
      <c r="E1039" s="351"/>
      <c r="F1039" s="524" t="s">
        <v>325</v>
      </c>
      <c r="G1039" s="351"/>
      <c r="H1039" s="561" t="s">
        <v>325</v>
      </c>
      <c r="I1039" s="351"/>
      <c r="J1039" s="562"/>
      <c r="K1039" s="351"/>
      <c r="L1039" s="562"/>
      <c r="M1039" s="351"/>
      <c r="N1039" s="37"/>
      <c r="O1039" s="38"/>
      <c r="P1039" s="560"/>
      <c r="Q1039" s="351"/>
      <c r="R1039" s="527"/>
      <c r="S1039" s="351"/>
      <c r="T1039" s="528"/>
      <c r="U1039" s="351"/>
      <c r="V1039" s="541"/>
      <c r="W1039" s="351"/>
      <c r="X1039" s="542" t="s">
        <v>294</v>
      </c>
      <c r="Y1039" s="350"/>
      <c r="Z1039" s="350"/>
      <c r="AA1039" s="351"/>
      <c r="AB1039" s="543" t="s">
        <v>294</v>
      </c>
      <c r="AC1039" s="350"/>
      <c r="AD1039" s="350"/>
      <c r="AE1039" s="351"/>
      <c r="AF1039" s="544"/>
      <c r="AG1039" s="351"/>
      <c r="AH1039" s="544"/>
      <c r="AI1039" s="351"/>
      <c r="AJ1039" s="545"/>
      <c r="AK1039" s="351"/>
      <c r="AL1039" s="524" t="s">
        <v>325</v>
      </c>
      <c r="AM1039" s="351"/>
      <c r="AN1039" s="549" t="s">
        <v>325</v>
      </c>
      <c r="AO1039" s="351"/>
      <c r="AP1039" s="550"/>
      <c r="AQ1039" s="351"/>
      <c r="AR1039" s="551"/>
      <c r="AS1039" s="351"/>
      <c r="AT1039" s="534"/>
      <c r="AU1039" s="351"/>
      <c r="AV1039" s="549" t="s">
        <v>325</v>
      </c>
      <c r="AW1039" s="351"/>
      <c r="AX1039" s="553"/>
      <c r="AY1039" s="350"/>
      <c r="AZ1039" s="351"/>
      <c r="BA1039" s="554"/>
      <c r="BB1039" s="351"/>
      <c r="BC1039" s="39"/>
      <c r="BD1039" s="546" t="s">
        <v>325</v>
      </c>
      <c r="BE1039" s="351"/>
      <c r="BF1039" s="547"/>
      <c r="BG1039" s="350"/>
      <c r="BH1039" s="350"/>
      <c r="BI1039" s="351"/>
      <c r="BJ1039" s="548" t="s">
        <v>294</v>
      </c>
      <c r="BK1039" s="350"/>
      <c r="BL1039" s="350"/>
      <c r="BM1039" s="351"/>
      <c r="BN1039" s="530" t="s">
        <v>294</v>
      </c>
      <c r="BO1039" s="350"/>
      <c r="BP1039" s="350"/>
      <c r="BQ1039" s="350"/>
      <c r="BR1039" s="350"/>
      <c r="BS1039" s="350"/>
      <c r="BT1039" s="350"/>
      <c r="BU1039" s="350"/>
      <c r="BV1039" s="351"/>
    </row>
    <row r="1040" spans="1:74" ht="45" customHeight="1">
      <c r="A1040" s="24">
        <f t="shared" si="4"/>
        <v>1026</v>
      </c>
      <c r="B1040" s="558" t="s">
        <v>294</v>
      </c>
      <c r="C1040" s="351"/>
      <c r="D1040" s="559" t="s">
        <v>298</v>
      </c>
      <c r="E1040" s="351"/>
      <c r="F1040" s="524" t="s">
        <v>325</v>
      </c>
      <c r="G1040" s="351"/>
      <c r="H1040" s="525" t="s">
        <v>325</v>
      </c>
      <c r="I1040" s="351"/>
      <c r="J1040" s="563"/>
      <c r="K1040" s="351"/>
      <c r="L1040" s="563"/>
      <c r="M1040" s="351"/>
      <c r="N1040" s="34"/>
      <c r="O1040" s="35"/>
      <c r="P1040" s="526"/>
      <c r="Q1040" s="351"/>
      <c r="R1040" s="535"/>
      <c r="S1040" s="351"/>
      <c r="T1040" s="536"/>
      <c r="U1040" s="351"/>
      <c r="V1040" s="537"/>
      <c r="W1040" s="351"/>
      <c r="X1040" s="538" t="s">
        <v>294</v>
      </c>
      <c r="Y1040" s="350"/>
      <c r="Z1040" s="350"/>
      <c r="AA1040" s="351"/>
      <c r="AB1040" s="539" t="s">
        <v>294</v>
      </c>
      <c r="AC1040" s="350"/>
      <c r="AD1040" s="350"/>
      <c r="AE1040" s="351"/>
      <c r="AF1040" s="540"/>
      <c r="AG1040" s="351"/>
      <c r="AH1040" s="540"/>
      <c r="AI1040" s="351"/>
      <c r="AJ1040" s="545"/>
      <c r="AK1040" s="351"/>
      <c r="AL1040" s="555" t="s">
        <v>325</v>
      </c>
      <c r="AM1040" s="351"/>
      <c r="AN1040" s="531" t="s">
        <v>325</v>
      </c>
      <c r="AO1040" s="351"/>
      <c r="AP1040" s="532"/>
      <c r="AQ1040" s="351"/>
      <c r="AR1040" s="533"/>
      <c r="AS1040" s="351"/>
      <c r="AT1040" s="534"/>
      <c r="AU1040" s="351"/>
      <c r="AV1040" s="531" t="s">
        <v>325</v>
      </c>
      <c r="AW1040" s="351"/>
      <c r="AX1040" s="553"/>
      <c r="AY1040" s="350"/>
      <c r="AZ1040" s="351"/>
      <c r="BA1040" s="545"/>
      <c r="BB1040" s="351"/>
      <c r="BC1040" s="36"/>
      <c r="BD1040" s="556" t="s">
        <v>325</v>
      </c>
      <c r="BE1040" s="351"/>
      <c r="BF1040" s="557"/>
      <c r="BG1040" s="350"/>
      <c r="BH1040" s="350"/>
      <c r="BI1040" s="351"/>
      <c r="BJ1040" s="506" t="s">
        <v>294</v>
      </c>
      <c r="BK1040" s="350"/>
      <c r="BL1040" s="350"/>
      <c r="BM1040" s="351"/>
      <c r="BN1040" s="530" t="s">
        <v>294</v>
      </c>
      <c r="BO1040" s="350"/>
      <c r="BP1040" s="350"/>
      <c r="BQ1040" s="350"/>
      <c r="BR1040" s="350"/>
      <c r="BS1040" s="350"/>
      <c r="BT1040" s="350"/>
      <c r="BU1040" s="350"/>
      <c r="BV1040" s="351"/>
    </row>
    <row r="1041" spans="1:74" ht="45" customHeight="1">
      <c r="A1041" s="24">
        <f t="shared" si="4"/>
        <v>1027</v>
      </c>
      <c r="B1041" s="522" t="s">
        <v>294</v>
      </c>
      <c r="C1041" s="351"/>
      <c r="D1041" s="523" t="s">
        <v>298</v>
      </c>
      <c r="E1041" s="351"/>
      <c r="F1041" s="524" t="s">
        <v>325</v>
      </c>
      <c r="G1041" s="351"/>
      <c r="H1041" s="561" t="s">
        <v>325</v>
      </c>
      <c r="I1041" s="351"/>
      <c r="J1041" s="562"/>
      <c r="K1041" s="351"/>
      <c r="L1041" s="562"/>
      <c r="M1041" s="351"/>
      <c r="N1041" s="37"/>
      <c r="O1041" s="38"/>
      <c r="P1041" s="560"/>
      <c r="Q1041" s="351"/>
      <c r="R1041" s="527"/>
      <c r="S1041" s="351"/>
      <c r="T1041" s="528"/>
      <c r="U1041" s="351"/>
      <c r="V1041" s="541"/>
      <c r="W1041" s="351"/>
      <c r="X1041" s="542" t="s">
        <v>294</v>
      </c>
      <c r="Y1041" s="350"/>
      <c r="Z1041" s="350"/>
      <c r="AA1041" s="351"/>
      <c r="AB1041" s="543" t="s">
        <v>294</v>
      </c>
      <c r="AC1041" s="350"/>
      <c r="AD1041" s="350"/>
      <c r="AE1041" s="351"/>
      <c r="AF1041" s="544"/>
      <c r="AG1041" s="351"/>
      <c r="AH1041" s="544"/>
      <c r="AI1041" s="351"/>
      <c r="AJ1041" s="545"/>
      <c r="AK1041" s="351"/>
      <c r="AL1041" s="524" t="s">
        <v>325</v>
      </c>
      <c r="AM1041" s="351"/>
      <c r="AN1041" s="549" t="s">
        <v>325</v>
      </c>
      <c r="AO1041" s="351"/>
      <c r="AP1041" s="550"/>
      <c r="AQ1041" s="351"/>
      <c r="AR1041" s="551"/>
      <c r="AS1041" s="351"/>
      <c r="AT1041" s="534"/>
      <c r="AU1041" s="351"/>
      <c r="AV1041" s="549" t="s">
        <v>325</v>
      </c>
      <c r="AW1041" s="351"/>
      <c r="AX1041" s="553"/>
      <c r="AY1041" s="350"/>
      <c r="AZ1041" s="351"/>
      <c r="BA1041" s="554"/>
      <c r="BB1041" s="351"/>
      <c r="BC1041" s="39"/>
      <c r="BD1041" s="546" t="s">
        <v>325</v>
      </c>
      <c r="BE1041" s="351"/>
      <c r="BF1041" s="547"/>
      <c r="BG1041" s="350"/>
      <c r="BH1041" s="350"/>
      <c r="BI1041" s="351"/>
      <c r="BJ1041" s="548" t="s">
        <v>294</v>
      </c>
      <c r="BK1041" s="350"/>
      <c r="BL1041" s="350"/>
      <c r="BM1041" s="351"/>
      <c r="BN1041" s="530" t="s">
        <v>294</v>
      </c>
      <c r="BO1041" s="350"/>
      <c r="BP1041" s="350"/>
      <c r="BQ1041" s="350"/>
      <c r="BR1041" s="350"/>
      <c r="BS1041" s="350"/>
      <c r="BT1041" s="350"/>
      <c r="BU1041" s="350"/>
      <c r="BV1041" s="351"/>
    </row>
    <row r="1042" spans="1:74" ht="45" customHeight="1">
      <c r="A1042" s="24">
        <f t="shared" si="4"/>
        <v>1028</v>
      </c>
      <c r="B1042" s="558" t="s">
        <v>294</v>
      </c>
      <c r="C1042" s="351"/>
      <c r="D1042" s="559" t="s">
        <v>298</v>
      </c>
      <c r="E1042" s="351"/>
      <c r="F1042" s="524" t="s">
        <v>325</v>
      </c>
      <c r="G1042" s="351"/>
      <c r="H1042" s="525" t="s">
        <v>325</v>
      </c>
      <c r="I1042" s="351"/>
      <c r="J1042" s="563"/>
      <c r="K1042" s="351"/>
      <c r="L1042" s="563"/>
      <c r="M1042" s="351"/>
      <c r="N1042" s="34"/>
      <c r="O1042" s="35"/>
      <c r="P1042" s="526"/>
      <c r="Q1042" s="351"/>
      <c r="R1042" s="535"/>
      <c r="S1042" s="351"/>
      <c r="T1042" s="536"/>
      <c r="U1042" s="351"/>
      <c r="V1042" s="537"/>
      <c r="W1042" s="351"/>
      <c r="X1042" s="538" t="s">
        <v>294</v>
      </c>
      <c r="Y1042" s="350"/>
      <c r="Z1042" s="350"/>
      <c r="AA1042" s="351"/>
      <c r="AB1042" s="539" t="s">
        <v>294</v>
      </c>
      <c r="AC1042" s="350"/>
      <c r="AD1042" s="350"/>
      <c r="AE1042" s="351"/>
      <c r="AF1042" s="540"/>
      <c r="AG1042" s="351"/>
      <c r="AH1042" s="540"/>
      <c r="AI1042" s="351"/>
      <c r="AJ1042" s="545"/>
      <c r="AK1042" s="351"/>
      <c r="AL1042" s="555" t="s">
        <v>325</v>
      </c>
      <c r="AM1042" s="351"/>
      <c r="AN1042" s="531" t="s">
        <v>325</v>
      </c>
      <c r="AO1042" s="351"/>
      <c r="AP1042" s="532"/>
      <c r="AQ1042" s="351"/>
      <c r="AR1042" s="533"/>
      <c r="AS1042" s="351"/>
      <c r="AT1042" s="534"/>
      <c r="AU1042" s="351"/>
      <c r="AV1042" s="531" t="s">
        <v>325</v>
      </c>
      <c r="AW1042" s="351"/>
      <c r="AX1042" s="553"/>
      <c r="AY1042" s="350"/>
      <c r="AZ1042" s="351"/>
      <c r="BA1042" s="545"/>
      <c r="BB1042" s="351"/>
      <c r="BC1042" s="36"/>
      <c r="BD1042" s="556" t="s">
        <v>325</v>
      </c>
      <c r="BE1042" s="351"/>
      <c r="BF1042" s="557"/>
      <c r="BG1042" s="350"/>
      <c r="BH1042" s="350"/>
      <c r="BI1042" s="351"/>
      <c r="BJ1042" s="506" t="s">
        <v>294</v>
      </c>
      <c r="BK1042" s="350"/>
      <c r="BL1042" s="350"/>
      <c r="BM1042" s="351"/>
      <c r="BN1042" s="530" t="s">
        <v>294</v>
      </c>
      <c r="BO1042" s="350"/>
      <c r="BP1042" s="350"/>
      <c r="BQ1042" s="350"/>
      <c r="BR1042" s="350"/>
      <c r="BS1042" s="350"/>
      <c r="BT1042" s="350"/>
      <c r="BU1042" s="350"/>
      <c r="BV1042" s="351"/>
    </row>
    <row r="1043" spans="1:74" ht="45" customHeight="1">
      <c r="A1043" s="24">
        <f t="shared" si="4"/>
        <v>1029</v>
      </c>
      <c r="B1043" s="522" t="s">
        <v>294</v>
      </c>
      <c r="C1043" s="351"/>
      <c r="D1043" s="523" t="s">
        <v>298</v>
      </c>
      <c r="E1043" s="351"/>
      <c r="F1043" s="524" t="s">
        <v>325</v>
      </c>
      <c r="G1043" s="351"/>
      <c r="H1043" s="561" t="s">
        <v>325</v>
      </c>
      <c r="I1043" s="351"/>
      <c r="J1043" s="562"/>
      <c r="K1043" s="351"/>
      <c r="L1043" s="562"/>
      <c r="M1043" s="351"/>
      <c r="N1043" s="37"/>
      <c r="O1043" s="38"/>
      <c r="P1043" s="560"/>
      <c r="Q1043" s="351"/>
      <c r="R1043" s="527"/>
      <c r="S1043" s="351"/>
      <c r="T1043" s="528"/>
      <c r="U1043" s="351"/>
      <c r="V1043" s="541"/>
      <c r="W1043" s="351"/>
      <c r="X1043" s="542" t="s">
        <v>294</v>
      </c>
      <c r="Y1043" s="350"/>
      <c r="Z1043" s="350"/>
      <c r="AA1043" s="351"/>
      <c r="AB1043" s="543" t="s">
        <v>294</v>
      </c>
      <c r="AC1043" s="350"/>
      <c r="AD1043" s="350"/>
      <c r="AE1043" s="351"/>
      <c r="AF1043" s="544"/>
      <c r="AG1043" s="351"/>
      <c r="AH1043" s="544"/>
      <c r="AI1043" s="351"/>
      <c r="AJ1043" s="545"/>
      <c r="AK1043" s="351"/>
      <c r="AL1043" s="524" t="s">
        <v>325</v>
      </c>
      <c r="AM1043" s="351"/>
      <c r="AN1043" s="549" t="s">
        <v>325</v>
      </c>
      <c r="AO1043" s="351"/>
      <c r="AP1043" s="550"/>
      <c r="AQ1043" s="351"/>
      <c r="AR1043" s="551"/>
      <c r="AS1043" s="351"/>
      <c r="AT1043" s="552"/>
      <c r="AU1043" s="351"/>
      <c r="AV1043" s="549" t="s">
        <v>325</v>
      </c>
      <c r="AW1043" s="351"/>
      <c r="AX1043" s="553"/>
      <c r="AY1043" s="350"/>
      <c r="AZ1043" s="351"/>
      <c r="BA1043" s="554"/>
      <c r="BB1043" s="351"/>
      <c r="BC1043" s="39"/>
      <c r="BD1043" s="546" t="s">
        <v>325</v>
      </c>
      <c r="BE1043" s="351"/>
      <c r="BF1043" s="547"/>
      <c r="BG1043" s="350"/>
      <c r="BH1043" s="350"/>
      <c r="BI1043" s="351"/>
      <c r="BJ1043" s="548" t="s">
        <v>294</v>
      </c>
      <c r="BK1043" s="350"/>
      <c r="BL1043" s="350"/>
      <c r="BM1043" s="351"/>
      <c r="BN1043" s="530" t="s">
        <v>294</v>
      </c>
      <c r="BO1043" s="350"/>
      <c r="BP1043" s="350"/>
      <c r="BQ1043" s="350"/>
      <c r="BR1043" s="350"/>
      <c r="BS1043" s="350"/>
      <c r="BT1043" s="350"/>
      <c r="BU1043" s="350"/>
      <c r="BV1043" s="351"/>
    </row>
    <row r="1044" spans="1:74" ht="45" customHeight="1">
      <c r="A1044" s="24">
        <f t="shared" si="4"/>
        <v>1030</v>
      </c>
      <c r="B1044" s="558" t="s">
        <v>294</v>
      </c>
      <c r="C1044" s="351"/>
      <c r="D1044" s="559" t="s">
        <v>298</v>
      </c>
      <c r="E1044" s="351"/>
      <c r="F1044" s="524" t="s">
        <v>325</v>
      </c>
      <c r="G1044" s="351"/>
      <c r="H1044" s="525" t="s">
        <v>325</v>
      </c>
      <c r="I1044" s="351"/>
      <c r="J1044" s="563"/>
      <c r="K1044" s="351"/>
      <c r="L1044" s="563"/>
      <c r="M1044" s="351"/>
      <c r="N1044" s="34"/>
      <c r="O1044" s="35"/>
      <c r="P1044" s="526"/>
      <c r="Q1044" s="351"/>
      <c r="R1044" s="535"/>
      <c r="S1044" s="351"/>
      <c r="T1044" s="536"/>
      <c r="U1044" s="351"/>
      <c r="V1044" s="537"/>
      <c r="W1044" s="351"/>
      <c r="X1044" s="538" t="s">
        <v>294</v>
      </c>
      <c r="Y1044" s="350"/>
      <c r="Z1044" s="350"/>
      <c r="AA1044" s="351"/>
      <c r="AB1044" s="539" t="s">
        <v>294</v>
      </c>
      <c r="AC1044" s="350"/>
      <c r="AD1044" s="350"/>
      <c r="AE1044" s="351"/>
      <c r="AF1044" s="540"/>
      <c r="AG1044" s="351"/>
      <c r="AH1044" s="540"/>
      <c r="AI1044" s="351"/>
      <c r="AJ1044" s="545"/>
      <c r="AK1044" s="351"/>
      <c r="AL1044" s="555" t="s">
        <v>325</v>
      </c>
      <c r="AM1044" s="351"/>
      <c r="AN1044" s="531" t="s">
        <v>325</v>
      </c>
      <c r="AO1044" s="351"/>
      <c r="AP1044" s="532"/>
      <c r="AQ1044" s="351"/>
      <c r="AR1044" s="533"/>
      <c r="AS1044" s="351"/>
      <c r="AT1044" s="534"/>
      <c r="AU1044" s="351"/>
      <c r="AV1044" s="531" t="s">
        <v>325</v>
      </c>
      <c r="AW1044" s="351"/>
      <c r="AX1044" s="553"/>
      <c r="AY1044" s="350"/>
      <c r="AZ1044" s="351"/>
      <c r="BA1044" s="545"/>
      <c r="BB1044" s="351"/>
      <c r="BC1044" s="36"/>
      <c r="BD1044" s="556" t="s">
        <v>325</v>
      </c>
      <c r="BE1044" s="351"/>
      <c r="BF1044" s="529"/>
      <c r="BG1044" s="350"/>
      <c r="BH1044" s="350"/>
      <c r="BI1044" s="351"/>
      <c r="BJ1044" s="506" t="s">
        <v>294</v>
      </c>
      <c r="BK1044" s="350"/>
      <c r="BL1044" s="350"/>
      <c r="BM1044" s="351"/>
      <c r="BN1044" s="530" t="s">
        <v>294</v>
      </c>
      <c r="BO1044" s="350"/>
      <c r="BP1044" s="350"/>
      <c r="BQ1044" s="350"/>
      <c r="BR1044" s="350"/>
      <c r="BS1044" s="350"/>
      <c r="BT1044" s="350"/>
      <c r="BU1044" s="350"/>
      <c r="BV1044" s="351"/>
    </row>
    <row r="1045" spans="1:74" ht="45" customHeight="1">
      <c r="A1045" s="24">
        <f t="shared" si="4"/>
        <v>1031</v>
      </c>
      <c r="B1045" s="522" t="s">
        <v>294</v>
      </c>
      <c r="C1045" s="351"/>
      <c r="D1045" s="523" t="s">
        <v>298</v>
      </c>
      <c r="E1045" s="351"/>
      <c r="F1045" s="524" t="s">
        <v>325</v>
      </c>
      <c r="G1045" s="351"/>
      <c r="H1045" s="561" t="s">
        <v>325</v>
      </c>
      <c r="I1045" s="351"/>
      <c r="J1045" s="562"/>
      <c r="K1045" s="351"/>
      <c r="L1045" s="562"/>
      <c r="M1045" s="351"/>
      <c r="N1045" s="37"/>
      <c r="O1045" s="38"/>
      <c r="P1045" s="560"/>
      <c r="Q1045" s="351"/>
      <c r="R1045" s="527"/>
      <c r="S1045" s="351"/>
      <c r="T1045" s="528"/>
      <c r="U1045" s="351"/>
      <c r="V1045" s="541"/>
      <c r="W1045" s="351"/>
      <c r="X1045" s="542" t="s">
        <v>294</v>
      </c>
      <c r="Y1045" s="350"/>
      <c r="Z1045" s="350"/>
      <c r="AA1045" s="351"/>
      <c r="AB1045" s="543" t="s">
        <v>294</v>
      </c>
      <c r="AC1045" s="350"/>
      <c r="AD1045" s="350"/>
      <c r="AE1045" s="351"/>
      <c r="AF1045" s="544"/>
      <c r="AG1045" s="351"/>
      <c r="AH1045" s="544"/>
      <c r="AI1045" s="351"/>
      <c r="AJ1045" s="545"/>
      <c r="AK1045" s="351"/>
      <c r="AL1045" s="524" t="s">
        <v>325</v>
      </c>
      <c r="AM1045" s="351"/>
      <c r="AN1045" s="549" t="s">
        <v>325</v>
      </c>
      <c r="AO1045" s="351"/>
      <c r="AP1045" s="550"/>
      <c r="AQ1045" s="351"/>
      <c r="AR1045" s="551"/>
      <c r="AS1045" s="351"/>
      <c r="AT1045" s="552"/>
      <c r="AU1045" s="351"/>
      <c r="AV1045" s="549" t="s">
        <v>325</v>
      </c>
      <c r="AW1045" s="351"/>
      <c r="AX1045" s="553"/>
      <c r="AY1045" s="350"/>
      <c r="AZ1045" s="351"/>
      <c r="BA1045" s="554"/>
      <c r="BB1045" s="351"/>
      <c r="BC1045" s="39"/>
      <c r="BD1045" s="546" t="s">
        <v>325</v>
      </c>
      <c r="BE1045" s="351"/>
      <c r="BF1045" s="547"/>
      <c r="BG1045" s="350"/>
      <c r="BH1045" s="350"/>
      <c r="BI1045" s="351"/>
      <c r="BJ1045" s="548" t="s">
        <v>294</v>
      </c>
      <c r="BK1045" s="350"/>
      <c r="BL1045" s="350"/>
      <c r="BM1045" s="351"/>
      <c r="BN1045" s="530" t="s">
        <v>294</v>
      </c>
      <c r="BO1045" s="350"/>
      <c r="BP1045" s="350"/>
      <c r="BQ1045" s="350"/>
      <c r="BR1045" s="350"/>
      <c r="BS1045" s="350"/>
      <c r="BT1045" s="350"/>
      <c r="BU1045" s="350"/>
      <c r="BV1045" s="351"/>
    </row>
    <row r="1046" spans="1:74" ht="45" customHeight="1">
      <c r="A1046" s="24">
        <f t="shared" si="4"/>
        <v>1032</v>
      </c>
      <c r="B1046" s="558" t="s">
        <v>294</v>
      </c>
      <c r="C1046" s="351"/>
      <c r="D1046" s="559" t="s">
        <v>298</v>
      </c>
      <c r="E1046" s="351"/>
      <c r="F1046" s="524" t="s">
        <v>325</v>
      </c>
      <c r="G1046" s="351"/>
      <c r="H1046" s="525" t="s">
        <v>325</v>
      </c>
      <c r="I1046" s="351"/>
      <c r="J1046" s="563"/>
      <c r="K1046" s="351"/>
      <c r="L1046" s="563"/>
      <c r="M1046" s="351"/>
      <c r="N1046" s="34"/>
      <c r="O1046" s="35"/>
      <c r="P1046" s="526"/>
      <c r="Q1046" s="351"/>
      <c r="R1046" s="535"/>
      <c r="S1046" s="351"/>
      <c r="T1046" s="536"/>
      <c r="U1046" s="351"/>
      <c r="V1046" s="537"/>
      <c r="W1046" s="351"/>
      <c r="X1046" s="538" t="s">
        <v>294</v>
      </c>
      <c r="Y1046" s="350"/>
      <c r="Z1046" s="350"/>
      <c r="AA1046" s="351"/>
      <c r="AB1046" s="539" t="s">
        <v>294</v>
      </c>
      <c r="AC1046" s="350"/>
      <c r="AD1046" s="350"/>
      <c r="AE1046" s="351"/>
      <c r="AF1046" s="540"/>
      <c r="AG1046" s="351"/>
      <c r="AH1046" s="540"/>
      <c r="AI1046" s="351"/>
      <c r="AJ1046" s="545"/>
      <c r="AK1046" s="351"/>
      <c r="AL1046" s="555" t="s">
        <v>325</v>
      </c>
      <c r="AM1046" s="351"/>
      <c r="AN1046" s="531" t="s">
        <v>325</v>
      </c>
      <c r="AO1046" s="351"/>
      <c r="AP1046" s="532"/>
      <c r="AQ1046" s="351"/>
      <c r="AR1046" s="533"/>
      <c r="AS1046" s="351"/>
      <c r="AT1046" s="534"/>
      <c r="AU1046" s="351"/>
      <c r="AV1046" s="531" t="s">
        <v>325</v>
      </c>
      <c r="AW1046" s="351"/>
      <c r="AX1046" s="553"/>
      <c r="AY1046" s="350"/>
      <c r="AZ1046" s="351"/>
      <c r="BA1046" s="545"/>
      <c r="BB1046" s="351"/>
      <c r="BC1046" s="36"/>
      <c r="BD1046" s="556" t="s">
        <v>325</v>
      </c>
      <c r="BE1046" s="351"/>
      <c r="BF1046" s="557"/>
      <c r="BG1046" s="350"/>
      <c r="BH1046" s="350"/>
      <c r="BI1046" s="351"/>
      <c r="BJ1046" s="506" t="s">
        <v>294</v>
      </c>
      <c r="BK1046" s="350"/>
      <c r="BL1046" s="350"/>
      <c r="BM1046" s="351"/>
      <c r="BN1046" s="530" t="s">
        <v>294</v>
      </c>
      <c r="BO1046" s="350"/>
      <c r="BP1046" s="350"/>
      <c r="BQ1046" s="350"/>
      <c r="BR1046" s="350"/>
      <c r="BS1046" s="350"/>
      <c r="BT1046" s="350"/>
      <c r="BU1046" s="350"/>
      <c r="BV1046" s="351"/>
    </row>
    <row r="1047" spans="1:74" ht="45" customHeight="1">
      <c r="A1047" s="24">
        <f t="shared" si="4"/>
        <v>1033</v>
      </c>
      <c r="B1047" s="522" t="s">
        <v>294</v>
      </c>
      <c r="C1047" s="351"/>
      <c r="D1047" s="523" t="s">
        <v>298</v>
      </c>
      <c r="E1047" s="351"/>
      <c r="F1047" s="524" t="s">
        <v>325</v>
      </c>
      <c r="G1047" s="351"/>
      <c r="H1047" s="561" t="s">
        <v>325</v>
      </c>
      <c r="I1047" s="351"/>
      <c r="J1047" s="562"/>
      <c r="K1047" s="351"/>
      <c r="L1047" s="562"/>
      <c r="M1047" s="351"/>
      <c r="N1047" s="37"/>
      <c r="O1047" s="38"/>
      <c r="P1047" s="560"/>
      <c r="Q1047" s="351"/>
      <c r="R1047" s="527"/>
      <c r="S1047" s="351"/>
      <c r="T1047" s="528"/>
      <c r="U1047" s="351"/>
      <c r="V1047" s="541"/>
      <c r="W1047" s="351"/>
      <c r="X1047" s="542" t="s">
        <v>294</v>
      </c>
      <c r="Y1047" s="350"/>
      <c r="Z1047" s="350"/>
      <c r="AA1047" s="351"/>
      <c r="AB1047" s="543" t="s">
        <v>294</v>
      </c>
      <c r="AC1047" s="350"/>
      <c r="AD1047" s="350"/>
      <c r="AE1047" s="351"/>
      <c r="AF1047" s="544"/>
      <c r="AG1047" s="351"/>
      <c r="AH1047" s="544"/>
      <c r="AI1047" s="351"/>
      <c r="AJ1047" s="545"/>
      <c r="AK1047" s="351"/>
      <c r="AL1047" s="524" t="s">
        <v>325</v>
      </c>
      <c r="AM1047" s="351"/>
      <c r="AN1047" s="549" t="s">
        <v>325</v>
      </c>
      <c r="AO1047" s="351"/>
      <c r="AP1047" s="550"/>
      <c r="AQ1047" s="351"/>
      <c r="AR1047" s="551"/>
      <c r="AS1047" s="351"/>
      <c r="AT1047" s="552"/>
      <c r="AU1047" s="351"/>
      <c r="AV1047" s="549" t="s">
        <v>325</v>
      </c>
      <c r="AW1047" s="351"/>
      <c r="AX1047" s="553"/>
      <c r="AY1047" s="350"/>
      <c r="AZ1047" s="351"/>
      <c r="BA1047" s="554"/>
      <c r="BB1047" s="351"/>
      <c r="BC1047" s="39"/>
      <c r="BD1047" s="546" t="s">
        <v>325</v>
      </c>
      <c r="BE1047" s="351"/>
      <c r="BF1047" s="547"/>
      <c r="BG1047" s="350"/>
      <c r="BH1047" s="350"/>
      <c r="BI1047" s="351"/>
      <c r="BJ1047" s="548" t="s">
        <v>294</v>
      </c>
      <c r="BK1047" s="350"/>
      <c r="BL1047" s="350"/>
      <c r="BM1047" s="351"/>
      <c r="BN1047" s="530" t="s">
        <v>294</v>
      </c>
      <c r="BO1047" s="350"/>
      <c r="BP1047" s="350"/>
      <c r="BQ1047" s="350"/>
      <c r="BR1047" s="350"/>
      <c r="BS1047" s="350"/>
      <c r="BT1047" s="350"/>
      <c r="BU1047" s="350"/>
      <c r="BV1047" s="351"/>
    </row>
    <row r="1048" spans="1:74" ht="45" customHeight="1">
      <c r="A1048" s="24">
        <f t="shared" si="4"/>
        <v>1034</v>
      </c>
      <c r="B1048" s="558" t="s">
        <v>294</v>
      </c>
      <c r="C1048" s="351"/>
      <c r="D1048" s="559" t="s">
        <v>298</v>
      </c>
      <c r="E1048" s="351"/>
      <c r="F1048" s="524" t="s">
        <v>325</v>
      </c>
      <c r="G1048" s="351"/>
      <c r="H1048" s="525" t="s">
        <v>325</v>
      </c>
      <c r="I1048" s="351"/>
      <c r="J1048" s="563"/>
      <c r="K1048" s="351"/>
      <c r="L1048" s="563"/>
      <c r="M1048" s="351"/>
      <c r="N1048" s="34"/>
      <c r="O1048" s="35"/>
      <c r="P1048" s="526"/>
      <c r="Q1048" s="351"/>
      <c r="R1048" s="535"/>
      <c r="S1048" s="351"/>
      <c r="T1048" s="536"/>
      <c r="U1048" s="351"/>
      <c r="V1048" s="537"/>
      <c r="W1048" s="351"/>
      <c r="X1048" s="538" t="s">
        <v>294</v>
      </c>
      <c r="Y1048" s="350"/>
      <c r="Z1048" s="350"/>
      <c r="AA1048" s="351"/>
      <c r="AB1048" s="539" t="s">
        <v>294</v>
      </c>
      <c r="AC1048" s="350"/>
      <c r="AD1048" s="350"/>
      <c r="AE1048" s="351"/>
      <c r="AF1048" s="540"/>
      <c r="AG1048" s="351"/>
      <c r="AH1048" s="540"/>
      <c r="AI1048" s="351"/>
      <c r="AJ1048" s="545"/>
      <c r="AK1048" s="351"/>
      <c r="AL1048" s="555" t="s">
        <v>325</v>
      </c>
      <c r="AM1048" s="351"/>
      <c r="AN1048" s="531" t="s">
        <v>325</v>
      </c>
      <c r="AO1048" s="351"/>
      <c r="AP1048" s="532"/>
      <c r="AQ1048" s="351"/>
      <c r="AR1048" s="533"/>
      <c r="AS1048" s="351"/>
      <c r="AT1048" s="534"/>
      <c r="AU1048" s="351"/>
      <c r="AV1048" s="531" t="s">
        <v>325</v>
      </c>
      <c r="AW1048" s="351"/>
      <c r="AX1048" s="553"/>
      <c r="AY1048" s="350"/>
      <c r="AZ1048" s="351"/>
      <c r="BA1048" s="545"/>
      <c r="BB1048" s="351"/>
      <c r="BC1048" s="36"/>
      <c r="BD1048" s="556" t="s">
        <v>325</v>
      </c>
      <c r="BE1048" s="351"/>
      <c r="BF1048" s="557"/>
      <c r="BG1048" s="350"/>
      <c r="BH1048" s="350"/>
      <c r="BI1048" s="351"/>
      <c r="BJ1048" s="506" t="s">
        <v>294</v>
      </c>
      <c r="BK1048" s="350"/>
      <c r="BL1048" s="350"/>
      <c r="BM1048" s="351"/>
      <c r="BN1048" s="530" t="s">
        <v>294</v>
      </c>
      <c r="BO1048" s="350"/>
      <c r="BP1048" s="350"/>
      <c r="BQ1048" s="350"/>
      <c r="BR1048" s="350"/>
      <c r="BS1048" s="350"/>
      <c r="BT1048" s="350"/>
      <c r="BU1048" s="350"/>
      <c r="BV1048" s="351"/>
    </row>
    <row r="1049" spans="1:74" ht="45" customHeight="1">
      <c r="A1049" s="24">
        <f t="shared" si="4"/>
        <v>1035</v>
      </c>
      <c r="B1049" s="522" t="s">
        <v>294</v>
      </c>
      <c r="C1049" s="351"/>
      <c r="D1049" s="523" t="s">
        <v>298</v>
      </c>
      <c r="E1049" s="351"/>
      <c r="F1049" s="524" t="s">
        <v>325</v>
      </c>
      <c r="G1049" s="351"/>
      <c r="H1049" s="561" t="s">
        <v>325</v>
      </c>
      <c r="I1049" s="351"/>
      <c r="J1049" s="562"/>
      <c r="K1049" s="351"/>
      <c r="L1049" s="562"/>
      <c r="M1049" s="351"/>
      <c r="N1049" s="37"/>
      <c r="O1049" s="38"/>
      <c r="P1049" s="560"/>
      <c r="Q1049" s="351"/>
      <c r="R1049" s="527"/>
      <c r="S1049" s="351"/>
      <c r="T1049" s="528"/>
      <c r="U1049" s="351"/>
      <c r="V1049" s="541"/>
      <c r="W1049" s="351"/>
      <c r="X1049" s="542" t="s">
        <v>294</v>
      </c>
      <c r="Y1049" s="350"/>
      <c r="Z1049" s="350"/>
      <c r="AA1049" s="351"/>
      <c r="AB1049" s="543" t="s">
        <v>294</v>
      </c>
      <c r="AC1049" s="350"/>
      <c r="AD1049" s="350"/>
      <c r="AE1049" s="351"/>
      <c r="AF1049" s="544"/>
      <c r="AG1049" s="351"/>
      <c r="AH1049" s="544"/>
      <c r="AI1049" s="351"/>
      <c r="AJ1049" s="545"/>
      <c r="AK1049" s="351"/>
      <c r="AL1049" s="524" t="s">
        <v>325</v>
      </c>
      <c r="AM1049" s="351"/>
      <c r="AN1049" s="549" t="s">
        <v>325</v>
      </c>
      <c r="AO1049" s="351"/>
      <c r="AP1049" s="550"/>
      <c r="AQ1049" s="351"/>
      <c r="AR1049" s="551"/>
      <c r="AS1049" s="351"/>
      <c r="AT1049" s="552"/>
      <c r="AU1049" s="351"/>
      <c r="AV1049" s="549" t="s">
        <v>325</v>
      </c>
      <c r="AW1049" s="351"/>
      <c r="AX1049" s="553"/>
      <c r="AY1049" s="350"/>
      <c r="AZ1049" s="351"/>
      <c r="BA1049" s="554"/>
      <c r="BB1049" s="351"/>
      <c r="BC1049" s="39"/>
      <c r="BD1049" s="546" t="s">
        <v>325</v>
      </c>
      <c r="BE1049" s="351"/>
      <c r="BF1049" s="547"/>
      <c r="BG1049" s="350"/>
      <c r="BH1049" s="350"/>
      <c r="BI1049" s="351"/>
      <c r="BJ1049" s="548" t="s">
        <v>294</v>
      </c>
      <c r="BK1049" s="350"/>
      <c r="BL1049" s="350"/>
      <c r="BM1049" s="351"/>
      <c r="BN1049" s="530" t="s">
        <v>294</v>
      </c>
      <c r="BO1049" s="350"/>
      <c r="BP1049" s="350"/>
      <c r="BQ1049" s="350"/>
      <c r="BR1049" s="350"/>
      <c r="BS1049" s="350"/>
      <c r="BT1049" s="350"/>
      <c r="BU1049" s="350"/>
      <c r="BV1049" s="351"/>
    </row>
    <row r="1050" spans="1:74" ht="45" customHeight="1">
      <c r="A1050" s="24">
        <f t="shared" si="4"/>
        <v>1036</v>
      </c>
      <c r="B1050" s="558" t="s">
        <v>294</v>
      </c>
      <c r="C1050" s="351"/>
      <c r="D1050" s="559" t="s">
        <v>298</v>
      </c>
      <c r="E1050" s="351"/>
      <c r="F1050" s="524" t="s">
        <v>325</v>
      </c>
      <c r="G1050" s="351"/>
      <c r="H1050" s="525" t="s">
        <v>325</v>
      </c>
      <c r="I1050" s="351"/>
      <c r="J1050" s="563"/>
      <c r="K1050" s="351"/>
      <c r="L1050" s="563"/>
      <c r="M1050" s="351"/>
      <c r="N1050" s="34"/>
      <c r="O1050" s="35"/>
      <c r="P1050" s="526"/>
      <c r="Q1050" s="351"/>
      <c r="R1050" s="535"/>
      <c r="S1050" s="351"/>
      <c r="T1050" s="536"/>
      <c r="U1050" s="351"/>
      <c r="V1050" s="537"/>
      <c r="W1050" s="351"/>
      <c r="X1050" s="538" t="s">
        <v>294</v>
      </c>
      <c r="Y1050" s="350"/>
      <c r="Z1050" s="350"/>
      <c r="AA1050" s="351"/>
      <c r="AB1050" s="539" t="s">
        <v>294</v>
      </c>
      <c r="AC1050" s="350"/>
      <c r="AD1050" s="350"/>
      <c r="AE1050" s="351"/>
      <c r="AF1050" s="540"/>
      <c r="AG1050" s="351"/>
      <c r="AH1050" s="540"/>
      <c r="AI1050" s="351"/>
      <c r="AJ1050" s="545"/>
      <c r="AK1050" s="351"/>
      <c r="AL1050" s="555" t="s">
        <v>325</v>
      </c>
      <c r="AM1050" s="351"/>
      <c r="AN1050" s="531" t="s">
        <v>325</v>
      </c>
      <c r="AO1050" s="351"/>
      <c r="AP1050" s="532"/>
      <c r="AQ1050" s="351"/>
      <c r="AR1050" s="533"/>
      <c r="AS1050" s="351"/>
      <c r="AT1050" s="534"/>
      <c r="AU1050" s="351"/>
      <c r="AV1050" s="531" t="s">
        <v>325</v>
      </c>
      <c r="AW1050" s="351"/>
      <c r="AX1050" s="553"/>
      <c r="AY1050" s="350"/>
      <c r="AZ1050" s="351"/>
      <c r="BA1050" s="545"/>
      <c r="BB1050" s="351"/>
      <c r="BC1050" s="36"/>
      <c r="BD1050" s="556" t="s">
        <v>325</v>
      </c>
      <c r="BE1050" s="351"/>
      <c r="BF1050" s="529"/>
      <c r="BG1050" s="350"/>
      <c r="BH1050" s="350"/>
      <c r="BI1050" s="351"/>
      <c r="BJ1050" s="506" t="s">
        <v>294</v>
      </c>
      <c r="BK1050" s="350"/>
      <c r="BL1050" s="350"/>
      <c r="BM1050" s="351"/>
      <c r="BN1050" s="530" t="s">
        <v>294</v>
      </c>
      <c r="BO1050" s="350"/>
      <c r="BP1050" s="350"/>
      <c r="BQ1050" s="350"/>
      <c r="BR1050" s="350"/>
      <c r="BS1050" s="350"/>
      <c r="BT1050" s="350"/>
      <c r="BU1050" s="350"/>
      <c r="BV1050" s="351"/>
    </row>
    <row r="1051" spans="1:74" ht="45" customHeight="1">
      <c r="A1051" s="24">
        <f t="shared" si="4"/>
        <v>1037</v>
      </c>
      <c r="B1051" s="522" t="s">
        <v>294</v>
      </c>
      <c r="C1051" s="351"/>
      <c r="D1051" s="523" t="s">
        <v>298</v>
      </c>
      <c r="E1051" s="351"/>
      <c r="F1051" s="524" t="s">
        <v>325</v>
      </c>
      <c r="G1051" s="351"/>
      <c r="H1051" s="561" t="s">
        <v>325</v>
      </c>
      <c r="I1051" s="351"/>
      <c r="J1051" s="562"/>
      <c r="K1051" s="351"/>
      <c r="L1051" s="562"/>
      <c r="M1051" s="351"/>
      <c r="N1051" s="37"/>
      <c r="O1051" s="38"/>
      <c r="P1051" s="560"/>
      <c r="Q1051" s="351"/>
      <c r="R1051" s="527"/>
      <c r="S1051" s="351"/>
      <c r="T1051" s="528"/>
      <c r="U1051" s="351"/>
      <c r="V1051" s="541"/>
      <c r="W1051" s="351"/>
      <c r="X1051" s="542" t="s">
        <v>294</v>
      </c>
      <c r="Y1051" s="350"/>
      <c r="Z1051" s="350"/>
      <c r="AA1051" s="351"/>
      <c r="AB1051" s="543" t="s">
        <v>294</v>
      </c>
      <c r="AC1051" s="350"/>
      <c r="AD1051" s="350"/>
      <c r="AE1051" s="351"/>
      <c r="AF1051" s="544"/>
      <c r="AG1051" s="351"/>
      <c r="AH1051" s="544"/>
      <c r="AI1051" s="351"/>
      <c r="AJ1051" s="545"/>
      <c r="AK1051" s="351"/>
      <c r="AL1051" s="524" t="s">
        <v>325</v>
      </c>
      <c r="AM1051" s="351"/>
      <c r="AN1051" s="549" t="s">
        <v>325</v>
      </c>
      <c r="AO1051" s="351"/>
      <c r="AP1051" s="550"/>
      <c r="AQ1051" s="351"/>
      <c r="AR1051" s="551"/>
      <c r="AS1051" s="351"/>
      <c r="AT1051" s="552"/>
      <c r="AU1051" s="351"/>
      <c r="AV1051" s="549" t="s">
        <v>325</v>
      </c>
      <c r="AW1051" s="351"/>
      <c r="AX1051" s="553"/>
      <c r="AY1051" s="350"/>
      <c r="AZ1051" s="351"/>
      <c r="BA1051" s="554"/>
      <c r="BB1051" s="351"/>
      <c r="BC1051" s="39"/>
      <c r="BD1051" s="546" t="s">
        <v>325</v>
      </c>
      <c r="BE1051" s="351"/>
      <c r="BF1051" s="547"/>
      <c r="BG1051" s="350"/>
      <c r="BH1051" s="350"/>
      <c r="BI1051" s="351"/>
      <c r="BJ1051" s="548" t="s">
        <v>294</v>
      </c>
      <c r="BK1051" s="350"/>
      <c r="BL1051" s="350"/>
      <c r="BM1051" s="351"/>
      <c r="BN1051" s="530" t="s">
        <v>294</v>
      </c>
      <c r="BO1051" s="350"/>
      <c r="BP1051" s="350"/>
      <c r="BQ1051" s="350"/>
      <c r="BR1051" s="350"/>
      <c r="BS1051" s="350"/>
      <c r="BT1051" s="350"/>
      <c r="BU1051" s="350"/>
      <c r="BV1051" s="351"/>
    </row>
    <row r="1052" spans="1:74" ht="45" customHeight="1">
      <c r="A1052" s="24">
        <f t="shared" si="4"/>
        <v>1038</v>
      </c>
      <c r="B1052" s="558" t="s">
        <v>294</v>
      </c>
      <c r="C1052" s="351"/>
      <c r="D1052" s="559" t="s">
        <v>298</v>
      </c>
      <c r="E1052" s="351"/>
      <c r="F1052" s="524" t="s">
        <v>325</v>
      </c>
      <c r="G1052" s="351"/>
      <c r="H1052" s="525" t="s">
        <v>325</v>
      </c>
      <c r="I1052" s="351"/>
      <c r="J1052" s="563"/>
      <c r="K1052" s="351"/>
      <c r="L1052" s="563"/>
      <c r="M1052" s="351"/>
      <c r="N1052" s="34"/>
      <c r="O1052" s="35"/>
      <c r="P1052" s="526"/>
      <c r="Q1052" s="351"/>
      <c r="R1052" s="535"/>
      <c r="S1052" s="351"/>
      <c r="T1052" s="536"/>
      <c r="U1052" s="351"/>
      <c r="V1052" s="537"/>
      <c r="W1052" s="351"/>
      <c r="X1052" s="538" t="s">
        <v>294</v>
      </c>
      <c r="Y1052" s="350"/>
      <c r="Z1052" s="350"/>
      <c r="AA1052" s="351"/>
      <c r="AB1052" s="539" t="s">
        <v>294</v>
      </c>
      <c r="AC1052" s="350"/>
      <c r="AD1052" s="350"/>
      <c r="AE1052" s="351"/>
      <c r="AF1052" s="540"/>
      <c r="AG1052" s="351"/>
      <c r="AH1052" s="540"/>
      <c r="AI1052" s="351"/>
      <c r="AJ1052" s="545"/>
      <c r="AK1052" s="351"/>
      <c r="AL1052" s="555" t="s">
        <v>325</v>
      </c>
      <c r="AM1052" s="351"/>
      <c r="AN1052" s="531" t="s">
        <v>325</v>
      </c>
      <c r="AO1052" s="351"/>
      <c r="AP1052" s="532"/>
      <c r="AQ1052" s="351"/>
      <c r="AR1052" s="533"/>
      <c r="AS1052" s="351"/>
      <c r="AT1052" s="534"/>
      <c r="AU1052" s="351"/>
      <c r="AV1052" s="531" t="s">
        <v>325</v>
      </c>
      <c r="AW1052" s="351"/>
      <c r="AX1052" s="553"/>
      <c r="AY1052" s="350"/>
      <c r="AZ1052" s="351"/>
      <c r="BA1052" s="545"/>
      <c r="BB1052" s="351"/>
      <c r="BC1052" s="36"/>
      <c r="BD1052" s="556" t="s">
        <v>325</v>
      </c>
      <c r="BE1052" s="351"/>
      <c r="BF1052" s="557"/>
      <c r="BG1052" s="350"/>
      <c r="BH1052" s="350"/>
      <c r="BI1052" s="351"/>
      <c r="BJ1052" s="506" t="s">
        <v>294</v>
      </c>
      <c r="BK1052" s="350"/>
      <c r="BL1052" s="350"/>
      <c r="BM1052" s="351"/>
      <c r="BN1052" s="530" t="s">
        <v>294</v>
      </c>
      <c r="BO1052" s="350"/>
      <c r="BP1052" s="350"/>
      <c r="BQ1052" s="350"/>
      <c r="BR1052" s="350"/>
      <c r="BS1052" s="350"/>
      <c r="BT1052" s="350"/>
      <c r="BU1052" s="350"/>
      <c r="BV1052" s="351"/>
    </row>
    <row r="1053" spans="1:74" ht="45" customHeight="1">
      <c r="A1053" s="24">
        <f t="shared" si="4"/>
        <v>1039</v>
      </c>
      <c r="B1053" s="522" t="s">
        <v>294</v>
      </c>
      <c r="C1053" s="351"/>
      <c r="D1053" s="523" t="s">
        <v>298</v>
      </c>
      <c r="E1053" s="351"/>
      <c r="F1053" s="524" t="s">
        <v>325</v>
      </c>
      <c r="G1053" s="351"/>
      <c r="H1053" s="561" t="s">
        <v>325</v>
      </c>
      <c r="I1053" s="351"/>
      <c r="J1053" s="562"/>
      <c r="K1053" s="351"/>
      <c r="L1053" s="562"/>
      <c r="M1053" s="351"/>
      <c r="N1053" s="37"/>
      <c r="O1053" s="38"/>
      <c r="P1053" s="560"/>
      <c r="Q1053" s="351"/>
      <c r="R1053" s="527"/>
      <c r="S1053" s="351"/>
      <c r="T1053" s="528"/>
      <c r="U1053" s="351"/>
      <c r="V1053" s="541"/>
      <c r="W1053" s="351"/>
      <c r="X1053" s="542" t="s">
        <v>294</v>
      </c>
      <c r="Y1053" s="350"/>
      <c r="Z1053" s="350"/>
      <c r="AA1053" s="351"/>
      <c r="AB1053" s="543" t="s">
        <v>294</v>
      </c>
      <c r="AC1053" s="350"/>
      <c r="AD1053" s="350"/>
      <c r="AE1053" s="351"/>
      <c r="AF1053" s="544"/>
      <c r="AG1053" s="351"/>
      <c r="AH1053" s="544"/>
      <c r="AI1053" s="351"/>
      <c r="AJ1053" s="545"/>
      <c r="AK1053" s="351"/>
      <c r="AL1053" s="524" t="s">
        <v>325</v>
      </c>
      <c r="AM1053" s="351"/>
      <c r="AN1053" s="549" t="s">
        <v>325</v>
      </c>
      <c r="AO1053" s="351"/>
      <c r="AP1053" s="550"/>
      <c r="AQ1053" s="351"/>
      <c r="AR1053" s="551"/>
      <c r="AS1053" s="351"/>
      <c r="AT1053" s="534"/>
      <c r="AU1053" s="351"/>
      <c r="AV1053" s="549" t="s">
        <v>325</v>
      </c>
      <c r="AW1053" s="351"/>
      <c r="AX1053" s="553"/>
      <c r="AY1053" s="350"/>
      <c r="AZ1053" s="351"/>
      <c r="BA1053" s="554"/>
      <c r="BB1053" s="351"/>
      <c r="BC1053" s="39"/>
      <c r="BD1053" s="546" t="s">
        <v>325</v>
      </c>
      <c r="BE1053" s="351"/>
      <c r="BF1053" s="547"/>
      <c r="BG1053" s="350"/>
      <c r="BH1053" s="350"/>
      <c r="BI1053" s="351"/>
      <c r="BJ1053" s="548" t="s">
        <v>294</v>
      </c>
      <c r="BK1053" s="350"/>
      <c r="BL1053" s="350"/>
      <c r="BM1053" s="351"/>
      <c r="BN1053" s="530" t="s">
        <v>294</v>
      </c>
      <c r="BO1053" s="350"/>
      <c r="BP1053" s="350"/>
      <c r="BQ1053" s="350"/>
      <c r="BR1053" s="350"/>
      <c r="BS1053" s="350"/>
      <c r="BT1053" s="350"/>
      <c r="BU1053" s="350"/>
      <c r="BV1053" s="351"/>
    </row>
    <row r="1054" spans="1:74" ht="45" customHeight="1">
      <c r="A1054" s="24">
        <f t="shared" si="4"/>
        <v>1040</v>
      </c>
      <c r="B1054" s="558" t="s">
        <v>294</v>
      </c>
      <c r="C1054" s="351"/>
      <c r="D1054" s="559" t="s">
        <v>298</v>
      </c>
      <c r="E1054" s="351"/>
      <c r="F1054" s="524" t="s">
        <v>325</v>
      </c>
      <c r="G1054" s="351"/>
      <c r="H1054" s="525" t="s">
        <v>325</v>
      </c>
      <c r="I1054" s="351"/>
      <c r="J1054" s="563"/>
      <c r="K1054" s="351"/>
      <c r="L1054" s="563"/>
      <c r="M1054" s="351"/>
      <c r="N1054" s="34"/>
      <c r="O1054" s="35"/>
      <c r="P1054" s="526"/>
      <c r="Q1054" s="351"/>
      <c r="R1054" s="535"/>
      <c r="S1054" s="351"/>
      <c r="T1054" s="536"/>
      <c r="U1054" s="351"/>
      <c r="V1054" s="537"/>
      <c r="W1054" s="351"/>
      <c r="X1054" s="538" t="s">
        <v>294</v>
      </c>
      <c r="Y1054" s="350"/>
      <c r="Z1054" s="350"/>
      <c r="AA1054" s="351"/>
      <c r="AB1054" s="539" t="s">
        <v>294</v>
      </c>
      <c r="AC1054" s="350"/>
      <c r="AD1054" s="350"/>
      <c r="AE1054" s="351"/>
      <c r="AF1054" s="540"/>
      <c r="AG1054" s="351"/>
      <c r="AH1054" s="540"/>
      <c r="AI1054" s="351"/>
      <c r="AJ1054" s="545"/>
      <c r="AK1054" s="351"/>
      <c r="AL1054" s="555" t="s">
        <v>325</v>
      </c>
      <c r="AM1054" s="351"/>
      <c r="AN1054" s="531" t="s">
        <v>325</v>
      </c>
      <c r="AO1054" s="351"/>
      <c r="AP1054" s="532"/>
      <c r="AQ1054" s="351"/>
      <c r="AR1054" s="533"/>
      <c r="AS1054" s="351"/>
      <c r="AT1054" s="534"/>
      <c r="AU1054" s="351"/>
      <c r="AV1054" s="531" t="s">
        <v>325</v>
      </c>
      <c r="AW1054" s="351"/>
      <c r="AX1054" s="553"/>
      <c r="AY1054" s="350"/>
      <c r="AZ1054" s="351"/>
      <c r="BA1054" s="545"/>
      <c r="BB1054" s="351"/>
      <c r="BC1054" s="36"/>
      <c r="BD1054" s="556" t="s">
        <v>325</v>
      </c>
      <c r="BE1054" s="351"/>
      <c r="BF1054" s="557"/>
      <c r="BG1054" s="350"/>
      <c r="BH1054" s="350"/>
      <c r="BI1054" s="351"/>
      <c r="BJ1054" s="506" t="s">
        <v>294</v>
      </c>
      <c r="BK1054" s="350"/>
      <c r="BL1054" s="350"/>
      <c r="BM1054" s="351"/>
      <c r="BN1054" s="530" t="s">
        <v>294</v>
      </c>
      <c r="BO1054" s="350"/>
      <c r="BP1054" s="350"/>
      <c r="BQ1054" s="350"/>
      <c r="BR1054" s="350"/>
      <c r="BS1054" s="350"/>
      <c r="BT1054" s="350"/>
      <c r="BU1054" s="350"/>
      <c r="BV1054" s="351"/>
    </row>
    <row r="1055" spans="1:74" ht="45" customHeight="1">
      <c r="A1055" s="24">
        <f t="shared" si="4"/>
        <v>1041</v>
      </c>
      <c r="B1055" s="522" t="s">
        <v>294</v>
      </c>
      <c r="C1055" s="351"/>
      <c r="D1055" s="523" t="s">
        <v>298</v>
      </c>
      <c r="E1055" s="351"/>
      <c r="F1055" s="524" t="s">
        <v>325</v>
      </c>
      <c r="G1055" s="351"/>
      <c r="H1055" s="561" t="s">
        <v>325</v>
      </c>
      <c r="I1055" s="351"/>
      <c r="J1055" s="562"/>
      <c r="K1055" s="351"/>
      <c r="L1055" s="562"/>
      <c r="M1055" s="351"/>
      <c r="N1055" s="37"/>
      <c r="O1055" s="38"/>
      <c r="P1055" s="560"/>
      <c r="Q1055" s="351"/>
      <c r="R1055" s="527"/>
      <c r="S1055" s="351"/>
      <c r="T1055" s="528"/>
      <c r="U1055" s="351"/>
      <c r="V1055" s="541"/>
      <c r="W1055" s="351"/>
      <c r="X1055" s="542" t="s">
        <v>294</v>
      </c>
      <c r="Y1055" s="350"/>
      <c r="Z1055" s="350"/>
      <c r="AA1055" s="351"/>
      <c r="AB1055" s="543" t="s">
        <v>294</v>
      </c>
      <c r="AC1055" s="350"/>
      <c r="AD1055" s="350"/>
      <c r="AE1055" s="351"/>
      <c r="AF1055" s="544"/>
      <c r="AG1055" s="351"/>
      <c r="AH1055" s="544"/>
      <c r="AI1055" s="351"/>
      <c r="AJ1055" s="545"/>
      <c r="AK1055" s="351"/>
      <c r="AL1055" s="524" t="s">
        <v>325</v>
      </c>
      <c r="AM1055" s="351"/>
      <c r="AN1055" s="549" t="s">
        <v>325</v>
      </c>
      <c r="AO1055" s="351"/>
      <c r="AP1055" s="550"/>
      <c r="AQ1055" s="351"/>
      <c r="AR1055" s="551"/>
      <c r="AS1055" s="351"/>
      <c r="AT1055" s="534"/>
      <c r="AU1055" s="351"/>
      <c r="AV1055" s="549" t="s">
        <v>325</v>
      </c>
      <c r="AW1055" s="351"/>
      <c r="AX1055" s="553"/>
      <c r="AY1055" s="350"/>
      <c r="AZ1055" s="351"/>
      <c r="BA1055" s="554"/>
      <c r="BB1055" s="351"/>
      <c r="BC1055" s="39"/>
      <c r="BD1055" s="546" t="s">
        <v>325</v>
      </c>
      <c r="BE1055" s="351"/>
      <c r="BF1055" s="547"/>
      <c r="BG1055" s="350"/>
      <c r="BH1055" s="350"/>
      <c r="BI1055" s="351"/>
      <c r="BJ1055" s="548" t="s">
        <v>294</v>
      </c>
      <c r="BK1055" s="350"/>
      <c r="BL1055" s="350"/>
      <c r="BM1055" s="351"/>
      <c r="BN1055" s="530" t="s">
        <v>294</v>
      </c>
      <c r="BO1055" s="350"/>
      <c r="BP1055" s="350"/>
      <c r="BQ1055" s="350"/>
      <c r="BR1055" s="350"/>
      <c r="BS1055" s="350"/>
      <c r="BT1055" s="350"/>
      <c r="BU1055" s="350"/>
      <c r="BV1055" s="351"/>
    </row>
    <row r="1056" spans="1:74" ht="45" customHeight="1">
      <c r="A1056" s="24">
        <f t="shared" si="4"/>
        <v>1042</v>
      </c>
      <c r="B1056" s="558" t="s">
        <v>294</v>
      </c>
      <c r="C1056" s="351"/>
      <c r="D1056" s="559" t="s">
        <v>298</v>
      </c>
      <c r="E1056" s="351"/>
      <c r="F1056" s="524" t="s">
        <v>325</v>
      </c>
      <c r="G1056" s="351"/>
      <c r="H1056" s="525" t="s">
        <v>325</v>
      </c>
      <c r="I1056" s="351"/>
      <c r="J1056" s="563"/>
      <c r="K1056" s="351"/>
      <c r="L1056" s="563"/>
      <c r="M1056" s="351"/>
      <c r="N1056" s="34"/>
      <c r="O1056" s="35"/>
      <c r="P1056" s="526"/>
      <c r="Q1056" s="351"/>
      <c r="R1056" s="535"/>
      <c r="S1056" s="351"/>
      <c r="T1056" s="536"/>
      <c r="U1056" s="351"/>
      <c r="V1056" s="537"/>
      <c r="W1056" s="351"/>
      <c r="X1056" s="538" t="s">
        <v>294</v>
      </c>
      <c r="Y1056" s="350"/>
      <c r="Z1056" s="350"/>
      <c r="AA1056" s="351"/>
      <c r="AB1056" s="539" t="s">
        <v>294</v>
      </c>
      <c r="AC1056" s="350"/>
      <c r="AD1056" s="350"/>
      <c r="AE1056" s="351"/>
      <c r="AF1056" s="540"/>
      <c r="AG1056" s="351"/>
      <c r="AH1056" s="540"/>
      <c r="AI1056" s="351"/>
      <c r="AJ1056" s="545"/>
      <c r="AK1056" s="351"/>
      <c r="AL1056" s="555" t="s">
        <v>325</v>
      </c>
      <c r="AM1056" s="351"/>
      <c r="AN1056" s="531" t="s">
        <v>325</v>
      </c>
      <c r="AO1056" s="351"/>
      <c r="AP1056" s="532"/>
      <c r="AQ1056" s="351"/>
      <c r="AR1056" s="533"/>
      <c r="AS1056" s="351"/>
      <c r="AT1056" s="534"/>
      <c r="AU1056" s="351"/>
      <c r="AV1056" s="531" t="s">
        <v>325</v>
      </c>
      <c r="AW1056" s="351"/>
      <c r="AX1056" s="553"/>
      <c r="AY1056" s="350"/>
      <c r="AZ1056" s="351"/>
      <c r="BA1056" s="545"/>
      <c r="BB1056" s="351"/>
      <c r="BC1056" s="36"/>
      <c r="BD1056" s="556" t="s">
        <v>325</v>
      </c>
      <c r="BE1056" s="351"/>
      <c r="BF1056" s="557"/>
      <c r="BG1056" s="350"/>
      <c r="BH1056" s="350"/>
      <c r="BI1056" s="351"/>
      <c r="BJ1056" s="506" t="s">
        <v>294</v>
      </c>
      <c r="BK1056" s="350"/>
      <c r="BL1056" s="350"/>
      <c r="BM1056" s="351"/>
      <c r="BN1056" s="530" t="s">
        <v>294</v>
      </c>
      <c r="BO1056" s="350"/>
      <c r="BP1056" s="350"/>
      <c r="BQ1056" s="350"/>
      <c r="BR1056" s="350"/>
      <c r="BS1056" s="350"/>
      <c r="BT1056" s="350"/>
      <c r="BU1056" s="350"/>
      <c r="BV1056" s="351"/>
    </row>
    <row r="1057" spans="1:74" ht="45" customHeight="1">
      <c r="A1057" s="24">
        <f t="shared" si="4"/>
        <v>1043</v>
      </c>
      <c r="B1057" s="522" t="s">
        <v>294</v>
      </c>
      <c r="C1057" s="351"/>
      <c r="D1057" s="523" t="s">
        <v>298</v>
      </c>
      <c r="E1057" s="351"/>
      <c r="F1057" s="524" t="s">
        <v>325</v>
      </c>
      <c r="G1057" s="351"/>
      <c r="H1057" s="561" t="s">
        <v>325</v>
      </c>
      <c r="I1057" s="351"/>
      <c r="J1057" s="562"/>
      <c r="K1057" s="351"/>
      <c r="L1057" s="562"/>
      <c r="M1057" s="351"/>
      <c r="N1057" s="37"/>
      <c r="O1057" s="38"/>
      <c r="P1057" s="560"/>
      <c r="Q1057" s="351"/>
      <c r="R1057" s="527"/>
      <c r="S1057" s="351"/>
      <c r="T1057" s="528"/>
      <c r="U1057" s="351"/>
      <c r="V1057" s="541"/>
      <c r="W1057" s="351"/>
      <c r="X1057" s="542" t="s">
        <v>294</v>
      </c>
      <c r="Y1057" s="350"/>
      <c r="Z1057" s="350"/>
      <c r="AA1057" s="351"/>
      <c r="AB1057" s="543" t="s">
        <v>294</v>
      </c>
      <c r="AC1057" s="350"/>
      <c r="AD1057" s="350"/>
      <c r="AE1057" s="351"/>
      <c r="AF1057" s="544"/>
      <c r="AG1057" s="351"/>
      <c r="AH1057" s="544"/>
      <c r="AI1057" s="351"/>
      <c r="AJ1057" s="545"/>
      <c r="AK1057" s="351"/>
      <c r="AL1057" s="524" t="s">
        <v>325</v>
      </c>
      <c r="AM1057" s="351"/>
      <c r="AN1057" s="549" t="s">
        <v>325</v>
      </c>
      <c r="AO1057" s="351"/>
      <c r="AP1057" s="550"/>
      <c r="AQ1057" s="351"/>
      <c r="AR1057" s="551"/>
      <c r="AS1057" s="351"/>
      <c r="AT1057" s="552"/>
      <c r="AU1057" s="351"/>
      <c r="AV1057" s="549" t="s">
        <v>325</v>
      </c>
      <c r="AW1057" s="351"/>
      <c r="AX1057" s="553"/>
      <c r="AY1057" s="350"/>
      <c r="AZ1057" s="351"/>
      <c r="BA1057" s="554"/>
      <c r="BB1057" s="351"/>
      <c r="BC1057" s="39"/>
      <c r="BD1057" s="546" t="s">
        <v>325</v>
      </c>
      <c r="BE1057" s="351"/>
      <c r="BF1057" s="547"/>
      <c r="BG1057" s="350"/>
      <c r="BH1057" s="350"/>
      <c r="BI1057" s="351"/>
      <c r="BJ1057" s="548" t="s">
        <v>294</v>
      </c>
      <c r="BK1057" s="350"/>
      <c r="BL1057" s="350"/>
      <c r="BM1057" s="351"/>
      <c r="BN1057" s="530" t="s">
        <v>294</v>
      </c>
      <c r="BO1057" s="350"/>
      <c r="BP1057" s="350"/>
      <c r="BQ1057" s="350"/>
      <c r="BR1057" s="350"/>
      <c r="BS1057" s="350"/>
      <c r="BT1057" s="350"/>
      <c r="BU1057" s="350"/>
      <c r="BV1057" s="351"/>
    </row>
    <row r="1058" spans="1:74" ht="45" customHeight="1">
      <c r="A1058" s="24">
        <f t="shared" si="4"/>
        <v>1044</v>
      </c>
      <c r="B1058" s="558" t="s">
        <v>294</v>
      </c>
      <c r="C1058" s="351"/>
      <c r="D1058" s="559" t="s">
        <v>298</v>
      </c>
      <c r="E1058" s="351"/>
      <c r="F1058" s="524" t="s">
        <v>325</v>
      </c>
      <c r="G1058" s="351"/>
      <c r="H1058" s="525" t="s">
        <v>325</v>
      </c>
      <c r="I1058" s="351"/>
      <c r="J1058" s="563"/>
      <c r="K1058" s="351"/>
      <c r="L1058" s="563"/>
      <c r="M1058" s="351"/>
      <c r="N1058" s="34"/>
      <c r="O1058" s="35"/>
      <c r="P1058" s="526"/>
      <c r="Q1058" s="351"/>
      <c r="R1058" s="535"/>
      <c r="S1058" s="351"/>
      <c r="T1058" s="536"/>
      <c r="U1058" s="351"/>
      <c r="V1058" s="537"/>
      <c r="W1058" s="351"/>
      <c r="X1058" s="538" t="s">
        <v>294</v>
      </c>
      <c r="Y1058" s="350"/>
      <c r="Z1058" s="350"/>
      <c r="AA1058" s="351"/>
      <c r="AB1058" s="539" t="s">
        <v>294</v>
      </c>
      <c r="AC1058" s="350"/>
      <c r="AD1058" s="350"/>
      <c r="AE1058" s="351"/>
      <c r="AF1058" s="540"/>
      <c r="AG1058" s="351"/>
      <c r="AH1058" s="540"/>
      <c r="AI1058" s="351"/>
      <c r="AJ1058" s="545"/>
      <c r="AK1058" s="351"/>
      <c r="AL1058" s="555" t="s">
        <v>325</v>
      </c>
      <c r="AM1058" s="351"/>
      <c r="AN1058" s="531" t="s">
        <v>325</v>
      </c>
      <c r="AO1058" s="351"/>
      <c r="AP1058" s="532"/>
      <c r="AQ1058" s="351"/>
      <c r="AR1058" s="533"/>
      <c r="AS1058" s="351"/>
      <c r="AT1058" s="534"/>
      <c r="AU1058" s="351"/>
      <c r="AV1058" s="531" t="s">
        <v>325</v>
      </c>
      <c r="AW1058" s="351"/>
      <c r="AX1058" s="553"/>
      <c r="AY1058" s="350"/>
      <c r="AZ1058" s="351"/>
      <c r="BA1058" s="545"/>
      <c r="BB1058" s="351"/>
      <c r="BC1058" s="36"/>
      <c r="BD1058" s="556" t="s">
        <v>325</v>
      </c>
      <c r="BE1058" s="351"/>
      <c r="BF1058" s="529"/>
      <c r="BG1058" s="350"/>
      <c r="BH1058" s="350"/>
      <c r="BI1058" s="351"/>
      <c r="BJ1058" s="506" t="s">
        <v>294</v>
      </c>
      <c r="BK1058" s="350"/>
      <c r="BL1058" s="350"/>
      <c r="BM1058" s="351"/>
      <c r="BN1058" s="530" t="s">
        <v>294</v>
      </c>
      <c r="BO1058" s="350"/>
      <c r="BP1058" s="350"/>
      <c r="BQ1058" s="350"/>
      <c r="BR1058" s="350"/>
      <c r="BS1058" s="350"/>
      <c r="BT1058" s="350"/>
      <c r="BU1058" s="350"/>
      <c r="BV1058" s="351"/>
    </row>
    <row r="1059" spans="1:74" ht="45" customHeight="1">
      <c r="A1059" s="24">
        <f t="shared" si="4"/>
        <v>1045</v>
      </c>
      <c r="B1059" s="522" t="s">
        <v>294</v>
      </c>
      <c r="C1059" s="351"/>
      <c r="D1059" s="523" t="s">
        <v>298</v>
      </c>
      <c r="E1059" s="351"/>
      <c r="F1059" s="524" t="s">
        <v>325</v>
      </c>
      <c r="G1059" s="351"/>
      <c r="H1059" s="561" t="s">
        <v>325</v>
      </c>
      <c r="I1059" s="351"/>
      <c r="J1059" s="562"/>
      <c r="K1059" s="351"/>
      <c r="L1059" s="562"/>
      <c r="M1059" s="351"/>
      <c r="N1059" s="37"/>
      <c r="O1059" s="38"/>
      <c r="P1059" s="560"/>
      <c r="Q1059" s="351"/>
      <c r="R1059" s="527"/>
      <c r="S1059" s="351"/>
      <c r="T1059" s="528"/>
      <c r="U1059" s="351"/>
      <c r="V1059" s="541"/>
      <c r="W1059" s="351"/>
      <c r="X1059" s="542" t="s">
        <v>294</v>
      </c>
      <c r="Y1059" s="350"/>
      <c r="Z1059" s="350"/>
      <c r="AA1059" s="351"/>
      <c r="AB1059" s="543" t="s">
        <v>294</v>
      </c>
      <c r="AC1059" s="350"/>
      <c r="AD1059" s="350"/>
      <c r="AE1059" s="351"/>
      <c r="AF1059" s="544"/>
      <c r="AG1059" s="351"/>
      <c r="AH1059" s="544"/>
      <c r="AI1059" s="351"/>
      <c r="AJ1059" s="545"/>
      <c r="AK1059" s="351"/>
      <c r="AL1059" s="524" t="s">
        <v>325</v>
      </c>
      <c r="AM1059" s="351"/>
      <c r="AN1059" s="549" t="s">
        <v>325</v>
      </c>
      <c r="AO1059" s="351"/>
      <c r="AP1059" s="550"/>
      <c r="AQ1059" s="351"/>
      <c r="AR1059" s="551"/>
      <c r="AS1059" s="351"/>
      <c r="AT1059" s="552"/>
      <c r="AU1059" s="351"/>
      <c r="AV1059" s="549" t="s">
        <v>325</v>
      </c>
      <c r="AW1059" s="351"/>
      <c r="AX1059" s="553"/>
      <c r="AY1059" s="350"/>
      <c r="AZ1059" s="351"/>
      <c r="BA1059" s="554"/>
      <c r="BB1059" s="351"/>
      <c r="BC1059" s="39"/>
      <c r="BD1059" s="546" t="s">
        <v>325</v>
      </c>
      <c r="BE1059" s="351"/>
      <c r="BF1059" s="547"/>
      <c r="BG1059" s="350"/>
      <c r="BH1059" s="350"/>
      <c r="BI1059" s="351"/>
      <c r="BJ1059" s="548" t="s">
        <v>294</v>
      </c>
      <c r="BK1059" s="350"/>
      <c r="BL1059" s="350"/>
      <c r="BM1059" s="351"/>
      <c r="BN1059" s="530" t="s">
        <v>294</v>
      </c>
      <c r="BO1059" s="350"/>
      <c r="BP1059" s="350"/>
      <c r="BQ1059" s="350"/>
      <c r="BR1059" s="350"/>
      <c r="BS1059" s="350"/>
      <c r="BT1059" s="350"/>
      <c r="BU1059" s="350"/>
      <c r="BV1059" s="351"/>
    </row>
    <row r="1060" spans="1:74" ht="45" customHeight="1">
      <c r="A1060" s="24">
        <f t="shared" si="4"/>
        <v>1046</v>
      </c>
      <c r="B1060" s="558" t="s">
        <v>294</v>
      </c>
      <c r="C1060" s="351"/>
      <c r="D1060" s="559" t="s">
        <v>298</v>
      </c>
      <c r="E1060" s="351"/>
      <c r="F1060" s="524" t="s">
        <v>325</v>
      </c>
      <c r="G1060" s="351"/>
      <c r="H1060" s="525" t="s">
        <v>325</v>
      </c>
      <c r="I1060" s="351"/>
      <c r="J1060" s="563"/>
      <c r="K1060" s="351"/>
      <c r="L1060" s="563"/>
      <c r="M1060" s="351"/>
      <c r="N1060" s="34"/>
      <c r="O1060" s="35"/>
      <c r="P1060" s="526"/>
      <c r="Q1060" s="351"/>
      <c r="R1060" s="535"/>
      <c r="S1060" s="351"/>
      <c r="T1060" s="536"/>
      <c r="U1060" s="351"/>
      <c r="V1060" s="537"/>
      <c r="W1060" s="351"/>
      <c r="X1060" s="538" t="s">
        <v>294</v>
      </c>
      <c r="Y1060" s="350"/>
      <c r="Z1060" s="350"/>
      <c r="AA1060" s="351"/>
      <c r="AB1060" s="539" t="s">
        <v>294</v>
      </c>
      <c r="AC1060" s="350"/>
      <c r="AD1060" s="350"/>
      <c r="AE1060" s="351"/>
      <c r="AF1060" s="540"/>
      <c r="AG1060" s="351"/>
      <c r="AH1060" s="540"/>
      <c r="AI1060" s="351"/>
      <c r="AJ1060" s="545"/>
      <c r="AK1060" s="351"/>
      <c r="AL1060" s="555" t="s">
        <v>325</v>
      </c>
      <c r="AM1060" s="351"/>
      <c r="AN1060" s="531" t="s">
        <v>325</v>
      </c>
      <c r="AO1060" s="351"/>
      <c r="AP1060" s="532"/>
      <c r="AQ1060" s="351"/>
      <c r="AR1060" s="533"/>
      <c r="AS1060" s="351"/>
      <c r="AT1060" s="534"/>
      <c r="AU1060" s="351"/>
      <c r="AV1060" s="531" t="s">
        <v>325</v>
      </c>
      <c r="AW1060" s="351"/>
      <c r="AX1060" s="553"/>
      <c r="AY1060" s="350"/>
      <c r="AZ1060" s="351"/>
      <c r="BA1060" s="545"/>
      <c r="BB1060" s="351"/>
      <c r="BC1060" s="36"/>
      <c r="BD1060" s="556" t="s">
        <v>325</v>
      </c>
      <c r="BE1060" s="351"/>
      <c r="BF1060" s="557"/>
      <c r="BG1060" s="350"/>
      <c r="BH1060" s="350"/>
      <c r="BI1060" s="351"/>
      <c r="BJ1060" s="506" t="s">
        <v>294</v>
      </c>
      <c r="BK1060" s="350"/>
      <c r="BL1060" s="350"/>
      <c r="BM1060" s="351"/>
      <c r="BN1060" s="530" t="s">
        <v>294</v>
      </c>
      <c r="BO1060" s="350"/>
      <c r="BP1060" s="350"/>
      <c r="BQ1060" s="350"/>
      <c r="BR1060" s="350"/>
      <c r="BS1060" s="350"/>
      <c r="BT1060" s="350"/>
      <c r="BU1060" s="350"/>
      <c r="BV1060" s="351"/>
    </row>
    <row r="1061" spans="1:74" ht="45" customHeight="1">
      <c r="A1061" s="24">
        <f t="shared" si="4"/>
        <v>1047</v>
      </c>
      <c r="B1061" s="522" t="s">
        <v>294</v>
      </c>
      <c r="C1061" s="351"/>
      <c r="D1061" s="523" t="s">
        <v>298</v>
      </c>
      <c r="E1061" s="351"/>
      <c r="F1061" s="524" t="s">
        <v>325</v>
      </c>
      <c r="G1061" s="351"/>
      <c r="H1061" s="561" t="s">
        <v>325</v>
      </c>
      <c r="I1061" s="351"/>
      <c r="J1061" s="562"/>
      <c r="K1061" s="351"/>
      <c r="L1061" s="562"/>
      <c r="M1061" s="351"/>
      <c r="N1061" s="37"/>
      <c r="O1061" s="38"/>
      <c r="P1061" s="560"/>
      <c r="Q1061" s="351"/>
      <c r="R1061" s="527"/>
      <c r="S1061" s="351"/>
      <c r="T1061" s="528"/>
      <c r="U1061" s="351"/>
      <c r="V1061" s="541"/>
      <c r="W1061" s="351"/>
      <c r="X1061" s="542" t="s">
        <v>294</v>
      </c>
      <c r="Y1061" s="350"/>
      <c r="Z1061" s="350"/>
      <c r="AA1061" s="351"/>
      <c r="AB1061" s="543" t="s">
        <v>294</v>
      </c>
      <c r="AC1061" s="350"/>
      <c r="AD1061" s="350"/>
      <c r="AE1061" s="351"/>
      <c r="AF1061" s="544"/>
      <c r="AG1061" s="351"/>
      <c r="AH1061" s="544"/>
      <c r="AI1061" s="351"/>
      <c r="AJ1061" s="545"/>
      <c r="AK1061" s="351"/>
      <c r="AL1061" s="524" t="s">
        <v>325</v>
      </c>
      <c r="AM1061" s="351"/>
      <c r="AN1061" s="549" t="s">
        <v>325</v>
      </c>
      <c r="AO1061" s="351"/>
      <c r="AP1061" s="550"/>
      <c r="AQ1061" s="351"/>
      <c r="AR1061" s="551"/>
      <c r="AS1061" s="351"/>
      <c r="AT1061" s="552"/>
      <c r="AU1061" s="351"/>
      <c r="AV1061" s="549" t="s">
        <v>325</v>
      </c>
      <c r="AW1061" s="351"/>
      <c r="AX1061" s="553"/>
      <c r="AY1061" s="350"/>
      <c r="AZ1061" s="351"/>
      <c r="BA1061" s="554"/>
      <c r="BB1061" s="351"/>
      <c r="BC1061" s="39"/>
      <c r="BD1061" s="546" t="s">
        <v>325</v>
      </c>
      <c r="BE1061" s="351"/>
      <c r="BF1061" s="547"/>
      <c r="BG1061" s="350"/>
      <c r="BH1061" s="350"/>
      <c r="BI1061" s="351"/>
      <c r="BJ1061" s="548" t="s">
        <v>294</v>
      </c>
      <c r="BK1061" s="350"/>
      <c r="BL1061" s="350"/>
      <c r="BM1061" s="351"/>
      <c r="BN1061" s="530" t="s">
        <v>294</v>
      </c>
      <c r="BO1061" s="350"/>
      <c r="BP1061" s="350"/>
      <c r="BQ1061" s="350"/>
      <c r="BR1061" s="350"/>
      <c r="BS1061" s="350"/>
      <c r="BT1061" s="350"/>
      <c r="BU1061" s="350"/>
      <c r="BV1061" s="351"/>
    </row>
    <row r="1062" spans="1:74" ht="45" customHeight="1">
      <c r="A1062" s="24">
        <f t="shared" si="4"/>
        <v>1048</v>
      </c>
      <c r="B1062" s="558" t="s">
        <v>294</v>
      </c>
      <c r="C1062" s="351"/>
      <c r="D1062" s="559" t="s">
        <v>298</v>
      </c>
      <c r="E1062" s="351"/>
      <c r="F1062" s="524" t="s">
        <v>325</v>
      </c>
      <c r="G1062" s="351"/>
      <c r="H1062" s="525" t="s">
        <v>325</v>
      </c>
      <c r="I1062" s="351"/>
      <c r="J1062" s="563"/>
      <c r="K1062" s="351"/>
      <c r="L1062" s="563"/>
      <c r="M1062" s="351"/>
      <c r="N1062" s="37"/>
      <c r="O1062" s="38"/>
      <c r="P1062" s="560"/>
      <c r="Q1062" s="351"/>
      <c r="R1062" s="527"/>
      <c r="S1062" s="351"/>
      <c r="T1062" s="528"/>
      <c r="U1062" s="351"/>
      <c r="V1062" s="537"/>
      <c r="W1062" s="351"/>
      <c r="X1062" s="538" t="s">
        <v>294</v>
      </c>
      <c r="Y1062" s="350"/>
      <c r="Z1062" s="350"/>
      <c r="AA1062" s="351"/>
      <c r="AB1062" s="539" t="s">
        <v>294</v>
      </c>
      <c r="AC1062" s="350"/>
      <c r="AD1062" s="350"/>
      <c r="AE1062" s="351"/>
      <c r="AF1062" s="540"/>
      <c r="AG1062" s="351"/>
      <c r="AH1062" s="540"/>
      <c r="AI1062" s="351"/>
      <c r="AJ1062" s="545"/>
      <c r="AK1062" s="351"/>
      <c r="AL1062" s="555" t="s">
        <v>325</v>
      </c>
      <c r="AM1062" s="351"/>
      <c r="AN1062" s="531" t="s">
        <v>325</v>
      </c>
      <c r="AO1062" s="351"/>
      <c r="AP1062" s="532"/>
      <c r="AQ1062" s="351"/>
      <c r="AR1062" s="533"/>
      <c r="AS1062" s="351"/>
      <c r="AT1062" s="534"/>
      <c r="AU1062" s="351"/>
      <c r="AV1062" s="531" t="s">
        <v>325</v>
      </c>
      <c r="AW1062" s="351"/>
      <c r="AX1062" s="553"/>
      <c r="AY1062" s="350"/>
      <c r="AZ1062" s="351"/>
      <c r="BA1062" s="545"/>
      <c r="BB1062" s="351"/>
      <c r="BC1062" s="36"/>
      <c r="BD1062" s="556" t="s">
        <v>325</v>
      </c>
      <c r="BE1062" s="351"/>
      <c r="BF1062" s="557"/>
      <c r="BG1062" s="350"/>
      <c r="BH1062" s="350"/>
      <c r="BI1062" s="351"/>
      <c r="BJ1062" s="506" t="s">
        <v>294</v>
      </c>
      <c r="BK1062" s="350"/>
      <c r="BL1062" s="350"/>
      <c r="BM1062" s="351"/>
      <c r="BN1062" s="530" t="s">
        <v>294</v>
      </c>
      <c r="BO1062" s="350"/>
      <c r="BP1062" s="350"/>
      <c r="BQ1062" s="350"/>
      <c r="BR1062" s="350"/>
      <c r="BS1062" s="350"/>
      <c r="BT1062" s="350"/>
      <c r="BU1062" s="350"/>
      <c r="BV1062" s="351"/>
    </row>
    <row r="1063" spans="1:74" ht="45" customHeight="1">
      <c r="A1063" s="24">
        <f t="shared" si="4"/>
        <v>1049</v>
      </c>
      <c r="B1063" s="522" t="s">
        <v>294</v>
      </c>
      <c r="C1063" s="351"/>
      <c r="D1063" s="523" t="s">
        <v>298</v>
      </c>
      <c r="E1063" s="351"/>
      <c r="F1063" s="524" t="s">
        <v>325</v>
      </c>
      <c r="G1063" s="351"/>
      <c r="H1063" s="561" t="s">
        <v>325</v>
      </c>
      <c r="I1063" s="351"/>
      <c r="J1063" s="562"/>
      <c r="K1063" s="351"/>
      <c r="L1063" s="562"/>
      <c r="M1063" s="351"/>
      <c r="N1063" s="34"/>
      <c r="O1063" s="35"/>
      <c r="P1063" s="526"/>
      <c r="Q1063" s="351"/>
      <c r="R1063" s="535"/>
      <c r="S1063" s="351"/>
      <c r="T1063" s="536"/>
      <c r="U1063" s="351"/>
      <c r="V1063" s="541"/>
      <c r="W1063" s="351"/>
      <c r="X1063" s="542" t="s">
        <v>294</v>
      </c>
      <c r="Y1063" s="350"/>
      <c r="Z1063" s="350"/>
      <c r="AA1063" s="351"/>
      <c r="AB1063" s="543" t="s">
        <v>294</v>
      </c>
      <c r="AC1063" s="350"/>
      <c r="AD1063" s="350"/>
      <c r="AE1063" s="351"/>
      <c r="AF1063" s="544"/>
      <c r="AG1063" s="351"/>
      <c r="AH1063" s="544"/>
      <c r="AI1063" s="351"/>
      <c r="AJ1063" s="545"/>
      <c r="AK1063" s="351"/>
      <c r="AL1063" s="524" t="s">
        <v>325</v>
      </c>
      <c r="AM1063" s="351"/>
      <c r="AN1063" s="549" t="s">
        <v>325</v>
      </c>
      <c r="AO1063" s="351"/>
      <c r="AP1063" s="550"/>
      <c r="AQ1063" s="351"/>
      <c r="AR1063" s="551"/>
      <c r="AS1063" s="351"/>
      <c r="AT1063" s="552"/>
      <c r="AU1063" s="351"/>
      <c r="AV1063" s="549" t="s">
        <v>325</v>
      </c>
      <c r="AW1063" s="351"/>
      <c r="AX1063" s="553"/>
      <c r="AY1063" s="350"/>
      <c r="AZ1063" s="351"/>
      <c r="BA1063" s="554"/>
      <c r="BB1063" s="351"/>
      <c r="BC1063" s="39"/>
      <c r="BD1063" s="546" t="s">
        <v>325</v>
      </c>
      <c r="BE1063" s="351"/>
      <c r="BF1063" s="547"/>
      <c r="BG1063" s="350"/>
      <c r="BH1063" s="350"/>
      <c r="BI1063" s="351"/>
      <c r="BJ1063" s="548" t="s">
        <v>294</v>
      </c>
      <c r="BK1063" s="350"/>
      <c r="BL1063" s="350"/>
      <c r="BM1063" s="351"/>
      <c r="BN1063" s="530" t="s">
        <v>294</v>
      </c>
      <c r="BO1063" s="350"/>
      <c r="BP1063" s="350"/>
      <c r="BQ1063" s="350"/>
      <c r="BR1063" s="350"/>
      <c r="BS1063" s="350"/>
      <c r="BT1063" s="350"/>
      <c r="BU1063" s="350"/>
      <c r="BV1063" s="351"/>
    </row>
    <row r="1064" spans="1:74" ht="45" customHeight="1">
      <c r="A1064" s="24">
        <f t="shared" si="4"/>
        <v>1050</v>
      </c>
      <c r="B1064" s="558" t="s">
        <v>294</v>
      </c>
      <c r="C1064" s="351"/>
      <c r="D1064" s="559" t="s">
        <v>298</v>
      </c>
      <c r="E1064" s="351"/>
      <c r="F1064" s="524" t="s">
        <v>325</v>
      </c>
      <c r="G1064" s="351"/>
      <c r="H1064" s="525" t="s">
        <v>325</v>
      </c>
      <c r="I1064" s="351"/>
      <c r="J1064" s="563"/>
      <c r="K1064" s="351"/>
      <c r="L1064" s="563"/>
      <c r="M1064" s="351"/>
      <c r="N1064" s="37"/>
      <c r="O1064" s="38"/>
      <c r="P1064" s="560"/>
      <c r="Q1064" s="351"/>
      <c r="R1064" s="527"/>
      <c r="S1064" s="351"/>
      <c r="T1064" s="528"/>
      <c r="U1064" s="351"/>
      <c r="V1064" s="537"/>
      <c r="W1064" s="351"/>
      <c r="X1064" s="538" t="s">
        <v>294</v>
      </c>
      <c r="Y1064" s="350"/>
      <c r="Z1064" s="350"/>
      <c r="AA1064" s="351"/>
      <c r="AB1064" s="539" t="s">
        <v>294</v>
      </c>
      <c r="AC1064" s="350"/>
      <c r="AD1064" s="350"/>
      <c r="AE1064" s="351"/>
      <c r="AF1064" s="540"/>
      <c r="AG1064" s="351"/>
      <c r="AH1064" s="540"/>
      <c r="AI1064" s="351"/>
      <c r="AJ1064" s="545"/>
      <c r="AK1064" s="351"/>
      <c r="AL1064" s="555" t="s">
        <v>325</v>
      </c>
      <c r="AM1064" s="351"/>
      <c r="AN1064" s="531" t="s">
        <v>325</v>
      </c>
      <c r="AO1064" s="351"/>
      <c r="AP1064" s="532"/>
      <c r="AQ1064" s="351"/>
      <c r="AR1064" s="533"/>
      <c r="AS1064" s="351"/>
      <c r="AT1064" s="534"/>
      <c r="AU1064" s="351"/>
      <c r="AV1064" s="531" t="s">
        <v>325</v>
      </c>
      <c r="AW1064" s="351"/>
      <c r="AX1064" s="553"/>
      <c r="AY1064" s="350"/>
      <c r="AZ1064" s="351"/>
      <c r="BA1064" s="545"/>
      <c r="BB1064" s="351"/>
      <c r="BC1064" s="36"/>
      <c r="BD1064" s="556" t="s">
        <v>325</v>
      </c>
      <c r="BE1064" s="351"/>
      <c r="BF1064" s="529"/>
      <c r="BG1064" s="350"/>
      <c r="BH1064" s="350"/>
      <c r="BI1064" s="351"/>
      <c r="BJ1064" s="506" t="s">
        <v>294</v>
      </c>
      <c r="BK1064" s="350"/>
      <c r="BL1064" s="350"/>
      <c r="BM1064" s="351"/>
      <c r="BN1064" s="530" t="s">
        <v>294</v>
      </c>
      <c r="BO1064" s="350"/>
      <c r="BP1064" s="350"/>
      <c r="BQ1064" s="350"/>
      <c r="BR1064" s="350"/>
      <c r="BS1064" s="350"/>
      <c r="BT1064" s="350"/>
      <c r="BU1064" s="350"/>
      <c r="BV1064" s="351"/>
    </row>
    <row r="1065" spans="1:74" ht="45" customHeight="1">
      <c r="A1065" s="24">
        <f t="shared" si="4"/>
        <v>1051</v>
      </c>
      <c r="B1065" s="522" t="s">
        <v>294</v>
      </c>
      <c r="C1065" s="351"/>
      <c r="D1065" s="523" t="s">
        <v>298</v>
      </c>
      <c r="E1065" s="351"/>
      <c r="F1065" s="524" t="s">
        <v>325</v>
      </c>
      <c r="G1065" s="351"/>
      <c r="H1065" s="561" t="s">
        <v>325</v>
      </c>
      <c r="I1065" s="351"/>
      <c r="J1065" s="562"/>
      <c r="K1065" s="351"/>
      <c r="L1065" s="562"/>
      <c r="M1065" s="351"/>
      <c r="N1065" s="34"/>
      <c r="O1065" s="35"/>
      <c r="P1065" s="526"/>
      <c r="Q1065" s="351"/>
      <c r="R1065" s="535"/>
      <c r="S1065" s="351"/>
      <c r="T1065" s="536"/>
      <c r="U1065" s="351"/>
      <c r="V1065" s="541"/>
      <c r="W1065" s="351"/>
      <c r="X1065" s="542" t="s">
        <v>294</v>
      </c>
      <c r="Y1065" s="350"/>
      <c r="Z1065" s="350"/>
      <c r="AA1065" s="351"/>
      <c r="AB1065" s="543" t="s">
        <v>294</v>
      </c>
      <c r="AC1065" s="350"/>
      <c r="AD1065" s="350"/>
      <c r="AE1065" s="351"/>
      <c r="AF1065" s="544"/>
      <c r="AG1065" s="351"/>
      <c r="AH1065" s="544"/>
      <c r="AI1065" s="351"/>
      <c r="AJ1065" s="545"/>
      <c r="AK1065" s="351"/>
      <c r="AL1065" s="524" t="s">
        <v>325</v>
      </c>
      <c r="AM1065" s="351"/>
      <c r="AN1065" s="549" t="s">
        <v>325</v>
      </c>
      <c r="AO1065" s="351"/>
      <c r="AP1065" s="550"/>
      <c r="AQ1065" s="351"/>
      <c r="AR1065" s="551"/>
      <c r="AS1065" s="351"/>
      <c r="AT1065" s="552"/>
      <c r="AU1065" s="351"/>
      <c r="AV1065" s="549" t="s">
        <v>325</v>
      </c>
      <c r="AW1065" s="351"/>
      <c r="AX1065" s="553"/>
      <c r="AY1065" s="350"/>
      <c r="AZ1065" s="351"/>
      <c r="BA1065" s="554"/>
      <c r="BB1065" s="351"/>
      <c r="BC1065" s="39"/>
      <c r="BD1065" s="546" t="s">
        <v>325</v>
      </c>
      <c r="BE1065" s="351"/>
      <c r="BF1065" s="547"/>
      <c r="BG1065" s="350"/>
      <c r="BH1065" s="350"/>
      <c r="BI1065" s="351"/>
      <c r="BJ1065" s="548" t="s">
        <v>294</v>
      </c>
      <c r="BK1065" s="350"/>
      <c r="BL1065" s="350"/>
      <c r="BM1065" s="351"/>
      <c r="BN1065" s="530" t="s">
        <v>294</v>
      </c>
      <c r="BO1065" s="350"/>
      <c r="BP1065" s="350"/>
      <c r="BQ1065" s="350"/>
      <c r="BR1065" s="350"/>
      <c r="BS1065" s="350"/>
      <c r="BT1065" s="350"/>
      <c r="BU1065" s="350"/>
      <c r="BV1065" s="351"/>
    </row>
    <row r="1066" spans="1:74" ht="45" customHeight="1">
      <c r="A1066" s="24">
        <f t="shared" si="4"/>
        <v>1052</v>
      </c>
      <c r="B1066" s="558" t="s">
        <v>294</v>
      </c>
      <c r="C1066" s="351"/>
      <c r="D1066" s="559" t="s">
        <v>298</v>
      </c>
      <c r="E1066" s="351"/>
      <c r="F1066" s="524" t="s">
        <v>325</v>
      </c>
      <c r="G1066" s="351"/>
      <c r="H1066" s="525" t="s">
        <v>325</v>
      </c>
      <c r="I1066" s="351"/>
      <c r="J1066" s="563"/>
      <c r="K1066" s="351"/>
      <c r="L1066" s="563"/>
      <c r="M1066" s="351"/>
      <c r="N1066" s="37"/>
      <c r="O1066" s="38"/>
      <c r="P1066" s="560"/>
      <c r="Q1066" s="351"/>
      <c r="R1066" s="527"/>
      <c r="S1066" s="351"/>
      <c r="T1066" s="528"/>
      <c r="U1066" s="351"/>
      <c r="V1066" s="537"/>
      <c r="W1066" s="351"/>
      <c r="X1066" s="538" t="s">
        <v>294</v>
      </c>
      <c r="Y1066" s="350"/>
      <c r="Z1066" s="350"/>
      <c r="AA1066" s="351"/>
      <c r="AB1066" s="539" t="s">
        <v>294</v>
      </c>
      <c r="AC1066" s="350"/>
      <c r="AD1066" s="350"/>
      <c r="AE1066" s="351"/>
      <c r="AF1066" s="540"/>
      <c r="AG1066" s="351"/>
      <c r="AH1066" s="540"/>
      <c r="AI1066" s="351"/>
      <c r="AJ1066" s="545"/>
      <c r="AK1066" s="351"/>
      <c r="AL1066" s="555" t="s">
        <v>325</v>
      </c>
      <c r="AM1066" s="351"/>
      <c r="AN1066" s="531" t="s">
        <v>325</v>
      </c>
      <c r="AO1066" s="351"/>
      <c r="AP1066" s="532"/>
      <c r="AQ1066" s="351"/>
      <c r="AR1066" s="533"/>
      <c r="AS1066" s="351"/>
      <c r="AT1066" s="534"/>
      <c r="AU1066" s="351"/>
      <c r="AV1066" s="531" t="s">
        <v>325</v>
      </c>
      <c r="AW1066" s="351"/>
      <c r="AX1066" s="553"/>
      <c r="AY1066" s="350"/>
      <c r="AZ1066" s="351"/>
      <c r="BA1066" s="545"/>
      <c r="BB1066" s="351"/>
      <c r="BC1066" s="36"/>
      <c r="BD1066" s="556" t="s">
        <v>325</v>
      </c>
      <c r="BE1066" s="351"/>
      <c r="BF1066" s="557"/>
      <c r="BG1066" s="350"/>
      <c r="BH1066" s="350"/>
      <c r="BI1066" s="351"/>
      <c r="BJ1066" s="506" t="s">
        <v>294</v>
      </c>
      <c r="BK1066" s="350"/>
      <c r="BL1066" s="350"/>
      <c r="BM1066" s="351"/>
      <c r="BN1066" s="530" t="s">
        <v>294</v>
      </c>
      <c r="BO1066" s="350"/>
      <c r="BP1066" s="350"/>
      <c r="BQ1066" s="350"/>
      <c r="BR1066" s="350"/>
      <c r="BS1066" s="350"/>
      <c r="BT1066" s="350"/>
      <c r="BU1066" s="350"/>
      <c r="BV1066" s="351"/>
    </row>
    <row r="1067" spans="1:74" ht="45" customHeight="1">
      <c r="A1067" s="24">
        <f t="shared" si="4"/>
        <v>1053</v>
      </c>
      <c r="B1067" s="522" t="s">
        <v>294</v>
      </c>
      <c r="C1067" s="351"/>
      <c r="D1067" s="523" t="s">
        <v>298</v>
      </c>
      <c r="E1067" s="351"/>
      <c r="F1067" s="524" t="s">
        <v>325</v>
      </c>
      <c r="G1067" s="351"/>
      <c r="H1067" s="561" t="s">
        <v>325</v>
      </c>
      <c r="I1067" s="351"/>
      <c r="J1067" s="562"/>
      <c r="K1067" s="351"/>
      <c r="L1067" s="562"/>
      <c r="M1067" s="351"/>
      <c r="N1067" s="34"/>
      <c r="O1067" s="35"/>
      <c r="P1067" s="526"/>
      <c r="Q1067" s="351"/>
      <c r="R1067" s="535"/>
      <c r="S1067" s="351"/>
      <c r="T1067" s="536"/>
      <c r="U1067" s="351"/>
      <c r="V1067" s="541"/>
      <c r="W1067" s="351"/>
      <c r="X1067" s="542" t="s">
        <v>294</v>
      </c>
      <c r="Y1067" s="350"/>
      <c r="Z1067" s="350"/>
      <c r="AA1067" s="351"/>
      <c r="AB1067" s="543" t="s">
        <v>294</v>
      </c>
      <c r="AC1067" s="350"/>
      <c r="AD1067" s="350"/>
      <c r="AE1067" s="351"/>
      <c r="AF1067" s="544"/>
      <c r="AG1067" s="351"/>
      <c r="AH1067" s="544"/>
      <c r="AI1067" s="351"/>
      <c r="AJ1067" s="545"/>
      <c r="AK1067" s="351"/>
      <c r="AL1067" s="524" t="s">
        <v>325</v>
      </c>
      <c r="AM1067" s="351"/>
      <c r="AN1067" s="549" t="s">
        <v>325</v>
      </c>
      <c r="AO1067" s="351"/>
      <c r="AP1067" s="550"/>
      <c r="AQ1067" s="351"/>
      <c r="AR1067" s="551"/>
      <c r="AS1067" s="351"/>
      <c r="AT1067" s="534"/>
      <c r="AU1067" s="351"/>
      <c r="AV1067" s="549" t="s">
        <v>325</v>
      </c>
      <c r="AW1067" s="351"/>
      <c r="AX1067" s="553"/>
      <c r="AY1067" s="350"/>
      <c r="AZ1067" s="351"/>
      <c r="BA1067" s="554"/>
      <c r="BB1067" s="351"/>
      <c r="BC1067" s="39"/>
      <c r="BD1067" s="546" t="s">
        <v>325</v>
      </c>
      <c r="BE1067" s="351"/>
      <c r="BF1067" s="547"/>
      <c r="BG1067" s="350"/>
      <c r="BH1067" s="350"/>
      <c r="BI1067" s="351"/>
      <c r="BJ1067" s="548" t="s">
        <v>294</v>
      </c>
      <c r="BK1067" s="350"/>
      <c r="BL1067" s="350"/>
      <c r="BM1067" s="351"/>
      <c r="BN1067" s="530" t="s">
        <v>294</v>
      </c>
      <c r="BO1067" s="350"/>
      <c r="BP1067" s="350"/>
      <c r="BQ1067" s="350"/>
      <c r="BR1067" s="350"/>
      <c r="BS1067" s="350"/>
      <c r="BT1067" s="350"/>
      <c r="BU1067" s="350"/>
      <c r="BV1067" s="351"/>
    </row>
    <row r="1068" spans="1:74" ht="45" customHeight="1">
      <c r="A1068" s="24">
        <f t="shared" si="4"/>
        <v>1054</v>
      </c>
      <c r="B1068" s="558" t="s">
        <v>294</v>
      </c>
      <c r="C1068" s="351"/>
      <c r="D1068" s="559" t="s">
        <v>298</v>
      </c>
      <c r="E1068" s="351"/>
      <c r="F1068" s="524" t="s">
        <v>325</v>
      </c>
      <c r="G1068" s="351"/>
      <c r="H1068" s="525" t="s">
        <v>325</v>
      </c>
      <c r="I1068" s="351"/>
      <c r="J1068" s="563"/>
      <c r="K1068" s="351"/>
      <c r="L1068" s="563"/>
      <c r="M1068" s="351"/>
      <c r="N1068" s="37"/>
      <c r="O1068" s="38"/>
      <c r="P1068" s="560"/>
      <c r="Q1068" s="351"/>
      <c r="R1068" s="527"/>
      <c r="S1068" s="351"/>
      <c r="T1068" s="528"/>
      <c r="U1068" s="351"/>
      <c r="V1068" s="537"/>
      <c r="W1068" s="351"/>
      <c r="X1068" s="538" t="s">
        <v>294</v>
      </c>
      <c r="Y1068" s="350"/>
      <c r="Z1068" s="350"/>
      <c r="AA1068" s="351"/>
      <c r="AB1068" s="539" t="s">
        <v>294</v>
      </c>
      <c r="AC1068" s="350"/>
      <c r="AD1068" s="350"/>
      <c r="AE1068" s="351"/>
      <c r="AF1068" s="540"/>
      <c r="AG1068" s="351"/>
      <c r="AH1068" s="540"/>
      <c r="AI1068" s="351"/>
      <c r="AJ1068" s="545"/>
      <c r="AK1068" s="351"/>
      <c r="AL1068" s="555" t="s">
        <v>325</v>
      </c>
      <c r="AM1068" s="351"/>
      <c r="AN1068" s="531" t="s">
        <v>325</v>
      </c>
      <c r="AO1068" s="351"/>
      <c r="AP1068" s="532"/>
      <c r="AQ1068" s="351"/>
      <c r="AR1068" s="533"/>
      <c r="AS1068" s="351"/>
      <c r="AT1068" s="534"/>
      <c r="AU1068" s="351"/>
      <c r="AV1068" s="531" t="s">
        <v>325</v>
      </c>
      <c r="AW1068" s="351"/>
      <c r="AX1068" s="553"/>
      <c r="AY1068" s="350"/>
      <c r="AZ1068" s="351"/>
      <c r="BA1068" s="545"/>
      <c r="BB1068" s="351"/>
      <c r="BC1068" s="36"/>
      <c r="BD1068" s="556" t="s">
        <v>325</v>
      </c>
      <c r="BE1068" s="351"/>
      <c r="BF1068" s="557"/>
      <c r="BG1068" s="350"/>
      <c r="BH1068" s="350"/>
      <c r="BI1068" s="351"/>
      <c r="BJ1068" s="506" t="s">
        <v>294</v>
      </c>
      <c r="BK1068" s="350"/>
      <c r="BL1068" s="350"/>
      <c r="BM1068" s="351"/>
      <c r="BN1068" s="530" t="s">
        <v>294</v>
      </c>
      <c r="BO1068" s="350"/>
      <c r="BP1068" s="350"/>
      <c r="BQ1068" s="350"/>
      <c r="BR1068" s="350"/>
      <c r="BS1068" s="350"/>
      <c r="BT1068" s="350"/>
      <c r="BU1068" s="350"/>
      <c r="BV1068" s="351"/>
    </row>
    <row r="1069" spans="1:74" ht="45" customHeight="1">
      <c r="A1069" s="24">
        <f t="shared" si="4"/>
        <v>1055</v>
      </c>
      <c r="B1069" s="522" t="s">
        <v>294</v>
      </c>
      <c r="C1069" s="351"/>
      <c r="D1069" s="523" t="s">
        <v>298</v>
      </c>
      <c r="E1069" s="351"/>
      <c r="F1069" s="524" t="s">
        <v>325</v>
      </c>
      <c r="G1069" s="351"/>
      <c r="H1069" s="561" t="s">
        <v>325</v>
      </c>
      <c r="I1069" s="351"/>
      <c r="J1069" s="562"/>
      <c r="K1069" s="351"/>
      <c r="L1069" s="562"/>
      <c r="M1069" s="351"/>
      <c r="N1069" s="34"/>
      <c r="O1069" s="35"/>
      <c r="P1069" s="526"/>
      <c r="Q1069" s="351"/>
      <c r="R1069" s="535"/>
      <c r="S1069" s="351"/>
      <c r="T1069" s="536"/>
      <c r="U1069" s="351"/>
      <c r="V1069" s="541"/>
      <c r="W1069" s="351"/>
      <c r="X1069" s="542" t="s">
        <v>294</v>
      </c>
      <c r="Y1069" s="350"/>
      <c r="Z1069" s="350"/>
      <c r="AA1069" s="351"/>
      <c r="AB1069" s="543" t="s">
        <v>294</v>
      </c>
      <c r="AC1069" s="350"/>
      <c r="AD1069" s="350"/>
      <c r="AE1069" s="351"/>
      <c r="AF1069" s="544"/>
      <c r="AG1069" s="351"/>
      <c r="AH1069" s="544"/>
      <c r="AI1069" s="351"/>
      <c r="AJ1069" s="545"/>
      <c r="AK1069" s="351"/>
      <c r="AL1069" s="524" t="s">
        <v>325</v>
      </c>
      <c r="AM1069" s="351"/>
      <c r="AN1069" s="549" t="s">
        <v>325</v>
      </c>
      <c r="AO1069" s="351"/>
      <c r="AP1069" s="550"/>
      <c r="AQ1069" s="351"/>
      <c r="AR1069" s="551"/>
      <c r="AS1069" s="351"/>
      <c r="AT1069" s="534"/>
      <c r="AU1069" s="351"/>
      <c r="AV1069" s="549" t="s">
        <v>325</v>
      </c>
      <c r="AW1069" s="351"/>
      <c r="AX1069" s="553"/>
      <c r="AY1069" s="350"/>
      <c r="AZ1069" s="351"/>
      <c r="BA1069" s="554"/>
      <c r="BB1069" s="351"/>
      <c r="BC1069" s="39"/>
      <c r="BD1069" s="546" t="s">
        <v>325</v>
      </c>
      <c r="BE1069" s="351"/>
      <c r="BF1069" s="547"/>
      <c r="BG1069" s="350"/>
      <c r="BH1069" s="350"/>
      <c r="BI1069" s="351"/>
      <c r="BJ1069" s="548" t="s">
        <v>294</v>
      </c>
      <c r="BK1069" s="350"/>
      <c r="BL1069" s="350"/>
      <c r="BM1069" s="351"/>
      <c r="BN1069" s="530" t="s">
        <v>294</v>
      </c>
      <c r="BO1069" s="350"/>
      <c r="BP1069" s="350"/>
      <c r="BQ1069" s="350"/>
      <c r="BR1069" s="350"/>
      <c r="BS1069" s="350"/>
      <c r="BT1069" s="350"/>
      <c r="BU1069" s="350"/>
      <c r="BV1069" s="351"/>
    </row>
    <row r="1070" spans="1:74" ht="45" customHeight="1">
      <c r="A1070" s="24">
        <f t="shared" si="4"/>
        <v>1056</v>
      </c>
      <c r="B1070" s="558" t="s">
        <v>294</v>
      </c>
      <c r="C1070" s="351"/>
      <c r="D1070" s="559" t="s">
        <v>298</v>
      </c>
      <c r="E1070" s="351"/>
      <c r="F1070" s="524" t="s">
        <v>325</v>
      </c>
      <c r="G1070" s="351"/>
      <c r="H1070" s="525" t="s">
        <v>325</v>
      </c>
      <c r="I1070" s="351"/>
      <c r="J1070" s="563"/>
      <c r="K1070" s="351"/>
      <c r="L1070" s="563"/>
      <c r="M1070" s="351"/>
      <c r="N1070" s="37"/>
      <c r="O1070" s="38"/>
      <c r="P1070" s="560"/>
      <c r="Q1070" s="351"/>
      <c r="R1070" s="527"/>
      <c r="S1070" s="351"/>
      <c r="T1070" s="528"/>
      <c r="U1070" s="351"/>
      <c r="V1070" s="537"/>
      <c r="W1070" s="351"/>
      <c r="X1070" s="538" t="s">
        <v>294</v>
      </c>
      <c r="Y1070" s="350"/>
      <c r="Z1070" s="350"/>
      <c r="AA1070" s="351"/>
      <c r="AB1070" s="539" t="s">
        <v>294</v>
      </c>
      <c r="AC1070" s="350"/>
      <c r="AD1070" s="350"/>
      <c r="AE1070" s="351"/>
      <c r="AF1070" s="540"/>
      <c r="AG1070" s="351"/>
      <c r="AH1070" s="540"/>
      <c r="AI1070" s="351"/>
      <c r="AJ1070" s="545"/>
      <c r="AK1070" s="351"/>
      <c r="AL1070" s="555" t="s">
        <v>325</v>
      </c>
      <c r="AM1070" s="351"/>
      <c r="AN1070" s="531" t="s">
        <v>325</v>
      </c>
      <c r="AO1070" s="351"/>
      <c r="AP1070" s="532"/>
      <c r="AQ1070" s="351"/>
      <c r="AR1070" s="533"/>
      <c r="AS1070" s="351"/>
      <c r="AT1070" s="534"/>
      <c r="AU1070" s="351"/>
      <c r="AV1070" s="531" t="s">
        <v>325</v>
      </c>
      <c r="AW1070" s="351"/>
      <c r="AX1070" s="553"/>
      <c r="AY1070" s="350"/>
      <c r="AZ1070" s="351"/>
      <c r="BA1070" s="545"/>
      <c r="BB1070" s="351"/>
      <c r="BC1070" s="36"/>
      <c r="BD1070" s="556" t="s">
        <v>325</v>
      </c>
      <c r="BE1070" s="351"/>
      <c r="BF1070" s="557"/>
      <c r="BG1070" s="350"/>
      <c r="BH1070" s="350"/>
      <c r="BI1070" s="351"/>
      <c r="BJ1070" s="506" t="s">
        <v>294</v>
      </c>
      <c r="BK1070" s="350"/>
      <c r="BL1070" s="350"/>
      <c r="BM1070" s="351"/>
      <c r="BN1070" s="530" t="s">
        <v>294</v>
      </c>
      <c r="BO1070" s="350"/>
      <c r="BP1070" s="350"/>
      <c r="BQ1070" s="350"/>
      <c r="BR1070" s="350"/>
      <c r="BS1070" s="350"/>
      <c r="BT1070" s="350"/>
      <c r="BU1070" s="350"/>
      <c r="BV1070" s="351"/>
    </row>
    <row r="1071" spans="1:74" ht="45" customHeight="1">
      <c r="A1071" s="24">
        <f t="shared" si="4"/>
        <v>1057</v>
      </c>
      <c r="B1071" s="522" t="s">
        <v>294</v>
      </c>
      <c r="C1071" s="351"/>
      <c r="D1071" s="523" t="s">
        <v>298</v>
      </c>
      <c r="E1071" s="351"/>
      <c r="F1071" s="524" t="s">
        <v>325</v>
      </c>
      <c r="G1071" s="351"/>
      <c r="H1071" s="561" t="s">
        <v>325</v>
      </c>
      <c r="I1071" s="351"/>
      <c r="J1071" s="562"/>
      <c r="K1071" s="351"/>
      <c r="L1071" s="562"/>
      <c r="M1071" s="351"/>
      <c r="N1071" s="34"/>
      <c r="O1071" s="35"/>
      <c r="P1071" s="526"/>
      <c r="Q1071" s="351"/>
      <c r="R1071" s="535"/>
      <c r="S1071" s="351"/>
      <c r="T1071" s="536"/>
      <c r="U1071" s="351"/>
      <c r="V1071" s="541"/>
      <c r="W1071" s="351"/>
      <c r="X1071" s="542" t="s">
        <v>294</v>
      </c>
      <c r="Y1071" s="350"/>
      <c r="Z1071" s="350"/>
      <c r="AA1071" s="351"/>
      <c r="AB1071" s="543" t="s">
        <v>294</v>
      </c>
      <c r="AC1071" s="350"/>
      <c r="AD1071" s="350"/>
      <c r="AE1071" s="351"/>
      <c r="AF1071" s="544"/>
      <c r="AG1071" s="351"/>
      <c r="AH1071" s="544"/>
      <c r="AI1071" s="351"/>
      <c r="AJ1071" s="545"/>
      <c r="AK1071" s="351"/>
      <c r="AL1071" s="524" t="s">
        <v>325</v>
      </c>
      <c r="AM1071" s="351"/>
      <c r="AN1071" s="549" t="s">
        <v>325</v>
      </c>
      <c r="AO1071" s="351"/>
      <c r="AP1071" s="550"/>
      <c r="AQ1071" s="351"/>
      <c r="AR1071" s="551"/>
      <c r="AS1071" s="351"/>
      <c r="AT1071" s="552"/>
      <c r="AU1071" s="351"/>
      <c r="AV1071" s="549" t="s">
        <v>325</v>
      </c>
      <c r="AW1071" s="351"/>
      <c r="AX1071" s="553"/>
      <c r="AY1071" s="350"/>
      <c r="AZ1071" s="351"/>
      <c r="BA1071" s="554"/>
      <c r="BB1071" s="351"/>
      <c r="BC1071" s="39"/>
      <c r="BD1071" s="546" t="s">
        <v>325</v>
      </c>
      <c r="BE1071" s="351"/>
      <c r="BF1071" s="547"/>
      <c r="BG1071" s="350"/>
      <c r="BH1071" s="350"/>
      <c r="BI1071" s="351"/>
      <c r="BJ1071" s="548" t="s">
        <v>294</v>
      </c>
      <c r="BK1071" s="350"/>
      <c r="BL1071" s="350"/>
      <c r="BM1071" s="351"/>
      <c r="BN1071" s="530" t="s">
        <v>294</v>
      </c>
      <c r="BO1071" s="350"/>
      <c r="BP1071" s="350"/>
      <c r="BQ1071" s="350"/>
      <c r="BR1071" s="350"/>
      <c r="BS1071" s="350"/>
      <c r="BT1071" s="350"/>
      <c r="BU1071" s="350"/>
      <c r="BV1071" s="351"/>
    </row>
    <row r="1072" spans="1:74" ht="45" customHeight="1">
      <c r="A1072" s="24">
        <f t="shared" si="4"/>
        <v>1058</v>
      </c>
      <c r="B1072" s="558" t="s">
        <v>294</v>
      </c>
      <c r="C1072" s="351"/>
      <c r="D1072" s="559" t="s">
        <v>298</v>
      </c>
      <c r="E1072" s="351"/>
      <c r="F1072" s="524" t="s">
        <v>325</v>
      </c>
      <c r="G1072" s="351"/>
      <c r="H1072" s="525" t="s">
        <v>325</v>
      </c>
      <c r="I1072" s="351"/>
      <c r="J1072" s="563"/>
      <c r="K1072" s="351"/>
      <c r="L1072" s="563"/>
      <c r="M1072" s="351"/>
      <c r="N1072" s="37"/>
      <c r="O1072" s="38"/>
      <c r="P1072" s="560"/>
      <c r="Q1072" s="351"/>
      <c r="R1072" s="527"/>
      <c r="S1072" s="351"/>
      <c r="T1072" s="528"/>
      <c r="U1072" s="351"/>
      <c r="V1072" s="537"/>
      <c r="W1072" s="351"/>
      <c r="X1072" s="538" t="s">
        <v>294</v>
      </c>
      <c r="Y1072" s="350"/>
      <c r="Z1072" s="350"/>
      <c r="AA1072" s="351"/>
      <c r="AB1072" s="539" t="s">
        <v>294</v>
      </c>
      <c r="AC1072" s="350"/>
      <c r="AD1072" s="350"/>
      <c r="AE1072" s="351"/>
      <c r="AF1072" s="540"/>
      <c r="AG1072" s="351"/>
      <c r="AH1072" s="540"/>
      <c r="AI1072" s="351"/>
      <c r="AJ1072" s="545"/>
      <c r="AK1072" s="351"/>
      <c r="AL1072" s="555" t="s">
        <v>325</v>
      </c>
      <c r="AM1072" s="351"/>
      <c r="AN1072" s="531" t="s">
        <v>325</v>
      </c>
      <c r="AO1072" s="351"/>
      <c r="AP1072" s="532"/>
      <c r="AQ1072" s="351"/>
      <c r="AR1072" s="533"/>
      <c r="AS1072" s="351"/>
      <c r="AT1072" s="534"/>
      <c r="AU1072" s="351"/>
      <c r="AV1072" s="531" t="s">
        <v>325</v>
      </c>
      <c r="AW1072" s="351"/>
      <c r="AX1072" s="553"/>
      <c r="AY1072" s="350"/>
      <c r="AZ1072" s="351"/>
      <c r="BA1072" s="545"/>
      <c r="BB1072" s="351"/>
      <c r="BC1072" s="36"/>
      <c r="BD1072" s="556" t="s">
        <v>325</v>
      </c>
      <c r="BE1072" s="351"/>
      <c r="BF1072" s="529"/>
      <c r="BG1072" s="350"/>
      <c r="BH1072" s="350"/>
      <c r="BI1072" s="351"/>
      <c r="BJ1072" s="506" t="s">
        <v>294</v>
      </c>
      <c r="BK1072" s="350"/>
      <c r="BL1072" s="350"/>
      <c r="BM1072" s="351"/>
      <c r="BN1072" s="530" t="s">
        <v>294</v>
      </c>
      <c r="BO1072" s="350"/>
      <c r="BP1072" s="350"/>
      <c r="BQ1072" s="350"/>
      <c r="BR1072" s="350"/>
      <c r="BS1072" s="350"/>
      <c r="BT1072" s="350"/>
      <c r="BU1072" s="350"/>
      <c r="BV1072" s="351"/>
    </row>
    <row r="1073" spans="1:74" ht="45" customHeight="1">
      <c r="A1073" s="24">
        <f t="shared" si="4"/>
        <v>1059</v>
      </c>
      <c r="B1073" s="522" t="s">
        <v>294</v>
      </c>
      <c r="C1073" s="351"/>
      <c r="D1073" s="523" t="s">
        <v>298</v>
      </c>
      <c r="E1073" s="351"/>
      <c r="F1073" s="524" t="s">
        <v>325</v>
      </c>
      <c r="G1073" s="351"/>
      <c r="H1073" s="561" t="s">
        <v>325</v>
      </c>
      <c r="I1073" s="351"/>
      <c r="J1073" s="562"/>
      <c r="K1073" s="351"/>
      <c r="L1073" s="562"/>
      <c r="M1073" s="351"/>
      <c r="N1073" s="34"/>
      <c r="O1073" s="35"/>
      <c r="P1073" s="526"/>
      <c r="Q1073" s="351"/>
      <c r="R1073" s="535"/>
      <c r="S1073" s="351"/>
      <c r="T1073" s="536"/>
      <c r="U1073" s="351"/>
      <c r="V1073" s="541"/>
      <c r="W1073" s="351"/>
      <c r="X1073" s="542" t="s">
        <v>294</v>
      </c>
      <c r="Y1073" s="350"/>
      <c r="Z1073" s="350"/>
      <c r="AA1073" s="351"/>
      <c r="AB1073" s="543" t="s">
        <v>294</v>
      </c>
      <c r="AC1073" s="350"/>
      <c r="AD1073" s="350"/>
      <c r="AE1073" s="351"/>
      <c r="AF1073" s="544"/>
      <c r="AG1073" s="351"/>
      <c r="AH1073" s="544"/>
      <c r="AI1073" s="351"/>
      <c r="AJ1073" s="545"/>
      <c r="AK1073" s="351"/>
      <c r="AL1073" s="524" t="s">
        <v>325</v>
      </c>
      <c r="AM1073" s="351"/>
      <c r="AN1073" s="549" t="s">
        <v>325</v>
      </c>
      <c r="AO1073" s="351"/>
      <c r="AP1073" s="550"/>
      <c r="AQ1073" s="351"/>
      <c r="AR1073" s="551"/>
      <c r="AS1073" s="351"/>
      <c r="AT1073" s="552"/>
      <c r="AU1073" s="351"/>
      <c r="AV1073" s="549" t="s">
        <v>325</v>
      </c>
      <c r="AW1073" s="351"/>
      <c r="AX1073" s="553"/>
      <c r="AY1073" s="350"/>
      <c r="AZ1073" s="351"/>
      <c r="BA1073" s="554"/>
      <c r="BB1073" s="351"/>
      <c r="BC1073" s="39"/>
      <c r="BD1073" s="546" t="s">
        <v>325</v>
      </c>
      <c r="BE1073" s="351"/>
      <c r="BF1073" s="547"/>
      <c r="BG1073" s="350"/>
      <c r="BH1073" s="350"/>
      <c r="BI1073" s="351"/>
      <c r="BJ1073" s="548" t="s">
        <v>294</v>
      </c>
      <c r="BK1073" s="350"/>
      <c r="BL1073" s="350"/>
      <c r="BM1073" s="351"/>
      <c r="BN1073" s="530" t="s">
        <v>294</v>
      </c>
      <c r="BO1073" s="350"/>
      <c r="BP1073" s="350"/>
      <c r="BQ1073" s="350"/>
      <c r="BR1073" s="350"/>
      <c r="BS1073" s="350"/>
      <c r="BT1073" s="350"/>
      <c r="BU1073" s="350"/>
      <c r="BV1073" s="351"/>
    </row>
    <row r="1074" spans="1:74" ht="45" customHeight="1">
      <c r="A1074" s="24">
        <f t="shared" si="4"/>
        <v>1060</v>
      </c>
      <c r="B1074" s="558" t="s">
        <v>294</v>
      </c>
      <c r="C1074" s="351"/>
      <c r="D1074" s="559" t="s">
        <v>298</v>
      </c>
      <c r="E1074" s="351"/>
      <c r="F1074" s="524" t="s">
        <v>325</v>
      </c>
      <c r="G1074" s="351"/>
      <c r="H1074" s="525" t="s">
        <v>325</v>
      </c>
      <c r="I1074" s="351"/>
      <c r="J1074" s="563"/>
      <c r="K1074" s="351"/>
      <c r="L1074" s="563"/>
      <c r="M1074" s="351"/>
      <c r="N1074" s="37"/>
      <c r="O1074" s="38"/>
      <c r="P1074" s="560"/>
      <c r="Q1074" s="351"/>
      <c r="R1074" s="527"/>
      <c r="S1074" s="351"/>
      <c r="T1074" s="528"/>
      <c r="U1074" s="351"/>
      <c r="V1074" s="537"/>
      <c r="W1074" s="351"/>
      <c r="X1074" s="538" t="s">
        <v>294</v>
      </c>
      <c r="Y1074" s="350"/>
      <c r="Z1074" s="350"/>
      <c r="AA1074" s="351"/>
      <c r="AB1074" s="539" t="s">
        <v>294</v>
      </c>
      <c r="AC1074" s="350"/>
      <c r="AD1074" s="350"/>
      <c r="AE1074" s="351"/>
      <c r="AF1074" s="540"/>
      <c r="AG1074" s="351"/>
      <c r="AH1074" s="540"/>
      <c r="AI1074" s="351"/>
      <c r="AJ1074" s="545"/>
      <c r="AK1074" s="351"/>
      <c r="AL1074" s="555" t="s">
        <v>325</v>
      </c>
      <c r="AM1074" s="351"/>
      <c r="AN1074" s="531" t="s">
        <v>325</v>
      </c>
      <c r="AO1074" s="351"/>
      <c r="AP1074" s="532"/>
      <c r="AQ1074" s="351"/>
      <c r="AR1074" s="533"/>
      <c r="AS1074" s="351"/>
      <c r="AT1074" s="534"/>
      <c r="AU1074" s="351"/>
      <c r="AV1074" s="531" t="s">
        <v>325</v>
      </c>
      <c r="AW1074" s="351"/>
      <c r="AX1074" s="553"/>
      <c r="AY1074" s="350"/>
      <c r="AZ1074" s="351"/>
      <c r="BA1074" s="545"/>
      <c r="BB1074" s="351"/>
      <c r="BC1074" s="36"/>
      <c r="BD1074" s="556" t="s">
        <v>325</v>
      </c>
      <c r="BE1074" s="351"/>
      <c r="BF1074" s="557"/>
      <c r="BG1074" s="350"/>
      <c r="BH1074" s="350"/>
      <c r="BI1074" s="351"/>
      <c r="BJ1074" s="506" t="s">
        <v>294</v>
      </c>
      <c r="BK1074" s="350"/>
      <c r="BL1074" s="350"/>
      <c r="BM1074" s="351"/>
      <c r="BN1074" s="530" t="s">
        <v>294</v>
      </c>
      <c r="BO1074" s="350"/>
      <c r="BP1074" s="350"/>
      <c r="BQ1074" s="350"/>
      <c r="BR1074" s="350"/>
      <c r="BS1074" s="350"/>
      <c r="BT1074" s="350"/>
      <c r="BU1074" s="350"/>
      <c r="BV1074" s="351"/>
    </row>
    <row r="1075" spans="1:74" ht="45" customHeight="1">
      <c r="A1075" s="24">
        <f t="shared" si="4"/>
        <v>1061</v>
      </c>
      <c r="B1075" s="522" t="s">
        <v>294</v>
      </c>
      <c r="C1075" s="351"/>
      <c r="D1075" s="523" t="s">
        <v>298</v>
      </c>
      <c r="E1075" s="351"/>
      <c r="F1075" s="524" t="s">
        <v>325</v>
      </c>
      <c r="G1075" s="351"/>
      <c r="H1075" s="561" t="s">
        <v>325</v>
      </c>
      <c r="I1075" s="351"/>
      <c r="J1075" s="562"/>
      <c r="K1075" s="351"/>
      <c r="L1075" s="562"/>
      <c r="M1075" s="351"/>
      <c r="N1075" s="34"/>
      <c r="O1075" s="35"/>
      <c r="P1075" s="526"/>
      <c r="Q1075" s="351"/>
      <c r="R1075" s="535"/>
      <c r="S1075" s="351"/>
      <c r="T1075" s="536"/>
      <c r="U1075" s="351"/>
      <c r="V1075" s="541"/>
      <c r="W1075" s="351"/>
      <c r="X1075" s="542" t="s">
        <v>294</v>
      </c>
      <c r="Y1075" s="350"/>
      <c r="Z1075" s="350"/>
      <c r="AA1075" s="351"/>
      <c r="AB1075" s="543" t="s">
        <v>294</v>
      </c>
      <c r="AC1075" s="350"/>
      <c r="AD1075" s="350"/>
      <c r="AE1075" s="351"/>
      <c r="AF1075" s="544"/>
      <c r="AG1075" s="351"/>
      <c r="AH1075" s="544"/>
      <c r="AI1075" s="351"/>
      <c r="AJ1075" s="545"/>
      <c r="AK1075" s="351"/>
      <c r="AL1075" s="524" t="s">
        <v>325</v>
      </c>
      <c r="AM1075" s="351"/>
      <c r="AN1075" s="549" t="s">
        <v>325</v>
      </c>
      <c r="AO1075" s="351"/>
      <c r="AP1075" s="550"/>
      <c r="AQ1075" s="351"/>
      <c r="AR1075" s="551"/>
      <c r="AS1075" s="351"/>
      <c r="AT1075" s="552"/>
      <c r="AU1075" s="351"/>
      <c r="AV1075" s="549" t="s">
        <v>325</v>
      </c>
      <c r="AW1075" s="351"/>
      <c r="AX1075" s="553"/>
      <c r="AY1075" s="350"/>
      <c r="AZ1075" s="351"/>
      <c r="BA1075" s="554"/>
      <c r="BB1075" s="351"/>
      <c r="BC1075" s="39"/>
      <c r="BD1075" s="546" t="s">
        <v>325</v>
      </c>
      <c r="BE1075" s="351"/>
      <c r="BF1075" s="547"/>
      <c r="BG1075" s="350"/>
      <c r="BH1075" s="350"/>
      <c r="BI1075" s="351"/>
      <c r="BJ1075" s="548" t="s">
        <v>294</v>
      </c>
      <c r="BK1075" s="350"/>
      <c r="BL1075" s="350"/>
      <c r="BM1075" s="351"/>
      <c r="BN1075" s="530" t="s">
        <v>294</v>
      </c>
      <c r="BO1075" s="350"/>
      <c r="BP1075" s="350"/>
      <c r="BQ1075" s="350"/>
      <c r="BR1075" s="350"/>
      <c r="BS1075" s="350"/>
      <c r="BT1075" s="350"/>
      <c r="BU1075" s="350"/>
      <c r="BV1075" s="351"/>
    </row>
    <row r="1076" spans="1:74" ht="45" customHeight="1">
      <c r="A1076" s="24">
        <f t="shared" si="4"/>
        <v>1062</v>
      </c>
      <c r="B1076" s="558" t="s">
        <v>294</v>
      </c>
      <c r="C1076" s="351"/>
      <c r="D1076" s="559" t="s">
        <v>298</v>
      </c>
      <c r="E1076" s="351"/>
      <c r="F1076" s="524" t="s">
        <v>325</v>
      </c>
      <c r="G1076" s="351"/>
      <c r="H1076" s="525" t="s">
        <v>325</v>
      </c>
      <c r="I1076" s="351"/>
      <c r="J1076" s="563"/>
      <c r="K1076" s="351"/>
      <c r="L1076" s="563"/>
      <c r="M1076" s="351"/>
      <c r="N1076" s="34"/>
      <c r="O1076" s="35"/>
      <c r="P1076" s="526"/>
      <c r="Q1076" s="351"/>
      <c r="R1076" s="535"/>
      <c r="S1076" s="351"/>
      <c r="T1076" s="536"/>
      <c r="U1076" s="351"/>
      <c r="V1076" s="537"/>
      <c r="W1076" s="351"/>
      <c r="X1076" s="538" t="s">
        <v>294</v>
      </c>
      <c r="Y1076" s="350"/>
      <c r="Z1076" s="350"/>
      <c r="AA1076" s="351"/>
      <c r="AB1076" s="539" t="s">
        <v>294</v>
      </c>
      <c r="AC1076" s="350"/>
      <c r="AD1076" s="350"/>
      <c r="AE1076" s="351"/>
      <c r="AF1076" s="540"/>
      <c r="AG1076" s="351"/>
      <c r="AH1076" s="540"/>
      <c r="AI1076" s="351"/>
      <c r="AJ1076" s="545"/>
      <c r="AK1076" s="351"/>
      <c r="AL1076" s="555" t="s">
        <v>325</v>
      </c>
      <c r="AM1076" s="351"/>
      <c r="AN1076" s="531" t="s">
        <v>325</v>
      </c>
      <c r="AO1076" s="351"/>
      <c r="AP1076" s="532"/>
      <c r="AQ1076" s="351"/>
      <c r="AR1076" s="533"/>
      <c r="AS1076" s="351"/>
      <c r="AT1076" s="534"/>
      <c r="AU1076" s="351"/>
      <c r="AV1076" s="531" t="s">
        <v>325</v>
      </c>
      <c r="AW1076" s="351"/>
      <c r="AX1076" s="553"/>
      <c r="AY1076" s="350"/>
      <c r="AZ1076" s="351"/>
      <c r="BA1076" s="545"/>
      <c r="BB1076" s="351"/>
      <c r="BC1076" s="36"/>
      <c r="BD1076" s="556" t="s">
        <v>325</v>
      </c>
      <c r="BE1076" s="351"/>
      <c r="BF1076" s="557"/>
      <c r="BG1076" s="350"/>
      <c r="BH1076" s="350"/>
      <c r="BI1076" s="351"/>
      <c r="BJ1076" s="506" t="s">
        <v>294</v>
      </c>
      <c r="BK1076" s="350"/>
      <c r="BL1076" s="350"/>
      <c r="BM1076" s="351"/>
      <c r="BN1076" s="530" t="s">
        <v>294</v>
      </c>
      <c r="BO1076" s="350"/>
      <c r="BP1076" s="350"/>
      <c r="BQ1076" s="350"/>
      <c r="BR1076" s="350"/>
      <c r="BS1076" s="350"/>
      <c r="BT1076" s="350"/>
      <c r="BU1076" s="350"/>
      <c r="BV1076" s="351"/>
    </row>
    <row r="1077" spans="1:74" ht="45" customHeight="1">
      <c r="A1077" s="24">
        <f t="shared" si="4"/>
        <v>1063</v>
      </c>
      <c r="B1077" s="522" t="s">
        <v>294</v>
      </c>
      <c r="C1077" s="351"/>
      <c r="D1077" s="523" t="s">
        <v>298</v>
      </c>
      <c r="E1077" s="351"/>
      <c r="F1077" s="524" t="s">
        <v>325</v>
      </c>
      <c r="G1077" s="351"/>
      <c r="H1077" s="561" t="s">
        <v>325</v>
      </c>
      <c r="I1077" s="351"/>
      <c r="J1077" s="562"/>
      <c r="K1077" s="351"/>
      <c r="L1077" s="562"/>
      <c r="M1077" s="351"/>
      <c r="N1077" s="37"/>
      <c r="O1077" s="38"/>
      <c r="P1077" s="560"/>
      <c r="Q1077" s="351"/>
      <c r="R1077" s="527"/>
      <c r="S1077" s="351"/>
      <c r="T1077" s="528"/>
      <c r="U1077" s="351"/>
      <c r="V1077" s="541"/>
      <c r="W1077" s="351"/>
      <c r="X1077" s="542" t="s">
        <v>294</v>
      </c>
      <c r="Y1077" s="350"/>
      <c r="Z1077" s="350"/>
      <c r="AA1077" s="351"/>
      <c r="AB1077" s="543" t="s">
        <v>294</v>
      </c>
      <c r="AC1077" s="350"/>
      <c r="AD1077" s="350"/>
      <c r="AE1077" s="351"/>
      <c r="AF1077" s="544"/>
      <c r="AG1077" s="351"/>
      <c r="AH1077" s="544"/>
      <c r="AI1077" s="351"/>
      <c r="AJ1077" s="545"/>
      <c r="AK1077" s="351"/>
      <c r="AL1077" s="524" t="s">
        <v>325</v>
      </c>
      <c r="AM1077" s="351"/>
      <c r="AN1077" s="549" t="s">
        <v>325</v>
      </c>
      <c r="AO1077" s="351"/>
      <c r="AP1077" s="550"/>
      <c r="AQ1077" s="351"/>
      <c r="AR1077" s="551"/>
      <c r="AS1077" s="351"/>
      <c r="AT1077" s="552"/>
      <c r="AU1077" s="351"/>
      <c r="AV1077" s="549" t="s">
        <v>325</v>
      </c>
      <c r="AW1077" s="351"/>
      <c r="AX1077" s="553"/>
      <c r="AY1077" s="350"/>
      <c r="AZ1077" s="351"/>
      <c r="BA1077" s="554"/>
      <c r="BB1077" s="351"/>
      <c r="BC1077" s="39"/>
      <c r="BD1077" s="546" t="s">
        <v>325</v>
      </c>
      <c r="BE1077" s="351"/>
      <c r="BF1077" s="547"/>
      <c r="BG1077" s="350"/>
      <c r="BH1077" s="350"/>
      <c r="BI1077" s="351"/>
      <c r="BJ1077" s="548" t="s">
        <v>294</v>
      </c>
      <c r="BK1077" s="350"/>
      <c r="BL1077" s="350"/>
      <c r="BM1077" s="351"/>
      <c r="BN1077" s="530" t="s">
        <v>294</v>
      </c>
      <c r="BO1077" s="350"/>
      <c r="BP1077" s="350"/>
      <c r="BQ1077" s="350"/>
      <c r="BR1077" s="350"/>
      <c r="BS1077" s="350"/>
      <c r="BT1077" s="350"/>
      <c r="BU1077" s="350"/>
      <c r="BV1077" s="351"/>
    </row>
    <row r="1078" spans="1:74" ht="45" customHeight="1">
      <c r="A1078" s="24">
        <f t="shared" si="4"/>
        <v>1064</v>
      </c>
      <c r="B1078" s="558" t="s">
        <v>294</v>
      </c>
      <c r="C1078" s="351"/>
      <c r="D1078" s="559" t="s">
        <v>298</v>
      </c>
      <c r="E1078" s="351"/>
      <c r="F1078" s="524" t="s">
        <v>325</v>
      </c>
      <c r="G1078" s="351"/>
      <c r="H1078" s="525" t="s">
        <v>325</v>
      </c>
      <c r="I1078" s="351"/>
      <c r="J1078" s="563"/>
      <c r="K1078" s="351"/>
      <c r="L1078" s="563"/>
      <c r="M1078" s="351"/>
      <c r="N1078" s="34"/>
      <c r="O1078" s="35"/>
      <c r="P1078" s="526"/>
      <c r="Q1078" s="351"/>
      <c r="R1078" s="535"/>
      <c r="S1078" s="351"/>
      <c r="T1078" s="536"/>
      <c r="U1078" s="351"/>
      <c r="V1078" s="537"/>
      <c r="W1078" s="351"/>
      <c r="X1078" s="538" t="s">
        <v>294</v>
      </c>
      <c r="Y1078" s="350"/>
      <c r="Z1078" s="350"/>
      <c r="AA1078" s="351"/>
      <c r="AB1078" s="539" t="s">
        <v>294</v>
      </c>
      <c r="AC1078" s="350"/>
      <c r="AD1078" s="350"/>
      <c r="AE1078" s="351"/>
      <c r="AF1078" s="540"/>
      <c r="AG1078" s="351"/>
      <c r="AH1078" s="540"/>
      <c r="AI1078" s="351"/>
      <c r="AJ1078" s="545"/>
      <c r="AK1078" s="351"/>
      <c r="AL1078" s="555" t="s">
        <v>325</v>
      </c>
      <c r="AM1078" s="351"/>
      <c r="AN1078" s="531" t="s">
        <v>325</v>
      </c>
      <c r="AO1078" s="351"/>
      <c r="AP1078" s="532"/>
      <c r="AQ1078" s="351"/>
      <c r="AR1078" s="533"/>
      <c r="AS1078" s="351"/>
      <c r="AT1078" s="534"/>
      <c r="AU1078" s="351"/>
      <c r="AV1078" s="531" t="s">
        <v>325</v>
      </c>
      <c r="AW1078" s="351"/>
      <c r="AX1078" s="553"/>
      <c r="AY1078" s="350"/>
      <c r="AZ1078" s="351"/>
      <c r="BA1078" s="545"/>
      <c r="BB1078" s="351"/>
      <c r="BC1078" s="36"/>
      <c r="BD1078" s="556" t="s">
        <v>325</v>
      </c>
      <c r="BE1078" s="351"/>
      <c r="BF1078" s="529"/>
      <c r="BG1078" s="350"/>
      <c r="BH1078" s="350"/>
      <c r="BI1078" s="351"/>
      <c r="BJ1078" s="506" t="s">
        <v>294</v>
      </c>
      <c r="BK1078" s="350"/>
      <c r="BL1078" s="350"/>
      <c r="BM1078" s="351"/>
      <c r="BN1078" s="530" t="s">
        <v>294</v>
      </c>
      <c r="BO1078" s="350"/>
      <c r="BP1078" s="350"/>
      <c r="BQ1078" s="350"/>
      <c r="BR1078" s="350"/>
      <c r="BS1078" s="350"/>
      <c r="BT1078" s="350"/>
      <c r="BU1078" s="350"/>
      <c r="BV1078" s="351"/>
    </row>
    <row r="1079" spans="1:74" ht="45" customHeight="1">
      <c r="A1079" s="24">
        <f t="shared" si="4"/>
        <v>1065</v>
      </c>
      <c r="B1079" s="522" t="s">
        <v>294</v>
      </c>
      <c r="C1079" s="351"/>
      <c r="D1079" s="523" t="s">
        <v>298</v>
      </c>
      <c r="E1079" s="351"/>
      <c r="F1079" s="524" t="s">
        <v>325</v>
      </c>
      <c r="G1079" s="351"/>
      <c r="H1079" s="561" t="s">
        <v>325</v>
      </c>
      <c r="I1079" s="351"/>
      <c r="J1079" s="562"/>
      <c r="K1079" s="351"/>
      <c r="L1079" s="562"/>
      <c r="M1079" s="351"/>
      <c r="N1079" s="37"/>
      <c r="O1079" s="38"/>
      <c r="P1079" s="560"/>
      <c r="Q1079" s="351"/>
      <c r="R1079" s="527"/>
      <c r="S1079" s="351"/>
      <c r="T1079" s="528"/>
      <c r="U1079" s="351"/>
      <c r="V1079" s="541"/>
      <c r="W1079" s="351"/>
      <c r="X1079" s="542" t="s">
        <v>294</v>
      </c>
      <c r="Y1079" s="350"/>
      <c r="Z1079" s="350"/>
      <c r="AA1079" s="351"/>
      <c r="AB1079" s="543" t="s">
        <v>294</v>
      </c>
      <c r="AC1079" s="350"/>
      <c r="AD1079" s="350"/>
      <c r="AE1079" s="351"/>
      <c r="AF1079" s="544"/>
      <c r="AG1079" s="351"/>
      <c r="AH1079" s="544"/>
      <c r="AI1079" s="351"/>
      <c r="AJ1079" s="545"/>
      <c r="AK1079" s="351"/>
      <c r="AL1079" s="524" t="s">
        <v>325</v>
      </c>
      <c r="AM1079" s="351"/>
      <c r="AN1079" s="549" t="s">
        <v>325</v>
      </c>
      <c r="AO1079" s="351"/>
      <c r="AP1079" s="550"/>
      <c r="AQ1079" s="351"/>
      <c r="AR1079" s="551"/>
      <c r="AS1079" s="351"/>
      <c r="AT1079" s="552"/>
      <c r="AU1079" s="351"/>
      <c r="AV1079" s="549" t="s">
        <v>325</v>
      </c>
      <c r="AW1079" s="351"/>
      <c r="AX1079" s="553"/>
      <c r="AY1079" s="350"/>
      <c r="AZ1079" s="351"/>
      <c r="BA1079" s="554"/>
      <c r="BB1079" s="351"/>
      <c r="BC1079" s="39"/>
      <c r="BD1079" s="546" t="s">
        <v>325</v>
      </c>
      <c r="BE1079" s="351"/>
      <c r="BF1079" s="547"/>
      <c r="BG1079" s="350"/>
      <c r="BH1079" s="350"/>
      <c r="BI1079" s="351"/>
      <c r="BJ1079" s="548" t="s">
        <v>294</v>
      </c>
      <c r="BK1079" s="350"/>
      <c r="BL1079" s="350"/>
      <c r="BM1079" s="351"/>
      <c r="BN1079" s="530" t="s">
        <v>294</v>
      </c>
      <c r="BO1079" s="350"/>
      <c r="BP1079" s="350"/>
      <c r="BQ1079" s="350"/>
      <c r="BR1079" s="350"/>
      <c r="BS1079" s="350"/>
      <c r="BT1079" s="350"/>
      <c r="BU1079" s="350"/>
      <c r="BV1079" s="351"/>
    </row>
    <row r="1080" spans="1:74" ht="45" customHeight="1">
      <c r="A1080" s="24">
        <f t="shared" si="4"/>
        <v>1066</v>
      </c>
      <c r="B1080" s="558" t="s">
        <v>294</v>
      </c>
      <c r="C1080" s="351"/>
      <c r="D1080" s="559" t="s">
        <v>298</v>
      </c>
      <c r="E1080" s="351"/>
      <c r="F1080" s="524" t="s">
        <v>325</v>
      </c>
      <c r="G1080" s="351"/>
      <c r="H1080" s="525" t="s">
        <v>325</v>
      </c>
      <c r="I1080" s="351"/>
      <c r="J1080" s="563"/>
      <c r="K1080" s="351"/>
      <c r="L1080" s="563"/>
      <c r="M1080" s="351"/>
      <c r="N1080" s="34"/>
      <c r="O1080" s="35"/>
      <c r="P1080" s="526"/>
      <c r="Q1080" s="351"/>
      <c r="R1080" s="535"/>
      <c r="S1080" s="351"/>
      <c r="T1080" s="536"/>
      <c r="U1080" s="351"/>
      <c r="V1080" s="537"/>
      <c r="W1080" s="351"/>
      <c r="X1080" s="538" t="s">
        <v>294</v>
      </c>
      <c r="Y1080" s="350"/>
      <c r="Z1080" s="350"/>
      <c r="AA1080" s="351"/>
      <c r="AB1080" s="539" t="s">
        <v>294</v>
      </c>
      <c r="AC1080" s="350"/>
      <c r="AD1080" s="350"/>
      <c r="AE1080" s="351"/>
      <c r="AF1080" s="540"/>
      <c r="AG1080" s="351"/>
      <c r="AH1080" s="540"/>
      <c r="AI1080" s="351"/>
      <c r="AJ1080" s="545"/>
      <c r="AK1080" s="351"/>
      <c r="AL1080" s="555" t="s">
        <v>325</v>
      </c>
      <c r="AM1080" s="351"/>
      <c r="AN1080" s="531" t="s">
        <v>325</v>
      </c>
      <c r="AO1080" s="351"/>
      <c r="AP1080" s="532"/>
      <c r="AQ1080" s="351"/>
      <c r="AR1080" s="533"/>
      <c r="AS1080" s="351"/>
      <c r="AT1080" s="534"/>
      <c r="AU1080" s="351"/>
      <c r="AV1080" s="531" t="s">
        <v>325</v>
      </c>
      <c r="AW1080" s="351"/>
      <c r="AX1080" s="553"/>
      <c r="AY1080" s="350"/>
      <c r="AZ1080" s="351"/>
      <c r="BA1080" s="545"/>
      <c r="BB1080" s="351"/>
      <c r="BC1080" s="36"/>
      <c r="BD1080" s="556" t="s">
        <v>325</v>
      </c>
      <c r="BE1080" s="351"/>
      <c r="BF1080" s="557"/>
      <c r="BG1080" s="350"/>
      <c r="BH1080" s="350"/>
      <c r="BI1080" s="351"/>
      <c r="BJ1080" s="506" t="s">
        <v>294</v>
      </c>
      <c r="BK1080" s="350"/>
      <c r="BL1080" s="350"/>
      <c r="BM1080" s="351"/>
      <c r="BN1080" s="530" t="s">
        <v>294</v>
      </c>
      <c r="BO1080" s="350"/>
      <c r="BP1080" s="350"/>
      <c r="BQ1080" s="350"/>
      <c r="BR1080" s="350"/>
      <c r="BS1080" s="350"/>
      <c r="BT1080" s="350"/>
      <c r="BU1080" s="350"/>
      <c r="BV1080" s="351"/>
    </row>
    <row r="1081" spans="1:74" ht="45" customHeight="1">
      <c r="A1081" s="24">
        <f t="shared" si="4"/>
        <v>1067</v>
      </c>
      <c r="B1081" s="522" t="s">
        <v>294</v>
      </c>
      <c r="C1081" s="351"/>
      <c r="D1081" s="523" t="s">
        <v>298</v>
      </c>
      <c r="E1081" s="351"/>
      <c r="F1081" s="524" t="s">
        <v>325</v>
      </c>
      <c r="G1081" s="351"/>
      <c r="H1081" s="561" t="s">
        <v>325</v>
      </c>
      <c r="I1081" s="351"/>
      <c r="J1081" s="562"/>
      <c r="K1081" s="351"/>
      <c r="L1081" s="562"/>
      <c r="M1081" s="351"/>
      <c r="N1081" s="37"/>
      <c r="O1081" s="38"/>
      <c r="P1081" s="560"/>
      <c r="Q1081" s="351"/>
      <c r="R1081" s="527"/>
      <c r="S1081" s="351"/>
      <c r="T1081" s="528"/>
      <c r="U1081" s="351"/>
      <c r="V1081" s="541"/>
      <c r="W1081" s="351"/>
      <c r="X1081" s="542" t="s">
        <v>294</v>
      </c>
      <c r="Y1081" s="350"/>
      <c r="Z1081" s="350"/>
      <c r="AA1081" s="351"/>
      <c r="AB1081" s="543" t="s">
        <v>294</v>
      </c>
      <c r="AC1081" s="350"/>
      <c r="AD1081" s="350"/>
      <c r="AE1081" s="351"/>
      <c r="AF1081" s="544"/>
      <c r="AG1081" s="351"/>
      <c r="AH1081" s="544"/>
      <c r="AI1081" s="351"/>
      <c r="AJ1081" s="545"/>
      <c r="AK1081" s="351"/>
      <c r="AL1081" s="524" t="s">
        <v>325</v>
      </c>
      <c r="AM1081" s="351"/>
      <c r="AN1081" s="549" t="s">
        <v>325</v>
      </c>
      <c r="AO1081" s="351"/>
      <c r="AP1081" s="550"/>
      <c r="AQ1081" s="351"/>
      <c r="AR1081" s="551"/>
      <c r="AS1081" s="351"/>
      <c r="AT1081" s="534"/>
      <c r="AU1081" s="351"/>
      <c r="AV1081" s="549" t="s">
        <v>325</v>
      </c>
      <c r="AW1081" s="351"/>
      <c r="AX1081" s="553"/>
      <c r="AY1081" s="350"/>
      <c r="AZ1081" s="351"/>
      <c r="BA1081" s="554"/>
      <c r="BB1081" s="351"/>
      <c r="BC1081" s="39"/>
      <c r="BD1081" s="546" t="s">
        <v>325</v>
      </c>
      <c r="BE1081" s="351"/>
      <c r="BF1081" s="547"/>
      <c r="BG1081" s="350"/>
      <c r="BH1081" s="350"/>
      <c r="BI1081" s="351"/>
      <c r="BJ1081" s="548" t="s">
        <v>294</v>
      </c>
      <c r="BK1081" s="350"/>
      <c r="BL1081" s="350"/>
      <c r="BM1081" s="351"/>
      <c r="BN1081" s="530" t="s">
        <v>294</v>
      </c>
      <c r="BO1081" s="350"/>
      <c r="BP1081" s="350"/>
      <c r="BQ1081" s="350"/>
      <c r="BR1081" s="350"/>
      <c r="BS1081" s="350"/>
      <c r="BT1081" s="350"/>
      <c r="BU1081" s="350"/>
      <c r="BV1081" s="351"/>
    </row>
    <row r="1082" spans="1:74" ht="45" customHeight="1">
      <c r="A1082" s="24">
        <f t="shared" si="4"/>
        <v>1068</v>
      </c>
      <c r="B1082" s="558" t="s">
        <v>294</v>
      </c>
      <c r="C1082" s="351"/>
      <c r="D1082" s="559" t="s">
        <v>298</v>
      </c>
      <c r="E1082" s="351"/>
      <c r="F1082" s="524" t="s">
        <v>325</v>
      </c>
      <c r="G1082" s="351"/>
      <c r="H1082" s="525" t="s">
        <v>325</v>
      </c>
      <c r="I1082" s="351"/>
      <c r="J1082" s="563"/>
      <c r="K1082" s="351"/>
      <c r="L1082" s="563"/>
      <c r="M1082" s="351"/>
      <c r="N1082" s="34"/>
      <c r="O1082" s="35"/>
      <c r="P1082" s="526"/>
      <c r="Q1082" s="351"/>
      <c r="R1082" s="535"/>
      <c r="S1082" s="351"/>
      <c r="T1082" s="536"/>
      <c r="U1082" s="351"/>
      <c r="V1082" s="537"/>
      <c r="W1082" s="351"/>
      <c r="X1082" s="538" t="s">
        <v>294</v>
      </c>
      <c r="Y1082" s="350"/>
      <c r="Z1082" s="350"/>
      <c r="AA1082" s="351"/>
      <c r="AB1082" s="539" t="s">
        <v>294</v>
      </c>
      <c r="AC1082" s="350"/>
      <c r="AD1082" s="350"/>
      <c r="AE1082" s="351"/>
      <c r="AF1082" s="540"/>
      <c r="AG1082" s="351"/>
      <c r="AH1082" s="540"/>
      <c r="AI1082" s="351"/>
      <c r="AJ1082" s="545"/>
      <c r="AK1082" s="351"/>
      <c r="AL1082" s="555" t="s">
        <v>325</v>
      </c>
      <c r="AM1082" s="351"/>
      <c r="AN1082" s="531" t="s">
        <v>325</v>
      </c>
      <c r="AO1082" s="351"/>
      <c r="AP1082" s="532"/>
      <c r="AQ1082" s="351"/>
      <c r="AR1082" s="533"/>
      <c r="AS1082" s="351"/>
      <c r="AT1082" s="534"/>
      <c r="AU1082" s="351"/>
      <c r="AV1082" s="531" t="s">
        <v>325</v>
      </c>
      <c r="AW1082" s="351"/>
      <c r="AX1082" s="553"/>
      <c r="AY1082" s="350"/>
      <c r="AZ1082" s="351"/>
      <c r="BA1082" s="545"/>
      <c r="BB1082" s="351"/>
      <c r="BC1082" s="36"/>
      <c r="BD1082" s="556" t="s">
        <v>325</v>
      </c>
      <c r="BE1082" s="351"/>
      <c r="BF1082" s="557"/>
      <c r="BG1082" s="350"/>
      <c r="BH1082" s="350"/>
      <c r="BI1082" s="351"/>
      <c r="BJ1082" s="506" t="s">
        <v>294</v>
      </c>
      <c r="BK1082" s="350"/>
      <c r="BL1082" s="350"/>
      <c r="BM1082" s="351"/>
      <c r="BN1082" s="530" t="s">
        <v>294</v>
      </c>
      <c r="BO1082" s="350"/>
      <c r="BP1082" s="350"/>
      <c r="BQ1082" s="350"/>
      <c r="BR1082" s="350"/>
      <c r="BS1082" s="350"/>
      <c r="BT1082" s="350"/>
      <c r="BU1082" s="350"/>
      <c r="BV1082" s="351"/>
    </row>
    <row r="1083" spans="1:74" ht="45" customHeight="1">
      <c r="A1083" s="24">
        <f t="shared" si="4"/>
        <v>1069</v>
      </c>
      <c r="B1083" s="522" t="s">
        <v>294</v>
      </c>
      <c r="C1083" s="351"/>
      <c r="D1083" s="523" t="s">
        <v>298</v>
      </c>
      <c r="E1083" s="351"/>
      <c r="F1083" s="524" t="s">
        <v>325</v>
      </c>
      <c r="G1083" s="351"/>
      <c r="H1083" s="561" t="s">
        <v>325</v>
      </c>
      <c r="I1083" s="351"/>
      <c r="J1083" s="562"/>
      <c r="K1083" s="351"/>
      <c r="L1083" s="562"/>
      <c r="M1083" s="351"/>
      <c r="N1083" s="34"/>
      <c r="O1083" s="35"/>
      <c r="P1083" s="526"/>
      <c r="Q1083" s="351"/>
      <c r="R1083" s="527"/>
      <c r="S1083" s="351"/>
      <c r="T1083" s="528"/>
      <c r="U1083" s="351"/>
      <c r="V1083" s="541"/>
      <c r="W1083" s="351"/>
      <c r="X1083" s="542" t="s">
        <v>294</v>
      </c>
      <c r="Y1083" s="350"/>
      <c r="Z1083" s="350"/>
      <c r="AA1083" s="351"/>
      <c r="AB1083" s="543" t="s">
        <v>294</v>
      </c>
      <c r="AC1083" s="350"/>
      <c r="AD1083" s="350"/>
      <c r="AE1083" s="351"/>
      <c r="AF1083" s="544"/>
      <c r="AG1083" s="351"/>
      <c r="AH1083" s="544"/>
      <c r="AI1083" s="351"/>
      <c r="AJ1083" s="545"/>
      <c r="AK1083" s="351"/>
      <c r="AL1083" s="524" t="s">
        <v>325</v>
      </c>
      <c r="AM1083" s="351"/>
      <c r="AN1083" s="549" t="s">
        <v>325</v>
      </c>
      <c r="AO1083" s="351"/>
      <c r="AP1083" s="550"/>
      <c r="AQ1083" s="351"/>
      <c r="AR1083" s="551"/>
      <c r="AS1083" s="351"/>
      <c r="AT1083" s="534"/>
      <c r="AU1083" s="351"/>
      <c r="AV1083" s="549" t="s">
        <v>325</v>
      </c>
      <c r="AW1083" s="351"/>
      <c r="AX1083" s="553"/>
      <c r="AY1083" s="350"/>
      <c r="AZ1083" s="351"/>
      <c r="BA1083" s="554"/>
      <c r="BB1083" s="351"/>
      <c r="BC1083" s="39"/>
      <c r="BD1083" s="546" t="s">
        <v>325</v>
      </c>
      <c r="BE1083" s="351"/>
      <c r="BF1083" s="547"/>
      <c r="BG1083" s="350"/>
      <c r="BH1083" s="350"/>
      <c r="BI1083" s="351"/>
      <c r="BJ1083" s="548" t="s">
        <v>294</v>
      </c>
      <c r="BK1083" s="350"/>
      <c r="BL1083" s="350"/>
      <c r="BM1083" s="351"/>
      <c r="BN1083" s="530" t="s">
        <v>294</v>
      </c>
      <c r="BO1083" s="350"/>
      <c r="BP1083" s="350"/>
      <c r="BQ1083" s="350"/>
      <c r="BR1083" s="350"/>
      <c r="BS1083" s="350"/>
      <c r="BT1083" s="350"/>
      <c r="BU1083" s="350"/>
      <c r="BV1083" s="351"/>
    </row>
    <row r="1084" spans="1:74" ht="45" customHeight="1">
      <c r="A1084" s="24">
        <f t="shared" si="4"/>
        <v>1070</v>
      </c>
      <c r="B1084" s="558" t="s">
        <v>294</v>
      </c>
      <c r="C1084" s="351"/>
      <c r="D1084" s="559" t="s">
        <v>298</v>
      </c>
      <c r="E1084" s="351"/>
      <c r="F1084" s="524" t="s">
        <v>325</v>
      </c>
      <c r="G1084" s="351"/>
      <c r="H1084" s="525" t="s">
        <v>325</v>
      </c>
      <c r="I1084" s="351"/>
      <c r="J1084" s="563"/>
      <c r="K1084" s="351"/>
      <c r="L1084" s="563"/>
      <c r="M1084" s="351"/>
      <c r="N1084" s="37"/>
      <c r="O1084" s="38"/>
      <c r="P1084" s="560"/>
      <c r="Q1084" s="351"/>
      <c r="R1084" s="535"/>
      <c r="S1084" s="351"/>
      <c r="T1084" s="536"/>
      <c r="U1084" s="351"/>
      <c r="V1084" s="537"/>
      <c r="W1084" s="351"/>
      <c r="X1084" s="538" t="s">
        <v>294</v>
      </c>
      <c r="Y1084" s="350"/>
      <c r="Z1084" s="350"/>
      <c r="AA1084" s="351"/>
      <c r="AB1084" s="539" t="s">
        <v>294</v>
      </c>
      <c r="AC1084" s="350"/>
      <c r="AD1084" s="350"/>
      <c r="AE1084" s="351"/>
      <c r="AF1084" s="540"/>
      <c r="AG1084" s="351"/>
      <c r="AH1084" s="540"/>
      <c r="AI1084" s="351"/>
      <c r="AJ1084" s="545"/>
      <c r="AK1084" s="351"/>
      <c r="AL1084" s="555" t="s">
        <v>325</v>
      </c>
      <c r="AM1084" s="351"/>
      <c r="AN1084" s="531" t="s">
        <v>325</v>
      </c>
      <c r="AO1084" s="351"/>
      <c r="AP1084" s="532"/>
      <c r="AQ1084" s="351"/>
      <c r="AR1084" s="533"/>
      <c r="AS1084" s="351"/>
      <c r="AT1084" s="534"/>
      <c r="AU1084" s="351"/>
      <c r="AV1084" s="531" t="s">
        <v>325</v>
      </c>
      <c r="AW1084" s="351"/>
      <c r="AX1084" s="553"/>
      <c r="AY1084" s="350"/>
      <c r="AZ1084" s="351"/>
      <c r="BA1084" s="545"/>
      <c r="BB1084" s="351"/>
      <c r="BC1084" s="36"/>
      <c r="BD1084" s="556" t="s">
        <v>325</v>
      </c>
      <c r="BE1084" s="351"/>
      <c r="BF1084" s="557"/>
      <c r="BG1084" s="350"/>
      <c r="BH1084" s="350"/>
      <c r="BI1084" s="351"/>
      <c r="BJ1084" s="506" t="s">
        <v>294</v>
      </c>
      <c r="BK1084" s="350"/>
      <c r="BL1084" s="350"/>
      <c r="BM1084" s="351"/>
      <c r="BN1084" s="530" t="s">
        <v>294</v>
      </c>
      <c r="BO1084" s="350"/>
      <c r="BP1084" s="350"/>
      <c r="BQ1084" s="350"/>
      <c r="BR1084" s="350"/>
      <c r="BS1084" s="350"/>
      <c r="BT1084" s="350"/>
      <c r="BU1084" s="350"/>
      <c r="BV1084" s="351"/>
    </row>
    <row r="1085" spans="1:74" ht="45" customHeight="1">
      <c r="A1085" s="24">
        <f t="shared" si="4"/>
        <v>1071</v>
      </c>
      <c r="B1085" s="522" t="s">
        <v>294</v>
      </c>
      <c r="C1085" s="351"/>
      <c r="D1085" s="523" t="s">
        <v>298</v>
      </c>
      <c r="E1085" s="351"/>
      <c r="F1085" s="524" t="s">
        <v>325</v>
      </c>
      <c r="G1085" s="351"/>
      <c r="H1085" s="561" t="s">
        <v>325</v>
      </c>
      <c r="I1085" s="351"/>
      <c r="J1085" s="562"/>
      <c r="K1085" s="351"/>
      <c r="L1085" s="562"/>
      <c r="M1085" s="351"/>
      <c r="N1085" s="34"/>
      <c r="O1085" s="38"/>
      <c r="P1085" s="526"/>
      <c r="Q1085" s="351"/>
      <c r="R1085" s="527"/>
      <c r="S1085" s="351"/>
      <c r="T1085" s="528"/>
      <c r="U1085" s="351"/>
      <c r="V1085" s="541"/>
      <c r="W1085" s="351"/>
      <c r="X1085" s="542" t="s">
        <v>294</v>
      </c>
      <c r="Y1085" s="350"/>
      <c r="Z1085" s="350"/>
      <c r="AA1085" s="351"/>
      <c r="AB1085" s="543" t="s">
        <v>294</v>
      </c>
      <c r="AC1085" s="350"/>
      <c r="AD1085" s="350"/>
      <c r="AE1085" s="351"/>
      <c r="AF1085" s="544"/>
      <c r="AG1085" s="351"/>
      <c r="AH1085" s="544"/>
      <c r="AI1085" s="351"/>
      <c r="AJ1085" s="545"/>
      <c r="AK1085" s="351"/>
      <c r="AL1085" s="524" t="s">
        <v>325</v>
      </c>
      <c r="AM1085" s="351"/>
      <c r="AN1085" s="549" t="s">
        <v>325</v>
      </c>
      <c r="AO1085" s="351"/>
      <c r="AP1085" s="550"/>
      <c r="AQ1085" s="351"/>
      <c r="AR1085" s="551"/>
      <c r="AS1085" s="351"/>
      <c r="AT1085" s="552"/>
      <c r="AU1085" s="351"/>
      <c r="AV1085" s="549" t="s">
        <v>325</v>
      </c>
      <c r="AW1085" s="351"/>
      <c r="AX1085" s="553"/>
      <c r="AY1085" s="350"/>
      <c r="AZ1085" s="351"/>
      <c r="BA1085" s="554"/>
      <c r="BB1085" s="351"/>
      <c r="BC1085" s="39"/>
      <c r="BD1085" s="546" t="s">
        <v>325</v>
      </c>
      <c r="BE1085" s="351"/>
      <c r="BF1085" s="547"/>
      <c r="BG1085" s="350"/>
      <c r="BH1085" s="350"/>
      <c r="BI1085" s="351"/>
      <c r="BJ1085" s="548" t="s">
        <v>294</v>
      </c>
      <c r="BK1085" s="350"/>
      <c r="BL1085" s="350"/>
      <c r="BM1085" s="351"/>
      <c r="BN1085" s="530" t="s">
        <v>294</v>
      </c>
      <c r="BO1085" s="350"/>
      <c r="BP1085" s="350"/>
      <c r="BQ1085" s="350"/>
      <c r="BR1085" s="350"/>
      <c r="BS1085" s="350"/>
      <c r="BT1085" s="350"/>
      <c r="BU1085" s="350"/>
      <c r="BV1085" s="351"/>
    </row>
    <row r="1086" spans="1:74" ht="45" customHeight="1">
      <c r="A1086" s="24">
        <f t="shared" si="4"/>
        <v>1072</v>
      </c>
      <c r="B1086" s="558" t="s">
        <v>294</v>
      </c>
      <c r="C1086" s="351"/>
      <c r="D1086" s="559" t="s">
        <v>298</v>
      </c>
      <c r="E1086" s="351"/>
      <c r="F1086" s="524" t="s">
        <v>325</v>
      </c>
      <c r="G1086" s="351"/>
      <c r="H1086" s="525" t="s">
        <v>325</v>
      </c>
      <c r="I1086" s="351"/>
      <c r="J1086" s="563"/>
      <c r="K1086" s="351"/>
      <c r="L1086" s="563"/>
      <c r="M1086" s="351"/>
      <c r="N1086" s="37"/>
      <c r="O1086" s="35"/>
      <c r="P1086" s="560"/>
      <c r="Q1086" s="351"/>
      <c r="R1086" s="535"/>
      <c r="S1086" s="351"/>
      <c r="T1086" s="536"/>
      <c r="U1086" s="351"/>
      <c r="V1086" s="537"/>
      <c r="W1086" s="351"/>
      <c r="X1086" s="538" t="s">
        <v>294</v>
      </c>
      <c r="Y1086" s="350"/>
      <c r="Z1086" s="350"/>
      <c r="AA1086" s="351"/>
      <c r="AB1086" s="539" t="s">
        <v>294</v>
      </c>
      <c r="AC1086" s="350"/>
      <c r="AD1086" s="350"/>
      <c r="AE1086" s="351"/>
      <c r="AF1086" s="540"/>
      <c r="AG1086" s="351"/>
      <c r="AH1086" s="540"/>
      <c r="AI1086" s="351"/>
      <c r="AJ1086" s="545"/>
      <c r="AK1086" s="351"/>
      <c r="AL1086" s="555" t="s">
        <v>325</v>
      </c>
      <c r="AM1086" s="351"/>
      <c r="AN1086" s="531" t="s">
        <v>325</v>
      </c>
      <c r="AO1086" s="351"/>
      <c r="AP1086" s="532"/>
      <c r="AQ1086" s="351"/>
      <c r="AR1086" s="533"/>
      <c r="AS1086" s="351"/>
      <c r="AT1086" s="534"/>
      <c r="AU1086" s="351"/>
      <c r="AV1086" s="531" t="s">
        <v>325</v>
      </c>
      <c r="AW1086" s="351"/>
      <c r="AX1086" s="553"/>
      <c r="AY1086" s="350"/>
      <c r="AZ1086" s="351"/>
      <c r="BA1086" s="545"/>
      <c r="BB1086" s="351"/>
      <c r="BC1086" s="36"/>
      <c r="BD1086" s="556" t="s">
        <v>325</v>
      </c>
      <c r="BE1086" s="351"/>
      <c r="BF1086" s="529"/>
      <c r="BG1086" s="350"/>
      <c r="BH1086" s="350"/>
      <c r="BI1086" s="351"/>
      <c r="BJ1086" s="506" t="s">
        <v>294</v>
      </c>
      <c r="BK1086" s="350"/>
      <c r="BL1086" s="350"/>
      <c r="BM1086" s="351"/>
      <c r="BN1086" s="530" t="s">
        <v>294</v>
      </c>
      <c r="BO1086" s="350"/>
      <c r="BP1086" s="350"/>
      <c r="BQ1086" s="350"/>
      <c r="BR1086" s="350"/>
      <c r="BS1086" s="350"/>
      <c r="BT1086" s="350"/>
      <c r="BU1086" s="350"/>
      <c r="BV1086" s="351"/>
    </row>
    <row r="1087" spans="1:74" ht="45" customHeight="1">
      <c r="A1087" s="24">
        <f t="shared" si="4"/>
        <v>1073</v>
      </c>
      <c r="B1087" s="522" t="s">
        <v>294</v>
      </c>
      <c r="C1087" s="351"/>
      <c r="D1087" s="523" t="s">
        <v>298</v>
      </c>
      <c r="E1087" s="351"/>
      <c r="F1087" s="524" t="s">
        <v>325</v>
      </c>
      <c r="G1087" s="351"/>
      <c r="H1087" s="561" t="s">
        <v>325</v>
      </c>
      <c r="I1087" s="351"/>
      <c r="J1087" s="562"/>
      <c r="K1087" s="351"/>
      <c r="L1087" s="562"/>
      <c r="M1087" s="351"/>
      <c r="N1087" s="34"/>
      <c r="O1087" s="38"/>
      <c r="P1087" s="526"/>
      <c r="Q1087" s="351"/>
      <c r="R1087" s="527"/>
      <c r="S1087" s="351"/>
      <c r="T1087" s="528"/>
      <c r="U1087" s="351"/>
      <c r="V1087" s="541"/>
      <c r="W1087" s="351"/>
      <c r="X1087" s="542" t="s">
        <v>294</v>
      </c>
      <c r="Y1087" s="350"/>
      <c r="Z1087" s="350"/>
      <c r="AA1087" s="351"/>
      <c r="AB1087" s="543" t="s">
        <v>294</v>
      </c>
      <c r="AC1087" s="350"/>
      <c r="AD1087" s="350"/>
      <c r="AE1087" s="351"/>
      <c r="AF1087" s="544"/>
      <c r="AG1087" s="351"/>
      <c r="AH1087" s="544"/>
      <c r="AI1087" s="351"/>
      <c r="AJ1087" s="545"/>
      <c r="AK1087" s="351"/>
      <c r="AL1087" s="524" t="s">
        <v>325</v>
      </c>
      <c r="AM1087" s="351"/>
      <c r="AN1087" s="549" t="s">
        <v>325</v>
      </c>
      <c r="AO1087" s="351"/>
      <c r="AP1087" s="550"/>
      <c r="AQ1087" s="351"/>
      <c r="AR1087" s="551"/>
      <c r="AS1087" s="351"/>
      <c r="AT1087" s="552"/>
      <c r="AU1087" s="351"/>
      <c r="AV1087" s="549" t="s">
        <v>325</v>
      </c>
      <c r="AW1087" s="351"/>
      <c r="AX1087" s="553"/>
      <c r="AY1087" s="350"/>
      <c r="AZ1087" s="351"/>
      <c r="BA1087" s="554"/>
      <c r="BB1087" s="351"/>
      <c r="BC1087" s="39"/>
      <c r="BD1087" s="546" t="s">
        <v>325</v>
      </c>
      <c r="BE1087" s="351"/>
      <c r="BF1087" s="547"/>
      <c r="BG1087" s="350"/>
      <c r="BH1087" s="350"/>
      <c r="BI1087" s="351"/>
      <c r="BJ1087" s="548" t="s">
        <v>294</v>
      </c>
      <c r="BK1087" s="350"/>
      <c r="BL1087" s="350"/>
      <c r="BM1087" s="351"/>
      <c r="BN1087" s="530" t="s">
        <v>294</v>
      </c>
      <c r="BO1087" s="350"/>
      <c r="BP1087" s="350"/>
      <c r="BQ1087" s="350"/>
      <c r="BR1087" s="350"/>
      <c r="BS1087" s="350"/>
      <c r="BT1087" s="350"/>
      <c r="BU1087" s="350"/>
      <c r="BV1087" s="351"/>
    </row>
    <row r="1088" spans="1:74" ht="45" customHeight="1">
      <c r="A1088" s="24">
        <f t="shared" si="4"/>
        <v>1074</v>
      </c>
      <c r="B1088" s="558" t="s">
        <v>294</v>
      </c>
      <c r="C1088" s="351"/>
      <c r="D1088" s="559" t="s">
        <v>298</v>
      </c>
      <c r="E1088" s="351"/>
      <c r="F1088" s="524" t="s">
        <v>325</v>
      </c>
      <c r="G1088" s="351"/>
      <c r="H1088" s="525" t="s">
        <v>325</v>
      </c>
      <c r="I1088" s="351"/>
      <c r="J1088" s="563"/>
      <c r="K1088" s="351"/>
      <c r="L1088" s="563"/>
      <c r="M1088" s="351"/>
      <c r="N1088" s="37"/>
      <c r="O1088" s="35"/>
      <c r="P1088" s="560"/>
      <c r="Q1088" s="351"/>
      <c r="R1088" s="535"/>
      <c r="S1088" s="351"/>
      <c r="T1088" s="536"/>
      <c r="U1088" s="351"/>
      <c r="V1088" s="537"/>
      <c r="W1088" s="351"/>
      <c r="X1088" s="538" t="s">
        <v>294</v>
      </c>
      <c r="Y1088" s="350"/>
      <c r="Z1088" s="350"/>
      <c r="AA1088" s="351"/>
      <c r="AB1088" s="539" t="s">
        <v>294</v>
      </c>
      <c r="AC1088" s="350"/>
      <c r="AD1088" s="350"/>
      <c r="AE1088" s="351"/>
      <c r="AF1088" s="540"/>
      <c r="AG1088" s="351"/>
      <c r="AH1088" s="540"/>
      <c r="AI1088" s="351"/>
      <c r="AJ1088" s="545"/>
      <c r="AK1088" s="351"/>
      <c r="AL1088" s="555" t="s">
        <v>325</v>
      </c>
      <c r="AM1088" s="351"/>
      <c r="AN1088" s="531" t="s">
        <v>325</v>
      </c>
      <c r="AO1088" s="351"/>
      <c r="AP1088" s="532"/>
      <c r="AQ1088" s="351"/>
      <c r="AR1088" s="533"/>
      <c r="AS1088" s="351"/>
      <c r="AT1088" s="534"/>
      <c r="AU1088" s="351"/>
      <c r="AV1088" s="531" t="s">
        <v>325</v>
      </c>
      <c r="AW1088" s="351"/>
      <c r="AX1088" s="553"/>
      <c r="AY1088" s="350"/>
      <c r="AZ1088" s="351"/>
      <c r="BA1088" s="545"/>
      <c r="BB1088" s="351"/>
      <c r="BC1088" s="36"/>
      <c r="BD1088" s="556" t="s">
        <v>325</v>
      </c>
      <c r="BE1088" s="351"/>
      <c r="BF1088" s="557"/>
      <c r="BG1088" s="350"/>
      <c r="BH1088" s="350"/>
      <c r="BI1088" s="351"/>
      <c r="BJ1088" s="506" t="s">
        <v>294</v>
      </c>
      <c r="BK1088" s="350"/>
      <c r="BL1088" s="350"/>
      <c r="BM1088" s="351"/>
      <c r="BN1088" s="530" t="s">
        <v>294</v>
      </c>
      <c r="BO1088" s="350"/>
      <c r="BP1088" s="350"/>
      <c r="BQ1088" s="350"/>
      <c r="BR1088" s="350"/>
      <c r="BS1088" s="350"/>
      <c r="BT1088" s="350"/>
      <c r="BU1088" s="350"/>
      <c r="BV1088" s="351"/>
    </row>
    <row r="1089" spans="1:74" ht="45" customHeight="1">
      <c r="A1089" s="24">
        <f t="shared" si="4"/>
        <v>1075</v>
      </c>
      <c r="B1089" s="522" t="s">
        <v>294</v>
      </c>
      <c r="C1089" s="351"/>
      <c r="D1089" s="523" t="s">
        <v>298</v>
      </c>
      <c r="E1089" s="351"/>
      <c r="F1089" s="524" t="s">
        <v>325</v>
      </c>
      <c r="G1089" s="351"/>
      <c r="H1089" s="561" t="s">
        <v>325</v>
      </c>
      <c r="I1089" s="351"/>
      <c r="J1089" s="562"/>
      <c r="K1089" s="351"/>
      <c r="L1089" s="562"/>
      <c r="M1089" s="351"/>
      <c r="N1089" s="34"/>
      <c r="O1089" s="38"/>
      <c r="P1089" s="526"/>
      <c r="Q1089" s="351"/>
      <c r="R1089" s="527"/>
      <c r="S1089" s="351"/>
      <c r="T1089" s="528"/>
      <c r="U1089" s="351"/>
      <c r="V1089" s="541"/>
      <c r="W1089" s="351"/>
      <c r="X1089" s="542" t="s">
        <v>294</v>
      </c>
      <c r="Y1089" s="350"/>
      <c r="Z1089" s="350"/>
      <c r="AA1089" s="351"/>
      <c r="AB1089" s="543" t="s">
        <v>294</v>
      </c>
      <c r="AC1089" s="350"/>
      <c r="AD1089" s="350"/>
      <c r="AE1089" s="351"/>
      <c r="AF1089" s="544"/>
      <c r="AG1089" s="351"/>
      <c r="AH1089" s="544"/>
      <c r="AI1089" s="351"/>
      <c r="AJ1089" s="545"/>
      <c r="AK1089" s="351"/>
      <c r="AL1089" s="524" t="s">
        <v>325</v>
      </c>
      <c r="AM1089" s="351"/>
      <c r="AN1089" s="549" t="s">
        <v>325</v>
      </c>
      <c r="AO1089" s="351"/>
      <c r="AP1089" s="550"/>
      <c r="AQ1089" s="351"/>
      <c r="AR1089" s="551"/>
      <c r="AS1089" s="351"/>
      <c r="AT1089" s="552"/>
      <c r="AU1089" s="351"/>
      <c r="AV1089" s="549" t="s">
        <v>325</v>
      </c>
      <c r="AW1089" s="351"/>
      <c r="AX1089" s="553"/>
      <c r="AY1089" s="350"/>
      <c r="AZ1089" s="351"/>
      <c r="BA1089" s="554"/>
      <c r="BB1089" s="351"/>
      <c r="BC1089" s="39"/>
      <c r="BD1089" s="546" t="s">
        <v>325</v>
      </c>
      <c r="BE1089" s="351"/>
      <c r="BF1089" s="547"/>
      <c r="BG1089" s="350"/>
      <c r="BH1089" s="350"/>
      <c r="BI1089" s="351"/>
      <c r="BJ1089" s="548" t="s">
        <v>294</v>
      </c>
      <c r="BK1089" s="350"/>
      <c r="BL1089" s="350"/>
      <c r="BM1089" s="351"/>
      <c r="BN1089" s="530" t="s">
        <v>294</v>
      </c>
      <c r="BO1089" s="350"/>
      <c r="BP1089" s="350"/>
      <c r="BQ1089" s="350"/>
      <c r="BR1089" s="350"/>
      <c r="BS1089" s="350"/>
      <c r="BT1089" s="350"/>
      <c r="BU1089" s="350"/>
      <c r="BV1089" s="351"/>
    </row>
    <row r="1090" spans="1:74" ht="45" customHeight="1">
      <c r="A1090" s="24">
        <f t="shared" si="4"/>
        <v>1076</v>
      </c>
      <c r="B1090" s="558" t="s">
        <v>294</v>
      </c>
      <c r="C1090" s="351"/>
      <c r="D1090" s="559" t="s">
        <v>298</v>
      </c>
      <c r="E1090" s="351"/>
      <c r="F1090" s="524" t="s">
        <v>325</v>
      </c>
      <c r="G1090" s="351"/>
      <c r="H1090" s="525" t="s">
        <v>325</v>
      </c>
      <c r="I1090" s="351"/>
      <c r="J1090" s="563"/>
      <c r="K1090" s="351"/>
      <c r="L1090" s="563"/>
      <c r="M1090" s="351"/>
      <c r="N1090" s="37"/>
      <c r="O1090" s="35"/>
      <c r="P1090" s="560"/>
      <c r="Q1090" s="351"/>
      <c r="R1090" s="535"/>
      <c r="S1090" s="351"/>
      <c r="T1090" s="536"/>
      <c r="U1090" s="351"/>
      <c r="V1090" s="537"/>
      <c r="W1090" s="351"/>
      <c r="X1090" s="538" t="s">
        <v>294</v>
      </c>
      <c r="Y1090" s="350"/>
      <c r="Z1090" s="350"/>
      <c r="AA1090" s="351"/>
      <c r="AB1090" s="539" t="s">
        <v>294</v>
      </c>
      <c r="AC1090" s="350"/>
      <c r="AD1090" s="350"/>
      <c r="AE1090" s="351"/>
      <c r="AF1090" s="540"/>
      <c r="AG1090" s="351"/>
      <c r="AH1090" s="540"/>
      <c r="AI1090" s="351"/>
      <c r="AJ1090" s="545"/>
      <c r="AK1090" s="351"/>
      <c r="AL1090" s="555" t="s">
        <v>325</v>
      </c>
      <c r="AM1090" s="351"/>
      <c r="AN1090" s="531" t="s">
        <v>325</v>
      </c>
      <c r="AO1090" s="351"/>
      <c r="AP1090" s="532"/>
      <c r="AQ1090" s="351"/>
      <c r="AR1090" s="533"/>
      <c r="AS1090" s="351"/>
      <c r="AT1090" s="534"/>
      <c r="AU1090" s="351"/>
      <c r="AV1090" s="531" t="s">
        <v>325</v>
      </c>
      <c r="AW1090" s="351"/>
      <c r="AX1090" s="553"/>
      <c r="AY1090" s="350"/>
      <c r="AZ1090" s="351"/>
      <c r="BA1090" s="545"/>
      <c r="BB1090" s="351"/>
      <c r="BC1090" s="36"/>
      <c r="BD1090" s="556" t="s">
        <v>325</v>
      </c>
      <c r="BE1090" s="351"/>
      <c r="BF1090" s="557"/>
      <c r="BG1090" s="350"/>
      <c r="BH1090" s="350"/>
      <c r="BI1090" s="351"/>
      <c r="BJ1090" s="506" t="s">
        <v>294</v>
      </c>
      <c r="BK1090" s="350"/>
      <c r="BL1090" s="350"/>
      <c r="BM1090" s="351"/>
      <c r="BN1090" s="530" t="s">
        <v>294</v>
      </c>
      <c r="BO1090" s="350"/>
      <c r="BP1090" s="350"/>
      <c r="BQ1090" s="350"/>
      <c r="BR1090" s="350"/>
      <c r="BS1090" s="350"/>
      <c r="BT1090" s="350"/>
      <c r="BU1090" s="350"/>
      <c r="BV1090" s="351"/>
    </row>
    <row r="1091" spans="1:74" ht="45" customHeight="1">
      <c r="A1091" s="24">
        <f t="shared" si="4"/>
        <v>1077</v>
      </c>
      <c r="B1091" s="522" t="s">
        <v>294</v>
      </c>
      <c r="C1091" s="351"/>
      <c r="D1091" s="523" t="s">
        <v>298</v>
      </c>
      <c r="E1091" s="351"/>
      <c r="F1091" s="524" t="s">
        <v>325</v>
      </c>
      <c r="G1091" s="351"/>
      <c r="H1091" s="561" t="s">
        <v>325</v>
      </c>
      <c r="I1091" s="351"/>
      <c r="J1091" s="562"/>
      <c r="K1091" s="351"/>
      <c r="L1091" s="562"/>
      <c r="M1091" s="351"/>
      <c r="N1091" s="34"/>
      <c r="O1091" s="38"/>
      <c r="P1091" s="526"/>
      <c r="Q1091" s="351"/>
      <c r="R1091" s="527"/>
      <c r="S1091" s="351"/>
      <c r="T1091" s="528"/>
      <c r="U1091" s="351"/>
      <c r="V1091" s="541"/>
      <c r="W1091" s="351"/>
      <c r="X1091" s="542" t="s">
        <v>294</v>
      </c>
      <c r="Y1091" s="350"/>
      <c r="Z1091" s="350"/>
      <c r="AA1091" s="351"/>
      <c r="AB1091" s="543" t="s">
        <v>294</v>
      </c>
      <c r="AC1091" s="350"/>
      <c r="AD1091" s="350"/>
      <c r="AE1091" s="351"/>
      <c r="AF1091" s="544"/>
      <c r="AG1091" s="351"/>
      <c r="AH1091" s="544"/>
      <c r="AI1091" s="351"/>
      <c r="AJ1091" s="545"/>
      <c r="AK1091" s="351"/>
      <c r="AL1091" s="524" t="s">
        <v>325</v>
      </c>
      <c r="AM1091" s="351"/>
      <c r="AN1091" s="549" t="s">
        <v>325</v>
      </c>
      <c r="AO1091" s="351"/>
      <c r="AP1091" s="550"/>
      <c r="AQ1091" s="351"/>
      <c r="AR1091" s="551"/>
      <c r="AS1091" s="351"/>
      <c r="AT1091" s="552"/>
      <c r="AU1091" s="351"/>
      <c r="AV1091" s="549" t="s">
        <v>325</v>
      </c>
      <c r="AW1091" s="351"/>
      <c r="AX1091" s="553"/>
      <c r="AY1091" s="350"/>
      <c r="AZ1091" s="351"/>
      <c r="BA1091" s="554"/>
      <c r="BB1091" s="351"/>
      <c r="BC1091" s="39"/>
      <c r="BD1091" s="546" t="s">
        <v>325</v>
      </c>
      <c r="BE1091" s="351"/>
      <c r="BF1091" s="547"/>
      <c r="BG1091" s="350"/>
      <c r="BH1091" s="350"/>
      <c r="BI1091" s="351"/>
      <c r="BJ1091" s="548" t="s">
        <v>294</v>
      </c>
      <c r="BK1091" s="350"/>
      <c r="BL1091" s="350"/>
      <c r="BM1091" s="351"/>
      <c r="BN1091" s="530" t="s">
        <v>294</v>
      </c>
      <c r="BO1091" s="350"/>
      <c r="BP1091" s="350"/>
      <c r="BQ1091" s="350"/>
      <c r="BR1091" s="350"/>
      <c r="BS1091" s="350"/>
      <c r="BT1091" s="350"/>
      <c r="BU1091" s="350"/>
      <c r="BV1091" s="351"/>
    </row>
    <row r="1092" spans="1:74" ht="45" customHeight="1">
      <c r="A1092" s="24">
        <f t="shared" si="4"/>
        <v>1078</v>
      </c>
      <c r="B1092" s="558" t="s">
        <v>294</v>
      </c>
      <c r="C1092" s="351"/>
      <c r="D1092" s="559" t="s">
        <v>298</v>
      </c>
      <c r="E1092" s="351"/>
      <c r="F1092" s="524" t="s">
        <v>325</v>
      </c>
      <c r="G1092" s="351"/>
      <c r="H1092" s="525" t="s">
        <v>325</v>
      </c>
      <c r="I1092" s="351"/>
      <c r="J1092" s="563"/>
      <c r="K1092" s="351"/>
      <c r="L1092" s="563"/>
      <c r="M1092" s="351"/>
      <c r="N1092" s="37"/>
      <c r="O1092" s="35"/>
      <c r="P1092" s="560"/>
      <c r="Q1092" s="351"/>
      <c r="R1092" s="535"/>
      <c r="S1092" s="351"/>
      <c r="T1092" s="536"/>
      <c r="U1092" s="351"/>
      <c r="V1092" s="537"/>
      <c r="W1092" s="351"/>
      <c r="X1092" s="538" t="s">
        <v>294</v>
      </c>
      <c r="Y1092" s="350"/>
      <c r="Z1092" s="350"/>
      <c r="AA1092" s="351"/>
      <c r="AB1092" s="539" t="s">
        <v>294</v>
      </c>
      <c r="AC1092" s="350"/>
      <c r="AD1092" s="350"/>
      <c r="AE1092" s="351"/>
      <c r="AF1092" s="540"/>
      <c r="AG1092" s="351"/>
      <c r="AH1092" s="540"/>
      <c r="AI1092" s="351"/>
      <c r="AJ1092" s="545"/>
      <c r="AK1092" s="351"/>
      <c r="AL1092" s="555" t="s">
        <v>325</v>
      </c>
      <c r="AM1092" s="351"/>
      <c r="AN1092" s="531" t="s">
        <v>325</v>
      </c>
      <c r="AO1092" s="351"/>
      <c r="AP1092" s="532"/>
      <c r="AQ1092" s="351"/>
      <c r="AR1092" s="533"/>
      <c r="AS1092" s="351"/>
      <c r="AT1092" s="534"/>
      <c r="AU1092" s="351"/>
      <c r="AV1092" s="531" t="s">
        <v>325</v>
      </c>
      <c r="AW1092" s="351"/>
      <c r="AX1092" s="553"/>
      <c r="AY1092" s="350"/>
      <c r="AZ1092" s="351"/>
      <c r="BA1092" s="545"/>
      <c r="BB1092" s="351"/>
      <c r="BC1092" s="36"/>
      <c r="BD1092" s="556" t="s">
        <v>325</v>
      </c>
      <c r="BE1092" s="351"/>
      <c r="BF1092" s="529"/>
      <c r="BG1092" s="350"/>
      <c r="BH1092" s="350"/>
      <c r="BI1092" s="351"/>
      <c r="BJ1092" s="506" t="s">
        <v>294</v>
      </c>
      <c r="BK1092" s="350"/>
      <c r="BL1092" s="350"/>
      <c r="BM1092" s="351"/>
      <c r="BN1092" s="530" t="s">
        <v>294</v>
      </c>
      <c r="BO1092" s="350"/>
      <c r="BP1092" s="350"/>
      <c r="BQ1092" s="350"/>
      <c r="BR1092" s="350"/>
      <c r="BS1092" s="350"/>
      <c r="BT1092" s="350"/>
      <c r="BU1092" s="350"/>
      <c r="BV1092" s="351"/>
    </row>
    <row r="1093" spans="1:74" ht="45" customHeight="1">
      <c r="A1093" s="24">
        <f t="shared" si="4"/>
        <v>1079</v>
      </c>
      <c r="B1093" s="522" t="s">
        <v>294</v>
      </c>
      <c r="C1093" s="351"/>
      <c r="D1093" s="523" t="s">
        <v>298</v>
      </c>
      <c r="E1093" s="351"/>
      <c r="F1093" s="524" t="s">
        <v>325</v>
      </c>
      <c r="G1093" s="351"/>
      <c r="H1093" s="561" t="s">
        <v>325</v>
      </c>
      <c r="I1093" s="351"/>
      <c r="J1093" s="562"/>
      <c r="K1093" s="351"/>
      <c r="L1093" s="562"/>
      <c r="M1093" s="351"/>
      <c r="N1093" s="34"/>
      <c r="O1093" s="38"/>
      <c r="P1093" s="526"/>
      <c r="Q1093" s="351"/>
      <c r="R1093" s="527"/>
      <c r="S1093" s="351"/>
      <c r="T1093" s="528"/>
      <c r="U1093" s="351"/>
      <c r="V1093" s="541"/>
      <c r="W1093" s="351"/>
      <c r="X1093" s="542" t="s">
        <v>294</v>
      </c>
      <c r="Y1093" s="350"/>
      <c r="Z1093" s="350"/>
      <c r="AA1093" s="351"/>
      <c r="AB1093" s="543" t="s">
        <v>294</v>
      </c>
      <c r="AC1093" s="350"/>
      <c r="AD1093" s="350"/>
      <c r="AE1093" s="351"/>
      <c r="AF1093" s="544"/>
      <c r="AG1093" s="351"/>
      <c r="AH1093" s="544"/>
      <c r="AI1093" s="351"/>
      <c r="AJ1093" s="545"/>
      <c r="AK1093" s="351"/>
      <c r="AL1093" s="524" t="s">
        <v>325</v>
      </c>
      <c r="AM1093" s="351"/>
      <c r="AN1093" s="549" t="s">
        <v>325</v>
      </c>
      <c r="AO1093" s="351"/>
      <c r="AP1093" s="550"/>
      <c r="AQ1093" s="351"/>
      <c r="AR1093" s="551"/>
      <c r="AS1093" s="351"/>
      <c r="AT1093" s="552"/>
      <c r="AU1093" s="351"/>
      <c r="AV1093" s="549" t="s">
        <v>325</v>
      </c>
      <c r="AW1093" s="351"/>
      <c r="AX1093" s="553"/>
      <c r="AY1093" s="350"/>
      <c r="AZ1093" s="351"/>
      <c r="BA1093" s="554"/>
      <c r="BB1093" s="351"/>
      <c r="BC1093" s="39"/>
      <c r="BD1093" s="546" t="s">
        <v>325</v>
      </c>
      <c r="BE1093" s="351"/>
      <c r="BF1093" s="547"/>
      <c r="BG1093" s="350"/>
      <c r="BH1093" s="350"/>
      <c r="BI1093" s="351"/>
      <c r="BJ1093" s="548" t="s">
        <v>294</v>
      </c>
      <c r="BK1093" s="350"/>
      <c r="BL1093" s="350"/>
      <c r="BM1093" s="351"/>
      <c r="BN1093" s="530" t="s">
        <v>294</v>
      </c>
      <c r="BO1093" s="350"/>
      <c r="BP1093" s="350"/>
      <c r="BQ1093" s="350"/>
      <c r="BR1093" s="350"/>
      <c r="BS1093" s="350"/>
      <c r="BT1093" s="350"/>
      <c r="BU1093" s="350"/>
      <c r="BV1093" s="351"/>
    </row>
    <row r="1094" spans="1:74" ht="45" customHeight="1">
      <c r="A1094" s="24">
        <f t="shared" si="4"/>
        <v>1080</v>
      </c>
      <c r="B1094" s="558" t="s">
        <v>294</v>
      </c>
      <c r="C1094" s="351"/>
      <c r="D1094" s="559" t="s">
        <v>298</v>
      </c>
      <c r="E1094" s="351"/>
      <c r="F1094" s="524" t="s">
        <v>325</v>
      </c>
      <c r="G1094" s="351"/>
      <c r="H1094" s="525" t="s">
        <v>325</v>
      </c>
      <c r="I1094" s="351"/>
      <c r="J1094" s="563"/>
      <c r="K1094" s="351"/>
      <c r="L1094" s="563"/>
      <c r="M1094" s="351"/>
      <c r="N1094" s="37"/>
      <c r="O1094" s="35"/>
      <c r="P1094" s="560"/>
      <c r="Q1094" s="351"/>
      <c r="R1094" s="535"/>
      <c r="S1094" s="351"/>
      <c r="T1094" s="536"/>
      <c r="U1094" s="351"/>
      <c r="V1094" s="537"/>
      <c r="W1094" s="351"/>
      <c r="X1094" s="538" t="s">
        <v>294</v>
      </c>
      <c r="Y1094" s="350"/>
      <c r="Z1094" s="350"/>
      <c r="AA1094" s="351"/>
      <c r="AB1094" s="539" t="s">
        <v>294</v>
      </c>
      <c r="AC1094" s="350"/>
      <c r="AD1094" s="350"/>
      <c r="AE1094" s="351"/>
      <c r="AF1094" s="540"/>
      <c r="AG1094" s="351"/>
      <c r="AH1094" s="540"/>
      <c r="AI1094" s="351"/>
      <c r="AJ1094" s="545"/>
      <c r="AK1094" s="351"/>
      <c r="AL1094" s="555" t="s">
        <v>325</v>
      </c>
      <c r="AM1094" s="351"/>
      <c r="AN1094" s="531" t="s">
        <v>325</v>
      </c>
      <c r="AO1094" s="351"/>
      <c r="AP1094" s="532"/>
      <c r="AQ1094" s="351"/>
      <c r="AR1094" s="533"/>
      <c r="AS1094" s="351"/>
      <c r="AT1094" s="534"/>
      <c r="AU1094" s="351"/>
      <c r="AV1094" s="531" t="s">
        <v>325</v>
      </c>
      <c r="AW1094" s="351"/>
      <c r="AX1094" s="553"/>
      <c r="AY1094" s="350"/>
      <c r="AZ1094" s="351"/>
      <c r="BA1094" s="545"/>
      <c r="BB1094" s="351"/>
      <c r="BC1094" s="36"/>
      <c r="BD1094" s="556" t="s">
        <v>325</v>
      </c>
      <c r="BE1094" s="351"/>
      <c r="BF1094" s="557"/>
      <c r="BG1094" s="350"/>
      <c r="BH1094" s="350"/>
      <c r="BI1094" s="351"/>
      <c r="BJ1094" s="506" t="s">
        <v>294</v>
      </c>
      <c r="BK1094" s="350"/>
      <c r="BL1094" s="350"/>
      <c r="BM1094" s="351"/>
      <c r="BN1094" s="530" t="s">
        <v>294</v>
      </c>
      <c r="BO1094" s="350"/>
      <c r="BP1094" s="350"/>
      <c r="BQ1094" s="350"/>
      <c r="BR1094" s="350"/>
      <c r="BS1094" s="350"/>
      <c r="BT1094" s="350"/>
      <c r="BU1094" s="350"/>
      <c r="BV1094" s="351"/>
    </row>
    <row r="1095" spans="1:74" ht="45" customHeight="1">
      <c r="A1095" s="24">
        <f t="shared" si="4"/>
        <v>1081</v>
      </c>
      <c r="B1095" s="522" t="s">
        <v>294</v>
      </c>
      <c r="C1095" s="351"/>
      <c r="D1095" s="523" t="s">
        <v>298</v>
      </c>
      <c r="E1095" s="351"/>
      <c r="F1095" s="524" t="s">
        <v>325</v>
      </c>
      <c r="G1095" s="351"/>
      <c r="H1095" s="561" t="s">
        <v>325</v>
      </c>
      <c r="I1095" s="351"/>
      <c r="J1095" s="562"/>
      <c r="K1095" s="351"/>
      <c r="L1095" s="562"/>
      <c r="M1095" s="351"/>
      <c r="N1095" s="37"/>
      <c r="O1095" s="38"/>
      <c r="P1095" s="560"/>
      <c r="Q1095" s="351"/>
      <c r="R1095" s="527"/>
      <c r="S1095" s="351"/>
      <c r="T1095" s="528"/>
      <c r="U1095" s="351"/>
      <c r="V1095" s="541"/>
      <c r="W1095" s="351"/>
      <c r="X1095" s="542" t="s">
        <v>294</v>
      </c>
      <c r="Y1095" s="350"/>
      <c r="Z1095" s="350"/>
      <c r="AA1095" s="351"/>
      <c r="AB1095" s="543" t="s">
        <v>294</v>
      </c>
      <c r="AC1095" s="350"/>
      <c r="AD1095" s="350"/>
      <c r="AE1095" s="351"/>
      <c r="AF1095" s="544"/>
      <c r="AG1095" s="351"/>
      <c r="AH1095" s="544"/>
      <c r="AI1095" s="351"/>
      <c r="AJ1095" s="545"/>
      <c r="AK1095" s="351"/>
      <c r="AL1095" s="524" t="s">
        <v>325</v>
      </c>
      <c r="AM1095" s="351"/>
      <c r="AN1095" s="549" t="s">
        <v>325</v>
      </c>
      <c r="AO1095" s="351"/>
      <c r="AP1095" s="550"/>
      <c r="AQ1095" s="351"/>
      <c r="AR1095" s="551"/>
      <c r="AS1095" s="351"/>
      <c r="AT1095" s="534"/>
      <c r="AU1095" s="351"/>
      <c r="AV1095" s="549" t="s">
        <v>325</v>
      </c>
      <c r="AW1095" s="351"/>
      <c r="AX1095" s="553"/>
      <c r="AY1095" s="350"/>
      <c r="AZ1095" s="351"/>
      <c r="BA1095" s="554"/>
      <c r="BB1095" s="351"/>
      <c r="BC1095" s="39"/>
      <c r="BD1095" s="546" t="s">
        <v>325</v>
      </c>
      <c r="BE1095" s="351"/>
      <c r="BF1095" s="547"/>
      <c r="BG1095" s="350"/>
      <c r="BH1095" s="350"/>
      <c r="BI1095" s="351"/>
      <c r="BJ1095" s="548" t="s">
        <v>294</v>
      </c>
      <c r="BK1095" s="350"/>
      <c r="BL1095" s="350"/>
      <c r="BM1095" s="351"/>
      <c r="BN1095" s="530" t="s">
        <v>294</v>
      </c>
      <c r="BO1095" s="350"/>
      <c r="BP1095" s="350"/>
      <c r="BQ1095" s="350"/>
      <c r="BR1095" s="350"/>
      <c r="BS1095" s="350"/>
      <c r="BT1095" s="350"/>
      <c r="BU1095" s="350"/>
      <c r="BV1095" s="351"/>
    </row>
    <row r="1096" spans="1:74" ht="45" customHeight="1">
      <c r="A1096" s="24">
        <f t="shared" si="4"/>
        <v>1082</v>
      </c>
      <c r="B1096" s="558" t="s">
        <v>294</v>
      </c>
      <c r="C1096" s="351"/>
      <c r="D1096" s="559" t="s">
        <v>298</v>
      </c>
      <c r="E1096" s="351"/>
      <c r="F1096" s="524" t="s">
        <v>325</v>
      </c>
      <c r="G1096" s="351"/>
      <c r="H1096" s="525" t="s">
        <v>325</v>
      </c>
      <c r="I1096" s="351"/>
      <c r="J1096" s="563"/>
      <c r="K1096" s="351"/>
      <c r="L1096" s="563"/>
      <c r="M1096" s="351"/>
      <c r="N1096" s="34"/>
      <c r="O1096" s="35"/>
      <c r="P1096" s="526"/>
      <c r="Q1096" s="351"/>
      <c r="R1096" s="535"/>
      <c r="S1096" s="351"/>
      <c r="T1096" s="536"/>
      <c r="U1096" s="351"/>
      <c r="V1096" s="537"/>
      <c r="W1096" s="351"/>
      <c r="X1096" s="538" t="s">
        <v>294</v>
      </c>
      <c r="Y1096" s="350"/>
      <c r="Z1096" s="350"/>
      <c r="AA1096" s="351"/>
      <c r="AB1096" s="539" t="s">
        <v>294</v>
      </c>
      <c r="AC1096" s="350"/>
      <c r="AD1096" s="350"/>
      <c r="AE1096" s="351"/>
      <c r="AF1096" s="540"/>
      <c r="AG1096" s="351"/>
      <c r="AH1096" s="540"/>
      <c r="AI1096" s="351"/>
      <c r="AJ1096" s="545"/>
      <c r="AK1096" s="351"/>
      <c r="AL1096" s="555" t="s">
        <v>325</v>
      </c>
      <c r="AM1096" s="351"/>
      <c r="AN1096" s="531" t="s">
        <v>325</v>
      </c>
      <c r="AO1096" s="351"/>
      <c r="AP1096" s="532"/>
      <c r="AQ1096" s="351"/>
      <c r="AR1096" s="533"/>
      <c r="AS1096" s="351"/>
      <c r="AT1096" s="534"/>
      <c r="AU1096" s="351"/>
      <c r="AV1096" s="531" t="s">
        <v>325</v>
      </c>
      <c r="AW1096" s="351"/>
      <c r="AX1096" s="553"/>
      <c r="AY1096" s="350"/>
      <c r="AZ1096" s="351"/>
      <c r="BA1096" s="545"/>
      <c r="BB1096" s="351"/>
      <c r="BC1096" s="36"/>
      <c r="BD1096" s="556" t="s">
        <v>325</v>
      </c>
      <c r="BE1096" s="351"/>
      <c r="BF1096" s="557"/>
      <c r="BG1096" s="350"/>
      <c r="BH1096" s="350"/>
      <c r="BI1096" s="351"/>
      <c r="BJ1096" s="506" t="s">
        <v>294</v>
      </c>
      <c r="BK1096" s="350"/>
      <c r="BL1096" s="350"/>
      <c r="BM1096" s="351"/>
      <c r="BN1096" s="530" t="s">
        <v>294</v>
      </c>
      <c r="BO1096" s="350"/>
      <c r="BP1096" s="350"/>
      <c r="BQ1096" s="350"/>
      <c r="BR1096" s="350"/>
      <c r="BS1096" s="350"/>
      <c r="BT1096" s="350"/>
      <c r="BU1096" s="350"/>
      <c r="BV1096" s="351"/>
    </row>
    <row r="1097" spans="1:74" ht="45" customHeight="1">
      <c r="A1097" s="24">
        <f t="shared" si="4"/>
        <v>1083</v>
      </c>
      <c r="B1097" s="522" t="s">
        <v>294</v>
      </c>
      <c r="C1097" s="351"/>
      <c r="D1097" s="523" t="s">
        <v>298</v>
      </c>
      <c r="E1097" s="351"/>
      <c r="F1097" s="524" t="s">
        <v>325</v>
      </c>
      <c r="G1097" s="351"/>
      <c r="H1097" s="561" t="s">
        <v>325</v>
      </c>
      <c r="I1097" s="351"/>
      <c r="J1097" s="562"/>
      <c r="K1097" s="351"/>
      <c r="L1097" s="562"/>
      <c r="M1097" s="351"/>
      <c r="N1097" s="37"/>
      <c r="O1097" s="38"/>
      <c r="P1097" s="560"/>
      <c r="Q1097" s="351"/>
      <c r="R1097" s="527"/>
      <c r="S1097" s="351"/>
      <c r="T1097" s="528"/>
      <c r="U1097" s="351"/>
      <c r="V1097" s="541"/>
      <c r="W1097" s="351"/>
      <c r="X1097" s="542" t="s">
        <v>294</v>
      </c>
      <c r="Y1097" s="350"/>
      <c r="Z1097" s="350"/>
      <c r="AA1097" s="351"/>
      <c r="AB1097" s="543" t="s">
        <v>294</v>
      </c>
      <c r="AC1097" s="350"/>
      <c r="AD1097" s="350"/>
      <c r="AE1097" s="351"/>
      <c r="AF1097" s="544"/>
      <c r="AG1097" s="351"/>
      <c r="AH1097" s="544"/>
      <c r="AI1097" s="351"/>
      <c r="AJ1097" s="545"/>
      <c r="AK1097" s="351"/>
      <c r="AL1097" s="524" t="s">
        <v>325</v>
      </c>
      <c r="AM1097" s="351"/>
      <c r="AN1097" s="549" t="s">
        <v>325</v>
      </c>
      <c r="AO1097" s="351"/>
      <c r="AP1097" s="550"/>
      <c r="AQ1097" s="351"/>
      <c r="AR1097" s="551"/>
      <c r="AS1097" s="351"/>
      <c r="AT1097" s="534"/>
      <c r="AU1097" s="351"/>
      <c r="AV1097" s="549" t="s">
        <v>325</v>
      </c>
      <c r="AW1097" s="351"/>
      <c r="AX1097" s="553"/>
      <c r="AY1097" s="350"/>
      <c r="AZ1097" s="351"/>
      <c r="BA1097" s="554"/>
      <c r="BB1097" s="351"/>
      <c r="BC1097" s="39"/>
      <c r="BD1097" s="546" t="s">
        <v>325</v>
      </c>
      <c r="BE1097" s="351"/>
      <c r="BF1097" s="547"/>
      <c r="BG1097" s="350"/>
      <c r="BH1097" s="350"/>
      <c r="BI1097" s="351"/>
      <c r="BJ1097" s="548" t="s">
        <v>294</v>
      </c>
      <c r="BK1097" s="350"/>
      <c r="BL1097" s="350"/>
      <c r="BM1097" s="351"/>
      <c r="BN1097" s="530" t="s">
        <v>294</v>
      </c>
      <c r="BO1097" s="350"/>
      <c r="BP1097" s="350"/>
      <c r="BQ1097" s="350"/>
      <c r="BR1097" s="350"/>
      <c r="BS1097" s="350"/>
      <c r="BT1097" s="350"/>
      <c r="BU1097" s="350"/>
      <c r="BV1097" s="351"/>
    </row>
    <row r="1098" spans="1:74" ht="45" customHeight="1">
      <c r="A1098" s="24">
        <f t="shared" si="4"/>
        <v>1084</v>
      </c>
      <c r="B1098" s="558" t="s">
        <v>294</v>
      </c>
      <c r="C1098" s="351"/>
      <c r="D1098" s="559" t="s">
        <v>298</v>
      </c>
      <c r="E1098" s="351"/>
      <c r="F1098" s="524" t="s">
        <v>325</v>
      </c>
      <c r="G1098" s="351"/>
      <c r="H1098" s="525" t="s">
        <v>325</v>
      </c>
      <c r="I1098" s="351"/>
      <c r="J1098" s="563"/>
      <c r="K1098" s="351"/>
      <c r="L1098" s="563"/>
      <c r="M1098" s="351"/>
      <c r="N1098" s="34"/>
      <c r="O1098" s="35"/>
      <c r="P1098" s="526"/>
      <c r="Q1098" s="351"/>
      <c r="R1098" s="535"/>
      <c r="S1098" s="351"/>
      <c r="T1098" s="536"/>
      <c r="U1098" s="351"/>
      <c r="V1098" s="537"/>
      <c r="W1098" s="351"/>
      <c r="X1098" s="538" t="s">
        <v>294</v>
      </c>
      <c r="Y1098" s="350"/>
      <c r="Z1098" s="350"/>
      <c r="AA1098" s="351"/>
      <c r="AB1098" s="539" t="s">
        <v>294</v>
      </c>
      <c r="AC1098" s="350"/>
      <c r="AD1098" s="350"/>
      <c r="AE1098" s="351"/>
      <c r="AF1098" s="540"/>
      <c r="AG1098" s="351"/>
      <c r="AH1098" s="540"/>
      <c r="AI1098" s="351"/>
      <c r="AJ1098" s="545"/>
      <c r="AK1098" s="351"/>
      <c r="AL1098" s="555" t="s">
        <v>325</v>
      </c>
      <c r="AM1098" s="351"/>
      <c r="AN1098" s="531" t="s">
        <v>325</v>
      </c>
      <c r="AO1098" s="351"/>
      <c r="AP1098" s="532"/>
      <c r="AQ1098" s="351"/>
      <c r="AR1098" s="533"/>
      <c r="AS1098" s="351"/>
      <c r="AT1098" s="534"/>
      <c r="AU1098" s="351"/>
      <c r="AV1098" s="531" t="s">
        <v>325</v>
      </c>
      <c r="AW1098" s="351"/>
      <c r="AX1098" s="553"/>
      <c r="AY1098" s="350"/>
      <c r="AZ1098" s="351"/>
      <c r="BA1098" s="545"/>
      <c r="BB1098" s="351"/>
      <c r="BC1098" s="36"/>
      <c r="BD1098" s="556" t="s">
        <v>325</v>
      </c>
      <c r="BE1098" s="351"/>
      <c r="BF1098" s="557"/>
      <c r="BG1098" s="350"/>
      <c r="BH1098" s="350"/>
      <c r="BI1098" s="351"/>
      <c r="BJ1098" s="506" t="s">
        <v>294</v>
      </c>
      <c r="BK1098" s="350"/>
      <c r="BL1098" s="350"/>
      <c r="BM1098" s="351"/>
      <c r="BN1098" s="530" t="s">
        <v>294</v>
      </c>
      <c r="BO1098" s="350"/>
      <c r="BP1098" s="350"/>
      <c r="BQ1098" s="350"/>
      <c r="BR1098" s="350"/>
      <c r="BS1098" s="350"/>
      <c r="BT1098" s="350"/>
      <c r="BU1098" s="350"/>
      <c r="BV1098" s="351"/>
    </row>
    <row r="1099" spans="1:74" ht="45" customHeight="1">
      <c r="A1099" s="24">
        <f t="shared" si="4"/>
        <v>1085</v>
      </c>
      <c r="B1099" s="522" t="s">
        <v>294</v>
      </c>
      <c r="C1099" s="351"/>
      <c r="D1099" s="523" t="s">
        <v>298</v>
      </c>
      <c r="E1099" s="351"/>
      <c r="F1099" s="524" t="s">
        <v>325</v>
      </c>
      <c r="G1099" s="351"/>
      <c r="H1099" s="561" t="s">
        <v>325</v>
      </c>
      <c r="I1099" s="351"/>
      <c r="J1099" s="562"/>
      <c r="K1099" s="351"/>
      <c r="L1099" s="562"/>
      <c r="M1099" s="351"/>
      <c r="N1099" s="37"/>
      <c r="O1099" s="38"/>
      <c r="P1099" s="560"/>
      <c r="Q1099" s="351"/>
      <c r="R1099" s="527"/>
      <c r="S1099" s="351"/>
      <c r="T1099" s="528"/>
      <c r="U1099" s="351"/>
      <c r="V1099" s="541"/>
      <c r="W1099" s="351"/>
      <c r="X1099" s="542" t="s">
        <v>294</v>
      </c>
      <c r="Y1099" s="350"/>
      <c r="Z1099" s="350"/>
      <c r="AA1099" s="351"/>
      <c r="AB1099" s="543" t="s">
        <v>294</v>
      </c>
      <c r="AC1099" s="350"/>
      <c r="AD1099" s="350"/>
      <c r="AE1099" s="351"/>
      <c r="AF1099" s="544"/>
      <c r="AG1099" s="351"/>
      <c r="AH1099" s="544"/>
      <c r="AI1099" s="351"/>
      <c r="AJ1099" s="545"/>
      <c r="AK1099" s="351"/>
      <c r="AL1099" s="524" t="s">
        <v>325</v>
      </c>
      <c r="AM1099" s="351"/>
      <c r="AN1099" s="549" t="s">
        <v>325</v>
      </c>
      <c r="AO1099" s="351"/>
      <c r="AP1099" s="550"/>
      <c r="AQ1099" s="351"/>
      <c r="AR1099" s="551"/>
      <c r="AS1099" s="351"/>
      <c r="AT1099" s="552"/>
      <c r="AU1099" s="351"/>
      <c r="AV1099" s="549" t="s">
        <v>325</v>
      </c>
      <c r="AW1099" s="351"/>
      <c r="AX1099" s="553"/>
      <c r="AY1099" s="350"/>
      <c r="AZ1099" s="351"/>
      <c r="BA1099" s="554"/>
      <c r="BB1099" s="351"/>
      <c r="BC1099" s="39"/>
      <c r="BD1099" s="546" t="s">
        <v>325</v>
      </c>
      <c r="BE1099" s="351"/>
      <c r="BF1099" s="547"/>
      <c r="BG1099" s="350"/>
      <c r="BH1099" s="350"/>
      <c r="BI1099" s="351"/>
      <c r="BJ1099" s="548" t="s">
        <v>294</v>
      </c>
      <c r="BK1099" s="350"/>
      <c r="BL1099" s="350"/>
      <c r="BM1099" s="351"/>
      <c r="BN1099" s="530" t="s">
        <v>294</v>
      </c>
      <c r="BO1099" s="350"/>
      <c r="BP1099" s="350"/>
      <c r="BQ1099" s="350"/>
      <c r="BR1099" s="350"/>
      <c r="BS1099" s="350"/>
      <c r="BT1099" s="350"/>
      <c r="BU1099" s="350"/>
      <c r="BV1099" s="351"/>
    </row>
    <row r="1100" spans="1:74" ht="45" customHeight="1">
      <c r="A1100" s="24">
        <f t="shared" si="4"/>
        <v>1086</v>
      </c>
      <c r="B1100" s="558" t="s">
        <v>294</v>
      </c>
      <c r="C1100" s="351"/>
      <c r="D1100" s="559" t="s">
        <v>298</v>
      </c>
      <c r="E1100" s="351"/>
      <c r="F1100" s="524" t="s">
        <v>325</v>
      </c>
      <c r="G1100" s="351"/>
      <c r="H1100" s="525" t="s">
        <v>325</v>
      </c>
      <c r="I1100" s="351"/>
      <c r="J1100" s="563"/>
      <c r="K1100" s="351"/>
      <c r="L1100" s="563"/>
      <c r="M1100" s="351"/>
      <c r="N1100" s="34"/>
      <c r="O1100" s="35"/>
      <c r="P1100" s="526"/>
      <c r="Q1100" s="351"/>
      <c r="R1100" s="535"/>
      <c r="S1100" s="351"/>
      <c r="T1100" s="536"/>
      <c r="U1100" s="351"/>
      <c r="V1100" s="537"/>
      <c r="W1100" s="351"/>
      <c r="X1100" s="538" t="s">
        <v>294</v>
      </c>
      <c r="Y1100" s="350"/>
      <c r="Z1100" s="350"/>
      <c r="AA1100" s="351"/>
      <c r="AB1100" s="539" t="s">
        <v>294</v>
      </c>
      <c r="AC1100" s="350"/>
      <c r="AD1100" s="350"/>
      <c r="AE1100" s="351"/>
      <c r="AF1100" s="540"/>
      <c r="AG1100" s="351"/>
      <c r="AH1100" s="540"/>
      <c r="AI1100" s="351"/>
      <c r="AJ1100" s="545"/>
      <c r="AK1100" s="351"/>
      <c r="AL1100" s="555" t="s">
        <v>325</v>
      </c>
      <c r="AM1100" s="351"/>
      <c r="AN1100" s="531" t="s">
        <v>325</v>
      </c>
      <c r="AO1100" s="351"/>
      <c r="AP1100" s="532"/>
      <c r="AQ1100" s="351"/>
      <c r="AR1100" s="533"/>
      <c r="AS1100" s="351"/>
      <c r="AT1100" s="534"/>
      <c r="AU1100" s="351"/>
      <c r="AV1100" s="531" t="s">
        <v>325</v>
      </c>
      <c r="AW1100" s="351"/>
      <c r="AX1100" s="553"/>
      <c r="AY1100" s="350"/>
      <c r="AZ1100" s="351"/>
      <c r="BA1100" s="545"/>
      <c r="BB1100" s="351"/>
      <c r="BC1100" s="36"/>
      <c r="BD1100" s="556" t="s">
        <v>325</v>
      </c>
      <c r="BE1100" s="351"/>
      <c r="BF1100" s="529"/>
      <c r="BG1100" s="350"/>
      <c r="BH1100" s="350"/>
      <c r="BI1100" s="351"/>
      <c r="BJ1100" s="506" t="s">
        <v>294</v>
      </c>
      <c r="BK1100" s="350"/>
      <c r="BL1100" s="350"/>
      <c r="BM1100" s="351"/>
      <c r="BN1100" s="530" t="s">
        <v>294</v>
      </c>
      <c r="BO1100" s="350"/>
      <c r="BP1100" s="350"/>
      <c r="BQ1100" s="350"/>
      <c r="BR1100" s="350"/>
      <c r="BS1100" s="350"/>
      <c r="BT1100" s="350"/>
      <c r="BU1100" s="350"/>
      <c r="BV1100" s="351"/>
    </row>
    <row r="1101" spans="1:74" ht="45" customHeight="1">
      <c r="A1101" s="24">
        <f t="shared" si="4"/>
        <v>1087</v>
      </c>
      <c r="B1101" s="522" t="s">
        <v>294</v>
      </c>
      <c r="C1101" s="351"/>
      <c r="D1101" s="523" t="s">
        <v>298</v>
      </c>
      <c r="E1101" s="351"/>
      <c r="F1101" s="524" t="s">
        <v>325</v>
      </c>
      <c r="G1101" s="351"/>
      <c r="H1101" s="561" t="s">
        <v>325</v>
      </c>
      <c r="I1101" s="351"/>
      <c r="J1101" s="562"/>
      <c r="K1101" s="351"/>
      <c r="L1101" s="562"/>
      <c r="M1101" s="351"/>
      <c r="N1101" s="37"/>
      <c r="O1101" s="38"/>
      <c r="P1101" s="560"/>
      <c r="Q1101" s="351"/>
      <c r="R1101" s="527"/>
      <c r="S1101" s="351"/>
      <c r="T1101" s="528"/>
      <c r="U1101" s="351"/>
      <c r="V1101" s="541"/>
      <c r="W1101" s="351"/>
      <c r="X1101" s="542" t="s">
        <v>294</v>
      </c>
      <c r="Y1101" s="350"/>
      <c r="Z1101" s="350"/>
      <c r="AA1101" s="351"/>
      <c r="AB1101" s="543" t="s">
        <v>294</v>
      </c>
      <c r="AC1101" s="350"/>
      <c r="AD1101" s="350"/>
      <c r="AE1101" s="351"/>
      <c r="AF1101" s="544"/>
      <c r="AG1101" s="351"/>
      <c r="AH1101" s="544"/>
      <c r="AI1101" s="351"/>
      <c r="AJ1101" s="545"/>
      <c r="AK1101" s="351"/>
      <c r="AL1101" s="524" t="s">
        <v>325</v>
      </c>
      <c r="AM1101" s="351"/>
      <c r="AN1101" s="549" t="s">
        <v>325</v>
      </c>
      <c r="AO1101" s="351"/>
      <c r="AP1101" s="550"/>
      <c r="AQ1101" s="351"/>
      <c r="AR1101" s="551"/>
      <c r="AS1101" s="351"/>
      <c r="AT1101" s="552"/>
      <c r="AU1101" s="351"/>
      <c r="AV1101" s="549" t="s">
        <v>325</v>
      </c>
      <c r="AW1101" s="351"/>
      <c r="AX1101" s="553"/>
      <c r="AY1101" s="350"/>
      <c r="AZ1101" s="351"/>
      <c r="BA1101" s="554"/>
      <c r="BB1101" s="351"/>
      <c r="BC1101" s="39"/>
      <c r="BD1101" s="546" t="s">
        <v>325</v>
      </c>
      <c r="BE1101" s="351"/>
      <c r="BF1101" s="547"/>
      <c r="BG1101" s="350"/>
      <c r="BH1101" s="350"/>
      <c r="BI1101" s="351"/>
      <c r="BJ1101" s="548" t="s">
        <v>294</v>
      </c>
      <c r="BK1101" s="350"/>
      <c r="BL1101" s="350"/>
      <c r="BM1101" s="351"/>
      <c r="BN1101" s="530" t="s">
        <v>294</v>
      </c>
      <c r="BO1101" s="350"/>
      <c r="BP1101" s="350"/>
      <c r="BQ1101" s="350"/>
      <c r="BR1101" s="350"/>
      <c r="BS1101" s="350"/>
      <c r="BT1101" s="350"/>
      <c r="BU1101" s="350"/>
      <c r="BV1101" s="351"/>
    </row>
    <row r="1102" spans="1:74" ht="45" customHeight="1">
      <c r="A1102" s="24">
        <f t="shared" si="4"/>
        <v>1088</v>
      </c>
      <c r="B1102" s="558" t="s">
        <v>294</v>
      </c>
      <c r="C1102" s="351"/>
      <c r="D1102" s="559" t="s">
        <v>298</v>
      </c>
      <c r="E1102" s="351"/>
      <c r="F1102" s="524" t="s">
        <v>325</v>
      </c>
      <c r="G1102" s="351"/>
      <c r="H1102" s="525" t="s">
        <v>325</v>
      </c>
      <c r="I1102" s="351"/>
      <c r="J1102" s="563"/>
      <c r="K1102" s="351"/>
      <c r="L1102" s="563"/>
      <c r="M1102" s="351"/>
      <c r="N1102" s="34"/>
      <c r="O1102" s="35"/>
      <c r="P1102" s="526"/>
      <c r="Q1102" s="351"/>
      <c r="R1102" s="535"/>
      <c r="S1102" s="351"/>
      <c r="T1102" s="536"/>
      <c r="U1102" s="351"/>
      <c r="V1102" s="537"/>
      <c r="W1102" s="351"/>
      <c r="X1102" s="538" t="s">
        <v>294</v>
      </c>
      <c r="Y1102" s="350"/>
      <c r="Z1102" s="350"/>
      <c r="AA1102" s="351"/>
      <c r="AB1102" s="539" t="s">
        <v>294</v>
      </c>
      <c r="AC1102" s="350"/>
      <c r="AD1102" s="350"/>
      <c r="AE1102" s="351"/>
      <c r="AF1102" s="540"/>
      <c r="AG1102" s="351"/>
      <c r="AH1102" s="540"/>
      <c r="AI1102" s="351"/>
      <c r="AJ1102" s="545"/>
      <c r="AK1102" s="351"/>
      <c r="AL1102" s="555" t="s">
        <v>325</v>
      </c>
      <c r="AM1102" s="351"/>
      <c r="AN1102" s="531" t="s">
        <v>325</v>
      </c>
      <c r="AO1102" s="351"/>
      <c r="AP1102" s="532"/>
      <c r="AQ1102" s="351"/>
      <c r="AR1102" s="533"/>
      <c r="AS1102" s="351"/>
      <c r="AT1102" s="534"/>
      <c r="AU1102" s="351"/>
      <c r="AV1102" s="531" t="s">
        <v>325</v>
      </c>
      <c r="AW1102" s="351"/>
      <c r="AX1102" s="553"/>
      <c r="AY1102" s="350"/>
      <c r="AZ1102" s="351"/>
      <c r="BA1102" s="545"/>
      <c r="BB1102" s="351"/>
      <c r="BC1102" s="36"/>
      <c r="BD1102" s="556" t="s">
        <v>325</v>
      </c>
      <c r="BE1102" s="351"/>
      <c r="BF1102" s="557"/>
      <c r="BG1102" s="350"/>
      <c r="BH1102" s="350"/>
      <c r="BI1102" s="351"/>
      <c r="BJ1102" s="506" t="s">
        <v>294</v>
      </c>
      <c r="BK1102" s="350"/>
      <c r="BL1102" s="350"/>
      <c r="BM1102" s="351"/>
      <c r="BN1102" s="530" t="s">
        <v>294</v>
      </c>
      <c r="BO1102" s="350"/>
      <c r="BP1102" s="350"/>
      <c r="BQ1102" s="350"/>
      <c r="BR1102" s="350"/>
      <c r="BS1102" s="350"/>
      <c r="BT1102" s="350"/>
      <c r="BU1102" s="350"/>
      <c r="BV1102" s="351"/>
    </row>
    <row r="1103" spans="1:74" ht="45" customHeight="1">
      <c r="A1103" s="24">
        <f t="shared" si="4"/>
        <v>1089</v>
      </c>
      <c r="B1103" s="522" t="s">
        <v>294</v>
      </c>
      <c r="C1103" s="351"/>
      <c r="D1103" s="523" t="s">
        <v>298</v>
      </c>
      <c r="E1103" s="351"/>
      <c r="F1103" s="524" t="s">
        <v>325</v>
      </c>
      <c r="G1103" s="351"/>
      <c r="H1103" s="561" t="s">
        <v>325</v>
      </c>
      <c r="I1103" s="351"/>
      <c r="J1103" s="562"/>
      <c r="K1103" s="351"/>
      <c r="L1103" s="562"/>
      <c r="M1103" s="351"/>
      <c r="N1103" s="37"/>
      <c r="O1103" s="38"/>
      <c r="P1103" s="560"/>
      <c r="Q1103" s="351"/>
      <c r="R1103" s="527"/>
      <c r="S1103" s="351"/>
      <c r="T1103" s="528"/>
      <c r="U1103" s="351"/>
      <c r="V1103" s="541"/>
      <c r="W1103" s="351"/>
      <c r="X1103" s="542" t="s">
        <v>294</v>
      </c>
      <c r="Y1103" s="350"/>
      <c r="Z1103" s="350"/>
      <c r="AA1103" s="351"/>
      <c r="AB1103" s="543" t="s">
        <v>294</v>
      </c>
      <c r="AC1103" s="350"/>
      <c r="AD1103" s="350"/>
      <c r="AE1103" s="351"/>
      <c r="AF1103" s="544"/>
      <c r="AG1103" s="351"/>
      <c r="AH1103" s="544"/>
      <c r="AI1103" s="351"/>
      <c r="AJ1103" s="545"/>
      <c r="AK1103" s="351"/>
      <c r="AL1103" s="524" t="s">
        <v>325</v>
      </c>
      <c r="AM1103" s="351"/>
      <c r="AN1103" s="549" t="s">
        <v>325</v>
      </c>
      <c r="AO1103" s="351"/>
      <c r="AP1103" s="550"/>
      <c r="AQ1103" s="351"/>
      <c r="AR1103" s="551"/>
      <c r="AS1103" s="351"/>
      <c r="AT1103" s="552"/>
      <c r="AU1103" s="351"/>
      <c r="AV1103" s="549" t="s">
        <v>325</v>
      </c>
      <c r="AW1103" s="351"/>
      <c r="AX1103" s="553"/>
      <c r="AY1103" s="350"/>
      <c r="AZ1103" s="351"/>
      <c r="BA1103" s="554"/>
      <c r="BB1103" s="351"/>
      <c r="BC1103" s="39"/>
      <c r="BD1103" s="546" t="s">
        <v>325</v>
      </c>
      <c r="BE1103" s="351"/>
      <c r="BF1103" s="547"/>
      <c r="BG1103" s="350"/>
      <c r="BH1103" s="350"/>
      <c r="BI1103" s="351"/>
      <c r="BJ1103" s="548" t="s">
        <v>294</v>
      </c>
      <c r="BK1103" s="350"/>
      <c r="BL1103" s="350"/>
      <c r="BM1103" s="351"/>
      <c r="BN1103" s="530" t="s">
        <v>294</v>
      </c>
      <c r="BO1103" s="350"/>
      <c r="BP1103" s="350"/>
      <c r="BQ1103" s="350"/>
      <c r="BR1103" s="350"/>
      <c r="BS1103" s="350"/>
      <c r="BT1103" s="350"/>
      <c r="BU1103" s="350"/>
      <c r="BV1103" s="351"/>
    </row>
    <row r="1104" spans="1:74" ht="45" customHeight="1">
      <c r="A1104" s="24">
        <f t="shared" si="4"/>
        <v>1090</v>
      </c>
      <c r="B1104" s="558" t="s">
        <v>294</v>
      </c>
      <c r="C1104" s="351"/>
      <c r="D1104" s="559" t="s">
        <v>298</v>
      </c>
      <c r="E1104" s="351"/>
      <c r="F1104" s="524" t="s">
        <v>325</v>
      </c>
      <c r="G1104" s="351"/>
      <c r="H1104" s="525" t="s">
        <v>325</v>
      </c>
      <c r="I1104" s="351"/>
      <c r="J1104" s="40"/>
      <c r="K1104" s="41"/>
      <c r="L1104" s="40"/>
      <c r="M1104" s="41"/>
      <c r="N1104" s="34"/>
      <c r="O1104" s="35"/>
      <c r="P1104" s="526"/>
      <c r="Q1104" s="351"/>
      <c r="R1104" s="535"/>
      <c r="S1104" s="351"/>
      <c r="T1104" s="536"/>
      <c r="U1104" s="351"/>
      <c r="V1104" s="537"/>
      <c r="W1104" s="351"/>
      <c r="X1104" s="538" t="s">
        <v>294</v>
      </c>
      <c r="Y1104" s="350"/>
      <c r="Z1104" s="350"/>
      <c r="AA1104" s="351"/>
      <c r="AB1104" s="539" t="s">
        <v>294</v>
      </c>
      <c r="AC1104" s="350"/>
      <c r="AD1104" s="350"/>
      <c r="AE1104" s="351"/>
      <c r="AF1104" s="540"/>
      <c r="AG1104" s="351"/>
      <c r="AH1104" s="540"/>
      <c r="AI1104" s="351"/>
      <c r="AJ1104" s="545"/>
      <c r="AK1104" s="351"/>
      <c r="AL1104" s="555" t="s">
        <v>325</v>
      </c>
      <c r="AM1104" s="351"/>
      <c r="AN1104" s="531" t="s">
        <v>325</v>
      </c>
      <c r="AO1104" s="351"/>
      <c r="AP1104" s="532"/>
      <c r="AQ1104" s="351"/>
      <c r="AR1104" s="533"/>
      <c r="AS1104" s="351"/>
      <c r="AT1104" s="534"/>
      <c r="AU1104" s="351"/>
      <c r="AV1104" s="531" t="s">
        <v>325</v>
      </c>
      <c r="AW1104" s="351"/>
      <c r="AX1104" s="553"/>
      <c r="AY1104" s="350"/>
      <c r="AZ1104" s="351"/>
      <c r="BA1104" s="545"/>
      <c r="BB1104" s="351"/>
      <c r="BC1104" s="36"/>
      <c r="BD1104" s="556" t="s">
        <v>325</v>
      </c>
      <c r="BE1104" s="351"/>
      <c r="BF1104" s="557"/>
      <c r="BG1104" s="350"/>
      <c r="BH1104" s="350"/>
      <c r="BI1104" s="351"/>
      <c r="BJ1104" s="506" t="s">
        <v>294</v>
      </c>
      <c r="BK1104" s="350"/>
      <c r="BL1104" s="350"/>
      <c r="BM1104" s="351"/>
      <c r="BN1104" s="530" t="s">
        <v>294</v>
      </c>
      <c r="BO1104" s="350"/>
      <c r="BP1104" s="350"/>
      <c r="BQ1104" s="350"/>
      <c r="BR1104" s="350"/>
      <c r="BS1104" s="350"/>
      <c r="BT1104" s="350"/>
      <c r="BU1104" s="350"/>
      <c r="BV1104" s="351"/>
    </row>
    <row r="1105" spans="1:74" ht="45" customHeight="1">
      <c r="A1105" s="24">
        <f t="shared" si="4"/>
        <v>1091</v>
      </c>
      <c r="B1105" s="522" t="s">
        <v>294</v>
      </c>
      <c r="C1105" s="351"/>
      <c r="D1105" s="523" t="s">
        <v>298</v>
      </c>
      <c r="E1105" s="351"/>
      <c r="F1105" s="524" t="s">
        <v>325</v>
      </c>
      <c r="G1105" s="351"/>
      <c r="H1105" s="561" t="s">
        <v>325</v>
      </c>
      <c r="I1105" s="351"/>
      <c r="J1105" s="562"/>
      <c r="K1105" s="351"/>
      <c r="L1105" s="562"/>
      <c r="M1105" s="351"/>
      <c r="N1105" s="37"/>
      <c r="O1105" s="38"/>
      <c r="P1105" s="560"/>
      <c r="Q1105" s="351"/>
      <c r="R1105" s="527"/>
      <c r="S1105" s="351"/>
      <c r="T1105" s="528"/>
      <c r="U1105" s="351"/>
      <c r="V1105" s="541"/>
      <c r="W1105" s="351"/>
      <c r="X1105" s="542" t="s">
        <v>294</v>
      </c>
      <c r="Y1105" s="350"/>
      <c r="Z1105" s="350"/>
      <c r="AA1105" s="351"/>
      <c r="AB1105" s="543" t="s">
        <v>294</v>
      </c>
      <c r="AC1105" s="350"/>
      <c r="AD1105" s="350"/>
      <c r="AE1105" s="351"/>
      <c r="AF1105" s="544"/>
      <c r="AG1105" s="351"/>
      <c r="AH1105" s="544"/>
      <c r="AI1105" s="351"/>
      <c r="AJ1105" s="545"/>
      <c r="AK1105" s="351"/>
      <c r="AL1105" s="524" t="s">
        <v>325</v>
      </c>
      <c r="AM1105" s="351"/>
      <c r="AN1105" s="549" t="s">
        <v>325</v>
      </c>
      <c r="AO1105" s="351"/>
      <c r="AP1105" s="550"/>
      <c r="AQ1105" s="351"/>
      <c r="AR1105" s="551"/>
      <c r="AS1105" s="351"/>
      <c r="AT1105" s="552"/>
      <c r="AU1105" s="351"/>
      <c r="AV1105" s="549" t="s">
        <v>325</v>
      </c>
      <c r="AW1105" s="351"/>
      <c r="AX1105" s="553"/>
      <c r="AY1105" s="350"/>
      <c r="AZ1105" s="351"/>
      <c r="BA1105" s="554"/>
      <c r="BB1105" s="351"/>
      <c r="BC1105" s="39"/>
      <c r="BD1105" s="546" t="s">
        <v>325</v>
      </c>
      <c r="BE1105" s="351"/>
      <c r="BF1105" s="547"/>
      <c r="BG1105" s="350"/>
      <c r="BH1105" s="350"/>
      <c r="BI1105" s="351"/>
      <c r="BJ1105" s="548" t="s">
        <v>294</v>
      </c>
      <c r="BK1105" s="350"/>
      <c r="BL1105" s="350"/>
      <c r="BM1105" s="351"/>
      <c r="BN1105" s="530" t="s">
        <v>294</v>
      </c>
      <c r="BO1105" s="350"/>
      <c r="BP1105" s="350"/>
      <c r="BQ1105" s="350"/>
      <c r="BR1105" s="350"/>
      <c r="BS1105" s="350"/>
      <c r="BT1105" s="350"/>
      <c r="BU1105" s="350"/>
      <c r="BV1105" s="351"/>
    </row>
    <row r="1106" spans="1:74" ht="45" customHeight="1">
      <c r="A1106" s="24">
        <f t="shared" si="4"/>
        <v>1092</v>
      </c>
      <c r="B1106" s="558" t="s">
        <v>294</v>
      </c>
      <c r="C1106" s="351"/>
      <c r="D1106" s="559" t="s">
        <v>298</v>
      </c>
      <c r="E1106" s="351"/>
      <c r="F1106" s="524" t="s">
        <v>325</v>
      </c>
      <c r="G1106" s="351"/>
      <c r="H1106" s="525" t="s">
        <v>325</v>
      </c>
      <c r="I1106" s="351"/>
      <c r="J1106" s="40"/>
      <c r="K1106" s="41"/>
      <c r="L1106" s="40"/>
      <c r="M1106" s="41"/>
      <c r="N1106" s="34"/>
      <c r="O1106" s="35"/>
      <c r="P1106" s="526"/>
      <c r="Q1106" s="351"/>
      <c r="R1106" s="535"/>
      <c r="S1106" s="351"/>
      <c r="T1106" s="536"/>
      <c r="U1106" s="351"/>
      <c r="V1106" s="537"/>
      <c r="W1106" s="351"/>
      <c r="X1106" s="538" t="s">
        <v>294</v>
      </c>
      <c r="Y1106" s="350"/>
      <c r="Z1106" s="350"/>
      <c r="AA1106" s="351"/>
      <c r="AB1106" s="539" t="s">
        <v>294</v>
      </c>
      <c r="AC1106" s="350"/>
      <c r="AD1106" s="350"/>
      <c r="AE1106" s="351"/>
      <c r="AF1106" s="540"/>
      <c r="AG1106" s="351"/>
      <c r="AH1106" s="540"/>
      <c r="AI1106" s="351"/>
      <c r="AJ1106" s="545"/>
      <c r="AK1106" s="351"/>
      <c r="AL1106" s="555" t="s">
        <v>325</v>
      </c>
      <c r="AM1106" s="351"/>
      <c r="AN1106" s="531" t="s">
        <v>325</v>
      </c>
      <c r="AO1106" s="351"/>
      <c r="AP1106" s="532"/>
      <c r="AQ1106" s="351"/>
      <c r="AR1106" s="533"/>
      <c r="AS1106" s="351"/>
      <c r="AT1106" s="534"/>
      <c r="AU1106" s="351"/>
      <c r="AV1106" s="531" t="s">
        <v>325</v>
      </c>
      <c r="AW1106" s="351"/>
      <c r="AX1106" s="553"/>
      <c r="AY1106" s="350"/>
      <c r="AZ1106" s="351"/>
      <c r="BA1106" s="545"/>
      <c r="BB1106" s="351"/>
      <c r="BC1106" s="36"/>
      <c r="BD1106" s="556" t="s">
        <v>325</v>
      </c>
      <c r="BE1106" s="351"/>
      <c r="BF1106" s="529"/>
      <c r="BG1106" s="350"/>
      <c r="BH1106" s="350"/>
      <c r="BI1106" s="351"/>
      <c r="BJ1106" s="506" t="s">
        <v>294</v>
      </c>
      <c r="BK1106" s="350"/>
      <c r="BL1106" s="350"/>
      <c r="BM1106" s="351"/>
      <c r="BN1106" s="530" t="s">
        <v>294</v>
      </c>
      <c r="BO1106" s="350"/>
      <c r="BP1106" s="350"/>
      <c r="BQ1106" s="350"/>
      <c r="BR1106" s="350"/>
      <c r="BS1106" s="350"/>
      <c r="BT1106" s="350"/>
      <c r="BU1106" s="350"/>
      <c r="BV1106" s="351"/>
    </row>
    <row r="1107" spans="1:74" ht="45" customHeight="1">
      <c r="A1107" s="24">
        <f t="shared" si="4"/>
        <v>1093</v>
      </c>
      <c r="B1107" s="522" t="s">
        <v>294</v>
      </c>
      <c r="C1107" s="351"/>
      <c r="D1107" s="523" t="s">
        <v>298</v>
      </c>
      <c r="E1107" s="351"/>
      <c r="F1107" s="524" t="s">
        <v>325</v>
      </c>
      <c r="G1107" s="351"/>
      <c r="H1107" s="561" t="s">
        <v>325</v>
      </c>
      <c r="I1107" s="351"/>
      <c r="J1107" s="562"/>
      <c r="K1107" s="351"/>
      <c r="L1107" s="562"/>
      <c r="M1107" s="351"/>
      <c r="N1107" s="37"/>
      <c r="O1107" s="38"/>
      <c r="P1107" s="560"/>
      <c r="Q1107" s="351"/>
      <c r="R1107" s="527"/>
      <c r="S1107" s="351"/>
      <c r="T1107" s="528"/>
      <c r="U1107" s="351"/>
      <c r="V1107" s="541"/>
      <c r="W1107" s="351"/>
      <c r="X1107" s="542" t="s">
        <v>294</v>
      </c>
      <c r="Y1107" s="350"/>
      <c r="Z1107" s="350"/>
      <c r="AA1107" s="351"/>
      <c r="AB1107" s="543" t="s">
        <v>294</v>
      </c>
      <c r="AC1107" s="350"/>
      <c r="AD1107" s="350"/>
      <c r="AE1107" s="351"/>
      <c r="AF1107" s="544"/>
      <c r="AG1107" s="351"/>
      <c r="AH1107" s="544"/>
      <c r="AI1107" s="351"/>
      <c r="AJ1107" s="545"/>
      <c r="AK1107" s="351"/>
      <c r="AL1107" s="524" t="s">
        <v>325</v>
      </c>
      <c r="AM1107" s="351"/>
      <c r="AN1107" s="549" t="s">
        <v>325</v>
      </c>
      <c r="AO1107" s="351"/>
      <c r="AP1107" s="550"/>
      <c r="AQ1107" s="351"/>
      <c r="AR1107" s="551"/>
      <c r="AS1107" s="351"/>
      <c r="AT1107" s="552"/>
      <c r="AU1107" s="351"/>
      <c r="AV1107" s="549" t="s">
        <v>325</v>
      </c>
      <c r="AW1107" s="351"/>
      <c r="AX1107" s="553"/>
      <c r="AY1107" s="350"/>
      <c r="AZ1107" s="351"/>
      <c r="BA1107" s="554"/>
      <c r="BB1107" s="351"/>
      <c r="BC1107" s="39"/>
      <c r="BD1107" s="546" t="s">
        <v>325</v>
      </c>
      <c r="BE1107" s="351"/>
      <c r="BF1107" s="547"/>
      <c r="BG1107" s="350"/>
      <c r="BH1107" s="350"/>
      <c r="BI1107" s="351"/>
      <c r="BJ1107" s="548" t="s">
        <v>294</v>
      </c>
      <c r="BK1107" s="350"/>
      <c r="BL1107" s="350"/>
      <c r="BM1107" s="351"/>
      <c r="BN1107" s="530" t="s">
        <v>294</v>
      </c>
      <c r="BO1107" s="350"/>
      <c r="BP1107" s="350"/>
      <c r="BQ1107" s="350"/>
      <c r="BR1107" s="350"/>
      <c r="BS1107" s="350"/>
      <c r="BT1107" s="350"/>
      <c r="BU1107" s="350"/>
      <c r="BV1107" s="351"/>
    </row>
    <row r="1108" spans="1:74" ht="45" customHeight="1">
      <c r="A1108" s="24">
        <f t="shared" si="4"/>
        <v>1094</v>
      </c>
      <c r="B1108" s="558" t="s">
        <v>294</v>
      </c>
      <c r="C1108" s="351"/>
      <c r="D1108" s="559" t="s">
        <v>298</v>
      </c>
      <c r="E1108" s="351"/>
      <c r="F1108" s="524" t="s">
        <v>325</v>
      </c>
      <c r="G1108" s="351"/>
      <c r="H1108" s="525" t="s">
        <v>325</v>
      </c>
      <c r="I1108" s="351"/>
      <c r="J1108" s="40"/>
      <c r="K1108" s="41"/>
      <c r="L1108" s="40"/>
      <c r="M1108" s="41"/>
      <c r="N1108" s="34"/>
      <c r="O1108" s="35"/>
      <c r="P1108" s="526"/>
      <c r="Q1108" s="351"/>
      <c r="R1108" s="535"/>
      <c r="S1108" s="351"/>
      <c r="T1108" s="536"/>
      <c r="U1108" s="351"/>
      <c r="V1108" s="537"/>
      <c r="W1108" s="351"/>
      <c r="X1108" s="538" t="s">
        <v>294</v>
      </c>
      <c r="Y1108" s="350"/>
      <c r="Z1108" s="350"/>
      <c r="AA1108" s="351"/>
      <c r="AB1108" s="539" t="s">
        <v>294</v>
      </c>
      <c r="AC1108" s="350"/>
      <c r="AD1108" s="350"/>
      <c r="AE1108" s="351"/>
      <c r="AF1108" s="540"/>
      <c r="AG1108" s="351"/>
      <c r="AH1108" s="540"/>
      <c r="AI1108" s="351"/>
      <c r="AJ1108" s="545"/>
      <c r="AK1108" s="351"/>
      <c r="AL1108" s="555" t="s">
        <v>325</v>
      </c>
      <c r="AM1108" s="351"/>
      <c r="AN1108" s="531" t="s">
        <v>325</v>
      </c>
      <c r="AO1108" s="351"/>
      <c r="AP1108" s="532"/>
      <c r="AQ1108" s="351"/>
      <c r="AR1108" s="533"/>
      <c r="AS1108" s="351"/>
      <c r="AT1108" s="534"/>
      <c r="AU1108" s="351"/>
      <c r="AV1108" s="531" t="s">
        <v>325</v>
      </c>
      <c r="AW1108" s="351"/>
      <c r="AX1108" s="553"/>
      <c r="AY1108" s="350"/>
      <c r="AZ1108" s="351"/>
      <c r="BA1108" s="545"/>
      <c r="BB1108" s="351"/>
      <c r="BC1108" s="36"/>
      <c r="BD1108" s="556" t="s">
        <v>325</v>
      </c>
      <c r="BE1108" s="351"/>
      <c r="BF1108" s="557"/>
      <c r="BG1108" s="350"/>
      <c r="BH1108" s="350"/>
      <c r="BI1108" s="351"/>
      <c r="BJ1108" s="506" t="s">
        <v>294</v>
      </c>
      <c r="BK1108" s="350"/>
      <c r="BL1108" s="350"/>
      <c r="BM1108" s="351"/>
      <c r="BN1108" s="530" t="s">
        <v>294</v>
      </c>
      <c r="BO1108" s="350"/>
      <c r="BP1108" s="350"/>
      <c r="BQ1108" s="350"/>
      <c r="BR1108" s="350"/>
      <c r="BS1108" s="350"/>
      <c r="BT1108" s="350"/>
      <c r="BU1108" s="350"/>
      <c r="BV1108" s="351"/>
    </row>
    <row r="1109" spans="1:74" ht="45" customHeight="1">
      <c r="A1109" s="24">
        <f t="shared" si="4"/>
        <v>1095</v>
      </c>
      <c r="B1109" s="522" t="s">
        <v>294</v>
      </c>
      <c r="C1109" s="351"/>
      <c r="D1109" s="523" t="s">
        <v>298</v>
      </c>
      <c r="E1109" s="351"/>
      <c r="F1109" s="524" t="s">
        <v>325</v>
      </c>
      <c r="G1109" s="351"/>
      <c r="H1109" s="561" t="s">
        <v>325</v>
      </c>
      <c r="I1109" s="351"/>
      <c r="J1109" s="562"/>
      <c r="K1109" s="351"/>
      <c r="L1109" s="562"/>
      <c r="M1109" s="351"/>
      <c r="N1109" s="34"/>
      <c r="O1109" s="35"/>
      <c r="P1109" s="526"/>
      <c r="Q1109" s="351"/>
      <c r="R1109" s="527"/>
      <c r="S1109" s="351"/>
      <c r="T1109" s="528"/>
      <c r="U1109" s="351"/>
      <c r="V1109" s="541"/>
      <c r="W1109" s="351"/>
      <c r="X1109" s="542" t="s">
        <v>294</v>
      </c>
      <c r="Y1109" s="350"/>
      <c r="Z1109" s="350"/>
      <c r="AA1109" s="351"/>
      <c r="AB1109" s="543" t="s">
        <v>294</v>
      </c>
      <c r="AC1109" s="350"/>
      <c r="AD1109" s="350"/>
      <c r="AE1109" s="351"/>
      <c r="AF1109" s="544"/>
      <c r="AG1109" s="351"/>
      <c r="AH1109" s="544"/>
      <c r="AI1109" s="351"/>
      <c r="AJ1109" s="545"/>
      <c r="AK1109" s="351"/>
      <c r="AL1109" s="524" t="s">
        <v>325</v>
      </c>
      <c r="AM1109" s="351"/>
      <c r="AN1109" s="549" t="s">
        <v>325</v>
      </c>
      <c r="AO1109" s="351"/>
      <c r="AP1109" s="550"/>
      <c r="AQ1109" s="351"/>
      <c r="AR1109" s="551"/>
      <c r="AS1109" s="351"/>
      <c r="AT1109" s="534"/>
      <c r="AU1109" s="351"/>
      <c r="AV1109" s="549" t="s">
        <v>325</v>
      </c>
      <c r="AW1109" s="351"/>
      <c r="AX1109" s="553"/>
      <c r="AY1109" s="350"/>
      <c r="AZ1109" s="351"/>
      <c r="BA1109" s="554"/>
      <c r="BB1109" s="351"/>
      <c r="BC1109" s="39"/>
      <c r="BD1109" s="546" t="s">
        <v>325</v>
      </c>
      <c r="BE1109" s="351"/>
      <c r="BF1109" s="547"/>
      <c r="BG1109" s="350"/>
      <c r="BH1109" s="350"/>
      <c r="BI1109" s="351"/>
      <c r="BJ1109" s="548" t="s">
        <v>294</v>
      </c>
      <c r="BK1109" s="350"/>
      <c r="BL1109" s="350"/>
      <c r="BM1109" s="351"/>
      <c r="BN1109" s="530" t="s">
        <v>294</v>
      </c>
      <c r="BO1109" s="350"/>
      <c r="BP1109" s="350"/>
      <c r="BQ1109" s="350"/>
      <c r="BR1109" s="350"/>
      <c r="BS1109" s="350"/>
      <c r="BT1109" s="350"/>
      <c r="BU1109" s="350"/>
      <c r="BV1109" s="351"/>
    </row>
    <row r="1110" spans="1:74" ht="45" customHeight="1">
      <c r="A1110" s="24">
        <f t="shared" si="4"/>
        <v>1096</v>
      </c>
      <c r="B1110" s="558" t="s">
        <v>294</v>
      </c>
      <c r="C1110" s="351"/>
      <c r="D1110" s="559" t="s">
        <v>298</v>
      </c>
      <c r="E1110" s="351"/>
      <c r="F1110" s="524" t="s">
        <v>325</v>
      </c>
      <c r="G1110" s="351"/>
      <c r="H1110" s="525" t="s">
        <v>325</v>
      </c>
      <c r="I1110" s="351"/>
      <c r="J1110" s="40"/>
      <c r="K1110" s="41"/>
      <c r="L1110" s="40"/>
      <c r="M1110" s="41"/>
      <c r="N1110" s="37"/>
      <c r="O1110" s="38"/>
      <c r="P1110" s="560"/>
      <c r="Q1110" s="351"/>
      <c r="R1110" s="535"/>
      <c r="S1110" s="351"/>
      <c r="T1110" s="536"/>
      <c r="U1110" s="351"/>
      <c r="V1110" s="537"/>
      <c r="W1110" s="351"/>
      <c r="X1110" s="538" t="s">
        <v>294</v>
      </c>
      <c r="Y1110" s="350"/>
      <c r="Z1110" s="350"/>
      <c r="AA1110" s="351"/>
      <c r="AB1110" s="539" t="s">
        <v>294</v>
      </c>
      <c r="AC1110" s="350"/>
      <c r="AD1110" s="350"/>
      <c r="AE1110" s="351"/>
      <c r="AF1110" s="540"/>
      <c r="AG1110" s="351"/>
      <c r="AH1110" s="540"/>
      <c r="AI1110" s="351"/>
      <c r="AJ1110" s="545"/>
      <c r="AK1110" s="351"/>
      <c r="AL1110" s="555" t="s">
        <v>325</v>
      </c>
      <c r="AM1110" s="351"/>
      <c r="AN1110" s="531" t="s">
        <v>325</v>
      </c>
      <c r="AO1110" s="351"/>
      <c r="AP1110" s="532"/>
      <c r="AQ1110" s="351"/>
      <c r="AR1110" s="533"/>
      <c r="AS1110" s="351"/>
      <c r="AT1110" s="534"/>
      <c r="AU1110" s="351"/>
      <c r="AV1110" s="531" t="s">
        <v>325</v>
      </c>
      <c r="AW1110" s="351"/>
      <c r="AX1110" s="553"/>
      <c r="AY1110" s="350"/>
      <c r="AZ1110" s="351"/>
      <c r="BA1110" s="545"/>
      <c r="BB1110" s="351"/>
      <c r="BC1110" s="36"/>
      <c r="BD1110" s="556" t="s">
        <v>325</v>
      </c>
      <c r="BE1110" s="351"/>
      <c r="BF1110" s="557"/>
      <c r="BG1110" s="350"/>
      <c r="BH1110" s="350"/>
      <c r="BI1110" s="351"/>
      <c r="BJ1110" s="506" t="s">
        <v>294</v>
      </c>
      <c r="BK1110" s="350"/>
      <c r="BL1110" s="350"/>
      <c r="BM1110" s="351"/>
      <c r="BN1110" s="530" t="s">
        <v>294</v>
      </c>
      <c r="BO1110" s="350"/>
      <c r="BP1110" s="350"/>
      <c r="BQ1110" s="350"/>
      <c r="BR1110" s="350"/>
      <c r="BS1110" s="350"/>
      <c r="BT1110" s="350"/>
      <c r="BU1110" s="350"/>
      <c r="BV1110" s="351"/>
    </row>
    <row r="1111" spans="1:74" ht="45" customHeight="1">
      <c r="A1111" s="24">
        <f t="shared" si="4"/>
        <v>1097</v>
      </c>
      <c r="B1111" s="522" t="s">
        <v>294</v>
      </c>
      <c r="C1111" s="351"/>
      <c r="D1111" s="523" t="s">
        <v>298</v>
      </c>
      <c r="E1111" s="351"/>
      <c r="F1111" s="524" t="s">
        <v>325</v>
      </c>
      <c r="G1111" s="351"/>
      <c r="H1111" s="561" t="s">
        <v>325</v>
      </c>
      <c r="I1111" s="351"/>
      <c r="J1111" s="562"/>
      <c r="K1111" s="351"/>
      <c r="L1111" s="562"/>
      <c r="M1111" s="351"/>
      <c r="N1111" s="34"/>
      <c r="O1111" s="35"/>
      <c r="P1111" s="526"/>
      <c r="Q1111" s="351"/>
      <c r="R1111" s="527"/>
      <c r="S1111" s="351"/>
      <c r="T1111" s="528"/>
      <c r="U1111" s="351"/>
      <c r="V1111" s="541"/>
      <c r="W1111" s="351"/>
      <c r="X1111" s="542" t="s">
        <v>294</v>
      </c>
      <c r="Y1111" s="350"/>
      <c r="Z1111" s="350"/>
      <c r="AA1111" s="351"/>
      <c r="AB1111" s="543" t="s">
        <v>294</v>
      </c>
      <c r="AC1111" s="350"/>
      <c r="AD1111" s="350"/>
      <c r="AE1111" s="351"/>
      <c r="AF1111" s="544"/>
      <c r="AG1111" s="351"/>
      <c r="AH1111" s="544"/>
      <c r="AI1111" s="351"/>
      <c r="AJ1111" s="545"/>
      <c r="AK1111" s="351"/>
      <c r="AL1111" s="524" t="s">
        <v>325</v>
      </c>
      <c r="AM1111" s="351"/>
      <c r="AN1111" s="549" t="s">
        <v>325</v>
      </c>
      <c r="AO1111" s="351"/>
      <c r="AP1111" s="550"/>
      <c r="AQ1111" s="351"/>
      <c r="AR1111" s="551"/>
      <c r="AS1111" s="351"/>
      <c r="AT1111" s="534"/>
      <c r="AU1111" s="351"/>
      <c r="AV1111" s="549" t="s">
        <v>325</v>
      </c>
      <c r="AW1111" s="351"/>
      <c r="AX1111" s="553"/>
      <c r="AY1111" s="350"/>
      <c r="AZ1111" s="351"/>
      <c r="BA1111" s="554"/>
      <c r="BB1111" s="351"/>
      <c r="BC1111" s="39"/>
      <c r="BD1111" s="546" t="s">
        <v>325</v>
      </c>
      <c r="BE1111" s="351"/>
      <c r="BF1111" s="547"/>
      <c r="BG1111" s="350"/>
      <c r="BH1111" s="350"/>
      <c r="BI1111" s="351"/>
      <c r="BJ1111" s="548" t="s">
        <v>294</v>
      </c>
      <c r="BK1111" s="350"/>
      <c r="BL1111" s="350"/>
      <c r="BM1111" s="351"/>
      <c r="BN1111" s="530" t="s">
        <v>294</v>
      </c>
      <c r="BO1111" s="350"/>
      <c r="BP1111" s="350"/>
      <c r="BQ1111" s="350"/>
      <c r="BR1111" s="350"/>
      <c r="BS1111" s="350"/>
      <c r="BT1111" s="350"/>
      <c r="BU1111" s="350"/>
      <c r="BV1111" s="351"/>
    </row>
    <row r="1112" spans="1:74" ht="45" customHeight="1">
      <c r="A1112" s="24">
        <f t="shared" si="4"/>
        <v>1098</v>
      </c>
      <c r="B1112" s="558" t="s">
        <v>294</v>
      </c>
      <c r="C1112" s="351"/>
      <c r="D1112" s="559" t="s">
        <v>298</v>
      </c>
      <c r="E1112" s="351"/>
      <c r="F1112" s="524" t="s">
        <v>325</v>
      </c>
      <c r="G1112" s="351"/>
      <c r="H1112" s="525" t="s">
        <v>325</v>
      </c>
      <c r="I1112" s="351"/>
      <c r="J1112" s="40"/>
      <c r="K1112" s="41"/>
      <c r="L1112" s="40"/>
      <c r="M1112" s="41"/>
      <c r="N1112" s="37"/>
      <c r="O1112" s="38"/>
      <c r="P1112" s="560"/>
      <c r="Q1112" s="351"/>
      <c r="R1112" s="535"/>
      <c r="S1112" s="351"/>
      <c r="T1112" s="536"/>
      <c r="U1112" s="351"/>
      <c r="V1112" s="537"/>
      <c r="W1112" s="351"/>
      <c r="X1112" s="538" t="s">
        <v>294</v>
      </c>
      <c r="Y1112" s="350"/>
      <c r="Z1112" s="350"/>
      <c r="AA1112" s="351"/>
      <c r="AB1112" s="539" t="s">
        <v>294</v>
      </c>
      <c r="AC1112" s="350"/>
      <c r="AD1112" s="350"/>
      <c r="AE1112" s="351"/>
      <c r="AF1112" s="540"/>
      <c r="AG1112" s="351"/>
      <c r="AH1112" s="540"/>
      <c r="AI1112" s="351"/>
      <c r="AJ1112" s="545"/>
      <c r="AK1112" s="351"/>
      <c r="AL1112" s="555" t="s">
        <v>325</v>
      </c>
      <c r="AM1112" s="351"/>
      <c r="AN1112" s="531" t="s">
        <v>325</v>
      </c>
      <c r="AO1112" s="351"/>
      <c r="AP1112" s="532"/>
      <c r="AQ1112" s="351"/>
      <c r="AR1112" s="533"/>
      <c r="AS1112" s="351"/>
      <c r="AT1112" s="534"/>
      <c r="AU1112" s="351"/>
      <c r="AV1112" s="531" t="s">
        <v>325</v>
      </c>
      <c r="AW1112" s="351"/>
      <c r="AX1112" s="553"/>
      <c r="AY1112" s="350"/>
      <c r="AZ1112" s="351"/>
      <c r="BA1112" s="545"/>
      <c r="BB1112" s="351"/>
      <c r="BC1112" s="36"/>
      <c r="BD1112" s="556" t="s">
        <v>325</v>
      </c>
      <c r="BE1112" s="351"/>
      <c r="BF1112" s="557"/>
      <c r="BG1112" s="350"/>
      <c r="BH1112" s="350"/>
      <c r="BI1112" s="351"/>
      <c r="BJ1112" s="506" t="s">
        <v>294</v>
      </c>
      <c r="BK1112" s="350"/>
      <c r="BL1112" s="350"/>
      <c r="BM1112" s="351"/>
      <c r="BN1112" s="530" t="s">
        <v>294</v>
      </c>
      <c r="BO1112" s="350"/>
      <c r="BP1112" s="350"/>
      <c r="BQ1112" s="350"/>
      <c r="BR1112" s="350"/>
      <c r="BS1112" s="350"/>
      <c r="BT1112" s="350"/>
      <c r="BU1112" s="350"/>
      <c r="BV1112" s="351"/>
    </row>
    <row r="1113" spans="1:74" ht="45" customHeight="1">
      <c r="A1113" s="24">
        <f t="shared" si="4"/>
        <v>1099</v>
      </c>
      <c r="B1113" s="522" t="s">
        <v>294</v>
      </c>
      <c r="C1113" s="351"/>
      <c r="D1113" s="523" t="s">
        <v>298</v>
      </c>
      <c r="E1113" s="351"/>
      <c r="F1113" s="524" t="s">
        <v>325</v>
      </c>
      <c r="G1113" s="351"/>
      <c r="H1113" s="561" t="s">
        <v>325</v>
      </c>
      <c r="I1113" s="351"/>
      <c r="J1113" s="562"/>
      <c r="K1113" s="351"/>
      <c r="L1113" s="562"/>
      <c r="M1113" s="351"/>
      <c r="N1113" s="34"/>
      <c r="O1113" s="38"/>
      <c r="P1113" s="526"/>
      <c r="Q1113" s="351"/>
      <c r="R1113" s="527"/>
      <c r="S1113" s="351"/>
      <c r="T1113" s="528"/>
      <c r="U1113" s="351"/>
      <c r="V1113" s="541"/>
      <c r="W1113" s="351"/>
      <c r="X1113" s="542" t="s">
        <v>294</v>
      </c>
      <c r="Y1113" s="350"/>
      <c r="Z1113" s="350"/>
      <c r="AA1113" s="351"/>
      <c r="AB1113" s="543" t="s">
        <v>294</v>
      </c>
      <c r="AC1113" s="350"/>
      <c r="AD1113" s="350"/>
      <c r="AE1113" s="351"/>
      <c r="AF1113" s="544"/>
      <c r="AG1113" s="351"/>
      <c r="AH1113" s="544"/>
      <c r="AI1113" s="351"/>
      <c r="AJ1113" s="545"/>
      <c r="AK1113" s="351"/>
      <c r="AL1113" s="524" t="s">
        <v>325</v>
      </c>
      <c r="AM1113" s="351"/>
      <c r="AN1113" s="549" t="s">
        <v>325</v>
      </c>
      <c r="AO1113" s="351"/>
      <c r="AP1113" s="550"/>
      <c r="AQ1113" s="351"/>
      <c r="AR1113" s="551"/>
      <c r="AS1113" s="351"/>
      <c r="AT1113" s="552"/>
      <c r="AU1113" s="351"/>
      <c r="AV1113" s="549" t="s">
        <v>325</v>
      </c>
      <c r="AW1113" s="351"/>
      <c r="AX1113" s="553"/>
      <c r="AY1113" s="350"/>
      <c r="AZ1113" s="351"/>
      <c r="BA1113" s="554"/>
      <c r="BB1113" s="351"/>
      <c r="BC1113" s="39"/>
      <c r="BD1113" s="546" t="s">
        <v>325</v>
      </c>
      <c r="BE1113" s="351"/>
      <c r="BF1113" s="547"/>
      <c r="BG1113" s="350"/>
      <c r="BH1113" s="350"/>
      <c r="BI1113" s="351"/>
      <c r="BJ1113" s="548" t="s">
        <v>294</v>
      </c>
      <c r="BK1113" s="350"/>
      <c r="BL1113" s="350"/>
      <c r="BM1113" s="351"/>
      <c r="BN1113" s="530" t="s">
        <v>294</v>
      </c>
      <c r="BO1113" s="350"/>
      <c r="BP1113" s="350"/>
      <c r="BQ1113" s="350"/>
      <c r="BR1113" s="350"/>
      <c r="BS1113" s="350"/>
      <c r="BT1113" s="350"/>
      <c r="BU1113" s="350"/>
      <c r="BV1113" s="351"/>
    </row>
    <row r="1114" spans="1:74" ht="45" customHeight="1">
      <c r="A1114" s="24">
        <f t="shared" si="4"/>
        <v>1100</v>
      </c>
      <c r="B1114" s="558" t="s">
        <v>294</v>
      </c>
      <c r="C1114" s="351"/>
      <c r="D1114" s="559" t="s">
        <v>298</v>
      </c>
      <c r="E1114" s="351"/>
      <c r="F1114" s="524" t="s">
        <v>325</v>
      </c>
      <c r="G1114" s="351"/>
      <c r="H1114" s="525" t="s">
        <v>325</v>
      </c>
      <c r="I1114" s="351"/>
      <c r="J1114" s="40"/>
      <c r="K1114" s="41"/>
      <c r="L1114" s="40"/>
      <c r="M1114" s="41"/>
      <c r="N1114" s="37"/>
      <c r="O1114" s="35"/>
      <c r="P1114" s="560"/>
      <c r="Q1114" s="351"/>
      <c r="R1114" s="535"/>
      <c r="S1114" s="351"/>
      <c r="T1114" s="536"/>
      <c r="U1114" s="351"/>
      <c r="V1114" s="537"/>
      <c r="W1114" s="351"/>
      <c r="X1114" s="538" t="s">
        <v>294</v>
      </c>
      <c r="Y1114" s="350"/>
      <c r="Z1114" s="350"/>
      <c r="AA1114" s="351"/>
      <c r="AB1114" s="539" t="s">
        <v>294</v>
      </c>
      <c r="AC1114" s="350"/>
      <c r="AD1114" s="350"/>
      <c r="AE1114" s="351"/>
      <c r="AF1114" s="540"/>
      <c r="AG1114" s="351"/>
      <c r="AH1114" s="540"/>
      <c r="AI1114" s="351"/>
      <c r="AJ1114" s="545"/>
      <c r="AK1114" s="351"/>
      <c r="AL1114" s="555" t="s">
        <v>325</v>
      </c>
      <c r="AM1114" s="351"/>
      <c r="AN1114" s="531" t="s">
        <v>325</v>
      </c>
      <c r="AO1114" s="351"/>
      <c r="AP1114" s="532"/>
      <c r="AQ1114" s="351"/>
      <c r="AR1114" s="533"/>
      <c r="AS1114" s="351"/>
      <c r="AT1114" s="534"/>
      <c r="AU1114" s="351"/>
      <c r="AV1114" s="531" t="s">
        <v>325</v>
      </c>
      <c r="AW1114" s="351"/>
      <c r="AX1114" s="553"/>
      <c r="AY1114" s="350"/>
      <c r="AZ1114" s="351"/>
      <c r="BA1114" s="545"/>
      <c r="BB1114" s="351"/>
      <c r="BC1114" s="36"/>
      <c r="BD1114" s="556" t="s">
        <v>325</v>
      </c>
      <c r="BE1114" s="351"/>
      <c r="BF1114" s="529"/>
      <c r="BG1114" s="350"/>
      <c r="BH1114" s="350"/>
      <c r="BI1114" s="351"/>
      <c r="BJ1114" s="506" t="s">
        <v>294</v>
      </c>
      <c r="BK1114" s="350"/>
      <c r="BL1114" s="350"/>
      <c r="BM1114" s="351"/>
      <c r="BN1114" s="530" t="s">
        <v>294</v>
      </c>
      <c r="BO1114" s="350"/>
      <c r="BP1114" s="350"/>
      <c r="BQ1114" s="350"/>
      <c r="BR1114" s="350"/>
      <c r="BS1114" s="350"/>
      <c r="BT1114" s="350"/>
      <c r="BU1114" s="350"/>
      <c r="BV1114" s="351"/>
    </row>
    <row r="1115" spans="1:74" ht="45" customHeight="1">
      <c r="A1115" s="24">
        <f t="shared" si="4"/>
        <v>1101</v>
      </c>
      <c r="B1115" s="522" t="s">
        <v>294</v>
      </c>
      <c r="C1115" s="351"/>
      <c r="D1115" s="523" t="s">
        <v>298</v>
      </c>
      <c r="E1115" s="351"/>
      <c r="F1115" s="524" t="s">
        <v>325</v>
      </c>
      <c r="G1115" s="351"/>
      <c r="H1115" s="561" t="s">
        <v>325</v>
      </c>
      <c r="I1115" s="351"/>
      <c r="J1115" s="562"/>
      <c r="K1115" s="351"/>
      <c r="L1115" s="562"/>
      <c r="M1115" s="351"/>
      <c r="N1115" s="34"/>
      <c r="O1115" s="38"/>
      <c r="P1115" s="526"/>
      <c r="Q1115" s="351"/>
      <c r="R1115" s="527"/>
      <c r="S1115" s="351"/>
      <c r="T1115" s="528"/>
      <c r="U1115" s="351"/>
      <c r="V1115" s="541"/>
      <c r="W1115" s="351"/>
      <c r="X1115" s="542" t="s">
        <v>294</v>
      </c>
      <c r="Y1115" s="350"/>
      <c r="Z1115" s="350"/>
      <c r="AA1115" s="351"/>
      <c r="AB1115" s="543" t="s">
        <v>294</v>
      </c>
      <c r="AC1115" s="350"/>
      <c r="AD1115" s="350"/>
      <c r="AE1115" s="351"/>
      <c r="AF1115" s="544"/>
      <c r="AG1115" s="351"/>
      <c r="AH1115" s="544"/>
      <c r="AI1115" s="351"/>
      <c r="AJ1115" s="545"/>
      <c r="AK1115" s="351"/>
      <c r="AL1115" s="524" t="s">
        <v>325</v>
      </c>
      <c r="AM1115" s="351"/>
      <c r="AN1115" s="549" t="s">
        <v>325</v>
      </c>
      <c r="AO1115" s="351"/>
      <c r="AP1115" s="550"/>
      <c r="AQ1115" s="351"/>
      <c r="AR1115" s="551"/>
      <c r="AS1115" s="351"/>
      <c r="AT1115" s="552"/>
      <c r="AU1115" s="351"/>
      <c r="AV1115" s="549" t="s">
        <v>325</v>
      </c>
      <c r="AW1115" s="351"/>
      <c r="AX1115" s="553"/>
      <c r="AY1115" s="350"/>
      <c r="AZ1115" s="351"/>
      <c r="BA1115" s="554"/>
      <c r="BB1115" s="351"/>
      <c r="BC1115" s="39"/>
      <c r="BD1115" s="546" t="s">
        <v>325</v>
      </c>
      <c r="BE1115" s="351"/>
      <c r="BF1115" s="547"/>
      <c r="BG1115" s="350"/>
      <c r="BH1115" s="350"/>
      <c r="BI1115" s="351"/>
      <c r="BJ1115" s="548" t="s">
        <v>294</v>
      </c>
      <c r="BK1115" s="350"/>
      <c r="BL1115" s="350"/>
      <c r="BM1115" s="351"/>
      <c r="BN1115" s="530" t="s">
        <v>294</v>
      </c>
      <c r="BO1115" s="350"/>
      <c r="BP1115" s="350"/>
      <c r="BQ1115" s="350"/>
      <c r="BR1115" s="350"/>
      <c r="BS1115" s="350"/>
      <c r="BT1115" s="350"/>
      <c r="BU1115" s="350"/>
      <c r="BV1115" s="351"/>
    </row>
    <row r="1116" spans="1:74" ht="45" customHeight="1">
      <c r="A1116" s="24">
        <f t="shared" si="4"/>
        <v>1102</v>
      </c>
      <c r="B1116" s="558" t="s">
        <v>294</v>
      </c>
      <c r="C1116" s="351"/>
      <c r="D1116" s="559" t="s">
        <v>298</v>
      </c>
      <c r="E1116" s="351"/>
      <c r="F1116" s="524" t="s">
        <v>325</v>
      </c>
      <c r="G1116" s="351"/>
      <c r="H1116" s="525" t="s">
        <v>325</v>
      </c>
      <c r="I1116" s="351"/>
      <c r="J1116" s="40"/>
      <c r="K1116" s="41"/>
      <c r="L1116" s="40"/>
      <c r="M1116" s="41"/>
      <c r="N1116" s="37"/>
      <c r="O1116" s="35"/>
      <c r="P1116" s="560"/>
      <c r="Q1116" s="351"/>
      <c r="R1116" s="535"/>
      <c r="S1116" s="351"/>
      <c r="T1116" s="536"/>
      <c r="U1116" s="351"/>
      <c r="V1116" s="537"/>
      <c r="W1116" s="351"/>
      <c r="X1116" s="538" t="s">
        <v>294</v>
      </c>
      <c r="Y1116" s="350"/>
      <c r="Z1116" s="350"/>
      <c r="AA1116" s="351"/>
      <c r="AB1116" s="539" t="s">
        <v>294</v>
      </c>
      <c r="AC1116" s="350"/>
      <c r="AD1116" s="350"/>
      <c r="AE1116" s="351"/>
      <c r="AF1116" s="540"/>
      <c r="AG1116" s="351"/>
      <c r="AH1116" s="540"/>
      <c r="AI1116" s="351"/>
      <c r="AJ1116" s="545"/>
      <c r="AK1116" s="351"/>
      <c r="AL1116" s="555" t="s">
        <v>325</v>
      </c>
      <c r="AM1116" s="351"/>
      <c r="AN1116" s="531" t="s">
        <v>325</v>
      </c>
      <c r="AO1116" s="351"/>
      <c r="AP1116" s="532"/>
      <c r="AQ1116" s="351"/>
      <c r="AR1116" s="533"/>
      <c r="AS1116" s="351"/>
      <c r="AT1116" s="534"/>
      <c r="AU1116" s="351"/>
      <c r="AV1116" s="531" t="s">
        <v>325</v>
      </c>
      <c r="AW1116" s="351"/>
      <c r="AX1116" s="553"/>
      <c r="AY1116" s="350"/>
      <c r="AZ1116" s="351"/>
      <c r="BA1116" s="545"/>
      <c r="BB1116" s="351"/>
      <c r="BC1116" s="36"/>
      <c r="BD1116" s="556" t="s">
        <v>325</v>
      </c>
      <c r="BE1116" s="351"/>
      <c r="BF1116" s="557"/>
      <c r="BG1116" s="350"/>
      <c r="BH1116" s="350"/>
      <c r="BI1116" s="351"/>
      <c r="BJ1116" s="506" t="s">
        <v>294</v>
      </c>
      <c r="BK1116" s="350"/>
      <c r="BL1116" s="350"/>
      <c r="BM1116" s="351"/>
      <c r="BN1116" s="530" t="s">
        <v>294</v>
      </c>
      <c r="BO1116" s="350"/>
      <c r="BP1116" s="350"/>
      <c r="BQ1116" s="350"/>
      <c r="BR1116" s="350"/>
      <c r="BS1116" s="350"/>
      <c r="BT1116" s="350"/>
      <c r="BU1116" s="350"/>
      <c r="BV1116" s="351"/>
    </row>
    <row r="1117" spans="1:74" ht="45" customHeight="1">
      <c r="A1117" s="24">
        <f t="shared" si="4"/>
        <v>1103</v>
      </c>
      <c r="B1117" s="522" t="s">
        <v>294</v>
      </c>
      <c r="C1117" s="351"/>
      <c r="D1117" s="523" t="s">
        <v>298</v>
      </c>
      <c r="E1117" s="351"/>
      <c r="F1117" s="524" t="s">
        <v>325</v>
      </c>
      <c r="G1117" s="351"/>
      <c r="H1117" s="561" t="s">
        <v>325</v>
      </c>
      <c r="I1117" s="351"/>
      <c r="J1117" s="562"/>
      <c r="K1117" s="351"/>
      <c r="L1117" s="562"/>
      <c r="M1117" s="351"/>
      <c r="N1117" s="34"/>
      <c r="O1117" s="38"/>
      <c r="P1117" s="526"/>
      <c r="Q1117" s="351"/>
      <c r="R1117" s="527"/>
      <c r="S1117" s="351"/>
      <c r="T1117" s="528"/>
      <c r="U1117" s="351"/>
      <c r="V1117" s="541"/>
      <c r="W1117" s="351"/>
      <c r="X1117" s="542" t="s">
        <v>294</v>
      </c>
      <c r="Y1117" s="350"/>
      <c r="Z1117" s="350"/>
      <c r="AA1117" s="351"/>
      <c r="AB1117" s="543" t="s">
        <v>294</v>
      </c>
      <c r="AC1117" s="350"/>
      <c r="AD1117" s="350"/>
      <c r="AE1117" s="351"/>
      <c r="AF1117" s="544"/>
      <c r="AG1117" s="351"/>
      <c r="AH1117" s="544"/>
      <c r="AI1117" s="351"/>
      <c r="AJ1117" s="545"/>
      <c r="AK1117" s="351"/>
      <c r="AL1117" s="524" t="s">
        <v>325</v>
      </c>
      <c r="AM1117" s="351"/>
      <c r="AN1117" s="549" t="s">
        <v>325</v>
      </c>
      <c r="AO1117" s="351"/>
      <c r="AP1117" s="550"/>
      <c r="AQ1117" s="351"/>
      <c r="AR1117" s="551"/>
      <c r="AS1117" s="351"/>
      <c r="AT1117" s="552"/>
      <c r="AU1117" s="351"/>
      <c r="AV1117" s="549" t="s">
        <v>325</v>
      </c>
      <c r="AW1117" s="351"/>
      <c r="AX1117" s="553"/>
      <c r="AY1117" s="350"/>
      <c r="AZ1117" s="351"/>
      <c r="BA1117" s="554"/>
      <c r="BB1117" s="351"/>
      <c r="BC1117" s="39"/>
      <c r="BD1117" s="546" t="s">
        <v>325</v>
      </c>
      <c r="BE1117" s="351"/>
      <c r="BF1117" s="547"/>
      <c r="BG1117" s="350"/>
      <c r="BH1117" s="350"/>
      <c r="BI1117" s="351"/>
      <c r="BJ1117" s="548" t="s">
        <v>294</v>
      </c>
      <c r="BK1117" s="350"/>
      <c r="BL1117" s="350"/>
      <c r="BM1117" s="351"/>
      <c r="BN1117" s="530" t="s">
        <v>294</v>
      </c>
      <c r="BO1117" s="350"/>
      <c r="BP1117" s="350"/>
      <c r="BQ1117" s="350"/>
      <c r="BR1117" s="350"/>
      <c r="BS1117" s="350"/>
      <c r="BT1117" s="350"/>
      <c r="BU1117" s="350"/>
      <c r="BV1117" s="351"/>
    </row>
    <row r="1118" spans="1:74" ht="45" customHeight="1">
      <c r="A1118" s="24">
        <f t="shared" si="4"/>
        <v>1104</v>
      </c>
      <c r="B1118" s="558" t="s">
        <v>294</v>
      </c>
      <c r="C1118" s="351"/>
      <c r="D1118" s="559" t="s">
        <v>298</v>
      </c>
      <c r="E1118" s="351"/>
      <c r="F1118" s="524" t="s">
        <v>325</v>
      </c>
      <c r="G1118" s="351"/>
      <c r="H1118" s="525" t="s">
        <v>325</v>
      </c>
      <c r="I1118" s="351"/>
      <c r="J1118" s="40"/>
      <c r="K1118" s="41"/>
      <c r="L1118" s="40"/>
      <c r="M1118" s="41"/>
      <c r="N1118" s="37"/>
      <c r="O1118" s="35"/>
      <c r="P1118" s="560"/>
      <c r="Q1118" s="351"/>
      <c r="R1118" s="535"/>
      <c r="S1118" s="351"/>
      <c r="T1118" s="536"/>
      <c r="U1118" s="351"/>
      <c r="V1118" s="537"/>
      <c r="W1118" s="351"/>
      <c r="X1118" s="538" t="s">
        <v>294</v>
      </c>
      <c r="Y1118" s="350"/>
      <c r="Z1118" s="350"/>
      <c r="AA1118" s="351"/>
      <c r="AB1118" s="539" t="s">
        <v>294</v>
      </c>
      <c r="AC1118" s="350"/>
      <c r="AD1118" s="350"/>
      <c r="AE1118" s="351"/>
      <c r="AF1118" s="540"/>
      <c r="AG1118" s="351"/>
      <c r="AH1118" s="540"/>
      <c r="AI1118" s="351"/>
      <c r="AJ1118" s="545"/>
      <c r="AK1118" s="351"/>
      <c r="AL1118" s="555" t="s">
        <v>325</v>
      </c>
      <c r="AM1118" s="351"/>
      <c r="AN1118" s="531" t="s">
        <v>325</v>
      </c>
      <c r="AO1118" s="351"/>
      <c r="AP1118" s="532"/>
      <c r="AQ1118" s="351"/>
      <c r="AR1118" s="533"/>
      <c r="AS1118" s="351"/>
      <c r="AT1118" s="534"/>
      <c r="AU1118" s="351"/>
      <c r="AV1118" s="531" t="s">
        <v>325</v>
      </c>
      <c r="AW1118" s="351"/>
      <c r="AX1118" s="553"/>
      <c r="AY1118" s="350"/>
      <c r="AZ1118" s="351"/>
      <c r="BA1118" s="545"/>
      <c r="BB1118" s="351"/>
      <c r="BC1118" s="36"/>
      <c r="BD1118" s="556" t="s">
        <v>325</v>
      </c>
      <c r="BE1118" s="351"/>
      <c r="BF1118" s="557"/>
      <c r="BG1118" s="350"/>
      <c r="BH1118" s="350"/>
      <c r="BI1118" s="351"/>
      <c r="BJ1118" s="506" t="s">
        <v>294</v>
      </c>
      <c r="BK1118" s="350"/>
      <c r="BL1118" s="350"/>
      <c r="BM1118" s="351"/>
      <c r="BN1118" s="530" t="s">
        <v>294</v>
      </c>
      <c r="BO1118" s="350"/>
      <c r="BP1118" s="350"/>
      <c r="BQ1118" s="350"/>
      <c r="BR1118" s="350"/>
      <c r="BS1118" s="350"/>
      <c r="BT1118" s="350"/>
      <c r="BU1118" s="350"/>
      <c r="BV1118" s="351"/>
    </row>
    <row r="1119" spans="1:74" ht="45" customHeight="1">
      <c r="A1119" s="24">
        <f t="shared" si="4"/>
        <v>1105</v>
      </c>
      <c r="B1119" s="522" t="s">
        <v>294</v>
      </c>
      <c r="C1119" s="351"/>
      <c r="D1119" s="523" t="s">
        <v>298</v>
      </c>
      <c r="E1119" s="351"/>
      <c r="F1119" s="524" t="s">
        <v>325</v>
      </c>
      <c r="G1119" s="351"/>
      <c r="H1119" s="561" t="s">
        <v>325</v>
      </c>
      <c r="I1119" s="351"/>
      <c r="J1119" s="562"/>
      <c r="K1119" s="351"/>
      <c r="L1119" s="562"/>
      <c r="M1119" s="351"/>
      <c r="N1119" s="34"/>
      <c r="O1119" s="38"/>
      <c r="P1119" s="526"/>
      <c r="Q1119" s="351"/>
      <c r="R1119" s="527"/>
      <c r="S1119" s="351"/>
      <c r="T1119" s="528"/>
      <c r="U1119" s="351"/>
      <c r="V1119" s="541"/>
      <c r="W1119" s="351"/>
      <c r="X1119" s="542" t="s">
        <v>294</v>
      </c>
      <c r="Y1119" s="350"/>
      <c r="Z1119" s="350"/>
      <c r="AA1119" s="351"/>
      <c r="AB1119" s="543" t="s">
        <v>294</v>
      </c>
      <c r="AC1119" s="350"/>
      <c r="AD1119" s="350"/>
      <c r="AE1119" s="351"/>
      <c r="AF1119" s="544"/>
      <c r="AG1119" s="351"/>
      <c r="AH1119" s="544"/>
      <c r="AI1119" s="351"/>
      <c r="AJ1119" s="545"/>
      <c r="AK1119" s="351"/>
      <c r="AL1119" s="524" t="s">
        <v>325</v>
      </c>
      <c r="AM1119" s="351"/>
      <c r="AN1119" s="549" t="s">
        <v>325</v>
      </c>
      <c r="AO1119" s="351"/>
      <c r="AP1119" s="550"/>
      <c r="AQ1119" s="351"/>
      <c r="AR1119" s="551"/>
      <c r="AS1119" s="351"/>
      <c r="AT1119" s="552"/>
      <c r="AU1119" s="351"/>
      <c r="AV1119" s="549" t="s">
        <v>325</v>
      </c>
      <c r="AW1119" s="351"/>
      <c r="AX1119" s="553"/>
      <c r="AY1119" s="350"/>
      <c r="AZ1119" s="351"/>
      <c r="BA1119" s="554"/>
      <c r="BB1119" s="351"/>
      <c r="BC1119" s="39"/>
      <c r="BD1119" s="546" t="s">
        <v>325</v>
      </c>
      <c r="BE1119" s="351"/>
      <c r="BF1119" s="547"/>
      <c r="BG1119" s="350"/>
      <c r="BH1119" s="350"/>
      <c r="BI1119" s="351"/>
      <c r="BJ1119" s="548" t="s">
        <v>294</v>
      </c>
      <c r="BK1119" s="350"/>
      <c r="BL1119" s="350"/>
      <c r="BM1119" s="351"/>
      <c r="BN1119" s="530" t="s">
        <v>294</v>
      </c>
      <c r="BO1119" s="350"/>
      <c r="BP1119" s="350"/>
      <c r="BQ1119" s="350"/>
      <c r="BR1119" s="350"/>
      <c r="BS1119" s="350"/>
      <c r="BT1119" s="350"/>
      <c r="BU1119" s="350"/>
      <c r="BV1119" s="351"/>
    </row>
    <row r="1120" spans="1:74" ht="45" customHeight="1">
      <c r="A1120" s="24">
        <f t="shared" si="4"/>
        <v>1106</v>
      </c>
      <c r="B1120" s="558" t="s">
        <v>294</v>
      </c>
      <c r="C1120" s="351"/>
      <c r="D1120" s="559" t="s">
        <v>298</v>
      </c>
      <c r="E1120" s="351"/>
      <c r="F1120" s="524" t="s">
        <v>325</v>
      </c>
      <c r="G1120" s="351"/>
      <c r="H1120" s="525" t="s">
        <v>325</v>
      </c>
      <c r="I1120" s="351"/>
      <c r="J1120" s="40"/>
      <c r="K1120" s="41"/>
      <c r="L1120" s="40"/>
      <c r="M1120" s="41"/>
      <c r="N1120" s="37"/>
      <c r="O1120" s="35"/>
      <c r="P1120" s="560"/>
      <c r="Q1120" s="351"/>
      <c r="R1120" s="535"/>
      <c r="S1120" s="351"/>
      <c r="T1120" s="536"/>
      <c r="U1120" s="351"/>
      <c r="V1120" s="537"/>
      <c r="W1120" s="351"/>
      <c r="X1120" s="538" t="s">
        <v>294</v>
      </c>
      <c r="Y1120" s="350"/>
      <c r="Z1120" s="350"/>
      <c r="AA1120" s="351"/>
      <c r="AB1120" s="539" t="s">
        <v>294</v>
      </c>
      <c r="AC1120" s="350"/>
      <c r="AD1120" s="350"/>
      <c r="AE1120" s="351"/>
      <c r="AF1120" s="540"/>
      <c r="AG1120" s="351"/>
      <c r="AH1120" s="540"/>
      <c r="AI1120" s="351"/>
      <c r="AJ1120" s="545"/>
      <c r="AK1120" s="351"/>
      <c r="AL1120" s="555" t="s">
        <v>325</v>
      </c>
      <c r="AM1120" s="351"/>
      <c r="AN1120" s="531" t="s">
        <v>325</v>
      </c>
      <c r="AO1120" s="351"/>
      <c r="AP1120" s="532"/>
      <c r="AQ1120" s="351"/>
      <c r="AR1120" s="533"/>
      <c r="AS1120" s="351"/>
      <c r="AT1120" s="534"/>
      <c r="AU1120" s="351"/>
      <c r="AV1120" s="531" t="s">
        <v>325</v>
      </c>
      <c r="AW1120" s="351"/>
      <c r="AX1120" s="553"/>
      <c r="AY1120" s="350"/>
      <c r="AZ1120" s="351"/>
      <c r="BA1120" s="545"/>
      <c r="BB1120" s="351"/>
      <c r="BC1120" s="36"/>
      <c r="BD1120" s="556" t="s">
        <v>325</v>
      </c>
      <c r="BE1120" s="351"/>
      <c r="BF1120" s="529"/>
      <c r="BG1120" s="350"/>
      <c r="BH1120" s="350"/>
      <c r="BI1120" s="351"/>
      <c r="BJ1120" s="506" t="s">
        <v>294</v>
      </c>
      <c r="BK1120" s="350"/>
      <c r="BL1120" s="350"/>
      <c r="BM1120" s="351"/>
      <c r="BN1120" s="530" t="s">
        <v>294</v>
      </c>
      <c r="BO1120" s="350"/>
      <c r="BP1120" s="350"/>
      <c r="BQ1120" s="350"/>
      <c r="BR1120" s="350"/>
      <c r="BS1120" s="350"/>
      <c r="BT1120" s="350"/>
      <c r="BU1120" s="350"/>
      <c r="BV1120" s="351"/>
    </row>
    <row r="1121" spans="1:74" ht="45" customHeight="1">
      <c r="A1121" s="24">
        <f t="shared" si="4"/>
        <v>1107</v>
      </c>
      <c r="B1121" s="522" t="s">
        <v>294</v>
      </c>
      <c r="C1121" s="351"/>
      <c r="D1121" s="523" t="s">
        <v>298</v>
      </c>
      <c r="E1121" s="351"/>
      <c r="F1121" s="524" t="s">
        <v>325</v>
      </c>
      <c r="G1121" s="351"/>
      <c r="H1121" s="561" t="s">
        <v>325</v>
      </c>
      <c r="I1121" s="351"/>
      <c r="J1121" s="562"/>
      <c r="K1121" s="351"/>
      <c r="L1121" s="562"/>
      <c r="M1121" s="351"/>
      <c r="N1121" s="34"/>
      <c r="O1121" s="38"/>
      <c r="P1121" s="526"/>
      <c r="Q1121" s="351"/>
      <c r="R1121" s="527"/>
      <c r="S1121" s="351"/>
      <c r="T1121" s="528"/>
      <c r="U1121" s="351"/>
      <c r="V1121" s="541"/>
      <c r="W1121" s="351"/>
      <c r="X1121" s="542" t="s">
        <v>294</v>
      </c>
      <c r="Y1121" s="350"/>
      <c r="Z1121" s="350"/>
      <c r="AA1121" s="351"/>
      <c r="AB1121" s="543" t="s">
        <v>294</v>
      </c>
      <c r="AC1121" s="350"/>
      <c r="AD1121" s="350"/>
      <c r="AE1121" s="351"/>
      <c r="AF1121" s="544"/>
      <c r="AG1121" s="351"/>
      <c r="AH1121" s="544"/>
      <c r="AI1121" s="351"/>
      <c r="AJ1121" s="545"/>
      <c r="AK1121" s="351"/>
      <c r="AL1121" s="524" t="s">
        <v>325</v>
      </c>
      <c r="AM1121" s="351"/>
      <c r="AN1121" s="549" t="s">
        <v>325</v>
      </c>
      <c r="AO1121" s="351"/>
      <c r="AP1121" s="550"/>
      <c r="AQ1121" s="351"/>
      <c r="AR1121" s="551"/>
      <c r="AS1121" s="351"/>
      <c r="AT1121" s="552"/>
      <c r="AU1121" s="351"/>
      <c r="AV1121" s="549" t="s">
        <v>325</v>
      </c>
      <c r="AW1121" s="351"/>
      <c r="AX1121" s="553"/>
      <c r="AY1121" s="350"/>
      <c r="AZ1121" s="351"/>
      <c r="BA1121" s="554"/>
      <c r="BB1121" s="351"/>
      <c r="BC1121" s="39"/>
      <c r="BD1121" s="546" t="s">
        <v>325</v>
      </c>
      <c r="BE1121" s="351"/>
      <c r="BF1121" s="547"/>
      <c r="BG1121" s="350"/>
      <c r="BH1121" s="350"/>
      <c r="BI1121" s="351"/>
      <c r="BJ1121" s="548" t="s">
        <v>294</v>
      </c>
      <c r="BK1121" s="350"/>
      <c r="BL1121" s="350"/>
      <c r="BM1121" s="351"/>
      <c r="BN1121" s="530" t="s">
        <v>294</v>
      </c>
      <c r="BO1121" s="350"/>
      <c r="BP1121" s="350"/>
      <c r="BQ1121" s="350"/>
      <c r="BR1121" s="350"/>
      <c r="BS1121" s="350"/>
      <c r="BT1121" s="350"/>
      <c r="BU1121" s="350"/>
      <c r="BV1121" s="351"/>
    </row>
    <row r="1122" spans="1:74" ht="45" customHeight="1">
      <c r="A1122" s="24">
        <f t="shared" si="4"/>
        <v>1108</v>
      </c>
      <c r="B1122" s="558" t="s">
        <v>294</v>
      </c>
      <c r="C1122" s="351"/>
      <c r="D1122" s="559" t="s">
        <v>298</v>
      </c>
      <c r="E1122" s="351"/>
      <c r="F1122" s="524" t="s">
        <v>325</v>
      </c>
      <c r="G1122" s="351"/>
      <c r="H1122" s="525" t="s">
        <v>325</v>
      </c>
      <c r="I1122" s="351"/>
      <c r="J1122" s="40"/>
      <c r="K1122" s="41"/>
      <c r="L1122" s="40"/>
      <c r="M1122" s="41"/>
      <c r="N1122" s="34"/>
      <c r="O1122" s="35"/>
      <c r="P1122" s="526"/>
      <c r="Q1122" s="351"/>
      <c r="R1122" s="535"/>
      <c r="S1122" s="351"/>
      <c r="T1122" s="536"/>
      <c r="U1122" s="351"/>
      <c r="V1122" s="537"/>
      <c r="W1122" s="351"/>
      <c r="X1122" s="538" t="s">
        <v>294</v>
      </c>
      <c r="Y1122" s="350"/>
      <c r="Z1122" s="350"/>
      <c r="AA1122" s="351"/>
      <c r="AB1122" s="539" t="s">
        <v>294</v>
      </c>
      <c r="AC1122" s="350"/>
      <c r="AD1122" s="350"/>
      <c r="AE1122" s="351"/>
      <c r="AF1122" s="540"/>
      <c r="AG1122" s="351"/>
      <c r="AH1122" s="540"/>
      <c r="AI1122" s="351"/>
      <c r="AJ1122" s="545"/>
      <c r="AK1122" s="351"/>
      <c r="AL1122" s="555" t="s">
        <v>325</v>
      </c>
      <c r="AM1122" s="351"/>
      <c r="AN1122" s="531" t="s">
        <v>325</v>
      </c>
      <c r="AO1122" s="351"/>
      <c r="AP1122" s="532"/>
      <c r="AQ1122" s="351"/>
      <c r="AR1122" s="533"/>
      <c r="AS1122" s="351"/>
      <c r="AT1122" s="534"/>
      <c r="AU1122" s="351"/>
      <c r="AV1122" s="531" t="s">
        <v>325</v>
      </c>
      <c r="AW1122" s="351"/>
      <c r="AX1122" s="553"/>
      <c r="AY1122" s="350"/>
      <c r="AZ1122" s="351"/>
      <c r="BA1122" s="545"/>
      <c r="BB1122" s="351"/>
      <c r="BC1122" s="36"/>
      <c r="BD1122" s="556" t="s">
        <v>325</v>
      </c>
      <c r="BE1122" s="351"/>
      <c r="BF1122" s="529"/>
      <c r="BG1122" s="350"/>
      <c r="BH1122" s="350"/>
      <c r="BI1122" s="351"/>
      <c r="BJ1122" s="506" t="s">
        <v>294</v>
      </c>
      <c r="BK1122" s="350"/>
      <c r="BL1122" s="350"/>
      <c r="BM1122" s="351"/>
      <c r="BN1122" s="530" t="s">
        <v>294</v>
      </c>
      <c r="BO1122" s="350"/>
      <c r="BP1122" s="350"/>
      <c r="BQ1122" s="350"/>
      <c r="BR1122" s="350"/>
      <c r="BS1122" s="350"/>
      <c r="BT1122" s="350"/>
      <c r="BU1122" s="350"/>
      <c r="BV1122" s="351"/>
    </row>
    <row r="1123" spans="1:74" ht="45" customHeight="1">
      <c r="A1123" s="24">
        <f t="shared" si="4"/>
        <v>1109</v>
      </c>
      <c r="B1123" s="522" t="s">
        <v>294</v>
      </c>
      <c r="C1123" s="351"/>
      <c r="D1123" s="523" t="s">
        <v>298</v>
      </c>
      <c r="E1123" s="351"/>
      <c r="F1123" s="524" t="s">
        <v>325</v>
      </c>
      <c r="G1123" s="351"/>
      <c r="H1123" s="561" t="s">
        <v>325</v>
      </c>
      <c r="I1123" s="351"/>
      <c r="J1123" s="562"/>
      <c r="K1123" s="351"/>
      <c r="L1123" s="562"/>
      <c r="M1123" s="351"/>
      <c r="N1123" s="37"/>
      <c r="O1123" s="38"/>
      <c r="P1123" s="560"/>
      <c r="Q1123" s="351"/>
      <c r="R1123" s="527"/>
      <c r="S1123" s="351"/>
      <c r="T1123" s="528"/>
      <c r="U1123" s="351"/>
      <c r="V1123" s="541"/>
      <c r="W1123" s="351"/>
      <c r="X1123" s="542" t="s">
        <v>294</v>
      </c>
      <c r="Y1123" s="350"/>
      <c r="Z1123" s="350"/>
      <c r="AA1123" s="351"/>
      <c r="AB1123" s="543" t="s">
        <v>294</v>
      </c>
      <c r="AC1123" s="350"/>
      <c r="AD1123" s="350"/>
      <c r="AE1123" s="351"/>
      <c r="AF1123" s="544"/>
      <c r="AG1123" s="351"/>
      <c r="AH1123" s="544"/>
      <c r="AI1123" s="351"/>
      <c r="AJ1123" s="545"/>
      <c r="AK1123" s="351"/>
      <c r="AL1123" s="524" t="s">
        <v>325</v>
      </c>
      <c r="AM1123" s="351"/>
      <c r="AN1123" s="549" t="s">
        <v>325</v>
      </c>
      <c r="AO1123" s="351"/>
      <c r="AP1123" s="550"/>
      <c r="AQ1123" s="351"/>
      <c r="AR1123" s="551"/>
      <c r="AS1123" s="351"/>
      <c r="AT1123" s="534"/>
      <c r="AU1123" s="351"/>
      <c r="AV1123" s="549" t="s">
        <v>325</v>
      </c>
      <c r="AW1123" s="351"/>
      <c r="AX1123" s="553"/>
      <c r="AY1123" s="350"/>
      <c r="AZ1123" s="351"/>
      <c r="BA1123" s="554"/>
      <c r="BB1123" s="351"/>
      <c r="BC1123" s="39"/>
      <c r="BD1123" s="546" t="s">
        <v>325</v>
      </c>
      <c r="BE1123" s="351"/>
      <c r="BF1123" s="547"/>
      <c r="BG1123" s="350"/>
      <c r="BH1123" s="350"/>
      <c r="BI1123" s="351"/>
      <c r="BJ1123" s="548" t="s">
        <v>294</v>
      </c>
      <c r="BK1123" s="350"/>
      <c r="BL1123" s="350"/>
      <c r="BM1123" s="351"/>
      <c r="BN1123" s="530" t="s">
        <v>294</v>
      </c>
      <c r="BO1123" s="350"/>
      <c r="BP1123" s="350"/>
      <c r="BQ1123" s="350"/>
      <c r="BR1123" s="350"/>
      <c r="BS1123" s="350"/>
      <c r="BT1123" s="350"/>
      <c r="BU1123" s="350"/>
      <c r="BV1123" s="351"/>
    </row>
    <row r="1124" spans="1:74" ht="45" customHeight="1">
      <c r="A1124" s="24">
        <f t="shared" si="4"/>
        <v>1110</v>
      </c>
      <c r="B1124" s="558" t="s">
        <v>294</v>
      </c>
      <c r="C1124" s="351"/>
      <c r="D1124" s="559" t="s">
        <v>298</v>
      </c>
      <c r="E1124" s="351"/>
      <c r="F1124" s="524" t="s">
        <v>325</v>
      </c>
      <c r="G1124" s="351"/>
      <c r="H1124" s="525" t="s">
        <v>325</v>
      </c>
      <c r="I1124" s="351"/>
      <c r="J1124" s="40"/>
      <c r="K1124" s="41"/>
      <c r="L1124" s="40"/>
      <c r="M1124" s="41"/>
      <c r="N1124" s="34"/>
      <c r="O1124" s="35"/>
      <c r="P1124" s="526"/>
      <c r="Q1124" s="351"/>
      <c r="R1124" s="535"/>
      <c r="S1124" s="351"/>
      <c r="T1124" s="536"/>
      <c r="U1124" s="351"/>
      <c r="V1124" s="537"/>
      <c r="W1124" s="351"/>
      <c r="X1124" s="538" t="s">
        <v>294</v>
      </c>
      <c r="Y1124" s="350"/>
      <c r="Z1124" s="350"/>
      <c r="AA1124" s="351"/>
      <c r="AB1124" s="539" t="s">
        <v>294</v>
      </c>
      <c r="AC1124" s="350"/>
      <c r="AD1124" s="350"/>
      <c r="AE1124" s="351"/>
      <c r="AF1124" s="540"/>
      <c r="AG1124" s="351"/>
      <c r="AH1124" s="540"/>
      <c r="AI1124" s="351"/>
      <c r="AJ1124" s="545"/>
      <c r="AK1124" s="351"/>
      <c r="AL1124" s="555" t="s">
        <v>325</v>
      </c>
      <c r="AM1124" s="351"/>
      <c r="AN1124" s="531" t="s">
        <v>325</v>
      </c>
      <c r="AO1124" s="351"/>
      <c r="AP1124" s="532"/>
      <c r="AQ1124" s="351"/>
      <c r="AR1124" s="533"/>
      <c r="AS1124" s="351"/>
      <c r="AT1124" s="534"/>
      <c r="AU1124" s="351"/>
      <c r="AV1124" s="531" t="s">
        <v>325</v>
      </c>
      <c r="AW1124" s="351"/>
      <c r="AX1124" s="553"/>
      <c r="AY1124" s="350"/>
      <c r="AZ1124" s="351"/>
      <c r="BA1124" s="545"/>
      <c r="BB1124" s="351"/>
      <c r="BC1124" s="36"/>
      <c r="BD1124" s="556" t="s">
        <v>325</v>
      </c>
      <c r="BE1124" s="351"/>
      <c r="BF1124" s="557"/>
      <c r="BG1124" s="350"/>
      <c r="BH1124" s="350"/>
      <c r="BI1124" s="351"/>
      <c r="BJ1124" s="506" t="s">
        <v>294</v>
      </c>
      <c r="BK1124" s="350"/>
      <c r="BL1124" s="350"/>
      <c r="BM1124" s="351"/>
      <c r="BN1124" s="530" t="s">
        <v>294</v>
      </c>
      <c r="BO1124" s="350"/>
      <c r="BP1124" s="350"/>
      <c r="BQ1124" s="350"/>
      <c r="BR1124" s="350"/>
      <c r="BS1124" s="350"/>
      <c r="BT1124" s="350"/>
      <c r="BU1124" s="350"/>
      <c r="BV1124" s="351"/>
    </row>
    <row r="1125" spans="1:74" ht="45" customHeight="1">
      <c r="A1125" s="24">
        <f t="shared" si="4"/>
        <v>1111</v>
      </c>
      <c r="B1125" s="522" t="s">
        <v>294</v>
      </c>
      <c r="C1125" s="351"/>
      <c r="D1125" s="523" t="s">
        <v>298</v>
      </c>
      <c r="E1125" s="351"/>
      <c r="F1125" s="524" t="s">
        <v>325</v>
      </c>
      <c r="G1125" s="351"/>
      <c r="H1125" s="561" t="s">
        <v>325</v>
      </c>
      <c r="I1125" s="351"/>
      <c r="J1125" s="562"/>
      <c r="K1125" s="351"/>
      <c r="L1125" s="562"/>
      <c r="M1125" s="351"/>
      <c r="N1125" s="37"/>
      <c r="O1125" s="38"/>
      <c r="P1125" s="560"/>
      <c r="Q1125" s="351"/>
      <c r="R1125" s="527"/>
      <c r="S1125" s="351"/>
      <c r="T1125" s="528"/>
      <c r="U1125" s="351"/>
      <c r="V1125" s="541"/>
      <c r="W1125" s="351"/>
      <c r="X1125" s="542" t="s">
        <v>294</v>
      </c>
      <c r="Y1125" s="350"/>
      <c r="Z1125" s="350"/>
      <c r="AA1125" s="351"/>
      <c r="AB1125" s="543" t="s">
        <v>294</v>
      </c>
      <c r="AC1125" s="350"/>
      <c r="AD1125" s="350"/>
      <c r="AE1125" s="351"/>
      <c r="AF1125" s="544"/>
      <c r="AG1125" s="351"/>
      <c r="AH1125" s="544"/>
      <c r="AI1125" s="351"/>
      <c r="AJ1125" s="545"/>
      <c r="AK1125" s="351"/>
      <c r="AL1125" s="524" t="s">
        <v>325</v>
      </c>
      <c r="AM1125" s="351"/>
      <c r="AN1125" s="549" t="s">
        <v>325</v>
      </c>
      <c r="AO1125" s="351"/>
      <c r="AP1125" s="550"/>
      <c r="AQ1125" s="351"/>
      <c r="AR1125" s="551"/>
      <c r="AS1125" s="351"/>
      <c r="AT1125" s="534"/>
      <c r="AU1125" s="351"/>
      <c r="AV1125" s="549" t="s">
        <v>325</v>
      </c>
      <c r="AW1125" s="351"/>
      <c r="AX1125" s="553"/>
      <c r="AY1125" s="350"/>
      <c r="AZ1125" s="351"/>
      <c r="BA1125" s="554"/>
      <c r="BB1125" s="351"/>
      <c r="BC1125" s="39"/>
      <c r="BD1125" s="546" t="s">
        <v>325</v>
      </c>
      <c r="BE1125" s="351"/>
      <c r="BF1125" s="547"/>
      <c r="BG1125" s="350"/>
      <c r="BH1125" s="350"/>
      <c r="BI1125" s="351"/>
      <c r="BJ1125" s="548" t="s">
        <v>294</v>
      </c>
      <c r="BK1125" s="350"/>
      <c r="BL1125" s="350"/>
      <c r="BM1125" s="351"/>
      <c r="BN1125" s="530" t="s">
        <v>294</v>
      </c>
      <c r="BO1125" s="350"/>
      <c r="BP1125" s="350"/>
      <c r="BQ1125" s="350"/>
      <c r="BR1125" s="350"/>
      <c r="BS1125" s="350"/>
      <c r="BT1125" s="350"/>
      <c r="BU1125" s="350"/>
      <c r="BV1125" s="351"/>
    </row>
    <row r="1126" spans="1:74" ht="45" customHeight="1">
      <c r="A1126" s="24">
        <f t="shared" si="4"/>
        <v>1112</v>
      </c>
      <c r="B1126" s="558" t="s">
        <v>294</v>
      </c>
      <c r="C1126" s="351"/>
      <c r="D1126" s="559" t="s">
        <v>298</v>
      </c>
      <c r="E1126" s="351"/>
      <c r="F1126" s="524" t="s">
        <v>325</v>
      </c>
      <c r="G1126" s="351"/>
      <c r="H1126" s="525" t="s">
        <v>325</v>
      </c>
      <c r="I1126" s="351"/>
      <c r="J1126" s="40"/>
      <c r="K1126" s="41"/>
      <c r="L1126" s="40"/>
      <c r="M1126" s="41"/>
      <c r="N1126" s="34"/>
      <c r="O1126" s="35"/>
      <c r="P1126" s="526"/>
      <c r="Q1126" s="351"/>
      <c r="R1126" s="535"/>
      <c r="S1126" s="351"/>
      <c r="T1126" s="536"/>
      <c r="U1126" s="351"/>
      <c r="V1126" s="537"/>
      <c r="W1126" s="351"/>
      <c r="X1126" s="538" t="s">
        <v>294</v>
      </c>
      <c r="Y1126" s="350"/>
      <c r="Z1126" s="350"/>
      <c r="AA1126" s="351"/>
      <c r="AB1126" s="539" t="s">
        <v>294</v>
      </c>
      <c r="AC1126" s="350"/>
      <c r="AD1126" s="350"/>
      <c r="AE1126" s="351"/>
      <c r="AF1126" s="540"/>
      <c r="AG1126" s="351"/>
      <c r="AH1126" s="540"/>
      <c r="AI1126" s="351"/>
      <c r="AJ1126" s="545"/>
      <c r="AK1126" s="351"/>
      <c r="AL1126" s="555" t="s">
        <v>325</v>
      </c>
      <c r="AM1126" s="351"/>
      <c r="AN1126" s="531" t="s">
        <v>325</v>
      </c>
      <c r="AO1126" s="351"/>
      <c r="AP1126" s="532"/>
      <c r="AQ1126" s="351"/>
      <c r="AR1126" s="533"/>
      <c r="AS1126" s="351"/>
      <c r="AT1126" s="534"/>
      <c r="AU1126" s="351"/>
      <c r="AV1126" s="531" t="s">
        <v>325</v>
      </c>
      <c r="AW1126" s="351"/>
      <c r="AX1126" s="553"/>
      <c r="AY1126" s="350"/>
      <c r="AZ1126" s="351"/>
      <c r="BA1126" s="545"/>
      <c r="BB1126" s="351"/>
      <c r="BC1126" s="36"/>
      <c r="BD1126" s="556" t="s">
        <v>325</v>
      </c>
      <c r="BE1126" s="351"/>
      <c r="BF1126" s="557"/>
      <c r="BG1126" s="350"/>
      <c r="BH1126" s="350"/>
      <c r="BI1126" s="351"/>
      <c r="BJ1126" s="506" t="s">
        <v>294</v>
      </c>
      <c r="BK1126" s="350"/>
      <c r="BL1126" s="350"/>
      <c r="BM1126" s="351"/>
      <c r="BN1126" s="530" t="s">
        <v>294</v>
      </c>
      <c r="BO1126" s="350"/>
      <c r="BP1126" s="350"/>
      <c r="BQ1126" s="350"/>
      <c r="BR1126" s="350"/>
      <c r="BS1126" s="350"/>
      <c r="BT1126" s="350"/>
      <c r="BU1126" s="350"/>
      <c r="BV1126" s="351"/>
    </row>
    <row r="1127" spans="1:74" ht="45" customHeight="1">
      <c r="A1127" s="24">
        <f t="shared" si="4"/>
        <v>1113</v>
      </c>
      <c r="B1127" s="522" t="s">
        <v>294</v>
      </c>
      <c r="C1127" s="351"/>
      <c r="D1127" s="523" t="s">
        <v>298</v>
      </c>
      <c r="E1127" s="351"/>
      <c r="F1127" s="524" t="s">
        <v>325</v>
      </c>
      <c r="G1127" s="351"/>
      <c r="H1127" s="561" t="s">
        <v>325</v>
      </c>
      <c r="I1127" s="351"/>
      <c r="J1127" s="562"/>
      <c r="K1127" s="351"/>
      <c r="L1127" s="562"/>
      <c r="M1127" s="351"/>
      <c r="N1127" s="37"/>
      <c r="O1127" s="38"/>
      <c r="P1127" s="560"/>
      <c r="Q1127" s="351"/>
      <c r="R1127" s="527"/>
      <c r="S1127" s="351"/>
      <c r="T1127" s="528"/>
      <c r="U1127" s="351"/>
      <c r="V1127" s="541"/>
      <c r="W1127" s="351"/>
      <c r="X1127" s="542" t="s">
        <v>294</v>
      </c>
      <c r="Y1127" s="350"/>
      <c r="Z1127" s="350"/>
      <c r="AA1127" s="351"/>
      <c r="AB1127" s="543" t="s">
        <v>294</v>
      </c>
      <c r="AC1127" s="350"/>
      <c r="AD1127" s="350"/>
      <c r="AE1127" s="351"/>
      <c r="AF1127" s="544"/>
      <c r="AG1127" s="351"/>
      <c r="AH1127" s="544"/>
      <c r="AI1127" s="351"/>
      <c r="AJ1127" s="545"/>
      <c r="AK1127" s="351"/>
      <c r="AL1127" s="524" t="s">
        <v>325</v>
      </c>
      <c r="AM1127" s="351"/>
      <c r="AN1127" s="549" t="s">
        <v>325</v>
      </c>
      <c r="AO1127" s="351"/>
      <c r="AP1127" s="550"/>
      <c r="AQ1127" s="351"/>
      <c r="AR1127" s="551"/>
      <c r="AS1127" s="351"/>
      <c r="AT1127" s="552"/>
      <c r="AU1127" s="351"/>
      <c r="AV1127" s="549" t="s">
        <v>325</v>
      </c>
      <c r="AW1127" s="351"/>
      <c r="AX1127" s="553"/>
      <c r="AY1127" s="350"/>
      <c r="AZ1127" s="351"/>
      <c r="BA1127" s="554"/>
      <c r="BB1127" s="351"/>
      <c r="BC1127" s="39"/>
      <c r="BD1127" s="546" t="s">
        <v>325</v>
      </c>
      <c r="BE1127" s="351"/>
      <c r="BF1127" s="547"/>
      <c r="BG1127" s="350"/>
      <c r="BH1127" s="350"/>
      <c r="BI1127" s="351"/>
      <c r="BJ1127" s="548" t="s">
        <v>294</v>
      </c>
      <c r="BK1127" s="350"/>
      <c r="BL1127" s="350"/>
      <c r="BM1127" s="351"/>
      <c r="BN1127" s="530" t="s">
        <v>294</v>
      </c>
      <c r="BO1127" s="350"/>
      <c r="BP1127" s="350"/>
      <c r="BQ1127" s="350"/>
      <c r="BR1127" s="350"/>
      <c r="BS1127" s="350"/>
      <c r="BT1127" s="350"/>
      <c r="BU1127" s="350"/>
      <c r="BV1127" s="351"/>
    </row>
    <row r="1128" spans="1:74" ht="45" customHeight="1">
      <c r="A1128" s="24">
        <f t="shared" si="4"/>
        <v>1114</v>
      </c>
      <c r="B1128" s="558" t="s">
        <v>294</v>
      </c>
      <c r="C1128" s="351"/>
      <c r="D1128" s="559" t="s">
        <v>298</v>
      </c>
      <c r="E1128" s="351"/>
      <c r="F1128" s="524" t="s">
        <v>325</v>
      </c>
      <c r="G1128" s="351"/>
      <c r="H1128" s="525" t="s">
        <v>325</v>
      </c>
      <c r="I1128" s="351"/>
      <c r="J1128" s="40"/>
      <c r="K1128" s="41"/>
      <c r="L1128" s="40"/>
      <c r="M1128" s="41"/>
      <c r="N1128" s="34"/>
      <c r="O1128" s="35"/>
      <c r="P1128" s="526"/>
      <c r="Q1128" s="351"/>
      <c r="R1128" s="535"/>
      <c r="S1128" s="351"/>
      <c r="T1128" s="536"/>
      <c r="U1128" s="351"/>
      <c r="V1128" s="537"/>
      <c r="W1128" s="351"/>
      <c r="X1128" s="538" t="s">
        <v>294</v>
      </c>
      <c r="Y1128" s="350"/>
      <c r="Z1128" s="350"/>
      <c r="AA1128" s="351"/>
      <c r="AB1128" s="539" t="s">
        <v>294</v>
      </c>
      <c r="AC1128" s="350"/>
      <c r="AD1128" s="350"/>
      <c r="AE1128" s="351"/>
      <c r="AF1128" s="540"/>
      <c r="AG1128" s="351"/>
      <c r="AH1128" s="540"/>
      <c r="AI1128" s="351"/>
      <c r="AJ1128" s="545"/>
      <c r="AK1128" s="351"/>
      <c r="AL1128" s="555" t="s">
        <v>325</v>
      </c>
      <c r="AM1128" s="351"/>
      <c r="AN1128" s="531" t="s">
        <v>325</v>
      </c>
      <c r="AO1128" s="351"/>
      <c r="AP1128" s="532"/>
      <c r="AQ1128" s="351"/>
      <c r="AR1128" s="533"/>
      <c r="AS1128" s="351"/>
      <c r="AT1128" s="534"/>
      <c r="AU1128" s="351"/>
      <c r="AV1128" s="531" t="s">
        <v>325</v>
      </c>
      <c r="AW1128" s="351"/>
      <c r="AX1128" s="553"/>
      <c r="AY1128" s="350"/>
      <c r="AZ1128" s="351"/>
      <c r="BA1128" s="545"/>
      <c r="BB1128" s="351"/>
      <c r="BC1128" s="36"/>
      <c r="BD1128" s="556" t="s">
        <v>325</v>
      </c>
      <c r="BE1128" s="351"/>
      <c r="BF1128" s="529"/>
      <c r="BG1128" s="350"/>
      <c r="BH1128" s="350"/>
      <c r="BI1128" s="351"/>
      <c r="BJ1128" s="506" t="s">
        <v>294</v>
      </c>
      <c r="BK1128" s="350"/>
      <c r="BL1128" s="350"/>
      <c r="BM1128" s="351"/>
      <c r="BN1128" s="530" t="s">
        <v>294</v>
      </c>
      <c r="BO1128" s="350"/>
      <c r="BP1128" s="350"/>
      <c r="BQ1128" s="350"/>
      <c r="BR1128" s="350"/>
      <c r="BS1128" s="350"/>
      <c r="BT1128" s="350"/>
      <c r="BU1128" s="350"/>
      <c r="BV1128" s="351"/>
    </row>
    <row r="1129" spans="1:74" ht="45" customHeight="1">
      <c r="A1129" s="24">
        <f t="shared" si="4"/>
        <v>1115</v>
      </c>
      <c r="B1129" s="522" t="s">
        <v>294</v>
      </c>
      <c r="C1129" s="351"/>
      <c r="D1129" s="523" t="s">
        <v>298</v>
      </c>
      <c r="E1129" s="351"/>
      <c r="F1129" s="524" t="s">
        <v>325</v>
      </c>
      <c r="G1129" s="351"/>
      <c r="H1129" s="561" t="s">
        <v>325</v>
      </c>
      <c r="I1129" s="351"/>
      <c r="J1129" s="562"/>
      <c r="K1129" s="351"/>
      <c r="L1129" s="562"/>
      <c r="M1129" s="351"/>
      <c r="N1129" s="37"/>
      <c r="O1129" s="38"/>
      <c r="P1129" s="560"/>
      <c r="Q1129" s="351"/>
      <c r="R1129" s="527"/>
      <c r="S1129" s="351"/>
      <c r="T1129" s="528"/>
      <c r="U1129" s="351"/>
      <c r="V1129" s="541"/>
      <c r="W1129" s="351"/>
      <c r="X1129" s="542" t="s">
        <v>294</v>
      </c>
      <c r="Y1129" s="350"/>
      <c r="Z1129" s="350"/>
      <c r="AA1129" s="351"/>
      <c r="AB1129" s="543" t="s">
        <v>294</v>
      </c>
      <c r="AC1129" s="350"/>
      <c r="AD1129" s="350"/>
      <c r="AE1129" s="351"/>
      <c r="AF1129" s="544"/>
      <c r="AG1129" s="351"/>
      <c r="AH1129" s="544"/>
      <c r="AI1129" s="351"/>
      <c r="AJ1129" s="545"/>
      <c r="AK1129" s="351"/>
      <c r="AL1129" s="524" t="s">
        <v>325</v>
      </c>
      <c r="AM1129" s="351"/>
      <c r="AN1129" s="549" t="s">
        <v>325</v>
      </c>
      <c r="AO1129" s="351"/>
      <c r="AP1129" s="550"/>
      <c r="AQ1129" s="351"/>
      <c r="AR1129" s="551"/>
      <c r="AS1129" s="351"/>
      <c r="AT1129" s="552"/>
      <c r="AU1129" s="351"/>
      <c r="AV1129" s="549" t="s">
        <v>325</v>
      </c>
      <c r="AW1129" s="351"/>
      <c r="AX1129" s="553"/>
      <c r="AY1129" s="350"/>
      <c r="AZ1129" s="351"/>
      <c r="BA1129" s="554"/>
      <c r="BB1129" s="351"/>
      <c r="BC1129" s="39"/>
      <c r="BD1129" s="546" t="s">
        <v>325</v>
      </c>
      <c r="BE1129" s="351"/>
      <c r="BF1129" s="547"/>
      <c r="BG1129" s="350"/>
      <c r="BH1129" s="350"/>
      <c r="BI1129" s="351"/>
      <c r="BJ1129" s="548" t="s">
        <v>294</v>
      </c>
      <c r="BK1129" s="350"/>
      <c r="BL1129" s="350"/>
      <c r="BM1129" s="351"/>
      <c r="BN1129" s="530" t="s">
        <v>294</v>
      </c>
      <c r="BO1129" s="350"/>
      <c r="BP1129" s="350"/>
      <c r="BQ1129" s="350"/>
      <c r="BR1129" s="350"/>
      <c r="BS1129" s="350"/>
      <c r="BT1129" s="350"/>
      <c r="BU1129" s="350"/>
      <c r="BV1129" s="351"/>
    </row>
    <row r="1130" spans="1:74" ht="45" customHeight="1">
      <c r="A1130" s="24">
        <f t="shared" si="4"/>
        <v>1116</v>
      </c>
      <c r="B1130" s="558" t="s">
        <v>294</v>
      </c>
      <c r="C1130" s="351"/>
      <c r="D1130" s="559" t="s">
        <v>298</v>
      </c>
      <c r="E1130" s="351"/>
      <c r="F1130" s="524" t="s">
        <v>325</v>
      </c>
      <c r="G1130" s="351"/>
      <c r="H1130" s="525" t="s">
        <v>325</v>
      </c>
      <c r="I1130" s="351"/>
      <c r="J1130" s="40"/>
      <c r="K1130" s="41"/>
      <c r="L1130" s="40"/>
      <c r="M1130" s="41"/>
      <c r="N1130" s="34"/>
      <c r="O1130" s="35"/>
      <c r="P1130" s="526"/>
      <c r="Q1130" s="351"/>
      <c r="R1130" s="535"/>
      <c r="S1130" s="351"/>
      <c r="T1130" s="536"/>
      <c r="U1130" s="351"/>
      <c r="V1130" s="537"/>
      <c r="W1130" s="351"/>
      <c r="X1130" s="538" t="s">
        <v>294</v>
      </c>
      <c r="Y1130" s="350"/>
      <c r="Z1130" s="350"/>
      <c r="AA1130" s="351"/>
      <c r="AB1130" s="539" t="s">
        <v>294</v>
      </c>
      <c r="AC1130" s="350"/>
      <c r="AD1130" s="350"/>
      <c r="AE1130" s="351"/>
      <c r="AF1130" s="540"/>
      <c r="AG1130" s="351"/>
      <c r="AH1130" s="540"/>
      <c r="AI1130" s="351"/>
      <c r="AJ1130" s="545"/>
      <c r="AK1130" s="351"/>
      <c r="AL1130" s="555" t="s">
        <v>325</v>
      </c>
      <c r="AM1130" s="351"/>
      <c r="AN1130" s="531" t="s">
        <v>325</v>
      </c>
      <c r="AO1130" s="351"/>
      <c r="AP1130" s="532"/>
      <c r="AQ1130" s="351"/>
      <c r="AR1130" s="533"/>
      <c r="AS1130" s="351"/>
      <c r="AT1130" s="534"/>
      <c r="AU1130" s="351"/>
      <c r="AV1130" s="531" t="s">
        <v>325</v>
      </c>
      <c r="AW1130" s="351"/>
      <c r="AX1130" s="553"/>
      <c r="AY1130" s="350"/>
      <c r="AZ1130" s="351"/>
      <c r="BA1130" s="545"/>
      <c r="BB1130" s="351"/>
      <c r="BC1130" s="36"/>
      <c r="BD1130" s="556" t="s">
        <v>325</v>
      </c>
      <c r="BE1130" s="351"/>
      <c r="BF1130" s="557"/>
      <c r="BG1130" s="350"/>
      <c r="BH1130" s="350"/>
      <c r="BI1130" s="351"/>
      <c r="BJ1130" s="506" t="s">
        <v>294</v>
      </c>
      <c r="BK1130" s="350"/>
      <c r="BL1130" s="350"/>
      <c r="BM1130" s="351"/>
      <c r="BN1130" s="530" t="s">
        <v>294</v>
      </c>
      <c r="BO1130" s="350"/>
      <c r="BP1130" s="350"/>
      <c r="BQ1130" s="350"/>
      <c r="BR1130" s="350"/>
      <c r="BS1130" s="350"/>
      <c r="BT1130" s="350"/>
      <c r="BU1130" s="350"/>
      <c r="BV1130" s="351"/>
    </row>
    <row r="1131" spans="1:74" ht="45" customHeight="1">
      <c r="A1131" s="24">
        <f t="shared" si="4"/>
        <v>1117</v>
      </c>
      <c r="B1131" s="522" t="s">
        <v>294</v>
      </c>
      <c r="C1131" s="351"/>
      <c r="D1131" s="523" t="s">
        <v>298</v>
      </c>
      <c r="E1131" s="351"/>
      <c r="F1131" s="524" t="s">
        <v>325</v>
      </c>
      <c r="G1131" s="351"/>
      <c r="H1131" s="561" t="s">
        <v>325</v>
      </c>
      <c r="I1131" s="351"/>
      <c r="J1131" s="562"/>
      <c r="K1131" s="351"/>
      <c r="L1131" s="562"/>
      <c r="M1131" s="351"/>
      <c r="N1131" s="37"/>
      <c r="O1131" s="38"/>
      <c r="P1131" s="560"/>
      <c r="Q1131" s="351"/>
      <c r="R1131" s="527"/>
      <c r="S1131" s="351"/>
      <c r="T1131" s="528"/>
      <c r="U1131" s="351"/>
      <c r="V1131" s="541"/>
      <c r="W1131" s="351"/>
      <c r="X1131" s="542" t="s">
        <v>294</v>
      </c>
      <c r="Y1131" s="350"/>
      <c r="Z1131" s="350"/>
      <c r="AA1131" s="351"/>
      <c r="AB1131" s="543" t="s">
        <v>294</v>
      </c>
      <c r="AC1131" s="350"/>
      <c r="AD1131" s="350"/>
      <c r="AE1131" s="351"/>
      <c r="AF1131" s="544"/>
      <c r="AG1131" s="351"/>
      <c r="AH1131" s="544"/>
      <c r="AI1131" s="351"/>
      <c r="AJ1131" s="545"/>
      <c r="AK1131" s="351"/>
      <c r="AL1131" s="524" t="s">
        <v>325</v>
      </c>
      <c r="AM1131" s="351"/>
      <c r="AN1131" s="549" t="s">
        <v>325</v>
      </c>
      <c r="AO1131" s="351"/>
      <c r="AP1131" s="550"/>
      <c r="AQ1131" s="351"/>
      <c r="AR1131" s="551"/>
      <c r="AS1131" s="351"/>
      <c r="AT1131" s="552"/>
      <c r="AU1131" s="351"/>
      <c r="AV1131" s="549" t="s">
        <v>325</v>
      </c>
      <c r="AW1131" s="351"/>
      <c r="AX1131" s="553"/>
      <c r="AY1131" s="350"/>
      <c r="AZ1131" s="351"/>
      <c r="BA1131" s="554"/>
      <c r="BB1131" s="351"/>
      <c r="BC1131" s="39"/>
      <c r="BD1131" s="546" t="s">
        <v>325</v>
      </c>
      <c r="BE1131" s="351"/>
      <c r="BF1131" s="547"/>
      <c r="BG1131" s="350"/>
      <c r="BH1131" s="350"/>
      <c r="BI1131" s="351"/>
      <c r="BJ1131" s="548" t="s">
        <v>294</v>
      </c>
      <c r="BK1131" s="350"/>
      <c r="BL1131" s="350"/>
      <c r="BM1131" s="351"/>
      <c r="BN1131" s="530" t="s">
        <v>294</v>
      </c>
      <c r="BO1131" s="350"/>
      <c r="BP1131" s="350"/>
      <c r="BQ1131" s="350"/>
      <c r="BR1131" s="350"/>
      <c r="BS1131" s="350"/>
      <c r="BT1131" s="350"/>
      <c r="BU1131" s="350"/>
      <c r="BV1131" s="351"/>
    </row>
    <row r="1132" spans="1:74" ht="45" customHeight="1">
      <c r="A1132" s="24">
        <f t="shared" si="4"/>
        <v>1118</v>
      </c>
      <c r="B1132" s="558" t="s">
        <v>294</v>
      </c>
      <c r="C1132" s="351"/>
      <c r="D1132" s="559" t="s">
        <v>298</v>
      </c>
      <c r="E1132" s="351"/>
      <c r="F1132" s="524" t="s">
        <v>325</v>
      </c>
      <c r="G1132" s="351"/>
      <c r="H1132" s="525" t="s">
        <v>325</v>
      </c>
      <c r="I1132" s="351"/>
      <c r="J1132" s="40"/>
      <c r="K1132" s="41"/>
      <c r="L1132" s="40"/>
      <c r="M1132" s="41"/>
      <c r="N1132" s="34"/>
      <c r="O1132" s="35"/>
      <c r="P1132" s="526"/>
      <c r="Q1132" s="351"/>
      <c r="R1132" s="535"/>
      <c r="S1132" s="351"/>
      <c r="T1132" s="536"/>
      <c r="U1132" s="351"/>
      <c r="V1132" s="537"/>
      <c r="W1132" s="351"/>
      <c r="X1132" s="538" t="s">
        <v>294</v>
      </c>
      <c r="Y1132" s="350"/>
      <c r="Z1132" s="350"/>
      <c r="AA1132" s="351"/>
      <c r="AB1132" s="539" t="s">
        <v>294</v>
      </c>
      <c r="AC1132" s="350"/>
      <c r="AD1132" s="350"/>
      <c r="AE1132" s="351"/>
      <c r="AF1132" s="540"/>
      <c r="AG1132" s="351"/>
      <c r="AH1132" s="540"/>
      <c r="AI1132" s="351"/>
      <c r="AJ1132" s="545"/>
      <c r="AK1132" s="351"/>
      <c r="AL1132" s="555" t="s">
        <v>325</v>
      </c>
      <c r="AM1132" s="351"/>
      <c r="AN1132" s="531" t="s">
        <v>325</v>
      </c>
      <c r="AO1132" s="351"/>
      <c r="AP1132" s="532"/>
      <c r="AQ1132" s="351"/>
      <c r="AR1132" s="533"/>
      <c r="AS1132" s="351"/>
      <c r="AT1132" s="534"/>
      <c r="AU1132" s="351"/>
      <c r="AV1132" s="531" t="s">
        <v>325</v>
      </c>
      <c r="AW1132" s="351"/>
      <c r="AX1132" s="553"/>
      <c r="AY1132" s="350"/>
      <c r="AZ1132" s="351"/>
      <c r="BA1132" s="545"/>
      <c r="BB1132" s="351"/>
      <c r="BC1132" s="36"/>
      <c r="BD1132" s="556" t="s">
        <v>325</v>
      </c>
      <c r="BE1132" s="351"/>
      <c r="BF1132" s="557"/>
      <c r="BG1132" s="350"/>
      <c r="BH1132" s="350"/>
      <c r="BI1132" s="351"/>
      <c r="BJ1132" s="506" t="s">
        <v>294</v>
      </c>
      <c r="BK1132" s="350"/>
      <c r="BL1132" s="350"/>
      <c r="BM1132" s="351"/>
      <c r="BN1132" s="530" t="s">
        <v>294</v>
      </c>
      <c r="BO1132" s="350"/>
      <c r="BP1132" s="350"/>
      <c r="BQ1132" s="350"/>
      <c r="BR1132" s="350"/>
      <c r="BS1132" s="350"/>
      <c r="BT1132" s="350"/>
      <c r="BU1132" s="350"/>
      <c r="BV1132" s="351"/>
    </row>
    <row r="1133" spans="1:74" ht="45" customHeight="1">
      <c r="A1133" s="24">
        <f t="shared" si="4"/>
        <v>1119</v>
      </c>
      <c r="B1133" s="522" t="s">
        <v>294</v>
      </c>
      <c r="C1133" s="351"/>
      <c r="D1133" s="523" t="s">
        <v>298</v>
      </c>
      <c r="E1133" s="351"/>
      <c r="F1133" s="524" t="s">
        <v>325</v>
      </c>
      <c r="G1133" s="351"/>
      <c r="H1133" s="561" t="s">
        <v>325</v>
      </c>
      <c r="I1133" s="351"/>
      <c r="J1133" s="562"/>
      <c r="K1133" s="351"/>
      <c r="L1133" s="562"/>
      <c r="M1133" s="351"/>
      <c r="N1133" s="37"/>
      <c r="O1133" s="38"/>
      <c r="P1133" s="560"/>
      <c r="Q1133" s="351"/>
      <c r="R1133" s="527"/>
      <c r="S1133" s="351"/>
      <c r="T1133" s="528"/>
      <c r="U1133" s="351"/>
      <c r="V1133" s="541"/>
      <c r="W1133" s="351"/>
      <c r="X1133" s="542" t="s">
        <v>294</v>
      </c>
      <c r="Y1133" s="350"/>
      <c r="Z1133" s="350"/>
      <c r="AA1133" s="351"/>
      <c r="AB1133" s="543" t="s">
        <v>294</v>
      </c>
      <c r="AC1133" s="350"/>
      <c r="AD1133" s="350"/>
      <c r="AE1133" s="351"/>
      <c r="AF1133" s="544"/>
      <c r="AG1133" s="351"/>
      <c r="AH1133" s="544"/>
      <c r="AI1133" s="351"/>
      <c r="AJ1133" s="545"/>
      <c r="AK1133" s="351"/>
      <c r="AL1133" s="524" t="s">
        <v>325</v>
      </c>
      <c r="AM1133" s="351"/>
      <c r="AN1133" s="549" t="s">
        <v>325</v>
      </c>
      <c r="AO1133" s="351"/>
      <c r="AP1133" s="550"/>
      <c r="AQ1133" s="351"/>
      <c r="AR1133" s="551"/>
      <c r="AS1133" s="351"/>
      <c r="AT1133" s="552"/>
      <c r="AU1133" s="351"/>
      <c r="AV1133" s="549" t="s">
        <v>325</v>
      </c>
      <c r="AW1133" s="351"/>
      <c r="AX1133" s="553"/>
      <c r="AY1133" s="350"/>
      <c r="AZ1133" s="351"/>
      <c r="BA1133" s="554"/>
      <c r="BB1133" s="351"/>
      <c r="BC1133" s="39"/>
      <c r="BD1133" s="546" t="s">
        <v>325</v>
      </c>
      <c r="BE1133" s="351"/>
      <c r="BF1133" s="547"/>
      <c r="BG1133" s="350"/>
      <c r="BH1133" s="350"/>
      <c r="BI1133" s="351"/>
      <c r="BJ1133" s="548" t="s">
        <v>294</v>
      </c>
      <c r="BK1133" s="350"/>
      <c r="BL1133" s="350"/>
      <c r="BM1133" s="351"/>
      <c r="BN1133" s="530" t="s">
        <v>294</v>
      </c>
      <c r="BO1133" s="350"/>
      <c r="BP1133" s="350"/>
      <c r="BQ1133" s="350"/>
      <c r="BR1133" s="350"/>
      <c r="BS1133" s="350"/>
      <c r="BT1133" s="350"/>
      <c r="BU1133" s="350"/>
      <c r="BV1133" s="351"/>
    </row>
    <row r="1134" spans="1:74" ht="45" customHeight="1">
      <c r="A1134" s="24">
        <f t="shared" si="4"/>
        <v>1120</v>
      </c>
      <c r="B1134" s="558" t="s">
        <v>294</v>
      </c>
      <c r="C1134" s="351"/>
      <c r="D1134" s="559" t="s">
        <v>298</v>
      </c>
      <c r="E1134" s="351"/>
      <c r="F1134" s="524" t="s">
        <v>325</v>
      </c>
      <c r="G1134" s="351"/>
      <c r="H1134" s="525" t="s">
        <v>325</v>
      </c>
      <c r="I1134" s="351"/>
      <c r="J1134" s="40"/>
      <c r="K1134" s="41"/>
      <c r="L1134" s="40"/>
      <c r="M1134" s="41"/>
      <c r="N1134" s="34"/>
      <c r="O1134" s="35"/>
      <c r="P1134" s="526"/>
      <c r="Q1134" s="351"/>
      <c r="R1134" s="535"/>
      <c r="S1134" s="351"/>
      <c r="T1134" s="536"/>
      <c r="U1134" s="351"/>
      <c r="V1134" s="537"/>
      <c r="W1134" s="351"/>
      <c r="X1134" s="538" t="s">
        <v>294</v>
      </c>
      <c r="Y1134" s="350"/>
      <c r="Z1134" s="350"/>
      <c r="AA1134" s="351"/>
      <c r="AB1134" s="539" t="s">
        <v>294</v>
      </c>
      <c r="AC1134" s="350"/>
      <c r="AD1134" s="350"/>
      <c r="AE1134" s="351"/>
      <c r="AF1134" s="540"/>
      <c r="AG1134" s="351"/>
      <c r="AH1134" s="540"/>
      <c r="AI1134" s="351"/>
      <c r="AJ1134" s="545"/>
      <c r="AK1134" s="351"/>
      <c r="AL1134" s="555" t="s">
        <v>325</v>
      </c>
      <c r="AM1134" s="351"/>
      <c r="AN1134" s="531" t="s">
        <v>325</v>
      </c>
      <c r="AO1134" s="351"/>
      <c r="AP1134" s="532"/>
      <c r="AQ1134" s="351"/>
      <c r="AR1134" s="533"/>
      <c r="AS1134" s="351"/>
      <c r="AT1134" s="534"/>
      <c r="AU1134" s="351"/>
      <c r="AV1134" s="531" t="s">
        <v>325</v>
      </c>
      <c r="AW1134" s="351"/>
      <c r="AX1134" s="553"/>
      <c r="AY1134" s="350"/>
      <c r="AZ1134" s="351"/>
      <c r="BA1134" s="545"/>
      <c r="BB1134" s="351"/>
      <c r="BC1134" s="36"/>
      <c r="BD1134" s="556" t="s">
        <v>325</v>
      </c>
      <c r="BE1134" s="351"/>
      <c r="BF1134" s="529"/>
      <c r="BG1134" s="350"/>
      <c r="BH1134" s="350"/>
      <c r="BI1134" s="351"/>
      <c r="BJ1134" s="506" t="s">
        <v>294</v>
      </c>
      <c r="BK1134" s="350"/>
      <c r="BL1134" s="350"/>
      <c r="BM1134" s="351"/>
      <c r="BN1134" s="530" t="s">
        <v>294</v>
      </c>
      <c r="BO1134" s="350"/>
      <c r="BP1134" s="350"/>
      <c r="BQ1134" s="350"/>
      <c r="BR1134" s="350"/>
      <c r="BS1134" s="350"/>
      <c r="BT1134" s="350"/>
      <c r="BU1134" s="350"/>
      <c r="BV1134" s="351"/>
    </row>
    <row r="1135" spans="1:74" ht="45" customHeight="1">
      <c r="A1135" s="24">
        <f t="shared" si="4"/>
        <v>1121</v>
      </c>
      <c r="B1135" s="522" t="s">
        <v>294</v>
      </c>
      <c r="C1135" s="351"/>
      <c r="D1135" s="523" t="s">
        <v>298</v>
      </c>
      <c r="E1135" s="351"/>
      <c r="F1135" s="524" t="s">
        <v>325</v>
      </c>
      <c r="G1135" s="351"/>
      <c r="H1135" s="561" t="s">
        <v>325</v>
      </c>
      <c r="I1135" s="351"/>
      <c r="J1135" s="562"/>
      <c r="K1135" s="351"/>
      <c r="L1135" s="562"/>
      <c r="M1135" s="351"/>
      <c r="N1135" s="37"/>
      <c r="O1135" s="38"/>
      <c r="P1135" s="560"/>
      <c r="Q1135" s="351"/>
      <c r="R1135" s="527"/>
      <c r="S1135" s="351"/>
      <c r="T1135" s="528"/>
      <c r="U1135" s="351"/>
      <c r="V1135" s="541"/>
      <c r="W1135" s="351"/>
      <c r="X1135" s="542" t="s">
        <v>294</v>
      </c>
      <c r="Y1135" s="350"/>
      <c r="Z1135" s="350"/>
      <c r="AA1135" s="351"/>
      <c r="AB1135" s="543" t="s">
        <v>294</v>
      </c>
      <c r="AC1135" s="350"/>
      <c r="AD1135" s="350"/>
      <c r="AE1135" s="351"/>
      <c r="AF1135" s="544"/>
      <c r="AG1135" s="351"/>
      <c r="AH1135" s="544"/>
      <c r="AI1135" s="351"/>
      <c r="AJ1135" s="545"/>
      <c r="AK1135" s="351"/>
      <c r="AL1135" s="524" t="s">
        <v>325</v>
      </c>
      <c r="AM1135" s="351"/>
      <c r="AN1135" s="549" t="s">
        <v>325</v>
      </c>
      <c r="AO1135" s="351"/>
      <c r="AP1135" s="550"/>
      <c r="AQ1135" s="351"/>
      <c r="AR1135" s="551"/>
      <c r="AS1135" s="351"/>
      <c r="AT1135" s="552"/>
      <c r="AU1135" s="351"/>
      <c r="AV1135" s="549" t="s">
        <v>325</v>
      </c>
      <c r="AW1135" s="351"/>
      <c r="AX1135" s="553"/>
      <c r="AY1135" s="350"/>
      <c r="AZ1135" s="351"/>
      <c r="BA1135" s="554"/>
      <c r="BB1135" s="351"/>
      <c r="BC1135" s="39"/>
      <c r="BD1135" s="546" t="s">
        <v>325</v>
      </c>
      <c r="BE1135" s="351"/>
      <c r="BF1135" s="547"/>
      <c r="BG1135" s="350"/>
      <c r="BH1135" s="350"/>
      <c r="BI1135" s="351"/>
      <c r="BJ1135" s="548" t="s">
        <v>294</v>
      </c>
      <c r="BK1135" s="350"/>
      <c r="BL1135" s="350"/>
      <c r="BM1135" s="351"/>
      <c r="BN1135" s="530" t="s">
        <v>294</v>
      </c>
      <c r="BO1135" s="350"/>
      <c r="BP1135" s="350"/>
      <c r="BQ1135" s="350"/>
      <c r="BR1135" s="350"/>
      <c r="BS1135" s="350"/>
      <c r="BT1135" s="350"/>
      <c r="BU1135" s="350"/>
      <c r="BV1135" s="351"/>
    </row>
    <row r="1136" spans="1:74" ht="45" customHeight="1">
      <c r="A1136" s="24">
        <f t="shared" si="4"/>
        <v>1122</v>
      </c>
      <c r="B1136" s="558" t="s">
        <v>294</v>
      </c>
      <c r="C1136" s="351"/>
      <c r="D1136" s="559" t="s">
        <v>298</v>
      </c>
      <c r="E1136" s="351"/>
      <c r="F1136" s="524" t="s">
        <v>325</v>
      </c>
      <c r="G1136" s="351"/>
      <c r="H1136" s="525" t="s">
        <v>325</v>
      </c>
      <c r="I1136" s="351"/>
      <c r="J1136" s="40"/>
      <c r="K1136" s="41"/>
      <c r="L1136" s="40"/>
      <c r="M1136" s="41"/>
      <c r="N1136" s="34"/>
      <c r="O1136" s="35"/>
      <c r="P1136" s="526"/>
      <c r="Q1136" s="351"/>
      <c r="R1136" s="535"/>
      <c r="S1136" s="351"/>
      <c r="T1136" s="536"/>
      <c r="U1136" s="351"/>
      <c r="V1136" s="537"/>
      <c r="W1136" s="351"/>
      <c r="X1136" s="538" t="s">
        <v>294</v>
      </c>
      <c r="Y1136" s="350"/>
      <c r="Z1136" s="350"/>
      <c r="AA1136" s="351"/>
      <c r="AB1136" s="539" t="s">
        <v>294</v>
      </c>
      <c r="AC1136" s="350"/>
      <c r="AD1136" s="350"/>
      <c r="AE1136" s="351"/>
      <c r="AF1136" s="540"/>
      <c r="AG1136" s="351"/>
      <c r="AH1136" s="540"/>
      <c r="AI1136" s="351"/>
      <c r="AJ1136" s="545"/>
      <c r="AK1136" s="351"/>
      <c r="AL1136" s="555" t="s">
        <v>325</v>
      </c>
      <c r="AM1136" s="351"/>
      <c r="AN1136" s="531" t="s">
        <v>325</v>
      </c>
      <c r="AO1136" s="351"/>
      <c r="AP1136" s="532"/>
      <c r="AQ1136" s="351"/>
      <c r="AR1136" s="533"/>
      <c r="AS1136" s="351"/>
      <c r="AT1136" s="534"/>
      <c r="AU1136" s="351"/>
      <c r="AV1136" s="531" t="s">
        <v>325</v>
      </c>
      <c r="AW1136" s="351"/>
      <c r="AX1136" s="553"/>
      <c r="AY1136" s="350"/>
      <c r="AZ1136" s="351"/>
      <c r="BA1136" s="545"/>
      <c r="BB1136" s="351"/>
      <c r="BC1136" s="36"/>
      <c r="BD1136" s="556" t="s">
        <v>325</v>
      </c>
      <c r="BE1136" s="351"/>
      <c r="BF1136" s="557"/>
      <c r="BG1136" s="350"/>
      <c r="BH1136" s="350"/>
      <c r="BI1136" s="351"/>
      <c r="BJ1136" s="506" t="s">
        <v>294</v>
      </c>
      <c r="BK1136" s="350"/>
      <c r="BL1136" s="350"/>
      <c r="BM1136" s="351"/>
      <c r="BN1136" s="530" t="s">
        <v>294</v>
      </c>
      <c r="BO1136" s="350"/>
      <c r="BP1136" s="350"/>
      <c r="BQ1136" s="350"/>
      <c r="BR1136" s="350"/>
      <c r="BS1136" s="350"/>
      <c r="BT1136" s="350"/>
      <c r="BU1136" s="350"/>
      <c r="BV1136" s="351"/>
    </row>
    <row r="1137" spans="1:74" ht="45" customHeight="1">
      <c r="A1137" s="24">
        <f t="shared" si="4"/>
        <v>1123</v>
      </c>
      <c r="B1137" s="522" t="s">
        <v>294</v>
      </c>
      <c r="C1137" s="351"/>
      <c r="D1137" s="523" t="s">
        <v>298</v>
      </c>
      <c r="E1137" s="351"/>
      <c r="F1137" s="524" t="s">
        <v>325</v>
      </c>
      <c r="G1137" s="351"/>
      <c r="H1137" s="561" t="s">
        <v>325</v>
      </c>
      <c r="I1137" s="351"/>
      <c r="J1137" s="562"/>
      <c r="K1137" s="351"/>
      <c r="L1137" s="562"/>
      <c r="M1137" s="351"/>
      <c r="N1137" s="34"/>
      <c r="O1137" s="35"/>
      <c r="P1137" s="526"/>
      <c r="Q1137" s="351"/>
      <c r="R1137" s="527"/>
      <c r="S1137" s="351"/>
      <c r="T1137" s="528"/>
      <c r="U1137" s="351"/>
      <c r="V1137" s="541"/>
      <c r="W1137" s="351"/>
      <c r="X1137" s="542" t="s">
        <v>294</v>
      </c>
      <c r="Y1137" s="350"/>
      <c r="Z1137" s="350"/>
      <c r="AA1137" s="351"/>
      <c r="AB1137" s="543" t="s">
        <v>294</v>
      </c>
      <c r="AC1137" s="350"/>
      <c r="AD1137" s="350"/>
      <c r="AE1137" s="351"/>
      <c r="AF1137" s="544"/>
      <c r="AG1137" s="351"/>
      <c r="AH1137" s="544"/>
      <c r="AI1137" s="351"/>
      <c r="AJ1137" s="545"/>
      <c r="AK1137" s="351"/>
      <c r="AL1137" s="524" t="s">
        <v>325</v>
      </c>
      <c r="AM1137" s="351"/>
      <c r="AN1137" s="549" t="s">
        <v>325</v>
      </c>
      <c r="AO1137" s="351"/>
      <c r="AP1137" s="550"/>
      <c r="AQ1137" s="351"/>
      <c r="AR1137" s="551"/>
      <c r="AS1137" s="351"/>
      <c r="AT1137" s="534"/>
      <c r="AU1137" s="351"/>
      <c r="AV1137" s="549" t="s">
        <v>325</v>
      </c>
      <c r="AW1137" s="351"/>
      <c r="AX1137" s="553"/>
      <c r="AY1137" s="350"/>
      <c r="AZ1137" s="351"/>
      <c r="BA1137" s="554"/>
      <c r="BB1137" s="351"/>
      <c r="BC1137" s="39"/>
      <c r="BD1137" s="546" t="s">
        <v>325</v>
      </c>
      <c r="BE1137" s="351"/>
      <c r="BF1137" s="547"/>
      <c r="BG1137" s="350"/>
      <c r="BH1137" s="350"/>
      <c r="BI1137" s="351"/>
      <c r="BJ1137" s="548" t="s">
        <v>294</v>
      </c>
      <c r="BK1137" s="350"/>
      <c r="BL1137" s="350"/>
      <c r="BM1137" s="351"/>
      <c r="BN1137" s="530" t="s">
        <v>294</v>
      </c>
      <c r="BO1137" s="350"/>
      <c r="BP1137" s="350"/>
      <c r="BQ1137" s="350"/>
      <c r="BR1137" s="350"/>
      <c r="BS1137" s="350"/>
      <c r="BT1137" s="350"/>
      <c r="BU1137" s="350"/>
      <c r="BV1137" s="351"/>
    </row>
    <row r="1138" spans="1:74" ht="45" customHeight="1">
      <c r="A1138" s="24">
        <f t="shared" si="4"/>
        <v>1124</v>
      </c>
      <c r="B1138" s="558" t="s">
        <v>294</v>
      </c>
      <c r="C1138" s="351"/>
      <c r="D1138" s="559" t="s">
        <v>298</v>
      </c>
      <c r="E1138" s="351"/>
      <c r="F1138" s="524" t="s">
        <v>325</v>
      </c>
      <c r="G1138" s="351"/>
      <c r="H1138" s="525" t="s">
        <v>325</v>
      </c>
      <c r="I1138" s="351"/>
      <c r="J1138" s="40"/>
      <c r="K1138" s="41"/>
      <c r="L1138" s="40"/>
      <c r="M1138" s="41"/>
      <c r="N1138" s="37"/>
      <c r="O1138" s="38"/>
      <c r="P1138" s="560"/>
      <c r="Q1138" s="351"/>
      <c r="R1138" s="535"/>
      <c r="S1138" s="351"/>
      <c r="T1138" s="536"/>
      <c r="U1138" s="351"/>
      <c r="V1138" s="537"/>
      <c r="W1138" s="351"/>
      <c r="X1138" s="538" t="s">
        <v>294</v>
      </c>
      <c r="Y1138" s="350"/>
      <c r="Z1138" s="350"/>
      <c r="AA1138" s="351"/>
      <c r="AB1138" s="539" t="s">
        <v>294</v>
      </c>
      <c r="AC1138" s="350"/>
      <c r="AD1138" s="350"/>
      <c r="AE1138" s="351"/>
      <c r="AF1138" s="540"/>
      <c r="AG1138" s="351"/>
      <c r="AH1138" s="540"/>
      <c r="AI1138" s="351"/>
      <c r="AJ1138" s="545"/>
      <c r="AK1138" s="351"/>
      <c r="AL1138" s="555" t="s">
        <v>325</v>
      </c>
      <c r="AM1138" s="351"/>
      <c r="AN1138" s="531" t="s">
        <v>325</v>
      </c>
      <c r="AO1138" s="351"/>
      <c r="AP1138" s="532"/>
      <c r="AQ1138" s="351"/>
      <c r="AR1138" s="533"/>
      <c r="AS1138" s="351"/>
      <c r="AT1138" s="534"/>
      <c r="AU1138" s="351"/>
      <c r="AV1138" s="531" t="s">
        <v>325</v>
      </c>
      <c r="AW1138" s="351"/>
      <c r="AX1138" s="553"/>
      <c r="AY1138" s="350"/>
      <c r="AZ1138" s="351"/>
      <c r="BA1138" s="545"/>
      <c r="BB1138" s="351"/>
      <c r="BC1138" s="36"/>
      <c r="BD1138" s="556" t="s">
        <v>325</v>
      </c>
      <c r="BE1138" s="351"/>
      <c r="BF1138" s="557"/>
      <c r="BG1138" s="350"/>
      <c r="BH1138" s="350"/>
      <c r="BI1138" s="351"/>
      <c r="BJ1138" s="506" t="s">
        <v>294</v>
      </c>
      <c r="BK1138" s="350"/>
      <c r="BL1138" s="350"/>
      <c r="BM1138" s="351"/>
      <c r="BN1138" s="530" t="s">
        <v>294</v>
      </c>
      <c r="BO1138" s="350"/>
      <c r="BP1138" s="350"/>
      <c r="BQ1138" s="350"/>
      <c r="BR1138" s="350"/>
      <c r="BS1138" s="350"/>
      <c r="BT1138" s="350"/>
      <c r="BU1138" s="350"/>
      <c r="BV1138" s="351"/>
    </row>
    <row r="1139" spans="1:74" ht="45" customHeight="1">
      <c r="A1139" s="24">
        <f t="shared" si="4"/>
        <v>1125</v>
      </c>
      <c r="B1139" s="522" t="s">
        <v>294</v>
      </c>
      <c r="C1139" s="351"/>
      <c r="D1139" s="523" t="s">
        <v>298</v>
      </c>
      <c r="E1139" s="351"/>
      <c r="F1139" s="524" t="s">
        <v>325</v>
      </c>
      <c r="G1139" s="351"/>
      <c r="H1139" s="561" t="s">
        <v>325</v>
      </c>
      <c r="I1139" s="351"/>
      <c r="J1139" s="562"/>
      <c r="K1139" s="351"/>
      <c r="L1139" s="562"/>
      <c r="M1139" s="351"/>
      <c r="N1139" s="34"/>
      <c r="O1139" s="35"/>
      <c r="P1139" s="526"/>
      <c r="Q1139" s="351"/>
      <c r="R1139" s="527"/>
      <c r="S1139" s="351"/>
      <c r="T1139" s="528"/>
      <c r="U1139" s="351"/>
      <c r="V1139" s="541"/>
      <c r="W1139" s="351"/>
      <c r="X1139" s="542" t="s">
        <v>294</v>
      </c>
      <c r="Y1139" s="350"/>
      <c r="Z1139" s="350"/>
      <c r="AA1139" s="351"/>
      <c r="AB1139" s="543" t="s">
        <v>294</v>
      </c>
      <c r="AC1139" s="350"/>
      <c r="AD1139" s="350"/>
      <c r="AE1139" s="351"/>
      <c r="AF1139" s="544"/>
      <c r="AG1139" s="351"/>
      <c r="AH1139" s="544"/>
      <c r="AI1139" s="351"/>
      <c r="AJ1139" s="545"/>
      <c r="AK1139" s="351"/>
      <c r="AL1139" s="524" t="s">
        <v>325</v>
      </c>
      <c r="AM1139" s="351"/>
      <c r="AN1139" s="549" t="s">
        <v>325</v>
      </c>
      <c r="AO1139" s="351"/>
      <c r="AP1139" s="550"/>
      <c r="AQ1139" s="351"/>
      <c r="AR1139" s="551"/>
      <c r="AS1139" s="351"/>
      <c r="AT1139" s="534"/>
      <c r="AU1139" s="351"/>
      <c r="AV1139" s="549" t="s">
        <v>325</v>
      </c>
      <c r="AW1139" s="351"/>
      <c r="AX1139" s="553"/>
      <c r="AY1139" s="350"/>
      <c r="AZ1139" s="351"/>
      <c r="BA1139" s="554"/>
      <c r="BB1139" s="351"/>
      <c r="BC1139" s="39"/>
      <c r="BD1139" s="546" t="s">
        <v>325</v>
      </c>
      <c r="BE1139" s="351"/>
      <c r="BF1139" s="547"/>
      <c r="BG1139" s="350"/>
      <c r="BH1139" s="350"/>
      <c r="BI1139" s="351"/>
      <c r="BJ1139" s="548" t="s">
        <v>294</v>
      </c>
      <c r="BK1139" s="350"/>
      <c r="BL1139" s="350"/>
      <c r="BM1139" s="351"/>
      <c r="BN1139" s="530" t="s">
        <v>294</v>
      </c>
      <c r="BO1139" s="350"/>
      <c r="BP1139" s="350"/>
      <c r="BQ1139" s="350"/>
      <c r="BR1139" s="350"/>
      <c r="BS1139" s="350"/>
      <c r="BT1139" s="350"/>
      <c r="BU1139" s="350"/>
      <c r="BV1139" s="351"/>
    </row>
    <row r="1140" spans="1:74" ht="45" customHeight="1">
      <c r="A1140" s="24">
        <f t="shared" si="4"/>
        <v>1126</v>
      </c>
      <c r="B1140" s="558" t="s">
        <v>294</v>
      </c>
      <c r="C1140" s="351"/>
      <c r="D1140" s="559" t="s">
        <v>298</v>
      </c>
      <c r="E1140" s="351"/>
      <c r="F1140" s="524" t="s">
        <v>325</v>
      </c>
      <c r="G1140" s="351"/>
      <c r="H1140" s="525" t="s">
        <v>325</v>
      </c>
      <c r="I1140" s="351"/>
      <c r="J1140" s="40"/>
      <c r="K1140" s="41"/>
      <c r="L1140" s="40"/>
      <c r="M1140" s="41"/>
      <c r="N1140" s="37"/>
      <c r="O1140" s="38"/>
      <c r="P1140" s="560"/>
      <c r="Q1140" s="351"/>
      <c r="R1140" s="535"/>
      <c r="S1140" s="351"/>
      <c r="T1140" s="536"/>
      <c r="U1140" s="351"/>
      <c r="V1140" s="537"/>
      <c r="W1140" s="351"/>
      <c r="X1140" s="538" t="s">
        <v>294</v>
      </c>
      <c r="Y1140" s="350"/>
      <c r="Z1140" s="350"/>
      <c r="AA1140" s="351"/>
      <c r="AB1140" s="539" t="s">
        <v>294</v>
      </c>
      <c r="AC1140" s="350"/>
      <c r="AD1140" s="350"/>
      <c r="AE1140" s="351"/>
      <c r="AF1140" s="540"/>
      <c r="AG1140" s="351"/>
      <c r="AH1140" s="540"/>
      <c r="AI1140" s="351"/>
      <c r="AJ1140" s="545"/>
      <c r="AK1140" s="351"/>
      <c r="AL1140" s="555" t="s">
        <v>325</v>
      </c>
      <c r="AM1140" s="351"/>
      <c r="AN1140" s="531" t="s">
        <v>325</v>
      </c>
      <c r="AO1140" s="351"/>
      <c r="AP1140" s="532"/>
      <c r="AQ1140" s="351"/>
      <c r="AR1140" s="533"/>
      <c r="AS1140" s="351"/>
      <c r="AT1140" s="534"/>
      <c r="AU1140" s="351"/>
      <c r="AV1140" s="531" t="s">
        <v>325</v>
      </c>
      <c r="AW1140" s="351"/>
      <c r="AX1140" s="553"/>
      <c r="AY1140" s="350"/>
      <c r="AZ1140" s="351"/>
      <c r="BA1140" s="545"/>
      <c r="BB1140" s="351"/>
      <c r="BC1140" s="36"/>
      <c r="BD1140" s="556" t="s">
        <v>325</v>
      </c>
      <c r="BE1140" s="351"/>
      <c r="BF1140" s="557"/>
      <c r="BG1140" s="350"/>
      <c r="BH1140" s="350"/>
      <c r="BI1140" s="351"/>
      <c r="BJ1140" s="506" t="s">
        <v>294</v>
      </c>
      <c r="BK1140" s="350"/>
      <c r="BL1140" s="350"/>
      <c r="BM1140" s="351"/>
      <c r="BN1140" s="530" t="s">
        <v>294</v>
      </c>
      <c r="BO1140" s="350"/>
      <c r="BP1140" s="350"/>
      <c r="BQ1140" s="350"/>
      <c r="BR1140" s="350"/>
      <c r="BS1140" s="350"/>
      <c r="BT1140" s="350"/>
      <c r="BU1140" s="350"/>
      <c r="BV1140" s="351"/>
    </row>
    <row r="1141" spans="1:74" ht="45" customHeight="1">
      <c r="A1141" s="24">
        <f t="shared" si="4"/>
        <v>1127</v>
      </c>
      <c r="B1141" s="522" t="s">
        <v>294</v>
      </c>
      <c r="C1141" s="351"/>
      <c r="D1141" s="523" t="s">
        <v>298</v>
      </c>
      <c r="E1141" s="351"/>
      <c r="F1141" s="524" t="s">
        <v>325</v>
      </c>
      <c r="G1141" s="351"/>
      <c r="H1141" s="561" t="s">
        <v>325</v>
      </c>
      <c r="I1141" s="351"/>
      <c r="J1141" s="562"/>
      <c r="K1141" s="351"/>
      <c r="L1141" s="562"/>
      <c r="M1141" s="351"/>
      <c r="N1141" s="34"/>
      <c r="O1141" s="38"/>
      <c r="P1141" s="526"/>
      <c r="Q1141" s="351"/>
      <c r="R1141" s="527"/>
      <c r="S1141" s="351"/>
      <c r="T1141" s="528"/>
      <c r="U1141" s="351"/>
      <c r="V1141" s="541"/>
      <c r="W1141" s="351"/>
      <c r="X1141" s="542" t="s">
        <v>294</v>
      </c>
      <c r="Y1141" s="350"/>
      <c r="Z1141" s="350"/>
      <c r="AA1141" s="351"/>
      <c r="AB1141" s="543" t="s">
        <v>294</v>
      </c>
      <c r="AC1141" s="350"/>
      <c r="AD1141" s="350"/>
      <c r="AE1141" s="351"/>
      <c r="AF1141" s="544"/>
      <c r="AG1141" s="351"/>
      <c r="AH1141" s="544"/>
      <c r="AI1141" s="351"/>
      <c r="AJ1141" s="545"/>
      <c r="AK1141" s="351"/>
      <c r="AL1141" s="524" t="s">
        <v>325</v>
      </c>
      <c r="AM1141" s="351"/>
      <c r="AN1141" s="549" t="s">
        <v>325</v>
      </c>
      <c r="AO1141" s="351"/>
      <c r="AP1141" s="550"/>
      <c r="AQ1141" s="351"/>
      <c r="AR1141" s="551"/>
      <c r="AS1141" s="351"/>
      <c r="AT1141" s="552"/>
      <c r="AU1141" s="351"/>
      <c r="AV1141" s="549" t="s">
        <v>325</v>
      </c>
      <c r="AW1141" s="351"/>
      <c r="AX1141" s="553"/>
      <c r="AY1141" s="350"/>
      <c r="AZ1141" s="351"/>
      <c r="BA1141" s="554"/>
      <c r="BB1141" s="351"/>
      <c r="BC1141" s="39"/>
      <c r="BD1141" s="546" t="s">
        <v>325</v>
      </c>
      <c r="BE1141" s="351"/>
      <c r="BF1141" s="547"/>
      <c r="BG1141" s="350"/>
      <c r="BH1141" s="350"/>
      <c r="BI1141" s="351"/>
      <c r="BJ1141" s="548" t="s">
        <v>294</v>
      </c>
      <c r="BK1141" s="350"/>
      <c r="BL1141" s="350"/>
      <c r="BM1141" s="351"/>
      <c r="BN1141" s="530" t="s">
        <v>294</v>
      </c>
      <c r="BO1141" s="350"/>
      <c r="BP1141" s="350"/>
      <c r="BQ1141" s="350"/>
      <c r="BR1141" s="350"/>
      <c r="BS1141" s="350"/>
      <c r="BT1141" s="350"/>
      <c r="BU1141" s="350"/>
      <c r="BV1141" s="351"/>
    </row>
    <row r="1142" spans="1:74" ht="45" customHeight="1">
      <c r="A1142" s="24">
        <f t="shared" si="4"/>
        <v>1128</v>
      </c>
      <c r="B1142" s="558" t="s">
        <v>294</v>
      </c>
      <c r="C1142" s="351"/>
      <c r="D1142" s="559" t="s">
        <v>298</v>
      </c>
      <c r="E1142" s="351"/>
      <c r="F1142" s="524" t="s">
        <v>325</v>
      </c>
      <c r="G1142" s="351"/>
      <c r="H1142" s="525" t="s">
        <v>325</v>
      </c>
      <c r="I1142" s="351"/>
      <c r="J1142" s="40"/>
      <c r="K1142" s="41"/>
      <c r="L1142" s="40"/>
      <c r="M1142" s="41"/>
      <c r="N1142" s="37"/>
      <c r="O1142" s="35"/>
      <c r="P1142" s="560"/>
      <c r="Q1142" s="351"/>
      <c r="R1142" s="535"/>
      <c r="S1142" s="351"/>
      <c r="T1142" s="536"/>
      <c r="U1142" s="351"/>
      <c r="V1142" s="537"/>
      <c r="W1142" s="351"/>
      <c r="X1142" s="538" t="s">
        <v>294</v>
      </c>
      <c r="Y1142" s="350"/>
      <c r="Z1142" s="350"/>
      <c r="AA1142" s="351"/>
      <c r="AB1142" s="539" t="s">
        <v>294</v>
      </c>
      <c r="AC1142" s="350"/>
      <c r="AD1142" s="350"/>
      <c r="AE1142" s="351"/>
      <c r="AF1142" s="540"/>
      <c r="AG1142" s="351"/>
      <c r="AH1142" s="540"/>
      <c r="AI1142" s="351"/>
      <c r="AJ1142" s="545"/>
      <c r="AK1142" s="351"/>
      <c r="AL1142" s="555" t="s">
        <v>325</v>
      </c>
      <c r="AM1142" s="351"/>
      <c r="AN1142" s="531" t="s">
        <v>325</v>
      </c>
      <c r="AO1142" s="351"/>
      <c r="AP1142" s="532"/>
      <c r="AQ1142" s="351"/>
      <c r="AR1142" s="533"/>
      <c r="AS1142" s="351"/>
      <c r="AT1142" s="534"/>
      <c r="AU1142" s="351"/>
      <c r="AV1142" s="531" t="s">
        <v>325</v>
      </c>
      <c r="AW1142" s="351"/>
      <c r="AX1142" s="553"/>
      <c r="AY1142" s="350"/>
      <c r="AZ1142" s="351"/>
      <c r="BA1142" s="545"/>
      <c r="BB1142" s="351"/>
      <c r="BC1142" s="36"/>
      <c r="BD1142" s="556" t="s">
        <v>325</v>
      </c>
      <c r="BE1142" s="351"/>
      <c r="BF1142" s="529"/>
      <c r="BG1142" s="350"/>
      <c r="BH1142" s="350"/>
      <c r="BI1142" s="351"/>
      <c r="BJ1142" s="506" t="s">
        <v>294</v>
      </c>
      <c r="BK1142" s="350"/>
      <c r="BL1142" s="350"/>
      <c r="BM1142" s="351"/>
      <c r="BN1142" s="530" t="s">
        <v>294</v>
      </c>
      <c r="BO1142" s="350"/>
      <c r="BP1142" s="350"/>
      <c r="BQ1142" s="350"/>
      <c r="BR1142" s="350"/>
      <c r="BS1142" s="350"/>
      <c r="BT1142" s="350"/>
      <c r="BU1142" s="350"/>
      <c r="BV1142" s="351"/>
    </row>
    <row r="1143" spans="1:74" ht="45" customHeight="1">
      <c r="A1143" s="24">
        <f t="shared" si="4"/>
        <v>1129</v>
      </c>
      <c r="B1143" s="522" t="s">
        <v>294</v>
      </c>
      <c r="C1143" s="351"/>
      <c r="D1143" s="523" t="s">
        <v>298</v>
      </c>
      <c r="E1143" s="351"/>
      <c r="F1143" s="524" t="s">
        <v>325</v>
      </c>
      <c r="G1143" s="351"/>
      <c r="H1143" s="561" t="s">
        <v>325</v>
      </c>
      <c r="I1143" s="351"/>
      <c r="J1143" s="562"/>
      <c r="K1143" s="351"/>
      <c r="L1143" s="562"/>
      <c r="M1143" s="351"/>
      <c r="N1143" s="34"/>
      <c r="O1143" s="38"/>
      <c r="P1143" s="526"/>
      <c r="Q1143" s="351"/>
      <c r="R1143" s="527"/>
      <c r="S1143" s="351"/>
      <c r="T1143" s="528"/>
      <c r="U1143" s="351"/>
      <c r="V1143" s="541"/>
      <c r="W1143" s="351"/>
      <c r="X1143" s="542" t="s">
        <v>294</v>
      </c>
      <c r="Y1143" s="350"/>
      <c r="Z1143" s="350"/>
      <c r="AA1143" s="351"/>
      <c r="AB1143" s="543" t="s">
        <v>294</v>
      </c>
      <c r="AC1143" s="350"/>
      <c r="AD1143" s="350"/>
      <c r="AE1143" s="351"/>
      <c r="AF1143" s="544"/>
      <c r="AG1143" s="351"/>
      <c r="AH1143" s="544"/>
      <c r="AI1143" s="351"/>
      <c r="AJ1143" s="545"/>
      <c r="AK1143" s="351"/>
      <c r="AL1143" s="524" t="s">
        <v>325</v>
      </c>
      <c r="AM1143" s="351"/>
      <c r="AN1143" s="549" t="s">
        <v>325</v>
      </c>
      <c r="AO1143" s="351"/>
      <c r="AP1143" s="550"/>
      <c r="AQ1143" s="351"/>
      <c r="AR1143" s="551"/>
      <c r="AS1143" s="351"/>
      <c r="AT1143" s="552"/>
      <c r="AU1143" s="351"/>
      <c r="AV1143" s="549" t="s">
        <v>325</v>
      </c>
      <c r="AW1143" s="351"/>
      <c r="AX1143" s="553"/>
      <c r="AY1143" s="350"/>
      <c r="AZ1143" s="351"/>
      <c r="BA1143" s="554"/>
      <c r="BB1143" s="351"/>
      <c r="BC1143" s="39"/>
      <c r="BD1143" s="546" t="s">
        <v>325</v>
      </c>
      <c r="BE1143" s="351"/>
      <c r="BF1143" s="547"/>
      <c r="BG1143" s="350"/>
      <c r="BH1143" s="350"/>
      <c r="BI1143" s="351"/>
      <c r="BJ1143" s="548" t="s">
        <v>294</v>
      </c>
      <c r="BK1143" s="350"/>
      <c r="BL1143" s="350"/>
      <c r="BM1143" s="351"/>
      <c r="BN1143" s="530" t="s">
        <v>294</v>
      </c>
      <c r="BO1143" s="350"/>
      <c r="BP1143" s="350"/>
      <c r="BQ1143" s="350"/>
      <c r="BR1143" s="350"/>
      <c r="BS1143" s="350"/>
      <c r="BT1143" s="350"/>
      <c r="BU1143" s="350"/>
      <c r="BV1143" s="351"/>
    </row>
    <row r="1144" spans="1:74" ht="45" customHeight="1">
      <c r="A1144" s="24">
        <f t="shared" si="4"/>
        <v>1130</v>
      </c>
      <c r="B1144" s="558" t="s">
        <v>294</v>
      </c>
      <c r="C1144" s="351"/>
      <c r="D1144" s="559" t="s">
        <v>298</v>
      </c>
      <c r="E1144" s="351"/>
      <c r="F1144" s="524" t="s">
        <v>325</v>
      </c>
      <c r="G1144" s="351"/>
      <c r="H1144" s="525" t="s">
        <v>325</v>
      </c>
      <c r="I1144" s="351"/>
      <c r="J1144" s="40"/>
      <c r="K1144" s="41"/>
      <c r="L1144" s="40"/>
      <c r="M1144" s="41"/>
      <c r="N1144" s="37"/>
      <c r="O1144" s="35"/>
      <c r="P1144" s="560"/>
      <c r="Q1144" s="351"/>
      <c r="R1144" s="535"/>
      <c r="S1144" s="351"/>
      <c r="T1144" s="536"/>
      <c r="U1144" s="351"/>
      <c r="V1144" s="537"/>
      <c r="W1144" s="351"/>
      <c r="X1144" s="538" t="s">
        <v>294</v>
      </c>
      <c r="Y1144" s="350"/>
      <c r="Z1144" s="350"/>
      <c r="AA1144" s="351"/>
      <c r="AB1144" s="539" t="s">
        <v>294</v>
      </c>
      <c r="AC1144" s="350"/>
      <c r="AD1144" s="350"/>
      <c r="AE1144" s="351"/>
      <c r="AF1144" s="540"/>
      <c r="AG1144" s="351"/>
      <c r="AH1144" s="540"/>
      <c r="AI1144" s="351"/>
      <c r="AJ1144" s="545"/>
      <c r="AK1144" s="351"/>
      <c r="AL1144" s="555" t="s">
        <v>325</v>
      </c>
      <c r="AM1144" s="351"/>
      <c r="AN1144" s="531" t="s">
        <v>325</v>
      </c>
      <c r="AO1144" s="351"/>
      <c r="AP1144" s="532"/>
      <c r="AQ1144" s="351"/>
      <c r="AR1144" s="533"/>
      <c r="AS1144" s="351"/>
      <c r="AT1144" s="534"/>
      <c r="AU1144" s="351"/>
      <c r="AV1144" s="531" t="s">
        <v>325</v>
      </c>
      <c r="AW1144" s="351"/>
      <c r="AX1144" s="553"/>
      <c r="AY1144" s="350"/>
      <c r="AZ1144" s="351"/>
      <c r="BA1144" s="545"/>
      <c r="BB1144" s="351"/>
      <c r="BC1144" s="36"/>
      <c r="BD1144" s="556" t="s">
        <v>325</v>
      </c>
      <c r="BE1144" s="351"/>
      <c r="BF1144" s="557"/>
      <c r="BG1144" s="350"/>
      <c r="BH1144" s="350"/>
      <c r="BI1144" s="351"/>
      <c r="BJ1144" s="506" t="s">
        <v>294</v>
      </c>
      <c r="BK1144" s="350"/>
      <c r="BL1144" s="350"/>
      <c r="BM1144" s="351"/>
      <c r="BN1144" s="530" t="s">
        <v>294</v>
      </c>
      <c r="BO1144" s="350"/>
      <c r="BP1144" s="350"/>
      <c r="BQ1144" s="350"/>
      <c r="BR1144" s="350"/>
      <c r="BS1144" s="350"/>
      <c r="BT1144" s="350"/>
      <c r="BU1144" s="350"/>
      <c r="BV1144" s="351"/>
    </row>
    <row r="1145" spans="1:74" ht="45" customHeight="1">
      <c r="A1145" s="24">
        <f t="shared" si="4"/>
        <v>1131</v>
      </c>
      <c r="B1145" s="522" t="s">
        <v>294</v>
      </c>
      <c r="C1145" s="351"/>
      <c r="D1145" s="523" t="s">
        <v>298</v>
      </c>
      <c r="E1145" s="351"/>
      <c r="F1145" s="524" t="s">
        <v>325</v>
      </c>
      <c r="G1145" s="351"/>
      <c r="H1145" s="561" t="s">
        <v>325</v>
      </c>
      <c r="I1145" s="351"/>
      <c r="J1145" s="562"/>
      <c r="K1145" s="351"/>
      <c r="L1145" s="562"/>
      <c r="M1145" s="351"/>
      <c r="N1145" s="34"/>
      <c r="O1145" s="38"/>
      <c r="P1145" s="526"/>
      <c r="Q1145" s="351"/>
      <c r="R1145" s="527"/>
      <c r="S1145" s="351"/>
      <c r="T1145" s="528"/>
      <c r="U1145" s="351"/>
      <c r="V1145" s="541"/>
      <c r="W1145" s="351"/>
      <c r="X1145" s="542" t="s">
        <v>294</v>
      </c>
      <c r="Y1145" s="350"/>
      <c r="Z1145" s="350"/>
      <c r="AA1145" s="351"/>
      <c r="AB1145" s="543" t="s">
        <v>294</v>
      </c>
      <c r="AC1145" s="350"/>
      <c r="AD1145" s="350"/>
      <c r="AE1145" s="351"/>
      <c r="AF1145" s="544"/>
      <c r="AG1145" s="351"/>
      <c r="AH1145" s="544"/>
      <c r="AI1145" s="351"/>
      <c r="AJ1145" s="545"/>
      <c r="AK1145" s="351"/>
      <c r="AL1145" s="524" t="s">
        <v>325</v>
      </c>
      <c r="AM1145" s="351"/>
      <c r="AN1145" s="549" t="s">
        <v>325</v>
      </c>
      <c r="AO1145" s="351"/>
      <c r="AP1145" s="550"/>
      <c r="AQ1145" s="351"/>
      <c r="AR1145" s="551"/>
      <c r="AS1145" s="351"/>
      <c r="AT1145" s="552"/>
      <c r="AU1145" s="351"/>
      <c r="AV1145" s="549" t="s">
        <v>325</v>
      </c>
      <c r="AW1145" s="351"/>
      <c r="AX1145" s="553"/>
      <c r="AY1145" s="350"/>
      <c r="AZ1145" s="351"/>
      <c r="BA1145" s="554"/>
      <c r="BB1145" s="351"/>
      <c r="BC1145" s="39"/>
      <c r="BD1145" s="546" t="s">
        <v>325</v>
      </c>
      <c r="BE1145" s="351"/>
      <c r="BF1145" s="547"/>
      <c r="BG1145" s="350"/>
      <c r="BH1145" s="350"/>
      <c r="BI1145" s="351"/>
      <c r="BJ1145" s="548" t="s">
        <v>294</v>
      </c>
      <c r="BK1145" s="350"/>
      <c r="BL1145" s="350"/>
      <c r="BM1145" s="351"/>
      <c r="BN1145" s="530" t="s">
        <v>294</v>
      </c>
      <c r="BO1145" s="350"/>
      <c r="BP1145" s="350"/>
      <c r="BQ1145" s="350"/>
      <c r="BR1145" s="350"/>
      <c r="BS1145" s="350"/>
      <c r="BT1145" s="350"/>
      <c r="BU1145" s="350"/>
      <c r="BV1145" s="351"/>
    </row>
    <row r="1146" spans="1:74" ht="45" customHeight="1">
      <c r="A1146" s="24">
        <f t="shared" si="4"/>
        <v>1132</v>
      </c>
      <c r="B1146" s="558" t="s">
        <v>294</v>
      </c>
      <c r="C1146" s="351"/>
      <c r="D1146" s="559" t="s">
        <v>298</v>
      </c>
      <c r="E1146" s="351"/>
      <c r="F1146" s="524" t="s">
        <v>325</v>
      </c>
      <c r="G1146" s="351"/>
      <c r="H1146" s="525" t="s">
        <v>325</v>
      </c>
      <c r="I1146" s="351"/>
      <c r="J1146" s="40"/>
      <c r="K1146" s="41"/>
      <c r="L1146" s="40"/>
      <c r="M1146" s="41"/>
      <c r="N1146" s="37"/>
      <c r="O1146" s="35"/>
      <c r="P1146" s="560"/>
      <c r="Q1146" s="351"/>
      <c r="R1146" s="535"/>
      <c r="S1146" s="351"/>
      <c r="T1146" s="536"/>
      <c r="U1146" s="351"/>
      <c r="V1146" s="537"/>
      <c r="W1146" s="351"/>
      <c r="X1146" s="538" t="s">
        <v>294</v>
      </c>
      <c r="Y1146" s="350"/>
      <c r="Z1146" s="350"/>
      <c r="AA1146" s="351"/>
      <c r="AB1146" s="539" t="s">
        <v>294</v>
      </c>
      <c r="AC1146" s="350"/>
      <c r="AD1146" s="350"/>
      <c r="AE1146" s="351"/>
      <c r="AF1146" s="540"/>
      <c r="AG1146" s="351"/>
      <c r="AH1146" s="540"/>
      <c r="AI1146" s="351"/>
      <c r="AJ1146" s="545"/>
      <c r="AK1146" s="351"/>
      <c r="AL1146" s="555" t="s">
        <v>325</v>
      </c>
      <c r="AM1146" s="351"/>
      <c r="AN1146" s="531" t="s">
        <v>325</v>
      </c>
      <c r="AO1146" s="351"/>
      <c r="AP1146" s="532"/>
      <c r="AQ1146" s="351"/>
      <c r="AR1146" s="533"/>
      <c r="AS1146" s="351"/>
      <c r="AT1146" s="534"/>
      <c r="AU1146" s="351"/>
      <c r="AV1146" s="531" t="s">
        <v>325</v>
      </c>
      <c r="AW1146" s="351"/>
      <c r="AX1146" s="553"/>
      <c r="AY1146" s="350"/>
      <c r="AZ1146" s="351"/>
      <c r="BA1146" s="545"/>
      <c r="BB1146" s="351"/>
      <c r="BC1146" s="36"/>
      <c r="BD1146" s="556" t="s">
        <v>325</v>
      </c>
      <c r="BE1146" s="351"/>
      <c r="BF1146" s="557"/>
      <c r="BG1146" s="350"/>
      <c r="BH1146" s="350"/>
      <c r="BI1146" s="351"/>
      <c r="BJ1146" s="506" t="s">
        <v>294</v>
      </c>
      <c r="BK1146" s="350"/>
      <c r="BL1146" s="350"/>
      <c r="BM1146" s="351"/>
      <c r="BN1146" s="530" t="s">
        <v>294</v>
      </c>
      <c r="BO1146" s="350"/>
      <c r="BP1146" s="350"/>
      <c r="BQ1146" s="350"/>
      <c r="BR1146" s="350"/>
      <c r="BS1146" s="350"/>
      <c r="BT1146" s="350"/>
      <c r="BU1146" s="350"/>
      <c r="BV1146" s="351"/>
    </row>
    <row r="1147" spans="1:74" ht="45" customHeight="1">
      <c r="A1147" s="24">
        <f t="shared" si="4"/>
        <v>1133</v>
      </c>
      <c r="B1147" s="522" t="s">
        <v>294</v>
      </c>
      <c r="C1147" s="351"/>
      <c r="D1147" s="523" t="s">
        <v>298</v>
      </c>
      <c r="E1147" s="351"/>
      <c r="F1147" s="524" t="s">
        <v>325</v>
      </c>
      <c r="G1147" s="351"/>
      <c r="H1147" s="561" t="s">
        <v>325</v>
      </c>
      <c r="I1147" s="351"/>
      <c r="J1147" s="562"/>
      <c r="K1147" s="351"/>
      <c r="L1147" s="562"/>
      <c r="M1147" s="351"/>
      <c r="N1147" s="34"/>
      <c r="O1147" s="38"/>
      <c r="P1147" s="526"/>
      <c r="Q1147" s="351"/>
      <c r="R1147" s="527"/>
      <c r="S1147" s="351"/>
      <c r="T1147" s="528"/>
      <c r="U1147" s="351"/>
      <c r="V1147" s="541"/>
      <c r="W1147" s="351"/>
      <c r="X1147" s="542" t="s">
        <v>294</v>
      </c>
      <c r="Y1147" s="350"/>
      <c r="Z1147" s="350"/>
      <c r="AA1147" s="351"/>
      <c r="AB1147" s="543" t="s">
        <v>294</v>
      </c>
      <c r="AC1147" s="350"/>
      <c r="AD1147" s="350"/>
      <c r="AE1147" s="351"/>
      <c r="AF1147" s="544"/>
      <c r="AG1147" s="351"/>
      <c r="AH1147" s="544"/>
      <c r="AI1147" s="351"/>
      <c r="AJ1147" s="545"/>
      <c r="AK1147" s="351"/>
      <c r="AL1147" s="524" t="s">
        <v>325</v>
      </c>
      <c r="AM1147" s="351"/>
      <c r="AN1147" s="549" t="s">
        <v>325</v>
      </c>
      <c r="AO1147" s="351"/>
      <c r="AP1147" s="550"/>
      <c r="AQ1147" s="351"/>
      <c r="AR1147" s="551"/>
      <c r="AS1147" s="351"/>
      <c r="AT1147" s="552"/>
      <c r="AU1147" s="351"/>
      <c r="AV1147" s="549" t="s">
        <v>325</v>
      </c>
      <c r="AW1147" s="351"/>
      <c r="AX1147" s="553"/>
      <c r="AY1147" s="350"/>
      <c r="AZ1147" s="351"/>
      <c r="BA1147" s="554"/>
      <c r="BB1147" s="351"/>
      <c r="BC1147" s="39"/>
      <c r="BD1147" s="546" t="s">
        <v>325</v>
      </c>
      <c r="BE1147" s="351"/>
      <c r="BF1147" s="547"/>
      <c r="BG1147" s="350"/>
      <c r="BH1147" s="350"/>
      <c r="BI1147" s="351"/>
      <c r="BJ1147" s="548" t="s">
        <v>294</v>
      </c>
      <c r="BK1147" s="350"/>
      <c r="BL1147" s="350"/>
      <c r="BM1147" s="351"/>
      <c r="BN1147" s="530" t="s">
        <v>294</v>
      </c>
      <c r="BO1147" s="350"/>
      <c r="BP1147" s="350"/>
      <c r="BQ1147" s="350"/>
      <c r="BR1147" s="350"/>
      <c r="BS1147" s="350"/>
      <c r="BT1147" s="350"/>
      <c r="BU1147" s="350"/>
      <c r="BV1147" s="351"/>
    </row>
    <row r="1148" spans="1:74" ht="45" customHeight="1">
      <c r="A1148" s="24">
        <f t="shared" si="4"/>
        <v>1134</v>
      </c>
      <c r="B1148" s="558" t="s">
        <v>294</v>
      </c>
      <c r="C1148" s="351"/>
      <c r="D1148" s="559" t="s">
        <v>298</v>
      </c>
      <c r="E1148" s="351"/>
      <c r="F1148" s="524" t="s">
        <v>325</v>
      </c>
      <c r="G1148" s="351"/>
      <c r="H1148" s="525" t="s">
        <v>325</v>
      </c>
      <c r="I1148" s="351"/>
      <c r="J1148" s="40"/>
      <c r="K1148" s="41"/>
      <c r="L1148" s="40"/>
      <c r="M1148" s="41"/>
      <c r="N1148" s="37"/>
      <c r="O1148" s="35"/>
      <c r="P1148" s="560"/>
      <c r="Q1148" s="351"/>
      <c r="R1148" s="535"/>
      <c r="S1148" s="351"/>
      <c r="T1148" s="536"/>
      <c r="U1148" s="351"/>
      <c r="V1148" s="537"/>
      <c r="W1148" s="351"/>
      <c r="X1148" s="538" t="s">
        <v>294</v>
      </c>
      <c r="Y1148" s="350"/>
      <c r="Z1148" s="350"/>
      <c r="AA1148" s="351"/>
      <c r="AB1148" s="539" t="s">
        <v>294</v>
      </c>
      <c r="AC1148" s="350"/>
      <c r="AD1148" s="350"/>
      <c r="AE1148" s="351"/>
      <c r="AF1148" s="540"/>
      <c r="AG1148" s="351"/>
      <c r="AH1148" s="540"/>
      <c r="AI1148" s="351"/>
      <c r="AJ1148" s="545"/>
      <c r="AK1148" s="351"/>
      <c r="AL1148" s="555" t="s">
        <v>325</v>
      </c>
      <c r="AM1148" s="351"/>
      <c r="AN1148" s="531" t="s">
        <v>325</v>
      </c>
      <c r="AO1148" s="351"/>
      <c r="AP1148" s="532"/>
      <c r="AQ1148" s="351"/>
      <c r="AR1148" s="533"/>
      <c r="AS1148" s="351"/>
      <c r="AT1148" s="534"/>
      <c r="AU1148" s="351"/>
      <c r="AV1148" s="531" t="s">
        <v>325</v>
      </c>
      <c r="AW1148" s="351"/>
      <c r="AX1148" s="553"/>
      <c r="AY1148" s="350"/>
      <c r="AZ1148" s="351"/>
      <c r="BA1148" s="545"/>
      <c r="BB1148" s="351"/>
      <c r="BC1148" s="36"/>
      <c r="BD1148" s="556" t="s">
        <v>325</v>
      </c>
      <c r="BE1148" s="351"/>
      <c r="BF1148" s="529"/>
      <c r="BG1148" s="350"/>
      <c r="BH1148" s="350"/>
      <c r="BI1148" s="351"/>
      <c r="BJ1148" s="506" t="s">
        <v>294</v>
      </c>
      <c r="BK1148" s="350"/>
      <c r="BL1148" s="350"/>
      <c r="BM1148" s="351"/>
      <c r="BN1148" s="530" t="s">
        <v>294</v>
      </c>
      <c r="BO1148" s="350"/>
      <c r="BP1148" s="350"/>
      <c r="BQ1148" s="350"/>
      <c r="BR1148" s="350"/>
      <c r="BS1148" s="350"/>
      <c r="BT1148" s="350"/>
      <c r="BU1148" s="350"/>
      <c r="BV1148" s="351"/>
    </row>
    <row r="1149" spans="1:74" ht="45" customHeight="1">
      <c r="A1149" s="24">
        <f t="shared" si="4"/>
        <v>1135</v>
      </c>
      <c r="B1149" s="522" t="s">
        <v>294</v>
      </c>
      <c r="C1149" s="351"/>
      <c r="D1149" s="523" t="s">
        <v>298</v>
      </c>
      <c r="E1149" s="351"/>
      <c r="F1149" s="524" t="s">
        <v>325</v>
      </c>
      <c r="G1149" s="351"/>
      <c r="H1149" s="561" t="s">
        <v>325</v>
      </c>
      <c r="I1149" s="351"/>
      <c r="J1149" s="562"/>
      <c r="K1149" s="351"/>
      <c r="L1149" s="562"/>
      <c r="M1149" s="351"/>
      <c r="N1149" s="34"/>
      <c r="O1149" s="38"/>
      <c r="P1149" s="526"/>
      <c r="Q1149" s="351"/>
      <c r="R1149" s="527"/>
      <c r="S1149" s="351"/>
      <c r="T1149" s="528"/>
      <c r="U1149" s="351"/>
      <c r="V1149" s="541"/>
      <c r="W1149" s="351"/>
      <c r="X1149" s="542" t="s">
        <v>294</v>
      </c>
      <c r="Y1149" s="350"/>
      <c r="Z1149" s="350"/>
      <c r="AA1149" s="351"/>
      <c r="AB1149" s="543" t="s">
        <v>294</v>
      </c>
      <c r="AC1149" s="350"/>
      <c r="AD1149" s="350"/>
      <c r="AE1149" s="351"/>
      <c r="AF1149" s="544"/>
      <c r="AG1149" s="351"/>
      <c r="AH1149" s="544"/>
      <c r="AI1149" s="351"/>
      <c r="AJ1149" s="545"/>
      <c r="AK1149" s="351"/>
      <c r="AL1149" s="524" t="s">
        <v>325</v>
      </c>
      <c r="AM1149" s="351"/>
      <c r="AN1149" s="549" t="s">
        <v>325</v>
      </c>
      <c r="AO1149" s="351"/>
      <c r="AP1149" s="550"/>
      <c r="AQ1149" s="351"/>
      <c r="AR1149" s="551"/>
      <c r="AS1149" s="351"/>
      <c r="AT1149" s="552"/>
      <c r="AU1149" s="351"/>
      <c r="AV1149" s="549" t="s">
        <v>325</v>
      </c>
      <c r="AW1149" s="351"/>
      <c r="AX1149" s="553"/>
      <c r="AY1149" s="350"/>
      <c r="AZ1149" s="351"/>
      <c r="BA1149" s="554"/>
      <c r="BB1149" s="351"/>
      <c r="BC1149" s="39"/>
      <c r="BD1149" s="546" t="s">
        <v>325</v>
      </c>
      <c r="BE1149" s="351"/>
      <c r="BF1149" s="547"/>
      <c r="BG1149" s="350"/>
      <c r="BH1149" s="350"/>
      <c r="BI1149" s="351"/>
      <c r="BJ1149" s="548" t="s">
        <v>294</v>
      </c>
      <c r="BK1149" s="350"/>
      <c r="BL1149" s="350"/>
      <c r="BM1149" s="351"/>
      <c r="BN1149" s="530" t="s">
        <v>294</v>
      </c>
      <c r="BO1149" s="350"/>
      <c r="BP1149" s="350"/>
      <c r="BQ1149" s="350"/>
      <c r="BR1149" s="350"/>
      <c r="BS1149" s="350"/>
      <c r="BT1149" s="350"/>
      <c r="BU1149" s="350"/>
      <c r="BV1149" s="351"/>
    </row>
    <row r="1150" spans="1:74" ht="45" customHeight="1">
      <c r="A1150" s="24">
        <f t="shared" si="4"/>
        <v>1136</v>
      </c>
      <c r="B1150" s="558" t="s">
        <v>294</v>
      </c>
      <c r="C1150" s="351"/>
      <c r="D1150" s="559" t="s">
        <v>298</v>
      </c>
      <c r="E1150" s="351"/>
      <c r="F1150" s="524" t="s">
        <v>325</v>
      </c>
      <c r="G1150" s="351"/>
      <c r="H1150" s="525" t="s">
        <v>325</v>
      </c>
      <c r="I1150" s="351"/>
      <c r="J1150" s="40"/>
      <c r="K1150" s="41"/>
      <c r="L1150" s="40"/>
      <c r="M1150" s="41"/>
      <c r="N1150" s="37"/>
      <c r="O1150" s="35"/>
      <c r="P1150" s="560"/>
      <c r="Q1150" s="351"/>
      <c r="R1150" s="535"/>
      <c r="S1150" s="351"/>
      <c r="T1150" s="536"/>
      <c r="U1150" s="351"/>
      <c r="V1150" s="537"/>
      <c r="W1150" s="351"/>
      <c r="X1150" s="538" t="s">
        <v>294</v>
      </c>
      <c r="Y1150" s="350"/>
      <c r="Z1150" s="350"/>
      <c r="AA1150" s="351"/>
      <c r="AB1150" s="539" t="s">
        <v>294</v>
      </c>
      <c r="AC1150" s="350"/>
      <c r="AD1150" s="350"/>
      <c r="AE1150" s="351"/>
      <c r="AF1150" s="540"/>
      <c r="AG1150" s="351"/>
      <c r="AH1150" s="540"/>
      <c r="AI1150" s="351"/>
      <c r="AJ1150" s="545"/>
      <c r="AK1150" s="351"/>
      <c r="AL1150" s="555" t="s">
        <v>325</v>
      </c>
      <c r="AM1150" s="351"/>
      <c r="AN1150" s="531" t="s">
        <v>325</v>
      </c>
      <c r="AO1150" s="351"/>
      <c r="AP1150" s="532"/>
      <c r="AQ1150" s="351"/>
      <c r="AR1150" s="533"/>
      <c r="AS1150" s="351"/>
      <c r="AT1150" s="534"/>
      <c r="AU1150" s="351"/>
      <c r="AV1150" s="531" t="s">
        <v>325</v>
      </c>
      <c r="AW1150" s="351"/>
      <c r="AX1150" s="553"/>
      <c r="AY1150" s="350"/>
      <c r="AZ1150" s="351"/>
      <c r="BA1150" s="545"/>
      <c r="BB1150" s="351"/>
      <c r="BC1150" s="36"/>
      <c r="BD1150" s="556" t="s">
        <v>325</v>
      </c>
      <c r="BE1150" s="351"/>
      <c r="BF1150" s="557"/>
      <c r="BG1150" s="350"/>
      <c r="BH1150" s="350"/>
      <c r="BI1150" s="351"/>
      <c r="BJ1150" s="506" t="s">
        <v>294</v>
      </c>
      <c r="BK1150" s="350"/>
      <c r="BL1150" s="350"/>
      <c r="BM1150" s="351"/>
      <c r="BN1150" s="530" t="s">
        <v>294</v>
      </c>
      <c r="BO1150" s="350"/>
      <c r="BP1150" s="350"/>
      <c r="BQ1150" s="350"/>
      <c r="BR1150" s="350"/>
      <c r="BS1150" s="350"/>
      <c r="BT1150" s="350"/>
      <c r="BU1150" s="350"/>
      <c r="BV1150" s="351"/>
    </row>
    <row r="1151" spans="1:74" ht="45" customHeight="1">
      <c r="A1151" s="24">
        <f t="shared" si="4"/>
        <v>1137</v>
      </c>
      <c r="B1151" s="522" t="s">
        <v>294</v>
      </c>
      <c r="C1151" s="351"/>
      <c r="D1151" s="523" t="s">
        <v>298</v>
      </c>
      <c r="E1151" s="351"/>
      <c r="F1151" s="524" t="s">
        <v>325</v>
      </c>
      <c r="G1151" s="351"/>
      <c r="H1151" s="561" t="s">
        <v>325</v>
      </c>
      <c r="I1151" s="351"/>
      <c r="J1151" s="562"/>
      <c r="K1151" s="351"/>
      <c r="L1151" s="562"/>
      <c r="M1151" s="351"/>
      <c r="N1151" s="37"/>
      <c r="O1151" s="38"/>
      <c r="P1151" s="560"/>
      <c r="Q1151" s="351"/>
      <c r="R1151" s="527"/>
      <c r="S1151" s="351"/>
      <c r="T1151" s="528"/>
      <c r="U1151" s="351"/>
      <c r="V1151" s="541"/>
      <c r="W1151" s="351"/>
      <c r="X1151" s="542" t="s">
        <v>294</v>
      </c>
      <c r="Y1151" s="350"/>
      <c r="Z1151" s="350"/>
      <c r="AA1151" s="351"/>
      <c r="AB1151" s="543" t="s">
        <v>294</v>
      </c>
      <c r="AC1151" s="350"/>
      <c r="AD1151" s="350"/>
      <c r="AE1151" s="351"/>
      <c r="AF1151" s="544"/>
      <c r="AG1151" s="351"/>
      <c r="AH1151" s="544"/>
      <c r="AI1151" s="351"/>
      <c r="AJ1151" s="545"/>
      <c r="AK1151" s="351"/>
      <c r="AL1151" s="524" t="s">
        <v>325</v>
      </c>
      <c r="AM1151" s="351"/>
      <c r="AN1151" s="549" t="s">
        <v>325</v>
      </c>
      <c r="AO1151" s="351"/>
      <c r="AP1151" s="550"/>
      <c r="AQ1151" s="351"/>
      <c r="AR1151" s="551"/>
      <c r="AS1151" s="351"/>
      <c r="AT1151" s="534"/>
      <c r="AU1151" s="351"/>
      <c r="AV1151" s="549" t="s">
        <v>325</v>
      </c>
      <c r="AW1151" s="351"/>
      <c r="AX1151" s="553"/>
      <c r="AY1151" s="350"/>
      <c r="AZ1151" s="351"/>
      <c r="BA1151" s="554"/>
      <c r="BB1151" s="351"/>
      <c r="BC1151" s="39"/>
      <c r="BD1151" s="556" t="s">
        <v>325</v>
      </c>
      <c r="BE1151" s="351"/>
      <c r="BF1151" s="547"/>
      <c r="BG1151" s="350"/>
      <c r="BH1151" s="350"/>
      <c r="BI1151" s="351"/>
      <c r="BJ1151" s="548" t="s">
        <v>294</v>
      </c>
      <c r="BK1151" s="350"/>
      <c r="BL1151" s="350"/>
      <c r="BM1151" s="351"/>
      <c r="BN1151" s="530" t="s">
        <v>294</v>
      </c>
      <c r="BO1151" s="350"/>
      <c r="BP1151" s="350"/>
      <c r="BQ1151" s="350"/>
      <c r="BR1151" s="350"/>
      <c r="BS1151" s="350"/>
      <c r="BT1151" s="350"/>
      <c r="BU1151" s="350"/>
      <c r="BV1151" s="351"/>
    </row>
    <row r="1152" spans="1:74" ht="45" customHeight="1">
      <c r="A1152" s="24">
        <f t="shared" si="4"/>
        <v>1138</v>
      </c>
      <c r="B1152" s="558" t="s">
        <v>294</v>
      </c>
      <c r="C1152" s="351"/>
      <c r="D1152" s="559" t="s">
        <v>298</v>
      </c>
      <c r="E1152" s="351"/>
      <c r="F1152" s="524" t="s">
        <v>325</v>
      </c>
      <c r="G1152" s="351"/>
      <c r="H1152" s="525" t="s">
        <v>325</v>
      </c>
      <c r="I1152" s="351"/>
      <c r="J1152" s="40"/>
      <c r="K1152" s="41"/>
      <c r="L1152" s="40"/>
      <c r="M1152" s="41"/>
      <c r="N1152" s="34"/>
      <c r="O1152" s="35"/>
      <c r="P1152" s="526"/>
      <c r="Q1152" s="351"/>
      <c r="R1152" s="535"/>
      <c r="S1152" s="351"/>
      <c r="T1152" s="536"/>
      <c r="U1152" s="351"/>
      <c r="V1152" s="537"/>
      <c r="W1152" s="351"/>
      <c r="X1152" s="538" t="s">
        <v>294</v>
      </c>
      <c r="Y1152" s="350"/>
      <c r="Z1152" s="350"/>
      <c r="AA1152" s="351"/>
      <c r="AB1152" s="539" t="s">
        <v>294</v>
      </c>
      <c r="AC1152" s="350"/>
      <c r="AD1152" s="350"/>
      <c r="AE1152" s="351"/>
      <c r="AF1152" s="540"/>
      <c r="AG1152" s="351"/>
      <c r="AH1152" s="540"/>
      <c r="AI1152" s="351"/>
      <c r="AJ1152" s="545"/>
      <c r="AK1152" s="351"/>
      <c r="AL1152" s="555" t="s">
        <v>325</v>
      </c>
      <c r="AM1152" s="351"/>
      <c r="AN1152" s="531" t="s">
        <v>325</v>
      </c>
      <c r="AO1152" s="351"/>
      <c r="AP1152" s="532"/>
      <c r="AQ1152" s="351"/>
      <c r="AR1152" s="533"/>
      <c r="AS1152" s="351"/>
      <c r="AT1152" s="534"/>
      <c r="AU1152" s="351"/>
      <c r="AV1152" s="531" t="s">
        <v>325</v>
      </c>
      <c r="AW1152" s="351"/>
      <c r="AX1152" s="553"/>
      <c r="AY1152" s="350"/>
      <c r="AZ1152" s="351"/>
      <c r="BA1152" s="545"/>
      <c r="BB1152" s="351"/>
      <c r="BC1152" s="36"/>
      <c r="BD1152" s="546" t="s">
        <v>325</v>
      </c>
      <c r="BE1152" s="351"/>
      <c r="BF1152" s="557"/>
      <c r="BG1152" s="350"/>
      <c r="BH1152" s="350"/>
      <c r="BI1152" s="351"/>
      <c r="BJ1152" s="506" t="s">
        <v>294</v>
      </c>
      <c r="BK1152" s="350"/>
      <c r="BL1152" s="350"/>
      <c r="BM1152" s="351"/>
      <c r="BN1152" s="530" t="s">
        <v>294</v>
      </c>
      <c r="BO1152" s="350"/>
      <c r="BP1152" s="350"/>
      <c r="BQ1152" s="350"/>
      <c r="BR1152" s="350"/>
      <c r="BS1152" s="350"/>
      <c r="BT1152" s="350"/>
      <c r="BU1152" s="350"/>
      <c r="BV1152" s="351"/>
    </row>
    <row r="1153" spans="1:74" ht="45" customHeight="1">
      <c r="A1153" s="24">
        <f t="shared" si="4"/>
        <v>1139</v>
      </c>
      <c r="B1153" s="522" t="s">
        <v>294</v>
      </c>
      <c r="C1153" s="351"/>
      <c r="D1153" s="523" t="s">
        <v>298</v>
      </c>
      <c r="E1153" s="351"/>
      <c r="F1153" s="524" t="s">
        <v>325</v>
      </c>
      <c r="G1153" s="351"/>
      <c r="H1153" s="561" t="s">
        <v>325</v>
      </c>
      <c r="I1153" s="351"/>
      <c r="J1153" s="562"/>
      <c r="K1153" s="351"/>
      <c r="L1153" s="562"/>
      <c r="M1153" s="351"/>
      <c r="N1153" s="37"/>
      <c r="O1153" s="38"/>
      <c r="P1153" s="560"/>
      <c r="Q1153" s="351"/>
      <c r="R1153" s="527"/>
      <c r="S1153" s="351"/>
      <c r="T1153" s="528"/>
      <c r="U1153" s="351"/>
      <c r="V1153" s="541"/>
      <c r="W1153" s="351"/>
      <c r="X1153" s="542" t="s">
        <v>294</v>
      </c>
      <c r="Y1153" s="350"/>
      <c r="Z1153" s="350"/>
      <c r="AA1153" s="351"/>
      <c r="AB1153" s="543" t="s">
        <v>294</v>
      </c>
      <c r="AC1153" s="350"/>
      <c r="AD1153" s="350"/>
      <c r="AE1153" s="351"/>
      <c r="AF1153" s="544"/>
      <c r="AG1153" s="351"/>
      <c r="AH1153" s="544"/>
      <c r="AI1153" s="351"/>
      <c r="AJ1153" s="545"/>
      <c r="AK1153" s="351"/>
      <c r="AL1153" s="524" t="s">
        <v>325</v>
      </c>
      <c r="AM1153" s="351"/>
      <c r="AN1153" s="549" t="s">
        <v>325</v>
      </c>
      <c r="AO1153" s="351"/>
      <c r="AP1153" s="550"/>
      <c r="AQ1153" s="351"/>
      <c r="AR1153" s="551"/>
      <c r="AS1153" s="351"/>
      <c r="AT1153" s="534"/>
      <c r="AU1153" s="351"/>
      <c r="AV1153" s="549" t="s">
        <v>325</v>
      </c>
      <c r="AW1153" s="351"/>
      <c r="AX1153" s="553"/>
      <c r="AY1153" s="350"/>
      <c r="AZ1153" s="351"/>
      <c r="BA1153" s="554"/>
      <c r="BB1153" s="351"/>
      <c r="BC1153" s="39"/>
      <c r="BD1153" s="556" t="s">
        <v>325</v>
      </c>
      <c r="BE1153" s="351"/>
      <c r="BF1153" s="547"/>
      <c r="BG1153" s="350"/>
      <c r="BH1153" s="350"/>
      <c r="BI1153" s="351"/>
      <c r="BJ1153" s="548" t="s">
        <v>294</v>
      </c>
      <c r="BK1153" s="350"/>
      <c r="BL1153" s="350"/>
      <c r="BM1153" s="351"/>
      <c r="BN1153" s="530" t="s">
        <v>294</v>
      </c>
      <c r="BO1153" s="350"/>
      <c r="BP1153" s="350"/>
      <c r="BQ1153" s="350"/>
      <c r="BR1153" s="350"/>
      <c r="BS1153" s="350"/>
      <c r="BT1153" s="350"/>
      <c r="BU1153" s="350"/>
      <c r="BV1153" s="351"/>
    </row>
    <row r="1154" spans="1:74" ht="45" customHeight="1">
      <c r="A1154" s="24">
        <f t="shared" si="4"/>
        <v>1140</v>
      </c>
      <c r="B1154" s="558" t="s">
        <v>294</v>
      </c>
      <c r="C1154" s="351"/>
      <c r="D1154" s="559" t="s">
        <v>298</v>
      </c>
      <c r="E1154" s="351"/>
      <c r="F1154" s="524" t="s">
        <v>325</v>
      </c>
      <c r="G1154" s="351"/>
      <c r="H1154" s="525" t="s">
        <v>325</v>
      </c>
      <c r="I1154" s="351"/>
      <c r="J1154" s="40"/>
      <c r="K1154" s="41"/>
      <c r="L1154" s="40"/>
      <c r="M1154" s="41"/>
      <c r="N1154" s="34"/>
      <c r="O1154" s="35"/>
      <c r="P1154" s="526"/>
      <c r="Q1154" s="351"/>
      <c r="R1154" s="535"/>
      <c r="S1154" s="351"/>
      <c r="T1154" s="536"/>
      <c r="U1154" s="351"/>
      <c r="V1154" s="537"/>
      <c r="W1154" s="351"/>
      <c r="X1154" s="538" t="s">
        <v>294</v>
      </c>
      <c r="Y1154" s="350"/>
      <c r="Z1154" s="350"/>
      <c r="AA1154" s="351"/>
      <c r="AB1154" s="539" t="s">
        <v>294</v>
      </c>
      <c r="AC1154" s="350"/>
      <c r="AD1154" s="350"/>
      <c r="AE1154" s="351"/>
      <c r="AF1154" s="540"/>
      <c r="AG1154" s="351"/>
      <c r="AH1154" s="540"/>
      <c r="AI1154" s="351"/>
      <c r="AJ1154" s="545"/>
      <c r="AK1154" s="351"/>
      <c r="AL1154" s="555" t="s">
        <v>325</v>
      </c>
      <c r="AM1154" s="351"/>
      <c r="AN1154" s="531" t="s">
        <v>325</v>
      </c>
      <c r="AO1154" s="351"/>
      <c r="AP1154" s="532"/>
      <c r="AQ1154" s="351"/>
      <c r="AR1154" s="533"/>
      <c r="AS1154" s="351"/>
      <c r="AT1154" s="534"/>
      <c r="AU1154" s="351"/>
      <c r="AV1154" s="531" t="s">
        <v>325</v>
      </c>
      <c r="AW1154" s="351"/>
      <c r="AX1154" s="553"/>
      <c r="AY1154" s="350"/>
      <c r="AZ1154" s="351"/>
      <c r="BA1154" s="545"/>
      <c r="BB1154" s="351"/>
      <c r="BC1154" s="36"/>
      <c r="BD1154" s="556" t="s">
        <v>325</v>
      </c>
      <c r="BE1154" s="351"/>
      <c r="BF1154" s="557"/>
      <c r="BG1154" s="350"/>
      <c r="BH1154" s="350"/>
      <c r="BI1154" s="351"/>
      <c r="BJ1154" s="506" t="s">
        <v>294</v>
      </c>
      <c r="BK1154" s="350"/>
      <c r="BL1154" s="350"/>
      <c r="BM1154" s="351"/>
      <c r="BN1154" s="530" t="s">
        <v>294</v>
      </c>
      <c r="BO1154" s="350"/>
      <c r="BP1154" s="350"/>
      <c r="BQ1154" s="350"/>
      <c r="BR1154" s="350"/>
      <c r="BS1154" s="350"/>
      <c r="BT1154" s="350"/>
      <c r="BU1154" s="350"/>
      <c r="BV1154" s="351"/>
    </row>
    <row r="1155" spans="1:74" ht="45" customHeight="1">
      <c r="A1155" s="24">
        <f t="shared" si="4"/>
        <v>1141</v>
      </c>
      <c r="B1155" s="522" t="s">
        <v>294</v>
      </c>
      <c r="C1155" s="351"/>
      <c r="D1155" s="523" t="s">
        <v>298</v>
      </c>
      <c r="E1155" s="351"/>
      <c r="F1155" s="524" t="s">
        <v>325</v>
      </c>
      <c r="G1155" s="351"/>
      <c r="H1155" s="561" t="s">
        <v>325</v>
      </c>
      <c r="I1155" s="351"/>
      <c r="J1155" s="562"/>
      <c r="K1155" s="351"/>
      <c r="L1155" s="562"/>
      <c r="M1155" s="351"/>
      <c r="N1155" s="37"/>
      <c r="O1155" s="38"/>
      <c r="P1155" s="560"/>
      <c r="Q1155" s="351"/>
      <c r="R1155" s="527"/>
      <c r="S1155" s="351"/>
      <c r="T1155" s="528"/>
      <c r="U1155" s="351"/>
      <c r="V1155" s="541"/>
      <c r="W1155" s="351"/>
      <c r="X1155" s="542" t="s">
        <v>294</v>
      </c>
      <c r="Y1155" s="350"/>
      <c r="Z1155" s="350"/>
      <c r="AA1155" s="351"/>
      <c r="AB1155" s="543" t="s">
        <v>294</v>
      </c>
      <c r="AC1155" s="350"/>
      <c r="AD1155" s="350"/>
      <c r="AE1155" s="351"/>
      <c r="AF1155" s="544"/>
      <c r="AG1155" s="351"/>
      <c r="AH1155" s="544"/>
      <c r="AI1155" s="351"/>
      <c r="AJ1155" s="545"/>
      <c r="AK1155" s="351"/>
      <c r="AL1155" s="524" t="s">
        <v>325</v>
      </c>
      <c r="AM1155" s="351"/>
      <c r="AN1155" s="549" t="s">
        <v>325</v>
      </c>
      <c r="AO1155" s="351"/>
      <c r="AP1155" s="550"/>
      <c r="AQ1155" s="351"/>
      <c r="AR1155" s="551"/>
      <c r="AS1155" s="351"/>
      <c r="AT1155" s="552"/>
      <c r="AU1155" s="351"/>
      <c r="AV1155" s="549" t="s">
        <v>325</v>
      </c>
      <c r="AW1155" s="351"/>
      <c r="AX1155" s="553"/>
      <c r="AY1155" s="350"/>
      <c r="AZ1155" s="351"/>
      <c r="BA1155" s="554"/>
      <c r="BB1155" s="351"/>
      <c r="BC1155" s="39"/>
      <c r="BD1155" s="546" t="s">
        <v>325</v>
      </c>
      <c r="BE1155" s="351"/>
      <c r="BF1155" s="547"/>
      <c r="BG1155" s="350"/>
      <c r="BH1155" s="350"/>
      <c r="BI1155" s="351"/>
      <c r="BJ1155" s="548" t="s">
        <v>294</v>
      </c>
      <c r="BK1155" s="350"/>
      <c r="BL1155" s="350"/>
      <c r="BM1155" s="351"/>
      <c r="BN1155" s="530" t="s">
        <v>294</v>
      </c>
      <c r="BO1155" s="350"/>
      <c r="BP1155" s="350"/>
      <c r="BQ1155" s="350"/>
      <c r="BR1155" s="350"/>
      <c r="BS1155" s="350"/>
      <c r="BT1155" s="350"/>
      <c r="BU1155" s="350"/>
      <c r="BV1155" s="351"/>
    </row>
    <row r="1156" spans="1:74" ht="45" customHeight="1">
      <c r="A1156" s="24">
        <f t="shared" si="4"/>
        <v>1142</v>
      </c>
      <c r="B1156" s="558" t="s">
        <v>294</v>
      </c>
      <c r="C1156" s="351"/>
      <c r="D1156" s="559" t="s">
        <v>298</v>
      </c>
      <c r="E1156" s="351"/>
      <c r="F1156" s="524" t="s">
        <v>325</v>
      </c>
      <c r="G1156" s="351"/>
      <c r="H1156" s="525" t="s">
        <v>325</v>
      </c>
      <c r="I1156" s="351"/>
      <c r="J1156" s="40"/>
      <c r="K1156" s="41"/>
      <c r="L1156" s="40"/>
      <c r="M1156" s="41"/>
      <c r="N1156" s="34"/>
      <c r="O1156" s="35"/>
      <c r="P1156" s="526"/>
      <c r="Q1156" s="351"/>
      <c r="R1156" s="535"/>
      <c r="S1156" s="351"/>
      <c r="T1156" s="536"/>
      <c r="U1156" s="351"/>
      <c r="V1156" s="537"/>
      <c r="W1156" s="351"/>
      <c r="X1156" s="538" t="s">
        <v>294</v>
      </c>
      <c r="Y1156" s="350"/>
      <c r="Z1156" s="350"/>
      <c r="AA1156" s="351"/>
      <c r="AB1156" s="539" t="s">
        <v>294</v>
      </c>
      <c r="AC1156" s="350"/>
      <c r="AD1156" s="350"/>
      <c r="AE1156" s="351"/>
      <c r="AF1156" s="540"/>
      <c r="AG1156" s="351"/>
      <c r="AH1156" s="540"/>
      <c r="AI1156" s="351"/>
      <c r="AJ1156" s="545"/>
      <c r="AK1156" s="351"/>
      <c r="AL1156" s="555" t="s">
        <v>325</v>
      </c>
      <c r="AM1156" s="351"/>
      <c r="AN1156" s="531" t="s">
        <v>325</v>
      </c>
      <c r="AO1156" s="351"/>
      <c r="AP1156" s="532"/>
      <c r="AQ1156" s="351"/>
      <c r="AR1156" s="533"/>
      <c r="AS1156" s="351"/>
      <c r="AT1156" s="534"/>
      <c r="AU1156" s="351"/>
      <c r="AV1156" s="531" t="s">
        <v>325</v>
      </c>
      <c r="AW1156" s="351"/>
      <c r="AX1156" s="553"/>
      <c r="AY1156" s="350"/>
      <c r="AZ1156" s="351"/>
      <c r="BA1156" s="545"/>
      <c r="BB1156" s="351"/>
      <c r="BC1156" s="36"/>
      <c r="BD1156" s="556" t="s">
        <v>325</v>
      </c>
      <c r="BE1156" s="351"/>
      <c r="BF1156" s="529"/>
      <c r="BG1156" s="350"/>
      <c r="BH1156" s="350"/>
      <c r="BI1156" s="351"/>
      <c r="BJ1156" s="506" t="s">
        <v>294</v>
      </c>
      <c r="BK1156" s="350"/>
      <c r="BL1156" s="350"/>
      <c r="BM1156" s="351"/>
      <c r="BN1156" s="530" t="s">
        <v>294</v>
      </c>
      <c r="BO1156" s="350"/>
      <c r="BP1156" s="350"/>
      <c r="BQ1156" s="350"/>
      <c r="BR1156" s="350"/>
      <c r="BS1156" s="350"/>
      <c r="BT1156" s="350"/>
      <c r="BU1156" s="350"/>
      <c r="BV1156" s="351"/>
    </row>
    <row r="1157" spans="1:74" ht="45" customHeight="1">
      <c r="A1157" s="24">
        <f t="shared" si="4"/>
        <v>1143</v>
      </c>
      <c r="B1157" s="522" t="s">
        <v>294</v>
      </c>
      <c r="C1157" s="351"/>
      <c r="D1157" s="523" t="s">
        <v>298</v>
      </c>
      <c r="E1157" s="351"/>
      <c r="F1157" s="524" t="s">
        <v>325</v>
      </c>
      <c r="G1157" s="351"/>
      <c r="H1157" s="561" t="s">
        <v>325</v>
      </c>
      <c r="I1157" s="351"/>
      <c r="J1157" s="562"/>
      <c r="K1157" s="351"/>
      <c r="L1157" s="562"/>
      <c r="M1157" s="351"/>
      <c r="N1157" s="37"/>
      <c r="O1157" s="38"/>
      <c r="P1157" s="560"/>
      <c r="Q1157" s="351"/>
      <c r="R1157" s="527"/>
      <c r="S1157" s="351"/>
      <c r="T1157" s="528"/>
      <c r="U1157" s="351"/>
      <c r="V1157" s="541"/>
      <c r="W1157" s="351"/>
      <c r="X1157" s="542" t="s">
        <v>294</v>
      </c>
      <c r="Y1157" s="350"/>
      <c r="Z1157" s="350"/>
      <c r="AA1157" s="351"/>
      <c r="AB1157" s="543" t="s">
        <v>294</v>
      </c>
      <c r="AC1157" s="350"/>
      <c r="AD1157" s="350"/>
      <c r="AE1157" s="351"/>
      <c r="AF1157" s="544"/>
      <c r="AG1157" s="351"/>
      <c r="AH1157" s="544"/>
      <c r="AI1157" s="351"/>
      <c r="AJ1157" s="545"/>
      <c r="AK1157" s="351"/>
      <c r="AL1157" s="524" t="s">
        <v>325</v>
      </c>
      <c r="AM1157" s="351"/>
      <c r="AN1157" s="549" t="s">
        <v>325</v>
      </c>
      <c r="AO1157" s="351"/>
      <c r="AP1157" s="550"/>
      <c r="AQ1157" s="351"/>
      <c r="AR1157" s="551"/>
      <c r="AS1157" s="351"/>
      <c r="AT1157" s="552"/>
      <c r="AU1157" s="351"/>
      <c r="AV1157" s="549" t="s">
        <v>325</v>
      </c>
      <c r="AW1157" s="351"/>
      <c r="AX1157" s="553"/>
      <c r="AY1157" s="350"/>
      <c r="AZ1157" s="351"/>
      <c r="BA1157" s="554"/>
      <c r="BB1157" s="351"/>
      <c r="BC1157" s="39"/>
      <c r="BD1157" s="546" t="s">
        <v>325</v>
      </c>
      <c r="BE1157" s="351"/>
      <c r="BF1157" s="547"/>
      <c r="BG1157" s="350"/>
      <c r="BH1157" s="350"/>
      <c r="BI1157" s="351"/>
      <c r="BJ1157" s="548" t="s">
        <v>294</v>
      </c>
      <c r="BK1157" s="350"/>
      <c r="BL1157" s="350"/>
      <c r="BM1157" s="351"/>
      <c r="BN1157" s="530" t="s">
        <v>294</v>
      </c>
      <c r="BO1157" s="350"/>
      <c r="BP1157" s="350"/>
      <c r="BQ1157" s="350"/>
      <c r="BR1157" s="350"/>
      <c r="BS1157" s="350"/>
      <c r="BT1157" s="350"/>
      <c r="BU1157" s="350"/>
      <c r="BV1157" s="351"/>
    </row>
    <row r="1158" spans="1:74" ht="45" customHeight="1">
      <c r="A1158" s="24">
        <f t="shared" si="4"/>
        <v>1144</v>
      </c>
      <c r="B1158" s="558" t="s">
        <v>294</v>
      </c>
      <c r="C1158" s="351"/>
      <c r="D1158" s="559" t="s">
        <v>298</v>
      </c>
      <c r="E1158" s="351"/>
      <c r="F1158" s="524" t="s">
        <v>325</v>
      </c>
      <c r="G1158" s="351"/>
      <c r="H1158" s="525" t="s">
        <v>325</v>
      </c>
      <c r="I1158" s="351"/>
      <c r="J1158" s="40"/>
      <c r="K1158" s="41"/>
      <c r="L1158" s="40"/>
      <c r="M1158" s="41"/>
      <c r="N1158" s="34"/>
      <c r="O1158" s="35"/>
      <c r="P1158" s="526"/>
      <c r="Q1158" s="351"/>
      <c r="R1158" s="535"/>
      <c r="S1158" s="351"/>
      <c r="T1158" s="536"/>
      <c r="U1158" s="351"/>
      <c r="V1158" s="537"/>
      <c r="W1158" s="351"/>
      <c r="X1158" s="538" t="s">
        <v>294</v>
      </c>
      <c r="Y1158" s="350"/>
      <c r="Z1158" s="350"/>
      <c r="AA1158" s="351"/>
      <c r="AB1158" s="539" t="s">
        <v>294</v>
      </c>
      <c r="AC1158" s="350"/>
      <c r="AD1158" s="350"/>
      <c r="AE1158" s="351"/>
      <c r="AF1158" s="540"/>
      <c r="AG1158" s="351"/>
      <c r="AH1158" s="540"/>
      <c r="AI1158" s="351"/>
      <c r="AJ1158" s="545"/>
      <c r="AK1158" s="351"/>
      <c r="AL1158" s="555" t="s">
        <v>325</v>
      </c>
      <c r="AM1158" s="351"/>
      <c r="AN1158" s="531" t="s">
        <v>325</v>
      </c>
      <c r="AO1158" s="351"/>
      <c r="AP1158" s="532"/>
      <c r="AQ1158" s="351"/>
      <c r="AR1158" s="533"/>
      <c r="AS1158" s="351"/>
      <c r="AT1158" s="534"/>
      <c r="AU1158" s="351"/>
      <c r="AV1158" s="531" t="s">
        <v>325</v>
      </c>
      <c r="AW1158" s="351"/>
      <c r="AX1158" s="553"/>
      <c r="AY1158" s="350"/>
      <c r="AZ1158" s="351"/>
      <c r="BA1158" s="545"/>
      <c r="BB1158" s="351"/>
      <c r="BC1158" s="36"/>
      <c r="BD1158" s="556" t="s">
        <v>325</v>
      </c>
      <c r="BE1158" s="351"/>
      <c r="BF1158" s="557"/>
      <c r="BG1158" s="350"/>
      <c r="BH1158" s="350"/>
      <c r="BI1158" s="351"/>
      <c r="BJ1158" s="506" t="s">
        <v>294</v>
      </c>
      <c r="BK1158" s="350"/>
      <c r="BL1158" s="350"/>
      <c r="BM1158" s="351"/>
      <c r="BN1158" s="530" t="s">
        <v>294</v>
      </c>
      <c r="BO1158" s="350"/>
      <c r="BP1158" s="350"/>
      <c r="BQ1158" s="350"/>
      <c r="BR1158" s="350"/>
      <c r="BS1158" s="350"/>
      <c r="BT1158" s="350"/>
      <c r="BU1158" s="350"/>
      <c r="BV1158" s="351"/>
    </row>
    <row r="1159" spans="1:74" ht="45" customHeight="1">
      <c r="A1159" s="24">
        <f t="shared" si="4"/>
        <v>1145</v>
      </c>
      <c r="B1159" s="522" t="s">
        <v>294</v>
      </c>
      <c r="C1159" s="351"/>
      <c r="D1159" s="523" t="s">
        <v>298</v>
      </c>
      <c r="E1159" s="351"/>
      <c r="F1159" s="524" t="s">
        <v>325</v>
      </c>
      <c r="G1159" s="351"/>
      <c r="H1159" s="561" t="s">
        <v>325</v>
      </c>
      <c r="I1159" s="351"/>
      <c r="J1159" s="562"/>
      <c r="K1159" s="351"/>
      <c r="L1159" s="562"/>
      <c r="M1159" s="351"/>
      <c r="N1159" s="37"/>
      <c r="O1159" s="38"/>
      <c r="P1159" s="560"/>
      <c r="Q1159" s="351"/>
      <c r="R1159" s="527"/>
      <c r="S1159" s="351"/>
      <c r="T1159" s="528"/>
      <c r="U1159" s="351"/>
      <c r="V1159" s="541"/>
      <c r="W1159" s="351"/>
      <c r="X1159" s="542" t="s">
        <v>294</v>
      </c>
      <c r="Y1159" s="350"/>
      <c r="Z1159" s="350"/>
      <c r="AA1159" s="351"/>
      <c r="AB1159" s="543" t="s">
        <v>294</v>
      </c>
      <c r="AC1159" s="350"/>
      <c r="AD1159" s="350"/>
      <c r="AE1159" s="351"/>
      <c r="AF1159" s="544"/>
      <c r="AG1159" s="351"/>
      <c r="AH1159" s="544"/>
      <c r="AI1159" s="351"/>
      <c r="AJ1159" s="545"/>
      <c r="AK1159" s="351"/>
      <c r="AL1159" s="524" t="s">
        <v>325</v>
      </c>
      <c r="AM1159" s="351"/>
      <c r="AN1159" s="549" t="s">
        <v>325</v>
      </c>
      <c r="AO1159" s="351"/>
      <c r="AP1159" s="550"/>
      <c r="AQ1159" s="351"/>
      <c r="AR1159" s="551"/>
      <c r="AS1159" s="351"/>
      <c r="AT1159" s="552"/>
      <c r="AU1159" s="351"/>
      <c r="AV1159" s="549" t="s">
        <v>325</v>
      </c>
      <c r="AW1159" s="351"/>
      <c r="AX1159" s="553"/>
      <c r="AY1159" s="350"/>
      <c r="AZ1159" s="351"/>
      <c r="BA1159" s="554"/>
      <c r="BB1159" s="351"/>
      <c r="BC1159" s="39"/>
      <c r="BD1159" s="546" t="s">
        <v>325</v>
      </c>
      <c r="BE1159" s="351"/>
      <c r="BF1159" s="547"/>
      <c r="BG1159" s="350"/>
      <c r="BH1159" s="350"/>
      <c r="BI1159" s="351"/>
      <c r="BJ1159" s="548" t="s">
        <v>294</v>
      </c>
      <c r="BK1159" s="350"/>
      <c r="BL1159" s="350"/>
      <c r="BM1159" s="351"/>
      <c r="BN1159" s="530" t="s">
        <v>294</v>
      </c>
      <c r="BO1159" s="350"/>
      <c r="BP1159" s="350"/>
      <c r="BQ1159" s="350"/>
      <c r="BR1159" s="350"/>
      <c r="BS1159" s="350"/>
      <c r="BT1159" s="350"/>
      <c r="BU1159" s="350"/>
      <c r="BV1159" s="351"/>
    </row>
    <row r="1160" spans="1:74" ht="45" customHeight="1">
      <c r="A1160" s="24">
        <f t="shared" si="4"/>
        <v>1146</v>
      </c>
      <c r="B1160" s="558" t="s">
        <v>294</v>
      </c>
      <c r="C1160" s="351"/>
      <c r="D1160" s="559" t="s">
        <v>298</v>
      </c>
      <c r="E1160" s="351"/>
      <c r="F1160" s="524" t="s">
        <v>325</v>
      </c>
      <c r="G1160" s="351"/>
      <c r="H1160" s="525" t="s">
        <v>325</v>
      </c>
      <c r="I1160" s="351"/>
      <c r="J1160" s="40"/>
      <c r="K1160" s="41"/>
      <c r="L1160" s="40"/>
      <c r="M1160" s="41"/>
      <c r="N1160" s="34"/>
      <c r="O1160" s="35"/>
      <c r="P1160" s="526"/>
      <c r="Q1160" s="351"/>
      <c r="R1160" s="535"/>
      <c r="S1160" s="351"/>
      <c r="T1160" s="536"/>
      <c r="U1160" s="351"/>
      <c r="V1160" s="537"/>
      <c r="W1160" s="351"/>
      <c r="X1160" s="538" t="s">
        <v>294</v>
      </c>
      <c r="Y1160" s="350"/>
      <c r="Z1160" s="350"/>
      <c r="AA1160" s="351"/>
      <c r="AB1160" s="539" t="s">
        <v>294</v>
      </c>
      <c r="AC1160" s="350"/>
      <c r="AD1160" s="350"/>
      <c r="AE1160" s="351"/>
      <c r="AF1160" s="540"/>
      <c r="AG1160" s="351"/>
      <c r="AH1160" s="540"/>
      <c r="AI1160" s="351"/>
      <c r="AJ1160" s="545"/>
      <c r="AK1160" s="351"/>
      <c r="AL1160" s="555" t="s">
        <v>325</v>
      </c>
      <c r="AM1160" s="351"/>
      <c r="AN1160" s="531" t="s">
        <v>325</v>
      </c>
      <c r="AO1160" s="351"/>
      <c r="AP1160" s="532"/>
      <c r="AQ1160" s="351"/>
      <c r="AR1160" s="533"/>
      <c r="AS1160" s="351"/>
      <c r="AT1160" s="534"/>
      <c r="AU1160" s="351"/>
      <c r="AV1160" s="531" t="s">
        <v>325</v>
      </c>
      <c r="AW1160" s="351"/>
      <c r="AX1160" s="553"/>
      <c r="AY1160" s="350"/>
      <c r="AZ1160" s="351"/>
      <c r="BA1160" s="545"/>
      <c r="BB1160" s="351"/>
      <c r="BC1160" s="36"/>
      <c r="BD1160" s="556" t="s">
        <v>325</v>
      </c>
      <c r="BE1160" s="351"/>
      <c r="BF1160" s="557"/>
      <c r="BG1160" s="350"/>
      <c r="BH1160" s="350"/>
      <c r="BI1160" s="351"/>
      <c r="BJ1160" s="506" t="s">
        <v>294</v>
      </c>
      <c r="BK1160" s="350"/>
      <c r="BL1160" s="350"/>
      <c r="BM1160" s="351"/>
      <c r="BN1160" s="530" t="s">
        <v>294</v>
      </c>
      <c r="BO1160" s="350"/>
      <c r="BP1160" s="350"/>
      <c r="BQ1160" s="350"/>
      <c r="BR1160" s="350"/>
      <c r="BS1160" s="350"/>
      <c r="BT1160" s="350"/>
      <c r="BU1160" s="350"/>
      <c r="BV1160" s="351"/>
    </row>
    <row r="1161" spans="1:74" ht="45" customHeight="1">
      <c r="A1161" s="24">
        <f t="shared" si="4"/>
        <v>1147</v>
      </c>
      <c r="B1161" s="522" t="s">
        <v>294</v>
      </c>
      <c r="C1161" s="351"/>
      <c r="D1161" s="523" t="s">
        <v>298</v>
      </c>
      <c r="E1161" s="351"/>
      <c r="F1161" s="524" t="s">
        <v>325</v>
      </c>
      <c r="G1161" s="351"/>
      <c r="H1161" s="561" t="s">
        <v>325</v>
      </c>
      <c r="I1161" s="351"/>
      <c r="J1161" s="562"/>
      <c r="K1161" s="351"/>
      <c r="L1161" s="562"/>
      <c r="M1161" s="351"/>
      <c r="N1161" s="37"/>
      <c r="O1161" s="38"/>
      <c r="P1161" s="560"/>
      <c r="Q1161" s="351"/>
      <c r="R1161" s="527"/>
      <c r="S1161" s="351"/>
      <c r="T1161" s="528"/>
      <c r="U1161" s="351"/>
      <c r="V1161" s="541"/>
      <c r="W1161" s="351"/>
      <c r="X1161" s="542" t="s">
        <v>294</v>
      </c>
      <c r="Y1161" s="350"/>
      <c r="Z1161" s="350"/>
      <c r="AA1161" s="351"/>
      <c r="AB1161" s="543" t="s">
        <v>294</v>
      </c>
      <c r="AC1161" s="350"/>
      <c r="AD1161" s="350"/>
      <c r="AE1161" s="351"/>
      <c r="AF1161" s="544"/>
      <c r="AG1161" s="351"/>
      <c r="AH1161" s="544"/>
      <c r="AI1161" s="351"/>
      <c r="AJ1161" s="545"/>
      <c r="AK1161" s="351"/>
      <c r="AL1161" s="524" t="s">
        <v>325</v>
      </c>
      <c r="AM1161" s="351"/>
      <c r="AN1161" s="549" t="s">
        <v>325</v>
      </c>
      <c r="AO1161" s="351"/>
      <c r="AP1161" s="550"/>
      <c r="AQ1161" s="351"/>
      <c r="AR1161" s="551"/>
      <c r="AS1161" s="351"/>
      <c r="AT1161" s="552"/>
      <c r="AU1161" s="351"/>
      <c r="AV1161" s="549" t="s">
        <v>325</v>
      </c>
      <c r="AW1161" s="351"/>
      <c r="AX1161" s="553"/>
      <c r="AY1161" s="350"/>
      <c r="AZ1161" s="351"/>
      <c r="BA1161" s="554"/>
      <c r="BB1161" s="351"/>
      <c r="BC1161" s="39"/>
      <c r="BD1161" s="546" t="s">
        <v>325</v>
      </c>
      <c r="BE1161" s="351"/>
      <c r="BF1161" s="547"/>
      <c r="BG1161" s="350"/>
      <c r="BH1161" s="350"/>
      <c r="BI1161" s="351"/>
      <c r="BJ1161" s="548" t="s">
        <v>294</v>
      </c>
      <c r="BK1161" s="350"/>
      <c r="BL1161" s="350"/>
      <c r="BM1161" s="351"/>
      <c r="BN1161" s="530" t="s">
        <v>294</v>
      </c>
      <c r="BO1161" s="350"/>
      <c r="BP1161" s="350"/>
      <c r="BQ1161" s="350"/>
      <c r="BR1161" s="350"/>
      <c r="BS1161" s="350"/>
      <c r="BT1161" s="350"/>
      <c r="BU1161" s="350"/>
      <c r="BV1161" s="351"/>
    </row>
    <row r="1162" spans="1:74" ht="45" customHeight="1">
      <c r="A1162" s="24">
        <f t="shared" si="4"/>
        <v>1148</v>
      </c>
      <c r="B1162" s="558" t="s">
        <v>294</v>
      </c>
      <c r="C1162" s="351"/>
      <c r="D1162" s="559" t="s">
        <v>298</v>
      </c>
      <c r="E1162" s="351"/>
      <c r="F1162" s="524" t="s">
        <v>325</v>
      </c>
      <c r="G1162" s="351"/>
      <c r="H1162" s="525" t="s">
        <v>325</v>
      </c>
      <c r="I1162" s="351"/>
      <c r="J1162" s="40"/>
      <c r="K1162" s="41"/>
      <c r="L1162" s="40"/>
      <c r="M1162" s="41"/>
      <c r="N1162" s="34"/>
      <c r="O1162" s="35"/>
      <c r="P1162" s="526"/>
      <c r="Q1162" s="351"/>
      <c r="R1162" s="535"/>
      <c r="S1162" s="351"/>
      <c r="T1162" s="536"/>
      <c r="U1162" s="351"/>
      <c r="V1162" s="537"/>
      <c r="W1162" s="351"/>
      <c r="X1162" s="538" t="s">
        <v>294</v>
      </c>
      <c r="Y1162" s="350"/>
      <c r="Z1162" s="350"/>
      <c r="AA1162" s="351"/>
      <c r="AB1162" s="539" t="s">
        <v>294</v>
      </c>
      <c r="AC1162" s="350"/>
      <c r="AD1162" s="350"/>
      <c r="AE1162" s="351"/>
      <c r="AF1162" s="540"/>
      <c r="AG1162" s="351"/>
      <c r="AH1162" s="540"/>
      <c r="AI1162" s="351"/>
      <c r="AJ1162" s="545"/>
      <c r="AK1162" s="351"/>
      <c r="AL1162" s="555" t="s">
        <v>325</v>
      </c>
      <c r="AM1162" s="351"/>
      <c r="AN1162" s="531" t="s">
        <v>325</v>
      </c>
      <c r="AO1162" s="351"/>
      <c r="AP1162" s="532"/>
      <c r="AQ1162" s="351"/>
      <c r="AR1162" s="533"/>
      <c r="AS1162" s="351"/>
      <c r="AT1162" s="534"/>
      <c r="AU1162" s="351"/>
      <c r="AV1162" s="531" t="s">
        <v>325</v>
      </c>
      <c r="AW1162" s="351"/>
      <c r="AX1162" s="553"/>
      <c r="AY1162" s="350"/>
      <c r="AZ1162" s="351"/>
      <c r="BA1162" s="545"/>
      <c r="BB1162" s="351"/>
      <c r="BC1162" s="36"/>
      <c r="BD1162" s="556" t="s">
        <v>325</v>
      </c>
      <c r="BE1162" s="351"/>
      <c r="BF1162" s="529"/>
      <c r="BG1162" s="350"/>
      <c r="BH1162" s="350"/>
      <c r="BI1162" s="351"/>
      <c r="BJ1162" s="506" t="s">
        <v>294</v>
      </c>
      <c r="BK1162" s="350"/>
      <c r="BL1162" s="350"/>
      <c r="BM1162" s="351"/>
      <c r="BN1162" s="530" t="s">
        <v>294</v>
      </c>
      <c r="BO1162" s="350"/>
      <c r="BP1162" s="350"/>
      <c r="BQ1162" s="350"/>
      <c r="BR1162" s="350"/>
      <c r="BS1162" s="350"/>
      <c r="BT1162" s="350"/>
      <c r="BU1162" s="350"/>
      <c r="BV1162" s="351"/>
    </row>
    <row r="1163" spans="1:74" ht="45" customHeight="1">
      <c r="A1163" s="24">
        <f t="shared" si="4"/>
        <v>1149</v>
      </c>
      <c r="B1163" s="522" t="s">
        <v>294</v>
      </c>
      <c r="C1163" s="351"/>
      <c r="D1163" s="523" t="s">
        <v>298</v>
      </c>
      <c r="E1163" s="351"/>
      <c r="F1163" s="524" t="s">
        <v>325</v>
      </c>
      <c r="G1163" s="351"/>
      <c r="H1163" s="561" t="s">
        <v>325</v>
      </c>
      <c r="I1163" s="351"/>
      <c r="J1163" s="562"/>
      <c r="K1163" s="351"/>
      <c r="L1163" s="562"/>
      <c r="M1163" s="351"/>
      <c r="N1163" s="37"/>
      <c r="O1163" s="38"/>
      <c r="P1163" s="560"/>
      <c r="Q1163" s="351"/>
      <c r="R1163" s="527"/>
      <c r="S1163" s="351"/>
      <c r="T1163" s="528"/>
      <c r="U1163" s="351"/>
      <c r="V1163" s="541"/>
      <c r="W1163" s="351"/>
      <c r="X1163" s="542" t="s">
        <v>294</v>
      </c>
      <c r="Y1163" s="350"/>
      <c r="Z1163" s="350"/>
      <c r="AA1163" s="351"/>
      <c r="AB1163" s="543" t="s">
        <v>294</v>
      </c>
      <c r="AC1163" s="350"/>
      <c r="AD1163" s="350"/>
      <c r="AE1163" s="351"/>
      <c r="AF1163" s="544"/>
      <c r="AG1163" s="351"/>
      <c r="AH1163" s="544"/>
      <c r="AI1163" s="351"/>
      <c r="AJ1163" s="545"/>
      <c r="AK1163" s="351"/>
      <c r="AL1163" s="524" t="s">
        <v>325</v>
      </c>
      <c r="AM1163" s="351"/>
      <c r="AN1163" s="549" t="s">
        <v>325</v>
      </c>
      <c r="AO1163" s="351"/>
      <c r="AP1163" s="550"/>
      <c r="AQ1163" s="351"/>
      <c r="AR1163" s="551"/>
      <c r="AS1163" s="351"/>
      <c r="AT1163" s="552"/>
      <c r="AU1163" s="351"/>
      <c r="AV1163" s="549" t="s">
        <v>325</v>
      </c>
      <c r="AW1163" s="351"/>
      <c r="AX1163" s="553"/>
      <c r="AY1163" s="350"/>
      <c r="AZ1163" s="351"/>
      <c r="BA1163" s="554"/>
      <c r="BB1163" s="351"/>
      <c r="BC1163" s="39"/>
      <c r="BD1163" s="546" t="s">
        <v>325</v>
      </c>
      <c r="BE1163" s="351"/>
      <c r="BF1163" s="547"/>
      <c r="BG1163" s="350"/>
      <c r="BH1163" s="350"/>
      <c r="BI1163" s="351"/>
      <c r="BJ1163" s="548" t="s">
        <v>294</v>
      </c>
      <c r="BK1163" s="350"/>
      <c r="BL1163" s="350"/>
      <c r="BM1163" s="351"/>
      <c r="BN1163" s="530" t="s">
        <v>294</v>
      </c>
      <c r="BO1163" s="350"/>
      <c r="BP1163" s="350"/>
      <c r="BQ1163" s="350"/>
      <c r="BR1163" s="350"/>
      <c r="BS1163" s="350"/>
      <c r="BT1163" s="350"/>
      <c r="BU1163" s="350"/>
      <c r="BV1163" s="351"/>
    </row>
    <row r="1164" spans="1:74" ht="45" customHeight="1">
      <c r="A1164" s="24">
        <f t="shared" si="4"/>
        <v>1150</v>
      </c>
      <c r="B1164" s="558" t="s">
        <v>294</v>
      </c>
      <c r="C1164" s="351"/>
      <c r="D1164" s="559" t="s">
        <v>298</v>
      </c>
      <c r="E1164" s="351"/>
      <c r="F1164" s="524" t="s">
        <v>325</v>
      </c>
      <c r="G1164" s="351"/>
      <c r="H1164" s="525" t="s">
        <v>325</v>
      </c>
      <c r="I1164" s="351"/>
      <c r="J1164" s="40"/>
      <c r="K1164" s="41"/>
      <c r="L1164" s="40"/>
      <c r="M1164" s="41"/>
      <c r="N1164" s="34"/>
      <c r="O1164" s="35"/>
      <c r="P1164" s="526"/>
      <c r="Q1164" s="351"/>
      <c r="R1164" s="535"/>
      <c r="S1164" s="351"/>
      <c r="T1164" s="536"/>
      <c r="U1164" s="351"/>
      <c r="V1164" s="537"/>
      <c r="W1164" s="351"/>
      <c r="X1164" s="538" t="s">
        <v>294</v>
      </c>
      <c r="Y1164" s="350"/>
      <c r="Z1164" s="350"/>
      <c r="AA1164" s="351"/>
      <c r="AB1164" s="539" t="s">
        <v>294</v>
      </c>
      <c r="AC1164" s="350"/>
      <c r="AD1164" s="350"/>
      <c r="AE1164" s="351"/>
      <c r="AF1164" s="540"/>
      <c r="AG1164" s="351"/>
      <c r="AH1164" s="540"/>
      <c r="AI1164" s="351"/>
      <c r="AJ1164" s="545"/>
      <c r="AK1164" s="351"/>
      <c r="AL1164" s="555" t="s">
        <v>325</v>
      </c>
      <c r="AM1164" s="351"/>
      <c r="AN1164" s="531" t="s">
        <v>325</v>
      </c>
      <c r="AO1164" s="351"/>
      <c r="AP1164" s="532"/>
      <c r="AQ1164" s="351"/>
      <c r="AR1164" s="533"/>
      <c r="AS1164" s="351"/>
      <c r="AT1164" s="534"/>
      <c r="AU1164" s="351"/>
      <c r="AV1164" s="531" t="s">
        <v>325</v>
      </c>
      <c r="AW1164" s="351"/>
      <c r="AX1164" s="553"/>
      <c r="AY1164" s="350"/>
      <c r="AZ1164" s="351"/>
      <c r="BA1164" s="545"/>
      <c r="BB1164" s="351"/>
      <c r="BC1164" s="36"/>
      <c r="BD1164" s="556" t="s">
        <v>325</v>
      </c>
      <c r="BE1164" s="351"/>
      <c r="BF1164" s="557"/>
      <c r="BG1164" s="350"/>
      <c r="BH1164" s="350"/>
      <c r="BI1164" s="351"/>
      <c r="BJ1164" s="506" t="s">
        <v>294</v>
      </c>
      <c r="BK1164" s="350"/>
      <c r="BL1164" s="350"/>
      <c r="BM1164" s="351"/>
      <c r="BN1164" s="530" t="s">
        <v>294</v>
      </c>
      <c r="BO1164" s="350"/>
      <c r="BP1164" s="350"/>
      <c r="BQ1164" s="350"/>
      <c r="BR1164" s="350"/>
      <c r="BS1164" s="350"/>
      <c r="BT1164" s="350"/>
      <c r="BU1164" s="350"/>
      <c r="BV1164" s="351"/>
    </row>
    <row r="1165" spans="1:74" ht="45" customHeight="1">
      <c r="A1165" s="24">
        <f t="shared" si="4"/>
        <v>1151</v>
      </c>
      <c r="B1165" s="522" t="s">
        <v>294</v>
      </c>
      <c r="C1165" s="351"/>
      <c r="D1165" s="523" t="s">
        <v>298</v>
      </c>
      <c r="E1165" s="351"/>
      <c r="F1165" s="524" t="s">
        <v>325</v>
      </c>
      <c r="G1165" s="351"/>
      <c r="H1165" s="561" t="s">
        <v>325</v>
      </c>
      <c r="I1165" s="351"/>
      <c r="J1165" s="562"/>
      <c r="K1165" s="351"/>
      <c r="L1165" s="562"/>
      <c r="M1165" s="351"/>
      <c r="N1165" s="34"/>
      <c r="O1165" s="35"/>
      <c r="P1165" s="526"/>
      <c r="Q1165" s="351"/>
      <c r="R1165" s="527"/>
      <c r="S1165" s="351"/>
      <c r="T1165" s="528"/>
      <c r="U1165" s="351"/>
      <c r="V1165" s="541"/>
      <c r="W1165" s="351"/>
      <c r="X1165" s="542" t="s">
        <v>294</v>
      </c>
      <c r="Y1165" s="350"/>
      <c r="Z1165" s="350"/>
      <c r="AA1165" s="351"/>
      <c r="AB1165" s="543" t="s">
        <v>294</v>
      </c>
      <c r="AC1165" s="350"/>
      <c r="AD1165" s="350"/>
      <c r="AE1165" s="351"/>
      <c r="AF1165" s="544"/>
      <c r="AG1165" s="351"/>
      <c r="AH1165" s="544"/>
      <c r="AI1165" s="351"/>
      <c r="AJ1165" s="545"/>
      <c r="AK1165" s="351"/>
      <c r="AL1165" s="524" t="s">
        <v>325</v>
      </c>
      <c r="AM1165" s="351"/>
      <c r="AN1165" s="549" t="s">
        <v>325</v>
      </c>
      <c r="AO1165" s="351"/>
      <c r="AP1165" s="550"/>
      <c r="AQ1165" s="351"/>
      <c r="AR1165" s="551"/>
      <c r="AS1165" s="351"/>
      <c r="AT1165" s="534"/>
      <c r="AU1165" s="351"/>
      <c r="AV1165" s="549" t="s">
        <v>325</v>
      </c>
      <c r="AW1165" s="351"/>
      <c r="AX1165" s="553"/>
      <c r="AY1165" s="350"/>
      <c r="AZ1165" s="351"/>
      <c r="BA1165" s="554"/>
      <c r="BB1165" s="351"/>
      <c r="BC1165" s="39"/>
      <c r="BD1165" s="546" t="s">
        <v>325</v>
      </c>
      <c r="BE1165" s="351"/>
      <c r="BF1165" s="547"/>
      <c r="BG1165" s="350"/>
      <c r="BH1165" s="350"/>
      <c r="BI1165" s="351"/>
      <c r="BJ1165" s="548" t="s">
        <v>294</v>
      </c>
      <c r="BK1165" s="350"/>
      <c r="BL1165" s="350"/>
      <c r="BM1165" s="351"/>
      <c r="BN1165" s="530" t="s">
        <v>294</v>
      </c>
      <c r="BO1165" s="350"/>
      <c r="BP1165" s="350"/>
      <c r="BQ1165" s="350"/>
      <c r="BR1165" s="350"/>
      <c r="BS1165" s="350"/>
      <c r="BT1165" s="350"/>
      <c r="BU1165" s="350"/>
      <c r="BV1165" s="351"/>
    </row>
    <row r="1166" spans="1:74" ht="45" customHeight="1">
      <c r="A1166" s="24">
        <f t="shared" si="4"/>
        <v>1152</v>
      </c>
      <c r="B1166" s="558" t="s">
        <v>294</v>
      </c>
      <c r="C1166" s="351"/>
      <c r="D1166" s="559" t="s">
        <v>298</v>
      </c>
      <c r="E1166" s="351"/>
      <c r="F1166" s="524" t="s">
        <v>325</v>
      </c>
      <c r="G1166" s="351"/>
      <c r="H1166" s="525" t="s">
        <v>325</v>
      </c>
      <c r="I1166" s="351"/>
      <c r="J1166" s="40"/>
      <c r="K1166" s="41"/>
      <c r="L1166" s="40"/>
      <c r="M1166" s="41"/>
      <c r="N1166" s="37"/>
      <c r="O1166" s="38"/>
      <c r="P1166" s="560"/>
      <c r="Q1166" s="351"/>
      <c r="R1166" s="535"/>
      <c r="S1166" s="351"/>
      <c r="T1166" s="536"/>
      <c r="U1166" s="351"/>
      <c r="V1166" s="537"/>
      <c r="W1166" s="351"/>
      <c r="X1166" s="538" t="s">
        <v>294</v>
      </c>
      <c r="Y1166" s="350"/>
      <c r="Z1166" s="350"/>
      <c r="AA1166" s="351"/>
      <c r="AB1166" s="539" t="s">
        <v>294</v>
      </c>
      <c r="AC1166" s="350"/>
      <c r="AD1166" s="350"/>
      <c r="AE1166" s="351"/>
      <c r="AF1166" s="540"/>
      <c r="AG1166" s="351"/>
      <c r="AH1166" s="540"/>
      <c r="AI1166" s="351"/>
      <c r="AJ1166" s="545"/>
      <c r="AK1166" s="351"/>
      <c r="AL1166" s="555" t="s">
        <v>325</v>
      </c>
      <c r="AM1166" s="351"/>
      <c r="AN1166" s="531" t="s">
        <v>325</v>
      </c>
      <c r="AO1166" s="351"/>
      <c r="AP1166" s="532"/>
      <c r="AQ1166" s="351"/>
      <c r="AR1166" s="533"/>
      <c r="AS1166" s="351"/>
      <c r="AT1166" s="534"/>
      <c r="AU1166" s="351"/>
      <c r="AV1166" s="531" t="s">
        <v>325</v>
      </c>
      <c r="AW1166" s="351"/>
      <c r="AX1166" s="553"/>
      <c r="AY1166" s="350"/>
      <c r="AZ1166" s="351"/>
      <c r="BA1166" s="545"/>
      <c r="BB1166" s="351"/>
      <c r="BC1166" s="36"/>
      <c r="BD1166" s="556" t="s">
        <v>325</v>
      </c>
      <c r="BE1166" s="351"/>
      <c r="BF1166" s="557"/>
      <c r="BG1166" s="350"/>
      <c r="BH1166" s="350"/>
      <c r="BI1166" s="351"/>
      <c r="BJ1166" s="506" t="s">
        <v>294</v>
      </c>
      <c r="BK1166" s="350"/>
      <c r="BL1166" s="350"/>
      <c r="BM1166" s="351"/>
      <c r="BN1166" s="530" t="s">
        <v>294</v>
      </c>
      <c r="BO1166" s="350"/>
      <c r="BP1166" s="350"/>
      <c r="BQ1166" s="350"/>
      <c r="BR1166" s="350"/>
      <c r="BS1166" s="350"/>
      <c r="BT1166" s="350"/>
      <c r="BU1166" s="350"/>
      <c r="BV1166" s="351"/>
    </row>
    <row r="1167" spans="1:74" ht="45" customHeight="1">
      <c r="A1167" s="24">
        <f t="shared" si="4"/>
        <v>1153</v>
      </c>
      <c r="B1167" s="522" t="s">
        <v>294</v>
      </c>
      <c r="C1167" s="351"/>
      <c r="D1167" s="523" t="s">
        <v>298</v>
      </c>
      <c r="E1167" s="351"/>
      <c r="F1167" s="524" t="s">
        <v>325</v>
      </c>
      <c r="G1167" s="351"/>
      <c r="H1167" s="561" t="s">
        <v>325</v>
      </c>
      <c r="I1167" s="351"/>
      <c r="J1167" s="562"/>
      <c r="K1167" s="351"/>
      <c r="L1167" s="562"/>
      <c r="M1167" s="351"/>
      <c r="N1167" s="34"/>
      <c r="O1167" s="35"/>
      <c r="P1167" s="526"/>
      <c r="Q1167" s="351"/>
      <c r="R1167" s="527"/>
      <c r="S1167" s="351"/>
      <c r="T1167" s="528"/>
      <c r="U1167" s="351"/>
      <c r="V1167" s="541"/>
      <c r="W1167" s="351"/>
      <c r="X1167" s="542" t="s">
        <v>294</v>
      </c>
      <c r="Y1167" s="350"/>
      <c r="Z1167" s="350"/>
      <c r="AA1167" s="351"/>
      <c r="AB1167" s="543" t="s">
        <v>294</v>
      </c>
      <c r="AC1167" s="350"/>
      <c r="AD1167" s="350"/>
      <c r="AE1167" s="351"/>
      <c r="AF1167" s="544"/>
      <c r="AG1167" s="351"/>
      <c r="AH1167" s="544"/>
      <c r="AI1167" s="351"/>
      <c r="AJ1167" s="545"/>
      <c r="AK1167" s="351"/>
      <c r="AL1167" s="524" t="s">
        <v>325</v>
      </c>
      <c r="AM1167" s="351"/>
      <c r="AN1167" s="549" t="s">
        <v>325</v>
      </c>
      <c r="AO1167" s="351"/>
      <c r="AP1167" s="550"/>
      <c r="AQ1167" s="351"/>
      <c r="AR1167" s="551"/>
      <c r="AS1167" s="351"/>
      <c r="AT1167" s="534"/>
      <c r="AU1167" s="351"/>
      <c r="AV1167" s="549" t="s">
        <v>325</v>
      </c>
      <c r="AW1167" s="351"/>
      <c r="AX1167" s="553"/>
      <c r="AY1167" s="350"/>
      <c r="AZ1167" s="351"/>
      <c r="BA1167" s="554"/>
      <c r="BB1167" s="351"/>
      <c r="BC1167" s="39"/>
      <c r="BD1167" s="546" t="s">
        <v>325</v>
      </c>
      <c r="BE1167" s="351"/>
      <c r="BF1167" s="547"/>
      <c r="BG1167" s="350"/>
      <c r="BH1167" s="350"/>
      <c r="BI1167" s="351"/>
      <c r="BJ1167" s="548" t="s">
        <v>294</v>
      </c>
      <c r="BK1167" s="350"/>
      <c r="BL1167" s="350"/>
      <c r="BM1167" s="351"/>
      <c r="BN1167" s="530" t="s">
        <v>294</v>
      </c>
      <c r="BO1167" s="350"/>
      <c r="BP1167" s="350"/>
      <c r="BQ1167" s="350"/>
      <c r="BR1167" s="350"/>
      <c r="BS1167" s="350"/>
      <c r="BT1167" s="350"/>
      <c r="BU1167" s="350"/>
      <c r="BV1167" s="351"/>
    </row>
    <row r="1168" spans="1:74" ht="45" customHeight="1">
      <c r="A1168" s="24">
        <f t="shared" si="4"/>
        <v>1154</v>
      </c>
      <c r="B1168" s="558" t="s">
        <v>294</v>
      </c>
      <c r="C1168" s="351"/>
      <c r="D1168" s="559" t="s">
        <v>298</v>
      </c>
      <c r="E1168" s="351"/>
      <c r="F1168" s="524" t="s">
        <v>325</v>
      </c>
      <c r="G1168" s="351"/>
      <c r="H1168" s="525" t="s">
        <v>325</v>
      </c>
      <c r="I1168" s="351"/>
      <c r="J1168" s="40"/>
      <c r="K1168" s="41"/>
      <c r="L1168" s="40"/>
      <c r="M1168" s="41"/>
      <c r="N1168" s="37"/>
      <c r="O1168" s="38"/>
      <c r="P1168" s="560"/>
      <c r="Q1168" s="351"/>
      <c r="R1168" s="535"/>
      <c r="S1168" s="351"/>
      <c r="T1168" s="536"/>
      <c r="U1168" s="351"/>
      <c r="V1168" s="537"/>
      <c r="W1168" s="351"/>
      <c r="X1168" s="538" t="s">
        <v>294</v>
      </c>
      <c r="Y1168" s="350"/>
      <c r="Z1168" s="350"/>
      <c r="AA1168" s="351"/>
      <c r="AB1168" s="539" t="s">
        <v>294</v>
      </c>
      <c r="AC1168" s="350"/>
      <c r="AD1168" s="350"/>
      <c r="AE1168" s="351"/>
      <c r="AF1168" s="540"/>
      <c r="AG1168" s="351"/>
      <c r="AH1168" s="540"/>
      <c r="AI1168" s="351"/>
      <c r="AJ1168" s="545"/>
      <c r="AK1168" s="351"/>
      <c r="AL1168" s="555" t="s">
        <v>325</v>
      </c>
      <c r="AM1168" s="351"/>
      <c r="AN1168" s="531" t="s">
        <v>325</v>
      </c>
      <c r="AO1168" s="351"/>
      <c r="AP1168" s="532"/>
      <c r="AQ1168" s="351"/>
      <c r="AR1168" s="533"/>
      <c r="AS1168" s="351"/>
      <c r="AT1168" s="534"/>
      <c r="AU1168" s="351"/>
      <c r="AV1168" s="531" t="s">
        <v>325</v>
      </c>
      <c r="AW1168" s="351"/>
      <c r="AX1168" s="553"/>
      <c r="AY1168" s="350"/>
      <c r="AZ1168" s="351"/>
      <c r="BA1168" s="545"/>
      <c r="BB1168" s="351"/>
      <c r="BC1168" s="36"/>
      <c r="BD1168" s="556" t="s">
        <v>325</v>
      </c>
      <c r="BE1168" s="351"/>
      <c r="BF1168" s="557"/>
      <c r="BG1168" s="350"/>
      <c r="BH1168" s="350"/>
      <c r="BI1168" s="351"/>
      <c r="BJ1168" s="506" t="s">
        <v>294</v>
      </c>
      <c r="BK1168" s="350"/>
      <c r="BL1168" s="350"/>
      <c r="BM1168" s="351"/>
      <c r="BN1168" s="530" t="s">
        <v>294</v>
      </c>
      <c r="BO1168" s="350"/>
      <c r="BP1168" s="350"/>
      <c r="BQ1168" s="350"/>
      <c r="BR1168" s="350"/>
      <c r="BS1168" s="350"/>
      <c r="BT1168" s="350"/>
      <c r="BU1168" s="350"/>
      <c r="BV1168" s="351"/>
    </row>
    <row r="1169" spans="1:74" ht="45" customHeight="1">
      <c r="A1169" s="24">
        <f t="shared" si="4"/>
        <v>1155</v>
      </c>
      <c r="B1169" s="522" t="s">
        <v>294</v>
      </c>
      <c r="C1169" s="351"/>
      <c r="D1169" s="523" t="s">
        <v>298</v>
      </c>
      <c r="E1169" s="351"/>
      <c r="F1169" s="524" t="s">
        <v>325</v>
      </c>
      <c r="G1169" s="351"/>
      <c r="H1169" s="561" t="s">
        <v>325</v>
      </c>
      <c r="I1169" s="351"/>
      <c r="J1169" s="562"/>
      <c r="K1169" s="351"/>
      <c r="L1169" s="562"/>
      <c r="M1169" s="351"/>
      <c r="N1169" s="34"/>
      <c r="O1169" s="38"/>
      <c r="P1169" s="526"/>
      <c r="Q1169" s="351"/>
      <c r="R1169" s="527"/>
      <c r="S1169" s="351"/>
      <c r="T1169" s="528"/>
      <c r="U1169" s="351"/>
      <c r="V1169" s="541"/>
      <c r="W1169" s="351"/>
      <c r="X1169" s="542" t="s">
        <v>294</v>
      </c>
      <c r="Y1169" s="350"/>
      <c r="Z1169" s="350"/>
      <c r="AA1169" s="351"/>
      <c r="AB1169" s="543" t="s">
        <v>294</v>
      </c>
      <c r="AC1169" s="350"/>
      <c r="AD1169" s="350"/>
      <c r="AE1169" s="351"/>
      <c r="AF1169" s="544"/>
      <c r="AG1169" s="351"/>
      <c r="AH1169" s="544"/>
      <c r="AI1169" s="351"/>
      <c r="AJ1169" s="545"/>
      <c r="AK1169" s="351"/>
      <c r="AL1169" s="524" t="s">
        <v>325</v>
      </c>
      <c r="AM1169" s="351"/>
      <c r="AN1169" s="549" t="s">
        <v>325</v>
      </c>
      <c r="AO1169" s="351"/>
      <c r="AP1169" s="550"/>
      <c r="AQ1169" s="351"/>
      <c r="AR1169" s="551"/>
      <c r="AS1169" s="351"/>
      <c r="AT1169" s="552"/>
      <c r="AU1169" s="351"/>
      <c r="AV1169" s="549" t="s">
        <v>325</v>
      </c>
      <c r="AW1169" s="351"/>
      <c r="AX1169" s="553"/>
      <c r="AY1169" s="350"/>
      <c r="AZ1169" s="351"/>
      <c r="BA1169" s="554"/>
      <c r="BB1169" s="351"/>
      <c r="BC1169" s="39"/>
      <c r="BD1169" s="546" t="s">
        <v>325</v>
      </c>
      <c r="BE1169" s="351"/>
      <c r="BF1169" s="547"/>
      <c r="BG1169" s="350"/>
      <c r="BH1169" s="350"/>
      <c r="BI1169" s="351"/>
      <c r="BJ1169" s="548" t="s">
        <v>294</v>
      </c>
      <c r="BK1169" s="350"/>
      <c r="BL1169" s="350"/>
      <c r="BM1169" s="351"/>
      <c r="BN1169" s="530" t="s">
        <v>294</v>
      </c>
      <c r="BO1169" s="350"/>
      <c r="BP1169" s="350"/>
      <c r="BQ1169" s="350"/>
      <c r="BR1169" s="350"/>
      <c r="BS1169" s="350"/>
      <c r="BT1169" s="350"/>
      <c r="BU1169" s="350"/>
      <c r="BV1169" s="351"/>
    </row>
    <row r="1170" spans="1:74" ht="45" customHeight="1">
      <c r="A1170" s="24">
        <f t="shared" si="4"/>
        <v>1156</v>
      </c>
      <c r="B1170" s="558" t="s">
        <v>294</v>
      </c>
      <c r="C1170" s="351"/>
      <c r="D1170" s="559" t="s">
        <v>298</v>
      </c>
      <c r="E1170" s="351"/>
      <c r="F1170" s="524" t="s">
        <v>325</v>
      </c>
      <c r="G1170" s="351"/>
      <c r="H1170" s="525" t="s">
        <v>325</v>
      </c>
      <c r="I1170" s="351"/>
      <c r="J1170" s="40"/>
      <c r="K1170" s="41"/>
      <c r="L1170" s="40"/>
      <c r="M1170" s="41"/>
      <c r="N1170" s="37"/>
      <c r="O1170" s="35"/>
      <c r="P1170" s="560"/>
      <c r="Q1170" s="351"/>
      <c r="R1170" s="535"/>
      <c r="S1170" s="351"/>
      <c r="T1170" s="536"/>
      <c r="U1170" s="351"/>
      <c r="V1170" s="537"/>
      <c r="W1170" s="351"/>
      <c r="X1170" s="538" t="s">
        <v>294</v>
      </c>
      <c r="Y1170" s="350"/>
      <c r="Z1170" s="350"/>
      <c r="AA1170" s="351"/>
      <c r="AB1170" s="539" t="s">
        <v>294</v>
      </c>
      <c r="AC1170" s="350"/>
      <c r="AD1170" s="350"/>
      <c r="AE1170" s="351"/>
      <c r="AF1170" s="540"/>
      <c r="AG1170" s="351"/>
      <c r="AH1170" s="540"/>
      <c r="AI1170" s="351"/>
      <c r="AJ1170" s="545"/>
      <c r="AK1170" s="351"/>
      <c r="AL1170" s="555" t="s">
        <v>325</v>
      </c>
      <c r="AM1170" s="351"/>
      <c r="AN1170" s="531" t="s">
        <v>325</v>
      </c>
      <c r="AO1170" s="351"/>
      <c r="AP1170" s="532"/>
      <c r="AQ1170" s="351"/>
      <c r="AR1170" s="533"/>
      <c r="AS1170" s="351"/>
      <c r="AT1170" s="534"/>
      <c r="AU1170" s="351"/>
      <c r="AV1170" s="531" t="s">
        <v>325</v>
      </c>
      <c r="AW1170" s="351"/>
      <c r="AX1170" s="553"/>
      <c r="AY1170" s="350"/>
      <c r="AZ1170" s="351"/>
      <c r="BA1170" s="545"/>
      <c r="BB1170" s="351"/>
      <c r="BC1170" s="36"/>
      <c r="BD1170" s="556" t="s">
        <v>325</v>
      </c>
      <c r="BE1170" s="351"/>
      <c r="BF1170" s="529"/>
      <c r="BG1170" s="350"/>
      <c r="BH1170" s="350"/>
      <c r="BI1170" s="351"/>
      <c r="BJ1170" s="506" t="s">
        <v>294</v>
      </c>
      <c r="BK1170" s="350"/>
      <c r="BL1170" s="350"/>
      <c r="BM1170" s="351"/>
      <c r="BN1170" s="530" t="s">
        <v>294</v>
      </c>
      <c r="BO1170" s="350"/>
      <c r="BP1170" s="350"/>
      <c r="BQ1170" s="350"/>
      <c r="BR1170" s="350"/>
      <c r="BS1170" s="350"/>
      <c r="BT1170" s="350"/>
      <c r="BU1170" s="350"/>
      <c r="BV1170" s="351"/>
    </row>
    <row r="1171" spans="1:74" ht="45" customHeight="1">
      <c r="A1171" s="24">
        <f t="shared" si="4"/>
        <v>1157</v>
      </c>
      <c r="B1171" s="522" t="s">
        <v>294</v>
      </c>
      <c r="C1171" s="351"/>
      <c r="D1171" s="523" t="s">
        <v>298</v>
      </c>
      <c r="E1171" s="351"/>
      <c r="F1171" s="524" t="s">
        <v>325</v>
      </c>
      <c r="G1171" s="351"/>
      <c r="H1171" s="561" t="s">
        <v>325</v>
      </c>
      <c r="I1171" s="351"/>
      <c r="J1171" s="562"/>
      <c r="K1171" s="351"/>
      <c r="L1171" s="562"/>
      <c r="M1171" s="351"/>
      <c r="N1171" s="34"/>
      <c r="O1171" s="38"/>
      <c r="P1171" s="526"/>
      <c r="Q1171" s="351"/>
      <c r="R1171" s="527"/>
      <c r="S1171" s="351"/>
      <c r="T1171" s="528"/>
      <c r="U1171" s="351"/>
      <c r="V1171" s="541"/>
      <c r="W1171" s="351"/>
      <c r="X1171" s="542" t="s">
        <v>294</v>
      </c>
      <c r="Y1171" s="350"/>
      <c r="Z1171" s="350"/>
      <c r="AA1171" s="351"/>
      <c r="AB1171" s="543" t="s">
        <v>294</v>
      </c>
      <c r="AC1171" s="350"/>
      <c r="AD1171" s="350"/>
      <c r="AE1171" s="351"/>
      <c r="AF1171" s="544"/>
      <c r="AG1171" s="351"/>
      <c r="AH1171" s="544"/>
      <c r="AI1171" s="351"/>
      <c r="AJ1171" s="545"/>
      <c r="AK1171" s="351"/>
      <c r="AL1171" s="524" t="s">
        <v>325</v>
      </c>
      <c r="AM1171" s="351"/>
      <c r="AN1171" s="549" t="s">
        <v>325</v>
      </c>
      <c r="AO1171" s="351"/>
      <c r="AP1171" s="550"/>
      <c r="AQ1171" s="351"/>
      <c r="AR1171" s="551"/>
      <c r="AS1171" s="351"/>
      <c r="AT1171" s="552"/>
      <c r="AU1171" s="351"/>
      <c r="AV1171" s="549" t="s">
        <v>325</v>
      </c>
      <c r="AW1171" s="351"/>
      <c r="AX1171" s="553"/>
      <c r="AY1171" s="350"/>
      <c r="AZ1171" s="351"/>
      <c r="BA1171" s="554"/>
      <c r="BB1171" s="351"/>
      <c r="BC1171" s="39"/>
      <c r="BD1171" s="546" t="s">
        <v>325</v>
      </c>
      <c r="BE1171" s="351"/>
      <c r="BF1171" s="547"/>
      <c r="BG1171" s="350"/>
      <c r="BH1171" s="350"/>
      <c r="BI1171" s="351"/>
      <c r="BJ1171" s="548" t="s">
        <v>294</v>
      </c>
      <c r="BK1171" s="350"/>
      <c r="BL1171" s="350"/>
      <c r="BM1171" s="351"/>
      <c r="BN1171" s="530" t="s">
        <v>294</v>
      </c>
      <c r="BO1171" s="350"/>
      <c r="BP1171" s="350"/>
      <c r="BQ1171" s="350"/>
      <c r="BR1171" s="350"/>
      <c r="BS1171" s="350"/>
      <c r="BT1171" s="350"/>
      <c r="BU1171" s="350"/>
      <c r="BV1171" s="351"/>
    </row>
    <row r="1172" spans="1:74" ht="45" customHeight="1">
      <c r="A1172" s="24">
        <f t="shared" si="4"/>
        <v>1158</v>
      </c>
      <c r="B1172" s="558" t="s">
        <v>294</v>
      </c>
      <c r="C1172" s="351"/>
      <c r="D1172" s="559" t="s">
        <v>298</v>
      </c>
      <c r="E1172" s="351"/>
      <c r="F1172" s="524" t="s">
        <v>325</v>
      </c>
      <c r="G1172" s="351"/>
      <c r="H1172" s="525" t="s">
        <v>325</v>
      </c>
      <c r="I1172" s="351"/>
      <c r="J1172" s="40"/>
      <c r="K1172" s="41"/>
      <c r="L1172" s="40"/>
      <c r="M1172" s="41"/>
      <c r="N1172" s="37"/>
      <c r="O1172" s="35"/>
      <c r="P1172" s="560"/>
      <c r="Q1172" s="351"/>
      <c r="R1172" s="535"/>
      <c r="S1172" s="351"/>
      <c r="T1172" s="536"/>
      <c r="U1172" s="351"/>
      <c r="V1172" s="537"/>
      <c r="W1172" s="351"/>
      <c r="X1172" s="538" t="s">
        <v>294</v>
      </c>
      <c r="Y1172" s="350"/>
      <c r="Z1172" s="350"/>
      <c r="AA1172" s="351"/>
      <c r="AB1172" s="539" t="s">
        <v>294</v>
      </c>
      <c r="AC1172" s="350"/>
      <c r="AD1172" s="350"/>
      <c r="AE1172" s="351"/>
      <c r="AF1172" s="540"/>
      <c r="AG1172" s="351"/>
      <c r="AH1172" s="540"/>
      <c r="AI1172" s="351"/>
      <c r="AJ1172" s="545"/>
      <c r="AK1172" s="351"/>
      <c r="AL1172" s="555" t="s">
        <v>325</v>
      </c>
      <c r="AM1172" s="351"/>
      <c r="AN1172" s="531" t="s">
        <v>325</v>
      </c>
      <c r="AO1172" s="351"/>
      <c r="AP1172" s="532"/>
      <c r="AQ1172" s="351"/>
      <c r="AR1172" s="533"/>
      <c r="AS1172" s="351"/>
      <c r="AT1172" s="534"/>
      <c r="AU1172" s="351"/>
      <c r="AV1172" s="531" t="s">
        <v>325</v>
      </c>
      <c r="AW1172" s="351"/>
      <c r="AX1172" s="553"/>
      <c r="AY1172" s="350"/>
      <c r="AZ1172" s="351"/>
      <c r="BA1172" s="545"/>
      <c r="BB1172" s="351"/>
      <c r="BC1172" s="36"/>
      <c r="BD1172" s="556" t="s">
        <v>325</v>
      </c>
      <c r="BE1172" s="351"/>
      <c r="BF1172" s="557"/>
      <c r="BG1172" s="350"/>
      <c r="BH1172" s="350"/>
      <c r="BI1172" s="351"/>
      <c r="BJ1172" s="506" t="s">
        <v>294</v>
      </c>
      <c r="BK1172" s="350"/>
      <c r="BL1172" s="350"/>
      <c r="BM1172" s="351"/>
      <c r="BN1172" s="530" t="s">
        <v>294</v>
      </c>
      <c r="BO1172" s="350"/>
      <c r="BP1172" s="350"/>
      <c r="BQ1172" s="350"/>
      <c r="BR1172" s="350"/>
      <c r="BS1172" s="350"/>
      <c r="BT1172" s="350"/>
      <c r="BU1172" s="350"/>
      <c r="BV1172" s="351"/>
    </row>
    <row r="1173" spans="1:74" ht="45" customHeight="1">
      <c r="A1173" s="24">
        <f t="shared" si="4"/>
        <v>1159</v>
      </c>
      <c r="B1173" s="522" t="s">
        <v>294</v>
      </c>
      <c r="C1173" s="351"/>
      <c r="D1173" s="523" t="s">
        <v>298</v>
      </c>
      <c r="E1173" s="351"/>
      <c r="F1173" s="524" t="s">
        <v>325</v>
      </c>
      <c r="G1173" s="351"/>
      <c r="H1173" s="561" t="s">
        <v>325</v>
      </c>
      <c r="I1173" s="351"/>
      <c r="J1173" s="562"/>
      <c r="K1173" s="351"/>
      <c r="L1173" s="562"/>
      <c r="M1173" s="351"/>
      <c r="N1173" s="34"/>
      <c r="O1173" s="38"/>
      <c r="P1173" s="526"/>
      <c r="Q1173" s="351"/>
      <c r="R1173" s="527"/>
      <c r="S1173" s="351"/>
      <c r="T1173" s="528"/>
      <c r="U1173" s="351"/>
      <c r="V1173" s="541"/>
      <c r="W1173" s="351"/>
      <c r="X1173" s="542" t="s">
        <v>294</v>
      </c>
      <c r="Y1173" s="350"/>
      <c r="Z1173" s="350"/>
      <c r="AA1173" s="351"/>
      <c r="AB1173" s="543" t="s">
        <v>294</v>
      </c>
      <c r="AC1173" s="350"/>
      <c r="AD1173" s="350"/>
      <c r="AE1173" s="351"/>
      <c r="AF1173" s="544"/>
      <c r="AG1173" s="351"/>
      <c r="AH1173" s="544"/>
      <c r="AI1173" s="351"/>
      <c r="AJ1173" s="545"/>
      <c r="AK1173" s="351"/>
      <c r="AL1173" s="524" t="s">
        <v>325</v>
      </c>
      <c r="AM1173" s="351"/>
      <c r="AN1173" s="549" t="s">
        <v>325</v>
      </c>
      <c r="AO1173" s="351"/>
      <c r="AP1173" s="550"/>
      <c r="AQ1173" s="351"/>
      <c r="AR1173" s="551"/>
      <c r="AS1173" s="351"/>
      <c r="AT1173" s="552"/>
      <c r="AU1173" s="351"/>
      <c r="AV1173" s="549" t="s">
        <v>325</v>
      </c>
      <c r="AW1173" s="351"/>
      <c r="AX1173" s="553"/>
      <c r="AY1173" s="350"/>
      <c r="AZ1173" s="351"/>
      <c r="BA1173" s="554"/>
      <c r="BB1173" s="351"/>
      <c r="BC1173" s="39"/>
      <c r="BD1173" s="546" t="s">
        <v>325</v>
      </c>
      <c r="BE1173" s="351"/>
      <c r="BF1173" s="547"/>
      <c r="BG1173" s="350"/>
      <c r="BH1173" s="350"/>
      <c r="BI1173" s="351"/>
      <c r="BJ1173" s="548" t="s">
        <v>294</v>
      </c>
      <c r="BK1173" s="350"/>
      <c r="BL1173" s="350"/>
      <c r="BM1173" s="351"/>
      <c r="BN1173" s="530" t="s">
        <v>294</v>
      </c>
      <c r="BO1173" s="350"/>
      <c r="BP1173" s="350"/>
      <c r="BQ1173" s="350"/>
      <c r="BR1173" s="350"/>
      <c r="BS1173" s="350"/>
      <c r="BT1173" s="350"/>
      <c r="BU1173" s="350"/>
      <c r="BV1173" s="351"/>
    </row>
    <row r="1174" spans="1:74" ht="45" customHeight="1">
      <c r="A1174" s="24">
        <f t="shared" si="4"/>
        <v>1160</v>
      </c>
      <c r="B1174" s="558" t="s">
        <v>294</v>
      </c>
      <c r="C1174" s="351"/>
      <c r="D1174" s="559" t="s">
        <v>298</v>
      </c>
      <c r="E1174" s="351"/>
      <c r="F1174" s="524" t="s">
        <v>325</v>
      </c>
      <c r="G1174" s="351"/>
      <c r="H1174" s="525" t="s">
        <v>325</v>
      </c>
      <c r="I1174" s="351"/>
      <c r="J1174" s="40"/>
      <c r="K1174" s="41"/>
      <c r="L1174" s="40"/>
      <c r="M1174" s="41"/>
      <c r="N1174" s="37"/>
      <c r="O1174" s="35"/>
      <c r="P1174" s="560"/>
      <c r="Q1174" s="351"/>
      <c r="R1174" s="535"/>
      <c r="S1174" s="351"/>
      <c r="T1174" s="536"/>
      <c r="U1174" s="351"/>
      <c r="V1174" s="537"/>
      <c r="W1174" s="351"/>
      <c r="X1174" s="538" t="s">
        <v>294</v>
      </c>
      <c r="Y1174" s="350"/>
      <c r="Z1174" s="350"/>
      <c r="AA1174" s="351"/>
      <c r="AB1174" s="539" t="s">
        <v>294</v>
      </c>
      <c r="AC1174" s="350"/>
      <c r="AD1174" s="350"/>
      <c r="AE1174" s="351"/>
      <c r="AF1174" s="540"/>
      <c r="AG1174" s="351"/>
      <c r="AH1174" s="540"/>
      <c r="AI1174" s="351"/>
      <c r="AJ1174" s="545"/>
      <c r="AK1174" s="351"/>
      <c r="AL1174" s="555" t="s">
        <v>325</v>
      </c>
      <c r="AM1174" s="351"/>
      <c r="AN1174" s="531" t="s">
        <v>325</v>
      </c>
      <c r="AO1174" s="351"/>
      <c r="AP1174" s="532"/>
      <c r="AQ1174" s="351"/>
      <c r="AR1174" s="533"/>
      <c r="AS1174" s="351"/>
      <c r="AT1174" s="534"/>
      <c r="AU1174" s="351"/>
      <c r="AV1174" s="531" t="s">
        <v>325</v>
      </c>
      <c r="AW1174" s="351"/>
      <c r="AX1174" s="553"/>
      <c r="AY1174" s="350"/>
      <c r="AZ1174" s="351"/>
      <c r="BA1174" s="545"/>
      <c r="BB1174" s="351"/>
      <c r="BC1174" s="36"/>
      <c r="BD1174" s="556" t="s">
        <v>325</v>
      </c>
      <c r="BE1174" s="351"/>
      <c r="BF1174" s="557"/>
      <c r="BG1174" s="350"/>
      <c r="BH1174" s="350"/>
      <c r="BI1174" s="351"/>
      <c r="BJ1174" s="506" t="s">
        <v>294</v>
      </c>
      <c r="BK1174" s="350"/>
      <c r="BL1174" s="350"/>
      <c r="BM1174" s="351"/>
      <c r="BN1174" s="530" t="s">
        <v>294</v>
      </c>
      <c r="BO1174" s="350"/>
      <c r="BP1174" s="350"/>
      <c r="BQ1174" s="350"/>
      <c r="BR1174" s="350"/>
      <c r="BS1174" s="350"/>
      <c r="BT1174" s="350"/>
      <c r="BU1174" s="350"/>
      <c r="BV1174" s="351"/>
    </row>
    <row r="1175" spans="1:74" ht="45" customHeight="1">
      <c r="A1175" s="24">
        <f t="shared" si="4"/>
        <v>1161</v>
      </c>
      <c r="B1175" s="522" t="s">
        <v>294</v>
      </c>
      <c r="C1175" s="351"/>
      <c r="D1175" s="523" t="s">
        <v>298</v>
      </c>
      <c r="E1175" s="351"/>
      <c r="F1175" s="524" t="s">
        <v>325</v>
      </c>
      <c r="G1175" s="351"/>
      <c r="H1175" s="561" t="s">
        <v>325</v>
      </c>
      <c r="I1175" s="351"/>
      <c r="J1175" s="562"/>
      <c r="K1175" s="351"/>
      <c r="L1175" s="562"/>
      <c r="M1175" s="351"/>
      <c r="N1175" s="34"/>
      <c r="O1175" s="38"/>
      <c r="P1175" s="526"/>
      <c r="Q1175" s="351"/>
      <c r="R1175" s="527"/>
      <c r="S1175" s="351"/>
      <c r="T1175" s="528"/>
      <c r="U1175" s="351"/>
      <c r="V1175" s="541"/>
      <c r="W1175" s="351"/>
      <c r="X1175" s="542" t="s">
        <v>294</v>
      </c>
      <c r="Y1175" s="350"/>
      <c r="Z1175" s="350"/>
      <c r="AA1175" s="351"/>
      <c r="AB1175" s="543" t="s">
        <v>294</v>
      </c>
      <c r="AC1175" s="350"/>
      <c r="AD1175" s="350"/>
      <c r="AE1175" s="351"/>
      <c r="AF1175" s="544"/>
      <c r="AG1175" s="351"/>
      <c r="AH1175" s="544"/>
      <c r="AI1175" s="351"/>
      <c r="AJ1175" s="545"/>
      <c r="AK1175" s="351"/>
      <c r="AL1175" s="524" t="s">
        <v>325</v>
      </c>
      <c r="AM1175" s="351"/>
      <c r="AN1175" s="549" t="s">
        <v>325</v>
      </c>
      <c r="AO1175" s="351"/>
      <c r="AP1175" s="550"/>
      <c r="AQ1175" s="351"/>
      <c r="AR1175" s="551"/>
      <c r="AS1175" s="351"/>
      <c r="AT1175" s="552"/>
      <c r="AU1175" s="351"/>
      <c r="AV1175" s="549" t="s">
        <v>325</v>
      </c>
      <c r="AW1175" s="351"/>
      <c r="AX1175" s="553"/>
      <c r="AY1175" s="350"/>
      <c r="AZ1175" s="351"/>
      <c r="BA1175" s="554"/>
      <c r="BB1175" s="351"/>
      <c r="BC1175" s="39"/>
      <c r="BD1175" s="546" t="s">
        <v>325</v>
      </c>
      <c r="BE1175" s="351"/>
      <c r="BF1175" s="547"/>
      <c r="BG1175" s="350"/>
      <c r="BH1175" s="350"/>
      <c r="BI1175" s="351"/>
      <c r="BJ1175" s="548" t="s">
        <v>294</v>
      </c>
      <c r="BK1175" s="350"/>
      <c r="BL1175" s="350"/>
      <c r="BM1175" s="351"/>
      <c r="BN1175" s="530" t="s">
        <v>294</v>
      </c>
      <c r="BO1175" s="350"/>
      <c r="BP1175" s="350"/>
      <c r="BQ1175" s="350"/>
      <c r="BR1175" s="350"/>
      <c r="BS1175" s="350"/>
      <c r="BT1175" s="350"/>
      <c r="BU1175" s="350"/>
      <c r="BV1175" s="351"/>
    </row>
    <row r="1176" spans="1:74" ht="45" customHeight="1">
      <c r="A1176" s="24">
        <f t="shared" si="4"/>
        <v>1162</v>
      </c>
      <c r="B1176" s="558" t="s">
        <v>294</v>
      </c>
      <c r="C1176" s="351"/>
      <c r="D1176" s="559" t="s">
        <v>298</v>
      </c>
      <c r="E1176" s="351"/>
      <c r="F1176" s="524" t="s">
        <v>325</v>
      </c>
      <c r="G1176" s="351"/>
      <c r="H1176" s="525" t="s">
        <v>325</v>
      </c>
      <c r="I1176" s="351"/>
      <c r="J1176" s="40"/>
      <c r="K1176" s="41"/>
      <c r="L1176" s="40"/>
      <c r="M1176" s="41"/>
      <c r="N1176" s="37"/>
      <c r="O1176" s="35"/>
      <c r="P1176" s="560"/>
      <c r="Q1176" s="351"/>
      <c r="R1176" s="535"/>
      <c r="S1176" s="351"/>
      <c r="T1176" s="536"/>
      <c r="U1176" s="351"/>
      <c r="V1176" s="537"/>
      <c r="W1176" s="351"/>
      <c r="X1176" s="538" t="s">
        <v>294</v>
      </c>
      <c r="Y1176" s="350"/>
      <c r="Z1176" s="350"/>
      <c r="AA1176" s="351"/>
      <c r="AB1176" s="539" t="s">
        <v>294</v>
      </c>
      <c r="AC1176" s="350"/>
      <c r="AD1176" s="350"/>
      <c r="AE1176" s="351"/>
      <c r="AF1176" s="540"/>
      <c r="AG1176" s="351"/>
      <c r="AH1176" s="540"/>
      <c r="AI1176" s="351"/>
      <c r="AJ1176" s="545"/>
      <c r="AK1176" s="351"/>
      <c r="AL1176" s="555" t="s">
        <v>325</v>
      </c>
      <c r="AM1176" s="351"/>
      <c r="AN1176" s="531" t="s">
        <v>325</v>
      </c>
      <c r="AO1176" s="351"/>
      <c r="AP1176" s="532"/>
      <c r="AQ1176" s="351"/>
      <c r="AR1176" s="533"/>
      <c r="AS1176" s="351"/>
      <c r="AT1176" s="534"/>
      <c r="AU1176" s="351"/>
      <c r="AV1176" s="531" t="s">
        <v>325</v>
      </c>
      <c r="AW1176" s="351"/>
      <c r="AX1176" s="553"/>
      <c r="AY1176" s="350"/>
      <c r="AZ1176" s="351"/>
      <c r="BA1176" s="545"/>
      <c r="BB1176" s="351"/>
      <c r="BC1176" s="36"/>
      <c r="BD1176" s="556" t="s">
        <v>325</v>
      </c>
      <c r="BE1176" s="351"/>
      <c r="BF1176" s="529"/>
      <c r="BG1176" s="350"/>
      <c r="BH1176" s="350"/>
      <c r="BI1176" s="351"/>
      <c r="BJ1176" s="506" t="s">
        <v>294</v>
      </c>
      <c r="BK1176" s="350"/>
      <c r="BL1176" s="350"/>
      <c r="BM1176" s="351"/>
      <c r="BN1176" s="530" t="s">
        <v>294</v>
      </c>
      <c r="BO1176" s="350"/>
      <c r="BP1176" s="350"/>
      <c r="BQ1176" s="350"/>
      <c r="BR1176" s="350"/>
      <c r="BS1176" s="350"/>
      <c r="BT1176" s="350"/>
      <c r="BU1176" s="350"/>
      <c r="BV1176" s="351"/>
    </row>
    <row r="1177" spans="1:74" ht="45" customHeight="1">
      <c r="A1177" s="24">
        <f t="shared" si="4"/>
        <v>1163</v>
      </c>
      <c r="B1177" s="522" t="s">
        <v>294</v>
      </c>
      <c r="C1177" s="351"/>
      <c r="D1177" s="523" t="s">
        <v>298</v>
      </c>
      <c r="E1177" s="351"/>
      <c r="F1177" s="524" t="s">
        <v>325</v>
      </c>
      <c r="G1177" s="351"/>
      <c r="H1177" s="561" t="s">
        <v>325</v>
      </c>
      <c r="I1177" s="351"/>
      <c r="J1177" s="562"/>
      <c r="K1177" s="351"/>
      <c r="L1177" s="562"/>
      <c r="M1177" s="351"/>
      <c r="N1177" s="34"/>
      <c r="O1177" s="38"/>
      <c r="P1177" s="526"/>
      <c r="Q1177" s="351"/>
      <c r="R1177" s="527"/>
      <c r="S1177" s="351"/>
      <c r="T1177" s="528"/>
      <c r="U1177" s="351"/>
      <c r="V1177" s="541"/>
      <c r="W1177" s="351"/>
      <c r="X1177" s="542" t="s">
        <v>294</v>
      </c>
      <c r="Y1177" s="350"/>
      <c r="Z1177" s="350"/>
      <c r="AA1177" s="351"/>
      <c r="AB1177" s="543" t="s">
        <v>294</v>
      </c>
      <c r="AC1177" s="350"/>
      <c r="AD1177" s="350"/>
      <c r="AE1177" s="351"/>
      <c r="AF1177" s="544"/>
      <c r="AG1177" s="351"/>
      <c r="AH1177" s="544"/>
      <c r="AI1177" s="351"/>
      <c r="AJ1177" s="545"/>
      <c r="AK1177" s="351"/>
      <c r="AL1177" s="524" t="s">
        <v>325</v>
      </c>
      <c r="AM1177" s="351"/>
      <c r="AN1177" s="549" t="s">
        <v>325</v>
      </c>
      <c r="AO1177" s="351"/>
      <c r="AP1177" s="550"/>
      <c r="AQ1177" s="351"/>
      <c r="AR1177" s="551"/>
      <c r="AS1177" s="351"/>
      <c r="AT1177" s="552"/>
      <c r="AU1177" s="351"/>
      <c r="AV1177" s="549" t="s">
        <v>325</v>
      </c>
      <c r="AW1177" s="351"/>
      <c r="AX1177" s="553"/>
      <c r="AY1177" s="350"/>
      <c r="AZ1177" s="351"/>
      <c r="BA1177" s="554"/>
      <c r="BB1177" s="351"/>
      <c r="BC1177" s="39"/>
      <c r="BD1177" s="546" t="s">
        <v>325</v>
      </c>
      <c r="BE1177" s="351"/>
      <c r="BF1177" s="547"/>
      <c r="BG1177" s="350"/>
      <c r="BH1177" s="350"/>
      <c r="BI1177" s="351"/>
      <c r="BJ1177" s="548" t="s">
        <v>294</v>
      </c>
      <c r="BK1177" s="350"/>
      <c r="BL1177" s="350"/>
      <c r="BM1177" s="351"/>
      <c r="BN1177" s="530" t="s">
        <v>294</v>
      </c>
      <c r="BO1177" s="350"/>
      <c r="BP1177" s="350"/>
      <c r="BQ1177" s="350"/>
      <c r="BR1177" s="350"/>
      <c r="BS1177" s="350"/>
      <c r="BT1177" s="350"/>
      <c r="BU1177" s="350"/>
      <c r="BV1177" s="351"/>
    </row>
    <row r="1178" spans="1:74" ht="45" customHeight="1">
      <c r="A1178" s="24">
        <f t="shared" si="4"/>
        <v>1164</v>
      </c>
      <c r="B1178" s="558" t="s">
        <v>294</v>
      </c>
      <c r="C1178" s="351"/>
      <c r="D1178" s="559" t="s">
        <v>298</v>
      </c>
      <c r="E1178" s="351"/>
      <c r="F1178" s="524" t="s">
        <v>325</v>
      </c>
      <c r="G1178" s="351"/>
      <c r="H1178" s="525" t="s">
        <v>325</v>
      </c>
      <c r="I1178" s="351"/>
      <c r="J1178" s="40"/>
      <c r="K1178" s="41"/>
      <c r="L1178" s="40"/>
      <c r="M1178" s="41"/>
      <c r="N1178" s="37"/>
      <c r="O1178" s="35"/>
      <c r="P1178" s="560"/>
      <c r="Q1178" s="351"/>
      <c r="R1178" s="535"/>
      <c r="S1178" s="351"/>
      <c r="T1178" s="536"/>
      <c r="U1178" s="351"/>
      <c r="V1178" s="537"/>
      <c r="W1178" s="351"/>
      <c r="X1178" s="538" t="s">
        <v>294</v>
      </c>
      <c r="Y1178" s="350"/>
      <c r="Z1178" s="350"/>
      <c r="AA1178" s="351"/>
      <c r="AB1178" s="539" t="s">
        <v>294</v>
      </c>
      <c r="AC1178" s="350"/>
      <c r="AD1178" s="350"/>
      <c r="AE1178" s="351"/>
      <c r="AF1178" s="540"/>
      <c r="AG1178" s="351"/>
      <c r="AH1178" s="540"/>
      <c r="AI1178" s="351"/>
      <c r="AJ1178" s="545"/>
      <c r="AK1178" s="351"/>
      <c r="AL1178" s="555" t="s">
        <v>325</v>
      </c>
      <c r="AM1178" s="351"/>
      <c r="AN1178" s="531" t="s">
        <v>325</v>
      </c>
      <c r="AO1178" s="351"/>
      <c r="AP1178" s="532"/>
      <c r="AQ1178" s="351"/>
      <c r="AR1178" s="533"/>
      <c r="AS1178" s="351"/>
      <c r="AT1178" s="534"/>
      <c r="AU1178" s="351"/>
      <c r="AV1178" s="531" t="s">
        <v>325</v>
      </c>
      <c r="AW1178" s="351"/>
      <c r="AX1178" s="553"/>
      <c r="AY1178" s="350"/>
      <c r="AZ1178" s="351"/>
      <c r="BA1178" s="545"/>
      <c r="BB1178" s="351"/>
      <c r="BC1178" s="36"/>
      <c r="BD1178" s="556" t="s">
        <v>325</v>
      </c>
      <c r="BE1178" s="351"/>
      <c r="BF1178" s="557"/>
      <c r="BG1178" s="350"/>
      <c r="BH1178" s="350"/>
      <c r="BI1178" s="351"/>
      <c r="BJ1178" s="506" t="s">
        <v>294</v>
      </c>
      <c r="BK1178" s="350"/>
      <c r="BL1178" s="350"/>
      <c r="BM1178" s="351"/>
      <c r="BN1178" s="530" t="s">
        <v>294</v>
      </c>
      <c r="BO1178" s="350"/>
      <c r="BP1178" s="350"/>
      <c r="BQ1178" s="350"/>
      <c r="BR1178" s="350"/>
      <c r="BS1178" s="350"/>
      <c r="BT1178" s="350"/>
      <c r="BU1178" s="350"/>
      <c r="BV1178" s="351"/>
    </row>
    <row r="1179" spans="1:74" ht="45" customHeight="1">
      <c r="A1179" s="24">
        <f t="shared" si="4"/>
        <v>1165</v>
      </c>
      <c r="B1179" s="522" t="s">
        <v>294</v>
      </c>
      <c r="C1179" s="351"/>
      <c r="D1179" s="523" t="s">
        <v>298</v>
      </c>
      <c r="E1179" s="351"/>
      <c r="F1179" s="524" t="s">
        <v>325</v>
      </c>
      <c r="G1179" s="351"/>
      <c r="H1179" s="561" t="s">
        <v>325</v>
      </c>
      <c r="I1179" s="351"/>
      <c r="J1179" s="562"/>
      <c r="K1179" s="351"/>
      <c r="L1179" s="562"/>
      <c r="M1179" s="351"/>
      <c r="N1179" s="37"/>
      <c r="O1179" s="38"/>
      <c r="P1179" s="560"/>
      <c r="Q1179" s="351"/>
      <c r="R1179" s="527"/>
      <c r="S1179" s="351"/>
      <c r="T1179" s="528"/>
      <c r="U1179" s="351"/>
      <c r="V1179" s="541"/>
      <c r="W1179" s="351"/>
      <c r="X1179" s="542" t="s">
        <v>294</v>
      </c>
      <c r="Y1179" s="350"/>
      <c r="Z1179" s="350"/>
      <c r="AA1179" s="351"/>
      <c r="AB1179" s="543" t="s">
        <v>294</v>
      </c>
      <c r="AC1179" s="350"/>
      <c r="AD1179" s="350"/>
      <c r="AE1179" s="351"/>
      <c r="AF1179" s="544"/>
      <c r="AG1179" s="351"/>
      <c r="AH1179" s="544"/>
      <c r="AI1179" s="351"/>
      <c r="AJ1179" s="545"/>
      <c r="AK1179" s="351"/>
      <c r="AL1179" s="524" t="s">
        <v>325</v>
      </c>
      <c r="AM1179" s="351"/>
      <c r="AN1179" s="549" t="s">
        <v>325</v>
      </c>
      <c r="AO1179" s="351"/>
      <c r="AP1179" s="550"/>
      <c r="AQ1179" s="351"/>
      <c r="AR1179" s="551"/>
      <c r="AS1179" s="351"/>
      <c r="AT1179" s="534"/>
      <c r="AU1179" s="351"/>
      <c r="AV1179" s="549" t="s">
        <v>325</v>
      </c>
      <c r="AW1179" s="351"/>
      <c r="AX1179" s="553"/>
      <c r="AY1179" s="350"/>
      <c r="AZ1179" s="351"/>
      <c r="BA1179" s="554"/>
      <c r="BB1179" s="351"/>
      <c r="BC1179" s="39"/>
      <c r="BD1179" s="546" t="s">
        <v>325</v>
      </c>
      <c r="BE1179" s="351"/>
      <c r="BF1179" s="547"/>
      <c r="BG1179" s="350"/>
      <c r="BH1179" s="350"/>
      <c r="BI1179" s="351"/>
      <c r="BJ1179" s="548" t="s">
        <v>294</v>
      </c>
      <c r="BK1179" s="350"/>
      <c r="BL1179" s="350"/>
      <c r="BM1179" s="351"/>
      <c r="BN1179" s="530" t="s">
        <v>294</v>
      </c>
      <c r="BO1179" s="350"/>
      <c r="BP1179" s="350"/>
      <c r="BQ1179" s="350"/>
      <c r="BR1179" s="350"/>
      <c r="BS1179" s="350"/>
      <c r="BT1179" s="350"/>
      <c r="BU1179" s="350"/>
      <c r="BV1179" s="351"/>
    </row>
    <row r="1180" spans="1:74" ht="45" customHeight="1">
      <c r="A1180" s="24">
        <f t="shared" si="4"/>
        <v>1166</v>
      </c>
      <c r="B1180" s="558" t="s">
        <v>294</v>
      </c>
      <c r="C1180" s="351"/>
      <c r="D1180" s="559" t="s">
        <v>298</v>
      </c>
      <c r="E1180" s="351"/>
      <c r="F1180" s="524" t="s">
        <v>325</v>
      </c>
      <c r="G1180" s="351"/>
      <c r="H1180" s="525" t="s">
        <v>325</v>
      </c>
      <c r="I1180" s="351"/>
      <c r="J1180" s="40"/>
      <c r="K1180" s="41"/>
      <c r="L1180" s="40"/>
      <c r="M1180" s="41"/>
      <c r="N1180" s="34"/>
      <c r="O1180" s="35"/>
      <c r="P1180" s="526"/>
      <c r="Q1180" s="351"/>
      <c r="R1180" s="535"/>
      <c r="S1180" s="351"/>
      <c r="T1180" s="536"/>
      <c r="U1180" s="351"/>
      <c r="V1180" s="537"/>
      <c r="W1180" s="351"/>
      <c r="X1180" s="538" t="s">
        <v>294</v>
      </c>
      <c r="Y1180" s="350"/>
      <c r="Z1180" s="350"/>
      <c r="AA1180" s="351"/>
      <c r="AB1180" s="539" t="s">
        <v>294</v>
      </c>
      <c r="AC1180" s="350"/>
      <c r="AD1180" s="350"/>
      <c r="AE1180" s="351"/>
      <c r="AF1180" s="540"/>
      <c r="AG1180" s="351"/>
      <c r="AH1180" s="540"/>
      <c r="AI1180" s="351"/>
      <c r="AJ1180" s="545"/>
      <c r="AK1180" s="351"/>
      <c r="AL1180" s="555" t="s">
        <v>325</v>
      </c>
      <c r="AM1180" s="351"/>
      <c r="AN1180" s="531" t="s">
        <v>325</v>
      </c>
      <c r="AO1180" s="351"/>
      <c r="AP1180" s="532"/>
      <c r="AQ1180" s="351"/>
      <c r="AR1180" s="533"/>
      <c r="AS1180" s="351"/>
      <c r="AT1180" s="534"/>
      <c r="AU1180" s="351"/>
      <c r="AV1180" s="531" t="s">
        <v>325</v>
      </c>
      <c r="AW1180" s="351"/>
      <c r="AX1180" s="553"/>
      <c r="AY1180" s="350"/>
      <c r="AZ1180" s="351"/>
      <c r="BA1180" s="545"/>
      <c r="BB1180" s="351"/>
      <c r="BC1180" s="36"/>
      <c r="BD1180" s="556" t="s">
        <v>325</v>
      </c>
      <c r="BE1180" s="351"/>
      <c r="BF1180" s="557"/>
      <c r="BG1180" s="350"/>
      <c r="BH1180" s="350"/>
      <c r="BI1180" s="351"/>
      <c r="BJ1180" s="506" t="s">
        <v>294</v>
      </c>
      <c r="BK1180" s="350"/>
      <c r="BL1180" s="350"/>
      <c r="BM1180" s="351"/>
      <c r="BN1180" s="530" t="s">
        <v>294</v>
      </c>
      <c r="BO1180" s="350"/>
      <c r="BP1180" s="350"/>
      <c r="BQ1180" s="350"/>
      <c r="BR1180" s="350"/>
      <c r="BS1180" s="350"/>
      <c r="BT1180" s="350"/>
      <c r="BU1180" s="350"/>
      <c r="BV1180" s="351"/>
    </row>
    <row r="1181" spans="1:74" ht="45" customHeight="1">
      <c r="A1181" s="24">
        <f t="shared" si="4"/>
        <v>1167</v>
      </c>
      <c r="B1181" s="522" t="s">
        <v>294</v>
      </c>
      <c r="C1181" s="351"/>
      <c r="D1181" s="523" t="s">
        <v>298</v>
      </c>
      <c r="E1181" s="351"/>
      <c r="F1181" s="524" t="s">
        <v>325</v>
      </c>
      <c r="G1181" s="351"/>
      <c r="H1181" s="561" t="s">
        <v>325</v>
      </c>
      <c r="I1181" s="351"/>
      <c r="J1181" s="562"/>
      <c r="K1181" s="351"/>
      <c r="L1181" s="562"/>
      <c r="M1181" s="351"/>
      <c r="N1181" s="37"/>
      <c r="O1181" s="38"/>
      <c r="P1181" s="560"/>
      <c r="Q1181" s="351"/>
      <c r="R1181" s="527"/>
      <c r="S1181" s="351"/>
      <c r="T1181" s="528"/>
      <c r="U1181" s="351"/>
      <c r="V1181" s="541"/>
      <c r="W1181" s="351"/>
      <c r="X1181" s="542" t="s">
        <v>294</v>
      </c>
      <c r="Y1181" s="350"/>
      <c r="Z1181" s="350"/>
      <c r="AA1181" s="351"/>
      <c r="AB1181" s="543" t="s">
        <v>294</v>
      </c>
      <c r="AC1181" s="350"/>
      <c r="AD1181" s="350"/>
      <c r="AE1181" s="351"/>
      <c r="AF1181" s="544"/>
      <c r="AG1181" s="351"/>
      <c r="AH1181" s="544"/>
      <c r="AI1181" s="351"/>
      <c r="AJ1181" s="545"/>
      <c r="AK1181" s="351"/>
      <c r="AL1181" s="524" t="s">
        <v>325</v>
      </c>
      <c r="AM1181" s="351"/>
      <c r="AN1181" s="549" t="s">
        <v>325</v>
      </c>
      <c r="AO1181" s="351"/>
      <c r="AP1181" s="550"/>
      <c r="AQ1181" s="351"/>
      <c r="AR1181" s="551"/>
      <c r="AS1181" s="351"/>
      <c r="AT1181" s="534"/>
      <c r="AU1181" s="351"/>
      <c r="AV1181" s="549" t="s">
        <v>325</v>
      </c>
      <c r="AW1181" s="351"/>
      <c r="AX1181" s="553"/>
      <c r="AY1181" s="350"/>
      <c r="AZ1181" s="351"/>
      <c r="BA1181" s="554"/>
      <c r="BB1181" s="351"/>
      <c r="BC1181" s="39"/>
      <c r="BD1181" s="546" t="s">
        <v>325</v>
      </c>
      <c r="BE1181" s="351"/>
      <c r="BF1181" s="547"/>
      <c r="BG1181" s="350"/>
      <c r="BH1181" s="350"/>
      <c r="BI1181" s="351"/>
      <c r="BJ1181" s="548" t="s">
        <v>294</v>
      </c>
      <c r="BK1181" s="350"/>
      <c r="BL1181" s="350"/>
      <c r="BM1181" s="351"/>
      <c r="BN1181" s="530" t="s">
        <v>294</v>
      </c>
      <c r="BO1181" s="350"/>
      <c r="BP1181" s="350"/>
      <c r="BQ1181" s="350"/>
      <c r="BR1181" s="350"/>
      <c r="BS1181" s="350"/>
      <c r="BT1181" s="350"/>
      <c r="BU1181" s="350"/>
      <c r="BV1181" s="351"/>
    </row>
    <row r="1182" spans="1:74" ht="45" customHeight="1">
      <c r="A1182" s="24">
        <f t="shared" si="4"/>
        <v>1168</v>
      </c>
      <c r="B1182" s="558" t="s">
        <v>294</v>
      </c>
      <c r="C1182" s="351"/>
      <c r="D1182" s="559" t="s">
        <v>298</v>
      </c>
      <c r="E1182" s="351"/>
      <c r="F1182" s="524" t="s">
        <v>325</v>
      </c>
      <c r="G1182" s="351"/>
      <c r="H1182" s="525" t="s">
        <v>325</v>
      </c>
      <c r="I1182" s="351"/>
      <c r="J1182" s="40"/>
      <c r="K1182" s="41"/>
      <c r="L1182" s="40"/>
      <c r="M1182" s="41"/>
      <c r="N1182" s="34"/>
      <c r="O1182" s="35"/>
      <c r="P1182" s="526"/>
      <c r="Q1182" s="351"/>
      <c r="R1182" s="535"/>
      <c r="S1182" s="351"/>
      <c r="T1182" s="536"/>
      <c r="U1182" s="351"/>
      <c r="V1182" s="537"/>
      <c r="W1182" s="351"/>
      <c r="X1182" s="538" t="s">
        <v>294</v>
      </c>
      <c r="Y1182" s="350"/>
      <c r="Z1182" s="350"/>
      <c r="AA1182" s="351"/>
      <c r="AB1182" s="539" t="s">
        <v>294</v>
      </c>
      <c r="AC1182" s="350"/>
      <c r="AD1182" s="350"/>
      <c r="AE1182" s="351"/>
      <c r="AF1182" s="540"/>
      <c r="AG1182" s="351"/>
      <c r="AH1182" s="540"/>
      <c r="AI1182" s="351"/>
      <c r="AJ1182" s="545"/>
      <c r="AK1182" s="351"/>
      <c r="AL1182" s="555" t="s">
        <v>325</v>
      </c>
      <c r="AM1182" s="351"/>
      <c r="AN1182" s="531" t="s">
        <v>325</v>
      </c>
      <c r="AO1182" s="351"/>
      <c r="AP1182" s="532"/>
      <c r="AQ1182" s="351"/>
      <c r="AR1182" s="533"/>
      <c r="AS1182" s="351"/>
      <c r="AT1182" s="534"/>
      <c r="AU1182" s="351"/>
      <c r="AV1182" s="531" t="s">
        <v>325</v>
      </c>
      <c r="AW1182" s="351"/>
      <c r="AX1182" s="553"/>
      <c r="AY1182" s="350"/>
      <c r="AZ1182" s="351"/>
      <c r="BA1182" s="545"/>
      <c r="BB1182" s="351"/>
      <c r="BC1182" s="36"/>
      <c r="BD1182" s="556" t="s">
        <v>325</v>
      </c>
      <c r="BE1182" s="351"/>
      <c r="BF1182" s="557"/>
      <c r="BG1182" s="350"/>
      <c r="BH1182" s="350"/>
      <c r="BI1182" s="351"/>
      <c r="BJ1182" s="506" t="s">
        <v>294</v>
      </c>
      <c r="BK1182" s="350"/>
      <c r="BL1182" s="350"/>
      <c r="BM1182" s="351"/>
      <c r="BN1182" s="530" t="s">
        <v>294</v>
      </c>
      <c r="BO1182" s="350"/>
      <c r="BP1182" s="350"/>
      <c r="BQ1182" s="350"/>
      <c r="BR1182" s="350"/>
      <c r="BS1182" s="350"/>
      <c r="BT1182" s="350"/>
      <c r="BU1182" s="350"/>
      <c r="BV1182" s="351"/>
    </row>
    <row r="1183" spans="1:74" ht="45" customHeight="1">
      <c r="A1183" s="24">
        <f t="shared" si="4"/>
        <v>1169</v>
      </c>
      <c r="B1183" s="522" t="s">
        <v>294</v>
      </c>
      <c r="C1183" s="351"/>
      <c r="D1183" s="523" t="s">
        <v>298</v>
      </c>
      <c r="E1183" s="351"/>
      <c r="F1183" s="524" t="s">
        <v>325</v>
      </c>
      <c r="G1183" s="351"/>
      <c r="H1183" s="561" t="s">
        <v>325</v>
      </c>
      <c r="I1183" s="351"/>
      <c r="J1183" s="562"/>
      <c r="K1183" s="351"/>
      <c r="L1183" s="562"/>
      <c r="M1183" s="351"/>
      <c r="N1183" s="37"/>
      <c r="O1183" s="38"/>
      <c r="P1183" s="560"/>
      <c r="Q1183" s="351"/>
      <c r="R1183" s="527"/>
      <c r="S1183" s="351"/>
      <c r="T1183" s="528"/>
      <c r="U1183" s="351"/>
      <c r="V1183" s="541"/>
      <c r="W1183" s="351"/>
      <c r="X1183" s="542" t="s">
        <v>294</v>
      </c>
      <c r="Y1183" s="350"/>
      <c r="Z1183" s="350"/>
      <c r="AA1183" s="351"/>
      <c r="AB1183" s="543" t="s">
        <v>294</v>
      </c>
      <c r="AC1183" s="350"/>
      <c r="AD1183" s="350"/>
      <c r="AE1183" s="351"/>
      <c r="AF1183" s="544"/>
      <c r="AG1183" s="351"/>
      <c r="AH1183" s="544"/>
      <c r="AI1183" s="351"/>
      <c r="AJ1183" s="545"/>
      <c r="AK1183" s="351"/>
      <c r="AL1183" s="524" t="s">
        <v>325</v>
      </c>
      <c r="AM1183" s="351"/>
      <c r="AN1183" s="549" t="s">
        <v>325</v>
      </c>
      <c r="AO1183" s="351"/>
      <c r="AP1183" s="550"/>
      <c r="AQ1183" s="351"/>
      <c r="AR1183" s="551"/>
      <c r="AS1183" s="351"/>
      <c r="AT1183" s="552"/>
      <c r="AU1183" s="351"/>
      <c r="AV1183" s="549" t="s">
        <v>325</v>
      </c>
      <c r="AW1183" s="351"/>
      <c r="AX1183" s="553"/>
      <c r="AY1183" s="350"/>
      <c r="AZ1183" s="351"/>
      <c r="BA1183" s="554"/>
      <c r="BB1183" s="351"/>
      <c r="BC1183" s="39"/>
      <c r="BD1183" s="546" t="s">
        <v>325</v>
      </c>
      <c r="BE1183" s="351"/>
      <c r="BF1183" s="547"/>
      <c r="BG1183" s="350"/>
      <c r="BH1183" s="350"/>
      <c r="BI1183" s="351"/>
      <c r="BJ1183" s="548" t="s">
        <v>294</v>
      </c>
      <c r="BK1183" s="350"/>
      <c r="BL1183" s="350"/>
      <c r="BM1183" s="351"/>
      <c r="BN1183" s="530" t="s">
        <v>294</v>
      </c>
      <c r="BO1183" s="350"/>
      <c r="BP1183" s="350"/>
      <c r="BQ1183" s="350"/>
      <c r="BR1183" s="350"/>
      <c r="BS1183" s="350"/>
      <c r="BT1183" s="350"/>
      <c r="BU1183" s="350"/>
      <c r="BV1183" s="351"/>
    </row>
    <row r="1184" spans="1:74" ht="45" customHeight="1">
      <c r="A1184" s="24">
        <f t="shared" si="4"/>
        <v>1170</v>
      </c>
      <c r="B1184" s="558" t="s">
        <v>294</v>
      </c>
      <c r="C1184" s="351"/>
      <c r="D1184" s="559" t="s">
        <v>298</v>
      </c>
      <c r="E1184" s="351"/>
      <c r="F1184" s="524" t="s">
        <v>325</v>
      </c>
      <c r="G1184" s="351"/>
      <c r="H1184" s="525" t="s">
        <v>325</v>
      </c>
      <c r="I1184" s="351"/>
      <c r="J1184" s="40"/>
      <c r="K1184" s="41"/>
      <c r="L1184" s="40"/>
      <c r="M1184" s="41"/>
      <c r="N1184" s="34"/>
      <c r="O1184" s="35"/>
      <c r="P1184" s="526"/>
      <c r="Q1184" s="351"/>
      <c r="R1184" s="535"/>
      <c r="S1184" s="351"/>
      <c r="T1184" s="536"/>
      <c r="U1184" s="351"/>
      <c r="V1184" s="537"/>
      <c r="W1184" s="351"/>
      <c r="X1184" s="538" t="s">
        <v>294</v>
      </c>
      <c r="Y1184" s="350"/>
      <c r="Z1184" s="350"/>
      <c r="AA1184" s="351"/>
      <c r="AB1184" s="539" t="s">
        <v>294</v>
      </c>
      <c r="AC1184" s="350"/>
      <c r="AD1184" s="350"/>
      <c r="AE1184" s="351"/>
      <c r="AF1184" s="540"/>
      <c r="AG1184" s="351"/>
      <c r="AH1184" s="540"/>
      <c r="AI1184" s="351"/>
      <c r="AJ1184" s="545"/>
      <c r="AK1184" s="351"/>
      <c r="AL1184" s="555" t="s">
        <v>325</v>
      </c>
      <c r="AM1184" s="351"/>
      <c r="AN1184" s="531" t="s">
        <v>325</v>
      </c>
      <c r="AO1184" s="351"/>
      <c r="AP1184" s="532"/>
      <c r="AQ1184" s="351"/>
      <c r="AR1184" s="533"/>
      <c r="AS1184" s="351"/>
      <c r="AT1184" s="534"/>
      <c r="AU1184" s="351"/>
      <c r="AV1184" s="531" t="s">
        <v>325</v>
      </c>
      <c r="AW1184" s="351"/>
      <c r="AX1184" s="553"/>
      <c r="AY1184" s="350"/>
      <c r="AZ1184" s="351"/>
      <c r="BA1184" s="545"/>
      <c r="BB1184" s="351"/>
      <c r="BC1184" s="36"/>
      <c r="BD1184" s="556" t="s">
        <v>325</v>
      </c>
      <c r="BE1184" s="351"/>
      <c r="BF1184" s="529"/>
      <c r="BG1184" s="350"/>
      <c r="BH1184" s="350"/>
      <c r="BI1184" s="351"/>
      <c r="BJ1184" s="506" t="s">
        <v>294</v>
      </c>
      <c r="BK1184" s="350"/>
      <c r="BL1184" s="350"/>
      <c r="BM1184" s="351"/>
      <c r="BN1184" s="530" t="s">
        <v>294</v>
      </c>
      <c r="BO1184" s="350"/>
      <c r="BP1184" s="350"/>
      <c r="BQ1184" s="350"/>
      <c r="BR1184" s="350"/>
      <c r="BS1184" s="350"/>
      <c r="BT1184" s="350"/>
      <c r="BU1184" s="350"/>
      <c r="BV1184" s="351"/>
    </row>
    <row r="1185" spans="1:74" ht="45" customHeight="1">
      <c r="A1185" s="24">
        <f t="shared" si="4"/>
        <v>1171</v>
      </c>
      <c r="B1185" s="522" t="s">
        <v>294</v>
      </c>
      <c r="C1185" s="351"/>
      <c r="D1185" s="523" t="s">
        <v>298</v>
      </c>
      <c r="E1185" s="351"/>
      <c r="F1185" s="524" t="s">
        <v>325</v>
      </c>
      <c r="G1185" s="351"/>
      <c r="H1185" s="561" t="s">
        <v>325</v>
      </c>
      <c r="I1185" s="351"/>
      <c r="J1185" s="562"/>
      <c r="K1185" s="351"/>
      <c r="L1185" s="562"/>
      <c r="M1185" s="351"/>
      <c r="N1185" s="37"/>
      <c r="O1185" s="38"/>
      <c r="P1185" s="560"/>
      <c r="Q1185" s="351"/>
      <c r="R1185" s="527"/>
      <c r="S1185" s="351"/>
      <c r="T1185" s="528"/>
      <c r="U1185" s="351"/>
      <c r="V1185" s="541"/>
      <c r="W1185" s="351"/>
      <c r="X1185" s="542" t="s">
        <v>294</v>
      </c>
      <c r="Y1185" s="350"/>
      <c r="Z1185" s="350"/>
      <c r="AA1185" s="351"/>
      <c r="AB1185" s="543" t="s">
        <v>294</v>
      </c>
      <c r="AC1185" s="350"/>
      <c r="AD1185" s="350"/>
      <c r="AE1185" s="351"/>
      <c r="AF1185" s="544"/>
      <c r="AG1185" s="351"/>
      <c r="AH1185" s="544"/>
      <c r="AI1185" s="351"/>
      <c r="AJ1185" s="545"/>
      <c r="AK1185" s="351"/>
      <c r="AL1185" s="524" t="s">
        <v>325</v>
      </c>
      <c r="AM1185" s="351"/>
      <c r="AN1185" s="549" t="s">
        <v>325</v>
      </c>
      <c r="AO1185" s="351"/>
      <c r="AP1185" s="550"/>
      <c r="AQ1185" s="351"/>
      <c r="AR1185" s="551"/>
      <c r="AS1185" s="351"/>
      <c r="AT1185" s="552"/>
      <c r="AU1185" s="351"/>
      <c r="AV1185" s="549" t="s">
        <v>325</v>
      </c>
      <c r="AW1185" s="351"/>
      <c r="AX1185" s="553"/>
      <c r="AY1185" s="350"/>
      <c r="AZ1185" s="351"/>
      <c r="BA1185" s="554"/>
      <c r="BB1185" s="351"/>
      <c r="BC1185" s="39"/>
      <c r="BD1185" s="546" t="s">
        <v>325</v>
      </c>
      <c r="BE1185" s="351"/>
      <c r="BF1185" s="547"/>
      <c r="BG1185" s="350"/>
      <c r="BH1185" s="350"/>
      <c r="BI1185" s="351"/>
      <c r="BJ1185" s="548" t="s">
        <v>294</v>
      </c>
      <c r="BK1185" s="350"/>
      <c r="BL1185" s="350"/>
      <c r="BM1185" s="351"/>
      <c r="BN1185" s="530" t="s">
        <v>294</v>
      </c>
      <c r="BO1185" s="350"/>
      <c r="BP1185" s="350"/>
      <c r="BQ1185" s="350"/>
      <c r="BR1185" s="350"/>
      <c r="BS1185" s="350"/>
      <c r="BT1185" s="350"/>
      <c r="BU1185" s="350"/>
      <c r="BV1185" s="351"/>
    </row>
    <row r="1186" spans="1:74" ht="45" customHeight="1">
      <c r="A1186" s="24">
        <f t="shared" si="4"/>
        <v>1172</v>
      </c>
      <c r="B1186" s="558" t="s">
        <v>294</v>
      </c>
      <c r="C1186" s="351"/>
      <c r="D1186" s="559" t="s">
        <v>298</v>
      </c>
      <c r="E1186" s="351"/>
      <c r="F1186" s="524" t="s">
        <v>325</v>
      </c>
      <c r="G1186" s="351"/>
      <c r="H1186" s="525" t="s">
        <v>325</v>
      </c>
      <c r="I1186" s="351"/>
      <c r="J1186" s="40"/>
      <c r="K1186" s="41"/>
      <c r="L1186" s="40"/>
      <c r="M1186" s="41"/>
      <c r="N1186" s="34"/>
      <c r="O1186" s="35"/>
      <c r="P1186" s="526"/>
      <c r="Q1186" s="351"/>
      <c r="R1186" s="535"/>
      <c r="S1186" s="351"/>
      <c r="T1186" s="536"/>
      <c r="U1186" s="351"/>
      <c r="V1186" s="537"/>
      <c r="W1186" s="351"/>
      <c r="X1186" s="538" t="s">
        <v>294</v>
      </c>
      <c r="Y1186" s="350"/>
      <c r="Z1186" s="350"/>
      <c r="AA1186" s="351"/>
      <c r="AB1186" s="539" t="s">
        <v>294</v>
      </c>
      <c r="AC1186" s="350"/>
      <c r="AD1186" s="350"/>
      <c r="AE1186" s="351"/>
      <c r="AF1186" s="540"/>
      <c r="AG1186" s="351"/>
      <c r="AH1186" s="540"/>
      <c r="AI1186" s="351"/>
      <c r="AJ1186" s="545"/>
      <c r="AK1186" s="351"/>
      <c r="AL1186" s="555" t="s">
        <v>325</v>
      </c>
      <c r="AM1186" s="351"/>
      <c r="AN1186" s="531" t="s">
        <v>325</v>
      </c>
      <c r="AO1186" s="351"/>
      <c r="AP1186" s="532"/>
      <c r="AQ1186" s="351"/>
      <c r="AR1186" s="533"/>
      <c r="AS1186" s="351"/>
      <c r="AT1186" s="534"/>
      <c r="AU1186" s="351"/>
      <c r="AV1186" s="531" t="s">
        <v>325</v>
      </c>
      <c r="AW1186" s="351"/>
      <c r="AX1186" s="553"/>
      <c r="AY1186" s="350"/>
      <c r="AZ1186" s="351"/>
      <c r="BA1186" s="545"/>
      <c r="BB1186" s="351"/>
      <c r="BC1186" s="36"/>
      <c r="BD1186" s="556" t="s">
        <v>325</v>
      </c>
      <c r="BE1186" s="351"/>
      <c r="BF1186" s="557"/>
      <c r="BG1186" s="350"/>
      <c r="BH1186" s="350"/>
      <c r="BI1186" s="351"/>
      <c r="BJ1186" s="506" t="s">
        <v>294</v>
      </c>
      <c r="BK1186" s="350"/>
      <c r="BL1186" s="350"/>
      <c r="BM1186" s="351"/>
      <c r="BN1186" s="530" t="s">
        <v>294</v>
      </c>
      <c r="BO1186" s="350"/>
      <c r="BP1186" s="350"/>
      <c r="BQ1186" s="350"/>
      <c r="BR1186" s="350"/>
      <c r="BS1186" s="350"/>
      <c r="BT1186" s="350"/>
      <c r="BU1186" s="350"/>
      <c r="BV1186" s="351"/>
    </row>
    <row r="1187" spans="1:74" ht="45" customHeight="1">
      <c r="A1187" s="24">
        <f t="shared" si="4"/>
        <v>1173</v>
      </c>
      <c r="B1187" s="522" t="s">
        <v>294</v>
      </c>
      <c r="C1187" s="351"/>
      <c r="D1187" s="523" t="s">
        <v>298</v>
      </c>
      <c r="E1187" s="351"/>
      <c r="F1187" s="524" t="s">
        <v>325</v>
      </c>
      <c r="G1187" s="351"/>
      <c r="H1187" s="561" t="s">
        <v>325</v>
      </c>
      <c r="I1187" s="351"/>
      <c r="J1187" s="562"/>
      <c r="K1187" s="351"/>
      <c r="L1187" s="562"/>
      <c r="M1187" s="351"/>
      <c r="N1187" s="37"/>
      <c r="O1187" s="38"/>
      <c r="P1187" s="560"/>
      <c r="Q1187" s="351"/>
      <c r="R1187" s="527"/>
      <c r="S1187" s="351"/>
      <c r="T1187" s="528"/>
      <c r="U1187" s="351"/>
      <c r="V1187" s="541"/>
      <c r="W1187" s="351"/>
      <c r="X1187" s="542" t="s">
        <v>294</v>
      </c>
      <c r="Y1187" s="350"/>
      <c r="Z1187" s="350"/>
      <c r="AA1187" s="351"/>
      <c r="AB1187" s="543" t="s">
        <v>294</v>
      </c>
      <c r="AC1187" s="350"/>
      <c r="AD1187" s="350"/>
      <c r="AE1187" s="351"/>
      <c r="AF1187" s="544"/>
      <c r="AG1187" s="351"/>
      <c r="AH1187" s="544"/>
      <c r="AI1187" s="351"/>
      <c r="AJ1187" s="545"/>
      <c r="AK1187" s="351"/>
      <c r="AL1187" s="524" t="s">
        <v>325</v>
      </c>
      <c r="AM1187" s="351"/>
      <c r="AN1187" s="549" t="s">
        <v>325</v>
      </c>
      <c r="AO1187" s="351"/>
      <c r="AP1187" s="550"/>
      <c r="AQ1187" s="351"/>
      <c r="AR1187" s="551"/>
      <c r="AS1187" s="351"/>
      <c r="AT1187" s="552"/>
      <c r="AU1187" s="351"/>
      <c r="AV1187" s="549" t="s">
        <v>325</v>
      </c>
      <c r="AW1187" s="351"/>
      <c r="AX1187" s="553"/>
      <c r="AY1187" s="350"/>
      <c r="AZ1187" s="351"/>
      <c r="BA1187" s="554"/>
      <c r="BB1187" s="351"/>
      <c r="BC1187" s="39"/>
      <c r="BD1187" s="546" t="s">
        <v>325</v>
      </c>
      <c r="BE1187" s="351"/>
      <c r="BF1187" s="547"/>
      <c r="BG1187" s="350"/>
      <c r="BH1187" s="350"/>
      <c r="BI1187" s="351"/>
      <c r="BJ1187" s="548" t="s">
        <v>294</v>
      </c>
      <c r="BK1187" s="350"/>
      <c r="BL1187" s="350"/>
      <c r="BM1187" s="351"/>
      <c r="BN1187" s="530" t="s">
        <v>294</v>
      </c>
      <c r="BO1187" s="350"/>
      <c r="BP1187" s="350"/>
      <c r="BQ1187" s="350"/>
      <c r="BR1187" s="350"/>
      <c r="BS1187" s="350"/>
      <c r="BT1187" s="350"/>
      <c r="BU1187" s="350"/>
      <c r="BV1187" s="351"/>
    </row>
    <row r="1188" spans="1:74" ht="45" customHeight="1">
      <c r="A1188" s="24">
        <f t="shared" si="4"/>
        <v>1174</v>
      </c>
      <c r="B1188" s="558" t="s">
        <v>294</v>
      </c>
      <c r="C1188" s="351"/>
      <c r="D1188" s="559" t="s">
        <v>298</v>
      </c>
      <c r="E1188" s="351"/>
      <c r="F1188" s="524" t="s">
        <v>325</v>
      </c>
      <c r="G1188" s="351"/>
      <c r="H1188" s="525" t="s">
        <v>325</v>
      </c>
      <c r="I1188" s="351"/>
      <c r="J1188" s="40"/>
      <c r="K1188" s="41"/>
      <c r="L1188" s="40"/>
      <c r="M1188" s="41"/>
      <c r="N1188" s="34"/>
      <c r="O1188" s="35"/>
      <c r="P1188" s="526"/>
      <c r="Q1188" s="351"/>
      <c r="R1188" s="535"/>
      <c r="S1188" s="351"/>
      <c r="T1188" s="536"/>
      <c r="U1188" s="351"/>
      <c r="V1188" s="537"/>
      <c r="W1188" s="351"/>
      <c r="X1188" s="538" t="s">
        <v>294</v>
      </c>
      <c r="Y1188" s="350"/>
      <c r="Z1188" s="350"/>
      <c r="AA1188" s="351"/>
      <c r="AB1188" s="539" t="s">
        <v>294</v>
      </c>
      <c r="AC1188" s="350"/>
      <c r="AD1188" s="350"/>
      <c r="AE1188" s="351"/>
      <c r="AF1188" s="540"/>
      <c r="AG1188" s="351"/>
      <c r="AH1188" s="540"/>
      <c r="AI1188" s="351"/>
      <c r="AJ1188" s="545"/>
      <c r="AK1188" s="351"/>
      <c r="AL1188" s="555" t="s">
        <v>325</v>
      </c>
      <c r="AM1188" s="351"/>
      <c r="AN1188" s="531" t="s">
        <v>325</v>
      </c>
      <c r="AO1188" s="351"/>
      <c r="AP1188" s="532"/>
      <c r="AQ1188" s="351"/>
      <c r="AR1188" s="533"/>
      <c r="AS1188" s="351"/>
      <c r="AT1188" s="534"/>
      <c r="AU1188" s="351"/>
      <c r="AV1188" s="531" t="s">
        <v>325</v>
      </c>
      <c r="AW1188" s="351"/>
      <c r="AX1188" s="553"/>
      <c r="AY1188" s="350"/>
      <c r="AZ1188" s="351"/>
      <c r="BA1188" s="545"/>
      <c r="BB1188" s="351"/>
      <c r="BC1188" s="36"/>
      <c r="BD1188" s="556" t="s">
        <v>325</v>
      </c>
      <c r="BE1188" s="351"/>
      <c r="BF1188" s="557"/>
      <c r="BG1188" s="350"/>
      <c r="BH1188" s="350"/>
      <c r="BI1188" s="351"/>
      <c r="BJ1188" s="506" t="s">
        <v>294</v>
      </c>
      <c r="BK1188" s="350"/>
      <c r="BL1188" s="350"/>
      <c r="BM1188" s="351"/>
      <c r="BN1188" s="530" t="s">
        <v>294</v>
      </c>
      <c r="BO1188" s="350"/>
      <c r="BP1188" s="350"/>
      <c r="BQ1188" s="350"/>
      <c r="BR1188" s="350"/>
      <c r="BS1188" s="350"/>
      <c r="BT1188" s="350"/>
      <c r="BU1188" s="350"/>
      <c r="BV1188" s="351"/>
    </row>
    <row r="1189" spans="1:74" ht="45" customHeight="1">
      <c r="A1189" s="24">
        <f t="shared" si="4"/>
        <v>1175</v>
      </c>
      <c r="B1189" s="522" t="s">
        <v>294</v>
      </c>
      <c r="C1189" s="351"/>
      <c r="D1189" s="523" t="s">
        <v>298</v>
      </c>
      <c r="E1189" s="351"/>
      <c r="F1189" s="524" t="s">
        <v>325</v>
      </c>
      <c r="G1189" s="351"/>
      <c r="H1189" s="561" t="s">
        <v>325</v>
      </c>
      <c r="I1189" s="351"/>
      <c r="J1189" s="562"/>
      <c r="K1189" s="351"/>
      <c r="L1189" s="562"/>
      <c r="M1189" s="351"/>
      <c r="N1189" s="37"/>
      <c r="O1189" s="38"/>
      <c r="P1189" s="560"/>
      <c r="Q1189" s="351"/>
      <c r="R1189" s="527"/>
      <c r="S1189" s="351"/>
      <c r="T1189" s="528"/>
      <c r="U1189" s="351"/>
      <c r="V1189" s="541"/>
      <c r="W1189" s="351"/>
      <c r="X1189" s="542" t="s">
        <v>294</v>
      </c>
      <c r="Y1189" s="350"/>
      <c r="Z1189" s="350"/>
      <c r="AA1189" s="351"/>
      <c r="AB1189" s="543" t="s">
        <v>294</v>
      </c>
      <c r="AC1189" s="350"/>
      <c r="AD1189" s="350"/>
      <c r="AE1189" s="351"/>
      <c r="AF1189" s="544"/>
      <c r="AG1189" s="351"/>
      <c r="AH1189" s="544"/>
      <c r="AI1189" s="351"/>
      <c r="AJ1189" s="545"/>
      <c r="AK1189" s="351"/>
      <c r="AL1189" s="524" t="s">
        <v>325</v>
      </c>
      <c r="AM1189" s="351"/>
      <c r="AN1189" s="549" t="s">
        <v>325</v>
      </c>
      <c r="AO1189" s="351"/>
      <c r="AP1189" s="550"/>
      <c r="AQ1189" s="351"/>
      <c r="AR1189" s="551"/>
      <c r="AS1189" s="351"/>
      <c r="AT1189" s="552"/>
      <c r="AU1189" s="351"/>
      <c r="AV1189" s="549" t="s">
        <v>325</v>
      </c>
      <c r="AW1189" s="351"/>
      <c r="AX1189" s="553"/>
      <c r="AY1189" s="350"/>
      <c r="AZ1189" s="351"/>
      <c r="BA1189" s="554"/>
      <c r="BB1189" s="351"/>
      <c r="BC1189" s="39"/>
      <c r="BD1189" s="546" t="s">
        <v>325</v>
      </c>
      <c r="BE1189" s="351"/>
      <c r="BF1189" s="547"/>
      <c r="BG1189" s="350"/>
      <c r="BH1189" s="350"/>
      <c r="BI1189" s="351"/>
      <c r="BJ1189" s="548" t="s">
        <v>294</v>
      </c>
      <c r="BK1189" s="350"/>
      <c r="BL1189" s="350"/>
      <c r="BM1189" s="351"/>
      <c r="BN1189" s="530" t="s">
        <v>294</v>
      </c>
      <c r="BO1189" s="350"/>
      <c r="BP1189" s="350"/>
      <c r="BQ1189" s="350"/>
      <c r="BR1189" s="350"/>
      <c r="BS1189" s="350"/>
      <c r="BT1189" s="350"/>
      <c r="BU1189" s="350"/>
      <c r="BV1189" s="351"/>
    </row>
    <row r="1190" spans="1:74" ht="45" customHeight="1">
      <c r="A1190" s="24">
        <f t="shared" si="4"/>
        <v>1176</v>
      </c>
      <c r="B1190" s="558" t="s">
        <v>294</v>
      </c>
      <c r="C1190" s="351"/>
      <c r="D1190" s="559" t="s">
        <v>298</v>
      </c>
      <c r="E1190" s="351"/>
      <c r="F1190" s="524" t="s">
        <v>325</v>
      </c>
      <c r="G1190" s="351"/>
      <c r="H1190" s="525" t="s">
        <v>325</v>
      </c>
      <c r="I1190" s="351"/>
      <c r="J1190" s="40"/>
      <c r="K1190" s="41"/>
      <c r="L1190" s="40"/>
      <c r="M1190" s="41"/>
      <c r="N1190" s="34"/>
      <c r="O1190" s="35"/>
      <c r="P1190" s="526"/>
      <c r="Q1190" s="351"/>
      <c r="R1190" s="535"/>
      <c r="S1190" s="351"/>
      <c r="T1190" s="536"/>
      <c r="U1190" s="351"/>
      <c r="V1190" s="537"/>
      <c r="W1190" s="351"/>
      <c r="X1190" s="538" t="s">
        <v>294</v>
      </c>
      <c r="Y1190" s="350"/>
      <c r="Z1190" s="350"/>
      <c r="AA1190" s="351"/>
      <c r="AB1190" s="539" t="s">
        <v>294</v>
      </c>
      <c r="AC1190" s="350"/>
      <c r="AD1190" s="350"/>
      <c r="AE1190" s="351"/>
      <c r="AF1190" s="540"/>
      <c r="AG1190" s="351"/>
      <c r="AH1190" s="540"/>
      <c r="AI1190" s="351"/>
      <c r="AJ1190" s="545"/>
      <c r="AK1190" s="351"/>
      <c r="AL1190" s="555" t="s">
        <v>325</v>
      </c>
      <c r="AM1190" s="351"/>
      <c r="AN1190" s="531" t="s">
        <v>325</v>
      </c>
      <c r="AO1190" s="351"/>
      <c r="AP1190" s="532"/>
      <c r="AQ1190" s="351"/>
      <c r="AR1190" s="533"/>
      <c r="AS1190" s="351"/>
      <c r="AT1190" s="534"/>
      <c r="AU1190" s="351"/>
      <c r="AV1190" s="531" t="s">
        <v>325</v>
      </c>
      <c r="AW1190" s="351"/>
      <c r="AX1190" s="553"/>
      <c r="AY1190" s="350"/>
      <c r="AZ1190" s="351"/>
      <c r="BA1190" s="545"/>
      <c r="BB1190" s="351"/>
      <c r="BC1190" s="36"/>
      <c r="BD1190" s="556" t="s">
        <v>325</v>
      </c>
      <c r="BE1190" s="351"/>
      <c r="BF1190" s="529"/>
      <c r="BG1190" s="350"/>
      <c r="BH1190" s="350"/>
      <c r="BI1190" s="351"/>
      <c r="BJ1190" s="506" t="s">
        <v>294</v>
      </c>
      <c r="BK1190" s="350"/>
      <c r="BL1190" s="350"/>
      <c r="BM1190" s="351"/>
      <c r="BN1190" s="530" t="s">
        <v>294</v>
      </c>
      <c r="BO1190" s="350"/>
      <c r="BP1190" s="350"/>
      <c r="BQ1190" s="350"/>
      <c r="BR1190" s="350"/>
      <c r="BS1190" s="350"/>
      <c r="BT1190" s="350"/>
      <c r="BU1190" s="350"/>
      <c r="BV1190" s="351"/>
    </row>
    <row r="1191" spans="1:74" ht="45" customHeight="1">
      <c r="A1191" s="24">
        <f t="shared" si="4"/>
        <v>1177</v>
      </c>
      <c r="B1191" s="522" t="s">
        <v>294</v>
      </c>
      <c r="C1191" s="351"/>
      <c r="D1191" s="523" t="s">
        <v>298</v>
      </c>
      <c r="E1191" s="351"/>
      <c r="F1191" s="524" t="s">
        <v>325</v>
      </c>
      <c r="G1191" s="351"/>
      <c r="H1191" s="561" t="s">
        <v>325</v>
      </c>
      <c r="I1191" s="351"/>
      <c r="J1191" s="562"/>
      <c r="K1191" s="351"/>
      <c r="L1191" s="562"/>
      <c r="M1191" s="351"/>
      <c r="N1191" s="37"/>
      <c r="O1191" s="38"/>
      <c r="P1191" s="560"/>
      <c r="Q1191" s="351"/>
      <c r="R1191" s="527"/>
      <c r="S1191" s="351"/>
      <c r="T1191" s="528"/>
      <c r="U1191" s="351"/>
      <c r="V1191" s="541"/>
      <c r="W1191" s="351"/>
      <c r="X1191" s="542" t="s">
        <v>294</v>
      </c>
      <c r="Y1191" s="350"/>
      <c r="Z1191" s="350"/>
      <c r="AA1191" s="351"/>
      <c r="AB1191" s="543" t="s">
        <v>294</v>
      </c>
      <c r="AC1191" s="350"/>
      <c r="AD1191" s="350"/>
      <c r="AE1191" s="351"/>
      <c r="AF1191" s="544"/>
      <c r="AG1191" s="351"/>
      <c r="AH1191" s="544"/>
      <c r="AI1191" s="351"/>
      <c r="AJ1191" s="545"/>
      <c r="AK1191" s="351"/>
      <c r="AL1191" s="524" t="s">
        <v>325</v>
      </c>
      <c r="AM1191" s="351"/>
      <c r="AN1191" s="549" t="s">
        <v>325</v>
      </c>
      <c r="AO1191" s="351"/>
      <c r="AP1191" s="550"/>
      <c r="AQ1191" s="351"/>
      <c r="AR1191" s="551"/>
      <c r="AS1191" s="351"/>
      <c r="AT1191" s="552"/>
      <c r="AU1191" s="351"/>
      <c r="AV1191" s="549" t="s">
        <v>325</v>
      </c>
      <c r="AW1191" s="351"/>
      <c r="AX1191" s="553"/>
      <c r="AY1191" s="350"/>
      <c r="AZ1191" s="351"/>
      <c r="BA1191" s="554"/>
      <c r="BB1191" s="351"/>
      <c r="BC1191" s="39"/>
      <c r="BD1191" s="546" t="s">
        <v>325</v>
      </c>
      <c r="BE1191" s="351"/>
      <c r="BF1191" s="547"/>
      <c r="BG1191" s="350"/>
      <c r="BH1191" s="350"/>
      <c r="BI1191" s="351"/>
      <c r="BJ1191" s="548" t="s">
        <v>294</v>
      </c>
      <c r="BK1191" s="350"/>
      <c r="BL1191" s="350"/>
      <c r="BM1191" s="351"/>
      <c r="BN1191" s="530" t="s">
        <v>294</v>
      </c>
      <c r="BO1191" s="350"/>
      <c r="BP1191" s="350"/>
      <c r="BQ1191" s="350"/>
      <c r="BR1191" s="350"/>
      <c r="BS1191" s="350"/>
      <c r="BT1191" s="350"/>
      <c r="BU1191" s="350"/>
      <c r="BV1191" s="351"/>
    </row>
    <row r="1192" spans="1:74" ht="45" customHeight="1">
      <c r="A1192" s="24">
        <f t="shared" si="4"/>
        <v>1178</v>
      </c>
      <c r="B1192" s="558" t="s">
        <v>294</v>
      </c>
      <c r="C1192" s="351"/>
      <c r="D1192" s="559" t="s">
        <v>298</v>
      </c>
      <c r="E1192" s="351"/>
      <c r="F1192" s="524" t="s">
        <v>325</v>
      </c>
      <c r="G1192" s="351"/>
      <c r="H1192" s="525" t="s">
        <v>325</v>
      </c>
      <c r="I1192" s="351"/>
      <c r="J1192" s="40"/>
      <c r="K1192" s="41"/>
      <c r="L1192" s="40"/>
      <c r="M1192" s="41"/>
      <c r="N1192" s="34"/>
      <c r="O1192" s="35"/>
      <c r="P1192" s="526"/>
      <c r="Q1192" s="351"/>
      <c r="R1192" s="535"/>
      <c r="S1192" s="351"/>
      <c r="T1192" s="536"/>
      <c r="U1192" s="351"/>
      <c r="V1192" s="537"/>
      <c r="W1192" s="351"/>
      <c r="X1192" s="538" t="s">
        <v>294</v>
      </c>
      <c r="Y1192" s="350"/>
      <c r="Z1192" s="350"/>
      <c r="AA1192" s="351"/>
      <c r="AB1192" s="539" t="s">
        <v>294</v>
      </c>
      <c r="AC1192" s="350"/>
      <c r="AD1192" s="350"/>
      <c r="AE1192" s="351"/>
      <c r="AF1192" s="540"/>
      <c r="AG1192" s="351"/>
      <c r="AH1192" s="540"/>
      <c r="AI1192" s="351"/>
      <c r="AJ1192" s="545"/>
      <c r="AK1192" s="351"/>
      <c r="AL1192" s="555" t="s">
        <v>325</v>
      </c>
      <c r="AM1192" s="351"/>
      <c r="AN1192" s="531" t="s">
        <v>325</v>
      </c>
      <c r="AO1192" s="351"/>
      <c r="AP1192" s="532"/>
      <c r="AQ1192" s="351"/>
      <c r="AR1192" s="533"/>
      <c r="AS1192" s="351"/>
      <c r="AT1192" s="534"/>
      <c r="AU1192" s="351"/>
      <c r="AV1192" s="531" t="s">
        <v>325</v>
      </c>
      <c r="AW1192" s="351"/>
      <c r="AX1192" s="553"/>
      <c r="AY1192" s="350"/>
      <c r="AZ1192" s="351"/>
      <c r="BA1192" s="545"/>
      <c r="BB1192" s="351"/>
      <c r="BC1192" s="36"/>
      <c r="BD1192" s="556" t="s">
        <v>325</v>
      </c>
      <c r="BE1192" s="351"/>
      <c r="BF1192" s="557"/>
      <c r="BG1192" s="350"/>
      <c r="BH1192" s="350"/>
      <c r="BI1192" s="351"/>
      <c r="BJ1192" s="506" t="s">
        <v>294</v>
      </c>
      <c r="BK1192" s="350"/>
      <c r="BL1192" s="350"/>
      <c r="BM1192" s="351"/>
      <c r="BN1192" s="530" t="s">
        <v>294</v>
      </c>
      <c r="BO1192" s="350"/>
      <c r="BP1192" s="350"/>
      <c r="BQ1192" s="350"/>
      <c r="BR1192" s="350"/>
      <c r="BS1192" s="350"/>
      <c r="BT1192" s="350"/>
      <c r="BU1192" s="350"/>
      <c r="BV1192" s="351"/>
    </row>
    <row r="1193" spans="1:74" ht="45" customHeight="1">
      <c r="A1193" s="24">
        <f t="shared" si="4"/>
        <v>1179</v>
      </c>
      <c r="B1193" s="522" t="s">
        <v>294</v>
      </c>
      <c r="C1193" s="351"/>
      <c r="D1193" s="523" t="s">
        <v>298</v>
      </c>
      <c r="E1193" s="351"/>
      <c r="F1193" s="524" t="s">
        <v>325</v>
      </c>
      <c r="G1193" s="351"/>
      <c r="H1193" s="561" t="s">
        <v>325</v>
      </c>
      <c r="I1193" s="351"/>
      <c r="J1193" s="562"/>
      <c r="K1193" s="351"/>
      <c r="L1193" s="562"/>
      <c r="M1193" s="351"/>
      <c r="N1193" s="34"/>
      <c r="O1193" s="35"/>
      <c r="P1193" s="526"/>
      <c r="Q1193" s="351"/>
      <c r="R1193" s="527"/>
      <c r="S1193" s="351"/>
      <c r="T1193" s="528"/>
      <c r="U1193" s="351"/>
      <c r="V1193" s="541"/>
      <c r="W1193" s="351"/>
      <c r="X1193" s="542" t="s">
        <v>294</v>
      </c>
      <c r="Y1193" s="350"/>
      <c r="Z1193" s="350"/>
      <c r="AA1193" s="351"/>
      <c r="AB1193" s="543" t="s">
        <v>294</v>
      </c>
      <c r="AC1193" s="350"/>
      <c r="AD1193" s="350"/>
      <c r="AE1193" s="351"/>
      <c r="AF1193" s="544"/>
      <c r="AG1193" s="351"/>
      <c r="AH1193" s="544"/>
      <c r="AI1193" s="351"/>
      <c r="AJ1193" s="545"/>
      <c r="AK1193" s="351"/>
      <c r="AL1193" s="524" t="s">
        <v>325</v>
      </c>
      <c r="AM1193" s="351"/>
      <c r="AN1193" s="549" t="s">
        <v>325</v>
      </c>
      <c r="AO1193" s="351"/>
      <c r="AP1193" s="550"/>
      <c r="AQ1193" s="351"/>
      <c r="AR1193" s="551"/>
      <c r="AS1193" s="351"/>
      <c r="AT1193" s="534"/>
      <c r="AU1193" s="351"/>
      <c r="AV1193" s="549" t="s">
        <v>325</v>
      </c>
      <c r="AW1193" s="351"/>
      <c r="AX1193" s="553"/>
      <c r="AY1193" s="350"/>
      <c r="AZ1193" s="351"/>
      <c r="BA1193" s="554"/>
      <c r="BB1193" s="351"/>
      <c r="BC1193" s="39"/>
      <c r="BD1193" s="546" t="s">
        <v>325</v>
      </c>
      <c r="BE1193" s="351"/>
      <c r="BF1193" s="547"/>
      <c r="BG1193" s="350"/>
      <c r="BH1193" s="350"/>
      <c r="BI1193" s="351"/>
      <c r="BJ1193" s="548" t="s">
        <v>294</v>
      </c>
      <c r="BK1193" s="350"/>
      <c r="BL1193" s="350"/>
      <c r="BM1193" s="351"/>
      <c r="BN1193" s="530" t="s">
        <v>294</v>
      </c>
      <c r="BO1193" s="350"/>
      <c r="BP1193" s="350"/>
      <c r="BQ1193" s="350"/>
      <c r="BR1193" s="350"/>
      <c r="BS1193" s="350"/>
      <c r="BT1193" s="350"/>
      <c r="BU1193" s="350"/>
      <c r="BV1193" s="351"/>
    </row>
    <row r="1194" spans="1:74" ht="45" customHeight="1">
      <c r="A1194" s="24">
        <f t="shared" si="4"/>
        <v>1180</v>
      </c>
      <c r="B1194" s="558" t="s">
        <v>294</v>
      </c>
      <c r="C1194" s="351"/>
      <c r="D1194" s="559" t="s">
        <v>298</v>
      </c>
      <c r="E1194" s="351"/>
      <c r="F1194" s="524" t="s">
        <v>325</v>
      </c>
      <c r="G1194" s="351"/>
      <c r="H1194" s="525" t="s">
        <v>325</v>
      </c>
      <c r="I1194" s="351"/>
      <c r="J1194" s="40"/>
      <c r="K1194" s="41"/>
      <c r="L1194" s="40"/>
      <c r="M1194" s="41"/>
      <c r="N1194" s="37"/>
      <c r="O1194" s="38"/>
      <c r="P1194" s="560"/>
      <c r="Q1194" s="351"/>
      <c r="R1194" s="535"/>
      <c r="S1194" s="351"/>
      <c r="T1194" s="536"/>
      <c r="U1194" s="351"/>
      <c r="V1194" s="537"/>
      <c r="W1194" s="351"/>
      <c r="X1194" s="538" t="s">
        <v>294</v>
      </c>
      <c r="Y1194" s="350"/>
      <c r="Z1194" s="350"/>
      <c r="AA1194" s="351"/>
      <c r="AB1194" s="539" t="s">
        <v>294</v>
      </c>
      <c r="AC1194" s="350"/>
      <c r="AD1194" s="350"/>
      <c r="AE1194" s="351"/>
      <c r="AF1194" s="540"/>
      <c r="AG1194" s="351"/>
      <c r="AH1194" s="540"/>
      <c r="AI1194" s="351"/>
      <c r="AJ1194" s="545"/>
      <c r="AK1194" s="351"/>
      <c r="AL1194" s="555" t="s">
        <v>325</v>
      </c>
      <c r="AM1194" s="351"/>
      <c r="AN1194" s="531" t="s">
        <v>325</v>
      </c>
      <c r="AO1194" s="351"/>
      <c r="AP1194" s="532"/>
      <c r="AQ1194" s="351"/>
      <c r="AR1194" s="533"/>
      <c r="AS1194" s="351"/>
      <c r="AT1194" s="534"/>
      <c r="AU1194" s="351"/>
      <c r="AV1194" s="531" t="s">
        <v>325</v>
      </c>
      <c r="AW1194" s="351"/>
      <c r="AX1194" s="553"/>
      <c r="AY1194" s="350"/>
      <c r="AZ1194" s="351"/>
      <c r="BA1194" s="545"/>
      <c r="BB1194" s="351"/>
      <c r="BC1194" s="36"/>
      <c r="BD1194" s="556" t="s">
        <v>325</v>
      </c>
      <c r="BE1194" s="351"/>
      <c r="BF1194" s="557"/>
      <c r="BG1194" s="350"/>
      <c r="BH1194" s="350"/>
      <c r="BI1194" s="351"/>
      <c r="BJ1194" s="506" t="s">
        <v>294</v>
      </c>
      <c r="BK1194" s="350"/>
      <c r="BL1194" s="350"/>
      <c r="BM1194" s="351"/>
      <c r="BN1194" s="530" t="s">
        <v>294</v>
      </c>
      <c r="BO1194" s="350"/>
      <c r="BP1194" s="350"/>
      <c r="BQ1194" s="350"/>
      <c r="BR1194" s="350"/>
      <c r="BS1194" s="350"/>
      <c r="BT1194" s="350"/>
      <c r="BU1194" s="350"/>
      <c r="BV1194" s="351"/>
    </row>
    <row r="1195" spans="1:74" ht="45" customHeight="1">
      <c r="A1195" s="24">
        <f t="shared" si="4"/>
        <v>1181</v>
      </c>
      <c r="B1195" s="522" t="s">
        <v>294</v>
      </c>
      <c r="C1195" s="351"/>
      <c r="D1195" s="523" t="s">
        <v>298</v>
      </c>
      <c r="E1195" s="351"/>
      <c r="F1195" s="524" t="s">
        <v>325</v>
      </c>
      <c r="G1195" s="351"/>
      <c r="H1195" s="561" t="s">
        <v>325</v>
      </c>
      <c r="I1195" s="351"/>
      <c r="J1195" s="562"/>
      <c r="K1195" s="351"/>
      <c r="L1195" s="562"/>
      <c r="M1195" s="351"/>
      <c r="N1195" s="34"/>
      <c r="O1195" s="35"/>
      <c r="P1195" s="526"/>
      <c r="Q1195" s="351"/>
      <c r="R1195" s="527"/>
      <c r="S1195" s="351"/>
      <c r="T1195" s="528"/>
      <c r="U1195" s="351"/>
      <c r="V1195" s="541"/>
      <c r="W1195" s="351"/>
      <c r="X1195" s="542" t="s">
        <v>294</v>
      </c>
      <c r="Y1195" s="350"/>
      <c r="Z1195" s="350"/>
      <c r="AA1195" s="351"/>
      <c r="AB1195" s="543" t="s">
        <v>294</v>
      </c>
      <c r="AC1195" s="350"/>
      <c r="AD1195" s="350"/>
      <c r="AE1195" s="351"/>
      <c r="AF1195" s="544"/>
      <c r="AG1195" s="351"/>
      <c r="AH1195" s="544"/>
      <c r="AI1195" s="351"/>
      <c r="AJ1195" s="545"/>
      <c r="AK1195" s="351"/>
      <c r="AL1195" s="524" t="s">
        <v>325</v>
      </c>
      <c r="AM1195" s="351"/>
      <c r="AN1195" s="549" t="s">
        <v>325</v>
      </c>
      <c r="AO1195" s="351"/>
      <c r="AP1195" s="550"/>
      <c r="AQ1195" s="351"/>
      <c r="AR1195" s="551"/>
      <c r="AS1195" s="351"/>
      <c r="AT1195" s="534"/>
      <c r="AU1195" s="351"/>
      <c r="AV1195" s="549" t="s">
        <v>325</v>
      </c>
      <c r="AW1195" s="351"/>
      <c r="AX1195" s="553"/>
      <c r="AY1195" s="350"/>
      <c r="AZ1195" s="351"/>
      <c r="BA1195" s="554"/>
      <c r="BB1195" s="351"/>
      <c r="BC1195" s="39"/>
      <c r="BD1195" s="546" t="s">
        <v>325</v>
      </c>
      <c r="BE1195" s="351"/>
      <c r="BF1195" s="547"/>
      <c r="BG1195" s="350"/>
      <c r="BH1195" s="350"/>
      <c r="BI1195" s="351"/>
      <c r="BJ1195" s="548" t="s">
        <v>294</v>
      </c>
      <c r="BK1195" s="350"/>
      <c r="BL1195" s="350"/>
      <c r="BM1195" s="351"/>
      <c r="BN1195" s="530" t="s">
        <v>294</v>
      </c>
      <c r="BO1195" s="350"/>
      <c r="BP1195" s="350"/>
      <c r="BQ1195" s="350"/>
      <c r="BR1195" s="350"/>
      <c r="BS1195" s="350"/>
      <c r="BT1195" s="350"/>
      <c r="BU1195" s="350"/>
      <c r="BV1195" s="351"/>
    </row>
    <row r="1196" spans="1:74" ht="45" customHeight="1">
      <c r="A1196" s="24">
        <f t="shared" si="4"/>
        <v>1182</v>
      </c>
      <c r="B1196" s="558" t="s">
        <v>294</v>
      </c>
      <c r="C1196" s="351"/>
      <c r="D1196" s="559" t="s">
        <v>298</v>
      </c>
      <c r="E1196" s="351"/>
      <c r="F1196" s="524" t="s">
        <v>325</v>
      </c>
      <c r="G1196" s="351"/>
      <c r="H1196" s="525" t="s">
        <v>325</v>
      </c>
      <c r="I1196" s="351"/>
      <c r="J1196" s="40"/>
      <c r="K1196" s="41"/>
      <c r="L1196" s="40"/>
      <c r="M1196" s="41"/>
      <c r="N1196" s="37"/>
      <c r="O1196" s="38"/>
      <c r="P1196" s="560"/>
      <c r="Q1196" s="351"/>
      <c r="R1196" s="535"/>
      <c r="S1196" s="351"/>
      <c r="T1196" s="536"/>
      <c r="U1196" s="351"/>
      <c r="V1196" s="537"/>
      <c r="W1196" s="351"/>
      <c r="X1196" s="538" t="s">
        <v>294</v>
      </c>
      <c r="Y1196" s="350"/>
      <c r="Z1196" s="350"/>
      <c r="AA1196" s="351"/>
      <c r="AB1196" s="539" t="s">
        <v>294</v>
      </c>
      <c r="AC1196" s="350"/>
      <c r="AD1196" s="350"/>
      <c r="AE1196" s="351"/>
      <c r="AF1196" s="540"/>
      <c r="AG1196" s="351"/>
      <c r="AH1196" s="540"/>
      <c r="AI1196" s="351"/>
      <c r="AJ1196" s="545"/>
      <c r="AK1196" s="351"/>
      <c r="AL1196" s="555" t="s">
        <v>325</v>
      </c>
      <c r="AM1196" s="351"/>
      <c r="AN1196" s="531" t="s">
        <v>325</v>
      </c>
      <c r="AO1196" s="351"/>
      <c r="AP1196" s="532"/>
      <c r="AQ1196" s="351"/>
      <c r="AR1196" s="533"/>
      <c r="AS1196" s="351"/>
      <c r="AT1196" s="534"/>
      <c r="AU1196" s="351"/>
      <c r="AV1196" s="531" t="s">
        <v>325</v>
      </c>
      <c r="AW1196" s="351"/>
      <c r="AX1196" s="553"/>
      <c r="AY1196" s="350"/>
      <c r="AZ1196" s="351"/>
      <c r="BA1196" s="545"/>
      <c r="BB1196" s="351"/>
      <c r="BC1196" s="36"/>
      <c r="BD1196" s="556" t="s">
        <v>325</v>
      </c>
      <c r="BE1196" s="351"/>
      <c r="BF1196" s="557"/>
      <c r="BG1196" s="350"/>
      <c r="BH1196" s="350"/>
      <c r="BI1196" s="351"/>
      <c r="BJ1196" s="506" t="s">
        <v>294</v>
      </c>
      <c r="BK1196" s="350"/>
      <c r="BL1196" s="350"/>
      <c r="BM1196" s="351"/>
      <c r="BN1196" s="530" t="s">
        <v>294</v>
      </c>
      <c r="BO1196" s="350"/>
      <c r="BP1196" s="350"/>
      <c r="BQ1196" s="350"/>
      <c r="BR1196" s="350"/>
      <c r="BS1196" s="350"/>
      <c r="BT1196" s="350"/>
      <c r="BU1196" s="350"/>
      <c r="BV1196" s="351"/>
    </row>
    <row r="1197" spans="1:74" ht="45" customHeight="1">
      <c r="A1197" s="24">
        <f t="shared" si="4"/>
        <v>1183</v>
      </c>
      <c r="B1197" s="522" t="s">
        <v>294</v>
      </c>
      <c r="C1197" s="351"/>
      <c r="D1197" s="523" t="s">
        <v>298</v>
      </c>
      <c r="E1197" s="351"/>
      <c r="F1197" s="524" t="s">
        <v>325</v>
      </c>
      <c r="G1197" s="351"/>
      <c r="H1197" s="561" t="s">
        <v>325</v>
      </c>
      <c r="I1197" s="351"/>
      <c r="J1197" s="562"/>
      <c r="K1197" s="351"/>
      <c r="L1197" s="562"/>
      <c r="M1197" s="351"/>
      <c r="N1197" s="34"/>
      <c r="O1197" s="38"/>
      <c r="P1197" s="526"/>
      <c r="Q1197" s="351"/>
      <c r="R1197" s="527"/>
      <c r="S1197" s="351"/>
      <c r="T1197" s="528"/>
      <c r="U1197" s="351"/>
      <c r="V1197" s="541"/>
      <c r="W1197" s="351"/>
      <c r="X1197" s="542" t="s">
        <v>294</v>
      </c>
      <c r="Y1197" s="350"/>
      <c r="Z1197" s="350"/>
      <c r="AA1197" s="351"/>
      <c r="AB1197" s="543" t="s">
        <v>294</v>
      </c>
      <c r="AC1197" s="350"/>
      <c r="AD1197" s="350"/>
      <c r="AE1197" s="351"/>
      <c r="AF1197" s="544"/>
      <c r="AG1197" s="351"/>
      <c r="AH1197" s="544"/>
      <c r="AI1197" s="351"/>
      <c r="AJ1197" s="545"/>
      <c r="AK1197" s="351"/>
      <c r="AL1197" s="524" t="s">
        <v>325</v>
      </c>
      <c r="AM1197" s="351"/>
      <c r="AN1197" s="549" t="s">
        <v>325</v>
      </c>
      <c r="AO1197" s="351"/>
      <c r="AP1197" s="550"/>
      <c r="AQ1197" s="351"/>
      <c r="AR1197" s="551"/>
      <c r="AS1197" s="351"/>
      <c r="AT1197" s="552"/>
      <c r="AU1197" s="351"/>
      <c r="AV1197" s="549" t="s">
        <v>325</v>
      </c>
      <c r="AW1197" s="351"/>
      <c r="AX1197" s="553"/>
      <c r="AY1197" s="350"/>
      <c r="AZ1197" s="351"/>
      <c r="BA1197" s="554"/>
      <c r="BB1197" s="351"/>
      <c r="BC1197" s="39"/>
      <c r="BD1197" s="546" t="s">
        <v>325</v>
      </c>
      <c r="BE1197" s="351"/>
      <c r="BF1197" s="547"/>
      <c r="BG1197" s="350"/>
      <c r="BH1197" s="350"/>
      <c r="BI1197" s="351"/>
      <c r="BJ1197" s="548" t="s">
        <v>294</v>
      </c>
      <c r="BK1197" s="350"/>
      <c r="BL1197" s="350"/>
      <c r="BM1197" s="351"/>
      <c r="BN1197" s="530" t="s">
        <v>294</v>
      </c>
      <c r="BO1197" s="350"/>
      <c r="BP1197" s="350"/>
      <c r="BQ1197" s="350"/>
      <c r="BR1197" s="350"/>
      <c r="BS1197" s="350"/>
      <c r="BT1197" s="350"/>
      <c r="BU1197" s="350"/>
      <c r="BV1197" s="351"/>
    </row>
    <row r="1198" spans="1:74" ht="45" customHeight="1">
      <c r="A1198" s="24">
        <f t="shared" si="4"/>
        <v>1184</v>
      </c>
      <c r="B1198" s="558" t="s">
        <v>294</v>
      </c>
      <c r="C1198" s="351"/>
      <c r="D1198" s="559" t="s">
        <v>298</v>
      </c>
      <c r="E1198" s="351"/>
      <c r="F1198" s="524" t="s">
        <v>325</v>
      </c>
      <c r="G1198" s="351"/>
      <c r="H1198" s="525" t="s">
        <v>325</v>
      </c>
      <c r="I1198" s="351"/>
      <c r="J1198" s="40"/>
      <c r="K1198" s="41"/>
      <c r="L1198" s="40"/>
      <c r="M1198" s="41"/>
      <c r="N1198" s="37"/>
      <c r="O1198" s="35"/>
      <c r="P1198" s="560"/>
      <c r="Q1198" s="351"/>
      <c r="R1198" s="535"/>
      <c r="S1198" s="351"/>
      <c r="T1198" s="536"/>
      <c r="U1198" s="351"/>
      <c r="V1198" s="537"/>
      <c r="W1198" s="351"/>
      <c r="X1198" s="538" t="s">
        <v>294</v>
      </c>
      <c r="Y1198" s="350"/>
      <c r="Z1198" s="350"/>
      <c r="AA1198" s="351"/>
      <c r="AB1198" s="539" t="s">
        <v>294</v>
      </c>
      <c r="AC1198" s="350"/>
      <c r="AD1198" s="350"/>
      <c r="AE1198" s="351"/>
      <c r="AF1198" s="540"/>
      <c r="AG1198" s="351"/>
      <c r="AH1198" s="540"/>
      <c r="AI1198" s="351"/>
      <c r="AJ1198" s="545"/>
      <c r="AK1198" s="351"/>
      <c r="AL1198" s="555" t="s">
        <v>325</v>
      </c>
      <c r="AM1198" s="351"/>
      <c r="AN1198" s="531" t="s">
        <v>325</v>
      </c>
      <c r="AO1198" s="351"/>
      <c r="AP1198" s="532"/>
      <c r="AQ1198" s="351"/>
      <c r="AR1198" s="533"/>
      <c r="AS1198" s="351"/>
      <c r="AT1198" s="534"/>
      <c r="AU1198" s="351"/>
      <c r="AV1198" s="531" t="s">
        <v>325</v>
      </c>
      <c r="AW1198" s="351"/>
      <c r="AX1198" s="553"/>
      <c r="AY1198" s="350"/>
      <c r="AZ1198" s="351"/>
      <c r="BA1198" s="545"/>
      <c r="BB1198" s="351"/>
      <c r="BC1198" s="36"/>
      <c r="BD1198" s="556" t="s">
        <v>325</v>
      </c>
      <c r="BE1198" s="351"/>
      <c r="BF1198" s="529"/>
      <c r="BG1198" s="350"/>
      <c r="BH1198" s="350"/>
      <c r="BI1198" s="351"/>
      <c r="BJ1198" s="506" t="s">
        <v>294</v>
      </c>
      <c r="BK1198" s="350"/>
      <c r="BL1198" s="350"/>
      <c r="BM1198" s="351"/>
      <c r="BN1198" s="530" t="s">
        <v>294</v>
      </c>
      <c r="BO1198" s="350"/>
      <c r="BP1198" s="350"/>
      <c r="BQ1198" s="350"/>
      <c r="BR1198" s="350"/>
      <c r="BS1198" s="350"/>
      <c r="BT1198" s="350"/>
      <c r="BU1198" s="350"/>
      <c r="BV1198" s="351"/>
    </row>
    <row r="1199" spans="1:74" ht="45" customHeight="1">
      <c r="A1199" s="24">
        <f t="shared" si="4"/>
        <v>1185</v>
      </c>
      <c r="B1199" s="522" t="s">
        <v>294</v>
      </c>
      <c r="C1199" s="351"/>
      <c r="D1199" s="523" t="s">
        <v>298</v>
      </c>
      <c r="E1199" s="351"/>
      <c r="F1199" s="524" t="s">
        <v>325</v>
      </c>
      <c r="G1199" s="351"/>
      <c r="H1199" s="561" t="s">
        <v>325</v>
      </c>
      <c r="I1199" s="351"/>
      <c r="J1199" s="562"/>
      <c r="K1199" s="351"/>
      <c r="L1199" s="562"/>
      <c r="M1199" s="351"/>
      <c r="N1199" s="34"/>
      <c r="O1199" s="38"/>
      <c r="P1199" s="526"/>
      <c r="Q1199" s="351"/>
      <c r="R1199" s="527"/>
      <c r="S1199" s="351"/>
      <c r="T1199" s="528"/>
      <c r="U1199" s="351"/>
      <c r="V1199" s="541"/>
      <c r="W1199" s="351"/>
      <c r="X1199" s="542" t="s">
        <v>294</v>
      </c>
      <c r="Y1199" s="350"/>
      <c r="Z1199" s="350"/>
      <c r="AA1199" s="351"/>
      <c r="AB1199" s="543" t="s">
        <v>294</v>
      </c>
      <c r="AC1199" s="350"/>
      <c r="AD1199" s="350"/>
      <c r="AE1199" s="351"/>
      <c r="AF1199" s="544"/>
      <c r="AG1199" s="351"/>
      <c r="AH1199" s="544"/>
      <c r="AI1199" s="351"/>
      <c r="AJ1199" s="545"/>
      <c r="AK1199" s="351"/>
      <c r="AL1199" s="524" t="s">
        <v>325</v>
      </c>
      <c r="AM1199" s="351"/>
      <c r="AN1199" s="549" t="s">
        <v>325</v>
      </c>
      <c r="AO1199" s="351"/>
      <c r="AP1199" s="550"/>
      <c r="AQ1199" s="351"/>
      <c r="AR1199" s="551"/>
      <c r="AS1199" s="351"/>
      <c r="AT1199" s="552"/>
      <c r="AU1199" s="351"/>
      <c r="AV1199" s="549" t="s">
        <v>325</v>
      </c>
      <c r="AW1199" s="351"/>
      <c r="AX1199" s="553"/>
      <c r="AY1199" s="350"/>
      <c r="AZ1199" s="351"/>
      <c r="BA1199" s="554"/>
      <c r="BB1199" s="351"/>
      <c r="BC1199" s="39"/>
      <c r="BD1199" s="546" t="s">
        <v>325</v>
      </c>
      <c r="BE1199" s="351"/>
      <c r="BF1199" s="547"/>
      <c r="BG1199" s="350"/>
      <c r="BH1199" s="350"/>
      <c r="BI1199" s="351"/>
      <c r="BJ1199" s="548" t="s">
        <v>294</v>
      </c>
      <c r="BK1199" s="350"/>
      <c r="BL1199" s="350"/>
      <c r="BM1199" s="351"/>
      <c r="BN1199" s="530" t="s">
        <v>294</v>
      </c>
      <c r="BO1199" s="350"/>
      <c r="BP1199" s="350"/>
      <c r="BQ1199" s="350"/>
      <c r="BR1199" s="350"/>
      <c r="BS1199" s="350"/>
      <c r="BT1199" s="350"/>
      <c r="BU1199" s="350"/>
      <c r="BV1199" s="351"/>
    </row>
    <row r="1200" spans="1:74" ht="45" customHeight="1">
      <c r="A1200" s="24">
        <f t="shared" si="4"/>
        <v>1186</v>
      </c>
      <c r="B1200" s="558" t="s">
        <v>294</v>
      </c>
      <c r="C1200" s="351"/>
      <c r="D1200" s="559" t="s">
        <v>298</v>
      </c>
      <c r="E1200" s="351"/>
      <c r="F1200" s="524" t="s">
        <v>325</v>
      </c>
      <c r="G1200" s="351"/>
      <c r="H1200" s="525" t="s">
        <v>325</v>
      </c>
      <c r="I1200" s="351"/>
      <c r="J1200" s="40"/>
      <c r="K1200" s="41"/>
      <c r="L1200" s="40"/>
      <c r="M1200" s="41"/>
      <c r="N1200" s="37"/>
      <c r="O1200" s="35"/>
      <c r="P1200" s="560"/>
      <c r="Q1200" s="351"/>
      <c r="R1200" s="535"/>
      <c r="S1200" s="351"/>
      <c r="T1200" s="536"/>
      <c r="U1200" s="351"/>
      <c r="V1200" s="537"/>
      <c r="W1200" s="351"/>
      <c r="X1200" s="538" t="s">
        <v>294</v>
      </c>
      <c r="Y1200" s="350"/>
      <c r="Z1200" s="350"/>
      <c r="AA1200" s="351"/>
      <c r="AB1200" s="539" t="s">
        <v>294</v>
      </c>
      <c r="AC1200" s="350"/>
      <c r="AD1200" s="350"/>
      <c r="AE1200" s="351"/>
      <c r="AF1200" s="540"/>
      <c r="AG1200" s="351"/>
      <c r="AH1200" s="540"/>
      <c r="AI1200" s="351"/>
      <c r="AJ1200" s="545"/>
      <c r="AK1200" s="351"/>
      <c r="AL1200" s="555" t="s">
        <v>325</v>
      </c>
      <c r="AM1200" s="351"/>
      <c r="AN1200" s="531" t="s">
        <v>325</v>
      </c>
      <c r="AO1200" s="351"/>
      <c r="AP1200" s="532"/>
      <c r="AQ1200" s="351"/>
      <c r="AR1200" s="533"/>
      <c r="AS1200" s="351"/>
      <c r="AT1200" s="534"/>
      <c r="AU1200" s="351"/>
      <c r="AV1200" s="531" t="s">
        <v>325</v>
      </c>
      <c r="AW1200" s="351"/>
      <c r="AX1200" s="553"/>
      <c r="AY1200" s="350"/>
      <c r="AZ1200" s="351"/>
      <c r="BA1200" s="545"/>
      <c r="BB1200" s="351"/>
      <c r="BC1200" s="36"/>
      <c r="BD1200" s="556" t="s">
        <v>325</v>
      </c>
      <c r="BE1200" s="351"/>
      <c r="BF1200" s="557"/>
      <c r="BG1200" s="350"/>
      <c r="BH1200" s="350"/>
      <c r="BI1200" s="351"/>
      <c r="BJ1200" s="506" t="s">
        <v>294</v>
      </c>
      <c r="BK1200" s="350"/>
      <c r="BL1200" s="350"/>
      <c r="BM1200" s="351"/>
      <c r="BN1200" s="530" t="s">
        <v>294</v>
      </c>
      <c r="BO1200" s="350"/>
      <c r="BP1200" s="350"/>
      <c r="BQ1200" s="350"/>
      <c r="BR1200" s="350"/>
      <c r="BS1200" s="350"/>
      <c r="BT1200" s="350"/>
      <c r="BU1200" s="350"/>
      <c r="BV1200" s="351"/>
    </row>
    <row r="1201" spans="1:74" ht="45" customHeight="1">
      <c r="A1201" s="24">
        <f t="shared" si="4"/>
        <v>1187</v>
      </c>
      <c r="B1201" s="522" t="s">
        <v>294</v>
      </c>
      <c r="C1201" s="351"/>
      <c r="D1201" s="523" t="s">
        <v>298</v>
      </c>
      <c r="E1201" s="351"/>
      <c r="F1201" s="524" t="s">
        <v>325</v>
      </c>
      <c r="G1201" s="351"/>
      <c r="H1201" s="561" t="s">
        <v>325</v>
      </c>
      <c r="I1201" s="351"/>
      <c r="J1201" s="562"/>
      <c r="K1201" s="351"/>
      <c r="L1201" s="562"/>
      <c r="M1201" s="351"/>
      <c r="N1201" s="34"/>
      <c r="O1201" s="38"/>
      <c r="P1201" s="526"/>
      <c r="Q1201" s="351"/>
      <c r="R1201" s="527"/>
      <c r="S1201" s="351"/>
      <c r="T1201" s="528"/>
      <c r="U1201" s="351"/>
      <c r="V1201" s="541"/>
      <c r="W1201" s="351"/>
      <c r="X1201" s="542" t="s">
        <v>294</v>
      </c>
      <c r="Y1201" s="350"/>
      <c r="Z1201" s="350"/>
      <c r="AA1201" s="351"/>
      <c r="AB1201" s="543" t="s">
        <v>294</v>
      </c>
      <c r="AC1201" s="350"/>
      <c r="AD1201" s="350"/>
      <c r="AE1201" s="351"/>
      <c r="AF1201" s="544"/>
      <c r="AG1201" s="351"/>
      <c r="AH1201" s="544"/>
      <c r="AI1201" s="351"/>
      <c r="AJ1201" s="545"/>
      <c r="AK1201" s="351"/>
      <c r="AL1201" s="524" t="s">
        <v>325</v>
      </c>
      <c r="AM1201" s="351"/>
      <c r="AN1201" s="549" t="s">
        <v>325</v>
      </c>
      <c r="AO1201" s="351"/>
      <c r="AP1201" s="550"/>
      <c r="AQ1201" s="351"/>
      <c r="AR1201" s="551"/>
      <c r="AS1201" s="351"/>
      <c r="AT1201" s="552"/>
      <c r="AU1201" s="351"/>
      <c r="AV1201" s="549" t="s">
        <v>325</v>
      </c>
      <c r="AW1201" s="351"/>
      <c r="AX1201" s="553"/>
      <c r="AY1201" s="350"/>
      <c r="AZ1201" s="351"/>
      <c r="BA1201" s="554"/>
      <c r="BB1201" s="351"/>
      <c r="BC1201" s="39"/>
      <c r="BD1201" s="546" t="s">
        <v>325</v>
      </c>
      <c r="BE1201" s="351"/>
      <c r="BF1201" s="547"/>
      <c r="BG1201" s="350"/>
      <c r="BH1201" s="350"/>
      <c r="BI1201" s="351"/>
      <c r="BJ1201" s="548" t="s">
        <v>294</v>
      </c>
      <c r="BK1201" s="350"/>
      <c r="BL1201" s="350"/>
      <c r="BM1201" s="351"/>
      <c r="BN1201" s="530" t="s">
        <v>294</v>
      </c>
      <c r="BO1201" s="350"/>
      <c r="BP1201" s="350"/>
      <c r="BQ1201" s="350"/>
      <c r="BR1201" s="350"/>
      <c r="BS1201" s="350"/>
      <c r="BT1201" s="350"/>
      <c r="BU1201" s="350"/>
      <c r="BV1201" s="351"/>
    </row>
    <row r="1202" spans="1:74" ht="45" customHeight="1">
      <c r="A1202" s="24">
        <f t="shared" si="4"/>
        <v>1188</v>
      </c>
      <c r="B1202" s="558" t="s">
        <v>294</v>
      </c>
      <c r="C1202" s="351"/>
      <c r="D1202" s="559" t="s">
        <v>298</v>
      </c>
      <c r="E1202" s="351"/>
      <c r="F1202" s="524" t="s">
        <v>325</v>
      </c>
      <c r="G1202" s="351"/>
      <c r="H1202" s="525" t="s">
        <v>325</v>
      </c>
      <c r="I1202" s="351"/>
      <c r="J1202" s="40"/>
      <c r="K1202" s="41"/>
      <c r="L1202" s="40"/>
      <c r="M1202" s="41"/>
      <c r="N1202" s="37"/>
      <c r="O1202" s="35"/>
      <c r="P1202" s="560"/>
      <c r="Q1202" s="351"/>
      <c r="R1202" s="535"/>
      <c r="S1202" s="351"/>
      <c r="T1202" s="536"/>
      <c r="U1202" s="351"/>
      <c r="V1202" s="537"/>
      <c r="W1202" s="351"/>
      <c r="X1202" s="538" t="s">
        <v>294</v>
      </c>
      <c r="Y1202" s="350"/>
      <c r="Z1202" s="350"/>
      <c r="AA1202" s="351"/>
      <c r="AB1202" s="539" t="s">
        <v>294</v>
      </c>
      <c r="AC1202" s="350"/>
      <c r="AD1202" s="350"/>
      <c r="AE1202" s="351"/>
      <c r="AF1202" s="540"/>
      <c r="AG1202" s="351"/>
      <c r="AH1202" s="540"/>
      <c r="AI1202" s="351"/>
      <c r="AJ1202" s="545"/>
      <c r="AK1202" s="351"/>
      <c r="AL1202" s="555" t="s">
        <v>325</v>
      </c>
      <c r="AM1202" s="351"/>
      <c r="AN1202" s="531" t="s">
        <v>325</v>
      </c>
      <c r="AO1202" s="351"/>
      <c r="AP1202" s="532"/>
      <c r="AQ1202" s="351"/>
      <c r="AR1202" s="533"/>
      <c r="AS1202" s="351"/>
      <c r="AT1202" s="534"/>
      <c r="AU1202" s="351"/>
      <c r="AV1202" s="531" t="s">
        <v>325</v>
      </c>
      <c r="AW1202" s="351"/>
      <c r="AX1202" s="553"/>
      <c r="AY1202" s="350"/>
      <c r="AZ1202" s="351"/>
      <c r="BA1202" s="545"/>
      <c r="BB1202" s="351"/>
      <c r="BC1202" s="36"/>
      <c r="BD1202" s="556" t="s">
        <v>325</v>
      </c>
      <c r="BE1202" s="351"/>
      <c r="BF1202" s="557"/>
      <c r="BG1202" s="350"/>
      <c r="BH1202" s="350"/>
      <c r="BI1202" s="351"/>
      <c r="BJ1202" s="506" t="s">
        <v>294</v>
      </c>
      <c r="BK1202" s="350"/>
      <c r="BL1202" s="350"/>
      <c r="BM1202" s="351"/>
      <c r="BN1202" s="530" t="s">
        <v>294</v>
      </c>
      <c r="BO1202" s="350"/>
      <c r="BP1202" s="350"/>
      <c r="BQ1202" s="350"/>
      <c r="BR1202" s="350"/>
      <c r="BS1202" s="350"/>
      <c r="BT1202" s="350"/>
      <c r="BU1202" s="350"/>
      <c r="BV1202" s="351"/>
    </row>
    <row r="1203" spans="1:74" ht="45" customHeight="1">
      <c r="A1203" s="24">
        <f t="shared" si="4"/>
        <v>1189</v>
      </c>
      <c r="B1203" s="522" t="s">
        <v>294</v>
      </c>
      <c r="C1203" s="351"/>
      <c r="D1203" s="523" t="s">
        <v>298</v>
      </c>
      <c r="E1203" s="351"/>
      <c r="F1203" s="524" t="s">
        <v>325</v>
      </c>
      <c r="G1203" s="351"/>
      <c r="H1203" s="561" t="s">
        <v>325</v>
      </c>
      <c r="I1203" s="351"/>
      <c r="J1203" s="562"/>
      <c r="K1203" s="351"/>
      <c r="L1203" s="562"/>
      <c r="M1203" s="351"/>
      <c r="N1203" s="34"/>
      <c r="O1203" s="38"/>
      <c r="P1203" s="526"/>
      <c r="Q1203" s="351"/>
      <c r="R1203" s="527"/>
      <c r="S1203" s="351"/>
      <c r="T1203" s="528"/>
      <c r="U1203" s="351"/>
      <c r="V1203" s="541"/>
      <c r="W1203" s="351"/>
      <c r="X1203" s="542" t="s">
        <v>294</v>
      </c>
      <c r="Y1203" s="350"/>
      <c r="Z1203" s="350"/>
      <c r="AA1203" s="351"/>
      <c r="AB1203" s="543" t="s">
        <v>294</v>
      </c>
      <c r="AC1203" s="350"/>
      <c r="AD1203" s="350"/>
      <c r="AE1203" s="351"/>
      <c r="AF1203" s="544"/>
      <c r="AG1203" s="351"/>
      <c r="AH1203" s="544"/>
      <c r="AI1203" s="351"/>
      <c r="AJ1203" s="545"/>
      <c r="AK1203" s="351"/>
      <c r="AL1203" s="524" t="s">
        <v>325</v>
      </c>
      <c r="AM1203" s="351"/>
      <c r="AN1203" s="549" t="s">
        <v>325</v>
      </c>
      <c r="AO1203" s="351"/>
      <c r="AP1203" s="550"/>
      <c r="AQ1203" s="351"/>
      <c r="AR1203" s="551"/>
      <c r="AS1203" s="351"/>
      <c r="AT1203" s="552"/>
      <c r="AU1203" s="351"/>
      <c r="AV1203" s="549" t="s">
        <v>325</v>
      </c>
      <c r="AW1203" s="351"/>
      <c r="AX1203" s="553"/>
      <c r="AY1203" s="350"/>
      <c r="AZ1203" s="351"/>
      <c r="BA1203" s="554"/>
      <c r="BB1203" s="351"/>
      <c r="BC1203" s="39"/>
      <c r="BD1203" s="546" t="s">
        <v>325</v>
      </c>
      <c r="BE1203" s="351"/>
      <c r="BF1203" s="547"/>
      <c r="BG1203" s="350"/>
      <c r="BH1203" s="350"/>
      <c r="BI1203" s="351"/>
      <c r="BJ1203" s="548" t="s">
        <v>294</v>
      </c>
      <c r="BK1203" s="350"/>
      <c r="BL1203" s="350"/>
      <c r="BM1203" s="351"/>
      <c r="BN1203" s="530" t="s">
        <v>294</v>
      </c>
      <c r="BO1203" s="350"/>
      <c r="BP1203" s="350"/>
      <c r="BQ1203" s="350"/>
      <c r="BR1203" s="350"/>
      <c r="BS1203" s="350"/>
      <c r="BT1203" s="350"/>
      <c r="BU1203" s="350"/>
      <c r="BV1203" s="351"/>
    </row>
    <row r="1204" spans="1:74" ht="45" customHeight="1">
      <c r="A1204" s="24">
        <f t="shared" si="4"/>
        <v>1190</v>
      </c>
      <c r="B1204" s="558" t="s">
        <v>294</v>
      </c>
      <c r="C1204" s="351"/>
      <c r="D1204" s="559" t="s">
        <v>298</v>
      </c>
      <c r="E1204" s="351"/>
      <c r="F1204" s="524" t="s">
        <v>325</v>
      </c>
      <c r="G1204" s="351"/>
      <c r="H1204" s="525" t="s">
        <v>325</v>
      </c>
      <c r="I1204" s="351"/>
      <c r="J1204" s="40"/>
      <c r="K1204" s="41"/>
      <c r="L1204" s="40"/>
      <c r="M1204" s="41"/>
      <c r="N1204" s="37"/>
      <c r="O1204" s="35"/>
      <c r="P1204" s="560"/>
      <c r="Q1204" s="351"/>
      <c r="R1204" s="535"/>
      <c r="S1204" s="351"/>
      <c r="T1204" s="536"/>
      <c r="U1204" s="351"/>
      <c r="V1204" s="537"/>
      <c r="W1204" s="351"/>
      <c r="X1204" s="538" t="s">
        <v>294</v>
      </c>
      <c r="Y1204" s="350"/>
      <c r="Z1204" s="350"/>
      <c r="AA1204" s="351"/>
      <c r="AB1204" s="539" t="s">
        <v>294</v>
      </c>
      <c r="AC1204" s="350"/>
      <c r="AD1204" s="350"/>
      <c r="AE1204" s="351"/>
      <c r="AF1204" s="540"/>
      <c r="AG1204" s="351"/>
      <c r="AH1204" s="540"/>
      <c r="AI1204" s="351"/>
      <c r="AJ1204" s="545"/>
      <c r="AK1204" s="351"/>
      <c r="AL1204" s="555" t="s">
        <v>325</v>
      </c>
      <c r="AM1204" s="351"/>
      <c r="AN1204" s="531" t="s">
        <v>325</v>
      </c>
      <c r="AO1204" s="351"/>
      <c r="AP1204" s="532"/>
      <c r="AQ1204" s="351"/>
      <c r="AR1204" s="533"/>
      <c r="AS1204" s="351"/>
      <c r="AT1204" s="534"/>
      <c r="AU1204" s="351"/>
      <c r="AV1204" s="531" t="s">
        <v>325</v>
      </c>
      <c r="AW1204" s="351"/>
      <c r="AX1204" s="553"/>
      <c r="AY1204" s="350"/>
      <c r="AZ1204" s="351"/>
      <c r="BA1204" s="545"/>
      <c r="BB1204" s="351"/>
      <c r="BC1204" s="36"/>
      <c r="BD1204" s="556" t="s">
        <v>325</v>
      </c>
      <c r="BE1204" s="351"/>
      <c r="BF1204" s="529"/>
      <c r="BG1204" s="350"/>
      <c r="BH1204" s="350"/>
      <c r="BI1204" s="351"/>
      <c r="BJ1204" s="506" t="s">
        <v>294</v>
      </c>
      <c r="BK1204" s="350"/>
      <c r="BL1204" s="350"/>
      <c r="BM1204" s="351"/>
      <c r="BN1204" s="530" t="s">
        <v>294</v>
      </c>
      <c r="BO1204" s="350"/>
      <c r="BP1204" s="350"/>
      <c r="BQ1204" s="350"/>
      <c r="BR1204" s="350"/>
      <c r="BS1204" s="350"/>
      <c r="BT1204" s="350"/>
      <c r="BU1204" s="350"/>
      <c r="BV1204" s="351"/>
    </row>
    <row r="1205" spans="1:74" ht="45" customHeight="1">
      <c r="A1205" s="24">
        <f t="shared" si="4"/>
        <v>1191</v>
      </c>
      <c r="B1205" s="522" t="s">
        <v>294</v>
      </c>
      <c r="C1205" s="351"/>
      <c r="D1205" s="523" t="s">
        <v>298</v>
      </c>
      <c r="E1205" s="351"/>
      <c r="F1205" s="524" t="s">
        <v>325</v>
      </c>
      <c r="G1205" s="351"/>
      <c r="H1205" s="561" t="s">
        <v>325</v>
      </c>
      <c r="I1205" s="351"/>
      <c r="J1205" s="562"/>
      <c r="K1205" s="351"/>
      <c r="L1205" s="562"/>
      <c r="M1205" s="351"/>
      <c r="N1205" s="34"/>
      <c r="O1205" s="38"/>
      <c r="P1205" s="526"/>
      <c r="Q1205" s="351"/>
      <c r="R1205" s="527"/>
      <c r="S1205" s="351"/>
      <c r="T1205" s="528"/>
      <c r="U1205" s="351"/>
      <c r="V1205" s="541"/>
      <c r="W1205" s="351"/>
      <c r="X1205" s="542" t="s">
        <v>294</v>
      </c>
      <c r="Y1205" s="350"/>
      <c r="Z1205" s="350"/>
      <c r="AA1205" s="351"/>
      <c r="AB1205" s="543" t="s">
        <v>294</v>
      </c>
      <c r="AC1205" s="350"/>
      <c r="AD1205" s="350"/>
      <c r="AE1205" s="351"/>
      <c r="AF1205" s="544"/>
      <c r="AG1205" s="351"/>
      <c r="AH1205" s="544"/>
      <c r="AI1205" s="351"/>
      <c r="AJ1205" s="545"/>
      <c r="AK1205" s="351"/>
      <c r="AL1205" s="524" t="s">
        <v>325</v>
      </c>
      <c r="AM1205" s="351"/>
      <c r="AN1205" s="549" t="s">
        <v>325</v>
      </c>
      <c r="AO1205" s="351"/>
      <c r="AP1205" s="550"/>
      <c r="AQ1205" s="351"/>
      <c r="AR1205" s="551"/>
      <c r="AS1205" s="351"/>
      <c r="AT1205" s="552"/>
      <c r="AU1205" s="351"/>
      <c r="AV1205" s="549" t="s">
        <v>325</v>
      </c>
      <c r="AW1205" s="351"/>
      <c r="AX1205" s="553"/>
      <c r="AY1205" s="350"/>
      <c r="AZ1205" s="351"/>
      <c r="BA1205" s="554"/>
      <c r="BB1205" s="351"/>
      <c r="BC1205" s="39"/>
      <c r="BD1205" s="546" t="s">
        <v>325</v>
      </c>
      <c r="BE1205" s="351"/>
      <c r="BF1205" s="547"/>
      <c r="BG1205" s="350"/>
      <c r="BH1205" s="350"/>
      <c r="BI1205" s="351"/>
      <c r="BJ1205" s="548" t="s">
        <v>294</v>
      </c>
      <c r="BK1205" s="350"/>
      <c r="BL1205" s="350"/>
      <c r="BM1205" s="351"/>
      <c r="BN1205" s="530" t="s">
        <v>294</v>
      </c>
      <c r="BO1205" s="350"/>
      <c r="BP1205" s="350"/>
      <c r="BQ1205" s="350"/>
      <c r="BR1205" s="350"/>
      <c r="BS1205" s="350"/>
      <c r="BT1205" s="350"/>
      <c r="BU1205" s="350"/>
      <c r="BV1205" s="351"/>
    </row>
    <row r="1206" spans="1:74" ht="45" customHeight="1">
      <c r="A1206" s="24">
        <f t="shared" si="4"/>
        <v>1192</v>
      </c>
      <c r="B1206" s="558" t="s">
        <v>294</v>
      </c>
      <c r="C1206" s="351"/>
      <c r="D1206" s="559" t="s">
        <v>298</v>
      </c>
      <c r="E1206" s="351"/>
      <c r="F1206" s="524" t="s">
        <v>325</v>
      </c>
      <c r="G1206" s="351"/>
      <c r="H1206" s="525" t="s">
        <v>325</v>
      </c>
      <c r="I1206" s="351"/>
      <c r="J1206" s="40"/>
      <c r="K1206" s="41"/>
      <c r="L1206" s="40"/>
      <c r="M1206" s="41"/>
      <c r="N1206" s="37"/>
      <c r="O1206" s="35"/>
      <c r="P1206" s="560"/>
      <c r="Q1206" s="351"/>
      <c r="R1206" s="535"/>
      <c r="S1206" s="351"/>
      <c r="T1206" s="536"/>
      <c r="U1206" s="351"/>
      <c r="V1206" s="537"/>
      <c r="W1206" s="351"/>
      <c r="X1206" s="538" t="s">
        <v>294</v>
      </c>
      <c r="Y1206" s="350"/>
      <c r="Z1206" s="350"/>
      <c r="AA1206" s="351"/>
      <c r="AB1206" s="539" t="s">
        <v>294</v>
      </c>
      <c r="AC1206" s="350"/>
      <c r="AD1206" s="350"/>
      <c r="AE1206" s="351"/>
      <c r="AF1206" s="540"/>
      <c r="AG1206" s="351"/>
      <c r="AH1206" s="540"/>
      <c r="AI1206" s="351"/>
      <c r="AJ1206" s="545"/>
      <c r="AK1206" s="351"/>
      <c r="AL1206" s="555" t="s">
        <v>325</v>
      </c>
      <c r="AM1206" s="351"/>
      <c r="AN1206" s="531" t="s">
        <v>325</v>
      </c>
      <c r="AO1206" s="351"/>
      <c r="AP1206" s="532"/>
      <c r="AQ1206" s="351"/>
      <c r="AR1206" s="533"/>
      <c r="AS1206" s="351"/>
      <c r="AT1206" s="534"/>
      <c r="AU1206" s="351"/>
      <c r="AV1206" s="531" t="s">
        <v>325</v>
      </c>
      <c r="AW1206" s="351"/>
      <c r="AX1206" s="553"/>
      <c r="AY1206" s="350"/>
      <c r="AZ1206" s="351"/>
      <c r="BA1206" s="545"/>
      <c r="BB1206" s="351"/>
      <c r="BC1206" s="36"/>
      <c r="BD1206" s="556" t="s">
        <v>325</v>
      </c>
      <c r="BE1206" s="351"/>
      <c r="BF1206" s="557"/>
      <c r="BG1206" s="350"/>
      <c r="BH1206" s="350"/>
      <c r="BI1206" s="351"/>
      <c r="BJ1206" s="506" t="s">
        <v>294</v>
      </c>
      <c r="BK1206" s="350"/>
      <c r="BL1206" s="350"/>
      <c r="BM1206" s="351"/>
      <c r="BN1206" s="530" t="s">
        <v>294</v>
      </c>
      <c r="BO1206" s="350"/>
      <c r="BP1206" s="350"/>
      <c r="BQ1206" s="350"/>
      <c r="BR1206" s="350"/>
      <c r="BS1206" s="350"/>
      <c r="BT1206" s="350"/>
      <c r="BU1206" s="350"/>
      <c r="BV1206" s="351"/>
    </row>
    <row r="1207" spans="1:74" ht="45" customHeight="1">
      <c r="A1207" s="24">
        <f t="shared" si="4"/>
        <v>1193</v>
      </c>
      <c r="B1207" s="558" t="s">
        <v>294</v>
      </c>
      <c r="C1207" s="351"/>
      <c r="D1207" s="559" t="s">
        <v>298</v>
      </c>
      <c r="E1207" s="351"/>
      <c r="F1207" s="524" t="s">
        <v>325</v>
      </c>
      <c r="G1207" s="351"/>
      <c r="H1207" s="561" t="s">
        <v>325</v>
      </c>
      <c r="I1207" s="351"/>
      <c r="J1207" s="562"/>
      <c r="K1207" s="351"/>
      <c r="L1207" s="562"/>
      <c r="M1207" s="351"/>
      <c r="N1207" s="37"/>
      <c r="O1207" s="35"/>
      <c r="P1207" s="560"/>
      <c r="Q1207" s="351"/>
      <c r="R1207" s="535"/>
      <c r="S1207" s="351"/>
      <c r="T1207" s="536"/>
      <c r="U1207" s="351"/>
      <c r="V1207" s="537"/>
      <c r="W1207" s="351"/>
      <c r="X1207" s="538" t="s">
        <v>294</v>
      </c>
      <c r="Y1207" s="350"/>
      <c r="Z1207" s="350"/>
      <c r="AA1207" s="351"/>
      <c r="AB1207" s="539" t="s">
        <v>294</v>
      </c>
      <c r="AC1207" s="350"/>
      <c r="AD1207" s="350"/>
      <c r="AE1207" s="351"/>
      <c r="AF1207" s="540"/>
      <c r="AG1207" s="351"/>
      <c r="AH1207" s="540"/>
      <c r="AI1207" s="351"/>
      <c r="AJ1207" s="545"/>
      <c r="AK1207" s="351"/>
      <c r="AL1207" s="555" t="s">
        <v>325</v>
      </c>
      <c r="AM1207" s="351"/>
      <c r="AN1207" s="531" t="s">
        <v>325</v>
      </c>
      <c r="AO1207" s="351"/>
      <c r="AP1207" s="532"/>
      <c r="AQ1207" s="351"/>
      <c r="AR1207" s="533"/>
      <c r="AS1207" s="351"/>
      <c r="AT1207" s="534"/>
      <c r="AU1207" s="351"/>
      <c r="AV1207" s="531" t="s">
        <v>325</v>
      </c>
      <c r="AW1207" s="351"/>
      <c r="AX1207" s="553"/>
      <c r="AY1207" s="350"/>
      <c r="AZ1207" s="351"/>
      <c r="BA1207" s="545"/>
      <c r="BB1207" s="351"/>
      <c r="BC1207" s="36"/>
      <c r="BD1207" s="556" t="s">
        <v>325</v>
      </c>
      <c r="BE1207" s="351"/>
      <c r="BF1207" s="529"/>
      <c r="BG1207" s="350"/>
      <c r="BH1207" s="350"/>
      <c r="BI1207" s="351"/>
      <c r="BJ1207" s="506" t="s">
        <v>294</v>
      </c>
      <c r="BK1207" s="350"/>
      <c r="BL1207" s="350"/>
      <c r="BM1207" s="351"/>
      <c r="BN1207" s="530" t="s">
        <v>294</v>
      </c>
      <c r="BO1207" s="350"/>
      <c r="BP1207" s="350"/>
      <c r="BQ1207" s="350"/>
      <c r="BR1207" s="350"/>
      <c r="BS1207" s="350"/>
      <c r="BT1207" s="350"/>
      <c r="BU1207" s="350"/>
      <c r="BV1207" s="351"/>
    </row>
    <row r="1208" spans="1:74" ht="45" customHeight="1">
      <c r="A1208" s="24">
        <f t="shared" si="4"/>
        <v>1194</v>
      </c>
      <c r="B1208" s="522" t="s">
        <v>294</v>
      </c>
      <c r="C1208" s="351"/>
      <c r="D1208" s="523" t="s">
        <v>298</v>
      </c>
      <c r="E1208" s="351"/>
      <c r="F1208" s="524" t="s">
        <v>325</v>
      </c>
      <c r="G1208" s="351"/>
      <c r="H1208" s="525" t="s">
        <v>325</v>
      </c>
      <c r="I1208" s="351"/>
      <c r="J1208" s="563"/>
      <c r="K1208" s="351"/>
      <c r="L1208" s="563"/>
      <c r="M1208" s="351"/>
      <c r="N1208" s="34"/>
      <c r="O1208" s="38"/>
      <c r="P1208" s="526"/>
      <c r="Q1208" s="351"/>
      <c r="R1208" s="527"/>
      <c r="S1208" s="351"/>
      <c r="T1208" s="528"/>
      <c r="U1208" s="351"/>
      <c r="V1208" s="541"/>
      <c r="W1208" s="351"/>
      <c r="X1208" s="542" t="s">
        <v>294</v>
      </c>
      <c r="Y1208" s="350"/>
      <c r="Z1208" s="350"/>
      <c r="AA1208" s="351"/>
      <c r="AB1208" s="543" t="s">
        <v>294</v>
      </c>
      <c r="AC1208" s="350"/>
      <c r="AD1208" s="350"/>
      <c r="AE1208" s="351"/>
      <c r="AF1208" s="544"/>
      <c r="AG1208" s="351"/>
      <c r="AH1208" s="544"/>
      <c r="AI1208" s="351"/>
      <c r="AJ1208" s="545"/>
      <c r="AK1208" s="351"/>
      <c r="AL1208" s="524" t="s">
        <v>325</v>
      </c>
      <c r="AM1208" s="351"/>
      <c r="AN1208" s="549" t="s">
        <v>325</v>
      </c>
      <c r="AO1208" s="351"/>
      <c r="AP1208" s="550"/>
      <c r="AQ1208" s="351"/>
      <c r="AR1208" s="551"/>
      <c r="AS1208" s="351"/>
      <c r="AT1208" s="552"/>
      <c r="AU1208" s="351"/>
      <c r="AV1208" s="549" t="s">
        <v>325</v>
      </c>
      <c r="AW1208" s="351"/>
      <c r="AX1208" s="553"/>
      <c r="AY1208" s="350"/>
      <c r="AZ1208" s="351"/>
      <c r="BA1208" s="554"/>
      <c r="BB1208" s="351"/>
      <c r="BC1208" s="39"/>
      <c r="BD1208" s="546" t="s">
        <v>325</v>
      </c>
      <c r="BE1208" s="351"/>
      <c r="BF1208" s="547"/>
      <c r="BG1208" s="350"/>
      <c r="BH1208" s="350"/>
      <c r="BI1208" s="351"/>
      <c r="BJ1208" s="548" t="s">
        <v>294</v>
      </c>
      <c r="BK1208" s="350"/>
      <c r="BL1208" s="350"/>
      <c r="BM1208" s="351"/>
      <c r="BN1208" s="530" t="s">
        <v>294</v>
      </c>
      <c r="BO1208" s="350"/>
      <c r="BP1208" s="350"/>
      <c r="BQ1208" s="350"/>
      <c r="BR1208" s="350"/>
      <c r="BS1208" s="350"/>
      <c r="BT1208" s="350"/>
      <c r="BU1208" s="350"/>
      <c r="BV1208" s="351"/>
    </row>
    <row r="1209" spans="1:74" ht="45" customHeight="1">
      <c r="A1209" s="24">
        <f t="shared" si="4"/>
        <v>1195</v>
      </c>
      <c r="B1209" s="558" t="s">
        <v>294</v>
      </c>
      <c r="C1209" s="351"/>
      <c r="D1209" s="559" t="s">
        <v>298</v>
      </c>
      <c r="E1209" s="351"/>
      <c r="F1209" s="524" t="s">
        <v>325</v>
      </c>
      <c r="G1209" s="351"/>
      <c r="H1209" s="561" t="s">
        <v>325</v>
      </c>
      <c r="I1209" s="351"/>
      <c r="J1209" s="562"/>
      <c r="K1209" s="351"/>
      <c r="L1209" s="562"/>
      <c r="M1209" s="351"/>
      <c r="N1209" s="37"/>
      <c r="O1209" s="35"/>
      <c r="P1209" s="560"/>
      <c r="Q1209" s="351"/>
      <c r="R1209" s="535"/>
      <c r="S1209" s="351"/>
      <c r="T1209" s="536"/>
      <c r="U1209" s="351"/>
      <c r="V1209" s="537"/>
      <c r="W1209" s="351"/>
      <c r="X1209" s="538" t="s">
        <v>294</v>
      </c>
      <c r="Y1209" s="350"/>
      <c r="Z1209" s="350"/>
      <c r="AA1209" s="351"/>
      <c r="AB1209" s="539" t="s">
        <v>294</v>
      </c>
      <c r="AC1209" s="350"/>
      <c r="AD1209" s="350"/>
      <c r="AE1209" s="351"/>
      <c r="AF1209" s="540"/>
      <c r="AG1209" s="351"/>
      <c r="AH1209" s="540"/>
      <c r="AI1209" s="351"/>
      <c r="AJ1209" s="545"/>
      <c r="AK1209" s="351"/>
      <c r="AL1209" s="555" t="s">
        <v>325</v>
      </c>
      <c r="AM1209" s="351"/>
      <c r="AN1209" s="531" t="s">
        <v>325</v>
      </c>
      <c r="AO1209" s="351"/>
      <c r="AP1209" s="532"/>
      <c r="AQ1209" s="351"/>
      <c r="AR1209" s="533"/>
      <c r="AS1209" s="351"/>
      <c r="AT1209" s="534"/>
      <c r="AU1209" s="351"/>
      <c r="AV1209" s="531" t="s">
        <v>325</v>
      </c>
      <c r="AW1209" s="351"/>
      <c r="AX1209" s="553"/>
      <c r="AY1209" s="350"/>
      <c r="AZ1209" s="351"/>
      <c r="BA1209" s="545"/>
      <c r="BB1209" s="351"/>
      <c r="BC1209" s="36"/>
      <c r="BD1209" s="556" t="s">
        <v>325</v>
      </c>
      <c r="BE1209" s="351"/>
      <c r="BF1209" s="557"/>
      <c r="BG1209" s="350"/>
      <c r="BH1209" s="350"/>
      <c r="BI1209" s="351"/>
      <c r="BJ1209" s="506" t="s">
        <v>294</v>
      </c>
      <c r="BK1209" s="350"/>
      <c r="BL1209" s="350"/>
      <c r="BM1209" s="351"/>
      <c r="BN1209" s="530" t="s">
        <v>294</v>
      </c>
      <c r="BO1209" s="350"/>
      <c r="BP1209" s="350"/>
      <c r="BQ1209" s="350"/>
      <c r="BR1209" s="350"/>
      <c r="BS1209" s="350"/>
      <c r="BT1209" s="350"/>
      <c r="BU1209" s="350"/>
      <c r="BV1209" s="351"/>
    </row>
    <row r="1210" spans="1:74" ht="45" customHeight="1">
      <c r="A1210" s="24">
        <f t="shared" si="4"/>
        <v>1196</v>
      </c>
      <c r="B1210" s="558" t="s">
        <v>294</v>
      </c>
      <c r="C1210" s="351"/>
      <c r="D1210" s="559" t="s">
        <v>298</v>
      </c>
      <c r="E1210" s="351"/>
      <c r="F1210" s="524" t="s">
        <v>325</v>
      </c>
      <c r="G1210" s="351"/>
      <c r="H1210" s="525" t="s">
        <v>325</v>
      </c>
      <c r="I1210" s="351"/>
      <c r="J1210" s="563"/>
      <c r="K1210" s="351"/>
      <c r="L1210" s="563"/>
      <c r="M1210" s="351"/>
      <c r="N1210" s="34"/>
      <c r="O1210" s="35"/>
      <c r="P1210" s="526"/>
      <c r="Q1210" s="351"/>
      <c r="R1210" s="535"/>
      <c r="S1210" s="351"/>
      <c r="T1210" s="536"/>
      <c r="U1210" s="351"/>
      <c r="V1210" s="537"/>
      <c r="W1210" s="351"/>
      <c r="X1210" s="538" t="s">
        <v>294</v>
      </c>
      <c r="Y1210" s="350"/>
      <c r="Z1210" s="350"/>
      <c r="AA1210" s="351"/>
      <c r="AB1210" s="539" t="s">
        <v>294</v>
      </c>
      <c r="AC1210" s="350"/>
      <c r="AD1210" s="350"/>
      <c r="AE1210" s="351"/>
      <c r="AF1210" s="540"/>
      <c r="AG1210" s="351"/>
      <c r="AH1210" s="540"/>
      <c r="AI1210" s="351"/>
      <c r="AJ1210" s="545"/>
      <c r="AK1210" s="351"/>
      <c r="AL1210" s="555" t="s">
        <v>325</v>
      </c>
      <c r="AM1210" s="351"/>
      <c r="AN1210" s="531" t="s">
        <v>325</v>
      </c>
      <c r="AO1210" s="351"/>
      <c r="AP1210" s="532"/>
      <c r="AQ1210" s="351"/>
      <c r="AR1210" s="533"/>
      <c r="AS1210" s="351"/>
      <c r="AT1210" s="534"/>
      <c r="AU1210" s="351"/>
      <c r="AV1210" s="531" t="s">
        <v>325</v>
      </c>
      <c r="AW1210" s="351"/>
      <c r="AX1210" s="553"/>
      <c r="AY1210" s="350"/>
      <c r="AZ1210" s="351"/>
      <c r="BA1210" s="545"/>
      <c r="BB1210" s="351"/>
      <c r="BC1210" s="36"/>
      <c r="BD1210" s="556" t="s">
        <v>325</v>
      </c>
      <c r="BE1210" s="351"/>
      <c r="BF1210" s="529"/>
      <c r="BG1210" s="350"/>
      <c r="BH1210" s="350"/>
      <c r="BI1210" s="351"/>
      <c r="BJ1210" s="506" t="s">
        <v>294</v>
      </c>
      <c r="BK1210" s="350"/>
      <c r="BL1210" s="350"/>
      <c r="BM1210" s="351"/>
      <c r="BN1210" s="530" t="s">
        <v>294</v>
      </c>
      <c r="BO1210" s="350"/>
      <c r="BP1210" s="350"/>
      <c r="BQ1210" s="350"/>
      <c r="BR1210" s="350"/>
      <c r="BS1210" s="350"/>
      <c r="BT1210" s="350"/>
      <c r="BU1210" s="350"/>
      <c r="BV1210" s="351"/>
    </row>
    <row r="1211" spans="1:74" ht="45" customHeight="1">
      <c r="A1211" s="24">
        <f t="shared" si="4"/>
        <v>1197</v>
      </c>
      <c r="B1211" s="522" t="s">
        <v>294</v>
      </c>
      <c r="C1211" s="351"/>
      <c r="D1211" s="523" t="s">
        <v>298</v>
      </c>
      <c r="E1211" s="351"/>
      <c r="F1211" s="524" t="s">
        <v>325</v>
      </c>
      <c r="G1211" s="351"/>
      <c r="H1211" s="561" t="s">
        <v>325</v>
      </c>
      <c r="I1211" s="351"/>
      <c r="J1211" s="562"/>
      <c r="K1211" s="351"/>
      <c r="L1211" s="562"/>
      <c r="M1211" s="351"/>
      <c r="N1211" s="37"/>
      <c r="O1211" s="38"/>
      <c r="P1211" s="560"/>
      <c r="Q1211" s="351"/>
      <c r="R1211" s="527"/>
      <c r="S1211" s="351"/>
      <c r="T1211" s="528"/>
      <c r="U1211" s="351"/>
      <c r="V1211" s="541"/>
      <c r="W1211" s="351"/>
      <c r="X1211" s="542" t="s">
        <v>294</v>
      </c>
      <c r="Y1211" s="350"/>
      <c r="Z1211" s="350"/>
      <c r="AA1211" s="351"/>
      <c r="AB1211" s="543" t="s">
        <v>294</v>
      </c>
      <c r="AC1211" s="350"/>
      <c r="AD1211" s="350"/>
      <c r="AE1211" s="351"/>
      <c r="AF1211" s="544"/>
      <c r="AG1211" s="351"/>
      <c r="AH1211" s="544"/>
      <c r="AI1211" s="351"/>
      <c r="AJ1211" s="545"/>
      <c r="AK1211" s="351"/>
      <c r="AL1211" s="524" t="s">
        <v>325</v>
      </c>
      <c r="AM1211" s="351"/>
      <c r="AN1211" s="549" t="s">
        <v>325</v>
      </c>
      <c r="AO1211" s="351"/>
      <c r="AP1211" s="550"/>
      <c r="AQ1211" s="351"/>
      <c r="AR1211" s="551"/>
      <c r="AS1211" s="351"/>
      <c r="AT1211" s="534"/>
      <c r="AU1211" s="351"/>
      <c r="AV1211" s="549" t="s">
        <v>325</v>
      </c>
      <c r="AW1211" s="351"/>
      <c r="AX1211" s="553"/>
      <c r="AY1211" s="350"/>
      <c r="AZ1211" s="351"/>
      <c r="BA1211" s="554"/>
      <c r="BB1211" s="351"/>
      <c r="BC1211" s="39"/>
      <c r="BD1211" s="546" t="s">
        <v>325</v>
      </c>
      <c r="BE1211" s="351"/>
      <c r="BF1211" s="547"/>
      <c r="BG1211" s="350"/>
      <c r="BH1211" s="350"/>
      <c r="BI1211" s="351"/>
      <c r="BJ1211" s="548" t="s">
        <v>294</v>
      </c>
      <c r="BK1211" s="350"/>
      <c r="BL1211" s="350"/>
      <c r="BM1211" s="351"/>
      <c r="BN1211" s="530" t="s">
        <v>294</v>
      </c>
      <c r="BO1211" s="350"/>
      <c r="BP1211" s="350"/>
      <c r="BQ1211" s="350"/>
      <c r="BR1211" s="350"/>
      <c r="BS1211" s="350"/>
      <c r="BT1211" s="350"/>
      <c r="BU1211" s="350"/>
      <c r="BV1211" s="351"/>
    </row>
    <row r="1212" spans="1:74" ht="45" customHeight="1">
      <c r="A1212" s="24">
        <f t="shared" si="4"/>
        <v>1198</v>
      </c>
      <c r="B1212" s="558" t="s">
        <v>294</v>
      </c>
      <c r="C1212" s="351"/>
      <c r="D1212" s="559" t="s">
        <v>298</v>
      </c>
      <c r="E1212" s="351"/>
      <c r="F1212" s="524" t="s">
        <v>325</v>
      </c>
      <c r="G1212" s="351"/>
      <c r="H1212" s="525" t="s">
        <v>325</v>
      </c>
      <c r="I1212" s="351"/>
      <c r="J1212" s="563"/>
      <c r="K1212" s="351"/>
      <c r="L1212" s="563"/>
      <c r="M1212" s="351"/>
      <c r="N1212" s="34"/>
      <c r="O1212" s="35"/>
      <c r="P1212" s="526"/>
      <c r="Q1212" s="351"/>
      <c r="R1212" s="535"/>
      <c r="S1212" s="351"/>
      <c r="T1212" s="536"/>
      <c r="U1212" s="351"/>
      <c r="V1212" s="537"/>
      <c r="W1212" s="351"/>
      <c r="X1212" s="538" t="s">
        <v>294</v>
      </c>
      <c r="Y1212" s="350"/>
      <c r="Z1212" s="350"/>
      <c r="AA1212" s="351"/>
      <c r="AB1212" s="539" t="s">
        <v>294</v>
      </c>
      <c r="AC1212" s="350"/>
      <c r="AD1212" s="350"/>
      <c r="AE1212" s="351"/>
      <c r="AF1212" s="540"/>
      <c r="AG1212" s="351"/>
      <c r="AH1212" s="540"/>
      <c r="AI1212" s="351"/>
      <c r="AJ1212" s="545"/>
      <c r="AK1212" s="351"/>
      <c r="AL1212" s="555" t="s">
        <v>325</v>
      </c>
      <c r="AM1212" s="351"/>
      <c r="AN1212" s="531" t="s">
        <v>325</v>
      </c>
      <c r="AO1212" s="351"/>
      <c r="AP1212" s="532"/>
      <c r="AQ1212" s="351"/>
      <c r="AR1212" s="533"/>
      <c r="AS1212" s="351"/>
      <c r="AT1212" s="534"/>
      <c r="AU1212" s="351"/>
      <c r="AV1212" s="531" t="s">
        <v>325</v>
      </c>
      <c r="AW1212" s="351"/>
      <c r="AX1212" s="553"/>
      <c r="AY1212" s="350"/>
      <c r="AZ1212" s="351"/>
      <c r="BA1212" s="545"/>
      <c r="BB1212" s="351"/>
      <c r="BC1212" s="36"/>
      <c r="BD1212" s="556" t="s">
        <v>325</v>
      </c>
      <c r="BE1212" s="351"/>
      <c r="BF1212" s="557"/>
      <c r="BG1212" s="350"/>
      <c r="BH1212" s="350"/>
      <c r="BI1212" s="351"/>
      <c r="BJ1212" s="506" t="s">
        <v>294</v>
      </c>
      <c r="BK1212" s="350"/>
      <c r="BL1212" s="350"/>
      <c r="BM1212" s="351"/>
      <c r="BN1212" s="530" t="s">
        <v>294</v>
      </c>
      <c r="BO1212" s="350"/>
      <c r="BP1212" s="350"/>
      <c r="BQ1212" s="350"/>
      <c r="BR1212" s="350"/>
      <c r="BS1212" s="350"/>
      <c r="BT1212" s="350"/>
      <c r="BU1212" s="350"/>
      <c r="BV1212" s="351"/>
    </row>
    <row r="1213" spans="1:74" ht="45" customHeight="1">
      <c r="A1213" s="24">
        <f t="shared" si="4"/>
        <v>1199</v>
      </c>
      <c r="B1213" s="522" t="s">
        <v>294</v>
      </c>
      <c r="C1213" s="351"/>
      <c r="D1213" s="523" t="s">
        <v>298</v>
      </c>
      <c r="E1213" s="351"/>
      <c r="F1213" s="524" t="s">
        <v>325</v>
      </c>
      <c r="G1213" s="351"/>
      <c r="H1213" s="561" t="s">
        <v>325</v>
      </c>
      <c r="I1213" s="351"/>
      <c r="J1213" s="562"/>
      <c r="K1213" s="351"/>
      <c r="L1213" s="562"/>
      <c r="M1213" s="351"/>
      <c r="N1213" s="37"/>
      <c r="O1213" s="38"/>
      <c r="P1213" s="560"/>
      <c r="Q1213" s="351"/>
      <c r="R1213" s="527"/>
      <c r="S1213" s="351"/>
      <c r="T1213" s="528"/>
      <c r="U1213" s="351"/>
      <c r="V1213" s="541"/>
      <c r="W1213" s="351"/>
      <c r="X1213" s="542" t="s">
        <v>294</v>
      </c>
      <c r="Y1213" s="350"/>
      <c r="Z1213" s="350"/>
      <c r="AA1213" s="351"/>
      <c r="AB1213" s="543" t="s">
        <v>294</v>
      </c>
      <c r="AC1213" s="350"/>
      <c r="AD1213" s="350"/>
      <c r="AE1213" s="351"/>
      <c r="AF1213" s="544"/>
      <c r="AG1213" s="351"/>
      <c r="AH1213" s="544"/>
      <c r="AI1213" s="351"/>
      <c r="AJ1213" s="545"/>
      <c r="AK1213" s="351"/>
      <c r="AL1213" s="524" t="s">
        <v>325</v>
      </c>
      <c r="AM1213" s="351"/>
      <c r="AN1213" s="549" t="s">
        <v>325</v>
      </c>
      <c r="AO1213" s="351"/>
      <c r="AP1213" s="550"/>
      <c r="AQ1213" s="351"/>
      <c r="AR1213" s="551"/>
      <c r="AS1213" s="351"/>
      <c r="AT1213" s="534"/>
      <c r="AU1213" s="351"/>
      <c r="AV1213" s="549" t="s">
        <v>325</v>
      </c>
      <c r="AW1213" s="351"/>
      <c r="AX1213" s="553"/>
      <c r="AY1213" s="350"/>
      <c r="AZ1213" s="351"/>
      <c r="BA1213" s="554"/>
      <c r="BB1213" s="351"/>
      <c r="BC1213" s="39"/>
      <c r="BD1213" s="546" t="s">
        <v>325</v>
      </c>
      <c r="BE1213" s="351"/>
      <c r="BF1213" s="547"/>
      <c r="BG1213" s="350"/>
      <c r="BH1213" s="350"/>
      <c r="BI1213" s="351"/>
      <c r="BJ1213" s="548" t="s">
        <v>294</v>
      </c>
      <c r="BK1213" s="350"/>
      <c r="BL1213" s="350"/>
      <c r="BM1213" s="351"/>
      <c r="BN1213" s="530" t="s">
        <v>294</v>
      </c>
      <c r="BO1213" s="350"/>
      <c r="BP1213" s="350"/>
      <c r="BQ1213" s="350"/>
      <c r="BR1213" s="350"/>
      <c r="BS1213" s="350"/>
      <c r="BT1213" s="350"/>
      <c r="BU1213" s="350"/>
      <c r="BV1213" s="351"/>
    </row>
    <row r="1214" spans="1:74" ht="45" customHeight="1">
      <c r="A1214" s="24">
        <f t="shared" si="4"/>
        <v>1200</v>
      </c>
      <c r="B1214" s="558" t="s">
        <v>294</v>
      </c>
      <c r="C1214" s="351"/>
      <c r="D1214" s="559" t="s">
        <v>298</v>
      </c>
      <c r="E1214" s="351"/>
      <c r="F1214" s="524" t="s">
        <v>325</v>
      </c>
      <c r="G1214" s="351"/>
      <c r="H1214" s="525" t="s">
        <v>325</v>
      </c>
      <c r="I1214" s="351"/>
      <c r="J1214" s="563"/>
      <c r="K1214" s="351"/>
      <c r="L1214" s="563"/>
      <c r="M1214" s="351"/>
      <c r="N1214" s="34"/>
      <c r="O1214" s="35"/>
      <c r="P1214" s="526"/>
      <c r="Q1214" s="351"/>
      <c r="R1214" s="535"/>
      <c r="S1214" s="351"/>
      <c r="T1214" s="536"/>
      <c r="U1214" s="351"/>
      <c r="V1214" s="537"/>
      <c r="W1214" s="351"/>
      <c r="X1214" s="538" t="s">
        <v>294</v>
      </c>
      <c r="Y1214" s="350"/>
      <c r="Z1214" s="350"/>
      <c r="AA1214" s="351"/>
      <c r="AB1214" s="539" t="s">
        <v>294</v>
      </c>
      <c r="AC1214" s="350"/>
      <c r="AD1214" s="350"/>
      <c r="AE1214" s="351"/>
      <c r="AF1214" s="540"/>
      <c r="AG1214" s="351"/>
      <c r="AH1214" s="540"/>
      <c r="AI1214" s="351"/>
      <c r="AJ1214" s="545"/>
      <c r="AK1214" s="351"/>
      <c r="AL1214" s="555" t="s">
        <v>325</v>
      </c>
      <c r="AM1214" s="351"/>
      <c r="AN1214" s="531" t="s">
        <v>325</v>
      </c>
      <c r="AO1214" s="351"/>
      <c r="AP1214" s="532"/>
      <c r="AQ1214" s="351"/>
      <c r="AR1214" s="533"/>
      <c r="AS1214" s="351"/>
      <c r="AT1214" s="534"/>
      <c r="AU1214" s="351"/>
      <c r="AV1214" s="531" t="s">
        <v>325</v>
      </c>
      <c r="AW1214" s="351"/>
      <c r="AX1214" s="553"/>
      <c r="AY1214" s="350"/>
      <c r="AZ1214" s="351"/>
      <c r="BA1214" s="545"/>
      <c r="BB1214" s="351"/>
      <c r="BC1214" s="36"/>
      <c r="BD1214" s="556" t="s">
        <v>325</v>
      </c>
      <c r="BE1214" s="351"/>
      <c r="BF1214" s="557"/>
      <c r="BG1214" s="350"/>
      <c r="BH1214" s="350"/>
      <c r="BI1214" s="351"/>
      <c r="BJ1214" s="506" t="s">
        <v>294</v>
      </c>
      <c r="BK1214" s="350"/>
      <c r="BL1214" s="350"/>
      <c r="BM1214" s="351"/>
      <c r="BN1214" s="530" t="s">
        <v>294</v>
      </c>
      <c r="BO1214" s="350"/>
      <c r="BP1214" s="350"/>
      <c r="BQ1214" s="350"/>
      <c r="BR1214" s="350"/>
      <c r="BS1214" s="350"/>
      <c r="BT1214" s="350"/>
      <c r="BU1214" s="350"/>
      <c r="BV1214" s="351"/>
    </row>
    <row r="1215" spans="1:74" ht="45" customHeight="1">
      <c r="A1215" s="24">
        <f t="shared" si="4"/>
        <v>1201</v>
      </c>
      <c r="B1215" s="522" t="s">
        <v>294</v>
      </c>
      <c r="C1215" s="351"/>
      <c r="D1215" s="523" t="s">
        <v>298</v>
      </c>
      <c r="E1215" s="351"/>
      <c r="F1215" s="524" t="s">
        <v>325</v>
      </c>
      <c r="G1215" s="351"/>
      <c r="H1215" s="561" t="s">
        <v>325</v>
      </c>
      <c r="I1215" s="351"/>
      <c r="J1215" s="562"/>
      <c r="K1215" s="351"/>
      <c r="L1215" s="562"/>
      <c r="M1215" s="351"/>
      <c r="N1215" s="37"/>
      <c r="O1215" s="38"/>
      <c r="P1215" s="560"/>
      <c r="Q1215" s="351"/>
      <c r="R1215" s="527"/>
      <c r="S1215" s="351"/>
      <c r="T1215" s="528"/>
      <c r="U1215" s="351"/>
      <c r="V1215" s="541"/>
      <c r="W1215" s="351"/>
      <c r="X1215" s="542" t="s">
        <v>294</v>
      </c>
      <c r="Y1215" s="350"/>
      <c r="Z1215" s="350"/>
      <c r="AA1215" s="351"/>
      <c r="AB1215" s="543" t="s">
        <v>294</v>
      </c>
      <c r="AC1215" s="350"/>
      <c r="AD1215" s="350"/>
      <c r="AE1215" s="351"/>
      <c r="AF1215" s="544"/>
      <c r="AG1215" s="351"/>
      <c r="AH1215" s="544"/>
      <c r="AI1215" s="351"/>
      <c r="AJ1215" s="545"/>
      <c r="AK1215" s="351"/>
      <c r="AL1215" s="524" t="s">
        <v>325</v>
      </c>
      <c r="AM1215" s="351"/>
      <c r="AN1215" s="549" t="s">
        <v>325</v>
      </c>
      <c r="AO1215" s="351"/>
      <c r="AP1215" s="550"/>
      <c r="AQ1215" s="351"/>
      <c r="AR1215" s="551"/>
      <c r="AS1215" s="351"/>
      <c r="AT1215" s="552"/>
      <c r="AU1215" s="351"/>
      <c r="AV1215" s="549" t="s">
        <v>325</v>
      </c>
      <c r="AW1215" s="351"/>
      <c r="AX1215" s="553"/>
      <c r="AY1215" s="350"/>
      <c r="AZ1215" s="351"/>
      <c r="BA1215" s="554"/>
      <c r="BB1215" s="351"/>
      <c r="BC1215" s="39"/>
      <c r="BD1215" s="546" t="s">
        <v>325</v>
      </c>
      <c r="BE1215" s="351"/>
      <c r="BF1215" s="547"/>
      <c r="BG1215" s="350"/>
      <c r="BH1215" s="350"/>
      <c r="BI1215" s="351"/>
      <c r="BJ1215" s="548" t="s">
        <v>294</v>
      </c>
      <c r="BK1215" s="350"/>
      <c r="BL1215" s="350"/>
      <c r="BM1215" s="351"/>
      <c r="BN1215" s="530" t="s">
        <v>294</v>
      </c>
      <c r="BO1215" s="350"/>
      <c r="BP1215" s="350"/>
      <c r="BQ1215" s="350"/>
      <c r="BR1215" s="350"/>
      <c r="BS1215" s="350"/>
      <c r="BT1215" s="350"/>
      <c r="BU1215" s="350"/>
      <c r="BV1215" s="351"/>
    </row>
    <row r="1216" spans="1:74" ht="45" customHeight="1">
      <c r="A1216" s="24">
        <f t="shared" si="4"/>
        <v>1202</v>
      </c>
      <c r="B1216" s="558" t="s">
        <v>294</v>
      </c>
      <c r="C1216" s="351"/>
      <c r="D1216" s="559" t="s">
        <v>298</v>
      </c>
      <c r="E1216" s="351"/>
      <c r="F1216" s="524" t="s">
        <v>325</v>
      </c>
      <c r="G1216" s="351"/>
      <c r="H1216" s="525" t="s">
        <v>325</v>
      </c>
      <c r="I1216" s="351"/>
      <c r="J1216" s="563"/>
      <c r="K1216" s="351"/>
      <c r="L1216" s="563"/>
      <c r="M1216" s="351"/>
      <c r="N1216" s="34"/>
      <c r="O1216" s="35"/>
      <c r="P1216" s="526"/>
      <c r="Q1216" s="351"/>
      <c r="R1216" s="535"/>
      <c r="S1216" s="351"/>
      <c r="T1216" s="536"/>
      <c r="U1216" s="351"/>
      <c r="V1216" s="537"/>
      <c r="W1216" s="351"/>
      <c r="X1216" s="538" t="s">
        <v>294</v>
      </c>
      <c r="Y1216" s="350"/>
      <c r="Z1216" s="350"/>
      <c r="AA1216" s="351"/>
      <c r="AB1216" s="539" t="s">
        <v>294</v>
      </c>
      <c r="AC1216" s="350"/>
      <c r="AD1216" s="350"/>
      <c r="AE1216" s="351"/>
      <c r="AF1216" s="540"/>
      <c r="AG1216" s="351"/>
      <c r="AH1216" s="540"/>
      <c r="AI1216" s="351"/>
      <c r="AJ1216" s="545"/>
      <c r="AK1216" s="351"/>
      <c r="AL1216" s="555" t="s">
        <v>325</v>
      </c>
      <c r="AM1216" s="351"/>
      <c r="AN1216" s="531" t="s">
        <v>325</v>
      </c>
      <c r="AO1216" s="351"/>
      <c r="AP1216" s="532"/>
      <c r="AQ1216" s="351"/>
      <c r="AR1216" s="533"/>
      <c r="AS1216" s="351"/>
      <c r="AT1216" s="534"/>
      <c r="AU1216" s="351"/>
      <c r="AV1216" s="531" t="s">
        <v>325</v>
      </c>
      <c r="AW1216" s="351"/>
      <c r="AX1216" s="553"/>
      <c r="AY1216" s="350"/>
      <c r="AZ1216" s="351"/>
      <c r="BA1216" s="545"/>
      <c r="BB1216" s="351"/>
      <c r="BC1216" s="36"/>
      <c r="BD1216" s="556" t="s">
        <v>325</v>
      </c>
      <c r="BE1216" s="351"/>
      <c r="BF1216" s="529"/>
      <c r="BG1216" s="350"/>
      <c r="BH1216" s="350"/>
      <c r="BI1216" s="351"/>
      <c r="BJ1216" s="506" t="s">
        <v>294</v>
      </c>
      <c r="BK1216" s="350"/>
      <c r="BL1216" s="350"/>
      <c r="BM1216" s="351"/>
      <c r="BN1216" s="530" t="s">
        <v>294</v>
      </c>
      <c r="BO1216" s="350"/>
      <c r="BP1216" s="350"/>
      <c r="BQ1216" s="350"/>
      <c r="BR1216" s="350"/>
      <c r="BS1216" s="350"/>
      <c r="BT1216" s="350"/>
      <c r="BU1216" s="350"/>
      <c r="BV1216" s="351"/>
    </row>
    <row r="1217" spans="1:74" ht="45" customHeight="1">
      <c r="A1217" s="24">
        <f t="shared" si="4"/>
        <v>1203</v>
      </c>
      <c r="B1217" s="522" t="s">
        <v>294</v>
      </c>
      <c r="C1217" s="351"/>
      <c r="D1217" s="523" t="s">
        <v>298</v>
      </c>
      <c r="E1217" s="351"/>
      <c r="F1217" s="524" t="s">
        <v>325</v>
      </c>
      <c r="G1217" s="351"/>
      <c r="H1217" s="561" t="s">
        <v>325</v>
      </c>
      <c r="I1217" s="351"/>
      <c r="J1217" s="562"/>
      <c r="K1217" s="351"/>
      <c r="L1217" s="562"/>
      <c r="M1217" s="351"/>
      <c r="N1217" s="37"/>
      <c r="O1217" s="38"/>
      <c r="P1217" s="560"/>
      <c r="Q1217" s="351"/>
      <c r="R1217" s="527"/>
      <c r="S1217" s="351"/>
      <c r="T1217" s="528"/>
      <c r="U1217" s="351"/>
      <c r="V1217" s="541"/>
      <c r="W1217" s="351"/>
      <c r="X1217" s="542" t="s">
        <v>294</v>
      </c>
      <c r="Y1217" s="350"/>
      <c r="Z1217" s="350"/>
      <c r="AA1217" s="351"/>
      <c r="AB1217" s="543" t="s">
        <v>294</v>
      </c>
      <c r="AC1217" s="350"/>
      <c r="AD1217" s="350"/>
      <c r="AE1217" s="351"/>
      <c r="AF1217" s="544"/>
      <c r="AG1217" s="351"/>
      <c r="AH1217" s="544"/>
      <c r="AI1217" s="351"/>
      <c r="AJ1217" s="545"/>
      <c r="AK1217" s="351"/>
      <c r="AL1217" s="524" t="s">
        <v>325</v>
      </c>
      <c r="AM1217" s="351"/>
      <c r="AN1217" s="549" t="s">
        <v>325</v>
      </c>
      <c r="AO1217" s="351"/>
      <c r="AP1217" s="550"/>
      <c r="AQ1217" s="351"/>
      <c r="AR1217" s="551"/>
      <c r="AS1217" s="351"/>
      <c r="AT1217" s="552"/>
      <c r="AU1217" s="351"/>
      <c r="AV1217" s="549" t="s">
        <v>325</v>
      </c>
      <c r="AW1217" s="351"/>
      <c r="AX1217" s="553"/>
      <c r="AY1217" s="350"/>
      <c r="AZ1217" s="351"/>
      <c r="BA1217" s="554"/>
      <c r="BB1217" s="351"/>
      <c r="BC1217" s="39"/>
      <c r="BD1217" s="546" t="s">
        <v>325</v>
      </c>
      <c r="BE1217" s="351"/>
      <c r="BF1217" s="547"/>
      <c r="BG1217" s="350"/>
      <c r="BH1217" s="350"/>
      <c r="BI1217" s="351"/>
      <c r="BJ1217" s="548" t="s">
        <v>294</v>
      </c>
      <c r="BK1217" s="350"/>
      <c r="BL1217" s="350"/>
      <c r="BM1217" s="351"/>
      <c r="BN1217" s="530" t="s">
        <v>294</v>
      </c>
      <c r="BO1217" s="350"/>
      <c r="BP1217" s="350"/>
      <c r="BQ1217" s="350"/>
      <c r="BR1217" s="350"/>
      <c r="BS1217" s="350"/>
      <c r="BT1217" s="350"/>
      <c r="BU1217" s="350"/>
      <c r="BV1217" s="351"/>
    </row>
    <row r="1218" spans="1:74" ht="45" customHeight="1">
      <c r="A1218" s="24">
        <f t="shared" si="4"/>
        <v>1204</v>
      </c>
      <c r="B1218" s="558" t="s">
        <v>294</v>
      </c>
      <c r="C1218" s="351"/>
      <c r="D1218" s="559" t="s">
        <v>298</v>
      </c>
      <c r="E1218" s="351"/>
      <c r="F1218" s="524" t="s">
        <v>325</v>
      </c>
      <c r="G1218" s="351"/>
      <c r="H1218" s="525" t="s">
        <v>325</v>
      </c>
      <c r="I1218" s="351"/>
      <c r="J1218" s="563"/>
      <c r="K1218" s="351"/>
      <c r="L1218" s="563"/>
      <c r="M1218" s="351"/>
      <c r="N1218" s="34"/>
      <c r="O1218" s="35"/>
      <c r="P1218" s="526"/>
      <c r="Q1218" s="351"/>
      <c r="R1218" s="535"/>
      <c r="S1218" s="351"/>
      <c r="T1218" s="536"/>
      <c r="U1218" s="351"/>
      <c r="V1218" s="537"/>
      <c r="W1218" s="351"/>
      <c r="X1218" s="538" t="s">
        <v>294</v>
      </c>
      <c r="Y1218" s="350"/>
      <c r="Z1218" s="350"/>
      <c r="AA1218" s="351"/>
      <c r="AB1218" s="539" t="s">
        <v>294</v>
      </c>
      <c r="AC1218" s="350"/>
      <c r="AD1218" s="350"/>
      <c r="AE1218" s="351"/>
      <c r="AF1218" s="540"/>
      <c r="AG1218" s="351"/>
      <c r="AH1218" s="540"/>
      <c r="AI1218" s="351"/>
      <c r="AJ1218" s="545"/>
      <c r="AK1218" s="351"/>
      <c r="AL1218" s="555" t="s">
        <v>325</v>
      </c>
      <c r="AM1218" s="351"/>
      <c r="AN1218" s="531" t="s">
        <v>325</v>
      </c>
      <c r="AO1218" s="351"/>
      <c r="AP1218" s="532"/>
      <c r="AQ1218" s="351"/>
      <c r="AR1218" s="533"/>
      <c r="AS1218" s="351"/>
      <c r="AT1218" s="534"/>
      <c r="AU1218" s="351"/>
      <c r="AV1218" s="531" t="s">
        <v>325</v>
      </c>
      <c r="AW1218" s="351"/>
      <c r="AX1218" s="553"/>
      <c r="AY1218" s="350"/>
      <c r="AZ1218" s="351"/>
      <c r="BA1218" s="545"/>
      <c r="BB1218" s="351"/>
      <c r="BC1218" s="36"/>
      <c r="BD1218" s="556" t="s">
        <v>325</v>
      </c>
      <c r="BE1218" s="351"/>
      <c r="BF1218" s="557"/>
      <c r="BG1218" s="350"/>
      <c r="BH1218" s="350"/>
      <c r="BI1218" s="351"/>
      <c r="BJ1218" s="506" t="s">
        <v>294</v>
      </c>
      <c r="BK1218" s="350"/>
      <c r="BL1218" s="350"/>
      <c r="BM1218" s="351"/>
      <c r="BN1218" s="530" t="s">
        <v>294</v>
      </c>
      <c r="BO1218" s="350"/>
      <c r="BP1218" s="350"/>
      <c r="BQ1218" s="350"/>
      <c r="BR1218" s="350"/>
      <c r="BS1218" s="350"/>
      <c r="BT1218" s="350"/>
      <c r="BU1218" s="350"/>
      <c r="BV1218" s="351"/>
    </row>
    <row r="1219" spans="1:74" ht="45" customHeight="1">
      <c r="A1219" s="24">
        <f t="shared" si="4"/>
        <v>1205</v>
      </c>
      <c r="B1219" s="522" t="s">
        <v>294</v>
      </c>
      <c r="C1219" s="351"/>
      <c r="D1219" s="523" t="s">
        <v>298</v>
      </c>
      <c r="E1219" s="351"/>
      <c r="F1219" s="524" t="s">
        <v>325</v>
      </c>
      <c r="G1219" s="351"/>
      <c r="H1219" s="561" t="s">
        <v>325</v>
      </c>
      <c r="I1219" s="351"/>
      <c r="J1219" s="562"/>
      <c r="K1219" s="351"/>
      <c r="L1219" s="562"/>
      <c r="M1219" s="351"/>
      <c r="N1219" s="37"/>
      <c r="O1219" s="38"/>
      <c r="P1219" s="560"/>
      <c r="Q1219" s="351"/>
      <c r="R1219" s="527"/>
      <c r="S1219" s="351"/>
      <c r="T1219" s="528"/>
      <c r="U1219" s="351"/>
      <c r="V1219" s="541"/>
      <c r="W1219" s="351"/>
      <c r="X1219" s="542" t="s">
        <v>294</v>
      </c>
      <c r="Y1219" s="350"/>
      <c r="Z1219" s="350"/>
      <c r="AA1219" s="351"/>
      <c r="AB1219" s="543" t="s">
        <v>294</v>
      </c>
      <c r="AC1219" s="350"/>
      <c r="AD1219" s="350"/>
      <c r="AE1219" s="351"/>
      <c r="AF1219" s="544"/>
      <c r="AG1219" s="351"/>
      <c r="AH1219" s="544"/>
      <c r="AI1219" s="351"/>
      <c r="AJ1219" s="545"/>
      <c r="AK1219" s="351"/>
      <c r="AL1219" s="524" t="s">
        <v>325</v>
      </c>
      <c r="AM1219" s="351"/>
      <c r="AN1219" s="549" t="s">
        <v>325</v>
      </c>
      <c r="AO1219" s="351"/>
      <c r="AP1219" s="550"/>
      <c r="AQ1219" s="351"/>
      <c r="AR1219" s="551"/>
      <c r="AS1219" s="351"/>
      <c r="AT1219" s="552"/>
      <c r="AU1219" s="351"/>
      <c r="AV1219" s="549" t="s">
        <v>325</v>
      </c>
      <c r="AW1219" s="351"/>
      <c r="AX1219" s="553"/>
      <c r="AY1219" s="350"/>
      <c r="AZ1219" s="351"/>
      <c r="BA1219" s="554"/>
      <c r="BB1219" s="351"/>
      <c r="BC1219" s="39"/>
      <c r="BD1219" s="546" t="s">
        <v>325</v>
      </c>
      <c r="BE1219" s="351"/>
      <c r="BF1219" s="547"/>
      <c r="BG1219" s="350"/>
      <c r="BH1219" s="350"/>
      <c r="BI1219" s="351"/>
      <c r="BJ1219" s="548" t="s">
        <v>294</v>
      </c>
      <c r="BK1219" s="350"/>
      <c r="BL1219" s="350"/>
      <c r="BM1219" s="351"/>
      <c r="BN1219" s="530" t="s">
        <v>294</v>
      </c>
      <c r="BO1219" s="350"/>
      <c r="BP1219" s="350"/>
      <c r="BQ1219" s="350"/>
      <c r="BR1219" s="350"/>
      <c r="BS1219" s="350"/>
      <c r="BT1219" s="350"/>
      <c r="BU1219" s="350"/>
      <c r="BV1219" s="351"/>
    </row>
    <row r="1220" spans="1:74" ht="45" customHeight="1">
      <c r="A1220" s="24">
        <f t="shared" si="4"/>
        <v>1206</v>
      </c>
      <c r="B1220" s="558" t="s">
        <v>294</v>
      </c>
      <c r="C1220" s="351"/>
      <c r="D1220" s="559" t="s">
        <v>298</v>
      </c>
      <c r="E1220" s="351"/>
      <c r="F1220" s="524" t="s">
        <v>325</v>
      </c>
      <c r="G1220" s="351"/>
      <c r="H1220" s="525" t="s">
        <v>325</v>
      </c>
      <c r="I1220" s="351"/>
      <c r="J1220" s="563"/>
      <c r="K1220" s="351"/>
      <c r="L1220" s="563"/>
      <c r="M1220" s="351"/>
      <c r="N1220" s="34"/>
      <c r="O1220" s="35"/>
      <c r="P1220" s="526"/>
      <c r="Q1220" s="351"/>
      <c r="R1220" s="535"/>
      <c r="S1220" s="351"/>
      <c r="T1220" s="536"/>
      <c r="U1220" s="351"/>
      <c r="V1220" s="537"/>
      <c r="W1220" s="351"/>
      <c r="X1220" s="538" t="s">
        <v>294</v>
      </c>
      <c r="Y1220" s="350"/>
      <c r="Z1220" s="350"/>
      <c r="AA1220" s="351"/>
      <c r="AB1220" s="539" t="s">
        <v>294</v>
      </c>
      <c r="AC1220" s="350"/>
      <c r="AD1220" s="350"/>
      <c r="AE1220" s="351"/>
      <c r="AF1220" s="540"/>
      <c r="AG1220" s="351"/>
      <c r="AH1220" s="540"/>
      <c r="AI1220" s="351"/>
      <c r="AJ1220" s="545"/>
      <c r="AK1220" s="351"/>
      <c r="AL1220" s="555" t="s">
        <v>325</v>
      </c>
      <c r="AM1220" s="351"/>
      <c r="AN1220" s="531" t="s">
        <v>325</v>
      </c>
      <c r="AO1220" s="351"/>
      <c r="AP1220" s="532"/>
      <c r="AQ1220" s="351"/>
      <c r="AR1220" s="533"/>
      <c r="AS1220" s="351"/>
      <c r="AT1220" s="534"/>
      <c r="AU1220" s="351"/>
      <c r="AV1220" s="531" t="s">
        <v>325</v>
      </c>
      <c r="AW1220" s="351"/>
      <c r="AX1220" s="553"/>
      <c r="AY1220" s="350"/>
      <c r="AZ1220" s="351"/>
      <c r="BA1220" s="545"/>
      <c r="BB1220" s="351"/>
      <c r="BC1220" s="36"/>
      <c r="BD1220" s="556" t="s">
        <v>325</v>
      </c>
      <c r="BE1220" s="351"/>
      <c r="BF1220" s="557"/>
      <c r="BG1220" s="350"/>
      <c r="BH1220" s="350"/>
      <c r="BI1220" s="351"/>
      <c r="BJ1220" s="506" t="s">
        <v>294</v>
      </c>
      <c r="BK1220" s="350"/>
      <c r="BL1220" s="350"/>
      <c r="BM1220" s="351"/>
      <c r="BN1220" s="530" t="s">
        <v>294</v>
      </c>
      <c r="BO1220" s="350"/>
      <c r="BP1220" s="350"/>
      <c r="BQ1220" s="350"/>
      <c r="BR1220" s="350"/>
      <c r="BS1220" s="350"/>
      <c r="BT1220" s="350"/>
      <c r="BU1220" s="350"/>
      <c r="BV1220" s="351"/>
    </row>
    <row r="1221" spans="1:74" ht="45" customHeight="1">
      <c r="A1221" s="24">
        <f t="shared" si="4"/>
        <v>1207</v>
      </c>
      <c r="B1221" s="522" t="s">
        <v>294</v>
      </c>
      <c r="C1221" s="351"/>
      <c r="D1221" s="523" t="s">
        <v>298</v>
      </c>
      <c r="E1221" s="351"/>
      <c r="F1221" s="524" t="s">
        <v>325</v>
      </c>
      <c r="G1221" s="351"/>
      <c r="H1221" s="561" t="s">
        <v>325</v>
      </c>
      <c r="I1221" s="351"/>
      <c r="J1221" s="562"/>
      <c r="K1221" s="351"/>
      <c r="L1221" s="562"/>
      <c r="M1221" s="351"/>
      <c r="N1221" s="37"/>
      <c r="O1221" s="38"/>
      <c r="P1221" s="560"/>
      <c r="Q1221" s="351"/>
      <c r="R1221" s="527"/>
      <c r="S1221" s="351"/>
      <c r="T1221" s="528"/>
      <c r="U1221" s="351"/>
      <c r="V1221" s="541"/>
      <c r="W1221" s="351"/>
      <c r="X1221" s="542" t="s">
        <v>294</v>
      </c>
      <c r="Y1221" s="350"/>
      <c r="Z1221" s="350"/>
      <c r="AA1221" s="351"/>
      <c r="AB1221" s="543" t="s">
        <v>294</v>
      </c>
      <c r="AC1221" s="350"/>
      <c r="AD1221" s="350"/>
      <c r="AE1221" s="351"/>
      <c r="AF1221" s="544"/>
      <c r="AG1221" s="351"/>
      <c r="AH1221" s="544"/>
      <c r="AI1221" s="351"/>
      <c r="AJ1221" s="545"/>
      <c r="AK1221" s="351"/>
      <c r="AL1221" s="524" t="s">
        <v>325</v>
      </c>
      <c r="AM1221" s="351"/>
      <c r="AN1221" s="549" t="s">
        <v>325</v>
      </c>
      <c r="AO1221" s="351"/>
      <c r="AP1221" s="550"/>
      <c r="AQ1221" s="351"/>
      <c r="AR1221" s="551"/>
      <c r="AS1221" s="351"/>
      <c r="AT1221" s="552"/>
      <c r="AU1221" s="351"/>
      <c r="AV1221" s="549" t="s">
        <v>325</v>
      </c>
      <c r="AW1221" s="351"/>
      <c r="AX1221" s="553"/>
      <c r="AY1221" s="350"/>
      <c r="AZ1221" s="351"/>
      <c r="BA1221" s="554"/>
      <c r="BB1221" s="351"/>
      <c r="BC1221" s="39"/>
      <c r="BD1221" s="546" t="s">
        <v>325</v>
      </c>
      <c r="BE1221" s="351"/>
      <c r="BF1221" s="547"/>
      <c r="BG1221" s="350"/>
      <c r="BH1221" s="350"/>
      <c r="BI1221" s="351"/>
      <c r="BJ1221" s="548" t="s">
        <v>294</v>
      </c>
      <c r="BK1221" s="350"/>
      <c r="BL1221" s="350"/>
      <c r="BM1221" s="351"/>
      <c r="BN1221" s="530" t="s">
        <v>294</v>
      </c>
      <c r="BO1221" s="350"/>
      <c r="BP1221" s="350"/>
      <c r="BQ1221" s="350"/>
      <c r="BR1221" s="350"/>
      <c r="BS1221" s="350"/>
      <c r="BT1221" s="350"/>
      <c r="BU1221" s="350"/>
      <c r="BV1221" s="351"/>
    </row>
    <row r="1222" spans="1:74" ht="45" customHeight="1">
      <c r="A1222" s="24">
        <f t="shared" si="4"/>
        <v>1208</v>
      </c>
      <c r="B1222" s="558" t="s">
        <v>294</v>
      </c>
      <c r="C1222" s="351"/>
      <c r="D1222" s="559" t="s">
        <v>298</v>
      </c>
      <c r="E1222" s="351"/>
      <c r="F1222" s="524" t="s">
        <v>325</v>
      </c>
      <c r="G1222" s="351"/>
      <c r="H1222" s="525" t="s">
        <v>325</v>
      </c>
      <c r="I1222" s="351"/>
      <c r="J1222" s="563"/>
      <c r="K1222" s="351"/>
      <c r="L1222" s="563"/>
      <c r="M1222" s="351"/>
      <c r="N1222" s="34"/>
      <c r="O1222" s="35"/>
      <c r="P1222" s="526"/>
      <c r="Q1222" s="351"/>
      <c r="R1222" s="535"/>
      <c r="S1222" s="351"/>
      <c r="T1222" s="536"/>
      <c r="U1222" s="351"/>
      <c r="V1222" s="537"/>
      <c r="W1222" s="351"/>
      <c r="X1222" s="538" t="s">
        <v>294</v>
      </c>
      <c r="Y1222" s="350"/>
      <c r="Z1222" s="350"/>
      <c r="AA1222" s="351"/>
      <c r="AB1222" s="539" t="s">
        <v>294</v>
      </c>
      <c r="AC1222" s="350"/>
      <c r="AD1222" s="350"/>
      <c r="AE1222" s="351"/>
      <c r="AF1222" s="540"/>
      <c r="AG1222" s="351"/>
      <c r="AH1222" s="540"/>
      <c r="AI1222" s="351"/>
      <c r="AJ1222" s="545"/>
      <c r="AK1222" s="351"/>
      <c r="AL1222" s="555" t="s">
        <v>325</v>
      </c>
      <c r="AM1222" s="351"/>
      <c r="AN1222" s="531" t="s">
        <v>325</v>
      </c>
      <c r="AO1222" s="351"/>
      <c r="AP1222" s="532"/>
      <c r="AQ1222" s="351"/>
      <c r="AR1222" s="533"/>
      <c r="AS1222" s="351"/>
      <c r="AT1222" s="534"/>
      <c r="AU1222" s="351"/>
      <c r="AV1222" s="531" t="s">
        <v>325</v>
      </c>
      <c r="AW1222" s="351"/>
      <c r="AX1222" s="553"/>
      <c r="AY1222" s="350"/>
      <c r="AZ1222" s="351"/>
      <c r="BA1222" s="545"/>
      <c r="BB1222" s="351"/>
      <c r="BC1222" s="36"/>
      <c r="BD1222" s="556" t="s">
        <v>325</v>
      </c>
      <c r="BE1222" s="351"/>
      <c r="BF1222" s="529"/>
      <c r="BG1222" s="350"/>
      <c r="BH1222" s="350"/>
      <c r="BI1222" s="351"/>
      <c r="BJ1222" s="506" t="s">
        <v>294</v>
      </c>
      <c r="BK1222" s="350"/>
      <c r="BL1222" s="350"/>
      <c r="BM1222" s="351"/>
      <c r="BN1222" s="530" t="s">
        <v>294</v>
      </c>
      <c r="BO1222" s="350"/>
      <c r="BP1222" s="350"/>
      <c r="BQ1222" s="350"/>
      <c r="BR1222" s="350"/>
      <c r="BS1222" s="350"/>
      <c r="BT1222" s="350"/>
      <c r="BU1222" s="350"/>
      <c r="BV1222" s="351"/>
    </row>
    <row r="1223" spans="1:74" ht="45" customHeight="1">
      <c r="A1223" s="24">
        <f t="shared" si="4"/>
        <v>1209</v>
      </c>
      <c r="B1223" s="522" t="s">
        <v>294</v>
      </c>
      <c r="C1223" s="351"/>
      <c r="D1223" s="523" t="s">
        <v>298</v>
      </c>
      <c r="E1223" s="351"/>
      <c r="F1223" s="524" t="s">
        <v>325</v>
      </c>
      <c r="G1223" s="351"/>
      <c r="H1223" s="561" t="s">
        <v>325</v>
      </c>
      <c r="I1223" s="351"/>
      <c r="J1223" s="562"/>
      <c r="K1223" s="351"/>
      <c r="L1223" s="562"/>
      <c r="M1223" s="351"/>
      <c r="N1223" s="37"/>
      <c r="O1223" s="38"/>
      <c r="P1223" s="560"/>
      <c r="Q1223" s="351"/>
      <c r="R1223" s="527"/>
      <c r="S1223" s="351"/>
      <c r="T1223" s="528"/>
      <c r="U1223" s="351"/>
      <c r="V1223" s="541"/>
      <c r="W1223" s="351"/>
      <c r="X1223" s="542" t="s">
        <v>294</v>
      </c>
      <c r="Y1223" s="350"/>
      <c r="Z1223" s="350"/>
      <c r="AA1223" s="351"/>
      <c r="AB1223" s="543" t="s">
        <v>294</v>
      </c>
      <c r="AC1223" s="350"/>
      <c r="AD1223" s="350"/>
      <c r="AE1223" s="351"/>
      <c r="AF1223" s="544"/>
      <c r="AG1223" s="351"/>
      <c r="AH1223" s="544"/>
      <c r="AI1223" s="351"/>
      <c r="AJ1223" s="545"/>
      <c r="AK1223" s="351"/>
      <c r="AL1223" s="524" t="s">
        <v>325</v>
      </c>
      <c r="AM1223" s="351"/>
      <c r="AN1223" s="549" t="s">
        <v>325</v>
      </c>
      <c r="AO1223" s="351"/>
      <c r="AP1223" s="550"/>
      <c r="AQ1223" s="351"/>
      <c r="AR1223" s="551"/>
      <c r="AS1223" s="351"/>
      <c r="AT1223" s="552"/>
      <c r="AU1223" s="351"/>
      <c r="AV1223" s="549" t="s">
        <v>325</v>
      </c>
      <c r="AW1223" s="351"/>
      <c r="AX1223" s="553"/>
      <c r="AY1223" s="350"/>
      <c r="AZ1223" s="351"/>
      <c r="BA1223" s="554"/>
      <c r="BB1223" s="351"/>
      <c r="BC1223" s="39"/>
      <c r="BD1223" s="546" t="s">
        <v>325</v>
      </c>
      <c r="BE1223" s="351"/>
      <c r="BF1223" s="547"/>
      <c r="BG1223" s="350"/>
      <c r="BH1223" s="350"/>
      <c r="BI1223" s="351"/>
      <c r="BJ1223" s="548" t="s">
        <v>294</v>
      </c>
      <c r="BK1223" s="350"/>
      <c r="BL1223" s="350"/>
      <c r="BM1223" s="351"/>
      <c r="BN1223" s="530" t="s">
        <v>294</v>
      </c>
      <c r="BO1223" s="350"/>
      <c r="BP1223" s="350"/>
      <c r="BQ1223" s="350"/>
      <c r="BR1223" s="350"/>
      <c r="BS1223" s="350"/>
      <c r="BT1223" s="350"/>
      <c r="BU1223" s="350"/>
      <c r="BV1223" s="351"/>
    </row>
    <row r="1224" spans="1:74" ht="45" customHeight="1">
      <c r="A1224" s="24">
        <f t="shared" si="4"/>
        <v>1210</v>
      </c>
      <c r="B1224" s="558" t="s">
        <v>294</v>
      </c>
      <c r="C1224" s="351"/>
      <c r="D1224" s="559" t="s">
        <v>298</v>
      </c>
      <c r="E1224" s="351"/>
      <c r="F1224" s="524" t="s">
        <v>325</v>
      </c>
      <c r="G1224" s="351"/>
      <c r="H1224" s="525" t="s">
        <v>325</v>
      </c>
      <c r="I1224" s="351"/>
      <c r="J1224" s="563"/>
      <c r="K1224" s="351"/>
      <c r="L1224" s="563"/>
      <c r="M1224" s="351"/>
      <c r="N1224" s="34"/>
      <c r="O1224" s="35"/>
      <c r="P1224" s="526"/>
      <c r="Q1224" s="351"/>
      <c r="R1224" s="535"/>
      <c r="S1224" s="351"/>
      <c r="T1224" s="536"/>
      <c r="U1224" s="351"/>
      <c r="V1224" s="537"/>
      <c r="W1224" s="351"/>
      <c r="X1224" s="538" t="s">
        <v>294</v>
      </c>
      <c r="Y1224" s="350"/>
      <c r="Z1224" s="350"/>
      <c r="AA1224" s="351"/>
      <c r="AB1224" s="539" t="s">
        <v>294</v>
      </c>
      <c r="AC1224" s="350"/>
      <c r="AD1224" s="350"/>
      <c r="AE1224" s="351"/>
      <c r="AF1224" s="540"/>
      <c r="AG1224" s="351"/>
      <c r="AH1224" s="540"/>
      <c r="AI1224" s="351"/>
      <c r="AJ1224" s="545"/>
      <c r="AK1224" s="351"/>
      <c r="AL1224" s="555" t="s">
        <v>325</v>
      </c>
      <c r="AM1224" s="351"/>
      <c r="AN1224" s="531" t="s">
        <v>325</v>
      </c>
      <c r="AO1224" s="351"/>
      <c r="AP1224" s="532"/>
      <c r="AQ1224" s="351"/>
      <c r="AR1224" s="533"/>
      <c r="AS1224" s="351"/>
      <c r="AT1224" s="534"/>
      <c r="AU1224" s="351"/>
      <c r="AV1224" s="531" t="s">
        <v>325</v>
      </c>
      <c r="AW1224" s="351"/>
      <c r="AX1224" s="553"/>
      <c r="AY1224" s="350"/>
      <c r="AZ1224" s="351"/>
      <c r="BA1224" s="545"/>
      <c r="BB1224" s="351"/>
      <c r="BC1224" s="36"/>
      <c r="BD1224" s="556" t="s">
        <v>325</v>
      </c>
      <c r="BE1224" s="351"/>
      <c r="BF1224" s="557"/>
      <c r="BG1224" s="350"/>
      <c r="BH1224" s="350"/>
      <c r="BI1224" s="351"/>
      <c r="BJ1224" s="506" t="s">
        <v>294</v>
      </c>
      <c r="BK1224" s="350"/>
      <c r="BL1224" s="350"/>
      <c r="BM1224" s="351"/>
      <c r="BN1224" s="530" t="s">
        <v>294</v>
      </c>
      <c r="BO1224" s="350"/>
      <c r="BP1224" s="350"/>
      <c r="BQ1224" s="350"/>
      <c r="BR1224" s="350"/>
      <c r="BS1224" s="350"/>
      <c r="BT1224" s="350"/>
      <c r="BU1224" s="350"/>
      <c r="BV1224" s="351"/>
    </row>
    <row r="1225" spans="1:74" ht="45" customHeight="1">
      <c r="A1225" s="24">
        <f t="shared" si="4"/>
        <v>1211</v>
      </c>
      <c r="B1225" s="522" t="s">
        <v>294</v>
      </c>
      <c r="C1225" s="351"/>
      <c r="D1225" s="523" t="s">
        <v>298</v>
      </c>
      <c r="E1225" s="351"/>
      <c r="F1225" s="524" t="s">
        <v>325</v>
      </c>
      <c r="G1225" s="351"/>
      <c r="H1225" s="561" t="s">
        <v>325</v>
      </c>
      <c r="I1225" s="351"/>
      <c r="J1225" s="562"/>
      <c r="K1225" s="351"/>
      <c r="L1225" s="562"/>
      <c r="M1225" s="351"/>
      <c r="N1225" s="37"/>
      <c r="O1225" s="38"/>
      <c r="P1225" s="560"/>
      <c r="Q1225" s="351"/>
      <c r="R1225" s="527"/>
      <c r="S1225" s="351"/>
      <c r="T1225" s="528"/>
      <c r="U1225" s="351"/>
      <c r="V1225" s="541"/>
      <c r="W1225" s="351"/>
      <c r="X1225" s="542" t="s">
        <v>294</v>
      </c>
      <c r="Y1225" s="350"/>
      <c r="Z1225" s="350"/>
      <c r="AA1225" s="351"/>
      <c r="AB1225" s="543" t="s">
        <v>294</v>
      </c>
      <c r="AC1225" s="350"/>
      <c r="AD1225" s="350"/>
      <c r="AE1225" s="351"/>
      <c r="AF1225" s="544"/>
      <c r="AG1225" s="351"/>
      <c r="AH1225" s="544"/>
      <c r="AI1225" s="351"/>
      <c r="AJ1225" s="545"/>
      <c r="AK1225" s="351"/>
      <c r="AL1225" s="524" t="s">
        <v>325</v>
      </c>
      <c r="AM1225" s="351"/>
      <c r="AN1225" s="549" t="s">
        <v>325</v>
      </c>
      <c r="AO1225" s="351"/>
      <c r="AP1225" s="550"/>
      <c r="AQ1225" s="351"/>
      <c r="AR1225" s="551"/>
      <c r="AS1225" s="351"/>
      <c r="AT1225" s="534"/>
      <c r="AU1225" s="351"/>
      <c r="AV1225" s="549" t="s">
        <v>325</v>
      </c>
      <c r="AW1225" s="351"/>
      <c r="AX1225" s="553"/>
      <c r="AY1225" s="350"/>
      <c r="AZ1225" s="351"/>
      <c r="BA1225" s="554"/>
      <c r="BB1225" s="351"/>
      <c r="BC1225" s="39"/>
      <c r="BD1225" s="546" t="s">
        <v>325</v>
      </c>
      <c r="BE1225" s="351"/>
      <c r="BF1225" s="547"/>
      <c r="BG1225" s="350"/>
      <c r="BH1225" s="350"/>
      <c r="BI1225" s="351"/>
      <c r="BJ1225" s="548" t="s">
        <v>294</v>
      </c>
      <c r="BK1225" s="350"/>
      <c r="BL1225" s="350"/>
      <c r="BM1225" s="351"/>
      <c r="BN1225" s="530" t="s">
        <v>294</v>
      </c>
      <c r="BO1225" s="350"/>
      <c r="BP1225" s="350"/>
      <c r="BQ1225" s="350"/>
      <c r="BR1225" s="350"/>
      <c r="BS1225" s="350"/>
      <c r="BT1225" s="350"/>
      <c r="BU1225" s="350"/>
      <c r="BV1225" s="351"/>
    </row>
    <row r="1226" spans="1:74" ht="45" customHeight="1">
      <c r="A1226" s="24">
        <f t="shared" si="4"/>
        <v>1212</v>
      </c>
      <c r="B1226" s="558" t="s">
        <v>294</v>
      </c>
      <c r="C1226" s="351"/>
      <c r="D1226" s="559" t="s">
        <v>298</v>
      </c>
      <c r="E1226" s="351"/>
      <c r="F1226" s="524" t="s">
        <v>325</v>
      </c>
      <c r="G1226" s="351"/>
      <c r="H1226" s="525" t="s">
        <v>325</v>
      </c>
      <c r="I1226" s="351"/>
      <c r="J1226" s="563"/>
      <c r="K1226" s="351"/>
      <c r="L1226" s="563"/>
      <c r="M1226" s="351"/>
      <c r="N1226" s="34"/>
      <c r="O1226" s="35"/>
      <c r="P1226" s="526"/>
      <c r="Q1226" s="351"/>
      <c r="R1226" s="535"/>
      <c r="S1226" s="351"/>
      <c r="T1226" s="536"/>
      <c r="U1226" s="351"/>
      <c r="V1226" s="537"/>
      <c r="W1226" s="351"/>
      <c r="X1226" s="538" t="s">
        <v>294</v>
      </c>
      <c r="Y1226" s="350"/>
      <c r="Z1226" s="350"/>
      <c r="AA1226" s="351"/>
      <c r="AB1226" s="539" t="s">
        <v>294</v>
      </c>
      <c r="AC1226" s="350"/>
      <c r="AD1226" s="350"/>
      <c r="AE1226" s="351"/>
      <c r="AF1226" s="540"/>
      <c r="AG1226" s="351"/>
      <c r="AH1226" s="540"/>
      <c r="AI1226" s="351"/>
      <c r="AJ1226" s="545"/>
      <c r="AK1226" s="351"/>
      <c r="AL1226" s="555" t="s">
        <v>325</v>
      </c>
      <c r="AM1226" s="351"/>
      <c r="AN1226" s="531" t="s">
        <v>325</v>
      </c>
      <c r="AO1226" s="351"/>
      <c r="AP1226" s="532"/>
      <c r="AQ1226" s="351"/>
      <c r="AR1226" s="533"/>
      <c r="AS1226" s="351"/>
      <c r="AT1226" s="534"/>
      <c r="AU1226" s="351"/>
      <c r="AV1226" s="531" t="s">
        <v>325</v>
      </c>
      <c r="AW1226" s="351"/>
      <c r="AX1226" s="553"/>
      <c r="AY1226" s="350"/>
      <c r="AZ1226" s="351"/>
      <c r="BA1226" s="545"/>
      <c r="BB1226" s="351"/>
      <c r="BC1226" s="36"/>
      <c r="BD1226" s="556" t="s">
        <v>325</v>
      </c>
      <c r="BE1226" s="351"/>
      <c r="BF1226" s="557"/>
      <c r="BG1226" s="350"/>
      <c r="BH1226" s="350"/>
      <c r="BI1226" s="351"/>
      <c r="BJ1226" s="506" t="s">
        <v>294</v>
      </c>
      <c r="BK1226" s="350"/>
      <c r="BL1226" s="350"/>
      <c r="BM1226" s="351"/>
      <c r="BN1226" s="530" t="s">
        <v>294</v>
      </c>
      <c r="BO1226" s="350"/>
      <c r="BP1226" s="350"/>
      <c r="BQ1226" s="350"/>
      <c r="BR1226" s="350"/>
      <c r="BS1226" s="350"/>
      <c r="BT1226" s="350"/>
      <c r="BU1226" s="350"/>
      <c r="BV1226" s="351"/>
    </row>
    <row r="1227" spans="1:74" ht="45" customHeight="1">
      <c r="A1227" s="24">
        <f t="shared" si="4"/>
        <v>1213</v>
      </c>
      <c r="B1227" s="522" t="s">
        <v>294</v>
      </c>
      <c r="C1227" s="351"/>
      <c r="D1227" s="523" t="s">
        <v>298</v>
      </c>
      <c r="E1227" s="351"/>
      <c r="F1227" s="524" t="s">
        <v>325</v>
      </c>
      <c r="G1227" s="351"/>
      <c r="H1227" s="561" t="s">
        <v>325</v>
      </c>
      <c r="I1227" s="351"/>
      <c r="J1227" s="562"/>
      <c r="K1227" s="351"/>
      <c r="L1227" s="562"/>
      <c r="M1227" s="351"/>
      <c r="N1227" s="37"/>
      <c r="O1227" s="38"/>
      <c r="P1227" s="560"/>
      <c r="Q1227" s="351"/>
      <c r="R1227" s="527"/>
      <c r="S1227" s="351"/>
      <c r="T1227" s="528"/>
      <c r="U1227" s="351"/>
      <c r="V1227" s="541"/>
      <c r="W1227" s="351"/>
      <c r="X1227" s="542" t="s">
        <v>294</v>
      </c>
      <c r="Y1227" s="350"/>
      <c r="Z1227" s="350"/>
      <c r="AA1227" s="351"/>
      <c r="AB1227" s="543" t="s">
        <v>294</v>
      </c>
      <c r="AC1227" s="350"/>
      <c r="AD1227" s="350"/>
      <c r="AE1227" s="351"/>
      <c r="AF1227" s="544"/>
      <c r="AG1227" s="351"/>
      <c r="AH1227" s="544"/>
      <c r="AI1227" s="351"/>
      <c r="AJ1227" s="545"/>
      <c r="AK1227" s="351"/>
      <c r="AL1227" s="524" t="s">
        <v>325</v>
      </c>
      <c r="AM1227" s="351"/>
      <c r="AN1227" s="549" t="s">
        <v>325</v>
      </c>
      <c r="AO1227" s="351"/>
      <c r="AP1227" s="550"/>
      <c r="AQ1227" s="351"/>
      <c r="AR1227" s="551"/>
      <c r="AS1227" s="351"/>
      <c r="AT1227" s="534"/>
      <c r="AU1227" s="351"/>
      <c r="AV1227" s="549" t="s">
        <v>325</v>
      </c>
      <c r="AW1227" s="351"/>
      <c r="AX1227" s="553"/>
      <c r="AY1227" s="350"/>
      <c r="AZ1227" s="351"/>
      <c r="BA1227" s="554"/>
      <c r="BB1227" s="351"/>
      <c r="BC1227" s="39"/>
      <c r="BD1227" s="546" t="s">
        <v>325</v>
      </c>
      <c r="BE1227" s="351"/>
      <c r="BF1227" s="547"/>
      <c r="BG1227" s="350"/>
      <c r="BH1227" s="350"/>
      <c r="BI1227" s="351"/>
      <c r="BJ1227" s="548" t="s">
        <v>294</v>
      </c>
      <c r="BK1227" s="350"/>
      <c r="BL1227" s="350"/>
      <c r="BM1227" s="351"/>
      <c r="BN1227" s="530" t="s">
        <v>294</v>
      </c>
      <c r="BO1227" s="350"/>
      <c r="BP1227" s="350"/>
      <c r="BQ1227" s="350"/>
      <c r="BR1227" s="350"/>
      <c r="BS1227" s="350"/>
      <c r="BT1227" s="350"/>
      <c r="BU1227" s="350"/>
      <c r="BV1227" s="351"/>
    </row>
    <row r="1228" spans="1:74" ht="45" customHeight="1">
      <c r="A1228" s="24">
        <f t="shared" si="4"/>
        <v>1214</v>
      </c>
      <c r="B1228" s="558" t="s">
        <v>294</v>
      </c>
      <c r="C1228" s="351"/>
      <c r="D1228" s="559" t="s">
        <v>298</v>
      </c>
      <c r="E1228" s="351"/>
      <c r="F1228" s="524" t="s">
        <v>325</v>
      </c>
      <c r="G1228" s="351"/>
      <c r="H1228" s="525" t="s">
        <v>325</v>
      </c>
      <c r="I1228" s="351"/>
      <c r="J1228" s="563"/>
      <c r="K1228" s="351"/>
      <c r="L1228" s="563"/>
      <c r="M1228" s="351"/>
      <c r="N1228" s="34"/>
      <c r="O1228" s="35"/>
      <c r="P1228" s="526"/>
      <c r="Q1228" s="351"/>
      <c r="R1228" s="535"/>
      <c r="S1228" s="351"/>
      <c r="T1228" s="536"/>
      <c r="U1228" s="351"/>
      <c r="V1228" s="537"/>
      <c r="W1228" s="351"/>
      <c r="X1228" s="538" t="s">
        <v>294</v>
      </c>
      <c r="Y1228" s="350"/>
      <c r="Z1228" s="350"/>
      <c r="AA1228" s="351"/>
      <c r="AB1228" s="539" t="s">
        <v>294</v>
      </c>
      <c r="AC1228" s="350"/>
      <c r="AD1228" s="350"/>
      <c r="AE1228" s="351"/>
      <c r="AF1228" s="540"/>
      <c r="AG1228" s="351"/>
      <c r="AH1228" s="540"/>
      <c r="AI1228" s="351"/>
      <c r="AJ1228" s="545"/>
      <c r="AK1228" s="351"/>
      <c r="AL1228" s="555" t="s">
        <v>325</v>
      </c>
      <c r="AM1228" s="351"/>
      <c r="AN1228" s="531" t="s">
        <v>325</v>
      </c>
      <c r="AO1228" s="351"/>
      <c r="AP1228" s="532"/>
      <c r="AQ1228" s="351"/>
      <c r="AR1228" s="533"/>
      <c r="AS1228" s="351"/>
      <c r="AT1228" s="534"/>
      <c r="AU1228" s="351"/>
      <c r="AV1228" s="531" t="s">
        <v>325</v>
      </c>
      <c r="AW1228" s="351"/>
      <c r="AX1228" s="553"/>
      <c r="AY1228" s="350"/>
      <c r="AZ1228" s="351"/>
      <c r="BA1228" s="545"/>
      <c r="BB1228" s="351"/>
      <c r="BC1228" s="36"/>
      <c r="BD1228" s="556" t="s">
        <v>325</v>
      </c>
      <c r="BE1228" s="351"/>
      <c r="BF1228" s="557"/>
      <c r="BG1228" s="350"/>
      <c r="BH1228" s="350"/>
      <c r="BI1228" s="351"/>
      <c r="BJ1228" s="506" t="s">
        <v>294</v>
      </c>
      <c r="BK1228" s="350"/>
      <c r="BL1228" s="350"/>
      <c r="BM1228" s="351"/>
      <c r="BN1228" s="530" t="s">
        <v>294</v>
      </c>
      <c r="BO1228" s="350"/>
      <c r="BP1228" s="350"/>
      <c r="BQ1228" s="350"/>
      <c r="BR1228" s="350"/>
      <c r="BS1228" s="350"/>
      <c r="BT1228" s="350"/>
      <c r="BU1228" s="350"/>
      <c r="BV1228" s="351"/>
    </row>
    <row r="1229" spans="1:74" ht="45" customHeight="1">
      <c r="A1229" s="24">
        <f t="shared" si="4"/>
        <v>1215</v>
      </c>
      <c r="B1229" s="522" t="s">
        <v>294</v>
      </c>
      <c r="C1229" s="351"/>
      <c r="D1229" s="523" t="s">
        <v>298</v>
      </c>
      <c r="E1229" s="351"/>
      <c r="F1229" s="524" t="s">
        <v>325</v>
      </c>
      <c r="G1229" s="351"/>
      <c r="H1229" s="561" t="s">
        <v>325</v>
      </c>
      <c r="I1229" s="351"/>
      <c r="J1229" s="562"/>
      <c r="K1229" s="351"/>
      <c r="L1229" s="562"/>
      <c r="M1229" s="351"/>
      <c r="N1229" s="37"/>
      <c r="O1229" s="38"/>
      <c r="P1229" s="560"/>
      <c r="Q1229" s="351"/>
      <c r="R1229" s="527"/>
      <c r="S1229" s="351"/>
      <c r="T1229" s="528"/>
      <c r="U1229" s="351"/>
      <c r="V1229" s="541"/>
      <c r="W1229" s="351"/>
      <c r="X1229" s="542" t="s">
        <v>294</v>
      </c>
      <c r="Y1229" s="350"/>
      <c r="Z1229" s="350"/>
      <c r="AA1229" s="351"/>
      <c r="AB1229" s="543" t="s">
        <v>294</v>
      </c>
      <c r="AC1229" s="350"/>
      <c r="AD1229" s="350"/>
      <c r="AE1229" s="351"/>
      <c r="AF1229" s="544"/>
      <c r="AG1229" s="351"/>
      <c r="AH1229" s="544"/>
      <c r="AI1229" s="351"/>
      <c r="AJ1229" s="545"/>
      <c r="AK1229" s="351"/>
      <c r="AL1229" s="524" t="s">
        <v>325</v>
      </c>
      <c r="AM1229" s="351"/>
      <c r="AN1229" s="549" t="s">
        <v>325</v>
      </c>
      <c r="AO1229" s="351"/>
      <c r="AP1229" s="550"/>
      <c r="AQ1229" s="351"/>
      <c r="AR1229" s="551"/>
      <c r="AS1229" s="351"/>
      <c r="AT1229" s="552"/>
      <c r="AU1229" s="351"/>
      <c r="AV1229" s="549" t="s">
        <v>325</v>
      </c>
      <c r="AW1229" s="351"/>
      <c r="AX1229" s="553"/>
      <c r="AY1229" s="350"/>
      <c r="AZ1229" s="351"/>
      <c r="BA1229" s="554"/>
      <c r="BB1229" s="351"/>
      <c r="BC1229" s="39"/>
      <c r="BD1229" s="546" t="s">
        <v>325</v>
      </c>
      <c r="BE1229" s="351"/>
      <c r="BF1229" s="547"/>
      <c r="BG1229" s="350"/>
      <c r="BH1229" s="350"/>
      <c r="BI1229" s="351"/>
      <c r="BJ1229" s="548" t="s">
        <v>294</v>
      </c>
      <c r="BK1229" s="350"/>
      <c r="BL1229" s="350"/>
      <c r="BM1229" s="351"/>
      <c r="BN1229" s="530" t="s">
        <v>294</v>
      </c>
      <c r="BO1229" s="350"/>
      <c r="BP1229" s="350"/>
      <c r="BQ1229" s="350"/>
      <c r="BR1229" s="350"/>
      <c r="BS1229" s="350"/>
      <c r="BT1229" s="350"/>
      <c r="BU1229" s="350"/>
      <c r="BV1229" s="351"/>
    </row>
    <row r="1230" spans="1:74" ht="45" customHeight="1">
      <c r="A1230" s="24">
        <f t="shared" si="4"/>
        <v>1216</v>
      </c>
      <c r="B1230" s="558" t="s">
        <v>294</v>
      </c>
      <c r="C1230" s="351"/>
      <c r="D1230" s="559" t="s">
        <v>298</v>
      </c>
      <c r="E1230" s="351"/>
      <c r="F1230" s="524" t="s">
        <v>325</v>
      </c>
      <c r="G1230" s="351"/>
      <c r="H1230" s="525" t="s">
        <v>325</v>
      </c>
      <c r="I1230" s="351"/>
      <c r="J1230" s="563"/>
      <c r="K1230" s="351"/>
      <c r="L1230" s="563"/>
      <c r="M1230" s="351"/>
      <c r="N1230" s="34"/>
      <c r="O1230" s="35"/>
      <c r="P1230" s="526"/>
      <c r="Q1230" s="351"/>
      <c r="R1230" s="535"/>
      <c r="S1230" s="351"/>
      <c r="T1230" s="536"/>
      <c r="U1230" s="351"/>
      <c r="V1230" s="537"/>
      <c r="W1230" s="351"/>
      <c r="X1230" s="538" t="s">
        <v>294</v>
      </c>
      <c r="Y1230" s="350"/>
      <c r="Z1230" s="350"/>
      <c r="AA1230" s="351"/>
      <c r="AB1230" s="539" t="s">
        <v>294</v>
      </c>
      <c r="AC1230" s="350"/>
      <c r="AD1230" s="350"/>
      <c r="AE1230" s="351"/>
      <c r="AF1230" s="540"/>
      <c r="AG1230" s="351"/>
      <c r="AH1230" s="540"/>
      <c r="AI1230" s="351"/>
      <c r="AJ1230" s="545"/>
      <c r="AK1230" s="351"/>
      <c r="AL1230" s="555" t="s">
        <v>325</v>
      </c>
      <c r="AM1230" s="351"/>
      <c r="AN1230" s="531" t="s">
        <v>325</v>
      </c>
      <c r="AO1230" s="351"/>
      <c r="AP1230" s="532"/>
      <c r="AQ1230" s="351"/>
      <c r="AR1230" s="533"/>
      <c r="AS1230" s="351"/>
      <c r="AT1230" s="534"/>
      <c r="AU1230" s="351"/>
      <c r="AV1230" s="531" t="s">
        <v>325</v>
      </c>
      <c r="AW1230" s="351"/>
      <c r="AX1230" s="553"/>
      <c r="AY1230" s="350"/>
      <c r="AZ1230" s="351"/>
      <c r="BA1230" s="545"/>
      <c r="BB1230" s="351"/>
      <c r="BC1230" s="36"/>
      <c r="BD1230" s="556" t="s">
        <v>325</v>
      </c>
      <c r="BE1230" s="351"/>
      <c r="BF1230" s="529"/>
      <c r="BG1230" s="350"/>
      <c r="BH1230" s="350"/>
      <c r="BI1230" s="351"/>
      <c r="BJ1230" s="506" t="s">
        <v>294</v>
      </c>
      <c r="BK1230" s="350"/>
      <c r="BL1230" s="350"/>
      <c r="BM1230" s="351"/>
      <c r="BN1230" s="530" t="s">
        <v>294</v>
      </c>
      <c r="BO1230" s="350"/>
      <c r="BP1230" s="350"/>
      <c r="BQ1230" s="350"/>
      <c r="BR1230" s="350"/>
      <c r="BS1230" s="350"/>
      <c r="BT1230" s="350"/>
      <c r="BU1230" s="350"/>
      <c r="BV1230" s="351"/>
    </row>
    <row r="1231" spans="1:74" ht="45" customHeight="1">
      <c r="A1231" s="24">
        <f t="shared" si="4"/>
        <v>1217</v>
      </c>
      <c r="B1231" s="522" t="s">
        <v>294</v>
      </c>
      <c r="C1231" s="351"/>
      <c r="D1231" s="523" t="s">
        <v>298</v>
      </c>
      <c r="E1231" s="351"/>
      <c r="F1231" s="524" t="s">
        <v>325</v>
      </c>
      <c r="G1231" s="351"/>
      <c r="H1231" s="561" t="s">
        <v>325</v>
      </c>
      <c r="I1231" s="351"/>
      <c r="J1231" s="562"/>
      <c r="K1231" s="351"/>
      <c r="L1231" s="562"/>
      <c r="M1231" s="351"/>
      <c r="N1231" s="37"/>
      <c r="O1231" s="38"/>
      <c r="P1231" s="560"/>
      <c r="Q1231" s="351"/>
      <c r="R1231" s="527"/>
      <c r="S1231" s="351"/>
      <c r="T1231" s="528"/>
      <c r="U1231" s="351"/>
      <c r="V1231" s="541"/>
      <c r="W1231" s="351"/>
      <c r="X1231" s="542" t="s">
        <v>294</v>
      </c>
      <c r="Y1231" s="350"/>
      <c r="Z1231" s="350"/>
      <c r="AA1231" s="351"/>
      <c r="AB1231" s="543" t="s">
        <v>294</v>
      </c>
      <c r="AC1231" s="350"/>
      <c r="AD1231" s="350"/>
      <c r="AE1231" s="351"/>
      <c r="AF1231" s="544"/>
      <c r="AG1231" s="351"/>
      <c r="AH1231" s="544"/>
      <c r="AI1231" s="351"/>
      <c r="AJ1231" s="545"/>
      <c r="AK1231" s="351"/>
      <c r="AL1231" s="524" t="s">
        <v>325</v>
      </c>
      <c r="AM1231" s="351"/>
      <c r="AN1231" s="549" t="s">
        <v>325</v>
      </c>
      <c r="AO1231" s="351"/>
      <c r="AP1231" s="550"/>
      <c r="AQ1231" s="351"/>
      <c r="AR1231" s="551"/>
      <c r="AS1231" s="351"/>
      <c r="AT1231" s="552"/>
      <c r="AU1231" s="351"/>
      <c r="AV1231" s="549" t="s">
        <v>325</v>
      </c>
      <c r="AW1231" s="351"/>
      <c r="AX1231" s="553"/>
      <c r="AY1231" s="350"/>
      <c r="AZ1231" s="351"/>
      <c r="BA1231" s="554"/>
      <c r="BB1231" s="351"/>
      <c r="BC1231" s="39"/>
      <c r="BD1231" s="546" t="s">
        <v>325</v>
      </c>
      <c r="BE1231" s="351"/>
      <c r="BF1231" s="547"/>
      <c r="BG1231" s="350"/>
      <c r="BH1231" s="350"/>
      <c r="BI1231" s="351"/>
      <c r="BJ1231" s="548" t="s">
        <v>294</v>
      </c>
      <c r="BK1231" s="350"/>
      <c r="BL1231" s="350"/>
      <c r="BM1231" s="351"/>
      <c r="BN1231" s="530" t="s">
        <v>294</v>
      </c>
      <c r="BO1231" s="350"/>
      <c r="BP1231" s="350"/>
      <c r="BQ1231" s="350"/>
      <c r="BR1231" s="350"/>
      <c r="BS1231" s="350"/>
      <c r="BT1231" s="350"/>
      <c r="BU1231" s="350"/>
      <c r="BV1231" s="351"/>
    </row>
    <row r="1232" spans="1:74" ht="45" customHeight="1">
      <c r="A1232" s="24">
        <f t="shared" si="4"/>
        <v>1218</v>
      </c>
      <c r="B1232" s="558" t="s">
        <v>294</v>
      </c>
      <c r="C1232" s="351"/>
      <c r="D1232" s="559" t="s">
        <v>298</v>
      </c>
      <c r="E1232" s="351"/>
      <c r="F1232" s="524" t="s">
        <v>325</v>
      </c>
      <c r="G1232" s="351"/>
      <c r="H1232" s="525" t="s">
        <v>325</v>
      </c>
      <c r="I1232" s="351"/>
      <c r="J1232" s="563"/>
      <c r="K1232" s="351"/>
      <c r="L1232" s="563"/>
      <c r="M1232" s="351"/>
      <c r="N1232" s="34"/>
      <c r="O1232" s="35"/>
      <c r="P1232" s="526"/>
      <c r="Q1232" s="351"/>
      <c r="R1232" s="535"/>
      <c r="S1232" s="351"/>
      <c r="T1232" s="536"/>
      <c r="U1232" s="351"/>
      <c r="V1232" s="537"/>
      <c r="W1232" s="351"/>
      <c r="X1232" s="538" t="s">
        <v>294</v>
      </c>
      <c r="Y1232" s="350"/>
      <c r="Z1232" s="350"/>
      <c r="AA1232" s="351"/>
      <c r="AB1232" s="539" t="s">
        <v>294</v>
      </c>
      <c r="AC1232" s="350"/>
      <c r="AD1232" s="350"/>
      <c r="AE1232" s="351"/>
      <c r="AF1232" s="540"/>
      <c r="AG1232" s="351"/>
      <c r="AH1232" s="540"/>
      <c r="AI1232" s="351"/>
      <c r="AJ1232" s="545"/>
      <c r="AK1232" s="351"/>
      <c r="AL1232" s="555" t="s">
        <v>325</v>
      </c>
      <c r="AM1232" s="351"/>
      <c r="AN1232" s="531" t="s">
        <v>325</v>
      </c>
      <c r="AO1232" s="351"/>
      <c r="AP1232" s="532"/>
      <c r="AQ1232" s="351"/>
      <c r="AR1232" s="533"/>
      <c r="AS1232" s="351"/>
      <c r="AT1232" s="534"/>
      <c r="AU1232" s="351"/>
      <c r="AV1232" s="531" t="s">
        <v>325</v>
      </c>
      <c r="AW1232" s="351"/>
      <c r="AX1232" s="553"/>
      <c r="AY1232" s="350"/>
      <c r="AZ1232" s="351"/>
      <c r="BA1232" s="545"/>
      <c r="BB1232" s="351"/>
      <c r="BC1232" s="36"/>
      <c r="BD1232" s="556" t="s">
        <v>325</v>
      </c>
      <c r="BE1232" s="351"/>
      <c r="BF1232" s="557"/>
      <c r="BG1232" s="350"/>
      <c r="BH1232" s="350"/>
      <c r="BI1232" s="351"/>
      <c r="BJ1232" s="506" t="s">
        <v>294</v>
      </c>
      <c r="BK1232" s="350"/>
      <c r="BL1232" s="350"/>
      <c r="BM1232" s="351"/>
      <c r="BN1232" s="530" t="s">
        <v>294</v>
      </c>
      <c r="BO1232" s="350"/>
      <c r="BP1232" s="350"/>
      <c r="BQ1232" s="350"/>
      <c r="BR1232" s="350"/>
      <c r="BS1232" s="350"/>
      <c r="BT1232" s="350"/>
      <c r="BU1232" s="350"/>
      <c r="BV1232" s="351"/>
    </row>
    <row r="1233" spans="1:74" ht="45" customHeight="1">
      <c r="A1233" s="24">
        <f t="shared" si="4"/>
        <v>1219</v>
      </c>
      <c r="B1233" s="522" t="s">
        <v>294</v>
      </c>
      <c r="C1233" s="351"/>
      <c r="D1233" s="523" t="s">
        <v>298</v>
      </c>
      <c r="E1233" s="351"/>
      <c r="F1233" s="524" t="s">
        <v>325</v>
      </c>
      <c r="G1233" s="351"/>
      <c r="H1233" s="561" t="s">
        <v>325</v>
      </c>
      <c r="I1233" s="351"/>
      <c r="J1233" s="562"/>
      <c r="K1233" s="351"/>
      <c r="L1233" s="562"/>
      <c r="M1233" s="351"/>
      <c r="N1233" s="37"/>
      <c r="O1233" s="38"/>
      <c r="P1233" s="560"/>
      <c r="Q1233" s="351"/>
      <c r="R1233" s="527"/>
      <c r="S1233" s="351"/>
      <c r="T1233" s="528"/>
      <c r="U1233" s="351"/>
      <c r="V1233" s="541"/>
      <c r="W1233" s="351"/>
      <c r="X1233" s="542" t="s">
        <v>294</v>
      </c>
      <c r="Y1233" s="350"/>
      <c r="Z1233" s="350"/>
      <c r="AA1233" s="351"/>
      <c r="AB1233" s="543" t="s">
        <v>294</v>
      </c>
      <c r="AC1233" s="350"/>
      <c r="AD1233" s="350"/>
      <c r="AE1233" s="351"/>
      <c r="AF1233" s="544"/>
      <c r="AG1233" s="351"/>
      <c r="AH1233" s="544"/>
      <c r="AI1233" s="351"/>
      <c r="AJ1233" s="545"/>
      <c r="AK1233" s="351"/>
      <c r="AL1233" s="524" t="s">
        <v>325</v>
      </c>
      <c r="AM1233" s="351"/>
      <c r="AN1233" s="549" t="s">
        <v>325</v>
      </c>
      <c r="AO1233" s="351"/>
      <c r="AP1233" s="550"/>
      <c r="AQ1233" s="351"/>
      <c r="AR1233" s="551"/>
      <c r="AS1233" s="351"/>
      <c r="AT1233" s="552"/>
      <c r="AU1233" s="351"/>
      <c r="AV1233" s="549" t="s">
        <v>325</v>
      </c>
      <c r="AW1233" s="351"/>
      <c r="AX1233" s="553"/>
      <c r="AY1233" s="350"/>
      <c r="AZ1233" s="351"/>
      <c r="BA1233" s="554"/>
      <c r="BB1233" s="351"/>
      <c r="BC1233" s="39"/>
      <c r="BD1233" s="546" t="s">
        <v>325</v>
      </c>
      <c r="BE1233" s="351"/>
      <c r="BF1233" s="547"/>
      <c r="BG1233" s="350"/>
      <c r="BH1233" s="350"/>
      <c r="BI1233" s="351"/>
      <c r="BJ1233" s="548" t="s">
        <v>294</v>
      </c>
      <c r="BK1233" s="350"/>
      <c r="BL1233" s="350"/>
      <c r="BM1233" s="351"/>
      <c r="BN1233" s="530" t="s">
        <v>294</v>
      </c>
      <c r="BO1233" s="350"/>
      <c r="BP1233" s="350"/>
      <c r="BQ1233" s="350"/>
      <c r="BR1233" s="350"/>
      <c r="BS1233" s="350"/>
      <c r="BT1233" s="350"/>
      <c r="BU1233" s="350"/>
      <c r="BV1233" s="351"/>
    </row>
    <row r="1234" spans="1:74" ht="45" customHeight="1">
      <c r="A1234" s="24">
        <f t="shared" si="4"/>
        <v>1220</v>
      </c>
      <c r="B1234" s="558" t="s">
        <v>294</v>
      </c>
      <c r="C1234" s="351"/>
      <c r="D1234" s="559" t="s">
        <v>298</v>
      </c>
      <c r="E1234" s="351"/>
      <c r="F1234" s="524" t="s">
        <v>325</v>
      </c>
      <c r="G1234" s="351"/>
      <c r="H1234" s="525" t="s">
        <v>325</v>
      </c>
      <c r="I1234" s="351"/>
      <c r="J1234" s="563"/>
      <c r="K1234" s="351"/>
      <c r="L1234" s="563"/>
      <c r="M1234" s="351"/>
      <c r="N1234" s="34"/>
      <c r="O1234" s="35"/>
      <c r="P1234" s="526"/>
      <c r="Q1234" s="351"/>
      <c r="R1234" s="535"/>
      <c r="S1234" s="351"/>
      <c r="T1234" s="536"/>
      <c r="U1234" s="351"/>
      <c r="V1234" s="537"/>
      <c r="W1234" s="351"/>
      <c r="X1234" s="538" t="s">
        <v>294</v>
      </c>
      <c r="Y1234" s="350"/>
      <c r="Z1234" s="350"/>
      <c r="AA1234" s="351"/>
      <c r="AB1234" s="539" t="s">
        <v>294</v>
      </c>
      <c r="AC1234" s="350"/>
      <c r="AD1234" s="350"/>
      <c r="AE1234" s="351"/>
      <c r="AF1234" s="540"/>
      <c r="AG1234" s="351"/>
      <c r="AH1234" s="540"/>
      <c r="AI1234" s="351"/>
      <c r="AJ1234" s="545"/>
      <c r="AK1234" s="351"/>
      <c r="AL1234" s="555" t="s">
        <v>325</v>
      </c>
      <c r="AM1234" s="351"/>
      <c r="AN1234" s="531" t="s">
        <v>325</v>
      </c>
      <c r="AO1234" s="351"/>
      <c r="AP1234" s="532"/>
      <c r="AQ1234" s="351"/>
      <c r="AR1234" s="533"/>
      <c r="AS1234" s="351"/>
      <c r="AT1234" s="534"/>
      <c r="AU1234" s="351"/>
      <c r="AV1234" s="531" t="s">
        <v>325</v>
      </c>
      <c r="AW1234" s="351"/>
      <c r="AX1234" s="553"/>
      <c r="AY1234" s="350"/>
      <c r="AZ1234" s="351"/>
      <c r="BA1234" s="545"/>
      <c r="BB1234" s="351"/>
      <c r="BC1234" s="36"/>
      <c r="BD1234" s="556" t="s">
        <v>325</v>
      </c>
      <c r="BE1234" s="351"/>
      <c r="BF1234" s="557"/>
      <c r="BG1234" s="350"/>
      <c r="BH1234" s="350"/>
      <c r="BI1234" s="351"/>
      <c r="BJ1234" s="506" t="s">
        <v>294</v>
      </c>
      <c r="BK1234" s="350"/>
      <c r="BL1234" s="350"/>
      <c r="BM1234" s="351"/>
      <c r="BN1234" s="530" t="s">
        <v>294</v>
      </c>
      <c r="BO1234" s="350"/>
      <c r="BP1234" s="350"/>
      <c r="BQ1234" s="350"/>
      <c r="BR1234" s="350"/>
      <c r="BS1234" s="350"/>
      <c r="BT1234" s="350"/>
      <c r="BU1234" s="350"/>
      <c r="BV1234" s="351"/>
    </row>
    <row r="1235" spans="1:74" ht="45" customHeight="1">
      <c r="A1235" s="24">
        <f t="shared" si="4"/>
        <v>1221</v>
      </c>
      <c r="B1235" s="522" t="s">
        <v>294</v>
      </c>
      <c r="C1235" s="351"/>
      <c r="D1235" s="523" t="s">
        <v>298</v>
      </c>
      <c r="E1235" s="351"/>
      <c r="F1235" s="524" t="s">
        <v>325</v>
      </c>
      <c r="G1235" s="351"/>
      <c r="H1235" s="561" t="s">
        <v>325</v>
      </c>
      <c r="I1235" s="351"/>
      <c r="J1235" s="562"/>
      <c r="K1235" s="351"/>
      <c r="L1235" s="562"/>
      <c r="M1235" s="351"/>
      <c r="N1235" s="37"/>
      <c r="O1235" s="38"/>
      <c r="P1235" s="560"/>
      <c r="Q1235" s="351"/>
      <c r="R1235" s="527"/>
      <c r="S1235" s="351"/>
      <c r="T1235" s="528"/>
      <c r="U1235" s="351"/>
      <c r="V1235" s="541"/>
      <c r="W1235" s="351"/>
      <c r="X1235" s="542" t="s">
        <v>294</v>
      </c>
      <c r="Y1235" s="350"/>
      <c r="Z1235" s="350"/>
      <c r="AA1235" s="351"/>
      <c r="AB1235" s="543" t="s">
        <v>294</v>
      </c>
      <c r="AC1235" s="350"/>
      <c r="AD1235" s="350"/>
      <c r="AE1235" s="351"/>
      <c r="AF1235" s="544"/>
      <c r="AG1235" s="351"/>
      <c r="AH1235" s="544"/>
      <c r="AI1235" s="351"/>
      <c r="AJ1235" s="545"/>
      <c r="AK1235" s="351"/>
      <c r="AL1235" s="524" t="s">
        <v>325</v>
      </c>
      <c r="AM1235" s="351"/>
      <c r="AN1235" s="549" t="s">
        <v>325</v>
      </c>
      <c r="AO1235" s="351"/>
      <c r="AP1235" s="550"/>
      <c r="AQ1235" s="351"/>
      <c r="AR1235" s="551"/>
      <c r="AS1235" s="351"/>
      <c r="AT1235" s="552"/>
      <c r="AU1235" s="351"/>
      <c r="AV1235" s="549" t="s">
        <v>325</v>
      </c>
      <c r="AW1235" s="351"/>
      <c r="AX1235" s="553"/>
      <c r="AY1235" s="350"/>
      <c r="AZ1235" s="351"/>
      <c r="BA1235" s="554"/>
      <c r="BB1235" s="351"/>
      <c r="BC1235" s="39"/>
      <c r="BD1235" s="546" t="s">
        <v>325</v>
      </c>
      <c r="BE1235" s="351"/>
      <c r="BF1235" s="547"/>
      <c r="BG1235" s="350"/>
      <c r="BH1235" s="350"/>
      <c r="BI1235" s="351"/>
      <c r="BJ1235" s="548" t="s">
        <v>294</v>
      </c>
      <c r="BK1235" s="350"/>
      <c r="BL1235" s="350"/>
      <c r="BM1235" s="351"/>
      <c r="BN1235" s="530" t="s">
        <v>294</v>
      </c>
      <c r="BO1235" s="350"/>
      <c r="BP1235" s="350"/>
      <c r="BQ1235" s="350"/>
      <c r="BR1235" s="350"/>
      <c r="BS1235" s="350"/>
      <c r="BT1235" s="350"/>
      <c r="BU1235" s="350"/>
      <c r="BV1235" s="351"/>
    </row>
    <row r="1236" spans="1:74" ht="45" customHeight="1">
      <c r="A1236" s="24">
        <f t="shared" si="4"/>
        <v>1222</v>
      </c>
      <c r="B1236" s="558" t="s">
        <v>294</v>
      </c>
      <c r="C1236" s="351"/>
      <c r="D1236" s="559" t="s">
        <v>298</v>
      </c>
      <c r="E1236" s="351"/>
      <c r="F1236" s="524" t="s">
        <v>325</v>
      </c>
      <c r="G1236" s="351"/>
      <c r="H1236" s="525" t="s">
        <v>325</v>
      </c>
      <c r="I1236" s="351"/>
      <c r="J1236" s="563"/>
      <c r="K1236" s="351"/>
      <c r="L1236" s="563"/>
      <c r="M1236" s="351"/>
      <c r="N1236" s="34"/>
      <c r="O1236" s="35"/>
      <c r="P1236" s="526"/>
      <c r="Q1236" s="351"/>
      <c r="R1236" s="535"/>
      <c r="S1236" s="351"/>
      <c r="T1236" s="536"/>
      <c r="U1236" s="351"/>
      <c r="V1236" s="537"/>
      <c r="W1236" s="351"/>
      <c r="X1236" s="538" t="s">
        <v>294</v>
      </c>
      <c r="Y1236" s="350"/>
      <c r="Z1236" s="350"/>
      <c r="AA1236" s="351"/>
      <c r="AB1236" s="539" t="s">
        <v>294</v>
      </c>
      <c r="AC1236" s="350"/>
      <c r="AD1236" s="350"/>
      <c r="AE1236" s="351"/>
      <c r="AF1236" s="540"/>
      <c r="AG1236" s="351"/>
      <c r="AH1236" s="540"/>
      <c r="AI1236" s="351"/>
      <c r="AJ1236" s="545"/>
      <c r="AK1236" s="351"/>
      <c r="AL1236" s="555" t="s">
        <v>325</v>
      </c>
      <c r="AM1236" s="351"/>
      <c r="AN1236" s="531" t="s">
        <v>325</v>
      </c>
      <c r="AO1236" s="351"/>
      <c r="AP1236" s="532"/>
      <c r="AQ1236" s="351"/>
      <c r="AR1236" s="533"/>
      <c r="AS1236" s="351"/>
      <c r="AT1236" s="534"/>
      <c r="AU1236" s="351"/>
      <c r="AV1236" s="531" t="s">
        <v>325</v>
      </c>
      <c r="AW1236" s="351"/>
      <c r="AX1236" s="553"/>
      <c r="AY1236" s="350"/>
      <c r="AZ1236" s="351"/>
      <c r="BA1236" s="545"/>
      <c r="BB1236" s="351"/>
      <c r="BC1236" s="36"/>
      <c r="BD1236" s="556" t="s">
        <v>325</v>
      </c>
      <c r="BE1236" s="351"/>
      <c r="BF1236" s="529"/>
      <c r="BG1236" s="350"/>
      <c r="BH1236" s="350"/>
      <c r="BI1236" s="351"/>
      <c r="BJ1236" s="506" t="s">
        <v>294</v>
      </c>
      <c r="BK1236" s="350"/>
      <c r="BL1236" s="350"/>
      <c r="BM1236" s="351"/>
      <c r="BN1236" s="530" t="s">
        <v>294</v>
      </c>
      <c r="BO1236" s="350"/>
      <c r="BP1236" s="350"/>
      <c r="BQ1236" s="350"/>
      <c r="BR1236" s="350"/>
      <c r="BS1236" s="350"/>
      <c r="BT1236" s="350"/>
      <c r="BU1236" s="350"/>
      <c r="BV1236" s="351"/>
    </row>
    <row r="1237" spans="1:74" ht="45" customHeight="1">
      <c r="A1237" s="24">
        <f t="shared" si="4"/>
        <v>1223</v>
      </c>
      <c r="B1237" s="522" t="s">
        <v>294</v>
      </c>
      <c r="C1237" s="351"/>
      <c r="D1237" s="523" t="s">
        <v>298</v>
      </c>
      <c r="E1237" s="351"/>
      <c r="F1237" s="524" t="s">
        <v>325</v>
      </c>
      <c r="G1237" s="351"/>
      <c r="H1237" s="561" t="s">
        <v>325</v>
      </c>
      <c r="I1237" s="351"/>
      <c r="J1237" s="562"/>
      <c r="K1237" s="351"/>
      <c r="L1237" s="562"/>
      <c r="M1237" s="351"/>
      <c r="N1237" s="37"/>
      <c r="O1237" s="38"/>
      <c r="P1237" s="560"/>
      <c r="Q1237" s="351"/>
      <c r="R1237" s="527"/>
      <c r="S1237" s="351"/>
      <c r="T1237" s="528"/>
      <c r="U1237" s="351"/>
      <c r="V1237" s="541"/>
      <c r="W1237" s="351"/>
      <c r="X1237" s="542" t="s">
        <v>294</v>
      </c>
      <c r="Y1237" s="350"/>
      <c r="Z1237" s="350"/>
      <c r="AA1237" s="351"/>
      <c r="AB1237" s="543" t="s">
        <v>294</v>
      </c>
      <c r="AC1237" s="350"/>
      <c r="AD1237" s="350"/>
      <c r="AE1237" s="351"/>
      <c r="AF1237" s="544"/>
      <c r="AG1237" s="351"/>
      <c r="AH1237" s="544"/>
      <c r="AI1237" s="351"/>
      <c r="AJ1237" s="545"/>
      <c r="AK1237" s="351"/>
      <c r="AL1237" s="524" t="s">
        <v>325</v>
      </c>
      <c r="AM1237" s="351"/>
      <c r="AN1237" s="549" t="s">
        <v>325</v>
      </c>
      <c r="AO1237" s="351"/>
      <c r="AP1237" s="550"/>
      <c r="AQ1237" s="351"/>
      <c r="AR1237" s="551"/>
      <c r="AS1237" s="351"/>
      <c r="AT1237" s="552"/>
      <c r="AU1237" s="351"/>
      <c r="AV1237" s="549" t="s">
        <v>325</v>
      </c>
      <c r="AW1237" s="351"/>
      <c r="AX1237" s="553"/>
      <c r="AY1237" s="350"/>
      <c r="AZ1237" s="351"/>
      <c r="BA1237" s="554"/>
      <c r="BB1237" s="351"/>
      <c r="BC1237" s="39"/>
      <c r="BD1237" s="546" t="s">
        <v>325</v>
      </c>
      <c r="BE1237" s="351"/>
      <c r="BF1237" s="547"/>
      <c r="BG1237" s="350"/>
      <c r="BH1237" s="350"/>
      <c r="BI1237" s="351"/>
      <c r="BJ1237" s="548" t="s">
        <v>294</v>
      </c>
      <c r="BK1237" s="350"/>
      <c r="BL1237" s="350"/>
      <c r="BM1237" s="351"/>
      <c r="BN1237" s="530" t="s">
        <v>294</v>
      </c>
      <c r="BO1237" s="350"/>
      <c r="BP1237" s="350"/>
      <c r="BQ1237" s="350"/>
      <c r="BR1237" s="350"/>
      <c r="BS1237" s="350"/>
      <c r="BT1237" s="350"/>
      <c r="BU1237" s="350"/>
      <c r="BV1237" s="351"/>
    </row>
    <row r="1238" spans="1:74" ht="45" customHeight="1">
      <c r="A1238" s="24">
        <f t="shared" si="4"/>
        <v>1224</v>
      </c>
      <c r="B1238" s="558" t="s">
        <v>294</v>
      </c>
      <c r="C1238" s="351"/>
      <c r="D1238" s="559" t="s">
        <v>298</v>
      </c>
      <c r="E1238" s="351"/>
      <c r="F1238" s="524" t="s">
        <v>325</v>
      </c>
      <c r="G1238" s="351"/>
      <c r="H1238" s="525" t="s">
        <v>325</v>
      </c>
      <c r="I1238" s="351"/>
      <c r="J1238" s="563"/>
      <c r="K1238" s="351"/>
      <c r="L1238" s="563"/>
      <c r="M1238" s="351"/>
      <c r="N1238" s="34"/>
      <c r="O1238" s="35"/>
      <c r="P1238" s="526"/>
      <c r="Q1238" s="351"/>
      <c r="R1238" s="535"/>
      <c r="S1238" s="351"/>
      <c r="T1238" s="536"/>
      <c r="U1238" s="351"/>
      <c r="V1238" s="537"/>
      <c r="W1238" s="351"/>
      <c r="X1238" s="538" t="s">
        <v>294</v>
      </c>
      <c r="Y1238" s="350"/>
      <c r="Z1238" s="350"/>
      <c r="AA1238" s="351"/>
      <c r="AB1238" s="539" t="s">
        <v>294</v>
      </c>
      <c r="AC1238" s="350"/>
      <c r="AD1238" s="350"/>
      <c r="AE1238" s="351"/>
      <c r="AF1238" s="540"/>
      <c r="AG1238" s="351"/>
      <c r="AH1238" s="540"/>
      <c r="AI1238" s="351"/>
      <c r="AJ1238" s="545"/>
      <c r="AK1238" s="351"/>
      <c r="AL1238" s="555" t="s">
        <v>325</v>
      </c>
      <c r="AM1238" s="351"/>
      <c r="AN1238" s="531" t="s">
        <v>325</v>
      </c>
      <c r="AO1238" s="351"/>
      <c r="AP1238" s="532"/>
      <c r="AQ1238" s="351"/>
      <c r="AR1238" s="533"/>
      <c r="AS1238" s="351"/>
      <c r="AT1238" s="534"/>
      <c r="AU1238" s="351"/>
      <c r="AV1238" s="531" t="s">
        <v>325</v>
      </c>
      <c r="AW1238" s="351"/>
      <c r="AX1238" s="553"/>
      <c r="AY1238" s="350"/>
      <c r="AZ1238" s="351"/>
      <c r="BA1238" s="545"/>
      <c r="BB1238" s="351"/>
      <c r="BC1238" s="36"/>
      <c r="BD1238" s="556" t="s">
        <v>325</v>
      </c>
      <c r="BE1238" s="351"/>
      <c r="BF1238" s="557"/>
      <c r="BG1238" s="350"/>
      <c r="BH1238" s="350"/>
      <c r="BI1238" s="351"/>
      <c r="BJ1238" s="506" t="s">
        <v>294</v>
      </c>
      <c r="BK1238" s="350"/>
      <c r="BL1238" s="350"/>
      <c r="BM1238" s="351"/>
      <c r="BN1238" s="530" t="s">
        <v>294</v>
      </c>
      <c r="BO1238" s="350"/>
      <c r="BP1238" s="350"/>
      <c r="BQ1238" s="350"/>
      <c r="BR1238" s="350"/>
      <c r="BS1238" s="350"/>
      <c r="BT1238" s="350"/>
      <c r="BU1238" s="350"/>
      <c r="BV1238" s="351"/>
    </row>
    <row r="1239" spans="1:74" ht="45" customHeight="1">
      <c r="A1239" s="24">
        <f t="shared" si="4"/>
        <v>1225</v>
      </c>
      <c r="B1239" s="522" t="s">
        <v>294</v>
      </c>
      <c r="C1239" s="351"/>
      <c r="D1239" s="523" t="s">
        <v>298</v>
      </c>
      <c r="E1239" s="351"/>
      <c r="F1239" s="524" t="s">
        <v>325</v>
      </c>
      <c r="G1239" s="351"/>
      <c r="H1239" s="561" t="s">
        <v>325</v>
      </c>
      <c r="I1239" s="351"/>
      <c r="J1239" s="562"/>
      <c r="K1239" s="351"/>
      <c r="L1239" s="562"/>
      <c r="M1239" s="351"/>
      <c r="N1239" s="37"/>
      <c r="O1239" s="38"/>
      <c r="P1239" s="560"/>
      <c r="Q1239" s="351"/>
      <c r="R1239" s="527"/>
      <c r="S1239" s="351"/>
      <c r="T1239" s="528"/>
      <c r="U1239" s="351"/>
      <c r="V1239" s="541"/>
      <c r="W1239" s="351"/>
      <c r="X1239" s="542" t="s">
        <v>294</v>
      </c>
      <c r="Y1239" s="350"/>
      <c r="Z1239" s="350"/>
      <c r="AA1239" s="351"/>
      <c r="AB1239" s="543" t="s">
        <v>294</v>
      </c>
      <c r="AC1239" s="350"/>
      <c r="AD1239" s="350"/>
      <c r="AE1239" s="351"/>
      <c r="AF1239" s="544"/>
      <c r="AG1239" s="351"/>
      <c r="AH1239" s="544"/>
      <c r="AI1239" s="351"/>
      <c r="AJ1239" s="545"/>
      <c r="AK1239" s="351"/>
      <c r="AL1239" s="524" t="s">
        <v>325</v>
      </c>
      <c r="AM1239" s="351"/>
      <c r="AN1239" s="549" t="s">
        <v>325</v>
      </c>
      <c r="AO1239" s="351"/>
      <c r="AP1239" s="550"/>
      <c r="AQ1239" s="351"/>
      <c r="AR1239" s="551"/>
      <c r="AS1239" s="351"/>
      <c r="AT1239" s="534"/>
      <c r="AU1239" s="351"/>
      <c r="AV1239" s="549" t="s">
        <v>325</v>
      </c>
      <c r="AW1239" s="351"/>
      <c r="AX1239" s="553"/>
      <c r="AY1239" s="350"/>
      <c r="AZ1239" s="351"/>
      <c r="BA1239" s="554"/>
      <c r="BB1239" s="351"/>
      <c r="BC1239" s="39"/>
      <c r="BD1239" s="546" t="s">
        <v>325</v>
      </c>
      <c r="BE1239" s="351"/>
      <c r="BF1239" s="547"/>
      <c r="BG1239" s="350"/>
      <c r="BH1239" s="350"/>
      <c r="BI1239" s="351"/>
      <c r="BJ1239" s="548" t="s">
        <v>294</v>
      </c>
      <c r="BK1239" s="350"/>
      <c r="BL1239" s="350"/>
      <c r="BM1239" s="351"/>
      <c r="BN1239" s="530" t="s">
        <v>294</v>
      </c>
      <c r="BO1239" s="350"/>
      <c r="BP1239" s="350"/>
      <c r="BQ1239" s="350"/>
      <c r="BR1239" s="350"/>
      <c r="BS1239" s="350"/>
      <c r="BT1239" s="350"/>
      <c r="BU1239" s="350"/>
      <c r="BV1239" s="351"/>
    </row>
    <row r="1240" spans="1:74" ht="45" customHeight="1">
      <c r="A1240" s="24">
        <f t="shared" si="4"/>
        <v>1226</v>
      </c>
      <c r="B1240" s="558" t="s">
        <v>294</v>
      </c>
      <c r="C1240" s="351"/>
      <c r="D1240" s="559" t="s">
        <v>298</v>
      </c>
      <c r="E1240" s="351"/>
      <c r="F1240" s="524" t="s">
        <v>325</v>
      </c>
      <c r="G1240" s="351"/>
      <c r="H1240" s="525" t="s">
        <v>325</v>
      </c>
      <c r="I1240" s="351"/>
      <c r="J1240" s="563"/>
      <c r="K1240" s="351"/>
      <c r="L1240" s="563"/>
      <c r="M1240" s="351"/>
      <c r="N1240" s="34"/>
      <c r="O1240" s="35"/>
      <c r="P1240" s="526"/>
      <c r="Q1240" s="351"/>
      <c r="R1240" s="535"/>
      <c r="S1240" s="351"/>
      <c r="T1240" s="536"/>
      <c r="U1240" s="351"/>
      <c r="V1240" s="537"/>
      <c r="W1240" s="351"/>
      <c r="X1240" s="538" t="s">
        <v>294</v>
      </c>
      <c r="Y1240" s="350"/>
      <c r="Z1240" s="350"/>
      <c r="AA1240" s="351"/>
      <c r="AB1240" s="539" t="s">
        <v>294</v>
      </c>
      <c r="AC1240" s="350"/>
      <c r="AD1240" s="350"/>
      <c r="AE1240" s="351"/>
      <c r="AF1240" s="540"/>
      <c r="AG1240" s="351"/>
      <c r="AH1240" s="540"/>
      <c r="AI1240" s="351"/>
      <c r="AJ1240" s="545"/>
      <c r="AK1240" s="351"/>
      <c r="AL1240" s="555" t="s">
        <v>325</v>
      </c>
      <c r="AM1240" s="351"/>
      <c r="AN1240" s="531" t="s">
        <v>325</v>
      </c>
      <c r="AO1240" s="351"/>
      <c r="AP1240" s="532"/>
      <c r="AQ1240" s="351"/>
      <c r="AR1240" s="533"/>
      <c r="AS1240" s="351"/>
      <c r="AT1240" s="534"/>
      <c r="AU1240" s="351"/>
      <c r="AV1240" s="531" t="s">
        <v>325</v>
      </c>
      <c r="AW1240" s="351"/>
      <c r="AX1240" s="553"/>
      <c r="AY1240" s="350"/>
      <c r="AZ1240" s="351"/>
      <c r="BA1240" s="545"/>
      <c r="BB1240" s="351"/>
      <c r="BC1240" s="36"/>
      <c r="BD1240" s="556" t="s">
        <v>325</v>
      </c>
      <c r="BE1240" s="351"/>
      <c r="BF1240" s="557"/>
      <c r="BG1240" s="350"/>
      <c r="BH1240" s="350"/>
      <c r="BI1240" s="351"/>
      <c r="BJ1240" s="506" t="s">
        <v>294</v>
      </c>
      <c r="BK1240" s="350"/>
      <c r="BL1240" s="350"/>
      <c r="BM1240" s="351"/>
      <c r="BN1240" s="530" t="s">
        <v>294</v>
      </c>
      <c r="BO1240" s="350"/>
      <c r="BP1240" s="350"/>
      <c r="BQ1240" s="350"/>
      <c r="BR1240" s="350"/>
      <c r="BS1240" s="350"/>
      <c r="BT1240" s="350"/>
      <c r="BU1240" s="350"/>
      <c r="BV1240" s="351"/>
    </row>
    <row r="1241" spans="1:74" ht="45" customHeight="1">
      <c r="A1241" s="24">
        <f t="shared" si="4"/>
        <v>1227</v>
      </c>
      <c r="B1241" s="522" t="s">
        <v>294</v>
      </c>
      <c r="C1241" s="351"/>
      <c r="D1241" s="523" t="s">
        <v>298</v>
      </c>
      <c r="E1241" s="351"/>
      <c r="F1241" s="524" t="s">
        <v>325</v>
      </c>
      <c r="G1241" s="351"/>
      <c r="H1241" s="561" t="s">
        <v>325</v>
      </c>
      <c r="I1241" s="351"/>
      <c r="J1241" s="562"/>
      <c r="K1241" s="351"/>
      <c r="L1241" s="562"/>
      <c r="M1241" s="351"/>
      <c r="N1241" s="37"/>
      <c r="O1241" s="38"/>
      <c r="P1241" s="560"/>
      <c r="Q1241" s="351"/>
      <c r="R1241" s="527"/>
      <c r="S1241" s="351"/>
      <c r="T1241" s="528"/>
      <c r="U1241" s="351"/>
      <c r="V1241" s="541"/>
      <c r="W1241" s="351"/>
      <c r="X1241" s="542" t="s">
        <v>294</v>
      </c>
      <c r="Y1241" s="350"/>
      <c r="Z1241" s="350"/>
      <c r="AA1241" s="351"/>
      <c r="AB1241" s="543" t="s">
        <v>294</v>
      </c>
      <c r="AC1241" s="350"/>
      <c r="AD1241" s="350"/>
      <c r="AE1241" s="351"/>
      <c r="AF1241" s="544"/>
      <c r="AG1241" s="351"/>
      <c r="AH1241" s="544"/>
      <c r="AI1241" s="351"/>
      <c r="AJ1241" s="545"/>
      <c r="AK1241" s="351"/>
      <c r="AL1241" s="524" t="s">
        <v>325</v>
      </c>
      <c r="AM1241" s="351"/>
      <c r="AN1241" s="549" t="s">
        <v>325</v>
      </c>
      <c r="AO1241" s="351"/>
      <c r="AP1241" s="550"/>
      <c r="AQ1241" s="351"/>
      <c r="AR1241" s="551"/>
      <c r="AS1241" s="351"/>
      <c r="AT1241" s="534"/>
      <c r="AU1241" s="351"/>
      <c r="AV1241" s="549" t="s">
        <v>325</v>
      </c>
      <c r="AW1241" s="351"/>
      <c r="AX1241" s="553"/>
      <c r="AY1241" s="350"/>
      <c r="AZ1241" s="351"/>
      <c r="BA1241" s="554"/>
      <c r="BB1241" s="351"/>
      <c r="BC1241" s="39"/>
      <c r="BD1241" s="546" t="s">
        <v>325</v>
      </c>
      <c r="BE1241" s="351"/>
      <c r="BF1241" s="547"/>
      <c r="BG1241" s="350"/>
      <c r="BH1241" s="350"/>
      <c r="BI1241" s="351"/>
      <c r="BJ1241" s="548" t="s">
        <v>294</v>
      </c>
      <c r="BK1241" s="350"/>
      <c r="BL1241" s="350"/>
      <c r="BM1241" s="351"/>
      <c r="BN1241" s="530" t="s">
        <v>294</v>
      </c>
      <c r="BO1241" s="350"/>
      <c r="BP1241" s="350"/>
      <c r="BQ1241" s="350"/>
      <c r="BR1241" s="350"/>
      <c r="BS1241" s="350"/>
      <c r="BT1241" s="350"/>
      <c r="BU1241" s="350"/>
      <c r="BV1241" s="351"/>
    </row>
    <row r="1242" spans="1:74" ht="45" customHeight="1">
      <c r="A1242" s="24">
        <f t="shared" si="4"/>
        <v>1228</v>
      </c>
      <c r="B1242" s="558" t="s">
        <v>294</v>
      </c>
      <c r="C1242" s="351"/>
      <c r="D1242" s="559" t="s">
        <v>298</v>
      </c>
      <c r="E1242" s="351"/>
      <c r="F1242" s="524" t="s">
        <v>325</v>
      </c>
      <c r="G1242" s="351"/>
      <c r="H1242" s="525" t="s">
        <v>325</v>
      </c>
      <c r="I1242" s="351"/>
      <c r="J1242" s="563"/>
      <c r="K1242" s="351"/>
      <c r="L1242" s="563"/>
      <c r="M1242" s="351"/>
      <c r="N1242" s="34"/>
      <c r="O1242" s="35"/>
      <c r="P1242" s="526"/>
      <c r="Q1242" s="351"/>
      <c r="R1242" s="535"/>
      <c r="S1242" s="351"/>
      <c r="T1242" s="536"/>
      <c r="U1242" s="351"/>
      <c r="V1242" s="537"/>
      <c r="W1242" s="351"/>
      <c r="X1242" s="538" t="s">
        <v>294</v>
      </c>
      <c r="Y1242" s="350"/>
      <c r="Z1242" s="350"/>
      <c r="AA1242" s="351"/>
      <c r="AB1242" s="539" t="s">
        <v>294</v>
      </c>
      <c r="AC1242" s="350"/>
      <c r="AD1242" s="350"/>
      <c r="AE1242" s="351"/>
      <c r="AF1242" s="540"/>
      <c r="AG1242" s="351"/>
      <c r="AH1242" s="540"/>
      <c r="AI1242" s="351"/>
      <c r="AJ1242" s="545"/>
      <c r="AK1242" s="351"/>
      <c r="AL1242" s="555" t="s">
        <v>325</v>
      </c>
      <c r="AM1242" s="351"/>
      <c r="AN1242" s="531" t="s">
        <v>325</v>
      </c>
      <c r="AO1242" s="351"/>
      <c r="AP1242" s="532"/>
      <c r="AQ1242" s="351"/>
      <c r="AR1242" s="533"/>
      <c r="AS1242" s="351"/>
      <c r="AT1242" s="534"/>
      <c r="AU1242" s="351"/>
      <c r="AV1242" s="531" t="s">
        <v>325</v>
      </c>
      <c r="AW1242" s="351"/>
      <c r="AX1242" s="553"/>
      <c r="AY1242" s="350"/>
      <c r="AZ1242" s="351"/>
      <c r="BA1242" s="545"/>
      <c r="BB1242" s="351"/>
      <c r="BC1242" s="36"/>
      <c r="BD1242" s="556" t="s">
        <v>325</v>
      </c>
      <c r="BE1242" s="351"/>
      <c r="BF1242" s="557"/>
      <c r="BG1242" s="350"/>
      <c r="BH1242" s="350"/>
      <c r="BI1242" s="351"/>
      <c r="BJ1242" s="506" t="s">
        <v>294</v>
      </c>
      <c r="BK1242" s="350"/>
      <c r="BL1242" s="350"/>
      <c r="BM1242" s="351"/>
      <c r="BN1242" s="530" t="s">
        <v>294</v>
      </c>
      <c r="BO1242" s="350"/>
      <c r="BP1242" s="350"/>
      <c r="BQ1242" s="350"/>
      <c r="BR1242" s="350"/>
      <c r="BS1242" s="350"/>
      <c r="BT1242" s="350"/>
      <c r="BU1242" s="350"/>
      <c r="BV1242" s="351"/>
    </row>
    <row r="1243" spans="1:74" ht="45" customHeight="1">
      <c r="A1243" s="24">
        <f t="shared" si="4"/>
        <v>1229</v>
      </c>
      <c r="B1243" s="522" t="s">
        <v>294</v>
      </c>
      <c r="C1243" s="351"/>
      <c r="D1243" s="523" t="s">
        <v>298</v>
      </c>
      <c r="E1243" s="351"/>
      <c r="F1243" s="524" t="s">
        <v>325</v>
      </c>
      <c r="G1243" s="351"/>
      <c r="H1243" s="561" t="s">
        <v>325</v>
      </c>
      <c r="I1243" s="351"/>
      <c r="J1243" s="562"/>
      <c r="K1243" s="351"/>
      <c r="L1243" s="562"/>
      <c r="M1243" s="351"/>
      <c r="N1243" s="37"/>
      <c r="O1243" s="38"/>
      <c r="P1243" s="560"/>
      <c r="Q1243" s="351"/>
      <c r="R1243" s="527"/>
      <c r="S1243" s="351"/>
      <c r="T1243" s="528"/>
      <c r="U1243" s="351"/>
      <c r="V1243" s="541"/>
      <c r="W1243" s="351"/>
      <c r="X1243" s="542" t="s">
        <v>294</v>
      </c>
      <c r="Y1243" s="350"/>
      <c r="Z1243" s="350"/>
      <c r="AA1243" s="351"/>
      <c r="AB1243" s="543" t="s">
        <v>294</v>
      </c>
      <c r="AC1243" s="350"/>
      <c r="AD1243" s="350"/>
      <c r="AE1243" s="351"/>
      <c r="AF1243" s="544"/>
      <c r="AG1243" s="351"/>
      <c r="AH1243" s="544"/>
      <c r="AI1243" s="351"/>
      <c r="AJ1243" s="545"/>
      <c r="AK1243" s="351"/>
      <c r="AL1243" s="524" t="s">
        <v>325</v>
      </c>
      <c r="AM1243" s="351"/>
      <c r="AN1243" s="549" t="s">
        <v>325</v>
      </c>
      <c r="AO1243" s="351"/>
      <c r="AP1243" s="550"/>
      <c r="AQ1243" s="351"/>
      <c r="AR1243" s="551"/>
      <c r="AS1243" s="351"/>
      <c r="AT1243" s="552"/>
      <c r="AU1243" s="351"/>
      <c r="AV1243" s="549" t="s">
        <v>325</v>
      </c>
      <c r="AW1243" s="351"/>
      <c r="AX1243" s="553"/>
      <c r="AY1243" s="350"/>
      <c r="AZ1243" s="351"/>
      <c r="BA1243" s="554"/>
      <c r="BB1243" s="351"/>
      <c r="BC1243" s="39"/>
      <c r="BD1243" s="546" t="s">
        <v>325</v>
      </c>
      <c r="BE1243" s="351"/>
      <c r="BF1243" s="547"/>
      <c r="BG1243" s="350"/>
      <c r="BH1243" s="350"/>
      <c r="BI1243" s="351"/>
      <c r="BJ1243" s="548" t="s">
        <v>294</v>
      </c>
      <c r="BK1243" s="350"/>
      <c r="BL1243" s="350"/>
      <c r="BM1243" s="351"/>
      <c r="BN1243" s="530" t="s">
        <v>294</v>
      </c>
      <c r="BO1243" s="350"/>
      <c r="BP1243" s="350"/>
      <c r="BQ1243" s="350"/>
      <c r="BR1243" s="350"/>
      <c r="BS1243" s="350"/>
      <c r="BT1243" s="350"/>
      <c r="BU1243" s="350"/>
      <c r="BV1243" s="351"/>
    </row>
    <row r="1244" spans="1:74" ht="45" customHeight="1">
      <c r="A1244" s="24">
        <f t="shared" si="4"/>
        <v>1230</v>
      </c>
      <c r="B1244" s="558" t="s">
        <v>294</v>
      </c>
      <c r="C1244" s="351"/>
      <c r="D1244" s="559" t="s">
        <v>298</v>
      </c>
      <c r="E1244" s="351"/>
      <c r="F1244" s="524" t="s">
        <v>325</v>
      </c>
      <c r="G1244" s="351"/>
      <c r="H1244" s="525" t="s">
        <v>325</v>
      </c>
      <c r="I1244" s="351"/>
      <c r="J1244" s="563"/>
      <c r="K1244" s="351"/>
      <c r="L1244" s="563"/>
      <c r="M1244" s="351"/>
      <c r="N1244" s="34"/>
      <c r="O1244" s="35"/>
      <c r="P1244" s="526"/>
      <c r="Q1244" s="351"/>
      <c r="R1244" s="535"/>
      <c r="S1244" s="351"/>
      <c r="T1244" s="536"/>
      <c r="U1244" s="351"/>
      <c r="V1244" s="537"/>
      <c r="W1244" s="351"/>
      <c r="X1244" s="538" t="s">
        <v>294</v>
      </c>
      <c r="Y1244" s="350"/>
      <c r="Z1244" s="350"/>
      <c r="AA1244" s="351"/>
      <c r="AB1244" s="539" t="s">
        <v>294</v>
      </c>
      <c r="AC1244" s="350"/>
      <c r="AD1244" s="350"/>
      <c r="AE1244" s="351"/>
      <c r="AF1244" s="540"/>
      <c r="AG1244" s="351"/>
      <c r="AH1244" s="540"/>
      <c r="AI1244" s="351"/>
      <c r="AJ1244" s="545"/>
      <c r="AK1244" s="351"/>
      <c r="AL1244" s="555" t="s">
        <v>325</v>
      </c>
      <c r="AM1244" s="351"/>
      <c r="AN1244" s="531" t="s">
        <v>325</v>
      </c>
      <c r="AO1244" s="351"/>
      <c r="AP1244" s="532"/>
      <c r="AQ1244" s="351"/>
      <c r="AR1244" s="533"/>
      <c r="AS1244" s="351"/>
      <c r="AT1244" s="534"/>
      <c r="AU1244" s="351"/>
      <c r="AV1244" s="531" t="s">
        <v>325</v>
      </c>
      <c r="AW1244" s="351"/>
      <c r="AX1244" s="553"/>
      <c r="AY1244" s="350"/>
      <c r="AZ1244" s="351"/>
      <c r="BA1244" s="545"/>
      <c r="BB1244" s="351"/>
      <c r="BC1244" s="36"/>
      <c r="BD1244" s="556" t="s">
        <v>325</v>
      </c>
      <c r="BE1244" s="351"/>
      <c r="BF1244" s="529"/>
      <c r="BG1244" s="350"/>
      <c r="BH1244" s="350"/>
      <c r="BI1244" s="351"/>
      <c r="BJ1244" s="506" t="s">
        <v>294</v>
      </c>
      <c r="BK1244" s="350"/>
      <c r="BL1244" s="350"/>
      <c r="BM1244" s="351"/>
      <c r="BN1244" s="530" t="s">
        <v>294</v>
      </c>
      <c r="BO1244" s="350"/>
      <c r="BP1244" s="350"/>
      <c r="BQ1244" s="350"/>
      <c r="BR1244" s="350"/>
      <c r="BS1244" s="350"/>
      <c r="BT1244" s="350"/>
      <c r="BU1244" s="350"/>
      <c r="BV1244" s="351"/>
    </row>
    <row r="1245" spans="1:74" ht="45" customHeight="1">
      <c r="A1245" s="24">
        <f t="shared" si="4"/>
        <v>1231</v>
      </c>
      <c r="B1245" s="522" t="s">
        <v>294</v>
      </c>
      <c r="C1245" s="351"/>
      <c r="D1245" s="523" t="s">
        <v>298</v>
      </c>
      <c r="E1245" s="351"/>
      <c r="F1245" s="524" t="s">
        <v>325</v>
      </c>
      <c r="G1245" s="351"/>
      <c r="H1245" s="561" t="s">
        <v>325</v>
      </c>
      <c r="I1245" s="351"/>
      <c r="J1245" s="562"/>
      <c r="K1245" s="351"/>
      <c r="L1245" s="562"/>
      <c r="M1245" s="351"/>
      <c r="N1245" s="37"/>
      <c r="O1245" s="38"/>
      <c r="P1245" s="560"/>
      <c r="Q1245" s="351"/>
      <c r="R1245" s="527"/>
      <c r="S1245" s="351"/>
      <c r="T1245" s="528"/>
      <c r="U1245" s="351"/>
      <c r="V1245" s="541"/>
      <c r="W1245" s="351"/>
      <c r="X1245" s="542" t="s">
        <v>294</v>
      </c>
      <c r="Y1245" s="350"/>
      <c r="Z1245" s="350"/>
      <c r="AA1245" s="351"/>
      <c r="AB1245" s="543" t="s">
        <v>294</v>
      </c>
      <c r="AC1245" s="350"/>
      <c r="AD1245" s="350"/>
      <c r="AE1245" s="351"/>
      <c r="AF1245" s="544"/>
      <c r="AG1245" s="351"/>
      <c r="AH1245" s="544"/>
      <c r="AI1245" s="351"/>
      <c r="AJ1245" s="545"/>
      <c r="AK1245" s="351"/>
      <c r="AL1245" s="524" t="s">
        <v>325</v>
      </c>
      <c r="AM1245" s="351"/>
      <c r="AN1245" s="549" t="s">
        <v>325</v>
      </c>
      <c r="AO1245" s="351"/>
      <c r="AP1245" s="550"/>
      <c r="AQ1245" s="351"/>
      <c r="AR1245" s="551"/>
      <c r="AS1245" s="351"/>
      <c r="AT1245" s="552"/>
      <c r="AU1245" s="351"/>
      <c r="AV1245" s="549" t="s">
        <v>325</v>
      </c>
      <c r="AW1245" s="351"/>
      <c r="AX1245" s="553"/>
      <c r="AY1245" s="350"/>
      <c r="AZ1245" s="351"/>
      <c r="BA1245" s="554"/>
      <c r="BB1245" s="351"/>
      <c r="BC1245" s="39"/>
      <c r="BD1245" s="546" t="s">
        <v>325</v>
      </c>
      <c r="BE1245" s="351"/>
      <c r="BF1245" s="547"/>
      <c r="BG1245" s="350"/>
      <c r="BH1245" s="350"/>
      <c r="BI1245" s="351"/>
      <c r="BJ1245" s="548" t="s">
        <v>294</v>
      </c>
      <c r="BK1245" s="350"/>
      <c r="BL1245" s="350"/>
      <c r="BM1245" s="351"/>
      <c r="BN1245" s="530" t="s">
        <v>294</v>
      </c>
      <c r="BO1245" s="350"/>
      <c r="BP1245" s="350"/>
      <c r="BQ1245" s="350"/>
      <c r="BR1245" s="350"/>
      <c r="BS1245" s="350"/>
      <c r="BT1245" s="350"/>
      <c r="BU1245" s="350"/>
      <c r="BV1245" s="351"/>
    </row>
    <row r="1246" spans="1:74" ht="45" customHeight="1">
      <c r="A1246" s="24">
        <f t="shared" si="4"/>
        <v>1232</v>
      </c>
      <c r="B1246" s="558" t="s">
        <v>294</v>
      </c>
      <c r="C1246" s="351"/>
      <c r="D1246" s="559" t="s">
        <v>298</v>
      </c>
      <c r="E1246" s="351"/>
      <c r="F1246" s="524" t="s">
        <v>325</v>
      </c>
      <c r="G1246" s="351"/>
      <c r="H1246" s="525" t="s">
        <v>325</v>
      </c>
      <c r="I1246" s="351"/>
      <c r="J1246" s="563"/>
      <c r="K1246" s="351"/>
      <c r="L1246" s="563"/>
      <c r="M1246" s="351"/>
      <c r="N1246" s="34"/>
      <c r="O1246" s="35"/>
      <c r="P1246" s="526"/>
      <c r="Q1246" s="351"/>
      <c r="R1246" s="535"/>
      <c r="S1246" s="351"/>
      <c r="T1246" s="536"/>
      <c r="U1246" s="351"/>
      <c r="V1246" s="537"/>
      <c r="W1246" s="351"/>
      <c r="X1246" s="538" t="s">
        <v>294</v>
      </c>
      <c r="Y1246" s="350"/>
      <c r="Z1246" s="350"/>
      <c r="AA1246" s="351"/>
      <c r="AB1246" s="539" t="s">
        <v>294</v>
      </c>
      <c r="AC1246" s="350"/>
      <c r="AD1246" s="350"/>
      <c r="AE1246" s="351"/>
      <c r="AF1246" s="540"/>
      <c r="AG1246" s="351"/>
      <c r="AH1246" s="540"/>
      <c r="AI1246" s="351"/>
      <c r="AJ1246" s="545"/>
      <c r="AK1246" s="351"/>
      <c r="AL1246" s="555" t="s">
        <v>325</v>
      </c>
      <c r="AM1246" s="351"/>
      <c r="AN1246" s="531" t="s">
        <v>325</v>
      </c>
      <c r="AO1246" s="351"/>
      <c r="AP1246" s="532"/>
      <c r="AQ1246" s="351"/>
      <c r="AR1246" s="533"/>
      <c r="AS1246" s="351"/>
      <c r="AT1246" s="534"/>
      <c r="AU1246" s="351"/>
      <c r="AV1246" s="531" t="s">
        <v>325</v>
      </c>
      <c r="AW1246" s="351"/>
      <c r="AX1246" s="553"/>
      <c r="AY1246" s="350"/>
      <c r="AZ1246" s="351"/>
      <c r="BA1246" s="545"/>
      <c r="BB1246" s="351"/>
      <c r="BC1246" s="36"/>
      <c r="BD1246" s="556" t="s">
        <v>325</v>
      </c>
      <c r="BE1246" s="351"/>
      <c r="BF1246" s="557"/>
      <c r="BG1246" s="350"/>
      <c r="BH1246" s="350"/>
      <c r="BI1246" s="351"/>
      <c r="BJ1246" s="506" t="s">
        <v>294</v>
      </c>
      <c r="BK1246" s="350"/>
      <c r="BL1246" s="350"/>
      <c r="BM1246" s="351"/>
      <c r="BN1246" s="530" t="s">
        <v>294</v>
      </c>
      <c r="BO1246" s="350"/>
      <c r="BP1246" s="350"/>
      <c r="BQ1246" s="350"/>
      <c r="BR1246" s="350"/>
      <c r="BS1246" s="350"/>
      <c r="BT1246" s="350"/>
      <c r="BU1246" s="350"/>
      <c r="BV1246" s="351"/>
    </row>
    <row r="1247" spans="1:74" ht="45" customHeight="1">
      <c r="A1247" s="24">
        <f t="shared" si="4"/>
        <v>1233</v>
      </c>
      <c r="B1247" s="522" t="s">
        <v>294</v>
      </c>
      <c r="C1247" s="351"/>
      <c r="D1247" s="523" t="s">
        <v>298</v>
      </c>
      <c r="E1247" s="351"/>
      <c r="F1247" s="524" t="s">
        <v>325</v>
      </c>
      <c r="G1247" s="351"/>
      <c r="H1247" s="561" t="s">
        <v>325</v>
      </c>
      <c r="I1247" s="351"/>
      <c r="J1247" s="562"/>
      <c r="K1247" s="351"/>
      <c r="L1247" s="562"/>
      <c r="M1247" s="351"/>
      <c r="N1247" s="37"/>
      <c r="O1247" s="38"/>
      <c r="P1247" s="560"/>
      <c r="Q1247" s="351"/>
      <c r="R1247" s="527"/>
      <c r="S1247" s="351"/>
      <c r="T1247" s="528"/>
      <c r="U1247" s="351"/>
      <c r="V1247" s="541"/>
      <c r="W1247" s="351"/>
      <c r="X1247" s="542" t="s">
        <v>294</v>
      </c>
      <c r="Y1247" s="350"/>
      <c r="Z1247" s="350"/>
      <c r="AA1247" s="351"/>
      <c r="AB1247" s="543" t="s">
        <v>294</v>
      </c>
      <c r="AC1247" s="350"/>
      <c r="AD1247" s="350"/>
      <c r="AE1247" s="351"/>
      <c r="AF1247" s="544"/>
      <c r="AG1247" s="351"/>
      <c r="AH1247" s="544"/>
      <c r="AI1247" s="351"/>
      <c r="AJ1247" s="545"/>
      <c r="AK1247" s="351"/>
      <c r="AL1247" s="524" t="s">
        <v>325</v>
      </c>
      <c r="AM1247" s="351"/>
      <c r="AN1247" s="549" t="s">
        <v>325</v>
      </c>
      <c r="AO1247" s="351"/>
      <c r="AP1247" s="550"/>
      <c r="AQ1247" s="351"/>
      <c r="AR1247" s="551"/>
      <c r="AS1247" s="351"/>
      <c r="AT1247" s="552"/>
      <c r="AU1247" s="351"/>
      <c r="AV1247" s="549" t="s">
        <v>325</v>
      </c>
      <c r="AW1247" s="351"/>
      <c r="AX1247" s="553"/>
      <c r="AY1247" s="350"/>
      <c r="AZ1247" s="351"/>
      <c r="BA1247" s="554"/>
      <c r="BB1247" s="351"/>
      <c r="BC1247" s="39"/>
      <c r="BD1247" s="546" t="s">
        <v>325</v>
      </c>
      <c r="BE1247" s="351"/>
      <c r="BF1247" s="547"/>
      <c r="BG1247" s="350"/>
      <c r="BH1247" s="350"/>
      <c r="BI1247" s="351"/>
      <c r="BJ1247" s="548" t="s">
        <v>294</v>
      </c>
      <c r="BK1247" s="350"/>
      <c r="BL1247" s="350"/>
      <c r="BM1247" s="351"/>
      <c r="BN1247" s="530" t="s">
        <v>294</v>
      </c>
      <c r="BO1247" s="350"/>
      <c r="BP1247" s="350"/>
      <c r="BQ1247" s="350"/>
      <c r="BR1247" s="350"/>
      <c r="BS1247" s="350"/>
      <c r="BT1247" s="350"/>
      <c r="BU1247" s="350"/>
      <c r="BV1247" s="351"/>
    </row>
    <row r="1248" spans="1:74" ht="45" customHeight="1">
      <c r="A1248" s="24">
        <f t="shared" si="4"/>
        <v>1234</v>
      </c>
      <c r="B1248" s="558" t="s">
        <v>294</v>
      </c>
      <c r="C1248" s="351"/>
      <c r="D1248" s="559" t="s">
        <v>298</v>
      </c>
      <c r="E1248" s="351"/>
      <c r="F1248" s="524" t="s">
        <v>325</v>
      </c>
      <c r="G1248" s="351"/>
      <c r="H1248" s="525" t="s">
        <v>325</v>
      </c>
      <c r="I1248" s="351"/>
      <c r="J1248" s="563"/>
      <c r="K1248" s="351"/>
      <c r="L1248" s="563"/>
      <c r="M1248" s="351"/>
      <c r="N1248" s="34"/>
      <c r="O1248" s="35"/>
      <c r="P1248" s="526"/>
      <c r="Q1248" s="351"/>
      <c r="R1248" s="535"/>
      <c r="S1248" s="351"/>
      <c r="T1248" s="536"/>
      <c r="U1248" s="351"/>
      <c r="V1248" s="537"/>
      <c r="W1248" s="351"/>
      <c r="X1248" s="538" t="s">
        <v>294</v>
      </c>
      <c r="Y1248" s="350"/>
      <c r="Z1248" s="350"/>
      <c r="AA1248" s="351"/>
      <c r="AB1248" s="539" t="s">
        <v>294</v>
      </c>
      <c r="AC1248" s="350"/>
      <c r="AD1248" s="350"/>
      <c r="AE1248" s="351"/>
      <c r="AF1248" s="540"/>
      <c r="AG1248" s="351"/>
      <c r="AH1248" s="540"/>
      <c r="AI1248" s="351"/>
      <c r="AJ1248" s="545"/>
      <c r="AK1248" s="351"/>
      <c r="AL1248" s="555" t="s">
        <v>325</v>
      </c>
      <c r="AM1248" s="351"/>
      <c r="AN1248" s="531" t="s">
        <v>325</v>
      </c>
      <c r="AO1248" s="351"/>
      <c r="AP1248" s="532"/>
      <c r="AQ1248" s="351"/>
      <c r="AR1248" s="533"/>
      <c r="AS1248" s="351"/>
      <c r="AT1248" s="534"/>
      <c r="AU1248" s="351"/>
      <c r="AV1248" s="531" t="s">
        <v>325</v>
      </c>
      <c r="AW1248" s="351"/>
      <c r="AX1248" s="553"/>
      <c r="AY1248" s="350"/>
      <c r="AZ1248" s="351"/>
      <c r="BA1248" s="545"/>
      <c r="BB1248" s="351"/>
      <c r="BC1248" s="36"/>
      <c r="BD1248" s="556" t="s">
        <v>325</v>
      </c>
      <c r="BE1248" s="351"/>
      <c r="BF1248" s="557"/>
      <c r="BG1248" s="350"/>
      <c r="BH1248" s="350"/>
      <c r="BI1248" s="351"/>
      <c r="BJ1248" s="506" t="s">
        <v>294</v>
      </c>
      <c r="BK1248" s="350"/>
      <c r="BL1248" s="350"/>
      <c r="BM1248" s="351"/>
      <c r="BN1248" s="530" t="s">
        <v>294</v>
      </c>
      <c r="BO1248" s="350"/>
      <c r="BP1248" s="350"/>
      <c r="BQ1248" s="350"/>
      <c r="BR1248" s="350"/>
      <c r="BS1248" s="350"/>
      <c r="BT1248" s="350"/>
      <c r="BU1248" s="350"/>
      <c r="BV1248" s="351"/>
    </row>
    <row r="1249" spans="1:74" ht="45" customHeight="1">
      <c r="A1249" s="24">
        <f t="shared" si="4"/>
        <v>1235</v>
      </c>
      <c r="B1249" s="522" t="s">
        <v>294</v>
      </c>
      <c r="C1249" s="351"/>
      <c r="D1249" s="523" t="s">
        <v>298</v>
      </c>
      <c r="E1249" s="351"/>
      <c r="F1249" s="524" t="s">
        <v>325</v>
      </c>
      <c r="G1249" s="351"/>
      <c r="H1249" s="561" t="s">
        <v>325</v>
      </c>
      <c r="I1249" s="351"/>
      <c r="J1249" s="562"/>
      <c r="K1249" s="351"/>
      <c r="L1249" s="562"/>
      <c r="M1249" s="351"/>
      <c r="N1249" s="37"/>
      <c r="O1249" s="38"/>
      <c r="P1249" s="560"/>
      <c r="Q1249" s="351"/>
      <c r="R1249" s="527"/>
      <c r="S1249" s="351"/>
      <c r="T1249" s="528"/>
      <c r="U1249" s="351"/>
      <c r="V1249" s="541"/>
      <c r="W1249" s="351"/>
      <c r="X1249" s="542" t="s">
        <v>294</v>
      </c>
      <c r="Y1249" s="350"/>
      <c r="Z1249" s="350"/>
      <c r="AA1249" s="351"/>
      <c r="AB1249" s="543" t="s">
        <v>294</v>
      </c>
      <c r="AC1249" s="350"/>
      <c r="AD1249" s="350"/>
      <c r="AE1249" s="351"/>
      <c r="AF1249" s="544"/>
      <c r="AG1249" s="351"/>
      <c r="AH1249" s="544"/>
      <c r="AI1249" s="351"/>
      <c r="AJ1249" s="545"/>
      <c r="AK1249" s="351"/>
      <c r="AL1249" s="524" t="s">
        <v>325</v>
      </c>
      <c r="AM1249" s="351"/>
      <c r="AN1249" s="549" t="s">
        <v>325</v>
      </c>
      <c r="AO1249" s="351"/>
      <c r="AP1249" s="550"/>
      <c r="AQ1249" s="351"/>
      <c r="AR1249" s="551"/>
      <c r="AS1249" s="351"/>
      <c r="AT1249" s="552"/>
      <c r="AU1249" s="351"/>
      <c r="AV1249" s="549" t="s">
        <v>325</v>
      </c>
      <c r="AW1249" s="351"/>
      <c r="AX1249" s="553"/>
      <c r="AY1249" s="350"/>
      <c r="AZ1249" s="351"/>
      <c r="BA1249" s="554"/>
      <c r="BB1249" s="351"/>
      <c r="BC1249" s="39"/>
      <c r="BD1249" s="546" t="s">
        <v>325</v>
      </c>
      <c r="BE1249" s="351"/>
      <c r="BF1249" s="547"/>
      <c r="BG1249" s="350"/>
      <c r="BH1249" s="350"/>
      <c r="BI1249" s="351"/>
      <c r="BJ1249" s="548" t="s">
        <v>294</v>
      </c>
      <c r="BK1249" s="350"/>
      <c r="BL1249" s="350"/>
      <c r="BM1249" s="351"/>
      <c r="BN1249" s="530" t="s">
        <v>294</v>
      </c>
      <c r="BO1249" s="350"/>
      <c r="BP1249" s="350"/>
      <c r="BQ1249" s="350"/>
      <c r="BR1249" s="350"/>
      <c r="BS1249" s="350"/>
      <c r="BT1249" s="350"/>
      <c r="BU1249" s="350"/>
      <c r="BV1249" s="351"/>
    </row>
    <row r="1250" spans="1:74" ht="45" customHeight="1">
      <c r="A1250" s="24">
        <f t="shared" si="4"/>
        <v>1236</v>
      </c>
      <c r="B1250" s="558" t="s">
        <v>294</v>
      </c>
      <c r="C1250" s="351"/>
      <c r="D1250" s="559" t="s">
        <v>298</v>
      </c>
      <c r="E1250" s="351"/>
      <c r="F1250" s="524" t="s">
        <v>325</v>
      </c>
      <c r="G1250" s="351"/>
      <c r="H1250" s="525" t="s">
        <v>325</v>
      </c>
      <c r="I1250" s="351"/>
      <c r="J1250" s="563"/>
      <c r="K1250" s="351"/>
      <c r="L1250" s="563"/>
      <c r="M1250" s="351"/>
      <c r="N1250" s="34"/>
      <c r="O1250" s="35"/>
      <c r="P1250" s="526"/>
      <c r="Q1250" s="351"/>
      <c r="R1250" s="535"/>
      <c r="S1250" s="351"/>
      <c r="T1250" s="536"/>
      <c r="U1250" s="351"/>
      <c r="V1250" s="537"/>
      <c r="W1250" s="351"/>
      <c r="X1250" s="538" t="s">
        <v>294</v>
      </c>
      <c r="Y1250" s="350"/>
      <c r="Z1250" s="350"/>
      <c r="AA1250" s="351"/>
      <c r="AB1250" s="539" t="s">
        <v>294</v>
      </c>
      <c r="AC1250" s="350"/>
      <c r="AD1250" s="350"/>
      <c r="AE1250" s="351"/>
      <c r="AF1250" s="540"/>
      <c r="AG1250" s="351"/>
      <c r="AH1250" s="540"/>
      <c r="AI1250" s="351"/>
      <c r="AJ1250" s="545"/>
      <c r="AK1250" s="351"/>
      <c r="AL1250" s="555" t="s">
        <v>325</v>
      </c>
      <c r="AM1250" s="351"/>
      <c r="AN1250" s="531" t="s">
        <v>325</v>
      </c>
      <c r="AO1250" s="351"/>
      <c r="AP1250" s="532"/>
      <c r="AQ1250" s="351"/>
      <c r="AR1250" s="533"/>
      <c r="AS1250" s="351"/>
      <c r="AT1250" s="534"/>
      <c r="AU1250" s="351"/>
      <c r="AV1250" s="531" t="s">
        <v>325</v>
      </c>
      <c r="AW1250" s="351"/>
      <c r="AX1250" s="553"/>
      <c r="AY1250" s="350"/>
      <c r="AZ1250" s="351"/>
      <c r="BA1250" s="545"/>
      <c r="BB1250" s="351"/>
      <c r="BC1250" s="36"/>
      <c r="BD1250" s="556" t="s">
        <v>325</v>
      </c>
      <c r="BE1250" s="351"/>
      <c r="BF1250" s="529"/>
      <c r="BG1250" s="350"/>
      <c r="BH1250" s="350"/>
      <c r="BI1250" s="351"/>
      <c r="BJ1250" s="506" t="s">
        <v>294</v>
      </c>
      <c r="BK1250" s="350"/>
      <c r="BL1250" s="350"/>
      <c r="BM1250" s="351"/>
      <c r="BN1250" s="530" t="s">
        <v>294</v>
      </c>
      <c r="BO1250" s="350"/>
      <c r="BP1250" s="350"/>
      <c r="BQ1250" s="350"/>
      <c r="BR1250" s="350"/>
      <c r="BS1250" s="350"/>
      <c r="BT1250" s="350"/>
      <c r="BU1250" s="350"/>
      <c r="BV1250" s="351"/>
    </row>
    <row r="1251" spans="1:74" ht="45" customHeight="1">
      <c r="A1251" s="24">
        <f t="shared" si="4"/>
        <v>1237</v>
      </c>
      <c r="B1251" s="522" t="s">
        <v>294</v>
      </c>
      <c r="C1251" s="351"/>
      <c r="D1251" s="523" t="s">
        <v>298</v>
      </c>
      <c r="E1251" s="351"/>
      <c r="F1251" s="524" t="s">
        <v>325</v>
      </c>
      <c r="G1251" s="351"/>
      <c r="H1251" s="561" t="s">
        <v>325</v>
      </c>
      <c r="I1251" s="351"/>
      <c r="J1251" s="562"/>
      <c r="K1251" s="351"/>
      <c r="L1251" s="562"/>
      <c r="M1251" s="351"/>
      <c r="N1251" s="37"/>
      <c r="O1251" s="38"/>
      <c r="P1251" s="560"/>
      <c r="Q1251" s="351"/>
      <c r="R1251" s="527"/>
      <c r="S1251" s="351"/>
      <c r="T1251" s="528"/>
      <c r="U1251" s="351"/>
      <c r="V1251" s="541"/>
      <c r="W1251" s="351"/>
      <c r="X1251" s="542" t="s">
        <v>294</v>
      </c>
      <c r="Y1251" s="350"/>
      <c r="Z1251" s="350"/>
      <c r="AA1251" s="351"/>
      <c r="AB1251" s="543" t="s">
        <v>294</v>
      </c>
      <c r="AC1251" s="350"/>
      <c r="AD1251" s="350"/>
      <c r="AE1251" s="351"/>
      <c r="AF1251" s="544"/>
      <c r="AG1251" s="351"/>
      <c r="AH1251" s="544"/>
      <c r="AI1251" s="351"/>
      <c r="AJ1251" s="545"/>
      <c r="AK1251" s="351"/>
      <c r="AL1251" s="524" t="s">
        <v>325</v>
      </c>
      <c r="AM1251" s="351"/>
      <c r="AN1251" s="549" t="s">
        <v>325</v>
      </c>
      <c r="AO1251" s="351"/>
      <c r="AP1251" s="550"/>
      <c r="AQ1251" s="351"/>
      <c r="AR1251" s="551"/>
      <c r="AS1251" s="351"/>
      <c r="AT1251" s="552"/>
      <c r="AU1251" s="351"/>
      <c r="AV1251" s="549" t="s">
        <v>325</v>
      </c>
      <c r="AW1251" s="351"/>
      <c r="AX1251" s="553"/>
      <c r="AY1251" s="350"/>
      <c r="AZ1251" s="351"/>
      <c r="BA1251" s="554"/>
      <c r="BB1251" s="351"/>
      <c r="BC1251" s="39"/>
      <c r="BD1251" s="546" t="s">
        <v>325</v>
      </c>
      <c r="BE1251" s="351"/>
      <c r="BF1251" s="547"/>
      <c r="BG1251" s="350"/>
      <c r="BH1251" s="350"/>
      <c r="BI1251" s="351"/>
      <c r="BJ1251" s="548" t="s">
        <v>294</v>
      </c>
      <c r="BK1251" s="350"/>
      <c r="BL1251" s="350"/>
      <c r="BM1251" s="351"/>
      <c r="BN1251" s="530" t="s">
        <v>294</v>
      </c>
      <c r="BO1251" s="350"/>
      <c r="BP1251" s="350"/>
      <c r="BQ1251" s="350"/>
      <c r="BR1251" s="350"/>
      <c r="BS1251" s="350"/>
      <c r="BT1251" s="350"/>
      <c r="BU1251" s="350"/>
      <c r="BV1251" s="351"/>
    </row>
    <row r="1252" spans="1:74" ht="45" customHeight="1">
      <c r="A1252" s="24">
        <f t="shared" si="4"/>
        <v>1238</v>
      </c>
      <c r="B1252" s="558" t="s">
        <v>294</v>
      </c>
      <c r="C1252" s="351"/>
      <c r="D1252" s="559" t="s">
        <v>298</v>
      </c>
      <c r="E1252" s="351"/>
      <c r="F1252" s="524" t="s">
        <v>325</v>
      </c>
      <c r="G1252" s="351"/>
      <c r="H1252" s="525" t="s">
        <v>325</v>
      </c>
      <c r="I1252" s="351"/>
      <c r="J1252" s="563"/>
      <c r="K1252" s="351"/>
      <c r="L1252" s="563"/>
      <c r="M1252" s="351"/>
      <c r="N1252" s="34"/>
      <c r="O1252" s="35"/>
      <c r="P1252" s="526"/>
      <c r="Q1252" s="351"/>
      <c r="R1252" s="535"/>
      <c r="S1252" s="351"/>
      <c r="T1252" s="536"/>
      <c r="U1252" s="351"/>
      <c r="V1252" s="537"/>
      <c r="W1252" s="351"/>
      <c r="X1252" s="538" t="s">
        <v>294</v>
      </c>
      <c r="Y1252" s="350"/>
      <c r="Z1252" s="350"/>
      <c r="AA1252" s="351"/>
      <c r="AB1252" s="539" t="s">
        <v>294</v>
      </c>
      <c r="AC1252" s="350"/>
      <c r="AD1252" s="350"/>
      <c r="AE1252" s="351"/>
      <c r="AF1252" s="540"/>
      <c r="AG1252" s="351"/>
      <c r="AH1252" s="540"/>
      <c r="AI1252" s="351"/>
      <c r="AJ1252" s="545"/>
      <c r="AK1252" s="351"/>
      <c r="AL1252" s="555" t="s">
        <v>325</v>
      </c>
      <c r="AM1252" s="351"/>
      <c r="AN1252" s="531" t="s">
        <v>325</v>
      </c>
      <c r="AO1252" s="351"/>
      <c r="AP1252" s="532"/>
      <c r="AQ1252" s="351"/>
      <c r="AR1252" s="533"/>
      <c r="AS1252" s="351"/>
      <c r="AT1252" s="534"/>
      <c r="AU1252" s="351"/>
      <c r="AV1252" s="531" t="s">
        <v>325</v>
      </c>
      <c r="AW1252" s="351"/>
      <c r="AX1252" s="553"/>
      <c r="AY1252" s="350"/>
      <c r="AZ1252" s="351"/>
      <c r="BA1252" s="545"/>
      <c r="BB1252" s="351"/>
      <c r="BC1252" s="36"/>
      <c r="BD1252" s="556" t="s">
        <v>325</v>
      </c>
      <c r="BE1252" s="351"/>
      <c r="BF1252" s="557"/>
      <c r="BG1252" s="350"/>
      <c r="BH1252" s="350"/>
      <c r="BI1252" s="351"/>
      <c r="BJ1252" s="506" t="s">
        <v>294</v>
      </c>
      <c r="BK1252" s="350"/>
      <c r="BL1252" s="350"/>
      <c r="BM1252" s="351"/>
      <c r="BN1252" s="530" t="s">
        <v>294</v>
      </c>
      <c r="BO1252" s="350"/>
      <c r="BP1252" s="350"/>
      <c r="BQ1252" s="350"/>
      <c r="BR1252" s="350"/>
      <c r="BS1252" s="350"/>
      <c r="BT1252" s="350"/>
      <c r="BU1252" s="350"/>
      <c r="BV1252" s="351"/>
    </row>
    <row r="1253" spans="1:74" ht="45" customHeight="1">
      <c r="A1253" s="24">
        <f t="shared" si="4"/>
        <v>1239</v>
      </c>
      <c r="B1253" s="522" t="s">
        <v>294</v>
      </c>
      <c r="C1253" s="351"/>
      <c r="D1253" s="523" t="s">
        <v>298</v>
      </c>
      <c r="E1253" s="351"/>
      <c r="F1253" s="524" t="s">
        <v>325</v>
      </c>
      <c r="G1253" s="351"/>
      <c r="H1253" s="561" t="s">
        <v>325</v>
      </c>
      <c r="I1253" s="351"/>
      <c r="J1253" s="562"/>
      <c r="K1253" s="351"/>
      <c r="L1253" s="562"/>
      <c r="M1253" s="351"/>
      <c r="N1253" s="37"/>
      <c r="O1253" s="38"/>
      <c r="P1253" s="560"/>
      <c r="Q1253" s="351"/>
      <c r="R1253" s="527"/>
      <c r="S1253" s="351"/>
      <c r="T1253" s="528"/>
      <c r="U1253" s="351"/>
      <c r="V1253" s="541"/>
      <c r="W1253" s="351"/>
      <c r="X1253" s="542" t="s">
        <v>294</v>
      </c>
      <c r="Y1253" s="350"/>
      <c r="Z1253" s="350"/>
      <c r="AA1253" s="351"/>
      <c r="AB1253" s="543" t="s">
        <v>294</v>
      </c>
      <c r="AC1253" s="350"/>
      <c r="AD1253" s="350"/>
      <c r="AE1253" s="351"/>
      <c r="AF1253" s="544"/>
      <c r="AG1253" s="351"/>
      <c r="AH1253" s="544"/>
      <c r="AI1253" s="351"/>
      <c r="AJ1253" s="545"/>
      <c r="AK1253" s="351"/>
      <c r="AL1253" s="524" t="s">
        <v>325</v>
      </c>
      <c r="AM1253" s="351"/>
      <c r="AN1253" s="549" t="s">
        <v>325</v>
      </c>
      <c r="AO1253" s="351"/>
      <c r="AP1253" s="550"/>
      <c r="AQ1253" s="351"/>
      <c r="AR1253" s="551"/>
      <c r="AS1253" s="351"/>
      <c r="AT1253" s="534"/>
      <c r="AU1253" s="351"/>
      <c r="AV1253" s="549" t="s">
        <v>325</v>
      </c>
      <c r="AW1253" s="351"/>
      <c r="AX1253" s="553"/>
      <c r="AY1253" s="350"/>
      <c r="AZ1253" s="351"/>
      <c r="BA1253" s="554"/>
      <c r="BB1253" s="351"/>
      <c r="BC1253" s="39"/>
      <c r="BD1253" s="546" t="s">
        <v>325</v>
      </c>
      <c r="BE1253" s="351"/>
      <c r="BF1253" s="547"/>
      <c r="BG1253" s="350"/>
      <c r="BH1253" s="350"/>
      <c r="BI1253" s="351"/>
      <c r="BJ1253" s="548" t="s">
        <v>294</v>
      </c>
      <c r="BK1253" s="350"/>
      <c r="BL1253" s="350"/>
      <c r="BM1253" s="351"/>
      <c r="BN1253" s="530" t="s">
        <v>294</v>
      </c>
      <c r="BO1253" s="350"/>
      <c r="BP1253" s="350"/>
      <c r="BQ1253" s="350"/>
      <c r="BR1253" s="350"/>
      <c r="BS1253" s="350"/>
      <c r="BT1253" s="350"/>
      <c r="BU1253" s="350"/>
      <c r="BV1253" s="351"/>
    </row>
    <row r="1254" spans="1:74" ht="45" customHeight="1">
      <c r="A1254" s="24">
        <f t="shared" si="4"/>
        <v>1240</v>
      </c>
      <c r="B1254" s="558" t="s">
        <v>294</v>
      </c>
      <c r="C1254" s="351"/>
      <c r="D1254" s="559" t="s">
        <v>298</v>
      </c>
      <c r="E1254" s="351"/>
      <c r="F1254" s="524" t="s">
        <v>325</v>
      </c>
      <c r="G1254" s="351"/>
      <c r="H1254" s="525" t="s">
        <v>325</v>
      </c>
      <c r="I1254" s="351"/>
      <c r="J1254" s="563"/>
      <c r="K1254" s="351"/>
      <c r="L1254" s="563"/>
      <c r="M1254" s="351"/>
      <c r="N1254" s="34"/>
      <c r="O1254" s="35"/>
      <c r="P1254" s="526"/>
      <c r="Q1254" s="351"/>
      <c r="R1254" s="535"/>
      <c r="S1254" s="351"/>
      <c r="T1254" s="536"/>
      <c r="U1254" s="351"/>
      <c r="V1254" s="537"/>
      <c r="W1254" s="351"/>
      <c r="X1254" s="538" t="s">
        <v>294</v>
      </c>
      <c r="Y1254" s="350"/>
      <c r="Z1254" s="350"/>
      <c r="AA1254" s="351"/>
      <c r="AB1254" s="539" t="s">
        <v>294</v>
      </c>
      <c r="AC1254" s="350"/>
      <c r="AD1254" s="350"/>
      <c r="AE1254" s="351"/>
      <c r="AF1254" s="540"/>
      <c r="AG1254" s="351"/>
      <c r="AH1254" s="540"/>
      <c r="AI1254" s="351"/>
      <c r="AJ1254" s="545"/>
      <c r="AK1254" s="351"/>
      <c r="AL1254" s="555" t="s">
        <v>325</v>
      </c>
      <c r="AM1254" s="351"/>
      <c r="AN1254" s="531" t="s">
        <v>325</v>
      </c>
      <c r="AO1254" s="351"/>
      <c r="AP1254" s="532"/>
      <c r="AQ1254" s="351"/>
      <c r="AR1254" s="533"/>
      <c r="AS1254" s="351"/>
      <c r="AT1254" s="534"/>
      <c r="AU1254" s="351"/>
      <c r="AV1254" s="531" t="s">
        <v>325</v>
      </c>
      <c r="AW1254" s="351"/>
      <c r="AX1254" s="553"/>
      <c r="AY1254" s="350"/>
      <c r="AZ1254" s="351"/>
      <c r="BA1254" s="545"/>
      <c r="BB1254" s="351"/>
      <c r="BC1254" s="36"/>
      <c r="BD1254" s="556" t="s">
        <v>325</v>
      </c>
      <c r="BE1254" s="351"/>
      <c r="BF1254" s="557"/>
      <c r="BG1254" s="350"/>
      <c r="BH1254" s="350"/>
      <c r="BI1254" s="351"/>
      <c r="BJ1254" s="506" t="s">
        <v>294</v>
      </c>
      <c r="BK1254" s="350"/>
      <c r="BL1254" s="350"/>
      <c r="BM1254" s="351"/>
      <c r="BN1254" s="530" t="s">
        <v>294</v>
      </c>
      <c r="BO1254" s="350"/>
      <c r="BP1254" s="350"/>
      <c r="BQ1254" s="350"/>
      <c r="BR1254" s="350"/>
      <c r="BS1254" s="350"/>
      <c r="BT1254" s="350"/>
      <c r="BU1254" s="350"/>
      <c r="BV1254" s="351"/>
    </row>
    <row r="1255" spans="1:74" ht="45" customHeight="1">
      <c r="A1255" s="24">
        <f t="shared" si="4"/>
        <v>1241</v>
      </c>
      <c r="B1255" s="522" t="s">
        <v>294</v>
      </c>
      <c r="C1255" s="351"/>
      <c r="D1255" s="523" t="s">
        <v>298</v>
      </c>
      <c r="E1255" s="351"/>
      <c r="F1255" s="524" t="s">
        <v>325</v>
      </c>
      <c r="G1255" s="351"/>
      <c r="H1255" s="561" t="s">
        <v>325</v>
      </c>
      <c r="I1255" s="351"/>
      <c r="J1255" s="562"/>
      <c r="K1255" s="351"/>
      <c r="L1255" s="562"/>
      <c r="M1255" s="351"/>
      <c r="N1255" s="37"/>
      <c r="O1255" s="38"/>
      <c r="P1255" s="560"/>
      <c r="Q1255" s="351"/>
      <c r="R1255" s="527"/>
      <c r="S1255" s="351"/>
      <c r="T1255" s="528"/>
      <c r="U1255" s="351"/>
      <c r="V1255" s="541"/>
      <c r="W1255" s="351"/>
      <c r="X1255" s="542" t="s">
        <v>294</v>
      </c>
      <c r="Y1255" s="350"/>
      <c r="Z1255" s="350"/>
      <c r="AA1255" s="351"/>
      <c r="AB1255" s="543" t="s">
        <v>294</v>
      </c>
      <c r="AC1255" s="350"/>
      <c r="AD1255" s="350"/>
      <c r="AE1255" s="351"/>
      <c r="AF1255" s="544"/>
      <c r="AG1255" s="351"/>
      <c r="AH1255" s="544"/>
      <c r="AI1255" s="351"/>
      <c r="AJ1255" s="545"/>
      <c r="AK1255" s="351"/>
      <c r="AL1255" s="524" t="s">
        <v>325</v>
      </c>
      <c r="AM1255" s="351"/>
      <c r="AN1255" s="549" t="s">
        <v>325</v>
      </c>
      <c r="AO1255" s="351"/>
      <c r="AP1255" s="550"/>
      <c r="AQ1255" s="351"/>
      <c r="AR1255" s="551"/>
      <c r="AS1255" s="351"/>
      <c r="AT1255" s="534"/>
      <c r="AU1255" s="351"/>
      <c r="AV1255" s="549" t="s">
        <v>325</v>
      </c>
      <c r="AW1255" s="351"/>
      <c r="AX1255" s="553"/>
      <c r="AY1255" s="350"/>
      <c r="AZ1255" s="351"/>
      <c r="BA1255" s="554"/>
      <c r="BB1255" s="351"/>
      <c r="BC1255" s="39"/>
      <c r="BD1255" s="546" t="s">
        <v>325</v>
      </c>
      <c r="BE1255" s="351"/>
      <c r="BF1255" s="547"/>
      <c r="BG1255" s="350"/>
      <c r="BH1255" s="350"/>
      <c r="BI1255" s="351"/>
      <c r="BJ1255" s="548" t="s">
        <v>294</v>
      </c>
      <c r="BK1255" s="350"/>
      <c r="BL1255" s="350"/>
      <c r="BM1255" s="351"/>
      <c r="BN1255" s="530" t="s">
        <v>294</v>
      </c>
      <c r="BO1255" s="350"/>
      <c r="BP1255" s="350"/>
      <c r="BQ1255" s="350"/>
      <c r="BR1255" s="350"/>
      <c r="BS1255" s="350"/>
      <c r="BT1255" s="350"/>
      <c r="BU1255" s="350"/>
      <c r="BV1255" s="351"/>
    </row>
    <row r="1256" spans="1:74" ht="45" customHeight="1">
      <c r="A1256" s="24">
        <f t="shared" si="4"/>
        <v>1242</v>
      </c>
      <c r="B1256" s="558" t="s">
        <v>294</v>
      </c>
      <c r="C1256" s="351"/>
      <c r="D1256" s="559" t="s">
        <v>298</v>
      </c>
      <c r="E1256" s="351"/>
      <c r="F1256" s="524" t="s">
        <v>325</v>
      </c>
      <c r="G1256" s="351"/>
      <c r="H1256" s="525" t="s">
        <v>325</v>
      </c>
      <c r="I1256" s="351"/>
      <c r="J1256" s="563"/>
      <c r="K1256" s="351"/>
      <c r="L1256" s="563"/>
      <c r="M1256" s="351"/>
      <c r="N1256" s="34"/>
      <c r="O1256" s="35"/>
      <c r="P1256" s="526"/>
      <c r="Q1256" s="351"/>
      <c r="R1256" s="535"/>
      <c r="S1256" s="351"/>
      <c r="T1256" s="536"/>
      <c r="U1256" s="351"/>
      <c r="V1256" s="537"/>
      <c r="W1256" s="351"/>
      <c r="X1256" s="538" t="s">
        <v>294</v>
      </c>
      <c r="Y1256" s="350"/>
      <c r="Z1256" s="350"/>
      <c r="AA1256" s="351"/>
      <c r="AB1256" s="539" t="s">
        <v>294</v>
      </c>
      <c r="AC1256" s="350"/>
      <c r="AD1256" s="350"/>
      <c r="AE1256" s="351"/>
      <c r="AF1256" s="540"/>
      <c r="AG1256" s="351"/>
      <c r="AH1256" s="540"/>
      <c r="AI1256" s="351"/>
      <c r="AJ1256" s="545"/>
      <c r="AK1256" s="351"/>
      <c r="AL1256" s="555" t="s">
        <v>325</v>
      </c>
      <c r="AM1256" s="351"/>
      <c r="AN1256" s="531" t="s">
        <v>325</v>
      </c>
      <c r="AO1256" s="351"/>
      <c r="AP1256" s="532"/>
      <c r="AQ1256" s="351"/>
      <c r="AR1256" s="533"/>
      <c r="AS1256" s="351"/>
      <c r="AT1256" s="534"/>
      <c r="AU1256" s="351"/>
      <c r="AV1256" s="531" t="s">
        <v>325</v>
      </c>
      <c r="AW1256" s="351"/>
      <c r="AX1256" s="553"/>
      <c r="AY1256" s="350"/>
      <c r="AZ1256" s="351"/>
      <c r="BA1256" s="545"/>
      <c r="BB1256" s="351"/>
      <c r="BC1256" s="36"/>
      <c r="BD1256" s="556" t="s">
        <v>325</v>
      </c>
      <c r="BE1256" s="351"/>
      <c r="BF1256" s="557"/>
      <c r="BG1256" s="350"/>
      <c r="BH1256" s="350"/>
      <c r="BI1256" s="351"/>
      <c r="BJ1256" s="506" t="s">
        <v>294</v>
      </c>
      <c r="BK1256" s="350"/>
      <c r="BL1256" s="350"/>
      <c r="BM1256" s="351"/>
      <c r="BN1256" s="530" t="s">
        <v>294</v>
      </c>
      <c r="BO1256" s="350"/>
      <c r="BP1256" s="350"/>
      <c r="BQ1256" s="350"/>
      <c r="BR1256" s="350"/>
      <c r="BS1256" s="350"/>
      <c r="BT1256" s="350"/>
      <c r="BU1256" s="350"/>
      <c r="BV1256" s="351"/>
    </row>
    <row r="1257" spans="1:74" ht="45" customHeight="1">
      <c r="A1257" s="24">
        <f t="shared" si="4"/>
        <v>1243</v>
      </c>
      <c r="B1257" s="522" t="s">
        <v>294</v>
      </c>
      <c r="C1257" s="351"/>
      <c r="D1257" s="523" t="s">
        <v>298</v>
      </c>
      <c r="E1257" s="351"/>
      <c r="F1257" s="524" t="s">
        <v>325</v>
      </c>
      <c r="G1257" s="351"/>
      <c r="H1257" s="561" t="s">
        <v>325</v>
      </c>
      <c r="I1257" s="351"/>
      <c r="J1257" s="562"/>
      <c r="K1257" s="351"/>
      <c r="L1257" s="562"/>
      <c r="M1257" s="351"/>
      <c r="N1257" s="37"/>
      <c r="O1257" s="38"/>
      <c r="P1257" s="560"/>
      <c r="Q1257" s="351"/>
      <c r="R1257" s="527"/>
      <c r="S1257" s="351"/>
      <c r="T1257" s="528"/>
      <c r="U1257" s="351"/>
      <c r="V1257" s="541"/>
      <c r="W1257" s="351"/>
      <c r="X1257" s="542" t="s">
        <v>294</v>
      </c>
      <c r="Y1257" s="350"/>
      <c r="Z1257" s="350"/>
      <c r="AA1257" s="351"/>
      <c r="AB1257" s="543" t="s">
        <v>294</v>
      </c>
      <c r="AC1257" s="350"/>
      <c r="AD1257" s="350"/>
      <c r="AE1257" s="351"/>
      <c r="AF1257" s="544"/>
      <c r="AG1257" s="351"/>
      <c r="AH1257" s="544"/>
      <c r="AI1257" s="351"/>
      <c r="AJ1257" s="545"/>
      <c r="AK1257" s="351"/>
      <c r="AL1257" s="524" t="s">
        <v>325</v>
      </c>
      <c r="AM1257" s="351"/>
      <c r="AN1257" s="549" t="s">
        <v>325</v>
      </c>
      <c r="AO1257" s="351"/>
      <c r="AP1257" s="550"/>
      <c r="AQ1257" s="351"/>
      <c r="AR1257" s="551"/>
      <c r="AS1257" s="351"/>
      <c r="AT1257" s="552"/>
      <c r="AU1257" s="351"/>
      <c r="AV1257" s="549" t="s">
        <v>325</v>
      </c>
      <c r="AW1257" s="351"/>
      <c r="AX1257" s="553"/>
      <c r="AY1257" s="350"/>
      <c r="AZ1257" s="351"/>
      <c r="BA1257" s="554"/>
      <c r="BB1257" s="351"/>
      <c r="BC1257" s="39"/>
      <c r="BD1257" s="546" t="s">
        <v>325</v>
      </c>
      <c r="BE1257" s="351"/>
      <c r="BF1257" s="547"/>
      <c r="BG1257" s="350"/>
      <c r="BH1257" s="350"/>
      <c r="BI1257" s="351"/>
      <c r="BJ1257" s="548" t="s">
        <v>294</v>
      </c>
      <c r="BK1257" s="350"/>
      <c r="BL1257" s="350"/>
      <c r="BM1257" s="351"/>
      <c r="BN1257" s="530" t="s">
        <v>294</v>
      </c>
      <c r="BO1257" s="350"/>
      <c r="BP1257" s="350"/>
      <c r="BQ1257" s="350"/>
      <c r="BR1257" s="350"/>
      <c r="BS1257" s="350"/>
      <c r="BT1257" s="350"/>
      <c r="BU1257" s="350"/>
      <c r="BV1257" s="351"/>
    </row>
    <row r="1258" spans="1:74" ht="45" customHeight="1">
      <c r="A1258" s="24">
        <f t="shared" si="4"/>
        <v>1244</v>
      </c>
      <c r="B1258" s="558" t="s">
        <v>294</v>
      </c>
      <c r="C1258" s="351"/>
      <c r="D1258" s="559" t="s">
        <v>298</v>
      </c>
      <c r="E1258" s="351"/>
      <c r="F1258" s="524" t="s">
        <v>325</v>
      </c>
      <c r="G1258" s="351"/>
      <c r="H1258" s="525" t="s">
        <v>325</v>
      </c>
      <c r="I1258" s="351"/>
      <c r="J1258" s="563"/>
      <c r="K1258" s="351"/>
      <c r="L1258" s="563"/>
      <c r="M1258" s="351"/>
      <c r="N1258" s="34"/>
      <c r="O1258" s="35"/>
      <c r="P1258" s="526"/>
      <c r="Q1258" s="351"/>
      <c r="R1258" s="535"/>
      <c r="S1258" s="351"/>
      <c r="T1258" s="536"/>
      <c r="U1258" s="351"/>
      <c r="V1258" s="537"/>
      <c r="W1258" s="351"/>
      <c r="X1258" s="538" t="s">
        <v>294</v>
      </c>
      <c r="Y1258" s="350"/>
      <c r="Z1258" s="350"/>
      <c r="AA1258" s="351"/>
      <c r="AB1258" s="539" t="s">
        <v>294</v>
      </c>
      <c r="AC1258" s="350"/>
      <c r="AD1258" s="350"/>
      <c r="AE1258" s="351"/>
      <c r="AF1258" s="540"/>
      <c r="AG1258" s="351"/>
      <c r="AH1258" s="540"/>
      <c r="AI1258" s="351"/>
      <c r="AJ1258" s="545"/>
      <c r="AK1258" s="351"/>
      <c r="AL1258" s="555" t="s">
        <v>325</v>
      </c>
      <c r="AM1258" s="351"/>
      <c r="AN1258" s="531" t="s">
        <v>325</v>
      </c>
      <c r="AO1258" s="351"/>
      <c r="AP1258" s="532"/>
      <c r="AQ1258" s="351"/>
      <c r="AR1258" s="533"/>
      <c r="AS1258" s="351"/>
      <c r="AT1258" s="534"/>
      <c r="AU1258" s="351"/>
      <c r="AV1258" s="531" t="s">
        <v>325</v>
      </c>
      <c r="AW1258" s="351"/>
      <c r="AX1258" s="553"/>
      <c r="AY1258" s="350"/>
      <c r="AZ1258" s="351"/>
      <c r="BA1258" s="545"/>
      <c r="BB1258" s="351"/>
      <c r="BC1258" s="36"/>
      <c r="BD1258" s="556" t="s">
        <v>325</v>
      </c>
      <c r="BE1258" s="351"/>
      <c r="BF1258" s="529"/>
      <c r="BG1258" s="350"/>
      <c r="BH1258" s="350"/>
      <c r="BI1258" s="351"/>
      <c r="BJ1258" s="506" t="s">
        <v>294</v>
      </c>
      <c r="BK1258" s="350"/>
      <c r="BL1258" s="350"/>
      <c r="BM1258" s="351"/>
      <c r="BN1258" s="530" t="s">
        <v>294</v>
      </c>
      <c r="BO1258" s="350"/>
      <c r="BP1258" s="350"/>
      <c r="BQ1258" s="350"/>
      <c r="BR1258" s="350"/>
      <c r="BS1258" s="350"/>
      <c r="BT1258" s="350"/>
      <c r="BU1258" s="350"/>
      <c r="BV1258" s="351"/>
    </row>
    <row r="1259" spans="1:74" ht="45" customHeight="1">
      <c r="A1259" s="24">
        <f t="shared" si="4"/>
        <v>1245</v>
      </c>
      <c r="B1259" s="522" t="s">
        <v>294</v>
      </c>
      <c r="C1259" s="351"/>
      <c r="D1259" s="523" t="s">
        <v>298</v>
      </c>
      <c r="E1259" s="351"/>
      <c r="F1259" s="524" t="s">
        <v>325</v>
      </c>
      <c r="G1259" s="351"/>
      <c r="H1259" s="561" t="s">
        <v>325</v>
      </c>
      <c r="I1259" s="351"/>
      <c r="J1259" s="562"/>
      <c r="K1259" s="351"/>
      <c r="L1259" s="562"/>
      <c r="M1259" s="351"/>
      <c r="N1259" s="37"/>
      <c r="O1259" s="38"/>
      <c r="P1259" s="560"/>
      <c r="Q1259" s="351"/>
      <c r="R1259" s="527"/>
      <c r="S1259" s="351"/>
      <c r="T1259" s="528"/>
      <c r="U1259" s="351"/>
      <c r="V1259" s="541"/>
      <c r="W1259" s="351"/>
      <c r="X1259" s="542" t="s">
        <v>294</v>
      </c>
      <c r="Y1259" s="350"/>
      <c r="Z1259" s="350"/>
      <c r="AA1259" s="351"/>
      <c r="AB1259" s="543" t="s">
        <v>294</v>
      </c>
      <c r="AC1259" s="350"/>
      <c r="AD1259" s="350"/>
      <c r="AE1259" s="351"/>
      <c r="AF1259" s="544"/>
      <c r="AG1259" s="351"/>
      <c r="AH1259" s="544"/>
      <c r="AI1259" s="351"/>
      <c r="AJ1259" s="545"/>
      <c r="AK1259" s="351"/>
      <c r="AL1259" s="524" t="s">
        <v>325</v>
      </c>
      <c r="AM1259" s="351"/>
      <c r="AN1259" s="549" t="s">
        <v>325</v>
      </c>
      <c r="AO1259" s="351"/>
      <c r="AP1259" s="550"/>
      <c r="AQ1259" s="351"/>
      <c r="AR1259" s="551"/>
      <c r="AS1259" s="351"/>
      <c r="AT1259" s="552"/>
      <c r="AU1259" s="351"/>
      <c r="AV1259" s="549" t="s">
        <v>325</v>
      </c>
      <c r="AW1259" s="351"/>
      <c r="AX1259" s="553"/>
      <c r="AY1259" s="350"/>
      <c r="AZ1259" s="351"/>
      <c r="BA1259" s="554"/>
      <c r="BB1259" s="351"/>
      <c r="BC1259" s="39"/>
      <c r="BD1259" s="546" t="s">
        <v>325</v>
      </c>
      <c r="BE1259" s="351"/>
      <c r="BF1259" s="547"/>
      <c r="BG1259" s="350"/>
      <c r="BH1259" s="350"/>
      <c r="BI1259" s="351"/>
      <c r="BJ1259" s="548" t="s">
        <v>294</v>
      </c>
      <c r="BK1259" s="350"/>
      <c r="BL1259" s="350"/>
      <c r="BM1259" s="351"/>
      <c r="BN1259" s="530" t="s">
        <v>294</v>
      </c>
      <c r="BO1259" s="350"/>
      <c r="BP1259" s="350"/>
      <c r="BQ1259" s="350"/>
      <c r="BR1259" s="350"/>
      <c r="BS1259" s="350"/>
      <c r="BT1259" s="350"/>
      <c r="BU1259" s="350"/>
      <c r="BV1259" s="351"/>
    </row>
    <row r="1260" spans="1:74" ht="45" customHeight="1">
      <c r="A1260" s="24">
        <f t="shared" si="4"/>
        <v>1246</v>
      </c>
      <c r="B1260" s="558" t="s">
        <v>294</v>
      </c>
      <c r="C1260" s="351"/>
      <c r="D1260" s="559" t="s">
        <v>298</v>
      </c>
      <c r="E1260" s="351"/>
      <c r="F1260" s="524" t="s">
        <v>325</v>
      </c>
      <c r="G1260" s="351"/>
      <c r="H1260" s="525" t="s">
        <v>325</v>
      </c>
      <c r="I1260" s="351"/>
      <c r="J1260" s="563"/>
      <c r="K1260" s="351"/>
      <c r="L1260" s="563"/>
      <c r="M1260" s="351"/>
      <c r="N1260" s="34"/>
      <c r="O1260" s="35"/>
      <c r="P1260" s="526"/>
      <c r="Q1260" s="351"/>
      <c r="R1260" s="535"/>
      <c r="S1260" s="351"/>
      <c r="T1260" s="536"/>
      <c r="U1260" s="351"/>
      <c r="V1260" s="537"/>
      <c r="W1260" s="351"/>
      <c r="X1260" s="538" t="s">
        <v>294</v>
      </c>
      <c r="Y1260" s="350"/>
      <c r="Z1260" s="350"/>
      <c r="AA1260" s="351"/>
      <c r="AB1260" s="539" t="s">
        <v>294</v>
      </c>
      <c r="AC1260" s="350"/>
      <c r="AD1260" s="350"/>
      <c r="AE1260" s="351"/>
      <c r="AF1260" s="540"/>
      <c r="AG1260" s="351"/>
      <c r="AH1260" s="540"/>
      <c r="AI1260" s="351"/>
      <c r="AJ1260" s="545"/>
      <c r="AK1260" s="351"/>
      <c r="AL1260" s="555" t="s">
        <v>325</v>
      </c>
      <c r="AM1260" s="351"/>
      <c r="AN1260" s="531" t="s">
        <v>325</v>
      </c>
      <c r="AO1260" s="351"/>
      <c r="AP1260" s="532"/>
      <c r="AQ1260" s="351"/>
      <c r="AR1260" s="533"/>
      <c r="AS1260" s="351"/>
      <c r="AT1260" s="534"/>
      <c r="AU1260" s="351"/>
      <c r="AV1260" s="531" t="s">
        <v>325</v>
      </c>
      <c r="AW1260" s="351"/>
      <c r="AX1260" s="553"/>
      <c r="AY1260" s="350"/>
      <c r="AZ1260" s="351"/>
      <c r="BA1260" s="545"/>
      <c r="BB1260" s="351"/>
      <c r="BC1260" s="36"/>
      <c r="BD1260" s="556" t="s">
        <v>325</v>
      </c>
      <c r="BE1260" s="351"/>
      <c r="BF1260" s="557"/>
      <c r="BG1260" s="350"/>
      <c r="BH1260" s="350"/>
      <c r="BI1260" s="351"/>
      <c r="BJ1260" s="506" t="s">
        <v>294</v>
      </c>
      <c r="BK1260" s="350"/>
      <c r="BL1260" s="350"/>
      <c r="BM1260" s="351"/>
      <c r="BN1260" s="530" t="s">
        <v>294</v>
      </c>
      <c r="BO1260" s="350"/>
      <c r="BP1260" s="350"/>
      <c r="BQ1260" s="350"/>
      <c r="BR1260" s="350"/>
      <c r="BS1260" s="350"/>
      <c r="BT1260" s="350"/>
      <c r="BU1260" s="350"/>
      <c r="BV1260" s="351"/>
    </row>
    <row r="1261" spans="1:74" ht="45" customHeight="1">
      <c r="A1261" s="24">
        <f t="shared" si="4"/>
        <v>1247</v>
      </c>
      <c r="B1261" s="522" t="s">
        <v>294</v>
      </c>
      <c r="C1261" s="351"/>
      <c r="D1261" s="523" t="s">
        <v>298</v>
      </c>
      <c r="E1261" s="351"/>
      <c r="F1261" s="524" t="s">
        <v>325</v>
      </c>
      <c r="G1261" s="351"/>
      <c r="H1261" s="561" t="s">
        <v>325</v>
      </c>
      <c r="I1261" s="351"/>
      <c r="J1261" s="562"/>
      <c r="K1261" s="351"/>
      <c r="L1261" s="562"/>
      <c r="M1261" s="351"/>
      <c r="N1261" s="37"/>
      <c r="O1261" s="38"/>
      <c r="P1261" s="560"/>
      <c r="Q1261" s="351"/>
      <c r="R1261" s="527"/>
      <c r="S1261" s="351"/>
      <c r="T1261" s="528"/>
      <c r="U1261" s="351"/>
      <c r="V1261" s="541"/>
      <c r="W1261" s="351"/>
      <c r="X1261" s="542" t="s">
        <v>294</v>
      </c>
      <c r="Y1261" s="350"/>
      <c r="Z1261" s="350"/>
      <c r="AA1261" s="351"/>
      <c r="AB1261" s="543" t="s">
        <v>294</v>
      </c>
      <c r="AC1261" s="350"/>
      <c r="AD1261" s="350"/>
      <c r="AE1261" s="351"/>
      <c r="AF1261" s="544"/>
      <c r="AG1261" s="351"/>
      <c r="AH1261" s="544"/>
      <c r="AI1261" s="351"/>
      <c r="AJ1261" s="545"/>
      <c r="AK1261" s="351"/>
      <c r="AL1261" s="524" t="s">
        <v>325</v>
      </c>
      <c r="AM1261" s="351"/>
      <c r="AN1261" s="549" t="s">
        <v>325</v>
      </c>
      <c r="AO1261" s="351"/>
      <c r="AP1261" s="550"/>
      <c r="AQ1261" s="351"/>
      <c r="AR1261" s="551"/>
      <c r="AS1261" s="351"/>
      <c r="AT1261" s="552"/>
      <c r="AU1261" s="351"/>
      <c r="AV1261" s="549" t="s">
        <v>325</v>
      </c>
      <c r="AW1261" s="351"/>
      <c r="AX1261" s="553"/>
      <c r="AY1261" s="350"/>
      <c r="AZ1261" s="351"/>
      <c r="BA1261" s="554"/>
      <c r="BB1261" s="351"/>
      <c r="BC1261" s="39"/>
      <c r="BD1261" s="546" t="s">
        <v>325</v>
      </c>
      <c r="BE1261" s="351"/>
      <c r="BF1261" s="547"/>
      <c r="BG1261" s="350"/>
      <c r="BH1261" s="350"/>
      <c r="BI1261" s="351"/>
      <c r="BJ1261" s="548" t="s">
        <v>294</v>
      </c>
      <c r="BK1261" s="350"/>
      <c r="BL1261" s="350"/>
      <c r="BM1261" s="351"/>
      <c r="BN1261" s="530" t="s">
        <v>294</v>
      </c>
      <c r="BO1261" s="350"/>
      <c r="BP1261" s="350"/>
      <c r="BQ1261" s="350"/>
      <c r="BR1261" s="350"/>
      <c r="BS1261" s="350"/>
      <c r="BT1261" s="350"/>
      <c r="BU1261" s="350"/>
      <c r="BV1261" s="351"/>
    </row>
    <row r="1262" spans="1:74" ht="45" customHeight="1">
      <c r="A1262" s="24">
        <f t="shared" si="4"/>
        <v>1248</v>
      </c>
      <c r="B1262" s="558" t="s">
        <v>294</v>
      </c>
      <c r="C1262" s="351"/>
      <c r="D1262" s="559" t="s">
        <v>298</v>
      </c>
      <c r="E1262" s="351"/>
      <c r="F1262" s="524" t="s">
        <v>325</v>
      </c>
      <c r="G1262" s="351"/>
      <c r="H1262" s="525" t="s">
        <v>325</v>
      </c>
      <c r="I1262" s="351"/>
      <c r="J1262" s="563"/>
      <c r="K1262" s="351"/>
      <c r="L1262" s="563"/>
      <c r="M1262" s="351"/>
      <c r="N1262" s="37"/>
      <c r="O1262" s="38"/>
      <c r="P1262" s="560"/>
      <c r="Q1262" s="351"/>
      <c r="R1262" s="527"/>
      <c r="S1262" s="351"/>
      <c r="T1262" s="528"/>
      <c r="U1262" s="351"/>
      <c r="V1262" s="537"/>
      <c r="W1262" s="351"/>
      <c r="X1262" s="538" t="s">
        <v>294</v>
      </c>
      <c r="Y1262" s="350"/>
      <c r="Z1262" s="350"/>
      <c r="AA1262" s="351"/>
      <c r="AB1262" s="539" t="s">
        <v>294</v>
      </c>
      <c r="AC1262" s="350"/>
      <c r="AD1262" s="350"/>
      <c r="AE1262" s="351"/>
      <c r="AF1262" s="540"/>
      <c r="AG1262" s="351"/>
      <c r="AH1262" s="540"/>
      <c r="AI1262" s="351"/>
      <c r="AJ1262" s="545"/>
      <c r="AK1262" s="351"/>
      <c r="AL1262" s="555" t="s">
        <v>325</v>
      </c>
      <c r="AM1262" s="351"/>
      <c r="AN1262" s="531" t="s">
        <v>325</v>
      </c>
      <c r="AO1262" s="351"/>
      <c r="AP1262" s="532"/>
      <c r="AQ1262" s="351"/>
      <c r="AR1262" s="533"/>
      <c r="AS1262" s="351"/>
      <c r="AT1262" s="534"/>
      <c r="AU1262" s="351"/>
      <c r="AV1262" s="531" t="s">
        <v>325</v>
      </c>
      <c r="AW1262" s="351"/>
      <c r="AX1262" s="553"/>
      <c r="AY1262" s="350"/>
      <c r="AZ1262" s="351"/>
      <c r="BA1262" s="545"/>
      <c r="BB1262" s="351"/>
      <c r="BC1262" s="36"/>
      <c r="BD1262" s="556" t="s">
        <v>325</v>
      </c>
      <c r="BE1262" s="351"/>
      <c r="BF1262" s="557"/>
      <c r="BG1262" s="350"/>
      <c r="BH1262" s="350"/>
      <c r="BI1262" s="351"/>
      <c r="BJ1262" s="506" t="s">
        <v>294</v>
      </c>
      <c r="BK1262" s="350"/>
      <c r="BL1262" s="350"/>
      <c r="BM1262" s="351"/>
      <c r="BN1262" s="530" t="s">
        <v>294</v>
      </c>
      <c r="BO1262" s="350"/>
      <c r="BP1262" s="350"/>
      <c r="BQ1262" s="350"/>
      <c r="BR1262" s="350"/>
      <c r="BS1262" s="350"/>
      <c r="BT1262" s="350"/>
      <c r="BU1262" s="350"/>
      <c r="BV1262" s="351"/>
    </row>
    <row r="1263" spans="1:74" ht="45" customHeight="1">
      <c r="A1263" s="24">
        <f t="shared" si="4"/>
        <v>1249</v>
      </c>
      <c r="B1263" s="522" t="s">
        <v>294</v>
      </c>
      <c r="C1263" s="351"/>
      <c r="D1263" s="523" t="s">
        <v>298</v>
      </c>
      <c r="E1263" s="351"/>
      <c r="F1263" s="524" t="s">
        <v>325</v>
      </c>
      <c r="G1263" s="351"/>
      <c r="H1263" s="561" t="s">
        <v>325</v>
      </c>
      <c r="I1263" s="351"/>
      <c r="J1263" s="562"/>
      <c r="K1263" s="351"/>
      <c r="L1263" s="562"/>
      <c r="M1263" s="351"/>
      <c r="N1263" s="34"/>
      <c r="O1263" s="35"/>
      <c r="P1263" s="526"/>
      <c r="Q1263" s="351"/>
      <c r="R1263" s="535"/>
      <c r="S1263" s="351"/>
      <c r="T1263" s="536"/>
      <c r="U1263" s="351"/>
      <c r="V1263" s="541"/>
      <c r="W1263" s="351"/>
      <c r="X1263" s="542" t="s">
        <v>294</v>
      </c>
      <c r="Y1263" s="350"/>
      <c r="Z1263" s="350"/>
      <c r="AA1263" s="351"/>
      <c r="AB1263" s="543" t="s">
        <v>294</v>
      </c>
      <c r="AC1263" s="350"/>
      <c r="AD1263" s="350"/>
      <c r="AE1263" s="351"/>
      <c r="AF1263" s="544"/>
      <c r="AG1263" s="351"/>
      <c r="AH1263" s="544"/>
      <c r="AI1263" s="351"/>
      <c r="AJ1263" s="545"/>
      <c r="AK1263" s="351"/>
      <c r="AL1263" s="524" t="s">
        <v>325</v>
      </c>
      <c r="AM1263" s="351"/>
      <c r="AN1263" s="549" t="s">
        <v>325</v>
      </c>
      <c r="AO1263" s="351"/>
      <c r="AP1263" s="550"/>
      <c r="AQ1263" s="351"/>
      <c r="AR1263" s="551"/>
      <c r="AS1263" s="351"/>
      <c r="AT1263" s="552"/>
      <c r="AU1263" s="351"/>
      <c r="AV1263" s="549" t="s">
        <v>325</v>
      </c>
      <c r="AW1263" s="351"/>
      <c r="AX1263" s="553"/>
      <c r="AY1263" s="350"/>
      <c r="AZ1263" s="351"/>
      <c r="BA1263" s="554"/>
      <c r="BB1263" s="351"/>
      <c r="BC1263" s="39"/>
      <c r="BD1263" s="546" t="s">
        <v>325</v>
      </c>
      <c r="BE1263" s="351"/>
      <c r="BF1263" s="547"/>
      <c r="BG1263" s="350"/>
      <c r="BH1263" s="350"/>
      <c r="BI1263" s="351"/>
      <c r="BJ1263" s="548" t="s">
        <v>294</v>
      </c>
      <c r="BK1263" s="350"/>
      <c r="BL1263" s="350"/>
      <c r="BM1263" s="351"/>
      <c r="BN1263" s="530" t="s">
        <v>294</v>
      </c>
      <c r="BO1263" s="350"/>
      <c r="BP1263" s="350"/>
      <c r="BQ1263" s="350"/>
      <c r="BR1263" s="350"/>
      <c r="BS1263" s="350"/>
      <c r="BT1263" s="350"/>
      <c r="BU1263" s="350"/>
      <c r="BV1263" s="351"/>
    </row>
    <row r="1264" spans="1:74" ht="45" customHeight="1">
      <c r="A1264" s="24">
        <f t="shared" si="4"/>
        <v>1250</v>
      </c>
      <c r="B1264" s="558" t="s">
        <v>294</v>
      </c>
      <c r="C1264" s="351"/>
      <c r="D1264" s="559" t="s">
        <v>298</v>
      </c>
      <c r="E1264" s="351"/>
      <c r="F1264" s="524" t="s">
        <v>325</v>
      </c>
      <c r="G1264" s="351"/>
      <c r="H1264" s="525" t="s">
        <v>325</v>
      </c>
      <c r="I1264" s="351"/>
      <c r="J1264" s="563"/>
      <c r="K1264" s="351"/>
      <c r="L1264" s="563"/>
      <c r="M1264" s="351"/>
      <c r="N1264" s="37"/>
      <c r="O1264" s="38"/>
      <c r="P1264" s="560"/>
      <c r="Q1264" s="351"/>
      <c r="R1264" s="527"/>
      <c r="S1264" s="351"/>
      <c r="T1264" s="528"/>
      <c r="U1264" s="351"/>
      <c r="V1264" s="537"/>
      <c r="W1264" s="351"/>
      <c r="X1264" s="538" t="s">
        <v>294</v>
      </c>
      <c r="Y1264" s="350"/>
      <c r="Z1264" s="350"/>
      <c r="AA1264" s="351"/>
      <c r="AB1264" s="539" t="s">
        <v>294</v>
      </c>
      <c r="AC1264" s="350"/>
      <c r="AD1264" s="350"/>
      <c r="AE1264" s="351"/>
      <c r="AF1264" s="540"/>
      <c r="AG1264" s="351"/>
      <c r="AH1264" s="540"/>
      <c r="AI1264" s="351"/>
      <c r="AJ1264" s="545"/>
      <c r="AK1264" s="351"/>
      <c r="AL1264" s="555" t="s">
        <v>325</v>
      </c>
      <c r="AM1264" s="351"/>
      <c r="AN1264" s="531" t="s">
        <v>325</v>
      </c>
      <c r="AO1264" s="351"/>
      <c r="AP1264" s="532"/>
      <c r="AQ1264" s="351"/>
      <c r="AR1264" s="533"/>
      <c r="AS1264" s="351"/>
      <c r="AT1264" s="534"/>
      <c r="AU1264" s="351"/>
      <c r="AV1264" s="531" t="s">
        <v>325</v>
      </c>
      <c r="AW1264" s="351"/>
      <c r="AX1264" s="553"/>
      <c r="AY1264" s="350"/>
      <c r="AZ1264" s="351"/>
      <c r="BA1264" s="545"/>
      <c r="BB1264" s="351"/>
      <c r="BC1264" s="36"/>
      <c r="BD1264" s="556" t="s">
        <v>325</v>
      </c>
      <c r="BE1264" s="351"/>
      <c r="BF1264" s="529"/>
      <c r="BG1264" s="350"/>
      <c r="BH1264" s="350"/>
      <c r="BI1264" s="351"/>
      <c r="BJ1264" s="506" t="s">
        <v>294</v>
      </c>
      <c r="BK1264" s="350"/>
      <c r="BL1264" s="350"/>
      <c r="BM1264" s="351"/>
      <c r="BN1264" s="530" t="s">
        <v>294</v>
      </c>
      <c r="BO1264" s="350"/>
      <c r="BP1264" s="350"/>
      <c r="BQ1264" s="350"/>
      <c r="BR1264" s="350"/>
      <c r="BS1264" s="350"/>
      <c r="BT1264" s="350"/>
      <c r="BU1264" s="350"/>
      <c r="BV1264" s="351"/>
    </row>
    <row r="1265" spans="1:74" ht="45" customHeight="1">
      <c r="A1265" s="24">
        <f t="shared" si="4"/>
        <v>1251</v>
      </c>
      <c r="B1265" s="522" t="s">
        <v>294</v>
      </c>
      <c r="C1265" s="351"/>
      <c r="D1265" s="523" t="s">
        <v>298</v>
      </c>
      <c r="E1265" s="351"/>
      <c r="F1265" s="524" t="s">
        <v>325</v>
      </c>
      <c r="G1265" s="351"/>
      <c r="H1265" s="561" t="s">
        <v>325</v>
      </c>
      <c r="I1265" s="351"/>
      <c r="J1265" s="562"/>
      <c r="K1265" s="351"/>
      <c r="L1265" s="562"/>
      <c r="M1265" s="351"/>
      <c r="N1265" s="34"/>
      <c r="O1265" s="35"/>
      <c r="P1265" s="526"/>
      <c r="Q1265" s="351"/>
      <c r="R1265" s="535"/>
      <c r="S1265" s="351"/>
      <c r="T1265" s="536"/>
      <c r="U1265" s="351"/>
      <c r="V1265" s="541"/>
      <c r="W1265" s="351"/>
      <c r="X1265" s="542" t="s">
        <v>294</v>
      </c>
      <c r="Y1265" s="350"/>
      <c r="Z1265" s="350"/>
      <c r="AA1265" s="351"/>
      <c r="AB1265" s="543" t="s">
        <v>294</v>
      </c>
      <c r="AC1265" s="350"/>
      <c r="AD1265" s="350"/>
      <c r="AE1265" s="351"/>
      <c r="AF1265" s="544"/>
      <c r="AG1265" s="351"/>
      <c r="AH1265" s="544"/>
      <c r="AI1265" s="351"/>
      <c r="AJ1265" s="545"/>
      <c r="AK1265" s="351"/>
      <c r="AL1265" s="524" t="s">
        <v>325</v>
      </c>
      <c r="AM1265" s="351"/>
      <c r="AN1265" s="549" t="s">
        <v>325</v>
      </c>
      <c r="AO1265" s="351"/>
      <c r="AP1265" s="550"/>
      <c r="AQ1265" s="351"/>
      <c r="AR1265" s="551"/>
      <c r="AS1265" s="351"/>
      <c r="AT1265" s="552"/>
      <c r="AU1265" s="351"/>
      <c r="AV1265" s="549" t="s">
        <v>325</v>
      </c>
      <c r="AW1265" s="351"/>
      <c r="AX1265" s="553"/>
      <c r="AY1265" s="350"/>
      <c r="AZ1265" s="351"/>
      <c r="BA1265" s="554"/>
      <c r="BB1265" s="351"/>
      <c r="BC1265" s="39"/>
      <c r="BD1265" s="546" t="s">
        <v>325</v>
      </c>
      <c r="BE1265" s="351"/>
      <c r="BF1265" s="547"/>
      <c r="BG1265" s="350"/>
      <c r="BH1265" s="350"/>
      <c r="BI1265" s="351"/>
      <c r="BJ1265" s="548" t="s">
        <v>294</v>
      </c>
      <c r="BK1265" s="350"/>
      <c r="BL1265" s="350"/>
      <c r="BM1265" s="351"/>
      <c r="BN1265" s="530" t="s">
        <v>294</v>
      </c>
      <c r="BO1265" s="350"/>
      <c r="BP1265" s="350"/>
      <c r="BQ1265" s="350"/>
      <c r="BR1265" s="350"/>
      <c r="BS1265" s="350"/>
      <c r="BT1265" s="350"/>
      <c r="BU1265" s="350"/>
      <c r="BV1265" s="351"/>
    </row>
    <row r="1266" spans="1:74" ht="45" customHeight="1">
      <c r="A1266" s="24">
        <f t="shared" si="4"/>
        <v>1252</v>
      </c>
      <c r="B1266" s="558" t="s">
        <v>294</v>
      </c>
      <c r="C1266" s="351"/>
      <c r="D1266" s="559" t="s">
        <v>298</v>
      </c>
      <c r="E1266" s="351"/>
      <c r="F1266" s="524" t="s">
        <v>325</v>
      </c>
      <c r="G1266" s="351"/>
      <c r="H1266" s="525" t="s">
        <v>325</v>
      </c>
      <c r="I1266" s="351"/>
      <c r="J1266" s="563"/>
      <c r="K1266" s="351"/>
      <c r="L1266" s="563"/>
      <c r="M1266" s="351"/>
      <c r="N1266" s="37"/>
      <c r="O1266" s="38"/>
      <c r="P1266" s="560"/>
      <c r="Q1266" s="351"/>
      <c r="R1266" s="527"/>
      <c r="S1266" s="351"/>
      <c r="T1266" s="528"/>
      <c r="U1266" s="351"/>
      <c r="V1266" s="537"/>
      <c r="W1266" s="351"/>
      <c r="X1266" s="538" t="s">
        <v>294</v>
      </c>
      <c r="Y1266" s="350"/>
      <c r="Z1266" s="350"/>
      <c r="AA1266" s="351"/>
      <c r="AB1266" s="539" t="s">
        <v>294</v>
      </c>
      <c r="AC1266" s="350"/>
      <c r="AD1266" s="350"/>
      <c r="AE1266" s="351"/>
      <c r="AF1266" s="540"/>
      <c r="AG1266" s="351"/>
      <c r="AH1266" s="540"/>
      <c r="AI1266" s="351"/>
      <c r="AJ1266" s="545"/>
      <c r="AK1266" s="351"/>
      <c r="AL1266" s="555" t="s">
        <v>325</v>
      </c>
      <c r="AM1266" s="351"/>
      <c r="AN1266" s="531" t="s">
        <v>325</v>
      </c>
      <c r="AO1266" s="351"/>
      <c r="AP1266" s="532"/>
      <c r="AQ1266" s="351"/>
      <c r="AR1266" s="533"/>
      <c r="AS1266" s="351"/>
      <c r="AT1266" s="534"/>
      <c r="AU1266" s="351"/>
      <c r="AV1266" s="531" t="s">
        <v>325</v>
      </c>
      <c r="AW1266" s="351"/>
      <c r="AX1266" s="553"/>
      <c r="AY1266" s="350"/>
      <c r="AZ1266" s="351"/>
      <c r="BA1266" s="545"/>
      <c r="BB1266" s="351"/>
      <c r="BC1266" s="36"/>
      <c r="BD1266" s="556" t="s">
        <v>325</v>
      </c>
      <c r="BE1266" s="351"/>
      <c r="BF1266" s="557"/>
      <c r="BG1266" s="350"/>
      <c r="BH1266" s="350"/>
      <c r="BI1266" s="351"/>
      <c r="BJ1266" s="506" t="s">
        <v>294</v>
      </c>
      <c r="BK1266" s="350"/>
      <c r="BL1266" s="350"/>
      <c r="BM1266" s="351"/>
      <c r="BN1266" s="530" t="s">
        <v>294</v>
      </c>
      <c r="BO1266" s="350"/>
      <c r="BP1266" s="350"/>
      <c r="BQ1266" s="350"/>
      <c r="BR1266" s="350"/>
      <c r="BS1266" s="350"/>
      <c r="BT1266" s="350"/>
      <c r="BU1266" s="350"/>
      <c r="BV1266" s="351"/>
    </row>
    <row r="1267" spans="1:74" ht="45" customHeight="1">
      <c r="A1267" s="24">
        <f t="shared" si="4"/>
        <v>1253</v>
      </c>
      <c r="B1267" s="522" t="s">
        <v>294</v>
      </c>
      <c r="C1267" s="351"/>
      <c r="D1267" s="523" t="s">
        <v>298</v>
      </c>
      <c r="E1267" s="351"/>
      <c r="F1267" s="524" t="s">
        <v>325</v>
      </c>
      <c r="G1267" s="351"/>
      <c r="H1267" s="561" t="s">
        <v>325</v>
      </c>
      <c r="I1267" s="351"/>
      <c r="J1267" s="562"/>
      <c r="K1267" s="351"/>
      <c r="L1267" s="562"/>
      <c r="M1267" s="351"/>
      <c r="N1267" s="34"/>
      <c r="O1267" s="35"/>
      <c r="P1267" s="526"/>
      <c r="Q1267" s="351"/>
      <c r="R1267" s="535"/>
      <c r="S1267" s="351"/>
      <c r="T1267" s="536"/>
      <c r="U1267" s="351"/>
      <c r="V1267" s="541"/>
      <c r="W1267" s="351"/>
      <c r="X1267" s="542" t="s">
        <v>294</v>
      </c>
      <c r="Y1267" s="350"/>
      <c r="Z1267" s="350"/>
      <c r="AA1267" s="351"/>
      <c r="AB1267" s="543" t="s">
        <v>294</v>
      </c>
      <c r="AC1267" s="350"/>
      <c r="AD1267" s="350"/>
      <c r="AE1267" s="351"/>
      <c r="AF1267" s="544"/>
      <c r="AG1267" s="351"/>
      <c r="AH1267" s="544"/>
      <c r="AI1267" s="351"/>
      <c r="AJ1267" s="545"/>
      <c r="AK1267" s="351"/>
      <c r="AL1267" s="524" t="s">
        <v>325</v>
      </c>
      <c r="AM1267" s="351"/>
      <c r="AN1267" s="549" t="s">
        <v>325</v>
      </c>
      <c r="AO1267" s="351"/>
      <c r="AP1267" s="550"/>
      <c r="AQ1267" s="351"/>
      <c r="AR1267" s="551"/>
      <c r="AS1267" s="351"/>
      <c r="AT1267" s="534"/>
      <c r="AU1267" s="351"/>
      <c r="AV1267" s="549" t="s">
        <v>325</v>
      </c>
      <c r="AW1267" s="351"/>
      <c r="AX1267" s="553"/>
      <c r="AY1267" s="350"/>
      <c r="AZ1267" s="351"/>
      <c r="BA1267" s="554"/>
      <c r="BB1267" s="351"/>
      <c r="BC1267" s="39"/>
      <c r="BD1267" s="546" t="s">
        <v>325</v>
      </c>
      <c r="BE1267" s="351"/>
      <c r="BF1267" s="547"/>
      <c r="BG1267" s="350"/>
      <c r="BH1267" s="350"/>
      <c r="BI1267" s="351"/>
      <c r="BJ1267" s="548" t="s">
        <v>294</v>
      </c>
      <c r="BK1267" s="350"/>
      <c r="BL1267" s="350"/>
      <c r="BM1267" s="351"/>
      <c r="BN1267" s="530" t="s">
        <v>294</v>
      </c>
      <c r="BO1267" s="350"/>
      <c r="BP1267" s="350"/>
      <c r="BQ1267" s="350"/>
      <c r="BR1267" s="350"/>
      <c r="BS1267" s="350"/>
      <c r="BT1267" s="350"/>
      <c r="BU1267" s="350"/>
      <c r="BV1267" s="351"/>
    </row>
    <row r="1268" spans="1:74" ht="45" customHeight="1">
      <c r="A1268" s="24">
        <f t="shared" si="4"/>
        <v>1254</v>
      </c>
      <c r="B1268" s="558" t="s">
        <v>294</v>
      </c>
      <c r="C1268" s="351"/>
      <c r="D1268" s="559" t="s">
        <v>298</v>
      </c>
      <c r="E1268" s="351"/>
      <c r="F1268" s="524" t="s">
        <v>325</v>
      </c>
      <c r="G1268" s="351"/>
      <c r="H1268" s="525" t="s">
        <v>325</v>
      </c>
      <c r="I1268" s="351"/>
      <c r="J1268" s="563"/>
      <c r="K1268" s="351"/>
      <c r="L1268" s="563"/>
      <c r="M1268" s="351"/>
      <c r="N1268" s="37"/>
      <c r="O1268" s="38"/>
      <c r="P1268" s="560"/>
      <c r="Q1268" s="351"/>
      <c r="R1268" s="527"/>
      <c r="S1268" s="351"/>
      <c r="T1268" s="528"/>
      <c r="U1268" s="351"/>
      <c r="V1268" s="537"/>
      <c r="W1268" s="351"/>
      <c r="X1268" s="538" t="s">
        <v>294</v>
      </c>
      <c r="Y1268" s="350"/>
      <c r="Z1268" s="350"/>
      <c r="AA1268" s="351"/>
      <c r="AB1268" s="539" t="s">
        <v>294</v>
      </c>
      <c r="AC1268" s="350"/>
      <c r="AD1268" s="350"/>
      <c r="AE1268" s="351"/>
      <c r="AF1268" s="540"/>
      <c r="AG1268" s="351"/>
      <c r="AH1268" s="540"/>
      <c r="AI1268" s="351"/>
      <c r="AJ1268" s="545"/>
      <c r="AK1268" s="351"/>
      <c r="AL1268" s="555" t="s">
        <v>325</v>
      </c>
      <c r="AM1268" s="351"/>
      <c r="AN1268" s="531" t="s">
        <v>325</v>
      </c>
      <c r="AO1268" s="351"/>
      <c r="AP1268" s="532"/>
      <c r="AQ1268" s="351"/>
      <c r="AR1268" s="533"/>
      <c r="AS1268" s="351"/>
      <c r="AT1268" s="534"/>
      <c r="AU1268" s="351"/>
      <c r="AV1268" s="531" t="s">
        <v>325</v>
      </c>
      <c r="AW1268" s="351"/>
      <c r="AX1268" s="553"/>
      <c r="AY1268" s="350"/>
      <c r="AZ1268" s="351"/>
      <c r="BA1268" s="545"/>
      <c r="BB1268" s="351"/>
      <c r="BC1268" s="36"/>
      <c r="BD1268" s="556" t="s">
        <v>325</v>
      </c>
      <c r="BE1268" s="351"/>
      <c r="BF1268" s="557"/>
      <c r="BG1268" s="350"/>
      <c r="BH1268" s="350"/>
      <c r="BI1268" s="351"/>
      <c r="BJ1268" s="506" t="s">
        <v>294</v>
      </c>
      <c r="BK1268" s="350"/>
      <c r="BL1268" s="350"/>
      <c r="BM1268" s="351"/>
      <c r="BN1268" s="530" t="s">
        <v>294</v>
      </c>
      <c r="BO1268" s="350"/>
      <c r="BP1268" s="350"/>
      <c r="BQ1268" s="350"/>
      <c r="BR1268" s="350"/>
      <c r="BS1268" s="350"/>
      <c r="BT1268" s="350"/>
      <c r="BU1268" s="350"/>
      <c r="BV1268" s="351"/>
    </row>
    <row r="1269" spans="1:74" ht="45" customHeight="1">
      <c r="A1269" s="24">
        <f t="shared" si="4"/>
        <v>1255</v>
      </c>
      <c r="B1269" s="522" t="s">
        <v>294</v>
      </c>
      <c r="C1269" s="351"/>
      <c r="D1269" s="523" t="s">
        <v>298</v>
      </c>
      <c r="E1269" s="351"/>
      <c r="F1269" s="524" t="s">
        <v>325</v>
      </c>
      <c r="G1269" s="351"/>
      <c r="H1269" s="561" t="s">
        <v>325</v>
      </c>
      <c r="I1269" s="351"/>
      <c r="J1269" s="562"/>
      <c r="K1269" s="351"/>
      <c r="L1269" s="562"/>
      <c r="M1269" s="351"/>
      <c r="N1269" s="34"/>
      <c r="O1269" s="35"/>
      <c r="P1269" s="526"/>
      <c r="Q1269" s="351"/>
      <c r="R1269" s="535"/>
      <c r="S1269" s="351"/>
      <c r="T1269" s="536"/>
      <c r="U1269" s="351"/>
      <c r="V1269" s="541"/>
      <c r="W1269" s="351"/>
      <c r="X1269" s="542" t="s">
        <v>294</v>
      </c>
      <c r="Y1269" s="350"/>
      <c r="Z1269" s="350"/>
      <c r="AA1269" s="351"/>
      <c r="AB1269" s="543" t="s">
        <v>294</v>
      </c>
      <c r="AC1269" s="350"/>
      <c r="AD1269" s="350"/>
      <c r="AE1269" s="351"/>
      <c r="AF1269" s="544"/>
      <c r="AG1269" s="351"/>
      <c r="AH1269" s="544"/>
      <c r="AI1269" s="351"/>
      <c r="AJ1269" s="545"/>
      <c r="AK1269" s="351"/>
      <c r="AL1269" s="524" t="s">
        <v>325</v>
      </c>
      <c r="AM1269" s="351"/>
      <c r="AN1269" s="549" t="s">
        <v>325</v>
      </c>
      <c r="AO1269" s="351"/>
      <c r="AP1269" s="550"/>
      <c r="AQ1269" s="351"/>
      <c r="AR1269" s="551"/>
      <c r="AS1269" s="351"/>
      <c r="AT1269" s="534"/>
      <c r="AU1269" s="351"/>
      <c r="AV1269" s="549" t="s">
        <v>325</v>
      </c>
      <c r="AW1269" s="351"/>
      <c r="AX1269" s="553"/>
      <c r="AY1269" s="350"/>
      <c r="AZ1269" s="351"/>
      <c r="BA1269" s="554"/>
      <c r="BB1269" s="351"/>
      <c r="BC1269" s="39"/>
      <c r="BD1269" s="546" t="s">
        <v>325</v>
      </c>
      <c r="BE1269" s="351"/>
      <c r="BF1269" s="547"/>
      <c r="BG1269" s="350"/>
      <c r="BH1269" s="350"/>
      <c r="BI1269" s="351"/>
      <c r="BJ1269" s="548" t="s">
        <v>294</v>
      </c>
      <c r="BK1269" s="350"/>
      <c r="BL1269" s="350"/>
      <c r="BM1269" s="351"/>
      <c r="BN1269" s="530" t="s">
        <v>294</v>
      </c>
      <c r="BO1269" s="350"/>
      <c r="BP1269" s="350"/>
      <c r="BQ1269" s="350"/>
      <c r="BR1269" s="350"/>
      <c r="BS1269" s="350"/>
      <c r="BT1269" s="350"/>
      <c r="BU1269" s="350"/>
      <c r="BV1269" s="351"/>
    </row>
    <row r="1270" spans="1:74" ht="45" customHeight="1">
      <c r="A1270" s="24">
        <f t="shared" si="4"/>
        <v>1256</v>
      </c>
      <c r="B1270" s="558" t="s">
        <v>294</v>
      </c>
      <c r="C1270" s="351"/>
      <c r="D1270" s="559" t="s">
        <v>298</v>
      </c>
      <c r="E1270" s="351"/>
      <c r="F1270" s="524" t="s">
        <v>325</v>
      </c>
      <c r="G1270" s="351"/>
      <c r="H1270" s="525" t="s">
        <v>325</v>
      </c>
      <c r="I1270" s="351"/>
      <c r="J1270" s="563"/>
      <c r="K1270" s="351"/>
      <c r="L1270" s="563"/>
      <c r="M1270" s="351"/>
      <c r="N1270" s="37"/>
      <c r="O1270" s="38"/>
      <c r="P1270" s="560"/>
      <c r="Q1270" s="351"/>
      <c r="R1270" s="527"/>
      <c r="S1270" s="351"/>
      <c r="T1270" s="528"/>
      <c r="U1270" s="351"/>
      <c r="V1270" s="537"/>
      <c r="W1270" s="351"/>
      <c r="X1270" s="538" t="s">
        <v>294</v>
      </c>
      <c r="Y1270" s="350"/>
      <c r="Z1270" s="350"/>
      <c r="AA1270" s="351"/>
      <c r="AB1270" s="539" t="s">
        <v>294</v>
      </c>
      <c r="AC1270" s="350"/>
      <c r="AD1270" s="350"/>
      <c r="AE1270" s="351"/>
      <c r="AF1270" s="540"/>
      <c r="AG1270" s="351"/>
      <c r="AH1270" s="540"/>
      <c r="AI1270" s="351"/>
      <c r="AJ1270" s="545"/>
      <c r="AK1270" s="351"/>
      <c r="AL1270" s="555" t="s">
        <v>325</v>
      </c>
      <c r="AM1270" s="351"/>
      <c r="AN1270" s="531" t="s">
        <v>325</v>
      </c>
      <c r="AO1270" s="351"/>
      <c r="AP1270" s="532"/>
      <c r="AQ1270" s="351"/>
      <c r="AR1270" s="533"/>
      <c r="AS1270" s="351"/>
      <c r="AT1270" s="534"/>
      <c r="AU1270" s="351"/>
      <c r="AV1270" s="531" t="s">
        <v>325</v>
      </c>
      <c r="AW1270" s="351"/>
      <c r="AX1270" s="553"/>
      <c r="AY1270" s="350"/>
      <c r="AZ1270" s="351"/>
      <c r="BA1270" s="545"/>
      <c r="BB1270" s="351"/>
      <c r="BC1270" s="36"/>
      <c r="BD1270" s="556" t="s">
        <v>325</v>
      </c>
      <c r="BE1270" s="351"/>
      <c r="BF1270" s="557"/>
      <c r="BG1270" s="350"/>
      <c r="BH1270" s="350"/>
      <c r="BI1270" s="351"/>
      <c r="BJ1270" s="506" t="s">
        <v>294</v>
      </c>
      <c r="BK1270" s="350"/>
      <c r="BL1270" s="350"/>
      <c r="BM1270" s="351"/>
      <c r="BN1270" s="530" t="s">
        <v>294</v>
      </c>
      <c r="BO1270" s="350"/>
      <c r="BP1270" s="350"/>
      <c r="BQ1270" s="350"/>
      <c r="BR1270" s="350"/>
      <c r="BS1270" s="350"/>
      <c r="BT1270" s="350"/>
      <c r="BU1270" s="350"/>
      <c r="BV1270" s="351"/>
    </row>
    <row r="1271" spans="1:74" ht="45" customHeight="1">
      <c r="A1271" s="24">
        <f t="shared" si="4"/>
        <v>1257</v>
      </c>
      <c r="B1271" s="522" t="s">
        <v>294</v>
      </c>
      <c r="C1271" s="351"/>
      <c r="D1271" s="523" t="s">
        <v>298</v>
      </c>
      <c r="E1271" s="351"/>
      <c r="F1271" s="524" t="s">
        <v>325</v>
      </c>
      <c r="G1271" s="351"/>
      <c r="H1271" s="561" t="s">
        <v>325</v>
      </c>
      <c r="I1271" s="351"/>
      <c r="J1271" s="562"/>
      <c r="K1271" s="351"/>
      <c r="L1271" s="562"/>
      <c r="M1271" s="351"/>
      <c r="N1271" s="34"/>
      <c r="O1271" s="35"/>
      <c r="P1271" s="526"/>
      <c r="Q1271" s="351"/>
      <c r="R1271" s="535"/>
      <c r="S1271" s="351"/>
      <c r="T1271" s="536"/>
      <c r="U1271" s="351"/>
      <c r="V1271" s="541"/>
      <c r="W1271" s="351"/>
      <c r="X1271" s="542" t="s">
        <v>294</v>
      </c>
      <c r="Y1271" s="350"/>
      <c r="Z1271" s="350"/>
      <c r="AA1271" s="351"/>
      <c r="AB1271" s="543" t="s">
        <v>294</v>
      </c>
      <c r="AC1271" s="350"/>
      <c r="AD1271" s="350"/>
      <c r="AE1271" s="351"/>
      <c r="AF1271" s="544"/>
      <c r="AG1271" s="351"/>
      <c r="AH1271" s="544"/>
      <c r="AI1271" s="351"/>
      <c r="AJ1271" s="545"/>
      <c r="AK1271" s="351"/>
      <c r="AL1271" s="524" t="s">
        <v>325</v>
      </c>
      <c r="AM1271" s="351"/>
      <c r="AN1271" s="549" t="s">
        <v>325</v>
      </c>
      <c r="AO1271" s="351"/>
      <c r="AP1271" s="550"/>
      <c r="AQ1271" s="351"/>
      <c r="AR1271" s="551"/>
      <c r="AS1271" s="351"/>
      <c r="AT1271" s="552"/>
      <c r="AU1271" s="351"/>
      <c r="AV1271" s="549" t="s">
        <v>325</v>
      </c>
      <c r="AW1271" s="351"/>
      <c r="AX1271" s="553"/>
      <c r="AY1271" s="350"/>
      <c r="AZ1271" s="351"/>
      <c r="BA1271" s="554"/>
      <c r="BB1271" s="351"/>
      <c r="BC1271" s="39"/>
      <c r="BD1271" s="546" t="s">
        <v>325</v>
      </c>
      <c r="BE1271" s="351"/>
      <c r="BF1271" s="547"/>
      <c r="BG1271" s="350"/>
      <c r="BH1271" s="350"/>
      <c r="BI1271" s="351"/>
      <c r="BJ1271" s="548" t="s">
        <v>294</v>
      </c>
      <c r="BK1271" s="350"/>
      <c r="BL1271" s="350"/>
      <c r="BM1271" s="351"/>
      <c r="BN1271" s="530" t="s">
        <v>294</v>
      </c>
      <c r="BO1271" s="350"/>
      <c r="BP1271" s="350"/>
      <c r="BQ1271" s="350"/>
      <c r="BR1271" s="350"/>
      <c r="BS1271" s="350"/>
      <c r="BT1271" s="350"/>
      <c r="BU1271" s="350"/>
      <c r="BV1271" s="351"/>
    </row>
    <row r="1272" spans="1:74" ht="45" customHeight="1">
      <c r="A1272" s="24">
        <f t="shared" si="4"/>
        <v>1258</v>
      </c>
      <c r="B1272" s="558" t="s">
        <v>294</v>
      </c>
      <c r="C1272" s="351"/>
      <c r="D1272" s="559" t="s">
        <v>298</v>
      </c>
      <c r="E1272" s="351"/>
      <c r="F1272" s="524" t="s">
        <v>325</v>
      </c>
      <c r="G1272" s="351"/>
      <c r="H1272" s="525" t="s">
        <v>325</v>
      </c>
      <c r="I1272" s="351"/>
      <c r="J1272" s="563"/>
      <c r="K1272" s="351"/>
      <c r="L1272" s="563"/>
      <c r="M1272" s="351"/>
      <c r="N1272" s="37"/>
      <c r="O1272" s="38"/>
      <c r="P1272" s="560"/>
      <c r="Q1272" s="351"/>
      <c r="R1272" s="527"/>
      <c r="S1272" s="351"/>
      <c r="T1272" s="528"/>
      <c r="U1272" s="351"/>
      <c r="V1272" s="537"/>
      <c r="W1272" s="351"/>
      <c r="X1272" s="538" t="s">
        <v>294</v>
      </c>
      <c r="Y1272" s="350"/>
      <c r="Z1272" s="350"/>
      <c r="AA1272" s="351"/>
      <c r="AB1272" s="539" t="s">
        <v>294</v>
      </c>
      <c r="AC1272" s="350"/>
      <c r="AD1272" s="350"/>
      <c r="AE1272" s="351"/>
      <c r="AF1272" s="540"/>
      <c r="AG1272" s="351"/>
      <c r="AH1272" s="540"/>
      <c r="AI1272" s="351"/>
      <c r="AJ1272" s="545"/>
      <c r="AK1272" s="351"/>
      <c r="AL1272" s="555" t="s">
        <v>325</v>
      </c>
      <c r="AM1272" s="351"/>
      <c r="AN1272" s="531" t="s">
        <v>325</v>
      </c>
      <c r="AO1272" s="351"/>
      <c r="AP1272" s="532"/>
      <c r="AQ1272" s="351"/>
      <c r="AR1272" s="533"/>
      <c r="AS1272" s="351"/>
      <c r="AT1272" s="534"/>
      <c r="AU1272" s="351"/>
      <c r="AV1272" s="531" t="s">
        <v>325</v>
      </c>
      <c r="AW1272" s="351"/>
      <c r="AX1272" s="553"/>
      <c r="AY1272" s="350"/>
      <c r="AZ1272" s="351"/>
      <c r="BA1272" s="545"/>
      <c r="BB1272" s="351"/>
      <c r="BC1272" s="36"/>
      <c r="BD1272" s="556" t="s">
        <v>325</v>
      </c>
      <c r="BE1272" s="351"/>
      <c r="BF1272" s="529"/>
      <c r="BG1272" s="350"/>
      <c r="BH1272" s="350"/>
      <c r="BI1272" s="351"/>
      <c r="BJ1272" s="506" t="s">
        <v>294</v>
      </c>
      <c r="BK1272" s="350"/>
      <c r="BL1272" s="350"/>
      <c r="BM1272" s="351"/>
      <c r="BN1272" s="530" t="s">
        <v>294</v>
      </c>
      <c r="BO1272" s="350"/>
      <c r="BP1272" s="350"/>
      <c r="BQ1272" s="350"/>
      <c r="BR1272" s="350"/>
      <c r="BS1272" s="350"/>
      <c r="BT1272" s="350"/>
      <c r="BU1272" s="350"/>
      <c r="BV1272" s="351"/>
    </row>
    <row r="1273" spans="1:74" ht="45" customHeight="1">
      <c r="A1273" s="24">
        <f t="shared" si="4"/>
        <v>1259</v>
      </c>
      <c r="B1273" s="522" t="s">
        <v>294</v>
      </c>
      <c r="C1273" s="351"/>
      <c r="D1273" s="523" t="s">
        <v>298</v>
      </c>
      <c r="E1273" s="351"/>
      <c r="F1273" s="524" t="s">
        <v>325</v>
      </c>
      <c r="G1273" s="351"/>
      <c r="H1273" s="561" t="s">
        <v>325</v>
      </c>
      <c r="I1273" s="351"/>
      <c r="J1273" s="562"/>
      <c r="K1273" s="351"/>
      <c r="L1273" s="562"/>
      <c r="M1273" s="351"/>
      <c r="N1273" s="34"/>
      <c r="O1273" s="35"/>
      <c r="P1273" s="526"/>
      <c r="Q1273" s="351"/>
      <c r="R1273" s="535"/>
      <c r="S1273" s="351"/>
      <c r="T1273" s="536"/>
      <c r="U1273" s="351"/>
      <c r="V1273" s="541"/>
      <c r="W1273" s="351"/>
      <c r="X1273" s="542" t="s">
        <v>294</v>
      </c>
      <c r="Y1273" s="350"/>
      <c r="Z1273" s="350"/>
      <c r="AA1273" s="351"/>
      <c r="AB1273" s="543" t="s">
        <v>294</v>
      </c>
      <c r="AC1273" s="350"/>
      <c r="AD1273" s="350"/>
      <c r="AE1273" s="351"/>
      <c r="AF1273" s="544"/>
      <c r="AG1273" s="351"/>
      <c r="AH1273" s="544"/>
      <c r="AI1273" s="351"/>
      <c r="AJ1273" s="545"/>
      <c r="AK1273" s="351"/>
      <c r="AL1273" s="524" t="s">
        <v>325</v>
      </c>
      <c r="AM1273" s="351"/>
      <c r="AN1273" s="549" t="s">
        <v>325</v>
      </c>
      <c r="AO1273" s="351"/>
      <c r="AP1273" s="550"/>
      <c r="AQ1273" s="351"/>
      <c r="AR1273" s="551"/>
      <c r="AS1273" s="351"/>
      <c r="AT1273" s="552"/>
      <c r="AU1273" s="351"/>
      <c r="AV1273" s="549" t="s">
        <v>325</v>
      </c>
      <c r="AW1273" s="351"/>
      <c r="AX1273" s="553"/>
      <c r="AY1273" s="350"/>
      <c r="AZ1273" s="351"/>
      <c r="BA1273" s="554"/>
      <c r="BB1273" s="351"/>
      <c r="BC1273" s="39"/>
      <c r="BD1273" s="546" t="s">
        <v>325</v>
      </c>
      <c r="BE1273" s="351"/>
      <c r="BF1273" s="547"/>
      <c r="BG1273" s="350"/>
      <c r="BH1273" s="350"/>
      <c r="BI1273" s="351"/>
      <c r="BJ1273" s="548" t="s">
        <v>294</v>
      </c>
      <c r="BK1273" s="350"/>
      <c r="BL1273" s="350"/>
      <c r="BM1273" s="351"/>
      <c r="BN1273" s="530" t="s">
        <v>294</v>
      </c>
      <c r="BO1273" s="350"/>
      <c r="BP1273" s="350"/>
      <c r="BQ1273" s="350"/>
      <c r="BR1273" s="350"/>
      <c r="BS1273" s="350"/>
      <c r="BT1273" s="350"/>
      <c r="BU1273" s="350"/>
      <c r="BV1273" s="351"/>
    </row>
    <row r="1274" spans="1:74" ht="45" customHeight="1">
      <c r="A1274" s="24">
        <f t="shared" si="4"/>
        <v>1260</v>
      </c>
      <c r="B1274" s="558" t="s">
        <v>294</v>
      </c>
      <c r="C1274" s="351"/>
      <c r="D1274" s="559" t="s">
        <v>298</v>
      </c>
      <c r="E1274" s="351"/>
      <c r="F1274" s="524" t="s">
        <v>325</v>
      </c>
      <c r="G1274" s="351"/>
      <c r="H1274" s="525" t="s">
        <v>325</v>
      </c>
      <c r="I1274" s="351"/>
      <c r="J1274" s="563"/>
      <c r="K1274" s="351"/>
      <c r="L1274" s="563"/>
      <c r="M1274" s="351"/>
      <c r="N1274" s="37"/>
      <c r="O1274" s="38"/>
      <c r="P1274" s="560"/>
      <c r="Q1274" s="351"/>
      <c r="R1274" s="527"/>
      <c r="S1274" s="351"/>
      <c r="T1274" s="528"/>
      <c r="U1274" s="351"/>
      <c r="V1274" s="537"/>
      <c r="W1274" s="351"/>
      <c r="X1274" s="538" t="s">
        <v>294</v>
      </c>
      <c r="Y1274" s="350"/>
      <c r="Z1274" s="350"/>
      <c r="AA1274" s="351"/>
      <c r="AB1274" s="539" t="s">
        <v>294</v>
      </c>
      <c r="AC1274" s="350"/>
      <c r="AD1274" s="350"/>
      <c r="AE1274" s="351"/>
      <c r="AF1274" s="540"/>
      <c r="AG1274" s="351"/>
      <c r="AH1274" s="540"/>
      <c r="AI1274" s="351"/>
      <c r="AJ1274" s="545"/>
      <c r="AK1274" s="351"/>
      <c r="AL1274" s="555" t="s">
        <v>325</v>
      </c>
      <c r="AM1274" s="351"/>
      <c r="AN1274" s="531" t="s">
        <v>325</v>
      </c>
      <c r="AO1274" s="351"/>
      <c r="AP1274" s="532"/>
      <c r="AQ1274" s="351"/>
      <c r="AR1274" s="533"/>
      <c r="AS1274" s="351"/>
      <c r="AT1274" s="534"/>
      <c r="AU1274" s="351"/>
      <c r="AV1274" s="531" t="s">
        <v>325</v>
      </c>
      <c r="AW1274" s="351"/>
      <c r="AX1274" s="553"/>
      <c r="AY1274" s="350"/>
      <c r="AZ1274" s="351"/>
      <c r="BA1274" s="545"/>
      <c r="BB1274" s="351"/>
      <c r="BC1274" s="36"/>
      <c r="BD1274" s="556" t="s">
        <v>325</v>
      </c>
      <c r="BE1274" s="351"/>
      <c r="BF1274" s="557"/>
      <c r="BG1274" s="350"/>
      <c r="BH1274" s="350"/>
      <c r="BI1274" s="351"/>
      <c r="BJ1274" s="506" t="s">
        <v>294</v>
      </c>
      <c r="BK1274" s="350"/>
      <c r="BL1274" s="350"/>
      <c r="BM1274" s="351"/>
      <c r="BN1274" s="530" t="s">
        <v>294</v>
      </c>
      <c r="BO1274" s="350"/>
      <c r="BP1274" s="350"/>
      <c r="BQ1274" s="350"/>
      <c r="BR1274" s="350"/>
      <c r="BS1274" s="350"/>
      <c r="BT1274" s="350"/>
      <c r="BU1274" s="350"/>
      <c r="BV1274" s="351"/>
    </row>
    <row r="1275" spans="1:74" ht="45" customHeight="1">
      <c r="A1275" s="24">
        <f t="shared" si="4"/>
        <v>1261</v>
      </c>
      <c r="B1275" s="522" t="s">
        <v>294</v>
      </c>
      <c r="C1275" s="351"/>
      <c r="D1275" s="523" t="s">
        <v>298</v>
      </c>
      <c r="E1275" s="351"/>
      <c r="F1275" s="524" t="s">
        <v>325</v>
      </c>
      <c r="G1275" s="351"/>
      <c r="H1275" s="561" t="s">
        <v>325</v>
      </c>
      <c r="I1275" s="351"/>
      <c r="J1275" s="562"/>
      <c r="K1275" s="351"/>
      <c r="L1275" s="562"/>
      <c r="M1275" s="351"/>
      <c r="N1275" s="34"/>
      <c r="O1275" s="35"/>
      <c r="P1275" s="526"/>
      <c r="Q1275" s="351"/>
      <c r="R1275" s="535"/>
      <c r="S1275" s="351"/>
      <c r="T1275" s="536"/>
      <c r="U1275" s="351"/>
      <c r="V1275" s="541"/>
      <c r="W1275" s="351"/>
      <c r="X1275" s="542" t="s">
        <v>294</v>
      </c>
      <c r="Y1275" s="350"/>
      <c r="Z1275" s="350"/>
      <c r="AA1275" s="351"/>
      <c r="AB1275" s="543" t="s">
        <v>294</v>
      </c>
      <c r="AC1275" s="350"/>
      <c r="AD1275" s="350"/>
      <c r="AE1275" s="351"/>
      <c r="AF1275" s="544"/>
      <c r="AG1275" s="351"/>
      <c r="AH1275" s="544"/>
      <c r="AI1275" s="351"/>
      <c r="AJ1275" s="545"/>
      <c r="AK1275" s="351"/>
      <c r="AL1275" s="524" t="s">
        <v>325</v>
      </c>
      <c r="AM1275" s="351"/>
      <c r="AN1275" s="549" t="s">
        <v>325</v>
      </c>
      <c r="AO1275" s="351"/>
      <c r="AP1275" s="550"/>
      <c r="AQ1275" s="351"/>
      <c r="AR1275" s="551"/>
      <c r="AS1275" s="351"/>
      <c r="AT1275" s="552"/>
      <c r="AU1275" s="351"/>
      <c r="AV1275" s="549" t="s">
        <v>325</v>
      </c>
      <c r="AW1275" s="351"/>
      <c r="AX1275" s="553"/>
      <c r="AY1275" s="350"/>
      <c r="AZ1275" s="351"/>
      <c r="BA1275" s="554"/>
      <c r="BB1275" s="351"/>
      <c r="BC1275" s="39"/>
      <c r="BD1275" s="546" t="s">
        <v>325</v>
      </c>
      <c r="BE1275" s="351"/>
      <c r="BF1275" s="547"/>
      <c r="BG1275" s="350"/>
      <c r="BH1275" s="350"/>
      <c r="BI1275" s="351"/>
      <c r="BJ1275" s="548" t="s">
        <v>294</v>
      </c>
      <c r="BK1275" s="350"/>
      <c r="BL1275" s="350"/>
      <c r="BM1275" s="351"/>
      <c r="BN1275" s="530" t="s">
        <v>294</v>
      </c>
      <c r="BO1275" s="350"/>
      <c r="BP1275" s="350"/>
      <c r="BQ1275" s="350"/>
      <c r="BR1275" s="350"/>
      <c r="BS1275" s="350"/>
      <c r="BT1275" s="350"/>
      <c r="BU1275" s="350"/>
      <c r="BV1275" s="351"/>
    </row>
    <row r="1276" spans="1:74" ht="45" customHeight="1">
      <c r="A1276" s="24">
        <f t="shared" si="4"/>
        <v>1262</v>
      </c>
      <c r="B1276" s="558" t="s">
        <v>294</v>
      </c>
      <c r="C1276" s="351"/>
      <c r="D1276" s="559" t="s">
        <v>298</v>
      </c>
      <c r="E1276" s="351"/>
      <c r="F1276" s="524" t="s">
        <v>325</v>
      </c>
      <c r="G1276" s="351"/>
      <c r="H1276" s="525" t="s">
        <v>325</v>
      </c>
      <c r="I1276" s="351"/>
      <c r="J1276" s="563"/>
      <c r="K1276" s="351"/>
      <c r="L1276" s="563"/>
      <c r="M1276" s="351"/>
      <c r="N1276" s="34"/>
      <c r="O1276" s="35"/>
      <c r="P1276" s="526"/>
      <c r="Q1276" s="351"/>
      <c r="R1276" s="535"/>
      <c r="S1276" s="351"/>
      <c r="T1276" s="536"/>
      <c r="U1276" s="351"/>
      <c r="V1276" s="537"/>
      <c r="W1276" s="351"/>
      <c r="X1276" s="538" t="s">
        <v>294</v>
      </c>
      <c r="Y1276" s="350"/>
      <c r="Z1276" s="350"/>
      <c r="AA1276" s="351"/>
      <c r="AB1276" s="539" t="s">
        <v>294</v>
      </c>
      <c r="AC1276" s="350"/>
      <c r="AD1276" s="350"/>
      <c r="AE1276" s="351"/>
      <c r="AF1276" s="540"/>
      <c r="AG1276" s="351"/>
      <c r="AH1276" s="540"/>
      <c r="AI1276" s="351"/>
      <c r="AJ1276" s="545"/>
      <c r="AK1276" s="351"/>
      <c r="AL1276" s="555" t="s">
        <v>325</v>
      </c>
      <c r="AM1276" s="351"/>
      <c r="AN1276" s="531" t="s">
        <v>325</v>
      </c>
      <c r="AO1276" s="351"/>
      <c r="AP1276" s="532"/>
      <c r="AQ1276" s="351"/>
      <c r="AR1276" s="533"/>
      <c r="AS1276" s="351"/>
      <c r="AT1276" s="534"/>
      <c r="AU1276" s="351"/>
      <c r="AV1276" s="531" t="s">
        <v>325</v>
      </c>
      <c r="AW1276" s="351"/>
      <c r="AX1276" s="553"/>
      <c r="AY1276" s="350"/>
      <c r="AZ1276" s="351"/>
      <c r="BA1276" s="545"/>
      <c r="BB1276" s="351"/>
      <c r="BC1276" s="36"/>
      <c r="BD1276" s="556" t="s">
        <v>325</v>
      </c>
      <c r="BE1276" s="351"/>
      <c r="BF1276" s="557"/>
      <c r="BG1276" s="350"/>
      <c r="BH1276" s="350"/>
      <c r="BI1276" s="351"/>
      <c r="BJ1276" s="506" t="s">
        <v>294</v>
      </c>
      <c r="BK1276" s="350"/>
      <c r="BL1276" s="350"/>
      <c r="BM1276" s="351"/>
      <c r="BN1276" s="530" t="s">
        <v>294</v>
      </c>
      <c r="BO1276" s="350"/>
      <c r="BP1276" s="350"/>
      <c r="BQ1276" s="350"/>
      <c r="BR1276" s="350"/>
      <c r="BS1276" s="350"/>
      <c r="BT1276" s="350"/>
      <c r="BU1276" s="350"/>
      <c r="BV1276" s="351"/>
    </row>
    <row r="1277" spans="1:74" ht="45" customHeight="1">
      <c r="A1277" s="24">
        <f t="shared" si="4"/>
        <v>1263</v>
      </c>
      <c r="B1277" s="522" t="s">
        <v>294</v>
      </c>
      <c r="C1277" s="351"/>
      <c r="D1277" s="523" t="s">
        <v>298</v>
      </c>
      <c r="E1277" s="351"/>
      <c r="F1277" s="524" t="s">
        <v>325</v>
      </c>
      <c r="G1277" s="351"/>
      <c r="H1277" s="561" t="s">
        <v>325</v>
      </c>
      <c r="I1277" s="351"/>
      <c r="J1277" s="562"/>
      <c r="K1277" s="351"/>
      <c r="L1277" s="562"/>
      <c r="M1277" s="351"/>
      <c r="N1277" s="37"/>
      <c r="O1277" s="38"/>
      <c r="P1277" s="560"/>
      <c r="Q1277" s="351"/>
      <c r="R1277" s="527"/>
      <c r="S1277" s="351"/>
      <c r="T1277" s="528"/>
      <c r="U1277" s="351"/>
      <c r="V1277" s="541"/>
      <c r="W1277" s="351"/>
      <c r="X1277" s="542" t="s">
        <v>294</v>
      </c>
      <c r="Y1277" s="350"/>
      <c r="Z1277" s="350"/>
      <c r="AA1277" s="351"/>
      <c r="AB1277" s="543" t="s">
        <v>294</v>
      </c>
      <c r="AC1277" s="350"/>
      <c r="AD1277" s="350"/>
      <c r="AE1277" s="351"/>
      <c r="AF1277" s="544"/>
      <c r="AG1277" s="351"/>
      <c r="AH1277" s="544"/>
      <c r="AI1277" s="351"/>
      <c r="AJ1277" s="545"/>
      <c r="AK1277" s="351"/>
      <c r="AL1277" s="524" t="s">
        <v>325</v>
      </c>
      <c r="AM1277" s="351"/>
      <c r="AN1277" s="549" t="s">
        <v>325</v>
      </c>
      <c r="AO1277" s="351"/>
      <c r="AP1277" s="550"/>
      <c r="AQ1277" s="351"/>
      <c r="AR1277" s="551"/>
      <c r="AS1277" s="351"/>
      <c r="AT1277" s="552"/>
      <c r="AU1277" s="351"/>
      <c r="AV1277" s="549" t="s">
        <v>325</v>
      </c>
      <c r="AW1277" s="351"/>
      <c r="AX1277" s="553"/>
      <c r="AY1277" s="350"/>
      <c r="AZ1277" s="351"/>
      <c r="BA1277" s="554"/>
      <c r="BB1277" s="351"/>
      <c r="BC1277" s="39"/>
      <c r="BD1277" s="546" t="s">
        <v>325</v>
      </c>
      <c r="BE1277" s="351"/>
      <c r="BF1277" s="547"/>
      <c r="BG1277" s="350"/>
      <c r="BH1277" s="350"/>
      <c r="BI1277" s="351"/>
      <c r="BJ1277" s="548" t="s">
        <v>294</v>
      </c>
      <c r="BK1277" s="350"/>
      <c r="BL1277" s="350"/>
      <c r="BM1277" s="351"/>
      <c r="BN1277" s="530" t="s">
        <v>294</v>
      </c>
      <c r="BO1277" s="350"/>
      <c r="BP1277" s="350"/>
      <c r="BQ1277" s="350"/>
      <c r="BR1277" s="350"/>
      <c r="BS1277" s="350"/>
      <c r="BT1277" s="350"/>
      <c r="BU1277" s="350"/>
      <c r="BV1277" s="351"/>
    </row>
    <row r="1278" spans="1:74" ht="45" customHeight="1">
      <c r="A1278" s="24">
        <f t="shared" si="4"/>
        <v>1264</v>
      </c>
      <c r="B1278" s="558" t="s">
        <v>294</v>
      </c>
      <c r="C1278" s="351"/>
      <c r="D1278" s="559" t="s">
        <v>298</v>
      </c>
      <c r="E1278" s="351"/>
      <c r="F1278" s="524" t="s">
        <v>325</v>
      </c>
      <c r="G1278" s="351"/>
      <c r="H1278" s="525" t="s">
        <v>325</v>
      </c>
      <c r="I1278" s="351"/>
      <c r="J1278" s="563"/>
      <c r="K1278" s="351"/>
      <c r="L1278" s="563"/>
      <c r="M1278" s="351"/>
      <c r="N1278" s="34"/>
      <c r="O1278" s="35"/>
      <c r="P1278" s="526"/>
      <c r="Q1278" s="351"/>
      <c r="R1278" s="535"/>
      <c r="S1278" s="351"/>
      <c r="T1278" s="536"/>
      <c r="U1278" s="351"/>
      <c r="V1278" s="537"/>
      <c r="W1278" s="351"/>
      <c r="X1278" s="538" t="s">
        <v>294</v>
      </c>
      <c r="Y1278" s="350"/>
      <c r="Z1278" s="350"/>
      <c r="AA1278" s="351"/>
      <c r="AB1278" s="539" t="s">
        <v>294</v>
      </c>
      <c r="AC1278" s="350"/>
      <c r="AD1278" s="350"/>
      <c r="AE1278" s="351"/>
      <c r="AF1278" s="540"/>
      <c r="AG1278" s="351"/>
      <c r="AH1278" s="540"/>
      <c r="AI1278" s="351"/>
      <c r="AJ1278" s="545"/>
      <c r="AK1278" s="351"/>
      <c r="AL1278" s="555" t="s">
        <v>325</v>
      </c>
      <c r="AM1278" s="351"/>
      <c r="AN1278" s="531" t="s">
        <v>325</v>
      </c>
      <c r="AO1278" s="351"/>
      <c r="AP1278" s="532"/>
      <c r="AQ1278" s="351"/>
      <c r="AR1278" s="533"/>
      <c r="AS1278" s="351"/>
      <c r="AT1278" s="534"/>
      <c r="AU1278" s="351"/>
      <c r="AV1278" s="531" t="s">
        <v>325</v>
      </c>
      <c r="AW1278" s="351"/>
      <c r="AX1278" s="553"/>
      <c r="AY1278" s="350"/>
      <c r="AZ1278" s="351"/>
      <c r="BA1278" s="545"/>
      <c r="BB1278" s="351"/>
      <c r="BC1278" s="36"/>
      <c r="BD1278" s="556" t="s">
        <v>325</v>
      </c>
      <c r="BE1278" s="351"/>
      <c r="BF1278" s="529"/>
      <c r="BG1278" s="350"/>
      <c r="BH1278" s="350"/>
      <c r="BI1278" s="351"/>
      <c r="BJ1278" s="506" t="s">
        <v>294</v>
      </c>
      <c r="BK1278" s="350"/>
      <c r="BL1278" s="350"/>
      <c r="BM1278" s="351"/>
      <c r="BN1278" s="530" t="s">
        <v>294</v>
      </c>
      <c r="BO1278" s="350"/>
      <c r="BP1278" s="350"/>
      <c r="BQ1278" s="350"/>
      <c r="BR1278" s="350"/>
      <c r="BS1278" s="350"/>
      <c r="BT1278" s="350"/>
      <c r="BU1278" s="350"/>
      <c r="BV1278" s="351"/>
    </row>
    <row r="1279" spans="1:74" ht="45" customHeight="1">
      <c r="A1279" s="24">
        <f t="shared" si="4"/>
        <v>1265</v>
      </c>
      <c r="B1279" s="522" t="s">
        <v>294</v>
      </c>
      <c r="C1279" s="351"/>
      <c r="D1279" s="523" t="s">
        <v>298</v>
      </c>
      <c r="E1279" s="351"/>
      <c r="F1279" s="524" t="s">
        <v>325</v>
      </c>
      <c r="G1279" s="351"/>
      <c r="H1279" s="561" t="s">
        <v>325</v>
      </c>
      <c r="I1279" s="351"/>
      <c r="J1279" s="562"/>
      <c r="K1279" s="351"/>
      <c r="L1279" s="562"/>
      <c r="M1279" s="351"/>
      <c r="N1279" s="37"/>
      <c r="O1279" s="38"/>
      <c r="P1279" s="560"/>
      <c r="Q1279" s="351"/>
      <c r="R1279" s="527"/>
      <c r="S1279" s="351"/>
      <c r="T1279" s="528"/>
      <c r="U1279" s="351"/>
      <c r="V1279" s="541"/>
      <c r="W1279" s="351"/>
      <c r="X1279" s="542" t="s">
        <v>294</v>
      </c>
      <c r="Y1279" s="350"/>
      <c r="Z1279" s="350"/>
      <c r="AA1279" s="351"/>
      <c r="AB1279" s="543" t="s">
        <v>294</v>
      </c>
      <c r="AC1279" s="350"/>
      <c r="AD1279" s="350"/>
      <c r="AE1279" s="351"/>
      <c r="AF1279" s="544"/>
      <c r="AG1279" s="351"/>
      <c r="AH1279" s="544"/>
      <c r="AI1279" s="351"/>
      <c r="AJ1279" s="545"/>
      <c r="AK1279" s="351"/>
      <c r="AL1279" s="524" t="s">
        <v>325</v>
      </c>
      <c r="AM1279" s="351"/>
      <c r="AN1279" s="549" t="s">
        <v>325</v>
      </c>
      <c r="AO1279" s="351"/>
      <c r="AP1279" s="550"/>
      <c r="AQ1279" s="351"/>
      <c r="AR1279" s="551"/>
      <c r="AS1279" s="351"/>
      <c r="AT1279" s="552"/>
      <c r="AU1279" s="351"/>
      <c r="AV1279" s="549" t="s">
        <v>325</v>
      </c>
      <c r="AW1279" s="351"/>
      <c r="AX1279" s="553"/>
      <c r="AY1279" s="350"/>
      <c r="AZ1279" s="351"/>
      <c r="BA1279" s="554"/>
      <c r="BB1279" s="351"/>
      <c r="BC1279" s="39"/>
      <c r="BD1279" s="546" t="s">
        <v>325</v>
      </c>
      <c r="BE1279" s="351"/>
      <c r="BF1279" s="547"/>
      <c r="BG1279" s="350"/>
      <c r="BH1279" s="350"/>
      <c r="BI1279" s="351"/>
      <c r="BJ1279" s="548" t="s">
        <v>294</v>
      </c>
      <c r="BK1279" s="350"/>
      <c r="BL1279" s="350"/>
      <c r="BM1279" s="351"/>
      <c r="BN1279" s="530" t="s">
        <v>294</v>
      </c>
      <c r="BO1279" s="350"/>
      <c r="BP1279" s="350"/>
      <c r="BQ1279" s="350"/>
      <c r="BR1279" s="350"/>
      <c r="BS1279" s="350"/>
      <c r="BT1279" s="350"/>
      <c r="BU1279" s="350"/>
      <c r="BV1279" s="351"/>
    </row>
    <row r="1280" spans="1:74" ht="45" customHeight="1">
      <c r="A1280" s="24">
        <f t="shared" si="4"/>
        <v>1266</v>
      </c>
      <c r="B1280" s="558" t="s">
        <v>294</v>
      </c>
      <c r="C1280" s="351"/>
      <c r="D1280" s="559" t="s">
        <v>298</v>
      </c>
      <c r="E1280" s="351"/>
      <c r="F1280" s="524" t="s">
        <v>325</v>
      </c>
      <c r="G1280" s="351"/>
      <c r="H1280" s="525" t="s">
        <v>325</v>
      </c>
      <c r="I1280" s="351"/>
      <c r="J1280" s="563"/>
      <c r="K1280" s="351"/>
      <c r="L1280" s="563"/>
      <c r="M1280" s="351"/>
      <c r="N1280" s="34"/>
      <c r="O1280" s="35"/>
      <c r="P1280" s="526"/>
      <c r="Q1280" s="351"/>
      <c r="R1280" s="535"/>
      <c r="S1280" s="351"/>
      <c r="T1280" s="536"/>
      <c r="U1280" s="351"/>
      <c r="V1280" s="537"/>
      <c r="W1280" s="351"/>
      <c r="X1280" s="538" t="s">
        <v>294</v>
      </c>
      <c r="Y1280" s="350"/>
      <c r="Z1280" s="350"/>
      <c r="AA1280" s="351"/>
      <c r="AB1280" s="539" t="s">
        <v>294</v>
      </c>
      <c r="AC1280" s="350"/>
      <c r="AD1280" s="350"/>
      <c r="AE1280" s="351"/>
      <c r="AF1280" s="540"/>
      <c r="AG1280" s="351"/>
      <c r="AH1280" s="540"/>
      <c r="AI1280" s="351"/>
      <c r="AJ1280" s="545"/>
      <c r="AK1280" s="351"/>
      <c r="AL1280" s="555" t="s">
        <v>325</v>
      </c>
      <c r="AM1280" s="351"/>
      <c r="AN1280" s="531" t="s">
        <v>325</v>
      </c>
      <c r="AO1280" s="351"/>
      <c r="AP1280" s="532"/>
      <c r="AQ1280" s="351"/>
      <c r="AR1280" s="533"/>
      <c r="AS1280" s="351"/>
      <c r="AT1280" s="534"/>
      <c r="AU1280" s="351"/>
      <c r="AV1280" s="531" t="s">
        <v>325</v>
      </c>
      <c r="AW1280" s="351"/>
      <c r="AX1280" s="553"/>
      <c r="AY1280" s="350"/>
      <c r="AZ1280" s="351"/>
      <c r="BA1280" s="545"/>
      <c r="BB1280" s="351"/>
      <c r="BC1280" s="36"/>
      <c r="BD1280" s="556" t="s">
        <v>325</v>
      </c>
      <c r="BE1280" s="351"/>
      <c r="BF1280" s="557"/>
      <c r="BG1280" s="350"/>
      <c r="BH1280" s="350"/>
      <c r="BI1280" s="351"/>
      <c r="BJ1280" s="506" t="s">
        <v>294</v>
      </c>
      <c r="BK1280" s="350"/>
      <c r="BL1280" s="350"/>
      <c r="BM1280" s="351"/>
      <c r="BN1280" s="530" t="s">
        <v>294</v>
      </c>
      <c r="BO1280" s="350"/>
      <c r="BP1280" s="350"/>
      <c r="BQ1280" s="350"/>
      <c r="BR1280" s="350"/>
      <c r="BS1280" s="350"/>
      <c r="BT1280" s="350"/>
      <c r="BU1280" s="350"/>
      <c r="BV1280" s="351"/>
    </row>
    <row r="1281" spans="1:74" ht="45" customHeight="1">
      <c r="A1281" s="24">
        <f t="shared" si="4"/>
        <v>1267</v>
      </c>
      <c r="B1281" s="522" t="s">
        <v>294</v>
      </c>
      <c r="C1281" s="351"/>
      <c r="D1281" s="523" t="s">
        <v>298</v>
      </c>
      <c r="E1281" s="351"/>
      <c r="F1281" s="524" t="s">
        <v>325</v>
      </c>
      <c r="G1281" s="351"/>
      <c r="H1281" s="561" t="s">
        <v>325</v>
      </c>
      <c r="I1281" s="351"/>
      <c r="J1281" s="562"/>
      <c r="K1281" s="351"/>
      <c r="L1281" s="562"/>
      <c r="M1281" s="351"/>
      <c r="N1281" s="37"/>
      <c r="O1281" s="38"/>
      <c r="P1281" s="560"/>
      <c r="Q1281" s="351"/>
      <c r="R1281" s="527"/>
      <c r="S1281" s="351"/>
      <c r="T1281" s="528"/>
      <c r="U1281" s="351"/>
      <c r="V1281" s="541"/>
      <c r="W1281" s="351"/>
      <c r="X1281" s="542" t="s">
        <v>294</v>
      </c>
      <c r="Y1281" s="350"/>
      <c r="Z1281" s="350"/>
      <c r="AA1281" s="351"/>
      <c r="AB1281" s="543" t="s">
        <v>294</v>
      </c>
      <c r="AC1281" s="350"/>
      <c r="AD1281" s="350"/>
      <c r="AE1281" s="351"/>
      <c r="AF1281" s="544"/>
      <c r="AG1281" s="351"/>
      <c r="AH1281" s="544"/>
      <c r="AI1281" s="351"/>
      <c r="AJ1281" s="545"/>
      <c r="AK1281" s="351"/>
      <c r="AL1281" s="524" t="s">
        <v>325</v>
      </c>
      <c r="AM1281" s="351"/>
      <c r="AN1281" s="549" t="s">
        <v>325</v>
      </c>
      <c r="AO1281" s="351"/>
      <c r="AP1281" s="550"/>
      <c r="AQ1281" s="351"/>
      <c r="AR1281" s="551"/>
      <c r="AS1281" s="351"/>
      <c r="AT1281" s="534"/>
      <c r="AU1281" s="351"/>
      <c r="AV1281" s="549" t="s">
        <v>325</v>
      </c>
      <c r="AW1281" s="351"/>
      <c r="AX1281" s="553"/>
      <c r="AY1281" s="350"/>
      <c r="AZ1281" s="351"/>
      <c r="BA1281" s="554"/>
      <c r="BB1281" s="351"/>
      <c r="BC1281" s="39"/>
      <c r="BD1281" s="546" t="s">
        <v>325</v>
      </c>
      <c r="BE1281" s="351"/>
      <c r="BF1281" s="547"/>
      <c r="BG1281" s="350"/>
      <c r="BH1281" s="350"/>
      <c r="BI1281" s="351"/>
      <c r="BJ1281" s="548" t="s">
        <v>294</v>
      </c>
      <c r="BK1281" s="350"/>
      <c r="BL1281" s="350"/>
      <c r="BM1281" s="351"/>
      <c r="BN1281" s="530" t="s">
        <v>294</v>
      </c>
      <c r="BO1281" s="350"/>
      <c r="BP1281" s="350"/>
      <c r="BQ1281" s="350"/>
      <c r="BR1281" s="350"/>
      <c r="BS1281" s="350"/>
      <c r="BT1281" s="350"/>
      <c r="BU1281" s="350"/>
      <c r="BV1281" s="351"/>
    </row>
    <row r="1282" spans="1:74" ht="45" customHeight="1">
      <c r="A1282" s="24">
        <f t="shared" si="4"/>
        <v>1268</v>
      </c>
      <c r="B1282" s="558" t="s">
        <v>294</v>
      </c>
      <c r="C1282" s="351"/>
      <c r="D1282" s="559" t="s">
        <v>298</v>
      </c>
      <c r="E1282" s="351"/>
      <c r="F1282" s="524" t="s">
        <v>325</v>
      </c>
      <c r="G1282" s="351"/>
      <c r="H1282" s="525" t="s">
        <v>325</v>
      </c>
      <c r="I1282" s="351"/>
      <c r="J1282" s="563"/>
      <c r="K1282" s="351"/>
      <c r="L1282" s="563"/>
      <c r="M1282" s="351"/>
      <c r="N1282" s="34"/>
      <c r="O1282" s="35"/>
      <c r="P1282" s="526"/>
      <c r="Q1282" s="351"/>
      <c r="R1282" s="535"/>
      <c r="S1282" s="351"/>
      <c r="T1282" s="536"/>
      <c r="U1282" s="351"/>
      <c r="V1282" s="537"/>
      <c r="W1282" s="351"/>
      <c r="X1282" s="538" t="s">
        <v>294</v>
      </c>
      <c r="Y1282" s="350"/>
      <c r="Z1282" s="350"/>
      <c r="AA1282" s="351"/>
      <c r="AB1282" s="539" t="s">
        <v>294</v>
      </c>
      <c r="AC1282" s="350"/>
      <c r="AD1282" s="350"/>
      <c r="AE1282" s="351"/>
      <c r="AF1282" s="540"/>
      <c r="AG1282" s="351"/>
      <c r="AH1282" s="540"/>
      <c r="AI1282" s="351"/>
      <c r="AJ1282" s="545"/>
      <c r="AK1282" s="351"/>
      <c r="AL1282" s="555" t="s">
        <v>325</v>
      </c>
      <c r="AM1282" s="351"/>
      <c r="AN1282" s="531" t="s">
        <v>325</v>
      </c>
      <c r="AO1282" s="351"/>
      <c r="AP1282" s="532"/>
      <c r="AQ1282" s="351"/>
      <c r="AR1282" s="533"/>
      <c r="AS1282" s="351"/>
      <c r="AT1282" s="534"/>
      <c r="AU1282" s="351"/>
      <c r="AV1282" s="531" t="s">
        <v>325</v>
      </c>
      <c r="AW1282" s="351"/>
      <c r="AX1282" s="553"/>
      <c r="AY1282" s="350"/>
      <c r="AZ1282" s="351"/>
      <c r="BA1282" s="545"/>
      <c r="BB1282" s="351"/>
      <c r="BC1282" s="36"/>
      <c r="BD1282" s="556" t="s">
        <v>325</v>
      </c>
      <c r="BE1282" s="351"/>
      <c r="BF1282" s="557"/>
      <c r="BG1282" s="350"/>
      <c r="BH1282" s="350"/>
      <c r="BI1282" s="351"/>
      <c r="BJ1282" s="506" t="s">
        <v>294</v>
      </c>
      <c r="BK1282" s="350"/>
      <c r="BL1282" s="350"/>
      <c r="BM1282" s="351"/>
      <c r="BN1282" s="530" t="s">
        <v>294</v>
      </c>
      <c r="BO1282" s="350"/>
      <c r="BP1282" s="350"/>
      <c r="BQ1282" s="350"/>
      <c r="BR1282" s="350"/>
      <c r="BS1282" s="350"/>
      <c r="BT1282" s="350"/>
      <c r="BU1282" s="350"/>
      <c r="BV1282" s="351"/>
    </row>
    <row r="1283" spans="1:74" ht="45" customHeight="1">
      <c r="A1283" s="24">
        <f t="shared" si="4"/>
        <v>1269</v>
      </c>
      <c r="B1283" s="522" t="s">
        <v>294</v>
      </c>
      <c r="C1283" s="351"/>
      <c r="D1283" s="523" t="s">
        <v>298</v>
      </c>
      <c r="E1283" s="351"/>
      <c r="F1283" s="524" t="s">
        <v>325</v>
      </c>
      <c r="G1283" s="351"/>
      <c r="H1283" s="561" t="s">
        <v>325</v>
      </c>
      <c r="I1283" s="351"/>
      <c r="J1283" s="562"/>
      <c r="K1283" s="351"/>
      <c r="L1283" s="562"/>
      <c r="M1283" s="351"/>
      <c r="N1283" s="34"/>
      <c r="O1283" s="35"/>
      <c r="P1283" s="526"/>
      <c r="Q1283" s="351"/>
      <c r="R1283" s="527"/>
      <c r="S1283" s="351"/>
      <c r="T1283" s="528"/>
      <c r="U1283" s="351"/>
      <c r="V1283" s="541"/>
      <c r="W1283" s="351"/>
      <c r="X1283" s="542" t="s">
        <v>294</v>
      </c>
      <c r="Y1283" s="350"/>
      <c r="Z1283" s="350"/>
      <c r="AA1283" s="351"/>
      <c r="AB1283" s="543" t="s">
        <v>294</v>
      </c>
      <c r="AC1283" s="350"/>
      <c r="AD1283" s="350"/>
      <c r="AE1283" s="351"/>
      <c r="AF1283" s="544"/>
      <c r="AG1283" s="351"/>
      <c r="AH1283" s="544"/>
      <c r="AI1283" s="351"/>
      <c r="AJ1283" s="545"/>
      <c r="AK1283" s="351"/>
      <c r="AL1283" s="524" t="s">
        <v>325</v>
      </c>
      <c r="AM1283" s="351"/>
      <c r="AN1283" s="549" t="s">
        <v>325</v>
      </c>
      <c r="AO1283" s="351"/>
      <c r="AP1283" s="550"/>
      <c r="AQ1283" s="351"/>
      <c r="AR1283" s="551"/>
      <c r="AS1283" s="351"/>
      <c r="AT1283" s="534"/>
      <c r="AU1283" s="351"/>
      <c r="AV1283" s="549" t="s">
        <v>325</v>
      </c>
      <c r="AW1283" s="351"/>
      <c r="AX1283" s="553"/>
      <c r="AY1283" s="350"/>
      <c r="AZ1283" s="351"/>
      <c r="BA1283" s="554"/>
      <c r="BB1283" s="351"/>
      <c r="BC1283" s="39"/>
      <c r="BD1283" s="546" t="s">
        <v>325</v>
      </c>
      <c r="BE1283" s="351"/>
      <c r="BF1283" s="547"/>
      <c r="BG1283" s="350"/>
      <c r="BH1283" s="350"/>
      <c r="BI1283" s="351"/>
      <c r="BJ1283" s="548" t="s">
        <v>294</v>
      </c>
      <c r="BK1283" s="350"/>
      <c r="BL1283" s="350"/>
      <c r="BM1283" s="351"/>
      <c r="BN1283" s="530" t="s">
        <v>294</v>
      </c>
      <c r="BO1283" s="350"/>
      <c r="BP1283" s="350"/>
      <c r="BQ1283" s="350"/>
      <c r="BR1283" s="350"/>
      <c r="BS1283" s="350"/>
      <c r="BT1283" s="350"/>
      <c r="BU1283" s="350"/>
      <c r="BV1283" s="351"/>
    </row>
    <row r="1284" spans="1:74" ht="45" customHeight="1">
      <c r="A1284" s="24">
        <f t="shared" si="4"/>
        <v>1270</v>
      </c>
      <c r="B1284" s="558" t="s">
        <v>294</v>
      </c>
      <c r="C1284" s="351"/>
      <c r="D1284" s="559" t="s">
        <v>298</v>
      </c>
      <c r="E1284" s="351"/>
      <c r="F1284" s="524" t="s">
        <v>325</v>
      </c>
      <c r="G1284" s="351"/>
      <c r="H1284" s="525" t="s">
        <v>325</v>
      </c>
      <c r="I1284" s="351"/>
      <c r="J1284" s="563"/>
      <c r="K1284" s="351"/>
      <c r="L1284" s="563"/>
      <c r="M1284" s="351"/>
      <c r="N1284" s="37"/>
      <c r="O1284" s="38"/>
      <c r="P1284" s="560"/>
      <c r="Q1284" s="351"/>
      <c r="R1284" s="535"/>
      <c r="S1284" s="351"/>
      <c r="T1284" s="536"/>
      <c r="U1284" s="351"/>
      <c r="V1284" s="537"/>
      <c r="W1284" s="351"/>
      <c r="X1284" s="538" t="s">
        <v>294</v>
      </c>
      <c r="Y1284" s="350"/>
      <c r="Z1284" s="350"/>
      <c r="AA1284" s="351"/>
      <c r="AB1284" s="539" t="s">
        <v>294</v>
      </c>
      <c r="AC1284" s="350"/>
      <c r="AD1284" s="350"/>
      <c r="AE1284" s="351"/>
      <c r="AF1284" s="540"/>
      <c r="AG1284" s="351"/>
      <c r="AH1284" s="540"/>
      <c r="AI1284" s="351"/>
      <c r="AJ1284" s="545"/>
      <c r="AK1284" s="351"/>
      <c r="AL1284" s="555" t="s">
        <v>325</v>
      </c>
      <c r="AM1284" s="351"/>
      <c r="AN1284" s="531" t="s">
        <v>325</v>
      </c>
      <c r="AO1284" s="351"/>
      <c r="AP1284" s="532"/>
      <c r="AQ1284" s="351"/>
      <c r="AR1284" s="533"/>
      <c r="AS1284" s="351"/>
      <c r="AT1284" s="534"/>
      <c r="AU1284" s="351"/>
      <c r="AV1284" s="531" t="s">
        <v>325</v>
      </c>
      <c r="AW1284" s="351"/>
      <c r="AX1284" s="553"/>
      <c r="AY1284" s="350"/>
      <c r="AZ1284" s="351"/>
      <c r="BA1284" s="545"/>
      <c r="BB1284" s="351"/>
      <c r="BC1284" s="36"/>
      <c r="BD1284" s="556" t="s">
        <v>325</v>
      </c>
      <c r="BE1284" s="351"/>
      <c r="BF1284" s="557"/>
      <c r="BG1284" s="350"/>
      <c r="BH1284" s="350"/>
      <c r="BI1284" s="351"/>
      <c r="BJ1284" s="506" t="s">
        <v>294</v>
      </c>
      <c r="BK1284" s="350"/>
      <c r="BL1284" s="350"/>
      <c r="BM1284" s="351"/>
      <c r="BN1284" s="530" t="s">
        <v>294</v>
      </c>
      <c r="BO1284" s="350"/>
      <c r="BP1284" s="350"/>
      <c r="BQ1284" s="350"/>
      <c r="BR1284" s="350"/>
      <c r="BS1284" s="350"/>
      <c r="BT1284" s="350"/>
      <c r="BU1284" s="350"/>
      <c r="BV1284" s="351"/>
    </row>
    <row r="1285" spans="1:74" ht="45" customHeight="1">
      <c r="A1285" s="24">
        <f t="shared" si="4"/>
        <v>1271</v>
      </c>
      <c r="B1285" s="522" t="s">
        <v>294</v>
      </c>
      <c r="C1285" s="351"/>
      <c r="D1285" s="523" t="s">
        <v>298</v>
      </c>
      <c r="E1285" s="351"/>
      <c r="F1285" s="524" t="s">
        <v>325</v>
      </c>
      <c r="G1285" s="351"/>
      <c r="H1285" s="561" t="s">
        <v>325</v>
      </c>
      <c r="I1285" s="351"/>
      <c r="J1285" s="562"/>
      <c r="K1285" s="351"/>
      <c r="L1285" s="562"/>
      <c r="M1285" s="351"/>
      <c r="N1285" s="34"/>
      <c r="O1285" s="38"/>
      <c r="P1285" s="526"/>
      <c r="Q1285" s="351"/>
      <c r="R1285" s="527"/>
      <c r="S1285" s="351"/>
      <c r="T1285" s="528"/>
      <c r="U1285" s="351"/>
      <c r="V1285" s="541"/>
      <c r="W1285" s="351"/>
      <c r="X1285" s="542" t="s">
        <v>294</v>
      </c>
      <c r="Y1285" s="350"/>
      <c r="Z1285" s="350"/>
      <c r="AA1285" s="351"/>
      <c r="AB1285" s="543" t="s">
        <v>294</v>
      </c>
      <c r="AC1285" s="350"/>
      <c r="AD1285" s="350"/>
      <c r="AE1285" s="351"/>
      <c r="AF1285" s="544"/>
      <c r="AG1285" s="351"/>
      <c r="AH1285" s="544"/>
      <c r="AI1285" s="351"/>
      <c r="AJ1285" s="545"/>
      <c r="AK1285" s="351"/>
      <c r="AL1285" s="524" t="s">
        <v>325</v>
      </c>
      <c r="AM1285" s="351"/>
      <c r="AN1285" s="549" t="s">
        <v>325</v>
      </c>
      <c r="AO1285" s="351"/>
      <c r="AP1285" s="550"/>
      <c r="AQ1285" s="351"/>
      <c r="AR1285" s="551"/>
      <c r="AS1285" s="351"/>
      <c r="AT1285" s="552"/>
      <c r="AU1285" s="351"/>
      <c r="AV1285" s="549" t="s">
        <v>325</v>
      </c>
      <c r="AW1285" s="351"/>
      <c r="AX1285" s="553"/>
      <c r="AY1285" s="350"/>
      <c r="AZ1285" s="351"/>
      <c r="BA1285" s="554"/>
      <c r="BB1285" s="351"/>
      <c r="BC1285" s="39"/>
      <c r="BD1285" s="546" t="s">
        <v>325</v>
      </c>
      <c r="BE1285" s="351"/>
      <c r="BF1285" s="547"/>
      <c r="BG1285" s="350"/>
      <c r="BH1285" s="350"/>
      <c r="BI1285" s="351"/>
      <c r="BJ1285" s="548" t="s">
        <v>294</v>
      </c>
      <c r="BK1285" s="350"/>
      <c r="BL1285" s="350"/>
      <c r="BM1285" s="351"/>
      <c r="BN1285" s="530" t="s">
        <v>294</v>
      </c>
      <c r="BO1285" s="350"/>
      <c r="BP1285" s="350"/>
      <c r="BQ1285" s="350"/>
      <c r="BR1285" s="350"/>
      <c r="BS1285" s="350"/>
      <c r="BT1285" s="350"/>
      <c r="BU1285" s="350"/>
      <c r="BV1285" s="351"/>
    </row>
    <row r="1286" spans="1:74" ht="45" customHeight="1">
      <c r="A1286" s="24">
        <f t="shared" si="4"/>
        <v>1272</v>
      </c>
      <c r="B1286" s="558" t="s">
        <v>294</v>
      </c>
      <c r="C1286" s="351"/>
      <c r="D1286" s="559" t="s">
        <v>298</v>
      </c>
      <c r="E1286" s="351"/>
      <c r="F1286" s="524" t="s">
        <v>325</v>
      </c>
      <c r="G1286" s="351"/>
      <c r="H1286" s="525" t="s">
        <v>325</v>
      </c>
      <c r="I1286" s="351"/>
      <c r="J1286" s="563"/>
      <c r="K1286" s="351"/>
      <c r="L1286" s="563"/>
      <c r="M1286" s="351"/>
      <c r="N1286" s="37"/>
      <c r="O1286" s="35"/>
      <c r="P1286" s="560"/>
      <c r="Q1286" s="351"/>
      <c r="R1286" s="535"/>
      <c r="S1286" s="351"/>
      <c r="T1286" s="536"/>
      <c r="U1286" s="351"/>
      <c r="V1286" s="537"/>
      <c r="W1286" s="351"/>
      <c r="X1286" s="538" t="s">
        <v>294</v>
      </c>
      <c r="Y1286" s="350"/>
      <c r="Z1286" s="350"/>
      <c r="AA1286" s="351"/>
      <c r="AB1286" s="539" t="s">
        <v>294</v>
      </c>
      <c r="AC1286" s="350"/>
      <c r="AD1286" s="350"/>
      <c r="AE1286" s="351"/>
      <c r="AF1286" s="540"/>
      <c r="AG1286" s="351"/>
      <c r="AH1286" s="540"/>
      <c r="AI1286" s="351"/>
      <c r="AJ1286" s="545"/>
      <c r="AK1286" s="351"/>
      <c r="AL1286" s="555" t="s">
        <v>325</v>
      </c>
      <c r="AM1286" s="351"/>
      <c r="AN1286" s="531" t="s">
        <v>325</v>
      </c>
      <c r="AO1286" s="351"/>
      <c r="AP1286" s="532"/>
      <c r="AQ1286" s="351"/>
      <c r="AR1286" s="533"/>
      <c r="AS1286" s="351"/>
      <c r="AT1286" s="534"/>
      <c r="AU1286" s="351"/>
      <c r="AV1286" s="531" t="s">
        <v>325</v>
      </c>
      <c r="AW1286" s="351"/>
      <c r="AX1286" s="553"/>
      <c r="AY1286" s="350"/>
      <c r="AZ1286" s="351"/>
      <c r="BA1286" s="545"/>
      <c r="BB1286" s="351"/>
      <c r="BC1286" s="36"/>
      <c r="BD1286" s="556" t="s">
        <v>325</v>
      </c>
      <c r="BE1286" s="351"/>
      <c r="BF1286" s="529"/>
      <c r="BG1286" s="350"/>
      <c r="BH1286" s="350"/>
      <c r="BI1286" s="351"/>
      <c r="BJ1286" s="506" t="s">
        <v>294</v>
      </c>
      <c r="BK1286" s="350"/>
      <c r="BL1286" s="350"/>
      <c r="BM1286" s="351"/>
      <c r="BN1286" s="530" t="s">
        <v>294</v>
      </c>
      <c r="BO1286" s="350"/>
      <c r="BP1286" s="350"/>
      <c r="BQ1286" s="350"/>
      <c r="BR1286" s="350"/>
      <c r="BS1286" s="350"/>
      <c r="BT1286" s="350"/>
      <c r="BU1286" s="350"/>
      <c r="BV1286" s="351"/>
    </row>
    <row r="1287" spans="1:74" ht="45" customHeight="1">
      <c r="A1287" s="24">
        <f t="shared" si="4"/>
        <v>1273</v>
      </c>
      <c r="B1287" s="522" t="s">
        <v>294</v>
      </c>
      <c r="C1287" s="351"/>
      <c r="D1287" s="523" t="s">
        <v>298</v>
      </c>
      <c r="E1287" s="351"/>
      <c r="F1287" s="524" t="s">
        <v>325</v>
      </c>
      <c r="G1287" s="351"/>
      <c r="H1287" s="561" t="s">
        <v>325</v>
      </c>
      <c r="I1287" s="351"/>
      <c r="J1287" s="562"/>
      <c r="K1287" s="351"/>
      <c r="L1287" s="562"/>
      <c r="M1287" s="351"/>
      <c r="N1287" s="34"/>
      <c r="O1287" s="38"/>
      <c r="P1287" s="526"/>
      <c r="Q1287" s="351"/>
      <c r="R1287" s="527"/>
      <c r="S1287" s="351"/>
      <c r="T1287" s="528"/>
      <c r="U1287" s="351"/>
      <c r="V1287" s="541"/>
      <c r="W1287" s="351"/>
      <c r="X1287" s="542" t="s">
        <v>294</v>
      </c>
      <c r="Y1287" s="350"/>
      <c r="Z1287" s="350"/>
      <c r="AA1287" s="351"/>
      <c r="AB1287" s="543" t="s">
        <v>294</v>
      </c>
      <c r="AC1287" s="350"/>
      <c r="AD1287" s="350"/>
      <c r="AE1287" s="351"/>
      <c r="AF1287" s="544"/>
      <c r="AG1287" s="351"/>
      <c r="AH1287" s="544"/>
      <c r="AI1287" s="351"/>
      <c r="AJ1287" s="545"/>
      <c r="AK1287" s="351"/>
      <c r="AL1287" s="524" t="s">
        <v>325</v>
      </c>
      <c r="AM1287" s="351"/>
      <c r="AN1287" s="549" t="s">
        <v>325</v>
      </c>
      <c r="AO1287" s="351"/>
      <c r="AP1287" s="550"/>
      <c r="AQ1287" s="351"/>
      <c r="AR1287" s="551"/>
      <c r="AS1287" s="351"/>
      <c r="AT1287" s="552"/>
      <c r="AU1287" s="351"/>
      <c r="AV1287" s="549" t="s">
        <v>325</v>
      </c>
      <c r="AW1287" s="351"/>
      <c r="AX1287" s="553"/>
      <c r="AY1287" s="350"/>
      <c r="AZ1287" s="351"/>
      <c r="BA1287" s="554"/>
      <c r="BB1287" s="351"/>
      <c r="BC1287" s="39"/>
      <c r="BD1287" s="546" t="s">
        <v>325</v>
      </c>
      <c r="BE1287" s="351"/>
      <c r="BF1287" s="547"/>
      <c r="BG1287" s="350"/>
      <c r="BH1287" s="350"/>
      <c r="BI1287" s="351"/>
      <c r="BJ1287" s="548" t="s">
        <v>294</v>
      </c>
      <c r="BK1287" s="350"/>
      <c r="BL1287" s="350"/>
      <c r="BM1287" s="351"/>
      <c r="BN1287" s="530" t="s">
        <v>294</v>
      </c>
      <c r="BO1287" s="350"/>
      <c r="BP1287" s="350"/>
      <c r="BQ1287" s="350"/>
      <c r="BR1287" s="350"/>
      <c r="BS1287" s="350"/>
      <c r="BT1287" s="350"/>
      <c r="BU1287" s="350"/>
      <c r="BV1287" s="351"/>
    </row>
    <row r="1288" spans="1:74" ht="45" customHeight="1">
      <c r="A1288" s="24">
        <f t="shared" si="4"/>
        <v>1274</v>
      </c>
      <c r="B1288" s="558" t="s">
        <v>294</v>
      </c>
      <c r="C1288" s="351"/>
      <c r="D1288" s="559" t="s">
        <v>298</v>
      </c>
      <c r="E1288" s="351"/>
      <c r="F1288" s="524" t="s">
        <v>325</v>
      </c>
      <c r="G1288" s="351"/>
      <c r="H1288" s="525" t="s">
        <v>325</v>
      </c>
      <c r="I1288" s="351"/>
      <c r="J1288" s="563"/>
      <c r="K1288" s="351"/>
      <c r="L1288" s="563"/>
      <c r="M1288" s="351"/>
      <c r="N1288" s="37"/>
      <c r="O1288" s="35"/>
      <c r="P1288" s="560"/>
      <c r="Q1288" s="351"/>
      <c r="R1288" s="535"/>
      <c r="S1288" s="351"/>
      <c r="T1288" s="536"/>
      <c r="U1288" s="351"/>
      <c r="V1288" s="537"/>
      <c r="W1288" s="351"/>
      <c r="X1288" s="538" t="s">
        <v>294</v>
      </c>
      <c r="Y1288" s="350"/>
      <c r="Z1288" s="350"/>
      <c r="AA1288" s="351"/>
      <c r="AB1288" s="539" t="s">
        <v>294</v>
      </c>
      <c r="AC1288" s="350"/>
      <c r="AD1288" s="350"/>
      <c r="AE1288" s="351"/>
      <c r="AF1288" s="540"/>
      <c r="AG1288" s="351"/>
      <c r="AH1288" s="540"/>
      <c r="AI1288" s="351"/>
      <c r="AJ1288" s="545"/>
      <c r="AK1288" s="351"/>
      <c r="AL1288" s="555" t="s">
        <v>325</v>
      </c>
      <c r="AM1288" s="351"/>
      <c r="AN1288" s="531" t="s">
        <v>325</v>
      </c>
      <c r="AO1288" s="351"/>
      <c r="AP1288" s="532"/>
      <c r="AQ1288" s="351"/>
      <c r="AR1288" s="533"/>
      <c r="AS1288" s="351"/>
      <c r="AT1288" s="534"/>
      <c r="AU1288" s="351"/>
      <c r="AV1288" s="531" t="s">
        <v>325</v>
      </c>
      <c r="AW1288" s="351"/>
      <c r="AX1288" s="553"/>
      <c r="AY1288" s="350"/>
      <c r="AZ1288" s="351"/>
      <c r="BA1288" s="545"/>
      <c r="BB1288" s="351"/>
      <c r="BC1288" s="36"/>
      <c r="BD1288" s="556" t="s">
        <v>325</v>
      </c>
      <c r="BE1288" s="351"/>
      <c r="BF1288" s="557"/>
      <c r="BG1288" s="350"/>
      <c r="BH1288" s="350"/>
      <c r="BI1288" s="351"/>
      <c r="BJ1288" s="506" t="s">
        <v>294</v>
      </c>
      <c r="BK1288" s="350"/>
      <c r="BL1288" s="350"/>
      <c r="BM1288" s="351"/>
      <c r="BN1288" s="530" t="s">
        <v>294</v>
      </c>
      <c r="BO1288" s="350"/>
      <c r="BP1288" s="350"/>
      <c r="BQ1288" s="350"/>
      <c r="BR1288" s="350"/>
      <c r="BS1288" s="350"/>
      <c r="BT1288" s="350"/>
      <c r="BU1288" s="350"/>
      <c r="BV1288" s="351"/>
    </row>
    <row r="1289" spans="1:74" ht="45" customHeight="1">
      <c r="A1289" s="24">
        <f t="shared" si="4"/>
        <v>1275</v>
      </c>
      <c r="B1289" s="522" t="s">
        <v>294</v>
      </c>
      <c r="C1289" s="351"/>
      <c r="D1289" s="523" t="s">
        <v>298</v>
      </c>
      <c r="E1289" s="351"/>
      <c r="F1289" s="524" t="s">
        <v>325</v>
      </c>
      <c r="G1289" s="351"/>
      <c r="H1289" s="561" t="s">
        <v>325</v>
      </c>
      <c r="I1289" s="351"/>
      <c r="J1289" s="562"/>
      <c r="K1289" s="351"/>
      <c r="L1289" s="562"/>
      <c r="M1289" s="351"/>
      <c r="N1289" s="34"/>
      <c r="O1289" s="38"/>
      <c r="P1289" s="526"/>
      <c r="Q1289" s="351"/>
      <c r="R1289" s="527"/>
      <c r="S1289" s="351"/>
      <c r="T1289" s="528"/>
      <c r="U1289" s="351"/>
      <c r="V1289" s="541"/>
      <c r="W1289" s="351"/>
      <c r="X1289" s="542" t="s">
        <v>294</v>
      </c>
      <c r="Y1289" s="350"/>
      <c r="Z1289" s="350"/>
      <c r="AA1289" s="351"/>
      <c r="AB1289" s="543" t="s">
        <v>294</v>
      </c>
      <c r="AC1289" s="350"/>
      <c r="AD1289" s="350"/>
      <c r="AE1289" s="351"/>
      <c r="AF1289" s="544"/>
      <c r="AG1289" s="351"/>
      <c r="AH1289" s="544"/>
      <c r="AI1289" s="351"/>
      <c r="AJ1289" s="545"/>
      <c r="AK1289" s="351"/>
      <c r="AL1289" s="524" t="s">
        <v>325</v>
      </c>
      <c r="AM1289" s="351"/>
      <c r="AN1289" s="549" t="s">
        <v>325</v>
      </c>
      <c r="AO1289" s="351"/>
      <c r="AP1289" s="550"/>
      <c r="AQ1289" s="351"/>
      <c r="AR1289" s="551"/>
      <c r="AS1289" s="351"/>
      <c r="AT1289" s="552"/>
      <c r="AU1289" s="351"/>
      <c r="AV1289" s="549" t="s">
        <v>325</v>
      </c>
      <c r="AW1289" s="351"/>
      <c r="AX1289" s="553"/>
      <c r="AY1289" s="350"/>
      <c r="AZ1289" s="351"/>
      <c r="BA1289" s="554"/>
      <c r="BB1289" s="351"/>
      <c r="BC1289" s="39"/>
      <c r="BD1289" s="546" t="s">
        <v>325</v>
      </c>
      <c r="BE1289" s="351"/>
      <c r="BF1289" s="547"/>
      <c r="BG1289" s="350"/>
      <c r="BH1289" s="350"/>
      <c r="BI1289" s="351"/>
      <c r="BJ1289" s="548" t="s">
        <v>294</v>
      </c>
      <c r="BK1289" s="350"/>
      <c r="BL1289" s="350"/>
      <c r="BM1289" s="351"/>
      <c r="BN1289" s="530" t="s">
        <v>294</v>
      </c>
      <c r="BO1289" s="350"/>
      <c r="BP1289" s="350"/>
      <c r="BQ1289" s="350"/>
      <c r="BR1289" s="350"/>
      <c r="BS1289" s="350"/>
      <c r="BT1289" s="350"/>
      <c r="BU1289" s="350"/>
      <c r="BV1289" s="351"/>
    </row>
    <row r="1290" spans="1:74" ht="45" customHeight="1">
      <c r="A1290" s="24">
        <f t="shared" ref="A1290:A1544" si="5">ROW(A1276)</f>
        <v>1276</v>
      </c>
      <c r="B1290" s="558" t="s">
        <v>294</v>
      </c>
      <c r="C1290" s="351"/>
      <c r="D1290" s="559" t="s">
        <v>298</v>
      </c>
      <c r="E1290" s="351"/>
      <c r="F1290" s="524" t="s">
        <v>325</v>
      </c>
      <c r="G1290" s="351"/>
      <c r="H1290" s="525" t="s">
        <v>325</v>
      </c>
      <c r="I1290" s="351"/>
      <c r="J1290" s="563"/>
      <c r="K1290" s="351"/>
      <c r="L1290" s="563"/>
      <c r="M1290" s="351"/>
      <c r="N1290" s="37"/>
      <c r="O1290" s="35"/>
      <c r="P1290" s="560"/>
      <c r="Q1290" s="351"/>
      <c r="R1290" s="535"/>
      <c r="S1290" s="351"/>
      <c r="T1290" s="536"/>
      <c r="U1290" s="351"/>
      <c r="V1290" s="537"/>
      <c r="W1290" s="351"/>
      <c r="X1290" s="538" t="s">
        <v>294</v>
      </c>
      <c r="Y1290" s="350"/>
      <c r="Z1290" s="350"/>
      <c r="AA1290" s="351"/>
      <c r="AB1290" s="539" t="s">
        <v>294</v>
      </c>
      <c r="AC1290" s="350"/>
      <c r="AD1290" s="350"/>
      <c r="AE1290" s="351"/>
      <c r="AF1290" s="540"/>
      <c r="AG1290" s="351"/>
      <c r="AH1290" s="540"/>
      <c r="AI1290" s="351"/>
      <c r="AJ1290" s="545"/>
      <c r="AK1290" s="351"/>
      <c r="AL1290" s="555" t="s">
        <v>325</v>
      </c>
      <c r="AM1290" s="351"/>
      <c r="AN1290" s="531" t="s">
        <v>325</v>
      </c>
      <c r="AO1290" s="351"/>
      <c r="AP1290" s="532"/>
      <c r="AQ1290" s="351"/>
      <c r="AR1290" s="533"/>
      <c r="AS1290" s="351"/>
      <c r="AT1290" s="534"/>
      <c r="AU1290" s="351"/>
      <c r="AV1290" s="531" t="s">
        <v>325</v>
      </c>
      <c r="AW1290" s="351"/>
      <c r="AX1290" s="553"/>
      <c r="AY1290" s="350"/>
      <c r="AZ1290" s="351"/>
      <c r="BA1290" s="545"/>
      <c r="BB1290" s="351"/>
      <c r="BC1290" s="36"/>
      <c r="BD1290" s="556" t="s">
        <v>325</v>
      </c>
      <c r="BE1290" s="351"/>
      <c r="BF1290" s="557"/>
      <c r="BG1290" s="350"/>
      <c r="BH1290" s="350"/>
      <c r="BI1290" s="351"/>
      <c r="BJ1290" s="506" t="s">
        <v>294</v>
      </c>
      <c r="BK1290" s="350"/>
      <c r="BL1290" s="350"/>
      <c r="BM1290" s="351"/>
      <c r="BN1290" s="530" t="s">
        <v>294</v>
      </c>
      <c r="BO1290" s="350"/>
      <c r="BP1290" s="350"/>
      <c r="BQ1290" s="350"/>
      <c r="BR1290" s="350"/>
      <c r="BS1290" s="350"/>
      <c r="BT1290" s="350"/>
      <c r="BU1290" s="350"/>
      <c r="BV1290" s="351"/>
    </row>
    <row r="1291" spans="1:74" ht="45" customHeight="1">
      <c r="A1291" s="24">
        <f t="shared" si="5"/>
        <v>1277</v>
      </c>
      <c r="B1291" s="522" t="s">
        <v>294</v>
      </c>
      <c r="C1291" s="351"/>
      <c r="D1291" s="523" t="s">
        <v>298</v>
      </c>
      <c r="E1291" s="351"/>
      <c r="F1291" s="524" t="s">
        <v>325</v>
      </c>
      <c r="G1291" s="351"/>
      <c r="H1291" s="561" t="s">
        <v>325</v>
      </c>
      <c r="I1291" s="351"/>
      <c r="J1291" s="562"/>
      <c r="K1291" s="351"/>
      <c r="L1291" s="562"/>
      <c r="M1291" s="351"/>
      <c r="N1291" s="34"/>
      <c r="O1291" s="38"/>
      <c r="P1291" s="526"/>
      <c r="Q1291" s="351"/>
      <c r="R1291" s="527"/>
      <c r="S1291" s="351"/>
      <c r="T1291" s="528"/>
      <c r="U1291" s="351"/>
      <c r="V1291" s="541"/>
      <c r="W1291" s="351"/>
      <c r="X1291" s="542" t="s">
        <v>294</v>
      </c>
      <c r="Y1291" s="350"/>
      <c r="Z1291" s="350"/>
      <c r="AA1291" s="351"/>
      <c r="AB1291" s="543" t="s">
        <v>294</v>
      </c>
      <c r="AC1291" s="350"/>
      <c r="AD1291" s="350"/>
      <c r="AE1291" s="351"/>
      <c r="AF1291" s="544"/>
      <c r="AG1291" s="351"/>
      <c r="AH1291" s="544"/>
      <c r="AI1291" s="351"/>
      <c r="AJ1291" s="545"/>
      <c r="AK1291" s="351"/>
      <c r="AL1291" s="524" t="s">
        <v>325</v>
      </c>
      <c r="AM1291" s="351"/>
      <c r="AN1291" s="549" t="s">
        <v>325</v>
      </c>
      <c r="AO1291" s="351"/>
      <c r="AP1291" s="550"/>
      <c r="AQ1291" s="351"/>
      <c r="AR1291" s="551"/>
      <c r="AS1291" s="351"/>
      <c r="AT1291" s="552"/>
      <c r="AU1291" s="351"/>
      <c r="AV1291" s="549" t="s">
        <v>325</v>
      </c>
      <c r="AW1291" s="351"/>
      <c r="AX1291" s="553"/>
      <c r="AY1291" s="350"/>
      <c r="AZ1291" s="351"/>
      <c r="BA1291" s="554"/>
      <c r="BB1291" s="351"/>
      <c r="BC1291" s="39"/>
      <c r="BD1291" s="546" t="s">
        <v>325</v>
      </c>
      <c r="BE1291" s="351"/>
      <c r="BF1291" s="547"/>
      <c r="BG1291" s="350"/>
      <c r="BH1291" s="350"/>
      <c r="BI1291" s="351"/>
      <c r="BJ1291" s="548" t="s">
        <v>294</v>
      </c>
      <c r="BK1291" s="350"/>
      <c r="BL1291" s="350"/>
      <c r="BM1291" s="351"/>
      <c r="BN1291" s="530" t="s">
        <v>294</v>
      </c>
      <c r="BO1291" s="350"/>
      <c r="BP1291" s="350"/>
      <c r="BQ1291" s="350"/>
      <c r="BR1291" s="350"/>
      <c r="BS1291" s="350"/>
      <c r="BT1291" s="350"/>
      <c r="BU1291" s="350"/>
      <c r="BV1291" s="351"/>
    </row>
    <row r="1292" spans="1:74" ht="45" customHeight="1">
      <c r="A1292" s="24">
        <f t="shared" si="5"/>
        <v>1278</v>
      </c>
      <c r="B1292" s="558" t="s">
        <v>294</v>
      </c>
      <c r="C1292" s="351"/>
      <c r="D1292" s="559" t="s">
        <v>298</v>
      </c>
      <c r="E1292" s="351"/>
      <c r="F1292" s="524" t="s">
        <v>325</v>
      </c>
      <c r="G1292" s="351"/>
      <c r="H1292" s="525" t="s">
        <v>325</v>
      </c>
      <c r="I1292" s="351"/>
      <c r="J1292" s="563"/>
      <c r="K1292" s="351"/>
      <c r="L1292" s="563"/>
      <c r="M1292" s="351"/>
      <c r="N1292" s="37"/>
      <c r="O1292" s="35"/>
      <c r="P1292" s="560"/>
      <c r="Q1292" s="351"/>
      <c r="R1292" s="535"/>
      <c r="S1292" s="351"/>
      <c r="T1292" s="536"/>
      <c r="U1292" s="351"/>
      <c r="V1292" s="537"/>
      <c r="W1292" s="351"/>
      <c r="X1292" s="538" t="s">
        <v>294</v>
      </c>
      <c r="Y1292" s="350"/>
      <c r="Z1292" s="350"/>
      <c r="AA1292" s="351"/>
      <c r="AB1292" s="539" t="s">
        <v>294</v>
      </c>
      <c r="AC1292" s="350"/>
      <c r="AD1292" s="350"/>
      <c r="AE1292" s="351"/>
      <c r="AF1292" s="540"/>
      <c r="AG1292" s="351"/>
      <c r="AH1292" s="540"/>
      <c r="AI1292" s="351"/>
      <c r="AJ1292" s="545"/>
      <c r="AK1292" s="351"/>
      <c r="AL1292" s="555" t="s">
        <v>325</v>
      </c>
      <c r="AM1292" s="351"/>
      <c r="AN1292" s="531" t="s">
        <v>325</v>
      </c>
      <c r="AO1292" s="351"/>
      <c r="AP1292" s="532"/>
      <c r="AQ1292" s="351"/>
      <c r="AR1292" s="533"/>
      <c r="AS1292" s="351"/>
      <c r="AT1292" s="534"/>
      <c r="AU1292" s="351"/>
      <c r="AV1292" s="531" t="s">
        <v>325</v>
      </c>
      <c r="AW1292" s="351"/>
      <c r="AX1292" s="553"/>
      <c r="AY1292" s="350"/>
      <c r="AZ1292" s="351"/>
      <c r="BA1292" s="545"/>
      <c r="BB1292" s="351"/>
      <c r="BC1292" s="36"/>
      <c r="BD1292" s="556" t="s">
        <v>325</v>
      </c>
      <c r="BE1292" s="351"/>
      <c r="BF1292" s="529"/>
      <c r="BG1292" s="350"/>
      <c r="BH1292" s="350"/>
      <c r="BI1292" s="351"/>
      <c r="BJ1292" s="506" t="s">
        <v>294</v>
      </c>
      <c r="BK1292" s="350"/>
      <c r="BL1292" s="350"/>
      <c r="BM1292" s="351"/>
      <c r="BN1292" s="530" t="s">
        <v>294</v>
      </c>
      <c r="BO1292" s="350"/>
      <c r="BP1292" s="350"/>
      <c r="BQ1292" s="350"/>
      <c r="BR1292" s="350"/>
      <c r="BS1292" s="350"/>
      <c r="BT1292" s="350"/>
      <c r="BU1292" s="350"/>
      <c r="BV1292" s="351"/>
    </row>
    <row r="1293" spans="1:74" ht="45" customHeight="1">
      <c r="A1293" s="24">
        <f t="shared" si="5"/>
        <v>1279</v>
      </c>
      <c r="B1293" s="522" t="s">
        <v>294</v>
      </c>
      <c r="C1293" s="351"/>
      <c r="D1293" s="523" t="s">
        <v>298</v>
      </c>
      <c r="E1293" s="351"/>
      <c r="F1293" s="524" t="s">
        <v>325</v>
      </c>
      <c r="G1293" s="351"/>
      <c r="H1293" s="561" t="s">
        <v>325</v>
      </c>
      <c r="I1293" s="351"/>
      <c r="J1293" s="562"/>
      <c r="K1293" s="351"/>
      <c r="L1293" s="562"/>
      <c r="M1293" s="351"/>
      <c r="N1293" s="34"/>
      <c r="O1293" s="38"/>
      <c r="P1293" s="526"/>
      <c r="Q1293" s="351"/>
      <c r="R1293" s="527"/>
      <c r="S1293" s="351"/>
      <c r="T1293" s="528"/>
      <c r="U1293" s="351"/>
      <c r="V1293" s="541"/>
      <c r="W1293" s="351"/>
      <c r="X1293" s="542" t="s">
        <v>294</v>
      </c>
      <c r="Y1293" s="350"/>
      <c r="Z1293" s="350"/>
      <c r="AA1293" s="351"/>
      <c r="AB1293" s="543" t="s">
        <v>294</v>
      </c>
      <c r="AC1293" s="350"/>
      <c r="AD1293" s="350"/>
      <c r="AE1293" s="351"/>
      <c r="AF1293" s="544"/>
      <c r="AG1293" s="351"/>
      <c r="AH1293" s="544"/>
      <c r="AI1293" s="351"/>
      <c r="AJ1293" s="545"/>
      <c r="AK1293" s="351"/>
      <c r="AL1293" s="524" t="s">
        <v>325</v>
      </c>
      <c r="AM1293" s="351"/>
      <c r="AN1293" s="549" t="s">
        <v>325</v>
      </c>
      <c r="AO1293" s="351"/>
      <c r="AP1293" s="550"/>
      <c r="AQ1293" s="351"/>
      <c r="AR1293" s="551"/>
      <c r="AS1293" s="351"/>
      <c r="AT1293" s="552"/>
      <c r="AU1293" s="351"/>
      <c r="AV1293" s="549" t="s">
        <v>325</v>
      </c>
      <c r="AW1293" s="351"/>
      <c r="AX1293" s="553"/>
      <c r="AY1293" s="350"/>
      <c r="AZ1293" s="351"/>
      <c r="BA1293" s="554"/>
      <c r="BB1293" s="351"/>
      <c r="BC1293" s="39"/>
      <c r="BD1293" s="546" t="s">
        <v>325</v>
      </c>
      <c r="BE1293" s="351"/>
      <c r="BF1293" s="547"/>
      <c r="BG1293" s="350"/>
      <c r="BH1293" s="350"/>
      <c r="BI1293" s="351"/>
      <c r="BJ1293" s="548" t="s">
        <v>294</v>
      </c>
      <c r="BK1293" s="350"/>
      <c r="BL1293" s="350"/>
      <c r="BM1293" s="351"/>
      <c r="BN1293" s="530" t="s">
        <v>294</v>
      </c>
      <c r="BO1293" s="350"/>
      <c r="BP1293" s="350"/>
      <c r="BQ1293" s="350"/>
      <c r="BR1293" s="350"/>
      <c r="BS1293" s="350"/>
      <c r="BT1293" s="350"/>
      <c r="BU1293" s="350"/>
      <c r="BV1293" s="351"/>
    </row>
    <row r="1294" spans="1:74" ht="45" customHeight="1">
      <c r="A1294" s="24">
        <f t="shared" si="5"/>
        <v>1280</v>
      </c>
      <c r="B1294" s="558" t="s">
        <v>294</v>
      </c>
      <c r="C1294" s="351"/>
      <c r="D1294" s="559" t="s">
        <v>298</v>
      </c>
      <c r="E1294" s="351"/>
      <c r="F1294" s="524" t="s">
        <v>325</v>
      </c>
      <c r="G1294" s="351"/>
      <c r="H1294" s="525" t="s">
        <v>325</v>
      </c>
      <c r="I1294" s="351"/>
      <c r="J1294" s="563"/>
      <c r="K1294" s="351"/>
      <c r="L1294" s="563"/>
      <c r="M1294" s="351"/>
      <c r="N1294" s="37"/>
      <c r="O1294" s="35"/>
      <c r="P1294" s="560"/>
      <c r="Q1294" s="351"/>
      <c r="R1294" s="535"/>
      <c r="S1294" s="351"/>
      <c r="T1294" s="536"/>
      <c r="U1294" s="351"/>
      <c r="V1294" s="537"/>
      <c r="W1294" s="351"/>
      <c r="X1294" s="538" t="s">
        <v>294</v>
      </c>
      <c r="Y1294" s="350"/>
      <c r="Z1294" s="350"/>
      <c r="AA1294" s="351"/>
      <c r="AB1294" s="539" t="s">
        <v>294</v>
      </c>
      <c r="AC1294" s="350"/>
      <c r="AD1294" s="350"/>
      <c r="AE1294" s="351"/>
      <c r="AF1294" s="540"/>
      <c r="AG1294" s="351"/>
      <c r="AH1294" s="540"/>
      <c r="AI1294" s="351"/>
      <c r="AJ1294" s="545"/>
      <c r="AK1294" s="351"/>
      <c r="AL1294" s="555" t="s">
        <v>325</v>
      </c>
      <c r="AM1294" s="351"/>
      <c r="AN1294" s="531" t="s">
        <v>325</v>
      </c>
      <c r="AO1294" s="351"/>
      <c r="AP1294" s="532"/>
      <c r="AQ1294" s="351"/>
      <c r="AR1294" s="533"/>
      <c r="AS1294" s="351"/>
      <c r="AT1294" s="534"/>
      <c r="AU1294" s="351"/>
      <c r="AV1294" s="531" t="s">
        <v>325</v>
      </c>
      <c r="AW1294" s="351"/>
      <c r="AX1294" s="553"/>
      <c r="AY1294" s="350"/>
      <c r="AZ1294" s="351"/>
      <c r="BA1294" s="545"/>
      <c r="BB1294" s="351"/>
      <c r="BC1294" s="36"/>
      <c r="BD1294" s="556" t="s">
        <v>325</v>
      </c>
      <c r="BE1294" s="351"/>
      <c r="BF1294" s="557"/>
      <c r="BG1294" s="350"/>
      <c r="BH1294" s="350"/>
      <c r="BI1294" s="351"/>
      <c r="BJ1294" s="506" t="s">
        <v>294</v>
      </c>
      <c r="BK1294" s="350"/>
      <c r="BL1294" s="350"/>
      <c r="BM1294" s="351"/>
      <c r="BN1294" s="530" t="s">
        <v>294</v>
      </c>
      <c r="BO1294" s="350"/>
      <c r="BP1294" s="350"/>
      <c r="BQ1294" s="350"/>
      <c r="BR1294" s="350"/>
      <c r="BS1294" s="350"/>
      <c r="BT1294" s="350"/>
      <c r="BU1294" s="350"/>
      <c r="BV1294" s="351"/>
    </row>
    <row r="1295" spans="1:74" ht="45" customHeight="1">
      <c r="A1295" s="24">
        <f t="shared" si="5"/>
        <v>1281</v>
      </c>
      <c r="B1295" s="522" t="s">
        <v>294</v>
      </c>
      <c r="C1295" s="351"/>
      <c r="D1295" s="523" t="s">
        <v>298</v>
      </c>
      <c r="E1295" s="351"/>
      <c r="F1295" s="524" t="s">
        <v>325</v>
      </c>
      <c r="G1295" s="351"/>
      <c r="H1295" s="561" t="s">
        <v>325</v>
      </c>
      <c r="I1295" s="351"/>
      <c r="J1295" s="562"/>
      <c r="K1295" s="351"/>
      <c r="L1295" s="562"/>
      <c r="M1295" s="351"/>
      <c r="N1295" s="37"/>
      <c r="O1295" s="38"/>
      <c r="P1295" s="560"/>
      <c r="Q1295" s="351"/>
      <c r="R1295" s="527"/>
      <c r="S1295" s="351"/>
      <c r="T1295" s="528"/>
      <c r="U1295" s="351"/>
      <c r="V1295" s="541"/>
      <c r="W1295" s="351"/>
      <c r="X1295" s="542" t="s">
        <v>294</v>
      </c>
      <c r="Y1295" s="350"/>
      <c r="Z1295" s="350"/>
      <c r="AA1295" s="351"/>
      <c r="AB1295" s="543" t="s">
        <v>294</v>
      </c>
      <c r="AC1295" s="350"/>
      <c r="AD1295" s="350"/>
      <c r="AE1295" s="351"/>
      <c r="AF1295" s="544"/>
      <c r="AG1295" s="351"/>
      <c r="AH1295" s="544"/>
      <c r="AI1295" s="351"/>
      <c r="AJ1295" s="545"/>
      <c r="AK1295" s="351"/>
      <c r="AL1295" s="524" t="s">
        <v>325</v>
      </c>
      <c r="AM1295" s="351"/>
      <c r="AN1295" s="549" t="s">
        <v>325</v>
      </c>
      <c r="AO1295" s="351"/>
      <c r="AP1295" s="550"/>
      <c r="AQ1295" s="351"/>
      <c r="AR1295" s="551"/>
      <c r="AS1295" s="351"/>
      <c r="AT1295" s="534"/>
      <c r="AU1295" s="351"/>
      <c r="AV1295" s="549" t="s">
        <v>325</v>
      </c>
      <c r="AW1295" s="351"/>
      <c r="AX1295" s="553"/>
      <c r="AY1295" s="350"/>
      <c r="AZ1295" s="351"/>
      <c r="BA1295" s="554"/>
      <c r="BB1295" s="351"/>
      <c r="BC1295" s="39"/>
      <c r="BD1295" s="546" t="s">
        <v>325</v>
      </c>
      <c r="BE1295" s="351"/>
      <c r="BF1295" s="547"/>
      <c r="BG1295" s="350"/>
      <c r="BH1295" s="350"/>
      <c r="BI1295" s="351"/>
      <c r="BJ1295" s="548" t="s">
        <v>294</v>
      </c>
      <c r="BK1295" s="350"/>
      <c r="BL1295" s="350"/>
      <c r="BM1295" s="351"/>
      <c r="BN1295" s="530" t="s">
        <v>294</v>
      </c>
      <c r="BO1295" s="350"/>
      <c r="BP1295" s="350"/>
      <c r="BQ1295" s="350"/>
      <c r="BR1295" s="350"/>
      <c r="BS1295" s="350"/>
      <c r="BT1295" s="350"/>
      <c r="BU1295" s="350"/>
      <c r="BV1295" s="351"/>
    </row>
    <row r="1296" spans="1:74" ht="45" customHeight="1">
      <c r="A1296" s="24">
        <f t="shared" si="5"/>
        <v>1282</v>
      </c>
      <c r="B1296" s="558" t="s">
        <v>294</v>
      </c>
      <c r="C1296" s="351"/>
      <c r="D1296" s="559" t="s">
        <v>298</v>
      </c>
      <c r="E1296" s="351"/>
      <c r="F1296" s="524" t="s">
        <v>325</v>
      </c>
      <c r="G1296" s="351"/>
      <c r="H1296" s="525" t="s">
        <v>325</v>
      </c>
      <c r="I1296" s="351"/>
      <c r="J1296" s="563"/>
      <c r="K1296" s="351"/>
      <c r="L1296" s="563"/>
      <c r="M1296" s="351"/>
      <c r="N1296" s="34"/>
      <c r="O1296" s="35"/>
      <c r="P1296" s="526"/>
      <c r="Q1296" s="351"/>
      <c r="R1296" s="535"/>
      <c r="S1296" s="351"/>
      <c r="T1296" s="536"/>
      <c r="U1296" s="351"/>
      <c r="V1296" s="537"/>
      <c r="W1296" s="351"/>
      <c r="X1296" s="538" t="s">
        <v>294</v>
      </c>
      <c r="Y1296" s="350"/>
      <c r="Z1296" s="350"/>
      <c r="AA1296" s="351"/>
      <c r="AB1296" s="539" t="s">
        <v>294</v>
      </c>
      <c r="AC1296" s="350"/>
      <c r="AD1296" s="350"/>
      <c r="AE1296" s="351"/>
      <c r="AF1296" s="540"/>
      <c r="AG1296" s="351"/>
      <c r="AH1296" s="540"/>
      <c r="AI1296" s="351"/>
      <c r="AJ1296" s="545"/>
      <c r="AK1296" s="351"/>
      <c r="AL1296" s="555" t="s">
        <v>325</v>
      </c>
      <c r="AM1296" s="351"/>
      <c r="AN1296" s="531" t="s">
        <v>325</v>
      </c>
      <c r="AO1296" s="351"/>
      <c r="AP1296" s="532"/>
      <c r="AQ1296" s="351"/>
      <c r="AR1296" s="533"/>
      <c r="AS1296" s="351"/>
      <c r="AT1296" s="534"/>
      <c r="AU1296" s="351"/>
      <c r="AV1296" s="531" t="s">
        <v>325</v>
      </c>
      <c r="AW1296" s="351"/>
      <c r="AX1296" s="553"/>
      <c r="AY1296" s="350"/>
      <c r="AZ1296" s="351"/>
      <c r="BA1296" s="545"/>
      <c r="BB1296" s="351"/>
      <c r="BC1296" s="36"/>
      <c r="BD1296" s="556" t="s">
        <v>325</v>
      </c>
      <c r="BE1296" s="351"/>
      <c r="BF1296" s="557"/>
      <c r="BG1296" s="350"/>
      <c r="BH1296" s="350"/>
      <c r="BI1296" s="351"/>
      <c r="BJ1296" s="506" t="s">
        <v>294</v>
      </c>
      <c r="BK1296" s="350"/>
      <c r="BL1296" s="350"/>
      <c r="BM1296" s="351"/>
      <c r="BN1296" s="530" t="s">
        <v>294</v>
      </c>
      <c r="BO1296" s="350"/>
      <c r="BP1296" s="350"/>
      <c r="BQ1296" s="350"/>
      <c r="BR1296" s="350"/>
      <c r="BS1296" s="350"/>
      <c r="BT1296" s="350"/>
      <c r="BU1296" s="350"/>
      <c r="BV1296" s="351"/>
    </row>
    <row r="1297" spans="1:74" ht="45" customHeight="1">
      <c r="A1297" s="24">
        <f t="shared" si="5"/>
        <v>1283</v>
      </c>
      <c r="B1297" s="522" t="s">
        <v>294</v>
      </c>
      <c r="C1297" s="351"/>
      <c r="D1297" s="523" t="s">
        <v>298</v>
      </c>
      <c r="E1297" s="351"/>
      <c r="F1297" s="524" t="s">
        <v>325</v>
      </c>
      <c r="G1297" s="351"/>
      <c r="H1297" s="561" t="s">
        <v>325</v>
      </c>
      <c r="I1297" s="351"/>
      <c r="J1297" s="562"/>
      <c r="K1297" s="351"/>
      <c r="L1297" s="562"/>
      <c r="M1297" s="351"/>
      <c r="N1297" s="37"/>
      <c r="O1297" s="38"/>
      <c r="P1297" s="560"/>
      <c r="Q1297" s="351"/>
      <c r="R1297" s="527"/>
      <c r="S1297" s="351"/>
      <c r="T1297" s="528"/>
      <c r="U1297" s="351"/>
      <c r="V1297" s="541"/>
      <c r="W1297" s="351"/>
      <c r="X1297" s="542" t="s">
        <v>294</v>
      </c>
      <c r="Y1297" s="350"/>
      <c r="Z1297" s="350"/>
      <c r="AA1297" s="351"/>
      <c r="AB1297" s="543" t="s">
        <v>294</v>
      </c>
      <c r="AC1297" s="350"/>
      <c r="AD1297" s="350"/>
      <c r="AE1297" s="351"/>
      <c r="AF1297" s="544"/>
      <c r="AG1297" s="351"/>
      <c r="AH1297" s="544"/>
      <c r="AI1297" s="351"/>
      <c r="AJ1297" s="545"/>
      <c r="AK1297" s="351"/>
      <c r="AL1297" s="524" t="s">
        <v>325</v>
      </c>
      <c r="AM1297" s="351"/>
      <c r="AN1297" s="549" t="s">
        <v>325</v>
      </c>
      <c r="AO1297" s="351"/>
      <c r="AP1297" s="550"/>
      <c r="AQ1297" s="351"/>
      <c r="AR1297" s="551"/>
      <c r="AS1297" s="351"/>
      <c r="AT1297" s="534"/>
      <c r="AU1297" s="351"/>
      <c r="AV1297" s="549" t="s">
        <v>325</v>
      </c>
      <c r="AW1297" s="351"/>
      <c r="AX1297" s="553"/>
      <c r="AY1297" s="350"/>
      <c r="AZ1297" s="351"/>
      <c r="BA1297" s="554"/>
      <c r="BB1297" s="351"/>
      <c r="BC1297" s="39"/>
      <c r="BD1297" s="546" t="s">
        <v>325</v>
      </c>
      <c r="BE1297" s="351"/>
      <c r="BF1297" s="547"/>
      <c r="BG1297" s="350"/>
      <c r="BH1297" s="350"/>
      <c r="BI1297" s="351"/>
      <c r="BJ1297" s="548" t="s">
        <v>294</v>
      </c>
      <c r="BK1297" s="350"/>
      <c r="BL1297" s="350"/>
      <c r="BM1297" s="351"/>
      <c r="BN1297" s="530" t="s">
        <v>294</v>
      </c>
      <c r="BO1297" s="350"/>
      <c r="BP1297" s="350"/>
      <c r="BQ1297" s="350"/>
      <c r="BR1297" s="350"/>
      <c r="BS1297" s="350"/>
      <c r="BT1297" s="350"/>
      <c r="BU1297" s="350"/>
      <c r="BV1297" s="351"/>
    </row>
    <row r="1298" spans="1:74" ht="45" customHeight="1">
      <c r="A1298" s="24">
        <f t="shared" si="5"/>
        <v>1284</v>
      </c>
      <c r="B1298" s="558" t="s">
        <v>294</v>
      </c>
      <c r="C1298" s="351"/>
      <c r="D1298" s="559" t="s">
        <v>298</v>
      </c>
      <c r="E1298" s="351"/>
      <c r="F1298" s="524" t="s">
        <v>325</v>
      </c>
      <c r="G1298" s="351"/>
      <c r="H1298" s="525" t="s">
        <v>325</v>
      </c>
      <c r="I1298" s="351"/>
      <c r="J1298" s="563"/>
      <c r="K1298" s="351"/>
      <c r="L1298" s="563"/>
      <c r="M1298" s="351"/>
      <c r="N1298" s="34"/>
      <c r="O1298" s="35"/>
      <c r="P1298" s="526"/>
      <c r="Q1298" s="351"/>
      <c r="R1298" s="535"/>
      <c r="S1298" s="351"/>
      <c r="T1298" s="536"/>
      <c r="U1298" s="351"/>
      <c r="V1298" s="537"/>
      <c r="W1298" s="351"/>
      <c r="X1298" s="538" t="s">
        <v>294</v>
      </c>
      <c r="Y1298" s="350"/>
      <c r="Z1298" s="350"/>
      <c r="AA1298" s="351"/>
      <c r="AB1298" s="539" t="s">
        <v>294</v>
      </c>
      <c r="AC1298" s="350"/>
      <c r="AD1298" s="350"/>
      <c r="AE1298" s="351"/>
      <c r="AF1298" s="540"/>
      <c r="AG1298" s="351"/>
      <c r="AH1298" s="540"/>
      <c r="AI1298" s="351"/>
      <c r="AJ1298" s="545"/>
      <c r="AK1298" s="351"/>
      <c r="AL1298" s="555" t="s">
        <v>325</v>
      </c>
      <c r="AM1298" s="351"/>
      <c r="AN1298" s="531" t="s">
        <v>325</v>
      </c>
      <c r="AO1298" s="351"/>
      <c r="AP1298" s="532"/>
      <c r="AQ1298" s="351"/>
      <c r="AR1298" s="533"/>
      <c r="AS1298" s="351"/>
      <c r="AT1298" s="534"/>
      <c r="AU1298" s="351"/>
      <c r="AV1298" s="531" t="s">
        <v>325</v>
      </c>
      <c r="AW1298" s="351"/>
      <c r="AX1298" s="553"/>
      <c r="AY1298" s="350"/>
      <c r="AZ1298" s="351"/>
      <c r="BA1298" s="545"/>
      <c r="BB1298" s="351"/>
      <c r="BC1298" s="36"/>
      <c r="BD1298" s="556" t="s">
        <v>325</v>
      </c>
      <c r="BE1298" s="351"/>
      <c r="BF1298" s="557"/>
      <c r="BG1298" s="350"/>
      <c r="BH1298" s="350"/>
      <c r="BI1298" s="351"/>
      <c r="BJ1298" s="506" t="s">
        <v>294</v>
      </c>
      <c r="BK1298" s="350"/>
      <c r="BL1298" s="350"/>
      <c r="BM1298" s="351"/>
      <c r="BN1298" s="530" t="s">
        <v>294</v>
      </c>
      <c r="BO1298" s="350"/>
      <c r="BP1298" s="350"/>
      <c r="BQ1298" s="350"/>
      <c r="BR1298" s="350"/>
      <c r="BS1298" s="350"/>
      <c r="BT1298" s="350"/>
      <c r="BU1298" s="350"/>
      <c r="BV1298" s="351"/>
    </row>
    <row r="1299" spans="1:74" ht="45" customHeight="1">
      <c r="A1299" s="24">
        <f t="shared" si="5"/>
        <v>1285</v>
      </c>
      <c r="B1299" s="522" t="s">
        <v>294</v>
      </c>
      <c r="C1299" s="351"/>
      <c r="D1299" s="523" t="s">
        <v>298</v>
      </c>
      <c r="E1299" s="351"/>
      <c r="F1299" s="524" t="s">
        <v>325</v>
      </c>
      <c r="G1299" s="351"/>
      <c r="H1299" s="561" t="s">
        <v>325</v>
      </c>
      <c r="I1299" s="351"/>
      <c r="J1299" s="562"/>
      <c r="K1299" s="351"/>
      <c r="L1299" s="562"/>
      <c r="M1299" s="351"/>
      <c r="N1299" s="37"/>
      <c r="O1299" s="38"/>
      <c r="P1299" s="560"/>
      <c r="Q1299" s="351"/>
      <c r="R1299" s="527"/>
      <c r="S1299" s="351"/>
      <c r="T1299" s="528"/>
      <c r="U1299" s="351"/>
      <c r="V1299" s="541"/>
      <c r="W1299" s="351"/>
      <c r="X1299" s="542" t="s">
        <v>294</v>
      </c>
      <c r="Y1299" s="350"/>
      <c r="Z1299" s="350"/>
      <c r="AA1299" s="351"/>
      <c r="AB1299" s="543" t="s">
        <v>294</v>
      </c>
      <c r="AC1299" s="350"/>
      <c r="AD1299" s="350"/>
      <c r="AE1299" s="351"/>
      <c r="AF1299" s="544"/>
      <c r="AG1299" s="351"/>
      <c r="AH1299" s="544"/>
      <c r="AI1299" s="351"/>
      <c r="AJ1299" s="545"/>
      <c r="AK1299" s="351"/>
      <c r="AL1299" s="524" t="s">
        <v>325</v>
      </c>
      <c r="AM1299" s="351"/>
      <c r="AN1299" s="549" t="s">
        <v>325</v>
      </c>
      <c r="AO1299" s="351"/>
      <c r="AP1299" s="550"/>
      <c r="AQ1299" s="351"/>
      <c r="AR1299" s="551"/>
      <c r="AS1299" s="351"/>
      <c r="AT1299" s="552"/>
      <c r="AU1299" s="351"/>
      <c r="AV1299" s="549" t="s">
        <v>325</v>
      </c>
      <c r="AW1299" s="351"/>
      <c r="AX1299" s="553"/>
      <c r="AY1299" s="350"/>
      <c r="AZ1299" s="351"/>
      <c r="BA1299" s="554"/>
      <c r="BB1299" s="351"/>
      <c r="BC1299" s="39"/>
      <c r="BD1299" s="546" t="s">
        <v>325</v>
      </c>
      <c r="BE1299" s="351"/>
      <c r="BF1299" s="547"/>
      <c r="BG1299" s="350"/>
      <c r="BH1299" s="350"/>
      <c r="BI1299" s="351"/>
      <c r="BJ1299" s="548" t="s">
        <v>294</v>
      </c>
      <c r="BK1299" s="350"/>
      <c r="BL1299" s="350"/>
      <c r="BM1299" s="351"/>
      <c r="BN1299" s="530" t="s">
        <v>294</v>
      </c>
      <c r="BO1299" s="350"/>
      <c r="BP1299" s="350"/>
      <c r="BQ1299" s="350"/>
      <c r="BR1299" s="350"/>
      <c r="BS1299" s="350"/>
      <c r="BT1299" s="350"/>
      <c r="BU1299" s="350"/>
      <c r="BV1299" s="351"/>
    </row>
    <row r="1300" spans="1:74" ht="45" customHeight="1">
      <c r="A1300" s="24">
        <f t="shared" si="5"/>
        <v>1286</v>
      </c>
      <c r="B1300" s="558" t="s">
        <v>294</v>
      </c>
      <c r="C1300" s="351"/>
      <c r="D1300" s="559" t="s">
        <v>298</v>
      </c>
      <c r="E1300" s="351"/>
      <c r="F1300" s="524" t="s">
        <v>325</v>
      </c>
      <c r="G1300" s="351"/>
      <c r="H1300" s="525" t="s">
        <v>325</v>
      </c>
      <c r="I1300" s="351"/>
      <c r="J1300" s="563"/>
      <c r="K1300" s="351"/>
      <c r="L1300" s="563"/>
      <c r="M1300" s="351"/>
      <c r="N1300" s="34"/>
      <c r="O1300" s="35"/>
      <c r="P1300" s="526"/>
      <c r="Q1300" s="351"/>
      <c r="R1300" s="535"/>
      <c r="S1300" s="351"/>
      <c r="T1300" s="536"/>
      <c r="U1300" s="351"/>
      <c r="V1300" s="537"/>
      <c r="W1300" s="351"/>
      <c r="X1300" s="538" t="s">
        <v>294</v>
      </c>
      <c r="Y1300" s="350"/>
      <c r="Z1300" s="350"/>
      <c r="AA1300" s="351"/>
      <c r="AB1300" s="539" t="s">
        <v>294</v>
      </c>
      <c r="AC1300" s="350"/>
      <c r="AD1300" s="350"/>
      <c r="AE1300" s="351"/>
      <c r="AF1300" s="540"/>
      <c r="AG1300" s="351"/>
      <c r="AH1300" s="540"/>
      <c r="AI1300" s="351"/>
      <c r="AJ1300" s="545"/>
      <c r="AK1300" s="351"/>
      <c r="AL1300" s="555" t="s">
        <v>325</v>
      </c>
      <c r="AM1300" s="351"/>
      <c r="AN1300" s="531" t="s">
        <v>325</v>
      </c>
      <c r="AO1300" s="351"/>
      <c r="AP1300" s="532"/>
      <c r="AQ1300" s="351"/>
      <c r="AR1300" s="533"/>
      <c r="AS1300" s="351"/>
      <c r="AT1300" s="534"/>
      <c r="AU1300" s="351"/>
      <c r="AV1300" s="531" t="s">
        <v>325</v>
      </c>
      <c r="AW1300" s="351"/>
      <c r="AX1300" s="553"/>
      <c r="AY1300" s="350"/>
      <c r="AZ1300" s="351"/>
      <c r="BA1300" s="545"/>
      <c r="BB1300" s="351"/>
      <c r="BC1300" s="36"/>
      <c r="BD1300" s="556" t="s">
        <v>325</v>
      </c>
      <c r="BE1300" s="351"/>
      <c r="BF1300" s="529"/>
      <c r="BG1300" s="350"/>
      <c r="BH1300" s="350"/>
      <c r="BI1300" s="351"/>
      <c r="BJ1300" s="506" t="s">
        <v>294</v>
      </c>
      <c r="BK1300" s="350"/>
      <c r="BL1300" s="350"/>
      <c r="BM1300" s="351"/>
      <c r="BN1300" s="530" t="s">
        <v>294</v>
      </c>
      <c r="BO1300" s="350"/>
      <c r="BP1300" s="350"/>
      <c r="BQ1300" s="350"/>
      <c r="BR1300" s="350"/>
      <c r="BS1300" s="350"/>
      <c r="BT1300" s="350"/>
      <c r="BU1300" s="350"/>
      <c r="BV1300" s="351"/>
    </row>
    <row r="1301" spans="1:74" ht="45" customHeight="1">
      <c r="A1301" s="24">
        <f t="shared" si="5"/>
        <v>1287</v>
      </c>
      <c r="B1301" s="522" t="s">
        <v>294</v>
      </c>
      <c r="C1301" s="351"/>
      <c r="D1301" s="523" t="s">
        <v>298</v>
      </c>
      <c r="E1301" s="351"/>
      <c r="F1301" s="524" t="s">
        <v>325</v>
      </c>
      <c r="G1301" s="351"/>
      <c r="H1301" s="561" t="s">
        <v>325</v>
      </c>
      <c r="I1301" s="351"/>
      <c r="J1301" s="562"/>
      <c r="K1301" s="351"/>
      <c r="L1301" s="562"/>
      <c r="M1301" s="351"/>
      <c r="N1301" s="37"/>
      <c r="O1301" s="38"/>
      <c r="P1301" s="560"/>
      <c r="Q1301" s="351"/>
      <c r="R1301" s="527"/>
      <c r="S1301" s="351"/>
      <c r="T1301" s="528"/>
      <c r="U1301" s="351"/>
      <c r="V1301" s="541"/>
      <c r="W1301" s="351"/>
      <c r="X1301" s="542" t="s">
        <v>294</v>
      </c>
      <c r="Y1301" s="350"/>
      <c r="Z1301" s="350"/>
      <c r="AA1301" s="351"/>
      <c r="AB1301" s="543" t="s">
        <v>294</v>
      </c>
      <c r="AC1301" s="350"/>
      <c r="AD1301" s="350"/>
      <c r="AE1301" s="351"/>
      <c r="AF1301" s="544"/>
      <c r="AG1301" s="351"/>
      <c r="AH1301" s="544"/>
      <c r="AI1301" s="351"/>
      <c r="AJ1301" s="545"/>
      <c r="AK1301" s="351"/>
      <c r="AL1301" s="524" t="s">
        <v>325</v>
      </c>
      <c r="AM1301" s="351"/>
      <c r="AN1301" s="549" t="s">
        <v>325</v>
      </c>
      <c r="AO1301" s="351"/>
      <c r="AP1301" s="550"/>
      <c r="AQ1301" s="351"/>
      <c r="AR1301" s="551"/>
      <c r="AS1301" s="351"/>
      <c r="AT1301" s="552"/>
      <c r="AU1301" s="351"/>
      <c r="AV1301" s="549" t="s">
        <v>325</v>
      </c>
      <c r="AW1301" s="351"/>
      <c r="AX1301" s="553"/>
      <c r="AY1301" s="350"/>
      <c r="AZ1301" s="351"/>
      <c r="BA1301" s="554"/>
      <c r="BB1301" s="351"/>
      <c r="BC1301" s="39"/>
      <c r="BD1301" s="546" t="s">
        <v>325</v>
      </c>
      <c r="BE1301" s="351"/>
      <c r="BF1301" s="547"/>
      <c r="BG1301" s="350"/>
      <c r="BH1301" s="350"/>
      <c r="BI1301" s="351"/>
      <c r="BJ1301" s="548" t="s">
        <v>294</v>
      </c>
      <c r="BK1301" s="350"/>
      <c r="BL1301" s="350"/>
      <c r="BM1301" s="351"/>
      <c r="BN1301" s="530" t="s">
        <v>294</v>
      </c>
      <c r="BO1301" s="350"/>
      <c r="BP1301" s="350"/>
      <c r="BQ1301" s="350"/>
      <c r="BR1301" s="350"/>
      <c r="BS1301" s="350"/>
      <c r="BT1301" s="350"/>
      <c r="BU1301" s="350"/>
      <c r="BV1301" s="351"/>
    </row>
    <row r="1302" spans="1:74" ht="45" customHeight="1">
      <c r="A1302" s="24">
        <f t="shared" si="5"/>
        <v>1288</v>
      </c>
      <c r="B1302" s="558" t="s">
        <v>294</v>
      </c>
      <c r="C1302" s="351"/>
      <c r="D1302" s="559" t="s">
        <v>298</v>
      </c>
      <c r="E1302" s="351"/>
      <c r="F1302" s="524" t="s">
        <v>325</v>
      </c>
      <c r="G1302" s="351"/>
      <c r="H1302" s="525" t="s">
        <v>325</v>
      </c>
      <c r="I1302" s="351"/>
      <c r="J1302" s="563"/>
      <c r="K1302" s="351"/>
      <c r="L1302" s="563"/>
      <c r="M1302" s="351"/>
      <c r="N1302" s="34"/>
      <c r="O1302" s="35"/>
      <c r="P1302" s="526"/>
      <c r="Q1302" s="351"/>
      <c r="R1302" s="535"/>
      <c r="S1302" s="351"/>
      <c r="T1302" s="536"/>
      <c r="U1302" s="351"/>
      <c r="V1302" s="537"/>
      <c r="W1302" s="351"/>
      <c r="X1302" s="538" t="s">
        <v>294</v>
      </c>
      <c r="Y1302" s="350"/>
      <c r="Z1302" s="350"/>
      <c r="AA1302" s="351"/>
      <c r="AB1302" s="539" t="s">
        <v>294</v>
      </c>
      <c r="AC1302" s="350"/>
      <c r="AD1302" s="350"/>
      <c r="AE1302" s="351"/>
      <c r="AF1302" s="540"/>
      <c r="AG1302" s="351"/>
      <c r="AH1302" s="540"/>
      <c r="AI1302" s="351"/>
      <c r="AJ1302" s="545"/>
      <c r="AK1302" s="351"/>
      <c r="AL1302" s="555" t="s">
        <v>325</v>
      </c>
      <c r="AM1302" s="351"/>
      <c r="AN1302" s="531" t="s">
        <v>325</v>
      </c>
      <c r="AO1302" s="351"/>
      <c r="AP1302" s="532"/>
      <c r="AQ1302" s="351"/>
      <c r="AR1302" s="533"/>
      <c r="AS1302" s="351"/>
      <c r="AT1302" s="534"/>
      <c r="AU1302" s="351"/>
      <c r="AV1302" s="531" t="s">
        <v>325</v>
      </c>
      <c r="AW1302" s="351"/>
      <c r="AX1302" s="553"/>
      <c r="AY1302" s="350"/>
      <c r="AZ1302" s="351"/>
      <c r="BA1302" s="545"/>
      <c r="BB1302" s="351"/>
      <c r="BC1302" s="36"/>
      <c r="BD1302" s="556" t="s">
        <v>325</v>
      </c>
      <c r="BE1302" s="351"/>
      <c r="BF1302" s="557"/>
      <c r="BG1302" s="350"/>
      <c r="BH1302" s="350"/>
      <c r="BI1302" s="351"/>
      <c r="BJ1302" s="506" t="s">
        <v>294</v>
      </c>
      <c r="BK1302" s="350"/>
      <c r="BL1302" s="350"/>
      <c r="BM1302" s="351"/>
      <c r="BN1302" s="530" t="s">
        <v>294</v>
      </c>
      <c r="BO1302" s="350"/>
      <c r="BP1302" s="350"/>
      <c r="BQ1302" s="350"/>
      <c r="BR1302" s="350"/>
      <c r="BS1302" s="350"/>
      <c r="BT1302" s="350"/>
      <c r="BU1302" s="350"/>
      <c r="BV1302" s="351"/>
    </row>
    <row r="1303" spans="1:74" ht="45" customHeight="1">
      <c r="A1303" s="24">
        <f t="shared" si="5"/>
        <v>1289</v>
      </c>
      <c r="B1303" s="522" t="s">
        <v>294</v>
      </c>
      <c r="C1303" s="351"/>
      <c r="D1303" s="523" t="s">
        <v>298</v>
      </c>
      <c r="E1303" s="351"/>
      <c r="F1303" s="524" t="s">
        <v>325</v>
      </c>
      <c r="G1303" s="351"/>
      <c r="H1303" s="561" t="s">
        <v>325</v>
      </c>
      <c r="I1303" s="351"/>
      <c r="J1303" s="562"/>
      <c r="K1303" s="351"/>
      <c r="L1303" s="562"/>
      <c r="M1303" s="351"/>
      <c r="N1303" s="37"/>
      <c r="O1303" s="38"/>
      <c r="P1303" s="560"/>
      <c r="Q1303" s="351"/>
      <c r="R1303" s="527"/>
      <c r="S1303" s="351"/>
      <c r="T1303" s="528"/>
      <c r="U1303" s="351"/>
      <c r="V1303" s="541"/>
      <c r="W1303" s="351"/>
      <c r="X1303" s="542" t="s">
        <v>294</v>
      </c>
      <c r="Y1303" s="350"/>
      <c r="Z1303" s="350"/>
      <c r="AA1303" s="351"/>
      <c r="AB1303" s="543" t="s">
        <v>294</v>
      </c>
      <c r="AC1303" s="350"/>
      <c r="AD1303" s="350"/>
      <c r="AE1303" s="351"/>
      <c r="AF1303" s="544"/>
      <c r="AG1303" s="351"/>
      <c r="AH1303" s="544"/>
      <c r="AI1303" s="351"/>
      <c r="AJ1303" s="545"/>
      <c r="AK1303" s="351"/>
      <c r="AL1303" s="524" t="s">
        <v>325</v>
      </c>
      <c r="AM1303" s="351"/>
      <c r="AN1303" s="549" t="s">
        <v>325</v>
      </c>
      <c r="AO1303" s="351"/>
      <c r="AP1303" s="550"/>
      <c r="AQ1303" s="351"/>
      <c r="AR1303" s="551"/>
      <c r="AS1303" s="351"/>
      <c r="AT1303" s="552"/>
      <c r="AU1303" s="351"/>
      <c r="AV1303" s="549" t="s">
        <v>325</v>
      </c>
      <c r="AW1303" s="351"/>
      <c r="AX1303" s="553"/>
      <c r="AY1303" s="350"/>
      <c r="AZ1303" s="351"/>
      <c r="BA1303" s="554"/>
      <c r="BB1303" s="351"/>
      <c r="BC1303" s="39"/>
      <c r="BD1303" s="546" t="s">
        <v>325</v>
      </c>
      <c r="BE1303" s="351"/>
      <c r="BF1303" s="547"/>
      <c r="BG1303" s="350"/>
      <c r="BH1303" s="350"/>
      <c r="BI1303" s="351"/>
      <c r="BJ1303" s="548" t="s">
        <v>294</v>
      </c>
      <c r="BK1303" s="350"/>
      <c r="BL1303" s="350"/>
      <c r="BM1303" s="351"/>
      <c r="BN1303" s="530" t="s">
        <v>294</v>
      </c>
      <c r="BO1303" s="350"/>
      <c r="BP1303" s="350"/>
      <c r="BQ1303" s="350"/>
      <c r="BR1303" s="350"/>
      <c r="BS1303" s="350"/>
      <c r="BT1303" s="350"/>
      <c r="BU1303" s="350"/>
      <c r="BV1303" s="351"/>
    </row>
    <row r="1304" spans="1:74" ht="45" customHeight="1">
      <c r="A1304" s="24">
        <f t="shared" si="5"/>
        <v>1290</v>
      </c>
      <c r="B1304" s="558" t="s">
        <v>294</v>
      </c>
      <c r="C1304" s="351"/>
      <c r="D1304" s="559" t="s">
        <v>298</v>
      </c>
      <c r="E1304" s="351"/>
      <c r="F1304" s="524" t="s">
        <v>325</v>
      </c>
      <c r="G1304" s="351"/>
      <c r="H1304" s="525" t="s">
        <v>325</v>
      </c>
      <c r="I1304" s="351"/>
      <c r="J1304" s="563"/>
      <c r="K1304" s="351"/>
      <c r="L1304" s="563"/>
      <c r="M1304" s="351"/>
      <c r="N1304" s="34"/>
      <c r="O1304" s="35"/>
      <c r="P1304" s="526"/>
      <c r="Q1304" s="351"/>
      <c r="R1304" s="535"/>
      <c r="S1304" s="351"/>
      <c r="T1304" s="536"/>
      <c r="U1304" s="351"/>
      <c r="V1304" s="537"/>
      <c r="W1304" s="351"/>
      <c r="X1304" s="538" t="s">
        <v>294</v>
      </c>
      <c r="Y1304" s="350"/>
      <c r="Z1304" s="350"/>
      <c r="AA1304" s="351"/>
      <c r="AB1304" s="539" t="s">
        <v>294</v>
      </c>
      <c r="AC1304" s="350"/>
      <c r="AD1304" s="350"/>
      <c r="AE1304" s="351"/>
      <c r="AF1304" s="540"/>
      <c r="AG1304" s="351"/>
      <c r="AH1304" s="540"/>
      <c r="AI1304" s="351"/>
      <c r="AJ1304" s="545"/>
      <c r="AK1304" s="351"/>
      <c r="AL1304" s="555" t="s">
        <v>325</v>
      </c>
      <c r="AM1304" s="351"/>
      <c r="AN1304" s="531" t="s">
        <v>325</v>
      </c>
      <c r="AO1304" s="351"/>
      <c r="AP1304" s="532"/>
      <c r="AQ1304" s="351"/>
      <c r="AR1304" s="533"/>
      <c r="AS1304" s="351"/>
      <c r="AT1304" s="534"/>
      <c r="AU1304" s="351"/>
      <c r="AV1304" s="531" t="s">
        <v>325</v>
      </c>
      <c r="AW1304" s="351"/>
      <c r="AX1304" s="553"/>
      <c r="AY1304" s="350"/>
      <c r="AZ1304" s="351"/>
      <c r="BA1304" s="545"/>
      <c r="BB1304" s="351"/>
      <c r="BC1304" s="36"/>
      <c r="BD1304" s="556" t="s">
        <v>325</v>
      </c>
      <c r="BE1304" s="351"/>
      <c r="BF1304" s="557"/>
      <c r="BG1304" s="350"/>
      <c r="BH1304" s="350"/>
      <c r="BI1304" s="351"/>
      <c r="BJ1304" s="506" t="s">
        <v>294</v>
      </c>
      <c r="BK1304" s="350"/>
      <c r="BL1304" s="350"/>
      <c r="BM1304" s="351"/>
      <c r="BN1304" s="530" t="s">
        <v>294</v>
      </c>
      <c r="BO1304" s="350"/>
      <c r="BP1304" s="350"/>
      <c r="BQ1304" s="350"/>
      <c r="BR1304" s="350"/>
      <c r="BS1304" s="350"/>
      <c r="BT1304" s="350"/>
      <c r="BU1304" s="350"/>
      <c r="BV1304" s="351"/>
    </row>
    <row r="1305" spans="1:74" ht="45" customHeight="1">
      <c r="A1305" s="24">
        <f t="shared" si="5"/>
        <v>1291</v>
      </c>
      <c r="B1305" s="522" t="s">
        <v>294</v>
      </c>
      <c r="C1305" s="351"/>
      <c r="D1305" s="523" t="s">
        <v>298</v>
      </c>
      <c r="E1305" s="351"/>
      <c r="F1305" s="524" t="s">
        <v>325</v>
      </c>
      <c r="G1305" s="351"/>
      <c r="H1305" s="561" t="s">
        <v>325</v>
      </c>
      <c r="I1305" s="351"/>
      <c r="J1305" s="562"/>
      <c r="K1305" s="351"/>
      <c r="L1305" s="562"/>
      <c r="M1305" s="351"/>
      <c r="N1305" s="37"/>
      <c r="O1305" s="38"/>
      <c r="P1305" s="560"/>
      <c r="Q1305" s="351"/>
      <c r="R1305" s="527"/>
      <c r="S1305" s="351"/>
      <c r="T1305" s="528"/>
      <c r="U1305" s="351"/>
      <c r="V1305" s="541"/>
      <c r="W1305" s="351"/>
      <c r="X1305" s="542" t="s">
        <v>294</v>
      </c>
      <c r="Y1305" s="350"/>
      <c r="Z1305" s="350"/>
      <c r="AA1305" s="351"/>
      <c r="AB1305" s="543" t="s">
        <v>294</v>
      </c>
      <c r="AC1305" s="350"/>
      <c r="AD1305" s="350"/>
      <c r="AE1305" s="351"/>
      <c r="AF1305" s="544"/>
      <c r="AG1305" s="351"/>
      <c r="AH1305" s="544"/>
      <c r="AI1305" s="351"/>
      <c r="AJ1305" s="545"/>
      <c r="AK1305" s="351"/>
      <c r="AL1305" s="524" t="s">
        <v>325</v>
      </c>
      <c r="AM1305" s="351"/>
      <c r="AN1305" s="549" t="s">
        <v>325</v>
      </c>
      <c r="AO1305" s="351"/>
      <c r="AP1305" s="550"/>
      <c r="AQ1305" s="351"/>
      <c r="AR1305" s="551"/>
      <c r="AS1305" s="351"/>
      <c r="AT1305" s="552"/>
      <c r="AU1305" s="351"/>
      <c r="AV1305" s="549" t="s">
        <v>325</v>
      </c>
      <c r="AW1305" s="351"/>
      <c r="AX1305" s="553"/>
      <c r="AY1305" s="350"/>
      <c r="AZ1305" s="351"/>
      <c r="BA1305" s="554"/>
      <c r="BB1305" s="351"/>
      <c r="BC1305" s="39"/>
      <c r="BD1305" s="546" t="s">
        <v>325</v>
      </c>
      <c r="BE1305" s="351"/>
      <c r="BF1305" s="547"/>
      <c r="BG1305" s="350"/>
      <c r="BH1305" s="350"/>
      <c r="BI1305" s="351"/>
      <c r="BJ1305" s="548" t="s">
        <v>294</v>
      </c>
      <c r="BK1305" s="350"/>
      <c r="BL1305" s="350"/>
      <c r="BM1305" s="351"/>
      <c r="BN1305" s="530" t="s">
        <v>294</v>
      </c>
      <c r="BO1305" s="350"/>
      <c r="BP1305" s="350"/>
      <c r="BQ1305" s="350"/>
      <c r="BR1305" s="350"/>
      <c r="BS1305" s="350"/>
      <c r="BT1305" s="350"/>
      <c r="BU1305" s="350"/>
      <c r="BV1305" s="351"/>
    </row>
    <row r="1306" spans="1:74" ht="45" customHeight="1">
      <c r="A1306" s="24">
        <f t="shared" si="5"/>
        <v>1292</v>
      </c>
      <c r="B1306" s="558" t="s">
        <v>294</v>
      </c>
      <c r="C1306" s="351"/>
      <c r="D1306" s="559" t="s">
        <v>298</v>
      </c>
      <c r="E1306" s="351"/>
      <c r="F1306" s="524" t="s">
        <v>325</v>
      </c>
      <c r="G1306" s="351"/>
      <c r="H1306" s="525" t="s">
        <v>325</v>
      </c>
      <c r="I1306" s="351"/>
      <c r="J1306" s="563"/>
      <c r="K1306" s="351"/>
      <c r="L1306" s="563"/>
      <c r="M1306" s="351"/>
      <c r="N1306" s="34"/>
      <c r="O1306" s="35"/>
      <c r="P1306" s="526"/>
      <c r="Q1306" s="351"/>
      <c r="R1306" s="535"/>
      <c r="S1306" s="351"/>
      <c r="T1306" s="536"/>
      <c r="U1306" s="351"/>
      <c r="V1306" s="537"/>
      <c r="W1306" s="351"/>
      <c r="X1306" s="538" t="s">
        <v>294</v>
      </c>
      <c r="Y1306" s="350"/>
      <c r="Z1306" s="350"/>
      <c r="AA1306" s="351"/>
      <c r="AB1306" s="539" t="s">
        <v>294</v>
      </c>
      <c r="AC1306" s="350"/>
      <c r="AD1306" s="350"/>
      <c r="AE1306" s="351"/>
      <c r="AF1306" s="540"/>
      <c r="AG1306" s="351"/>
      <c r="AH1306" s="540"/>
      <c r="AI1306" s="351"/>
      <c r="AJ1306" s="545"/>
      <c r="AK1306" s="351"/>
      <c r="AL1306" s="555" t="s">
        <v>325</v>
      </c>
      <c r="AM1306" s="351"/>
      <c r="AN1306" s="531" t="s">
        <v>325</v>
      </c>
      <c r="AO1306" s="351"/>
      <c r="AP1306" s="532"/>
      <c r="AQ1306" s="351"/>
      <c r="AR1306" s="533"/>
      <c r="AS1306" s="351"/>
      <c r="AT1306" s="534"/>
      <c r="AU1306" s="351"/>
      <c r="AV1306" s="531" t="s">
        <v>325</v>
      </c>
      <c r="AW1306" s="351"/>
      <c r="AX1306" s="553"/>
      <c r="AY1306" s="350"/>
      <c r="AZ1306" s="351"/>
      <c r="BA1306" s="545"/>
      <c r="BB1306" s="351"/>
      <c r="BC1306" s="36"/>
      <c r="BD1306" s="556" t="s">
        <v>325</v>
      </c>
      <c r="BE1306" s="351"/>
      <c r="BF1306" s="529"/>
      <c r="BG1306" s="350"/>
      <c r="BH1306" s="350"/>
      <c r="BI1306" s="351"/>
      <c r="BJ1306" s="506" t="s">
        <v>294</v>
      </c>
      <c r="BK1306" s="350"/>
      <c r="BL1306" s="350"/>
      <c r="BM1306" s="351"/>
      <c r="BN1306" s="530" t="s">
        <v>294</v>
      </c>
      <c r="BO1306" s="350"/>
      <c r="BP1306" s="350"/>
      <c r="BQ1306" s="350"/>
      <c r="BR1306" s="350"/>
      <c r="BS1306" s="350"/>
      <c r="BT1306" s="350"/>
      <c r="BU1306" s="350"/>
      <c r="BV1306" s="351"/>
    </row>
    <row r="1307" spans="1:74" ht="45" customHeight="1">
      <c r="A1307" s="24">
        <f t="shared" si="5"/>
        <v>1293</v>
      </c>
      <c r="B1307" s="522" t="s">
        <v>294</v>
      </c>
      <c r="C1307" s="351"/>
      <c r="D1307" s="523" t="s">
        <v>298</v>
      </c>
      <c r="E1307" s="351"/>
      <c r="F1307" s="524" t="s">
        <v>325</v>
      </c>
      <c r="G1307" s="351"/>
      <c r="H1307" s="561" t="s">
        <v>325</v>
      </c>
      <c r="I1307" s="351"/>
      <c r="J1307" s="562"/>
      <c r="K1307" s="351"/>
      <c r="L1307" s="562"/>
      <c r="M1307" s="351"/>
      <c r="N1307" s="37"/>
      <c r="O1307" s="38"/>
      <c r="P1307" s="560"/>
      <c r="Q1307" s="351"/>
      <c r="R1307" s="527"/>
      <c r="S1307" s="351"/>
      <c r="T1307" s="528"/>
      <c r="U1307" s="351"/>
      <c r="V1307" s="541"/>
      <c r="W1307" s="351"/>
      <c r="X1307" s="542" t="s">
        <v>294</v>
      </c>
      <c r="Y1307" s="350"/>
      <c r="Z1307" s="350"/>
      <c r="AA1307" s="351"/>
      <c r="AB1307" s="543" t="s">
        <v>294</v>
      </c>
      <c r="AC1307" s="350"/>
      <c r="AD1307" s="350"/>
      <c r="AE1307" s="351"/>
      <c r="AF1307" s="544"/>
      <c r="AG1307" s="351"/>
      <c r="AH1307" s="544"/>
      <c r="AI1307" s="351"/>
      <c r="AJ1307" s="545"/>
      <c r="AK1307" s="351"/>
      <c r="AL1307" s="524" t="s">
        <v>325</v>
      </c>
      <c r="AM1307" s="351"/>
      <c r="AN1307" s="549" t="s">
        <v>325</v>
      </c>
      <c r="AO1307" s="351"/>
      <c r="AP1307" s="550"/>
      <c r="AQ1307" s="351"/>
      <c r="AR1307" s="551"/>
      <c r="AS1307" s="351"/>
      <c r="AT1307" s="552"/>
      <c r="AU1307" s="351"/>
      <c r="AV1307" s="549" t="s">
        <v>325</v>
      </c>
      <c r="AW1307" s="351"/>
      <c r="AX1307" s="553"/>
      <c r="AY1307" s="350"/>
      <c r="AZ1307" s="351"/>
      <c r="BA1307" s="554"/>
      <c r="BB1307" s="351"/>
      <c r="BC1307" s="39"/>
      <c r="BD1307" s="546" t="s">
        <v>325</v>
      </c>
      <c r="BE1307" s="351"/>
      <c r="BF1307" s="547"/>
      <c r="BG1307" s="350"/>
      <c r="BH1307" s="350"/>
      <c r="BI1307" s="351"/>
      <c r="BJ1307" s="548" t="s">
        <v>294</v>
      </c>
      <c r="BK1307" s="350"/>
      <c r="BL1307" s="350"/>
      <c r="BM1307" s="351"/>
      <c r="BN1307" s="530" t="s">
        <v>294</v>
      </c>
      <c r="BO1307" s="350"/>
      <c r="BP1307" s="350"/>
      <c r="BQ1307" s="350"/>
      <c r="BR1307" s="350"/>
      <c r="BS1307" s="350"/>
      <c r="BT1307" s="350"/>
      <c r="BU1307" s="350"/>
      <c r="BV1307" s="351"/>
    </row>
    <row r="1308" spans="1:74" ht="45" customHeight="1">
      <c r="A1308" s="24">
        <f t="shared" si="5"/>
        <v>1294</v>
      </c>
      <c r="B1308" s="558" t="s">
        <v>294</v>
      </c>
      <c r="C1308" s="351"/>
      <c r="D1308" s="559" t="s">
        <v>298</v>
      </c>
      <c r="E1308" s="351"/>
      <c r="F1308" s="524" t="s">
        <v>325</v>
      </c>
      <c r="G1308" s="351"/>
      <c r="H1308" s="525" t="s">
        <v>325</v>
      </c>
      <c r="I1308" s="351"/>
      <c r="J1308" s="563"/>
      <c r="K1308" s="351"/>
      <c r="L1308" s="563"/>
      <c r="M1308" s="351"/>
      <c r="N1308" s="34"/>
      <c r="O1308" s="35"/>
      <c r="P1308" s="526"/>
      <c r="Q1308" s="351"/>
      <c r="R1308" s="535"/>
      <c r="S1308" s="351"/>
      <c r="T1308" s="536"/>
      <c r="U1308" s="351"/>
      <c r="V1308" s="537"/>
      <c r="W1308" s="351"/>
      <c r="X1308" s="538" t="s">
        <v>294</v>
      </c>
      <c r="Y1308" s="350"/>
      <c r="Z1308" s="350"/>
      <c r="AA1308" s="351"/>
      <c r="AB1308" s="539" t="s">
        <v>294</v>
      </c>
      <c r="AC1308" s="350"/>
      <c r="AD1308" s="350"/>
      <c r="AE1308" s="351"/>
      <c r="AF1308" s="540"/>
      <c r="AG1308" s="351"/>
      <c r="AH1308" s="540"/>
      <c r="AI1308" s="351"/>
      <c r="AJ1308" s="545"/>
      <c r="AK1308" s="351"/>
      <c r="AL1308" s="555" t="s">
        <v>325</v>
      </c>
      <c r="AM1308" s="351"/>
      <c r="AN1308" s="531" t="s">
        <v>325</v>
      </c>
      <c r="AO1308" s="351"/>
      <c r="AP1308" s="532"/>
      <c r="AQ1308" s="351"/>
      <c r="AR1308" s="533"/>
      <c r="AS1308" s="351"/>
      <c r="AT1308" s="534"/>
      <c r="AU1308" s="351"/>
      <c r="AV1308" s="531" t="s">
        <v>325</v>
      </c>
      <c r="AW1308" s="351"/>
      <c r="AX1308" s="553"/>
      <c r="AY1308" s="350"/>
      <c r="AZ1308" s="351"/>
      <c r="BA1308" s="545"/>
      <c r="BB1308" s="351"/>
      <c r="BC1308" s="36"/>
      <c r="BD1308" s="556" t="s">
        <v>325</v>
      </c>
      <c r="BE1308" s="351"/>
      <c r="BF1308" s="557"/>
      <c r="BG1308" s="350"/>
      <c r="BH1308" s="350"/>
      <c r="BI1308" s="351"/>
      <c r="BJ1308" s="506" t="s">
        <v>294</v>
      </c>
      <c r="BK1308" s="350"/>
      <c r="BL1308" s="350"/>
      <c r="BM1308" s="351"/>
      <c r="BN1308" s="530" t="s">
        <v>294</v>
      </c>
      <c r="BO1308" s="350"/>
      <c r="BP1308" s="350"/>
      <c r="BQ1308" s="350"/>
      <c r="BR1308" s="350"/>
      <c r="BS1308" s="350"/>
      <c r="BT1308" s="350"/>
      <c r="BU1308" s="350"/>
      <c r="BV1308" s="351"/>
    </row>
    <row r="1309" spans="1:74" ht="45" customHeight="1">
      <c r="A1309" s="24">
        <f t="shared" si="5"/>
        <v>1295</v>
      </c>
      <c r="B1309" s="522" t="s">
        <v>294</v>
      </c>
      <c r="C1309" s="351"/>
      <c r="D1309" s="523" t="s">
        <v>298</v>
      </c>
      <c r="E1309" s="351"/>
      <c r="F1309" s="524" t="s">
        <v>325</v>
      </c>
      <c r="G1309" s="351"/>
      <c r="H1309" s="561" t="s">
        <v>325</v>
      </c>
      <c r="I1309" s="351"/>
      <c r="J1309" s="562"/>
      <c r="K1309" s="351"/>
      <c r="L1309" s="562"/>
      <c r="M1309" s="351"/>
      <c r="N1309" s="34"/>
      <c r="O1309" s="35"/>
      <c r="P1309" s="526"/>
      <c r="Q1309" s="351"/>
      <c r="R1309" s="527"/>
      <c r="S1309" s="351"/>
      <c r="T1309" s="528"/>
      <c r="U1309" s="351"/>
      <c r="V1309" s="541"/>
      <c r="W1309" s="351"/>
      <c r="X1309" s="542" t="s">
        <v>294</v>
      </c>
      <c r="Y1309" s="350"/>
      <c r="Z1309" s="350"/>
      <c r="AA1309" s="351"/>
      <c r="AB1309" s="543" t="s">
        <v>294</v>
      </c>
      <c r="AC1309" s="350"/>
      <c r="AD1309" s="350"/>
      <c r="AE1309" s="351"/>
      <c r="AF1309" s="544"/>
      <c r="AG1309" s="351"/>
      <c r="AH1309" s="544"/>
      <c r="AI1309" s="351"/>
      <c r="AJ1309" s="545"/>
      <c r="AK1309" s="351"/>
      <c r="AL1309" s="524" t="s">
        <v>325</v>
      </c>
      <c r="AM1309" s="351"/>
      <c r="AN1309" s="549" t="s">
        <v>325</v>
      </c>
      <c r="AO1309" s="351"/>
      <c r="AP1309" s="550"/>
      <c r="AQ1309" s="351"/>
      <c r="AR1309" s="551"/>
      <c r="AS1309" s="351"/>
      <c r="AT1309" s="534"/>
      <c r="AU1309" s="351"/>
      <c r="AV1309" s="549" t="s">
        <v>325</v>
      </c>
      <c r="AW1309" s="351"/>
      <c r="AX1309" s="553"/>
      <c r="AY1309" s="350"/>
      <c r="AZ1309" s="351"/>
      <c r="BA1309" s="554"/>
      <c r="BB1309" s="351"/>
      <c r="BC1309" s="39"/>
      <c r="BD1309" s="546" t="s">
        <v>325</v>
      </c>
      <c r="BE1309" s="351"/>
      <c r="BF1309" s="547"/>
      <c r="BG1309" s="350"/>
      <c r="BH1309" s="350"/>
      <c r="BI1309" s="351"/>
      <c r="BJ1309" s="548" t="s">
        <v>294</v>
      </c>
      <c r="BK1309" s="350"/>
      <c r="BL1309" s="350"/>
      <c r="BM1309" s="351"/>
      <c r="BN1309" s="530" t="s">
        <v>294</v>
      </c>
      <c r="BO1309" s="350"/>
      <c r="BP1309" s="350"/>
      <c r="BQ1309" s="350"/>
      <c r="BR1309" s="350"/>
      <c r="BS1309" s="350"/>
      <c r="BT1309" s="350"/>
      <c r="BU1309" s="350"/>
      <c r="BV1309" s="351"/>
    </row>
    <row r="1310" spans="1:74" ht="45" customHeight="1">
      <c r="A1310" s="24">
        <f t="shared" si="5"/>
        <v>1296</v>
      </c>
      <c r="B1310" s="558" t="s">
        <v>294</v>
      </c>
      <c r="C1310" s="351"/>
      <c r="D1310" s="559" t="s">
        <v>298</v>
      </c>
      <c r="E1310" s="351"/>
      <c r="F1310" s="524" t="s">
        <v>325</v>
      </c>
      <c r="G1310" s="351"/>
      <c r="H1310" s="525" t="s">
        <v>325</v>
      </c>
      <c r="I1310" s="351"/>
      <c r="J1310" s="563"/>
      <c r="K1310" s="351"/>
      <c r="L1310" s="563"/>
      <c r="M1310" s="351"/>
      <c r="N1310" s="37"/>
      <c r="O1310" s="38"/>
      <c r="P1310" s="560"/>
      <c r="Q1310" s="351"/>
      <c r="R1310" s="535"/>
      <c r="S1310" s="351"/>
      <c r="T1310" s="536"/>
      <c r="U1310" s="351"/>
      <c r="V1310" s="537"/>
      <c r="W1310" s="351"/>
      <c r="X1310" s="538" t="s">
        <v>294</v>
      </c>
      <c r="Y1310" s="350"/>
      <c r="Z1310" s="350"/>
      <c r="AA1310" s="351"/>
      <c r="AB1310" s="539" t="s">
        <v>294</v>
      </c>
      <c r="AC1310" s="350"/>
      <c r="AD1310" s="350"/>
      <c r="AE1310" s="351"/>
      <c r="AF1310" s="540"/>
      <c r="AG1310" s="351"/>
      <c r="AH1310" s="540"/>
      <c r="AI1310" s="351"/>
      <c r="AJ1310" s="545"/>
      <c r="AK1310" s="351"/>
      <c r="AL1310" s="555" t="s">
        <v>325</v>
      </c>
      <c r="AM1310" s="351"/>
      <c r="AN1310" s="531" t="s">
        <v>325</v>
      </c>
      <c r="AO1310" s="351"/>
      <c r="AP1310" s="532"/>
      <c r="AQ1310" s="351"/>
      <c r="AR1310" s="533"/>
      <c r="AS1310" s="351"/>
      <c r="AT1310" s="534"/>
      <c r="AU1310" s="351"/>
      <c r="AV1310" s="531" t="s">
        <v>325</v>
      </c>
      <c r="AW1310" s="351"/>
      <c r="AX1310" s="553"/>
      <c r="AY1310" s="350"/>
      <c r="AZ1310" s="351"/>
      <c r="BA1310" s="545"/>
      <c r="BB1310" s="351"/>
      <c r="BC1310" s="36"/>
      <c r="BD1310" s="556" t="s">
        <v>325</v>
      </c>
      <c r="BE1310" s="351"/>
      <c r="BF1310" s="557"/>
      <c r="BG1310" s="350"/>
      <c r="BH1310" s="350"/>
      <c r="BI1310" s="351"/>
      <c r="BJ1310" s="506" t="s">
        <v>294</v>
      </c>
      <c r="BK1310" s="350"/>
      <c r="BL1310" s="350"/>
      <c r="BM1310" s="351"/>
      <c r="BN1310" s="530" t="s">
        <v>294</v>
      </c>
      <c r="BO1310" s="350"/>
      <c r="BP1310" s="350"/>
      <c r="BQ1310" s="350"/>
      <c r="BR1310" s="350"/>
      <c r="BS1310" s="350"/>
      <c r="BT1310" s="350"/>
      <c r="BU1310" s="350"/>
      <c r="BV1310" s="351"/>
    </row>
    <row r="1311" spans="1:74" ht="45" customHeight="1">
      <c r="A1311" s="24">
        <f t="shared" si="5"/>
        <v>1297</v>
      </c>
      <c r="B1311" s="522" t="s">
        <v>294</v>
      </c>
      <c r="C1311" s="351"/>
      <c r="D1311" s="523" t="s">
        <v>298</v>
      </c>
      <c r="E1311" s="351"/>
      <c r="F1311" s="524" t="s">
        <v>325</v>
      </c>
      <c r="G1311" s="351"/>
      <c r="H1311" s="561" t="s">
        <v>325</v>
      </c>
      <c r="I1311" s="351"/>
      <c r="J1311" s="562"/>
      <c r="K1311" s="351"/>
      <c r="L1311" s="562"/>
      <c r="M1311" s="351"/>
      <c r="N1311" s="34"/>
      <c r="O1311" s="35"/>
      <c r="P1311" s="526"/>
      <c r="Q1311" s="351"/>
      <c r="R1311" s="527"/>
      <c r="S1311" s="351"/>
      <c r="T1311" s="528"/>
      <c r="U1311" s="351"/>
      <c r="V1311" s="541"/>
      <c r="W1311" s="351"/>
      <c r="X1311" s="542" t="s">
        <v>294</v>
      </c>
      <c r="Y1311" s="350"/>
      <c r="Z1311" s="350"/>
      <c r="AA1311" s="351"/>
      <c r="AB1311" s="543" t="s">
        <v>294</v>
      </c>
      <c r="AC1311" s="350"/>
      <c r="AD1311" s="350"/>
      <c r="AE1311" s="351"/>
      <c r="AF1311" s="544"/>
      <c r="AG1311" s="351"/>
      <c r="AH1311" s="544"/>
      <c r="AI1311" s="351"/>
      <c r="AJ1311" s="545"/>
      <c r="AK1311" s="351"/>
      <c r="AL1311" s="524" t="s">
        <v>325</v>
      </c>
      <c r="AM1311" s="351"/>
      <c r="AN1311" s="549" t="s">
        <v>325</v>
      </c>
      <c r="AO1311" s="351"/>
      <c r="AP1311" s="550"/>
      <c r="AQ1311" s="351"/>
      <c r="AR1311" s="551"/>
      <c r="AS1311" s="351"/>
      <c r="AT1311" s="534"/>
      <c r="AU1311" s="351"/>
      <c r="AV1311" s="549" t="s">
        <v>325</v>
      </c>
      <c r="AW1311" s="351"/>
      <c r="AX1311" s="553"/>
      <c r="AY1311" s="350"/>
      <c r="AZ1311" s="351"/>
      <c r="BA1311" s="554"/>
      <c r="BB1311" s="351"/>
      <c r="BC1311" s="39"/>
      <c r="BD1311" s="546" t="s">
        <v>325</v>
      </c>
      <c r="BE1311" s="351"/>
      <c r="BF1311" s="547"/>
      <c r="BG1311" s="350"/>
      <c r="BH1311" s="350"/>
      <c r="BI1311" s="351"/>
      <c r="BJ1311" s="548" t="s">
        <v>294</v>
      </c>
      <c r="BK1311" s="350"/>
      <c r="BL1311" s="350"/>
      <c r="BM1311" s="351"/>
      <c r="BN1311" s="530" t="s">
        <v>294</v>
      </c>
      <c r="BO1311" s="350"/>
      <c r="BP1311" s="350"/>
      <c r="BQ1311" s="350"/>
      <c r="BR1311" s="350"/>
      <c r="BS1311" s="350"/>
      <c r="BT1311" s="350"/>
      <c r="BU1311" s="350"/>
      <c r="BV1311" s="351"/>
    </row>
    <row r="1312" spans="1:74" ht="45" customHeight="1">
      <c r="A1312" s="24">
        <f t="shared" si="5"/>
        <v>1298</v>
      </c>
      <c r="B1312" s="558" t="s">
        <v>294</v>
      </c>
      <c r="C1312" s="351"/>
      <c r="D1312" s="559" t="s">
        <v>298</v>
      </c>
      <c r="E1312" s="351"/>
      <c r="F1312" s="524" t="s">
        <v>325</v>
      </c>
      <c r="G1312" s="351"/>
      <c r="H1312" s="525" t="s">
        <v>325</v>
      </c>
      <c r="I1312" s="351"/>
      <c r="J1312" s="563"/>
      <c r="K1312" s="351"/>
      <c r="L1312" s="563"/>
      <c r="M1312" s="351"/>
      <c r="N1312" s="37"/>
      <c r="O1312" s="38"/>
      <c r="P1312" s="560"/>
      <c r="Q1312" s="351"/>
      <c r="R1312" s="535"/>
      <c r="S1312" s="351"/>
      <c r="T1312" s="536"/>
      <c r="U1312" s="351"/>
      <c r="V1312" s="537"/>
      <c r="W1312" s="351"/>
      <c r="X1312" s="538" t="s">
        <v>294</v>
      </c>
      <c r="Y1312" s="350"/>
      <c r="Z1312" s="350"/>
      <c r="AA1312" s="351"/>
      <c r="AB1312" s="539" t="s">
        <v>294</v>
      </c>
      <c r="AC1312" s="350"/>
      <c r="AD1312" s="350"/>
      <c r="AE1312" s="351"/>
      <c r="AF1312" s="540"/>
      <c r="AG1312" s="351"/>
      <c r="AH1312" s="540"/>
      <c r="AI1312" s="351"/>
      <c r="AJ1312" s="545"/>
      <c r="AK1312" s="351"/>
      <c r="AL1312" s="555" t="s">
        <v>325</v>
      </c>
      <c r="AM1312" s="351"/>
      <c r="AN1312" s="531" t="s">
        <v>325</v>
      </c>
      <c r="AO1312" s="351"/>
      <c r="AP1312" s="532"/>
      <c r="AQ1312" s="351"/>
      <c r="AR1312" s="533"/>
      <c r="AS1312" s="351"/>
      <c r="AT1312" s="534"/>
      <c r="AU1312" s="351"/>
      <c r="AV1312" s="531" t="s">
        <v>325</v>
      </c>
      <c r="AW1312" s="351"/>
      <c r="AX1312" s="553"/>
      <c r="AY1312" s="350"/>
      <c r="AZ1312" s="351"/>
      <c r="BA1312" s="545"/>
      <c r="BB1312" s="351"/>
      <c r="BC1312" s="36"/>
      <c r="BD1312" s="556" t="s">
        <v>325</v>
      </c>
      <c r="BE1312" s="351"/>
      <c r="BF1312" s="557"/>
      <c r="BG1312" s="350"/>
      <c r="BH1312" s="350"/>
      <c r="BI1312" s="351"/>
      <c r="BJ1312" s="506" t="s">
        <v>294</v>
      </c>
      <c r="BK1312" s="350"/>
      <c r="BL1312" s="350"/>
      <c r="BM1312" s="351"/>
      <c r="BN1312" s="530" t="s">
        <v>294</v>
      </c>
      <c r="BO1312" s="350"/>
      <c r="BP1312" s="350"/>
      <c r="BQ1312" s="350"/>
      <c r="BR1312" s="350"/>
      <c r="BS1312" s="350"/>
      <c r="BT1312" s="350"/>
      <c r="BU1312" s="350"/>
      <c r="BV1312" s="351"/>
    </row>
    <row r="1313" spans="1:74" ht="45" customHeight="1">
      <c r="A1313" s="24">
        <f t="shared" si="5"/>
        <v>1299</v>
      </c>
      <c r="B1313" s="522" t="s">
        <v>294</v>
      </c>
      <c r="C1313" s="351"/>
      <c r="D1313" s="523" t="s">
        <v>298</v>
      </c>
      <c r="E1313" s="351"/>
      <c r="F1313" s="524" t="s">
        <v>325</v>
      </c>
      <c r="G1313" s="351"/>
      <c r="H1313" s="561" t="s">
        <v>325</v>
      </c>
      <c r="I1313" s="351"/>
      <c r="J1313" s="562"/>
      <c r="K1313" s="351"/>
      <c r="L1313" s="562"/>
      <c r="M1313" s="351"/>
      <c r="N1313" s="34"/>
      <c r="O1313" s="38"/>
      <c r="P1313" s="526"/>
      <c r="Q1313" s="351"/>
      <c r="R1313" s="527"/>
      <c r="S1313" s="351"/>
      <c r="T1313" s="528"/>
      <c r="U1313" s="351"/>
      <c r="V1313" s="541"/>
      <c r="W1313" s="351"/>
      <c r="X1313" s="542" t="s">
        <v>294</v>
      </c>
      <c r="Y1313" s="350"/>
      <c r="Z1313" s="350"/>
      <c r="AA1313" s="351"/>
      <c r="AB1313" s="543" t="s">
        <v>294</v>
      </c>
      <c r="AC1313" s="350"/>
      <c r="AD1313" s="350"/>
      <c r="AE1313" s="351"/>
      <c r="AF1313" s="544"/>
      <c r="AG1313" s="351"/>
      <c r="AH1313" s="544"/>
      <c r="AI1313" s="351"/>
      <c r="AJ1313" s="545"/>
      <c r="AK1313" s="351"/>
      <c r="AL1313" s="524" t="s">
        <v>325</v>
      </c>
      <c r="AM1313" s="351"/>
      <c r="AN1313" s="549" t="s">
        <v>325</v>
      </c>
      <c r="AO1313" s="351"/>
      <c r="AP1313" s="550"/>
      <c r="AQ1313" s="351"/>
      <c r="AR1313" s="551"/>
      <c r="AS1313" s="351"/>
      <c r="AT1313" s="552"/>
      <c r="AU1313" s="351"/>
      <c r="AV1313" s="549" t="s">
        <v>325</v>
      </c>
      <c r="AW1313" s="351"/>
      <c r="AX1313" s="553"/>
      <c r="AY1313" s="350"/>
      <c r="AZ1313" s="351"/>
      <c r="BA1313" s="554"/>
      <c r="BB1313" s="351"/>
      <c r="BC1313" s="39"/>
      <c r="BD1313" s="546" t="s">
        <v>325</v>
      </c>
      <c r="BE1313" s="351"/>
      <c r="BF1313" s="547"/>
      <c r="BG1313" s="350"/>
      <c r="BH1313" s="350"/>
      <c r="BI1313" s="351"/>
      <c r="BJ1313" s="548" t="s">
        <v>294</v>
      </c>
      <c r="BK1313" s="350"/>
      <c r="BL1313" s="350"/>
      <c r="BM1313" s="351"/>
      <c r="BN1313" s="530" t="s">
        <v>294</v>
      </c>
      <c r="BO1313" s="350"/>
      <c r="BP1313" s="350"/>
      <c r="BQ1313" s="350"/>
      <c r="BR1313" s="350"/>
      <c r="BS1313" s="350"/>
      <c r="BT1313" s="350"/>
      <c r="BU1313" s="350"/>
      <c r="BV1313" s="351"/>
    </row>
    <row r="1314" spans="1:74" ht="45" customHeight="1">
      <c r="A1314" s="24">
        <f t="shared" si="5"/>
        <v>1300</v>
      </c>
      <c r="B1314" s="558" t="s">
        <v>294</v>
      </c>
      <c r="C1314" s="351"/>
      <c r="D1314" s="559" t="s">
        <v>298</v>
      </c>
      <c r="E1314" s="351"/>
      <c r="F1314" s="524" t="s">
        <v>325</v>
      </c>
      <c r="G1314" s="351"/>
      <c r="H1314" s="525" t="s">
        <v>325</v>
      </c>
      <c r="I1314" s="351"/>
      <c r="J1314" s="563"/>
      <c r="K1314" s="351"/>
      <c r="L1314" s="563"/>
      <c r="M1314" s="351"/>
      <c r="N1314" s="37"/>
      <c r="O1314" s="35"/>
      <c r="P1314" s="560"/>
      <c r="Q1314" s="351"/>
      <c r="R1314" s="535"/>
      <c r="S1314" s="351"/>
      <c r="T1314" s="536"/>
      <c r="U1314" s="351"/>
      <c r="V1314" s="537"/>
      <c r="W1314" s="351"/>
      <c r="X1314" s="538" t="s">
        <v>294</v>
      </c>
      <c r="Y1314" s="350"/>
      <c r="Z1314" s="350"/>
      <c r="AA1314" s="351"/>
      <c r="AB1314" s="539" t="s">
        <v>294</v>
      </c>
      <c r="AC1314" s="350"/>
      <c r="AD1314" s="350"/>
      <c r="AE1314" s="351"/>
      <c r="AF1314" s="540"/>
      <c r="AG1314" s="351"/>
      <c r="AH1314" s="540"/>
      <c r="AI1314" s="351"/>
      <c r="AJ1314" s="545"/>
      <c r="AK1314" s="351"/>
      <c r="AL1314" s="555" t="s">
        <v>325</v>
      </c>
      <c r="AM1314" s="351"/>
      <c r="AN1314" s="531" t="s">
        <v>325</v>
      </c>
      <c r="AO1314" s="351"/>
      <c r="AP1314" s="532"/>
      <c r="AQ1314" s="351"/>
      <c r="AR1314" s="533"/>
      <c r="AS1314" s="351"/>
      <c r="AT1314" s="534"/>
      <c r="AU1314" s="351"/>
      <c r="AV1314" s="531" t="s">
        <v>325</v>
      </c>
      <c r="AW1314" s="351"/>
      <c r="AX1314" s="553"/>
      <c r="AY1314" s="350"/>
      <c r="AZ1314" s="351"/>
      <c r="BA1314" s="545"/>
      <c r="BB1314" s="351"/>
      <c r="BC1314" s="36"/>
      <c r="BD1314" s="556" t="s">
        <v>325</v>
      </c>
      <c r="BE1314" s="351"/>
      <c r="BF1314" s="529"/>
      <c r="BG1314" s="350"/>
      <c r="BH1314" s="350"/>
      <c r="BI1314" s="351"/>
      <c r="BJ1314" s="506" t="s">
        <v>294</v>
      </c>
      <c r="BK1314" s="350"/>
      <c r="BL1314" s="350"/>
      <c r="BM1314" s="351"/>
      <c r="BN1314" s="530" t="s">
        <v>294</v>
      </c>
      <c r="BO1314" s="350"/>
      <c r="BP1314" s="350"/>
      <c r="BQ1314" s="350"/>
      <c r="BR1314" s="350"/>
      <c r="BS1314" s="350"/>
      <c r="BT1314" s="350"/>
      <c r="BU1314" s="350"/>
      <c r="BV1314" s="351"/>
    </row>
    <row r="1315" spans="1:74" ht="45" customHeight="1">
      <c r="A1315" s="24">
        <f t="shared" si="5"/>
        <v>1301</v>
      </c>
      <c r="B1315" s="522" t="s">
        <v>294</v>
      </c>
      <c r="C1315" s="351"/>
      <c r="D1315" s="523" t="s">
        <v>298</v>
      </c>
      <c r="E1315" s="351"/>
      <c r="F1315" s="524" t="s">
        <v>325</v>
      </c>
      <c r="G1315" s="351"/>
      <c r="H1315" s="561" t="s">
        <v>325</v>
      </c>
      <c r="I1315" s="351"/>
      <c r="J1315" s="562"/>
      <c r="K1315" s="351"/>
      <c r="L1315" s="562"/>
      <c r="M1315" s="351"/>
      <c r="N1315" s="34"/>
      <c r="O1315" s="38"/>
      <c r="P1315" s="526"/>
      <c r="Q1315" s="351"/>
      <c r="R1315" s="527"/>
      <c r="S1315" s="351"/>
      <c r="T1315" s="528"/>
      <c r="U1315" s="351"/>
      <c r="V1315" s="541"/>
      <c r="W1315" s="351"/>
      <c r="X1315" s="542" t="s">
        <v>294</v>
      </c>
      <c r="Y1315" s="350"/>
      <c r="Z1315" s="350"/>
      <c r="AA1315" s="351"/>
      <c r="AB1315" s="543" t="s">
        <v>294</v>
      </c>
      <c r="AC1315" s="350"/>
      <c r="AD1315" s="350"/>
      <c r="AE1315" s="351"/>
      <c r="AF1315" s="544"/>
      <c r="AG1315" s="351"/>
      <c r="AH1315" s="544"/>
      <c r="AI1315" s="351"/>
      <c r="AJ1315" s="545"/>
      <c r="AK1315" s="351"/>
      <c r="AL1315" s="524" t="s">
        <v>325</v>
      </c>
      <c r="AM1315" s="351"/>
      <c r="AN1315" s="549" t="s">
        <v>325</v>
      </c>
      <c r="AO1315" s="351"/>
      <c r="AP1315" s="550"/>
      <c r="AQ1315" s="351"/>
      <c r="AR1315" s="551"/>
      <c r="AS1315" s="351"/>
      <c r="AT1315" s="552"/>
      <c r="AU1315" s="351"/>
      <c r="AV1315" s="549" t="s">
        <v>325</v>
      </c>
      <c r="AW1315" s="351"/>
      <c r="AX1315" s="553"/>
      <c r="AY1315" s="350"/>
      <c r="AZ1315" s="351"/>
      <c r="BA1315" s="554"/>
      <c r="BB1315" s="351"/>
      <c r="BC1315" s="39"/>
      <c r="BD1315" s="546" t="s">
        <v>325</v>
      </c>
      <c r="BE1315" s="351"/>
      <c r="BF1315" s="547"/>
      <c r="BG1315" s="350"/>
      <c r="BH1315" s="350"/>
      <c r="BI1315" s="351"/>
      <c r="BJ1315" s="548" t="s">
        <v>294</v>
      </c>
      <c r="BK1315" s="350"/>
      <c r="BL1315" s="350"/>
      <c r="BM1315" s="351"/>
      <c r="BN1315" s="530" t="s">
        <v>294</v>
      </c>
      <c r="BO1315" s="350"/>
      <c r="BP1315" s="350"/>
      <c r="BQ1315" s="350"/>
      <c r="BR1315" s="350"/>
      <c r="BS1315" s="350"/>
      <c r="BT1315" s="350"/>
      <c r="BU1315" s="350"/>
      <c r="BV1315" s="351"/>
    </row>
    <row r="1316" spans="1:74" ht="45" customHeight="1">
      <c r="A1316" s="24">
        <f t="shared" si="5"/>
        <v>1302</v>
      </c>
      <c r="B1316" s="558" t="s">
        <v>294</v>
      </c>
      <c r="C1316" s="351"/>
      <c r="D1316" s="559" t="s">
        <v>298</v>
      </c>
      <c r="E1316" s="351"/>
      <c r="F1316" s="524" t="s">
        <v>325</v>
      </c>
      <c r="G1316" s="351"/>
      <c r="H1316" s="525" t="s">
        <v>325</v>
      </c>
      <c r="I1316" s="351"/>
      <c r="J1316" s="563"/>
      <c r="K1316" s="351"/>
      <c r="L1316" s="563"/>
      <c r="M1316" s="351"/>
      <c r="N1316" s="37"/>
      <c r="O1316" s="35"/>
      <c r="P1316" s="560"/>
      <c r="Q1316" s="351"/>
      <c r="R1316" s="535"/>
      <c r="S1316" s="351"/>
      <c r="T1316" s="536"/>
      <c r="U1316" s="351"/>
      <c r="V1316" s="537"/>
      <c r="W1316" s="351"/>
      <c r="X1316" s="538" t="s">
        <v>294</v>
      </c>
      <c r="Y1316" s="350"/>
      <c r="Z1316" s="350"/>
      <c r="AA1316" s="351"/>
      <c r="AB1316" s="539" t="s">
        <v>294</v>
      </c>
      <c r="AC1316" s="350"/>
      <c r="AD1316" s="350"/>
      <c r="AE1316" s="351"/>
      <c r="AF1316" s="540"/>
      <c r="AG1316" s="351"/>
      <c r="AH1316" s="540"/>
      <c r="AI1316" s="351"/>
      <c r="AJ1316" s="545"/>
      <c r="AK1316" s="351"/>
      <c r="AL1316" s="555" t="s">
        <v>325</v>
      </c>
      <c r="AM1316" s="351"/>
      <c r="AN1316" s="531" t="s">
        <v>325</v>
      </c>
      <c r="AO1316" s="351"/>
      <c r="AP1316" s="532"/>
      <c r="AQ1316" s="351"/>
      <c r="AR1316" s="533"/>
      <c r="AS1316" s="351"/>
      <c r="AT1316" s="534"/>
      <c r="AU1316" s="351"/>
      <c r="AV1316" s="531" t="s">
        <v>325</v>
      </c>
      <c r="AW1316" s="351"/>
      <c r="AX1316" s="553"/>
      <c r="AY1316" s="350"/>
      <c r="AZ1316" s="351"/>
      <c r="BA1316" s="545"/>
      <c r="BB1316" s="351"/>
      <c r="BC1316" s="36"/>
      <c r="BD1316" s="556" t="s">
        <v>325</v>
      </c>
      <c r="BE1316" s="351"/>
      <c r="BF1316" s="557"/>
      <c r="BG1316" s="350"/>
      <c r="BH1316" s="350"/>
      <c r="BI1316" s="351"/>
      <c r="BJ1316" s="506" t="s">
        <v>294</v>
      </c>
      <c r="BK1316" s="350"/>
      <c r="BL1316" s="350"/>
      <c r="BM1316" s="351"/>
      <c r="BN1316" s="530" t="s">
        <v>294</v>
      </c>
      <c r="BO1316" s="350"/>
      <c r="BP1316" s="350"/>
      <c r="BQ1316" s="350"/>
      <c r="BR1316" s="350"/>
      <c r="BS1316" s="350"/>
      <c r="BT1316" s="350"/>
      <c r="BU1316" s="350"/>
      <c r="BV1316" s="351"/>
    </row>
    <row r="1317" spans="1:74" ht="45" customHeight="1">
      <c r="A1317" s="24">
        <f t="shared" si="5"/>
        <v>1303</v>
      </c>
      <c r="B1317" s="522" t="s">
        <v>294</v>
      </c>
      <c r="C1317" s="351"/>
      <c r="D1317" s="523" t="s">
        <v>298</v>
      </c>
      <c r="E1317" s="351"/>
      <c r="F1317" s="524" t="s">
        <v>325</v>
      </c>
      <c r="G1317" s="351"/>
      <c r="H1317" s="561" t="s">
        <v>325</v>
      </c>
      <c r="I1317" s="351"/>
      <c r="J1317" s="562"/>
      <c r="K1317" s="351"/>
      <c r="L1317" s="562"/>
      <c r="M1317" s="351"/>
      <c r="N1317" s="34"/>
      <c r="O1317" s="38"/>
      <c r="P1317" s="526"/>
      <c r="Q1317" s="351"/>
      <c r="R1317" s="527"/>
      <c r="S1317" s="351"/>
      <c r="T1317" s="528"/>
      <c r="U1317" s="351"/>
      <c r="V1317" s="541"/>
      <c r="W1317" s="351"/>
      <c r="X1317" s="542" t="s">
        <v>294</v>
      </c>
      <c r="Y1317" s="350"/>
      <c r="Z1317" s="350"/>
      <c r="AA1317" s="351"/>
      <c r="AB1317" s="543" t="s">
        <v>294</v>
      </c>
      <c r="AC1317" s="350"/>
      <c r="AD1317" s="350"/>
      <c r="AE1317" s="351"/>
      <c r="AF1317" s="544"/>
      <c r="AG1317" s="351"/>
      <c r="AH1317" s="544"/>
      <c r="AI1317" s="351"/>
      <c r="AJ1317" s="545"/>
      <c r="AK1317" s="351"/>
      <c r="AL1317" s="524" t="s">
        <v>325</v>
      </c>
      <c r="AM1317" s="351"/>
      <c r="AN1317" s="549" t="s">
        <v>325</v>
      </c>
      <c r="AO1317" s="351"/>
      <c r="AP1317" s="550"/>
      <c r="AQ1317" s="351"/>
      <c r="AR1317" s="551"/>
      <c r="AS1317" s="351"/>
      <c r="AT1317" s="552"/>
      <c r="AU1317" s="351"/>
      <c r="AV1317" s="549" t="s">
        <v>325</v>
      </c>
      <c r="AW1317" s="351"/>
      <c r="AX1317" s="553"/>
      <c r="AY1317" s="350"/>
      <c r="AZ1317" s="351"/>
      <c r="BA1317" s="554"/>
      <c r="BB1317" s="351"/>
      <c r="BC1317" s="39"/>
      <c r="BD1317" s="546" t="s">
        <v>325</v>
      </c>
      <c r="BE1317" s="351"/>
      <c r="BF1317" s="547"/>
      <c r="BG1317" s="350"/>
      <c r="BH1317" s="350"/>
      <c r="BI1317" s="351"/>
      <c r="BJ1317" s="548" t="s">
        <v>294</v>
      </c>
      <c r="BK1317" s="350"/>
      <c r="BL1317" s="350"/>
      <c r="BM1317" s="351"/>
      <c r="BN1317" s="530" t="s">
        <v>294</v>
      </c>
      <c r="BO1317" s="350"/>
      <c r="BP1317" s="350"/>
      <c r="BQ1317" s="350"/>
      <c r="BR1317" s="350"/>
      <c r="BS1317" s="350"/>
      <c r="BT1317" s="350"/>
      <c r="BU1317" s="350"/>
      <c r="BV1317" s="351"/>
    </row>
    <row r="1318" spans="1:74" ht="45" customHeight="1">
      <c r="A1318" s="24">
        <f t="shared" si="5"/>
        <v>1304</v>
      </c>
      <c r="B1318" s="558" t="s">
        <v>294</v>
      </c>
      <c r="C1318" s="351"/>
      <c r="D1318" s="559" t="s">
        <v>298</v>
      </c>
      <c r="E1318" s="351"/>
      <c r="F1318" s="524" t="s">
        <v>325</v>
      </c>
      <c r="G1318" s="351"/>
      <c r="H1318" s="525" t="s">
        <v>325</v>
      </c>
      <c r="I1318" s="351"/>
      <c r="J1318" s="563"/>
      <c r="K1318" s="351"/>
      <c r="L1318" s="563"/>
      <c r="M1318" s="351"/>
      <c r="N1318" s="37"/>
      <c r="O1318" s="35"/>
      <c r="P1318" s="560"/>
      <c r="Q1318" s="351"/>
      <c r="R1318" s="535"/>
      <c r="S1318" s="351"/>
      <c r="T1318" s="536"/>
      <c r="U1318" s="351"/>
      <c r="V1318" s="537"/>
      <c r="W1318" s="351"/>
      <c r="X1318" s="538" t="s">
        <v>294</v>
      </c>
      <c r="Y1318" s="350"/>
      <c r="Z1318" s="350"/>
      <c r="AA1318" s="351"/>
      <c r="AB1318" s="539" t="s">
        <v>294</v>
      </c>
      <c r="AC1318" s="350"/>
      <c r="AD1318" s="350"/>
      <c r="AE1318" s="351"/>
      <c r="AF1318" s="540"/>
      <c r="AG1318" s="351"/>
      <c r="AH1318" s="540"/>
      <c r="AI1318" s="351"/>
      <c r="AJ1318" s="545"/>
      <c r="AK1318" s="351"/>
      <c r="AL1318" s="555" t="s">
        <v>325</v>
      </c>
      <c r="AM1318" s="351"/>
      <c r="AN1318" s="531" t="s">
        <v>325</v>
      </c>
      <c r="AO1318" s="351"/>
      <c r="AP1318" s="532"/>
      <c r="AQ1318" s="351"/>
      <c r="AR1318" s="533"/>
      <c r="AS1318" s="351"/>
      <c r="AT1318" s="534"/>
      <c r="AU1318" s="351"/>
      <c r="AV1318" s="531" t="s">
        <v>325</v>
      </c>
      <c r="AW1318" s="351"/>
      <c r="AX1318" s="553"/>
      <c r="AY1318" s="350"/>
      <c r="AZ1318" s="351"/>
      <c r="BA1318" s="545"/>
      <c r="BB1318" s="351"/>
      <c r="BC1318" s="36"/>
      <c r="BD1318" s="556" t="s">
        <v>325</v>
      </c>
      <c r="BE1318" s="351"/>
      <c r="BF1318" s="557"/>
      <c r="BG1318" s="350"/>
      <c r="BH1318" s="350"/>
      <c r="BI1318" s="351"/>
      <c r="BJ1318" s="506" t="s">
        <v>294</v>
      </c>
      <c r="BK1318" s="350"/>
      <c r="BL1318" s="350"/>
      <c r="BM1318" s="351"/>
      <c r="BN1318" s="530" t="s">
        <v>294</v>
      </c>
      <c r="BO1318" s="350"/>
      <c r="BP1318" s="350"/>
      <c r="BQ1318" s="350"/>
      <c r="BR1318" s="350"/>
      <c r="BS1318" s="350"/>
      <c r="BT1318" s="350"/>
      <c r="BU1318" s="350"/>
      <c r="BV1318" s="351"/>
    </row>
    <row r="1319" spans="1:74" ht="45" customHeight="1">
      <c r="A1319" s="24">
        <f t="shared" si="5"/>
        <v>1305</v>
      </c>
      <c r="B1319" s="522" t="s">
        <v>294</v>
      </c>
      <c r="C1319" s="351"/>
      <c r="D1319" s="523" t="s">
        <v>298</v>
      </c>
      <c r="E1319" s="351"/>
      <c r="F1319" s="524" t="s">
        <v>325</v>
      </c>
      <c r="G1319" s="351"/>
      <c r="H1319" s="561" t="s">
        <v>325</v>
      </c>
      <c r="I1319" s="351"/>
      <c r="J1319" s="562"/>
      <c r="K1319" s="351"/>
      <c r="L1319" s="562"/>
      <c r="M1319" s="351"/>
      <c r="N1319" s="34"/>
      <c r="O1319" s="38"/>
      <c r="P1319" s="526"/>
      <c r="Q1319" s="351"/>
      <c r="R1319" s="527"/>
      <c r="S1319" s="351"/>
      <c r="T1319" s="528"/>
      <c r="U1319" s="351"/>
      <c r="V1319" s="541"/>
      <c r="W1319" s="351"/>
      <c r="X1319" s="542" t="s">
        <v>294</v>
      </c>
      <c r="Y1319" s="350"/>
      <c r="Z1319" s="350"/>
      <c r="AA1319" s="351"/>
      <c r="AB1319" s="543" t="s">
        <v>294</v>
      </c>
      <c r="AC1319" s="350"/>
      <c r="AD1319" s="350"/>
      <c r="AE1319" s="351"/>
      <c r="AF1319" s="544"/>
      <c r="AG1319" s="351"/>
      <c r="AH1319" s="544"/>
      <c r="AI1319" s="351"/>
      <c r="AJ1319" s="545"/>
      <c r="AK1319" s="351"/>
      <c r="AL1319" s="524" t="s">
        <v>325</v>
      </c>
      <c r="AM1319" s="351"/>
      <c r="AN1319" s="549" t="s">
        <v>325</v>
      </c>
      <c r="AO1319" s="351"/>
      <c r="AP1319" s="550"/>
      <c r="AQ1319" s="351"/>
      <c r="AR1319" s="551"/>
      <c r="AS1319" s="351"/>
      <c r="AT1319" s="552"/>
      <c r="AU1319" s="351"/>
      <c r="AV1319" s="549" t="s">
        <v>325</v>
      </c>
      <c r="AW1319" s="351"/>
      <c r="AX1319" s="553"/>
      <c r="AY1319" s="350"/>
      <c r="AZ1319" s="351"/>
      <c r="BA1319" s="554"/>
      <c r="BB1319" s="351"/>
      <c r="BC1319" s="39"/>
      <c r="BD1319" s="546" t="s">
        <v>325</v>
      </c>
      <c r="BE1319" s="351"/>
      <c r="BF1319" s="547"/>
      <c r="BG1319" s="350"/>
      <c r="BH1319" s="350"/>
      <c r="BI1319" s="351"/>
      <c r="BJ1319" s="548" t="s">
        <v>294</v>
      </c>
      <c r="BK1319" s="350"/>
      <c r="BL1319" s="350"/>
      <c r="BM1319" s="351"/>
      <c r="BN1319" s="530" t="s">
        <v>294</v>
      </c>
      <c r="BO1319" s="350"/>
      <c r="BP1319" s="350"/>
      <c r="BQ1319" s="350"/>
      <c r="BR1319" s="350"/>
      <c r="BS1319" s="350"/>
      <c r="BT1319" s="350"/>
      <c r="BU1319" s="350"/>
      <c r="BV1319" s="351"/>
    </row>
    <row r="1320" spans="1:74" ht="45" customHeight="1">
      <c r="A1320" s="24">
        <f t="shared" si="5"/>
        <v>1306</v>
      </c>
      <c r="B1320" s="558" t="s">
        <v>294</v>
      </c>
      <c r="C1320" s="351"/>
      <c r="D1320" s="559" t="s">
        <v>298</v>
      </c>
      <c r="E1320" s="351"/>
      <c r="F1320" s="524" t="s">
        <v>325</v>
      </c>
      <c r="G1320" s="351"/>
      <c r="H1320" s="525" t="s">
        <v>325</v>
      </c>
      <c r="I1320" s="351"/>
      <c r="J1320" s="563"/>
      <c r="K1320" s="351"/>
      <c r="L1320" s="563"/>
      <c r="M1320" s="351"/>
      <c r="N1320" s="37"/>
      <c r="O1320" s="35"/>
      <c r="P1320" s="560"/>
      <c r="Q1320" s="351"/>
      <c r="R1320" s="535"/>
      <c r="S1320" s="351"/>
      <c r="T1320" s="536"/>
      <c r="U1320" s="351"/>
      <c r="V1320" s="537"/>
      <c r="W1320" s="351"/>
      <c r="X1320" s="538" t="s">
        <v>294</v>
      </c>
      <c r="Y1320" s="350"/>
      <c r="Z1320" s="350"/>
      <c r="AA1320" s="351"/>
      <c r="AB1320" s="539" t="s">
        <v>294</v>
      </c>
      <c r="AC1320" s="350"/>
      <c r="AD1320" s="350"/>
      <c r="AE1320" s="351"/>
      <c r="AF1320" s="540"/>
      <c r="AG1320" s="351"/>
      <c r="AH1320" s="540"/>
      <c r="AI1320" s="351"/>
      <c r="AJ1320" s="545"/>
      <c r="AK1320" s="351"/>
      <c r="AL1320" s="555" t="s">
        <v>325</v>
      </c>
      <c r="AM1320" s="351"/>
      <c r="AN1320" s="531" t="s">
        <v>325</v>
      </c>
      <c r="AO1320" s="351"/>
      <c r="AP1320" s="532"/>
      <c r="AQ1320" s="351"/>
      <c r="AR1320" s="533"/>
      <c r="AS1320" s="351"/>
      <c r="AT1320" s="534"/>
      <c r="AU1320" s="351"/>
      <c r="AV1320" s="531" t="s">
        <v>325</v>
      </c>
      <c r="AW1320" s="351"/>
      <c r="AX1320" s="553"/>
      <c r="AY1320" s="350"/>
      <c r="AZ1320" s="351"/>
      <c r="BA1320" s="545"/>
      <c r="BB1320" s="351"/>
      <c r="BC1320" s="36"/>
      <c r="BD1320" s="556" t="s">
        <v>325</v>
      </c>
      <c r="BE1320" s="351"/>
      <c r="BF1320" s="529"/>
      <c r="BG1320" s="350"/>
      <c r="BH1320" s="350"/>
      <c r="BI1320" s="351"/>
      <c r="BJ1320" s="506" t="s">
        <v>294</v>
      </c>
      <c r="BK1320" s="350"/>
      <c r="BL1320" s="350"/>
      <c r="BM1320" s="351"/>
      <c r="BN1320" s="530" t="s">
        <v>294</v>
      </c>
      <c r="BO1320" s="350"/>
      <c r="BP1320" s="350"/>
      <c r="BQ1320" s="350"/>
      <c r="BR1320" s="350"/>
      <c r="BS1320" s="350"/>
      <c r="BT1320" s="350"/>
      <c r="BU1320" s="350"/>
      <c r="BV1320" s="351"/>
    </row>
    <row r="1321" spans="1:74" ht="45" customHeight="1">
      <c r="A1321" s="24">
        <f t="shared" si="5"/>
        <v>1307</v>
      </c>
      <c r="B1321" s="522" t="s">
        <v>294</v>
      </c>
      <c r="C1321" s="351"/>
      <c r="D1321" s="523" t="s">
        <v>298</v>
      </c>
      <c r="E1321" s="351"/>
      <c r="F1321" s="524" t="s">
        <v>325</v>
      </c>
      <c r="G1321" s="351"/>
      <c r="H1321" s="561" t="s">
        <v>325</v>
      </c>
      <c r="I1321" s="351"/>
      <c r="J1321" s="562"/>
      <c r="K1321" s="351"/>
      <c r="L1321" s="562"/>
      <c r="M1321" s="351"/>
      <c r="N1321" s="34"/>
      <c r="O1321" s="38"/>
      <c r="P1321" s="526"/>
      <c r="Q1321" s="351"/>
      <c r="R1321" s="527"/>
      <c r="S1321" s="351"/>
      <c r="T1321" s="528"/>
      <c r="U1321" s="351"/>
      <c r="V1321" s="541"/>
      <c r="W1321" s="351"/>
      <c r="X1321" s="542" t="s">
        <v>294</v>
      </c>
      <c r="Y1321" s="350"/>
      <c r="Z1321" s="350"/>
      <c r="AA1321" s="351"/>
      <c r="AB1321" s="543" t="s">
        <v>294</v>
      </c>
      <c r="AC1321" s="350"/>
      <c r="AD1321" s="350"/>
      <c r="AE1321" s="351"/>
      <c r="AF1321" s="544"/>
      <c r="AG1321" s="351"/>
      <c r="AH1321" s="544"/>
      <c r="AI1321" s="351"/>
      <c r="AJ1321" s="545"/>
      <c r="AK1321" s="351"/>
      <c r="AL1321" s="524" t="s">
        <v>325</v>
      </c>
      <c r="AM1321" s="351"/>
      <c r="AN1321" s="549" t="s">
        <v>325</v>
      </c>
      <c r="AO1321" s="351"/>
      <c r="AP1321" s="550"/>
      <c r="AQ1321" s="351"/>
      <c r="AR1321" s="551"/>
      <c r="AS1321" s="351"/>
      <c r="AT1321" s="552"/>
      <c r="AU1321" s="351"/>
      <c r="AV1321" s="549" t="s">
        <v>325</v>
      </c>
      <c r="AW1321" s="351"/>
      <c r="AX1321" s="553"/>
      <c r="AY1321" s="350"/>
      <c r="AZ1321" s="351"/>
      <c r="BA1321" s="554"/>
      <c r="BB1321" s="351"/>
      <c r="BC1321" s="39"/>
      <c r="BD1321" s="546" t="s">
        <v>325</v>
      </c>
      <c r="BE1321" s="351"/>
      <c r="BF1321" s="547"/>
      <c r="BG1321" s="350"/>
      <c r="BH1321" s="350"/>
      <c r="BI1321" s="351"/>
      <c r="BJ1321" s="548" t="s">
        <v>294</v>
      </c>
      <c r="BK1321" s="350"/>
      <c r="BL1321" s="350"/>
      <c r="BM1321" s="351"/>
      <c r="BN1321" s="530" t="s">
        <v>294</v>
      </c>
      <c r="BO1321" s="350"/>
      <c r="BP1321" s="350"/>
      <c r="BQ1321" s="350"/>
      <c r="BR1321" s="350"/>
      <c r="BS1321" s="350"/>
      <c r="BT1321" s="350"/>
      <c r="BU1321" s="350"/>
      <c r="BV1321" s="351"/>
    </row>
    <row r="1322" spans="1:74" ht="45" customHeight="1">
      <c r="A1322" s="24">
        <f t="shared" si="5"/>
        <v>1308</v>
      </c>
      <c r="B1322" s="558" t="s">
        <v>294</v>
      </c>
      <c r="C1322" s="351"/>
      <c r="D1322" s="559" t="s">
        <v>298</v>
      </c>
      <c r="E1322" s="351"/>
      <c r="F1322" s="524" t="s">
        <v>325</v>
      </c>
      <c r="G1322" s="351"/>
      <c r="H1322" s="525" t="s">
        <v>325</v>
      </c>
      <c r="I1322" s="351"/>
      <c r="J1322" s="563"/>
      <c r="K1322" s="351"/>
      <c r="L1322" s="563"/>
      <c r="M1322" s="351"/>
      <c r="N1322" s="34"/>
      <c r="O1322" s="35"/>
      <c r="P1322" s="526"/>
      <c r="Q1322" s="351"/>
      <c r="R1322" s="535"/>
      <c r="S1322" s="351"/>
      <c r="T1322" s="536"/>
      <c r="U1322" s="351"/>
      <c r="V1322" s="537"/>
      <c r="W1322" s="351"/>
      <c r="X1322" s="538" t="s">
        <v>294</v>
      </c>
      <c r="Y1322" s="350"/>
      <c r="Z1322" s="350"/>
      <c r="AA1322" s="351"/>
      <c r="AB1322" s="539" t="s">
        <v>294</v>
      </c>
      <c r="AC1322" s="350"/>
      <c r="AD1322" s="350"/>
      <c r="AE1322" s="351"/>
      <c r="AF1322" s="540"/>
      <c r="AG1322" s="351"/>
      <c r="AH1322" s="540"/>
      <c r="AI1322" s="351"/>
      <c r="AJ1322" s="545"/>
      <c r="AK1322" s="351"/>
      <c r="AL1322" s="555" t="s">
        <v>325</v>
      </c>
      <c r="AM1322" s="351"/>
      <c r="AN1322" s="531" t="s">
        <v>325</v>
      </c>
      <c r="AO1322" s="351"/>
      <c r="AP1322" s="532"/>
      <c r="AQ1322" s="351"/>
      <c r="AR1322" s="533"/>
      <c r="AS1322" s="351"/>
      <c r="AT1322" s="534"/>
      <c r="AU1322" s="351"/>
      <c r="AV1322" s="531" t="s">
        <v>325</v>
      </c>
      <c r="AW1322" s="351"/>
      <c r="AX1322" s="553"/>
      <c r="AY1322" s="350"/>
      <c r="AZ1322" s="351"/>
      <c r="BA1322" s="545"/>
      <c r="BB1322" s="351"/>
      <c r="BC1322" s="36"/>
      <c r="BD1322" s="556" t="s">
        <v>325</v>
      </c>
      <c r="BE1322" s="351"/>
      <c r="BF1322" s="529"/>
      <c r="BG1322" s="350"/>
      <c r="BH1322" s="350"/>
      <c r="BI1322" s="351"/>
      <c r="BJ1322" s="506" t="s">
        <v>294</v>
      </c>
      <c r="BK1322" s="350"/>
      <c r="BL1322" s="350"/>
      <c r="BM1322" s="351"/>
      <c r="BN1322" s="530" t="s">
        <v>294</v>
      </c>
      <c r="BO1322" s="350"/>
      <c r="BP1322" s="350"/>
      <c r="BQ1322" s="350"/>
      <c r="BR1322" s="350"/>
      <c r="BS1322" s="350"/>
      <c r="BT1322" s="350"/>
      <c r="BU1322" s="350"/>
      <c r="BV1322" s="351"/>
    </row>
    <row r="1323" spans="1:74" ht="45" customHeight="1">
      <c r="A1323" s="24">
        <f t="shared" si="5"/>
        <v>1309</v>
      </c>
      <c r="B1323" s="522" t="s">
        <v>294</v>
      </c>
      <c r="C1323" s="351"/>
      <c r="D1323" s="523" t="s">
        <v>298</v>
      </c>
      <c r="E1323" s="351"/>
      <c r="F1323" s="524" t="s">
        <v>325</v>
      </c>
      <c r="G1323" s="351"/>
      <c r="H1323" s="561" t="s">
        <v>325</v>
      </c>
      <c r="I1323" s="351"/>
      <c r="J1323" s="562"/>
      <c r="K1323" s="351"/>
      <c r="L1323" s="562"/>
      <c r="M1323" s="351"/>
      <c r="N1323" s="37"/>
      <c r="O1323" s="38"/>
      <c r="P1323" s="560"/>
      <c r="Q1323" s="351"/>
      <c r="R1323" s="527"/>
      <c r="S1323" s="351"/>
      <c r="T1323" s="528"/>
      <c r="U1323" s="351"/>
      <c r="V1323" s="541"/>
      <c r="W1323" s="351"/>
      <c r="X1323" s="542" t="s">
        <v>294</v>
      </c>
      <c r="Y1323" s="350"/>
      <c r="Z1323" s="350"/>
      <c r="AA1323" s="351"/>
      <c r="AB1323" s="543" t="s">
        <v>294</v>
      </c>
      <c r="AC1323" s="350"/>
      <c r="AD1323" s="350"/>
      <c r="AE1323" s="351"/>
      <c r="AF1323" s="544"/>
      <c r="AG1323" s="351"/>
      <c r="AH1323" s="544"/>
      <c r="AI1323" s="351"/>
      <c r="AJ1323" s="545"/>
      <c r="AK1323" s="351"/>
      <c r="AL1323" s="524" t="s">
        <v>325</v>
      </c>
      <c r="AM1323" s="351"/>
      <c r="AN1323" s="549" t="s">
        <v>325</v>
      </c>
      <c r="AO1323" s="351"/>
      <c r="AP1323" s="550"/>
      <c r="AQ1323" s="351"/>
      <c r="AR1323" s="551"/>
      <c r="AS1323" s="351"/>
      <c r="AT1323" s="534"/>
      <c r="AU1323" s="351"/>
      <c r="AV1323" s="549" t="s">
        <v>325</v>
      </c>
      <c r="AW1323" s="351"/>
      <c r="AX1323" s="553"/>
      <c r="AY1323" s="350"/>
      <c r="AZ1323" s="351"/>
      <c r="BA1323" s="554"/>
      <c r="BB1323" s="351"/>
      <c r="BC1323" s="39"/>
      <c r="BD1323" s="546" t="s">
        <v>325</v>
      </c>
      <c r="BE1323" s="351"/>
      <c r="BF1323" s="547"/>
      <c r="BG1323" s="350"/>
      <c r="BH1323" s="350"/>
      <c r="BI1323" s="351"/>
      <c r="BJ1323" s="548" t="s">
        <v>294</v>
      </c>
      <c r="BK1323" s="350"/>
      <c r="BL1323" s="350"/>
      <c r="BM1323" s="351"/>
      <c r="BN1323" s="530" t="s">
        <v>294</v>
      </c>
      <c r="BO1323" s="350"/>
      <c r="BP1323" s="350"/>
      <c r="BQ1323" s="350"/>
      <c r="BR1323" s="350"/>
      <c r="BS1323" s="350"/>
      <c r="BT1323" s="350"/>
      <c r="BU1323" s="350"/>
      <c r="BV1323" s="351"/>
    </row>
    <row r="1324" spans="1:74" ht="45" customHeight="1">
      <c r="A1324" s="24">
        <f t="shared" si="5"/>
        <v>1310</v>
      </c>
      <c r="B1324" s="558" t="s">
        <v>294</v>
      </c>
      <c r="C1324" s="351"/>
      <c r="D1324" s="559" t="s">
        <v>298</v>
      </c>
      <c r="E1324" s="351"/>
      <c r="F1324" s="524" t="s">
        <v>325</v>
      </c>
      <c r="G1324" s="351"/>
      <c r="H1324" s="525" t="s">
        <v>325</v>
      </c>
      <c r="I1324" s="351"/>
      <c r="J1324" s="563"/>
      <c r="K1324" s="351"/>
      <c r="L1324" s="563"/>
      <c r="M1324" s="351"/>
      <c r="N1324" s="34"/>
      <c r="O1324" s="35"/>
      <c r="P1324" s="526"/>
      <c r="Q1324" s="351"/>
      <c r="R1324" s="535"/>
      <c r="S1324" s="351"/>
      <c r="T1324" s="536"/>
      <c r="U1324" s="351"/>
      <c r="V1324" s="537"/>
      <c r="W1324" s="351"/>
      <c r="X1324" s="538" t="s">
        <v>294</v>
      </c>
      <c r="Y1324" s="350"/>
      <c r="Z1324" s="350"/>
      <c r="AA1324" s="351"/>
      <c r="AB1324" s="539" t="s">
        <v>294</v>
      </c>
      <c r="AC1324" s="350"/>
      <c r="AD1324" s="350"/>
      <c r="AE1324" s="351"/>
      <c r="AF1324" s="540"/>
      <c r="AG1324" s="351"/>
      <c r="AH1324" s="540"/>
      <c r="AI1324" s="351"/>
      <c r="AJ1324" s="545"/>
      <c r="AK1324" s="351"/>
      <c r="AL1324" s="555" t="s">
        <v>325</v>
      </c>
      <c r="AM1324" s="351"/>
      <c r="AN1324" s="531" t="s">
        <v>325</v>
      </c>
      <c r="AO1324" s="351"/>
      <c r="AP1324" s="532"/>
      <c r="AQ1324" s="351"/>
      <c r="AR1324" s="533"/>
      <c r="AS1324" s="351"/>
      <c r="AT1324" s="534"/>
      <c r="AU1324" s="351"/>
      <c r="AV1324" s="531" t="s">
        <v>325</v>
      </c>
      <c r="AW1324" s="351"/>
      <c r="AX1324" s="553"/>
      <c r="AY1324" s="350"/>
      <c r="AZ1324" s="351"/>
      <c r="BA1324" s="545"/>
      <c r="BB1324" s="351"/>
      <c r="BC1324" s="36"/>
      <c r="BD1324" s="556" t="s">
        <v>325</v>
      </c>
      <c r="BE1324" s="351"/>
      <c r="BF1324" s="557"/>
      <c r="BG1324" s="350"/>
      <c r="BH1324" s="350"/>
      <c r="BI1324" s="351"/>
      <c r="BJ1324" s="506" t="s">
        <v>294</v>
      </c>
      <c r="BK1324" s="350"/>
      <c r="BL1324" s="350"/>
      <c r="BM1324" s="351"/>
      <c r="BN1324" s="530" t="s">
        <v>294</v>
      </c>
      <c r="BO1324" s="350"/>
      <c r="BP1324" s="350"/>
      <c r="BQ1324" s="350"/>
      <c r="BR1324" s="350"/>
      <c r="BS1324" s="350"/>
      <c r="BT1324" s="350"/>
      <c r="BU1324" s="350"/>
      <c r="BV1324" s="351"/>
    </row>
    <row r="1325" spans="1:74" ht="45" customHeight="1">
      <c r="A1325" s="24">
        <f t="shared" si="5"/>
        <v>1311</v>
      </c>
      <c r="B1325" s="522" t="s">
        <v>294</v>
      </c>
      <c r="C1325" s="351"/>
      <c r="D1325" s="523" t="s">
        <v>298</v>
      </c>
      <c r="E1325" s="351"/>
      <c r="F1325" s="524" t="s">
        <v>325</v>
      </c>
      <c r="G1325" s="351"/>
      <c r="H1325" s="561" t="s">
        <v>325</v>
      </c>
      <c r="I1325" s="351"/>
      <c r="J1325" s="562"/>
      <c r="K1325" s="351"/>
      <c r="L1325" s="562"/>
      <c r="M1325" s="351"/>
      <c r="N1325" s="37"/>
      <c r="O1325" s="38"/>
      <c r="P1325" s="560"/>
      <c r="Q1325" s="351"/>
      <c r="R1325" s="527"/>
      <c r="S1325" s="351"/>
      <c r="T1325" s="528"/>
      <c r="U1325" s="351"/>
      <c r="V1325" s="541"/>
      <c r="W1325" s="351"/>
      <c r="X1325" s="542" t="s">
        <v>294</v>
      </c>
      <c r="Y1325" s="350"/>
      <c r="Z1325" s="350"/>
      <c r="AA1325" s="351"/>
      <c r="AB1325" s="543" t="s">
        <v>294</v>
      </c>
      <c r="AC1325" s="350"/>
      <c r="AD1325" s="350"/>
      <c r="AE1325" s="351"/>
      <c r="AF1325" s="544"/>
      <c r="AG1325" s="351"/>
      <c r="AH1325" s="544"/>
      <c r="AI1325" s="351"/>
      <c r="AJ1325" s="545"/>
      <c r="AK1325" s="351"/>
      <c r="AL1325" s="524" t="s">
        <v>325</v>
      </c>
      <c r="AM1325" s="351"/>
      <c r="AN1325" s="549" t="s">
        <v>325</v>
      </c>
      <c r="AO1325" s="351"/>
      <c r="AP1325" s="550"/>
      <c r="AQ1325" s="351"/>
      <c r="AR1325" s="551"/>
      <c r="AS1325" s="351"/>
      <c r="AT1325" s="534"/>
      <c r="AU1325" s="351"/>
      <c r="AV1325" s="549" t="s">
        <v>325</v>
      </c>
      <c r="AW1325" s="351"/>
      <c r="AX1325" s="553"/>
      <c r="AY1325" s="350"/>
      <c r="AZ1325" s="351"/>
      <c r="BA1325" s="554"/>
      <c r="BB1325" s="351"/>
      <c r="BC1325" s="39"/>
      <c r="BD1325" s="546" t="s">
        <v>325</v>
      </c>
      <c r="BE1325" s="351"/>
      <c r="BF1325" s="547"/>
      <c r="BG1325" s="350"/>
      <c r="BH1325" s="350"/>
      <c r="BI1325" s="351"/>
      <c r="BJ1325" s="548" t="s">
        <v>294</v>
      </c>
      <c r="BK1325" s="350"/>
      <c r="BL1325" s="350"/>
      <c r="BM1325" s="351"/>
      <c r="BN1325" s="530" t="s">
        <v>294</v>
      </c>
      <c r="BO1325" s="350"/>
      <c r="BP1325" s="350"/>
      <c r="BQ1325" s="350"/>
      <c r="BR1325" s="350"/>
      <c r="BS1325" s="350"/>
      <c r="BT1325" s="350"/>
      <c r="BU1325" s="350"/>
      <c r="BV1325" s="351"/>
    </row>
    <row r="1326" spans="1:74" ht="45" customHeight="1">
      <c r="A1326" s="24">
        <f t="shared" si="5"/>
        <v>1312</v>
      </c>
      <c r="B1326" s="558" t="s">
        <v>294</v>
      </c>
      <c r="C1326" s="351"/>
      <c r="D1326" s="559" t="s">
        <v>298</v>
      </c>
      <c r="E1326" s="351"/>
      <c r="F1326" s="524" t="s">
        <v>325</v>
      </c>
      <c r="G1326" s="351"/>
      <c r="H1326" s="525" t="s">
        <v>325</v>
      </c>
      <c r="I1326" s="351"/>
      <c r="J1326" s="563"/>
      <c r="K1326" s="351"/>
      <c r="L1326" s="563"/>
      <c r="M1326" s="351"/>
      <c r="N1326" s="34"/>
      <c r="O1326" s="35"/>
      <c r="P1326" s="526"/>
      <c r="Q1326" s="351"/>
      <c r="R1326" s="535"/>
      <c r="S1326" s="351"/>
      <c r="T1326" s="536"/>
      <c r="U1326" s="351"/>
      <c r="V1326" s="537"/>
      <c r="W1326" s="351"/>
      <c r="X1326" s="538" t="s">
        <v>294</v>
      </c>
      <c r="Y1326" s="350"/>
      <c r="Z1326" s="350"/>
      <c r="AA1326" s="351"/>
      <c r="AB1326" s="539" t="s">
        <v>294</v>
      </c>
      <c r="AC1326" s="350"/>
      <c r="AD1326" s="350"/>
      <c r="AE1326" s="351"/>
      <c r="AF1326" s="540"/>
      <c r="AG1326" s="351"/>
      <c r="AH1326" s="540"/>
      <c r="AI1326" s="351"/>
      <c r="AJ1326" s="545"/>
      <c r="AK1326" s="351"/>
      <c r="AL1326" s="555" t="s">
        <v>325</v>
      </c>
      <c r="AM1326" s="351"/>
      <c r="AN1326" s="531" t="s">
        <v>325</v>
      </c>
      <c r="AO1326" s="351"/>
      <c r="AP1326" s="532"/>
      <c r="AQ1326" s="351"/>
      <c r="AR1326" s="533"/>
      <c r="AS1326" s="351"/>
      <c r="AT1326" s="534"/>
      <c r="AU1326" s="351"/>
      <c r="AV1326" s="531" t="s">
        <v>325</v>
      </c>
      <c r="AW1326" s="351"/>
      <c r="AX1326" s="553"/>
      <c r="AY1326" s="350"/>
      <c r="AZ1326" s="351"/>
      <c r="BA1326" s="545"/>
      <c r="BB1326" s="351"/>
      <c r="BC1326" s="36"/>
      <c r="BD1326" s="556" t="s">
        <v>325</v>
      </c>
      <c r="BE1326" s="351"/>
      <c r="BF1326" s="557"/>
      <c r="BG1326" s="350"/>
      <c r="BH1326" s="350"/>
      <c r="BI1326" s="351"/>
      <c r="BJ1326" s="506" t="s">
        <v>294</v>
      </c>
      <c r="BK1326" s="350"/>
      <c r="BL1326" s="350"/>
      <c r="BM1326" s="351"/>
      <c r="BN1326" s="530" t="s">
        <v>294</v>
      </c>
      <c r="BO1326" s="350"/>
      <c r="BP1326" s="350"/>
      <c r="BQ1326" s="350"/>
      <c r="BR1326" s="350"/>
      <c r="BS1326" s="350"/>
      <c r="BT1326" s="350"/>
      <c r="BU1326" s="350"/>
      <c r="BV1326" s="351"/>
    </row>
    <row r="1327" spans="1:74" ht="45" customHeight="1">
      <c r="A1327" s="24">
        <f t="shared" si="5"/>
        <v>1313</v>
      </c>
      <c r="B1327" s="522" t="s">
        <v>294</v>
      </c>
      <c r="C1327" s="351"/>
      <c r="D1327" s="523" t="s">
        <v>298</v>
      </c>
      <c r="E1327" s="351"/>
      <c r="F1327" s="524" t="s">
        <v>325</v>
      </c>
      <c r="G1327" s="351"/>
      <c r="H1327" s="561" t="s">
        <v>325</v>
      </c>
      <c r="I1327" s="351"/>
      <c r="J1327" s="562"/>
      <c r="K1327" s="351"/>
      <c r="L1327" s="562"/>
      <c r="M1327" s="351"/>
      <c r="N1327" s="37"/>
      <c r="O1327" s="38"/>
      <c r="P1327" s="560"/>
      <c r="Q1327" s="351"/>
      <c r="R1327" s="527"/>
      <c r="S1327" s="351"/>
      <c r="T1327" s="528"/>
      <c r="U1327" s="351"/>
      <c r="V1327" s="541"/>
      <c r="W1327" s="351"/>
      <c r="X1327" s="542" t="s">
        <v>294</v>
      </c>
      <c r="Y1327" s="350"/>
      <c r="Z1327" s="350"/>
      <c r="AA1327" s="351"/>
      <c r="AB1327" s="543" t="s">
        <v>294</v>
      </c>
      <c r="AC1327" s="350"/>
      <c r="AD1327" s="350"/>
      <c r="AE1327" s="351"/>
      <c r="AF1327" s="544"/>
      <c r="AG1327" s="351"/>
      <c r="AH1327" s="544"/>
      <c r="AI1327" s="351"/>
      <c r="AJ1327" s="545"/>
      <c r="AK1327" s="351"/>
      <c r="AL1327" s="524" t="s">
        <v>325</v>
      </c>
      <c r="AM1327" s="351"/>
      <c r="AN1327" s="549" t="s">
        <v>325</v>
      </c>
      <c r="AO1327" s="351"/>
      <c r="AP1327" s="550"/>
      <c r="AQ1327" s="351"/>
      <c r="AR1327" s="551"/>
      <c r="AS1327" s="351"/>
      <c r="AT1327" s="552"/>
      <c r="AU1327" s="351"/>
      <c r="AV1327" s="549" t="s">
        <v>325</v>
      </c>
      <c r="AW1327" s="351"/>
      <c r="AX1327" s="553"/>
      <c r="AY1327" s="350"/>
      <c r="AZ1327" s="351"/>
      <c r="BA1327" s="554"/>
      <c r="BB1327" s="351"/>
      <c r="BC1327" s="39"/>
      <c r="BD1327" s="546" t="s">
        <v>325</v>
      </c>
      <c r="BE1327" s="351"/>
      <c r="BF1327" s="547"/>
      <c r="BG1327" s="350"/>
      <c r="BH1327" s="350"/>
      <c r="BI1327" s="351"/>
      <c r="BJ1327" s="548" t="s">
        <v>294</v>
      </c>
      <c r="BK1327" s="350"/>
      <c r="BL1327" s="350"/>
      <c r="BM1327" s="351"/>
      <c r="BN1327" s="530" t="s">
        <v>294</v>
      </c>
      <c r="BO1327" s="350"/>
      <c r="BP1327" s="350"/>
      <c r="BQ1327" s="350"/>
      <c r="BR1327" s="350"/>
      <c r="BS1327" s="350"/>
      <c r="BT1327" s="350"/>
      <c r="BU1327" s="350"/>
      <c r="BV1327" s="351"/>
    </row>
    <row r="1328" spans="1:74" ht="45" customHeight="1">
      <c r="A1328" s="24">
        <f t="shared" si="5"/>
        <v>1314</v>
      </c>
      <c r="B1328" s="558" t="s">
        <v>294</v>
      </c>
      <c r="C1328" s="351"/>
      <c r="D1328" s="559" t="s">
        <v>298</v>
      </c>
      <c r="E1328" s="351"/>
      <c r="F1328" s="524" t="s">
        <v>325</v>
      </c>
      <c r="G1328" s="351"/>
      <c r="H1328" s="525" t="s">
        <v>325</v>
      </c>
      <c r="I1328" s="351"/>
      <c r="J1328" s="563"/>
      <c r="K1328" s="351"/>
      <c r="L1328" s="563"/>
      <c r="M1328" s="351"/>
      <c r="N1328" s="34"/>
      <c r="O1328" s="35"/>
      <c r="P1328" s="526"/>
      <c r="Q1328" s="351"/>
      <c r="R1328" s="535"/>
      <c r="S1328" s="351"/>
      <c r="T1328" s="536"/>
      <c r="U1328" s="351"/>
      <c r="V1328" s="537"/>
      <c r="W1328" s="351"/>
      <c r="X1328" s="538" t="s">
        <v>294</v>
      </c>
      <c r="Y1328" s="350"/>
      <c r="Z1328" s="350"/>
      <c r="AA1328" s="351"/>
      <c r="AB1328" s="539" t="s">
        <v>294</v>
      </c>
      <c r="AC1328" s="350"/>
      <c r="AD1328" s="350"/>
      <c r="AE1328" s="351"/>
      <c r="AF1328" s="540"/>
      <c r="AG1328" s="351"/>
      <c r="AH1328" s="540"/>
      <c r="AI1328" s="351"/>
      <c r="AJ1328" s="545"/>
      <c r="AK1328" s="351"/>
      <c r="AL1328" s="555" t="s">
        <v>325</v>
      </c>
      <c r="AM1328" s="351"/>
      <c r="AN1328" s="531" t="s">
        <v>325</v>
      </c>
      <c r="AO1328" s="351"/>
      <c r="AP1328" s="532"/>
      <c r="AQ1328" s="351"/>
      <c r="AR1328" s="533"/>
      <c r="AS1328" s="351"/>
      <c r="AT1328" s="534"/>
      <c r="AU1328" s="351"/>
      <c r="AV1328" s="531" t="s">
        <v>325</v>
      </c>
      <c r="AW1328" s="351"/>
      <c r="AX1328" s="553"/>
      <c r="AY1328" s="350"/>
      <c r="AZ1328" s="351"/>
      <c r="BA1328" s="545"/>
      <c r="BB1328" s="351"/>
      <c r="BC1328" s="36"/>
      <c r="BD1328" s="556" t="s">
        <v>325</v>
      </c>
      <c r="BE1328" s="351"/>
      <c r="BF1328" s="529"/>
      <c r="BG1328" s="350"/>
      <c r="BH1328" s="350"/>
      <c r="BI1328" s="351"/>
      <c r="BJ1328" s="506" t="s">
        <v>294</v>
      </c>
      <c r="BK1328" s="350"/>
      <c r="BL1328" s="350"/>
      <c r="BM1328" s="351"/>
      <c r="BN1328" s="530" t="s">
        <v>294</v>
      </c>
      <c r="BO1328" s="350"/>
      <c r="BP1328" s="350"/>
      <c r="BQ1328" s="350"/>
      <c r="BR1328" s="350"/>
      <c r="BS1328" s="350"/>
      <c r="BT1328" s="350"/>
      <c r="BU1328" s="350"/>
      <c r="BV1328" s="351"/>
    </row>
    <row r="1329" spans="1:74" ht="45" customHeight="1">
      <c r="A1329" s="24">
        <f t="shared" si="5"/>
        <v>1315</v>
      </c>
      <c r="B1329" s="522" t="s">
        <v>294</v>
      </c>
      <c r="C1329" s="351"/>
      <c r="D1329" s="523" t="s">
        <v>298</v>
      </c>
      <c r="E1329" s="351"/>
      <c r="F1329" s="524" t="s">
        <v>325</v>
      </c>
      <c r="G1329" s="351"/>
      <c r="H1329" s="561" t="s">
        <v>325</v>
      </c>
      <c r="I1329" s="351"/>
      <c r="J1329" s="562"/>
      <c r="K1329" s="351"/>
      <c r="L1329" s="562"/>
      <c r="M1329" s="351"/>
      <c r="N1329" s="37"/>
      <c r="O1329" s="38"/>
      <c r="P1329" s="560"/>
      <c r="Q1329" s="351"/>
      <c r="R1329" s="527"/>
      <c r="S1329" s="351"/>
      <c r="T1329" s="528"/>
      <c r="U1329" s="351"/>
      <c r="V1329" s="541"/>
      <c r="W1329" s="351"/>
      <c r="X1329" s="542" t="s">
        <v>294</v>
      </c>
      <c r="Y1329" s="350"/>
      <c r="Z1329" s="350"/>
      <c r="AA1329" s="351"/>
      <c r="AB1329" s="543" t="s">
        <v>294</v>
      </c>
      <c r="AC1329" s="350"/>
      <c r="AD1329" s="350"/>
      <c r="AE1329" s="351"/>
      <c r="AF1329" s="544"/>
      <c r="AG1329" s="351"/>
      <c r="AH1329" s="544"/>
      <c r="AI1329" s="351"/>
      <c r="AJ1329" s="545"/>
      <c r="AK1329" s="351"/>
      <c r="AL1329" s="524" t="s">
        <v>325</v>
      </c>
      <c r="AM1329" s="351"/>
      <c r="AN1329" s="549" t="s">
        <v>325</v>
      </c>
      <c r="AO1329" s="351"/>
      <c r="AP1329" s="550"/>
      <c r="AQ1329" s="351"/>
      <c r="AR1329" s="551"/>
      <c r="AS1329" s="351"/>
      <c r="AT1329" s="552"/>
      <c r="AU1329" s="351"/>
      <c r="AV1329" s="549" t="s">
        <v>325</v>
      </c>
      <c r="AW1329" s="351"/>
      <c r="AX1329" s="553"/>
      <c r="AY1329" s="350"/>
      <c r="AZ1329" s="351"/>
      <c r="BA1329" s="554"/>
      <c r="BB1329" s="351"/>
      <c r="BC1329" s="39"/>
      <c r="BD1329" s="546" t="s">
        <v>325</v>
      </c>
      <c r="BE1329" s="351"/>
      <c r="BF1329" s="547"/>
      <c r="BG1329" s="350"/>
      <c r="BH1329" s="350"/>
      <c r="BI1329" s="351"/>
      <c r="BJ1329" s="548" t="s">
        <v>294</v>
      </c>
      <c r="BK1329" s="350"/>
      <c r="BL1329" s="350"/>
      <c r="BM1329" s="351"/>
      <c r="BN1329" s="530" t="s">
        <v>294</v>
      </c>
      <c r="BO1329" s="350"/>
      <c r="BP1329" s="350"/>
      <c r="BQ1329" s="350"/>
      <c r="BR1329" s="350"/>
      <c r="BS1329" s="350"/>
      <c r="BT1329" s="350"/>
      <c r="BU1329" s="350"/>
      <c r="BV1329" s="351"/>
    </row>
    <row r="1330" spans="1:74" ht="45" customHeight="1">
      <c r="A1330" s="24">
        <f t="shared" si="5"/>
        <v>1316</v>
      </c>
      <c r="B1330" s="558" t="s">
        <v>294</v>
      </c>
      <c r="C1330" s="351"/>
      <c r="D1330" s="559" t="s">
        <v>298</v>
      </c>
      <c r="E1330" s="351"/>
      <c r="F1330" s="524" t="s">
        <v>325</v>
      </c>
      <c r="G1330" s="351"/>
      <c r="H1330" s="525" t="s">
        <v>325</v>
      </c>
      <c r="I1330" s="351"/>
      <c r="J1330" s="563"/>
      <c r="K1330" s="351"/>
      <c r="L1330" s="563"/>
      <c r="M1330" s="351"/>
      <c r="N1330" s="34"/>
      <c r="O1330" s="35"/>
      <c r="P1330" s="526"/>
      <c r="Q1330" s="351"/>
      <c r="R1330" s="535"/>
      <c r="S1330" s="351"/>
      <c r="T1330" s="536"/>
      <c r="U1330" s="351"/>
      <c r="V1330" s="537"/>
      <c r="W1330" s="351"/>
      <c r="X1330" s="538" t="s">
        <v>294</v>
      </c>
      <c r="Y1330" s="350"/>
      <c r="Z1330" s="350"/>
      <c r="AA1330" s="351"/>
      <c r="AB1330" s="539" t="s">
        <v>294</v>
      </c>
      <c r="AC1330" s="350"/>
      <c r="AD1330" s="350"/>
      <c r="AE1330" s="351"/>
      <c r="AF1330" s="540"/>
      <c r="AG1330" s="351"/>
      <c r="AH1330" s="540"/>
      <c r="AI1330" s="351"/>
      <c r="AJ1330" s="545"/>
      <c r="AK1330" s="351"/>
      <c r="AL1330" s="555" t="s">
        <v>325</v>
      </c>
      <c r="AM1330" s="351"/>
      <c r="AN1330" s="531" t="s">
        <v>325</v>
      </c>
      <c r="AO1330" s="351"/>
      <c r="AP1330" s="532"/>
      <c r="AQ1330" s="351"/>
      <c r="AR1330" s="533"/>
      <c r="AS1330" s="351"/>
      <c r="AT1330" s="534"/>
      <c r="AU1330" s="351"/>
      <c r="AV1330" s="531" t="s">
        <v>325</v>
      </c>
      <c r="AW1330" s="351"/>
      <c r="AX1330" s="553"/>
      <c r="AY1330" s="350"/>
      <c r="AZ1330" s="351"/>
      <c r="BA1330" s="545"/>
      <c r="BB1330" s="351"/>
      <c r="BC1330" s="36"/>
      <c r="BD1330" s="556" t="s">
        <v>325</v>
      </c>
      <c r="BE1330" s="351"/>
      <c r="BF1330" s="557"/>
      <c r="BG1330" s="350"/>
      <c r="BH1330" s="350"/>
      <c r="BI1330" s="351"/>
      <c r="BJ1330" s="506" t="s">
        <v>294</v>
      </c>
      <c r="BK1330" s="350"/>
      <c r="BL1330" s="350"/>
      <c r="BM1330" s="351"/>
      <c r="BN1330" s="530" t="s">
        <v>294</v>
      </c>
      <c r="BO1330" s="350"/>
      <c r="BP1330" s="350"/>
      <c r="BQ1330" s="350"/>
      <c r="BR1330" s="350"/>
      <c r="BS1330" s="350"/>
      <c r="BT1330" s="350"/>
      <c r="BU1330" s="350"/>
      <c r="BV1330" s="351"/>
    </row>
    <row r="1331" spans="1:74" ht="45" customHeight="1">
      <c r="A1331" s="24">
        <f t="shared" si="5"/>
        <v>1317</v>
      </c>
      <c r="B1331" s="522" t="s">
        <v>294</v>
      </c>
      <c r="C1331" s="351"/>
      <c r="D1331" s="523" t="s">
        <v>298</v>
      </c>
      <c r="E1331" s="351"/>
      <c r="F1331" s="524" t="s">
        <v>325</v>
      </c>
      <c r="G1331" s="351"/>
      <c r="H1331" s="561" t="s">
        <v>325</v>
      </c>
      <c r="I1331" s="351"/>
      <c r="J1331" s="562"/>
      <c r="K1331" s="351"/>
      <c r="L1331" s="562"/>
      <c r="M1331" s="351"/>
      <c r="N1331" s="37"/>
      <c r="O1331" s="38"/>
      <c r="P1331" s="560"/>
      <c r="Q1331" s="351"/>
      <c r="R1331" s="527"/>
      <c r="S1331" s="351"/>
      <c r="T1331" s="528"/>
      <c r="U1331" s="351"/>
      <c r="V1331" s="541"/>
      <c r="W1331" s="351"/>
      <c r="X1331" s="542" t="s">
        <v>294</v>
      </c>
      <c r="Y1331" s="350"/>
      <c r="Z1331" s="350"/>
      <c r="AA1331" s="351"/>
      <c r="AB1331" s="543" t="s">
        <v>294</v>
      </c>
      <c r="AC1331" s="350"/>
      <c r="AD1331" s="350"/>
      <c r="AE1331" s="351"/>
      <c r="AF1331" s="544"/>
      <c r="AG1331" s="351"/>
      <c r="AH1331" s="544"/>
      <c r="AI1331" s="351"/>
      <c r="AJ1331" s="545"/>
      <c r="AK1331" s="351"/>
      <c r="AL1331" s="524" t="s">
        <v>325</v>
      </c>
      <c r="AM1331" s="351"/>
      <c r="AN1331" s="549" t="s">
        <v>325</v>
      </c>
      <c r="AO1331" s="351"/>
      <c r="AP1331" s="550"/>
      <c r="AQ1331" s="351"/>
      <c r="AR1331" s="551"/>
      <c r="AS1331" s="351"/>
      <c r="AT1331" s="552"/>
      <c r="AU1331" s="351"/>
      <c r="AV1331" s="549" t="s">
        <v>325</v>
      </c>
      <c r="AW1331" s="351"/>
      <c r="AX1331" s="553"/>
      <c r="AY1331" s="350"/>
      <c r="AZ1331" s="351"/>
      <c r="BA1331" s="554"/>
      <c r="BB1331" s="351"/>
      <c r="BC1331" s="39"/>
      <c r="BD1331" s="546" t="s">
        <v>325</v>
      </c>
      <c r="BE1331" s="351"/>
      <c r="BF1331" s="547"/>
      <c r="BG1331" s="350"/>
      <c r="BH1331" s="350"/>
      <c r="BI1331" s="351"/>
      <c r="BJ1331" s="548" t="s">
        <v>294</v>
      </c>
      <c r="BK1331" s="350"/>
      <c r="BL1331" s="350"/>
      <c r="BM1331" s="351"/>
      <c r="BN1331" s="530" t="s">
        <v>294</v>
      </c>
      <c r="BO1331" s="350"/>
      <c r="BP1331" s="350"/>
      <c r="BQ1331" s="350"/>
      <c r="BR1331" s="350"/>
      <c r="BS1331" s="350"/>
      <c r="BT1331" s="350"/>
      <c r="BU1331" s="350"/>
      <c r="BV1331" s="351"/>
    </row>
    <row r="1332" spans="1:74" ht="45" customHeight="1">
      <c r="A1332" s="24">
        <f t="shared" si="5"/>
        <v>1318</v>
      </c>
      <c r="B1332" s="558" t="s">
        <v>294</v>
      </c>
      <c r="C1332" s="351"/>
      <c r="D1332" s="559" t="s">
        <v>298</v>
      </c>
      <c r="E1332" s="351"/>
      <c r="F1332" s="524" t="s">
        <v>325</v>
      </c>
      <c r="G1332" s="351"/>
      <c r="H1332" s="525" t="s">
        <v>325</v>
      </c>
      <c r="I1332" s="351"/>
      <c r="J1332" s="563"/>
      <c r="K1332" s="351"/>
      <c r="L1332" s="563"/>
      <c r="M1332" s="351"/>
      <c r="N1332" s="34"/>
      <c r="O1332" s="35"/>
      <c r="P1332" s="526"/>
      <c r="Q1332" s="351"/>
      <c r="R1332" s="535"/>
      <c r="S1332" s="351"/>
      <c r="T1332" s="536"/>
      <c r="U1332" s="351"/>
      <c r="V1332" s="537"/>
      <c r="W1332" s="351"/>
      <c r="X1332" s="538" t="s">
        <v>294</v>
      </c>
      <c r="Y1332" s="350"/>
      <c r="Z1332" s="350"/>
      <c r="AA1332" s="351"/>
      <c r="AB1332" s="539" t="s">
        <v>294</v>
      </c>
      <c r="AC1332" s="350"/>
      <c r="AD1332" s="350"/>
      <c r="AE1332" s="351"/>
      <c r="AF1332" s="540"/>
      <c r="AG1332" s="351"/>
      <c r="AH1332" s="540"/>
      <c r="AI1332" s="351"/>
      <c r="AJ1332" s="545"/>
      <c r="AK1332" s="351"/>
      <c r="AL1332" s="555" t="s">
        <v>325</v>
      </c>
      <c r="AM1332" s="351"/>
      <c r="AN1332" s="531" t="s">
        <v>325</v>
      </c>
      <c r="AO1332" s="351"/>
      <c r="AP1332" s="532"/>
      <c r="AQ1332" s="351"/>
      <c r="AR1332" s="533"/>
      <c r="AS1332" s="351"/>
      <c r="AT1332" s="534"/>
      <c r="AU1332" s="351"/>
      <c r="AV1332" s="531" t="s">
        <v>325</v>
      </c>
      <c r="AW1332" s="351"/>
      <c r="AX1332" s="553"/>
      <c r="AY1332" s="350"/>
      <c r="AZ1332" s="351"/>
      <c r="BA1332" s="545"/>
      <c r="BB1332" s="351"/>
      <c r="BC1332" s="36"/>
      <c r="BD1332" s="556" t="s">
        <v>325</v>
      </c>
      <c r="BE1332" s="351"/>
      <c r="BF1332" s="557"/>
      <c r="BG1332" s="350"/>
      <c r="BH1332" s="350"/>
      <c r="BI1332" s="351"/>
      <c r="BJ1332" s="506" t="s">
        <v>294</v>
      </c>
      <c r="BK1332" s="350"/>
      <c r="BL1332" s="350"/>
      <c r="BM1332" s="351"/>
      <c r="BN1332" s="530" t="s">
        <v>294</v>
      </c>
      <c r="BO1332" s="350"/>
      <c r="BP1332" s="350"/>
      <c r="BQ1332" s="350"/>
      <c r="BR1332" s="350"/>
      <c r="BS1332" s="350"/>
      <c r="BT1332" s="350"/>
      <c r="BU1332" s="350"/>
      <c r="BV1332" s="351"/>
    </row>
    <row r="1333" spans="1:74" ht="45" customHeight="1">
      <c r="A1333" s="24">
        <f t="shared" si="5"/>
        <v>1319</v>
      </c>
      <c r="B1333" s="522" t="s">
        <v>294</v>
      </c>
      <c r="C1333" s="351"/>
      <c r="D1333" s="523" t="s">
        <v>298</v>
      </c>
      <c r="E1333" s="351"/>
      <c r="F1333" s="524" t="s">
        <v>325</v>
      </c>
      <c r="G1333" s="351"/>
      <c r="H1333" s="561" t="s">
        <v>325</v>
      </c>
      <c r="I1333" s="351"/>
      <c r="J1333" s="562"/>
      <c r="K1333" s="351"/>
      <c r="L1333" s="562"/>
      <c r="M1333" s="351"/>
      <c r="N1333" s="37"/>
      <c r="O1333" s="38"/>
      <c r="P1333" s="560"/>
      <c r="Q1333" s="351"/>
      <c r="R1333" s="527"/>
      <c r="S1333" s="351"/>
      <c r="T1333" s="528"/>
      <c r="U1333" s="351"/>
      <c r="V1333" s="541"/>
      <c r="W1333" s="351"/>
      <c r="X1333" s="542" t="s">
        <v>294</v>
      </c>
      <c r="Y1333" s="350"/>
      <c r="Z1333" s="350"/>
      <c r="AA1333" s="351"/>
      <c r="AB1333" s="543" t="s">
        <v>294</v>
      </c>
      <c r="AC1333" s="350"/>
      <c r="AD1333" s="350"/>
      <c r="AE1333" s="351"/>
      <c r="AF1333" s="544"/>
      <c r="AG1333" s="351"/>
      <c r="AH1333" s="544"/>
      <c r="AI1333" s="351"/>
      <c r="AJ1333" s="545"/>
      <c r="AK1333" s="351"/>
      <c r="AL1333" s="524" t="s">
        <v>325</v>
      </c>
      <c r="AM1333" s="351"/>
      <c r="AN1333" s="549" t="s">
        <v>325</v>
      </c>
      <c r="AO1333" s="351"/>
      <c r="AP1333" s="550"/>
      <c r="AQ1333" s="351"/>
      <c r="AR1333" s="551"/>
      <c r="AS1333" s="351"/>
      <c r="AT1333" s="552"/>
      <c r="AU1333" s="351"/>
      <c r="AV1333" s="549" t="s">
        <v>325</v>
      </c>
      <c r="AW1333" s="351"/>
      <c r="AX1333" s="553"/>
      <c r="AY1333" s="350"/>
      <c r="AZ1333" s="351"/>
      <c r="BA1333" s="554"/>
      <c r="BB1333" s="351"/>
      <c r="BC1333" s="39"/>
      <c r="BD1333" s="546" t="s">
        <v>325</v>
      </c>
      <c r="BE1333" s="351"/>
      <c r="BF1333" s="547"/>
      <c r="BG1333" s="350"/>
      <c r="BH1333" s="350"/>
      <c r="BI1333" s="351"/>
      <c r="BJ1333" s="548" t="s">
        <v>294</v>
      </c>
      <c r="BK1333" s="350"/>
      <c r="BL1333" s="350"/>
      <c r="BM1333" s="351"/>
      <c r="BN1333" s="530" t="s">
        <v>294</v>
      </c>
      <c r="BO1333" s="350"/>
      <c r="BP1333" s="350"/>
      <c r="BQ1333" s="350"/>
      <c r="BR1333" s="350"/>
      <c r="BS1333" s="350"/>
      <c r="BT1333" s="350"/>
      <c r="BU1333" s="350"/>
      <c r="BV1333" s="351"/>
    </row>
    <row r="1334" spans="1:74" ht="45" customHeight="1">
      <c r="A1334" s="24">
        <f t="shared" si="5"/>
        <v>1320</v>
      </c>
      <c r="B1334" s="558" t="s">
        <v>294</v>
      </c>
      <c r="C1334" s="351"/>
      <c r="D1334" s="559" t="s">
        <v>298</v>
      </c>
      <c r="E1334" s="351"/>
      <c r="F1334" s="524" t="s">
        <v>325</v>
      </c>
      <c r="G1334" s="351"/>
      <c r="H1334" s="525" t="s">
        <v>325</v>
      </c>
      <c r="I1334" s="351"/>
      <c r="J1334" s="563"/>
      <c r="K1334" s="351"/>
      <c r="L1334" s="563"/>
      <c r="M1334" s="351"/>
      <c r="N1334" s="34"/>
      <c r="O1334" s="35"/>
      <c r="P1334" s="526"/>
      <c r="Q1334" s="351"/>
      <c r="R1334" s="535"/>
      <c r="S1334" s="351"/>
      <c r="T1334" s="536"/>
      <c r="U1334" s="351"/>
      <c r="V1334" s="537"/>
      <c r="W1334" s="351"/>
      <c r="X1334" s="538" t="s">
        <v>294</v>
      </c>
      <c r="Y1334" s="350"/>
      <c r="Z1334" s="350"/>
      <c r="AA1334" s="351"/>
      <c r="AB1334" s="539" t="s">
        <v>294</v>
      </c>
      <c r="AC1334" s="350"/>
      <c r="AD1334" s="350"/>
      <c r="AE1334" s="351"/>
      <c r="AF1334" s="540"/>
      <c r="AG1334" s="351"/>
      <c r="AH1334" s="540"/>
      <c r="AI1334" s="351"/>
      <c r="AJ1334" s="545"/>
      <c r="AK1334" s="351"/>
      <c r="AL1334" s="555" t="s">
        <v>325</v>
      </c>
      <c r="AM1334" s="351"/>
      <c r="AN1334" s="531" t="s">
        <v>325</v>
      </c>
      <c r="AO1334" s="351"/>
      <c r="AP1334" s="532"/>
      <c r="AQ1334" s="351"/>
      <c r="AR1334" s="533"/>
      <c r="AS1334" s="351"/>
      <c r="AT1334" s="534"/>
      <c r="AU1334" s="351"/>
      <c r="AV1334" s="531" t="s">
        <v>325</v>
      </c>
      <c r="AW1334" s="351"/>
      <c r="AX1334" s="553"/>
      <c r="AY1334" s="350"/>
      <c r="AZ1334" s="351"/>
      <c r="BA1334" s="545"/>
      <c r="BB1334" s="351"/>
      <c r="BC1334" s="36"/>
      <c r="BD1334" s="556" t="s">
        <v>325</v>
      </c>
      <c r="BE1334" s="351"/>
      <c r="BF1334" s="529"/>
      <c r="BG1334" s="350"/>
      <c r="BH1334" s="350"/>
      <c r="BI1334" s="351"/>
      <c r="BJ1334" s="506" t="s">
        <v>294</v>
      </c>
      <c r="BK1334" s="350"/>
      <c r="BL1334" s="350"/>
      <c r="BM1334" s="351"/>
      <c r="BN1334" s="530" t="s">
        <v>294</v>
      </c>
      <c r="BO1334" s="350"/>
      <c r="BP1334" s="350"/>
      <c r="BQ1334" s="350"/>
      <c r="BR1334" s="350"/>
      <c r="BS1334" s="350"/>
      <c r="BT1334" s="350"/>
      <c r="BU1334" s="350"/>
      <c r="BV1334" s="351"/>
    </row>
    <row r="1335" spans="1:74" ht="45" customHeight="1">
      <c r="A1335" s="24">
        <f t="shared" si="5"/>
        <v>1321</v>
      </c>
      <c r="B1335" s="522" t="s">
        <v>294</v>
      </c>
      <c r="C1335" s="351"/>
      <c r="D1335" s="523" t="s">
        <v>298</v>
      </c>
      <c r="E1335" s="351"/>
      <c r="F1335" s="524" t="s">
        <v>325</v>
      </c>
      <c r="G1335" s="351"/>
      <c r="H1335" s="561" t="s">
        <v>325</v>
      </c>
      <c r="I1335" s="351"/>
      <c r="J1335" s="562"/>
      <c r="K1335" s="351"/>
      <c r="L1335" s="562"/>
      <c r="M1335" s="351"/>
      <c r="N1335" s="37"/>
      <c r="O1335" s="38"/>
      <c r="P1335" s="560"/>
      <c r="Q1335" s="351"/>
      <c r="R1335" s="527"/>
      <c r="S1335" s="351"/>
      <c r="T1335" s="528"/>
      <c r="U1335" s="351"/>
      <c r="V1335" s="541"/>
      <c r="W1335" s="351"/>
      <c r="X1335" s="542" t="s">
        <v>294</v>
      </c>
      <c r="Y1335" s="350"/>
      <c r="Z1335" s="350"/>
      <c r="AA1335" s="351"/>
      <c r="AB1335" s="543" t="s">
        <v>294</v>
      </c>
      <c r="AC1335" s="350"/>
      <c r="AD1335" s="350"/>
      <c r="AE1335" s="351"/>
      <c r="AF1335" s="544"/>
      <c r="AG1335" s="351"/>
      <c r="AH1335" s="544"/>
      <c r="AI1335" s="351"/>
      <c r="AJ1335" s="545"/>
      <c r="AK1335" s="351"/>
      <c r="AL1335" s="524" t="s">
        <v>325</v>
      </c>
      <c r="AM1335" s="351"/>
      <c r="AN1335" s="549" t="s">
        <v>325</v>
      </c>
      <c r="AO1335" s="351"/>
      <c r="AP1335" s="550"/>
      <c r="AQ1335" s="351"/>
      <c r="AR1335" s="551"/>
      <c r="AS1335" s="351"/>
      <c r="AT1335" s="552"/>
      <c r="AU1335" s="351"/>
      <c r="AV1335" s="549" t="s">
        <v>325</v>
      </c>
      <c r="AW1335" s="351"/>
      <c r="AX1335" s="553"/>
      <c r="AY1335" s="350"/>
      <c r="AZ1335" s="351"/>
      <c r="BA1335" s="554"/>
      <c r="BB1335" s="351"/>
      <c r="BC1335" s="39"/>
      <c r="BD1335" s="546" t="s">
        <v>325</v>
      </c>
      <c r="BE1335" s="351"/>
      <c r="BF1335" s="547"/>
      <c r="BG1335" s="350"/>
      <c r="BH1335" s="350"/>
      <c r="BI1335" s="351"/>
      <c r="BJ1335" s="548" t="s">
        <v>294</v>
      </c>
      <c r="BK1335" s="350"/>
      <c r="BL1335" s="350"/>
      <c r="BM1335" s="351"/>
      <c r="BN1335" s="530" t="s">
        <v>294</v>
      </c>
      <c r="BO1335" s="350"/>
      <c r="BP1335" s="350"/>
      <c r="BQ1335" s="350"/>
      <c r="BR1335" s="350"/>
      <c r="BS1335" s="350"/>
      <c r="BT1335" s="350"/>
      <c r="BU1335" s="350"/>
      <c r="BV1335" s="351"/>
    </row>
    <row r="1336" spans="1:74" ht="45" customHeight="1">
      <c r="A1336" s="24">
        <f t="shared" si="5"/>
        <v>1322</v>
      </c>
      <c r="B1336" s="558" t="s">
        <v>294</v>
      </c>
      <c r="C1336" s="351"/>
      <c r="D1336" s="559" t="s">
        <v>298</v>
      </c>
      <c r="E1336" s="351"/>
      <c r="F1336" s="524" t="s">
        <v>325</v>
      </c>
      <c r="G1336" s="351"/>
      <c r="H1336" s="525" t="s">
        <v>325</v>
      </c>
      <c r="I1336" s="351"/>
      <c r="J1336" s="563"/>
      <c r="K1336" s="351"/>
      <c r="L1336" s="563"/>
      <c r="M1336" s="351"/>
      <c r="N1336" s="34"/>
      <c r="O1336" s="35"/>
      <c r="P1336" s="526"/>
      <c r="Q1336" s="351"/>
      <c r="R1336" s="535"/>
      <c r="S1336" s="351"/>
      <c r="T1336" s="536"/>
      <c r="U1336" s="351"/>
      <c r="V1336" s="537"/>
      <c r="W1336" s="351"/>
      <c r="X1336" s="538" t="s">
        <v>294</v>
      </c>
      <c r="Y1336" s="350"/>
      <c r="Z1336" s="350"/>
      <c r="AA1336" s="351"/>
      <c r="AB1336" s="539" t="s">
        <v>294</v>
      </c>
      <c r="AC1336" s="350"/>
      <c r="AD1336" s="350"/>
      <c r="AE1336" s="351"/>
      <c r="AF1336" s="540"/>
      <c r="AG1336" s="351"/>
      <c r="AH1336" s="540"/>
      <c r="AI1336" s="351"/>
      <c r="AJ1336" s="545"/>
      <c r="AK1336" s="351"/>
      <c r="AL1336" s="555" t="s">
        <v>325</v>
      </c>
      <c r="AM1336" s="351"/>
      <c r="AN1336" s="531" t="s">
        <v>325</v>
      </c>
      <c r="AO1336" s="351"/>
      <c r="AP1336" s="532"/>
      <c r="AQ1336" s="351"/>
      <c r="AR1336" s="533"/>
      <c r="AS1336" s="351"/>
      <c r="AT1336" s="534"/>
      <c r="AU1336" s="351"/>
      <c r="AV1336" s="531" t="s">
        <v>325</v>
      </c>
      <c r="AW1336" s="351"/>
      <c r="AX1336" s="553"/>
      <c r="AY1336" s="350"/>
      <c r="AZ1336" s="351"/>
      <c r="BA1336" s="545"/>
      <c r="BB1336" s="351"/>
      <c r="BC1336" s="36"/>
      <c r="BD1336" s="556" t="s">
        <v>325</v>
      </c>
      <c r="BE1336" s="351"/>
      <c r="BF1336" s="557"/>
      <c r="BG1336" s="350"/>
      <c r="BH1336" s="350"/>
      <c r="BI1336" s="351"/>
      <c r="BJ1336" s="506" t="s">
        <v>294</v>
      </c>
      <c r="BK1336" s="350"/>
      <c r="BL1336" s="350"/>
      <c r="BM1336" s="351"/>
      <c r="BN1336" s="530" t="s">
        <v>294</v>
      </c>
      <c r="BO1336" s="350"/>
      <c r="BP1336" s="350"/>
      <c r="BQ1336" s="350"/>
      <c r="BR1336" s="350"/>
      <c r="BS1336" s="350"/>
      <c r="BT1336" s="350"/>
      <c r="BU1336" s="350"/>
      <c r="BV1336" s="351"/>
    </row>
    <row r="1337" spans="1:74" ht="45" customHeight="1">
      <c r="A1337" s="24">
        <f t="shared" si="5"/>
        <v>1323</v>
      </c>
      <c r="B1337" s="522" t="s">
        <v>294</v>
      </c>
      <c r="C1337" s="351"/>
      <c r="D1337" s="523" t="s">
        <v>298</v>
      </c>
      <c r="E1337" s="351"/>
      <c r="F1337" s="524" t="s">
        <v>325</v>
      </c>
      <c r="G1337" s="351"/>
      <c r="H1337" s="561" t="s">
        <v>325</v>
      </c>
      <c r="I1337" s="351"/>
      <c r="J1337" s="562"/>
      <c r="K1337" s="351"/>
      <c r="L1337" s="562"/>
      <c r="M1337" s="351"/>
      <c r="N1337" s="34"/>
      <c r="O1337" s="35"/>
      <c r="P1337" s="526"/>
      <c r="Q1337" s="351"/>
      <c r="R1337" s="527"/>
      <c r="S1337" s="351"/>
      <c r="T1337" s="528"/>
      <c r="U1337" s="351"/>
      <c r="V1337" s="541"/>
      <c r="W1337" s="351"/>
      <c r="X1337" s="542" t="s">
        <v>294</v>
      </c>
      <c r="Y1337" s="350"/>
      <c r="Z1337" s="350"/>
      <c r="AA1337" s="351"/>
      <c r="AB1337" s="543" t="s">
        <v>294</v>
      </c>
      <c r="AC1337" s="350"/>
      <c r="AD1337" s="350"/>
      <c r="AE1337" s="351"/>
      <c r="AF1337" s="544"/>
      <c r="AG1337" s="351"/>
      <c r="AH1337" s="544"/>
      <c r="AI1337" s="351"/>
      <c r="AJ1337" s="545"/>
      <c r="AK1337" s="351"/>
      <c r="AL1337" s="524" t="s">
        <v>325</v>
      </c>
      <c r="AM1337" s="351"/>
      <c r="AN1337" s="549" t="s">
        <v>325</v>
      </c>
      <c r="AO1337" s="351"/>
      <c r="AP1337" s="550"/>
      <c r="AQ1337" s="351"/>
      <c r="AR1337" s="551"/>
      <c r="AS1337" s="351"/>
      <c r="AT1337" s="534"/>
      <c r="AU1337" s="351"/>
      <c r="AV1337" s="549" t="s">
        <v>325</v>
      </c>
      <c r="AW1337" s="351"/>
      <c r="AX1337" s="553"/>
      <c r="AY1337" s="350"/>
      <c r="AZ1337" s="351"/>
      <c r="BA1337" s="554"/>
      <c r="BB1337" s="351"/>
      <c r="BC1337" s="39"/>
      <c r="BD1337" s="546" t="s">
        <v>325</v>
      </c>
      <c r="BE1337" s="351"/>
      <c r="BF1337" s="547"/>
      <c r="BG1337" s="350"/>
      <c r="BH1337" s="350"/>
      <c r="BI1337" s="351"/>
      <c r="BJ1337" s="548" t="s">
        <v>294</v>
      </c>
      <c r="BK1337" s="350"/>
      <c r="BL1337" s="350"/>
      <c r="BM1337" s="351"/>
      <c r="BN1337" s="530" t="s">
        <v>294</v>
      </c>
      <c r="BO1337" s="350"/>
      <c r="BP1337" s="350"/>
      <c r="BQ1337" s="350"/>
      <c r="BR1337" s="350"/>
      <c r="BS1337" s="350"/>
      <c r="BT1337" s="350"/>
      <c r="BU1337" s="350"/>
      <c r="BV1337" s="351"/>
    </row>
    <row r="1338" spans="1:74" ht="45" customHeight="1">
      <c r="A1338" s="24">
        <f t="shared" si="5"/>
        <v>1324</v>
      </c>
      <c r="B1338" s="558" t="s">
        <v>294</v>
      </c>
      <c r="C1338" s="351"/>
      <c r="D1338" s="559" t="s">
        <v>298</v>
      </c>
      <c r="E1338" s="351"/>
      <c r="F1338" s="524" t="s">
        <v>325</v>
      </c>
      <c r="G1338" s="351"/>
      <c r="H1338" s="525" t="s">
        <v>325</v>
      </c>
      <c r="I1338" s="351"/>
      <c r="J1338" s="563"/>
      <c r="K1338" s="351"/>
      <c r="L1338" s="563"/>
      <c r="M1338" s="351"/>
      <c r="N1338" s="37"/>
      <c r="O1338" s="38"/>
      <c r="P1338" s="560"/>
      <c r="Q1338" s="351"/>
      <c r="R1338" s="535"/>
      <c r="S1338" s="351"/>
      <c r="T1338" s="536"/>
      <c r="U1338" s="351"/>
      <c r="V1338" s="537"/>
      <c r="W1338" s="351"/>
      <c r="X1338" s="538" t="s">
        <v>294</v>
      </c>
      <c r="Y1338" s="350"/>
      <c r="Z1338" s="350"/>
      <c r="AA1338" s="351"/>
      <c r="AB1338" s="539" t="s">
        <v>294</v>
      </c>
      <c r="AC1338" s="350"/>
      <c r="AD1338" s="350"/>
      <c r="AE1338" s="351"/>
      <c r="AF1338" s="540"/>
      <c r="AG1338" s="351"/>
      <c r="AH1338" s="540"/>
      <c r="AI1338" s="351"/>
      <c r="AJ1338" s="545"/>
      <c r="AK1338" s="351"/>
      <c r="AL1338" s="555" t="s">
        <v>325</v>
      </c>
      <c r="AM1338" s="351"/>
      <c r="AN1338" s="531" t="s">
        <v>325</v>
      </c>
      <c r="AO1338" s="351"/>
      <c r="AP1338" s="532"/>
      <c r="AQ1338" s="351"/>
      <c r="AR1338" s="533"/>
      <c r="AS1338" s="351"/>
      <c r="AT1338" s="534"/>
      <c r="AU1338" s="351"/>
      <c r="AV1338" s="531" t="s">
        <v>325</v>
      </c>
      <c r="AW1338" s="351"/>
      <c r="AX1338" s="553"/>
      <c r="AY1338" s="350"/>
      <c r="AZ1338" s="351"/>
      <c r="BA1338" s="545"/>
      <c r="BB1338" s="351"/>
      <c r="BC1338" s="36"/>
      <c r="BD1338" s="556" t="s">
        <v>325</v>
      </c>
      <c r="BE1338" s="351"/>
      <c r="BF1338" s="557"/>
      <c r="BG1338" s="350"/>
      <c r="BH1338" s="350"/>
      <c r="BI1338" s="351"/>
      <c r="BJ1338" s="506" t="s">
        <v>294</v>
      </c>
      <c r="BK1338" s="350"/>
      <c r="BL1338" s="350"/>
      <c r="BM1338" s="351"/>
      <c r="BN1338" s="530" t="s">
        <v>294</v>
      </c>
      <c r="BO1338" s="350"/>
      <c r="BP1338" s="350"/>
      <c r="BQ1338" s="350"/>
      <c r="BR1338" s="350"/>
      <c r="BS1338" s="350"/>
      <c r="BT1338" s="350"/>
      <c r="BU1338" s="350"/>
      <c r="BV1338" s="351"/>
    </row>
    <row r="1339" spans="1:74" ht="45" customHeight="1">
      <c r="A1339" s="24">
        <f t="shared" si="5"/>
        <v>1325</v>
      </c>
      <c r="B1339" s="522" t="s">
        <v>294</v>
      </c>
      <c r="C1339" s="351"/>
      <c r="D1339" s="523" t="s">
        <v>298</v>
      </c>
      <c r="E1339" s="351"/>
      <c r="F1339" s="524" t="s">
        <v>325</v>
      </c>
      <c r="G1339" s="351"/>
      <c r="H1339" s="561" t="s">
        <v>325</v>
      </c>
      <c r="I1339" s="351"/>
      <c r="J1339" s="562"/>
      <c r="K1339" s="351"/>
      <c r="L1339" s="562"/>
      <c r="M1339" s="351"/>
      <c r="N1339" s="34"/>
      <c r="O1339" s="35"/>
      <c r="P1339" s="526"/>
      <c r="Q1339" s="351"/>
      <c r="R1339" s="527"/>
      <c r="S1339" s="351"/>
      <c r="T1339" s="528"/>
      <c r="U1339" s="351"/>
      <c r="V1339" s="541"/>
      <c r="W1339" s="351"/>
      <c r="X1339" s="542" t="s">
        <v>294</v>
      </c>
      <c r="Y1339" s="350"/>
      <c r="Z1339" s="350"/>
      <c r="AA1339" s="351"/>
      <c r="AB1339" s="543" t="s">
        <v>294</v>
      </c>
      <c r="AC1339" s="350"/>
      <c r="AD1339" s="350"/>
      <c r="AE1339" s="351"/>
      <c r="AF1339" s="544"/>
      <c r="AG1339" s="351"/>
      <c r="AH1339" s="544"/>
      <c r="AI1339" s="351"/>
      <c r="AJ1339" s="545"/>
      <c r="AK1339" s="351"/>
      <c r="AL1339" s="524" t="s">
        <v>325</v>
      </c>
      <c r="AM1339" s="351"/>
      <c r="AN1339" s="549" t="s">
        <v>325</v>
      </c>
      <c r="AO1339" s="351"/>
      <c r="AP1339" s="550"/>
      <c r="AQ1339" s="351"/>
      <c r="AR1339" s="551"/>
      <c r="AS1339" s="351"/>
      <c r="AT1339" s="534"/>
      <c r="AU1339" s="351"/>
      <c r="AV1339" s="549" t="s">
        <v>325</v>
      </c>
      <c r="AW1339" s="351"/>
      <c r="AX1339" s="553"/>
      <c r="AY1339" s="350"/>
      <c r="AZ1339" s="351"/>
      <c r="BA1339" s="554"/>
      <c r="BB1339" s="351"/>
      <c r="BC1339" s="39"/>
      <c r="BD1339" s="546" t="s">
        <v>325</v>
      </c>
      <c r="BE1339" s="351"/>
      <c r="BF1339" s="547"/>
      <c r="BG1339" s="350"/>
      <c r="BH1339" s="350"/>
      <c r="BI1339" s="351"/>
      <c r="BJ1339" s="548" t="s">
        <v>294</v>
      </c>
      <c r="BK1339" s="350"/>
      <c r="BL1339" s="350"/>
      <c r="BM1339" s="351"/>
      <c r="BN1339" s="530" t="s">
        <v>294</v>
      </c>
      <c r="BO1339" s="350"/>
      <c r="BP1339" s="350"/>
      <c r="BQ1339" s="350"/>
      <c r="BR1339" s="350"/>
      <c r="BS1339" s="350"/>
      <c r="BT1339" s="350"/>
      <c r="BU1339" s="350"/>
      <c r="BV1339" s="351"/>
    </row>
    <row r="1340" spans="1:74" ht="45" customHeight="1">
      <c r="A1340" s="24">
        <f t="shared" si="5"/>
        <v>1326</v>
      </c>
      <c r="B1340" s="558" t="s">
        <v>294</v>
      </c>
      <c r="C1340" s="351"/>
      <c r="D1340" s="559" t="s">
        <v>298</v>
      </c>
      <c r="E1340" s="351"/>
      <c r="F1340" s="524" t="s">
        <v>325</v>
      </c>
      <c r="G1340" s="351"/>
      <c r="H1340" s="525" t="s">
        <v>325</v>
      </c>
      <c r="I1340" s="351"/>
      <c r="J1340" s="563"/>
      <c r="K1340" s="351"/>
      <c r="L1340" s="563"/>
      <c r="M1340" s="351"/>
      <c r="N1340" s="37"/>
      <c r="O1340" s="38"/>
      <c r="P1340" s="560"/>
      <c r="Q1340" s="351"/>
      <c r="R1340" s="535"/>
      <c r="S1340" s="351"/>
      <c r="T1340" s="536"/>
      <c r="U1340" s="351"/>
      <c r="V1340" s="537"/>
      <c r="W1340" s="351"/>
      <c r="X1340" s="538" t="s">
        <v>294</v>
      </c>
      <c r="Y1340" s="350"/>
      <c r="Z1340" s="350"/>
      <c r="AA1340" s="351"/>
      <c r="AB1340" s="539" t="s">
        <v>294</v>
      </c>
      <c r="AC1340" s="350"/>
      <c r="AD1340" s="350"/>
      <c r="AE1340" s="351"/>
      <c r="AF1340" s="540"/>
      <c r="AG1340" s="351"/>
      <c r="AH1340" s="540"/>
      <c r="AI1340" s="351"/>
      <c r="AJ1340" s="545"/>
      <c r="AK1340" s="351"/>
      <c r="AL1340" s="555" t="s">
        <v>325</v>
      </c>
      <c r="AM1340" s="351"/>
      <c r="AN1340" s="531" t="s">
        <v>325</v>
      </c>
      <c r="AO1340" s="351"/>
      <c r="AP1340" s="532"/>
      <c r="AQ1340" s="351"/>
      <c r="AR1340" s="533"/>
      <c r="AS1340" s="351"/>
      <c r="AT1340" s="534"/>
      <c r="AU1340" s="351"/>
      <c r="AV1340" s="531" t="s">
        <v>325</v>
      </c>
      <c r="AW1340" s="351"/>
      <c r="AX1340" s="553"/>
      <c r="AY1340" s="350"/>
      <c r="AZ1340" s="351"/>
      <c r="BA1340" s="545"/>
      <c r="BB1340" s="351"/>
      <c r="BC1340" s="36"/>
      <c r="BD1340" s="556" t="s">
        <v>325</v>
      </c>
      <c r="BE1340" s="351"/>
      <c r="BF1340" s="557"/>
      <c r="BG1340" s="350"/>
      <c r="BH1340" s="350"/>
      <c r="BI1340" s="351"/>
      <c r="BJ1340" s="506" t="s">
        <v>294</v>
      </c>
      <c r="BK1340" s="350"/>
      <c r="BL1340" s="350"/>
      <c r="BM1340" s="351"/>
      <c r="BN1340" s="530" t="s">
        <v>294</v>
      </c>
      <c r="BO1340" s="350"/>
      <c r="BP1340" s="350"/>
      <c r="BQ1340" s="350"/>
      <c r="BR1340" s="350"/>
      <c r="BS1340" s="350"/>
      <c r="BT1340" s="350"/>
      <c r="BU1340" s="350"/>
      <c r="BV1340" s="351"/>
    </row>
    <row r="1341" spans="1:74" ht="45" customHeight="1">
      <c r="A1341" s="24">
        <f t="shared" si="5"/>
        <v>1327</v>
      </c>
      <c r="B1341" s="522" t="s">
        <v>294</v>
      </c>
      <c r="C1341" s="351"/>
      <c r="D1341" s="523" t="s">
        <v>298</v>
      </c>
      <c r="E1341" s="351"/>
      <c r="F1341" s="524" t="s">
        <v>325</v>
      </c>
      <c r="G1341" s="351"/>
      <c r="H1341" s="561" t="s">
        <v>325</v>
      </c>
      <c r="I1341" s="351"/>
      <c r="J1341" s="562"/>
      <c r="K1341" s="351"/>
      <c r="L1341" s="562"/>
      <c r="M1341" s="351"/>
      <c r="N1341" s="34"/>
      <c r="O1341" s="38"/>
      <c r="P1341" s="526"/>
      <c r="Q1341" s="351"/>
      <c r="R1341" s="527"/>
      <c r="S1341" s="351"/>
      <c r="T1341" s="528"/>
      <c r="U1341" s="351"/>
      <c r="V1341" s="541"/>
      <c r="W1341" s="351"/>
      <c r="X1341" s="542" t="s">
        <v>294</v>
      </c>
      <c r="Y1341" s="350"/>
      <c r="Z1341" s="350"/>
      <c r="AA1341" s="351"/>
      <c r="AB1341" s="543" t="s">
        <v>294</v>
      </c>
      <c r="AC1341" s="350"/>
      <c r="AD1341" s="350"/>
      <c r="AE1341" s="351"/>
      <c r="AF1341" s="544"/>
      <c r="AG1341" s="351"/>
      <c r="AH1341" s="544"/>
      <c r="AI1341" s="351"/>
      <c r="AJ1341" s="545"/>
      <c r="AK1341" s="351"/>
      <c r="AL1341" s="524" t="s">
        <v>325</v>
      </c>
      <c r="AM1341" s="351"/>
      <c r="AN1341" s="549" t="s">
        <v>325</v>
      </c>
      <c r="AO1341" s="351"/>
      <c r="AP1341" s="550"/>
      <c r="AQ1341" s="351"/>
      <c r="AR1341" s="551"/>
      <c r="AS1341" s="351"/>
      <c r="AT1341" s="552"/>
      <c r="AU1341" s="351"/>
      <c r="AV1341" s="549" t="s">
        <v>325</v>
      </c>
      <c r="AW1341" s="351"/>
      <c r="AX1341" s="553"/>
      <c r="AY1341" s="350"/>
      <c r="AZ1341" s="351"/>
      <c r="BA1341" s="554"/>
      <c r="BB1341" s="351"/>
      <c r="BC1341" s="39"/>
      <c r="BD1341" s="546" t="s">
        <v>325</v>
      </c>
      <c r="BE1341" s="351"/>
      <c r="BF1341" s="547"/>
      <c r="BG1341" s="350"/>
      <c r="BH1341" s="350"/>
      <c r="BI1341" s="351"/>
      <c r="BJ1341" s="548" t="s">
        <v>294</v>
      </c>
      <c r="BK1341" s="350"/>
      <c r="BL1341" s="350"/>
      <c r="BM1341" s="351"/>
      <c r="BN1341" s="530" t="s">
        <v>294</v>
      </c>
      <c r="BO1341" s="350"/>
      <c r="BP1341" s="350"/>
      <c r="BQ1341" s="350"/>
      <c r="BR1341" s="350"/>
      <c r="BS1341" s="350"/>
      <c r="BT1341" s="350"/>
      <c r="BU1341" s="350"/>
      <c r="BV1341" s="351"/>
    </row>
    <row r="1342" spans="1:74" ht="45" customHeight="1">
      <c r="A1342" s="24">
        <f t="shared" si="5"/>
        <v>1328</v>
      </c>
      <c r="B1342" s="558" t="s">
        <v>294</v>
      </c>
      <c r="C1342" s="351"/>
      <c r="D1342" s="559" t="s">
        <v>298</v>
      </c>
      <c r="E1342" s="351"/>
      <c r="F1342" s="524" t="s">
        <v>325</v>
      </c>
      <c r="G1342" s="351"/>
      <c r="H1342" s="525" t="s">
        <v>325</v>
      </c>
      <c r="I1342" s="351"/>
      <c r="J1342" s="563"/>
      <c r="K1342" s="351"/>
      <c r="L1342" s="563"/>
      <c r="M1342" s="351"/>
      <c r="N1342" s="37"/>
      <c r="O1342" s="35"/>
      <c r="P1342" s="560"/>
      <c r="Q1342" s="351"/>
      <c r="R1342" s="535"/>
      <c r="S1342" s="351"/>
      <c r="T1342" s="536"/>
      <c r="U1342" s="351"/>
      <c r="V1342" s="537"/>
      <c r="W1342" s="351"/>
      <c r="X1342" s="538" t="s">
        <v>294</v>
      </c>
      <c r="Y1342" s="350"/>
      <c r="Z1342" s="350"/>
      <c r="AA1342" s="351"/>
      <c r="AB1342" s="539" t="s">
        <v>294</v>
      </c>
      <c r="AC1342" s="350"/>
      <c r="AD1342" s="350"/>
      <c r="AE1342" s="351"/>
      <c r="AF1342" s="540"/>
      <c r="AG1342" s="351"/>
      <c r="AH1342" s="540"/>
      <c r="AI1342" s="351"/>
      <c r="AJ1342" s="545"/>
      <c r="AK1342" s="351"/>
      <c r="AL1342" s="555" t="s">
        <v>325</v>
      </c>
      <c r="AM1342" s="351"/>
      <c r="AN1342" s="531" t="s">
        <v>325</v>
      </c>
      <c r="AO1342" s="351"/>
      <c r="AP1342" s="532"/>
      <c r="AQ1342" s="351"/>
      <c r="AR1342" s="533"/>
      <c r="AS1342" s="351"/>
      <c r="AT1342" s="534"/>
      <c r="AU1342" s="351"/>
      <c r="AV1342" s="531" t="s">
        <v>325</v>
      </c>
      <c r="AW1342" s="351"/>
      <c r="AX1342" s="553"/>
      <c r="AY1342" s="350"/>
      <c r="AZ1342" s="351"/>
      <c r="BA1342" s="545"/>
      <c r="BB1342" s="351"/>
      <c r="BC1342" s="36"/>
      <c r="BD1342" s="556" t="s">
        <v>325</v>
      </c>
      <c r="BE1342" s="351"/>
      <c r="BF1342" s="529"/>
      <c r="BG1342" s="350"/>
      <c r="BH1342" s="350"/>
      <c r="BI1342" s="351"/>
      <c r="BJ1342" s="506" t="s">
        <v>294</v>
      </c>
      <c r="BK1342" s="350"/>
      <c r="BL1342" s="350"/>
      <c r="BM1342" s="351"/>
      <c r="BN1342" s="530" t="s">
        <v>294</v>
      </c>
      <c r="BO1342" s="350"/>
      <c r="BP1342" s="350"/>
      <c r="BQ1342" s="350"/>
      <c r="BR1342" s="350"/>
      <c r="BS1342" s="350"/>
      <c r="BT1342" s="350"/>
      <c r="BU1342" s="350"/>
      <c r="BV1342" s="351"/>
    </row>
    <row r="1343" spans="1:74" ht="45" customHeight="1">
      <c r="A1343" s="24">
        <f t="shared" si="5"/>
        <v>1329</v>
      </c>
      <c r="B1343" s="522" t="s">
        <v>294</v>
      </c>
      <c r="C1343" s="351"/>
      <c r="D1343" s="523" t="s">
        <v>298</v>
      </c>
      <c r="E1343" s="351"/>
      <c r="F1343" s="524" t="s">
        <v>325</v>
      </c>
      <c r="G1343" s="351"/>
      <c r="H1343" s="561" t="s">
        <v>325</v>
      </c>
      <c r="I1343" s="351"/>
      <c r="J1343" s="562"/>
      <c r="K1343" s="351"/>
      <c r="L1343" s="562"/>
      <c r="M1343" s="351"/>
      <c r="N1343" s="34"/>
      <c r="O1343" s="38"/>
      <c r="P1343" s="526"/>
      <c r="Q1343" s="351"/>
      <c r="R1343" s="527"/>
      <c r="S1343" s="351"/>
      <c r="T1343" s="528"/>
      <c r="U1343" s="351"/>
      <c r="V1343" s="541"/>
      <c r="W1343" s="351"/>
      <c r="X1343" s="542" t="s">
        <v>294</v>
      </c>
      <c r="Y1343" s="350"/>
      <c r="Z1343" s="350"/>
      <c r="AA1343" s="351"/>
      <c r="AB1343" s="543" t="s">
        <v>294</v>
      </c>
      <c r="AC1343" s="350"/>
      <c r="AD1343" s="350"/>
      <c r="AE1343" s="351"/>
      <c r="AF1343" s="544"/>
      <c r="AG1343" s="351"/>
      <c r="AH1343" s="544"/>
      <c r="AI1343" s="351"/>
      <c r="AJ1343" s="545"/>
      <c r="AK1343" s="351"/>
      <c r="AL1343" s="524" t="s">
        <v>325</v>
      </c>
      <c r="AM1343" s="351"/>
      <c r="AN1343" s="549" t="s">
        <v>325</v>
      </c>
      <c r="AO1343" s="351"/>
      <c r="AP1343" s="550"/>
      <c r="AQ1343" s="351"/>
      <c r="AR1343" s="551"/>
      <c r="AS1343" s="351"/>
      <c r="AT1343" s="552"/>
      <c r="AU1343" s="351"/>
      <c r="AV1343" s="549" t="s">
        <v>325</v>
      </c>
      <c r="AW1343" s="351"/>
      <c r="AX1343" s="553"/>
      <c r="AY1343" s="350"/>
      <c r="AZ1343" s="351"/>
      <c r="BA1343" s="554"/>
      <c r="BB1343" s="351"/>
      <c r="BC1343" s="39"/>
      <c r="BD1343" s="546" t="s">
        <v>325</v>
      </c>
      <c r="BE1343" s="351"/>
      <c r="BF1343" s="547"/>
      <c r="BG1343" s="350"/>
      <c r="BH1343" s="350"/>
      <c r="BI1343" s="351"/>
      <c r="BJ1343" s="548" t="s">
        <v>294</v>
      </c>
      <c r="BK1343" s="350"/>
      <c r="BL1343" s="350"/>
      <c r="BM1343" s="351"/>
      <c r="BN1343" s="530" t="s">
        <v>294</v>
      </c>
      <c r="BO1343" s="350"/>
      <c r="BP1343" s="350"/>
      <c r="BQ1343" s="350"/>
      <c r="BR1343" s="350"/>
      <c r="BS1343" s="350"/>
      <c r="BT1343" s="350"/>
      <c r="BU1343" s="350"/>
      <c r="BV1343" s="351"/>
    </row>
    <row r="1344" spans="1:74" ht="45" customHeight="1">
      <c r="A1344" s="24">
        <f t="shared" si="5"/>
        <v>1330</v>
      </c>
      <c r="B1344" s="558" t="s">
        <v>294</v>
      </c>
      <c r="C1344" s="351"/>
      <c r="D1344" s="559" t="s">
        <v>298</v>
      </c>
      <c r="E1344" s="351"/>
      <c r="F1344" s="524" t="s">
        <v>325</v>
      </c>
      <c r="G1344" s="351"/>
      <c r="H1344" s="525" t="s">
        <v>325</v>
      </c>
      <c r="I1344" s="351"/>
      <c r="J1344" s="563"/>
      <c r="K1344" s="351"/>
      <c r="L1344" s="563"/>
      <c r="M1344" s="351"/>
      <c r="N1344" s="37"/>
      <c r="O1344" s="35"/>
      <c r="P1344" s="560"/>
      <c r="Q1344" s="351"/>
      <c r="R1344" s="535"/>
      <c r="S1344" s="351"/>
      <c r="T1344" s="536"/>
      <c r="U1344" s="351"/>
      <c r="V1344" s="537"/>
      <c r="W1344" s="351"/>
      <c r="X1344" s="538" t="s">
        <v>294</v>
      </c>
      <c r="Y1344" s="350"/>
      <c r="Z1344" s="350"/>
      <c r="AA1344" s="351"/>
      <c r="AB1344" s="539" t="s">
        <v>294</v>
      </c>
      <c r="AC1344" s="350"/>
      <c r="AD1344" s="350"/>
      <c r="AE1344" s="351"/>
      <c r="AF1344" s="540"/>
      <c r="AG1344" s="351"/>
      <c r="AH1344" s="540"/>
      <c r="AI1344" s="351"/>
      <c r="AJ1344" s="545"/>
      <c r="AK1344" s="351"/>
      <c r="AL1344" s="555" t="s">
        <v>325</v>
      </c>
      <c r="AM1344" s="351"/>
      <c r="AN1344" s="531" t="s">
        <v>325</v>
      </c>
      <c r="AO1344" s="351"/>
      <c r="AP1344" s="532"/>
      <c r="AQ1344" s="351"/>
      <c r="AR1344" s="533"/>
      <c r="AS1344" s="351"/>
      <c r="AT1344" s="534"/>
      <c r="AU1344" s="351"/>
      <c r="AV1344" s="531" t="s">
        <v>325</v>
      </c>
      <c r="AW1344" s="351"/>
      <c r="AX1344" s="553"/>
      <c r="AY1344" s="350"/>
      <c r="AZ1344" s="351"/>
      <c r="BA1344" s="545"/>
      <c r="BB1344" s="351"/>
      <c r="BC1344" s="36"/>
      <c r="BD1344" s="556" t="s">
        <v>325</v>
      </c>
      <c r="BE1344" s="351"/>
      <c r="BF1344" s="557"/>
      <c r="BG1344" s="350"/>
      <c r="BH1344" s="350"/>
      <c r="BI1344" s="351"/>
      <c r="BJ1344" s="506" t="s">
        <v>294</v>
      </c>
      <c r="BK1344" s="350"/>
      <c r="BL1344" s="350"/>
      <c r="BM1344" s="351"/>
      <c r="BN1344" s="530" t="s">
        <v>294</v>
      </c>
      <c r="BO1344" s="350"/>
      <c r="BP1344" s="350"/>
      <c r="BQ1344" s="350"/>
      <c r="BR1344" s="350"/>
      <c r="BS1344" s="350"/>
      <c r="BT1344" s="350"/>
      <c r="BU1344" s="350"/>
      <c r="BV1344" s="351"/>
    </row>
    <row r="1345" spans="1:74" ht="45" customHeight="1">
      <c r="A1345" s="24">
        <f t="shared" si="5"/>
        <v>1331</v>
      </c>
      <c r="B1345" s="522" t="s">
        <v>294</v>
      </c>
      <c r="C1345" s="351"/>
      <c r="D1345" s="523" t="s">
        <v>298</v>
      </c>
      <c r="E1345" s="351"/>
      <c r="F1345" s="524" t="s">
        <v>325</v>
      </c>
      <c r="G1345" s="351"/>
      <c r="H1345" s="561" t="s">
        <v>325</v>
      </c>
      <c r="I1345" s="351"/>
      <c r="J1345" s="562"/>
      <c r="K1345" s="351"/>
      <c r="L1345" s="562"/>
      <c r="M1345" s="351"/>
      <c r="N1345" s="34"/>
      <c r="O1345" s="38"/>
      <c r="P1345" s="526"/>
      <c r="Q1345" s="351"/>
      <c r="R1345" s="527"/>
      <c r="S1345" s="351"/>
      <c r="T1345" s="528"/>
      <c r="U1345" s="351"/>
      <c r="V1345" s="541"/>
      <c r="W1345" s="351"/>
      <c r="X1345" s="542" t="s">
        <v>294</v>
      </c>
      <c r="Y1345" s="350"/>
      <c r="Z1345" s="350"/>
      <c r="AA1345" s="351"/>
      <c r="AB1345" s="543" t="s">
        <v>294</v>
      </c>
      <c r="AC1345" s="350"/>
      <c r="AD1345" s="350"/>
      <c r="AE1345" s="351"/>
      <c r="AF1345" s="544"/>
      <c r="AG1345" s="351"/>
      <c r="AH1345" s="544"/>
      <c r="AI1345" s="351"/>
      <c r="AJ1345" s="545"/>
      <c r="AK1345" s="351"/>
      <c r="AL1345" s="524" t="s">
        <v>325</v>
      </c>
      <c r="AM1345" s="351"/>
      <c r="AN1345" s="549" t="s">
        <v>325</v>
      </c>
      <c r="AO1345" s="351"/>
      <c r="AP1345" s="550"/>
      <c r="AQ1345" s="351"/>
      <c r="AR1345" s="551"/>
      <c r="AS1345" s="351"/>
      <c r="AT1345" s="552"/>
      <c r="AU1345" s="351"/>
      <c r="AV1345" s="549" t="s">
        <v>325</v>
      </c>
      <c r="AW1345" s="351"/>
      <c r="AX1345" s="553"/>
      <c r="AY1345" s="350"/>
      <c r="AZ1345" s="351"/>
      <c r="BA1345" s="554"/>
      <c r="BB1345" s="351"/>
      <c r="BC1345" s="39"/>
      <c r="BD1345" s="546" t="s">
        <v>325</v>
      </c>
      <c r="BE1345" s="351"/>
      <c r="BF1345" s="547"/>
      <c r="BG1345" s="350"/>
      <c r="BH1345" s="350"/>
      <c r="BI1345" s="351"/>
      <c r="BJ1345" s="548" t="s">
        <v>294</v>
      </c>
      <c r="BK1345" s="350"/>
      <c r="BL1345" s="350"/>
      <c r="BM1345" s="351"/>
      <c r="BN1345" s="530" t="s">
        <v>294</v>
      </c>
      <c r="BO1345" s="350"/>
      <c r="BP1345" s="350"/>
      <c r="BQ1345" s="350"/>
      <c r="BR1345" s="350"/>
      <c r="BS1345" s="350"/>
      <c r="BT1345" s="350"/>
      <c r="BU1345" s="350"/>
      <c r="BV1345" s="351"/>
    </row>
    <row r="1346" spans="1:74" ht="45" customHeight="1">
      <c r="A1346" s="24">
        <f t="shared" si="5"/>
        <v>1332</v>
      </c>
      <c r="B1346" s="558" t="s">
        <v>294</v>
      </c>
      <c r="C1346" s="351"/>
      <c r="D1346" s="559" t="s">
        <v>298</v>
      </c>
      <c r="E1346" s="351"/>
      <c r="F1346" s="524" t="s">
        <v>325</v>
      </c>
      <c r="G1346" s="351"/>
      <c r="H1346" s="525" t="s">
        <v>325</v>
      </c>
      <c r="I1346" s="351"/>
      <c r="J1346" s="563"/>
      <c r="K1346" s="351"/>
      <c r="L1346" s="563"/>
      <c r="M1346" s="351"/>
      <c r="N1346" s="37"/>
      <c r="O1346" s="35"/>
      <c r="P1346" s="560"/>
      <c r="Q1346" s="351"/>
      <c r="R1346" s="535"/>
      <c r="S1346" s="351"/>
      <c r="T1346" s="536"/>
      <c r="U1346" s="351"/>
      <c r="V1346" s="537"/>
      <c r="W1346" s="351"/>
      <c r="X1346" s="538" t="s">
        <v>294</v>
      </c>
      <c r="Y1346" s="350"/>
      <c r="Z1346" s="350"/>
      <c r="AA1346" s="351"/>
      <c r="AB1346" s="539" t="s">
        <v>294</v>
      </c>
      <c r="AC1346" s="350"/>
      <c r="AD1346" s="350"/>
      <c r="AE1346" s="351"/>
      <c r="AF1346" s="540"/>
      <c r="AG1346" s="351"/>
      <c r="AH1346" s="540"/>
      <c r="AI1346" s="351"/>
      <c r="AJ1346" s="545"/>
      <c r="AK1346" s="351"/>
      <c r="AL1346" s="555" t="s">
        <v>325</v>
      </c>
      <c r="AM1346" s="351"/>
      <c r="AN1346" s="531" t="s">
        <v>325</v>
      </c>
      <c r="AO1346" s="351"/>
      <c r="AP1346" s="532"/>
      <c r="AQ1346" s="351"/>
      <c r="AR1346" s="533"/>
      <c r="AS1346" s="351"/>
      <c r="AT1346" s="534"/>
      <c r="AU1346" s="351"/>
      <c r="AV1346" s="531" t="s">
        <v>325</v>
      </c>
      <c r="AW1346" s="351"/>
      <c r="AX1346" s="553"/>
      <c r="AY1346" s="350"/>
      <c r="AZ1346" s="351"/>
      <c r="BA1346" s="545"/>
      <c r="BB1346" s="351"/>
      <c r="BC1346" s="36"/>
      <c r="BD1346" s="556" t="s">
        <v>325</v>
      </c>
      <c r="BE1346" s="351"/>
      <c r="BF1346" s="557"/>
      <c r="BG1346" s="350"/>
      <c r="BH1346" s="350"/>
      <c r="BI1346" s="351"/>
      <c r="BJ1346" s="506" t="s">
        <v>294</v>
      </c>
      <c r="BK1346" s="350"/>
      <c r="BL1346" s="350"/>
      <c r="BM1346" s="351"/>
      <c r="BN1346" s="530" t="s">
        <v>294</v>
      </c>
      <c r="BO1346" s="350"/>
      <c r="BP1346" s="350"/>
      <c r="BQ1346" s="350"/>
      <c r="BR1346" s="350"/>
      <c r="BS1346" s="350"/>
      <c r="BT1346" s="350"/>
      <c r="BU1346" s="350"/>
      <c r="BV1346" s="351"/>
    </row>
    <row r="1347" spans="1:74" ht="45" customHeight="1">
      <c r="A1347" s="24">
        <f t="shared" si="5"/>
        <v>1333</v>
      </c>
      <c r="B1347" s="522" t="s">
        <v>294</v>
      </c>
      <c r="C1347" s="351"/>
      <c r="D1347" s="523" t="s">
        <v>298</v>
      </c>
      <c r="E1347" s="351"/>
      <c r="F1347" s="524" t="s">
        <v>325</v>
      </c>
      <c r="G1347" s="351"/>
      <c r="H1347" s="561" t="s">
        <v>325</v>
      </c>
      <c r="I1347" s="351"/>
      <c r="J1347" s="562"/>
      <c r="K1347" s="351"/>
      <c r="L1347" s="562"/>
      <c r="M1347" s="351"/>
      <c r="N1347" s="34"/>
      <c r="O1347" s="38"/>
      <c r="P1347" s="526"/>
      <c r="Q1347" s="351"/>
      <c r="R1347" s="527"/>
      <c r="S1347" s="351"/>
      <c r="T1347" s="528"/>
      <c r="U1347" s="351"/>
      <c r="V1347" s="541"/>
      <c r="W1347" s="351"/>
      <c r="X1347" s="542" t="s">
        <v>294</v>
      </c>
      <c r="Y1347" s="350"/>
      <c r="Z1347" s="350"/>
      <c r="AA1347" s="351"/>
      <c r="AB1347" s="543" t="s">
        <v>294</v>
      </c>
      <c r="AC1347" s="350"/>
      <c r="AD1347" s="350"/>
      <c r="AE1347" s="351"/>
      <c r="AF1347" s="544"/>
      <c r="AG1347" s="351"/>
      <c r="AH1347" s="544"/>
      <c r="AI1347" s="351"/>
      <c r="AJ1347" s="545"/>
      <c r="AK1347" s="351"/>
      <c r="AL1347" s="524" t="s">
        <v>325</v>
      </c>
      <c r="AM1347" s="351"/>
      <c r="AN1347" s="549" t="s">
        <v>325</v>
      </c>
      <c r="AO1347" s="351"/>
      <c r="AP1347" s="550"/>
      <c r="AQ1347" s="351"/>
      <c r="AR1347" s="551"/>
      <c r="AS1347" s="351"/>
      <c r="AT1347" s="552"/>
      <c r="AU1347" s="351"/>
      <c r="AV1347" s="549" t="s">
        <v>325</v>
      </c>
      <c r="AW1347" s="351"/>
      <c r="AX1347" s="553"/>
      <c r="AY1347" s="350"/>
      <c r="AZ1347" s="351"/>
      <c r="BA1347" s="554"/>
      <c r="BB1347" s="351"/>
      <c r="BC1347" s="39"/>
      <c r="BD1347" s="546" t="s">
        <v>325</v>
      </c>
      <c r="BE1347" s="351"/>
      <c r="BF1347" s="547"/>
      <c r="BG1347" s="350"/>
      <c r="BH1347" s="350"/>
      <c r="BI1347" s="351"/>
      <c r="BJ1347" s="548" t="s">
        <v>294</v>
      </c>
      <c r="BK1347" s="350"/>
      <c r="BL1347" s="350"/>
      <c r="BM1347" s="351"/>
      <c r="BN1347" s="530" t="s">
        <v>294</v>
      </c>
      <c r="BO1347" s="350"/>
      <c r="BP1347" s="350"/>
      <c r="BQ1347" s="350"/>
      <c r="BR1347" s="350"/>
      <c r="BS1347" s="350"/>
      <c r="BT1347" s="350"/>
      <c r="BU1347" s="350"/>
      <c r="BV1347" s="351"/>
    </row>
    <row r="1348" spans="1:74" ht="45" customHeight="1">
      <c r="A1348" s="24">
        <f t="shared" si="5"/>
        <v>1334</v>
      </c>
      <c r="B1348" s="558" t="s">
        <v>294</v>
      </c>
      <c r="C1348" s="351"/>
      <c r="D1348" s="559" t="s">
        <v>298</v>
      </c>
      <c r="E1348" s="351"/>
      <c r="F1348" s="524" t="s">
        <v>325</v>
      </c>
      <c r="G1348" s="351"/>
      <c r="H1348" s="525" t="s">
        <v>325</v>
      </c>
      <c r="I1348" s="351"/>
      <c r="J1348" s="563"/>
      <c r="K1348" s="351"/>
      <c r="L1348" s="563"/>
      <c r="M1348" s="351"/>
      <c r="N1348" s="37"/>
      <c r="O1348" s="35"/>
      <c r="P1348" s="560"/>
      <c r="Q1348" s="351"/>
      <c r="R1348" s="535"/>
      <c r="S1348" s="351"/>
      <c r="T1348" s="536"/>
      <c r="U1348" s="351"/>
      <c r="V1348" s="537"/>
      <c r="W1348" s="351"/>
      <c r="X1348" s="538" t="s">
        <v>294</v>
      </c>
      <c r="Y1348" s="350"/>
      <c r="Z1348" s="350"/>
      <c r="AA1348" s="351"/>
      <c r="AB1348" s="539" t="s">
        <v>294</v>
      </c>
      <c r="AC1348" s="350"/>
      <c r="AD1348" s="350"/>
      <c r="AE1348" s="351"/>
      <c r="AF1348" s="540"/>
      <c r="AG1348" s="351"/>
      <c r="AH1348" s="540"/>
      <c r="AI1348" s="351"/>
      <c r="AJ1348" s="545"/>
      <c r="AK1348" s="351"/>
      <c r="AL1348" s="555" t="s">
        <v>325</v>
      </c>
      <c r="AM1348" s="351"/>
      <c r="AN1348" s="531" t="s">
        <v>325</v>
      </c>
      <c r="AO1348" s="351"/>
      <c r="AP1348" s="532"/>
      <c r="AQ1348" s="351"/>
      <c r="AR1348" s="533"/>
      <c r="AS1348" s="351"/>
      <c r="AT1348" s="534"/>
      <c r="AU1348" s="351"/>
      <c r="AV1348" s="531" t="s">
        <v>325</v>
      </c>
      <c r="AW1348" s="351"/>
      <c r="AX1348" s="553"/>
      <c r="AY1348" s="350"/>
      <c r="AZ1348" s="351"/>
      <c r="BA1348" s="545"/>
      <c r="BB1348" s="351"/>
      <c r="BC1348" s="36"/>
      <c r="BD1348" s="556" t="s">
        <v>325</v>
      </c>
      <c r="BE1348" s="351"/>
      <c r="BF1348" s="529"/>
      <c r="BG1348" s="350"/>
      <c r="BH1348" s="350"/>
      <c r="BI1348" s="351"/>
      <c r="BJ1348" s="506" t="s">
        <v>294</v>
      </c>
      <c r="BK1348" s="350"/>
      <c r="BL1348" s="350"/>
      <c r="BM1348" s="351"/>
      <c r="BN1348" s="530" t="s">
        <v>294</v>
      </c>
      <c r="BO1348" s="350"/>
      <c r="BP1348" s="350"/>
      <c r="BQ1348" s="350"/>
      <c r="BR1348" s="350"/>
      <c r="BS1348" s="350"/>
      <c r="BT1348" s="350"/>
      <c r="BU1348" s="350"/>
      <c r="BV1348" s="351"/>
    </row>
    <row r="1349" spans="1:74" ht="45" customHeight="1">
      <c r="A1349" s="24">
        <f t="shared" si="5"/>
        <v>1335</v>
      </c>
      <c r="B1349" s="522" t="s">
        <v>294</v>
      </c>
      <c r="C1349" s="351"/>
      <c r="D1349" s="523" t="s">
        <v>298</v>
      </c>
      <c r="E1349" s="351"/>
      <c r="F1349" s="524" t="s">
        <v>325</v>
      </c>
      <c r="G1349" s="351"/>
      <c r="H1349" s="561" t="s">
        <v>325</v>
      </c>
      <c r="I1349" s="351"/>
      <c r="J1349" s="562"/>
      <c r="K1349" s="351"/>
      <c r="L1349" s="562"/>
      <c r="M1349" s="351"/>
      <c r="N1349" s="34"/>
      <c r="O1349" s="38"/>
      <c r="P1349" s="526"/>
      <c r="Q1349" s="351"/>
      <c r="R1349" s="527"/>
      <c r="S1349" s="351"/>
      <c r="T1349" s="528"/>
      <c r="U1349" s="351"/>
      <c r="V1349" s="541"/>
      <c r="W1349" s="351"/>
      <c r="X1349" s="542" t="s">
        <v>294</v>
      </c>
      <c r="Y1349" s="350"/>
      <c r="Z1349" s="350"/>
      <c r="AA1349" s="351"/>
      <c r="AB1349" s="543" t="s">
        <v>294</v>
      </c>
      <c r="AC1349" s="350"/>
      <c r="AD1349" s="350"/>
      <c r="AE1349" s="351"/>
      <c r="AF1349" s="544"/>
      <c r="AG1349" s="351"/>
      <c r="AH1349" s="544"/>
      <c r="AI1349" s="351"/>
      <c r="AJ1349" s="545"/>
      <c r="AK1349" s="351"/>
      <c r="AL1349" s="524" t="s">
        <v>325</v>
      </c>
      <c r="AM1349" s="351"/>
      <c r="AN1349" s="549" t="s">
        <v>325</v>
      </c>
      <c r="AO1349" s="351"/>
      <c r="AP1349" s="550"/>
      <c r="AQ1349" s="351"/>
      <c r="AR1349" s="551"/>
      <c r="AS1349" s="351"/>
      <c r="AT1349" s="552"/>
      <c r="AU1349" s="351"/>
      <c r="AV1349" s="549" t="s">
        <v>325</v>
      </c>
      <c r="AW1349" s="351"/>
      <c r="AX1349" s="553"/>
      <c r="AY1349" s="350"/>
      <c r="AZ1349" s="351"/>
      <c r="BA1349" s="554"/>
      <c r="BB1349" s="351"/>
      <c r="BC1349" s="39"/>
      <c r="BD1349" s="546" t="s">
        <v>325</v>
      </c>
      <c r="BE1349" s="351"/>
      <c r="BF1349" s="547"/>
      <c r="BG1349" s="350"/>
      <c r="BH1349" s="350"/>
      <c r="BI1349" s="351"/>
      <c r="BJ1349" s="548" t="s">
        <v>294</v>
      </c>
      <c r="BK1349" s="350"/>
      <c r="BL1349" s="350"/>
      <c r="BM1349" s="351"/>
      <c r="BN1349" s="530" t="s">
        <v>294</v>
      </c>
      <c r="BO1349" s="350"/>
      <c r="BP1349" s="350"/>
      <c r="BQ1349" s="350"/>
      <c r="BR1349" s="350"/>
      <c r="BS1349" s="350"/>
      <c r="BT1349" s="350"/>
      <c r="BU1349" s="350"/>
      <c r="BV1349" s="351"/>
    </row>
    <row r="1350" spans="1:74" ht="45" customHeight="1">
      <c r="A1350" s="24">
        <f t="shared" si="5"/>
        <v>1336</v>
      </c>
      <c r="B1350" s="558" t="s">
        <v>294</v>
      </c>
      <c r="C1350" s="351"/>
      <c r="D1350" s="559" t="s">
        <v>298</v>
      </c>
      <c r="E1350" s="351"/>
      <c r="F1350" s="524" t="s">
        <v>325</v>
      </c>
      <c r="G1350" s="351"/>
      <c r="H1350" s="525" t="s">
        <v>325</v>
      </c>
      <c r="I1350" s="351"/>
      <c r="J1350" s="563"/>
      <c r="K1350" s="351"/>
      <c r="L1350" s="563"/>
      <c r="M1350" s="351"/>
      <c r="N1350" s="37"/>
      <c r="O1350" s="35"/>
      <c r="P1350" s="560"/>
      <c r="Q1350" s="351"/>
      <c r="R1350" s="535"/>
      <c r="S1350" s="351"/>
      <c r="T1350" s="536"/>
      <c r="U1350" s="351"/>
      <c r="V1350" s="537"/>
      <c r="W1350" s="351"/>
      <c r="X1350" s="538" t="s">
        <v>294</v>
      </c>
      <c r="Y1350" s="350"/>
      <c r="Z1350" s="350"/>
      <c r="AA1350" s="351"/>
      <c r="AB1350" s="539" t="s">
        <v>294</v>
      </c>
      <c r="AC1350" s="350"/>
      <c r="AD1350" s="350"/>
      <c r="AE1350" s="351"/>
      <c r="AF1350" s="540"/>
      <c r="AG1350" s="351"/>
      <c r="AH1350" s="540"/>
      <c r="AI1350" s="351"/>
      <c r="AJ1350" s="545"/>
      <c r="AK1350" s="351"/>
      <c r="AL1350" s="555" t="s">
        <v>325</v>
      </c>
      <c r="AM1350" s="351"/>
      <c r="AN1350" s="531" t="s">
        <v>325</v>
      </c>
      <c r="AO1350" s="351"/>
      <c r="AP1350" s="532"/>
      <c r="AQ1350" s="351"/>
      <c r="AR1350" s="533"/>
      <c r="AS1350" s="351"/>
      <c r="AT1350" s="534"/>
      <c r="AU1350" s="351"/>
      <c r="AV1350" s="531" t="s">
        <v>325</v>
      </c>
      <c r="AW1350" s="351"/>
      <c r="AX1350" s="553"/>
      <c r="AY1350" s="350"/>
      <c r="AZ1350" s="351"/>
      <c r="BA1350" s="545"/>
      <c r="BB1350" s="351"/>
      <c r="BC1350" s="36"/>
      <c r="BD1350" s="556" t="s">
        <v>325</v>
      </c>
      <c r="BE1350" s="351"/>
      <c r="BF1350" s="557"/>
      <c r="BG1350" s="350"/>
      <c r="BH1350" s="350"/>
      <c r="BI1350" s="351"/>
      <c r="BJ1350" s="506" t="s">
        <v>294</v>
      </c>
      <c r="BK1350" s="350"/>
      <c r="BL1350" s="350"/>
      <c r="BM1350" s="351"/>
      <c r="BN1350" s="530" t="s">
        <v>294</v>
      </c>
      <c r="BO1350" s="350"/>
      <c r="BP1350" s="350"/>
      <c r="BQ1350" s="350"/>
      <c r="BR1350" s="350"/>
      <c r="BS1350" s="350"/>
      <c r="BT1350" s="350"/>
      <c r="BU1350" s="350"/>
      <c r="BV1350" s="351"/>
    </row>
    <row r="1351" spans="1:74" ht="45" customHeight="1">
      <c r="A1351" s="24">
        <f t="shared" si="5"/>
        <v>1337</v>
      </c>
      <c r="B1351" s="522" t="s">
        <v>294</v>
      </c>
      <c r="C1351" s="351"/>
      <c r="D1351" s="523" t="s">
        <v>298</v>
      </c>
      <c r="E1351" s="351"/>
      <c r="F1351" s="524" t="s">
        <v>325</v>
      </c>
      <c r="G1351" s="351"/>
      <c r="H1351" s="561" t="s">
        <v>325</v>
      </c>
      <c r="I1351" s="351"/>
      <c r="J1351" s="562"/>
      <c r="K1351" s="351"/>
      <c r="L1351" s="562"/>
      <c r="M1351" s="351"/>
      <c r="N1351" s="37"/>
      <c r="O1351" s="38"/>
      <c r="P1351" s="560"/>
      <c r="Q1351" s="351"/>
      <c r="R1351" s="527"/>
      <c r="S1351" s="351"/>
      <c r="T1351" s="528"/>
      <c r="U1351" s="351"/>
      <c r="V1351" s="541"/>
      <c r="W1351" s="351"/>
      <c r="X1351" s="542" t="s">
        <v>294</v>
      </c>
      <c r="Y1351" s="350"/>
      <c r="Z1351" s="350"/>
      <c r="AA1351" s="351"/>
      <c r="AB1351" s="543" t="s">
        <v>294</v>
      </c>
      <c r="AC1351" s="350"/>
      <c r="AD1351" s="350"/>
      <c r="AE1351" s="351"/>
      <c r="AF1351" s="544"/>
      <c r="AG1351" s="351"/>
      <c r="AH1351" s="544"/>
      <c r="AI1351" s="351"/>
      <c r="AJ1351" s="545"/>
      <c r="AK1351" s="351"/>
      <c r="AL1351" s="524" t="s">
        <v>325</v>
      </c>
      <c r="AM1351" s="351"/>
      <c r="AN1351" s="549" t="s">
        <v>325</v>
      </c>
      <c r="AO1351" s="351"/>
      <c r="AP1351" s="550"/>
      <c r="AQ1351" s="351"/>
      <c r="AR1351" s="551"/>
      <c r="AS1351" s="351"/>
      <c r="AT1351" s="534"/>
      <c r="AU1351" s="351"/>
      <c r="AV1351" s="549" t="s">
        <v>325</v>
      </c>
      <c r="AW1351" s="351"/>
      <c r="AX1351" s="553"/>
      <c r="AY1351" s="350"/>
      <c r="AZ1351" s="351"/>
      <c r="BA1351" s="554"/>
      <c r="BB1351" s="351"/>
      <c r="BC1351" s="39"/>
      <c r="BD1351" s="556" t="s">
        <v>325</v>
      </c>
      <c r="BE1351" s="351"/>
      <c r="BF1351" s="547"/>
      <c r="BG1351" s="350"/>
      <c r="BH1351" s="350"/>
      <c r="BI1351" s="351"/>
      <c r="BJ1351" s="548" t="s">
        <v>294</v>
      </c>
      <c r="BK1351" s="350"/>
      <c r="BL1351" s="350"/>
      <c r="BM1351" s="351"/>
      <c r="BN1351" s="530" t="s">
        <v>294</v>
      </c>
      <c r="BO1351" s="350"/>
      <c r="BP1351" s="350"/>
      <c r="BQ1351" s="350"/>
      <c r="BR1351" s="350"/>
      <c r="BS1351" s="350"/>
      <c r="BT1351" s="350"/>
      <c r="BU1351" s="350"/>
      <c r="BV1351" s="351"/>
    </row>
    <row r="1352" spans="1:74" ht="45" customHeight="1">
      <c r="A1352" s="24">
        <f t="shared" si="5"/>
        <v>1338</v>
      </c>
      <c r="B1352" s="558" t="s">
        <v>294</v>
      </c>
      <c r="C1352" s="351"/>
      <c r="D1352" s="559" t="s">
        <v>298</v>
      </c>
      <c r="E1352" s="351"/>
      <c r="F1352" s="524" t="s">
        <v>325</v>
      </c>
      <c r="G1352" s="351"/>
      <c r="H1352" s="525" t="s">
        <v>325</v>
      </c>
      <c r="I1352" s="351"/>
      <c r="J1352" s="563"/>
      <c r="K1352" s="351"/>
      <c r="L1352" s="563"/>
      <c r="M1352" s="351"/>
      <c r="N1352" s="34"/>
      <c r="O1352" s="35"/>
      <c r="P1352" s="526"/>
      <c r="Q1352" s="351"/>
      <c r="R1352" s="535"/>
      <c r="S1352" s="351"/>
      <c r="T1352" s="536"/>
      <c r="U1352" s="351"/>
      <c r="V1352" s="537"/>
      <c r="W1352" s="351"/>
      <c r="X1352" s="538" t="s">
        <v>294</v>
      </c>
      <c r="Y1352" s="350"/>
      <c r="Z1352" s="350"/>
      <c r="AA1352" s="351"/>
      <c r="AB1352" s="539" t="s">
        <v>294</v>
      </c>
      <c r="AC1352" s="350"/>
      <c r="AD1352" s="350"/>
      <c r="AE1352" s="351"/>
      <c r="AF1352" s="540"/>
      <c r="AG1352" s="351"/>
      <c r="AH1352" s="540"/>
      <c r="AI1352" s="351"/>
      <c r="AJ1352" s="545"/>
      <c r="AK1352" s="351"/>
      <c r="AL1352" s="555" t="s">
        <v>325</v>
      </c>
      <c r="AM1352" s="351"/>
      <c r="AN1352" s="531" t="s">
        <v>325</v>
      </c>
      <c r="AO1352" s="351"/>
      <c r="AP1352" s="532"/>
      <c r="AQ1352" s="351"/>
      <c r="AR1352" s="533"/>
      <c r="AS1352" s="351"/>
      <c r="AT1352" s="534"/>
      <c r="AU1352" s="351"/>
      <c r="AV1352" s="531" t="s">
        <v>325</v>
      </c>
      <c r="AW1352" s="351"/>
      <c r="AX1352" s="553"/>
      <c r="AY1352" s="350"/>
      <c r="AZ1352" s="351"/>
      <c r="BA1352" s="545"/>
      <c r="BB1352" s="351"/>
      <c r="BC1352" s="36"/>
      <c r="BD1352" s="546" t="s">
        <v>325</v>
      </c>
      <c r="BE1352" s="351"/>
      <c r="BF1352" s="557"/>
      <c r="BG1352" s="350"/>
      <c r="BH1352" s="350"/>
      <c r="BI1352" s="351"/>
      <c r="BJ1352" s="506" t="s">
        <v>294</v>
      </c>
      <c r="BK1352" s="350"/>
      <c r="BL1352" s="350"/>
      <c r="BM1352" s="351"/>
      <c r="BN1352" s="530" t="s">
        <v>294</v>
      </c>
      <c r="BO1352" s="350"/>
      <c r="BP1352" s="350"/>
      <c r="BQ1352" s="350"/>
      <c r="BR1352" s="350"/>
      <c r="BS1352" s="350"/>
      <c r="BT1352" s="350"/>
      <c r="BU1352" s="350"/>
      <c r="BV1352" s="351"/>
    </row>
    <row r="1353" spans="1:74" ht="45" customHeight="1">
      <c r="A1353" s="24">
        <f t="shared" si="5"/>
        <v>1339</v>
      </c>
      <c r="B1353" s="522" t="s">
        <v>294</v>
      </c>
      <c r="C1353" s="351"/>
      <c r="D1353" s="523" t="s">
        <v>298</v>
      </c>
      <c r="E1353" s="351"/>
      <c r="F1353" s="524" t="s">
        <v>325</v>
      </c>
      <c r="G1353" s="351"/>
      <c r="H1353" s="561" t="s">
        <v>325</v>
      </c>
      <c r="I1353" s="351"/>
      <c r="J1353" s="562"/>
      <c r="K1353" s="351"/>
      <c r="L1353" s="562"/>
      <c r="M1353" s="351"/>
      <c r="N1353" s="37"/>
      <c r="O1353" s="38"/>
      <c r="P1353" s="560"/>
      <c r="Q1353" s="351"/>
      <c r="R1353" s="527"/>
      <c r="S1353" s="351"/>
      <c r="T1353" s="528"/>
      <c r="U1353" s="351"/>
      <c r="V1353" s="541"/>
      <c r="W1353" s="351"/>
      <c r="X1353" s="542" t="s">
        <v>294</v>
      </c>
      <c r="Y1353" s="350"/>
      <c r="Z1353" s="350"/>
      <c r="AA1353" s="351"/>
      <c r="AB1353" s="543" t="s">
        <v>294</v>
      </c>
      <c r="AC1353" s="350"/>
      <c r="AD1353" s="350"/>
      <c r="AE1353" s="351"/>
      <c r="AF1353" s="544"/>
      <c r="AG1353" s="351"/>
      <c r="AH1353" s="544"/>
      <c r="AI1353" s="351"/>
      <c r="AJ1353" s="545"/>
      <c r="AK1353" s="351"/>
      <c r="AL1353" s="524" t="s">
        <v>325</v>
      </c>
      <c r="AM1353" s="351"/>
      <c r="AN1353" s="549" t="s">
        <v>325</v>
      </c>
      <c r="AO1353" s="351"/>
      <c r="AP1353" s="550"/>
      <c r="AQ1353" s="351"/>
      <c r="AR1353" s="551"/>
      <c r="AS1353" s="351"/>
      <c r="AT1353" s="534"/>
      <c r="AU1353" s="351"/>
      <c r="AV1353" s="549" t="s">
        <v>325</v>
      </c>
      <c r="AW1353" s="351"/>
      <c r="AX1353" s="553"/>
      <c r="AY1353" s="350"/>
      <c r="AZ1353" s="351"/>
      <c r="BA1353" s="554"/>
      <c r="BB1353" s="351"/>
      <c r="BC1353" s="39"/>
      <c r="BD1353" s="556" t="s">
        <v>325</v>
      </c>
      <c r="BE1353" s="351"/>
      <c r="BF1353" s="547"/>
      <c r="BG1353" s="350"/>
      <c r="BH1353" s="350"/>
      <c r="BI1353" s="351"/>
      <c r="BJ1353" s="548" t="s">
        <v>294</v>
      </c>
      <c r="BK1353" s="350"/>
      <c r="BL1353" s="350"/>
      <c r="BM1353" s="351"/>
      <c r="BN1353" s="530" t="s">
        <v>294</v>
      </c>
      <c r="BO1353" s="350"/>
      <c r="BP1353" s="350"/>
      <c r="BQ1353" s="350"/>
      <c r="BR1353" s="350"/>
      <c r="BS1353" s="350"/>
      <c r="BT1353" s="350"/>
      <c r="BU1353" s="350"/>
      <c r="BV1353" s="351"/>
    </row>
    <row r="1354" spans="1:74" ht="45" customHeight="1">
      <c r="A1354" s="24">
        <f t="shared" si="5"/>
        <v>1340</v>
      </c>
      <c r="B1354" s="558" t="s">
        <v>294</v>
      </c>
      <c r="C1354" s="351"/>
      <c r="D1354" s="559" t="s">
        <v>298</v>
      </c>
      <c r="E1354" s="351"/>
      <c r="F1354" s="524" t="s">
        <v>325</v>
      </c>
      <c r="G1354" s="351"/>
      <c r="H1354" s="525" t="s">
        <v>325</v>
      </c>
      <c r="I1354" s="351"/>
      <c r="J1354" s="563"/>
      <c r="K1354" s="351"/>
      <c r="L1354" s="563"/>
      <c r="M1354" s="351"/>
      <c r="N1354" s="34"/>
      <c r="O1354" s="35"/>
      <c r="P1354" s="526"/>
      <c r="Q1354" s="351"/>
      <c r="R1354" s="535"/>
      <c r="S1354" s="351"/>
      <c r="T1354" s="536"/>
      <c r="U1354" s="351"/>
      <c r="V1354" s="537"/>
      <c r="W1354" s="351"/>
      <c r="X1354" s="538" t="s">
        <v>294</v>
      </c>
      <c r="Y1354" s="350"/>
      <c r="Z1354" s="350"/>
      <c r="AA1354" s="351"/>
      <c r="AB1354" s="539" t="s">
        <v>294</v>
      </c>
      <c r="AC1354" s="350"/>
      <c r="AD1354" s="350"/>
      <c r="AE1354" s="351"/>
      <c r="AF1354" s="540"/>
      <c r="AG1354" s="351"/>
      <c r="AH1354" s="540"/>
      <c r="AI1354" s="351"/>
      <c r="AJ1354" s="545"/>
      <c r="AK1354" s="351"/>
      <c r="AL1354" s="555" t="s">
        <v>325</v>
      </c>
      <c r="AM1354" s="351"/>
      <c r="AN1354" s="531" t="s">
        <v>325</v>
      </c>
      <c r="AO1354" s="351"/>
      <c r="AP1354" s="532"/>
      <c r="AQ1354" s="351"/>
      <c r="AR1354" s="533"/>
      <c r="AS1354" s="351"/>
      <c r="AT1354" s="534"/>
      <c r="AU1354" s="351"/>
      <c r="AV1354" s="531" t="s">
        <v>325</v>
      </c>
      <c r="AW1354" s="351"/>
      <c r="AX1354" s="553"/>
      <c r="AY1354" s="350"/>
      <c r="AZ1354" s="351"/>
      <c r="BA1354" s="545"/>
      <c r="BB1354" s="351"/>
      <c r="BC1354" s="36"/>
      <c r="BD1354" s="556" t="s">
        <v>325</v>
      </c>
      <c r="BE1354" s="351"/>
      <c r="BF1354" s="557"/>
      <c r="BG1354" s="350"/>
      <c r="BH1354" s="350"/>
      <c r="BI1354" s="351"/>
      <c r="BJ1354" s="506" t="s">
        <v>294</v>
      </c>
      <c r="BK1354" s="350"/>
      <c r="BL1354" s="350"/>
      <c r="BM1354" s="351"/>
      <c r="BN1354" s="530" t="s">
        <v>294</v>
      </c>
      <c r="BO1354" s="350"/>
      <c r="BP1354" s="350"/>
      <c r="BQ1354" s="350"/>
      <c r="BR1354" s="350"/>
      <c r="BS1354" s="350"/>
      <c r="BT1354" s="350"/>
      <c r="BU1354" s="350"/>
      <c r="BV1354" s="351"/>
    </row>
    <row r="1355" spans="1:74" ht="45" customHeight="1">
      <c r="A1355" s="24">
        <f t="shared" si="5"/>
        <v>1341</v>
      </c>
      <c r="B1355" s="522" t="s">
        <v>294</v>
      </c>
      <c r="C1355" s="351"/>
      <c r="D1355" s="523" t="s">
        <v>298</v>
      </c>
      <c r="E1355" s="351"/>
      <c r="F1355" s="524" t="s">
        <v>325</v>
      </c>
      <c r="G1355" s="351"/>
      <c r="H1355" s="561" t="s">
        <v>325</v>
      </c>
      <c r="I1355" s="351"/>
      <c r="J1355" s="562"/>
      <c r="K1355" s="351"/>
      <c r="L1355" s="562"/>
      <c r="M1355" s="351"/>
      <c r="N1355" s="37"/>
      <c r="O1355" s="38"/>
      <c r="P1355" s="560"/>
      <c r="Q1355" s="351"/>
      <c r="R1355" s="527"/>
      <c r="S1355" s="351"/>
      <c r="T1355" s="528"/>
      <c r="U1355" s="351"/>
      <c r="V1355" s="541"/>
      <c r="W1355" s="351"/>
      <c r="X1355" s="542" t="s">
        <v>294</v>
      </c>
      <c r="Y1355" s="350"/>
      <c r="Z1355" s="350"/>
      <c r="AA1355" s="351"/>
      <c r="AB1355" s="543" t="s">
        <v>294</v>
      </c>
      <c r="AC1355" s="350"/>
      <c r="AD1355" s="350"/>
      <c r="AE1355" s="351"/>
      <c r="AF1355" s="544"/>
      <c r="AG1355" s="351"/>
      <c r="AH1355" s="544"/>
      <c r="AI1355" s="351"/>
      <c r="AJ1355" s="545"/>
      <c r="AK1355" s="351"/>
      <c r="AL1355" s="524" t="s">
        <v>325</v>
      </c>
      <c r="AM1355" s="351"/>
      <c r="AN1355" s="549" t="s">
        <v>325</v>
      </c>
      <c r="AO1355" s="351"/>
      <c r="AP1355" s="550"/>
      <c r="AQ1355" s="351"/>
      <c r="AR1355" s="551"/>
      <c r="AS1355" s="351"/>
      <c r="AT1355" s="552"/>
      <c r="AU1355" s="351"/>
      <c r="AV1355" s="549" t="s">
        <v>325</v>
      </c>
      <c r="AW1355" s="351"/>
      <c r="AX1355" s="553"/>
      <c r="AY1355" s="350"/>
      <c r="AZ1355" s="351"/>
      <c r="BA1355" s="554"/>
      <c r="BB1355" s="351"/>
      <c r="BC1355" s="39"/>
      <c r="BD1355" s="546" t="s">
        <v>325</v>
      </c>
      <c r="BE1355" s="351"/>
      <c r="BF1355" s="547"/>
      <c r="BG1355" s="350"/>
      <c r="BH1355" s="350"/>
      <c r="BI1355" s="351"/>
      <c r="BJ1355" s="548" t="s">
        <v>294</v>
      </c>
      <c r="BK1355" s="350"/>
      <c r="BL1355" s="350"/>
      <c r="BM1355" s="351"/>
      <c r="BN1355" s="530" t="s">
        <v>294</v>
      </c>
      <c r="BO1355" s="350"/>
      <c r="BP1355" s="350"/>
      <c r="BQ1355" s="350"/>
      <c r="BR1355" s="350"/>
      <c r="BS1355" s="350"/>
      <c r="BT1355" s="350"/>
      <c r="BU1355" s="350"/>
      <c r="BV1355" s="351"/>
    </row>
    <row r="1356" spans="1:74" ht="45" customHeight="1">
      <c r="A1356" s="24">
        <f t="shared" si="5"/>
        <v>1342</v>
      </c>
      <c r="B1356" s="558" t="s">
        <v>294</v>
      </c>
      <c r="C1356" s="351"/>
      <c r="D1356" s="559" t="s">
        <v>298</v>
      </c>
      <c r="E1356" s="351"/>
      <c r="F1356" s="524" t="s">
        <v>325</v>
      </c>
      <c r="G1356" s="351"/>
      <c r="H1356" s="525" t="s">
        <v>325</v>
      </c>
      <c r="I1356" s="351"/>
      <c r="J1356" s="563"/>
      <c r="K1356" s="351"/>
      <c r="L1356" s="563"/>
      <c r="M1356" s="351"/>
      <c r="N1356" s="34"/>
      <c r="O1356" s="35"/>
      <c r="P1356" s="526"/>
      <c r="Q1356" s="351"/>
      <c r="R1356" s="535"/>
      <c r="S1356" s="351"/>
      <c r="T1356" s="536"/>
      <c r="U1356" s="351"/>
      <c r="V1356" s="537"/>
      <c r="W1356" s="351"/>
      <c r="X1356" s="538" t="s">
        <v>294</v>
      </c>
      <c r="Y1356" s="350"/>
      <c r="Z1356" s="350"/>
      <c r="AA1356" s="351"/>
      <c r="AB1356" s="539" t="s">
        <v>294</v>
      </c>
      <c r="AC1356" s="350"/>
      <c r="AD1356" s="350"/>
      <c r="AE1356" s="351"/>
      <c r="AF1356" s="540"/>
      <c r="AG1356" s="351"/>
      <c r="AH1356" s="540"/>
      <c r="AI1356" s="351"/>
      <c r="AJ1356" s="545"/>
      <c r="AK1356" s="351"/>
      <c r="AL1356" s="555" t="s">
        <v>325</v>
      </c>
      <c r="AM1356" s="351"/>
      <c r="AN1356" s="531" t="s">
        <v>325</v>
      </c>
      <c r="AO1356" s="351"/>
      <c r="AP1356" s="532"/>
      <c r="AQ1356" s="351"/>
      <c r="AR1356" s="533"/>
      <c r="AS1356" s="351"/>
      <c r="AT1356" s="534"/>
      <c r="AU1356" s="351"/>
      <c r="AV1356" s="531" t="s">
        <v>325</v>
      </c>
      <c r="AW1356" s="351"/>
      <c r="AX1356" s="553"/>
      <c r="AY1356" s="350"/>
      <c r="AZ1356" s="351"/>
      <c r="BA1356" s="545"/>
      <c r="BB1356" s="351"/>
      <c r="BC1356" s="36"/>
      <c r="BD1356" s="556" t="s">
        <v>325</v>
      </c>
      <c r="BE1356" s="351"/>
      <c r="BF1356" s="529"/>
      <c r="BG1356" s="350"/>
      <c r="BH1356" s="350"/>
      <c r="BI1356" s="351"/>
      <c r="BJ1356" s="506" t="s">
        <v>294</v>
      </c>
      <c r="BK1356" s="350"/>
      <c r="BL1356" s="350"/>
      <c r="BM1356" s="351"/>
      <c r="BN1356" s="530" t="s">
        <v>294</v>
      </c>
      <c r="BO1356" s="350"/>
      <c r="BP1356" s="350"/>
      <c r="BQ1356" s="350"/>
      <c r="BR1356" s="350"/>
      <c r="BS1356" s="350"/>
      <c r="BT1356" s="350"/>
      <c r="BU1356" s="350"/>
      <c r="BV1356" s="351"/>
    </row>
    <row r="1357" spans="1:74" ht="45" customHeight="1">
      <c r="A1357" s="24">
        <f t="shared" si="5"/>
        <v>1343</v>
      </c>
      <c r="B1357" s="522" t="s">
        <v>294</v>
      </c>
      <c r="C1357" s="351"/>
      <c r="D1357" s="523" t="s">
        <v>298</v>
      </c>
      <c r="E1357" s="351"/>
      <c r="F1357" s="524" t="s">
        <v>325</v>
      </c>
      <c r="G1357" s="351"/>
      <c r="H1357" s="561" t="s">
        <v>325</v>
      </c>
      <c r="I1357" s="351"/>
      <c r="J1357" s="562"/>
      <c r="K1357" s="351"/>
      <c r="L1357" s="562"/>
      <c r="M1357" s="351"/>
      <c r="N1357" s="37"/>
      <c r="O1357" s="38"/>
      <c r="P1357" s="560"/>
      <c r="Q1357" s="351"/>
      <c r="R1357" s="527"/>
      <c r="S1357" s="351"/>
      <c r="T1357" s="528"/>
      <c r="U1357" s="351"/>
      <c r="V1357" s="541"/>
      <c r="W1357" s="351"/>
      <c r="X1357" s="542" t="s">
        <v>294</v>
      </c>
      <c r="Y1357" s="350"/>
      <c r="Z1357" s="350"/>
      <c r="AA1357" s="351"/>
      <c r="AB1357" s="543" t="s">
        <v>294</v>
      </c>
      <c r="AC1357" s="350"/>
      <c r="AD1357" s="350"/>
      <c r="AE1357" s="351"/>
      <c r="AF1357" s="544"/>
      <c r="AG1357" s="351"/>
      <c r="AH1357" s="544"/>
      <c r="AI1357" s="351"/>
      <c r="AJ1357" s="545"/>
      <c r="AK1357" s="351"/>
      <c r="AL1357" s="524" t="s">
        <v>325</v>
      </c>
      <c r="AM1357" s="351"/>
      <c r="AN1357" s="549" t="s">
        <v>325</v>
      </c>
      <c r="AO1357" s="351"/>
      <c r="AP1357" s="550"/>
      <c r="AQ1357" s="351"/>
      <c r="AR1357" s="551"/>
      <c r="AS1357" s="351"/>
      <c r="AT1357" s="552"/>
      <c r="AU1357" s="351"/>
      <c r="AV1357" s="549" t="s">
        <v>325</v>
      </c>
      <c r="AW1357" s="351"/>
      <c r="AX1357" s="553"/>
      <c r="AY1357" s="350"/>
      <c r="AZ1357" s="351"/>
      <c r="BA1357" s="554"/>
      <c r="BB1357" s="351"/>
      <c r="BC1357" s="39"/>
      <c r="BD1357" s="546" t="s">
        <v>325</v>
      </c>
      <c r="BE1357" s="351"/>
      <c r="BF1357" s="547"/>
      <c r="BG1357" s="350"/>
      <c r="BH1357" s="350"/>
      <c r="BI1357" s="351"/>
      <c r="BJ1357" s="548" t="s">
        <v>294</v>
      </c>
      <c r="BK1357" s="350"/>
      <c r="BL1357" s="350"/>
      <c r="BM1357" s="351"/>
      <c r="BN1357" s="530" t="s">
        <v>294</v>
      </c>
      <c r="BO1357" s="350"/>
      <c r="BP1357" s="350"/>
      <c r="BQ1357" s="350"/>
      <c r="BR1357" s="350"/>
      <c r="BS1357" s="350"/>
      <c r="BT1357" s="350"/>
      <c r="BU1357" s="350"/>
      <c r="BV1357" s="351"/>
    </row>
    <row r="1358" spans="1:74" ht="45" customHeight="1">
      <c r="A1358" s="24">
        <f t="shared" si="5"/>
        <v>1344</v>
      </c>
      <c r="B1358" s="558" t="s">
        <v>294</v>
      </c>
      <c r="C1358" s="351"/>
      <c r="D1358" s="559" t="s">
        <v>298</v>
      </c>
      <c r="E1358" s="351"/>
      <c r="F1358" s="524" t="s">
        <v>325</v>
      </c>
      <c r="G1358" s="351"/>
      <c r="H1358" s="525" t="s">
        <v>325</v>
      </c>
      <c r="I1358" s="351"/>
      <c r="J1358" s="563"/>
      <c r="K1358" s="351"/>
      <c r="L1358" s="563"/>
      <c r="M1358" s="351"/>
      <c r="N1358" s="34"/>
      <c r="O1358" s="35"/>
      <c r="P1358" s="526"/>
      <c r="Q1358" s="351"/>
      <c r="R1358" s="535"/>
      <c r="S1358" s="351"/>
      <c r="T1358" s="536"/>
      <c r="U1358" s="351"/>
      <c r="V1358" s="537"/>
      <c r="W1358" s="351"/>
      <c r="X1358" s="538" t="s">
        <v>294</v>
      </c>
      <c r="Y1358" s="350"/>
      <c r="Z1358" s="350"/>
      <c r="AA1358" s="351"/>
      <c r="AB1358" s="539" t="s">
        <v>294</v>
      </c>
      <c r="AC1358" s="350"/>
      <c r="AD1358" s="350"/>
      <c r="AE1358" s="351"/>
      <c r="AF1358" s="540"/>
      <c r="AG1358" s="351"/>
      <c r="AH1358" s="540"/>
      <c r="AI1358" s="351"/>
      <c r="AJ1358" s="545"/>
      <c r="AK1358" s="351"/>
      <c r="AL1358" s="555" t="s">
        <v>325</v>
      </c>
      <c r="AM1358" s="351"/>
      <c r="AN1358" s="531" t="s">
        <v>325</v>
      </c>
      <c r="AO1358" s="351"/>
      <c r="AP1358" s="532"/>
      <c r="AQ1358" s="351"/>
      <c r="AR1358" s="533"/>
      <c r="AS1358" s="351"/>
      <c r="AT1358" s="534"/>
      <c r="AU1358" s="351"/>
      <c r="AV1358" s="531" t="s">
        <v>325</v>
      </c>
      <c r="AW1358" s="351"/>
      <c r="AX1358" s="553"/>
      <c r="AY1358" s="350"/>
      <c r="AZ1358" s="351"/>
      <c r="BA1358" s="545"/>
      <c r="BB1358" s="351"/>
      <c r="BC1358" s="36"/>
      <c r="BD1358" s="556" t="s">
        <v>325</v>
      </c>
      <c r="BE1358" s="351"/>
      <c r="BF1358" s="557"/>
      <c r="BG1358" s="350"/>
      <c r="BH1358" s="350"/>
      <c r="BI1358" s="351"/>
      <c r="BJ1358" s="506" t="s">
        <v>294</v>
      </c>
      <c r="BK1358" s="350"/>
      <c r="BL1358" s="350"/>
      <c r="BM1358" s="351"/>
      <c r="BN1358" s="530" t="s">
        <v>294</v>
      </c>
      <c r="BO1358" s="350"/>
      <c r="BP1358" s="350"/>
      <c r="BQ1358" s="350"/>
      <c r="BR1358" s="350"/>
      <c r="BS1358" s="350"/>
      <c r="BT1358" s="350"/>
      <c r="BU1358" s="350"/>
      <c r="BV1358" s="351"/>
    </row>
    <row r="1359" spans="1:74" ht="45" customHeight="1">
      <c r="A1359" s="24">
        <f t="shared" si="5"/>
        <v>1345</v>
      </c>
      <c r="B1359" s="522" t="s">
        <v>294</v>
      </c>
      <c r="C1359" s="351"/>
      <c r="D1359" s="523" t="s">
        <v>298</v>
      </c>
      <c r="E1359" s="351"/>
      <c r="F1359" s="524" t="s">
        <v>325</v>
      </c>
      <c r="G1359" s="351"/>
      <c r="H1359" s="561" t="s">
        <v>325</v>
      </c>
      <c r="I1359" s="351"/>
      <c r="J1359" s="562"/>
      <c r="K1359" s="351"/>
      <c r="L1359" s="562"/>
      <c r="M1359" s="351"/>
      <c r="N1359" s="37"/>
      <c r="O1359" s="38"/>
      <c r="P1359" s="560"/>
      <c r="Q1359" s="351"/>
      <c r="R1359" s="527"/>
      <c r="S1359" s="351"/>
      <c r="T1359" s="528"/>
      <c r="U1359" s="351"/>
      <c r="V1359" s="541"/>
      <c r="W1359" s="351"/>
      <c r="X1359" s="542" t="s">
        <v>294</v>
      </c>
      <c r="Y1359" s="350"/>
      <c r="Z1359" s="350"/>
      <c r="AA1359" s="351"/>
      <c r="AB1359" s="543" t="s">
        <v>294</v>
      </c>
      <c r="AC1359" s="350"/>
      <c r="AD1359" s="350"/>
      <c r="AE1359" s="351"/>
      <c r="AF1359" s="544"/>
      <c r="AG1359" s="351"/>
      <c r="AH1359" s="544"/>
      <c r="AI1359" s="351"/>
      <c r="AJ1359" s="545"/>
      <c r="AK1359" s="351"/>
      <c r="AL1359" s="524" t="s">
        <v>325</v>
      </c>
      <c r="AM1359" s="351"/>
      <c r="AN1359" s="549" t="s">
        <v>325</v>
      </c>
      <c r="AO1359" s="351"/>
      <c r="AP1359" s="550"/>
      <c r="AQ1359" s="351"/>
      <c r="AR1359" s="551"/>
      <c r="AS1359" s="351"/>
      <c r="AT1359" s="552"/>
      <c r="AU1359" s="351"/>
      <c r="AV1359" s="549" t="s">
        <v>325</v>
      </c>
      <c r="AW1359" s="351"/>
      <c r="AX1359" s="553"/>
      <c r="AY1359" s="350"/>
      <c r="AZ1359" s="351"/>
      <c r="BA1359" s="554"/>
      <c r="BB1359" s="351"/>
      <c r="BC1359" s="39"/>
      <c r="BD1359" s="546" t="s">
        <v>325</v>
      </c>
      <c r="BE1359" s="351"/>
      <c r="BF1359" s="547"/>
      <c r="BG1359" s="350"/>
      <c r="BH1359" s="350"/>
      <c r="BI1359" s="351"/>
      <c r="BJ1359" s="548" t="s">
        <v>294</v>
      </c>
      <c r="BK1359" s="350"/>
      <c r="BL1359" s="350"/>
      <c r="BM1359" s="351"/>
      <c r="BN1359" s="530" t="s">
        <v>294</v>
      </c>
      <c r="BO1359" s="350"/>
      <c r="BP1359" s="350"/>
      <c r="BQ1359" s="350"/>
      <c r="BR1359" s="350"/>
      <c r="BS1359" s="350"/>
      <c r="BT1359" s="350"/>
      <c r="BU1359" s="350"/>
      <c r="BV1359" s="351"/>
    </row>
    <row r="1360" spans="1:74" ht="45" customHeight="1">
      <c r="A1360" s="24">
        <f t="shared" si="5"/>
        <v>1346</v>
      </c>
      <c r="B1360" s="558" t="s">
        <v>294</v>
      </c>
      <c r="C1360" s="351"/>
      <c r="D1360" s="559" t="s">
        <v>298</v>
      </c>
      <c r="E1360" s="351"/>
      <c r="F1360" s="524" t="s">
        <v>325</v>
      </c>
      <c r="G1360" s="351"/>
      <c r="H1360" s="525" t="s">
        <v>325</v>
      </c>
      <c r="I1360" s="351"/>
      <c r="J1360" s="563"/>
      <c r="K1360" s="351"/>
      <c r="L1360" s="563"/>
      <c r="M1360" s="351"/>
      <c r="N1360" s="34"/>
      <c r="O1360" s="35"/>
      <c r="P1360" s="526"/>
      <c r="Q1360" s="351"/>
      <c r="R1360" s="535"/>
      <c r="S1360" s="351"/>
      <c r="T1360" s="536"/>
      <c r="U1360" s="351"/>
      <c r="V1360" s="537"/>
      <c r="W1360" s="351"/>
      <c r="X1360" s="538" t="s">
        <v>294</v>
      </c>
      <c r="Y1360" s="350"/>
      <c r="Z1360" s="350"/>
      <c r="AA1360" s="351"/>
      <c r="AB1360" s="539" t="s">
        <v>294</v>
      </c>
      <c r="AC1360" s="350"/>
      <c r="AD1360" s="350"/>
      <c r="AE1360" s="351"/>
      <c r="AF1360" s="540"/>
      <c r="AG1360" s="351"/>
      <c r="AH1360" s="540"/>
      <c r="AI1360" s="351"/>
      <c r="AJ1360" s="545"/>
      <c r="AK1360" s="351"/>
      <c r="AL1360" s="555" t="s">
        <v>325</v>
      </c>
      <c r="AM1360" s="351"/>
      <c r="AN1360" s="531" t="s">
        <v>325</v>
      </c>
      <c r="AO1360" s="351"/>
      <c r="AP1360" s="532"/>
      <c r="AQ1360" s="351"/>
      <c r="AR1360" s="533"/>
      <c r="AS1360" s="351"/>
      <c r="AT1360" s="534"/>
      <c r="AU1360" s="351"/>
      <c r="AV1360" s="531" t="s">
        <v>325</v>
      </c>
      <c r="AW1360" s="351"/>
      <c r="AX1360" s="553"/>
      <c r="AY1360" s="350"/>
      <c r="AZ1360" s="351"/>
      <c r="BA1360" s="545"/>
      <c r="BB1360" s="351"/>
      <c r="BC1360" s="36"/>
      <c r="BD1360" s="556" t="s">
        <v>325</v>
      </c>
      <c r="BE1360" s="351"/>
      <c r="BF1360" s="557"/>
      <c r="BG1360" s="350"/>
      <c r="BH1360" s="350"/>
      <c r="BI1360" s="351"/>
      <c r="BJ1360" s="506" t="s">
        <v>294</v>
      </c>
      <c r="BK1360" s="350"/>
      <c r="BL1360" s="350"/>
      <c r="BM1360" s="351"/>
      <c r="BN1360" s="530" t="s">
        <v>294</v>
      </c>
      <c r="BO1360" s="350"/>
      <c r="BP1360" s="350"/>
      <c r="BQ1360" s="350"/>
      <c r="BR1360" s="350"/>
      <c r="BS1360" s="350"/>
      <c r="BT1360" s="350"/>
      <c r="BU1360" s="350"/>
      <c r="BV1360" s="351"/>
    </row>
    <row r="1361" spans="1:74" ht="45" customHeight="1">
      <c r="A1361" s="24">
        <f t="shared" si="5"/>
        <v>1347</v>
      </c>
      <c r="B1361" s="522" t="s">
        <v>294</v>
      </c>
      <c r="C1361" s="351"/>
      <c r="D1361" s="523" t="s">
        <v>298</v>
      </c>
      <c r="E1361" s="351"/>
      <c r="F1361" s="524" t="s">
        <v>325</v>
      </c>
      <c r="G1361" s="351"/>
      <c r="H1361" s="561" t="s">
        <v>325</v>
      </c>
      <c r="I1361" s="351"/>
      <c r="J1361" s="562"/>
      <c r="K1361" s="351"/>
      <c r="L1361" s="562"/>
      <c r="M1361" s="351"/>
      <c r="N1361" s="37"/>
      <c r="O1361" s="38"/>
      <c r="P1361" s="560"/>
      <c r="Q1361" s="351"/>
      <c r="R1361" s="527"/>
      <c r="S1361" s="351"/>
      <c r="T1361" s="528"/>
      <c r="U1361" s="351"/>
      <c r="V1361" s="541"/>
      <c r="W1361" s="351"/>
      <c r="X1361" s="542" t="s">
        <v>294</v>
      </c>
      <c r="Y1361" s="350"/>
      <c r="Z1361" s="350"/>
      <c r="AA1361" s="351"/>
      <c r="AB1361" s="543" t="s">
        <v>294</v>
      </c>
      <c r="AC1361" s="350"/>
      <c r="AD1361" s="350"/>
      <c r="AE1361" s="351"/>
      <c r="AF1361" s="544"/>
      <c r="AG1361" s="351"/>
      <c r="AH1361" s="544"/>
      <c r="AI1361" s="351"/>
      <c r="AJ1361" s="545"/>
      <c r="AK1361" s="351"/>
      <c r="AL1361" s="524" t="s">
        <v>325</v>
      </c>
      <c r="AM1361" s="351"/>
      <c r="AN1361" s="549" t="s">
        <v>325</v>
      </c>
      <c r="AO1361" s="351"/>
      <c r="AP1361" s="550"/>
      <c r="AQ1361" s="351"/>
      <c r="AR1361" s="551"/>
      <c r="AS1361" s="351"/>
      <c r="AT1361" s="552"/>
      <c r="AU1361" s="351"/>
      <c r="AV1361" s="549" t="s">
        <v>325</v>
      </c>
      <c r="AW1361" s="351"/>
      <c r="AX1361" s="553"/>
      <c r="AY1361" s="350"/>
      <c r="AZ1361" s="351"/>
      <c r="BA1361" s="554"/>
      <c r="BB1361" s="351"/>
      <c r="BC1361" s="39"/>
      <c r="BD1361" s="546" t="s">
        <v>325</v>
      </c>
      <c r="BE1361" s="351"/>
      <c r="BF1361" s="547"/>
      <c r="BG1361" s="350"/>
      <c r="BH1361" s="350"/>
      <c r="BI1361" s="351"/>
      <c r="BJ1361" s="548" t="s">
        <v>294</v>
      </c>
      <c r="BK1361" s="350"/>
      <c r="BL1361" s="350"/>
      <c r="BM1361" s="351"/>
      <c r="BN1361" s="530" t="s">
        <v>294</v>
      </c>
      <c r="BO1361" s="350"/>
      <c r="BP1361" s="350"/>
      <c r="BQ1361" s="350"/>
      <c r="BR1361" s="350"/>
      <c r="BS1361" s="350"/>
      <c r="BT1361" s="350"/>
      <c r="BU1361" s="350"/>
      <c r="BV1361" s="351"/>
    </row>
    <row r="1362" spans="1:74" ht="45" customHeight="1">
      <c r="A1362" s="24">
        <f t="shared" si="5"/>
        <v>1348</v>
      </c>
      <c r="B1362" s="558" t="s">
        <v>294</v>
      </c>
      <c r="C1362" s="351"/>
      <c r="D1362" s="559" t="s">
        <v>298</v>
      </c>
      <c r="E1362" s="351"/>
      <c r="F1362" s="524" t="s">
        <v>325</v>
      </c>
      <c r="G1362" s="351"/>
      <c r="H1362" s="525" t="s">
        <v>325</v>
      </c>
      <c r="I1362" s="351"/>
      <c r="J1362" s="563"/>
      <c r="K1362" s="351"/>
      <c r="L1362" s="563"/>
      <c r="M1362" s="351"/>
      <c r="N1362" s="34"/>
      <c r="O1362" s="35"/>
      <c r="P1362" s="526"/>
      <c r="Q1362" s="351"/>
      <c r="R1362" s="535"/>
      <c r="S1362" s="351"/>
      <c r="T1362" s="536"/>
      <c r="U1362" s="351"/>
      <c r="V1362" s="537"/>
      <c r="W1362" s="351"/>
      <c r="X1362" s="538" t="s">
        <v>294</v>
      </c>
      <c r="Y1362" s="350"/>
      <c r="Z1362" s="350"/>
      <c r="AA1362" s="351"/>
      <c r="AB1362" s="539" t="s">
        <v>294</v>
      </c>
      <c r="AC1362" s="350"/>
      <c r="AD1362" s="350"/>
      <c r="AE1362" s="351"/>
      <c r="AF1362" s="540"/>
      <c r="AG1362" s="351"/>
      <c r="AH1362" s="540"/>
      <c r="AI1362" s="351"/>
      <c r="AJ1362" s="545"/>
      <c r="AK1362" s="351"/>
      <c r="AL1362" s="555" t="s">
        <v>325</v>
      </c>
      <c r="AM1362" s="351"/>
      <c r="AN1362" s="531" t="s">
        <v>325</v>
      </c>
      <c r="AO1362" s="351"/>
      <c r="AP1362" s="532"/>
      <c r="AQ1362" s="351"/>
      <c r="AR1362" s="533"/>
      <c r="AS1362" s="351"/>
      <c r="AT1362" s="534"/>
      <c r="AU1362" s="351"/>
      <c r="AV1362" s="531" t="s">
        <v>325</v>
      </c>
      <c r="AW1362" s="351"/>
      <c r="AX1362" s="553"/>
      <c r="AY1362" s="350"/>
      <c r="AZ1362" s="351"/>
      <c r="BA1362" s="545"/>
      <c r="BB1362" s="351"/>
      <c r="BC1362" s="36"/>
      <c r="BD1362" s="556" t="s">
        <v>325</v>
      </c>
      <c r="BE1362" s="351"/>
      <c r="BF1362" s="529"/>
      <c r="BG1362" s="350"/>
      <c r="BH1362" s="350"/>
      <c r="BI1362" s="351"/>
      <c r="BJ1362" s="506" t="s">
        <v>294</v>
      </c>
      <c r="BK1362" s="350"/>
      <c r="BL1362" s="350"/>
      <c r="BM1362" s="351"/>
      <c r="BN1362" s="530" t="s">
        <v>294</v>
      </c>
      <c r="BO1362" s="350"/>
      <c r="BP1362" s="350"/>
      <c r="BQ1362" s="350"/>
      <c r="BR1362" s="350"/>
      <c r="BS1362" s="350"/>
      <c r="BT1362" s="350"/>
      <c r="BU1362" s="350"/>
      <c r="BV1362" s="351"/>
    </row>
    <row r="1363" spans="1:74" ht="45" customHeight="1">
      <c r="A1363" s="24">
        <f t="shared" si="5"/>
        <v>1349</v>
      </c>
      <c r="B1363" s="522" t="s">
        <v>294</v>
      </c>
      <c r="C1363" s="351"/>
      <c r="D1363" s="523" t="s">
        <v>298</v>
      </c>
      <c r="E1363" s="351"/>
      <c r="F1363" s="524" t="s">
        <v>325</v>
      </c>
      <c r="G1363" s="351"/>
      <c r="H1363" s="561" t="s">
        <v>325</v>
      </c>
      <c r="I1363" s="351"/>
      <c r="J1363" s="562"/>
      <c r="K1363" s="351"/>
      <c r="L1363" s="562"/>
      <c r="M1363" s="351"/>
      <c r="N1363" s="37"/>
      <c r="O1363" s="38"/>
      <c r="P1363" s="560"/>
      <c r="Q1363" s="351"/>
      <c r="R1363" s="527"/>
      <c r="S1363" s="351"/>
      <c r="T1363" s="528"/>
      <c r="U1363" s="351"/>
      <c r="V1363" s="541"/>
      <c r="W1363" s="351"/>
      <c r="X1363" s="542" t="s">
        <v>294</v>
      </c>
      <c r="Y1363" s="350"/>
      <c r="Z1363" s="350"/>
      <c r="AA1363" s="351"/>
      <c r="AB1363" s="543" t="s">
        <v>294</v>
      </c>
      <c r="AC1363" s="350"/>
      <c r="AD1363" s="350"/>
      <c r="AE1363" s="351"/>
      <c r="AF1363" s="544"/>
      <c r="AG1363" s="351"/>
      <c r="AH1363" s="544"/>
      <c r="AI1363" s="351"/>
      <c r="AJ1363" s="545"/>
      <c r="AK1363" s="351"/>
      <c r="AL1363" s="524" t="s">
        <v>325</v>
      </c>
      <c r="AM1363" s="351"/>
      <c r="AN1363" s="549" t="s">
        <v>325</v>
      </c>
      <c r="AO1363" s="351"/>
      <c r="AP1363" s="550"/>
      <c r="AQ1363" s="351"/>
      <c r="AR1363" s="551"/>
      <c r="AS1363" s="351"/>
      <c r="AT1363" s="552"/>
      <c r="AU1363" s="351"/>
      <c r="AV1363" s="549" t="s">
        <v>325</v>
      </c>
      <c r="AW1363" s="351"/>
      <c r="AX1363" s="553"/>
      <c r="AY1363" s="350"/>
      <c r="AZ1363" s="351"/>
      <c r="BA1363" s="554"/>
      <c r="BB1363" s="351"/>
      <c r="BC1363" s="39"/>
      <c r="BD1363" s="546" t="s">
        <v>325</v>
      </c>
      <c r="BE1363" s="351"/>
      <c r="BF1363" s="547"/>
      <c r="BG1363" s="350"/>
      <c r="BH1363" s="350"/>
      <c r="BI1363" s="351"/>
      <c r="BJ1363" s="548" t="s">
        <v>294</v>
      </c>
      <c r="BK1363" s="350"/>
      <c r="BL1363" s="350"/>
      <c r="BM1363" s="351"/>
      <c r="BN1363" s="530" t="s">
        <v>294</v>
      </c>
      <c r="BO1363" s="350"/>
      <c r="BP1363" s="350"/>
      <c r="BQ1363" s="350"/>
      <c r="BR1363" s="350"/>
      <c r="BS1363" s="350"/>
      <c r="BT1363" s="350"/>
      <c r="BU1363" s="350"/>
      <c r="BV1363" s="351"/>
    </row>
    <row r="1364" spans="1:74" ht="45" customHeight="1">
      <c r="A1364" s="24">
        <f t="shared" si="5"/>
        <v>1350</v>
      </c>
      <c r="B1364" s="558" t="s">
        <v>294</v>
      </c>
      <c r="C1364" s="351"/>
      <c r="D1364" s="559" t="s">
        <v>298</v>
      </c>
      <c r="E1364" s="351"/>
      <c r="F1364" s="524" t="s">
        <v>325</v>
      </c>
      <c r="G1364" s="351"/>
      <c r="H1364" s="525" t="s">
        <v>325</v>
      </c>
      <c r="I1364" s="351"/>
      <c r="J1364" s="563"/>
      <c r="K1364" s="351"/>
      <c r="L1364" s="563"/>
      <c r="M1364" s="351"/>
      <c r="N1364" s="34"/>
      <c r="O1364" s="35"/>
      <c r="P1364" s="526"/>
      <c r="Q1364" s="351"/>
      <c r="R1364" s="535"/>
      <c r="S1364" s="351"/>
      <c r="T1364" s="536"/>
      <c r="U1364" s="351"/>
      <c r="V1364" s="537"/>
      <c r="W1364" s="351"/>
      <c r="X1364" s="538" t="s">
        <v>294</v>
      </c>
      <c r="Y1364" s="350"/>
      <c r="Z1364" s="350"/>
      <c r="AA1364" s="351"/>
      <c r="AB1364" s="539" t="s">
        <v>294</v>
      </c>
      <c r="AC1364" s="350"/>
      <c r="AD1364" s="350"/>
      <c r="AE1364" s="351"/>
      <c r="AF1364" s="540"/>
      <c r="AG1364" s="351"/>
      <c r="AH1364" s="540"/>
      <c r="AI1364" s="351"/>
      <c r="AJ1364" s="545"/>
      <c r="AK1364" s="351"/>
      <c r="AL1364" s="555" t="s">
        <v>325</v>
      </c>
      <c r="AM1364" s="351"/>
      <c r="AN1364" s="531" t="s">
        <v>325</v>
      </c>
      <c r="AO1364" s="351"/>
      <c r="AP1364" s="532"/>
      <c r="AQ1364" s="351"/>
      <c r="AR1364" s="533"/>
      <c r="AS1364" s="351"/>
      <c r="AT1364" s="534"/>
      <c r="AU1364" s="351"/>
      <c r="AV1364" s="531" t="s">
        <v>325</v>
      </c>
      <c r="AW1364" s="351"/>
      <c r="AX1364" s="553"/>
      <c r="AY1364" s="350"/>
      <c r="AZ1364" s="351"/>
      <c r="BA1364" s="545"/>
      <c r="BB1364" s="351"/>
      <c r="BC1364" s="36"/>
      <c r="BD1364" s="556" t="s">
        <v>325</v>
      </c>
      <c r="BE1364" s="351"/>
      <c r="BF1364" s="557"/>
      <c r="BG1364" s="350"/>
      <c r="BH1364" s="350"/>
      <c r="BI1364" s="351"/>
      <c r="BJ1364" s="506" t="s">
        <v>294</v>
      </c>
      <c r="BK1364" s="350"/>
      <c r="BL1364" s="350"/>
      <c r="BM1364" s="351"/>
      <c r="BN1364" s="530" t="s">
        <v>294</v>
      </c>
      <c r="BO1364" s="350"/>
      <c r="BP1364" s="350"/>
      <c r="BQ1364" s="350"/>
      <c r="BR1364" s="350"/>
      <c r="BS1364" s="350"/>
      <c r="BT1364" s="350"/>
      <c r="BU1364" s="350"/>
      <c r="BV1364" s="351"/>
    </row>
    <row r="1365" spans="1:74" ht="45" customHeight="1">
      <c r="A1365" s="24">
        <f t="shared" si="5"/>
        <v>1351</v>
      </c>
      <c r="B1365" s="522" t="s">
        <v>294</v>
      </c>
      <c r="C1365" s="351"/>
      <c r="D1365" s="523" t="s">
        <v>298</v>
      </c>
      <c r="E1365" s="351"/>
      <c r="F1365" s="524" t="s">
        <v>325</v>
      </c>
      <c r="G1365" s="351"/>
      <c r="H1365" s="561" t="s">
        <v>325</v>
      </c>
      <c r="I1365" s="351"/>
      <c r="J1365" s="562"/>
      <c r="K1365" s="351"/>
      <c r="L1365" s="562"/>
      <c r="M1365" s="351"/>
      <c r="N1365" s="34"/>
      <c r="O1365" s="35"/>
      <c r="P1365" s="526"/>
      <c r="Q1365" s="351"/>
      <c r="R1365" s="527"/>
      <c r="S1365" s="351"/>
      <c r="T1365" s="528"/>
      <c r="U1365" s="351"/>
      <c r="V1365" s="541"/>
      <c r="W1365" s="351"/>
      <c r="X1365" s="542" t="s">
        <v>294</v>
      </c>
      <c r="Y1365" s="350"/>
      <c r="Z1365" s="350"/>
      <c r="AA1365" s="351"/>
      <c r="AB1365" s="543" t="s">
        <v>294</v>
      </c>
      <c r="AC1365" s="350"/>
      <c r="AD1365" s="350"/>
      <c r="AE1365" s="351"/>
      <c r="AF1365" s="544"/>
      <c r="AG1365" s="351"/>
      <c r="AH1365" s="544"/>
      <c r="AI1365" s="351"/>
      <c r="AJ1365" s="545"/>
      <c r="AK1365" s="351"/>
      <c r="AL1365" s="524" t="s">
        <v>325</v>
      </c>
      <c r="AM1365" s="351"/>
      <c r="AN1365" s="549" t="s">
        <v>325</v>
      </c>
      <c r="AO1365" s="351"/>
      <c r="AP1365" s="550"/>
      <c r="AQ1365" s="351"/>
      <c r="AR1365" s="551"/>
      <c r="AS1365" s="351"/>
      <c r="AT1365" s="534"/>
      <c r="AU1365" s="351"/>
      <c r="AV1365" s="549" t="s">
        <v>325</v>
      </c>
      <c r="AW1365" s="351"/>
      <c r="AX1365" s="553"/>
      <c r="AY1365" s="350"/>
      <c r="AZ1365" s="351"/>
      <c r="BA1365" s="554"/>
      <c r="BB1365" s="351"/>
      <c r="BC1365" s="39"/>
      <c r="BD1365" s="546" t="s">
        <v>325</v>
      </c>
      <c r="BE1365" s="351"/>
      <c r="BF1365" s="547"/>
      <c r="BG1365" s="350"/>
      <c r="BH1365" s="350"/>
      <c r="BI1365" s="351"/>
      <c r="BJ1365" s="548" t="s">
        <v>294</v>
      </c>
      <c r="BK1365" s="350"/>
      <c r="BL1365" s="350"/>
      <c r="BM1365" s="351"/>
      <c r="BN1365" s="530" t="s">
        <v>294</v>
      </c>
      <c r="BO1365" s="350"/>
      <c r="BP1365" s="350"/>
      <c r="BQ1365" s="350"/>
      <c r="BR1365" s="350"/>
      <c r="BS1365" s="350"/>
      <c r="BT1365" s="350"/>
      <c r="BU1365" s="350"/>
      <c r="BV1365" s="351"/>
    </row>
    <row r="1366" spans="1:74" ht="45" customHeight="1">
      <c r="A1366" s="24">
        <f t="shared" si="5"/>
        <v>1352</v>
      </c>
      <c r="B1366" s="558" t="s">
        <v>294</v>
      </c>
      <c r="C1366" s="351"/>
      <c r="D1366" s="559" t="s">
        <v>298</v>
      </c>
      <c r="E1366" s="351"/>
      <c r="F1366" s="524" t="s">
        <v>325</v>
      </c>
      <c r="G1366" s="351"/>
      <c r="H1366" s="525" t="s">
        <v>325</v>
      </c>
      <c r="I1366" s="351"/>
      <c r="J1366" s="563"/>
      <c r="K1366" s="351"/>
      <c r="L1366" s="563"/>
      <c r="M1366" s="351"/>
      <c r="N1366" s="37"/>
      <c r="O1366" s="38"/>
      <c r="P1366" s="560"/>
      <c r="Q1366" s="351"/>
      <c r="R1366" s="535"/>
      <c r="S1366" s="351"/>
      <c r="T1366" s="536"/>
      <c r="U1366" s="351"/>
      <c r="V1366" s="537"/>
      <c r="W1366" s="351"/>
      <c r="X1366" s="538" t="s">
        <v>294</v>
      </c>
      <c r="Y1366" s="350"/>
      <c r="Z1366" s="350"/>
      <c r="AA1366" s="351"/>
      <c r="AB1366" s="539" t="s">
        <v>294</v>
      </c>
      <c r="AC1366" s="350"/>
      <c r="AD1366" s="350"/>
      <c r="AE1366" s="351"/>
      <c r="AF1366" s="540"/>
      <c r="AG1366" s="351"/>
      <c r="AH1366" s="540"/>
      <c r="AI1366" s="351"/>
      <c r="AJ1366" s="545"/>
      <c r="AK1366" s="351"/>
      <c r="AL1366" s="555" t="s">
        <v>325</v>
      </c>
      <c r="AM1366" s="351"/>
      <c r="AN1366" s="531" t="s">
        <v>325</v>
      </c>
      <c r="AO1366" s="351"/>
      <c r="AP1366" s="532"/>
      <c r="AQ1366" s="351"/>
      <c r="AR1366" s="533"/>
      <c r="AS1366" s="351"/>
      <c r="AT1366" s="534"/>
      <c r="AU1366" s="351"/>
      <c r="AV1366" s="531" t="s">
        <v>325</v>
      </c>
      <c r="AW1366" s="351"/>
      <c r="AX1366" s="553"/>
      <c r="AY1366" s="350"/>
      <c r="AZ1366" s="351"/>
      <c r="BA1366" s="545"/>
      <c r="BB1366" s="351"/>
      <c r="BC1366" s="36"/>
      <c r="BD1366" s="556" t="s">
        <v>325</v>
      </c>
      <c r="BE1366" s="351"/>
      <c r="BF1366" s="557"/>
      <c r="BG1366" s="350"/>
      <c r="BH1366" s="350"/>
      <c r="BI1366" s="351"/>
      <c r="BJ1366" s="506" t="s">
        <v>294</v>
      </c>
      <c r="BK1366" s="350"/>
      <c r="BL1366" s="350"/>
      <c r="BM1366" s="351"/>
      <c r="BN1366" s="530" t="s">
        <v>294</v>
      </c>
      <c r="BO1366" s="350"/>
      <c r="BP1366" s="350"/>
      <c r="BQ1366" s="350"/>
      <c r="BR1366" s="350"/>
      <c r="BS1366" s="350"/>
      <c r="BT1366" s="350"/>
      <c r="BU1366" s="350"/>
      <c r="BV1366" s="351"/>
    </row>
    <row r="1367" spans="1:74" ht="45" customHeight="1">
      <c r="A1367" s="24">
        <f t="shared" si="5"/>
        <v>1353</v>
      </c>
      <c r="B1367" s="522" t="s">
        <v>294</v>
      </c>
      <c r="C1367" s="351"/>
      <c r="D1367" s="523" t="s">
        <v>298</v>
      </c>
      <c r="E1367" s="351"/>
      <c r="F1367" s="524" t="s">
        <v>325</v>
      </c>
      <c r="G1367" s="351"/>
      <c r="H1367" s="561" t="s">
        <v>325</v>
      </c>
      <c r="I1367" s="351"/>
      <c r="J1367" s="562"/>
      <c r="K1367" s="351"/>
      <c r="L1367" s="562"/>
      <c r="M1367" s="351"/>
      <c r="N1367" s="34"/>
      <c r="O1367" s="35"/>
      <c r="P1367" s="526"/>
      <c r="Q1367" s="351"/>
      <c r="R1367" s="527"/>
      <c r="S1367" s="351"/>
      <c r="T1367" s="528"/>
      <c r="U1367" s="351"/>
      <c r="V1367" s="541"/>
      <c r="W1367" s="351"/>
      <c r="X1367" s="542" t="s">
        <v>294</v>
      </c>
      <c r="Y1367" s="350"/>
      <c r="Z1367" s="350"/>
      <c r="AA1367" s="351"/>
      <c r="AB1367" s="543" t="s">
        <v>294</v>
      </c>
      <c r="AC1367" s="350"/>
      <c r="AD1367" s="350"/>
      <c r="AE1367" s="351"/>
      <c r="AF1367" s="544"/>
      <c r="AG1367" s="351"/>
      <c r="AH1367" s="544"/>
      <c r="AI1367" s="351"/>
      <c r="AJ1367" s="545"/>
      <c r="AK1367" s="351"/>
      <c r="AL1367" s="524" t="s">
        <v>325</v>
      </c>
      <c r="AM1367" s="351"/>
      <c r="AN1367" s="549" t="s">
        <v>325</v>
      </c>
      <c r="AO1367" s="351"/>
      <c r="AP1367" s="550"/>
      <c r="AQ1367" s="351"/>
      <c r="AR1367" s="551"/>
      <c r="AS1367" s="351"/>
      <c r="AT1367" s="534"/>
      <c r="AU1367" s="351"/>
      <c r="AV1367" s="549" t="s">
        <v>325</v>
      </c>
      <c r="AW1367" s="351"/>
      <c r="AX1367" s="553"/>
      <c r="AY1367" s="350"/>
      <c r="AZ1367" s="351"/>
      <c r="BA1367" s="554"/>
      <c r="BB1367" s="351"/>
      <c r="BC1367" s="39"/>
      <c r="BD1367" s="546" t="s">
        <v>325</v>
      </c>
      <c r="BE1367" s="351"/>
      <c r="BF1367" s="547"/>
      <c r="BG1367" s="350"/>
      <c r="BH1367" s="350"/>
      <c r="BI1367" s="351"/>
      <c r="BJ1367" s="548" t="s">
        <v>294</v>
      </c>
      <c r="BK1367" s="350"/>
      <c r="BL1367" s="350"/>
      <c r="BM1367" s="351"/>
      <c r="BN1367" s="530" t="s">
        <v>294</v>
      </c>
      <c r="BO1367" s="350"/>
      <c r="BP1367" s="350"/>
      <c r="BQ1367" s="350"/>
      <c r="BR1367" s="350"/>
      <c r="BS1367" s="350"/>
      <c r="BT1367" s="350"/>
      <c r="BU1367" s="350"/>
      <c r="BV1367" s="351"/>
    </row>
    <row r="1368" spans="1:74" ht="45" customHeight="1">
      <c r="A1368" s="24">
        <f t="shared" si="5"/>
        <v>1354</v>
      </c>
      <c r="B1368" s="558" t="s">
        <v>294</v>
      </c>
      <c r="C1368" s="351"/>
      <c r="D1368" s="559" t="s">
        <v>298</v>
      </c>
      <c r="E1368" s="351"/>
      <c r="F1368" s="524" t="s">
        <v>325</v>
      </c>
      <c r="G1368" s="351"/>
      <c r="H1368" s="525" t="s">
        <v>325</v>
      </c>
      <c r="I1368" s="351"/>
      <c r="J1368" s="563"/>
      <c r="K1368" s="351"/>
      <c r="L1368" s="563"/>
      <c r="M1368" s="351"/>
      <c r="N1368" s="37"/>
      <c r="O1368" s="38"/>
      <c r="P1368" s="560"/>
      <c r="Q1368" s="351"/>
      <c r="R1368" s="535"/>
      <c r="S1368" s="351"/>
      <c r="T1368" s="536"/>
      <c r="U1368" s="351"/>
      <c r="V1368" s="537"/>
      <c r="W1368" s="351"/>
      <c r="X1368" s="538" t="s">
        <v>294</v>
      </c>
      <c r="Y1368" s="350"/>
      <c r="Z1368" s="350"/>
      <c r="AA1368" s="351"/>
      <c r="AB1368" s="539" t="s">
        <v>294</v>
      </c>
      <c r="AC1368" s="350"/>
      <c r="AD1368" s="350"/>
      <c r="AE1368" s="351"/>
      <c r="AF1368" s="540"/>
      <c r="AG1368" s="351"/>
      <c r="AH1368" s="540"/>
      <c r="AI1368" s="351"/>
      <c r="AJ1368" s="545"/>
      <c r="AK1368" s="351"/>
      <c r="AL1368" s="555" t="s">
        <v>325</v>
      </c>
      <c r="AM1368" s="351"/>
      <c r="AN1368" s="531" t="s">
        <v>325</v>
      </c>
      <c r="AO1368" s="351"/>
      <c r="AP1368" s="532"/>
      <c r="AQ1368" s="351"/>
      <c r="AR1368" s="533"/>
      <c r="AS1368" s="351"/>
      <c r="AT1368" s="534"/>
      <c r="AU1368" s="351"/>
      <c r="AV1368" s="531" t="s">
        <v>325</v>
      </c>
      <c r="AW1368" s="351"/>
      <c r="AX1368" s="553"/>
      <c r="AY1368" s="350"/>
      <c r="AZ1368" s="351"/>
      <c r="BA1368" s="545"/>
      <c r="BB1368" s="351"/>
      <c r="BC1368" s="36"/>
      <c r="BD1368" s="556" t="s">
        <v>325</v>
      </c>
      <c r="BE1368" s="351"/>
      <c r="BF1368" s="557"/>
      <c r="BG1368" s="350"/>
      <c r="BH1368" s="350"/>
      <c r="BI1368" s="351"/>
      <c r="BJ1368" s="506" t="s">
        <v>294</v>
      </c>
      <c r="BK1368" s="350"/>
      <c r="BL1368" s="350"/>
      <c r="BM1368" s="351"/>
      <c r="BN1368" s="530" t="s">
        <v>294</v>
      </c>
      <c r="BO1368" s="350"/>
      <c r="BP1368" s="350"/>
      <c r="BQ1368" s="350"/>
      <c r="BR1368" s="350"/>
      <c r="BS1368" s="350"/>
      <c r="BT1368" s="350"/>
      <c r="BU1368" s="350"/>
      <c r="BV1368" s="351"/>
    </row>
    <row r="1369" spans="1:74" ht="45" customHeight="1">
      <c r="A1369" s="24">
        <f t="shared" si="5"/>
        <v>1355</v>
      </c>
      <c r="B1369" s="522" t="s">
        <v>294</v>
      </c>
      <c r="C1369" s="351"/>
      <c r="D1369" s="523" t="s">
        <v>298</v>
      </c>
      <c r="E1369" s="351"/>
      <c r="F1369" s="524" t="s">
        <v>325</v>
      </c>
      <c r="G1369" s="351"/>
      <c r="H1369" s="561" t="s">
        <v>325</v>
      </c>
      <c r="I1369" s="351"/>
      <c r="J1369" s="562"/>
      <c r="K1369" s="351"/>
      <c r="L1369" s="562"/>
      <c r="M1369" s="351"/>
      <c r="N1369" s="34"/>
      <c r="O1369" s="38"/>
      <c r="P1369" s="526"/>
      <c r="Q1369" s="351"/>
      <c r="R1369" s="527"/>
      <c r="S1369" s="351"/>
      <c r="T1369" s="528"/>
      <c r="U1369" s="351"/>
      <c r="V1369" s="541"/>
      <c r="W1369" s="351"/>
      <c r="X1369" s="542" t="s">
        <v>294</v>
      </c>
      <c r="Y1369" s="350"/>
      <c r="Z1369" s="350"/>
      <c r="AA1369" s="351"/>
      <c r="AB1369" s="543" t="s">
        <v>294</v>
      </c>
      <c r="AC1369" s="350"/>
      <c r="AD1369" s="350"/>
      <c r="AE1369" s="351"/>
      <c r="AF1369" s="544"/>
      <c r="AG1369" s="351"/>
      <c r="AH1369" s="544"/>
      <c r="AI1369" s="351"/>
      <c r="AJ1369" s="545"/>
      <c r="AK1369" s="351"/>
      <c r="AL1369" s="524" t="s">
        <v>325</v>
      </c>
      <c r="AM1369" s="351"/>
      <c r="AN1369" s="549" t="s">
        <v>325</v>
      </c>
      <c r="AO1369" s="351"/>
      <c r="AP1369" s="550"/>
      <c r="AQ1369" s="351"/>
      <c r="AR1369" s="551"/>
      <c r="AS1369" s="351"/>
      <c r="AT1369" s="552"/>
      <c r="AU1369" s="351"/>
      <c r="AV1369" s="549" t="s">
        <v>325</v>
      </c>
      <c r="AW1369" s="351"/>
      <c r="AX1369" s="553"/>
      <c r="AY1369" s="350"/>
      <c r="AZ1369" s="351"/>
      <c r="BA1369" s="554"/>
      <c r="BB1369" s="351"/>
      <c r="BC1369" s="39"/>
      <c r="BD1369" s="546" t="s">
        <v>325</v>
      </c>
      <c r="BE1369" s="351"/>
      <c r="BF1369" s="547"/>
      <c r="BG1369" s="350"/>
      <c r="BH1369" s="350"/>
      <c r="BI1369" s="351"/>
      <c r="BJ1369" s="548" t="s">
        <v>294</v>
      </c>
      <c r="BK1369" s="350"/>
      <c r="BL1369" s="350"/>
      <c r="BM1369" s="351"/>
      <c r="BN1369" s="530" t="s">
        <v>294</v>
      </c>
      <c r="BO1369" s="350"/>
      <c r="BP1369" s="350"/>
      <c r="BQ1369" s="350"/>
      <c r="BR1369" s="350"/>
      <c r="BS1369" s="350"/>
      <c r="BT1369" s="350"/>
      <c r="BU1369" s="350"/>
      <c r="BV1369" s="351"/>
    </row>
    <row r="1370" spans="1:74" ht="45" customHeight="1">
      <c r="A1370" s="24">
        <f t="shared" si="5"/>
        <v>1356</v>
      </c>
      <c r="B1370" s="558" t="s">
        <v>294</v>
      </c>
      <c r="C1370" s="351"/>
      <c r="D1370" s="559" t="s">
        <v>298</v>
      </c>
      <c r="E1370" s="351"/>
      <c r="F1370" s="524" t="s">
        <v>325</v>
      </c>
      <c r="G1370" s="351"/>
      <c r="H1370" s="525" t="s">
        <v>325</v>
      </c>
      <c r="I1370" s="351"/>
      <c r="J1370" s="563"/>
      <c r="K1370" s="351"/>
      <c r="L1370" s="563"/>
      <c r="M1370" s="351"/>
      <c r="N1370" s="37"/>
      <c r="O1370" s="35"/>
      <c r="P1370" s="560"/>
      <c r="Q1370" s="351"/>
      <c r="R1370" s="535"/>
      <c r="S1370" s="351"/>
      <c r="T1370" s="536"/>
      <c r="U1370" s="351"/>
      <c r="V1370" s="537"/>
      <c r="W1370" s="351"/>
      <c r="X1370" s="538" t="s">
        <v>294</v>
      </c>
      <c r="Y1370" s="350"/>
      <c r="Z1370" s="350"/>
      <c r="AA1370" s="351"/>
      <c r="AB1370" s="539" t="s">
        <v>294</v>
      </c>
      <c r="AC1370" s="350"/>
      <c r="AD1370" s="350"/>
      <c r="AE1370" s="351"/>
      <c r="AF1370" s="540"/>
      <c r="AG1370" s="351"/>
      <c r="AH1370" s="540"/>
      <c r="AI1370" s="351"/>
      <c r="AJ1370" s="545"/>
      <c r="AK1370" s="351"/>
      <c r="AL1370" s="555" t="s">
        <v>325</v>
      </c>
      <c r="AM1370" s="351"/>
      <c r="AN1370" s="531" t="s">
        <v>325</v>
      </c>
      <c r="AO1370" s="351"/>
      <c r="AP1370" s="532"/>
      <c r="AQ1370" s="351"/>
      <c r="AR1370" s="533"/>
      <c r="AS1370" s="351"/>
      <c r="AT1370" s="534"/>
      <c r="AU1370" s="351"/>
      <c r="AV1370" s="531" t="s">
        <v>325</v>
      </c>
      <c r="AW1370" s="351"/>
      <c r="AX1370" s="553"/>
      <c r="AY1370" s="350"/>
      <c r="AZ1370" s="351"/>
      <c r="BA1370" s="545"/>
      <c r="BB1370" s="351"/>
      <c r="BC1370" s="36"/>
      <c r="BD1370" s="556" t="s">
        <v>325</v>
      </c>
      <c r="BE1370" s="351"/>
      <c r="BF1370" s="529"/>
      <c r="BG1370" s="350"/>
      <c r="BH1370" s="350"/>
      <c r="BI1370" s="351"/>
      <c r="BJ1370" s="506" t="s">
        <v>294</v>
      </c>
      <c r="BK1370" s="350"/>
      <c r="BL1370" s="350"/>
      <c r="BM1370" s="351"/>
      <c r="BN1370" s="530" t="s">
        <v>294</v>
      </c>
      <c r="BO1370" s="350"/>
      <c r="BP1370" s="350"/>
      <c r="BQ1370" s="350"/>
      <c r="BR1370" s="350"/>
      <c r="BS1370" s="350"/>
      <c r="BT1370" s="350"/>
      <c r="BU1370" s="350"/>
      <c r="BV1370" s="351"/>
    </row>
    <row r="1371" spans="1:74" ht="45" customHeight="1">
      <c r="A1371" s="24">
        <f t="shared" si="5"/>
        <v>1357</v>
      </c>
      <c r="B1371" s="522" t="s">
        <v>294</v>
      </c>
      <c r="C1371" s="351"/>
      <c r="D1371" s="523" t="s">
        <v>298</v>
      </c>
      <c r="E1371" s="351"/>
      <c r="F1371" s="524" t="s">
        <v>325</v>
      </c>
      <c r="G1371" s="351"/>
      <c r="H1371" s="561" t="s">
        <v>325</v>
      </c>
      <c r="I1371" s="351"/>
      <c r="J1371" s="562"/>
      <c r="K1371" s="351"/>
      <c r="L1371" s="562"/>
      <c r="M1371" s="351"/>
      <c r="N1371" s="34"/>
      <c r="O1371" s="38"/>
      <c r="P1371" s="526"/>
      <c r="Q1371" s="351"/>
      <c r="R1371" s="527"/>
      <c r="S1371" s="351"/>
      <c r="T1371" s="528"/>
      <c r="U1371" s="351"/>
      <c r="V1371" s="541"/>
      <c r="W1371" s="351"/>
      <c r="X1371" s="542" t="s">
        <v>294</v>
      </c>
      <c r="Y1371" s="350"/>
      <c r="Z1371" s="350"/>
      <c r="AA1371" s="351"/>
      <c r="AB1371" s="543" t="s">
        <v>294</v>
      </c>
      <c r="AC1371" s="350"/>
      <c r="AD1371" s="350"/>
      <c r="AE1371" s="351"/>
      <c r="AF1371" s="544"/>
      <c r="AG1371" s="351"/>
      <c r="AH1371" s="544"/>
      <c r="AI1371" s="351"/>
      <c r="AJ1371" s="545"/>
      <c r="AK1371" s="351"/>
      <c r="AL1371" s="524" t="s">
        <v>325</v>
      </c>
      <c r="AM1371" s="351"/>
      <c r="AN1371" s="549" t="s">
        <v>325</v>
      </c>
      <c r="AO1371" s="351"/>
      <c r="AP1371" s="550"/>
      <c r="AQ1371" s="351"/>
      <c r="AR1371" s="551"/>
      <c r="AS1371" s="351"/>
      <c r="AT1371" s="552"/>
      <c r="AU1371" s="351"/>
      <c r="AV1371" s="549" t="s">
        <v>325</v>
      </c>
      <c r="AW1371" s="351"/>
      <c r="AX1371" s="553"/>
      <c r="AY1371" s="350"/>
      <c r="AZ1371" s="351"/>
      <c r="BA1371" s="554"/>
      <c r="BB1371" s="351"/>
      <c r="BC1371" s="39"/>
      <c r="BD1371" s="546" t="s">
        <v>325</v>
      </c>
      <c r="BE1371" s="351"/>
      <c r="BF1371" s="547"/>
      <c r="BG1371" s="350"/>
      <c r="BH1371" s="350"/>
      <c r="BI1371" s="351"/>
      <c r="BJ1371" s="548" t="s">
        <v>294</v>
      </c>
      <c r="BK1371" s="350"/>
      <c r="BL1371" s="350"/>
      <c r="BM1371" s="351"/>
      <c r="BN1371" s="530" t="s">
        <v>294</v>
      </c>
      <c r="BO1371" s="350"/>
      <c r="BP1371" s="350"/>
      <c r="BQ1371" s="350"/>
      <c r="BR1371" s="350"/>
      <c r="BS1371" s="350"/>
      <c r="BT1371" s="350"/>
      <c r="BU1371" s="350"/>
      <c r="BV1371" s="351"/>
    </row>
    <row r="1372" spans="1:74" ht="45" customHeight="1">
      <c r="A1372" s="24">
        <f t="shared" si="5"/>
        <v>1358</v>
      </c>
      <c r="B1372" s="558" t="s">
        <v>294</v>
      </c>
      <c r="C1372" s="351"/>
      <c r="D1372" s="559" t="s">
        <v>298</v>
      </c>
      <c r="E1372" s="351"/>
      <c r="F1372" s="524" t="s">
        <v>325</v>
      </c>
      <c r="G1372" s="351"/>
      <c r="H1372" s="525" t="s">
        <v>325</v>
      </c>
      <c r="I1372" s="351"/>
      <c r="J1372" s="563"/>
      <c r="K1372" s="351"/>
      <c r="L1372" s="563"/>
      <c r="M1372" s="351"/>
      <c r="N1372" s="37"/>
      <c r="O1372" s="35"/>
      <c r="P1372" s="560"/>
      <c r="Q1372" s="351"/>
      <c r="R1372" s="535"/>
      <c r="S1372" s="351"/>
      <c r="T1372" s="536"/>
      <c r="U1372" s="351"/>
      <c r="V1372" s="537"/>
      <c r="W1372" s="351"/>
      <c r="X1372" s="538" t="s">
        <v>294</v>
      </c>
      <c r="Y1372" s="350"/>
      <c r="Z1372" s="350"/>
      <c r="AA1372" s="351"/>
      <c r="AB1372" s="539" t="s">
        <v>294</v>
      </c>
      <c r="AC1372" s="350"/>
      <c r="AD1372" s="350"/>
      <c r="AE1372" s="351"/>
      <c r="AF1372" s="540"/>
      <c r="AG1372" s="351"/>
      <c r="AH1372" s="540"/>
      <c r="AI1372" s="351"/>
      <c r="AJ1372" s="545"/>
      <c r="AK1372" s="351"/>
      <c r="AL1372" s="555" t="s">
        <v>325</v>
      </c>
      <c r="AM1372" s="351"/>
      <c r="AN1372" s="531" t="s">
        <v>325</v>
      </c>
      <c r="AO1372" s="351"/>
      <c r="AP1372" s="532"/>
      <c r="AQ1372" s="351"/>
      <c r="AR1372" s="533"/>
      <c r="AS1372" s="351"/>
      <c r="AT1372" s="534"/>
      <c r="AU1372" s="351"/>
      <c r="AV1372" s="531" t="s">
        <v>325</v>
      </c>
      <c r="AW1372" s="351"/>
      <c r="AX1372" s="553"/>
      <c r="AY1372" s="350"/>
      <c r="AZ1372" s="351"/>
      <c r="BA1372" s="545"/>
      <c r="BB1372" s="351"/>
      <c r="BC1372" s="36"/>
      <c r="BD1372" s="556" t="s">
        <v>325</v>
      </c>
      <c r="BE1372" s="351"/>
      <c r="BF1372" s="557"/>
      <c r="BG1372" s="350"/>
      <c r="BH1372" s="350"/>
      <c r="BI1372" s="351"/>
      <c r="BJ1372" s="506" t="s">
        <v>294</v>
      </c>
      <c r="BK1372" s="350"/>
      <c r="BL1372" s="350"/>
      <c r="BM1372" s="351"/>
      <c r="BN1372" s="530" t="s">
        <v>294</v>
      </c>
      <c r="BO1372" s="350"/>
      <c r="BP1372" s="350"/>
      <c r="BQ1372" s="350"/>
      <c r="BR1372" s="350"/>
      <c r="BS1372" s="350"/>
      <c r="BT1372" s="350"/>
      <c r="BU1372" s="350"/>
      <c r="BV1372" s="351"/>
    </row>
    <row r="1373" spans="1:74" ht="45" customHeight="1">
      <c r="A1373" s="24">
        <f t="shared" si="5"/>
        <v>1359</v>
      </c>
      <c r="B1373" s="522" t="s">
        <v>294</v>
      </c>
      <c r="C1373" s="351"/>
      <c r="D1373" s="523" t="s">
        <v>298</v>
      </c>
      <c r="E1373" s="351"/>
      <c r="F1373" s="524" t="s">
        <v>325</v>
      </c>
      <c r="G1373" s="351"/>
      <c r="H1373" s="561" t="s">
        <v>325</v>
      </c>
      <c r="I1373" s="351"/>
      <c r="J1373" s="562"/>
      <c r="K1373" s="351"/>
      <c r="L1373" s="562"/>
      <c r="M1373" s="351"/>
      <c r="N1373" s="34"/>
      <c r="O1373" s="38"/>
      <c r="P1373" s="526"/>
      <c r="Q1373" s="351"/>
      <c r="R1373" s="527"/>
      <c r="S1373" s="351"/>
      <c r="T1373" s="528"/>
      <c r="U1373" s="351"/>
      <c r="V1373" s="541"/>
      <c r="W1373" s="351"/>
      <c r="X1373" s="542" t="s">
        <v>294</v>
      </c>
      <c r="Y1373" s="350"/>
      <c r="Z1373" s="350"/>
      <c r="AA1373" s="351"/>
      <c r="AB1373" s="543" t="s">
        <v>294</v>
      </c>
      <c r="AC1373" s="350"/>
      <c r="AD1373" s="350"/>
      <c r="AE1373" s="351"/>
      <c r="AF1373" s="544"/>
      <c r="AG1373" s="351"/>
      <c r="AH1373" s="544"/>
      <c r="AI1373" s="351"/>
      <c r="AJ1373" s="545"/>
      <c r="AK1373" s="351"/>
      <c r="AL1373" s="524" t="s">
        <v>325</v>
      </c>
      <c r="AM1373" s="351"/>
      <c r="AN1373" s="549" t="s">
        <v>325</v>
      </c>
      <c r="AO1373" s="351"/>
      <c r="AP1373" s="550"/>
      <c r="AQ1373" s="351"/>
      <c r="AR1373" s="551"/>
      <c r="AS1373" s="351"/>
      <c r="AT1373" s="552"/>
      <c r="AU1373" s="351"/>
      <c r="AV1373" s="549" t="s">
        <v>325</v>
      </c>
      <c r="AW1373" s="351"/>
      <c r="AX1373" s="553"/>
      <c r="AY1373" s="350"/>
      <c r="AZ1373" s="351"/>
      <c r="BA1373" s="554"/>
      <c r="BB1373" s="351"/>
      <c r="BC1373" s="39"/>
      <c r="BD1373" s="546" t="s">
        <v>325</v>
      </c>
      <c r="BE1373" s="351"/>
      <c r="BF1373" s="547"/>
      <c r="BG1373" s="350"/>
      <c r="BH1373" s="350"/>
      <c r="BI1373" s="351"/>
      <c r="BJ1373" s="548" t="s">
        <v>294</v>
      </c>
      <c r="BK1373" s="350"/>
      <c r="BL1373" s="350"/>
      <c r="BM1373" s="351"/>
      <c r="BN1373" s="530" t="s">
        <v>294</v>
      </c>
      <c r="BO1373" s="350"/>
      <c r="BP1373" s="350"/>
      <c r="BQ1373" s="350"/>
      <c r="BR1373" s="350"/>
      <c r="BS1373" s="350"/>
      <c r="BT1373" s="350"/>
      <c r="BU1373" s="350"/>
      <c r="BV1373" s="351"/>
    </row>
    <row r="1374" spans="1:74" ht="45" customHeight="1">
      <c r="A1374" s="24">
        <f t="shared" si="5"/>
        <v>1360</v>
      </c>
      <c r="B1374" s="558" t="s">
        <v>294</v>
      </c>
      <c r="C1374" s="351"/>
      <c r="D1374" s="559" t="s">
        <v>298</v>
      </c>
      <c r="E1374" s="351"/>
      <c r="F1374" s="524" t="s">
        <v>325</v>
      </c>
      <c r="G1374" s="351"/>
      <c r="H1374" s="525" t="s">
        <v>325</v>
      </c>
      <c r="I1374" s="351"/>
      <c r="J1374" s="563"/>
      <c r="K1374" s="351"/>
      <c r="L1374" s="563"/>
      <c r="M1374" s="351"/>
      <c r="N1374" s="37"/>
      <c r="O1374" s="35"/>
      <c r="P1374" s="560"/>
      <c r="Q1374" s="351"/>
      <c r="R1374" s="535"/>
      <c r="S1374" s="351"/>
      <c r="T1374" s="536"/>
      <c r="U1374" s="351"/>
      <c r="V1374" s="537"/>
      <c r="W1374" s="351"/>
      <c r="X1374" s="538" t="s">
        <v>294</v>
      </c>
      <c r="Y1374" s="350"/>
      <c r="Z1374" s="350"/>
      <c r="AA1374" s="351"/>
      <c r="AB1374" s="539" t="s">
        <v>294</v>
      </c>
      <c r="AC1374" s="350"/>
      <c r="AD1374" s="350"/>
      <c r="AE1374" s="351"/>
      <c r="AF1374" s="540"/>
      <c r="AG1374" s="351"/>
      <c r="AH1374" s="540"/>
      <c r="AI1374" s="351"/>
      <c r="AJ1374" s="545"/>
      <c r="AK1374" s="351"/>
      <c r="AL1374" s="555" t="s">
        <v>325</v>
      </c>
      <c r="AM1374" s="351"/>
      <c r="AN1374" s="531" t="s">
        <v>325</v>
      </c>
      <c r="AO1374" s="351"/>
      <c r="AP1374" s="532"/>
      <c r="AQ1374" s="351"/>
      <c r="AR1374" s="533"/>
      <c r="AS1374" s="351"/>
      <c r="AT1374" s="534"/>
      <c r="AU1374" s="351"/>
      <c r="AV1374" s="531" t="s">
        <v>325</v>
      </c>
      <c r="AW1374" s="351"/>
      <c r="AX1374" s="553"/>
      <c r="AY1374" s="350"/>
      <c r="AZ1374" s="351"/>
      <c r="BA1374" s="545"/>
      <c r="BB1374" s="351"/>
      <c r="BC1374" s="36"/>
      <c r="BD1374" s="556" t="s">
        <v>325</v>
      </c>
      <c r="BE1374" s="351"/>
      <c r="BF1374" s="557"/>
      <c r="BG1374" s="350"/>
      <c r="BH1374" s="350"/>
      <c r="BI1374" s="351"/>
      <c r="BJ1374" s="506" t="s">
        <v>294</v>
      </c>
      <c r="BK1374" s="350"/>
      <c r="BL1374" s="350"/>
      <c r="BM1374" s="351"/>
      <c r="BN1374" s="530" t="s">
        <v>294</v>
      </c>
      <c r="BO1374" s="350"/>
      <c r="BP1374" s="350"/>
      <c r="BQ1374" s="350"/>
      <c r="BR1374" s="350"/>
      <c r="BS1374" s="350"/>
      <c r="BT1374" s="350"/>
      <c r="BU1374" s="350"/>
      <c r="BV1374" s="351"/>
    </row>
    <row r="1375" spans="1:74" ht="45" customHeight="1">
      <c r="A1375" s="24">
        <f t="shared" si="5"/>
        <v>1361</v>
      </c>
      <c r="B1375" s="522" t="s">
        <v>294</v>
      </c>
      <c r="C1375" s="351"/>
      <c r="D1375" s="523" t="s">
        <v>298</v>
      </c>
      <c r="E1375" s="351"/>
      <c r="F1375" s="524" t="s">
        <v>325</v>
      </c>
      <c r="G1375" s="351"/>
      <c r="H1375" s="561" t="s">
        <v>325</v>
      </c>
      <c r="I1375" s="351"/>
      <c r="J1375" s="562"/>
      <c r="K1375" s="351"/>
      <c r="L1375" s="562"/>
      <c r="M1375" s="351"/>
      <c r="N1375" s="34"/>
      <c r="O1375" s="38"/>
      <c r="P1375" s="526"/>
      <c r="Q1375" s="351"/>
      <c r="R1375" s="527"/>
      <c r="S1375" s="351"/>
      <c r="T1375" s="528"/>
      <c r="U1375" s="351"/>
      <c r="V1375" s="541"/>
      <c r="W1375" s="351"/>
      <c r="X1375" s="542" t="s">
        <v>294</v>
      </c>
      <c r="Y1375" s="350"/>
      <c r="Z1375" s="350"/>
      <c r="AA1375" s="351"/>
      <c r="AB1375" s="543" t="s">
        <v>294</v>
      </c>
      <c r="AC1375" s="350"/>
      <c r="AD1375" s="350"/>
      <c r="AE1375" s="351"/>
      <c r="AF1375" s="544"/>
      <c r="AG1375" s="351"/>
      <c r="AH1375" s="544"/>
      <c r="AI1375" s="351"/>
      <c r="AJ1375" s="545"/>
      <c r="AK1375" s="351"/>
      <c r="AL1375" s="524" t="s">
        <v>325</v>
      </c>
      <c r="AM1375" s="351"/>
      <c r="AN1375" s="549" t="s">
        <v>325</v>
      </c>
      <c r="AO1375" s="351"/>
      <c r="AP1375" s="550"/>
      <c r="AQ1375" s="351"/>
      <c r="AR1375" s="551"/>
      <c r="AS1375" s="351"/>
      <c r="AT1375" s="552"/>
      <c r="AU1375" s="351"/>
      <c r="AV1375" s="549" t="s">
        <v>325</v>
      </c>
      <c r="AW1375" s="351"/>
      <c r="AX1375" s="553"/>
      <c r="AY1375" s="350"/>
      <c r="AZ1375" s="351"/>
      <c r="BA1375" s="554"/>
      <c r="BB1375" s="351"/>
      <c r="BC1375" s="39"/>
      <c r="BD1375" s="546" t="s">
        <v>325</v>
      </c>
      <c r="BE1375" s="351"/>
      <c r="BF1375" s="547"/>
      <c r="BG1375" s="350"/>
      <c r="BH1375" s="350"/>
      <c r="BI1375" s="351"/>
      <c r="BJ1375" s="548" t="s">
        <v>294</v>
      </c>
      <c r="BK1375" s="350"/>
      <c r="BL1375" s="350"/>
      <c r="BM1375" s="351"/>
      <c r="BN1375" s="530" t="s">
        <v>294</v>
      </c>
      <c r="BO1375" s="350"/>
      <c r="BP1375" s="350"/>
      <c r="BQ1375" s="350"/>
      <c r="BR1375" s="350"/>
      <c r="BS1375" s="350"/>
      <c r="BT1375" s="350"/>
      <c r="BU1375" s="350"/>
      <c r="BV1375" s="351"/>
    </row>
    <row r="1376" spans="1:74" ht="45" customHeight="1">
      <c r="A1376" s="24">
        <f t="shared" si="5"/>
        <v>1362</v>
      </c>
      <c r="B1376" s="558" t="s">
        <v>294</v>
      </c>
      <c r="C1376" s="351"/>
      <c r="D1376" s="559" t="s">
        <v>298</v>
      </c>
      <c r="E1376" s="351"/>
      <c r="F1376" s="524" t="s">
        <v>325</v>
      </c>
      <c r="G1376" s="351"/>
      <c r="H1376" s="525" t="s">
        <v>325</v>
      </c>
      <c r="I1376" s="351"/>
      <c r="J1376" s="563"/>
      <c r="K1376" s="351"/>
      <c r="L1376" s="563"/>
      <c r="M1376" s="351"/>
      <c r="N1376" s="37"/>
      <c r="O1376" s="35"/>
      <c r="P1376" s="560"/>
      <c r="Q1376" s="351"/>
      <c r="R1376" s="535"/>
      <c r="S1376" s="351"/>
      <c r="T1376" s="536"/>
      <c r="U1376" s="351"/>
      <c r="V1376" s="537"/>
      <c r="W1376" s="351"/>
      <c r="X1376" s="538" t="s">
        <v>294</v>
      </c>
      <c r="Y1376" s="350"/>
      <c r="Z1376" s="350"/>
      <c r="AA1376" s="351"/>
      <c r="AB1376" s="539" t="s">
        <v>294</v>
      </c>
      <c r="AC1376" s="350"/>
      <c r="AD1376" s="350"/>
      <c r="AE1376" s="351"/>
      <c r="AF1376" s="540"/>
      <c r="AG1376" s="351"/>
      <c r="AH1376" s="540"/>
      <c r="AI1376" s="351"/>
      <c r="AJ1376" s="545"/>
      <c r="AK1376" s="351"/>
      <c r="AL1376" s="555" t="s">
        <v>325</v>
      </c>
      <c r="AM1376" s="351"/>
      <c r="AN1376" s="531" t="s">
        <v>325</v>
      </c>
      <c r="AO1376" s="351"/>
      <c r="AP1376" s="532"/>
      <c r="AQ1376" s="351"/>
      <c r="AR1376" s="533"/>
      <c r="AS1376" s="351"/>
      <c r="AT1376" s="534"/>
      <c r="AU1376" s="351"/>
      <c r="AV1376" s="531" t="s">
        <v>325</v>
      </c>
      <c r="AW1376" s="351"/>
      <c r="AX1376" s="553"/>
      <c r="AY1376" s="350"/>
      <c r="AZ1376" s="351"/>
      <c r="BA1376" s="545"/>
      <c r="BB1376" s="351"/>
      <c r="BC1376" s="36"/>
      <c r="BD1376" s="556" t="s">
        <v>325</v>
      </c>
      <c r="BE1376" s="351"/>
      <c r="BF1376" s="529"/>
      <c r="BG1376" s="350"/>
      <c r="BH1376" s="350"/>
      <c r="BI1376" s="351"/>
      <c r="BJ1376" s="506" t="s">
        <v>294</v>
      </c>
      <c r="BK1376" s="350"/>
      <c r="BL1376" s="350"/>
      <c r="BM1376" s="351"/>
      <c r="BN1376" s="530" t="s">
        <v>294</v>
      </c>
      <c r="BO1376" s="350"/>
      <c r="BP1376" s="350"/>
      <c r="BQ1376" s="350"/>
      <c r="BR1376" s="350"/>
      <c r="BS1376" s="350"/>
      <c r="BT1376" s="350"/>
      <c r="BU1376" s="350"/>
      <c r="BV1376" s="351"/>
    </row>
    <row r="1377" spans="1:74" ht="45" customHeight="1">
      <c r="A1377" s="24">
        <f t="shared" si="5"/>
        <v>1363</v>
      </c>
      <c r="B1377" s="522" t="s">
        <v>294</v>
      </c>
      <c r="C1377" s="351"/>
      <c r="D1377" s="523" t="s">
        <v>298</v>
      </c>
      <c r="E1377" s="351"/>
      <c r="F1377" s="524" t="s">
        <v>325</v>
      </c>
      <c r="G1377" s="351"/>
      <c r="H1377" s="561" t="s">
        <v>325</v>
      </c>
      <c r="I1377" s="351"/>
      <c r="J1377" s="562"/>
      <c r="K1377" s="351"/>
      <c r="L1377" s="562"/>
      <c r="M1377" s="351"/>
      <c r="N1377" s="34"/>
      <c r="O1377" s="38"/>
      <c r="P1377" s="526"/>
      <c r="Q1377" s="351"/>
      <c r="R1377" s="527"/>
      <c r="S1377" s="351"/>
      <c r="T1377" s="528"/>
      <c r="U1377" s="351"/>
      <c r="V1377" s="541"/>
      <c r="W1377" s="351"/>
      <c r="X1377" s="542" t="s">
        <v>294</v>
      </c>
      <c r="Y1377" s="350"/>
      <c r="Z1377" s="350"/>
      <c r="AA1377" s="351"/>
      <c r="AB1377" s="543" t="s">
        <v>294</v>
      </c>
      <c r="AC1377" s="350"/>
      <c r="AD1377" s="350"/>
      <c r="AE1377" s="351"/>
      <c r="AF1377" s="544"/>
      <c r="AG1377" s="351"/>
      <c r="AH1377" s="544"/>
      <c r="AI1377" s="351"/>
      <c r="AJ1377" s="545"/>
      <c r="AK1377" s="351"/>
      <c r="AL1377" s="524" t="s">
        <v>325</v>
      </c>
      <c r="AM1377" s="351"/>
      <c r="AN1377" s="549" t="s">
        <v>325</v>
      </c>
      <c r="AO1377" s="351"/>
      <c r="AP1377" s="550"/>
      <c r="AQ1377" s="351"/>
      <c r="AR1377" s="551"/>
      <c r="AS1377" s="351"/>
      <c r="AT1377" s="552"/>
      <c r="AU1377" s="351"/>
      <c r="AV1377" s="549" t="s">
        <v>325</v>
      </c>
      <c r="AW1377" s="351"/>
      <c r="AX1377" s="553"/>
      <c r="AY1377" s="350"/>
      <c r="AZ1377" s="351"/>
      <c r="BA1377" s="554"/>
      <c r="BB1377" s="351"/>
      <c r="BC1377" s="39"/>
      <c r="BD1377" s="546" t="s">
        <v>325</v>
      </c>
      <c r="BE1377" s="351"/>
      <c r="BF1377" s="547"/>
      <c r="BG1377" s="350"/>
      <c r="BH1377" s="350"/>
      <c r="BI1377" s="351"/>
      <c r="BJ1377" s="548" t="s">
        <v>294</v>
      </c>
      <c r="BK1377" s="350"/>
      <c r="BL1377" s="350"/>
      <c r="BM1377" s="351"/>
      <c r="BN1377" s="530" t="s">
        <v>294</v>
      </c>
      <c r="BO1377" s="350"/>
      <c r="BP1377" s="350"/>
      <c r="BQ1377" s="350"/>
      <c r="BR1377" s="350"/>
      <c r="BS1377" s="350"/>
      <c r="BT1377" s="350"/>
      <c r="BU1377" s="350"/>
      <c r="BV1377" s="351"/>
    </row>
    <row r="1378" spans="1:74" ht="45" customHeight="1">
      <c r="A1378" s="24">
        <f t="shared" si="5"/>
        <v>1364</v>
      </c>
      <c r="B1378" s="558" t="s">
        <v>294</v>
      </c>
      <c r="C1378" s="351"/>
      <c r="D1378" s="559" t="s">
        <v>298</v>
      </c>
      <c r="E1378" s="351"/>
      <c r="F1378" s="524" t="s">
        <v>325</v>
      </c>
      <c r="G1378" s="351"/>
      <c r="H1378" s="525" t="s">
        <v>325</v>
      </c>
      <c r="I1378" s="351"/>
      <c r="J1378" s="563"/>
      <c r="K1378" s="351"/>
      <c r="L1378" s="563"/>
      <c r="M1378" s="351"/>
      <c r="N1378" s="37"/>
      <c r="O1378" s="35"/>
      <c r="P1378" s="560"/>
      <c r="Q1378" s="351"/>
      <c r="R1378" s="535"/>
      <c r="S1378" s="351"/>
      <c r="T1378" s="536"/>
      <c r="U1378" s="351"/>
      <c r="V1378" s="537"/>
      <c r="W1378" s="351"/>
      <c r="X1378" s="538" t="s">
        <v>294</v>
      </c>
      <c r="Y1378" s="350"/>
      <c r="Z1378" s="350"/>
      <c r="AA1378" s="351"/>
      <c r="AB1378" s="539" t="s">
        <v>294</v>
      </c>
      <c r="AC1378" s="350"/>
      <c r="AD1378" s="350"/>
      <c r="AE1378" s="351"/>
      <c r="AF1378" s="540"/>
      <c r="AG1378" s="351"/>
      <c r="AH1378" s="540"/>
      <c r="AI1378" s="351"/>
      <c r="AJ1378" s="545"/>
      <c r="AK1378" s="351"/>
      <c r="AL1378" s="555" t="s">
        <v>325</v>
      </c>
      <c r="AM1378" s="351"/>
      <c r="AN1378" s="531" t="s">
        <v>325</v>
      </c>
      <c r="AO1378" s="351"/>
      <c r="AP1378" s="532"/>
      <c r="AQ1378" s="351"/>
      <c r="AR1378" s="533"/>
      <c r="AS1378" s="351"/>
      <c r="AT1378" s="534"/>
      <c r="AU1378" s="351"/>
      <c r="AV1378" s="531" t="s">
        <v>325</v>
      </c>
      <c r="AW1378" s="351"/>
      <c r="AX1378" s="553"/>
      <c r="AY1378" s="350"/>
      <c r="AZ1378" s="351"/>
      <c r="BA1378" s="545"/>
      <c r="BB1378" s="351"/>
      <c r="BC1378" s="36"/>
      <c r="BD1378" s="556" t="s">
        <v>325</v>
      </c>
      <c r="BE1378" s="351"/>
      <c r="BF1378" s="557"/>
      <c r="BG1378" s="350"/>
      <c r="BH1378" s="350"/>
      <c r="BI1378" s="351"/>
      <c r="BJ1378" s="506" t="s">
        <v>294</v>
      </c>
      <c r="BK1378" s="350"/>
      <c r="BL1378" s="350"/>
      <c r="BM1378" s="351"/>
      <c r="BN1378" s="530" t="s">
        <v>294</v>
      </c>
      <c r="BO1378" s="350"/>
      <c r="BP1378" s="350"/>
      <c r="BQ1378" s="350"/>
      <c r="BR1378" s="350"/>
      <c r="BS1378" s="350"/>
      <c r="BT1378" s="350"/>
      <c r="BU1378" s="350"/>
      <c r="BV1378" s="351"/>
    </row>
    <row r="1379" spans="1:74" ht="45" customHeight="1">
      <c r="A1379" s="24">
        <f t="shared" si="5"/>
        <v>1365</v>
      </c>
      <c r="B1379" s="522" t="s">
        <v>294</v>
      </c>
      <c r="C1379" s="351"/>
      <c r="D1379" s="523" t="s">
        <v>298</v>
      </c>
      <c r="E1379" s="351"/>
      <c r="F1379" s="524" t="s">
        <v>325</v>
      </c>
      <c r="G1379" s="351"/>
      <c r="H1379" s="561" t="s">
        <v>325</v>
      </c>
      <c r="I1379" s="351"/>
      <c r="J1379" s="562"/>
      <c r="K1379" s="351"/>
      <c r="L1379" s="562"/>
      <c r="M1379" s="351"/>
      <c r="N1379" s="37"/>
      <c r="O1379" s="38"/>
      <c r="P1379" s="560"/>
      <c r="Q1379" s="351"/>
      <c r="R1379" s="527"/>
      <c r="S1379" s="351"/>
      <c r="T1379" s="528"/>
      <c r="U1379" s="351"/>
      <c r="V1379" s="541"/>
      <c r="W1379" s="351"/>
      <c r="X1379" s="542" t="s">
        <v>294</v>
      </c>
      <c r="Y1379" s="350"/>
      <c r="Z1379" s="350"/>
      <c r="AA1379" s="351"/>
      <c r="AB1379" s="543" t="s">
        <v>294</v>
      </c>
      <c r="AC1379" s="350"/>
      <c r="AD1379" s="350"/>
      <c r="AE1379" s="351"/>
      <c r="AF1379" s="544"/>
      <c r="AG1379" s="351"/>
      <c r="AH1379" s="544"/>
      <c r="AI1379" s="351"/>
      <c r="AJ1379" s="545"/>
      <c r="AK1379" s="351"/>
      <c r="AL1379" s="524" t="s">
        <v>325</v>
      </c>
      <c r="AM1379" s="351"/>
      <c r="AN1379" s="549" t="s">
        <v>325</v>
      </c>
      <c r="AO1379" s="351"/>
      <c r="AP1379" s="550"/>
      <c r="AQ1379" s="351"/>
      <c r="AR1379" s="551"/>
      <c r="AS1379" s="351"/>
      <c r="AT1379" s="534"/>
      <c r="AU1379" s="351"/>
      <c r="AV1379" s="549" t="s">
        <v>325</v>
      </c>
      <c r="AW1379" s="351"/>
      <c r="AX1379" s="553"/>
      <c r="AY1379" s="350"/>
      <c r="AZ1379" s="351"/>
      <c r="BA1379" s="554"/>
      <c r="BB1379" s="351"/>
      <c r="BC1379" s="39"/>
      <c r="BD1379" s="546" t="s">
        <v>325</v>
      </c>
      <c r="BE1379" s="351"/>
      <c r="BF1379" s="547"/>
      <c r="BG1379" s="350"/>
      <c r="BH1379" s="350"/>
      <c r="BI1379" s="351"/>
      <c r="BJ1379" s="548" t="s">
        <v>294</v>
      </c>
      <c r="BK1379" s="350"/>
      <c r="BL1379" s="350"/>
      <c r="BM1379" s="351"/>
      <c r="BN1379" s="530" t="s">
        <v>294</v>
      </c>
      <c r="BO1379" s="350"/>
      <c r="BP1379" s="350"/>
      <c r="BQ1379" s="350"/>
      <c r="BR1379" s="350"/>
      <c r="BS1379" s="350"/>
      <c r="BT1379" s="350"/>
      <c r="BU1379" s="350"/>
      <c r="BV1379" s="351"/>
    </row>
    <row r="1380" spans="1:74" ht="45" customHeight="1">
      <c r="A1380" s="24">
        <f t="shared" si="5"/>
        <v>1366</v>
      </c>
      <c r="B1380" s="558" t="s">
        <v>294</v>
      </c>
      <c r="C1380" s="351"/>
      <c r="D1380" s="559" t="s">
        <v>298</v>
      </c>
      <c r="E1380" s="351"/>
      <c r="F1380" s="524" t="s">
        <v>325</v>
      </c>
      <c r="G1380" s="351"/>
      <c r="H1380" s="525" t="s">
        <v>325</v>
      </c>
      <c r="I1380" s="351"/>
      <c r="J1380" s="563"/>
      <c r="K1380" s="351"/>
      <c r="L1380" s="563"/>
      <c r="M1380" s="351"/>
      <c r="N1380" s="34"/>
      <c r="O1380" s="35"/>
      <c r="P1380" s="526"/>
      <c r="Q1380" s="351"/>
      <c r="R1380" s="535"/>
      <c r="S1380" s="351"/>
      <c r="T1380" s="536"/>
      <c r="U1380" s="351"/>
      <c r="V1380" s="537"/>
      <c r="W1380" s="351"/>
      <c r="X1380" s="538" t="s">
        <v>294</v>
      </c>
      <c r="Y1380" s="350"/>
      <c r="Z1380" s="350"/>
      <c r="AA1380" s="351"/>
      <c r="AB1380" s="539" t="s">
        <v>294</v>
      </c>
      <c r="AC1380" s="350"/>
      <c r="AD1380" s="350"/>
      <c r="AE1380" s="351"/>
      <c r="AF1380" s="540"/>
      <c r="AG1380" s="351"/>
      <c r="AH1380" s="540"/>
      <c r="AI1380" s="351"/>
      <c r="AJ1380" s="545"/>
      <c r="AK1380" s="351"/>
      <c r="AL1380" s="555" t="s">
        <v>325</v>
      </c>
      <c r="AM1380" s="351"/>
      <c r="AN1380" s="531" t="s">
        <v>325</v>
      </c>
      <c r="AO1380" s="351"/>
      <c r="AP1380" s="532"/>
      <c r="AQ1380" s="351"/>
      <c r="AR1380" s="533"/>
      <c r="AS1380" s="351"/>
      <c r="AT1380" s="534"/>
      <c r="AU1380" s="351"/>
      <c r="AV1380" s="531" t="s">
        <v>325</v>
      </c>
      <c r="AW1380" s="351"/>
      <c r="AX1380" s="553"/>
      <c r="AY1380" s="350"/>
      <c r="AZ1380" s="351"/>
      <c r="BA1380" s="545"/>
      <c r="BB1380" s="351"/>
      <c r="BC1380" s="36"/>
      <c r="BD1380" s="556" t="s">
        <v>325</v>
      </c>
      <c r="BE1380" s="351"/>
      <c r="BF1380" s="557"/>
      <c r="BG1380" s="350"/>
      <c r="BH1380" s="350"/>
      <c r="BI1380" s="351"/>
      <c r="BJ1380" s="506" t="s">
        <v>294</v>
      </c>
      <c r="BK1380" s="350"/>
      <c r="BL1380" s="350"/>
      <c r="BM1380" s="351"/>
      <c r="BN1380" s="530" t="s">
        <v>294</v>
      </c>
      <c r="BO1380" s="350"/>
      <c r="BP1380" s="350"/>
      <c r="BQ1380" s="350"/>
      <c r="BR1380" s="350"/>
      <c r="BS1380" s="350"/>
      <c r="BT1380" s="350"/>
      <c r="BU1380" s="350"/>
      <c r="BV1380" s="351"/>
    </row>
    <row r="1381" spans="1:74" ht="45" customHeight="1">
      <c r="A1381" s="24">
        <f t="shared" si="5"/>
        <v>1367</v>
      </c>
      <c r="B1381" s="522" t="s">
        <v>294</v>
      </c>
      <c r="C1381" s="351"/>
      <c r="D1381" s="523" t="s">
        <v>298</v>
      </c>
      <c r="E1381" s="351"/>
      <c r="F1381" s="524" t="s">
        <v>325</v>
      </c>
      <c r="G1381" s="351"/>
      <c r="H1381" s="561" t="s">
        <v>325</v>
      </c>
      <c r="I1381" s="351"/>
      <c r="J1381" s="562"/>
      <c r="K1381" s="351"/>
      <c r="L1381" s="562"/>
      <c r="M1381" s="351"/>
      <c r="N1381" s="37"/>
      <c r="O1381" s="38"/>
      <c r="P1381" s="560"/>
      <c r="Q1381" s="351"/>
      <c r="R1381" s="527"/>
      <c r="S1381" s="351"/>
      <c r="T1381" s="528"/>
      <c r="U1381" s="351"/>
      <c r="V1381" s="541"/>
      <c r="W1381" s="351"/>
      <c r="X1381" s="542" t="s">
        <v>294</v>
      </c>
      <c r="Y1381" s="350"/>
      <c r="Z1381" s="350"/>
      <c r="AA1381" s="351"/>
      <c r="AB1381" s="543" t="s">
        <v>294</v>
      </c>
      <c r="AC1381" s="350"/>
      <c r="AD1381" s="350"/>
      <c r="AE1381" s="351"/>
      <c r="AF1381" s="544"/>
      <c r="AG1381" s="351"/>
      <c r="AH1381" s="544"/>
      <c r="AI1381" s="351"/>
      <c r="AJ1381" s="545"/>
      <c r="AK1381" s="351"/>
      <c r="AL1381" s="524" t="s">
        <v>325</v>
      </c>
      <c r="AM1381" s="351"/>
      <c r="AN1381" s="549" t="s">
        <v>325</v>
      </c>
      <c r="AO1381" s="351"/>
      <c r="AP1381" s="550"/>
      <c r="AQ1381" s="351"/>
      <c r="AR1381" s="551"/>
      <c r="AS1381" s="351"/>
      <c r="AT1381" s="534"/>
      <c r="AU1381" s="351"/>
      <c r="AV1381" s="549" t="s">
        <v>325</v>
      </c>
      <c r="AW1381" s="351"/>
      <c r="AX1381" s="553"/>
      <c r="AY1381" s="350"/>
      <c r="AZ1381" s="351"/>
      <c r="BA1381" s="554"/>
      <c r="BB1381" s="351"/>
      <c r="BC1381" s="39"/>
      <c r="BD1381" s="546" t="s">
        <v>325</v>
      </c>
      <c r="BE1381" s="351"/>
      <c r="BF1381" s="547"/>
      <c r="BG1381" s="350"/>
      <c r="BH1381" s="350"/>
      <c r="BI1381" s="351"/>
      <c r="BJ1381" s="548" t="s">
        <v>294</v>
      </c>
      <c r="BK1381" s="350"/>
      <c r="BL1381" s="350"/>
      <c r="BM1381" s="351"/>
      <c r="BN1381" s="530" t="s">
        <v>294</v>
      </c>
      <c r="BO1381" s="350"/>
      <c r="BP1381" s="350"/>
      <c r="BQ1381" s="350"/>
      <c r="BR1381" s="350"/>
      <c r="BS1381" s="350"/>
      <c r="BT1381" s="350"/>
      <c r="BU1381" s="350"/>
      <c r="BV1381" s="351"/>
    </row>
    <row r="1382" spans="1:74" ht="45" customHeight="1">
      <c r="A1382" s="24">
        <f t="shared" si="5"/>
        <v>1368</v>
      </c>
      <c r="B1382" s="558" t="s">
        <v>294</v>
      </c>
      <c r="C1382" s="351"/>
      <c r="D1382" s="559" t="s">
        <v>298</v>
      </c>
      <c r="E1382" s="351"/>
      <c r="F1382" s="524" t="s">
        <v>325</v>
      </c>
      <c r="G1382" s="351"/>
      <c r="H1382" s="525" t="s">
        <v>325</v>
      </c>
      <c r="I1382" s="351"/>
      <c r="J1382" s="563"/>
      <c r="K1382" s="351"/>
      <c r="L1382" s="563"/>
      <c r="M1382" s="351"/>
      <c r="N1382" s="34"/>
      <c r="O1382" s="35"/>
      <c r="P1382" s="526"/>
      <c r="Q1382" s="351"/>
      <c r="R1382" s="535"/>
      <c r="S1382" s="351"/>
      <c r="T1382" s="536"/>
      <c r="U1382" s="351"/>
      <c r="V1382" s="537"/>
      <c r="W1382" s="351"/>
      <c r="X1382" s="538" t="s">
        <v>294</v>
      </c>
      <c r="Y1382" s="350"/>
      <c r="Z1382" s="350"/>
      <c r="AA1382" s="351"/>
      <c r="AB1382" s="539" t="s">
        <v>294</v>
      </c>
      <c r="AC1382" s="350"/>
      <c r="AD1382" s="350"/>
      <c r="AE1382" s="351"/>
      <c r="AF1382" s="540"/>
      <c r="AG1382" s="351"/>
      <c r="AH1382" s="540"/>
      <c r="AI1382" s="351"/>
      <c r="AJ1382" s="545"/>
      <c r="AK1382" s="351"/>
      <c r="AL1382" s="555" t="s">
        <v>325</v>
      </c>
      <c r="AM1382" s="351"/>
      <c r="AN1382" s="531" t="s">
        <v>325</v>
      </c>
      <c r="AO1382" s="351"/>
      <c r="AP1382" s="532"/>
      <c r="AQ1382" s="351"/>
      <c r="AR1382" s="533"/>
      <c r="AS1382" s="351"/>
      <c r="AT1382" s="534"/>
      <c r="AU1382" s="351"/>
      <c r="AV1382" s="531" t="s">
        <v>325</v>
      </c>
      <c r="AW1382" s="351"/>
      <c r="AX1382" s="553"/>
      <c r="AY1382" s="350"/>
      <c r="AZ1382" s="351"/>
      <c r="BA1382" s="545"/>
      <c r="BB1382" s="351"/>
      <c r="BC1382" s="36"/>
      <c r="BD1382" s="556" t="s">
        <v>325</v>
      </c>
      <c r="BE1382" s="351"/>
      <c r="BF1382" s="557"/>
      <c r="BG1382" s="350"/>
      <c r="BH1382" s="350"/>
      <c r="BI1382" s="351"/>
      <c r="BJ1382" s="506" t="s">
        <v>294</v>
      </c>
      <c r="BK1382" s="350"/>
      <c r="BL1382" s="350"/>
      <c r="BM1382" s="351"/>
      <c r="BN1382" s="530" t="s">
        <v>294</v>
      </c>
      <c r="BO1382" s="350"/>
      <c r="BP1382" s="350"/>
      <c r="BQ1382" s="350"/>
      <c r="BR1382" s="350"/>
      <c r="BS1382" s="350"/>
      <c r="BT1382" s="350"/>
      <c r="BU1382" s="350"/>
      <c r="BV1382" s="351"/>
    </row>
    <row r="1383" spans="1:74" ht="45" customHeight="1">
      <c r="A1383" s="24">
        <f t="shared" si="5"/>
        <v>1369</v>
      </c>
      <c r="B1383" s="522" t="s">
        <v>294</v>
      </c>
      <c r="C1383" s="351"/>
      <c r="D1383" s="523" t="s">
        <v>298</v>
      </c>
      <c r="E1383" s="351"/>
      <c r="F1383" s="524" t="s">
        <v>325</v>
      </c>
      <c r="G1383" s="351"/>
      <c r="H1383" s="561" t="s">
        <v>325</v>
      </c>
      <c r="I1383" s="351"/>
      <c r="J1383" s="562"/>
      <c r="K1383" s="351"/>
      <c r="L1383" s="562"/>
      <c r="M1383" s="351"/>
      <c r="N1383" s="37"/>
      <c r="O1383" s="38"/>
      <c r="P1383" s="560"/>
      <c r="Q1383" s="351"/>
      <c r="R1383" s="527"/>
      <c r="S1383" s="351"/>
      <c r="T1383" s="528"/>
      <c r="U1383" s="351"/>
      <c r="V1383" s="541"/>
      <c r="W1383" s="351"/>
      <c r="X1383" s="542" t="s">
        <v>294</v>
      </c>
      <c r="Y1383" s="350"/>
      <c r="Z1383" s="350"/>
      <c r="AA1383" s="351"/>
      <c r="AB1383" s="543" t="s">
        <v>294</v>
      </c>
      <c r="AC1383" s="350"/>
      <c r="AD1383" s="350"/>
      <c r="AE1383" s="351"/>
      <c r="AF1383" s="544"/>
      <c r="AG1383" s="351"/>
      <c r="AH1383" s="544"/>
      <c r="AI1383" s="351"/>
      <c r="AJ1383" s="545"/>
      <c r="AK1383" s="351"/>
      <c r="AL1383" s="524" t="s">
        <v>325</v>
      </c>
      <c r="AM1383" s="351"/>
      <c r="AN1383" s="549" t="s">
        <v>325</v>
      </c>
      <c r="AO1383" s="351"/>
      <c r="AP1383" s="550"/>
      <c r="AQ1383" s="351"/>
      <c r="AR1383" s="551"/>
      <c r="AS1383" s="351"/>
      <c r="AT1383" s="552"/>
      <c r="AU1383" s="351"/>
      <c r="AV1383" s="549" t="s">
        <v>325</v>
      </c>
      <c r="AW1383" s="351"/>
      <c r="AX1383" s="553"/>
      <c r="AY1383" s="350"/>
      <c r="AZ1383" s="351"/>
      <c r="BA1383" s="554"/>
      <c r="BB1383" s="351"/>
      <c r="BC1383" s="39"/>
      <c r="BD1383" s="546" t="s">
        <v>325</v>
      </c>
      <c r="BE1383" s="351"/>
      <c r="BF1383" s="547"/>
      <c r="BG1383" s="350"/>
      <c r="BH1383" s="350"/>
      <c r="BI1383" s="351"/>
      <c r="BJ1383" s="548" t="s">
        <v>294</v>
      </c>
      <c r="BK1383" s="350"/>
      <c r="BL1383" s="350"/>
      <c r="BM1383" s="351"/>
      <c r="BN1383" s="530" t="s">
        <v>294</v>
      </c>
      <c r="BO1383" s="350"/>
      <c r="BP1383" s="350"/>
      <c r="BQ1383" s="350"/>
      <c r="BR1383" s="350"/>
      <c r="BS1383" s="350"/>
      <c r="BT1383" s="350"/>
      <c r="BU1383" s="350"/>
      <c r="BV1383" s="351"/>
    </row>
    <row r="1384" spans="1:74" ht="45" customHeight="1">
      <c r="A1384" s="24">
        <f t="shared" si="5"/>
        <v>1370</v>
      </c>
      <c r="B1384" s="558" t="s">
        <v>294</v>
      </c>
      <c r="C1384" s="351"/>
      <c r="D1384" s="559" t="s">
        <v>298</v>
      </c>
      <c r="E1384" s="351"/>
      <c r="F1384" s="524" t="s">
        <v>325</v>
      </c>
      <c r="G1384" s="351"/>
      <c r="H1384" s="525" t="s">
        <v>325</v>
      </c>
      <c r="I1384" s="351"/>
      <c r="J1384" s="563"/>
      <c r="K1384" s="351"/>
      <c r="L1384" s="563"/>
      <c r="M1384" s="351"/>
      <c r="N1384" s="34"/>
      <c r="O1384" s="35"/>
      <c r="P1384" s="526"/>
      <c r="Q1384" s="351"/>
      <c r="R1384" s="535"/>
      <c r="S1384" s="351"/>
      <c r="T1384" s="536"/>
      <c r="U1384" s="351"/>
      <c r="V1384" s="537"/>
      <c r="W1384" s="351"/>
      <c r="X1384" s="538" t="s">
        <v>294</v>
      </c>
      <c r="Y1384" s="350"/>
      <c r="Z1384" s="350"/>
      <c r="AA1384" s="351"/>
      <c r="AB1384" s="539" t="s">
        <v>294</v>
      </c>
      <c r="AC1384" s="350"/>
      <c r="AD1384" s="350"/>
      <c r="AE1384" s="351"/>
      <c r="AF1384" s="540"/>
      <c r="AG1384" s="351"/>
      <c r="AH1384" s="540"/>
      <c r="AI1384" s="351"/>
      <c r="AJ1384" s="545"/>
      <c r="AK1384" s="351"/>
      <c r="AL1384" s="555" t="s">
        <v>325</v>
      </c>
      <c r="AM1384" s="351"/>
      <c r="AN1384" s="531" t="s">
        <v>325</v>
      </c>
      <c r="AO1384" s="351"/>
      <c r="AP1384" s="532"/>
      <c r="AQ1384" s="351"/>
      <c r="AR1384" s="533"/>
      <c r="AS1384" s="351"/>
      <c r="AT1384" s="534"/>
      <c r="AU1384" s="351"/>
      <c r="AV1384" s="531" t="s">
        <v>325</v>
      </c>
      <c r="AW1384" s="351"/>
      <c r="AX1384" s="553"/>
      <c r="AY1384" s="350"/>
      <c r="AZ1384" s="351"/>
      <c r="BA1384" s="545"/>
      <c r="BB1384" s="351"/>
      <c r="BC1384" s="36"/>
      <c r="BD1384" s="556" t="s">
        <v>325</v>
      </c>
      <c r="BE1384" s="351"/>
      <c r="BF1384" s="529"/>
      <c r="BG1384" s="350"/>
      <c r="BH1384" s="350"/>
      <c r="BI1384" s="351"/>
      <c r="BJ1384" s="506" t="s">
        <v>294</v>
      </c>
      <c r="BK1384" s="350"/>
      <c r="BL1384" s="350"/>
      <c r="BM1384" s="351"/>
      <c r="BN1384" s="530" t="s">
        <v>294</v>
      </c>
      <c r="BO1384" s="350"/>
      <c r="BP1384" s="350"/>
      <c r="BQ1384" s="350"/>
      <c r="BR1384" s="350"/>
      <c r="BS1384" s="350"/>
      <c r="BT1384" s="350"/>
      <c r="BU1384" s="350"/>
      <c r="BV1384" s="351"/>
    </row>
    <row r="1385" spans="1:74" ht="45" customHeight="1">
      <c r="A1385" s="24">
        <f t="shared" si="5"/>
        <v>1371</v>
      </c>
      <c r="B1385" s="522" t="s">
        <v>294</v>
      </c>
      <c r="C1385" s="351"/>
      <c r="D1385" s="523" t="s">
        <v>298</v>
      </c>
      <c r="E1385" s="351"/>
      <c r="F1385" s="524" t="s">
        <v>325</v>
      </c>
      <c r="G1385" s="351"/>
      <c r="H1385" s="561" t="s">
        <v>325</v>
      </c>
      <c r="I1385" s="351"/>
      <c r="J1385" s="562"/>
      <c r="K1385" s="351"/>
      <c r="L1385" s="562"/>
      <c r="M1385" s="351"/>
      <c r="N1385" s="37"/>
      <c r="O1385" s="38"/>
      <c r="P1385" s="560"/>
      <c r="Q1385" s="351"/>
      <c r="R1385" s="527"/>
      <c r="S1385" s="351"/>
      <c r="T1385" s="528"/>
      <c r="U1385" s="351"/>
      <c r="V1385" s="541"/>
      <c r="W1385" s="351"/>
      <c r="X1385" s="542" t="s">
        <v>294</v>
      </c>
      <c r="Y1385" s="350"/>
      <c r="Z1385" s="350"/>
      <c r="AA1385" s="351"/>
      <c r="AB1385" s="543" t="s">
        <v>294</v>
      </c>
      <c r="AC1385" s="350"/>
      <c r="AD1385" s="350"/>
      <c r="AE1385" s="351"/>
      <c r="AF1385" s="544"/>
      <c r="AG1385" s="351"/>
      <c r="AH1385" s="544"/>
      <c r="AI1385" s="351"/>
      <c r="AJ1385" s="545"/>
      <c r="AK1385" s="351"/>
      <c r="AL1385" s="524" t="s">
        <v>325</v>
      </c>
      <c r="AM1385" s="351"/>
      <c r="AN1385" s="549" t="s">
        <v>325</v>
      </c>
      <c r="AO1385" s="351"/>
      <c r="AP1385" s="550"/>
      <c r="AQ1385" s="351"/>
      <c r="AR1385" s="551"/>
      <c r="AS1385" s="351"/>
      <c r="AT1385" s="552"/>
      <c r="AU1385" s="351"/>
      <c r="AV1385" s="549" t="s">
        <v>325</v>
      </c>
      <c r="AW1385" s="351"/>
      <c r="AX1385" s="553"/>
      <c r="AY1385" s="350"/>
      <c r="AZ1385" s="351"/>
      <c r="BA1385" s="554"/>
      <c r="BB1385" s="351"/>
      <c r="BC1385" s="39"/>
      <c r="BD1385" s="546" t="s">
        <v>325</v>
      </c>
      <c r="BE1385" s="351"/>
      <c r="BF1385" s="547"/>
      <c r="BG1385" s="350"/>
      <c r="BH1385" s="350"/>
      <c r="BI1385" s="351"/>
      <c r="BJ1385" s="548" t="s">
        <v>294</v>
      </c>
      <c r="BK1385" s="350"/>
      <c r="BL1385" s="350"/>
      <c r="BM1385" s="351"/>
      <c r="BN1385" s="530" t="s">
        <v>294</v>
      </c>
      <c r="BO1385" s="350"/>
      <c r="BP1385" s="350"/>
      <c r="BQ1385" s="350"/>
      <c r="BR1385" s="350"/>
      <c r="BS1385" s="350"/>
      <c r="BT1385" s="350"/>
      <c r="BU1385" s="350"/>
      <c r="BV1385" s="351"/>
    </row>
    <row r="1386" spans="1:74" ht="45" customHeight="1">
      <c r="A1386" s="24">
        <f t="shared" si="5"/>
        <v>1372</v>
      </c>
      <c r="B1386" s="558" t="s">
        <v>294</v>
      </c>
      <c r="C1386" s="351"/>
      <c r="D1386" s="559" t="s">
        <v>298</v>
      </c>
      <c r="E1386" s="351"/>
      <c r="F1386" s="524" t="s">
        <v>325</v>
      </c>
      <c r="G1386" s="351"/>
      <c r="H1386" s="525" t="s">
        <v>325</v>
      </c>
      <c r="I1386" s="351"/>
      <c r="J1386" s="563"/>
      <c r="K1386" s="351"/>
      <c r="L1386" s="563"/>
      <c r="M1386" s="351"/>
      <c r="N1386" s="34"/>
      <c r="O1386" s="35"/>
      <c r="P1386" s="526"/>
      <c r="Q1386" s="351"/>
      <c r="R1386" s="535"/>
      <c r="S1386" s="351"/>
      <c r="T1386" s="536"/>
      <c r="U1386" s="351"/>
      <c r="V1386" s="537"/>
      <c r="W1386" s="351"/>
      <c r="X1386" s="538" t="s">
        <v>294</v>
      </c>
      <c r="Y1386" s="350"/>
      <c r="Z1386" s="350"/>
      <c r="AA1386" s="351"/>
      <c r="AB1386" s="539" t="s">
        <v>294</v>
      </c>
      <c r="AC1386" s="350"/>
      <c r="AD1386" s="350"/>
      <c r="AE1386" s="351"/>
      <c r="AF1386" s="540"/>
      <c r="AG1386" s="351"/>
      <c r="AH1386" s="540"/>
      <c r="AI1386" s="351"/>
      <c r="AJ1386" s="545"/>
      <c r="AK1386" s="351"/>
      <c r="AL1386" s="555" t="s">
        <v>325</v>
      </c>
      <c r="AM1386" s="351"/>
      <c r="AN1386" s="531" t="s">
        <v>325</v>
      </c>
      <c r="AO1386" s="351"/>
      <c r="AP1386" s="532"/>
      <c r="AQ1386" s="351"/>
      <c r="AR1386" s="533"/>
      <c r="AS1386" s="351"/>
      <c r="AT1386" s="534"/>
      <c r="AU1386" s="351"/>
      <c r="AV1386" s="531" t="s">
        <v>325</v>
      </c>
      <c r="AW1386" s="351"/>
      <c r="AX1386" s="553"/>
      <c r="AY1386" s="350"/>
      <c r="AZ1386" s="351"/>
      <c r="BA1386" s="545"/>
      <c r="BB1386" s="351"/>
      <c r="BC1386" s="36"/>
      <c r="BD1386" s="556" t="s">
        <v>325</v>
      </c>
      <c r="BE1386" s="351"/>
      <c r="BF1386" s="557"/>
      <c r="BG1386" s="350"/>
      <c r="BH1386" s="350"/>
      <c r="BI1386" s="351"/>
      <c r="BJ1386" s="506" t="s">
        <v>294</v>
      </c>
      <c r="BK1386" s="350"/>
      <c r="BL1386" s="350"/>
      <c r="BM1386" s="351"/>
      <c r="BN1386" s="530" t="s">
        <v>294</v>
      </c>
      <c r="BO1386" s="350"/>
      <c r="BP1386" s="350"/>
      <c r="BQ1386" s="350"/>
      <c r="BR1386" s="350"/>
      <c r="BS1386" s="350"/>
      <c r="BT1386" s="350"/>
      <c r="BU1386" s="350"/>
      <c r="BV1386" s="351"/>
    </row>
    <row r="1387" spans="1:74" ht="45" customHeight="1">
      <c r="A1387" s="24">
        <f t="shared" si="5"/>
        <v>1373</v>
      </c>
      <c r="B1387" s="522" t="s">
        <v>294</v>
      </c>
      <c r="C1387" s="351"/>
      <c r="D1387" s="523" t="s">
        <v>298</v>
      </c>
      <c r="E1387" s="351"/>
      <c r="F1387" s="524" t="s">
        <v>325</v>
      </c>
      <c r="G1387" s="351"/>
      <c r="H1387" s="561" t="s">
        <v>325</v>
      </c>
      <c r="I1387" s="351"/>
      <c r="J1387" s="562"/>
      <c r="K1387" s="351"/>
      <c r="L1387" s="562"/>
      <c r="M1387" s="351"/>
      <c r="N1387" s="37"/>
      <c r="O1387" s="38"/>
      <c r="P1387" s="560"/>
      <c r="Q1387" s="351"/>
      <c r="R1387" s="527"/>
      <c r="S1387" s="351"/>
      <c r="T1387" s="528"/>
      <c r="U1387" s="351"/>
      <c r="V1387" s="541"/>
      <c r="W1387" s="351"/>
      <c r="X1387" s="542" t="s">
        <v>294</v>
      </c>
      <c r="Y1387" s="350"/>
      <c r="Z1387" s="350"/>
      <c r="AA1387" s="351"/>
      <c r="AB1387" s="543" t="s">
        <v>294</v>
      </c>
      <c r="AC1387" s="350"/>
      <c r="AD1387" s="350"/>
      <c r="AE1387" s="351"/>
      <c r="AF1387" s="544"/>
      <c r="AG1387" s="351"/>
      <c r="AH1387" s="544"/>
      <c r="AI1387" s="351"/>
      <c r="AJ1387" s="545"/>
      <c r="AK1387" s="351"/>
      <c r="AL1387" s="524" t="s">
        <v>325</v>
      </c>
      <c r="AM1387" s="351"/>
      <c r="AN1387" s="549" t="s">
        <v>325</v>
      </c>
      <c r="AO1387" s="351"/>
      <c r="AP1387" s="550"/>
      <c r="AQ1387" s="351"/>
      <c r="AR1387" s="551"/>
      <c r="AS1387" s="351"/>
      <c r="AT1387" s="552"/>
      <c r="AU1387" s="351"/>
      <c r="AV1387" s="549" t="s">
        <v>325</v>
      </c>
      <c r="AW1387" s="351"/>
      <c r="AX1387" s="553"/>
      <c r="AY1387" s="350"/>
      <c r="AZ1387" s="351"/>
      <c r="BA1387" s="554"/>
      <c r="BB1387" s="351"/>
      <c r="BC1387" s="39"/>
      <c r="BD1387" s="546" t="s">
        <v>325</v>
      </c>
      <c r="BE1387" s="351"/>
      <c r="BF1387" s="547"/>
      <c r="BG1387" s="350"/>
      <c r="BH1387" s="350"/>
      <c r="BI1387" s="351"/>
      <c r="BJ1387" s="548" t="s">
        <v>294</v>
      </c>
      <c r="BK1387" s="350"/>
      <c r="BL1387" s="350"/>
      <c r="BM1387" s="351"/>
      <c r="BN1387" s="530" t="s">
        <v>294</v>
      </c>
      <c r="BO1387" s="350"/>
      <c r="BP1387" s="350"/>
      <c r="BQ1387" s="350"/>
      <c r="BR1387" s="350"/>
      <c r="BS1387" s="350"/>
      <c r="BT1387" s="350"/>
      <c r="BU1387" s="350"/>
      <c r="BV1387" s="351"/>
    </row>
    <row r="1388" spans="1:74" ht="45" customHeight="1">
      <c r="A1388" s="24">
        <f t="shared" si="5"/>
        <v>1374</v>
      </c>
      <c r="B1388" s="558" t="s">
        <v>294</v>
      </c>
      <c r="C1388" s="351"/>
      <c r="D1388" s="559" t="s">
        <v>298</v>
      </c>
      <c r="E1388" s="351"/>
      <c r="F1388" s="524" t="s">
        <v>325</v>
      </c>
      <c r="G1388" s="351"/>
      <c r="H1388" s="525" t="s">
        <v>325</v>
      </c>
      <c r="I1388" s="351"/>
      <c r="J1388" s="563"/>
      <c r="K1388" s="351"/>
      <c r="L1388" s="563"/>
      <c r="M1388" s="351"/>
      <c r="N1388" s="34"/>
      <c r="O1388" s="35"/>
      <c r="P1388" s="526"/>
      <c r="Q1388" s="351"/>
      <c r="R1388" s="535"/>
      <c r="S1388" s="351"/>
      <c r="T1388" s="536"/>
      <c r="U1388" s="351"/>
      <c r="V1388" s="537"/>
      <c r="W1388" s="351"/>
      <c r="X1388" s="538" t="s">
        <v>294</v>
      </c>
      <c r="Y1388" s="350"/>
      <c r="Z1388" s="350"/>
      <c r="AA1388" s="351"/>
      <c r="AB1388" s="539" t="s">
        <v>294</v>
      </c>
      <c r="AC1388" s="350"/>
      <c r="AD1388" s="350"/>
      <c r="AE1388" s="351"/>
      <c r="AF1388" s="540"/>
      <c r="AG1388" s="351"/>
      <c r="AH1388" s="540"/>
      <c r="AI1388" s="351"/>
      <c r="AJ1388" s="545"/>
      <c r="AK1388" s="351"/>
      <c r="AL1388" s="555" t="s">
        <v>325</v>
      </c>
      <c r="AM1388" s="351"/>
      <c r="AN1388" s="531" t="s">
        <v>325</v>
      </c>
      <c r="AO1388" s="351"/>
      <c r="AP1388" s="532"/>
      <c r="AQ1388" s="351"/>
      <c r="AR1388" s="533"/>
      <c r="AS1388" s="351"/>
      <c r="AT1388" s="534"/>
      <c r="AU1388" s="351"/>
      <c r="AV1388" s="531" t="s">
        <v>325</v>
      </c>
      <c r="AW1388" s="351"/>
      <c r="AX1388" s="553"/>
      <c r="AY1388" s="350"/>
      <c r="AZ1388" s="351"/>
      <c r="BA1388" s="545"/>
      <c r="BB1388" s="351"/>
      <c r="BC1388" s="36"/>
      <c r="BD1388" s="556" t="s">
        <v>325</v>
      </c>
      <c r="BE1388" s="351"/>
      <c r="BF1388" s="557"/>
      <c r="BG1388" s="350"/>
      <c r="BH1388" s="350"/>
      <c r="BI1388" s="351"/>
      <c r="BJ1388" s="506" t="s">
        <v>294</v>
      </c>
      <c r="BK1388" s="350"/>
      <c r="BL1388" s="350"/>
      <c r="BM1388" s="351"/>
      <c r="BN1388" s="530" t="s">
        <v>294</v>
      </c>
      <c r="BO1388" s="350"/>
      <c r="BP1388" s="350"/>
      <c r="BQ1388" s="350"/>
      <c r="BR1388" s="350"/>
      <c r="BS1388" s="350"/>
      <c r="BT1388" s="350"/>
      <c r="BU1388" s="350"/>
      <c r="BV1388" s="351"/>
    </row>
    <row r="1389" spans="1:74" ht="45" customHeight="1">
      <c r="A1389" s="24">
        <f t="shared" si="5"/>
        <v>1375</v>
      </c>
      <c r="B1389" s="522" t="s">
        <v>294</v>
      </c>
      <c r="C1389" s="351"/>
      <c r="D1389" s="523" t="s">
        <v>298</v>
      </c>
      <c r="E1389" s="351"/>
      <c r="F1389" s="524" t="s">
        <v>325</v>
      </c>
      <c r="G1389" s="351"/>
      <c r="H1389" s="561" t="s">
        <v>325</v>
      </c>
      <c r="I1389" s="351"/>
      <c r="J1389" s="562"/>
      <c r="K1389" s="351"/>
      <c r="L1389" s="562"/>
      <c r="M1389" s="351"/>
      <c r="N1389" s="37"/>
      <c r="O1389" s="38"/>
      <c r="P1389" s="560"/>
      <c r="Q1389" s="351"/>
      <c r="R1389" s="527"/>
      <c r="S1389" s="351"/>
      <c r="T1389" s="528"/>
      <c r="U1389" s="351"/>
      <c r="V1389" s="541"/>
      <c r="W1389" s="351"/>
      <c r="X1389" s="542" t="s">
        <v>294</v>
      </c>
      <c r="Y1389" s="350"/>
      <c r="Z1389" s="350"/>
      <c r="AA1389" s="351"/>
      <c r="AB1389" s="543" t="s">
        <v>294</v>
      </c>
      <c r="AC1389" s="350"/>
      <c r="AD1389" s="350"/>
      <c r="AE1389" s="351"/>
      <c r="AF1389" s="544"/>
      <c r="AG1389" s="351"/>
      <c r="AH1389" s="544"/>
      <c r="AI1389" s="351"/>
      <c r="AJ1389" s="545"/>
      <c r="AK1389" s="351"/>
      <c r="AL1389" s="524" t="s">
        <v>325</v>
      </c>
      <c r="AM1389" s="351"/>
      <c r="AN1389" s="549" t="s">
        <v>325</v>
      </c>
      <c r="AO1389" s="351"/>
      <c r="AP1389" s="550"/>
      <c r="AQ1389" s="351"/>
      <c r="AR1389" s="551"/>
      <c r="AS1389" s="351"/>
      <c r="AT1389" s="552"/>
      <c r="AU1389" s="351"/>
      <c r="AV1389" s="549" t="s">
        <v>325</v>
      </c>
      <c r="AW1389" s="351"/>
      <c r="AX1389" s="553"/>
      <c r="AY1389" s="350"/>
      <c r="AZ1389" s="351"/>
      <c r="BA1389" s="554"/>
      <c r="BB1389" s="351"/>
      <c r="BC1389" s="39"/>
      <c r="BD1389" s="546" t="s">
        <v>325</v>
      </c>
      <c r="BE1389" s="351"/>
      <c r="BF1389" s="547"/>
      <c r="BG1389" s="350"/>
      <c r="BH1389" s="350"/>
      <c r="BI1389" s="351"/>
      <c r="BJ1389" s="548" t="s">
        <v>294</v>
      </c>
      <c r="BK1389" s="350"/>
      <c r="BL1389" s="350"/>
      <c r="BM1389" s="351"/>
      <c r="BN1389" s="530" t="s">
        <v>294</v>
      </c>
      <c r="BO1389" s="350"/>
      <c r="BP1389" s="350"/>
      <c r="BQ1389" s="350"/>
      <c r="BR1389" s="350"/>
      <c r="BS1389" s="350"/>
      <c r="BT1389" s="350"/>
      <c r="BU1389" s="350"/>
      <c r="BV1389" s="351"/>
    </row>
    <row r="1390" spans="1:74" ht="45" customHeight="1">
      <c r="A1390" s="24">
        <f t="shared" si="5"/>
        <v>1376</v>
      </c>
      <c r="B1390" s="558" t="s">
        <v>294</v>
      </c>
      <c r="C1390" s="351"/>
      <c r="D1390" s="559" t="s">
        <v>298</v>
      </c>
      <c r="E1390" s="351"/>
      <c r="F1390" s="524" t="s">
        <v>325</v>
      </c>
      <c r="G1390" s="351"/>
      <c r="H1390" s="525" t="s">
        <v>325</v>
      </c>
      <c r="I1390" s="351"/>
      <c r="J1390" s="563"/>
      <c r="K1390" s="351"/>
      <c r="L1390" s="563"/>
      <c r="M1390" s="351"/>
      <c r="N1390" s="34"/>
      <c r="O1390" s="35"/>
      <c r="P1390" s="526"/>
      <c r="Q1390" s="351"/>
      <c r="R1390" s="535"/>
      <c r="S1390" s="351"/>
      <c r="T1390" s="536"/>
      <c r="U1390" s="351"/>
      <c r="V1390" s="537"/>
      <c r="W1390" s="351"/>
      <c r="X1390" s="538" t="s">
        <v>294</v>
      </c>
      <c r="Y1390" s="350"/>
      <c r="Z1390" s="350"/>
      <c r="AA1390" s="351"/>
      <c r="AB1390" s="539" t="s">
        <v>294</v>
      </c>
      <c r="AC1390" s="350"/>
      <c r="AD1390" s="350"/>
      <c r="AE1390" s="351"/>
      <c r="AF1390" s="540"/>
      <c r="AG1390" s="351"/>
      <c r="AH1390" s="540"/>
      <c r="AI1390" s="351"/>
      <c r="AJ1390" s="545"/>
      <c r="AK1390" s="351"/>
      <c r="AL1390" s="555" t="s">
        <v>325</v>
      </c>
      <c r="AM1390" s="351"/>
      <c r="AN1390" s="531" t="s">
        <v>325</v>
      </c>
      <c r="AO1390" s="351"/>
      <c r="AP1390" s="532"/>
      <c r="AQ1390" s="351"/>
      <c r="AR1390" s="533"/>
      <c r="AS1390" s="351"/>
      <c r="AT1390" s="534"/>
      <c r="AU1390" s="351"/>
      <c r="AV1390" s="531" t="s">
        <v>325</v>
      </c>
      <c r="AW1390" s="351"/>
      <c r="AX1390" s="553"/>
      <c r="AY1390" s="350"/>
      <c r="AZ1390" s="351"/>
      <c r="BA1390" s="545"/>
      <c r="BB1390" s="351"/>
      <c r="BC1390" s="36"/>
      <c r="BD1390" s="556" t="s">
        <v>325</v>
      </c>
      <c r="BE1390" s="351"/>
      <c r="BF1390" s="529"/>
      <c r="BG1390" s="350"/>
      <c r="BH1390" s="350"/>
      <c r="BI1390" s="351"/>
      <c r="BJ1390" s="506" t="s">
        <v>294</v>
      </c>
      <c r="BK1390" s="350"/>
      <c r="BL1390" s="350"/>
      <c r="BM1390" s="351"/>
      <c r="BN1390" s="530" t="s">
        <v>294</v>
      </c>
      <c r="BO1390" s="350"/>
      <c r="BP1390" s="350"/>
      <c r="BQ1390" s="350"/>
      <c r="BR1390" s="350"/>
      <c r="BS1390" s="350"/>
      <c r="BT1390" s="350"/>
      <c r="BU1390" s="350"/>
      <c r="BV1390" s="351"/>
    </row>
    <row r="1391" spans="1:74" ht="45" customHeight="1">
      <c r="A1391" s="24">
        <f t="shared" si="5"/>
        <v>1377</v>
      </c>
      <c r="B1391" s="522" t="s">
        <v>294</v>
      </c>
      <c r="C1391" s="351"/>
      <c r="D1391" s="523" t="s">
        <v>298</v>
      </c>
      <c r="E1391" s="351"/>
      <c r="F1391" s="524" t="s">
        <v>325</v>
      </c>
      <c r="G1391" s="351"/>
      <c r="H1391" s="561" t="s">
        <v>325</v>
      </c>
      <c r="I1391" s="351"/>
      <c r="J1391" s="562"/>
      <c r="K1391" s="351"/>
      <c r="L1391" s="562"/>
      <c r="M1391" s="351"/>
      <c r="N1391" s="37"/>
      <c r="O1391" s="38"/>
      <c r="P1391" s="560"/>
      <c r="Q1391" s="351"/>
      <c r="R1391" s="527"/>
      <c r="S1391" s="351"/>
      <c r="T1391" s="528"/>
      <c r="U1391" s="351"/>
      <c r="V1391" s="541"/>
      <c r="W1391" s="351"/>
      <c r="X1391" s="542" t="s">
        <v>294</v>
      </c>
      <c r="Y1391" s="350"/>
      <c r="Z1391" s="350"/>
      <c r="AA1391" s="351"/>
      <c r="AB1391" s="543" t="s">
        <v>294</v>
      </c>
      <c r="AC1391" s="350"/>
      <c r="AD1391" s="350"/>
      <c r="AE1391" s="351"/>
      <c r="AF1391" s="544"/>
      <c r="AG1391" s="351"/>
      <c r="AH1391" s="544"/>
      <c r="AI1391" s="351"/>
      <c r="AJ1391" s="545"/>
      <c r="AK1391" s="351"/>
      <c r="AL1391" s="524" t="s">
        <v>325</v>
      </c>
      <c r="AM1391" s="351"/>
      <c r="AN1391" s="549" t="s">
        <v>325</v>
      </c>
      <c r="AO1391" s="351"/>
      <c r="AP1391" s="550"/>
      <c r="AQ1391" s="351"/>
      <c r="AR1391" s="551"/>
      <c r="AS1391" s="351"/>
      <c r="AT1391" s="552"/>
      <c r="AU1391" s="351"/>
      <c r="AV1391" s="549" t="s">
        <v>325</v>
      </c>
      <c r="AW1391" s="351"/>
      <c r="AX1391" s="553"/>
      <c r="AY1391" s="350"/>
      <c r="AZ1391" s="351"/>
      <c r="BA1391" s="554"/>
      <c r="BB1391" s="351"/>
      <c r="BC1391" s="39"/>
      <c r="BD1391" s="546" t="s">
        <v>325</v>
      </c>
      <c r="BE1391" s="351"/>
      <c r="BF1391" s="547"/>
      <c r="BG1391" s="350"/>
      <c r="BH1391" s="350"/>
      <c r="BI1391" s="351"/>
      <c r="BJ1391" s="548" t="s">
        <v>294</v>
      </c>
      <c r="BK1391" s="350"/>
      <c r="BL1391" s="350"/>
      <c r="BM1391" s="351"/>
      <c r="BN1391" s="530" t="s">
        <v>294</v>
      </c>
      <c r="BO1391" s="350"/>
      <c r="BP1391" s="350"/>
      <c r="BQ1391" s="350"/>
      <c r="BR1391" s="350"/>
      <c r="BS1391" s="350"/>
      <c r="BT1391" s="350"/>
      <c r="BU1391" s="350"/>
      <c r="BV1391" s="351"/>
    </row>
    <row r="1392" spans="1:74" ht="45" customHeight="1">
      <c r="A1392" s="24">
        <f t="shared" si="5"/>
        <v>1378</v>
      </c>
      <c r="B1392" s="558" t="s">
        <v>294</v>
      </c>
      <c r="C1392" s="351"/>
      <c r="D1392" s="559" t="s">
        <v>298</v>
      </c>
      <c r="E1392" s="351"/>
      <c r="F1392" s="524" t="s">
        <v>325</v>
      </c>
      <c r="G1392" s="351"/>
      <c r="H1392" s="525" t="s">
        <v>325</v>
      </c>
      <c r="I1392" s="351"/>
      <c r="J1392" s="563"/>
      <c r="K1392" s="351"/>
      <c r="L1392" s="563"/>
      <c r="M1392" s="351"/>
      <c r="N1392" s="34"/>
      <c r="O1392" s="35"/>
      <c r="P1392" s="526"/>
      <c r="Q1392" s="351"/>
      <c r="R1392" s="535"/>
      <c r="S1392" s="351"/>
      <c r="T1392" s="536"/>
      <c r="U1392" s="351"/>
      <c r="V1392" s="537"/>
      <c r="W1392" s="351"/>
      <c r="X1392" s="538" t="s">
        <v>294</v>
      </c>
      <c r="Y1392" s="350"/>
      <c r="Z1392" s="350"/>
      <c r="AA1392" s="351"/>
      <c r="AB1392" s="539" t="s">
        <v>294</v>
      </c>
      <c r="AC1392" s="350"/>
      <c r="AD1392" s="350"/>
      <c r="AE1392" s="351"/>
      <c r="AF1392" s="540"/>
      <c r="AG1392" s="351"/>
      <c r="AH1392" s="540"/>
      <c r="AI1392" s="351"/>
      <c r="AJ1392" s="545"/>
      <c r="AK1392" s="351"/>
      <c r="AL1392" s="555" t="s">
        <v>325</v>
      </c>
      <c r="AM1392" s="351"/>
      <c r="AN1392" s="531" t="s">
        <v>325</v>
      </c>
      <c r="AO1392" s="351"/>
      <c r="AP1392" s="532"/>
      <c r="AQ1392" s="351"/>
      <c r="AR1392" s="533"/>
      <c r="AS1392" s="351"/>
      <c r="AT1392" s="534"/>
      <c r="AU1392" s="351"/>
      <c r="AV1392" s="531" t="s">
        <v>325</v>
      </c>
      <c r="AW1392" s="351"/>
      <c r="AX1392" s="553"/>
      <c r="AY1392" s="350"/>
      <c r="AZ1392" s="351"/>
      <c r="BA1392" s="545"/>
      <c r="BB1392" s="351"/>
      <c r="BC1392" s="36"/>
      <c r="BD1392" s="556" t="s">
        <v>325</v>
      </c>
      <c r="BE1392" s="351"/>
      <c r="BF1392" s="557"/>
      <c r="BG1392" s="350"/>
      <c r="BH1392" s="350"/>
      <c r="BI1392" s="351"/>
      <c r="BJ1392" s="506" t="s">
        <v>294</v>
      </c>
      <c r="BK1392" s="350"/>
      <c r="BL1392" s="350"/>
      <c r="BM1392" s="351"/>
      <c r="BN1392" s="530" t="s">
        <v>294</v>
      </c>
      <c r="BO1392" s="350"/>
      <c r="BP1392" s="350"/>
      <c r="BQ1392" s="350"/>
      <c r="BR1392" s="350"/>
      <c r="BS1392" s="350"/>
      <c r="BT1392" s="350"/>
      <c r="BU1392" s="350"/>
      <c r="BV1392" s="351"/>
    </row>
    <row r="1393" spans="1:74" ht="45" customHeight="1">
      <c r="A1393" s="24">
        <f t="shared" si="5"/>
        <v>1379</v>
      </c>
      <c r="B1393" s="522" t="s">
        <v>294</v>
      </c>
      <c r="C1393" s="351"/>
      <c r="D1393" s="523" t="s">
        <v>298</v>
      </c>
      <c r="E1393" s="351"/>
      <c r="F1393" s="524" t="s">
        <v>325</v>
      </c>
      <c r="G1393" s="351"/>
      <c r="H1393" s="561" t="s">
        <v>325</v>
      </c>
      <c r="I1393" s="351"/>
      <c r="J1393" s="562"/>
      <c r="K1393" s="351"/>
      <c r="L1393" s="562"/>
      <c r="M1393" s="351"/>
      <c r="N1393" s="34"/>
      <c r="O1393" s="35"/>
      <c r="P1393" s="526"/>
      <c r="Q1393" s="351"/>
      <c r="R1393" s="527"/>
      <c r="S1393" s="351"/>
      <c r="T1393" s="528"/>
      <c r="U1393" s="351"/>
      <c r="V1393" s="541"/>
      <c r="W1393" s="351"/>
      <c r="X1393" s="542" t="s">
        <v>294</v>
      </c>
      <c r="Y1393" s="350"/>
      <c r="Z1393" s="350"/>
      <c r="AA1393" s="351"/>
      <c r="AB1393" s="543" t="s">
        <v>294</v>
      </c>
      <c r="AC1393" s="350"/>
      <c r="AD1393" s="350"/>
      <c r="AE1393" s="351"/>
      <c r="AF1393" s="544"/>
      <c r="AG1393" s="351"/>
      <c r="AH1393" s="544"/>
      <c r="AI1393" s="351"/>
      <c r="AJ1393" s="545"/>
      <c r="AK1393" s="351"/>
      <c r="AL1393" s="524" t="s">
        <v>325</v>
      </c>
      <c r="AM1393" s="351"/>
      <c r="AN1393" s="549" t="s">
        <v>325</v>
      </c>
      <c r="AO1393" s="351"/>
      <c r="AP1393" s="550"/>
      <c r="AQ1393" s="351"/>
      <c r="AR1393" s="551"/>
      <c r="AS1393" s="351"/>
      <c r="AT1393" s="534"/>
      <c r="AU1393" s="351"/>
      <c r="AV1393" s="549" t="s">
        <v>325</v>
      </c>
      <c r="AW1393" s="351"/>
      <c r="AX1393" s="553"/>
      <c r="AY1393" s="350"/>
      <c r="AZ1393" s="351"/>
      <c r="BA1393" s="554"/>
      <c r="BB1393" s="351"/>
      <c r="BC1393" s="39"/>
      <c r="BD1393" s="546" t="s">
        <v>325</v>
      </c>
      <c r="BE1393" s="351"/>
      <c r="BF1393" s="547"/>
      <c r="BG1393" s="350"/>
      <c r="BH1393" s="350"/>
      <c r="BI1393" s="351"/>
      <c r="BJ1393" s="548" t="s">
        <v>294</v>
      </c>
      <c r="BK1393" s="350"/>
      <c r="BL1393" s="350"/>
      <c r="BM1393" s="351"/>
      <c r="BN1393" s="530" t="s">
        <v>294</v>
      </c>
      <c r="BO1393" s="350"/>
      <c r="BP1393" s="350"/>
      <c r="BQ1393" s="350"/>
      <c r="BR1393" s="350"/>
      <c r="BS1393" s="350"/>
      <c r="BT1393" s="350"/>
      <c r="BU1393" s="350"/>
      <c r="BV1393" s="351"/>
    </row>
    <row r="1394" spans="1:74" ht="45" customHeight="1">
      <c r="A1394" s="24">
        <f t="shared" si="5"/>
        <v>1380</v>
      </c>
      <c r="B1394" s="558" t="s">
        <v>294</v>
      </c>
      <c r="C1394" s="351"/>
      <c r="D1394" s="559" t="s">
        <v>298</v>
      </c>
      <c r="E1394" s="351"/>
      <c r="F1394" s="524" t="s">
        <v>325</v>
      </c>
      <c r="G1394" s="351"/>
      <c r="H1394" s="525" t="s">
        <v>325</v>
      </c>
      <c r="I1394" s="351"/>
      <c r="J1394" s="563"/>
      <c r="K1394" s="351"/>
      <c r="L1394" s="563"/>
      <c r="M1394" s="351"/>
      <c r="N1394" s="37"/>
      <c r="O1394" s="38"/>
      <c r="P1394" s="560"/>
      <c r="Q1394" s="351"/>
      <c r="R1394" s="535"/>
      <c r="S1394" s="351"/>
      <c r="T1394" s="536"/>
      <c r="U1394" s="351"/>
      <c r="V1394" s="537"/>
      <c r="W1394" s="351"/>
      <c r="X1394" s="538" t="s">
        <v>294</v>
      </c>
      <c r="Y1394" s="350"/>
      <c r="Z1394" s="350"/>
      <c r="AA1394" s="351"/>
      <c r="AB1394" s="539" t="s">
        <v>294</v>
      </c>
      <c r="AC1394" s="350"/>
      <c r="AD1394" s="350"/>
      <c r="AE1394" s="351"/>
      <c r="AF1394" s="540"/>
      <c r="AG1394" s="351"/>
      <c r="AH1394" s="540"/>
      <c r="AI1394" s="351"/>
      <c r="AJ1394" s="545"/>
      <c r="AK1394" s="351"/>
      <c r="AL1394" s="555" t="s">
        <v>325</v>
      </c>
      <c r="AM1394" s="351"/>
      <c r="AN1394" s="531" t="s">
        <v>325</v>
      </c>
      <c r="AO1394" s="351"/>
      <c r="AP1394" s="532"/>
      <c r="AQ1394" s="351"/>
      <c r="AR1394" s="533"/>
      <c r="AS1394" s="351"/>
      <c r="AT1394" s="534"/>
      <c r="AU1394" s="351"/>
      <c r="AV1394" s="531" t="s">
        <v>325</v>
      </c>
      <c r="AW1394" s="351"/>
      <c r="AX1394" s="553"/>
      <c r="AY1394" s="350"/>
      <c r="AZ1394" s="351"/>
      <c r="BA1394" s="545"/>
      <c r="BB1394" s="351"/>
      <c r="BC1394" s="36"/>
      <c r="BD1394" s="556" t="s">
        <v>325</v>
      </c>
      <c r="BE1394" s="351"/>
      <c r="BF1394" s="557"/>
      <c r="BG1394" s="350"/>
      <c r="BH1394" s="350"/>
      <c r="BI1394" s="351"/>
      <c r="BJ1394" s="506" t="s">
        <v>294</v>
      </c>
      <c r="BK1394" s="350"/>
      <c r="BL1394" s="350"/>
      <c r="BM1394" s="351"/>
      <c r="BN1394" s="530" t="s">
        <v>294</v>
      </c>
      <c r="BO1394" s="350"/>
      <c r="BP1394" s="350"/>
      <c r="BQ1394" s="350"/>
      <c r="BR1394" s="350"/>
      <c r="BS1394" s="350"/>
      <c r="BT1394" s="350"/>
      <c r="BU1394" s="350"/>
      <c r="BV1394" s="351"/>
    </row>
    <row r="1395" spans="1:74" ht="45" customHeight="1">
      <c r="A1395" s="24">
        <f t="shared" si="5"/>
        <v>1381</v>
      </c>
      <c r="B1395" s="522" t="s">
        <v>294</v>
      </c>
      <c r="C1395" s="351"/>
      <c r="D1395" s="523" t="s">
        <v>298</v>
      </c>
      <c r="E1395" s="351"/>
      <c r="F1395" s="524" t="s">
        <v>325</v>
      </c>
      <c r="G1395" s="351"/>
      <c r="H1395" s="561" t="s">
        <v>325</v>
      </c>
      <c r="I1395" s="351"/>
      <c r="J1395" s="562"/>
      <c r="K1395" s="351"/>
      <c r="L1395" s="562"/>
      <c r="M1395" s="351"/>
      <c r="N1395" s="34"/>
      <c r="O1395" s="35"/>
      <c r="P1395" s="526"/>
      <c r="Q1395" s="351"/>
      <c r="R1395" s="527"/>
      <c r="S1395" s="351"/>
      <c r="T1395" s="528"/>
      <c r="U1395" s="351"/>
      <c r="V1395" s="541"/>
      <c r="W1395" s="351"/>
      <c r="X1395" s="542" t="s">
        <v>294</v>
      </c>
      <c r="Y1395" s="350"/>
      <c r="Z1395" s="350"/>
      <c r="AA1395" s="351"/>
      <c r="AB1395" s="543" t="s">
        <v>294</v>
      </c>
      <c r="AC1395" s="350"/>
      <c r="AD1395" s="350"/>
      <c r="AE1395" s="351"/>
      <c r="AF1395" s="544"/>
      <c r="AG1395" s="351"/>
      <c r="AH1395" s="544"/>
      <c r="AI1395" s="351"/>
      <c r="AJ1395" s="545"/>
      <c r="AK1395" s="351"/>
      <c r="AL1395" s="524" t="s">
        <v>325</v>
      </c>
      <c r="AM1395" s="351"/>
      <c r="AN1395" s="549" t="s">
        <v>325</v>
      </c>
      <c r="AO1395" s="351"/>
      <c r="AP1395" s="550"/>
      <c r="AQ1395" s="351"/>
      <c r="AR1395" s="551"/>
      <c r="AS1395" s="351"/>
      <c r="AT1395" s="534"/>
      <c r="AU1395" s="351"/>
      <c r="AV1395" s="549" t="s">
        <v>325</v>
      </c>
      <c r="AW1395" s="351"/>
      <c r="AX1395" s="553"/>
      <c r="AY1395" s="350"/>
      <c r="AZ1395" s="351"/>
      <c r="BA1395" s="554"/>
      <c r="BB1395" s="351"/>
      <c r="BC1395" s="39"/>
      <c r="BD1395" s="546" t="s">
        <v>325</v>
      </c>
      <c r="BE1395" s="351"/>
      <c r="BF1395" s="547"/>
      <c r="BG1395" s="350"/>
      <c r="BH1395" s="350"/>
      <c r="BI1395" s="351"/>
      <c r="BJ1395" s="548" t="s">
        <v>294</v>
      </c>
      <c r="BK1395" s="350"/>
      <c r="BL1395" s="350"/>
      <c r="BM1395" s="351"/>
      <c r="BN1395" s="530" t="s">
        <v>294</v>
      </c>
      <c r="BO1395" s="350"/>
      <c r="BP1395" s="350"/>
      <c r="BQ1395" s="350"/>
      <c r="BR1395" s="350"/>
      <c r="BS1395" s="350"/>
      <c r="BT1395" s="350"/>
      <c r="BU1395" s="350"/>
      <c r="BV1395" s="351"/>
    </row>
    <row r="1396" spans="1:74" ht="45" customHeight="1">
      <c r="A1396" s="24">
        <f t="shared" si="5"/>
        <v>1382</v>
      </c>
      <c r="B1396" s="558" t="s">
        <v>294</v>
      </c>
      <c r="C1396" s="351"/>
      <c r="D1396" s="559" t="s">
        <v>298</v>
      </c>
      <c r="E1396" s="351"/>
      <c r="F1396" s="524" t="s">
        <v>325</v>
      </c>
      <c r="G1396" s="351"/>
      <c r="H1396" s="525" t="s">
        <v>325</v>
      </c>
      <c r="I1396" s="351"/>
      <c r="J1396" s="563"/>
      <c r="K1396" s="351"/>
      <c r="L1396" s="563"/>
      <c r="M1396" s="351"/>
      <c r="N1396" s="37"/>
      <c r="O1396" s="38"/>
      <c r="P1396" s="560"/>
      <c r="Q1396" s="351"/>
      <c r="R1396" s="535"/>
      <c r="S1396" s="351"/>
      <c r="T1396" s="536"/>
      <c r="U1396" s="351"/>
      <c r="V1396" s="537"/>
      <c r="W1396" s="351"/>
      <c r="X1396" s="538" t="s">
        <v>294</v>
      </c>
      <c r="Y1396" s="350"/>
      <c r="Z1396" s="350"/>
      <c r="AA1396" s="351"/>
      <c r="AB1396" s="539" t="s">
        <v>294</v>
      </c>
      <c r="AC1396" s="350"/>
      <c r="AD1396" s="350"/>
      <c r="AE1396" s="351"/>
      <c r="AF1396" s="540"/>
      <c r="AG1396" s="351"/>
      <c r="AH1396" s="540"/>
      <c r="AI1396" s="351"/>
      <c r="AJ1396" s="545"/>
      <c r="AK1396" s="351"/>
      <c r="AL1396" s="555" t="s">
        <v>325</v>
      </c>
      <c r="AM1396" s="351"/>
      <c r="AN1396" s="531" t="s">
        <v>325</v>
      </c>
      <c r="AO1396" s="351"/>
      <c r="AP1396" s="532"/>
      <c r="AQ1396" s="351"/>
      <c r="AR1396" s="533"/>
      <c r="AS1396" s="351"/>
      <c r="AT1396" s="534"/>
      <c r="AU1396" s="351"/>
      <c r="AV1396" s="531" t="s">
        <v>325</v>
      </c>
      <c r="AW1396" s="351"/>
      <c r="AX1396" s="553"/>
      <c r="AY1396" s="350"/>
      <c r="AZ1396" s="351"/>
      <c r="BA1396" s="545"/>
      <c r="BB1396" s="351"/>
      <c r="BC1396" s="36"/>
      <c r="BD1396" s="556" t="s">
        <v>325</v>
      </c>
      <c r="BE1396" s="351"/>
      <c r="BF1396" s="557"/>
      <c r="BG1396" s="350"/>
      <c r="BH1396" s="350"/>
      <c r="BI1396" s="351"/>
      <c r="BJ1396" s="506" t="s">
        <v>294</v>
      </c>
      <c r="BK1396" s="350"/>
      <c r="BL1396" s="350"/>
      <c r="BM1396" s="351"/>
      <c r="BN1396" s="530" t="s">
        <v>294</v>
      </c>
      <c r="BO1396" s="350"/>
      <c r="BP1396" s="350"/>
      <c r="BQ1396" s="350"/>
      <c r="BR1396" s="350"/>
      <c r="BS1396" s="350"/>
      <c r="BT1396" s="350"/>
      <c r="BU1396" s="350"/>
      <c r="BV1396" s="351"/>
    </row>
    <row r="1397" spans="1:74" ht="45" customHeight="1">
      <c r="A1397" s="24">
        <f t="shared" si="5"/>
        <v>1383</v>
      </c>
      <c r="B1397" s="522" t="s">
        <v>294</v>
      </c>
      <c r="C1397" s="351"/>
      <c r="D1397" s="523" t="s">
        <v>298</v>
      </c>
      <c r="E1397" s="351"/>
      <c r="F1397" s="524" t="s">
        <v>325</v>
      </c>
      <c r="G1397" s="351"/>
      <c r="H1397" s="561" t="s">
        <v>325</v>
      </c>
      <c r="I1397" s="351"/>
      <c r="J1397" s="562"/>
      <c r="K1397" s="351"/>
      <c r="L1397" s="562"/>
      <c r="M1397" s="351"/>
      <c r="N1397" s="34"/>
      <c r="O1397" s="38"/>
      <c r="P1397" s="526"/>
      <c r="Q1397" s="351"/>
      <c r="R1397" s="527"/>
      <c r="S1397" s="351"/>
      <c r="T1397" s="528"/>
      <c r="U1397" s="351"/>
      <c r="V1397" s="541"/>
      <c r="W1397" s="351"/>
      <c r="X1397" s="542" t="s">
        <v>294</v>
      </c>
      <c r="Y1397" s="350"/>
      <c r="Z1397" s="350"/>
      <c r="AA1397" s="351"/>
      <c r="AB1397" s="543" t="s">
        <v>294</v>
      </c>
      <c r="AC1397" s="350"/>
      <c r="AD1397" s="350"/>
      <c r="AE1397" s="351"/>
      <c r="AF1397" s="544"/>
      <c r="AG1397" s="351"/>
      <c r="AH1397" s="544"/>
      <c r="AI1397" s="351"/>
      <c r="AJ1397" s="545"/>
      <c r="AK1397" s="351"/>
      <c r="AL1397" s="524" t="s">
        <v>325</v>
      </c>
      <c r="AM1397" s="351"/>
      <c r="AN1397" s="549" t="s">
        <v>325</v>
      </c>
      <c r="AO1397" s="351"/>
      <c r="AP1397" s="550"/>
      <c r="AQ1397" s="351"/>
      <c r="AR1397" s="551"/>
      <c r="AS1397" s="351"/>
      <c r="AT1397" s="552"/>
      <c r="AU1397" s="351"/>
      <c r="AV1397" s="549" t="s">
        <v>325</v>
      </c>
      <c r="AW1397" s="351"/>
      <c r="AX1397" s="553"/>
      <c r="AY1397" s="350"/>
      <c r="AZ1397" s="351"/>
      <c r="BA1397" s="554"/>
      <c r="BB1397" s="351"/>
      <c r="BC1397" s="39"/>
      <c r="BD1397" s="546" t="s">
        <v>325</v>
      </c>
      <c r="BE1397" s="351"/>
      <c r="BF1397" s="547"/>
      <c r="BG1397" s="350"/>
      <c r="BH1397" s="350"/>
      <c r="BI1397" s="351"/>
      <c r="BJ1397" s="548" t="s">
        <v>294</v>
      </c>
      <c r="BK1397" s="350"/>
      <c r="BL1397" s="350"/>
      <c r="BM1397" s="351"/>
      <c r="BN1397" s="530" t="s">
        <v>294</v>
      </c>
      <c r="BO1397" s="350"/>
      <c r="BP1397" s="350"/>
      <c r="BQ1397" s="350"/>
      <c r="BR1397" s="350"/>
      <c r="BS1397" s="350"/>
      <c r="BT1397" s="350"/>
      <c r="BU1397" s="350"/>
      <c r="BV1397" s="351"/>
    </row>
    <row r="1398" spans="1:74" ht="45" customHeight="1">
      <c r="A1398" s="24">
        <f t="shared" si="5"/>
        <v>1384</v>
      </c>
      <c r="B1398" s="558" t="s">
        <v>294</v>
      </c>
      <c r="C1398" s="351"/>
      <c r="D1398" s="559" t="s">
        <v>298</v>
      </c>
      <c r="E1398" s="351"/>
      <c r="F1398" s="524" t="s">
        <v>325</v>
      </c>
      <c r="G1398" s="351"/>
      <c r="H1398" s="525" t="s">
        <v>325</v>
      </c>
      <c r="I1398" s="351"/>
      <c r="J1398" s="563"/>
      <c r="K1398" s="351"/>
      <c r="L1398" s="563"/>
      <c r="M1398" s="351"/>
      <c r="N1398" s="37"/>
      <c r="O1398" s="35"/>
      <c r="P1398" s="560"/>
      <c r="Q1398" s="351"/>
      <c r="R1398" s="535"/>
      <c r="S1398" s="351"/>
      <c r="T1398" s="536"/>
      <c r="U1398" s="351"/>
      <c r="V1398" s="537"/>
      <c r="W1398" s="351"/>
      <c r="X1398" s="538" t="s">
        <v>294</v>
      </c>
      <c r="Y1398" s="350"/>
      <c r="Z1398" s="350"/>
      <c r="AA1398" s="351"/>
      <c r="AB1398" s="539" t="s">
        <v>294</v>
      </c>
      <c r="AC1398" s="350"/>
      <c r="AD1398" s="350"/>
      <c r="AE1398" s="351"/>
      <c r="AF1398" s="540"/>
      <c r="AG1398" s="351"/>
      <c r="AH1398" s="540"/>
      <c r="AI1398" s="351"/>
      <c r="AJ1398" s="545"/>
      <c r="AK1398" s="351"/>
      <c r="AL1398" s="555" t="s">
        <v>325</v>
      </c>
      <c r="AM1398" s="351"/>
      <c r="AN1398" s="531" t="s">
        <v>325</v>
      </c>
      <c r="AO1398" s="351"/>
      <c r="AP1398" s="532"/>
      <c r="AQ1398" s="351"/>
      <c r="AR1398" s="533"/>
      <c r="AS1398" s="351"/>
      <c r="AT1398" s="534"/>
      <c r="AU1398" s="351"/>
      <c r="AV1398" s="531" t="s">
        <v>325</v>
      </c>
      <c r="AW1398" s="351"/>
      <c r="AX1398" s="553"/>
      <c r="AY1398" s="350"/>
      <c r="AZ1398" s="351"/>
      <c r="BA1398" s="545"/>
      <c r="BB1398" s="351"/>
      <c r="BC1398" s="36"/>
      <c r="BD1398" s="556" t="s">
        <v>325</v>
      </c>
      <c r="BE1398" s="351"/>
      <c r="BF1398" s="529"/>
      <c r="BG1398" s="350"/>
      <c r="BH1398" s="350"/>
      <c r="BI1398" s="351"/>
      <c r="BJ1398" s="506" t="s">
        <v>294</v>
      </c>
      <c r="BK1398" s="350"/>
      <c r="BL1398" s="350"/>
      <c r="BM1398" s="351"/>
      <c r="BN1398" s="530" t="s">
        <v>294</v>
      </c>
      <c r="BO1398" s="350"/>
      <c r="BP1398" s="350"/>
      <c r="BQ1398" s="350"/>
      <c r="BR1398" s="350"/>
      <c r="BS1398" s="350"/>
      <c r="BT1398" s="350"/>
      <c r="BU1398" s="350"/>
      <c r="BV1398" s="351"/>
    </row>
    <row r="1399" spans="1:74" ht="45" customHeight="1">
      <c r="A1399" s="24">
        <f t="shared" si="5"/>
        <v>1385</v>
      </c>
      <c r="B1399" s="522" t="s">
        <v>294</v>
      </c>
      <c r="C1399" s="351"/>
      <c r="D1399" s="523" t="s">
        <v>298</v>
      </c>
      <c r="E1399" s="351"/>
      <c r="F1399" s="524" t="s">
        <v>325</v>
      </c>
      <c r="G1399" s="351"/>
      <c r="H1399" s="561" t="s">
        <v>325</v>
      </c>
      <c r="I1399" s="351"/>
      <c r="J1399" s="562"/>
      <c r="K1399" s="351"/>
      <c r="L1399" s="562"/>
      <c r="M1399" s="351"/>
      <c r="N1399" s="34"/>
      <c r="O1399" s="38"/>
      <c r="P1399" s="526"/>
      <c r="Q1399" s="351"/>
      <c r="R1399" s="527"/>
      <c r="S1399" s="351"/>
      <c r="T1399" s="528"/>
      <c r="U1399" s="351"/>
      <c r="V1399" s="541"/>
      <c r="W1399" s="351"/>
      <c r="X1399" s="542" t="s">
        <v>294</v>
      </c>
      <c r="Y1399" s="350"/>
      <c r="Z1399" s="350"/>
      <c r="AA1399" s="351"/>
      <c r="AB1399" s="543" t="s">
        <v>294</v>
      </c>
      <c r="AC1399" s="350"/>
      <c r="AD1399" s="350"/>
      <c r="AE1399" s="351"/>
      <c r="AF1399" s="544"/>
      <c r="AG1399" s="351"/>
      <c r="AH1399" s="544"/>
      <c r="AI1399" s="351"/>
      <c r="AJ1399" s="545"/>
      <c r="AK1399" s="351"/>
      <c r="AL1399" s="524" t="s">
        <v>325</v>
      </c>
      <c r="AM1399" s="351"/>
      <c r="AN1399" s="549" t="s">
        <v>325</v>
      </c>
      <c r="AO1399" s="351"/>
      <c r="AP1399" s="550"/>
      <c r="AQ1399" s="351"/>
      <c r="AR1399" s="551"/>
      <c r="AS1399" s="351"/>
      <c r="AT1399" s="552"/>
      <c r="AU1399" s="351"/>
      <c r="AV1399" s="549" t="s">
        <v>325</v>
      </c>
      <c r="AW1399" s="351"/>
      <c r="AX1399" s="553"/>
      <c r="AY1399" s="350"/>
      <c r="AZ1399" s="351"/>
      <c r="BA1399" s="554"/>
      <c r="BB1399" s="351"/>
      <c r="BC1399" s="39"/>
      <c r="BD1399" s="546" t="s">
        <v>325</v>
      </c>
      <c r="BE1399" s="351"/>
      <c r="BF1399" s="547"/>
      <c r="BG1399" s="350"/>
      <c r="BH1399" s="350"/>
      <c r="BI1399" s="351"/>
      <c r="BJ1399" s="548" t="s">
        <v>294</v>
      </c>
      <c r="BK1399" s="350"/>
      <c r="BL1399" s="350"/>
      <c r="BM1399" s="351"/>
      <c r="BN1399" s="530" t="s">
        <v>294</v>
      </c>
      <c r="BO1399" s="350"/>
      <c r="BP1399" s="350"/>
      <c r="BQ1399" s="350"/>
      <c r="BR1399" s="350"/>
      <c r="BS1399" s="350"/>
      <c r="BT1399" s="350"/>
      <c r="BU1399" s="350"/>
      <c r="BV1399" s="351"/>
    </row>
    <row r="1400" spans="1:74" ht="45" customHeight="1">
      <c r="A1400" s="24">
        <f t="shared" si="5"/>
        <v>1386</v>
      </c>
      <c r="B1400" s="558" t="s">
        <v>294</v>
      </c>
      <c r="C1400" s="351"/>
      <c r="D1400" s="559" t="s">
        <v>298</v>
      </c>
      <c r="E1400" s="351"/>
      <c r="F1400" s="524" t="s">
        <v>325</v>
      </c>
      <c r="G1400" s="351"/>
      <c r="H1400" s="525" t="s">
        <v>325</v>
      </c>
      <c r="I1400" s="351"/>
      <c r="J1400" s="563"/>
      <c r="K1400" s="351"/>
      <c r="L1400" s="563"/>
      <c r="M1400" s="351"/>
      <c r="N1400" s="37"/>
      <c r="O1400" s="35"/>
      <c r="P1400" s="560"/>
      <c r="Q1400" s="351"/>
      <c r="R1400" s="535"/>
      <c r="S1400" s="351"/>
      <c r="T1400" s="536"/>
      <c r="U1400" s="351"/>
      <c r="V1400" s="537"/>
      <c r="W1400" s="351"/>
      <c r="X1400" s="538" t="s">
        <v>294</v>
      </c>
      <c r="Y1400" s="350"/>
      <c r="Z1400" s="350"/>
      <c r="AA1400" s="351"/>
      <c r="AB1400" s="539" t="s">
        <v>294</v>
      </c>
      <c r="AC1400" s="350"/>
      <c r="AD1400" s="350"/>
      <c r="AE1400" s="351"/>
      <c r="AF1400" s="540"/>
      <c r="AG1400" s="351"/>
      <c r="AH1400" s="540"/>
      <c r="AI1400" s="351"/>
      <c r="AJ1400" s="545"/>
      <c r="AK1400" s="351"/>
      <c r="AL1400" s="555" t="s">
        <v>325</v>
      </c>
      <c r="AM1400" s="351"/>
      <c r="AN1400" s="531" t="s">
        <v>325</v>
      </c>
      <c r="AO1400" s="351"/>
      <c r="AP1400" s="532"/>
      <c r="AQ1400" s="351"/>
      <c r="AR1400" s="533"/>
      <c r="AS1400" s="351"/>
      <c r="AT1400" s="534"/>
      <c r="AU1400" s="351"/>
      <c r="AV1400" s="531" t="s">
        <v>325</v>
      </c>
      <c r="AW1400" s="351"/>
      <c r="AX1400" s="553"/>
      <c r="AY1400" s="350"/>
      <c r="AZ1400" s="351"/>
      <c r="BA1400" s="545"/>
      <c r="BB1400" s="351"/>
      <c r="BC1400" s="36"/>
      <c r="BD1400" s="556" t="s">
        <v>325</v>
      </c>
      <c r="BE1400" s="351"/>
      <c r="BF1400" s="557"/>
      <c r="BG1400" s="350"/>
      <c r="BH1400" s="350"/>
      <c r="BI1400" s="351"/>
      <c r="BJ1400" s="506" t="s">
        <v>294</v>
      </c>
      <c r="BK1400" s="350"/>
      <c r="BL1400" s="350"/>
      <c r="BM1400" s="351"/>
      <c r="BN1400" s="530" t="s">
        <v>294</v>
      </c>
      <c r="BO1400" s="350"/>
      <c r="BP1400" s="350"/>
      <c r="BQ1400" s="350"/>
      <c r="BR1400" s="350"/>
      <c r="BS1400" s="350"/>
      <c r="BT1400" s="350"/>
      <c r="BU1400" s="350"/>
      <c r="BV1400" s="351"/>
    </row>
    <row r="1401" spans="1:74" ht="45" customHeight="1">
      <c r="A1401" s="24">
        <f t="shared" si="5"/>
        <v>1387</v>
      </c>
      <c r="B1401" s="522" t="s">
        <v>294</v>
      </c>
      <c r="C1401" s="351"/>
      <c r="D1401" s="523" t="s">
        <v>298</v>
      </c>
      <c r="E1401" s="351"/>
      <c r="F1401" s="524" t="s">
        <v>325</v>
      </c>
      <c r="G1401" s="351"/>
      <c r="H1401" s="561" t="s">
        <v>325</v>
      </c>
      <c r="I1401" s="351"/>
      <c r="J1401" s="562"/>
      <c r="K1401" s="351"/>
      <c r="L1401" s="562"/>
      <c r="M1401" s="351"/>
      <c r="N1401" s="34"/>
      <c r="O1401" s="38"/>
      <c r="P1401" s="526"/>
      <c r="Q1401" s="351"/>
      <c r="R1401" s="527"/>
      <c r="S1401" s="351"/>
      <c r="T1401" s="528"/>
      <c r="U1401" s="351"/>
      <c r="V1401" s="541"/>
      <c r="W1401" s="351"/>
      <c r="X1401" s="542" t="s">
        <v>294</v>
      </c>
      <c r="Y1401" s="350"/>
      <c r="Z1401" s="350"/>
      <c r="AA1401" s="351"/>
      <c r="AB1401" s="543" t="s">
        <v>294</v>
      </c>
      <c r="AC1401" s="350"/>
      <c r="AD1401" s="350"/>
      <c r="AE1401" s="351"/>
      <c r="AF1401" s="544"/>
      <c r="AG1401" s="351"/>
      <c r="AH1401" s="544"/>
      <c r="AI1401" s="351"/>
      <c r="AJ1401" s="545"/>
      <c r="AK1401" s="351"/>
      <c r="AL1401" s="524" t="s">
        <v>325</v>
      </c>
      <c r="AM1401" s="351"/>
      <c r="AN1401" s="549" t="s">
        <v>325</v>
      </c>
      <c r="AO1401" s="351"/>
      <c r="AP1401" s="550"/>
      <c r="AQ1401" s="351"/>
      <c r="AR1401" s="551"/>
      <c r="AS1401" s="351"/>
      <c r="AT1401" s="552"/>
      <c r="AU1401" s="351"/>
      <c r="AV1401" s="549" t="s">
        <v>325</v>
      </c>
      <c r="AW1401" s="351"/>
      <c r="AX1401" s="553"/>
      <c r="AY1401" s="350"/>
      <c r="AZ1401" s="351"/>
      <c r="BA1401" s="554"/>
      <c r="BB1401" s="351"/>
      <c r="BC1401" s="39"/>
      <c r="BD1401" s="546" t="s">
        <v>325</v>
      </c>
      <c r="BE1401" s="351"/>
      <c r="BF1401" s="547"/>
      <c r="BG1401" s="350"/>
      <c r="BH1401" s="350"/>
      <c r="BI1401" s="351"/>
      <c r="BJ1401" s="548" t="s">
        <v>294</v>
      </c>
      <c r="BK1401" s="350"/>
      <c r="BL1401" s="350"/>
      <c r="BM1401" s="351"/>
      <c r="BN1401" s="530" t="s">
        <v>294</v>
      </c>
      <c r="BO1401" s="350"/>
      <c r="BP1401" s="350"/>
      <c r="BQ1401" s="350"/>
      <c r="BR1401" s="350"/>
      <c r="BS1401" s="350"/>
      <c r="BT1401" s="350"/>
      <c r="BU1401" s="350"/>
      <c r="BV1401" s="351"/>
    </row>
    <row r="1402" spans="1:74" ht="45" customHeight="1">
      <c r="A1402" s="24">
        <f t="shared" si="5"/>
        <v>1388</v>
      </c>
      <c r="B1402" s="558" t="s">
        <v>294</v>
      </c>
      <c r="C1402" s="351"/>
      <c r="D1402" s="559" t="s">
        <v>298</v>
      </c>
      <c r="E1402" s="351"/>
      <c r="F1402" s="524" t="s">
        <v>325</v>
      </c>
      <c r="G1402" s="351"/>
      <c r="H1402" s="525" t="s">
        <v>325</v>
      </c>
      <c r="I1402" s="351"/>
      <c r="J1402" s="40"/>
      <c r="K1402" s="41"/>
      <c r="L1402" s="40"/>
      <c r="M1402" s="41"/>
      <c r="N1402" s="37"/>
      <c r="O1402" s="35"/>
      <c r="P1402" s="560"/>
      <c r="Q1402" s="351"/>
      <c r="R1402" s="535"/>
      <c r="S1402" s="351"/>
      <c r="T1402" s="536"/>
      <c r="U1402" s="351"/>
      <c r="V1402" s="537"/>
      <c r="W1402" s="351"/>
      <c r="X1402" s="538" t="s">
        <v>294</v>
      </c>
      <c r="Y1402" s="350"/>
      <c r="Z1402" s="350"/>
      <c r="AA1402" s="351"/>
      <c r="AB1402" s="539" t="s">
        <v>294</v>
      </c>
      <c r="AC1402" s="350"/>
      <c r="AD1402" s="350"/>
      <c r="AE1402" s="351"/>
      <c r="AF1402" s="540"/>
      <c r="AG1402" s="351"/>
      <c r="AH1402" s="540"/>
      <c r="AI1402" s="351"/>
      <c r="AJ1402" s="545"/>
      <c r="AK1402" s="351"/>
      <c r="AL1402" s="555" t="s">
        <v>325</v>
      </c>
      <c r="AM1402" s="351"/>
      <c r="AN1402" s="531" t="s">
        <v>325</v>
      </c>
      <c r="AO1402" s="351"/>
      <c r="AP1402" s="532"/>
      <c r="AQ1402" s="351"/>
      <c r="AR1402" s="533"/>
      <c r="AS1402" s="351"/>
      <c r="AT1402" s="534"/>
      <c r="AU1402" s="351"/>
      <c r="AV1402" s="531" t="s">
        <v>325</v>
      </c>
      <c r="AW1402" s="351"/>
      <c r="AX1402" s="553"/>
      <c r="AY1402" s="350"/>
      <c r="AZ1402" s="351"/>
      <c r="BA1402" s="545"/>
      <c r="BB1402" s="351"/>
      <c r="BC1402" s="36"/>
      <c r="BD1402" s="556" t="s">
        <v>325</v>
      </c>
      <c r="BE1402" s="351"/>
      <c r="BF1402" s="557"/>
      <c r="BG1402" s="350"/>
      <c r="BH1402" s="350"/>
      <c r="BI1402" s="351"/>
      <c r="BJ1402" s="506" t="s">
        <v>294</v>
      </c>
      <c r="BK1402" s="350"/>
      <c r="BL1402" s="350"/>
      <c r="BM1402" s="351"/>
      <c r="BN1402" s="530" t="s">
        <v>294</v>
      </c>
      <c r="BO1402" s="350"/>
      <c r="BP1402" s="350"/>
      <c r="BQ1402" s="350"/>
      <c r="BR1402" s="350"/>
      <c r="BS1402" s="350"/>
      <c r="BT1402" s="350"/>
      <c r="BU1402" s="350"/>
      <c r="BV1402" s="351"/>
    </row>
    <row r="1403" spans="1:74" ht="45" customHeight="1">
      <c r="A1403" s="24">
        <f t="shared" si="5"/>
        <v>1389</v>
      </c>
      <c r="B1403" s="522" t="s">
        <v>294</v>
      </c>
      <c r="C1403" s="351"/>
      <c r="D1403" s="523" t="s">
        <v>298</v>
      </c>
      <c r="E1403" s="351"/>
      <c r="F1403" s="524" t="s">
        <v>325</v>
      </c>
      <c r="G1403" s="351"/>
      <c r="H1403" s="561" t="s">
        <v>325</v>
      </c>
      <c r="I1403" s="351"/>
      <c r="J1403" s="562"/>
      <c r="K1403" s="351"/>
      <c r="L1403" s="562"/>
      <c r="M1403" s="351"/>
      <c r="N1403" s="34"/>
      <c r="O1403" s="38"/>
      <c r="P1403" s="526"/>
      <c r="Q1403" s="351"/>
      <c r="R1403" s="527"/>
      <c r="S1403" s="351"/>
      <c r="T1403" s="528"/>
      <c r="U1403" s="351"/>
      <c r="V1403" s="541"/>
      <c r="W1403" s="351"/>
      <c r="X1403" s="542" t="s">
        <v>294</v>
      </c>
      <c r="Y1403" s="350"/>
      <c r="Z1403" s="350"/>
      <c r="AA1403" s="351"/>
      <c r="AB1403" s="543" t="s">
        <v>294</v>
      </c>
      <c r="AC1403" s="350"/>
      <c r="AD1403" s="350"/>
      <c r="AE1403" s="351"/>
      <c r="AF1403" s="544"/>
      <c r="AG1403" s="351"/>
      <c r="AH1403" s="544"/>
      <c r="AI1403" s="351"/>
      <c r="AJ1403" s="545"/>
      <c r="AK1403" s="351"/>
      <c r="AL1403" s="524" t="s">
        <v>325</v>
      </c>
      <c r="AM1403" s="351"/>
      <c r="AN1403" s="549" t="s">
        <v>325</v>
      </c>
      <c r="AO1403" s="351"/>
      <c r="AP1403" s="550"/>
      <c r="AQ1403" s="351"/>
      <c r="AR1403" s="551"/>
      <c r="AS1403" s="351"/>
      <c r="AT1403" s="552"/>
      <c r="AU1403" s="351"/>
      <c r="AV1403" s="549" t="s">
        <v>325</v>
      </c>
      <c r="AW1403" s="351"/>
      <c r="AX1403" s="553"/>
      <c r="AY1403" s="350"/>
      <c r="AZ1403" s="351"/>
      <c r="BA1403" s="554"/>
      <c r="BB1403" s="351"/>
      <c r="BC1403" s="39"/>
      <c r="BD1403" s="546" t="s">
        <v>325</v>
      </c>
      <c r="BE1403" s="351"/>
      <c r="BF1403" s="547"/>
      <c r="BG1403" s="350"/>
      <c r="BH1403" s="350"/>
      <c r="BI1403" s="351"/>
      <c r="BJ1403" s="548" t="s">
        <v>294</v>
      </c>
      <c r="BK1403" s="350"/>
      <c r="BL1403" s="350"/>
      <c r="BM1403" s="351"/>
      <c r="BN1403" s="530" t="s">
        <v>294</v>
      </c>
      <c r="BO1403" s="350"/>
      <c r="BP1403" s="350"/>
      <c r="BQ1403" s="350"/>
      <c r="BR1403" s="350"/>
      <c r="BS1403" s="350"/>
      <c r="BT1403" s="350"/>
      <c r="BU1403" s="350"/>
      <c r="BV1403" s="351"/>
    </row>
    <row r="1404" spans="1:74" ht="45" customHeight="1">
      <c r="A1404" s="24">
        <f t="shared" si="5"/>
        <v>1390</v>
      </c>
      <c r="B1404" s="558" t="s">
        <v>294</v>
      </c>
      <c r="C1404" s="351"/>
      <c r="D1404" s="559" t="s">
        <v>298</v>
      </c>
      <c r="E1404" s="351"/>
      <c r="F1404" s="524" t="s">
        <v>325</v>
      </c>
      <c r="G1404" s="351"/>
      <c r="H1404" s="525" t="s">
        <v>325</v>
      </c>
      <c r="I1404" s="351"/>
      <c r="J1404" s="40"/>
      <c r="K1404" s="41"/>
      <c r="L1404" s="40"/>
      <c r="M1404" s="41"/>
      <c r="N1404" s="37"/>
      <c r="O1404" s="35"/>
      <c r="P1404" s="560"/>
      <c r="Q1404" s="351"/>
      <c r="R1404" s="535"/>
      <c r="S1404" s="351"/>
      <c r="T1404" s="536"/>
      <c r="U1404" s="351"/>
      <c r="V1404" s="537"/>
      <c r="W1404" s="351"/>
      <c r="X1404" s="538" t="s">
        <v>294</v>
      </c>
      <c r="Y1404" s="350"/>
      <c r="Z1404" s="350"/>
      <c r="AA1404" s="351"/>
      <c r="AB1404" s="539" t="s">
        <v>294</v>
      </c>
      <c r="AC1404" s="350"/>
      <c r="AD1404" s="350"/>
      <c r="AE1404" s="351"/>
      <c r="AF1404" s="540"/>
      <c r="AG1404" s="351"/>
      <c r="AH1404" s="540"/>
      <c r="AI1404" s="351"/>
      <c r="AJ1404" s="545"/>
      <c r="AK1404" s="351"/>
      <c r="AL1404" s="555" t="s">
        <v>325</v>
      </c>
      <c r="AM1404" s="351"/>
      <c r="AN1404" s="531" t="s">
        <v>325</v>
      </c>
      <c r="AO1404" s="351"/>
      <c r="AP1404" s="532"/>
      <c r="AQ1404" s="351"/>
      <c r="AR1404" s="533"/>
      <c r="AS1404" s="351"/>
      <c r="AT1404" s="534"/>
      <c r="AU1404" s="351"/>
      <c r="AV1404" s="531" t="s">
        <v>325</v>
      </c>
      <c r="AW1404" s="351"/>
      <c r="AX1404" s="553"/>
      <c r="AY1404" s="350"/>
      <c r="AZ1404" s="351"/>
      <c r="BA1404" s="545"/>
      <c r="BB1404" s="351"/>
      <c r="BC1404" s="36"/>
      <c r="BD1404" s="556" t="s">
        <v>325</v>
      </c>
      <c r="BE1404" s="351"/>
      <c r="BF1404" s="529"/>
      <c r="BG1404" s="350"/>
      <c r="BH1404" s="350"/>
      <c r="BI1404" s="351"/>
      <c r="BJ1404" s="506" t="s">
        <v>294</v>
      </c>
      <c r="BK1404" s="350"/>
      <c r="BL1404" s="350"/>
      <c r="BM1404" s="351"/>
      <c r="BN1404" s="530" t="s">
        <v>294</v>
      </c>
      <c r="BO1404" s="350"/>
      <c r="BP1404" s="350"/>
      <c r="BQ1404" s="350"/>
      <c r="BR1404" s="350"/>
      <c r="BS1404" s="350"/>
      <c r="BT1404" s="350"/>
      <c r="BU1404" s="350"/>
      <c r="BV1404" s="351"/>
    </row>
    <row r="1405" spans="1:74" ht="45" customHeight="1">
      <c r="A1405" s="24">
        <f t="shared" si="5"/>
        <v>1391</v>
      </c>
      <c r="B1405" s="522" t="s">
        <v>294</v>
      </c>
      <c r="C1405" s="351"/>
      <c r="D1405" s="523" t="s">
        <v>298</v>
      </c>
      <c r="E1405" s="351"/>
      <c r="F1405" s="524" t="s">
        <v>325</v>
      </c>
      <c r="G1405" s="351"/>
      <c r="H1405" s="561" t="s">
        <v>325</v>
      </c>
      <c r="I1405" s="351"/>
      <c r="J1405" s="562"/>
      <c r="K1405" s="351"/>
      <c r="L1405" s="562"/>
      <c r="M1405" s="351"/>
      <c r="N1405" s="34"/>
      <c r="O1405" s="38"/>
      <c r="P1405" s="526"/>
      <c r="Q1405" s="351"/>
      <c r="R1405" s="527"/>
      <c r="S1405" s="351"/>
      <c r="T1405" s="528"/>
      <c r="U1405" s="351"/>
      <c r="V1405" s="541"/>
      <c r="W1405" s="351"/>
      <c r="X1405" s="542" t="s">
        <v>294</v>
      </c>
      <c r="Y1405" s="350"/>
      <c r="Z1405" s="350"/>
      <c r="AA1405" s="351"/>
      <c r="AB1405" s="543" t="s">
        <v>294</v>
      </c>
      <c r="AC1405" s="350"/>
      <c r="AD1405" s="350"/>
      <c r="AE1405" s="351"/>
      <c r="AF1405" s="544"/>
      <c r="AG1405" s="351"/>
      <c r="AH1405" s="544"/>
      <c r="AI1405" s="351"/>
      <c r="AJ1405" s="545"/>
      <c r="AK1405" s="351"/>
      <c r="AL1405" s="524" t="s">
        <v>325</v>
      </c>
      <c r="AM1405" s="351"/>
      <c r="AN1405" s="549" t="s">
        <v>325</v>
      </c>
      <c r="AO1405" s="351"/>
      <c r="AP1405" s="550"/>
      <c r="AQ1405" s="351"/>
      <c r="AR1405" s="551"/>
      <c r="AS1405" s="351"/>
      <c r="AT1405" s="552"/>
      <c r="AU1405" s="351"/>
      <c r="AV1405" s="549" t="s">
        <v>325</v>
      </c>
      <c r="AW1405" s="351"/>
      <c r="AX1405" s="553"/>
      <c r="AY1405" s="350"/>
      <c r="AZ1405" s="351"/>
      <c r="BA1405" s="554"/>
      <c r="BB1405" s="351"/>
      <c r="BC1405" s="39"/>
      <c r="BD1405" s="546" t="s">
        <v>325</v>
      </c>
      <c r="BE1405" s="351"/>
      <c r="BF1405" s="547"/>
      <c r="BG1405" s="350"/>
      <c r="BH1405" s="350"/>
      <c r="BI1405" s="351"/>
      <c r="BJ1405" s="548" t="s">
        <v>294</v>
      </c>
      <c r="BK1405" s="350"/>
      <c r="BL1405" s="350"/>
      <c r="BM1405" s="351"/>
      <c r="BN1405" s="530" t="s">
        <v>294</v>
      </c>
      <c r="BO1405" s="350"/>
      <c r="BP1405" s="350"/>
      <c r="BQ1405" s="350"/>
      <c r="BR1405" s="350"/>
      <c r="BS1405" s="350"/>
      <c r="BT1405" s="350"/>
      <c r="BU1405" s="350"/>
      <c r="BV1405" s="351"/>
    </row>
    <row r="1406" spans="1:74" ht="45" customHeight="1">
      <c r="A1406" s="24">
        <f t="shared" si="5"/>
        <v>1392</v>
      </c>
      <c r="B1406" s="558" t="s">
        <v>294</v>
      </c>
      <c r="C1406" s="351"/>
      <c r="D1406" s="559" t="s">
        <v>298</v>
      </c>
      <c r="E1406" s="351"/>
      <c r="F1406" s="524" t="s">
        <v>325</v>
      </c>
      <c r="G1406" s="351"/>
      <c r="H1406" s="525" t="s">
        <v>325</v>
      </c>
      <c r="I1406" s="351"/>
      <c r="J1406" s="40"/>
      <c r="K1406" s="41"/>
      <c r="L1406" s="40"/>
      <c r="M1406" s="41"/>
      <c r="N1406" s="37"/>
      <c r="O1406" s="35"/>
      <c r="P1406" s="560"/>
      <c r="Q1406" s="351"/>
      <c r="R1406" s="535"/>
      <c r="S1406" s="351"/>
      <c r="T1406" s="536"/>
      <c r="U1406" s="351"/>
      <c r="V1406" s="537"/>
      <c r="W1406" s="351"/>
      <c r="X1406" s="538" t="s">
        <v>294</v>
      </c>
      <c r="Y1406" s="350"/>
      <c r="Z1406" s="350"/>
      <c r="AA1406" s="351"/>
      <c r="AB1406" s="539" t="s">
        <v>294</v>
      </c>
      <c r="AC1406" s="350"/>
      <c r="AD1406" s="350"/>
      <c r="AE1406" s="351"/>
      <c r="AF1406" s="540"/>
      <c r="AG1406" s="351"/>
      <c r="AH1406" s="540"/>
      <c r="AI1406" s="351"/>
      <c r="AJ1406" s="545"/>
      <c r="AK1406" s="351"/>
      <c r="AL1406" s="555" t="s">
        <v>325</v>
      </c>
      <c r="AM1406" s="351"/>
      <c r="AN1406" s="531" t="s">
        <v>325</v>
      </c>
      <c r="AO1406" s="351"/>
      <c r="AP1406" s="532"/>
      <c r="AQ1406" s="351"/>
      <c r="AR1406" s="533"/>
      <c r="AS1406" s="351"/>
      <c r="AT1406" s="534"/>
      <c r="AU1406" s="351"/>
      <c r="AV1406" s="531" t="s">
        <v>325</v>
      </c>
      <c r="AW1406" s="351"/>
      <c r="AX1406" s="553"/>
      <c r="AY1406" s="350"/>
      <c r="AZ1406" s="351"/>
      <c r="BA1406" s="545"/>
      <c r="BB1406" s="351"/>
      <c r="BC1406" s="36"/>
      <c r="BD1406" s="556" t="s">
        <v>325</v>
      </c>
      <c r="BE1406" s="351"/>
      <c r="BF1406" s="557"/>
      <c r="BG1406" s="350"/>
      <c r="BH1406" s="350"/>
      <c r="BI1406" s="351"/>
      <c r="BJ1406" s="506" t="s">
        <v>294</v>
      </c>
      <c r="BK1406" s="350"/>
      <c r="BL1406" s="350"/>
      <c r="BM1406" s="351"/>
      <c r="BN1406" s="530" t="s">
        <v>294</v>
      </c>
      <c r="BO1406" s="350"/>
      <c r="BP1406" s="350"/>
      <c r="BQ1406" s="350"/>
      <c r="BR1406" s="350"/>
      <c r="BS1406" s="350"/>
      <c r="BT1406" s="350"/>
      <c r="BU1406" s="350"/>
      <c r="BV1406" s="351"/>
    </row>
    <row r="1407" spans="1:74" ht="45" customHeight="1">
      <c r="A1407" s="24">
        <f t="shared" si="5"/>
        <v>1393</v>
      </c>
      <c r="B1407" s="558" t="s">
        <v>294</v>
      </c>
      <c r="C1407" s="351"/>
      <c r="D1407" s="559" t="s">
        <v>298</v>
      </c>
      <c r="E1407" s="351"/>
      <c r="F1407" s="524" t="s">
        <v>325</v>
      </c>
      <c r="G1407" s="351"/>
      <c r="H1407" s="561" t="s">
        <v>325</v>
      </c>
      <c r="I1407" s="351"/>
      <c r="J1407" s="562"/>
      <c r="K1407" s="351"/>
      <c r="L1407" s="562"/>
      <c r="M1407" s="351"/>
      <c r="N1407" s="37"/>
      <c r="O1407" s="35"/>
      <c r="P1407" s="560"/>
      <c r="Q1407" s="351"/>
      <c r="R1407" s="535"/>
      <c r="S1407" s="351"/>
      <c r="T1407" s="536"/>
      <c r="U1407" s="351"/>
      <c r="V1407" s="537"/>
      <c r="W1407" s="351"/>
      <c r="X1407" s="538" t="s">
        <v>294</v>
      </c>
      <c r="Y1407" s="350"/>
      <c r="Z1407" s="350"/>
      <c r="AA1407" s="351"/>
      <c r="AB1407" s="539" t="s">
        <v>294</v>
      </c>
      <c r="AC1407" s="350"/>
      <c r="AD1407" s="350"/>
      <c r="AE1407" s="351"/>
      <c r="AF1407" s="540"/>
      <c r="AG1407" s="351"/>
      <c r="AH1407" s="540"/>
      <c r="AI1407" s="351"/>
      <c r="AJ1407" s="545"/>
      <c r="AK1407" s="351"/>
      <c r="AL1407" s="555" t="s">
        <v>325</v>
      </c>
      <c r="AM1407" s="351"/>
      <c r="AN1407" s="531" t="s">
        <v>325</v>
      </c>
      <c r="AO1407" s="351"/>
      <c r="AP1407" s="532"/>
      <c r="AQ1407" s="351"/>
      <c r="AR1407" s="533"/>
      <c r="AS1407" s="351"/>
      <c r="AT1407" s="534"/>
      <c r="AU1407" s="351"/>
      <c r="AV1407" s="531" t="s">
        <v>325</v>
      </c>
      <c r="AW1407" s="351"/>
      <c r="AX1407" s="553"/>
      <c r="AY1407" s="350"/>
      <c r="AZ1407" s="351"/>
      <c r="BA1407" s="545"/>
      <c r="BB1407" s="351"/>
      <c r="BC1407" s="36"/>
      <c r="BD1407" s="556" t="s">
        <v>325</v>
      </c>
      <c r="BE1407" s="351"/>
      <c r="BF1407" s="529"/>
      <c r="BG1407" s="350"/>
      <c r="BH1407" s="350"/>
      <c r="BI1407" s="351"/>
      <c r="BJ1407" s="506" t="s">
        <v>294</v>
      </c>
      <c r="BK1407" s="350"/>
      <c r="BL1407" s="350"/>
      <c r="BM1407" s="351"/>
      <c r="BN1407" s="530" t="s">
        <v>294</v>
      </c>
      <c r="BO1407" s="350"/>
      <c r="BP1407" s="350"/>
      <c r="BQ1407" s="350"/>
      <c r="BR1407" s="350"/>
      <c r="BS1407" s="350"/>
      <c r="BT1407" s="350"/>
      <c r="BU1407" s="350"/>
      <c r="BV1407" s="351"/>
    </row>
    <row r="1408" spans="1:74" ht="45" customHeight="1">
      <c r="A1408" s="24">
        <f t="shared" si="5"/>
        <v>1394</v>
      </c>
      <c r="B1408" s="522" t="s">
        <v>294</v>
      </c>
      <c r="C1408" s="351"/>
      <c r="D1408" s="523" t="s">
        <v>298</v>
      </c>
      <c r="E1408" s="351"/>
      <c r="F1408" s="524" t="s">
        <v>325</v>
      </c>
      <c r="G1408" s="351"/>
      <c r="H1408" s="525" t="s">
        <v>325</v>
      </c>
      <c r="I1408" s="351"/>
      <c r="J1408" s="40"/>
      <c r="K1408" s="41"/>
      <c r="L1408" s="40"/>
      <c r="M1408" s="41"/>
      <c r="N1408" s="34"/>
      <c r="O1408" s="38"/>
      <c r="P1408" s="526"/>
      <c r="Q1408" s="351"/>
      <c r="R1408" s="527"/>
      <c r="S1408" s="351"/>
      <c r="T1408" s="528"/>
      <c r="U1408" s="351"/>
      <c r="V1408" s="541"/>
      <c r="W1408" s="351"/>
      <c r="X1408" s="542" t="s">
        <v>294</v>
      </c>
      <c r="Y1408" s="350"/>
      <c r="Z1408" s="350"/>
      <c r="AA1408" s="351"/>
      <c r="AB1408" s="543" t="s">
        <v>294</v>
      </c>
      <c r="AC1408" s="350"/>
      <c r="AD1408" s="350"/>
      <c r="AE1408" s="351"/>
      <c r="AF1408" s="544"/>
      <c r="AG1408" s="351"/>
      <c r="AH1408" s="544"/>
      <c r="AI1408" s="351"/>
      <c r="AJ1408" s="545"/>
      <c r="AK1408" s="351"/>
      <c r="AL1408" s="524" t="s">
        <v>325</v>
      </c>
      <c r="AM1408" s="351"/>
      <c r="AN1408" s="549" t="s">
        <v>325</v>
      </c>
      <c r="AO1408" s="351"/>
      <c r="AP1408" s="550"/>
      <c r="AQ1408" s="351"/>
      <c r="AR1408" s="551"/>
      <c r="AS1408" s="351"/>
      <c r="AT1408" s="552"/>
      <c r="AU1408" s="351"/>
      <c r="AV1408" s="549" t="s">
        <v>325</v>
      </c>
      <c r="AW1408" s="351"/>
      <c r="AX1408" s="553"/>
      <c r="AY1408" s="350"/>
      <c r="AZ1408" s="351"/>
      <c r="BA1408" s="554"/>
      <c r="BB1408" s="351"/>
      <c r="BC1408" s="39"/>
      <c r="BD1408" s="546" t="s">
        <v>325</v>
      </c>
      <c r="BE1408" s="351"/>
      <c r="BF1408" s="547"/>
      <c r="BG1408" s="350"/>
      <c r="BH1408" s="350"/>
      <c r="BI1408" s="351"/>
      <c r="BJ1408" s="548" t="s">
        <v>294</v>
      </c>
      <c r="BK1408" s="350"/>
      <c r="BL1408" s="350"/>
      <c r="BM1408" s="351"/>
      <c r="BN1408" s="530" t="s">
        <v>294</v>
      </c>
      <c r="BO1408" s="350"/>
      <c r="BP1408" s="350"/>
      <c r="BQ1408" s="350"/>
      <c r="BR1408" s="350"/>
      <c r="BS1408" s="350"/>
      <c r="BT1408" s="350"/>
      <c r="BU1408" s="350"/>
      <c r="BV1408" s="351"/>
    </row>
    <row r="1409" spans="1:74" ht="45" customHeight="1">
      <c r="A1409" s="24">
        <f t="shared" si="5"/>
        <v>1395</v>
      </c>
      <c r="B1409" s="558" t="s">
        <v>294</v>
      </c>
      <c r="C1409" s="351"/>
      <c r="D1409" s="559" t="s">
        <v>298</v>
      </c>
      <c r="E1409" s="351"/>
      <c r="F1409" s="524" t="s">
        <v>325</v>
      </c>
      <c r="G1409" s="351"/>
      <c r="H1409" s="561" t="s">
        <v>325</v>
      </c>
      <c r="I1409" s="351"/>
      <c r="J1409" s="562"/>
      <c r="K1409" s="351"/>
      <c r="L1409" s="562"/>
      <c r="M1409" s="351"/>
      <c r="N1409" s="37"/>
      <c r="O1409" s="35"/>
      <c r="P1409" s="560"/>
      <c r="Q1409" s="351"/>
      <c r="R1409" s="535"/>
      <c r="S1409" s="351"/>
      <c r="T1409" s="536"/>
      <c r="U1409" s="351"/>
      <c r="V1409" s="537"/>
      <c r="W1409" s="351"/>
      <c r="X1409" s="538" t="s">
        <v>294</v>
      </c>
      <c r="Y1409" s="350"/>
      <c r="Z1409" s="350"/>
      <c r="AA1409" s="351"/>
      <c r="AB1409" s="539" t="s">
        <v>294</v>
      </c>
      <c r="AC1409" s="350"/>
      <c r="AD1409" s="350"/>
      <c r="AE1409" s="351"/>
      <c r="AF1409" s="540"/>
      <c r="AG1409" s="351"/>
      <c r="AH1409" s="540"/>
      <c r="AI1409" s="351"/>
      <c r="AJ1409" s="545"/>
      <c r="AK1409" s="351"/>
      <c r="AL1409" s="555" t="s">
        <v>325</v>
      </c>
      <c r="AM1409" s="351"/>
      <c r="AN1409" s="531" t="s">
        <v>325</v>
      </c>
      <c r="AO1409" s="351"/>
      <c r="AP1409" s="532"/>
      <c r="AQ1409" s="351"/>
      <c r="AR1409" s="533"/>
      <c r="AS1409" s="351"/>
      <c r="AT1409" s="534"/>
      <c r="AU1409" s="351"/>
      <c r="AV1409" s="531" t="s">
        <v>325</v>
      </c>
      <c r="AW1409" s="351"/>
      <c r="AX1409" s="553"/>
      <c r="AY1409" s="350"/>
      <c r="AZ1409" s="351"/>
      <c r="BA1409" s="545"/>
      <c r="BB1409" s="351"/>
      <c r="BC1409" s="36"/>
      <c r="BD1409" s="556" t="s">
        <v>325</v>
      </c>
      <c r="BE1409" s="351"/>
      <c r="BF1409" s="557"/>
      <c r="BG1409" s="350"/>
      <c r="BH1409" s="350"/>
      <c r="BI1409" s="351"/>
      <c r="BJ1409" s="506" t="s">
        <v>294</v>
      </c>
      <c r="BK1409" s="350"/>
      <c r="BL1409" s="350"/>
      <c r="BM1409" s="351"/>
      <c r="BN1409" s="530" t="s">
        <v>294</v>
      </c>
      <c r="BO1409" s="350"/>
      <c r="BP1409" s="350"/>
      <c r="BQ1409" s="350"/>
      <c r="BR1409" s="350"/>
      <c r="BS1409" s="350"/>
      <c r="BT1409" s="350"/>
      <c r="BU1409" s="350"/>
      <c r="BV1409" s="351"/>
    </row>
    <row r="1410" spans="1:74" ht="45" customHeight="1">
      <c r="A1410" s="24">
        <f t="shared" si="5"/>
        <v>1396</v>
      </c>
      <c r="B1410" s="558" t="s">
        <v>294</v>
      </c>
      <c r="C1410" s="351"/>
      <c r="D1410" s="559" t="s">
        <v>298</v>
      </c>
      <c r="E1410" s="351"/>
      <c r="F1410" s="524" t="s">
        <v>325</v>
      </c>
      <c r="G1410" s="351"/>
      <c r="H1410" s="525" t="s">
        <v>325</v>
      </c>
      <c r="I1410" s="351"/>
      <c r="J1410" s="40"/>
      <c r="K1410" s="41"/>
      <c r="L1410" s="40"/>
      <c r="M1410" s="41"/>
      <c r="N1410" s="34"/>
      <c r="O1410" s="35"/>
      <c r="P1410" s="526"/>
      <c r="Q1410" s="351"/>
      <c r="R1410" s="535"/>
      <c r="S1410" s="351"/>
      <c r="T1410" s="536"/>
      <c r="U1410" s="351"/>
      <c r="V1410" s="537"/>
      <c r="W1410" s="351"/>
      <c r="X1410" s="538" t="s">
        <v>294</v>
      </c>
      <c r="Y1410" s="350"/>
      <c r="Z1410" s="350"/>
      <c r="AA1410" s="351"/>
      <c r="AB1410" s="539" t="s">
        <v>294</v>
      </c>
      <c r="AC1410" s="350"/>
      <c r="AD1410" s="350"/>
      <c r="AE1410" s="351"/>
      <c r="AF1410" s="540"/>
      <c r="AG1410" s="351"/>
      <c r="AH1410" s="540"/>
      <c r="AI1410" s="351"/>
      <c r="AJ1410" s="545"/>
      <c r="AK1410" s="351"/>
      <c r="AL1410" s="555" t="s">
        <v>325</v>
      </c>
      <c r="AM1410" s="351"/>
      <c r="AN1410" s="531" t="s">
        <v>325</v>
      </c>
      <c r="AO1410" s="351"/>
      <c r="AP1410" s="532"/>
      <c r="AQ1410" s="351"/>
      <c r="AR1410" s="533"/>
      <c r="AS1410" s="351"/>
      <c r="AT1410" s="534"/>
      <c r="AU1410" s="351"/>
      <c r="AV1410" s="531" t="s">
        <v>325</v>
      </c>
      <c r="AW1410" s="351"/>
      <c r="AX1410" s="553"/>
      <c r="AY1410" s="350"/>
      <c r="AZ1410" s="351"/>
      <c r="BA1410" s="545"/>
      <c r="BB1410" s="351"/>
      <c r="BC1410" s="36"/>
      <c r="BD1410" s="556" t="s">
        <v>325</v>
      </c>
      <c r="BE1410" s="351"/>
      <c r="BF1410" s="529"/>
      <c r="BG1410" s="350"/>
      <c r="BH1410" s="350"/>
      <c r="BI1410" s="351"/>
      <c r="BJ1410" s="506" t="s">
        <v>294</v>
      </c>
      <c r="BK1410" s="350"/>
      <c r="BL1410" s="350"/>
      <c r="BM1410" s="351"/>
      <c r="BN1410" s="530" t="s">
        <v>294</v>
      </c>
      <c r="BO1410" s="350"/>
      <c r="BP1410" s="350"/>
      <c r="BQ1410" s="350"/>
      <c r="BR1410" s="350"/>
      <c r="BS1410" s="350"/>
      <c r="BT1410" s="350"/>
      <c r="BU1410" s="350"/>
      <c r="BV1410" s="351"/>
    </row>
    <row r="1411" spans="1:74" ht="45" customHeight="1">
      <c r="A1411" s="24">
        <f t="shared" si="5"/>
        <v>1397</v>
      </c>
      <c r="B1411" s="522" t="s">
        <v>294</v>
      </c>
      <c r="C1411" s="351"/>
      <c r="D1411" s="523" t="s">
        <v>298</v>
      </c>
      <c r="E1411" s="351"/>
      <c r="F1411" s="524" t="s">
        <v>325</v>
      </c>
      <c r="G1411" s="351"/>
      <c r="H1411" s="561" t="s">
        <v>325</v>
      </c>
      <c r="I1411" s="351"/>
      <c r="J1411" s="562"/>
      <c r="K1411" s="351"/>
      <c r="L1411" s="562"/>
      <c r="M1411" s="351"/>
      <c r="N1411" s="37"/>
      <c r="O1411" s="38"/>
      <c r="P1411" s="560"/>
      <c r="Q1411" s="351"/>
      <c r="R1411" s="527"/>
      <c r="S1411" s="351"/>
      <c r="T1411" s="528"/>
      <c r="U1411" s="351"/>
      <c r="V1411" s="541"/>
      <c r="W1411" s="351"/>
      <c r="X1411" s="542" t="s">
        <v>294</v>
      </c>
      <c r="Y1411" s="350"/>
      <c r="Z1411" s="350"/>
      <c r="AA1411" s="351"/>
      <c r="AB1411" s="543" t="s">
        <v>294</v>
      </c>
      <c r="AC1411" s="350"/>
      <c r="AD1411" s="350"/>
      <c r="AE1411" s="351"/>
      <c r="AF1411" s="544"/>
      <c r="AG1411" s="351"/>
      <c r="AH1411" s="544"/>
      <c r="AI1411" s="351"/>
      <c r="AJ1411" s="545"/>
      <c r="AK1411" s="351"/>
      <c r="AL1411" s="524" t="s">
        <v>325</v>
      </c>
      <c r="AM1411" s="351"/>
      <c r="AN1411" s="549" t="s">
        <v>325</v>
      </c>
      <c r="AO1411" s="351"/>
      <c r="AP1411" s="550"/>
      <c r="AQ1411" s="351"/>
      <c r="AR1411" s="551"/>
      <c r="AS1411" s="351"/>
      <c r="AT1411" s="534"/>
      <c r="AU1411" s="351"/>
      <c r="AV1411" s="549" t="s">
        <v>325</v>
      </c>
      <c r="AW1411" s="351"/>
      <c r="AX1411" s="553"/>
      <c r="AY1411" s="350"/>
      <c r="AZ1411" s="351"/>
      <c r="BA1411" s="554"/>
      <c r="BB1411" s="351"/>
      <c r="BC1411" s="39"/>
      <c r="BD1411" s="546" t="s">
        <v>325</v>
      </c>
      <c r="BE1411" s="351"/>
      <c r="BF1411" s="547"/>
      <c r="BG1411" s="350"/>
      <c r="BH1411" s="350"/>
      <c r="BI1411" s="351"/>
      <c r="BJ1411" s="548" t="s">
        <v>294</v>
      </c>
      <c r="BK1411" s="350"/>
      <c r="BL1411" s="350"/>
      <c r="BM1411" s="351"/>
      <c r="BN1411" s="530" t="s">
        <v>294</v>
      </c>
      <c r="BO1411" s="350"/>
      <c r="BP1411" s="350"/>
      <c r="BQ1411" s="350"/>
      <c r="BR1411" s="350"/>
      <c r="BS1411" s="350"/>
      <c r="BT1411" s="350"/>
      <c r="BU1411" s="350"/>
      <c r="BV1411" s="351"/>
    </row>
    <row r="1412" spans="1:74" ht="45" customHeight="1">
      <c r="A1412" s="24">
        <f t="shared" si="5"/>
        <v>1398</v>
      </c>
      <c r="B1412" s="558" t="s">
        <v>294</v>
      </c>
      <c r="C1412" s="351"/>
      <c r="D1412" s="559" t="s">
        <v>298</v>
      </c>
      <c r="E1412" s="351"/>
      <c r="F1412" s="524" t="s">
        <v>325</v>
      </c>
      <c r="G1412" s="351"/>
      <c r="H1412" s="525" t="s">
        <v>325</v>
      </c>
      <c r="I1412" s="351"/>
      <c r="J1412" s="40"/>
      <c r="K1412" s="41"/>
      <c r="L1412" s="40"/>
      <c r="M1412" s="41"/>
      <c r="N1412" s="34"/>
      <c r="O1412" s="35"/>
      <c r="P1412" s="526"/>
      <c r="Q1412" s="351"/>
      <c r="R1412" s="535"/>
      <c r="S1412" s="351"/>
      <c r="T1412" s="536"/>
      <c r="U1412" s="351"/>
      <c r="V1412" s="537"/>
      <c r="W1412" s="351"/>
      <c r="X1412" s="538" t="s">
        <v>294</v>
      </c>
      <c r="Y1412" s="350"/>
      <c r="Z1412" s="350"/>
      <c r="AA1412" s="351"/>
      <c r="AB1412" s="539" t="s">
        <v>294</v>
      </c>
      <c r="AC1412" s="350"/>
      <c r="AD1412" s="350"/>
      <c r="AE1412" s="351"/>
      <c r="AF1412" s="540"/>
      <c r="AG1412" s="351"/>
      <c r="AH1412" s="540"/>
      <c r="AI1412" s="351"/>
      <c r="AJ1412" s="545"/>
      <c r="AK1412" s="351"/>
      <c r="AL1412" s="555" t="s">
        <v>325</v>
      </c>
      <c r="AM1412" s="351"/>
      <c r="AN1412" s="531" t="s">
        <v>325</v>
      </c>
      <c r="AO1412" s="351"/>
      <c r="AP1412" s="532"/>
      <c r="AQ1412" s="351"/>
      <c r="AR1412" s="533"/>
      <c r="AS1412" s="351"/>
      <c r="AT1412" s="534"/>
      <c r="AU1412" s="351"/>
      <c r="AV1412" s="531" t="s">
        <v>325</v>
      </c>
      <c r="AW1412" s="351"/>
      <c r="AX1412" s="553"/>
      <c r="AY1412" s="350"/>
      <c r="AZ1412" s="351"/>
      <c r="BA1412" s="545"/>
      <c r="BB1412" s="351"/>
      <c r="BC1412" s="36"/>
      <c r="BD1412" s="556" t="s">
        <v>325</v>
      </c>
      <c r="BE1412" s="351"/>
      <c r="BF1412" s="557"/>
      <c r="BG1412" s="350"/>
      <c r="BH1412" s="350"/>
      <c r="BI1412" s="351"/>
      <c r="BJ1412" s="506" t="s">
        <v>294</v>
      </c>
      <c r="BK1412" s="350"/>
      <c r="BL1412" s="350"/>
      <c r="BM1412" s="351"/>
      <c r="BN1412" s="530" t="s">
        <v>294</v>
      </c>
      <c r="BO1412" s="350"/>
      <c r="BP1412" s="350"/>
      <c r="BQ1412" s="350"/>
      <c r="BR1412" s="350"/>
      <c r="BS1412" s="350"/>
      <c r="BT1412" s="350"/>
      <c r="BU1412" s="350"/>
      <c r="BV1412" s="351"/>
    </row>
    <row r="1413" spans="1:74" ht="45" customHeight="1">
      <c r="A1413" s="24">
        <f t="shared" si="5"/>
        <v>1399</v>
      </c>
      <c r="B1413" s="522" t="s">
        <v>294</v>
      </c>
      <c r="C1413" s="351"/>
      <c r="D1413" s="523" t="s">
        <v>298</v>
      </c>
      <c r="E1413" s="351"/>
      <c r="F1413" s="524" t="s">
        <v>325</v>
      </c>
      <c r="G1413" s="351"/>
      <c r="H1413" s="561" t="s">
        <v>325</v>
      </c>
      <c r="I1413" s="351"/>
      <c r="J1413" s="562"/>
      <c r="K1413" s="351"/>
      <c r="L1413" s="562"/>
      <c r="M1413" s="351"/>
      <c r="N1413" s="37"/>
      <c r="O1413" s="38"/>
      <c r="P1413" s="560"/>
      <c r="Q1413" s="351"/>
      <c r="R1413" s="527"/>
      <c r="S1413" s="351"/>
      <c r="T1413" s="528"/>
      <c r="U1413" s="351"/>
      <c r="V1413" s="541"/>
      <c r="W1413" s="351"/>
      <c r="X1413" s="542" t="s">
        <v>294</v>
      </c>
      <c r="Y1413" s="350"/>
      <c r="Z1413" s="350"/>
      <c r="AA1413" s="351"/>
      <c r="AB1413" s="543" t="s">
        <v>294</v>
      </c>
      <c r="AC1413" s="350"/>
      <c r="AD1413" s="350"/>
      <c r="AE1413" s="351"/>
      <c r="AF1413" s="544"/>
      <c r="AG1413" s="351"/>
      <c r="AH1413" s="544"/>
      <c r="AI1413" s="351"/>
      <c r="AJ1413" s="545"/>
      <c r="AK1413" s="351"/>
      <c r="AL1413" s="524" t="s">
        <v>325</v>
      </c>
      <c r="AM1413" s="351"/>
      <c r="AN1413" s="549" t="s">
        <v>325</v>
      </c>
      <c r="AO1413" s="351"/>
      <c r="AP1413" s="550"/>
      <c r="AQ1413" s="351"/>
      <c r="AR1413" s="551"/>
      <c r="AS1413" s="351"/>
      <c r="AT1413" s="534"/>
      <c r="AU1413" s="351"/>
      <c r="AV1413" s="549" t="s">
        <v>325</v>
      </c>
      <c r="AW1413" s="351"/>
      <c r="AX1413" s="553"/>
      <c r="AY1413" s="350"/>
      <c r="AZ1413" s="351"/>
      <c r="BA1413" s="554"/>
      <c r="BB1413" s="351"/>
      <c r="BC1413" s="39"/>
      <c r="BD1413" s="546" t="s">
        <v>325</v>
      </c>
      <c r="BE1413" s="351"/>
      <c r="BF1413" s="547"/>
      <c r="BG1413" s="350"/>
      <c r="BH1413" s="350"/>
      <c r="BI1413" s="351"/>
      <c r="BJ1413" s="548" t="s">
        <v>294</v>
      </c>
      <c r="BK1413" s="350"/>
      <c r="BL1413" s="350"/>
      <c r="BM1413" s="351"/>
      <c r="BN1413" s="530" t="s">
        <v>294</v>
      </c>
      <c r="BO1413" s="350"/>
      <c r="BP1413" s="350"/>
      <c r="BQ1413" s="350"/>
      <c r="BR1413" s="350"/>
      <c r="BS1413" s="350"/>
      <c r="BT1413" s="350"/>
      <c r="BU1413" s="350"/>
      <c r="BV1413" s="351"/>
    </row>
    <row r="1414" spans="1:74" ht="45" customHeight="1">
      <c r="A1414" s="24">
        <f t="shared" si="5"/>
        <v>1400</v>
      </c>
      <c r="B1414" s="558" t="s">
        <v>294</v>
      </c>
      <c r="C1414" s="351"/>
      <c r="D1414" s="559" t="s">
        <v>298</v>
      </c>
      <c r="E1414" s="351"/>
      <c r="F1414" s="524" t="s">
        <v>325</v>
      </c>
      <c r="G1414" s="351"/>
      <c r="H1414" s="525" t="s">
        <v>325</v>
      </c>
      <c r="I1414" s="351"/>
      <c r="J1414" s="40"/>
      <c r="K1414" s="41"/>
      <c r="L1414" s="40"/>
      <c r="M1414" s="41"/>
      <c r="N1414" s="34"/>
      <c r="O1414" s="35"/>
      <c r="P1414" s="526"/>
      <c r="Q1414" s="351"/>
      <c r="R1414" s="535"/>
      <c r="S1414" s="351"/>
      <c r="T1414" s="536"/>
      <c r="U1414" s="351"/>
      <c r="V1414" s="537"/>
      <c r="W1414" s="351"/>
      <c r="X1414" s="538" t="s">
        <v>294</v>
      </c>
      <c r="Y1414" s="350"/>
      <c r="Z1414" s="350"/>
      <c r="AA1414" s="351"/>
      <c r="AB1414" s="539" t="s">
        <v>294</v>
      </c>
      <c r="AC1414" s="350"/>
      <c r="AD1414" s="350"/>
      <c r="AE1414" s="351"/>
      <c r="AF1414" s="540"/>
      <c r="AG1414" s="351"/>
      <c r="AH1414" s="540"/>
      <c r="AI1414" s="351"/>
      <c r="AJ1414" s="545"/>
      <c r="AK1414" s="351"/>
      <c r="AL1414" s="555" t="s">
        <v>325</v>
      </c>
      <c r="AM1414" s="351"/>
      <c r="AN1414" s="531" t="s">
        <v>325</v>
      </c>
      <c r="AO1414" s="351"/>
      <c r="AP1414" s="532"/>
      <c r="AQ1414" s="351"/>
      <c r="AR1414" s="533"/>
      <c r="AS1414" s="351"/>
      <c r="AT1414" s="534"/>
      <c r="AU1414" s="351"/>
      <c r="AV1414" s="531" t="s">
        <v>325</v>
      </c>
      <c r="AW1414" s="351"/>
      <c r="AX1414" s="553"/>
      <c r="AY1414" s="350"/>
      <c r="AZ1414" s="351"/>
      <c r="BA1414" s="545"/>
      <c r="BB1414" s="351"/>
      <c r="BC1414" s="36"/>
      <c r="BD1414" s="556" t="s">
        <v>325</v>
      </c>
      <c r="BE1414" s="351"/>
      <c r="BF1414" s="557"/>
      <c r="BG1414" s="350"/>
      <c r="BH1414" s="350"/>
      <c r="BI1414" s="351"/>
      <c r="BJ1414" s="506" t="s">
        <v>294</v>
      </c>
      <c r="BK1414" s="350"/>
      <c r="BL1414" s="350"/>
      <c r="BM1414" s="351"/>
      <c r="BN1414" s="530" t="s">
        <v>294</v>
      </c>
      <c r="BO1414" s="350"/>
      <c r="BP1414" s="350"/>
      <c r="BQ1414" s="350"/>
      <c r="BR1414" s="350"/>
      <c r="BS1414" s="350"/>
      <c r="BT1414" s="350"/>
      <c r="BU1414" s="350"/>
      <c r="BV1414" s="351"/>
    </row>
    <row r="1415" spans="1:74" ht="45" customHeight="1">
      <c r="A1415" s="24">
        <f t="shared" si="5"/>
        <v>1401</v>
      </c>
      <c r="B1415" s="522" t="s">
        <v>294</v>
      </c>
      <c r="C1415" s="351"/>
      <c r="D1415" s="523" t="s">
        <v>298</v>
      </c>
      <c r="E1415" s="351"/>
      <c r="F1415" s="524" t="s">
        <v>325</v>
      </c>
      <c r="G1415" s="351"/>
      <c r="H1415" s="561" t="s">
        <v>325</v>
      </c>
      <c r="I1415" s="351"/>
      <c r="J1415" s="562"/>
      <c r="K1415" s="351"/>
      <c r="L1415" s="562"/>
      <c r="M1415" s="351"/>
      <c r="N1415" s="37"/>
      <c r="O1415" s="38"/>
      <c r="P1415" s="560"/>
      <c r="Q1415" s="351"/>
      <c r="R1415" s="527"/>
      <c r="S1415" s="351"/>
      <c r="T1415" s="528"/>
      <c r="U1415" s="351"/>
      <c r="V1415" s="541"/>
      <c r="W1415" s="351"/>
      <c r="X1415" s="542" t="s">
        <v>294</v>
      </c>
      <c r="Y1415" s="350"/>
      <c r="Z1415" s="350"/>
      <c r="AA1415" s="351"/>
      <c r="AB1415" s="543" t="s">
        <v>294</v>
      </c>
      <c r="AC1415" s="350"/>
      <c r="AD1415" s="350"/>
      <c r="AE1415" s="351"/>
      <c r="AF1415" s="544"/>
      <c r="AG1415" s="351"/>
      <c r="AH1415" s="544"/>
      <c r="AI1415" s="351"/>
      <c r="AJ1415" s="545"/>
      <c r="AK1415" s="351"/>
      <c r="AL1415" s="524" t="s">
        <v>325</v>
      </c>
      <c r="AM1415" s="351"/>
      <c r="AN1415" s="549" t="s">
        <v>325</v>
      </c>
      <c r="AO1415" s="351"/>
      <c r="AP1415" s="550"/>
      <c r="AQ1415" s="351"/>
      <c r="AR1415" s="551"/>
      <c r="AS1415" s="351"/>
      <c r="AT1415" s="552"/>
      <c r="AU1415" s="351"/>
      <c r="AV1415" s="549" t="s">
        <v>325</v>
      </c>
      <c r="AW1415" s="351"/>
      <c r="AX1415" s="553"/>
      <c r="AY1415" s="350"/>
      <c r="AZ1415" s="351"/>
      <c r="BA1415" s="554"/>
      <c r="BB1415" s="351"/>
      <c r="BC1415" s="39"/>
      <c r="BD1415" s="546" t="s">
        <v>325</v>
      </c>
      <c r="BE1415" s="351"/>
      <c r="BF1415" s="547"/>
      <c r="BG1415" s="350"/>
      <c r="BH1415" s="350"/>
      <c r="BI1415" s="351"/>
      <c r="BJ1415" s="548" t="s">
        <v>294</v>
      </c>
      <c r="BK1415" s="350"/>
      <c r="BL1415" s="350"/>
      <c r="BM1415" s="351"/>
      <c r="BN1415" s="530" t="s">
        <v>294</v>
      </c>
      <c r="BO1415" s="350"/>
      <c r="BP1415" s="350"/>
      <c r="BQ1415" s="350"/>
      <c r="BR1415" s="350"/>
      <c r="BS1415" s="350"/>
      <c r="BT1415" s="350"/>
      <c r="BU1415" s="350"/>
      <c r="BV1415" s="351"/>
    </row>
    <row r="1416" spans="1:74" ht="45" customHeight="1">
      <c r="A1416" s="24">
        <f t="shared" si="5"/>
        <v>1402</v>
      </c>
      <c r="B1416" s="558" t="s">
        <v>294</v>
      </c>
      <c r="C1416" s="351"/>
      <c r="D1416" s="559" t="s">
        <v>298</v>
      </c>
      <c r="E1416" s="351"/>
      <c r="F1416" s="524" t="s">
        <v>325</v>
      </c>
      <c r="G1416" s="351"/>
      <c r="H1416" s="525" t="s">
        <v>325</v>
      </c>
      <c r="I1416" s="351"/>
      <c r="J1416" s="40"/>
      <c r="K1416" s="41"/>
      <c r="L1416" s="40"/>
      <c r="M1416" s="41"/>
      <c r="N1416" s="34"/>
      <c r="O1416" s="35"/>
      <c r="P1416" s="526"/>
      <c r="Q1416" s="351"/>
      <c r="R1416" s="535"/>
      <c r="S1416" s="351"/>
      <c r="T1416" s="536"/>
      <c r="U1416" s="351"/>
      <c r="V1416" s="537"/>
      <c r="W1416" s="351"/>
      <c r="X1416" s="538" t="s">
        <v>294</v>
      </c>
      <c r="Y1416" s="350"/>
      <c r="Z1416" s="350"/>
      <c r="AA1416" s="351"/>
      <c r="AB1416" s="539" t="s">
        <v>294</v>
      </c>
      <c r="AC1416" s="350"/>
      <c r="AD1416" s="350"/>
      <c r="AE1416" s="351"/>
      <c r="AF1416" s="540"/>
      <c r="AG1416" s="351"/>
      <c r="AH1416" s="540"/>
      <c r="AI1416" s="351"/>
      <c r="AJ1416" s="545"/>
      <c r="AK1416" s="351"/>
      <c r="AL1416" s="555" t="s">
        <v>325</v>
      </c>
      <c r="AM1416" s="351"/>
      <c r="AN1416" s="531" t="s">
        <v>325</v>
      </c>
      <c r="AO1416" s="351"/>
      <c r="AP1416" s="532"/>
      <c r="AQ1416" s="351"/>
      <c r="AR1416" s="533"/>
      <c r="AS1416" s="351"/>
      <c r="AT1416" s="534"/>
      <c r="AU1416" s="351"/>
      <c r="AV1416" s="531" t="s">
        <v>325</v>
      </c>
      <c r="AW1416" s="351"/>
      <c r="AX1416" s="553"/>
      <c r="AY1416" s="350"/>
      <c r="AZ1416" s="351"/>
      <c r="BA1416" s="545"/>
      <c r="BB1416" s="351"/>
      <c r="BC1416" s="36"/>
      <c r="BD1416" s="556" t="s">
        <v>325</v>
      </c>
      <c r="BE1416" s="351"/>
      <c r="BF1416" s="529"/>
      <c r="BG1416" s="350"/>
      <c r="BH1416" s="350"/>
      <c r="BI1416" s="351"/>
      <c r="BJ1416" s="506" t="s">
        <v>294</v>
      </c>
      <c r="BK1416" s="350"/>
      <c r="BL1416" s="350"/>
      <c r="BM1416" s="351"/>
      <c r="BN1416" s="530" t="s">
        <v>294</v>
      </c>
      <c r="BO1416" s="350"/>
      <c r="BP1416" s="350"/>
      <c r="BQ1416" s="350"/>
      <c r="BR1416" s="350"/>
      <c r="BS1416" s="350"/>
      <c r="BT1416" s="350"/>
      <c r="BU1416" s="350"/>
      <c r="BV1416" s="351"/>
    </row>
    <row r="1417" spans="1:74" ht="45" customHeight="1">
      <c r="A1417" s="24">
        <f t="shared" si="5"/>
        <v>1403</v>
      </c>
      <c r="B1417" s="522" t="s">
        <v>294</v>
      </c>
      <c r="C1417" s="351"/>
      <c r="D1417" s="523" t="s">
        <v>298</v>
      </c>
      <c r="E1417" s="351"/>
      <c r="F1417" s="524" t="s">
        <v>325</v>
      </c>
      <c r="G1417" s="351"/>
      <c r="H1417" s="561" t="s">
        <v>325</v>
      </c>
      <c r="I1417" s="351"/>
      <c r="J1417" s="562"/>
      <c r="K1417" s="351"/>
      <c r="L1417" s="562"/>
      <c r="M1417" s="351"/>
      <c r="N1417" s="37"/>
      <c r="O1417" s="38"/>
      <c r="P1417" s="560"/>
      <c r="Q1417" s="351"/>
      <c r="R1417" s="527"/>
      <c r="S1417" s="351"/>
      <c r="T1417" s="528"/>
      <c r="U1417" s="351"/>
      <c r="V1417" s="541"/>
      <c r="W1417" s="351"/>
      <c r="X1417" s="542" t="s">
        <v>294</v>
      </c>
      <c r="Y1417" s="350"/>
      <c r="Z1417" s="350"/>
      <c r="AA1417" s="351"/>
      <c r="AB1417" s="543" t="s">
        <v>294</v>
      </c>
      <c r="AC1417" s="350"/>
      <c r="AD1417" s="350"/>
      <c r="AE1417" s="351"/>
      <c r="AF1417" s="544"/>
      <c r="AG1417" s="351"/>
      <c r="AH1417" s="544"/>
      <c r="AI1417" s="351"/>
      <c r="AJ1417" s="545"/>
      <c r="AK1417" s="351"/>
      <c r="AL1417" s="524" t="s">
        <v>325</v>
      </c>
      <c r="AM1417" s="351"/>
      <c r="AN1417" s="549" t="s">
        <v>325</v>
      </c>
      <c r="AO1417" s="351"/>
      <c r="AP1417" s="550"/>
      <c r="AQ1417" s="351"/>
      <c r="AR1417" s="551"/>
      <c r="AS1417" s="351"/>
      <c r="AT1417" s="552"/>
      <c r="AU1417" s="351"/>
      <c r="AV1417" s="549" t="s">
        <v>325</v>
      </c>
      <c r="AW1417" s="351"/>
      <c r="AX1417" s="553"/>
      <c r="AY1417" s="350"/>
      <c r="AZ1417" s="351"/>
      <c r="BA1417" s="554"/>
      <c r="BB1417" s="351"/>
      <c r="BC1417" s="39"/>
      <c r="BD1417" s="546" t="s">
        <v>325</v>
      </c>
      <c r="BE1417" s="351"/>
      <c r="BF1417" s="547"/>
      <c r="BG1417" s="350"/>
      <c r="BH1417" s="350"/>
      <c r="BI1417" s="351"/>
      <c r="BJ1417" s="548" t="s">
        <v>294</v>
      </c>
      <c r="BK1417" s="350"/>
      <c r="BL1417" s="350"/>
      <c r="BM1417" s="351"/>
      <c r="BN1417" s="530" t="s">
        <v>294</v>
      </c>
      <c r="BO1417" s="350"/>
      <c r="BP1417" s="350"/>
      <c r="BQ1417" s="350"/>
      <c r="BR1417" s="350"/>
      <c r="BS1417" s="350"/>
      <c r="BT1417" s="350"/>
      <c r="BU1417" s="350"/>
      <c r="BV1417" s="351"/>
    </row>
    <row r="1418" spans="1:74" ht="45" customHeight="1">
      <c r="A1418" s="24">
        <f t="shared" si="5"/>
        <v>1404</v>
      </c>
      <c r="B1418" s="558" t="s">
        <v>294</v>
      </c>
      <c r="C1418" s="351"/>
      <c r="D1418" s="559" t="s">
        <v>298</v>
      </c>
      <c r="E1418" s="351"/>
      <c r="F1418" s="524" t="s">
        <v>325</v>
      </c>
      <c r="G1418" s="351"/>
      <c r="H1418" s="525" t="s">
        <v>325</v>
      </c>
      <c r="I1418" s="351"/>
      <c r="J1418" s="40"/>
      <c r="K1418" s="41"/>
      <c r="L1418" s="40"/>
      <c r="M1418" s="41"/>
      <c r="N1418" s="34"/>
      <c r="O1418" s="35"/>
      <c r="P1418" s="526"/>
      <c r="Q1418" s="351"/>
      <c r="R1418" s="535"/>
      <c r="S1418" s="351"/>
      <c r="T1418" s="536"/>
      <c r="U1418" s="351"/>
      <c r="V1418" s="537"/>
      <c r="W1418" s="351"/>
      <c r="X1418" s="538" t="s">
        <v>294</v>
      </c>
      <c r="Y1418" s="350"/>
      <c r="Z1418" s="350"/>
      <c r="AA1418" s="351"/>
      <c r="AB1418" s="539" t="s">
        <v>294</v>
      </c>
      <c r="AC1418" s="350"/>
      <c r="AD1418" s="350"/>
      <c r="AE1418" s="351"/>
      <c r="AF1418" s="540"/>
      <c r="AG1418" s="351"/>
      <c r="AH1418" s="540"/>
      <c r="AI1418" s="351"/>
      <c r="AJ1418" s="545"/>
      <c r="AK1418" s="351"/>
      <c r="AL1418" s="555" t="s">
        <v>325</v>
      </c>
      <c r="AM1418" s="351"/>
      <c r="AN1418" s="531" t="s">
        <v>325</v>
      </c>
      <c r="AO1418" s="351"/>
      <c r="AP1418" s="532"/>
      <c r="AQ1418" s="351"/>
      <c r="AR1418" s="533"/>
      <c r="AS1418" s="351"/>
      <c r="AT1418" s="534"/>
      <c r="AU1418" s="351"/>
      <c r="AV1418" s="531" t="s">
        <v>325</v>
      </c>
      <c r="AW1418" s="351"/>
      <c r="AX1418" s="553"/>
      <c r="AY1418" s="350"/>
      <c r="AZ1418" s="351"/>
      <c r="BA1418" s="545"/>
      <c r="BB1418" s="351"/>
      <c r="BC1418" s="36"/>
      <c r="BD1418" s="556" t="s">
        <v>325</v>
      </c>
      <c r="BE1418" s="351"/>
      <c r="BF1418" s="557"/>
      <c r="BG1418" s="350"/>
      <c r="BH1418" s="350"/>
      <c r="BI1418" s="351"/>
      <c r="BJ1418" s="506" t="s">
        <v>294</v>
      </c>
      <c r="BK1418" s="350"/>
      <c r="BL1418" s="350"/>
      <c r="BM1418" s="351"/>
      <c r="BN1418" s="530" t="s">
        <v>294</v>
      </c>
      <c r="BO1418" s="350"/>
      <c r="BP1418" s="350"/>
      <c r="BQ1418" s="350"/>
      <c r="BR1418" s="350"/>
      <c r="BS1418" s="350"/>
      <c r="BT1418" s="350"/>
      <c r="BU1418" s="350"/>
      <c r="BV1418" s="351"/>
    </row>
    <row r="1419" spans="1:74" ht="45" customHeight="1">
      <c r="A1419" s="24">
        <f t="shared" si="5"/>
        <v>1405</v>
      </c>
      <c r="B1419" s="522" t="s">
        <v>294</v>
      </c>
      <c r="C1419" s="351"/>
      <c r="D1419" s="523" t="s">
        <v>298</v>
      </c>
      <c r="E1419" s="351"/>
      <c r="F1419" s="524" t="s">
        <v>325</v>
      </c>
      <c r="G1419" s="351"/>
      <c r="H1419" s="561" t="s">
        <v>325</v>
      </c>
      <c r="I1419" s="351"/>
      <c r="J1419" s="562"/>
      <c r="K1419" s="351"/>
      <c r="L1419" s="562"/>
      <c r="M1419" s="351"/>
      <c r="N1419" s="37"/>
      <c r="O1419" s="38"/>
      <c r="P1419" s="560"/>
      <c r="Q1419" s="351"/>
      <c r="R1419" s="527"/>
      <c r="S1419" s="351"/>
      <c r="T1419" s="528"/>
      <c r="U1419" s="351"/>
      <c r="V1419" s="541"/>
      <c r="W1419" s="351"/>
      <c r="X1419" s="542" t="s">
        <v>294</v>
      </c>
      <c r="Y1419" s="350"/>
      <c r="Z1419" s="350"/>
      <c r="AA1419" s="351"/>
      <c r="AB1419" s="543" t="s">
        <v>294</v>
      </c>
      <c r="AC1419" s="350"/>
      <c r="AD1419" s="350"/>
      <c r="AE1419" s="351"/>
      <c r="AF1419" s="544"/>
      <c r="AG1419" s="351"/>
      <c r="AH1419" s="544"/>
      <c r="AI1419" s="351"/>
      <c r="AJ1419" s="545"/>
      <c r="AK1419" s="351"/>
      <c r="AL1419" s="524" t="s">
        <v>325</v>
      </c>
      <c r="AM1419" s="351"/>
      <c r="AN1419" s="549" t="s">
        <v>325</v>
      </c>
      <c r="AO1419" s="351"/>
      <c r="AP1419" s="550"/>
      <c r="AQ1419" s="351"/>
      <c r="AR1419" s="551"/>
      <c r="AS1419" s="351"/>
      <c r="AT1419" s="552"/>
      <c r="AU1419" s="351"/>
      <c r="AV1419" s="549" t="s">
        <v>325</v>
      </c>
      <c r="AW1419" s="351"/>
      <c r="AX1419" s="553"/>
      <c r="AY1419" s="350"/>
      <c r="AZ1419" s="351"/>
      <c r="BA1419" s="554"/>
      <c r="BB1419" s="351"/>
      <c r="BC1419" s="39"/>
      <c r="BD1419" s="546" t="s">
        <v>325</v>
      </c>
      <c r="BE1419" s="351"/>
      <c r="BF1419" s="547"/>
      <c r="BG1419" s="350"/>
      <c r="BH1419" s="350"/>
      <c r="BI1419" s="351"/>
      <c r="BJ1419" s="548" t="s">
        <v>294</v>
      </c>
      <c r="BK1419" s="350"/>
      <c r="BL1419" s="350"/>
      <c r="BM1419" s="351"/>
      <c r="BN1419" s="530" t="s">
        <v>294</v>
      </c>
      <c r="BO1419" s="350"/>
      <c r="BP1419" s="350"/>
      <c r="BQ1419" s="350"/>
      <c r="BR1419" s="350"/>
      <c r="BS1419" s="350"/>
      <c r="BT1419" s="350"/>
      <c r="BU1419" s="350"/>
      <c r="BV1419" s="351"/>
    </row>
    <row r="1420" spans="1:74" ht="45" customHeight="1">
      <c r="A1420" s="24">
        <f t="shared" si="5"/>
        <v>1406</v>
      </c>
      <c r="B1420" s="558" t="s">
        <v>294</v>
      </c>
      <c r="C1420" s="351"/>
      <c r="D1420" s="559" t="s">
        <v>298</v>
      </c>
      <c r="E1420" s="351"/>
      <c r="F1420" s="524" t="s">
        <v>325</v>
      </c>
      <c r="G1420" s="351"/>
      <c r="H1420" s="525" t="s">
        <v>325</v>
      </c>
      <c r="I1420" s="351"/>
      <c r="J1420" s="40"/>
      <c r="K1420" s="41"/>
      <c r="L1420" s="40"/>
      <c r="M1420" s="41"/>
      <c r="N1420" s="34"/>
      <c r="O1420" s="35"/>
      <c r="P1420" s="526"/>
      <c r="Q1420" s="351"/>
      <c r="R1420" s="535"/>
      <c r="S1420" s="351"/>
      <c r="T1420" s="536"/>
      <c r="U1420" s="351"/>
      <c r="V1420" s="537"/>
      <c r="W1420" s="351"/>
      <c r="X1420" s="538" t="s">
        <v>294</v>
      </c>
      <c r="Y1420" s="350"/>
      <c r="Z1420" s="350"/>
      <c r="AA1420" s="351"/>
      <c r="AB1420" s="539" t="s">
        <v>294</v>
      </c>
      <c r="AC1420" s="350"/>
      <c r="AD1420" s="350"/>
      <c r="AE1420" s="351"/>
      <c r="AF1420" s="540"/>
      <c r="AG1420" s="351"/>
      <c r="AH1420" s="540"/>
      <c r="AI1420" s="351"/>
      <c r="AJ1420" s="545"/>
      <c r="AK1420" s="351"/>
      <c r="AL1420" s="555" t="s">
        <v>325</v>
      </c>
      <c r="AM1420" s="351"/>
      <c r="AN1420" s="531" t="s">
        <v>325</v>
      </c>
      <c r="AO1420" s="351"/>
      <c r="AP1420" s="532"/>
      <c r="AQ1420" s="351"/>
      <c r="AR1420" s="533"/>
      <c r="AS1420" s="351"/>
      <c r="AT1420" s="534"/>
      <c r="AU1420" s="351"/>
      <c r="AV1420" s="531" t="s">
        <v>325</v>
      </c>
      <c r="AW1420" s="351"/>
      <c r="AX1420" s="553"/>
      <c r="AY1420" s="350"/>
      <c r="AZ1420" s="351"/>
      <c r="BA1420" s="545"/>
      <c r="BB1420" s="351"/>
      <c r="BC1420" s="36"/>
      <c r="BD1420" s="556" t="s">
        <v>325</v>
      </c>
      <c r="BE1420" s="351"/>
      <c r="BF1420" s="557"/>
      <c r="BG1420" s="350"/>
      <c r="BH1420" s="350"/>
      <c r="BI1420" s="351"/>
      <c r="BJ1420" s="506" t="s">
        <v>294</v>
      </c>
      <c r="BK1420" s="350"/>
      <c r="BL1420" s="350"/>
      <c r="BM1420" s="351"/>
      <c r="BN1420" s="530" t="s">
        <v>294</v>
      </c>
      <c r="BO1420" s="350"/>
      <c r="BP1420" s="350"/>
      <c r="BQ1420" s="350"/>
      <c r="BR1420" s="350"/>
      <c r="BS1420" s="350"/>
      <c r="BT1420" s="350"/>
      <c r="BU1420" s="350"/>
      <c r="BV1420" s="351"/>
    </row>
    <row r="1421" spans="1:74" ht="45" customHeight="1">
      <c r="A1421" s="24">
        <f t="shared" si="5"/>
        <v>1407</v>
      </c>
      <c r="B1421" s="522" t="s">
        <v>294</v>
      </c>
      <c r="C1421" s="351"/>
      <c r="D1421" s="523" t="s">
        <v>298</v>
      </c>
      <c r="E1421" s="351"/>
      <c r="F1421" s="524" t="s">
        <v>325</v>
      </c>
      <c r="G1421" s="351"/>
      <c r="H1421" s="561" t="s">
        <v>325</v>
      </c>
      <c r="I1421" s="351"/>
      <c r="J1421" s="562"/>
      <c r="K1421" s="351"/>
      <c r="L1421" s="562"/>
      <c r="M1421" s="351"/>
      <c r="N1421" s="37"/>
      <c r="O1421" s="38"/>
      <c r="P1421" s="560"/>
      <c r="Q1421" s="351"/>
      <c r="R1421" s="527"/>
      <c r="S1421" s="351"/>
      <c r="T1421" s="528"/>
      <c r="U1421" s="351"/>
      <c r="V1421" s="541"/>
      <c r="W1421" s="351"/>
      <c r="X1421" s="542" t="s">
        <v>294</v>
      </c>
      <c r="Y1421" s="350"/>
      <c r="Z1421" s="350"/>
      <c r="AA1421" s="351"/>
      <c r="AB1421" s="543" t="s">
        <v>294</v>
      </c>
      <c r="AC1421" s="350"/>
      <c r="AD1421" s="350"/>
      <c r="AE1421" s="351"/>
      <c r="AF1421" s="544"/>
      <c r="AG1421" s="351"/>
      <c r="AH1421" s="544"/>
      <c r="AI1421" s="351"/>
      <c r="AJ1421" s="545"/>
      <c r="AK1421" s="351"/>
      <c r="AL1421" s="524" t="s">
        <v>325</v>
      </c>
      <c r="AM1421" s="351"/>
      <c r="AN1421" s="549" t="s">
        <v>325</v>
      </c>
      <c r="AO1421" s="351"/>
      <c r="AP1421" s="550"/>
      <c r="AQ1421" s="351"/>
      <c r="AR1421" s="551"/>
      <c r="AS1421" s="351"/>
      <c r="AT1421" s="552"/>
      <c r="AU1421" s="351"/>
      <c r="AV1421" s="549" t="s">
        <v>325</v>
      </c>
      <c r="AW1421" s="351"/>
      <c r="AX1421" s="553"/>
      <c r="AY1421" s="350"/>
      <c r="AZ1421" s="351"/>
      <c r="BA1421" s="554"/>
      <c r="BB1421" s="351"/>
      <c r="BC1421" s="39"/>
      <c r="BD1421" s="546" t="s">
        <v>325</v>
      </c>
      <c r="BE1421" s="351"/>
      <c r="BF1421" s="547"/>
      <c r="BG1421" s="350"/>
      <c r="BH1421" s="350"/>
      <c r="BI1421" s="351"/>
      <c r="BJ1421" s="548" t="s">
        <v>294</v>
      </c>
      <c r="BK1421" s="350"/>
      <c r="BL1421" s="350"/>
      <c r="BM1421" s="351"/>
      <c r="BN1421" s="530" t="s">
        <v>294</v>
      </c>
      <c r="BO1421" s="350"/>
      <c r="BP1421" s="350"/>
      <c r="BQ1421" s="350"/>
      <c r="BR1421" s="350"/>
      <c r="BS1421" s="350"/>
      <c r="BT1421" s="350"/>
      <c r="BU1421" s="350"/>
      <c r="BV1421" s="351"/>
    </row>
    <row r="1422" spans="1:74" ht="45" customHeight="1">
      <c r="A1422" s="24">
        <f t="shared" si="5"/>
        <v>1408</v>
      </c>
      <c r="B1422" s="558" t="s">
        <v>294</v>
      </c>
      <c r="C1422" s="351"/>
      <c r="D1422" s="559" t="s">
        <v>298</v>
      </c>
      <c r="E1422" s="351"/>
      <c r="F1422" s="524" t="s">
        <v>325</v>
      </c>
      <c r="G1422" s="351"/>
      <c r="H1422" s="525" t="s">
        <v>325</v>
      </c>
      <c r="I1422" s="351"/>
      <c r="J1422" s="40"/>
      <c r="K1422" s="41"/>
      <c r="L1422" s="40"/>
      <c r="M1422" s="41"/>
      <c r="N1422" s="34"/>
      <c r="O1422" s="35"/>
      <c r="P1422" s="526"/>
      <c r="Q1422" s="351"/>
      <c r="R1422" s="535"/>
      <c r="S1422" s="351"/>
      <c r="T1422" s="536"/>
      <c r="U1422" s="351"/>
      <c r="V1422" s="537"/>
      <c r="W1422" s="351"/>
      <c r="X1422" s="538" t="s">
        <v>294</v>
      </c>
      <c r="Y1422" s="350"/>
      <c r="Z1422" s="350"/>
      <c r="AA1422" s="351"/>
      <c r="AB1422" s="539" t="s">
        <v>294</v>
      </c>
      <c r="AC1422" s="350"/>
      <c r="AD1422" s="350"/>
      <c r="AE1422" s="351"/>
      <c r="AF1422" s="540"/>
      <c r="AG1422" s="351"/>
      <c r="AH1422" s="540"/>
      <c r="AI1422" s="351"/>
      <c r="AJ1422" s="545"/>
      <c r="AK1422" s="351"/>
      <c r="AL1422" s="555" t="s">
        <v>325</v>
      </c>
      <c r="AM1422" s="351"/>
      <c r="AN1422" s="531" t="s">
        <v>325</v>
      </c>
      <c r="AO1422" s="351"/>
      <c r="AP1422" s="532"/>
      <c r="AQ1422" s="351"/>
      <c r="AR1422" s="533"/>
      <c r="AS1422" s="351"/>
      <c r="AT1422" s="534"/>
      <c r="AU1422" s="351"/>
      <c r="AV1422" s="531" t="s">
        <v>325</v>
      </c>
      <c r="AW1422" s="351"/>
      <c r="AX1422" s="553"/>
      <c r="AY1422" s="350"/>
      <c r="AZ1422" s="351"/>
      <c r="BA1422" s="545"/>
      <c r="BB1422" s="351"/>
      <c r="BC1422" s="36"/>
      <c r="BD1422" s="556" t="s">
        <v>325</v>
      </c>
      <c r="BE1422" s="351"/>
      <c r="BF1422" s="529"/>
      <c r="BG1422" s="350"/>
      <c r="BH1422" s="350"/>
      <c r="BI1422" s="351"/>
      <c r="BJ1422" s="506" t="s">
        <v>294</v>
      </c>
      <c r="BK1422" s="350"/>
      <c r="BL1422" s="350"/>
      <c r="BM1422" s="351"/>
      <c r="BN1422" s="530" t="s">
        <v>294</v>
      </c>
      <c r="BO1422" s="350"/>
      <c r="BP1422" s="350"/>
      <c r="BQ1422" s="350"/>
      <c r="BR1422" s="350"/>
      <c r="BS1422" s="350"/>
      <c r="BT1422" s="350"/>
      <c r="BU1422" s="350"/>
      <c r="BV1422" s="351"/>
    </row>
    <row r="1423" spans="1:74" ht="45" customHeight="1">
      <c r="A1423" s="24">
        <f t="shared" si="5"/>
        <v>1409</v>
      </c>
      <c r="B1423" s="522" t="s">
        <v>294</v>
      </c>
      <c r="C1423" s="351"/>
      <c r="D1423" s="523" t="s">
        <v>298</v>
      </c>
      <c r="E1423" s="351"/>
      <c r="F1423" s="524" t="s">
        <v>325</v>
      </c>
      <c r="G1423" s="351"/>
      <c r="H1423" s="561" t="s">
        <v>325</v>
      </c>
      <c r="I1423" s="351"/>
      <c r="J1423" s="562"/>
      <c r="K1423" s="351"/>
      <c r="L1423" s="562"/>
      <c r="M1423" s="351"/>
      <c r="N1423" s="37"/>
      <c r="O1423" s="38"/>
      <c r="P1423" s="560"/>
      <c r="Q1423" s="351"/>
      <c r="R1423" s="527"/>
      <c r="S1423" s="351"/>
      <c r="T1423" s="528"/>
      <c r="U1423" s="351"/>
      <c r="V1423" s="541"/>
      <c r="W1423" s="351"/>
      <c r="X1423" s="542" t="s">
        <v>294</v>
      </c>
      <c r="Y1423" s="350"/>
      <c r="Z1423" s="350"/>
      <c r="AA1423" s="351"/>
      <c r="AB1423" s="543" t="s">
        <v>294</v>
      </c>
      <c r="AC1423" s="350"/>
      <c r="AD1423" s="350"/>
      <c r="AE1423" s="351"/>
      <c r="AF1423" s="544"/>
      <c r="AG1423" s="351"/>
      <c r="AH1423" s="544"/>
      <c r="AI1423" s="351"/>
      <c r="AJ1423" s="545"/>
      <c r="AK1423" s="351"/>
      <c r="AL1423" s="524" t="s">
        <v>325</v>
      </c>
      <c r="AM1423" s="351"/>
      <c r="AN1423" s="549" t="s">
        <v>325</v>
      </c>
      <c r="AO1423" s="351"/>
      <c r="AP1423" s="550"/>
      <c r="AQ1423" s="351"/>
      <c r="AR1423" s="551"/>
      <c r="AS1423" s="351"/>
      <c r="AT1423" s="552"/>
      <c r="AU1423" s="351"/>
      <c r="AV1423" s="549" t="s">
        <v>325</v>
      </c>
      <c r="AW1423" s="351"/>
      <c r="AX1423" s="553"/>
      <c r="AY1423" s="350"/>
      <c r="AZ1423" s="351"/>
      <c r="BA1423" s="554"/>
      <c r="BB1423" s="351"/>
      <c r="BC1423" s="39"/>
      <c r="BD1423" s="546" t="s">
        <v>325</v>
      </c>
      <c r="BE1423" s="351"/>
      <c r="BF1423" s="547"/>
      <c r="BG1423" s="350"/>
      <c r="BH1423" s="350"/>
      <c r="BI1423" s="351"/>
      <c r="BJ1423" s="548" t="s">
        <v>294</v>
      </c>
      <c r="BK1423" s="350"/>
      <c r="BL1423" s="350"/>
      <c r="BM1423" s="351"/>
      <c r="BN1423" s="530" t="s">
        <v>294</v>
      </c>
      <c r="BO1423" s="350"/>
      <c r="BP1423" s="350"/>
      <c r="BQ1423" s="350"/>
      <c r="BR1423" s="350"/>
      <c r="BS1423" s="350"/>
      <c r="BT1423" s="350"/>
      <c r="BU1423" s="350"/>
      <c r="BV1423" s="351"/>
    </row>
    <row r="1424" spans="1:74" ht="45" customHeight="1">
      <c r="A1424" s="24">
        <f t="shared" si="5"/>
        <v>1410</v>
      </c>
      <c r="B1424" s="558" t="s">
        <v>294</v>
      </c>
      <c r="C1424" s="351"/>
      <c r="D1424" s="559" t="s">
        <v>298</v>
      </c>
      <c r="E1424" s="351"/>
      <c r="F1424" s="524" t="s">
        <v>325</v>
      </c>
      <c r="G1424" s="351"/>
      <c r="H1424" s="525" t="s">
        <v>325</v>
      </c>
      <c r="I1424" s="351"/>
      <c r="J1424" s="40"/>
      <c r="K1424" s="41"/>
      <c r="L1424" s="40"/>
      <c r="M1424" s="41"/>
      <c r="N1424" s="34"/>
      <c r="O1424" s="35"/>
      <c r="P1424" s="526"/>
      <c r="Q1424" s="351"/>
      <c r="R1424" s="535"/>
      <c r="S1424" s="351"/>
      <c r="T1424" s="536"/>
      <c r="U1424" s="351"/>
      <c r="V1424" s="537"/>
      <c r="W1424" s="351"/>
      <c r="X1424" s="538" t="s">
        <v>294</v>
      </c>
      <c r="Y1424" s="350"/>
      <c r="Z1424" s="350"/>
      <c r="AA1424" s="351"/>
      <c r="AB1424" s="539" t="s">
        <v>294</v>
      </c>
      <c r="AC1424" s="350"/>
      <c r="AD1424" s="350"/>
      <c r="AE1424" s="351"/>
      <c r="AF1424" s="540"/>
      <c r="AG1424" s="351"/>
      <c r="AH1424" s="540"/>
      <c r="AI1424" s="351"/>
      <c r="AJ1424" s="545"/>
      <c r="AK1424" s="351"/>
      <c r="AL1424" s="555" t="s">
        <v>325</v>
      </c>
      <c r="AM1424" s="351"/>
      <c r="AN1424" s="531" t="s">
        <v>325</v>
      </c>
      <c r="AO1424" s="351"/>
      <c r="AP1424" s="532"/>
      <c r="AQ1424" s="351"/>
      <c r="AR1424" s="533"/>
      <c r="AS1424" s="351"/>
      <c r="AT1424" s="534"/>
      <c r="AU1424" s="351"/>
      <c r="AV1424" s="531" t="s">
        <v>325</v>
      </c>
      <c r="AW1424" s="351"/>
      <c r="AX1424" s="553"/>
      <c r="AY1424" s="350"/>
      <c r="AZ1424" s="351"/>
      <c r="BA1424" s="545"/>
      <c r="BB1424" s="351"/>
      <c r="BC1424" s="36"/>
      <c r="BD1424" s="556" t="s">
        <v>325</v>
      </c>
      <c r="BE1424" s="351"/>
      <c r="BF1424" s="557"/>
      <c r="BG1424" s="350"/>
      <c r="BH1424" s="350"/>
      <c r="BI1424" s="351"/>
      <c r="BJ1424" s="506" t="s">
        <v>294</v>
      </c>
      <c r="BK1424" s="350"/>
      <c r="BL1424" s="350"/>
      <c r="BM1424" s="351"/>
      <c r="BN1424" s="530" t="s">
        <v>294</v>
      </c>
      <c r="BO1424" s="350"/>
      <c r="BP1424" s="350"/>
      <c r="BQ1424" s="350"/>
      <c r="BR1424" s="350"/>
      <c r="BS1424" s="350"/>
      <c r="BT1424" s="350"/>
      <c r="BU1424" s="350"/>
      <c r="BV1424" s="351"/>
    </row>
    <row r="1425" spans="1:74" ht="45" customHeight="1">
      <c r="A1425" s="24">
        <f t="shared" si="5"/>
        <v>1411</v>
      </c>
      <c r="B1425" s="522" t="s">
        <v>294</v>
      </c>
      <c r="C1425" s="351"/>
      <c r="D1425" s="523" t="s">
        <v>298</v>
      </c>
      <c r="E1425" s="351"/>
      <c r="F1425" s="524" t="s">
        <v>325</v>
      </c>
      <c r="G1425" s="351"/>
      <c r="H1425" s="561" t="s">
        <v>325</v>
      </c>
      <c r="I1425" s="351"/>
      <c r="J1425" s="562"/>
      <c r="K1425" s="351"/>
      <c r="L1425" s="562"/>
      <c r="M1425" s="351"/>
      <c r="N1425" s="37"/>
      <c r="O1425" s="38"/>
      <c r="P1425" s="560"/>
      <c r="Q1425" s="351"/>
      <c r="R1425" s="527"/>
      <c r="S1425" s="351"/>
      <c r="T1425" s="528"/>
      <c r="U1425" s="351"/>
      <c r="V1425" s="541"/>
      <c r="W1425" s="351"/>
      <c r="X1425" s="542" t="s">
        <v>294</v>
      </c>
      <c r="Y1425" s="350"/>
      <c r="Z1425" s="350"/>
      <c r="AA1425" s="351"/>
      <c r="AB1425" s="543" t="s">
        <v>294</v>
      </c>
      <c r="AC1425" s="350"/>
      <c r="AD1425" s="350"/>
      <c r="AE1425" s="351"/>
      <c r="AF1425" s="544"/>
      <c r="AG1425" s="351"/>
      <c r="AH1425" s="544"/>
      <c r="AI1425" s="351"/>
      <c r="AJ1425" s="545"/>
      <c r="AK1425" s="351"/>
      <c r="AL1425" s="524" t="s">
        <v>325</v>
      </c>
      <c r="AM1425" s="351"/>
      <c r="AN1425" s="549" t="s">
        <v>325</v>
      </c>
      <c r="AO1425" s="351"/>
      <c r="AP1425" s="550"/>
      <c r="AQ1425" s="351"/>
      <c r="AR1425" s="551"/>
      <c r="AS1425" s="351"/>
      <c r="AT1425" s="534"/>
      <c r="AU1425" s="351"/>
      <c r="AV1425" s="549" t="s">
        <v>325</v>
      </c>
      <c r="AW1425" s="351"/>
      <c r="AX1425" s="553"/>
      <c r="AY1425" s="350"/>
      <c r="AZ1425" s="351"/>
      <c r="BA1425" s="554"/>
      <c r="BB1425" s="351"/>
      <c r="BC1425" s="39"/>
      <c r="BD1425" s="546" t="s">
        <v>325</v>
      </c>
      <c r="BE1425" s="351"/>
      <c r="BF1425" s="547"/>
      <c r="BG1425" s="350"/>
      <c r="BH1425" s="350"/>
      <c r="BI1425" s="351"/>
      <c r="BJ1425" s="548" t="s">
        <v>294</v>
      </c>
      <c r="BK1425" s="350"/>
      <c r="BL1425" s="350"/>
      <c r="BM1425" s="351"/>
      <c r="BN1425" s="530" t="s">
        <v>294</v>
      </c>
      <c r="BO1425" s="350"/>
      <c r="BP1425" s="350"/>
      <c r="BQ1425" s="350"/>
      <c r="BR1425" s="350"/>
      <c r="BS1425" s="350"/>
      <c r="BT1425" s="350"/>
      <c r="BU1425" s="350"/>
      <c r="BV1425" s="351"/>
    </row>
    <row r="1426" spans="1:74" ht="45" customHeight="1">
      <c r="A1426" s="24">
        <f t="shared" si="5"/>
        <v>1412</v>
      </c>
      <c r="B1426" s="558" t="s">
        <v>294</v>
      </c>
      <c r="C1426" s="351"/>
      <c r="D1426" s="559" t="s">
        <v>298</v>
      </c>
      <c r="E1426" s="351"/>
      <c r="F1426" s="524" t="s">
        <v>325</v>
      </c>
      <c r="G1426" s="351"/>
      <c r="H1426" s="525" t="s">
        <v>325</v>
      </c>
      <c r="I1426" s="351"/>
      <c r="J1426" s="40"/>
      <c r="K1426" s="41"/>
      <c r="L1426" s="40"/>
      <c r="M1426" s="41"/>
      <c r="N1426" s="34"/>
      <c r="O1426" s="35"/>
      <c r="P1426" s="526"/>
      <c r="Q1426" s="351"/>
      <c r="R1426" s="535"/>
      <c r="S1426" s="351"/>
      <c r="T1426" s="536"/>
      <c r="U1426" s="351"/>
      <c r="V1426" s="537"/>
      <c r="W1426" s="351"/>
      <c r="X1426" s="538" t="s">
        <v>294</v>
      </c>
      <c r="Y1426" s="350"/>
      <c r="Z1426" s="350"/>
      <c r="AA1426" s="351"/>
      <c r="AB1426" s="539" t="s">
        <v>294</v>
      </c>
      <c r="AC1426" s="350"/>
      <c r="AD1426" s="350"/>
      <c r="AE1426" s="351"/>
      <c r="AF1426" s="540"/>
      <c r="AG1426" s="351"/>
      <c r="AH1426" s="540"/>
      <c r="AI1426" s="351"/>
      <c r="AJ1426" s="545"/>
      <c r="AK1426" s="351"/>
      <c r="AL1426" s="555" t="s">
        <v>325</v>
      </c>
      <c r="AM1426" s="351"/>
      <c r="AN1426" s="531" t="s">
        <v>325</v>
      </c>
      <c r="AO1426" s="351"/>
      <c r="AP1426" s="532"/>
      <c r="AQ1426" s="351"/>
      <c r="AR1426" s="533"/>
      <c r="AS1426" s="351"/>
      <c r="AT1426" s="534"/>
      <c r="AU1426" s="351"/>
      <c r="AV1426" s="531" t="s">
        <v>325</v>
      </c>
      <c r="AW1426" s="351"/>
      <c r="AX1426" s="553"/>
      <c r="AY1426" s="350"/>
      <c r="AZ1426" s="351"/>
      <c r="BA1426" s="545"/>
      <c r="BB1426" s="351"/>
      <c r="BC1426" s="36"/>
      <c r="BD1426" s="556" t="s">
        <v>325</v>
      </c>
      <c r="BE1426" s="351"/>
      <c r="BF1426" s="557"/>
      <c r="BG1426" s="350"/>
      <c r="BH1426" s="350"/>
      <c r="BI1426" s="351"/>
      <c r="BJ1426" s="506" t="s">
        <v>294</v>
      </c>
      <c r="BK1426" s="350"/>
      <c r="BL1426" s="350"/>
      <c r="BM1426" s="351"/>
      <c r="BN1426" s="530" t="s">
        <v>294</v>
      </c>
      <c r="BO1426" s="350"/>
      <c r="BP1426" s="350"/>
      <c r="BQ1426" s="350"/>
      <c r="BR1426" s="350"/>
      <c r="BS1426" s="350"/>
      <c r="BT1426" s="350"/>
      <c r="BU1426" s="350"/>
      <c r="BV1426" s="351"/>
    </row>
    <row r="1427" spans="1:74" ht="45" customHeight="1">
      <c r="A1427" s="24">
        <f t="shared" si="5"/>
        <v>1413</v>
      </c>
      <c r="B1427" s="522" t="s">
        <v>294</v>
      </c>
      <c r="C1427" s="351"/>
      <c r="D1427" s="523" t="s">
        <v>298</v>
      </c>
      <c r="E1427" s="351"/>
      <c r="F1427" s="524" t="s">
        <v>325</v>
      </c>
      <c r="G1427" s="351"/>
      <c r="H1427" s="561" t="s">
        <v>325</v>
      </c>
      <c r="I1427" s="351"/>
      <c r="J1427" s="562"/>
      <c r="K1427" s="351"/>
      <c r="L1427" s="562"/>
      <c r="M1427" s="351"/>
      <c r="N1427" s="37"/>
      <c r="O1427" s="38"/>
      <c r="P1427" s="560"/>
      <c r="Q1427" s="351"/>
      <c r="R1427" s="527"/>
      <c r="S1427" s="351"/>
      <c r="T1427" s="528"/>
      <c r="U1427" s="351"/>
      <c r="V1427" s="541"/>
      <c r="W1427" s="351"/>
      <c r="X1427" s="542" t="s">
        <v>294</v>
      </c>
      <c r="Y1427" s="350"/>
      <c r="Z1427" s="350"/>
      <c r="AA1427" s="351"/>
      <c r="AB1427" s="543" t="s">
        <v>294</v>
      </c>
      <c r="AC1427" s="350"/>
      <c r="AD1427" s="350"/>
      <c r="AE1427" s="351"/>
      <c r="AF1427" s="544"/>
      <c r="AG1427" s="351"/>
      <c r="AH1427" s="544"/>
      <c r="AI1427" s="351"/>
      <c r="AJ1427" s="545"/>
      <c r="AK1427" s="351"/>
      <c r="AL1427" s="524" t="s">
        <v>325</v>
      </c>
      <c r="AM1427" s="351"/>
      <c r="AN1427" s="549" t="s">
        <v>325</v>
      </c>
      <c r="AO1427" s="351"/>
      <c r="AP1427" s="550"/>
      <c r="AQ1427" s="351"/>
      <c r="AR1427" s="551"/>
      <c r="AS1427" s="351"/>
      <c r="AT1427" s="534"/>
      <c r="AU1427" s="351"/>
      <c r="AV1427" s="549" t="s">
        <v>325</v>
      </c>
      <c r="AW1427" s="351"/>
      <c r="AX1427" s="553"/>
      <c r="AY1427" s="350"/>
      <c r="AZ1427" s="351"/>
      <c r="BA1427" s="554"/>
      <c r="BB1427" s="351"/>
      <c r="BC1427" s="39"/>
      <c r="BD1427" s="546" t="s">
        <v>325</v>
      </c>
      <c r="BE1427" s="351"/>
      <c r="BF1427" s="547"/>
      <c r="BG1427" s="350"/>
      <c r="BH1427" s="350"/>
      <c r="BI1427" s="351"/>
      <c r="BJ1427" s="548" t="s">
        <v>294</v>
      </c>
      <c r="BK1427" s="350"/>
      <c r="BL1427" s="350"/>
      <c r="BM1427" s="351"/>
      <c r="BN1427" s="530" t="s">
        <v>294</v>
      </c>
      <c r="BO1427" s="350"/>
      <c r="BP1427" s="350"/>
      <c r="BQ1427" s="350"/>
      <c r="BR1427" s="350"/>
      <c r="BS1427" s="350"/>
      <c r="BT1427" s="350"/>
      <c r="BU1427" s="350"/>
      <c r="BV1427" s="351"/>
    </row>
    <row r="1428" spans="1:74" ht="45" customHeight="1">
      <c r="A1428" s="24">
        <f t="shared" si="5"/>
        <v>1414</v>
      </c>
      <c r="B1428" s="558" t="s">
        <v>294</v>
      </c>
      <c r="C1428" s="351"/>
      <c r="D1428" s="559" t="s">
        <v>298</v>
      </c>
      <c r="E1428" s="351"/>
      <c r="F1428" s="524" t="s">
        <v>325</v>
      </c>
      <c r="G1428" s="351"/>
      <c r="H1428" s="525" t="s">
        <v>325</v>
      </c>
      <c r="I1428" s="351"/>
      <c r="J1428" s="40"/>
      <c r="K1428" s="41"/>
      <c r="L1428" s="40"/>
      <c r="M1428" s="41"/>
      <c r="N1428" s="34"/>
      <c r="O1428" s="35"/>
      <c r="P1428" s="526"/>
      <c r="Q1428" s="351"/>
      <c r="R1428" s="535"/>
      <c r="S1428" s="351"/>
      <c r="T1428" s="536"/>
      <c r="U1428" s="351"/>
      <c r="V1428" s="537"/>
      <c r="W1428" s="351"/>
      <c r="X1428" s="538" t="s">
        <v>294</v>
      </c>
      <c r="Y1428" s="350"/>
      <c r="Z1428" s="350"/>
      <c r="AA1428" s="351"/>
      <c r="AB1428" s="539" t="s">
        <v>294</v>
      </c>
      <c r="AC1428" s="350"/>
      <c r="AD1428" s="350"/>
      <c r="AE1428" s="351"/>
      <c r="AF1428" s="540"/>
      <c r="AG1428" s="351"/>
      <c r="AH1428" s="540"/>
      <c r="AI1428" s="351"/>
      <c r="AJ1428" s="545"/>
      <c r="AK1428" s="351"/>
      <c r="AL1428" s="555" t="s">
        <v>325</v>
      </c>
      <c r="AM1428" s="351"/>
      <c r="AN1428" s="531" t="s">
        <v>325</v>
      </c>
      <c r="AO1428" s="351"/>
      <c r="AP1428" s="532"/>
      <c r="AQ1428" s="351"/>
      <c r="AR1428" s="533"/>
      <c r="AS1428" s="351"/>
      <c r="AT1428" s="534"/>
      <c r="AU1428" s="351"/>
      <c r="AV1428" s="531" t="s">
        <v>325</v>
      </c>
      <c r="AW1428" s="351"/>
      <c r="AX1428" s="553"/>
      <c r="AY1428" s="350"/>
      <c r="AZ1428" s="351"/>
      <c r="BA1428" s="545"/>
      <c r="BB1428" s="351"/>
      <c r="BC1428" s="36"/>
      <c r="BD1428" s="556" t="s">
        <v>325</v>
      </c>
      <c r="BE1428" s="351"/>
      <c r="BF1428" s="557"/>
      <c r="BG1428" s="350"/>
      <c r="BH1428" s="350"/>
      <c r="BI1428" s="351"/>
      <c r="BJ1428" s="506" t="s">
        <v>294</v>
      </c>
      <c r="BK1428" s="350"/>
      <c r="BL1428" s="350"/>
      <c r="BM1428" s="351"/>
      <c r="BN1428" s="530" t="s">
        <v>294</v>
      </c>
      <c r="BO1428" s="350"/>
      <c r="BP1428" s="350"/>
      <c r="BQ1428" s="350"/>
      <c r="BR1428" s="350"/>
      <c r="BS1428" s="350"/>
      <c r="BT1428" s="350"/>
      <c r="BU1428" s="350"/>
      <c r="BV1428" s="351"/>
    </row>
    <row r="1429" spans="1:74" ht="45" customHeight="1">
      <c r="A1429" s="24">
        <f t="shared" si="5"/>
        <v>1415</v>
      </c>
      <c r="B1429" s="522" t="s">
        <v>294</v>
      </c>
      <c r="C1429" s="351"/>
      <c r="D1429" s="523" t="s">
        <v>298</v>
      </c>
      <c r="E1429" s="351"/>
      <c r="F1429" s="524" t="s">
        <v>325</v>
      </c>
      <c r="G1429" s="351"/>
      <c r="H1429" s="561" t="s">
        <v>325</v>
      </c>
      <c r="I1429" s="351"/>
      <c r="J1429" s="562"/>
      <c r="K1429" s="351"/>
      <c r="L1429" s="562"/>
      <c r="M1429" s="351"/>
      <c r="N1429" s="37"/>
      <c r="O1429" s="38"/>
      <c r="P1429" s="560"/>
      <c r="Q1429" s="351"/>
      <c r="R1429" s="527"/>
      <c r="S1429" s="351"/>
      <c r="T1429" s="528"/>
      <c r="U1429" s="351"/>
      <c r="V1429" s="541"/>
      <c r="W1429" s="351"/>
      <c r="X1429" s="542" t="s">
        <v>294</v>
      </c>
      <c r="Y1429" s="350"/>
      <c r="Z1429" s="350"/>
      <c r="AA1429" s="351"/>
      <c r="AB1429" s="543" t="s">
        <v>294</v>
      </c>
      <c r="AC1429" s="350"/>
      <c r="AD1429" s="350"/>
      <c r="AE1429" s="351"/>
      <c r="AF1429" s="544"/>
      <c r="AG1429" s="351"/>
      <c r="AH1429" s="544"/>
      <c r="AI1429" s="351"/>
      <c r="AJ1429" s="545"/>
      <c r="AK1429" s="351"/>
      <c r="AL1429" s="524" t="s">
        <v>325</v>
      </c>
      <c r="AM1429" s="351"/>
      <c r="AN1429" s="549" t="s">
        <v>325</v>
      </c>
      <c r="AO1429" s="351"/>
      <c r="AP1429" s="550"/>
      <c r="AQ1429" s="351"/>
      <c r="AR1429" s="551"/>
      <c r="AS1429" s="351"/>
      <c r="AT1429" s="552"/>
      <c r="AU1429" s="351"/>
      <c r="AV1429" s="549" t="s">
        <v>325</v>
      </c>
      <c r="AW1429" s="351"/>
      <c r="AX1429" s="553"/>
      <c r="AY1429" s="350"/>
      <c r="AZ1429" s="351"/>
      <c r="BA1429" s="554"/>
      <c r="BB1429" s="351"/>
      <c r="BC1429" s="39"/>
      <c r="BD1429" s="546" t="s">
        <v>325</v>
      </c>
      <c r="BE1429" s="351"/>
      <c r="BF1429" s="547"/>
      <c r="BG1429" s="350"/>
      <c r="BH1429" s="350"/>
      <c r="BI1429" s="351"/>
      <c r="BJ1429" s="548" t="s">
        <v>294</v>
      </c>
      <c r="BK1429" s="350"/>
      <c r="BL1429" s="350"/>
      <c r="BM1429" s="351"/>
      <c r="BN1429" s="530" t="s">
        <v>294</v>
      </c>
      <c r="BO1429" s="350"/>
      <c r="BP1429" s="350"/>
      <c r="BQ1429" s="350"/>
      <c r="BR1429" s="350"/>
      <c r="BS1429" s="350"/>
      <c r="BT1429" s="350"/>
      <c r="BU1429" s="350"/>
      <c r="BV1429" s="351"/>
    </row>
    <row r="1430" spans="1:74" ht="45" customHeight="1">
      <c r="A1430" s="24">
        <f t="shared" si="5"/>
        <v>1416</v>
      </c>
      <c r="B1430" s="558" t="s">
        <v>294</v>
      </c>
      <c r="C1430" s="351"/>
      <c r="D1430" s="559" t="s">
        <v>298</v>
      </c>
      <c r="E1430" s="351"/>
      <c r="F1430" s="524" t="s">
        <v>325</v>
      </c>
      <c r="G1430" s="351"/>
      <c r="H1430" s="525" t="s">
        <v>325</v>
      </c>
      <c r="I1430" s="351"/>
      <c r="J1430" s="40"/>
      <c r="K1430" s="41"/>
      <c r="L1430" s="40"/>
      <c r="M1430" s="41"/>
      <c r="N1430" s="34"/>
      <c r="O1430" s="35"/>
      <c r="P1430" s="526"/>
      <c r="Q1430" s="351"/>
      <c r="R1430" s="535"/>
      <c r="S1430" s="351"/>
      <c r="T1430" s="536"/>
      <c r="U1430" s="351"/>
      <c r="V1430" s="537"/>
      <c r="W1430" s="351"/>
      <c r="X1430" s="538" t="s">
        <v>294</v>
      </c>
      <c r="Y1430" s="350"/>
      <c r="Z1430" s="350"/>
      <c r="AA1430" s="351"/>
      <c r="AB1430" s="539" t="s">
        <v>294</v>
      </c>
      <c r="AC1430" s="350"/>
      <c r="AD1430" s="350"/>
      <c r="AE1430" s="351"/>
      <c r="AF1430" s="540"/>
      <c r="AG1430" s="351"/>
      <c r="AH1430" s="540"/>
      <c r="AI1430" s="351"/>
      <c r="AJ1430" s="545"/>
      <c r="AK1430" s="351"/>
      <c r="AL1430" s="555" t="s">
        <v>325</v>
      </c>
      <c r="AM1430" s="351"/>
      <c r="AN1430" s="531" t="s">
        <v>325</v>
      </c>
      <c r="AO1430" s="351"/>
      <c r="AP1430" s="532"/>
      <c r="AQ1430" s="351"/>
      <c r="AR1430" s="533"/>
      <c r="AS1430" s="351"/>
      <c r="AT1430" s="534"/>
      <c r="AU1430" s="351"/>
      <c r="AV1430" s="531" t="s">
        <v>325</v>
      </c>
      <c r="AW1430" s="351"/>
      <c r="AX1430" s="553"/>
      <c r="AY1430" s="350"/>
      <c r="AZ1430" s="351"/>
      <c r="BA1430" s="545"/>
      <c r="BB1430" s="351"/>
      <c r="BC1430" s="36"/>
      <c r="BD1430" s="556" t="s">
        <v>325</v>
      </c>
      <c r="BE1430" s="351"/>
      <c r="BF1430" s="529"/>
      <c r="BG1430" s="350"/>
      <c r="BH1430" s="350"/>
      <c r="BI1430" s="351"/>
      <c r="BJ1430" s="506" t="s">
        <v>294</v>
      </c>
      <c r="BK1430" s="350"/>
      <c r="BL1430" s="350"/>
      <c r="BM1430" s="351"/>
      <c r="BN1430" s="530" t="s">
        <v>294</v>
      </c>
      <c r="BO1430" s="350"/>
      <c r="BP1430" s="350"/>
      <c r="BQ1430" s="350"/>
      <c r="BR1430" s="350"/>
      <c r="BS1430" s="350"/>
      <c r="BT1430" s="350"/>
      <c r="BU1430" s="350"/>
      <c r="BV1430" s="351"/>
    </row>
    <row r="1431" spans="1:74" ht="45" customHeight="1">
      <c r="A1431" s="24">
        <f t="shared" si="5"/>
        <v>1417</v>
      </c>
      <c r="B1431" s="522" t="s">
        <v>294</v>
      </c>
      <c r="C1431" s="351"/>
      <c r="D1431" s="523" t="s">
        <v>298</v>
      </c>
      <c r="E1431" s="351"/>
      <c r="F1431" s="524" t="s">
        <v>325</v>
      </c>
      <c r="G1431" s="351"/>
      <c r="H1431" s="561" t="s">
        <v>325</v>
      </c>
      <c r="I1431" s="351"/>
      <c r="J1431" s="562"/>
      <c r="K1431" s="351"/>
      <c r="L1431" s="562"/>
      <c r="M1431" s="351"/>
      <c r="N1431" s="37"/>
      <c r="O1431" s="38"/>
      <c r="P1431" s="560"/>
      <c r="Q1431" s="351"/>
      <c r="R1431" s="527"/>
      <c r="S1431" s="351"/>
      <c r="T1431" s="528"/>
      <c r="U1431" s="351"/>
      <c r="V1431" s="541"/>
      <c r="W1431" s="351"/>
      <c r="X1431" s="542" t="s">
        <v>294</v>
      </c>
      <c r="Y1431" s="350"/>
      <c r="Z1431" s="350"/>
      <c r="AA1431" s="351"/>
      <c r="AB1431" s="543" t="s">
        <v>294</v>
      </c>
      <c r="AC1431" s="350"/>
      <c r="AD1431" s="350"/>
      <c r="AE1431" s="351"/>
      <c r="AF1431" s="544"/>
      <c r="AG1431" s="351"/>
      <c r="AH1431" s="544"/>
      <c r="AI1431" s="351"/>
      <c r="AJ1431" s="545"/>
      <c r="AK1431" s="351"/>
      <c r="AL1431" s="524" t="s">
        <v>325</v>
      </c>
      <c r="AM1431" s="351"/>
      <c r="AN1431" s="549" t="s">
        <v>325</v>
      </c>
      <c r="AO1431" s="351"/>
      <c r="AP1431" s="550"/>
      <c r="AQ1431" s="351"/>
      <c r="AR1431" s="551"/>
      <c r="AS1431" s="351"/>
      <c r="AT1431" s="552"/>
      <c r="AU1431" s="351"/>
      <c r="AV1431" s="549" t="s">
        <v>325</v>
      </c>
      <c r="AW1431" s="351"/>
      <c r="AX1431" s="553"/>
      <c r="AY1431" s="350"/>
      <c r="AZ1431" s="351"/>
      <c r="BA1431" s="554"/>
      <c r="BB1431" s="351"/>
      <c r="BC1431" s="39"/>
      <c r="BD1431" s="546" t="s">
        <v>325</v>
      </c>
      <c r="BE1431" s="351"/>
      <c r="BF1431" s="547"/>
      <c r="BG1431" s="350"/>
      <c r="BH1431" s="350"/>
      <c r="BI1431" s="351"/>
      <c r="BJ1431" s="548" t="s">
        <v>294</v>
      </c>
      <c r="BK1431" s="350"/>
      <c r="BL1431" s="350"/>
      <c r="BM1431" s="351"/>
      <c r="BN1431" s="530" t="s">
        <v>294</v>
      </c>
      <c r="BO1431" s="350"/>
      <c r="BP1431" s="350"/>
      <c r="BQ1431" s="350"/>
      <c r="BR1431" s="350"/>
      <c r="BS1431" s="350"/>
      <c r="BT1431" s="350"/>
      <c r="BU1431" s="350"/>
      <c r="BV1431" s="351"/>
    </row>
    <row r="1432" spans="1:74" ht="45" customHeight="1">
      <c r="A1432" s="24">
        <f t="shared" si="5"/>
        <v>1418</v>
      </c>
      <c r="B1432" s="558" t="s">
        <v>294</v>
      </c>
      <c r="C1432" s="351"/>
      <c r="D1432" s="559" t="s">
        <v>298</v>
      </c>
      <c r="E1432" s="351"/>
      <c r="F1432" s="524" t="s">
        <v>325</v>
      </c>
      <c r="G1432" s="351"/>
      <c r="H1432" s="525" t="s">
        <v>325</v>
      </c>
      <c r="I1432" s="351"/>
      <c r="J1432" s="40"/>
      <c r="K1432" s="41"/>
      <c r="L1432" s="40"/>
      <c r="M1432" s="41"/>
      <c r="N1432" s="34"/>
      <c r="O1432" s="35"/>
      <c r="P1432" s="526"/>
      <c r="Q1432" s="351"/>
      <c r="R1432" s="535"/>
      <c r="S1432" s="351"/>
      <c r="T1432" s="536"/>
      <c r="U1432" s="351"/>
      <c r="V1432" s="537"/>
      <c r="W1432" s="351"/>
      <c r="X1432" s="538" t="s">
        <v>294</v>
      </c>
      <c r="Y1432" s="350"/>
      <c r="Z1432" s="350"/>
      <c r="AA1432" s="351"/>
      <c r="AB1432" s="539" t="s">
        <v>294</v>
      </c>
      <c r="AC1432" s="350"/>
      <c r="AD1432" s="350"/>
      <c r="AE1432" s="351"/>
      <c r="AF1432" s="540"/>
      <c r="AG1432" s="351"/>
      <c r="AH1432" s="540"/>
      <c r="AI1432" s="351"/>
      <c r="AJ1432" s="545"/>
      <c r="AK1432" s="351"/>
      <c r="AL1432" s="555" t="s">
        <v>325</v>
      </c>
      <c r="AM1432" s="351"/>
      <c r="AN1432" s="531" t="s">
        <v>325</v>
      </c>
      <c r="AO1432" s="351"/>
      <c r="AP1432" s="532"/>
      <c r="AQ1432" s="351"/>
      <c r="AR1432" s="533"/>
      <c r="AS1432" s="351"/>
      <c r="AT1432" s="534"/>
      <c r="AU1432" s="351"/>
      <c r="AV1432" s="531" t="s">
        <v>325</v>
      </c>
      <c r="AW1432" s="351"/>
      <c r="AX1432" s="553"/>
      <c r="AY1432" s="350"/>
      <c r="AZ1432" s="351"/>
      <c r="BA1432" s="545"/>
      <c r="BB1432" s="351"/>
      <c r="BC1432" s="36"/>
      <c r="BD1432" s="556" t="s">
        <v>325</v>
      </c>
      <c r="BE1432" s="351"/>
      <c r="BF1432" s="557"/>
      <c r="BG1432" s="350"/>
      <c r="BH1432" s="350"/>
      <c r="BI1432" s="351"/>
      <c r="BJ1432" s="506" t="s">
        <v>294</v>
      </c>
      <c r="BK1432" s="350"/>
      <c r="BL1432" s="350"/>
      <c r="BM1432" s="351"/>
      <c r="BN1432" s="530" t="s">
        <v>294</v>
      </c>
      <c r="BO1432" s="350"/>
      <c r="BP1432" s="350"/>
      <c r="BQ1432" s="350"/>
      <c r="BR1432" s="350"/>
      <c r="BS1432" s="350"/>
      <c r="BT1432" s="350"/>
      <c r="BU1432" s="350"/>
      <c r="BV1432" s="351"/>
    </row>
    <row r="1433" spans="1:74" ht="45" customHeight="1">
      <c r="A1433" s="24">
        <f t="shared" si="5"/>
        <v>1419</v>
      </c>
      <c r="B1433" s="522" t="s">
        <v>294</v>
      </c>
      <c r="C1433" s="351"/>
      <c r="D1433" s="523" t="s">
        <v>298</v>
      </c>
      <c r="E1433" s="351"/>
      <c r="F1433" s="524" t="s">
        <v>325</v>
      </c>
      <c r="G1433" s="351"/>
      <c r="H1433" s="561" t="s">
        <v>325</v>
      </c>
      <c r="I1433" s="351"/>
      <c r="J1433" s="562"/>
      <c r="K1433" s="351"/>
      <c r="L1433" s="562"/>
      <c r="M1433" s="351"/>
      <c r="N1433" s="37"/>
      <c r="O1433" s="38"/>
      <c r="P1433" s="560"/>
      <c r="Q1433" s="351"/>
      <c r="R1433" s="527"/>
      <c r="S1433" s="351"/>
      <c r="T1433" s="528"/>
      <c r="U1433" s="351"/>
      <c r="V1433" s="541"/>
      <c r="W1433" s="351"/>
      <c r="X1433" s="542" t="s">
        <v>294</v>
      </c>
      <c r="Y1433" s="350"/>
      <c r="Z1433" s="350"/>
      <c r="AA1433" s="351"/>
      <c r="AB1433" s="543" t="s">
        <v>294</v>
      </c>
      <c r="AC1433" s="350"/>
      <c r="AD1433" s="350"/>
      <c r="AE1433" s="351"/>
      <c r="AF1433" s="544"/>
      <c r="AG1433" s="351"/>
      <c r="AH1433" s="544"/>
      <c r="AI1433" s="351"/>
      <c r="AJ1433" s="545"/>
      <c r="AK1433" s="351"/>
      <c r="AL1433" s="524" t="s">
        <v>325</v>
      </c>
      <c r="AM1433" s="351"/>
      <c r="AN1433" s="549" t="s">
        <v>325</v>
      </c>
      <c r="AO1433" s="351"/>
      <c r="AP1433" s="550"/>
      <c r="AQ1433" s="351"/>
      <c r="AR1433" s="551"/>
      <c r="AS1433" s="351"/>
      <c r="AT1433" s="552"/>
      <c r="AU1433" s="351"/>
      <c r="AV1433" s="549" t="s">
        <v>325</v>
      </c>
      <c r="AW1433" s="351"/>
      <c r="AX1433" s="553"/>
      <c r="AY1433" s="350"/>
      <c r="AZ1433" s="351"/>
      <c r="BA1433" s="554"/>
      <c r="BB1433" s="351"/>
      <c r="BC1433" s="39"/>
      <c r="BD1433" s="546" t="s">
        <v>325</v>
      </c>
      <c r="BE1433" s="351"/>
      <c r="BF1433" s="547"/>
      <c r="BG1433" s="350"/>
      <c r="BH1433" s="350"/>
      <c r="BI1433" s="351"/>
      <c r="BJ1433" s="548" t="s">
        <v>294</v>
      </c>
      <c r="BK1433" s="350"/>
      <c r="BL1433" s="350"/>
      <c r="BM1433" s="351"/>
      <c r="BN1433" s="530" t="s">
        <v>294</v>
      </c>
      <c r="BO1433" s="350"/>
      <c r="BP1433" s="350"/>
      <c r="BQ1433" s="350"/>
      <c r="BR1433" s="350"/>
      <c r="BS1433" s="350"/>
      <c r="BT1433" s="350"/>
      <c r="BU1433" s="350"/>
      <c r="BV1433" s="351"/>
    </row>
    <row r="1434" spans="1:74" ht="45" customHeight="1">
      <c r="A1434" s="24">
        <f t="shared" si="5"/>
        <v>1420</v>
      </c>
      <c r="B1434" s="558" t="s">
        <v>294</v>
      </c>
      <c r="C1434" s="351"/>
      <c r="D1434" s="559" t="s">
        <v>298</v>
      </c>
      <c r="E1434" s="351"/>
      <c r="F1434" s="524" t="s">
        <v>325</v>
      </c>
      <c r="G1434" s="351"/>
      <c r="H1434" s="525" t="s">
        <v>325</v>
      </c>
      <c r="I1434" s="351"/>
      <c r="J1434" s="40"/>
      <c r="K1434" s="41"/>
      <c r="L1434" s="40"/>
      <c r="M1434" s="41"/>
      <c r="N1434" s="34"/>
      <c r="O1434" s="35"/>
      <c r="P1434" s="526"/>
      <c r="Q1434" s="351"/>
      <c r="R1434" s="535"/>
      <c r="S1434" s="351"/>
      <c r="T1434" s="536"/>
      <c r="U1434" s="351"/>
      <c r="V1434" s="537"/>
      <c r="W1434" s="351"/>
      <c r="X1434" s="538" t="s">
        <v>294</v>
      </c>
      <c r="Y1434" s="350"/>
      <c r="Z1434" s="350"/>
      <c r="AA1434" s="351"/>
      <c r="AB1434" s="539" t="s">
        <v>294</v>
      </c>
      <c r="AC1434" s="350"/>
      <c r="AD1434" s="350"/>
      <c r="AE1434" s="351"/>
      <c r="AF1434" s="540"/>
      <c r="AG1434" s="351"/>
      <c r="AH1434" s="540"/>
      <c r="AI1434" s="351"/>
      <c r="AJ1434" s="545"/>
      <c r="AK1434" s="351"/>
      <c r="AL1434" s="555" t="s">
        <v>325</v>
      </c>
      <c r="AM1434" s="351"/>
      <c r="AN1434" s="531" t="s">
        <v>325</v>
      </c>
      <c r="AO1434" s="351"/>
      <c r="AP1434" s="532"/>
      <c r="AQ1434" s="351"/>
      <c r="AR1434" s="533"/>
      <c r="AS1434" s="351"/>
      <c r="AT1434" s="534"/>
      <c r="AU1434" s="351"/>
      <c r="AV1434" s="531" t="s">
        <v>325</v>
      </c>
      <c r="AW1434" s="351"/>
      <c r="AX1434" s="553"/>
      <c r="AY1434" s="350"/>
      <c r="AZ1434" s="351"/>
      <c r="BA1434" s="545"/>
      <c r="BB1434" s="351"/>
      <c r="BC1434" s="36"/>
      <c r="BD1434" s="556" t="s">
        <v>325</v>
      </c>
      <c r="BE1434" s="351"/>
      <c r="BF1434" s="557"/>
      <c r="BG1434" s="350"/>
      <c r="BH1434" s="350"/>
      <c r="BI1434" s="351"/>
      <c r="BJ1434" s="506" t="s">
        <v>294</v>
      </c>
      <c r="BK1434" s="350"/>
      <c r="BL1434" s="350"/>
      <c r="BM1434" s="351"/>
      <c r="BN1434" s="530" t="s">
        <v>294</v>
      </c>
      <c r="BO1434" s="350"/>
      <c r="BP1434" s="350"/>
      <c r="BQ1434" s="350"/>
      <c r="BR1434" s="350"/>
      <c r="BS1434" s="350"/>
      <c r="BT1434" s="350"/>
      <c r="BU1434" s="350"/>
      <c r="BV1434" s="351"/>
    </row>
    <row r="1435" spans="1:74" ht="45" customHeight="1">
      <c r="A1435" s="24">
        <f t="shared" si="5"/>
        <v>1421</v>
      </c>
      <c r="B1435" s="522" t="s">
        <v>294</v>
      </c>
      <c r="C1435" s="351"/>
      <c r="D1435" s="523" t="s">
        <v>298</v>
      </c>
      <c r="E1435" s="351"/>
      <c r="F1435" s="524" t="s">
        <v>325</v>
      </c>
      <c r="G1435" s="351"/>
      <c r="H1435" s="561" t="s">
        <v>325</v>
      </c>
      <c r="I1435" s="351"/>
      <c r="J1435" s="562"/>
      <c r="K1435" s="351"/>
      <c r="L1435" s="562"/>
      <c r="M1435" s="351"/>
      <c r="N1435" s="37"/>
      <c r="O1435" s="38"/>
      <c r="P1435" s="560"/>
      <c r="Q1435" s="351"/>
      <c r="R1435" s="527"/>
      <c r="S1435" s="351"/>
      <c r="T1435" s="528"/>
      <c r="U1435" s="351"/>
      <c r="V1435" s="541"/>
      <c r="W1435" s="351"/>
      <c r="X1435" s="542" t="s">
        <v>294</v>
      </c>
      <c r="Y1435" s="350"/>
      <c r="Z1435" s="350"/>
      <c r="AA1435" s="351"/>
      <c r="AB1435" s="543" t="s">
        <v>294</v>
      </c>
      <c r="AC1435" s="350"/>
      <c r="AD1435" s="350"/>
      <c r="AE1435" s="351"/>
      <c r="AF1435" s="544"/>
      <c r="AG1435" s="351"/>
      <c r="AH1435" s="544"/>
      <c r="AI1435" s="351"/>
      <c r="AJ1435" s="545"/>
      <c r="AK1435" s="351"/>
      <c r="AL1435" s="524" t="s">
        <v>325</v>
      </c>
      <c r="AM1435" s="351"/>
      <c r="AN1435" s="549" t="s">
        <v>325</v>
      </c>
      <c r="AO1435" s="351"/>
      <c r="AP1435" s="550"/>
      <c r="AQ1435" s="351"/>
      <c r="AR1435" s="551"/>
      <c r="AS1435" s="351"/>
      <c r="AT1435" s="552"/>
      <c r="AU1435" s="351"/>
      <c r="AV1435" s="549" t="s">
        <v>325</v>
      </c>
      <c r="AW1435" s="351"/>
      <c r="AX1435" s="553"/>
      <c r="AY1435" s="350"/>
      <c r="AZ1435" s="351"/>
      <c r="BA1435" s="554"/>
      <c r="BB1435" s="351"/>
      <c r="BC1435" s="39"/>
      <c r="BD1435" s="546" t="s">
        <v>325</v>
      </c>
      <c r="BE1435" s="351"/>
      <c r="BF1435" s="547"/>
      <c r="BG1435" s="350"/>
      <c r="BH1435" s="350"/>
      <c r="BI1435" s="351"/>
      <c r="BJ1435" s="548" t="s">
        <v>294</v>
      </c>
      <c r="BK1435" s="350"/>
      <c r="BL1435" s="350"/>
      <c r="BM1435" s="351"/>
      <c r="BN1435" s="530" t="s">
        <v>294</v>
      </c>
      <c r="BO1435" s="350"/>
      <c r="BP1435" s="350"/>
      <c r="BQ1435" s="350"/>
      <c r="BR1435" s="350"/>
      <c r="BS1435" s="350"/>
      <c r="BT1435" s="350"/>
      <c r="BU1435" s="350"/>
      <c r="BV1435" s="351"/>
    </row>
    <row r="1436" spans="1:74" ht="45" customHeight="1">
      <c r="A1436" s="24">
        <f t="shared" si="5"/>
        <v>1422</v>
      </c>
      <c r="B1436" s="558" t="s">
        <v>294</v>
      </c>
      <c r="C1436" s="351"/>
      <c r="D1436" s="559" t="s">
        <v>298</v>
      </c>
      <c r="E1436" s="351"/>
      <c r="F1436" s="524" t="s">
        <v>325</v>
      </c>
      <c r="G1436" s="351"/>
      <c r="H1436" s="525" t="s">
        <v>325</v>
      </c>
      <c r="I1436" s="351"/>
      <c r="J1436" s="40"/>
      <c r="K1436" s="41"/>
      <c r="L1436" s="40"/>
      <c r="M1436" s="41"/>
      <c r="N1436" s="34"/>
      <c r="O1436" s="35"/>
      <c r="P1436" s="526"/>
      <c r="Q1436" s="351"/>
      <c r="R1436" s="535"/>
      <c r="S1436" s="351"/>
      <c r="T1436" s="536"/>
      <c r="U1436" s="351"/>
      <c r="V1436" s="537"/>
      <c r="W1436" s="351"/>
      <c r="X1436" s="538" t="s">
        <v>294</v>
      </c>
      <c r="Y1436" s="350"/>
      <c r="Z1436" s="350"/>
      <c r="AA1436" s="351"/>
      <c r="AB1436" s="539" t="s">
        <v>294</v>
      </c>
      <c r="AC1436" s="350"/>
      <c r="AD1436" s="350"/>
      <c r="AE1436" s="351"/>
      <c r="AF1436" s="540"/>
      <c r="AG1436" s="351"/>
      <c r="AH1436" s="540"/>
      <c r="AI1436" s="351"/>
      <c r="AJ1436" s="545"/>
      <c r="AK1436" s="351"/>
      <c r="AL1436" s="555" t="s">
        <v>325</v>
      </c>
      <c r="AM1436" s="351"/>
      <c r="AN1436" s="531" t="s">
        <v>325</v>
      </c>
      <c r="AO1436" s="351"/>
      <c r="AP1436" s="532"/>
      <c r="AQ1436" s="351"/>
      <c r="AR1436" s="533"/>
      <c r="AS1436" s="351"/>
      <c r="AT1436" s="534"/>
      <c r="AU1436" s="351"/>
      <c r="AV1436" s="531" t="s">
        <v>325</v>
      </c>
      <c r="AW1436" s="351"/>
      <c r="AX1436" s="553"/>
      <c r="AY1436" s="350"/>
      <c r="AZ1436" s="351"/>
      <c r="BA1436" s="545"/>
      <c r="BB1436" s="351"/>
      <c r="BC1436" s="36"/>
      <c r="BD1436" s="556" t="s">
        <v>325</v>
      </c>
      <c r="BE1436" s="351"/>
      <c r="BF1436" s="529"/>
      <c r="BG1436" s="350"/>
      <c r="BH1436" s="350"/>
      <c r="BI1436" s="351"/>
      <c r="BJ1436" s="506" t="s">
        <v>294</v>
      </c>
      <c r="BK1436" s="350"/>
      <c r="BL1436" s="350"/>
      <c r="BM1436" s="351"/>
      <c r="BN1436" s="530" t="s">
        <v>294</v>
      </c>
      <c r="BO1436" s="350"/>
      <c r="BP1436" s="350"/>
      <c r="BQ1436" s="350"/>
      <c r="BR1436" s="350"/>
      <c r="BS1436" s="350"/>
      <c r="BT1436" s="350"/>
      <c r="BU1436" s="350"/>
      <c r="BV1436" s="351"/>
    </row>
    <row r="1437" spans="1:74" ht="45" customHeight="1">
      <c r="A1437" s="24">
        <f t="shared" si="5"/>
        <v>1423</v>
      </c>
      <c r="B1437" s="522" t="s">
        <v>294</v>
      </c>
      <c r="C1437" s="351"/>
      <c r="D1437" s="523" t="s">
        <v>298</v>
      </c>
      <c r="E1437" s="351"/>
      <c r="F1437" s="524" t="s">
        <v>325</v>
      </c>
      <c r="G1437" s="351"/>
      <c r="H1437" s="561" t="s">
        <v>325</v>
      </c>
      <c r="I1437" s="351"/>
      <c r="J1437" s="562"/>
      <c r="K1437" s="351"/>
      <c r="L1437" s="562"/>
      <c r="M1437" s="351"/>
      <c r="N1437" s="37"/>
      <c r="O1437" s="38"/>
      <c r="P1437" s="560"/>
      <c r="Q1437" s="351"/>
      <c r="R1437" s="527"/>
      <c r="S1437" s="351"/>
      <c r="T1437" s="528"/>
      <c r="U1437" s="351"/>
      <c r="V1437" s="541"/>
      <c r="W1437" s="351"/>
      <c r="X1437" s="542" t="s">
        <v>294</v>
      </c>
      <c r="Y1437" s="350"/>
      <c r="Z1437" s="350"/>
      <c r="AA1437" s="351"/>
      <c r="AB1437" s="543" t="s">
        <v>294</v>
      </c>
      <c r="AC1437" s="350"/>
      <c r="AD1437" s="350"/>
      <c r="AE1437" s="351"/>
      <c r="AF1437" s="544"/>
      <c r="AG1437" s="351"/>
      <c r="AH1437" s="544"/>
      <c r="AI1437" s="351"/>
      <c r="AJ1437" s="545"/>
      <c r="AK1437" s="351"/>
      <c r="AL1437" s="524" t="s">
        <v>325</v>
      </c>
      <c r="AM1437" s="351"/>
      <c r="AN1437" s="549" t="s">
        <v>325</v>
      </c>
      <c r="AO1437" s="351"/>
      <c r="AP1437" s="550"/>
      <c r="AQ1437" s="351"/>
      <c r="AR1437" s="551"/>
      <c r="AS1437" s="351"/>
      <c r="AT1437" s="552"/>
      <c r="AU1437" s="351"/>
      <c r="AV1437" s="549" t="s">
        <v>325</v>
      </c>
      <c r="AW1437" s="351"/>
      <c r="AX1437" s="553"/>
      <c r="AY1437" s="350"/>
      <c r="AZ1437" s="351"/>
      <c r="BA1437" s="554"/>
      <c r="BB1437" s="351"/>
      <c r="BC1437" s="39"/>
      <c r="BD1437" s="546" t="s">
        <v>325</v>
      </c>
      <c r="BE1437" s="351"/>
      <c r="BF1437" s="547"/>
      <c r="BG1437" s="350"/>
      <c r="BH1437" s="350"/>
      <c r="BI1437" s="351"/>
      <c r="BJ1437" s="548" t="s">
        <v>294</v>
      </c>
      <c r="BK1437" s="350"/>
      <c r="BL1437" s="350"/>
      <c r="BM1437" s="351"/>
      <c r="BN1437" s="530" t="s">
        <v>294</v>
      </c>
      <c r="BO1437" s="350"/>
      <c r="BP1437" s="350"/>
      <c r="BQ1437" s="350"/>
      <c r="BR1437" s="350"/>
      <c r="BS1437" s="350"/>
      <c r="BT1437" s="350"/>
      <c r="BU1437" s="350"/>
      <c r="BV1437" s="351"/>
    </row>
    <row r="1438" spans="1:74" ht="45" customHeight="1">
      <c r="A1438" s="24">
        <f t="shared" si="5"/>
        <v>1424</v>
      </c>
      <c r="B1438" s="558" t="s">
        <v>294</v>
      </c>
      <c r="C1438" s="351"/>
      <c r="D1438" s="559" t="s">
        <v>298</v>
      </c>
      <c r="E1438" s="351"/>
      <c r="F1438" s="524" t="s">
        <v>325</v>
      </c>
      <c r="G1438" s="351"/>
      <c r="H1438" s="525" t="s">
        <v>325</v>
      </c>
      <c r="I1438" s="351"/>
      <c r="J1438" s="40"/>
      <c r="K1438" s="41"/>
      <c r="L1438" s="40"/>
      <c r="M1438" s="41"/>
      <c r="N1438" s="34"/>
      <c r="O1438" s="35"/>
      <c r="P1438" s="526"/>
      <c r="Q1438" s="351"/>
      <c r="R1438" s="535"/>
      <c r="S1438" s="351"/>
      <c r="T1438" s="536"/>
      <c r="U1438" s="351"/>
      <c r="V1438" s="537"/>
      <c r="W1438" s="351"/>
      <c r="X1438" s="538" t="s">
        <v>294</v>
      </c>
      <c r="Y1438" s="350"/>
      <c r="Z1438" s="350"/>
      <c r="AA1438" s="351"/>
      <c r="AB1438" s="539" t="s">
        <v>294</v>
      </c>
      <c r="AC1438" s="350"/>
      <c r="AD1438" s="350"/>
      <c r="AE1438" s="351"/>
      <c r="AF1438" s="540"/>
      <c r="AG1438" s="351"/>
      <c r="AH1438" s="540"/>
      <c r="AI1438" s="351"/>
      <c r="AJ1438" s="545"/>
      <c r="AK1438" s="351"/>
      <c r="AL1438" s="555" t="s">
        <v>325</v>
      </c>
      <c r="AM1438" s="351"/>
      <c r="AN1438" s="531" t="s">
        <v>325</v>
      </c>
      <c r="AO1438" s="351"/>
      <c r="AP1438" s="532"/>
      <c r="AQ1438" s="351"/>
      <c r="AR1438" s="533"/>
      <c r="AS1438" s="351"/>
      <c r="AT1438" s="534"/>
      <c r="AU1438" s="351"/>
      <c r="AV1438" s="531" t="s">
        <v>325</v>
      </c>
      <c r="AW1438" s="351"/>
      <c r="AX1438" s="553"/>
      <c r="AY1438" s="350"/>
      <c r="AZ1438" s="351"/>
      <c r="BA1438" s="545"/>
      <c r="BB1438" s="351"/>
      <c r="BC1438" s="36"/>
      <c r="BD1438" s="556" t="s">
        <v>325</v>
      </c>
      <c r="BE1438" s="351"/>
      <c r="BF1438" s="557"/>
      <c r="BG1438" s="350"/>
      <c r="BH1438" s="350"/>
      <c r="BI1438" s="351"/>
      <c r="BJ1438" s="506" t="s">
        <v>294</v>
      </c>
      <c r="BK1438" s="350"/>
      <c r="BL1438" s="350"/>
      <c r="BM1438" s="351"/>
      <c r="BN1438" s="530" t="s">
        <v>294</v>
      </c>
      <c r="BO1438" s="350"/>
      <c r="BP1438" s="350"/>
      <c r="BQ1438" s="350"/>
      <c r="BR1438" s="350"/>
      <c r="BS1438" s="350"/>
      <c r="BT1438" s="350"/>
      <c r="BU1438" s="350"/>
      <c r="BV1438" s="351"/>
    </row>
    <row r="1439" spans="1:74" ht="45" customHeight="1">
      <c r="A1439" s="24">
        <f t="shared" si="5"/>
        <v>1425</v>
      </c>
      <c r="B1439" s="522" t="s">
        <v>294</v>
      </c>
      <c r="C1439" s="351"/>
      <c r="D1439" s="523" t="s">
        <v>298</v>
      </c>
      <c r="E1439" s="351"/>
      <c r="F1439" s="524" t="s">
        <v>325</v>
      </c>
      <c r="G1439" s="351"/>
      <c r="H1439" s="561" t="s">
        <v>325</v>
      </c>
      <c r="I1439" s="351"/>
      <c r="J1439" s="562"/>
      <c r="K1439" s="351"/>
      <c r="L1439" s="562"/>
      <c r="M1439" s="351"/>
      <c r="N1439" s="37"/>
      <c r="O1439" s="38"/>
      <c r="P1439" s="560"/>
      <c r="Q1439" s="351"/>
      <c r="R1439" s="527"/>
      <c r="S1439" s="351"/>
      <c r="T1439" s="528"/>
      <c r="U1439" s="351"/>
      <c r="V1439" s="541"/>
      <c r="W1439" s="351"/>
      <c r="X1439" s="542" t="s">
        <v>294</v>
      </c>
      <c r="Y1439" s="350"/>
      <c r="Z1439" s="350"/>
      <c r="AA1439" s="351"/>
      <c r="AB1439" s="543" t="s">
        <v>294</v>
      </c>
      <c r="AC1439" s="350"/>
      <c r="AD1439" s="350"/>
      <c r="AE1439" s="351"/>
      <c r="AF1439" s="544"/>
      <c r="AG1439" s="351"/>
      <c r="AH1439" s="544"/>
      <c r="AI1439" s="351"/>
      <c r="AJ1439" s="545"/>
      <c r="AK1439" s="351"/>
      <c r="AL1439" s="524" t="s">
        <v>325</v>
      </c>
      <c r="AM1439" s="351"/>
      <c r="AN1439" s="549" t="s">
        <v>325</v>
      </c>
      <c r="AO1439" s="351"/>
      <c r="AP1439" s="550"/>
      <c r="AQ1439" s="351"/>
      <c r="AR1439" s="551"/>
      <c r="AS1439" s="351"/>
      <c r="AT1439" s="534"/>
      <c r="AU1439" s="351"/>
      <c r="AV1439" s="549" t="s">
        <v>325</v>
      </c>
      <c r="AW1439" s="351"/>
      <c r="AX1439" s="553"/>
      <c r="AY1439" s="350"/>
      <c r="AZ1439" s="351"/>
      <c r="BA1439" s="554"/>
      <c r="BB1439" s="351"/>
      <c r="BC1439" s="39"/>
      <c r="BD1439" s="546" t="s">
        <v>325</v>
      </c>
      <c r="BE1439" s="351"/>
      <c r="BF1439" s="547"/>
      <c r="BG1439" s="350"/>
      <c r="BH1439" s="350"/>
      <c r="BI1439" s="351"/>
      <c r="BJ1439" s="548" t="s">
        <v>294</v>
      </c>
      <c r="BK1439" s="350"/>
      <c r="BL1439" s="350"/>
      <c r="BM1439" s="351"/>
      <c r="BN1439" s="530" t="s">
        <v>294</v>
      </c>
      <c r="BO1439" s="350"/>
      <c r="BP1439" s="350"/>
      <c r="BQ1439" s="350"/>
      <c r="BR1439" s="350"/>
      <c r="BS1439" s="350"/>
      <c r="BT1439" s="350"/>
      <c r="BU1439" s="350"/>
      <c r="BV1439" s="351"/>
    </row>
    <row r="1440" spans="1:74" ht="45" customHeight="1">
      <c r="A1440" s="24">
        <f t="shared" si="5"/>
        <v>1426</v>
      </c>
      <c r="B1440" s="558" t="s">
        <v>294</v>
      </c>
      <c r="C1440" s="351"/>
      <c r="D1440" s="559" t="s">
        <v>298</v>
      </c>
      <c r="E1440" s="351"/>
      <c r="F1440" s="524" t="s">
        <v>325</v>
      </c>
      <c r="G1440" s="351"/>
      <c r="H1440" s="525" t="s">
        <v>325</v>
      </c>
      <c r="I1440" s="351"/>
      <c r="J1440" s="40"/>
      <c r="K1440" s="41"/>
      <c r="L1440" s="40"/>
      <c r="M1440" s="41"/>
      <c r="N1440" s="34"/>
      <c r="O1440" s="35"/>
      <c r="P1440" s="526"/>
      <c r="Q1440" s="351"/>
      <c r="R1440" s="535"/>
      <c r="S1440" s="351"/>
      <c r="T1440" s="536"/>
      <c r="U1440" s="351"/>
      <c r="V1440" s="537"/>
      <c r="W1440" s="351"/>
      <c r="X1440" s="538" t="s">
        <v>294</v>
      </c>
      <c r="Y1440" s="350"/>
      <c r="Z1440" s="350"/>
      <c r="AA1440" s="351"/>
      <c r="AB1440" s="539" t="s">
        <v>294</v>
      </c>
      <c r="AC1440" s="350"/>
      <c r="AD1440" s="350"/>
      <c r="AE1440" s="351"/>
      <c r="AF1440" s="540"/>
      <c r="AG1440" s="351"/>
      <c r="AH1440" s="540"/>
      <c r="AI1440" s="351"/>
      <c r="AJ1440" s="545"/>
      <c r="AK1440" s="351"/>
      <c r="AL1440" s="555" t="s">
        <v>325</v>
      </c>
      <c r="AM1440" s="351"/>
      <c r="AN1440" s="531" t="s">
        <v>325</v>
      </c>
      <c r="AO1440" s="351"/>
      <c r="AP1440" s="532"/>
      <c r="AQ1440" s="351"/>
      <c r="AR1440" s="533"/>
      <c r="AS1440" s="351"/>
      <c r="AT1440" s="534"/>
      <c r="AU1440" s="351"/>
      <c r="AV1440" s="531" t="s">
        <v>325</v>
      </c>
      <c r="AW1440" s="351"/>
      <c r="AX1440" s="553"/>
      <c r="AY1440" s="350"/>
      <c r="AZ1440" s="351"/>
      <c r="BA1440" s="545"/>
      <c r="BB1440" s="351"/>
      <c r="BC1440" s="36"/>
      <c r="BD1440" s="556" t="s">
        <v>325</v>
      </c>
      <c r="BE1440" s="351"/>
      <c r="BF1440" s="557"/>
      <c r="BG1440" s="350"/>
      <c r="BH1440" s="350"/>
      <c r="BI1440" s="351"/>
      <c r="BJ1440" s="506" t="s">
        <v>294</v>
      </c>
      <c r="BK1440" s="350"/>
      <c r="BL1440" s="350"/>
      <c r="BM1440" s="351"/>
      <c r="BN1440" s="530" t="s">
        <v>294</v>
      </c>
      <c r="BO1440" s="350"/>
      <c r="BP1440" s="350"/>
      <c r="BQ1440" s="350"/>
      <c r="BR1440" s="350"/>
      <c r="BS1440" s="350"/>
      <c r="BT1440" s="350"/>
      <c r="BU1440" s="350"/>
      <c r="BV1440" s="351"/>
    </row>
    <row r="1441" spans="1:74" ht="45" customHeight="1">
      <c r="A1441" s="24">
        <f t="shared" si="5"/>
        <v>1427</v>
      </c>
      <c r="B1441" s="522" t="s">
        <v>294</v>
      </c>
      <c r="C1441" s="351"/>
      <c r="D1441" s="523" t="s">
        <v>298</v>
      </c>
      <c r="E1441" s="351"/>
      <c r="F1441" s="524" t="s">
        <v>325</v>
      </c>
      <c r="G1441" s="351"/>
      <c r="H1441" s="561" t="s">
        <v>325</v>
      </c>
      <c r="I1441" s="351"/>
      <c r="J1441" s="562"/>
      <c r="K1441" s="351"/>
      <c r="L1441" s="562"/>
      <c r="M1441" s="351"/>
      <c r="N1441" s="37"/>
      <c r="O1441" s="38"/>
      <c r="P1441" s="560"/>
      <c r="Q1441" s="351"/>
      <c r="R1441" s="527"/>
      <c r="S1441" s="351"/>
      <c r="T1441" s="528"/>
      <c r="U1441" s="351"/>
      <c r="V1441" s="541"/>
      <c r="W1441" s="351"/>
      <c r="X1441" s="542" t="s">
        <v>294</v>
      </c>
      <c r="Y1441" s="350"/>
      <c r="Z1441" s="350"/>
      <c r="AA1441" s="351"/>
      <c r="AB1441" s="543" t="s">
        <v>294</v>
      </c>
      <c r="AC1441" s="350"/>
      <c r="AD1441" s="350"/>
      <c r="AE1441" s="351"/>
      <c r="AF1441" s="544"/>
      <c r="AG1441" s="351"/>
      <c r="AH1441" s="544"/>
      <c r="AI1441" s="351"/>
      <c r="AJ1441" s="545"/>
      <c r="AK1441" s="351"/>
      <c r="AL1441" s="524" t="s">
        <v>325</v>
      </c>
      <c r="AM1441" s="351"/>
      <c r="AN1441" s="549" t="s">
        <v>325</v>
      </c>
      <c r="AO1441" s="351"/>
      <c r="AP1441" s="550"/>
      <c r="AQ1441" s="351"/>
      <c r="AR1441" s="551"/>
      <c r="AS1441" s="351"/>
      <c r="AT1441" s="534"/>
      <c r="AU1441" s="351"/>
      <c r="AV1441" s="549" t="s">
        <v>325</v>
      </c>
      <c r="AW1441" s="351"/>
      <c r="AX1441" s="553"/>
      <c r="AY1441" s="350"/>
      <c r="AZ1441" s="351"/>
      <c r="BA1441" s="554"/>
      <c r="BB1441" s="351"/>
      <c r="BC1441" s="39"/>
      <c r="BD1441" s="546" t="s">
        <v>325</v>
      </c>
      <c r="BE1441" s="351"/>
      <c r="BF1441" s="547"/>
      <c r="BG1441" s="350"/>
      <c r="BH1441" s="350"/>
      <c r="BI1441" s="351"/>
      <c r="BJ1441" s="548" t="s">
        <v>294</v>
      </c>
      <c r="BK1441" s="350"/>
      <c r="BL1441" s="350"/>
      <c r="BM1441" s="351"/>
      <c r="BN1441" s="530" t="s">
        <v>294</v>
      </c>
      <c r="BO1441" s="350"/>
      <c r="BP1441" s="350"/>
      <c r="BQ1441" s="350"/>
      <c r="BR1441" s="350"/>
      <c r="BS1441" s="350"/>
      <c r="BT1441" s="350"/>
      <c r="BU1441" s="350"/>
      <c r="BV1441" s="351"/>
    </row>
    <row r="1442" spans="1:74" ht="45" customHeight="1">
      <c r="A1442" s="24">
        <f t="shared" si="5"/>
        <v>1428</v>
      </c>
      <c r="B1442" s="558" t="s">
        <v>294</v>
      </c>
      <c r="C1442" s="351"/>
      <c r="D1442" s="559" t="s">
        <v>298</v>
      </c>
      <c r="E1442" s="351"/>
      <c r="F1442" s="524" t="s">
        <v>325</v>
      </c>
      <c r="G1442" s="351"/>
      <c r="H1442" s="525" t="s">
        <v>325</v>
      </c>
      <c r="I1442" s="351"/>
      <c r="J1442" s="40"/>
      <c r="K1442" s="41"/>
      <c r="L1442" s="40"/>
      <c r="M1442" s="41"/>
      <c r="N1442" s="34"/>
      <c r="O1442" s="35"/>
      <c r="P1442" s="526"/>
      <c r="Q1442" s="351"/>
      <c r="R1442" s="535"/>
      <c r="S1442" s="351"/>
      <c r="T1442" s="536"/>
      <c r="U1442" s="351"/>
      <c r="V1442" s="537"/>
      <c r="W1442" s="351"/>
      <c r="X1442" s="538" t="s">
        <v>294</v>
      </c>
      <c r="Y1442" s="350"/>
      <c r="Z1442" s="350"/>
      <c r="AA1442" s="351"/>
      <c r="AB1442" s="539" t="s">
        <v>294</v>
      </c>
      <c r="AC1442" s="350"/>
      <c r="AD1442" s="350"/>
      <c r="AE1442" s="351"/>
      <c r="AF1442" s="540"/>
      <c r="AG1442" s="351"/>
      <c r="AH1442" s="540"/>
      <c r="AI1442" s="351"/>
      <c r="AJ1442" s="545"/>
      <c r="AK1442" s="351"/>
      <c r="AL1442" s="555" t="s">
        <v>325</v>
      </c>
      <c r="AM1442" s="351"/>
      <c r="AN1442" s="531" t="s">
        <v>325</v>
      </c>
      <c r="AO1442" s="351"/>
      <c r="AP1442" s="532"/>
      <c r="AQ1442" s="351"/>
      <c r="AR1442" s="533"/>
      <c r="AS1442" s="351"/>
      <c r="AT1442" s="534"/>
      <c r="AU1442" s="351"/>
      <c r="AV1442" s="531" t="s">
        <v>325</v>
      </c>
      <c r="AW1442" s="351"/>
      <c r="AX1442" s="553"/>
      <c r="AY1442" s="350"/>
      <c r="AZ1442" s="351"/>
      <c r="BA1442" s="545"/>
      <c r="BB1442" s="351"/>
      <c r="BC1442" s="36"/>
      <c r="BD1442" s="556" t="s">
        <v>325</v>
      </c>
      <c r="BE1442" s="351"/>
      <c r="BF1442" s="557"/>
      <c r="BG1442" s="350"/>
      <c r="BH1442" s="350"/>
      <c r="BI1442" s="351"/>
      <c r="BJ1442" s="506" t="s">
        <v>294</v>
      </c>
      <c r="BK1442" s="350"/>
      <c r="BL1442" s="350"/>
      <c r="BM1442" s="351"/>
      <c r="BN1442" s="530" t="s">
        <v>294</v>
      </c>
      <c r="BO1442" s="350"/>
      <c r="BP1442" s="350"/>
      <c r="BQ1442" s="350"/>
      <c r="BR1442" s="350"/>
      <c r="BS1442" s="350"/>
      <c r="BT1442" s="350"/>
      <c r="BU1442" s="350"/>
      <c r="BV1442" s="351"/>
    </row>
    <row r="1443" spans="1:74" ht="45" customHeight="1">
      <c r="A1443" s="24">
        <f t="shared" si="5"/>
        <v>1429</v>
      </c>
      <c r="B1443" s="522" t="s">
        <v>294</v>
      </c>
      <c r="C1443" s="351"/>
      <c r="D1443" s="523" t="s">
        <v>298</v>
      </c>
      <c r="E1443" s="351"/>
      <c r="F1443" s="524" t="s">
        <v>325</v>
      </c>
      <c r="G1443" s="351"/>
      <c r="H1443" s="561" t="s">
        <v>325</v>
      </c>
      <c r="I1443" s="351"/>
      <c r="J1443" s="562"/>
      <c r="K1443" s="351"/>
      <c r="L1443" s="562"/>
      <c r="M1443" s="351"/>
      <c r="N1443" s="37"/>
      <c r="O1443" s="38"/>
      <c r="P1443" s="560"/>
      <c r="Q1443" s="351"/>
      <c r="R1443" s="527"/>
      <c r="S1443" s="351"/>
      <c r="T1443" s="528"/>
      <c r="U1443" s="351"/>
      <c r="V1443" s="541"/>
      <c r="W1443" s="351"/>
      <c r="X1443" s="542" t="s">
        <v>294</v>
      </c>
      <c r="Y1443" s="350"/>
      <c r="Z1443" s="350"/>
      <c r="AA1443" s="351"/>
      <c r="AB1443" s="543" t="s">
        <v>294</v>
      </c>
      <c r="AC1443" s="350"/>
      <c r="AD1443" s="350"/>
      <c r="AE1443" s="351"/>
      <c r="AF1443" s="544"/>
      <c r="AG1443" s="351"/>
      <c r="AH1443" s="544"/>
      <c r="AI1443" s="351"/>
      <c r="AJ1443" s="545"/>
      <c r="AK1443" s="351"/>
      <c r="AL1443" s="524" t="s">
        <v>325</v>
      </c>
      <c r="AM1443" s="351"/>
      <c r="AN1443" s="549" t="s">
        <v>325</v>
      </c>
      <c r="AO1443" s="351"/>
      <c r="AP1443" s="550"/>
      <c r="AQ1443" s="351"/>
      <c r="AR1443" s="551"/>
      <c r="AS1443" s="351"/>
      <c r="AT1443" s="552"/>
      <c r="AU1443" s="351"/>
      <c r="AV1443" s="549" t="s">
        <v>325</v>
      </c>
      <c r="AW1443" s="351"/>
      <c r="AX1443" s="553"/>
      <c r="AY1443" s="350"/>
      <c r="AZ1443" s="351"/>
      <c r="BA1443" s="554"/>
      <c r="BB1443" s="351"/>
      <c r="BC1443" s="39"/>
      <c r="BD1443" s="546" t="s">
        <v>325</v>
      </c>
      <c r="BE1443" s="351"/>
      <c r="BF1443" s="547"/>
      <c r="BG1443" s="350"/>
      <c r="BH1443" s="350"/>
      <c r="BI1443" s="351"/>
      <c r="BJ1443" s="548" t="s">
        <v>294</v>
      </c>
      <c r="BK1443" s="350"/>
      <c r="BL1443" s="350"/>
      <c r="BM1443" s="351"/>
      <c r="BN1443" s="530" t="s">
        <v>294</v>
      </c>
      <c r="BO1443" s="350"/>
      <c r="BP1443" s="350"/>
      <c r="BQ1443" s="350"/>
      <c r="BR1443" s="350"/>
      <c r="BS1443" s="350"/>
      <c r="BT1443" s="350"/>
      <c r="BU1443" s="350"/>
      <c r="BV1443" s="351"/>
    </row>
    <row r="1444" spans="1:74" ht="45" customHeight="1">
      <c r="A1444" s="24">
        <f t="shared" si="5"/>
        <v>1430</v>
      </c>
      <c r="B1444" s="558" t="s">
        <v>294</v>
      </c>
      <c r="C1444" s="351"/>
      <c r="D1444" s="559" t="s">
        <v>298</v>
      </c>
      <c r="E1444" s="351"/>
      <c r="F1444" s="524" t="s">
        <v>325</v>
      </c>
      <c r="G1444" s="351"/>
      <c r="H1444" s="525" t="s">
        <v>325</v>
      </c>
      <c r="I1444" s="351"/>
      <c r="J1444" s="40"/>
      <c r="K1444" s="41"/>
      <c r="L1444" s="40"/>
      <c r="M1444" s="41"/>
      <c r="N1444" s="34"/>
      <c r="O1444" s="35"/>
      <c r="P1444" s="526"/>
      <c r="Q1444" s="351"/>
      <c r="R1444" s="535"/>
      <c r="S1444" s="351"/>
      <c r="T1444" s="536"/>
      <c r="U1444" s="351"/>
      <c r="V1444" s="537"/>
      <c r="W1444" s="351"/>
      <c r="X1444" s="538" t="s">
        <v>294</v>
      </c>
      <c r="Y1444" s="350"/>
      <c r="Z1444" s="350"/>
      <c r="AA1444" s="351"/>
      <c r="AB1444" s="539" t="s">
        <v>294</v>
      </c>
      <c r="AC1444" s="350"/>
      <c r="AD1444" s="350"/>
      <c r="AE1444" s="351"/>
      <c r="AF1444" s="540"/>
      <c r="AG1444" s="351"/>
      <c r="AH1444" s="540"/>
      <c r="AI1444" s="351"/>
      <c r="AJ1444" s="545"/>
      <c r="AK1444" s="351"/>
      <c r="AL1444" s="555" t="s">
        <v>325</v>
      </c>
      <c r="AM1444" s="351"/>
      <c r="AN1444" s="531" t="s">
        <v>325</v>
      </c>
      <c r="AO1444" s="351"/>
      <c r="AP1444" s="532"/>
      <c r="AQ1444" s="351"/>
      <c r="AR1444" s="533"/>
      <c r="AS1444" s="351"/>
      <c r="AT1444" s="534"/>
      <c r="AU1444" s="351"/>
      <c r="AV1444" s="531" t="s">
        <v>325</v>
      </c>
      <c r="AW1444" s="351"/>
      <c r="AX1444" s="553"/>
      <c r="AY1444" s="350"/>
      <c r="AZ1444" s="351"/>
      <c r="BA1444" s="545"/>
      <c r="BB1444" s="351"/>
      <c r="BC1444" s="36"/>
      <c r="BD1444" s="556" t="s">
        <v>325</v>
      </c>
      <c r="BE1444" s="351"/>
      <c r="BF1444" s="529"/>
      <c r="BG1444" s="350"/>
      <c r="BH1444" s="350"/>
      <c r="BI1444" s="351"/>
      <c r="BJ1444" s="506" t="s">
        <v>294</v>
      </c>
      <c r="BK1444" s="350"/>
      <c r="BL1444" s="350"/>
      <c r="BM1444" s="351"/>
      <c r="BN1444" s="530" t="s">
        <v>294</v>
      </c>
      <c r="BO1444" s="350"/>
      <c r="BP1444" s="350"/>
      <c r="BQ1444" s="350"/>
      <c r="BR1444" s="350"/>
      <c r="BS1444" s="350"/>
      <c r="BT1444" s="350"/>
      <c r="BU1444" s="350"/>
      <c r="BV1444" s="351"/>
    </row>
    <row r="1445" spans="1:74" ht="45" customHeight="1">
      <c r="A1445" s="24">
        <f t="shared" si="5"/>
        <v>1431</v>
      </c>
      <c r="B1445" s="522" t="s">
        <v>294</v>
      </c>
      <c r="C1445" s="351"/>
      <c r="D1445" s="523" t="s">
        <v>298</v>
      </c>
      <c r="E1445" s="351"/>
      <c r="F1445" s="524" t="s">
        <v>325</v>
      </c>
      <c r="G1445" s="351"/>
      <c r="H1445" s="561" t="s">
        <v>325</v>
      </c>
      <c r="I1445" s="351"/>
      <c r="J1445" s="562"/>
      <c r="K1445" s="351"/>
      <c r="L1445" s="562"/>
      <c r="M1445" s="351"/>
      <c r="N1445" s="37"/>
      <c r="O1445" s="38"/>
      <c r="P1445" s="560"/>
      <c r="Q1445" s="351"/>
      <c r="R1445" s="527"/>
      <c r="S1445" s="351"/>
      <c r="T1445" s="528"/>
      <c r="U1445" s="351"/>
      <c r="V1445" s="541"/>
      <c r="W1445" s="351"/>
      <c r="X1445" s="542" t="s">
        <v>294</v>
      </c>
      <c r="Y1445" s="350"/>
      <c r="Z1445" s="350"/>
      <c r="AA1445" s="351"/>
      <c r="AB1445" s="543" t="s">
        <v>294</v>
      </c>
      <c r="AC1445" s="350"/>
      <c r="AD1445" s="350"/>
      <c r="AE1445" s="351"/>
      <c r="AF1445" s="544"/>
      <c r="AG1445" s="351"/>
      <c r="AH1445" s="544"/>
      <c r="AI1445" s="351"/>
      <c r="AJ1445" s="545"/>
      <c r="AK1445" s="351"/>
      <c r="AL1445" s="524" t="s">
        <v>325</v>
      </c>
      <c r="AM1445" s="351"/>
      <c r="AN1445" s="549" t="s">
        <v>325</v>
      </c>
      <c r="AO1445" s="351"/>
      <c r="AP1445" s="550"/>
      <c r="AQ1445" s="351"/>
      <c r="AR1445" s="551"/>
      <c r="AS1445" s="351"/>
      <c r="AT1445" s="552"/>
      <c r="AU1445" s="351"/>
      <c r="AV1445" s="549" t="s">
        <v>325</v>
      </c>
      <c r="AW1445" s="351"/>
      <c r="AX1445" s="553"/>
      <c r="AY1445" s="350"/>
      <c r="AZ1445" s="351"/>
      <c r="BA1445" s="554"/>
      <c r="BB1445" s="351"/>
      <c r="BC1445" s="39"/>
      <c r="BD1445" s="546" t="s">
        <v>325</v>
      </c>
      <c r="BE1445" s="351"/>
      <c r="BF1445" s="547"/>
      <c r="BG1445" s="350"/>
      <c r="BH1445" s="350"/>
      <c r="BI1445" s="351"/>
      <c r="BJ1445" s="548" t="s">
        <v>294</v>
      </c>
      <c r="BK1445" s="350"/>
      <c r="BL1445" s="350"/>
      <c r="BM1445" s="351"/>
      <c r="BN1445" s="530" t="s">
        <v>294</v>
      </c>
      <c r="BO1445" s="350"/>
      <c r="BP1445" s="350"/>
      <c r="BQ1445" s="350"/>
      <c r="BR1445" s="350"/>
      <c r="BS1445" s="350"/>
      <c r="BT1445" s="350"/>
      <c r="BU1445" s="350"/>
      <c r="BV1445" s="351"/>
    </row>
    <row r="1446" spans="1:74" ht="45" customHeight="1">
      <c r="A1446" s="24">
        <f t="shared" si="5"/>
        <v>1432</v>
      </c>
      <c r="B1446" s="558" t="s">
        <v>294</v>
      </c>
      <c r="C1446" s="351"/>
      <c r="D1446" s="559" t="s">
        <v>298</v>
      </c>
      <c r="E1446" s="351"/>
      <c r="F1446" s="524" t="s">
        <v>325</v>
      </c>
      <c r="G1446" s="351"/>
      <c r="H1446" s="525" t="s">
        <v>325</v>
      </c>
      <c r="I1446" s="351"/>
      <c r="J1446" s="40"/>
      <c r="K1446" s="41"/>
      <c r="L1446" s="40"/>
      <c r="M1446" s="41"/>
      <c r="N1446" s="34"/>
      <c r="O1446" s="35"/>
      <c r="P1446" s="526"/>
      <c r="Q1446" s="351"/>
      <c r="R1446" s="535"/>
      <c r="S1446" s="351"/>
      <c r="T1446" s="536"/>
      <c r="U1446" s="351"/>
      <c r="V1446" s="537"/>
      <c r="W1446" s="351"/>
      <c r="X1446" s="538" t="s">
        <v>294</v>
      </c>
      <c r="Y1446" s="350"/>
      <c r="Z1446" s="350"/>
      <c r="AA1446" s="351"/>
      <c r="AB1446" s="539" t="s">
        <v>294</v>
      </c>
      <c r="AC1446" s="350"/>
      <c r="AD1446" s="350"/>
      <c r="AE1446" s="351"/>
      <c r="AF1446" s="540"/>
      <c r="AG1446" s="351"/>
      <c r="AH1446" s="540"/>
      <c r="AI1446" s="351"/>
      <c r="AJ1446" s="545"/>
      <c r="AK1446" s="351"/>
      <c r="AL1446" s="555" t="s">
        <v>325</v>
      </c>
      <c r="AM1446" s="351"/>
      <c r="AN1446" s="531" t="s">
        <v>325</v>
      </c>
      <c r="AO1446" s="351"/>
      <c r="AP1446" s="532"/>
      <c r="AQ1446" s="351"/>
      <c r="AR1446" s="533"/>
      <c r="AS1446" s="351"/>
      <c r="AT1446" s="534"/>
      <c r="AU1446" s="351"/>
      <c r="AV1446" s="531" t="s">
        <v>325</v>
      </c>
      <c r="AW1446" s="351"/>
      <c r="AX1446" s="553"/>
      <c r="AY1446" s="350"/>
      <c r="AZ1446" s="351"/>
      <c r="BA1446" s="545"/>
      <c r="BB1446" s="351"/>
      <c r="BC1446" s="36"/>
      <c r="BD1446" s="556" t="s">
        <v>325</v>
      </c>
      <c r="BE1446" s="351"/>
      <c r="BF1446" s="557"/>
      <c r="BG1446" s="350"/>
      <c r="BH1446" s="350"/>
      <c r="BI1446" s="351"/>
      <c r="BJ1446" s="506" t="s">
        <v>294</v>
      </c>
      <c r="BK1446" s="350"/>
      <c r="BL1446" s="350"/>
      <c r="BM1446" s="351"/>
      <c r="BN1446" s="530" t="s">
        <v>294</v>
      </c>
      <c r="BO1446" s="350"/>
      <c r="BP1446" s="350"/>
      <c r="BQ1446" s="350"/>
      <c r="BR1446" s="350"/>
      <c r="BS1446" s="350"/>
      <c r="BT1446" s="350"/>
      <c r="BU1446" s="350"/>
      <c r="BV1446" s="351"/>
    </row>
    <row r="1447" spans="1:74" ht="45" customHeight="1">
      <c r="A1447" s="24">
        <f t="shared" si="5"/>
        <v>1433</v>
      </c>
      <c r="B1447" s="522" t="s">
        <v>294</v>
      </c>
      <c r="C1447" s="351"/>
      <c r="D1447" s="523" t="s">
        <v>298</v>
      </c>
      <c r="E1447" s="351"/>
      <c r="F1447" s="524" t="s">
        <v>325</v>
      </c>
      <c r="G1447" s="351"/>
      <c r="H1447" s="561" t="s">
        <v>325</v>
      </c>
      <c r="I1447" s="351"/>
      <c r="J1447" s="562"/>
      <c r="K1447" s="351"/>
      <c r="L1447" s="562"/>
      <c r="M1447" s="351"/>
      <c r="N1447" s="37"/>
      <c r="O1447" s="38"/>
      <c r="P1447" s="560"/>
      <c r="Q1447" s="351"/>
      <c r="R1447" s="527"/>
      <c r="S1447" s="351"/>
      <c r="T1447" s="528"/>
      <c r="U1447" s="351"/>
      <c r="V1447" s="541"/>
      <c r="W1447" s="351"/>
      <c r="X1447" s="542" t="s">
        <v>294</v>
      </c>
      <c r="Y1447" s="350"/>
      <c r="Z1447" s="350"/>
      <c r="AA1447" s="351"/>
      <c r="AB1447" s="543" t="s">
        <v>294</v>
      </c>
      <c r="AC1447" s="350"/>
      <c r="AD1447" s="350"/>
      <c r="AE1447" s="351"/>
      <c r="AF1447" s="544"/>
      <c r="AG1447" s="351"/>
      <c r="AH1447" s="544"/>
      <c r="AI1447" s="351"/>
      <c r="AJ1447" s="545"/>
      <c r="AK1447" s="351"/>
      <c r="AL1447" s="524" t="s">
        <v>325</v>
      </c>
      <c r="AM1447" s="351"/>
      <c r="AN1447" s="549" t="s">
        <v>325</v>
      </c>
      <c r="AO1447" s="351"/>
      <c r="AP1447" s="550"/>
      <c r="AQ1447" s="351"/>
      <c r="AR1447" s="551"/>
      <c r="AS1447" s="351"/>
      <c r="AT1447" s="552"/>
      <c r="AU1447" s="351"/>
      <c r="AV1447" s="549" t="s">
        <v>325</v>
      </c>
      <c r="AW1447" s="351"/>
      <c r="AX1447" s="553"/>
      <c r="AY1447" s="350"/>
      <c r="AZ1447" s="351"/>
      <c r="BA1447" s="554"/>
      <c r="BB1447" s="351"/>
      <c r="BC1447" s="39"/>
      <c r="BD1447" s="546" t="s">
        <v>325</v>
      </c>
      <c r="BE1447" s="351"/>
      <c r="BF1447" s="547"/>
      <c r="BG1447" s="350"/>
      <c r="BH1447" s="350"/>
      <c r="BI1447" s="351"/>
      <c r="BJ1447" s="548" t="s">
        <v>294</v>
      </c>
      <c r="BK1447" s="350"/>
      <c r="BL1447" s="350"/>
      <c r="BM1447" s="351"/>
      <c r="BN1447" s="530" t="s">
        <v>294</v>
      </c>
      <c r="BO1447" s="350"/>
      <c r="BP1447" s="350"/>
      <c r="BQ1447" s="350"/>
      <c r="BR1447" s="350"/>
      <c r="BS1447" s="350"/>
      <c r="BT1447" s="350"/>
      <c r="BU1447" s="350"/>
      <c r="BV1447" s="351"/>
    </row>
    <row r="1448" spans="1:74" ht="45" customHeight="1">
      <c r="A1448" s="24">
        <f t="shared" si="5"/>
        <v>1434</v>
      </c>
      <c r="B1448" s="558" t="s">
        <v>294</v>
      </c>
      <c r="C1448" s="351"/>
      <c r="D1448" s="559" t="s">
        <v>298</v>
      </c>
      <c r="E1448" s="351"/>
      <c r="F1448" s="524" t="s">
        <v>325</v>
      </c>
      <c r="G1448" s="351"/>
      <c r="H1448" s="525" t="s">
        <v>325</v>
      </c>
      <c r="I1448" s="351"/>
      <c r="J1448" s="40"/>
      <c r="K1448" s="41"/>
      <c r="L1448" s="40"/>
      <c r="M1448" s="41"/>
      <c r="N1448" s="34"/>
      <c r="O1448" s="35"/>
      <c r="P1448" s="526"/>
      <c r="Q1448" s="351"/>
      <c r="R1448" s="535"/>
      <c r="S1448" s="351"/>
      <c r="T1448" s="536"/>
      <c r="U1448" s="351"/>
      <c r="V1448" s="537"/>
      <c r="W1448" s="351"/>
      <c r="X1448" s="538" t="s">
        <v>294</v>
      </c>
      <c r="Y1448" s="350"/>
      <c r="Z1448" s="350"/>
      <c r="AA1448" s="351"/>
      <c r="AB1448" s="539" t="s">
        <v>294</v>
      </c>
      <c r="AC1448" s="350"/>
      <c r="AD1448" s="350"/>
      <c r="AE1448" s="351"/>
      <c r="AF1448" s="540"/>
      <c r="AG1448" s="351"/>
      <c r="AH1448" s="540"/>
      <c r="AI1448" s="351"/>
      <c r="AJ1448" s="545"/>
      <c r="AK1448" s="351"/>
      <c r="AL1448" s="555" t="s">
        <v>325</v>
      </c>
      <c r="AM1448" s="351"/>
      <c r="AN1448" s="531" t="s">
        <v>325</v>
      </c>
      <c r="AO1448" s="351"/>
      <c r="AP1448" s="532"/>
      <c r="AQ1448" s="351"/>
      <c r="AR1448" s="533"/>
      <c r="AS1448" s="351"/>
      <c r="AT1448" s="534"/>
      <c r="AU1448" s="351"/>
      <c r="AV1448" s="531" t="s">
        <v>325</v>
      </c>
      <c r="AW1448" s="351"/>
      <c r="AX1448" s="553"/>
      <c r="AY1448" s="350"/>
      <c r="AZ1448" s="351"/>
      <c r="BA1448" s="545"/>
      <c r="BB1448" s="351"/>
      <c r="BC1448" s="36"/>
      <c r="BD1448" s="556" t="s">
        <v>325</v>
      </c>
      <c r="BE1448" s="351"/>
      <c r="BF1448" s="557"/>
      <c r="BG1448" s="350"/>
      <c r="BH1448" s="350"/>
      <c r="BI1448" s="351"/>
      <c r="BJ1448" s="506" t="s">
        <v>294</v>
      </c>
      <c r="BK1448" s="350"/>
      <c r="BL1448" s="350"/>
      <c r="BM1448" s="351"/>
      <c r="BN1448" s="530" t="s">
        <v>294</v>
      </c>
      <c r="BO1448" s="350"/>
      <c r="BP1448" s="350"/>
      <c r="BQ1448" s="350"/>
      <c r="BR1448" s="350"/>
      <c r="BS1448" s="350"/>
      <c r="BT1448" s="350"/>
      <c r="BU1448" s="350"/>
      <c r="BV1448" s="351"/>
    </row>
    <row r="1449" spans="1:74" ht="45" customHeight="1">
      <c r="A1449" s="24">
        <f t="shared" si="5"/>
        <v>1435</v>
      </c>
      <c r="B1449" s="522" t="s">
        <v>294</v>
      </c>
      <c r="C1449" s="351"/>
      <c r="D1449" s="523" t="s">
        <v>298</v>
      </c>
      <c r="E1449" s="351"/>
      <c r="F1449" s="524" t="s">
        <v>325</v>
      </c>
      <c r="G1449" s="351"/>
      <c r="H1449" s="561" t="s">
        <v>325</v>
      </c>
      <c r="I1449" s="351"/>
      <c r="J1449" s="562"/>
      <c r="K1449" s="351"/>
      <c r="L1449" s="562"/>
      <c r="M1449" s="351"/>
      <c r="N1449" s="37"/>
      <c r="O1449" s="38"/>
      <c r="P1449" s="560"/>
      <c r="Q1449" s="351"/>
      <c r="R1449" s="527"/>
      <c r="S1449" s="351"/>
      <c r="T1449" s="528"/>
      <c r="U1449" s="351"/>
      <c r="V1449" s="541"/>
      <c r="W1449" s="351"/>
      <c r="X1449" s="542" t="s">
        <v>294</v>
      </c>
      <c r="Y1449" s="350"/>
      <c r="Z1449" s="350"/>
      <c r="AA1449" s="351"/>
      <c r="AB1449" s="543" t="s">
        <v>294</v>
      </c>
      <c r="AC1449" s="350"/>
      <c r="AD1449" s="350"/>
      <c r="AE1449" s="351"/>
      <c r="AF1449" s="544"/>
      <c r="AG1449" s="351"/>
      <c r="AH1449" s="544"/>
      <c r="AI1449" s="351"/>
      <c r="AJ1449" s="545"/>
      <c r="AK1449" s="351"/>
      <c r="AL1449" s="524" t="s">
        <v>325</v>
      </c>
      <c r="AM1449" s="351"/>
      <c r="AN1449" s="549" t="s">
        <v>325</v>
      </c>
      <c r="AO1449" s="351"/>
      <c r="AP1449" s="550"/>
      <c r="AQ1449" s="351"/>
      <c r="AR1449" s="551"/>
      <c r="AS1449" s="351"/>
      <c r="AT1449" s="552"/>
      <c r="AU1449" s="351"/>
      <c r="AV1449" s="549" t="s">
        <v>325</v>
      </c>
      <c r="AW1449" s="351"/>
      <c r="AX1449" s="553"/>
      <c r="AY1449" s="350"/>
      <c r="AZ1449" s="351"/>
      <c r="BA1449" s="554"/>
      <c r="BB1449" s="351"/>
      <c r="BC1449" s="39"/>
      <c r="BD1449" s="546" t="s">
        <v>325</v>
      </c>
      <c r="BE1449" s="351"/>
      <c r="BF1449" s="547"/>
      <c r="BG1449" s="350"/>
      <c r="BH1449" s="350"/>
      <c r="BI1449" s="351"/>
      <c r="BJ1449" s="548" t="s">
        <v>294</v>
      </c>
      <c r="BK1449" s="350"/>
      <c r="BL1449" s="350"/>
      <c r="BM1449" s="351"/>
      <c r="BN1449" s="530" t="s">
        <v>294</v>
      </c>
      <c r="BO1449" s="350"/>
      <c r="BP1449" s="350"/>
      <c r="BQ1449" s="350"/>
      <c r="BR1449" s="350"/>
      <c r="BS1449" s="350"/>
      <c r="BT1449" s="350"/>
      <c r="BU1449" s="350"/>
      <c r="BV1449" s="351"/>
    </row>
    <row r="1450" spans="1:74" ht="45" customHeight="1">
      <c r="A1450" s="24">
        <f t="shared" si="5"/>
        <v>1436</v>
      </c>
      <c r="B1450" s="558" t="s">
        <v>294</v>
      </c>
      <c r="C1450" s="351"/>
      <c r="D1450" s="559" t="s">
        <v>298</v>
      </c>
      <c r="E1450" s="351"/>
      <c r="F1450" s="524" t="s">
        <v>325</v>
      </c>
      <c r="G1450" s="351"/>
      <c r="H1450" s="525" t="s">
        <v>325</v>
      </c>
      <c r="I1450" s="351"/>
      <c r="J1450" s="40"/>
      <c r="K1450" s="41"/>
      <c r="L1450" s="40"/>
      <c r="M1450" s="41"/>
      <c r="N1450" s="34"/>
      <c r="O1450" s="35"/>
      <c r="P1450" s="526"/>
      <c r="Q1450" s="351"/>
      <c r="R1450" s="535"/>
      <c r="S1450" s="351"/>
      <c r="T1450" s="536"/>
      <c r="U1450" s="351"/>
      <c r="V1450" s="537"/>
      <c r="W1450" s="351"/>
      <c r="X1450" s="538" t="s">
        <v>294</v>
      </c>
      <c r="Y1450" s="350"/>
      <c r="Z1450" s="350"/>
      <c r="AA1450" s="351"/>
      <c r="AB1450" s="539" t="s">
        <v>294</v>
      </c>
      <c r="AC1450" s="350"/>
      <c r="AD1450" s="350"/>
      <c r="AE1450" s="351"/>
      <c r="AF1450" s="540"/>
      <c r="AG1450" s="351"/>
      <c r="AH1450" s="540"/>
      <c r="AI1450" s="351"/>
      <c r="AJ1450" s="545"/>
      <c r="AK1450" s="351"/>
      <c r="AL1450" s="555" t="s">
        <v>325</v>
      </c>
      <c r="AM1450" s="351"/>
      <c r="AN1450" s="531" t="s">
        <v>325</v>
      </c>
      <c r="AO1450" s="351"/>
      <c r="AP1450" s="532"/>
      <c r="AQ1450" s="351"/>
      <c r="AR1450" s="533"/>
      <c r="AS1450" s="351"/>
      <c r="AT1450" s="534"/>
      <c r="AU1450" s="351"/>
      <c r="AV1450" s="531" t="s">
        <v>325</v>
      </c>
      <c r="AW1450" s="351"/>
      <c r="AX1450" s="553"/>
      <c r="AY1450" s="350"/>
      <c r="AZ1450" s="351"/>
      <c r="BA1450" s="545"/>
      <c r="BB1450" s="351"/>
      <c r="BC1450" s="36"/>
      <c r="BD1450" s="556" t="s">
        <v>325</v>
      </c>
      <c r="BE1450" s="351"/>
      <c r="BF1450" s="529"/>
      <c r="BG1450" s="350"/>
      <c r="BH1450" s="350"/>
      <c r="BI1450" s="351"/>
      <c r="BJ1450" s="506" t="s">
        <v>294</v>
      </c>
      <c r="BK1450" s="350"/>
      <c r="BL1450" s="350"/>
      <c r="BM1450" s="351"/>
      <c r="BN1450" s="530" t="s">
        <v>294</v>
      </c>
      <c r="BO1450" s="350"/>
      <c r="BP1450" s="350"/>
      <c r="BQ1450" s="350"/>
      <c r="BR1450" s="350"/>
      <c r="BS1450" s="350"/>
      <c r="BT1450" s="350"/>
      <c r="BU1450" s="350"/>
      <c r="BV1450" s="351"/>
    </row>
    <row r="1451" spans="1:74" ht="45" customHeight="1">
      <c r="A1451" s="24">
        <f t="shared" si="5"/>
        <v>1437</v>
      </c>
      <c r="B1451" s="522" t="s">
        <v>294</v>
      </c>
      <c r="C1451" s="351"/>
      <c r="D1451" s="523" t="s">
        <v>298</v>
      </c>
      <c r="E1451" s="351"/>
      <c r="F1451" s="524" t="s">
        <v>325</v>
      </c>
      <c r="G1451" s="351"/>
      <c r="H1451" s="561" t="s">
        <v>325</v>
      </c>
      <c r="I1451" s="351"/>
      <c r="J1451" s="562"/>
      <c r="K1451" s="351"/>
      <c r="L1451" s="562"/>
      <c r="M1451" s="351"/>
      <c r="N1451" s="37"/>
      <c r="O1451" s="38"/>
      <c r="P1451" s="560"/>
      <c r="Q1451" s="351"/>
      <c r="R1451" s="527"/>
      <c r="S1451" s="351"/>
      <c r="T1451" s="528"/>
      <c r="U1451" s="351"/>
      <c r="V1451" s="541"/>
      <c r="W1451" s="351"/>
      <c r="X1451" s="542" t="s">
        <v>294</v>
      </c>
      <c r="Y1451" s="350"/>
      <c r="Z1451" s="350"/>
      <c r="AA1451" s="351"/>
      <c r="AB1451" s="543" t="s">
        <v>294</v>
      </c>
      <c r="AC1451" s="350"/>
      <c r="AD1451" s="350"/>
      <c r="AE1451" s="351"/>
      <c r="AF1451" s="544"/>
      <c r="AG1451" s="351"/>
      <c r="AH1451" s="544"/>
      <c r="AI1451" s="351"/>
      <c r="AJ1451" s="545"/>
      <c r="AK1451" s="351"/>
      <c r="AL1451" s="524" t="s">
        <v>325</v>
      </c>
      <c r="AM1451" s="351"/>
      <c r="AN1451" s="549" t="s">
        <v>325</v>
      </c>
      <c r="AO1451" s="351"/>
      <c r="AP1451" s="550"/>
      <c r="AQ1451" s="351"/>
      <c r="AR1451" s="551"/>
      <c r="AS1451" s="351"/>
      <c r="AT1451" s="552"/>
      <c r="AU1451" s="351"/>
      <c r="AV1451" s="549" t="s">
        <v>325</v>
      </c>
      <c r="AW1451" s="351"/>
      <c r="AX1451" s="553"/>
      <c r="AY1451" s="350"/>
      <c r="AZ1451" s="351"/>
      <c r="BA1451" s="554"/>
      <c r="BB1451" s="351"/>
      <c r="BC1451" s="39"/>
      <c r="BD1451" s="546" t="s">
        <v>325</v>
      </c>
      <c r="BE1451" s="351"/>
      <c r="BF1451" s="547"/>
      <c r="BG1451" s="350"/>
      <c r="BH1451" s="350"/>
      <c r="BI1451" s="351"/>
      <c r="BJ1451" s="548" t="s">
        <v>294</v>
      </c>
      <c r="BK1451" s="350"/>
      <c r="BL1451" s="350"/>
      <c r="BM1451" s="351"/>
      <c r="BN1451" s="530" t="s">
        <v>294</v>
      </c>
      <c r="BO1451" s="350"/>
      <c r="BP1451" s="350"/>
      <c r="BQ1451" s="350"/>
      <c r="BR1451" s="350"/>
      <c r="BS1451" s="350"/>
      <c r="BT1451" s="350"/>
      <c r="BU1451" s="350"/>
      <c r="BV1451" s="351"/>
    </row>
    <row r="1452" spans="1:74" ht="45" customHeight="1">
      <c r="A1452" s="24">
        <f t="shared" si="5"/>
        <v>1438</v>
      </c>
      <c r="B1452" s="558" t="s">
        <v>294</v>
      </c>
      <c r="C1452" s="351"/>
      <c r="D1452" s="559" t="s">
        <v>298</v>
      </c>
      <c r="E1452" s="351"/>
      <c r="F1452" s="524" t="s">
        <v>325</v>
      </c>
      <c r="G1452" s="351"/>
      <c r="H1452" s="525" t="s">
        <v>325</v>
      </c>
      <c r="I1452" s="351"/>
      <c r="J1452" s="40"/>
      <c r="K1452" s="41"/>
      <c r="L1452" s="40"/>
      <c r="M1452" s="41"/>
      <c r="N1452" s="34"/>
      <c r="O1452" s="35"/>
      <c r="P1452" s="526"/>
      <c r="Q1452" s="351"/>
      <c r="R1452" s="535"/>
      <c r="S1452" s="351"/>
      <c r="T1452" s="536"/>
      <c r="U1452" s="351"/>
      <c r="V1452" s="537"/>
      <c r="W1452" s="351"/>
      <c r="X1452" s="538" t="s">
        <v>294</v>
      </c>
      <c r="Y1452" s="350"/>
      <c r="Z1452" s="350"/>
      <c r="AA1452" s="351"/>
      <c r="AB1452" s="539" t="s">
        <v>294</v>
      </c>
      <c r="AC1452" s="350"/>
      <c r="AD1452" s="350"/>
      <c r="AE1452" s="351"/>
      <c r="AF1452" s="540"/>
      <c r="AG1452" s="351"/>
      <c r="AH1452" s="540"/>
      <c r="AI1452" s="351"/>
      <c r="AJ1452" s="545"/>
      <c r="AK1452" s="351"/>
      <c r="AL1452" s="555" t="s">
        <v>325</v>
      </c>
      <c r="AM1452" s="351"/>
      <c r="AN1452" s="531" t="s">
        <v>325</v>
      </c>
      <c r="AO1452" s="351"/>
      <c r="AP1452" s="532"/>
      <c r="AQ1452" s="351"/>
      <c r="AR1452" s="533"/>
      <c r="AS1452" s="351"/>
      <c r="AT1452" s="534"/>
      <c r="AU1452" s="351"/>
      <c r="AV1452" s="531" t="s">
        <v>325</v>
      </c>
      <c r="AW1452" s="351"/>
      <c r="AX1452" s="553"/>
      <c r="AY1452" s="350"/>
      <c r="AZ1452" s="351"/>
      <c r="BA1452" s="545"/>
      <c r="BB1452" s="351"/>
      <c r="BC1452" s="36"/>
      <c r="BD1452" s="556" t="s">
        <v>325</v>
      </c>
      <c r="BE1452" s="351"/>
      <c r="BF1452" s="557"/>
      <c r="BG1452" s="350"/>
      <c r="BH1452" s="350"/>
      <c r="BI1452" s="351"/>
      <c r="BJ1452" s="506" t="s">
        <v>294</v>
      </c>
      <c r="BK1452" s="350"/>
      <c r="BL1452" s="350"/>
      <c r="BM1452" s="351"/>
      <c r="BN1452" s="530" t="s">
        <v>294</v>
      </c>
      <c r="BO1452" s="350"/>
      <c r="BP1452" s="350"/>
      <c r="BQ1452" s="350"/>
      <c r="BR1452" s="350"/>
      <c r="BS1452" s="350"/>
      <c r="BT1452" s="350"/>
      <c r="BU1452" s="350"/>
      <c r="BV1452" s="351"/>
    </row>
    <row r="1453" spans="1:74" ht="45" customHeight="1">
      <c r="A1453" s="24">
        <f t="shared" si="5"/>
        <v>1439</v>
      </c>
      <c r="B1453" s="522" t="s">
        <v>294</v>
      </c>
      <c r="C1453" s="351"/>
      <c r="D1453" s="523" t="s">
        <v>298</v>
      </c>
      <c r="E1453" s="351"/>
      <c r="F1453" s="524" t="s">
        <v>325</v>
      </c>
      <c r="G1453" s="351"/>
      <c r="H1453" s="561" t="s">
        <v>325</v>
      </c>
      <c r="I1453" s="351"/>
      <c r="J1453" s="562"/>
      <c r="K1453" s="351"/>
      <c r="L1453" s="562"/>
      <c r="M1453" s="351"/>
      <c r="N1453" s="37"/>
      <c r="O1453" s="38"/>
      <c r="P1453" s="560"/>
      <c r="Q1453" s="351"/>
      <c r="R1453" s="527"/>
      <c r="S1453" s="351"/>
      <c r="T1453" s="528"/>
      <c r="U1453" s="351"/>
      <c r="V1453" s="541"/>
      <c r="W1453" s="351"/>
      <c r="X1453" s="542" t="s">
        <v>294</v>
      </c>
      <c r="Y1453" s="350"/>
      <c r="Z1453" s="350"/>
      <c r="AA1453" s="351"/>
      <c r="AB1453" s="543" t="s">
        <v>294</v>
      </c>
      <c r="AC1453" s="350"/>
      <c r="AD1453" s="350"/>
      <c r="AE1453" s="351"/>
      <c r="AF1453" s="544"/>
      <c r="AG1453" s="351"/>
      <c r="AH1453" s="544"/>
      <c r="AI1453" s="351"/>
      <c r="AJ1453" s="545"/>
      <c r="AK1453" s="351"/>
      <c r="AL1453" s="524" t="s">
        <v>325</v>
      </c>
      <c r="AM1453" s="351"/>
      <c r="AN1453" s="549" t="s">
        <v>325</v>
      </c>
      <c r="AO1453" s="351"/>
      <c r="AP1453" s="550"/>
      <c r="AQ1453" s="351"/>
      <c r="AR1453" s="551"/>
      <c r="AS1453" s="351"/>
      <c r="AT1453" s="534"/>
      <c r="AU1453" s="351"/>
      <c r="AV1453" s="549" t="s">
        <v>325</v>
      </c>
      <c r="AW1453" s="351"/>
      <c r="AX1453" s="553"/>
      <c r="AY1453" s="350"/>
      <c r="AZ1453" s="351"/>
      <c r="BA1453" s="554"/>
      <c r="BB1453" s="351"/>
      <c r="BC1453" s="39"/>
      <c r="BD1453" s="546" t="s">
        <v>325</v>
      </c>
      <c r="BE1453" s="351"/>
      <c r="BF1453" s="547"/>
      <c r="BG1453" s="350"/>
      <c r="BH1453" s="350"/>
      <c r="BI1453" s="351"/>
      <c r="BJ1453" s="548" t="s">
        <v>294</v>
      </c>
      <c r="BK1453" s="350"/>
      <c r="BL1453" s="350"/>
      <c r="BM1453" s="351"/>
      <c r="BN1453" s="530" t="s">
        <v>294</v>
      </c>
      <c r="BO1453" s="350"/>
      <c r="BP1453" s="350"/>
      <c r="BQ1453" s="350"/>
      <c r="BR1453" s="350"/>
      <c r="BS1453" s="350"/>
      <c r="BT1453" s="350"/>
      <c r="BU1453" s="350"/>
      <c r="BV1453" s="351"/>
    </row>
    <row r="1454" spans="1:74" ht="45" customHeight="1">
      <c r="A1454" s="24">
        <f t="shared" si="5"/>
        <v>1440</v>
      </c>
      <c r="B1454" s="558" t="s">
        <v>294</v>
      </c>
      <c r="C1454" s="351"/>
      <c r="D1454" s="559" t="s">
        <v>298</v>
      </c>
      <c r="E1454" s="351"/>
      <c r="F1454" s="524" t="s">
        <v>325</v>
      </c>
      <c r="G1454" s="351"/>
      <c r="H1454" s="525" t="s">
        <v>325</v>
      </c>
      <c r="I1454" s="351"/>
      <c r="J1454" s="40"/>
      <c r="K1454" s="41"/>
      <c r="L1454" s="40"/>
      <c r="M1454" s="41"/>
      <c r="N1454" s="34"/>
      <c r="O1454" s="35"/>
      <c r="P1454" s="526"/>
      <c r="Q1454" s="351"/>
      <c r="R1454" s="535"/>
      <c r="S1454" s="351"/>
      <c r="T1454" s="536"/>
      <c r="U1454" s="351"/>
      <c r="V1454" s="537"/>
      <c r="W1454" s="351"/>
      <c r="X1454" s="538" t="s">
        <v>294</v>
      </c>
      <c r="Y1454" s="350"/>
      <c r="Z1454" s="350"/>
      <c r="AA1454" s="351"/>
      <c r="AB1454" s="539" t="s">
        <v>294</v>
      </c>
      <c r="AC1454" s="350"/>
      <c r="AD1454" s="350"/>
      <c r="AE1454" s="351"/>
      <c r="AF1454" s="540"/>
      <c r="AG1454" s="351"/>
      <c r="AH1454" s="540"/>
      <c r="AI1454" s="351"/>
      <c r="AJ1454" s="545"/>
      <c r="AK1454" s="351"/>
      <c r="AL1454" s="555" t="s">
        <v>325</v>
      </c>
      <c r="AM1454" s="351"/>
      <c r="AN1454" s="531" t="s">
        <v>325</v>
      </c>
      <c r="AO1454" s="351"/>
      <c r="AP1454" s="532"/>
      <c r="AQ1454" s="351"/>
      <c r="AR1454" s="533"/>
      <c r="AS1454" s="351"/>
      <c r="AT1454" s="534"/>
      <c r="AU1454" s="351"/>
      <c r="AV1454" s="531" t="s">
        <v>325</v>
      </c>
      <c r="AW1454" s="351"/>
      <c r="AX1454" s="553"/>
      <c r="AY1454" s="350"/>
      <c r="AZ1454" s="351"/>
      <c r="BA1454" s="545"/>
      <c r="BB1454" s="351"/>
      <c r="BC1454" s="36"/>
      <c r="BD1454" s="556" t="s">
        <v>325</v>
      </c>
      <c r="BE1454" s="351"/>
      <c r="BF1454" s="557"/>
      <c r="BG1454" s="350"/>
      <c r="BH1454" s="350"/>
      <c r="BI1454" s="351"/>
      <c r="BJ1454" s="506" t="s">
        <v>294</v>
      </c>
      <c r="BK1454" s="350"/>
      <c r="BL1454" s="350"/>
      <c r="BM1454" s="351"/>
      <c r="BN1454" s="530" t="s">
        <v>294</v>
      </c>
      <c r="BO1454" s="350"/>
      <c r="BP1454" s="350"/>
      <c r="BQ1454" s="350"/>
      <c r="BR1454" s="350"/>
      <c r="BS1454" s="350"/>
      <c r="BT1454" s="350"/>
      <c r="BU1454" s="350"/>
      <c r="BV1454" s="351"/>
    </row>
    <row r="1455" spans="1:74" ht="45" customHeight="1">
      <c r="A1455" s="24">
        <f t="shared" si="5"/>
        <v>1441</v>
      </c>
      <c r="B1455" s="522" t="s">
        <v>294</v>
      </c>
      <c r="C1455" s="351"/>
      <c r="D1455" s="523" t="s">
        <v>298</v>
      </c>
      <c r="E1455" s="351"/>
      <c r="F1455" s="524" t="s">
        <v>325</v>
      </c>
      <c r="G1455" s="351"/>
      <c r="H1455" s="561" t="s">
        <v>325</v>
      </c>
      <c r="I1455" s="351"/>
      <c r="J1455" s="562"/>
      <c r="K1455" s="351"/>
      <c r="L1455" s="562"/>
      <c r="M1455" s="351"/>
      <c r="N1455" s="37"/>
      <c r="O1455" s="38"/>
      <c r="P1455" s="560"/>
      <c r="Q1455" s="351"/>
      <c r="R1455" s="527"/>
      <c r="S1455" s="351"/>
      <c r="T1455" s="528"/>
      <c r="U1455" s="351"/>
      <c r="V1455" s="541"/>
      <c r="W1455" s="351"/>
      <c r="X1455" s="542" t="s">
        <v>294</v>
      </c>
      <c r="Y1455" s="350"/>
      <c r="Z1455" s="350"/>
      <c r="AA1455" s="351"/>
      <c r="AB1455" s="543" t="s">
        <v>294</v>
      </c>
      <c r="AC1455" s="350"/>
      <c r="AD1455" s="350"/>
      <c r="AE1455" s="351"/>
      <c r="AF1455" s="544"/>
      <c r="AG1455" s="351"/>
      <c r="AH1455" s="544"/>
      <c r="AI1455" s="351"/>
      <c r="AJ1455" s="545"/>
      <c r="AK1455" s="351"/>
      <c r="AL1455" s="524" t="s">
        <v>325</v>
      </c>
      <c r="AM1455" s="351"/>
      <c r="AN1455" s="549" t="s">
        <v>325</v>
      </c>
      <c r="AO1455" s="351"/>
      <c r="AP1455" s="550"/>
      <c r="AQ1455" s="351"/>
      <c r="AR1455" s="551"/>
      <c r="AS1455" s="351"/>
      <c r="AT1455" s="534"/>
      <c r="AU1455" s="351"/>
      <c r="AV1455" s="549" t="s">
        <v>325</v>
      </c>
      <c r="AW1455" s="351"/>
      <c r="AX1455" s="553"/>
      <c r="AY1455" s="350"/>
      <c r="AZ1455" s="351"/>
      <c r="BA1455" s="554"/>
      <c r="BB1455" s="351"/>
      <c r="BC1455" s="39"/>
      <c r="BD1455" s="546" t="s">
        <v>325</v>
      </c>
      <c r="BE1455" s="351"/>
      <c r="BF1455" s="547"/>
      <c r="BG1455" s="350"/>
      <c r="BH1455" s="350"/>
      <c r="BI1455" s="351"/>
      <c r="BJ1455" s="548" t="s">
        <v>294</v>
      </c>
      <c r="BK1455" s="350"/>
      <c r="BL1455" s="350"/>
      <c r="BM1455" s="351"/>
      <c r="BN1455" s="530" t="s">
        <v>294</v>
      </c>
      <c r="BO1455" s="350"/>
      <c r="BP1455" s="350"/>
      <c r="BQ1455" s="350"/>
      <c r="BR1455" s="350"/>
      <c r="BS1455" s="350"/>
      <c r="BT1455" s="350"/>
      <c r="BU1455" s="350"/>
      <c r="BV1455" s="351"/>
    </row>
    <row r="1456" spans="1:74" ht="45" customHeight="1">
      <c r="A1456" s="24">
        <f t="shared" si="5"/>
        <v>1442</v>
      </c>
      <c r="B1456" s="558" t="s">
        <v>294</v>
      </c>
      <c r="C1456" s="351"/>
      <c r="D1456" s="559" t="s">
        <v>298</v>
      </c>
      <c r="E1456" s="351"/>
      <c r="F1456" s="524" t="s">
        <v>325</v>
      </c>
      <c r="G1456" s="351"/>
      <c r="H1456" s="525" t="s">
        <v>325</v>
      </c>
      <c r="I1456" s="351"/>
      <c r="J1456" s="40"/>
      <c r="K1456" s="41"/>
      <c r="L1456" s="40"/>
      <c r="M1456" s="41"/>
      <c r="N1456" s="34"/>
      <c r="O1456" s="35"/>
      <c r="P1456" s="526"/>
      <c r="Q1456" s="351"/>
      <c r="R1456" s="535"/>
      <c r="S1456" s="351"/>
      <c r="T1456" s="536"/>
      <c r="U1456" s="351"/>
      <c r="V1456" s="537"/>
      <c r="W1456" s="351"/>
      <c r="X1456" s="538" t="s">
        <v>294</v>
      </c>
      <c r="Y1456" s="350"/>
      <c r="Z1456" s="350"/>
      <c r="AA1456" s="351"/>
      <c r="AB1456" s="539" t="s">
        <v>294</v>
      </c>
      <c r="AC1456" s="350"/>
      <c r="AD1456" s="350"/>
      <c r="AE1456" s="351"/>
      <c r="AF1456" s="540"/>
      <c r="AG1456" s="351"/>
      <c r="AH1456" s="540"/>
      <c r="AI1456" s="351"/>
      <c r="AJ1456" s="545"/>
      <c r="AK1456" s="351"/>
      <c r="AL1456" s="555" t="s">
        <v>325</v>
      </c>
      <c r="AM1456" s="351"/>
      <c r="AN1456" s="531" t="s">
        <v>325</v>
      </c>
      <c r="AO1456" s="351"/>
      <c r="AP1456" s="532"/>
      <c r="AQ1456" s="351"/>
      <c r="AR1456" s="533"/>
      <c r="AS1456" s="351"/>
      <c r="AT1456" s="534"/>
      <c r="AU1456" s="351"/>
      <c r="AV1456" s="531" t="s">
        <v>325</v>
      </c>
      <c r="AW1456" s="351"/>
      <c r="AX1456" s="553"/>
      <c r="AY1456" s="350"/>
      <c r="AZ1456" s="351"/>
      <c r="BA1456" s="545"/>
      <c r="BB1456" s="351"/>
      <c r="BC1456" s="36"/>
      <c r="BD1456" s="556" t="s">
        <v>325</v>
      </c>
      <c r="BE1456" s="351"/>
      <c r="BF1456" s="557"/>
      <c r="BG1456" s="350"/>
      <c r="BH1456" s="350"/>
      <c r="BI1456" s="351"/>
      <c r="BJ1456" s="506" t="s">
        <v>294</v>
      </c>
      <c r="BK1456" s="350"/>
      <c r="BL1456" s="350"/>
      <c r="BM1456" s="351"/>
      <c r="BN1456" s="530" t="s">
        <v>294</v>
      </c>
      <c r="BO1456" s="350"/>
      <c r="BP1456" s="350"/>
      <c r="BQ1456" s="350"/>
      <c r="BR1456" s="350"/>
      <c r="BS1456" s="350"/>
      <c r="BT1456" s="350"/>
      <c r="BU1456" s="350"/>
      <c r="BV1456" s="351"/>
    </row>
    <row r="1457" spans="1:74" ht="45" customHeight="1">
      <c r="A1457" s="24">
        <f t="shared" si="5"/>
        <v>1443</v>
      </c>
      <c r="B1457" s="522" t="s">
        <v>294</v>
      </c>
      <c r="C1457" s="351"/>
      <c r="D1457" s="523" t="s">
        <v>298</v>
      </c>
      <c r="E1457" s="351"/>
      <c r="F1457" s="524" t="s">
        <v>325</v>
      </c>
      <c r="G1457" s="351"/>
      <c r="H1457" s="561" t="s">
        <v>325</v>
      </c>
      <c r="I1457" s="351"/>
      <c r="J1457" s="562"/>
      <c r="K1457" s="351"/>
      <c r="L1457" s="562"/>
      <c r="M1457" s="351"/>
      <c r="N1457" s="37"/>
      <c r="O1457" s="38"/>
      <c r="P1457" s="560"/>
      <c r="Q1457" s="351"/>
      <c r="R1457" s="527"/>
      <c r="S1457" s="351"/>
      <c r="T1457" s="528"/>
      <c r="U1457" s="351"/>
      <c r="V1457" s="541"/>
      <c r="W1457" s="351"/>
      <c r="X1457" s="542" t="s">
        <v>294</v>
      </c>
      <c r="Y1457" s="350"/>
      <c r="Z1457" s="350"/>
      <c r="AA1457" s="351"/>
      <c r="AB1457" s="543" t="s">
        <v>294</v>
      </c>
      <c r="AC1457" s="350"/>
      <c r="AD1457" s="350"/>
      <c r="AE1457" s="351"/>
      <c r="AF1457" s="544"/>
      <c r="AG1457" s="351"/>
      <c r="AH1457" s="544"/>
      <c r="AI1457" s="351"/>
      <c r="AJ1457" s="545"/>
      <c r="AK1457" s="351"/>
      <c r="AL1457" s="524" t="s">
        <v>325</v>
      </c>
      <c r="AM1457" s="351"/>
      <c r="AN1457" s="549" t="s">
        <v>325</v>
      </c>
      <c r="AO1457" s="351"/>
      <c r="AP1457" s="550"/>
      <c r="AQ1457" s="351"/>
      <c r="AR1457" s="551"/>
      <c r="AS1457" s="351"/>
      <c r="AT1457" s="552"/>
      <c r="AU1457" s="351"/>
      <c r="AV1457" s="549" t="s">
        <v>325</v>
      </c>
      <c r="AW1457" s="351"/>
      <c r="AX1457" s="553"/>
      <c r="AY1457" s="350"/>
      <c r="AZ1457" s="351"/>
      <c r="BA1457" s="554"/>
      <c r="BB1457" s="351"/>
      <c r="BC1457" s="39"/>
      <c r="BD1457" s="546" t="s">
        <v>325</v>
      </c>
      <c r="BE1457" s="351"/>
      <c r="BF1457" s="547"/>
      <c r="BG1457" s="350"/>
      <c r="BH1457" s="350"/>
      <c r="BI1457" s="351"/>
      <c r="BJ1457" s="548" t="s">
        <v>294</v>
      </c>
      <c r="BK1457" s="350"/>
      <c r="BL1457" s="350"/>
      <c r="BM1457" s="351"/>
      <c r="BN1457" s="530" t="s">
        <v>294</v>
      </c>
      <c r="BO1457" s="350"/>
      <c r="BP1457" s="350"/>
      <c r="BQ1457" s="350"/>
      <c r="BR1457" s="350"/>
      <c r="BS1457" s="350"/>
      <c r="BT1457" s="350"/>
      <c r="BU1457" s="350"/>
      <c r="BV1457" s="351"/>
    </row>
    <row r="1458" spans="1:74" ht="45" customHeight="1">
      <c r="A1458" s="24">
        <f t="shared" si="5"/>
        <v>1444</v>
      </c>
      <c r="B1458" s="558" t="s">
        <v>294</v>
      </c>
      <c r="C1458" s="351"/>
      <c r="D1458" s="559" t="s">
        <v>298</v>
      </c>
      <c r="E1458" s="351"/>
      <c r="F1458" s="524" t="s">
        <v>325</v>
      </c>
      <c r="G1458" s="351"/>
      <c r="H1458" s="525" t="s">
        <v>325</v>
      </c>
      <c r="I1458" s="351"/>
      <c r="J1458" s="40"/>
      <c r="K1458" s="41"/>
      <c r="L1458" s="40"/>
      <c r="M1458" s="41"/>
      <c r="N1458" s="34"/>
      <c r="O1458" s="35"/>
      <c r="P1458" s="526"/>
      <c r="Q1458" s="351"/>
      <c r="R1458" s="535"/>
      <c r="S1458" s="351"/>
      <c r="T1458" s="536"/>
      <c r="U1458" s="351"/>
      <c r="V1458" s="537"/>
      <c r="W1458" s="351"/>
      <c r="X1458" s="538" t="s">
        <v>294</v>
      </c>
      <c r="Y1458" s="350"/>
      <c r="Z1458" s="350"/>
      <c r="AA1458" s="351"/>
      <c r="AB1458" s="539" t="s">
        <v>294</v>
      </c>
      <c r="AC1458" s="350"/>
      <c r="AD1458" s="350"/>
      <c r="AE1458" s="351"/>
      <c r="AF1458" s="540"/>
      <c r="AG1458" s="351"/>
      <c r="AH1458" s="540"/>
      <c r="AI1458" s="351"/>
      <c r="AJ1458" s="545"/>
      <c r="AK1458" s="351"/>
      <c r="AL1458" s="555" t="s">
        <v>325</v>
      </c>
      <c r="AM1458" s="351"/>
      <c r="AN1458" s="531" t="s">
        <v>325</v>
      </c>
      <c r="AO1458" s="351"/>
      <c r="AP1458" s="532"/>
      <c r="AQ1458" s="351"/>
      <c r="AR1458" s="533"/>
      <c r="AS1458" s="351"/>
      <c r="AT1458" s="534"/>
      <c r="AU1458" s="351"/>
      <c r="AV1458" s="531" t="s">
        <v>325</v>
      </c>
      <c r="AW1458" s="351"/>
      <c r="AX1458" s="553"/>
      <c r="AY1458" s="350"/>
      <c r="AZ1458" s="351"/>
      <c r="BA1458" s="545"/>
      <c r="BB1458" s="351"/>
      <c r="BC1458" s="36"/>
      <c r="BD1458" s="556" t="s">
        <v>325</v>
      </c>
      <c r="BE1458" s="351"/>
      <c r="BF1458" s="529"/>
      <c r="BG1458" s="350"/>
      <c r="BH1458" s="350"/>
      <c r="BI1458" s="351"/>
      <c r="BJ1458" s="506" t="s">
        <v>294</v>
      </c>
      <c r="BK1458" s="350"/>
      <c r="BL1458" s="350"/>
      <c r="BM1458" s="351"/>
      <c r="BN1458" s="530" t="s">
        <v>294</v>
      </c>
      <c r="BO1458" s="350"/>
      <c r="BP1458" s="350"/>
      <c r="BQ1458" s="350"/>
      <c r="BR1458" s="350"/>
      <c r="BS1458" s="350"/>
      <c r="BT1458" s="350"/>
      <c r="BU1458" s="350"/>
      <c r="BV1458" s="351"/>
    </row>
    <row r="1459" spans="1:74" ht="45" customHeight="1">
      <c r="A1459" s="24">
        <f t="shared" si="5"/>
        <v>1445</v>
      </c>
      <c r="B1459" s="522" t="s">
        <v>294</v>
      </c>
      <c r="C1459" s="351"/>
      <c r="D1459" s="523" t="s">
        <v>298</v>
      </c>
      <c r="E1459" s="351"/>
      <c r="F1459" s="524" t="s">
        <v>325</v>
      </c>
      <c r="G1459" s="351"/>
      <c r="H1459" s="561" t="s">
        <v>325</v>
      </c>
      <c r="I1459" s="351"/>
      <c r="J1459" s="562"/>
      <c r="K1459" s="351"/>
      <c r="L1459" s="562"/>
      <c r="M1459" s="351"/>
      <c r="N1459" s="37"/>
      <c r="O1459" s="38"/>
      <c r="P1459" s="560"/>
      <c r="Q1459" s="351"/>
      <c r="R1459" s="527"/>
      <c r="S1459" s="351"/>
      <c r="T1459" s="528"/>
      <c r="U1459" s="351"/>
      <c r="V1459" s="541"/>
      <c r="W1459" s="351"/>
      <c r="X1459" s="542" t="s">
        <v>294</v>
      </c>
      <c r="Y1459" s="350"/>
      <c r="Z1459" s="350"/>
      <c r="AA1459" s="351"/>
      <c r="AB1459" s="543" t="s">
        <v>294</v>
      </c>
      <c r="AC1459" s="350"/>
      <c r="AD1459" s="350"/>
      <c r="AE1459" s="351"/>
      <c r="AF1459" s="544"/>
      <c r="AG1459" s="351"/>
      <c r="AH1459" s="544"/>
      <c r="AI1459" s="351"/>
      <c r="AJ1459" s="545"/>
      <c r="AK1459" s="351"/>
      <c r="AL1459" s="524" t="s">
        <v>325</v>
      </c>
      <c r="AM1459" s="351"/>
      <c r="AN1459" s="549" t="s">
        <v>325</v>
      </c>
      <c r="AO1459" s="351"/>
      <c r="AP1459" s="550"/>
      <c r="AQ1459" s="351"/>
      <c r="AR1459" s="551"/>
      <c r="AS1459" s="351"/>
      <c r="AT1459" s="552"/>
      <c r="AU1459" s="351"/>
      <c r="AV1459" s="549" t="s">
        <v>325</v>
      </c>
      <c r="AW1459" s="351"/>
      <c r="AX1459" s="553"/>
      <c r="AY1459" s="350"/>
      <c r="AZ1459" s="351"/>
      <c r="BA1459" s="554"/>
      <c r="BB1459" s="351"/>
      <c r="BC1459" s="39"/>
      <c r="BD1459" s="546" t="s">
        <v>325</v>
      </c>
      <c r="BE1459" s="351"/>
      <c r="BF1459" s="547"/>
      <c r="BG1459" s="350"/>
      <c r="BH1459" s="350"/>
      <c r="BI1459" s="351"/>
      <c r="BJ1459" s="548" t="s">
        <v>294</v>
      </c>
      <c r="BK1459" s="350"/>
      <c r="BL1459" s="350"/>
      <c r="BM1459" s="351"/>
      <c r="BN1459" s="530" t="s">
        <v>294</v>
      </c>
      <c r="BO1459" s="350"/>
      <c r="BP1459" s="350"/>
      <c r="BQ1459" s="350"/>
      <c r="BR1459" s="350"/>
      <c r="BS1459" s="350"/>
      <c r="BT1459" s="350"/>
      <c r="BU1459" s="350"/>
      <c r="BV1459" s="351"/>
    </row>
    <row r="1460" spans="1:74" ht="45" customHeight="1">
      <c r="A1460" s="24">
        <f t="shared" si="5"/>
        <v>1446</v>
      </c>
      <c r="B1460" s="558" t="s">
        <v>294</v>
      </c>
      <c r="C1460" s="351"/>
      <c r="D1460" s="559" t="s">
        <v>298</v>
      </c>
      <c r="E1460" s="351"/>
      <c r="F1460" s="524" t="s">
        <v>325</v>
      </c>
      <c r="G1460" s="351"/>
      <c r="H1460" s="525" t="s">
        <v>325</v>
      </c>
      <c r="I1460" s="351"/>
      <c r="J1460" s="40"/>
      <c r="K1460" s="41"/>
      <c r="L1460" s="40"/>
      <c r="M1460" s="41"/>
      <c r="N1460" s="34"/>
      <c r="O1460" s="35"/>
      <c r="P1460" s="526"/>
      <c r="Q1460" s="351"/>
      <c r="R1460" s="535"/>
      <c r="S1460" s="351"/>
      <c r="T1460" s="536"/>
      <c r="U1460" s="351"/>
      <c r="V1460" s="537"/>
      <c r="W1460" s="351"/>
      <c r="X1460" s="538" t="s">
        <v>294</v>
      </c>
      <c r="Y1460" s="350"/>
      <c r="Z1460" s="350"/>
      <c r="AA1460" s="351"/>
      <c r="AB1460" s="539" t="s">
        <v>294</v>
      </c>
      <c r="AC1460" s="350"/>
      <c r="AD1460" s="350"/>
      <c r="AE1460" s="351"/>
      <c r="AF1460" s="540"/>
      <c r="AG1460" s="351"/>
      <c r="AH1460" s="540"/>
      <c r="AI1460" s="351"/>
      <c r="AJ1460" s="545"/>
      <c r="AK1460" s="351"/>
      <c r="AL1460" s="555" t="s">
        <v>325</v>
      </c>
      <c r="AM1460" s="351"/>
      <c r="AN1460" s="531" t="s">
        <v>325</v>
      </c>
      <c r="AO1460" s="351"/>
      <c r="AP1460" s="532"/>
      <c r="AQ1460" s="351"/>
      <c r="AR1460" s="533"/>
      <c r="AS1460" s="351"/>
      <c r="AT1460" s="534"/>
      <c r="AU1460" s="351"/>
      <c r="AV1460" s="531" t="s">
        <v>325</v>
      </c>
      <c r="AW1460" s="351"/>
      <c r="AX1460" s="553"/>
      <c r="AY1460" s="350"/>
      <c r="AZ1460" s="351"/>
      <c r="BA1460" s="545"/>
      <c r="BB1460" s="351"/>
      <c r="BC1460" s="36"/>
      <c r="BD1460" s="556" t="s">
        <v>325</v>
      </c>
      <c r="BE1460" s="351"/>
      <c r="BF1460" s="557"/>
      <c r="BG1460" s="350"/>
      <c r="BH1460" s="350"/>
      <c r="BI1460" s="351"/>
      <c r="BJ1460" s="506" t="s">
        <v>294</v>
      </c>
      <c r="BK1460" s="350"/>
      <c r="BL1460" s="350"/>
      <c r="BM1460" s="351"/>
      <c r="BN1460" s="530" t="s">
        <v>294</v>
      </c>
      <c r="BO1460" s="350"/>
      <c r="BP1460" s="350"/>
      <c r="BQ1460" s="350"/>
      <c r="BR1460" s="350"/>
      <c r="BS1460" s="350"/>
      <c r="BT1460" s="350"/>
      <c r="BU1460" s="350"/>
      <c r="BV1460" s="351"/>
    </row>
    <row r="1461" spans="1:74" ht="45" customHeight="1">
      <c r="A1461" s="24">
        <f t="shared" si="5"/>
        <v>1447</v>
      </c>
      <c r="B1461" s="522" t="s">
        <v>294</v>
      </c>
      <c r="C1461" s="351"/>
      <c r="D1461" s="523" t="s">
        <v>298</v>
      </c>
      <c r="E1461" s="351"/>
      <c r="F1461" s="524" t="s">
        <v>325</v>
      </c>
      <c r="G1461" s="351"/>
      <c r="H1461" s="561" t="s">
        <v>325</v>
      </c>
      <c r="I1461" s="351"/>
      <c r="J1461" s="562"/>
      <c r="K1461" s="351"/>
      <c r="L1461" s="562"/>
      <c r="M1461" s="351"/>
      <c r="N1461" s="37"/>
      <c r="O1461" s="38"/>
      <c r="P1461" s="560"/>
      <c r="Q1461" s="351"/>
      <c r="R1461" s="527"/>
      <c r="S1461" s="351"/>
      <c r="T1461" s="528"/>
      <c r="U1461" s="351"/>
      <c r="V1461" s="541"/>
      <c r="W1461" s="351"/>
      <c r="X1461" s="542" t="s">
        <v>294</v>
      </c>
      <c r="Y1461" s="350"/>
      <c r="Z1461" s="350"/>
      <c r="AA1461" s="351"/>
      <c r="AB1461" s="543" t="s">
        <v>294</v>
      </c>
      <c r="AC1461" s="350"/>
      <c r="AD1461" s="350"/>
      <c r="AE1461" s="351"/>
      <c r="AF1461" s="544"/>
      <c r="AG1461" s="351"/>
      <c r="AH1461" s="544"/>
      <c r="AI1461" s="351"/>
      <c r="AJ1461" s="545"/>
      <c r="AK1461" s="351"/>
      <c r="AL1461" s="524" t="s">
        <v>325</v>
      </c>
      <c r="AM1461" s="351"/>
      <c r="AN1461" s="549" t="s">
        <v>325</v>
      </c>
      <c r="AO1461" s="351"/>
      <c r="AP1461" s="550"/>
      <c r="AQ1461" s="351"/>
      <c r="AR1461" s="551"/>
      <c r="AS1461" s="351"/>
      <c r="AT1461" s="552"/>
      <c r="AU1461" s="351"/>
      <c r="AV1461" s="549" t="s">
        <v>325</v>
      </c>
      <c r="AW1461" s="351"/>
      <c r="AX1461" s="553"/>
      <c r="AY1461" s="350"/>
      <c r="AZ1461" s="351"/>
      <c r="BA1461" s="554"/>
      <c r="BB1461" s="351"/>
      <c r="BC1461" s="39"/>
      <c r="BD1461" s="546" t="s">
        <v>325</v>
      </c>
      <c r="BE1461" s="351"/>
      <c r="BF1461" s="547"/>
      <c r="BG1461" s="350"/>
      <c r="BH1461" s="350"/>
      <c r="BI1461" s="351"/>
      <c r="BJ1461" s="548" t="s">
        <v>294</v>
      </c>
      <c r="BK1461" s="350"/>
      <c r="BL1461" s="350"/>
      <c r="BM1461" s="351"/>
      <c r="BN1461" s="530" t="s">
        <v>294</v>
      </c>
      <c r="BO1461" s="350"/>
      <c r="BP1461" s="350"/>
      <c r="BQ1461" s="350"/>
      <c r="BR1461" s="350"/>
      <c r="BS1461" s="350"/>
      <c r="BT1461" s="350"/>
      <c r="BU1461" s="350"/>
      <c r="BV1461" s="351"/>
    </row>
    <row r="1462" spans="1:74" ht="45" customHeight="1">
      <c r="A1462" s="24">
        <f t="shared" si="5"/>
        <v>1448</v>
      </c>
      <c r="B1462" s="558" t="s">
        <v>294</v>
      </c>
      <c r="C1462" s="351"/>
      <c r="D1462" s="559" t="s">
        <v>298</v>
      </c>
      <c r="E1462" s="351"/>
      <c r="F1462" s="524" t="s">
        <v>325</v>
      </c>
      <c r="G1462" s="351"/>
      <c r="H1462" s="525" t="s">
        <v>325</v>
      </c>
      <c r="I1462" s="351"/>
      <c r="J1462" s="40"/>
      <c r="K1462" s="41"/>
      <c r="L1462" s="40"/>
      <c r="M1462" s="41"/>
      <c r="N1462" s="37"/>
      <c r="O1462" s="38"/>
      <c r="P1462" s="560"/>
      <c r="Q1462" s="351"/>
      <c r="R1462" s="527"/>
      <c r="S1462" s="351"/>
      <c r="T1462" s="528"/>
      <c r="U1462" s="351"/>
      <c r="V1462" s="537"/>
      <c r="W1462" s="351"/>
      <c r="X1462" s="538" t="s">
        <v>294</v>
      </c>
      <c r="Y1462" s="350"/>
      <c r="Z1462" s="350"/>
      <c r="AA1462" s="351"/>
      <c r="AB1462" s="539" t="s">
        <v>294</v>
      </c>
      <c r="AC1462" s="350"/>
      <c r="AD1462" s="350"/>
      <c r="AE1462" s="351"/>
      <c r="AF1462" s="540"/>
      <c r="AG1462" s="351"/>
      <c r="AH1462" s="540"/>
      <c r="AI1462" s="351"/>
      <c r="AJ1462" s="545"/>
      <c r="AK1462" s="351"/>
      <c r="AL1462" s="555" t="s">
        <v>325</v>
      </c>
      <c r="AM1462" s="351"/>
      <c r="AN1462" s="531" t="s">
        <v>325</v>
      </c>
      <c r="AO1462" s="351"/>
      <c r="AP1462" s="532"/>
      <c r="AQ1462" s="351"/>
      <c r="AR1462" s="533"/>
      <c r="AS1462" s="351"/>
      <c r="AT1462" s="534"/>
      <c r="AU1462" s="351"/>
      <c r="AV1462" s="531" t="s">
        <v>325</v>
      </c>
      <c r="AW1462" s="351"/>
      <c r="AX1462" s="553"/>
      <c r="AY1462" s="350"/>
      <c r="AZ1462" s="351"/>
      <c r="BA1462" s="545"/>
      <c r="BB1462" s="351"/>
      <c r="BC1462" s="36"/>
      <c r="BD1462" s="556" t="s">
        <v>325</v>
      </c>
      <c r="BE1462" s="351"/>
      <c r="BF1462" s="557"/>
      <c r="BG1462" s="350"/>
      <c r="BH1462" s="350"/>
      <c r="BI1462" s="351"/>
      <c r="BJ1462" s="506" t="s">
        <v>294</v>
      </c>
      <c r="BK1462" s="350"/>
      <c r="BL1462" s="350"/>
      <c r="BM1462" s="351"/>
      <c r="BN1462" s="530" t="s">
        <v>294</v>
      </c>
      <c r="BO1462" s="350"/>
      <c r="BP1462" s="350"/>
      <c r="BQ1462" s="350"/>
      <c r="BR1462" s="350"/>
      <c r="BS1462" s="350"/>
      <c r="BT1462" s="350"/>
      <c r="BU1462" s="350"/>
      <c r="BV1462" s="351"/>
    </row>
    <row r="1463" spans="1:74" ht="45" customHeight="1">
      <c r="A1463" s="24">
        <f t="shared" si="5"/>
        <v>1449</v>
      </c>
      <c r="B1463" s="522" t="s">
        <v>294</v>
      </c>
      <c r="C1463" s="351"/>
      <c r="D1463" s="523" t="s">
        <v>298</v>
      </c>
      <c r="E1463" s="351"/>
      <c r="F1463" s="524" t="s">
        <v>325</v>
      </c>
      <c r="G1463" s="351"/>
      <c r="H1463" s="561" t="s">
        <v>325</v>
      </c>
      <c r="I1463" s="351"/>
      <c r="J1463" s="562"/>
      <c r="K1463" s="351"/>
      <c r="L1463" s="562"/>
      <c r="M1463" s="351"/>
      <c r="N1463" s="34"/>
      <c r="O1463" s="35"/>
      <c r="P1463" s="526"/>
      <c r="Q1463" s="351"/>
      <c r="R1463" s="535"/>
      <c r="S1463" s="351"/>
      <c r="T1463" s="536"/>
      <c r="U1463" s="351"/>
      <c r="V1463" s="541"/>
      <c r="W1463" s="351"/>
      <c r="X1463" s="542" t="s">
        <v>294</v>
      </c>
      <c r="Y1463" s="350"/>
      <c r="Z1463" s="350"/>
      <c r="AA1463" s="351"/>
      <c r="AB1463" s="543" t="s">
        <v>294</v>
      </c>
      <c r="AC1463" s="350"/>
      <c r="AD1463" s="350"/>
      <c r="AE1463" s="351"/>
      <c r="AF1463" s="544"/>
      <c r="AG1463" s="351"/>
      <c r="AH1463" s="544"/>
      <c r="AI1463" s="351"/>
      <c r="AJ1463" s="545"/>
      <c r="AK1463" s="351"/>
      <c r="AL1463" s="524" t="s">
        <v>325</v>
      </c>
      <c r="AM1463" s="351"/>
      <c r="AN1463" s="549" t="s">
        <v>325</v>
      </c>
      <c r="AO1463" s="351"/>
      <c r="AP1463" s="550"/>
      <c r="AQ1463" s="351"/>
      <c r="AR1463" s="551"/>
      <c r="AS1463" s="351"/>
      <c r="AT1463" s="552"/>
      <c r="AU1463" s="351"/>
      <c r="AV1463" s="549" t="s">
        <v>325</v>
      </c>
      <c r="AW1463" s="351"/>
      <c r="AX1463" s="553"/>
      <c r="AY1463" s="350"/>
      <c r="AZ1463" s="351"/>
      <c r="BA1463" s="554"/>
      <c r="BB1463" s="351"/>
      <c r="BC1463" s="39"/>
      <c r="BD1463" s="546" t="s">
        <v>325</v>
      </c>
      <c r="BE1463" s="351"/>
      <c r="BF1463" s="547"/>
      <c r="BG1463" s="350"/>
      <c r="BH1463" s="350"/>
      <c r="BI1463" s="351"/>
      <c r="BJ1463" s="548" t="s">
        <v>294</v>
      </c>
      <c r="BK1463" s="350"/>
      <c r="BL1463" s="350"/>
      <c r="BM1463" s="351"/>
      <c r="BN1463" s="530" t="s">
        <v>294</v>
      </c>
      <c r="BO1463" s="350"/>
      <c r="BP1463" s="350"/>
      <c r="BQ1463" s="350"/>
      <c r="BR1463" s="350"/>
      <c r="BS1463" s="350"/>
      <c r="BT1463" s="350"/>
      <c r="BU1463" s="350"/>
      <c r="BV1463" s="351"/>
    </row>
    <row r="1464" spans="1:74" ht="45" customHeight="1">
      <c r="A1464" s="24">
        <f t="shared" si="5"/>
        <v>1450</v>
      </c>
      <c r="B1464" s="558" t="s">
        <v>294</v>
      </c>
      <c r="C1464" s="351"/>
      <c r="D1464" s="559" t="s">
        <v>298</v>
      </c>
      <c r="E1464" s="351"/>
      <c r="F1464" s="524" t="s">
        <v>325</v>
      </c>
      <c r="G1464" s="351"/>
      <c r="H1464" s="525" t="s">
        <v>325</v>
      </c>
      <c r="I1464" s="351"/>
      <c r="J1464" s="40"/>
      <c r="K1464" s="41"/>
      <c r="L1464" s="40"/>
      <c r="M1464" s="41"/>
      <c r="N1464" s="37"/>
      <c r="O1464" s="38"/>
      <c r="P1464" s="560"/>
      <c r="Q1464" s="351"/>
      <c r="R1464" s="527"/>
      <c r="S1464" s="351"/>
      <c r="T1464" s="528"/>
      <c r="U1464" s="351"/>
      <c r="V1464" s="537"/>
      <c r="W1464" s="351"/>
      <c r="X1464" s="538" t="s">
        <v>294</v>
      </c>
      <c r="Y1464" s="350"/>
      <c r="Z1464" s="350"/>
      <c r="AA1464" s="351"/>
      <c r="AB1464" s="539" t="s">
        <v>294</v>
      </c>
      <c r="AC1464" s="350"/>
      <c r="AD1464" s="350"/>
      <c r="AE1464" s="351"/>
      <c r="AF1464" s="540"/>
      <c r="AG1464" s="351"/>
      <c r="AH1464" s="540"/>
      <c r="AI1464" s="351"/>
      <c r="AJ1464" s="545"/>
      <c r="AK1464" s="351"/>
      <c r="AL1464" s="555" t="s">
        <v>325</v>
      </c>
      <c r="AM1464" s="351"/>
      <c r="AN1464" s="531" t="s">
        <v>325</v>
      </c>
      <c r="AO1464" s="351"/>
      <c r="AP1464" s="532"/>
      <c r="AQ1464" s="351"/>
      <c r="AR1464" s="533"/>
      <c r="AS1464" s="351"/>
      <c r="AT1464" s="534"/>
      <c r="AU1464" s="351"/>
      <c r="AV1464" s="531" t="s">
        <v>325</v>
      </c>
      <c r="AW1464" s="351"/>
      <c r="AX1464" s="553"/>
      <c r="AY1464" s="350"/>
      <c r="AZ1464" s="351"/>
      <c r="BA1464" s="545"/>
      <c r="BB1464" s="351"/>
      <c r="BC1464" s="36"/>
      <c r="BD1464" s="556" t="s">
        <v>325</v>
      </c>
      <c r="BE1464" s="351"/>
      <c r="BF1464" s="529"/>
      <c r="BG1464" s="350"/>
      <c r="BH1464" s="350"/>
      <c r="BI1464" s="351"/>
      <c r="BJ1464" s="506" t="s">
        <v>294</v>
      </c>
      <c r="BK1464" s="350"/>
      <c r="BL1464" s="350"/>
      <c r="BM1464" s="351"/>
      <c r="BN1464" s="530" t="s">
        <v>294</v>
      </c>
      <c r="BO1464" s="350"/>
      <c r="BP1464" s="350"/>
      <c r="BQ1464" s="350"/>
      <c r="BR1464" s="350"/>
      <c r="BS1464" s="350"/>
      <c r="BT1464" s="350"/>
      <c r="BU1464" s="350"/>
      <c r="BV1464" s="351"/>
    </row>
    <row r="1465" spans="1:74" ht="45" customHeight="1">
      <c r="A1465" s="24">
        <f t="shared" si="5"/>
        <v>1451</v>
      </c>
      <c r="B1465" s="522" t="s">
        <v>294</v>
      </c>
      <c r="C1465" s="351"/>
      <c r="D1465" s="523" t="s">
        <v>298</v>
      </c>
      <c r="E1465" s="351"/>
      <c r="F1465" s="524" t="s">
        <v>325</v>
      </c>
      <c r="G1465" s="351"/>
      <c r="H1465" s="561" t="s">
        <v>325</v>
      </c>
      <c r="I1465" s="351"/>
      <c r="J1465" s="562"/>
      <c r="K1465" s="351"/>
      <c r="L1465" s="562"/>
      <c r="M1465" s="351"/>
      <c r="N1465" s="34"/>
      <c r="O1465" s="35"/>
      <c r="P1465" s="526"/>
      <c r="Q1465" s="351"/>
      <c r="R1465" s="535"/>
      <c r="S1465" s="351"/>
      <c r="T1465" s="536"/>
      <c r="U1465" s="351"/>
      <c r="V1465" s="541"/>
      <c r="W1465" s="351"/>
      <c r="X1465" s="542" t="s">
        <v>294</v>
      </c>
      <c r="Y1465" s="350"/>
      <c r="Z1465" s="350"/>
      <c r="AA1465" s="351"/>
      <c r="AB1465" s="543" t="s">
        <v>294</v>
      </c>
      <c r="AC1465" s="350"/>
      <c r="AD1465" s="350"/>
      <c r="AE1465" s="351"/>
      <c r="AF1465" s="544"/>
      <c r="AG1465" s="351"/>
      <c r="AH1465" s="544"/>
      <c r="AI1465" s="351"/>
      <c r="AJ1465" s="545"/>
      <c r="AK1465" s="351"/>
      <c r="AL1465" s="524" t="s">
        <v>325</v>
      </c>
      <c r="AM1465" s="351"/>
      <c r="AN1465" s="549" t="s">
        <v>325</v>
      </c>
      <c r="AO1465" s="351"/>
      <c r="AP1465" s="550"/>
      <c r="AQ1465" s="351"/>
      <c r="AR1465" s="551"/>
      <c r="AS1465" s="351"/>
      <c r="AT1465" s="552"/>
      <c r="AU1465" s="351"/>
      <c r="AV1465" s="549" t="s">
        <v>325</v>
      </c>
      <c r="AW1465" s="351"/>
      <c r="AX1465" s="553"/>
      <c r="AY1465" s="350"/>
      <c r="AZ1465" s="351"/>
      <c r="BA1465" s="554"/>
      <c r="BB1465" s="351"/>
      <c r="BC1465" s="39"/>
      <c r="BD1465" s="546" t="s">
        <v>325</v>
      </c>
      <c r="BE1465" s="351"/>
      <c r="BF1465" s="547"/>
      <c r="BG1465" s="350"/>
      <c r="BH1465" s="350"/>
      <c r="BI1465" s="351"/>
      <c r="BJ1465" s="548" t="s">
        <v>294</v>
      </c>
      <c r="BK1465" s="350"/>
      <c r="BL1465" s="350"/>
      <c r="BM1465" s="351"/>
      <c r="BN1465" s="530" t="s">
        <v>294</v>
      </c>
      <c r="BO1465" s="350"/>
      <c r="BP1465" s="350"/>
      <c r="BQ1465" s="350"/>
      <c r="BR1465" s="350"/>
      <c r="BS1465" s="350"/>
      <c r="BT1465" s="350"/>
      <c r="BU1465" s="350"/>
      <c r="BV1465" s="351"/>
    </row>
    <row r="1466" spans="1:74" ht="45" customHeight="1">
      <c r="A1466" s="24">
        <f t="shared" si="5"/>
        <v>1452</v>
      </c>
      <c r="B1466" s="558" t="s">
        <v>294</v>
      </c>
      <c r="C1466" s="351"/>
      <c r="D1466" s="559" t="s">
        <v>298</v>
      </c>
      <c r="E1466" s="351"/>
      <c r="F1466" s="524" t="s">
        <v>325</v>
      </c>
      <c r="G1466" s="351"/>
      <c r="H1466" s="525" t="s">
        <v>325</v>
      </c>
      <c r="I1466" s="351"/>
      <c r="J1466" s="40"/>
      <c r="K1466" s="41"/>
      <c r="L1466" s="40"/>
      <c r="M1466" s="41"/>
      <c r="N1466" s="37"/>
      <c r="O1466" s="38"/>
      <c r="P1466" s="560"/>
      <c r="Q1466" s="351"/>
      <c r="R1466" s="527"/>
      <c r="S1466" s="351"/>
      <c r="T1466" s="528"/>
      <c r="U1466" s="351"/>
      <c r="V1466" s="537"/>
      <c r="W1466" s="351"/>
      <c r="X1466" s="538" t="s">
        <v>294</v>
      </c>
      <c r="Y1466" s="350"/>
      <c r="Z1466" s="350"/>
      <c r="AA1466" s="351"/>
      <c r="AB1466" s="539" t="s">
        <v>294</v>
      </c>
      <c r="AC1466" s="350"/>
      <c r="AD1466" s="350"/>
      <c r="AE1466" s="351"/>
      <c r="AF1466" s="540"/>
      <c r="AG1466" s="351"/>
      <c r="AH1466" s="540"/>
      <c r="AI1466" s="351"/>
      <c r="AJ1466" s="545"/>
      <c r="AK1466" s="351"/>
      <c r="AL1466" s="555" t="s">
        <v>325</v>
      </c>
      <c r="AM1466" s="351"/>
      <c r="AN1466" s="531" t="s">
        <v>325</v>
      </c>
      <c r="AO1466" s="351"/>
      <c r="AP1466" s="532"/>
      <c r="AQ1466" s="351"/>
      <c r="AR1466" s="533"/>
      <c r="AS1466" s="351"/>
      <c r="AT1466" s="534"/>
      <c r="AU1466" s="351"/>
      <c r="AV1466" s="531" t="s">
        <v>325</v>
      </c>
      <c r="AW1466" s="351"/>
      <c r="AX1466" s="553"/>
      <c r="AY1466" s="350"/>
      <c r="AZ1466" s="351"/>
      <c r="BA1466" s="545"/>
      <c r="BB1466" s="351"/>
      <c r="BC1466" s="36"/>
      <c r="BD1466" s="556" t="s">
        <v>325</v>
      </c>
      <c r="BE1466" s="351"/>
      <c r="BF1466" s="557"/>
      <c r="BG1466" s="350"/>
      <c r="BH1466" s="350"/>
      <c r="BI1466" s="351"/>
      <c r="BJ1466" s="506" t="s">
        <v>294</v>
      </c>
      <c r="BK1466" s="350"/>
      <c r="BL1466" s="350"/>
      <c r="BM1466" s="351"/>
      <c r="BN1466" s="530" t="s">
        <v>294</v>
      </c>
      <c r="BO1466" s="350"/>
      <c r="BP1466" s="350"/>
      <c r="BQ1466" s="350"/>
      <c r="BR1466" s="350"/>
      <c r="BS1466" s="350"/>
      <c r="BT1466" s="350"/>
      <c r="BU1466" s="350"/>
      <c r="BV1466" s="351"/>
    </row>
    <row r="1467" spans="1:74" ht="45" customHeight="1">
      <c r="A1467" s="24">
        <f t="shared" si="5"/>
        <v>1453</v>
      </c>
      <c r="B1467" s="522" t="s">
        <v>294</v>
      </c>
      <c r="C1467" s="351"/>
      <c r="D1467" s="523" t="s">
        <v>298</v>
      </c>
      <c r="E1467" s="351"/>
      <c r="F1467" s="524" t="s">
        <v>325</v>
      </c>
      <c r="G1467" s="351"/>
      <c r="H1467" s="561" t="s">
        <v>325</v>
      </c>
      <c r="I1467" s="351"/>
      <c r="J1467" s="562"/>
      <c r="K1467" s="351"/>
      <c r="L1467" s="562"/>
      <c r="M1467" s="351"/>
      <c r="N1467" s="34"/>
      <c r="O1467" s="35"/>
      <c r="P1467" s="526"/>
      <c r="Q1467" s="351"/>
      <c r="R1467" s="535"/>
      <c r="S1467" s="351"/>
      <c r="T1467" s="536"/>
      <c r="U1467" s="351"/>
      <c r="V1467" s="541"/>
      <c r="W1467" s="351"/>
      <c r="X1467" s="542" t="s">
        <v>294</v>
      </c>
      <c r="Y1467" s="350"/>
      <c r="Z1467" s="350"/>
      <c r="AA1467" s="351"/>
      <c r="AB1467" s="543" t="s">
        <v>294</v>
      </c>
      <c r="AC1467" s="350"/>
      <c r="AD1467" s="350"/>
      <c r="AE1467" s="351"/>
      <c r="AF1467" s="544"/>
      <c r="AG1467" s="351"/>
      <c r="AH1467" s="544"/>
      <c r="AI1467" s="351"/>
      <c r="AJ1467" s="545"/>
      <c r="AK1467" s="351"/>
      <c r="AL1467" s="524" t="s">
        <v>325</v>
      </c>
      <c r="AM1467" s="351"/>
      <c r="AN1467" s="549" t="s">
        <v>325</v>
      </c>
      <c r="AO1467" s="351"/>
      <c r="AP1467" s="550"/>
      <c r="AQ1467" s="351"/>
      <c r="AR1467" s="551"/>
      <c r="AS1467" s="351"/>
      <c r="AT1467" s="534"/>
      <c r="AU1467" s="351"/>
      <c r="AV1467" s="549" t="s">
        <v>325</v>
      </c>
      <c r="AW1467" s="351"/>
      <c r="AX1467" s="553"/>
      <c r="AY1467" s="350"/>
      <c r="AZ1467" s="351"/>
      <c r="BA1467" s="554"/>
      <c r="BB1467" s="351"/>
      <c r="BC1467" s="39"/>
      <c r="BD1467" s="546" t="s">
        <v>325</v>
      </c>
      <c r="BE1467" s="351"/>
      <c r="BF1467" s="547"/>
      <c r="BG1467" s="350"/>
      <c r="BH1467" s="350"/>
      <c r="BI1467" s="351"/>
      <c r="BJ1467" s="548" t="s">
        <v>294</v>
      </c>
      <c r="BK1467" s="350"/>
      <c r="BL1467" s="350"/>
      <c r="BM1467" s="351"/>
      <c r="BN1467" s="530" t="s">
        <v>294</v>
      </c>
      <c r="BO1467" s="350"/>
      <c r="BP1467" s="350"/>
      <c r="BQ1467" s="350"/>
      <c r="BR1467" s="350"/>
      <c r="BS1467" s="350"/>
      <c r="BT1467" s="350"/>
      <c r="BU1467" s="350"/>
      <c r="BV1467" s="351"/>
    </row>
    <row r="1468" spans="1:74" ht="45" customHeight="1">
      <c r="A1468" s="24">
        <f t="shared" si="5"/>
        <v>1454</v>
      </c>
      <c r="B1468" s="558" t="s">
        <v>294</v>
      </c>
      <c r="C1468" s="351"/>
      <c r="D1468" s="559" t="s">
        <v>298</v>
      </c>
      <c r="E1468" s="351"/>
      <c r="F1468" s="524" t="s">
        <v>325</v>
      </c>
      <c r="G1468" s="351"/>
      <c r="H1468" s="525" t="s">
        <v>325</v>
      </c>
      <c r="I1468" s="351"/>
      <c r="J1468" s="40"/>
      <c r="K1468" s="41"/>
      <c r="L1468" s="40"/>
      <c r="M1468" s="41"/>
      <c r="N1468" s="37"/>
      <c r="O1468" s="38"/>
      <c r="P1468" s="560"/>
      <c r="Q1468" s="351"/>
      <c r="R1468" s="527"/>
      <c r="S1468" s="351"/>
      <c r="T1468" s="528"/>
      <c r="U1468" s="351"/>
      <c r="V1468" s="537"/>
      <c r="W1468" s="351"/>
      <c r="X1468" s="538" t="s">
        <v>294</v>
      </c>
      <c r="Y1468" s="350"/>
      <c r="Z1468" s="350"/>
      <c r="AA1468" s="351"/>
      <c r="AB1468" s="539" t="s">
        <v>294</v>
      </c>
      <c r="AC1468" s="350"/>
      <c r="AD1468" s="350"/>
      <c r="AE1468" s="351"/>
      <c r="AF1468" s="540"/>
      <c r="AG1468" s="351"/>
      <c r="AH1468" s="540"/>
      <c r="AI1468" s="351"/>
      <c r="AJ1468" s="545"/>
      <c r="AK1468" s="351"/>
      <c r="AL1468" s="555" t="s">
        <v>325</v>
      </c>
      <c r="AM1468" s="351"/>
      <c r="AN1468" s="531" t="s">
        <v>325</v>
      </c>
      <c r="AO1468" s="351"/>
      <c r="AP1468" s="532"/>
      <c r="AQ1468" s="351"/>
      <c r="AR1468" s="533"/>
      <c r="AS1468" s="351"/>
      <c r="AT1468" s="534"/>
      <c r="AU1468" s="351"/>
      <c r="AV1468" s="531" t="s">
        <v>325</v>
      </c>
      <c r="AW1468" s="351"/>
      <c r="AX1468" s="553"/>
      <c r="AY1468" s="350"/>
      <c r="AZ1468" s="351"/>
      <c r="BA1468" s="545"/>
      <c r="BB1468" s="351"/>
      <c r="BC1468" s="36"/>
      <c r="BD1468" s="556" t="s">
        <v>325</v>
      </c>
      <c r="BE1468" s="351"/>
      <c r="BF1468" s="557"/>
      <c r="BG1468" s="350"/>
      <c r="BH1468" s="350"/>
      <c r="BI1468" s="351"/>
      <c r="BJ1468" s="506" t="s">
        <v>294</v>
      </c>
      <c r="BK1468" s="350"/>
      <c r="BL1468" s="350"/>
      <c r="BM1468" s="351"/>
      <c r="BN1468" s="530" t="s">
        <v>294</v>
      </c>
      <c r="BO1468" s="350"/>
      <c r="BP1468" s="350"/>
      <c r="BQ1468" s="350"/>
      <c r="BR1468" s="350"/>
      <c r="BS1468" s="350"/>
      <c r="BT1468" s="350"/>
      <c r="BU1468" s="350"/>
      <c r="BV1468" s="351"/>
    </row>
    <row r="1469" spans="1:74" ht="45" customHeight="1">
      <c r="A1469" s="24">
        <f t="shared" si="5"/>
        <v>1455</v>
      </c>
      <c r="B1469" s="522" t="s">
        <v>294</v>
      </c>
      <c r="C1469" s="351"/>
      <c r="D1469" s="523" t="s">
        <v>298</v>
      </c>
      <c r="E1469" s="351"/>
      <c r="F1469" s="524" t="s">
        <v>325</v>
      </c>
      <c r="G1469" s="351"/>
      <c r="H1469" s="561" t="s">
        <v>325</v>
      </c>
      <c r="I1469" s="351"/>
      <c r="J1469" s="562"/>
      <c r="K1469" s="351"/>
      <c r="L1469" s="562"/>
      <c r="M1469" s="351"/>
      <c r="N1469" s="34"/>
      <c r="O1469" s="35"/>
      <c r="P1469" s="526"/>
      <c r="Q1469" s="351"/>
      <c r="R1469" s="535"/>
      <c r="S1469" s="351"/>
      <c r="T1469" s="536"/>
      <c r="U1469" s="351"/>
      <c r="V1469" s="541"/>
      <c r="W1469" s="351"/>
      <c r="X1469" s="542" t="s">
        <v>294</v>
      </c>
      <c r="Y1469" s="350"/>
      <c r="Z1469" s="350"/>
      <c r="AA1469" s="351"/>
      <c r="AB1469" s="543" t="s">
        <v>294</v>
      </c>
      <c r="AC1469" s="350"/>
      <c r="AD1469" s="350"/>
      <c r="AE1469" s="351"/>
      <c r="AF1469" s="544"/>
      <c r="AG1469" s="351"/>
      <c r="AH1469" s="544"/>
      <c r="AI1469" s="351"/>
      <c r="AJ1469" s="545"/>
      <c r="AK1469" s="351"/>
      <c r="AL1469" s="524" t="s">
        <v>325</v>
      </c>
      <c r="AM1469" s="351"/>
      <c r="AN1469" s="549" t="s">
        <v>325</v>
      </c>
      <c r="AO1469" s="351"/>
      <c r="AP1469" s="550"/>
      <c r="AQ1469" s="351"/>
      <c r="AR1469" s="551"/>
      <c r="AS1469" s="351"/>
      <c r="AT1469" s="534"/>
      <c r="AU1469" s="351"/>
      <c r="AV1469" s="549" t="s">
        <v>325</v>
      </c>
      <c r="AW1469" s="351"/>
      <c r="AX1469" s="553"/>
      <c r="AY1469" s="350"/>
      <c r="AZ1469" s="351"/>
      <c r="BA1469" s="554"/>
      <c r="BB1469" s="351"/>
      <c r="BC1469" s="39"/>
      <c r="BD1469" s="546" t="s">
        <v>325</v>
      </c>
      <c r="BE1469" s="351"/>
      <c r="BF1469" s="547"/>
      <c r="BG1469" s="350"/>
      <c r="BH1469" s="350"/>
      <c r="BI1469" s="351"/>
      <c r="BJ1469" s="548" t="s">
        <v>294</v>
      </c>
      <c r="BK1469" s="350"/>
      <c r="BL1469" s="350"/>
      <c r="BM1469" s="351"/>
      <c r="BN1469" s="530" t="s">
        <v>294</v>
      </c>
      <c r="BO1469" s="350"/>
      <c r="BP1469" s="350"/>
      <c r="BQ1469" s="350"/>
      <c r="BR1469" s="350"/>
      <c r="BS1469" s="350"/>
      <c r="BT1469" s="350"/>
      <c r="BU1469" s="350"/>
      <c r="BV1469" s="351"/>
    </row>
    <row r="1470" spans="1:74" ht="45" customHeight="1">
      <c r="A1470" s="24">
        <f t="shared" si="5"/>
        <v>1456</v>
      </c>
      <c r="B1470" s="558" t="s">
        <v>294</v>
      </c>
      <c r="C1470" s="351"/>
      <c r="D1470" s="559" t="s">
        <v>298</v>
      </c>
      <c r="E1470" s="351"/>
      <c r="F1470" s="524" t="s">
        <v>325</v>
      </c>
      <c r="G1470" s="351"/>
      <c r="H1470" s="525" t="s">
        <v>325</v>
      </c>
      <c r="I1470" s="351"/>
      <c r="J1470" s="40"/>
      <c r="K1470" s="41"/>
      <c r="L1470" s="40"/>
      <c r="M1470" s="41"/>
      <c r="N1470" s="37"/>
      <c r="O1470" s="38"/>
      <c r="P1470" s="560"/>
      <c r="Q1470" s="351"/>
      <c r="R1470" s="527"/>
      <c r="S1470" s="351"/>
      <c r="T1470" s="528"/>
      <c r="U1470" s="351"/>
      <c r="V1470" s="537"/>
      <c r="W1470" s="351"/>
      <c r="X1470" s="538" t="s">
        <v>294</v>
      </c>
      <c r="Y1470" s="350"/>
      <c r="Z1470" s="350"/>
      <c r="AA1470" s="351"/>
      <c r="AB1470" s="539" t="s">
        <v>294</v>
      </c>
      <c r="AC1470" s="350"/>
      <c r="AD1470" s="350"/>
      <c r="AE1470" s="351"/>
      <c r="AF1470" s="540"/>
      <c r="AG1470" s="351"/>
      <c r="AH1470" s="540"/>
      <c r="AI1470" s="351"/>
      <c r="AJ1470" s="545"/>
      <c r="AK1470" s="351"/>
      <c r="AL1470" s="555" t="s">
        <v>325</v>
      </c>
      <c r="AM1470" s="351"/>
      <c r="AN1470" s="531" t="s">
        <v>325</v>
      </c>
      <c r="AO1470" s="351"/>
      <c r="AP1470" s="532"/>
      <c r="AQ1470" s="351"/>
      <c r="AR1470" s="533"/>
      <c r="AS1470" s="351"/>
      <c r="AT1470" s="534"/>
      <c r="AU1470" s="351"/>
      <c r="AV1470" s="531" t="s">
        <v>325</v>
      </c>
      <c r="AW1470" s="351"/>
      <c r="AX1470" s="553"/>
      <c r="AY1470" s="350"/>
      <c r="AZ1470" s="351"/>
      <c r="BA1470" s="545"/>
      <c r="BB1470" s="351"/>
      <c r="BC1470" s="36"/>
      <c r="BD1470" s="556" t="s">
        <v>325</v>
      </c>
      <c r="BE1470" s="351"/>
      <c r="BF1470" s="557"/>
      <c r="BG1470" s="350"/>
      <c r="BH1470" s="350"/>
      <c r="BI1470" s="351"/>
      <c r="BJ1470" s="506" t="s">
        <v>294</v>
      </c>
      <c r="BK1470" s="350"/>
      <c r="BL1470" s="350"/>
      <c r="BM1470" s="351"/>
      <c r="BN1470" s="530" t="s">
        <v>294</v>
      </c>
      <c r="BO1470" s="350"/>
      <c r="BP1470" s="350"/>
      <c r="BQ1470" s="350"/>
      <c r="BR1470" s="350"/>
      <c r="BS1470" s="350"/>
      <c r="BT1470" s="350"/>
      <c r="BU1470" s="350"/>
      <c r="BV1470" s="351"/>
    </row>
    <row r="1471" spans="1:74" ht="45" customHeight="1">
      <c r="A1471" s="24">
        <f t="shared" si="5"/>
        <v>1457</v>
      </c>
      <c r="B1471" s="522" t="s">
        <v>294</v>
      </c>
      <c r="C1471" s="351"/>
      <c r="D1471" s="523" t="s">
        <v>298</v>
      </c>
      <c r="E1471" s="351"/>
      <c r="F1471" s="524" t="s">
        <v>325</v>
      </c>
      <c r="G1471" s="351"/>
      <c r="H1471" s="561" t="s">
        <v>325</v>
      </c>
      <c r="I1471" s="351"/>
      <c r="J1471" s="562"/>
      <c r="K1471" s="351"/>
      <c r="L1471" s="562"/>
      <c r="M1471" s="351"/>
      <c r="N1471" s="34"/>
      <c r="O1471" s="35"/>
      <c r="P1471" s="526"/>
      <c r="Q1471" s="351"/>
      <c r="R1471" s="535"/>
      <c r="S1471" s="351"/>
      <c r="T1471" s="536"/>
      <c r="U1471" s="351"/>
      <c r="V1471" s="541"/>
      <c r="W1471" s="351"/>
      <c r="X1471" s="542" t="s">
        <v>294</v>
      </c>
      <c r="Y1471" s="350"/>
      <c r="Z1471" s="350"/>
      <c r="AA1471" s="351"/>
      <c r="AB1471" s="543" t="s">
        <v>294</v>
      </c>
      <c r="AC1471" s="350"/>
      <c r="AD1471" s="350"/>
      <c r="AE1471" s="351"/>
      <c r="AF1471" s="544"/>
      <c r="AG1471" s="351"/>
      <c r="AH1471" s="544"/>
      <c r="AI1471" s="351"/>
      <c r="AJ1471" s="545"/>
      <c r="AK1471" s="351"/>
      <c r="AL1471" s="524" t="s">
        <v>325</v>
      </c>
      <c r="AM1471" s="351"/>
      <c r="AN1471" s="549" t="s">
        <v>325</v>
      </c>
      <c r="AO1471" s="351"/>
      <c r="AP1471" s="550"/>
      <c r="AQ1471" s="351"/>
      <c r="AR1471" s="551"/>
      <c r="AS1471" s="351"/>
      <c r="AT1471" s="552"/>
      <c r="AU1471" s="351"/>
      <c r="AV1471" s="549" t="s">
        <v>325</v>
      </c>
      <c r="AW1471" s="351"/>
      <c r="AX1471" s="553"/>
      <c r="AY1471" s="350"/>
      <c r="AZ1471" s="351"/>
      <c r="BA1471" s="554"/>
      <c r="BB1471" s="351"/>
      <c r="BC1471" s="39"/>
      <c r="BD1471" s="546" t="s">
        <v>325</v>
      </c>
      <c r="BE1471" s="351"/>
      <c r="BF1471" s="547"/>
      <c r="BG1471" s="350"/>
      <c r="BH1471" s="350"/>
      <c r="BI1471" s="351"/>
      <c r="BJ1471" s="548" t="s">
        <v>294</v>
      </c>
      <c r="BK1471" s="350"/>
      <c r="BL1471" s="350"/>
      <c r="BM1471" s="351"/>
      <c r="BN1471" s="530" t="s">
        <v>294</v>
      </c>
      <c r="BO1471" s="350"/>
      <c r="BP1471" s="350"/>
      <c r="BQ1471" s="350"/>
      <c r="BR1471" s="350"/>
      <c r="BS1471" s="350"/>
      <c r="BT1471" s="350"/>
      <c r="BU1471" s="350"/>
      <c r="BV1471" s="351"/>
    </row>
    <row r="1472" spans="1:74" ht="45" customHeight="1">
      <c r="A1472" s="24">
        <f t="shared" si="5"/>
        <v>1458</v>
      </c>
      <c r="B1472" s="558" t="s">
        <v>294</v>
      </c>
      <c r="C1472" s="351"/>
      <c r="D1472" s="559" t="s">
        <v>298</v>
      </c>
      <c r="E1472" s="351"/>
      <c r="F1472" s="524" t="s">
        <v>325</v>
      </c>
      <c r="G1472" s="351"/>
      <c r="H1472" s="525" t="s">
        <v>325</v>
      </c>
      <c r="I1472" s="351"/>
      <c r="J1472" s="40"/>
      <c r="K1472" s="41"/>
      <c r="L1472" s="40"/>
      <c r="M1472" s="41"/>
      <c r="N1472" s="37"/>
      <c r="O1472" s="38"/>
      <c r="P1472" s="560"/>
      <c r="Q1472" s="351"/>
      <c r="R1472" s="527"/>
      <c r="S1472" s="351"/>
      <c r="T1472" s="528"/>
      <c r="U1472" s="351"/>
      <c r="V1472" s="537"/>
      <c r="W1472" s="351"/>
      <c r="X1472" s="538" t="s">
        <v>294</v>
      </c>
      <c r="Y1472" s="350"/>
      <c r="Z1472" s="350"/>
      <c r="AA1472" s="351"/>
      <c r="AB1472" s="539" t="s">
        <v>294</v>
      </c>
      <c r="AC1472" s="350"/>
      <c r="AD1472" s="350"/>
      <c r="AE1472" s="351"/>
      <c r="AF1472" s="540"/>
      <c r="AG1472" s="351"/>
      <c r="AH1472" s="540"/>
      <c r="AI1472" s="351"/>
      <c r="AJ1472" s="545"/>
      <c r="AK1472" s="351"/>
      <c r="AL1472" s="555" t="s">
        <v>325</v>
      </c>
      <c r="AM1472" s="351"/>
      <c r="AN1472" s="531" t="s">
        <v>325</v>
      </c>
      <c r="AO1472" s="351"/>
      <c r="AP1472" s="532"/>
      <c r="AQ1472" s="351"/>
      <c r="AR1472" s="533"/>
      <c r="AS1472" s="351"/>
      <c r="AT1472" s="534"/>
      <c r="AU1472" s="351"/>
      <c r="AV1472" s="531" t="s">
        <v>325</v>
      </c>
      <c r="AW1472" s="351"/>
      <c r="AX1472" s="553"/>
      <c r="AY1472" s="350"/>
      <c r="AZ1472" s="351"/>
      <c r="BA1472" s="545"/>
      <c r="BB1472" s="351"/>
      <c r="BC1472" s="36"/>
      <c r="BD1472" s="556" t="s">
        <v>325</v>
      </c>
      <c r="BE1472" s="351"/>
      <c r="BF1472" s="529"/>
      <c r="BG1472" s="350"/>
      <c r="BH1472" s="350"/>
      <c r="BI1472" s="351"/>
      <c r="BJ1472" s="506" t="s">
        <v>294</v>
      </c>
      <c r="BK1472" s="350"/>
      <c r="BL1472" s="350"/>
      <c r="BM1472" s="351"/>
      <c r="BN1472" s="530" t="s">
        <v>294</v>
      </c>
      <c r="BO1472" s="350"/>
      <c r="BP1472" s="350"/>
      <c r="BQ1472" s="350"/>
      <c r="BR1472" s="350"/>
      <c r="BS1472" s="350"/>
      <c r="BT1472" s="350"/>
      <c r="BU1472" s="350"/>
      <c r="BV1472" s="351"/>
    </row>
    <row r="1473" spans="1:74" ht="45" customHeight="1">
      <c r="A1473" s="24">
        <f t="shared" si="5"/>
        <v>1459</v>
      </c>
      <c r="B1473" s="522" t="s">
        <v>294</v>
      </c>
      <c r="C1473" s="351"/>
      <c r="D1473" s="523" t="s">
        <v>298</v>
      </c>
      <c r="E1473" s="351"/>
      <c r="F1473" s="524" t="s">
        <v>325</v>
      </c>
      <c r="G1473" s="351"/>
      <c r="H1473" s="561" t="s">
        <v>325</v>
      </c>
      <c r="I1473" s="351"/>
      <c r="J1473" s="562"/>
      <c r="K1473" s="351"/>
      <c r="L1473" s="562"/>
      <c r="M1473" s="351"/>
      <c r="N1473" s="34"/>
      <c r="O1473" s="35"/>
      <c r="P1473" s="526"/>
      <c r="Q1473" s="351"/>
      <c r="R1473" s="535"/>
      <c r="S1473" s="351"/>
      <c r="T1473" s="536"/>
      <c r="U1473" s="351"/>
      <c r="V1473" s="541"/>
      <c r="W1473" s="351"/>
      <c r="X1473" s="542" t="s">
        <v>294</v>
      </c>
      <c r="Y1473" s="350"/>
      <c r="Z1473" s="350"/>
      <c r="AA1473" s="351"/>
      <c r="AB1473" s="543" t="s">
        <v>294</v>
      </c>
      <c r="AC1473" s="350"/>
      <c r="AD1473" s="350"/>
      <c r="AE1473" s="351"/>
      <c r="AF1473" s="544"/>
      <c r="AG1473" s="351"/>
      <c r="AH1473" s="544"/>
      <c r="AI1473" s="351"/>
      <c r="AJ1473" s="545"/>
      <c r="AK1473" s="351"/>
      <c r="AL1473" s="524" t="s">
        <v>325</v>
      </c>
      <c r="AM1473" s="351"/>
      <c r="AN1473" s="549" t="s">
        <v>325</v>
      </c>
      <c r="AO1473" s="351"/>
      <c r="AP1473" s="550"/>
      <c r="AQ1473" s="351"/>
      <c r="AR1473" s="551"/>
      <c r="AS1473" s="351"/>
      <c r="AT1473" s="552"/>
      <c r="AU1473" s="351"/>
      <c r="AV1473" s="549" t="s">
        <v>325</v>
      </c>
      <c r="AW1473" s="351"/>
      <c r="AX1473" s="553"/>
      <c r="AY1473" s="350"/>
      <c r="AZ1473" s="351"/>
      <c r="BA1473" s="554"/>
      <c r="BB1473" s="351"/>
      <c r="BC1473" s="39"/>
      <c r="BD1473" s="546" t="s">
        <v>325</v>
      </c>
      <c r="BE1473" s="351"/>
      <c r="BF1473" s="547"/>
      <c r="BG1473" s="350"/>
      <c r="BH1473" s="350"/>
      <c r="BI1473" s="351"/>
      <c r="BJ1473" s="548" t="s">
        <v>294</v>
      </c>
      <c r="BK1473" s="350"/>
      <c r="BL1473" s="350"/>
      <c r="BM1473" s="351"/>
      <c r="BN1473" s="530" t="s">
        <v>294</v>
      </c>
      <c r="BO1473" s="350"/>
      <c r="BP1473" s="350"/>
      <c r="BQ1473" s="350"/>
      <c r="BR1473" s="350"/>
      <c r="BS1473" s="350"/>
      <c r="BT1473" s="350"/>
      <c r="BU1473" s="350"/>
      <c r="BV1473" s="351"/>
    </row>
    <row r="1474" spans="1:74" ht="45" customHeight="1">
      <c r="A1474" s="24">
        <f t="shared" si="5"/>
        <v>1460</v>
      </c>
      <c r="B1474" s="558" t="s">
        <v>294</v>
      </c>
      <c r="C1474" s="351"/>
      <c r="D1474" s="559" t="s">
        <v>298</v>
      </c>
      <c r="E1474" s="351"/>
      <c r="F1474" s="524" t="s">
        <v>325</v>
      </c>
      <c r="G1474" s="351"/>
      <c r="H1474" s="525" t="s">
        <v>325</v>
      </c>
      <c r="I1474" s="351"/>
      <c r="J1474" s="40"/>
      <c r="K1474" s="41"/>
      <c r="L1474" s="40"/>
      <c r="M1474" s="41"/>
      <c r="N1474" s="37"/>
      <c r="O1474" s="38"/>
      <c r="P1474" s="560"/>
      <c r="Q1474" s="351"/>
      <c r="R1474" s="527"/>
      <c r="S1474" s="351"/>
      <c r="T1474" s="528"/>
      <c r="U1474" s="351"/>
      <c r="V1474" s="537"/>
      <c r="W1474" s="351"/>
      <c r="X1474" s="538" t="s">
        <v>294</v>
      </c>
      <c r="Y1474" s="350"/>
      <c r="Z1474" s="350"/>
      <c r="AA1474" s="351"/>
      <c r="AB1474" s="539" t="s">
        <v>294</v>
      </c>
      <c r="AC1474" s="350"/>
      <c r="AD1474" s="350"/>
      <c r="AE1474" s="351"/>
      <c r="AF1474" s="540"/>
      <c r="AG1474" s="351"/>
      <c r="AH1474" s="540"/>
      <c r="AI1474" s="351"/>
      <c r="AJ1474" s="545"/>
      <c r="AK1474" s="351"/>
      <c r="AL1474" s="555" t="s">
        <v>325</v>
      </c>
      <c r="AM1474" s="351"/>
      <c r="AN1474" s="531" t="s">
        <v>325</v>
      </c>
      <c r="AO1474" s="351"/>
      <c r="AP1474" s="532"/>
      <c r="AQ1474" s="351"/>
      <c r="AR1474" s="533"/>
      <c r="AS1474" s="351"/>
      <c r="AT1474" s="534"/>
      <c r="AU1474" s="351"/>
      <c r="AV1474" s="531" t="s">
        <v>325</v>
      </c>
      <c r="AW1474" s="351"/>
      <c r="AX1474" s="553"/>
      <c r="AY1474" s="350"/>
      <c r="AZ1474" s="351"/>
      <c r="BA1474" s="545"/>
      <c r="BB1474" s="351"/>
      <c r="BC1474" s="36"/>
      <c r="BD1474" s="556" t="s">
        <v>325</v>
      </c>
      <c r="BE1474" s="351"/>
      <c r="BF1474" s="557"/>
      <c r="BG1474" s="350"/>
      <c r="BH1474" s="350"/>
      <c r="BI1474" s="351"/>
      <c r="BJ1474" s="506" t="s">
        <v>294</v>
      </c>
      <c r="BK1474" s="350"/>
      <c r="BL1474" s="350"/>
      <c r="BM1474" s="351"/>
      <c r="BN1474" s="530" t="s">
        <v>294</v>
      </c>
      <c r="BO1474" s="350"/>
      <c r="BP1474" s="350"/>
      <c r="BQ1474" s="350"/>
      <c r="BR1474" s="350"/>
      <c r="BS1474" s="350"/>
      <c r="BT1474" s="350"/>
      <c r="BU1474" s="350"/>
      <c r="BV1474" s="351"/>
    </row>
    <row r="1475" spans="1:74" ht="45" customHeight="1">
      <c r="A1475" s="24">
        <f t="shared" si="5"/>
        <v>1461</v>
      </c>
      <c r="B1475" s="522" t="s">
        <v>294</v>
      </c>
      <c r="C1475" s="351"/>
      <c r="D1475" s="523" t="s">
        <v>298</v>
      </c>
      <c r="E1475" s="351"/>
      <c r="F1475" s="524" t="s">
        <v>325</v>
      </c>
      <c r="G1475" s="351"/>
      <c r="H1475" s="561" t="s">
        <v>325</v>
      </c>
      <c r="I1475" s="351"/>
      <c r="J1475" s="562"/>
      <c r="K1475" s="351"/>
      <c r="L1475" s="562"/>
      <c r="M1475" s="351"/>
      <c r="N1475" s="34"/>
      <c r="O1475" s="35"/>
      <c r="P1475" s="526"/>
      <c r="Q1475" s="351"/>
      <c r="R1475" s="535"/>
      <c r="S1475" s="351"/>
      <c r="T1475" s="536"/>
      <c r="U1475" s="351"/>
      <c r="V1475" s="541"/>
      <c r="W1475" s="351"/>
      <c r="X1475" s="542" t="s">
        <v>294</v>
      </c>
      <c r="Y1475" s="350"/>
      <c r="Z1475" s="350"/>
      <c r="AA1475" s="351"/>
      <c r="AB1475" s="543" t="s">
        <v>294</v>
      </c>
      <c r="AC1475" s="350"/>
      <c r="AD1475" s="350"/>
      <c r="AE1475" s="351"/>
      <c r="AF1475" s="544"/>
      <c r="AG1475" s="351"/>
      <c r="AH1475" s="544"/>
      <c r="AI1475" s="351"/>
      <c r="AJ1475" s="545"/>
      <c r="AK1475" s="351"/>
      <c r="AL1475" s="524" t="s">
        <v>325</v>
      </c>
      <c r="AM1475" s="351"/>
      <c r="AN1475" s="549" t="s">
        <v>325</v>
      </c>
      <c r="AO1475" s="351"/>
      <c r="AP1475" s="550"/>
      <c r="AQ1475" s="351"/>
      <c r="AR1475" s="551"/>
      <c r="AS1475" s="351"/>
      <c r="AT1475" s="552"/>
      <c r="AU1475" s="351"/>
      <c r="AV1475" s="549" t="s">
        <v>325</v>
      </c>
      <c r="AW1475" s="351"/>
      <c r="AX1475" s="553"/>
      <c r="AY1475" s="350"/>
      <c r="AZ1475" s="351"/>
      <c r="BA1475" s="554"/>
      <c r="BB1475" s="351"/>
      <c r="BC1475" s="39"/>
      <c r="BD1475" s="546" t="s">
        <v>325</v>
      </c>
      <c r="BE1475" s="351"/>
      <c r="BF1475" s="547"/>
      <c r="BG1475" s="350"/>
      <c r="BH1475" s="350"/>
      <c r="BI1475" s="351"/>
      <c r="BJ1475" s="548" t="s">
        <v>294</v>
      </c>
      <c r="BK1475" s="350"/>
      <c r="BL1475" s="350"/>
      <c r="BM1475" s="351"/>
      <c r="BN1475" s="530" t="s">
        <v>294</v>
      </c>
      <c r="BO1475" s="350"/>
      <c r="BP1475" s="350"/>
      <c r="BQ1475" s="350"/>
      <c r="BR1475" s="350"/>
      <c r="BS1475" s="350"/>
      <c r="BT1475" s="350"/>
      <c r="BU1475" s="350"/>
      <c r="BV1475" s="351"/>
    </row>
    <row r="1476" spans="1:74" ht="45" customHeight="1">
      <c r="A1476" s="24">
        <f t="shared" si="5"/>
        <v>1462</v>
      </c>
      <c r="B1476" s="558" t="s">
        <v>294</v>
      </c>
      <c r="C1476" s="351"/>
      <c r="D1476" s="559" t="s">
        <v>298</v>
      </c>
      <c r="E1476" s="351"/>
      <c r="F1476" s="524" t="s">
        <v>325</v>
      </c>
      <c r="G1476" s="351"/>
      <c r="H1476" s="525" t="s">
        <v>325</v>
      </c>
      <c r="I1476" s="351"/>
      <c r="J1476" s="40"/>
      <c r="K1476" s="41"/>
      <c r="L1476" s="40"/>
      <c r="M1476" s="41"/>
      <c r="N1476" s="34"/>
      <c r="O1476" s="35"/>
      <c r="P1476" s="526"/>
      <c r="Q1476" s="351"/>
      <c r="R1476" s="535"/>
      <c r="S1476" s="351"/>
      <c r="T1476" s="536"/>
      <c r="U1476" s="351"/>
      <c r="V1476" s="537"/>
      <c r="W1476" s="351"/>
      <c r="X1476" s="538" t="s">
        <v>294</v>
      </c>
      <c r="Y1476" s="350"/>
      <c r="Z1476" s="350"/>
      <c r="AA1476" s="351"/>
      <c r="AB1476" s="539" t="s">
        <v>294</v>
      </c>
      <c r="AC1476" s="350"/>
      <c r="AD1476" s="350"/>
      <c r="AE1476" s="351"/>
      <c r="AF1476" s="540"/>
      <c r="AG1476" s="351"/>
      <c r="AH1476" s="540"/>
      <c r="AI1476" s="351"/>
      <c r="AJ1476" s="545"/>
      <c r="AK1476" s="351"/>
      <c r="AL1476" s="555" t="s">
        <v>325</v>
      </c>
      <c r="AM1476" s="351"/>
      <c r="AN1476" s="531" t="s">
        <v>325</v>
      </c>
      <c r="AO1476" s="351"/>
      <c r="AP1476" s="532"/>
      <c r="AQ1476" s="351"/>
      <c r="AR1476" s="533"/>
      <c r="AS1476" s="351"/>
      <c r="AT1476" s="534"/>
      <c r="AU1476" s="351"/>
      <c r="AV1476" s="531" t="s">
        <v>325</v>
      </c>
      <c r="AW1476" s="351"/>
      <c r="AX1476" s="553"/>
      <c r="AY1476" s="350"/>
      <c r="AZ1476" s="351"/>
      <c r="BA1476" s="545"/>
      <c r="BB1476" s="351"/>
      <c r="BC1476" s="36"/>
      <c r="BD1476" s="556" t="s">
        <v>325</v>
      </c>
      <c r="BE1476" s="351"/>
      <c r="BF1476" s="557"/>
      <c r="BG1476" s="350"/>
      <c r="BH1476" s="350"/>
      <c r="BI1476" s="351"/>
      <c r="BJ1476" s="506" t="s">
        <v>294</v>
      </c>
      <c r="BK1476" s="350"/>
      <c r="BL1476" s="350"/>
      <c r="BM1476" s="351"/>
      <c r="BN1476" s="530" t="s">
        <v>294</v>
      </c>
      <c r="BO1476" s="350"/>
      <c r="BP1476" s="350"/>
      <c r="BQ1476" s="350"/>
      <c r="BR1476" s="350"/>
      <c r="BS1476" s="350"/>
      <c r="BT1476" s="350"/>
      <c r="BU1476" s="350"/>
      <c r="BV1476" s="351"/>
    </row>
    <row r="1477" spans="1:74" ht="45" customHeight="1">
      <c r="A1477" s="24">
        <f t="shared" si="5"/>
        <v>1463</v>
      </c>
      <c r="B1477" s="522" t="s">
        <v>294</v>
      </c>
      <c r="C1477" s="351"/>
      <c r="D1477" s="523" t="s">
        <v>298</v>
      </c>
      <c r="E1477" s="351"/>
      <c r="F1477" s="524" t="s">
        <v>325</v>
      </c>
      <c r="G1477" s="351"/>
      <c r="H1477" s="561" t="s">
        <v>325</v>
      </c>
      <c r="I1477" s="351"/>
      <c r="J1477" s="562"/>
      <c r="K1477" s="351"/>
      <c r="L1477" s="562"/>
      <c r="M1477" s="351"/>
      <c r="N1477" s="37"/>
      <c r="O1477" s="38"/>
      <c r="P1477" s="560"/>
      <c r="Q1477" s="351"/>
      <c r="R1477" s="527"/>
      <c r="S1477" s="351"/>
      <c r="T1477" s="528"/>
      <c r="U1477" s="351"/>
      <c r="V1477" s="541"/>
      <c r="W1477" s="351"/>
      <c r="X1477" s="542" t="s">
        <v>294</v>
      </c>
      <c r="Y1477" s="350"/>
      <c r="Z1477" s="350"/>
      <c r="AA1477" s="351"/>
      <c r="AB1477" s="543" t="s">
        <v>294</v>
      </c>
      <c r="AC1477" s="350"/>
      <c r="AD1477" s="350"/>
      <c r="AE1477" s="351"/>
      <c r="AF1477" s="544"/>
      <c r="AG1477" s="351"/>
      <c r="AH1477" s="544"/>
      <c r="AI1477" s="351"/>
      <c r="AJ1477" s="545"/>
      <c r="AK1477" s="351"/>
      <c r="AL1477" s="524" t="s">
        <v>325</v>
      </c>
      <c r="AM1477" s="351"/>
      <c r="AN1477" s="549" t="s">
        <v>325</v>
      </c>
      <c r="AO1477" s="351"/>
      <c r="AP1477" s="550"/>
      <c r="AQ1477" s="351"/>
      <c r="AR1477" s="551"/>
      <c r="AS1477" s="351"/>
      <c r="AT1477" s="552"/>
      <c r="AU1477" s="351"/>
      <c r="AV1477" s="549" t="s">
        <v>325</v>
      </c>
      <c r="AW1477" s="351"/>
      <c r="AX1477" s="553"/>
      <c r="AY1477" s="350"/>
      <c r="AZ1477" s="351"/>
      <c r="BA1477" s="554"/>
      <c r="BB1477" s="351"/>
      <c r="BC1477" s="39"/>
      <c r="BD1477" s="546" t="s">
        <v>325</v>
      </c>
      <c r="BE1477" s="351"/>
      <c r="BF1477" s="547"/>
      <c r="BG1477" s="350"/>
      <c r="BH1477" s="350"/>
      <c r="BI1477" s="351"/>
      <c r="BJ1477" s="548" t="s">
        <v>294</v>
      </c>
      <c r="BK1477" s="350"/>
      <c r="BL1477" s="350"/>
      <c r="BM1477" s="351"/>
      <c r="BN1477" s="530" t="s">
        <v>294</v>
      </c>
      <c r="BO1477" s="350"/>
      <c r="BP1477" s="350"/>
      <c r="BQ1477" s="350"/>
      <c r="BR1477" s="350"/>
      <c r="BS1477" s="350"/>
      <c r="BT1477" s="350"/>
      <c r="BU1477" s="350"/>
      <c r="BV1477" s="351"/>
    </row>
    <row r="1478" spans="1:74" ht="45" customHeight="1">
      <c r="A1478" s="24">
        <f t="shared" si="5"/>
        <v>1464</v>
      </c>
      <c r="B1478" s="558" t="s">
        <v>294</v>
      </c>
      <c r="C1478" s="351"/>
      <c r="D1478" s="559" t="s">
        <v>298</v>
      </c>
      <c r="E1478" s="351"/>
      <c r="F1478" s="524" t="s">
        <v>325</v>
      </c>
      <c r="G1478" s="351"/>
      <c r="H1478" s="525" t="s">
        <v>325</v>
      </c>
      <c r="I1478" s="351"/>
      <c r="J1478" s="40"/>
      <c r="K1478" s="41"/>
      <c r="L1478" s="40"/>
      <c r="M1478" s="41"/>
      <c r="N1478" s="34"/>
      <c r="O1478" s="35"/>
      <c r="P1478" s="526"/>
      <c r="Q1478" s="351"/>
      <c r="R1478" s="535"/>
      <c r="S1478" s="351"/>
      <c r="T1478" s="536"/>
      <c r="U1478" s="351"/>
      <c r="V1478" s="537"/>
      <c r="W1478" s="351"/>
      <c r="X1478" s="538" t="s">
        <v>294</v>
      </c>
      <c r="Y1478" s="350"/>
      <c r="Z1478" s="350"/>
      <c r="AA1478" s="351"/>
      <c r="AB1478" s="539" t="s">
        <v>294</v>
      </c>
      <c r="AC1478" s="350"/>
      <c r="AD1478" s="350"/>
      <c r="AE1478" s="351"/>
      <c r="AF1478" s="540"/>
      <c r="AG1478" s="351"/>
      <c r="AH1478" s="540"/>
      <c r="AI1478" s="351"/>
      <c r="AJ1478" s="545"/>
      <c r="AK1478" s="351"/>
      <c r="AL1478" s="555" t="s">
        <v>325</v>
      </c>
      <c r="AM1478" s="351"/>
      <c r="AN1478" s="531" t="s">
        <v>325</v>
      </c>
      <c r="AO1478" s="351"/>
      <c r="AP1478" s="532"/>
      <c r="AQ1478" s="351"/>
      <c r="AR1478" s="533"/>
      <c r="AS1478" s="351"/>
      <c r="AT1478" s="534"/>
      <c r="AU1478" s="351"/>
      <c r="AV1478" s="531" t="s">
        <v>325</v>
      </c>
      <c r="AW1478" s="351"/>
      <c r="AX1478" s="553"/>
      <c r="AY1478" s="350"/>
      <c r="AZ1478" s="351"/>
      <c r="BA1478" s="545"/>
      <c r="BB1478" s="351"/>
      <c r="BC1478" s="36"/>
      <c r="BD1478" s="556" t="s">
        <v>325</v>
      </c>
      <c r="BE1478" s="351"/>
      <c r="BF1478" s="529"/>
      <c r="BG1478" s="350"/>
      <c r="BH1478" s="350"/>
      <c r="BI1478" s="351"/>
      <c r="BJ1478" s="506" t="s">
        <v>294</v>
      </c>
      <c r="BK1478" s="350"/>
      <c r="BL1478" s="350"/>
      <c r="BM1478" s="351"/>
      <c r="BN1478" s="530" t="s">
        <v>294</v>
      </c>
      <c r="BO1478" s="350"/>
      <c r="BP1478" s="350"/>
      <c r="BQ1478" s="350"/>
      <c r="BR1478" s="350"/>
      <c r="BS1478" s="350"/>
      <c r="BT1478" s="350"/>
      <c r="BU1478" s="350"/>
      <c r="BV1478" s="351"/>
    </row>
    <row r="1479" spans="1:74" ht="45" customHeight="1">
      <c r="A1479" s="24">
        <f t="shared" si="5"/>
        <v>1465</v>
      </c>
      <c r="B1479" s="522" t="s">
        <v>294</v>
      </c>
      <c r="C1479" s="351"/>
      <c r="D1479" s="523" t="s">
        <v>298</v>
      </c>
      <c r="E1479" s="351"/>
      <c r="F1479" s="524" t="s">
        <v>325</v>
      </c>
      <c r="G1479" s="351"/>
      <c r="H1479" s="561" t="s">
        <v>325</v>
      </c>
      <c r="I1479" s="351"/>
      <c r="J1479" s="562"/>
      <c r="K1479" s="351"/>
      <c r="L1479" s="562"/>
      <c r="M1479" s="351"/>
      <c r="N1479" s="37"/>
      <c r="O1479" s="38"/>
      <c r="P1479" s="560"/>
      <c r="Q1479" s="351"/>
      <c r="R1479" s="527"/>
      <c r="S1479" s="351"/>
      <c r="T1479" s="528"/>
      <c r="U1479" s="351"/>
      <c r="V1479" s="541"/>
      <c r="W1479" s="351"/>
      <c r="X1479" s="542" t="s">
        <v>294</v>
      </c>
      <c r="Y1479" s="350"/>
      <c r="Z1479" s="350"/>
      <c r="AA1479" s="351"/>
      <c r="AB1479" s="543" t="s">
        <v>294</v>
      </c>
      <c r="AC1479" s="350"/>
      <c r="AD1479" s="350"/>
      <c r="AE1479" s="351"/>
      <c r="AF1479" s="544"/>
      <c r="AG1479" s="351"/>
      <c r="AH1479" s="544"/>
      <c r="AI1479" s="351"/>
      <c r="AJ1479" s="545"/>
      <c r="AK1479" s="351"/>
      <c r="AL1479" s="524" t="s">
        <v>325</v>
      </c>
      <c r="AM1479" s="351"/>
      <c r="AN1479" s="549" t="s">
        <v>325</v>
      </c>
      <c r="AO1479" s="351"/>
      <c r="AP1479" s="550"/>
      <c r="AQ1479" s="351"/>
      <c r="AR1479" s="551"/>
      <c r="AS1479" s="351"/>
      <c r="AT1479" s="552"/>
      <c r="AU1479" s="351"/>
      <c r="AV1479" s="549" t="s">
        <v>325</v>
      </c>
      <c r="AW1479" s="351"/>
      <c r="AX1479" s="553"/>
      <c r="AY1479" s="350"/>
      <c r="AZ1479" s="351"/>
      <c r="BA1479" s="554"/>
      <c r="BB1479" s="351"/>
      <c r="BC1479" s="39"/>
      <c r="BD1479" s="546" t="s">
        <v>325</v>
      </c>
      <c r="BE1479" s="351"/>
      <c r="BF1479" s="547"/>
      <c r="BG1479" s="350"/>
      <c r="BH1479" s="350"/>
      <c r="BI1479" s="351"/>
      <c r="BJ1479" s="548" t="s">
        <v>294</v>
      </c>
      <c r="BK1479" s="350"/>
      <c r="BL1479" s="350"/>
      <c r="BM1479" s="351"/>
      <c r="BN1479" s="530" t="s">
        <v>294</v>
      </c>
      <c r="BO1479" s="350"/>
      <c r="BP1479" s="350"/>
      <c r="BQ1479" s="350"/>
      <c r="BR1479" s="350"/>
      <c r="BS1479" s="350"/>
      <c r="BT1479" s="350"/>
      <c r="BU1479" s="350"/>
      <c r="BV1479" s="351"/>
    </row>
    <row r="1480" spans="1:74" ht="45" customHeight="1">
      <c r="A1480" s="24">
        <f t="shared" si="5"/>
        <v>1466</v>
      </c>
      <c r="B1480" s="558" t="s">
        <v>294</v>
      </c>
      <c r="C1480" s="351"/>
      <c r="D1480" s="559" t="s">
        <v>298</v>
      </c>
      <c r="E1480" s="351"/>
      <c r="F1480" s="524" t="s">
        <v>325</v>
      </c>
      <c r="G1480" s="351"/>
      <c r="H1480" s="525" t="s">
        <v>325</v>
      </c>
      <c r="I1480" s="351"/>
      <c r="J1480" s="40"/>
      <c r="K1480" s="41"/>
      <c r="L1480" s="40"/>
      <c r="M1480" s="41"/>
      <c r="N1480" s="34"/>
      <c r="O1480" s="35"/>
      <c r="P1480" s="526"/>
      <c r="Q1480" s="351"/>
      <c r="R1480" s="535"/>
      <c r="S1480" s="351"/>
      <c r="T1480" s="536"/>
      <c r="U1480" s="351"/>
      <c r="V1480" s="537"/>
      <c r="W1480" s="351"/>
      <c r="X1480" s="538" t="s">
        <v>294</v>
      </c>
      <c r="Y1480" s="350"/>
      <c r="Z1480" s="350"/>
      <c r="AA1480" s="351"/>
      <c r="AB1480" s="539" t="s">
        <v>294</v>
      </c>
      <c r="AC1480" s="350"/>
      <c r="AD1480" s="350"/>
      <c r="AE1480" s="351"/>
      <c r="AF1480" s="540"/>
      <c r="AG1480" s="351"/>
      <c r="AH1480" s="540"/>
      <c r="AI1480" s="351"/>
      <c r="AJ1480" s="545"/>
      <c r="AK1480" s="351"/>
      <c r="AL1480" s="555" t="s">
        <v>325</v>
      </c>
      <c r="AM1480" s="351"/>
      <c r="AN1480" s="531" t="s">
        <v>325</v>
      </c>
      <c r="AO1480" s="351"/>
      <c r="AP1480" s="532"/>
      <c r="AQ1480" s="351"/>
      <c r="AR1480" s="533"/>
      <c r="AS1480" s="351"/>
      <c r="AT1480" s="534"/>
      <c r="AU1480" s="351"/>
      <c r="AV1480" s="531" t="s">
        <v>325</v>
      </c>
      <c r="AW1480" s="351"/>
      <c r="AX1480" s="553"/>
      <c r="AY1480" s="350"/>
      <c r="AZ1480" s="351"/>
      <c r="BA1480" s="545"/>
      <c r="BB1480" s="351"/>
      <c r="BC1480" s="36"/>
      <c r="BD1480" s="556" t="s">
        <v>325</v>
      </c>
      <c r="BE1480" s="351"/>
      <c r="BF1480" s="557"/>
      <c r="BG1480" s="350"/>
      <c r="BH1480" s="350"/>
      <c r="BI1480" s="351"/>
      <c r="BJ1480" s="506" t="s">
        <v>294</v>
      </c>
      <c r="BK1480" s="350"/>
      <c r="BL1480" s="350"/>
      <c r="BM1480" s="351"/>
      <c r="BN1480" s="530" t="s">
        <v>294</v>
      </c>
      <c r="BO1480" s="350"/>
      <c r="BP1480" s="350"/>
      <c r="BQ1480" s="350"/>
      <c r="BR1480" s="350"/>
      <c r="BS1480" s="350"/>
      <c r="BT1480" s="350"/>
      <c r="BU1480" s="350"/>
      <c r="BV1480" s="351"/>
    </row>
    <row r="1481" spans="1:74" ht="45" customHeight="1">
      <c r="A1481" s="24">
        <f t="shared" si="5"/>
        <v>1467</v>
      </c>
      <c r="B1481" s="522" t="s">
        <v>294</v>
      </c>
      <c r="C1481" s="351"/>
      <c r="D1481" s="523" t="s">
        <v>298</v>
      </c>
      <c r="E1481" s="351"/>
      <c r="F1481" s="524" t="s">
        <v>325</v>
      </c>
      <c r="G1481" s="351"/>
      <c r="H1481" s="561" t="s">
        <v>325</v>
      </c>
      <c r="I1481" s="351"/>
      <c r="J1481" s="562"/>
      <c r="K1481" s="351"/>
      <c r="L1481" s="562"/>
      <c r="M1481" s="351"/>
      <c r="N1481" s="37"/>
      <c r="O1481" s="38"/>
      <c r="P1481" s="560"/>
      <c r="Q1481" s="351"/>
      <c r="R1481" s="527"/>
      <c r="S1481" s="351"/>
      <c r="T1481" s="528"/>
      <c r="U1481" s="351"/>
      <c r="V1481" s="541"/>
      <c r="W1481" s="351"/>
      <c r="X1481" s="542" t="s">
        <v>294</v>
      </c>
      <c r="Y1481" s="350"/>
      <c r="Z1481" s="350"/>
      <c r="AA1481" s="351"/>
      <c r="AB1481" s="543" t="s">
        <v>294</v>
      </c>
      <c r="AC1481" s="350"/>
      <c r="AD1481" s="350"/>
      <c r="AE1481" s="351"/>
      <c r="AF1481" s="544"/>
      <c r="AG1481" s="351"/>
      <c r="AH1481" s="544"/>
      <c r="AI1481" s="351"/>
      <c r="AJ1481" s="545"/>
      <c r="AK1481" s="351"/>
      <c r="AL1481" s="524" t="s">
        <v>325</v>
      </c>
      <c r="AM1481" s="351"/>
      <c r="AN1481" s="549" t="s">
        <v>325</v>
      </c>
      <c r="AO1481" s="351"/>
      <c r="AP1481" s="550"/>
      <c r="AQ1481" s="351"/>
      <c r="AR1481" s="551"/>
      <c r="AS1481" s="351"/>
      <c r="AT1481" s="534"/>
      <c r="AU1481" s="351"/>
      <c r="AV1481" s="549" t="s">
        <v>325</v>
      </c>
      <c r="AW1481" s="351"/>
      <c r="AX1481" s="553"/>
      <c r="AY1481" s="350"/>
      <c r="AZ1481" s="351"/>
      <c r="BA1481" s="554"/>
      <c r="BB1481" s="351"/>
      <c r="BC1481" s="39"/>
      <c r="BD1481" s="546" t="s">
        <v>325</v>
      </c>
      <c r="BE1481" s="351"/>
      <c r="BF1481" s="547"/>
      <c r="BG1481" s="350"/>
      <c r="BH1481" s="350"/>
      <c r="BI1481" s="351"/>
      <c r="BJ1481" s="548" t="s">
        <v>294</v>
      </c>
      <c r="BK1481" s="350"/>
      <c r="BL1481" s="350"/>
      <c r="BM1481" s="351"/>
      <c r="BN1481" s="530" t="s">
        <v>294</v>
      </c>
      <c r="BO1481" s="350"/>
      <c r="BP1481" s="350"/>
      <c r="BQ1481" s="350"/>
      <c r="BR1481" s="350"/>
      <c r="BS1481" s="350"/>
      <c r="BT1481" s="350"/>
      <c r="BU1481" s="350"/>
      <c r="BV1481" s="351"/>
    </row>
    <row r="1482" spans="1:74" ht="45" customHeight="1">
      <c r="A1482" s="24">
        <f t="shared" si="5"/>
        <v>1468</v>
      </c>
      <c r="B1482" s="558" t="s">
        <v>294</v>
      </c>
      <c r="C1482" s="351"/>
      <c r="D1482" s="559" t="s">
        <v>298</v>
      </c>
      <c r="E1482" s="351"/>
      <c r="F1482" s="524" t="s">
        <v>325</v>
      </c>
      <c r="G1482" s="351"/>
      <c r="H1482" s="525" t="s">
        <v>325</v>
      </c>
      <c r="I1482" s="351"/>
      <c r="J1482" s="40"/>
      <c r="K1482" s="41"/>
      <c r="L1482" s="40"/>
      <c r="M1482" s="41"/>
      <c r="N1482" s="34"/>
      <c r="O1482" s="35"/>
      <c r="P1482" s="526"/>
      <c r="Q1482" s="351"/>
      <c r="R1482" s="535"/>
      <c r="S1482" s="351"/>
      <c r="T1482" s="536"/>
      <c r="U1482" s="351"/>
      <c r="V1482" s="537"/>
      <c r="W1482" s="351"/>
      <c r="X1482" s="538" t="s">
        <v>294</v>
      </c>
      <c r="Y1482" s="350"/>
      <c r="Z1482" s="350"/>
      <c r="AA1482" s="351"/>
      <c r="AB1482" s="539" t="s">
        <v>294</v>
      </c>
      <c r="AC1482" s="350"/>
      <c r="AD1482" s="350"/>
      <c r="AE1482" s="351"/>
      <c r="AF1482" s="540"/>
      <c r="AG1482" s="351"/>
      <c r="AH1482" s="540"/>
      <c r="AI1482" s="351"/>
      <c r="AJ1482" s="545"/>
      <c r="AK1482" s="351"/>
      <c r="AL1482" s="555" t="s">
        <v>325</v>
      </c>
      <c r="AM1482" s="351"/>
      <c r="AN1482" s="531" t="s">
        <v>325</v>
      </c>
      <c r="AO1482" s="351"/>
      <c r="AP1482" s="532"/>
      <c r="AQ1482" s="351"/>
      <c r="AR1482" s="533"/>
      <c r="AS1482" s="351"/>
      <c r="AT1482" s="534"/>
      <c r="AU1482" s="351"/>
      <c r="AV1482" s="531" t="s">
        <v>325</v>
      </c>
      <c r="AW1482" s="351"/>
      <c r="AX1482" s="553"/>
      <c r="AY1482" s="350"/>
      <c r="AZ1482" s="351"/>
      <c r="BA1482" s="545"/>
      <c r="BB1482" s="351"/>
      <c r="BC1482" s="36"/>
      <c r="BD1482" s="556" t="s">
        <v>325</v>
      </c>
      <c r="BE1482" s="351"/>
      <c r="BF1482" s="557"/>
      <c r="BG1482" s="350"/>
      <c r="BH1482" s="350"/>
      <c r="BI1482" s="351"/>
      <c r="BJ1482" s="506" t="s">
        <v>294</v>
      </c>
      <c r="BK1482" s="350"/>
      <c r="BL1482" s="350"/>
      <c r="BM1482" s="351"/>
      <c r="BN1482" s="530" t="s">
        <v>294</v>
      </c>
      <c r="BO1482" s="350"/>
      <c r="BP1482" s="350"/>
      <c r="BQ1482" s="350"/>
      <c r="BR1482" s="350"/>
      <c r="BS1482" s="350"/>
      <c r="BT1482" s="350"/>
      <c r="BU1482" s="350"/>
      <c r="BV1482" s="351"/>
    </row>
    <row r="1483" spans="1:74" ht="45" customHeight="1">
      <c r="A1483" s="24">
        <f t="shared" si="5"/>
        <v>1469</v>
      </c>
      <c r="B1483" s="522" t="s">
        <v>294</v>
      </c>
      <c r="C1483" s="351"/>
      <c r="D1483" s="523" t="s">
        <v>298</v>
      </c>
      <c r="E1483" s="351"/>
      <c r="F1483" s="524" t="s">
        <v>325</v>
      </c>
      <c r="G1483" s="351"/>
      <c r="H1483" s="561" t="s">
        <v>325</v>
      </c>
      <c r="I1483" s="351"/>
      <c r="J1483" s="562"/>
      <c r="K1483" s="351"/>
      <c r="L1483" s="562"/>
      <c r="M1483" s="351"/>
      <c r="N1483" s="34"/>
      <c r="O1483" s="35"/>
      <c r="P1483" s="526"/>
      <c r="Q1483" s="351"/>
      <c r="R1483" s="527"/>
      <c r="S1483" s="351"/>
      <c r="T1483" s="528"/>
      <c r="U1483" s="351"/>
      <c r="V1483" s="541"/>
      <c r="W1483" s="351"/>
      <c r="X1483" s="542" t="s">
        <v>294</v>
      </c>
      <c r="Y1483" s="350"/>
      <c r="Z1483" s="350"/>
      <c r="AA1483" s="351"/>
      <c r="AB1483" s="543" t="s">
        <v>294</v>
      </c>
      <c r="AC1483" s="350"/>
      <c r="AD1483" s="350"/>
      <c r="AE1483" s="351"/>
      <c r="AF1483" s="544"/>
      <c r="AG1483" s="351"/>
      <c r="AH1483" s="544"/>
      <c r="AI1483" s="351"/>
      <c r="AJ1483" s="545"/>
      <c r="AK1483" s="351"/>
      <c r="AL1483" s="524" t="s">
        <v>325</v>
      </c>
      <c r="AM1483" s="351"/>
      <c r="AN1483" s="549" t="s">
        <v>325</v>
      </c>
      <c r="AO1483" s="351"/>
      <c r="AP1483" s="550"/>
      <c r="AQ1483" s="351"/>
      <c r="AR1483" s="551"/>
      <c r="AS1483" s="351"/>
      <c r="AT1483" s="534"/>
      <c r="AU1483" s="351"/>
      <c r="AV1483" s="549" t="s">
        <v>325</v>
      </c>
      <c r="AW1483" s="351"/>
      <c r="AX1483" s="553"/>
      <c r="AY1483" s="350"/>
      <c r="AZ1483" s="351"/>
      <c r="BA1483" s="554"/>
      <c r="BB1483" s="351"/>
      <c r="BC1483" s="39"/>
      <c r="BD1483" s="546" t="s">
        <v>325</v>
      </c>
      <c r="BE1483" s="351"/>
      <c r="BF1483" s="547"/>
      <c r="BG1483" s="350"/>
      <c r="BH1483" s="350"/>
      <c r="BI1483" s="351"/>
      <c r="BJ1483" s="548" t="s">
        <v>294</v>
      </c>
      <c r="BK1483" s="350"/>
      <c r="BL1483" s="350"/>
      <c r="BM1483" s="351"/>
      <c r="BN1483" s="530" t="s">
        <v>294</v>
      </c>
      <c r="BO1483" s="350"/>
      <c r="BP1483" s="350"/>
      <c r="BQ1483" s="350"/>
      <c r="BR1483" s="350"/>
      <c r="BS1483" s="350"/>
      <c r="BT1483" s="350"/>
      <c r="BU1483" s="350"/>
      <c r="BV1483" s="351"/>
    </row>
    <row r="1484" spans="1:74" ht="45" customHeight="1">
      <c r="A1484" s="24">
        <f t="shared" si="5"/>
        <v>1470</v>
      </c>
      <c r="B1484" s="558" t="s">
        <v>294</v>
      </c>
      <c r="C1484" s="351"/>
      <c r="D1484" s="559" t="s">
        <v>298</v>
      </c>
      <c r="E1484" s="351"/>
      <c r="F1484" s="524" t="s">
        <v>325</v>
      </c>
      <c r="G1484" s="351"/>
      <c r="H1484" s="525" t="s">
        <v>325</v>
      </c>
      <c r="I1484" s="351"/>
      <c r="J1484" s="40"/>
      <c r="K1484" s="41"/>
      <c r="L1484" s="40"/>
      <c r="M1484" s="41"/>
      <c r="N1484" s="37"/>
      <c r="O1484" s="38"/>
      <c r="P1484" s="560"/>
      <c r="Q1484" s="351"/>
      <c r="R1484" s="535"/>
      <c r="S1484" s="351"/>
      <c r="T1484" s="536"/>
      <c r="U1484" s="351"/>
      <c r="V1484" s="537"/>
      <c r="W1484" s="351"/>
      <c r="X1484" s="538" t="s">
        <v>294</v>
      </c>
      <c r="Y1484" s="350"/>
      <c r="Z1484" s="350"/>
      <c r="AA1484" s="351"/>
      <c r="AB1484" s="539" t="s">
        <v>294</v>
      </c>
      <c r="AC1484" s="350"/>
      <c r="AD1484" s="350"/>
      <c r="AE1484" s="351"/>
      <c r="AF1484" s="540"/>
      <c r="AG1484" s="351"/>
      <c r="AH1484" s="540"/>
      <c r="AI1484" s="351"/>
      <c r="AJ1484" s="545"/>
      <c r="AK1484" s="351"/>
      <c r="AL1484" s="555" t="s">
        <v>325</v>
      </c>
      <c r="AM1484" s="351"/>
      <c r="AN1484" s="531" t="s">
        <v>325</v>
      </c>
      <c r="AO1484" s="351"/>
      <c r="AP1484" s="532"/>
      <c r="AQ1484" s="351"/>
      <c r="AR1484" s="533"/>
      <c r="AS1484" s="351"/>
      <c r="AT1484" s="534"/>
      <c r="AU1484" s="351"/>
      <c r="AV1484" s="531" t="s">
        <v>325</v>
      </c>
      <c r="AW1484" s="351"/>
      <c r="AX1484" s="553"/>
      <c r="AY1484" s="350"/>
      <c r="AZ1484" s="351"/>
      <c r="BA1484" s="545"/>
      <c r="BB1484" s="351"/>
      <c r="BC1484" s="36"/>
      <c r="BD1484" s="556" t="s">
        <v>325</v>
      </c>
      <c r="BE1484" s="351"/>
      <c r="BF1484" s="557"/>
      <c r="BG1484" s="350"/>
      <c r="BH1484" s="350"/>
      <c r="BI1484" s="351"/>
      <c r="BJ1484" s="506" t="s">
        <v>294</v>
      </c>
      <c r="BK1484" s="350"/>
      <c r="BL1484" s="350"/>
      <c r="BM1484" s="351"/>
      <c r="BN1484" s="530" t="s">
        <v>294</v>
      </c>
      <c r="BO1484" s="350"/>
      <c r="BP1484" s="350"/>
      <c r="BQ1484" s="350"/>
      <c r="BR1484" s="350"/>
      <c r="BS1484" s="350"/>
      <c r="BT1484" s="350"/>
      <c r="BU1484" s="350"/>
      <c r="BV1484" s="351"/>
    </row>
    <row r="1485" spans="1:74" ht="45" customHeight="1">
      <c r="A1485" s="24">
        <f t="shared" si="5"/>
        <v>1471</v>
      </c>
      <c r="B1485" s="522" t="s">
        <v>294</v>
      </c>
      <c r="C1485" s="351"/>
      <c r="D1485" s="523" t="s">
        <v>298</v>
      </c>
      <c r="E1485" s="351"/>
      <c r="F1485" s="524" t="s">
        <v>325</v>
      </c>
      <c r="G1485" s="351"/>
      <c r="H1485" s="561" t="s">
        <v>325</v>
      </c>
      <c r="I1485" s="351"/>
      <c r="J1485" s="562"/>
      <c r="K1485" s="351"/>
      <c r="L1485" s="562"/>
      <c r="M1485" s="351"/>
      <c r="N1485" s="34"/>
      <c r="O1485" s="38"/>
      <c r="P1485" s="526"/>
      <c r="Q1485" s="351"/>
      <c r="R1485" s="527"/>
      <c r="S1485" s="351"/>
      <c r="T1485" s="528"/>
      <c r="U1485" s="351"/>
      <c r="V1485" s="541"/>
      <c r="W1485" s="351"/>
      <c r="X1485" s="542" t="s">
        <v>294</v>
      </c>
      <c r="Y1485" s="350"/>
      <c r="Z1485" s="350"/>
      <c r="AA1485" s="351"/>
      <c r="AB1485" s="543" t="s">
        <v>294</v>
      </c>
      <c r="AC1485" s="350"/>
      <c r="AD1485" s="350"/>
      <c r="AE1485" s="351"/>
      <c r="AF1485" s="544"/>
      <c r="AG1485" s="351"/>
      <c r="AH1485" s="544"/>
      <c r="AI1485" s="351"/>
      <c r="AJ1485" s="545"/>
      <c r="AK1485" s="351"/>
      <c r="AL1485" s="524" t="s">
        <v>325</v>
      </c>
      <c r="AM1485" s="351"/>
      <c r="AN1485" s="549" t="s">
        <v>325</v>
      </c>
      <c r="AO1485" s="351"/>
      <c r="AP1485" s="550"/>
      <c r="AQ1485" s="351"/>
      <c r="AR1485" s="551"/>
      <c r="AS1485" s="351"/>
      <c r="AT1485" s="552"/>
      <c r="AU1485" s="351"/>
      <c r="AV1485" s="549" t="s">
        <v>325</v>
      </c>
      <c r="AW1485" s="351"/>
      <c r="AX1485" s="553"/>
      <c r="AY1485" s="350"/>
      <c r="AZ1485" s="351"/>
      <c r="BA1485" s="554"/>
      <c r="BB1485" s="351"/>
      <c r="BC1485" s="39"/>
      <c r="BD1485" s="546" t="s">
        <v>325</v>
      </c>
      <c r="BE1485" s="351"/>
      <c r="BF1485" s="547"/>
      <c r="BG1485" s="350"/>
      <c r="BH1485" s="350"/>
      <c r="BI1485" s="351"/>
      <c r="BJ1485" s="548" t="s">
        <v>294</v>
      </c>
      <c r="BK1485" s="350"/>
      <c r="BL1485" s="350"/>
      <c r="BM1485" s="351"/>
      <c r="BN1485" s="530" t="s">
        <v>294</v>
      </c>
      <c r="BO1485" s="350"/>
      <c r="BP1485" s="350"/>
      <c r="BQ1485" s="350"/>
      <c r="BR1485" s="350"/>
      <c r="BS1485" s="350"/>
      <c r="BT1485" s="350"/>
      <c r="BU1485" s="350"/>
      <c r="BV1485" s="351"/>
    </row>
    <row r="1486" spans="1:74" ht="45" customHeight="1">
      <c r="A1486" s="24">
        <f t="shared" si="5"/>
        <v>1472</v>
      </c>
      <c r="B1486" s="558" t="s">
        <v>294</v>
      </c>
      <c r="C1486" s="351"/>
      <c r="D1486" s="559" t="s">
        <v>298</v>
      </c>
      <c r="E1486" s="351"/>
      <c r="F1486" s="524" t="s">
        <v>325</v>
      </c>
      <c r="G1486" s="351"/>
      <c r="H1486" s="525" t="s">
        <v>325</v>
      </c>
      <c r="I1486" s="351"/>
      <c r="J1486" s="40"/>
      <c r="K1486" s="41"/>
      <c r="L1486" s="40"/>
      <c r="M1486" s="41"/>
      <c r="N1486" s="37"/>
      <c r="O1486" s="35"/>
      <c r="P1486" s="560"/>
      <c r="Q1486" s="351"/>
      <c r="R1486" s="535"/>
      <c r="S1486" s="351"/>
      <c r="T1486" s="536"/>
      <c r="U1486" s="351"/>
      <c r="V1486" s="537"/>
      <c r="W1486" s="351"/>
      <c r="X1486" s="538" t="s">
        <v>294</v>
      </c>
      <c r="Y1486" s="350"/>
      <c r="Z1486" s="350"/>
      <c r="AA1486" s="351"/>
      <c r="AB1486" s="539" t="s">
        <v>294</v>
      </c>
      <c r="AC1486" s="350"/>
      <c r="AD1486" s="350"/>
      <c r="AE1486" s="351"/>
      <c r="AF1486" s="540"/>
      <c r="AG1486" s="351"/>
      <c r="AH1486" s="540"/>
      <c r="AI1486" s="351"/>
      <c r="AJ1486" s="545"/>
      <c r="AK1486" s="351"/>
      <c r="AL1486" s="555" t="s">
        <v>325</v>
      </c>
      <c r="AM1486" s="351"/>
      <c r="AN1486" s="531" t="s">
        <v>325</v>
      </c>
      <c r="AO1486" s="351"/>
      <c r="AP1486" s="532"/>
      <c r="AQ1486" s="351"/>
      <c r="AR1486" s="533"/>
      <c r="AS1486" s="351"/>
      <c r="AT1486" s="534"/>
      <c r="AU1486" s="351"/>
      <c r="AV1486" s="531" t="s">
        <v>325</v>
      </c>
      <c r="AW1486" s="351"/>
      <c r="AX1486" s="553"/>
      <c r="AY1486" s="350"/>
      <c r="AZ1486" s="351"/>
      <c r="BA1486" s="545"/>
      <c r="BB1486" s="351"/>
      <c r="BC1486" s="36"/>
      <c r="BD1486" s="556" t="s">
        <v>325</v>
      </c>
      <c r="BE1486" s="351"/>
      <c r="BF1486" s="529"/>
      <c r="BG1486" s="350"/>
      <c r="BH1486" s="350"/>
      <c r="BI1486" s="351"/>
      <c r="BJ1486" s="506" t="s">
        <v>294</v>
      </c>
      <c r="BK1486" s="350"/>
      <c r="BL1486" s="350"/>
      <c r="BM1486" s="351"/>
      <c r="BN1486" s="530" t="s">
        <v>294</v>
      </c>
      <c r="BO1486" s="350"/>
      <c r="BP1486" s="350"/>
      <c r="BQ1486" s="350"/>
      <c r="BR1486" s="350"/>
      <c r="BS1486" s="350"/>
      <c r="BT1486" s="350"/>
      <c r="BU1486" s="350"/>
      <c r="BV1486" s="351"/>
    </row>
    <row r="1487" spans="1:74" ht="45" customHeight="1">
      <c r="A1487" s="24">
        <f t="shared" si="5"/>
        <v>1473</v>
      </c>
      <c r="B1487" s="522" t="s">
        <v>294</v>
      </c>
      <c r="C1487" s="351"/>
      <c r="D1487" s="523" t="s">
        <v>298</v>
      </c>
      <c r="E1487" s="351"/>
      <c r="F1487" s="524" t="s">
        <v>325</v>
      </c>
      <c r="G1487" s="351"/>
      <c r="H1487" s="561" t="s">
        <v>325</v>
      </c>
      <c r="I1487" s="351"/>
      <c r="J1487" s="562"/>
      <c r="K1487" s="351"/>
      <c r="L1487" s="562"/>
      <c r="M1487" s="351"/>
      <c r="N1487" s="34"/>
      <c r="O1487" s="38"/>
      <c r="P1487" s="526"/>
      <c r="Q1487" s="351"/>
      <c r="R1487" s="527"/>
      <c r="S1487" s="351"/>
      <c r="T1487" s="528"/>
      <c r="U1487" s="351"/>
      <c r="V1487" s="541"/>
      <c r="W1487" s="351"/>
      <c r="X1487" s="542" t="s">
        <v>294</v>
      </c>
      <c r="Y1487" s="350"/>
      <c r="Z1487" s="350"/>
      <c r="AA1487" s="351"/>
      <c r="AB1487" s="543" t="s">
        <v>294</v>
      </c>
      <c r="AC1487" s="350"/>
      <c r="AD1487" s="350"/>
      <c r="AE1487" s="351"/>
      <c r="AF1487" s="544"/>
      <c r="AG1487" s="351"/>
      <c r="AH1487" s="544"/>
      <c r="AI1487" s="351"/>
      <c r="AJ1487" s="545"/>
      <c r="AK1487" s="351"/>
      <c r="AL1487" s="524" t="s">
        <v>325</v>
      </c>
      <c r="AM1487" s="351"/>
      <c r="AN1487" s="549" t="s">
        <v>325</v>
      </c>
      <c r="AO1487" s="351"/>
      <c r="AP1487" s="550"/>
      <c r="AQ1487" s="351"/>
      <c r="AR1487" s="551"/>
      <c r="AS1487" s="351"/>
      <c r="AT1487" s="552"/>
      <c r="AU1487" s="351"/>
      <c r="AV1487" s="549" t="s">
        <v>325</v>
      </c>
      <c r="AW1487" s="351"/>
      <c r="AX1487" s="553"/>
      <c r="AY1487" s="350"/>
      <c r="AZ1487" s="351"/>
      <c r="BA1487" s="554"/>
      <c r="BB1487" s="351"/>
      <c r="BC1487" s="39"/>
      <c r="BD1487" s="546" t="s">
        <v>325</v>
      </c>
      <c r="BE1487" s="351"/>
      <c r="BF1487" s="547"/>
      <c r="BG1487" s="350"/>
      <c r="BH1487" s="350"/>
      <c r="BI1487" s="351"/>
      <c r="BJ1487" s="548" t="s">
        <v>294</v>
      </c>
      <c r="BK1487" s="350"/>
      <c r="BL1487" s="350"/>
      <c r="BM1487" s="351"/>
      <c r="BN1487" s="530" t="s">
        <v>294</v>
      </c>
      <c r="BO1487" s="350"/>
      <c r="BP1487" s="350"/>
      <c r="BQ1487" s="350"/>
      <c r="BR1487" s="350"/>
      <c r="BS1487" s="350"/>
      <c r="BT1487" s="350"/>
      <c r="BU1487" s="350"/>
      <c r="BV1487" s="351"/>
    </row>
    <row r="1488" spans="1:74" ht="45" customHeight="1">
      <c r="A1488" s="24">
        <f t="shared" si="5"/>
        <v>1474</v>
      </c>
      <c r="B1488" s="558" t="s">
        <v>294</v>
      </c>
      <c r="C1488" s="351"/>
      <c r="D1488" s="559" t="s">
        <v>298</v>
      </c>
      <c r="E1488" s="351"/>
      <c r="F1488" s="524" t="s">
        <v>325</v>
      </c>
      <c r="G1488" s="351"/>
      <c r="H1488" s="525" t="s">
        <v>325</v>
      </c>
      <c r="I1488" s="351"/>
      <c r="J1488" s="40"/>
      <c r="K1488" s="41"/>
      <c r="L1488" s="40"/>
      <c r="M1488" s="41"/>
      <c r="N1488" s="37"/>
      <c r="O1488" s="35"/>
      <c r="P1488" s="560"/>
      <c r="Q1488" s="351"/>
      <c r="R1488" s="535"/>
      <c r="S1488" s="351"/>
      <c r="T1488" s="536"/>
      <c r="U1488" s="351"/>
      <c r="V1488" s="537"/>
      <c r="W1488" s="351"/>
      <c r="X1488" s="538" t="s">
        <v>294</v>
      </c>
      <c r="Y1488" s="350"/>
      <c r="Z1488" s="350"/>
      <c r="AA1488" s="351"/>
      <c r="AB1488" s="539" t="s">
        <v>294</v>
      </c>
      <c r="AC1488" s="350"/>
      <c r="AD1488" s="350"/>
      <c r="AE1488" s="351"/>
      <c r="AF1488" s="540"/>
      <c r="AG1488" s="351"/>
      <c r="AH1488" s="540"/>
      <c r="AI1488" s="351"/>
      <c r="AJ1488" s="545"/>
      <c r="AK1488" s="351"/>
      <c r="AL1488" s="555" t="s">
        <v>325</v>
      </c>
      <c r="AM1488" s="351"/>
      <c r="AN1488" s="531" t="s">
        <v>325</v>
      </c>
      <c r="AO1488" s="351"/>
      <c r="AP1488" s="532"/>
      <c r="AQ1488" s="351"/>
      <c r="AR1488" s="533"/>
      <c r="AS1488" s="351"/>
      <c r="AT1488" s="534"/>
      <c r="AU1488" s="351"/>
      <c r="AV1488" s="531" t="s">
        <v>325</v>
      </c>
      <c r="AW1488" s="351"/>
      <c r="AX1488" s="553"/>
      <c r="AY1488" s="350"/>
      <c r="AZ1488" s="351"/>
      <c r="BA1488" s="545"/>
      <c r="BB1488" s="351"/>
      <c r="BC1488" s="36"/>
      <c r="BD1488" s="556" t="s">
        <v>325</v>
      </c>
      <c r="BE1488" s="351"/>
      <c r="BF1488" s="557"/>
      <c r="BG1488" s="350"/>
      <c r="BH1488" s="350"/>
      <c r="BI1488" s="351"/>
      <c r="BJ1488" s="506" t="s">
        <v>294</v>
      </c>
      <c r="BK1488" s="350"/>
      <c r="BL1488" s="350"/>
      <c r="BM1488" s="351"/>
      <c r="BN1488" s="530" t="s">
        <v>294</v>
      </c>
      <c r="BO1488" s="350"/>
      <c r="BP1488" s="350"/>
      <c r="BQ1488" s="350"/>
      <c r="BR1488" s="350"/>
      <c r="BS1488" s="350"/>
      <c r="BT1488" s="350"/>
      <c r="BU1488" s="350"/>
      <c r="BV1488" s="351"/>
    </row>
    <row r="1489" spans="1:74" ht="45" customHeight="1">
      <c r="A1489" s="24">
        <f t="shared" si="5"/>
        <v>1475</v>
      </c>
      <c r="B1489" s="522" t="s">
        <v>294</v>
      </c>
      <c r="C1489" s="351"/>
      <c r="D1489" s="523" t="s">
        <v>298</v>
      </c>
      <c r="E1489" s="351"/>
      <c r="F1489" s="524" t="s">
        <v>325</v>
      </c>
      <c r="G1489" s="351"/>
      <c r="H1489" s="561" t="s">
        <v>325</v>
      </c>
      <c r="I1489" s="351"/>
      <c r="J1489" s="562"/>
      <c r="K1489" s="351"/>
      <c r="L1489" s="562"/>
      <c r="M1489" s="351"/>
      <c r="N1489" s="34"/>
      <c r="O1489" s="38"/>
      <c r="P1489" s="526"/>
      <c r="Q1489" s="351"/>
      <c r="R1489" s="527"/>
      <c r="S1489" s="351"/>
      <c r="T1489" s="528"/>
      <c r="U1489" s="351"/>
      <c r="V1489" s="541"/>
      <c r="W1489" s="351"/>
      <c r="X1489" s="542" t="s">
        <v>294</v>
      </c>
      <c r="Y1489" s="350"/>
      <c r="Z1489" s="350"/>
      <c r="AA1489" s="351"/>
      <c r="AB1489" s="543" t="s">
        <v>294</v>
      </c>
      <c r="AC1489" s="350"/>
      <c r="AD1489" s="350"/>
      <c r="AE1489" s="351"/>
      <c r="AF1489" s="544"/>
      <c r="AG1489" s="351"/>
      <c r="AH1489" s="544"/>
      <c r="AI1489" s="351"/>
      <c r="AJ1489" s="545"/>
      <c r="AK1489" s="351"/>
      <c r="AL1489" s="524" t="s">
        <v>325</v>
      </c>
      <c r="AM1489" s="351"/>
      <c r="AN1489" s="549" t="s">
        <v>325</v>
      </c>
      <c r="AO1489" s="351"/>
      <c r="AP1489" s="550"/>
      <c r="AQ1489" s="351"/>
      <c r="AR1489" s="551"/>
      <c r="AS1489" s="351"/>
      <c r="AT1489" s="552"/>
      <c r="AU1489" s="351"/>
      <c r="AV1489" s="549" t="s">
        <v>325</v>
      </c>
      <c r="AW1489" s="351"/>
      <c r="AX1489" s="553"/>
      <c r="AY1489" s="350"/>
      <c r="AZ1489" s="351"/>
      <c r="BA1489" s="554"/>
      <c r="BB1489" s="351"/>
      <c r="BC1489" s="39"/>
      <c r="BD1489" s="546" t="s">
        <v>325</v>
      </c>
      <c r="BE1489" s="351"/>
      <c r="BF1489" s="547"/>
      <c r="BG1489" s="350"/>
      <c r="BH1489" s="350"/>
      <c r="BI1489" s="351"/>
      <c r="BJ1489" s="548" t="s">
        <v>294</v>
      </c>
      <c r="BK1489" s="350"/>
      <c r="BL1489" s="350"/>
      <c r="BM1489" s="351"/>
      <c r="BN1489" s="530" t="s">
        <v>294</v>
      </c>
      <c r="BO1489" s="350"/>
      <c r="BP1489" s="350"/>
      <c r="BQ1489" s="350"/>
      <c r="BR1489" s="350"/>
      <c r="BS1489" s="350"/>
      <c r="BT1489" s="350"/>
      <c r="BU1489" s="350"/>
      <c r="BV1489" s="351"/>
    </row>
    <row r="1490" spans="1:74" ht="45" customHeight="1">
      <c r="A1490" s="24">
        <f t="shared" si="5"/>
        <v>1476</v>
      </c>
      <c r="B1490" s="558" t="s">
        <v>294</v>
      </c>
      <c r="C1490" s="351"/>
      <c r="D1490" s="559" t="s">
        <v>298</v>
      </c>
      <c r="E1490" s="351"/>
      <c r="F1490" s="524" t="s">
        <v>325</v>
      </c>
      <c r="G1490" s="351"/>
      <c r="H1490" s="525" t="s">
        <v>325</v>
      </c>
      <c r="I1490" s="351"/>
      <c r="J1490" s="40"/>
      <c r="K1490" s="41"/>
      <c r="L1490" s="40"/>
      <c r="M1490" s="41"/>
      <c r="N1490" s="37"/>
      <c r="O1490" s="35"/>
      <c r="P1490" s="560"/>
      <c r="Q1490" s="351"/>
      <c r="R1490" s="535"/>
      <c r="S1490" s="351"/>
      <c r="T1490" s="536"/>
      <c r="U1490" s="351"/>
      <c r="V1490" s="537"/>
      <c r="W1490" s="351"/>
      <c r="X1490" s="538" t="s">
        <v>294</v>
      </c>
      <c r="Y1490" s="350"/>
      <c r="Z1490" s="350"/>
      <c r="AA1490" s="351"/>
      <c r="AB1490" s="539" t="s">
        <v>294</v>
      </c>
      <c r="AC1490" s="350"/>
      <c r="AD1490" s="350"/>
      <c r="AE1490" s="351"/>
      <c r="AF1490" s="540"/>
      <c r="AG1490" s="351"/>
      <c r="AH1490" s="540"/>
      <c r="AI1490" s="351"/>
      <c r="AJ1490" s="545"/>
      <c r="AK1490" s="351"/>
      <c r="AL1490" s="555" t="s">
        <v>325</v>
      </c>
      <c r="AM1490" s="351"/>
      <c r="AN1490" s="531" t="s">
        <v>325</v>
      </c>
      <c r="AO1490" s="351"/>
      <c r="AP1490" s="532"/>
      <c r="AQ1490" s="351"/>
      <c r="AR1490" s="533"/>
      <c r="AS1490" s="351"/>
      <c r="AT1490" s="534"/>
      <c r="AU1490" s="351"/>
      <c r="AV1490" s="531" t="s">
        <v>325</v>
      </c>
      <c r="AW1490" s="351"/>
      <c r="AX1490" s="553"/>
      <c r="AY1490" s="350"/>
      <c r="AZ1490" s="351"/>
      <c r="BA1490" s="545"/>
      <c r="BB1490" s="351"/>
      <c r="BC1490" s="36"/>
      <c r="BD1490" s="556" t="s">
        <v>325</v>
      </c>
      <c r="BE1490" s="351"/>
      <c r="BF1490" s="557"/>
      <c r="BG1490" s="350"/>
      <c r="BH1490" s="350"/>
      <c r="BI1490" s="351"/>
      <c r="BJ1490" s="506" t="s">
        <v>294</v>
      </c>
      <c r="BK1490" s="350"/>
      <c r="BL1490" s="350"/>
      <c r="BM1490" s="351"/>
      <c r="BN1490" s="530" t="s">
        <v>294</v>
      </c>
      <c r="BO1490" s="350"/>
      <c r="BP1490" s="350"/>
      <c r="BQ1490" s="350"/>
      <c r="BR1490" s="350"/>
      <c r="BS1490" s="350"/>
      <c r="BT1490" s="350"/>
      <c r="BU1490" s="350"/>
      <c r="BV1490" s="351"/>
    </row>
    <row r="1491" spans="1:74" ht="45" customHeight="1">
      <c r="A1491" s="24">
        <f t="shared" si="5"/>
        <v>1477</v>
      </c>
      <c r="B1491" s="522" t="s">
        <v>294</v>
      </c>
      <c r="C1491" s="351"/>
      <c r="D1491" s="523" t="s">
        <v>298</v>
      </c>
      <c r="E1491" s="351"/>
      <c r="F1491" s="524" t="s">
        <v>325</v>
      </c>
      <c r="G1491" s="351"/>
      <c r="H1491" s="561" t="s">
        <v>325</v>
      </c>
      <c r="I1491" s="351"/>
      <c r="J1491" s="562"/>
      <c r="K1491" s="351"/>
      <c r="L1491" s="562"/>
      <c r="M1491" s="351"/>
      <c r="N1491" s="34"/>
      <c r="O1491" s="38"/>
      <c r="P1491" s="526"/>
      <c r="Q1491" s="351"/>
      <c r="R1491" s="527"/>
      <c r="S1491" s="351"/>
      <c r="T1491" s="528"/>
      <c r="U1491" s="351"/>
      <c r="V1491" s="541"/>
      <c r="W1491" s="351"/>
      <c r="X1491" s="542" t="s">
        <v>294</v>
      </c>
      <c r="Y1491" s="350"/>
      <c r="Z1491" s="350"/>
      <c r="AA1491" s="351"/>
      <c r="AB1491" s="543" t="s">
        <v>294</v>
      </c>
      <c r="AC1491" s="350"/>
      <c r="AD1491" s="350"/>
      <c r="AE1491" s="351"/>
      <c r="AF1491" s="544"/>
      <c r="AG1491" s="351"/>
      <c r="AH1491" s="544"/>
      <c r="AI1491" s="351"/>
      <c r="AJ1491" s="545"/>
      <c r="AK1491" s="351"/>
      <c r="AL1491" s="524" t="s">
        <v>325</v>
      </c>
      <c r="AM1491" s="351"/>
      <c r="AN1491" s="549" t="s">
        <v>325</v>
      </c>
      <c r="AO1491" s="351"/>
      <c r="AP1491" s="550"/>
      <c r="AQ1491" s="351"/>
      <c r="AR1491" s="551"/>
      <c r="AS1491" s="351"/>
      <c r="AT1491" s="552"/>
      <c r="AU1491" s="351"/>
      <c r="AV1491" s="549" t="s">
        <v>325</v>
      </c>
      <c r="AW1491" s="351"/>
      <c r="AX1491" s="553"/>
      <c r="AY1491" s="350"/>
      <c r="AZ1491" s="351"/>
      <c r="BA1491" s="554"/>
      <c r="BB1491" s="351"/>
      <c r="BC1491" s="39"/>
      <c r="BD1491" s="546" t="s">
        <v>325</v>
      </c>
      <c r="BE1491" s="351"/>
      <c r="BF1491" s="547"/>
      <c r="BG1491" s="350"/>
      <c r="BH1491" s="350"/>
      <c r="BI1491" s="351"/>
      <c r="BJ1491" s="548" t="s">
        <v>294</v>
      </c>
      <c r="BK1491" s="350"/>
      <c r="BL1491" s="350"/>
      <c r="BM1491" s="351"/>
      <c r="BN1491" s="530" t="s">
        <v>294</v>
      </c>
      <c r="BO1491" s="350"/>
      <c r="BP1491" s="350"/>
      <c r="BQ1491" s="350"/>
      <c r="BR1491" s="350"/>
      <c r="BS1491" s="350"/>
      <c r="BT1491" s="350"/>
      <c r="BU1491" s="350"/>
      <c r="BV1491" s="351"/>
    </row>
    <row r="1492" spans="1:74" ht="45" customHeight="1">
      <c r="A1492" s="24">
        <f t="shared" si="5"/>
        <v>1478</v>
      </c>
      <c r="B1492" s="558" t="s">
        <v>294</v>
      </c>
      <c r="C1492" s="351"/>
      <c r="D1492" s="559" t="s">
        <v>298</v>
      </c>
      <c r="E1492" s="351"/>
      <c r="F1492" s="524" t="s">
        <v>325</v>
      </c>
      <c r="G1492" s="351"/>
      <c r="H1492" s="525" t="s">
        <v>325</v>
      </c>
      <c r="I1492" s="351"/>
      <c r="J1492" s="40"/>
      <c r="K1492" s="41"/>
      <c r="L1492" s="40"/>
      <c r="M1492" s="41"/>
      <c r="N1492" s="37"/>
      <c r="O1492" s="35"/>
      <c r="P1492" s="560"/>
      <c r="Q1492" s="351"/>
      <c r="R1492" s="535"/>
      <c r="S1492" s="351"/>
      <c r="T1492" s="536"/>
      <c r="U1492" s="351"/>
      <c r="V1492" s="537"/>
      <c r="W1492" s="351"/>
      <c r="X1492" s="538" t="s">
        <v>294</v>
      </c>
      <c r="Y1492" s="350"/>
      <c r="Z1492" s="350"/>
      <c r="AA1492" s="351"/>
      <c r="AB1492" s="539" t="s">
        <v>294</v>
      </c>
      <c r="AC1492" s="350"/>
      <c r="AD1492" s="350"/>
      <c r="AE1492" s="351"/>
      <c r="AF1492" s="540"/>
      <c r="AG1492" s="351"/>
      <c r="AH1492" s="540"/>
      <c r="AI1492" s="351"/>
      <c r="AJ1492" s="545"/>
      <c r="AK1492" s="351"/>
      <c r="AL1492" s="555" t="s">
        <v>325</v>
      </c>
      <c r="AM1492" s="351"/>
      <c r="AN1492" s="531" t="s">
        <v>325</v>
      </c>
      <c r="AO1492" s="351"/>
      <c r="AP1492" s="532"/>
      <c r="AQ1492" s="351"/>
      <c r="AR1492" s="533"/>
      <c r="AS1492" s="351"/>
      <c r="AT1492" s="534"/>
      <c r="AU1492" s="351"/>
      <c r="AV1492" s="531" t="s">
        <v>325</v>
      </c>
      <c r="AW1492" s="351"/>
      <c r="AX1492" s="553"/>
      <c r="AY1492" s="350"/>
      <c r="AZ1492" s="351"/>
      <c r="BA1492" s="545"/>
      <c r="BB1492" s="351"/>
      <c r="BC1492" s="36"/>
      <c r="BD1492" s="556" t="s">
        <v>325</v>
      </c>
      <c r="BE1492" s="351"/>
      <c r="BF1492" s="529"/>
      <c r="BG1492" s="350"/>
      <c r="BH1492" s="350"/>
      <c r="BI1492" s="351"/>
      <c r="BJ1492" s="506" t="s">
        <v>294</v>
      </c>
      <c r="BK1492" s="350"/>
      <c r="BL1492" s="350"/>
      <c r="BM1492" s="351"/>
      <c r="BN1492" s="530" t="s">
        <v>294</v>
      </c>
      <c r="BO1492" s="350"/>
      <c r="BP1492" s="350"/>
      <c r="BQ1492" s="350"/>
      <c r="BR1492" s="350"/>
      <c r="BS1492" s="350"/>
      <c r="BT1492" s="350"/>
      <c r="BU1492" s="350"/>
      <c r="BV1492" s="351"/>
    </row>
    <row r="1493" spans="1:74" ht="45" customHeight="1">
      <c r="A1493" s="24">
        <f t="shared" si="5"/>
        <v>1479</v>
      </c>
      <c r="B1493" s="522" t="s">
        <v>294</v>
      </c>
      <c r="C1493" s="351"/>
      <c r="D1493" s="523" t="s">
        <v>298</v>
      </c>
      <c r="E1493" s="351"/>
      <c r="F1493" s="524" t="s">
        <v>325</v>
      </c>
      <c r="G1493" s="351"/>
      <c r="H1493" s="561" t="s">
        <v>325</v>
      </c>
      <c r="I1493" s="351"/>
      <c r="J1493" s="562"/>
      <c r="K1493" s="351"/>
      <c r="L1493" s="562"/>
      <c r="M1493" s="351"/>
      <c r="N1493" s="34"/>
      <c r="O1493" s="38"/>
      <c r="P1493" s="526"/>
      <c r="Q1493" s="351"/>
      <c r="R1493" s="527"/>
      <c r="S1493" s="351"/>
      <c r="T1493" s="528"/>
      <c r="U1493" s="351"/>
      <c r="V1493" s="541"/>
      <c r="W1493" s="351"/>
      <c r="X1493" s="542" t="s">
        <v>294</v>
      </c>
      <c r="Y1493" s="350"/>
      <c r="Z1493" s="350"/>
      <c r="AA1493" s="351"/>
      <c r="AB1493" s="543" t="s">
        <v>294</v>
      </c>
      <c r="AC1493" s="350"/>
      <c r="AD1493" s="350"/>
      <c r="AE1493" s="351"/>
      <c r="AF1493" s="544"/>
      <c r="AG1493" s="351"/>
      <c r="AH1493" s="544"/>
      <c r="AI1493" s="351"/>
      <c r="AJ1493" s="545"/>
      <c r="AK1493" s="351"/>
      <c r="AL1493" s="524" t="s">
        <v>325</v>
      </c>
      <c r="AM1493" s="351"/>
      <c r="AN1493" s="549" t="s">
        <v>325</v>
      </c>
      <c r="AO1493" s="351"/>
      <c r="AP1493" s="550"/>
      <c r="AQ1493" s="351"/>
      <c r="AR1493" s="551"/>
      <c r="AS1493" s="351"/>
      <c r="AT1493" s="552"/>
      <c r="AU1493" s="351"/>
      <c r="AV1493" s="549" t="s">
        <v>325</v>
      </c>
      <c r="AW1493" s="351"/>
      <c r="AX1493" s="553"/>
      <c r="AY1493" s="350"/>
      <c r="AZ1493" s="351"/>
      <c r="BA1493" s="554"/>
      <c r="BB1493" s="351"/>
      <c r="BC1493" s="39"/>
      <c r="BD1493" s="546" t="s">
        <v>325</v>
      </c>
      <c r="BE1493" s="351"/>
      <c r="BF1493" s="547"/>
      <c r="BG1493" s="350"/>
      <c r="BH1493" s="350"/>
      <c r="BI1493" s="351"/>
      <c r="BJ1493" s="548" t="s">
        <v>294</v>
      </c>
      <c r="BK1493" s="350"/>
      <c r="BL1493" s="350"/>
      <c r="BM1493" s="351"/>
      <c r="BN1493" s="530" t="s">
        <v>294</v>
      </c>
      <c r="BO1493" s="350"/>
      <c r="BP1493" s="350"/>
      <c r="BQ1493" s="350"/>
      <c r="BR1493" s="350"/>
      <c r="BS1493" s="350"/>
      <c r="BT1493" s="350"/>
      <c r="BU1493" s="350"/>
      <c r="BV1493" s="351"/>
    </row>
    <row r="1494" spans="1:74" ht="45" customHeight="1">
      <c r="A1494" s="24">
        <f t="shared" si="5"/>
        <v>1480</v>
      </c>
      <c r="B1494" s="558" t="s">
        <v>294</v>
      </c>
      <c r="C1494" s="351"/>
      <c r="D1494" s="559" t="s">
        <v>298</v>
      </c>
      <c r="E1494" s="351"/>
      <c r="F1494" s="524" t="s">
        <v>325</v>
      </c>
      <c r="G1494" s="351"/>
      <c r="H1494" s="525" t="s">
        <v>325</v>
      </c>
      <c r="I1494" s="351"/>
      <c r="J1494" s="40"/>
      <c r="K1494" s="41"/>
      <c r="L1494" s="40"/>
      <c r="M1494" s="41"/>
      <c r="N1494" s="37"/>
      <c r="O1494" s="35"/>
      <c r="P1494" s="560"/>
      <c r="Q1494" s="351"/>
      <c r="R1494" s="535"/>
      <c r="S1494" s="351"/>
      <c r="T1494" s="536"/>
      <c r="U1494" s="351"/>
      <c r="V1494" s="537"/>
      <c r="W1494" s="351"/>
      <c r="X1494" s="538" t="s">
        <v>294</v>
      </c>
      <c r="Y1494" s="350"/>
      <c r="Z1494" s="350"/>
      <c r="AA1494" s="351"/>
      <c r="AB1494" s="539" t="s">
        <v>294</v>
      </c>
      <c r="AC1494" s="350"/>
      <c r="AD1494" s="350"/>
      <c r="AE1494" s="351"/>
      <c r="AF1494" s="540"/>
      <c r="AG1494" s="351"/>
      <c r="AH1494" s="540"/>
      <c r="AI1494" s="351"/>
      <c r="AJ1494" s="545"/>
      <c r="AK1494" s="351"/>
      <c r="AL1494" s="555" t="s">
        <v>325</v>
      </c>
      <c r="AM1494" s="351"/>
      <c r="AN1494" s="531" t="s">
        <v>325</v>
      </c>
      <c r="AO1494" s="351"/>
      <c r="AP1494" s="532"/>
      <c r="AQ1494" s="351"/>
      <c r="AR1494" s="533"/>
      <c r="AS1494" s="351"/>
      <c r="AT1494" s="534"/>
      <c r="AU1494" s="351"/>
      <c r="AV1494" s="531" t="s">
        <v>325</v>
      </c>
      <c r="AW1494" s="351"/>
      <c r="AX1494" s="553"/>
      <c r="AY1494" s="350"/>
      <c r="AZ1494" s="351"/>
      <c r="BA1494" s="545"/>
      <c r="BB1494" s="351"/>
      <c r="BC1494" s="36"/>
      <c r="BD1494" s="556" t="s">
        <v>325</v>
      </c>
      <c r="BE1494" s="351"/>
      <c r="BF1494" s="557"/>
      <c r="BG1494" s="350"/>
      <c r="BH1494" s="350"/>
      <c r="BI1494" s="351"/>
      <c r="BJ1494" s="506" t="s">
        <v>294</v>
      </c>
      <c r="BK1494" s="350"/>
      <c r="BL1494" s="350"/>
      <c r="BM1494" s="351"/>
      <c r="BN1494" s="530" t="s">
        <v>294</v>
      </c>
      <c r="BO1494" s="350"/>
      <c r="BP1494" s="350"/>
      <c r="BQ1494" s="350"/>
      <c r="BR1494" s="350"/>
      <c r="BS1494" s="350"/>
      <c r="BT1494" s="350"/>
      <c r="BU1494" s="350"/>
      <c r="BV1494" s="351"/>
    </row>
    <row r="1495" spans="1:74" ht="45" customHeight="1">
      <c r="A1495" s="24">
        <f t="shared" si="5"/>
        <v>1481</v>
      </c>
      <c r="B1495" s="522" t="s">
        <v>294</v>
      </c>
      <c r="C1495" s="351"/>
      <c r="D1495" s="523" t="s">
        <v>298</v>
      </c>
      <c r="E1495" s="351"/>
      <c r="F1495" s="524" t="s">
        <v>325</v>
      </c>
      <c r="G1495" s="351"/>
      <c r="H1495" s="561" t="s">
        <v>325</v>
      </c>
      <c r="I1495" s="351"/>
      <c r="J1495" s="562"/>
      <c r="K1495" s="351"/>
      <c r="L1495" s="562"/>
      <c r="M1495" s="351"/>
      <c r="N1495" s="37"/>
      <c r="O1495" s="38"/>
      <c r="P1495" s="560"/>
      <c r="Q1495" s="351"/>
      <c r="R1495" s="527"/>
      <c r="S1495" s="351"/>
      <c r="T1495" s="528"/>
      <c r="U1495" s="351"/>
      <c r="V1495" s="541"/>
      <c r="W1495" s="351"/>
      <c r="X1495" s="542" t="s">
        <v>294</v>
      </c>
      <c r="Y1495" s="350"/>
      <c r="Z1495" s="350"/>
      <c r="AA1495" s="351"/>
      <c r="AB1495" s="543" t="s">
        <v>294</v>
      </c>
      <c r="AC1495" s="350"/>
      <c r="AD1495" s="350"/>
      <c r="AE1495" s="351"/>
      <c r="AF1495" s="544"/>
      <c r="AG1495" s="351"/>
      <c r="AH1495" s="544"/>
      <c r="AI1495" s="351"/>
      <c r="AJ1495" s="545"/>
      <c r="AK1495" s="351"/>
      <c r="AL1495" s="524" t="s">
        <v>325</v>
      </c>
      <c r="AM1495" s="351"/>
      <c r="AN1495" s="549" t="s">
        <v>325</v>
      </c>
      <c r="AO1495" s="351"/>
      <c r="AP1495" s="550"/>
      <c r="AQ1495" s="351"/>
      <c r="AR1495" s="551"/>
      <c r="AS1495" s="351"/>
      <c r="AT1495" s="534"/>
      <c r="AU1495" s="351"/>
      <c r="AV1495" s="549" t="s">
        <v>325</v>
      </c>
      <c r="AW1495" s="351"/>
      <c r="AX1495" s="553"/>
      <c r="AY1495" s="350"/>
      <c r="AZ1495" s="351"/>
      <c r="BA1495" s="554"/>
      <c r="BB1495" s="351"/>
      <c r="BC1495" s="39"/>
      <c r="BD1495" s="546" t="s">
        <v>325</v>
      </c>
      <c r="BE1495" s="351"/>
      <c r="BF1495" s="547"/>
      <c r="BG1495" s="350"/>
      <c r="BH1495" s="350"/>
      <c r="BI1495" s="351"/>
      <c r="BJ1495" s="548" t="s">
        <v>294</v>
      </c>
      <c r="BK1495" s="350"/>
      <c r="BL1495" s="350"/>
      <c r="BM1495" s="351"/>
      <c r="BN1495" s="530" t="s">
        <v>294</v>
      </c>
      <c r="BO1495" s="350"/>
      <c r="BP1495" s="350"/>
      <c r="BQ1495" s="350"/>
      <c r="BR1495" s="350"/>
      <c r="BS1495" s="350"/>
      <c r="BT1495" s="350"/>
      <c r="BU1495" s="350"/>
      <c r="BV1495" s="351"/>
    </row>
    <row r="1496" spans="1:74" ht="45" customHeight="1">
      <c r="A1496" s="24">
        <f t="shared" si="5"/>
        <v>1482</v>
      </c>
      <c r="B1496" s="558" t="s">
        <v>294</v>
      </c>
      <c r="C1496" s="351"/>
      <c r="D1496" s="559" t="s">
        <v>298</v>
      </c>
      <c r="E1496" s="351"/>
      <c r="F1496" s="524" t="s">
        <v>325</v>
      </c>
      <c r="G1496" s="351"/>
      <c r="H1496" s="525" t="s">
        <v>325</v>
      </c>
      <c r="I1496" s="351"/>
      <c r="J1496" s="40"/>
      <c r="K1496" s="41"/>
      <c r="L1496" s="40"/>
      <c r="M1496" s="41"/>
      <c r="N1496" s="34"/>
      <c r="O1496" s="35"/>
      <c r="P1496" s="526"/>
      <c r="Q1496" s="351"/>
      <c r="R1496" s="535"/>
      <c r="S1496" s="351"/>
      <c r="T1496" s="536"/>
      <c r="U1496" s="351"/>
      <c r="V1496" s="537"/>
      <c r="W1496" s="351"/>
      <c r="X1496" s="538" t="s">
        <v>294</v>
      </c>
      <c r="Y1496" s="350"/>
      <c r="Z1496" s="350"/>
      <c r="AA1496" s="351"/>
      <c r="AB1496" s="539" t="s">
        <v>294</v>
      </c>
      <c r="AC1496" s="350"/>
      <c r="AD1496" s="350"/>
      <c r="AE1496" s="351"/>
      <c r="AF1496" s="540"/>
      <c r="AG1496" s="351"/>
      <c r="AH1496" s="540"/>
      <c r="AI1496" s="351"/>
      <c r="AJ1496" s="545"/>
      <c r="AK1496" s="351"/>
      <c r="AL1496" s="555" t="s">
        <v>325</v>
      </c>
      <c r="AM1496" s="351"/>
      <c r="AN1496" s="531" t="s">
        <v>325</v>
      </c>
      <c r="AO1496" s="351"/>
      <c r="AP1496" s="532"/>
      <c r="AQ1496" s="351"/>
      <c r="AR1496" s="533"/>
      <c r="AS1496" s="351"/>
      <c r="AT1496" s="534"/>
      <c r="AU1496" s="351"/>
      <c r="AV1496" s="531" t="s">
        <v>325</v>
      </c>
      <c r="AW1496" s="351"/>
      <c r="AX1496" s="553"/>
      <c r="AY1496" s="350"/>
      <c r="AZ1496" s="351"/>
      <c r="BA1496" s="545"/>
      <c r="BB1496" s="351"/>
      <c r="BC1496" s="36"/>
      <c r="BD1496" s="556" t="s">
        <v>325</v>
      </c>
      <c r="BE1496" s="351"/>
      <c r="BF1496" s="557"/>
      <c r="BG1496" s="350"/>
      <c r="BH1496" s="350"/>
      <c r="BI1496" s="351"/>
      <c r="BJ1496" s="506" t="s">
        <v>294</v>
      </c>
      <c r="BK1496" s="350"/>
      <c r="BL1496" s="350"/>
      <c r="BM1496" s="351"/>
      <c r="BN1496" s="530" t="s">
        <v>294</v>
      </c>
      <c r="BO1496" s="350"/>
      <c r="BP1496" s="350"/>
      <c r="BQ1496" s="350"/>
      <c r="BR1496" s="350"/>
      <c r="BS1496" s="350"/>
      <c r="BT1496" s="350"/>
      <c r="BU1496" s="350"/>
      <c r="BV1496" s="351"/>
    </row>
    <row r="1497" spans="1:74" ht="45" customHeight="1">
      <c r="A1497" s="24">
        <f t="shared" si="5"/>
        <v>1483</v>
      </c>
      <c r="B1497" s="522" t="s">
        <v>294</v>
      </c>
      <c r="C1497" s="351"/>
      <c r="D1497" s="523" t="s">
        <v>298</v>
      </c>
      <c r="E1497" s="351"/>
      <c r="F1497" s="524" t="s">
        <v>325</v>
      </c>
      <c r="G1497" s="351"/>
      <c r="H1497" s="561" t="s">
        <v>325</v>
      </c>
      <c r="I1497" s="351"/>
      <c r="J1497" s="562"/>
      <c r="K1497" s="351"/>
      <c r="L1497" s="562"/>
      <c r="M1497" s="351"/>
      <c r="N1497" s="37"/>
      <c r="O1497" s="38"/>
      <c r="P1497" s="560"/>
      <c r="Q1497" s="351"/>
      <c r="R1497" s="527"/>
      <c r="S1497" s="351"/>
      <c r="T1497" s="528"/>
      <c r="U1497" s="351"/>
      <c r="V1497" s="541"/>
      <c r="W1497" s="351"/>
      <c r="X1497" s="542" t="s">
        <v>294</v>
      </c>
      <c r="Y1497" s="350"/>
      <c r="Z1497" s="350"/>
      <c r="AA1497" s="351"/>
      <c r="AB1497" s="543" t="s">
        <v>294</v>
      </c>
      <c r="AC1497" s="350"/>
      <c r="AD1497" s="350"/>
      <c r="AE1497" s="351"/>
      <c r="AF1497" s="544"/>
      <c r="AG1497" s="351"/>
      <c r="AH1497" s="544"/>
      <c r="AI1497" s="351"/>
      <c r="AJ1497" s="545"/>
      <c r="AK1497" s="351"/>
      <c r="AL1497" s="524" t="s">
        <v>325</v>
      </c>
      <c r="AM1497" s="351"/>
      <c r="AN1497" s="549" t="s">
        <v>325</v>
      </c>
      <c r="AO1497" s="351"/>
      <c r="AP1497" s="550"/>
      <c r="AQ1497" s="351"/>
      <c r="AR1497" s="551"/>
      <c r="AS1497" s="351"/>
      <c r="AT1497" s="534"/>
      <c r="AU1497" s="351"/>
      <c r="AV1497" s="549" t="s">
        <v>325</v>
      </c>
      <c r="AW1497" s="351"/>
      <c r="AX1497" s="553"/>
      <c r="AY1497" s="350"/>
      <c r="AZ1497" s="351"/>
      <c r="BA1497" s="554"/>
      <c r="BB1497" s="351"/>
      <c r="BC1497" s="39"/>
      <c r="BD1497" s="546" t="s">
        <v>325</v>
      </c>
      <c r="BE1497" s="351"/>
      <c r="BF1497" s="547"/>
      <c r="BG1497" s="350"/>
      <c r="BH1497" s="350"/>
      <c r="BI1497" s="351"/>
      <c r="BJ1497" s="548" t="s">
        <v>294</v>
      </c>
      <c r="BK1497" s="350"/>
      <c r="BL1497" s="350"/>
      <c r="BM1497" s="351"/>
      <c r="BN1497" s="530" t="s">
        <v>294</v>
      </c>
      <c r="BO1497" s="350"/>
      <c r="BP1497" s="350"/>
      <c r="BQ1497" s="350"/>
      <c r="BR1497" s="350"/>
      <c r="BS1497" s="350"/>
      <c r="BT1497" s="350"/>
      <c r="BU1497" s="350"/>
      <c r="BV1497" s="351"/>
    </row>
    <row r="1498" spans="1:74" ht="45" customHeight="1">
      <c r="A1498" s="24">
        <f t="shared" si="5"/>
        <v>1484</v>
      </c>
      <c r="B1498" s="558" t="s">
        <v>294</v>
      </c>
      <c r="C1498" s="351"/>
      <c r="D1498" s="559" t="s">
        <v>298</v>
      </c>
      <c r="E1498" s="351"/>
      <c r="F1498" s="524" t="s">
        <v>325</v>
      </c>
      <c r="G1498" s="351"/>
      <c r="H1498" s="525" t="s">
        <v>325</v>
      </c>
      <c r="I1498" s="351"/>
      <c r="J1498" s="40"/>
      <c r="K1498" s="41"/>
      <c r="L1498" s="40"/>
      <c r="M1498" s="41"/>
      <c r="N1498" s="34"/>
      <c r="O1498" s="35"/>
      <c r="P1498" s="526"/>
      <c r="Q1498" s="351"/>
      <c r="R1498" s="535"/>
      <c r="S1498" s="351"/>
      <c r="T1498" s="536"/>
      <c r="U1498" s="351"/>
      <c r="V1498" s="537"/>
      <c r="W1498" s="351"/>
      <c r="X1498" s="538" t="s">
        <v>294</v>
      </c>
      <c r="Y1498" s="350"/>
      <c r="Z1498" s="350"/>
      <c r="AA1498" s="351"/>
      <c r="AB1498" s="539" t="s">
        <v>294</v>
      </c>
      <c r="AC1498" s="350"/>
      <c r="AD1498" s="350"/>
      <c r="AE1498" s="351"/>
      <c r="AF1498" s="540"/>
      <c r="AG1498" s="351"/>
      <c r="AH1498" s="540"/>
      <c r="AI1498" s="351"/>
      <c r="AJ1498" s="545"/>
      <c r="AK1498" s="351"/>
      <c r="AL1498" s="555" t="s">
        <v>325</v>
      </c>
      <c r="AM1498" s="351"/>
      <c r="AN1498" s="531" t="s">
        <v>325</v>
      </c>
      <c r="AO1498" s="351"/>
      <c r="AP1498" s="532"/>
      <c r="AQ1498" s="351"/>
      <c r="AR1498" s="533"/>
      <c r="AS1498" s="351"/>
      <c r="AT1498" s="534"/>
      <c r="AU1498" s="351"/>
      <c r="AV1498" s="531" t="s">
        <v>325</v>
      </c>
      <c r="AW1498" s="351"/>
      <c r="AX1498" s="553"/>
      <c r="AY1498" s="350"/>
      <c r="AZ1498" s="351"/>
      <c r="BA1498" s="545"/>
      <c r="BB1498" s="351"/>
      <c r="BC1498" s="36"/>
      <c r="BD1498" s="556" t="s">
        <v>325</v>
      </c>
      <c r="BE1498" s="351"/>
      <c r="BF1498" s="557"/>
      <c r="BG1498" s="350"/>
      <c r="BH1498" s="350"/>
      <c r="BI1498" s="351"/>
      <c r="BJ1498" s="506" t="s">
        <v>294</v>
      </c>
      <c r="BK1498" s="350"/>
      <c r="BL1498" s="350"/>
      <c r="BM1498" s="351"/>
      <c r="BN1498" s="530" t="s">
        <v>294</v>
      </c>
      <c r="BO1498" s="350"/>
      <c r="BP1498" s="350"/>
      <c r="BQ1498" s="350"/>
      <c r="BR1498" s="350"/>
      <c r="BS1498" s="350"/>
      <c r="BT1498" s="350"/>
      <c r="BU1498" s="350"/>
      <c r="BV1498" s="351"/>
    </row>
    <row r="1499" spans="1:74" ht="45" customHeight="1">
      <c r="A1499" s="24">
        <f t="shared" si="5"/>
        <v>1485</v>
      </c>
      <c r="B1499" s="522" t="s">
        <v>294</v>
      </c>
      <c r="C1499" s="351"/>
      <c r="D1499" s="523" t="s">
        <v>298</v>
      </c>
      <c r="E1499" s="351"/>
      <c r="F1499" s="524" t="s">
        <v>325</v>
      </c>
      <c r="G1499" s="351"/>
      <c r="H1499" s="561" t="s">
        <v>325</v>
      </c>
      <c r="I1499" s="351"/>
      <c r="J1499" s="562"/>
      <c r="K1499" s="351"/>
      <c r="L1499" s="562"/>
      <c r="M1499" s="351"/>
      <c r="N1499" s="37"/>
      <c r="O1499" s="38"/>
      <c r="P1499" s="560"/>
      <c r="Q1499" s="351"/>
      <c r="R1499" s="527"/>
      <c r="S1499" s="351"/>
      <c r="T1499" s="528"/>
      <c r="U1499" s="351"/>
      <c r="V1499" s="541"/>
      <c r="W1499" s="351"/>
      <c r="X1499" s="542" t="s">
        <v>294</v>
      </c>
      <c r="Y1499" s="350"/>
      <c r="Z1499" s="350"/>
      <c r="AA1499" s="351"/>
      <c r="AB1499" s="543" t="s">
        <v>294</v>
      </c>
      <c r="AC1499" s="350"/>
      <c r="AD1499" s="350"/>
      <c r="AE1499" s="351"/>
      <c r="AF1499" s="544"/>
      <c r="AG1499" s="351"/>
      <c r="AH1499" s="544"/>
      <c r="AI1499" s="351"/>
      <c r="AJ1499" s="545"/>
      <c r="AK1499" s="351"/>
      <c r="AL1499" s="524" t="s">
        <v>325</v>
      </c>
      <c r="AM1499" s="351"/>
      <c r="AN1499" s="549" t="s">
        <v>325</v>
      </c>
      <c r="AO1499" s="351"/>
      <c r="AP1499" s="550"/>
      <c r="AQ1499" s="351"/>
      <c r="AR1499" s="551"/>
      <c r="AS1499" s="351"/>
      <c r="AT1499" s="552"/>
      <c r="AU1499" s="351"/>
      <c r="AV1499" s="549" t="s">
        <v>325</v>
      </c>
      <c r="AW1499" s="351"/>
      <c r="AX1499" s="553"/>
      <c r="AY1499" s="350"/>
      <c r="AZ1499" s="351"/>
      <c r="BA1499" s="554"/>
      <c r="BB1499" s="351"/>
      <c r="BC1499" s="39"/>
      <c r="BD1499" s="546" t="s">
        <v>325</v>
      </c>
      <c r="BE1499" s="351"/>
      <c r="BF1499" s="547"/>
      <c r="BG1499" s="350"/>
      <c r="BH1499" s="350"/>
      <c r="BI1499" s="351"/>
      <c r="BJ1499" s="548" t="s">
        <v>294</v>
      </c>
      <c r="BK1499" s="350"/>
      <c r="BL1499" s="350"/>
      <c r="BM1499" s="351"/>
      <c r="BN1499" s="530" t="s">
        <v>294</v>
      </c>
      <c r="BO1499" s="350"/>
      <c r="BP1499" s="350"/>
      <c r="BQ1499" s="350"/>
      <c r="BR1499" s="350"/>
      <c r="BS1499" s="350"/>
      <c r="BT1499" s="350"/>
      <c r="BU1499" s="350"/>
      <c r="BV1499" s="351"/>
    </row>
    <row r="1500" spans="1:74" ht="45" customHeight="1">
      <c r="A1500" s="24">
        <f t="shared" si="5"/>
        <v>1486</v>
      </c>
      <c r="B1500" s="558" t="s">
        <v>294</v>
      </c>
      <c r="C1500" s="351"/>
      <c r="D1500" s="559" t="s">
        <v>298</v>
      </c>
      <c r="E1500" s="351"/>
      <c r="F1500" s="524" t="s">
        <v>325</v>
      </c>
      <c r="G1500" s="351"/>
      <c r="H1500" s="525" t="s">
        <v>325</v>
      </c>
      <c r="I1500" s="351"/>
      <c r="J1500" s="40"/>
      <c r="K1500" s="41"/>
      <c r="L1500" s="40"/>
      <c r="M1500" s="41"/>
      <c r="N1500" s="34"/>
      <c r="O1500" s="35"/>
      <c r="P1500" s="526"/>
      <c r="Q1500" s="351"/>
      <c r="R1500" s="535"/>
      <c r="S1500" s="351"/>
      <c r="T1500" s="536"/>
      <c r="U1500" s="351"/>
      <c r="V1500" s="537"/>
      <c r="W1500" s="351"/>
      <c r="X1500" s="538" t="s">
        <v>294</v>
      </c>
      <c r="Y1500" s="350"/>
      <c r="Z1500" s="350"/>
      <c r="AA1500" s="351"/>
      <c r="AB1500" s="539" t="s">
        <v>294</v>
      </c>
      <c r="AC1500" s="350"/>
      <c r="AD1500" s="350"/>
      <c r="AE1500" s="351"/>
      <c r="AF1500" s="540"/>
      <c r="AG1500" s="351"/>
      <c r="AH1500" s="540"/>
      <c r="AI1500" s="351"/>
      <c r="AJ1500" s="545"/>
      <c r="AK1500" s="351"/>
      <c r="AL1500" s="555" t="s">
        <v>325</v>
      </c>
      <c r="AM1500" s="351"/>
      <c r="AN1500" s="531" t="s">
        <v>325</v>
      </c>
      <c r="AO1500" s="351"/>
      <c r="AP1500" s="532"/>
      <c r="AQ1500" s="351"/>
      <c r="AR1500" s="533"/>
      <c r="AS1500" s="351"/>
      <c r="AT1500" s="534"/>
      <c r="AU1500" s="351"/>
      <c r="AV1500" s="531" t="s">
        <v>325</v>
      </c>
      <c r="AW1500" s="351"/>
      <c r="AX1500" s="553"/>
      <c r="AY1500" s="350"/>
      <c r="AZ1500" s="351"/>
      <c r="BA1500" s="545"/>
      <c r="BB1500" s="351"/>
      <c r="BC1500" s="36"/>
      <c r="BD1500" s="556" t="s">
        <v>325</v>
      </c>
      <c r="BE1500" s="351"/>
      <c r="BF1500" s="529"/>
      <c r="BG1500" s="350"/>
      <c r="BH1500" s="350"/>
      <c r="BI1500" s="351"/>
      <c r="BJ1500" s="506" t="s">
        <v>294</v>
      </c>
      <c r="BK1500" s="350"/>
      <c r="BL1500" s="350"/>
      <c r="BM1500" s="351"/>
      <c r="BN1500" s="530" t="s">
        <v>294</v>
      </c>
      <c r="BO1500" s="350"/>
      <c r="BP1500" s="350"/>
      <c r="BQ1500" s="350"/>
      <c r="BR1500" s="350"/>
      <c r="BS1500" s="350"/>
      <c r="BT1500" s="350"/>
      <c r="BU1500" s="350"/>
      <c r="BV1500" s="351"/>
    </row>
    <row r="1501" spans="1:74" ht="45" customHeight="1">
      <c r="A1501" s="24">
        <f t="shared" si="5"/>
        <v>1487</v>
      </c>
      <c r="B1501" s="522" t="s">
        <v>294</v>
      </c>
      <c r="C1501" s="351"/>
      <c r="D1501" s="523" t="s">
        <v>298</v>
      </c>
      <c r="E1501" s="351"/>
      <c r="F1501" s="524" t="s">
        <v>325</v>
      </c>
      <c r="G1501" s="351"/>
      <c r="H1501" s="561" t="s">
        <v>325</v>
      </c>
      <c r="I1501" s="351"/>
      <c r="J1501" s="562"/>
      <c r="K1501" s="351"/>
      <c r="L1501" s="562"/>
      <c r="M1501" s="351"/>
      <c r="N1501" s="37"/>
      <c r="O1501" s="38"/>
      <c r="P1501" s="560"/>
      <c r="Q1501" s="351"/>
      <c r="R1501" s="527"/>
      <c r="S1501" s="351"/>
      <c r="T1501" s="528"/>
      <c r="U1501" s="351"/>
      <c r="V1501" s="541"/>
      <c r="W1501" s="351"/>
      <c r="X1501" s="542" t="s">
        <v>294</v>
      </c>
      <c r="Y1501" s="350"/>
      <c r="Z1501" s="350"/>
      <c r="AA1501" s="351"/>
      <c r="AB1501" s="543" t="s">
        <v>294</v>
      </c>
      <c r="AC1501" s="350"/>
      <c r="AD1501" s="350"/>
      <c r="AE1501" s="351"/>
      <c r="AF1501" s="544"/>
      <c r="AG1501" s="351"/>
      <c r="AH1501" s="544"/>
      <c r="AI1501" s="351"/>
      <c r="AJ1501" s="545"/>
      <c r="AK1501" s="351"/>
      <c r="AL1501" s="524" t="s">
        <v>325</v>
      </c>
      <c r="AM1501" s="351"/>
      <c r="AN1501" s="549" t="s">
        <v>325</v>
      </c>
      <c r="AO1501" s="351"/>
      <c r="AP1501" s="550"/>
      <c r="AQ1501" s="351"/>
      <c r="AR1501" s="551"/>
      <c r="AS1501" s="351"/>
      <c r="AT1501" s="552"/>
      <c r="AU1501" s="351"/>
      <c r="AV1501" s="549" t="s">
        <v>325</v>
      </c>
      <c r="AW1501" s="351"/>
      <c r="AX1501" s="553"/>
      <c r="AY1501" s="350"/>
      <c r="AZ1501" s="351"/>
      <c r="BA1501" s="554"/>
      <c r="BB1501" s="351"/>
      <c r="BC1501" s="39"/>
      <c r="BD1501" s="546" t="s">
        <v>325</v>
      </c>
      <c r="BE1501" s="351"/>
      <c r="BF1501" s="547"/>
      <c r="BG1501" s="350"/>
      <c r="BH1501" s="350"/>
      <c r="BI1501" s="351"/>
      <c r="BJ1501" s="548" t="s">
        <v>294</v>
      </c>
      <c r="BK1501" s="350"/>
      <c r="BL1501" s="350"/>
      <c r="BM1501" s="351"/>
      <c r="BN1501" s="530" t="s">
        <v>294</v>
      </c>
      <c r="BO1501" s="350"/>
      <c r="BP1501" s="350"/>
      <c r="BQ1501" s="350"/>
      <c r="BR1501" s="350"/>
      <c r="BS1501" s="350"/>
      <c r="BT1501" s="350"/>
      <c r="BU1501" s="350"/>
      <c r="BV1501" s="351"/>
    </row>
    <row r="1502" spans="1:74" ht="45" customHeight="1">
      <c r="A1502" s="24">
        <f t="shared" si="5"/>
        <v>1488</v>
      </c>
      <c r="B1502" s="558" t="s">
        <v>294</v>
      </c>
      <c r="C1502" s="351"/>
      <c r="D1502" s="559" t="s">
        <v>298</v>
      </c>
      <c r="E1502" s="351"/>
      <c r="F1502" s="524" t="s">
        <v>325</v>
      </c>
      <c r="G1502" s="351"/>
      <c r="H1502" s="525" t="s">
        <v>325</v>
      </c>
      <c r="I1502" s="351"/>
      <c r="J1502" s="40"/>
      <c r="K1502" s="41"/>
      <c r="L1502" s="40"/>
      <c r="M1502" s="41"/>
      <c r="N1502" s="34"/>
      <c r="O1502" s="35"/>
      <c r="P1502" s="526"/>
      <c r="Q1502" s="351"/>
      <c r="R1502" s="535"/>
      <c r="S1502" s="351"/>
      <c r="T1502" s="536"/>
      <c r="U1502" s="351"/>
      <c r="V1502" s="537"/>
      <c r="W1502" s="351"/>
      <c r="X1502" s="538" t="s">
        <v>294</v>
      </c>
      <c r="Y1502" s="350"/>
      <c r="Z1502" s="350"/>
      <c r="AA1502" s="351"/>
      <c r="AB1502" s="539" t="s">
        <v>294</v>
      </c>
      <c r="AC1502" s="350"/>
      <c r="AD1502" s="350"/>
      <c r="AE1502" s="351"/>
      <c r="AF1502" s="540"/>
      <c r="AG1502" s="351"/>
      <c r="AH1502" s="540"/>
      <c r="AI1502" s="351"/>
      <c r="AJ1502" s="545"/>
      <c r="AK1502" s="351"/>
      <c r="AL1502" s="555" t="s">
        <v>325</v>
      </c>
      <c r="AM1502" s="351"/>
      <c r="AN1502" s="531" t="s">
        <v>325</v>
      </c>
      <c r="AO1502" s="351"/>
      <c r="AP1502" s="532"/>
      <c r="AQ1502" s="351"/>
      <c r="AR1502" s="533"/>
      <c r="AS1502" s="351"/>
      <c r="AT1502" s="534"/>
      <c r="AU1502" s="351"/>
      <c r="AV1502" s="531" t="s">
        <v>325</v>
      </c>
      <c r="AW1502" s="351"/>
      <c r="AX1502" s="553"/>
      <c r="AY1502" s="350"/>
      <c r="AZ1502" s="351"/>
      <c r="BA1502" s="545"/>
      <c r="BB1502" s="351"/>
      <c r="BC1502" s="36"/>
      <c r="BD1502" s="556" t="s">
        <v>325</v>
      </c>
      <c r="BE1502" s="351"/>
      <c r="BF1502" s="557"/>
      <c r="BG1502" s="350"/>
      <c r="BH1502" s="350"/>
      <c r="BI1502" s="351"/>
      <c r="BJ1502" s="506" t="s">
        <v>294</v>
      </c>
      <c r="BK1502" s="350"/>
      <c r="BL1502" s="350"/>
      <c r="BM1502" s="351"/>
      <c r="BN1502" s="530" t="s">
        <v>294</v>
      </c>
      <c r="BO1502" s="350"/>
      <c r="BP1502" s="350"/>
      <c r="BQ1502" s="350"/>
      <c r="BR1502" s="350"/>
      <c r="BS1502" s="350"/>
      <c r="BT1502" s="350"/>
      <c r="BU1502" s="350"/>
      <c r="BV1502" s="351"/>
    </row>
    <row r="1503" spans="1:74" ht="45" customHeight="1">
      <c r="A1503" s="24">
        <f t="shared" si="5"/>
        <v>1489</v>
      </c>
      <c r="B1503" s="522" t="s">
        <v>294</v>
      </c>
      <c r="C1503" s="351"/>
      <c r="D1503" s="523" t="s">
        <v>298</v>
      </c>
      <c r="E1503" s="351"/>
      <c r="F1503" s="524" t="s">
        <v>325</v>
      </c>
      <c r="G1503" s="351"/>
      <c r="H1503" s="561" t="s">
        <v>325</v>
      </c>
      <c r="I1503" s="351"/>
      <c r="J1503" s="562"/>
      <c r="K1503" s="351"/>
      <c r="L1503" s="562"/>
      <c r="M1503" s="351"/>
      <c r="N1503" s="37"/>
      <c r="O1503" s="38"/>
      <c r="P1503" s="560"/>
      <c r="Q1503" s="351"/>
      <c r="R1503" s="527"/>
      <c r="S1503" s="351"/>
      <c r="T1503" s="528"/>
      <c r="U1503" s="351"/>
      <c r="V1503" s="541"/>
      <c r="W1503" s="351"/>
      <c r="X1503" s="542" t="s">
        <v>294</v>
      </c>
      <c r="Y1503" s="350"/>
      <c r="Z1503" s="350"/>
      <c r="AA1503" s="351"/>
      <c r="AB1503" s="543" t="s">
        <v>294</v>
      </c>
      <c r="AC1503" s="350"/>
      <c r="AD1503" s="350"/>
      <c r="AE1503" s="351"/>
      <c r="AF1503" s="544"/>
      <c r="AG1503" s="351"/>
      <c r="AH1503" s="544"/>
      <c r="AI1503" s="351"/>
      <c r="AJ1503" s="545"/>
      <c r="AK1503" s="351"/>
      <c r="AL1503" s="524" t="s">
        <v>325</v>
      </c>
      <c r="AM1503" s="351"/>
      <c r="AN1503" s="549" t="s">
        <v>325</v>
      </c>
      <c r="AO1503" s="351"/>
      <c r="AP1503" s="550"/>
      <c r="AQ1503" s="351"/>
      <c r="AR1503" s="551"/>
      <c r="AS1503" s="351"/>
      <c r="AT1503" s="552"/>
      <c r="AU1503" s="351"/>
      <c r="AV1503" s="549" t="s">
        <v>325</v>
      </c>
      <c r="AW1503" s="351"/>
      <c r="AX1503" s="553"/>
      <c r="AY1503" s="350"/>
      <c r="AZ1503" s="351"/>
      <c r="BA1503" s="554"/>
      <c r="BB1503" s="351"/>
      <c r="BC1503" s="39"/>
      <c r="BD1503" s="546" t="s">
        <v>325</v>
      </c>
      <c r="BE1503" s="351"/>
      <c r="BF1503" s="547"/>
      <c r="BG1503" s="350"/>
      <c r="BH1503" s="350"/>
      <c r="BI1503" s="351"/>
      <c r="BJ1503" s="548" t="s">
        <v>294</v>
      </c>
      <c r="BK1503" s="350"/>
      <c r="BL1503" s="350"/>
      <c r="BM1503" s="351"/>
      <c r="BN1503" s="530" t="s">
        <v>294</v>
      </c>
      <c r="BO1503" s="350"/>
      <c r="BP1503" s="350"/>
      <c r="BQ1503" s="350"/>
      <c r="BR1503" s="350"/>
      <c r="BS1503" s="350"/>
      <c r="BT1503" s="350"/>
      <c r="BU1503" s="350"/>
      <c r="BV1503" s="351"/>
    </row>
    <row r="1504" spans="1:74" ht="45" customHeight="1">
      <c r="A1504" s="24">
        <f t="shared" si="5"/>
        <v>1490</v>
      </c>
      <c r="B1504" s="558" t="s">
        <v>294</v>
      </c>
      <c r="C1504" s="351"/>
      <c r="D1504" s="559" t="s">
        <v>298</v>
      </c>
      <c r="E1504" s="351"/>
      <c r="F1504" s="524" t="s">
        <v>325</v>
      </c>
      <c r="G1504" s="351"/>
      <c r="H1504" s="525" t="s">
        <v>325</v>
      </c>
      <c r="I1504" s="351"/>
      <c r="J1504" s="40"/>
      <c r="K1504" s="41"/>
      <c r="L1504" s="40"/>
      <c r="M1504" s="41"/>
      <c r="N1504" s="34"/>
      <c r="O1504" s="35"/>
      <c r="P1504" s="526"/>
      <c r="Q1504" s="351"/>
      <c r="R1504" s="535"/>
      <c r="S1504" s="351"/>
      <c r="T1504" s="536"/>
      <c r="U1504" s="351"/>
      <c r="V1504" s="537"/>
      <c r="W1504" s="351"/>
      <c r="X1504" s="538" t="s">
        <v>294</v>
      </c>
      <c r="Y1504" s="350"/>
      <c r="Z1504" s="350"/>
      <c r="AA1504" s="351"/>
      <c r="AB1504" s="539" t="s">
        <v>294</v>
      </c>
      <c r="AC1504" s="350"/>
      <c r="AD1504" s="350"/>
      <c r="AE1504" s="351"/>
      <c r="AF1504" s="540"/>
      <c r="AG1504" s="351"/>
      <c r="AH1504" s="540"/>
      <c r="AI1504" s="351"/>
      <c r="AJ1504" s="545"/>
      <c r="AK1504" s="351"/>
      <c r="AL1504" s="555" t="s">
        <v>325</v>
      </c>
      <c r="AM1504" s="351"/>
      <c r="AN1504" s="531" t="s">
        <v>325</v>
      </c>
      <c r="AO1504" s="351"/>
      <c r="AP1504" s="532"/>
      <c r="AQ1504" s="351"/>
      <c r="AR1504" s="533"/>
      <c r="AS1504" s="351"/>
      <c r="AT1504" s="534"/>
      <c r="AU1504" s="351"/>
      <c r="AV1504" s="531" t="s">
        <v>325</v>
      </c>
      <c r="AW1504" s="351"/>
      <c r="AX1504" s="553"/>
      <c r="AY1504" s="350"/>
      <c r="AZ1504" s="351"/>
      <c r="BA1504" s="545"/>
      <c r="BB1504" s="351"/>
      <c r="BC1504" s="36"/>
      <c r="BD1504" s="556" t="s">
        <v>325</v>
      </c>
      <c r="BE1504" s="351"/>
      <c r="BF1504" s="557"/>
      <c r="BG1504" s="350"/>
      <c r="BH1504" s="350"/>
      <c r="BI1504" s="351"/>
      <c r="BJ1504" s="506" t="s">
        <v>294</v>
      </c>
      <c r="BK1504" s="350"/>
      <c r="BL1504" s="350"/>
      <c r="BM1504" s="351"/>
      <c r="BN1504" s="530" t="s">
        <v>294</v>
      </c>
      <c r="BO1504" s="350"/>
      <c r="BP1504" s="350"/>
      <c r="BQ1504" s="350"/>
      <c r="BR1504" s="350"/>
      <c r="BS1504" s="350"/>
      <c r="BT1504" s="350"/>
      <c r="BU1504" s="350"/>
      <c r="BV1504" s="351"/>
    </row>
    <row r="1505" spans="1:74" ht="45" customHeight="1">
      <c r="A1505" s="24">
        <f t="shared" si="5"/>
        <v>1491</v>
      </c>
      <c r="B1505" s="522" t="s">
        <v>294</v>
      </c>
      <c r="C1505" s="351"/>
      <c r="D1505" s="523" t="s">
        <v>298</v>
      </c>
      <c r="E1505" s="351"/>
      <c r="F1505" s="524" t="s">
        <v>325</v>
      </c>
      <c r="G1505" s="351"/>
      <c r="H1505" s="549" t="s">
        <v>325</v>
      </c>
      <c r="I1505" s="351"/>
      <c r="J1505" s="563"/>
      <c r="K1505" s="351"/>
      <c r="L1505" s="563"/>
      <c r="M1505" s="351"/>
      <c r="N1505" s="37"/>
      <c r="O1505" s="38"/>
      <c r="P1505" s="560"/>
      <c r="Q1505" s="351"/>
      <c r="R1505" s="527"/>
      <c r="S1505" s="351"/>
      <c r="T1505" s="528"/>
      <c r="U1505" s="351"/>
      <c r="V1505" s="541"/>
      <c r="W1505" s="351"/>
      <c r="X1505" s="542" t="s">
        <v>294</v>
      </c>
      <c r="Y1505" s="350"/>
      <c r="Z1505" s="350"/>
      <c r="AA1505" s="351"/>
      <c r="AB1505" s="543" t="s">
        <v>294</v>
      </c>
      <c r="AC1505" s="350"/>
      <c r="AD1505" s="350"/>
      <c r="AE1505" s="351"/>
      <c r="AF1505" s="544"/>
      <c r="AG1505" s="351"/>
      <c r="AH1505" s="544"/>
      <c r="AI1505" s="351"/>
      <c r="AJ1505" s="545"/>
      <c r="AK1505" s="351"/>
      <c r="AL1505" s="524" t="s">
        <v>325</v>
      </c>
      <c r="AM1505" s="351"/>
      <c r="AN1505" s="549" t="s">
        <v>325</v>
      </c>
      <c r="AO1505" s="351"/>
      <c r="AP1505" s="550"/>
      <c r="AQ1505" s="351"/>
      <c r="AR1505" s="551"/>
      <c r="AS1505" s="351"/>
      <c r="AT1505" s="552"/>
      <c r="AU1505" s="351"/>
      <c r="AV1505" s="549" t="s">
        <v>325</v>
      </c>
      <c r="AW1505" s="351"/>
      <c r="AX1505" s="553"/>
      <c r="AY1505" s="350"/>
      <c r="AZ1505" s="351"/>
      <c r="BA1505" s="554"/>
      <c r="BB1505" s="351"/>
      <c r="BC1505" s="39"/>
      <c r="BD1505" s="546" t="s">
        <v>325</v>
      </c>
      <c r="BE1505" s="351"/>
      <c r="BF1505" s="547"/>
      <c r="BG1505" s="350"/>
      <c r="BH1505" s="350"/>
      <c r="BI1505" s="351"/>
      <c r="BJ1505" s="548" t="s">
        <v>294</v>
      </c>
      <c r="BK1505" s="350"/>
      <c r="BL1505" s="350"/>
      <c r="BM1505" s="351"/>
      <c r="BN1505" s="530" t="s">
        <v>294</v>
      </c>
      <c r="BO1505" s="350"/>
      <c r="BP1505" s="350"/>
      <c r="BQ1505" s="350"/>
      <c r="BR1505" s="350"/>
      <c r="BS1505" s="350"/>
      <c r="BT1505" s="350"/>
      <c r="BU1505" s="350"/>
      <c r="BV1505" s="351"/>
    </row>
    <row r="1506" spans="1:74" ht="45" customHeight="1">
      <c r="A1506" s="24">
        <f t="shared" si="5"/>
        <v>1492</v>
      </c>
      <c r="B1506" s="558" t="s">
        <v>294</v>
      </c>
      <c r="C1506" s="351"/>
      <c r="D1506" s="559" t="s">
        <v>298</v>
      </c>
      <c r="E1506" s="351"/>
      <c r="F1506" s="524" t="s">
        <v>325</v>
      </c>
      <c r="G1506" s="351"/>
      <c r="H1506" s="531" t="s">
        <v>325</v>
      </c>
      <c r="I1506" s="351"/>
      <c r="J1506" s="562"/>
      <c r="K1506" s="351"/>
      <c r="L1506" s="562"/>
      <c r="M1506" s="351"/>
      <c r="N1506" s="34"/>
      <c r="O1506" s="35"/>
      <c r="P1506" s="526"/>
      <c r="Q1506" s="351"/>
      <c r="R1506" s="535"/>
      <c r="S1506" s="351"/>
      <c r="T1506" s="536"/>
      <c r="U1506" s="351"/>
      <c r="V1506" s="537"/>
      <c r="W1506" s="351"/>
      <c r="X1506" s="538" t="s">
        <v>294</v>
      </c>
      <c r="Y1506" s="350"/>
      <c r="Z1506" s="350"/>
      <c r="AA1506" s="351"/>
      <c r="AB1506" s="539" t="s">
        <v>294</v>
      </c>
      <c r="AC1506" s="350"/>
      <c r="AD1506" s="350"/>
      <c r="AE1506" s="351"/>
      <c r="AF1506" s="540"/>
      <c r="AG1506" s="351"/>
      <c r="AH1506" s="540"/>
      <c r="AI1506" s="351"/>
      <c r="AJ1506" s="545"/>
      <c r="AK1506" s="351"/>
      <c r="AL1506" s="555" t="s">
        <v>325</v>
      </c>
      <c r="AM1506" s="351"/>
      <c r="AN1506" s="531" t="s">
        <v>325</v>
      </c>
      <c r="AO1506" s="351"/>
      <c r="AP1506" s="532"/>
      <c r="AQ1506" s="351"/>
      <c r="AR1506" s="533"/>
      <c r="AS1506" s="351"/>
      <c r="AT1506" s="534"/>
      <c r="AU1506" s="351"/>
      <c r="AV1506" s="531" t="s">
        <v>325</v>
      </c>
      <c r="AW1506" s="351"/>
      <c r="AX1506" s="553"/>
      <c r="AY1506" s="350"/>
      <c r="AZ1506" s="351"/>
      <c r="BA1506" s="545"/>
      <c r="BB1506" s="351"/>
      <c r="BC1506" s="36"/>
      <c r="BD1506" s="556" t="s">
        <v>325</v>
      </c>
      <c r="BE1506" s="351"/>
      <c r="BF1506" s="529"/>
      <c r="BG1506" s="350"/>
      <c r="BH1506" s="350"/>
      <c r="BI1506" s="351"/>
      <c r="BJ1506" s="506" t="s">
        <v>294</v>
      </c>
      <c r="BK1506" s="350"/>
      <c r="BL1506" s="350"/>
      <c r="BM1506" s="351"/>
      <c r="BN1506" s="530" t="s">
        <v>294</v>
      </c>
      <c r="BO1506" s="350"/>
      <c r="BP1506" s="350"/>
      <c r="BQ1506" s="350"/>
      <c r="BR1506" s="350"/>
      <c r="BS1506" s="350"/>
      <c r="BT1506" s="350"/>
      <c r="BU1506" s="350"/>
      <c r="BV1506" s="351"/>
    </row>
    <row r="1507" spans="1:74" ht="45" customHeight="1">
      <c r="A1507" s="24">
        <f t="shared" si="5"/>
        <v>1493</v>
      </c>
      <c r="B1507" s="522" t="s">
        <v>294</v>
      </c>
      <c r="C1507" s="351"/>
      <c r="D1507" s="523" t="s">
        <v>298</v>
      </c>
      <c r="E1507" s="351"/>
      <c r="F1507" s="524" t="s">
        <v>325</v>
      </c>
      <c r="G1507" s="351"/>
      <c r="H1507" s="549" t="s">
        <v>325</v>
      </c>
      <c r="I1507" s="351"/>
      <c r="J1507" s="563"/>
      <c r="K1507" s="351"/>
      <c r="L1507" s="563"/>
      <c r="M1507" s="351"/>
      <c r="N1507" s="37"/>
      <c r="O1507" s="38"/>
      <c r="P1507" s="560"/>
      <c r="Q1507" s="351"/>
      <c r="R1507" s="527"/>
      <c r="S1507" s="351"/>
      <c r="T1507" s="528"/>
      <c r="U1507" s="351"/>
      <c r="V1507" s="541"/>
      <c r="W1507" s="351"/>
      <c r="X1507" s="542" t="s">
        <v>294</v>
      </c>
      <c r="Y1507" s="350"/>
      <c r="Z1507" s="350"/>
      <c r="AA1507" s="351"/>
      <c r="AB1507" s="543" t="s">
        <v>294</v>
      </c>
      <c r="AC1507" s="350"/>
      <c r="AD1507" s="350"/>
      <c r="AE1507" s="351"/>
      <c r="AF1507" s="544"/>
      <c r="AG1507" s="351"/>
      <c r="AH1507" s="544"/>
      <c r="AI1507" s="351"/>
      <c r="AJ1507" s="545"/>
      <c r="AK1507" s="351"/>
      <c r="AL1507" s="524" t="s">
        <v>325</v>
      </c>
      <c r="AM1507" s="351"/>
      <c r="AN1507" s="549" t="s">
        <v>325</v>
      </c>
      <c r="AO1507" s="351"/>
      <c r="AP1507" s="550"/>
      <c r="AQ1507" s="351"/>
      <c r="AR1507" s="551"/>
      <c r="AS1507" s="351"/>
      <c r="AT1507" s="552"/>
      <c r="AU1507" s="351"/>
      <c r="AV1507" s="549" t="s">
        <v>325</v>
      </c>
      <c r="AW1507" s="351"/>
      <c r="AX1507" s="553"/>
      <c r="AY1507" s="350"/>
      <c r="AZ1507" s="351"/>
      <c r="BA1507" s="554"/>
      <c r="BB1507" s="351"/>
      <c r="BC1507" s="39"/>
      <c r="BD1507" s="546" t="s">
        <v>325</v>
      </c>
      <c r="BE1507" s="351"/>
      <c r="BF1507" s="547"/>
      <c r="BG1507" s="350"/>
      <c r="BH1507" s="350"/>
      <c r="BI1507" s="351"/>
      <c r="BJ1507" s="548" t="s">
        <v>294</v>
      </c>
      <c r="BK1507" s="350"/>
      <c r="BL1507" s="350"/>
      <c r="BM1507" s="351"/>
      <c r="BN1507" s="530" t="s">
        <v>294</v>
      </c>
      <c r="BO1507" s="350"/>
      <c r="BP1507" s="350"/>
      <c r="BQ1507" s="350"/>
      <c r="BR1507" s="350"/>
      <c r="BS1507" s="350"/>
      <c r="BT1507" s="350"/>
      <c r="BU1507" s="350"/>
      <c r="BV1507" s="351"/>
    </row>
    <row r="1508" spans="1:74" ht="45" customHeight="1">
      <c r="A1508" s="24">
        <f t="shared" si="5"/>
        <v>1494</v>
      </c>
      <c r="B1508" s="558" t="s">
        <v>294</v>
      </c>
      <c r="C1508" s="351"/>
      <c r="D1508" s="559" t="s">
        <v>298</v>
      </c>
      <c r="E1508" s="351"/>
      <c r="F1508" s="524" t="s">
        <v>325</v>
      </c>
      <c r="G1508" s="351"/>
      <c r="H1508" s="531" t="s">
        <v>325</v>
      </c>
      <c r="I1508" s="351"/>
      <c r="J1508" s="562"/>
      <c r="K1508" s="351"/>
      <c r="L1508" s="562"/>
      <c r="M1508" s="351"/>
      <c r="N1508" s="34"/>
      <c r="O1508" s="35"/>
      <c r="P1508" s="526"/>
      <c r="Q1508" s="351"/>
      <c r="R1508" s="535"/>
      <c r="S1508" s="351"/>
      <c r="T1508" s="536"/>
      <c r="U1508" s="351"/>
      <c r="V1508" s="537"/>
      <c r="W1508" s="351"/>
      <c r="X1508" s="538" t="s">
        <v>294</v>
      </c>
      <c r="Y1508" s="350"/>
      <c r="Z1508" s="350"/>
      <c r="AA1508" s="351"/>
      <c r="AB1508" s="539" t="s">
        <v>294</v>
      </c>
      <c r="AC1508" s="350"/>
      <c r="AD1508" s="350"/>
      <c r="AE1508" s="351"/>
      <c r="AF1508" s="540"/>
      <c r="AG1508" s="351"/>
      <c r="AH1508" s="540"/>
      <c r="AI1508" s="351"/>
      <c r="AJ1508" s="545"/>
      <c r="AK1508" s="351"/>
      <c r="AL1508" s="555" t="s">
        <v>325</v>
      </c>
      <c r="AM1508" s="351"/>
      <c r="AN1508" s="531" t="s">
        <v>325</v>
      </c>
      <c r="AO1508" s="351"/>
      <c r="AP1508" s="532"/>
      <c r="AQ1508" s="351"/>
      <c r="AR1508" s="533"/>
      <c r="AS1508" s="351"/>
      <c r="AT1508" s="534"/>
      <c r="AU1508" s="351"/>
      <c r="AV1508" s="531" t="s">
        <v>325</v>
      </c>
      <c r="AW1508" s="351"/>
      <c r="AX1508" s="553"/>
      <c r="AY1508" s="350"/>
      <c r="AZ1508" s="351"/>
      <c r="BA1508" s="545"/>
      <c r="BB1508" s="351"/>
      <c r="BC1508" s="36"/>
      <c r="BD1508" s="556" t="s">
        <v>325</v>
      </c>
      <c r="BE1508" s="351"/>
      <c r="BF1508" s="557"/>
      <c r="BG1508" s="350"/>
      <c r="BH1508" s="350"/>
      <c r="BI1508" s="351"/>
      <c r="BJ1508" s="506" t="s">
        <v>294</v>
      </c>
      <c r="BK1508" s="350"/>
      <c r="BL1508" s="350"/>
      <c r="BM1508" s="351"/>
      <c r="BN1508" s="530" t="s">
        <v>294</v>
      </c>
      <c r="BO1508" s="350"/>
      <c r="BP1508" s="350"/>
      <c r="BQ1508" s="350"/>
      <c r="BR1508" s="350"/>
      <c r="BS1508" s="350"/>
      <c r="BT1508" s="350"/>
      <c r="BU1508" s="350"/>
      <c r="BV1508" s="351"/>
    </row>
    <row r="1509" spans="1:74" ht="45" customHeight="1">
      <c r="A1509" s="24">
        <f t="shared" si="5"/>
        <v>1495</v>
      </c>
      <c r="B1509" s="522" t="s">
        <v>294</v>
      </c>
      <c r="C1509" s="351"/>
      <c r="D1509" s="523" t="s">
        <v>298</v>
      </c>
      <c r="E1509" s="351"/>
      <c r="F1509" s="524" t="s">
        <v>325</v>
      </c>
      <c r="G1509" s="351"/>
      <c r="H1509" s="549" t="s">
        <v>325</v>
      </c>
      <c r="I1509" s="351"/>
      <c r="J1509" s="563"/>
      <c r="K1509" s="351"/>
      <c r="L1509" s="563"/>
      <c r="M1509" s="351"/>
      <c r="N1509" s="34"/>
      <c r="O1509" s="35"/>
      <c r="P1509" s="526"/>
      <c r="Q1509" s="351"/>
      <c r="R1509" s="527"/>
      <c r="S1509" s="351"/>
      <c r="T1509" s="528"/>
      <c r="U1509" s="351"/>
      <c r="V1509" s="541"/>
      <c r="W1509" s="351"/>
      <c r="X1509" s="542" t="s">
        <v>294</v>
      </c>
      <c r="Y1509" s="350"/>
      <c r="Z1509" s="350"/>
      <c r="AA1509" s="351"/>
      <c r="AB1509" s="543" t="s">
        <v>294</v>
      </c>
      <c r="AC1509" s="350"/>
      <c r="AD1509" s="350"/>
      <c r="AE1509" s="351"/>
      <c r="AF1509" s="544"/>
      <c r="AG1509" s="351"/>
      <c r="AH1509" s="544"/>
      <c r="AI1509" s="351"/>
      <c r="AJ1509" s="545"/>
      <c r="AK1509" s="351"/>
      <c r="AL1509" s="524" t="s">
        <v>325</v>
      </c>
      <c r="AM1509" s="351"/>
      <c r="AN1509" s="549" t="s">
        <v>325</v>
      </c>
      <c r="AO1509" s="351"/>
      <c r="AP1509" s="550"/>
      <c r="AQ1509" s="351"/>
      <c r="AR1509" s="551"/>
      <c r="AS1509" s="351"/>
      <c r="AT1509" s="534"/>
      <c r="AU1509" s="351"/>
      <c r="AV1509" s="549" t="s">
        <v>325</v>
      </c>
      <c r="AW1509" s="351"/>
      <c r="AX1509" s="553"/>
      <c r="AY1509" s="350"/>
      <c r="AZ1509" s="351"/>
      <c r="BA1509" s="554"/>
      <c r="BB1509" s="351"/>
      <c r="BC1509" s="39"/>
      <c r="BD1509" s="546" t="s">
        <v>325</v>
      </c>
      <c r="BE1509" s="351"/>
      <c r="BF1509" s="547"/>
      <c r="BG1509" s="350"/>
      <c r="BH1509" s="350"/>
      <c r="BI1509" s="351"/>
      <c r="BJ1509" s="548" t="s">
        <v>294</v>
      </c>
      <c r="BK1509" s="350"/>
      <c r="BL1509" s="350"/>
      <c r="BM1509" s="351"/>
      <c r="BN1509" s="530" t="s">
        <v>294</v>
      </c>
      <c r="BO1509" s="350"/>
      <c r="BP1509" s="350"/>
      <c r="BQ1509" s="350"/>
      <c r="BR1509" s="350"/>
      <c r="BS1509" s="350"/>
      <c r="BT1509" s="350"/>
      <c r="BU1509" s="350"/>
      <c r="BV1509" s="351"/>
    </row>
    <row r="1510" spans="1:74" ht="45" customHeight="1">
      <c r="A1510" s="24">
        <f t="shared" si="5"/>
        <v>1496</v>
      </c>
      <c r="B1510" s="558" t="s">
        <v>294</v>
      </c>
      <c r="C1510" s="351"/>
      <c r="D1510" s="559" t="s">
        <v>298</v>
      </c>
      <c r="E1510" s="351"/>
      <c r="F1510" s="524" t="s">
        <v>325</v>
      </c>
      <c r="G1510" s="351"/>
      <c r="H1510" s="531" t="s">
        <v>325</v>
      </c>
      <c r="I1510" s="351"/>
      <c r="J1510" s="562"/>
      <c r="K1510" s="351"/>
      <c r="L1510" s="562"/>
      <c r="M1510" s="351"/>
      <c r="N1510" s="37"/>
      <c r="O1510" s="38"/>
      <c r="P1510" s="560"/>
      <c r="Q1510" s="351"/>
      <c r="R1510" s="535"/>
      <c r="S1510" s="351"/>
      <c r="T1510" s="536"/>
      <c r="U1510" s="351"/>
      <c r="V1510" s="537"/>
      <c r="W1510" s="351"/>
      <c r="X1510" s="538" t="s">
        <v>294</v>
      </c>
      <c r="Y1510" s="350"/>
      <c r="Z1510" s="350"/>
      <c r="AA1510" s="351"/>
      <c r="AB1510" s="539" t="s">
        <v>294</v>
      </c>
      <c r="AC1510" s="350"/>
      <c r="AD1510" s="350"/>
      <c r="AE1510" s="351"/>
      <c r="AF1510" s="540"/>
      <c r="AG1510" s="351"/>
      <c r="AH1510" s="540"/>
      <c r="AI1510" s="351"/>
      <c r="AJ1510" s="545"/>
      <c r="AK1510" s="351"/>
      <c r="AL1510" s="555" t="s">
        <v>325</v>
      </c>
      <c r="AM1510" s="351"/>
      <c r="AN1510" s="531" t="s">
        <v>325</v>
      </c>
      <c r="AO1510" s="351"/>
      <c r="AP1510" s="532"/>
      <c r="AQ1510" s="351"/>
      <c r="AR1510" s="533"/>
      <c r="AS1510" s="351"/>
      <c r="AT1510" s="534"/>
      <c r="AU1510" s="351"/>
      <c r="AV1510" s="531" t="s">
        <v>325</v>
      </c>
      <c r="AW1510" s="351"/>
      <c r="AX1510" s="553"/>
      <c r="AY1510" s="350"/>
      <c r="AZ1510" s="351"/>
      <c r="BA1510" s="545"/>
      <c r="BB1510" s="351"/>
      <c r="BC1510" s="36"/>
      <c r="BD1510" s="556" t="s">
        <v>325</v>
      </c>
      <c r="BE1510" s="351"/>
      <c r="BF1510" s="557"/>
      <c r="BG1510" s="350"/>
      <c r="BH1510" s="350"/>
      <c r="BI1510" s="351"/>
      <c r="BJ1510" s="506" t="s">
        <v>294</v>
      </c>
      <c r="BK1510" s="350"/>
      <c r="BL1510" s="350"/>
      <c r="BM1510" s="351"/>
      <c r="BN1510" s="530" t="s">
        <v>294</v>
      </c>
      <c r="BO1510" s="350"/>
      <c r="BP1510" s="350"/>
      <c r="BQ1510" s="350"/>
      <c r="BR1510" s="350"/>
      <c r="BS1510" s="350"/>
      <c r="BT1510" s="350"/>
      <c r="BU1510" s="350"/>
      <c r="BV1510" s="351"/>
    </row>
    <row r="1511" spans="1:74" ht="45" customHeight="1">
      <c r="A1511" s="24">
        <f t="shared" si="5"/>
        <v>1497</v>
      </c>
      <c r="B1511" s="522" t="s">
        <v>294</v>
      </c>
      <c r="C1511" s="351"/>
      <c r="D1511" s="523" t="s">
        <v>298</v>
      </c>
      <c r="E1511" s="351"/>
      <c r="F1511" s="524" t="s">
        <v>325</v>
      </c>
      <c r="G1511" s="351"/>
      <c r="H1511" s="549" t="s">
        <v>325</v>
      </c>
      <c r="I1511" s="351"/>
      <c r="J1511" s="563"/>
      <c r="K1511" s="351"/>
      <c r="L1511" s="563"/>
      <c r="M1511" s="351"/>
      <c r="N1511" s="34"/>
      <c r="O1511" s="35"/>
      <c r="P1511" s="526"/>
      <c r="Q1511" s="351"/>
      <c r="R1511" s="527"/>
      <c r="S1511" s="351"/>
      <c r="T1511" s="528"/>
      <c r="U1511" s="351"/>
      <c r="V1511" s="541"/>
      <c r="W1511" s="351"/>
      <c r="X1511" s="542" t="s">
        <v>294</v>
      </c>
      <c r="Y1511" s="350"/>
      <c r="Z1511" s="350"/>
      <c r="AA1511" s="351"/>
      <c r="AB1511" s="543" t="s">
        <v>294</v>
      </c>
      <c r="AC1511" s="350"/>
      <c r="AD1511" s="350"/>
      <c r="AE1511" s="351"/>
      <c r="AF1511" s="544"/>
      <c r="AG1511" s="351"/>
      <c r="AH1511" s="544"/>
      <c r="AI1511" s="351"/>
      <c r="AJ1511" s="545"/>
      <c r="AK1511" s="351"/>
      <c r="AL1511" s="524" t="s">
        <v>325</v>
      </c>
      <c r="AM1511" s="351"/>
      <c r="AN1511" s="549" t="s">
        <v>325</v>
      </c>
      <c r="AO1511" s="351"/>
      <c r="AP1511" s="550"/>
      <c r="AQ1511" s="351"/>
      <c r="AR1511" s="551"/>
      <c r="AS1511" s="351"/>
      <c r="AT1511" s="534"/>
      <c r="AU1511" s="351"/>
      <c r="AV1511" s="549" t="s">
        <v>325</v>
      </c>
      <c r="AW1511" s="351"/>
      <c r="AX1511" s="553"/>
      <c r="AY1511" s="350"/>
      <c r="AZ1511" s="351"/>
      <c r="BA1511" s="554"/>
      <c r="BB1511" s="351"/>
      <c r="BC1511" s="39"/>
      <c r="BD1511" s="546" t="s">
        <v>325</v>
      </c>
      <c r="BE1511" s="351"/>
      <c r="BF1511" s="547"/>
      <c r="BG1511" s="350"/>
      <c r="BH1511" s="350"/>
      <c r="BI1511" s="351"/>
      <c r="BJ1511" s="548" t="s">
        <v>294</v>
      </c>
      <c r="BK1511" s="350"/>
      <c r="BL1511" s="350"/>
      <c r="BM1511" s="351"/>
      <c r="BN1511" s="530" t="s">
        <v>294</v>
      </c>
      <c r="BO1511" s="350"/>
      <c r="BP1511" s="350"/>
      <c r="BQ1511" s="350"/>
      <c r="BR1511" s="350"/>
      <c r="BS1511" s="350"/>
      <c r="BT1511" s="350"/>
      <c r="BU1511" s="350"/>
      <c r="BV1511" s="351"/>
    </row>
    <row r="1512" spans="1:74" ht="45" customHeight="1">
      <c r="A1512" s="24">
        <f t="shared" si="5"/>
        <v>1498</v>
      </c>
      <c r="B1512" s="558" t="s">
        <v>294</v>
      </c>
      <c r="C1512" s="351"/>
      <c r="D1512" s="559" t="s">
        <v>298</v>
      </c>
      <c r="E1512" s="351"/>
      <c r="F1512" s="524" t="s">
        <v>325</v>
      </c>
      <c r="G1512" s="351"/>
      <c r="H1512" s="531" t="s">
        <v>325</v>
      </c>
      <c r="I1512" s="351"/>
      <c r="J1512" s="562"/>
      <c r="K1512" s="351"/>
      <c r="L1512" s="562"/>
      <c r="M1512" s="351"/>
      <c r="N1512" s="37"/>
      <c r="O1512" s="38"/>
      <c r="P1512" s="560"/>
      <c r="Q1512" s="351"/>
      <c r="R1512" s="535"/>
      <c r="S1512" s="351"/>
      <c r="T1512" s="536"/>
      <c r="U1512" s="351"/>
      <c r="V1512" s="537"/>
      <c r="W1512" s="351"/>
      <c r="X1512" s="538" t="s">
        <v>294</v>
      </c>
      <c r="Y1512" s="350"/>
      <c r="Z1512" s="350"/>
      <c r="AA1512" s="351"/>
      <c r="AB1512" s="539" t="s">
        <v>294</v>
      </c>
      <c r="AC1512" s="350"/>
      <c r="AD1512" s="350"/>
      <c r="AE1512" s="351"/>
      <c r="AF1512" s="540"/>
      <c r="AG1512" s="351"/>
      <c r="AH1512" s="540"/>
      <c r="AI1512" s="351"/>
      <c r="AJ1512" s="545"/>
      <c r="AK1512" s="351"/>
      <c r="AL1512" s="555" t="s">
        <v>325</v>
      </c>
      <c r="AM1512" s="351"/>
      <c r="AN1512" s="531" t="s">
        <v>325</v>
      </c>
      <c r="AO1512" s="351"/>
      <c r="AP1512" s="532"/>
      <c r="AQ1512" s="351"/>
      <c r="AR1512" s="533"/>
      <c r="AS1512" s="351"/>
      <c r="AT1512" s="534"/>
      <c r="AU1512" s="351"/>
      <c r="AV1512" s="531" t="s">
        <v>325</v>
      </c>
      <c r="AW1512" s="351"/>
      <c r="AX1512" s="553"/>
      <c r="AY1512" s="350"/>
      <c r="AZ1512" s="351"/>
      <c r="BA1512" s="545"/>
      <c r="BB1512" s="351"/>
      <c r="BC1512" s="36"/>
      <c r="BD1512" s="556" t="s">
        <v>325</v>
      </c>
      <c r="BE1512" s="351"/>
      <c r="BF1512" s="557"/>
      <c r="BG1512" s="350"/>
      <c r="BH1512" s="350"/>
      <c r="BI1512" s="351"/>
      <c r="BJ1512" s="506" t="s">
        <v>294</v>
      </c>
      <c r="BK1512" s="350"/>
      <c r="BL1512" s="350"/>
      <c r="BM1512" s="351"/>
      <c r="BN1512" s="530" t="s">
        <v>294</v>
      </c>
      <c r="BO1512" s="350"/>
      <c r="BP1512" s="350"/>
      <c r="BQ1512" s="350"/>
      <c r="BR1512" s="350"/>
      <c r="BS1512" s="350"/>
      <c r="BT1512" s="350"/>
      <c r="BU1512" s="350"/>
      <c r="BV1512" s="351"/>
    </row>
    <row r="1513" spans="1:74" ht="45" customHeight="1">
      <c r="A1513" s="24">
        <f t="shared" si="5"/>
        <v>1499</v>
      </c>
      <c r="B1513" s="522" t="s">
        <v>294</v>
      </c>
      <c r="C1513" s="351"/>
      <c r="D1513" s="523" t="s">
        <v>298</v>
      </c>
      <c r="E1513" s="351"/>
      <c r="F1513" s="524" t="s">
        <v>325</v>
      </c>
      <c r="G1513" s="351"/>
      <c r="H1513" s="549" t="s">
        <v>325</v>
      </c>
      <c r="I1513" s="351"/>
      <c r="J1513" s="563"/>
      <c r="K1513" s="351"/>
      <c r="L1513" s="563"/>
      <c r="M1513" s="351"/>
      <c r="N1513" s="34"/>
      <c r="O1513" s="38"/>
      <c r="P1513" s="526"/>
      <c r="Q1513" s="351"/>
      <c r="R1513" s="527"/>
      <c r="S1513" s="351"/>
      <c r="T1513" s="528"/>
      <c r="U1513" s="351"/>
      <c r="V1513" s="541"/>
      <c r="W1513" s="351"/>
      <c r="X1513" s="542" t="s">
        <v>294</v>
      </c>
      <c r="Y1513" s="350"/>
      <c r="Z1513" s="350"/>
      <c r="AA1513" s="351"/>
      <c r="AB1513" s="543" t="s">
        <v>294</v>
      </c>
      <c r="AC1513" s="350"/>
      <c r="AD1513" s="350"/>
      <c r="AE1513" s="351"/>
      <c r="AF1513" s="544"/>
      <c r="AG1513" s="351"/>
      <c r="AH1513" s="544"/>
      <c r="AI1513" s="351"/>
      <c r="AJ1513" s="545"/>
      <c r="AK1513" s="351"/>
      <c r="AL1513" s="524" t="s">
        <v>325</v>
      </c>
      <c r="AM1513" s="351"/>
      <c r="AN1513" s="549" t="s">
        <v>325</v>
      </c>
      <c r="AO1513" s="351"/>
      <c r="AP1513" s="550"/>
      <c r="AQ1513" s="351"/>
      <c r="AR1513" s="551"/>
      <c r="AS1513" s="351"/>
      <c r="AT1513" s="552"/>
      <c r="AU1513" s="351"/>
      <c r="AV1513" s="549" t="s">
        <v>325</v>
      </c>
      <c r="AW1513" s="351"/>
      <c r="AX1513" s="553"/>
      <c r="AY1513" s="350"/>
      <c r="AZ1513" s="351"/>
      <c r="BA1513" s="554"/>
      <c r="BB1513" s="351"/>
      <c r="BC1513" s="39"/>
      <c r="BD1513" s="546" t="s">
        <v>325</v>
      </c>
      <c r="BE1513" s="351"/>
      <c r="BF1513" s="547"/>
      <c r="BG1513" s="350"/>
      <c r="BH1513" s="350"/>
      <c r="BI1513" s="351"/>
      <c r="BJ1513" s="548" t="s">
        <v>294</v>
      </c>
      <c r="BK1513" s="350"/>
      <c r="BL1513" s="350"/>
      <c r="BM1513" s="351"/>
      <c r="BN1513" s="530" t="s">
        <v>294</v>
      </c>
      <c r="BO1513" s="350"/>
      <c r="BP1513" s="350"/>
      <c r="BQ1513" s="350"/>
      <c r="BR1513" s="350"/>
      <c r="BS1513" s="350"/>
      <c r="BT1513" s="350"/>
      <c r="BU1513" s="350"/>
      <c r="BV1513" s="351"/>
    </row>
    <row r="1514" spans="1:74" ht="45" customHeight="1">
      <c r="A1514" s="24">
        <f t="shared" si="5"/>
        <v>1500</v>
      </c>
      <c r="B1514" s="558" t="s">
        <v>294</v>
      </c>
      <c r="C1514" s="351"/>
      <c r="D1514" s="559" t="s">
        <v>298</v>
      </c>
      <c r="E1514" s="351"/>
      <c r="F1514" s="524" t="s">
        <v>325</v>
      </c>
      <c r="G1514" s="351"/>
      <c r="H1514" s="531" t="s">
        <v>325</v>
      </c>
      <c r="I1514" s="351"/>
      <c r="J1514" s="562"/>
      <c r="K1514" s="351"/>
      <c r="L1514" s="562"/>
      <c r="M1514" s="351"/>
      <c r="N1514" s="37"/>
      <c r="O1514" s="35"/>
      <c r="P1514" s="560"/>
      <c r="Q1514" s="351"/>
      <c r="R1514" s="535"/>
      <c r="S1514" s="351"/>
      <c r="T1514" s="536"/>
      <c r="U1514" s="351"/>
      <c r="V1514" s="537"/>
      <c r="W1514" s="351"/>
      <c r="X1514" s="538" t="s">
        <v>294</v>
      </c>
      <c r="Y1514" s="350"/>
      <c r="Z1514" s="350"/>
      <c r="AA1514" s="351"/>
      <c r="AB1514" s="539" t="s">
        <v>294</v>
      </c>
      <c r="AC1514" s="350"/>
      <c r="AD1514" s="350"/>
      <c r="AE1514" s="351"/>
      <c r="AF1514" s="540"/>
      <c r="AG1514" s="351"/>
      <c r="AH1514" s="540"/>
      <c r="AI1514" s="351"/>
      <c r="AJ1514" s="545"/>
      <c r="AK1514" s="351"/>
      <c r="AL1514" s="555" t="s">
        <v>325</v>
      </c>
      <c r="AM1514" s="351"/>
      <c r="AN1514" s="531" t="s">
        <v>325</v>
      </c>
      <c r="AO1514" s="351"/>
      <c r="AP1514" s="532"/>
      <c r="AQ1514" s="351"/>
      <c r="AR1514" s="533"/>
      <c r="AS1514" s="351"/>
      <c r="AT1514" s="534"/>
      <c r="AU1514" s="351"/>
      <c r="AV1514" s="531" t="s">
        <v>325</v>
      </c>
      <c r="AW1514" s="351"/>
      <c r="AX1514" s="553"/>
      <c r="AY1514" s="350"/>
      <c r="AZ1514" s="351"/>
      <c r="BA1514" s="545"/>
      <c r="BB1514" s="351"/>
      <c r="BC1514" s="36"/>
      <c r="BD1514" s="556" t="s">
        <v>325</v>
      </c>
      <c r="BE1514" s="351"/>
      <c r="BF1514" s="529"/>
      <c r="BG1514" s="350"/>
      <c r="BH1514" s="350"/>
      <c r="BI1514" s="351"/>
      <c r="BJ1514" s="506" t="s">
        <v>294</v>
      </c>
      <c r="BK1514" s="350"/>
      <c r="BL1514" s="350"/>
      <c r="BM1514" s="351"/>
      <c r="BN1514" s="530" t="s">
        <v>294</v>
      </c>
      <c r="BO1514" s="350"/>
      <c r="BP1514" s="350"/>
      <c r="BQ1514" s="350"/>
      <c r="BR1514" s="350"/>
      <c r="BS1514" s="350"/>
      <c r="BT1514" s="350"/>
      <c r="BU1514" s="350"/>
      <c r="BV1514" s="351"/>
    </row>
    <row r="1515" spans="1:74" ht="45" customHeight="1">
      <c r="A1515" s="24">
        <f t="shared" si="5"/>
        <v>1501</v>
      </c>
      <c r="B1515" s="522" t="s">
        <v>294</v>
      </c>
      <c r="C1515" s="351"/>
      <c r="D1515" s="523" t="s">
        <v>298</v>
      </c>
      <c r="E1515" s="351"/>
      <c r="F1515" s="524" t="s">
        <v>325</v>
      </c>
      <c r="G1515" s="351"/>
      <c r="H1515" s="549" t="s">
        <v>325</v>
      </c>
      <c r="I1515" s="351"/>
      <c r="J1515" s="563"/>
      <c r="K1515" s="351"/>
      <c r="L1515" s="563"/>
      <c r="M1515" s="351"/>
      <c r="N1515" s="34"/>
      <c r="O1515" s="38"/>
      <c r="P1515" s="526"/>
      <c r="Q1515" s="351"/>
      <c r="R1515" s="527"/>
      <c r="S1515" s="351"/>
      <c r="T1515" s="528"/>
      <c r="U1515" s="351"/>
      <c r="V1515" s="541"/>
      <c r="W1515" s="351"/>
      <c r="X1515" s="542" t="s">
        <v>294</v>
      </c>
      <c r="Y1515" s="350"/>
      <c r="Z1515" s="350"/>
      <c r="AA1515" s="351"/>
      <c r="AB1515" s="543" t="s">
        <v>294</v>
      </c>
      <c r="AC1515" s="350"/>
      <c r="AD1515" s="350"/>
      <c r="AE1515" s="351"/>
      <c r="AF1515" s="544"/>
      <c r="AG1515" s="351"/>
      <c r="AH1515" s="544"/>
      <c r="AI1515" s="351"/>
      <c r="AJ1515" s="545"/>
      <c r="AK1515" s="351"/>
      <c r="AL1515" s="524" t="s">
        <v>325</v>
      </c>
      <c r="AM1515" s="351"/>
      <c r="AN1515" s="549" t="s">
        <v>325</v>
      </c>
      <c r="AO1515" s="351"/>
      <c r="AP1515" s="550"/>
      <c r="AQ1515" s="351"/>
      <c r="AR1515" s="551"/>
      <c r="AS1515" s="351"/>
      <c r="AT1515" s="552"/>
      <c r="AU1515" s="351"/>
      <c r="AV1515" s="549" t="s">
        <v>325</v>
      </c>
      <c r="AW1515" s="351"/>
      <c r="AX1515" s="553"/>
      <c r="AY1515" s="350"/>
      <c r="AZ1515" s="351"/>
      <c r="BA1515" s="554"/>
      <c r="BB1515" s="351"/>
      <c r="BC1515" s="39"/>
      <c r="BD1515" s="546" t="s">
        <v>325</v>
      </c>
      <c r="BE1515" s="351"/>
      <c r="BF1515" s="547"/>
      <c r="BG1515" s="350"/>
      <c r="BH1515" s="350"/>
      <c r="BI1515" s="351"/>
      <c r="BJ1515" s="548" t="s">
        <v>294</v>
      </c>
      <c r="BK1515" s="350"/>
      <c r="BL1515" s="350"/>
      <c r="BM1515" s="351"/>
      <c r="BN1515" s="530" t="s">
        <v>294</v>
      </c>
      <c r="BO1515" s="350"/>
      <c r="BP1515" s="350"/>
      <c r="BQ1515" s="350"/>
      <c r="BR1515" s="350"/>
      <c r="BS1515" s="350"/>
      <c r="BT1515" s="350"/>
      <c r="BU1515" s="350"/>
      <c r="BV1515" s="351"/>
    </row>
    <row r="1516" spans="1:74" ht="45" customHeight="1">
      <c r="A1516" s="24">
        <f t="shared" si="5"/>
        <v>1502</v>
      </c>
      <c r="B1516" s="558" t="s">
        <v>294</v>
      </c>
      <c r="C1516" s="351"/>
      <c r="D1516" s="559" t="s">
        <v>298</v>
      </c>
      <c r="E1516" s="351"/>
      <c r="F1516" s="524" t="s">
        <v>325</v>
      </c>
      <c r="G1516" s="351"/>
      <c r="H1516" s="531" t="s">
        <v>325</v>
      </c>
      <c r="I1516" s="351"/>
      <c r="J1516" s="562"/>
      <c r="K1516" s="351"/>
      <c r="L1516" s="562"/>
      <c r="M1516" s="351"/>
      <c r="N1516" s="37"/>
      <c r="O1516" s="35"/>
      <c r="P1516" s="560"/>
      <c r="Q1516" s="351"/>
      <c r="R1516" s="535"/>
      <c r="S1516" s="351"/>
      <c r="T1516" s="536"/>
      <c r="U1516" s="351"/>
      <c r="V1516" s="537"/>
      <c r="W1516" s="351"/>
      <c r="X1516" s="538" t="s">
        <v>294</v>
      </c>
      <c r="Y1516" s="350"/>
      <c r="Z1516" s="350"/>
      <c r="AA1516" s="351"/>
      <c r="AB1516" s="539" t="s">
        <v>294</v>
      </c>
      <c r="AC1516" s="350"/>
      <c r="AD1516" s="350"/>
      <c r="AE1516" s="351"/>
      <c r="AF1516" s="540"/>
      <c r="AG1516" s="351"/>
      <c r="AH1516" s="540"/>
      <c r="AI1516" s="351"/>
      <c r="AJ1516" s="545"/>
      <c r="AK1516" s="351"/>
      <c r="AL1516" s="555" t="s">
        <v>325</v>
      </c>
      <c r="AM1516" s="351"/>
      <c r="AN1516" s="531" t="s">
        <v>325</v>
      </c>
      <c r="AO1516" s="351"/>
      <c r="AP1516" s="532"/>
      <c r="AQ1516" s="351"/>
      <c r="AR1516" s="533"/>
      <c r="AS1516" s="351"/>
      <c r="AT1516" s="534"/>
      <c r="AU1516" s="351"/>
      <c r="AV1516" s="531" t="s">
        <v>325</v>
      </c>
      <c r="AW1516" s="351"/>
      <c r="AX1516" s="553"/>
      <c r="AY1516" s="350"/>
      <c r="AZ1516" s="351"/>
      <c r="BA1516" s="545"/>
      <c r="BB1516" s="351"/>
      <c r="BC1516" s="36"/>
      <c r="BD1516" s="556" t="s">
        <v>325</v>
      </c>
      <c r="BE1516" s="351"/>
      <c r="BF1516" s="557"/>
      <c r="BG1516" s="350"/>
      <c r="BH1516" s="350"/>
      <c r="BI1516" s="351"/>
      <c r="BJ1516" s="506" t="s">
        <v>294</v>
      </c>
      <c r="BK1516" s="350"/>
      <c r="BL1516" s="350"/>
      <c r="BM1516" s="351"/>
      <c r="BN1516" s="530" t="s">
        <v>294</v>
      </c>
      <c r="BO1516" s="350"/>
      <c r="BP1516" s="350"/>
      <c r="BQ1516" s="350"/>
      <c r="BR1516" s="350"/>
      <c r="BS1516" s="350"/>
      <c r="BT1516" s="350"/>
      <c r="BU1516" s="350"/>
      <c r="BV1516" s="351"/>
    </row>
    <row r="1517" spans="1:74" ht="45" customHeight="1">
      <c r="A1517" s="24">
        <f t="shared" si="5"/>
        <v>1503</v>
      </c>
      <c r="B1517" s="522" t="s">
        <v>294</v>
      </c>
      <c r="C1517" s="351"/>
      <c r="D1517" s="523" t="s">
        <v>298</v>
      </c>
      <c r="E1517" s="351"/>
      <c r="F1517" s="524" t="s">
        <v>325</v>
      </c>
      <c r="G1517" s="351"/>
      <c r="H1517" s="549" t="s">
        <v>325</v>
      </c>
      <c r="I1517" s="351"/>
      <c r="J1517" s="563"/>
      <c r="K1517" s="351"/>
      <c r="L1517" s="563"/>
      <c r="M1517" s="351"/>
      <c r="N1517" s="34"/>
      <c r="O1517" s="38"/>
      <c r="P1517" s="526"/>
      <c r="Q1517" s="351"/>
      <c r="R1517" s="527"/>
      <c r="S1517" s="351"/>
      <c r="T1517" s="528"/>
      <c r="U1517" s="351"/>
      <c r="V1517" s="541"/>
      <c r="W1517" s="351"/>
      <c r="X1517" s="542" t="s">
        <v>294</v>
      </c>
      <c r="Y1517" s="350"/>
      <c r="Z1517" s="350"/>
      <c r="AA1517" s="351"/>
      <c r="AB1517" s="543" t="s">
        <v>294</v>
      </c>
      <c r="AC1517" s="350"/>
      <c r="AD1517" s="350"/>
      <c r="AE1517" s="351"/>
      <c r="AF1517" s="544"/>
      <c r="AG1517" s="351"/>
      <c r="AH1517" s="544"/>
      <c r="AI1517" s="351"/>
      <c r="AJ1517" s="545"/>
      <c r="AK1517" s="351"/>
      <c r="AL1517" s="524" t="s">
        <v>325</v>
      </c>
      <c r="AM1517" s="351"/>
      <c r="AN1517" s="549" t="s">
        <v>325</v>
      </c>
      <c r="AO1517" s="351"/>
      <c r="AP1517" s="550"/>
      <c r="AQ1517" s="351"/>
      <c r="AR1517" s="551"/>
      <c r="AS1517" s="351"/>
      <c r="AT1517" s="552"/>
      <c r="AU1517" s="351"/>
      <c r="AV1517" s="549" t="s">
        <v>325</v>
      </c>
      <c r="AW1517" s="351"/>
      <c r="AX1517" s="553"/>
      <c r="AY1517" s="350"/>
      <c r="AZ1517" s="351"/>
      <c r="BA1517" s="554"/>
      <c r="BB1517" s="351"/>
      <c r="BC1517" s="39"/>
      <c r="BD1517" s="546" t="s">
        <v>325</v>
      </c>
      <c r="BE1517" s="351"/>
      <c r="BF1517" s="547"/>
      <c r="BG1517" s="350"/>
      <c r="BH1517" s="350"/>
      <c r="BI1517" s="351"/>
      <c r="BJ1517" s="548" t="s">
        <v>294</v>
      </c>
      <c r="BK1517" s="350"/>
      <c r="BL1517" s="350"/>
      <c r="BM1517" s="351"/>
      <c r="BN1517" s="530" t="s">
        <v>294</v>
      </c>
      <c r="BO1517" s="350"/>
      <c r="BP1517" s="350"/>
      <c r="BQ1517" s="350"/>
      <c r="BR1517" s="350"/>
      <c r="BS1517" s="350"/>
      <c r="BT1517" s="350"/>
      <c r="BU1517" s="350"/>
      <c r="BV1517" s="351"/>
    </row>
    <row r="1518" spans="1:74" ht="45" customHeight="1">
      <c r="A1518" s="24">
        <f t="shared" si="5"/>
        <v>1504</v>
      </c>
      <c r="B1518" s="558" t="s">
        <v>294</v>
      </c>
      <c r="C1518" s="351"/>
      <c r="D1518" s="559" t="s">
        <v>298</v>
      </c>
      <c r="E1518" s="351"/>
      <c r="F1518" s="524" t="s">
        <v>325</v>
      </c>
      <c r="G1518" s="351"/>
      <c r="H1518" s="531" t="s">
        <v>325</v>
      </c>
      <c r="I1518" s="351"/>
      <c r="J1518" s="562"/>
      <c r="K1518" s="351"/>
      <c r="L1518" s="562"/>
      <c r="M1518" s="351"/>
      <c r="N1518" s="37"/>
      <c r="O1518" s="35"/>
      <c r="P1518" s="560"/>
      <c r="Q1518" s="351"/>
      <c r="R1518" s="535"/>
      <c r="S1518" s="351"/>
      <c r="T1518" s="536"/>
      <c r="U1518" s="351"/>
      <c r="V1518" s="537"/>
      <c r="W1518" s="351"/>
      <c r="X1518" s="538" t="s">
        <v>294</v>
      </c>
      <c r="Y1518" s="350"/>
      <c r="Z1518" s="350"/>
      <c r="AA1518" s="351"/>
      <c r="AB1518" s="539" t="s">
        <v>294</v>
      </c>
      <c r="AC1518" s="350"/>
      <c r="AD1518" s="350"/>
      <c r="AE1518" s="351"/>
      <c r="AF1518" s="540"/>
      <c r="AG1518" s="351"/>
      <c r="AH1518" s="540"/>
      <c r="AI1518" s="351"/>
      <c r="AJ1518" s="545"/>
      <c r="AK1518" s="351"/>
      <c r="AL1518" s="555" t="s">
        <v>325</v>
      </c>
      <c r="AM1518" s="351"/>
      <c r="AN1518" s="531" t="s">
        <v>325</v>
      </c>
      <c r="AO1518" s="351"/>
      <c r="AP1518" s="532"/>
      <c r="AQ1518" s="351"/>
      <c r="AR1518" s="533"/>
      <c r="AS1518" s="351"/>
      <c r="AT1518" s="534"/>
      <c r="AU1518" s="351"/>
      <c r="AV1518" s="531" t="s">
        <v>325</v>
      </c>
      <c r="AW1518" s="351"/>
      <c r="AX1518" s="553"/>
      <c r="AY1518" s="350"/>
      <c r="AZ1518" s="351"/>
      <c r="BA1518" s="545"/>
      <c r="BB1518" s="351"/>
      <c r="BC1518" s="36"/>
      <c r="BD1518" s="556" t="s">
        <v>325</v>
      </c>
      <c r="BE1518" s="351"/>
      <c r="BF1518" s="557"/>
      <c r="BG1518" s="350"/>
      <c r="BH1518" s="350"/>
      <c r="BI1518" s="351"/>
      <c r="BJ1518" s="506" t="s">
        <v>294</v>
      </c>
      <c r="BK1518" s="350"/>
      <c r="BL1518" s="350"/>
      <c r="BM1518" s="351"/>
      <c r="BN1518" s="530" t="s">
        <v>294</v>
      </c>
      <c r="BO1518" s="350"/>
      <c r="BP1518" s="350"/>
      <c r="BQ1518" s="350"/>
      <c r="BR1518" s="350"/>
      <c r="BS1518" s="350"/>
      <c r="BT1518" s="350"/>
      <c r="BU1518" s="350"/>
      <c r="BV1518" s="351"/>
    </row>
    <row r="1519" spans="1:74" ht="45" customHeight="1">
      <c r="A1519" s="24">
        <f t="shared" si="5"/>
        <v>1505</v>
      </c>
      <c r="B1519" s="522" t="s">
        <v>294</v>
      </c>
      <c r="C1519" s="351"/>
      <c r="D1519" s="523" t="s">
        <v>298</v>
      </c>
      <c r="E1519" s="351"/>
      <c r="F1519" s="524" t="s">
        <v>325</v>
      </c>
      <c r="G1519" s="351"/>
      <c r="H1519" s="549" t="s">
        <v>325</v>
      </c>
      <c r="I1519" s="351"/>
      <c r="J1519" s="563"/>
      <c r="K1519" s="351"/>
      <c r="L1519" s="563"/>
      <c r="M1519" s="351"/>
      <c r="N1519" s="34"/>
      <c r="O1519" s="38"/>
      <c r="P1519" s="526"/>
      <c r="Q1519" s="351"/>
      <c r="R1519" s="527"/>
      <c r="S1519" s="351"/>
      <c r="T1519" s="528"/>
      <c r="U1519" s="351"/>
      <c r="V1519" s="541"/>
      <c r="W1519" s="351"/>
      <c r="X1519" s="542" t="s">
        <v>294</v>
      </c>
      <c r="Y1519" s="350"/>
      <c r="Z1519" s="350"/>
      <c r="AA1519" s="351"/>
      <c r="AB1519" s="543" t="s">
        <v>294</v>
      </c>
      <c r="AC1519" s="350"/>
      <c r="AD1519" s="350"/>
      <c r="AE1519" s="351"/>
      <c r="AF1519" s="544"/>
      <c r="AG1519" s="351"/>
      <c r="AH1519" s="544"/>
      <c r="AI1519" s="351"/>
      <c r="AJ1519" s="545"/>
      <c r="AK1519" s="351"/>
      <c r="AL1519" s="524" t="s">
        <v>325</v>
      </c>
      <c r="AM1519" s="351"/>
      <c r="AN1519" s="549" t="s">
        <v>325</v>
      </c>
      <c r="AO1519" s="351"/>
      <c r="AP1519" s="550"/>
      <c r="AQ1519" s="351"/>
      <c r="AR1519" s="551"/>
      <c r="AS1519" s="351"/>
      <c r="AT1519" s="552"/>
      <c r="AU1519" s="351"/>
      <c r="AV1519" s="549" t="s">
        <v>325</v>
      </c>
      <c r="AW1519" s="351"/>
      <c r="AX1519" s="553"/>
      <c r="AY1519" s="350"/>
      <c r="AZ1519" s="351"/>
      <c r="BA1519" s="554"/>
      <c r="BB1519" s="351"/>
      <c r="BC1519" s="39"/>
      <c r="BD1519" s="546" t="s">
        <v>325</v>
      </c>
      <c r="BE1519" s="351"/>
      <c r="BF1519" s="547"/>
      <c r="BG1519" s="350"/>
      <c r="BH1519" s="350"/>
      <c r="BI1519" s="351"/>
      <c r="BJ1519" s="548" t="s">
        <v>294</v>
      </c>
      <c r="BK1519" s="350"/>
      <c r="BL1519" s="350"/>
      <c r="BM1519" s="351"/>
      <c r="BN1519" s="530" t="s">
        <v>294</v>
      </c>
      <c r="BO1519" s="350"/>
      <c r="BP1519" s="350"/>
      <c r="BQ1519" s="350"/>
      <c r="BR1519" s="350"/>
      <c r="BS1519" s="350"/>
      <c r="BT1519" s="350"/>
      <c r="BU1519" s="350"/>
      <c r="BV1519" s="351"/>
    </row>
    <row r="1520" spans="1:74" ht="45" customHeight="1">
      <c r="A1520" s="24">
        <f t="shared" si="5"/>
        <v>1506</v>
      </c>
      <c r="B1520" s="558" t="s">
        <v>294</v>
      </c>
      <c r="C1520" s="351"/>
      <c r="D1520" s="559" t="s">
        <v>298</v>
      </c>
      <c r="E1520" s="351"/>
      <c r="F1520" s="524" t="s">
        <v>325</v>
      </c>
      <c r="G1520" s="351"/>
      <c r="H1520" s="531" t="s">
        <v>325</v>
      </c>
      <c r="I1520" s="351"/>
      <c r="J1520" s="562"/>
      <c r="K1520" s="351"/>
      <c r="L1520" s="562"/>
      <c r="M1520" s="351"/>
      <c r="N1520" s="37"/>
      <c r="O1520" s="35"/>
      <c r="P1520" s="560"/>
      <c r="Q1520" s="351"/>
      <c r="R1520" s="535"/>
      <c r="S1520" s="351"/>
      <c r="T1520" s="536"/>
      <c r="U1520" s="351"/>
      <c r="V1520" s="537"/>
      <c r="W1520" s="351"/>
      <c r="X1520" s="538" t="s">
        <v>294</v>
      </c>
      <c r="Y1520" s="350"/>
      <c r="Z1520" s="350"/>
      <c r="AA1520" s="351"/>
      <c r="AB1520" s="539" t="s">
        <v>294</v>
      </c>
      <c r="AC1520" s="350"/>
      <c r="AD1520" s="350"/>
      <c r="AE1520" s="351"/>
      <c r="AF1520" s="540"/>
      <c r="AG1520" s="351"/>
      <c r="AH1520" s="540"/>
      <c r="AI1520" s="351"/>
      <c r="AJ1520" s="545"/>
      <c r="AK1520" s="351"/>
      <c r="AL1520" s="555" t="s">
        <v>325</v>
      </c>
      <c r="AM1520" s="351"/>
      <c r="AN1520" s="531" t="s">
        <v>325</v>
      </c>
      <c r="AO1520" s="351"/>
      <c r="AP1520" s="532"/>
      <c r="AQ1520" s="351"/>
      <c r="AR1520" s="533"/>
      <c r="AS1520" s="351"/>
      <c r="AT1520" s="534"/>
      <c r="AU1520" s="351"/>
      <c r="AV1520" s="531" t="s">
        <v>325</v>
      </c>
      <c r="AW1520" s="351"/>
      <c r="AX1520" s="553"/>
      <c r="AY1520" s="350"/>
      <c r="AZ1520" s="351"/>
      <c r="BA1520" s="545"/>
      <c r="BB1520" s="351"/>
      <c r="BC1520" s="36"/>
      <c r="BD1520" s="556" t="s">
        <v>325</v>
      </c>
      <c r="BE1520" s="351"/>
      <c r="BF1520" s="529"/>
      <c r="BG1520" s="350"/>
      <c r="BH1520" s="350"/>
      <c r="BI1520" s="351"/>
      <c r="BJ1520" s="506" t="s">
        <v>294</v>
      </c>
      <c r="BK1520" s="350"/>
      <c r="BL1520" s="350"/>
      <c r="BM1520" s="351"/>
      <c r="BN1520" s="530" t="s">
        <v>294</v>
      </c>
      <c r="BO1520" s="350"/>
      <c r="BP1520" s="350"/>
      <c r="BQ1520" s="350"/>
      <c r="BR1520" s="350"/>
      <c r="BS1520" s="350"/>
      <c r="BT1520" s="350"/>
      <c r="BU1520" s="350"/>
      <c r="BV1520" s="351"/>
    </row>
    <row r="1521" spans="1:74" ht="45" customHeight="1">
      <c r="A1521" s="24">
        <f t="shared" si="5"/>
        <v>1507</v>
      </c>
      <c r="B1521" s="522" t="s">
        <v>294</v>
      </c>
      <c r="C1521" s="351"/>
      <c r="D1521" s="523" t="s">
        <v>298</v>
      </c>
      <c r="E1521" s="351"/>
      <c r="F1521" s="524" t="s">
        <v>325</v>
      </c>
      <c r="G1521" s="351"/>
      <c r="H1521" s="549" t="s">
        <v>325</v>
      </c>
      <c r="I1521" s="351"/>
      <c r="J1521" s="563"/>
      <c r="K1521" s="351"/>
      <c r="L1521" s="563"/>
      <c r="M1521" s="351"/>
      <c r="N1521" s="34"/>
      <c r="O1521" s="38"/>
      <c r="P1521" s="526"/>
      <c r="Q1521" s="351"/>
      <c r="R1521" s="527"/>
      <c r="S1521" s="351"/>
      <c r="T1521" s="528"/>
      <c r="U1521" s="351"/>
      <c r="V1521" s="541"/>
      <c r="W1521" s="351"/>
      <c r="X1521" s="542" t="s">
        <v>294</v>
      </c>
      <c r="Y1521" s="350"/>
      <c r="Z1521" s="350"/>
      <c r="AA1521" s="351"/>
      <c r="AB1521" s="543" t="s">
        <v>294</v>
      </c>
      <c r="AC1521" s="350"/>
      <c r="AD1521" s="350"/>
      <c r="AE1521" s="351"/>
      <c r="AF1521" s="544"/>
      <c r="AG1521" s="351"/>
      <c r="AH1521" s="544"/>
      <c r="AI1521" s="351"/>
      <c r="AJ1521" s="545"/>
      <c r="AK1521" s="351"/>
      <c r="AL1521" s="524" t="s">
        <v>325</v>
      </c>
      <c r="AM1521" s="351"/>
      <c r="AN1521" s="549" t="s">
        <v>325</v>
      </c>
      <c r="AO1521" s="351"/>
      <c r="AP1521" s="550"/>
      <c r="AQ1521" s="351"/>
      <c r="AR1521" s="551"/>
      <c r="AS1521" s="351"/>
      <c r="AT1521" s="552"/>
      <c r="AU1521" s="351"/>
      <c r="AV1521" s="549" t="s">
        <v>325</v>
      </c>
      <c r="AW1521" s="351"/>
      <c r="AX1521" s="553"/>
      <c r="AY1521" s="350"/>
      <c r="AZ1521" s="351"/>
      <c r="BA1521" s="554"/>
      <c r="BB1521" s="351"/>
      <c r="BC1521" s="39"/>
      <c r="BD1521" s="546" t="s">
        <v>325</v>
      </c>
      <c r="BE1521" s="351"/>
      <c r="BF1521" s="547"/>
      <c r="BG1521" s="350"/>
      <c r="BH1521" s="350"/>
      <c r="BI1521" s="351"/>
      <c r="BJ1521" s="548" t="s">
        <v>294</v>
      </c>
      <c r="BK1521" s="350"/>
      <c r="BL1521" s="350"/>
      <c r="BM1521" s="351"/>
      <c r="BN1521" s="530" t="s">
        <v>294</v>
      </c>
      <c r="BO1521" s="350"/>
      <c r="BP1521" s="350"/>
      <c r="BQ1521" s="350"/>
      <c r="BR1521" s="350"/>
      <c r="BS1521" s="350"/>
      <c r="BT1521" s="350"/>
      <c r="BU1521" s="350"/>
      <c r="BV1521" s="351"/>
    </row>
    <row r="1522" spans="1:74" ht="45" customHeight="1">
      <c r="A1522" s="24">
        <f t="shared" si="5"/>
        <v>1508</v>
      </c>
      <c r="B1522" s="558" t="s">
        <v>294</v>
      </c>
      <c r="C1522" s="351"/>
      <c r="D1522" s="559" t="s">
        <v>298</v>
      </c>
      <c r="E1522" s="351"/>
      <c r="F1522" s="524" t="s">
        <v>325</v>
      </c>
      <c r="G1522" s="351"/>
      <c r="H1522" s="531" t="s">
        <v>325</v>
      </c>
      <c r="I1522" s="351"/>
      <c r="J1522" s="562"/>
      <c r="K1522" s="351"/>
      <c r="L1522" s="562"/>
      <c r="M1522" s="351"/>
      <c r="N1522" s="34"/>
      <c r="O1522" s="35"/>
      <c r="P1522" s="526"/>
      <c r="Q1522" s="351"/>
      <c r="R1522" s="535"/>
      <c r="S1522" s="351"/>
      <c r="T1522" s="536"/>
      <c r="U1522" s="351"/>
      <c r="V1522" s="537"/>
      <c r="W1522" s="351"/>
      <c r="X1522" s="538" t="s">
        <v>294</v>
      </c>
      <c r="Y1522" s="350"/>
      <c r="Z1522" s="350"/>
      <c r="AA1522" s="351"/>
      <c r="AB1522" s="539" t="s">
        <v>294</v>
      </c>
      <c r="AC1522" s="350"/>
      <c r="AD1522" s="350"/>
      <c r="AE1522" s="351"/>
      <c r="AF1522" s="540"/>
      <c r="AG1522" s="351"/>
      <c r="AH1522" s="540"/>
      <c r="AI1522" s="351"/>
      <c r="AJ1522" s="545"/>
      <c r="AK1522" s="351"/>
      <c r="AL1522" s="555" t="s">
        <v>325</v>
      </c>
      <c r="AM1522" s="351"/>
      <c r="AN1522" s="531" t="s">
        <v>325</v>
      </c>
      <c r="AO1522" s="351"/>
      <c r="AP1522" s="532"/>
      <c r="AQ1522" s="351"/>
      <c r="AR1522" s="533"/>
      <c r="AS1522" s="351"/>
      <c r="AT1522" s="534"/>
      <c r="AU1522" s="351"/>
      <c r="AV1522" s="531" t="s">
        <v>325</v>
      </c>
      <c r="AW1522" s="351"/>
      <c r="AX1522" s="553"/>
      <c r="AY1522" s="350"/>
      <c r="AZ1522" s="351"/>
      <c r="BA1522" s="545"/>
      <c r="BB1522" s="351"/>
      <c r="BC1522" s="36"/>
      <c r="BD1522" s="556" t="s">
        <v>325</v>
      </c>
      <c r="BE1522" s="351"/>
      <c r="BF1522" s="529"/>
      <c r="BG1522" s="350"/>
      <c r="BH1522" s="350"/>
      <c r="BI1522" s="351"/>
      <c r="BJ1522" s="506" t="s">
        <v>294</v>
      </c>
      <c r="BK1522" s="350"/>
      <c r="BL1522" s="350"/>
      <c r="BM1522" s="351"/>
      <c r="BN1522" s="530" t="s">
        <v>294</v>
      </c>
      <c r="BO1522" s="350"/>
      <c r="BP1522" s="350"/>
      <c r="BQ1522" s="350"/>
      <c r="BR1522" s="350"/>
      <c r="BS1522" s="350"/>
      <c r="BT1522" s="350"/>
      <c r="BU1522" s="350"/>
      <c r="BV1522" s="351"/>
    </row>
    <row r="1523" spans="1:74" ht="45" customHeight="1">
      <c r="A1523" s="24">
        <f t="shared" si="5"/>
        <v>1509</v>
      </c>
      <c r="B1523" s="522" t="s">
        <v>294</v>
      </c>
      <c r="C1523" s="351"/>
      <c r="D1523" s="523" t="s">
        <v>298</v>
      </c>
      <c r="E1523" s="351"/>
      <c r="F1523" s="524" t="s">
        <v>325</v>
      </c>
      <c r="G1523" s="351"/>
      <c r="H1523" s="549" t="s">
        <v>325</v>
      </c>
      <c r="I1523" s="351"/>
      <c r="J1523" s="563"/>
      <c r="K1523" s="351"/>
      <c r="L1523" s="563"/>
      <c r="M1523" s="351"/>
      <c r="N1523" s="37"/>
      <c r="O1523" s="38"/>
      <c r="P1523" s="560"/>
      <c r="Q1523" s="351"/>
      <c r="R1523" s="527"/>
      <c r="S1523" s="351"/>
      <c r="T1523" s="528"/>
      <c r="U1523" s="351"/>
      <c r="V1523" s="541"/>
      <c r="W1523" s="351"/>
      <c r="X1523" s="542" t="s">
        <v>294</v>
      </c>
      <c r="Y1523" s="350"/>
      <c r="Z1523" s="350"/>
      <c r="AA1523" s="351"/>
      <c r="AB1523" s="543" t="s">
        <v>294</v>
      </c>
      <c r="AC1523" s="350"/>
      <c r="AD1523" s="350"/>
      <c r="AE1523" s="351"/>
      <c r="AF1523" s="544"/>
      <c r="AG1523" s="351"/>
      <c r="AH1523" s="544"/>
      <c r="AI1523" s="351"/>
      <c r="AJ1523" s="545"/>
      <c r="AK1523" s="351"/>
      <c r="AL1523" s="524" t="s">
        <v>325</v>
      </c>
      <c r="AM1523" s="351"/>
      <c r="AN1523" s="549" t="s">
        <v>325</v>
      </c>
      <c r="AO1523" s="351"/>
      <c r="AP1523" s="550"/>
      <c r="AQ1523" s="351"/>
      <c r="AR1523" s="551"/>
      <c r="AS1523" s="351"/>
      <c r="AT1523" s="534"/>
      <c r="AU1523" s="351"/>
      <c r="AV1523" s="549" t="s">
        <v>325</v>
      </c>
      <c r="AW1523" s="351"/>
      <c r="AX1523" s="553"/>
      <c r="AY1523" s="350"/>
      <c r="AZ1523" s="351"/>
      <c r="BA1523" s="554"/>
      <c r="BB1523" s="351"/>
      <c r="BC1523" s="39"/>
      <c r="BD1523" s="546" t="s">
        <v>325</v>
      </c>
      <c r="BE1523" s="351"/>
      <c r="BF1523" s="547"/>
      <c r="BG1523" s="350"/>
      <c r="BH1523" s="350"/>
      <c r="BI1523" s="351"/>
      <c r="BJ1523" s="548" t="s">
        <v>294</v>
      </c>
      <c r="BK1523" s="350"/>
      <c r="BL1523" s="350"/>
      <c r="BM1523" s="351"/>
      <c r="BN1523" s="530" t="s">
        <v>294</v>
      </c>
      <c r="BO1523" s="350"/>
      <c r="BP1523" s="350"/>
      <c r="BQ1523" s="350"/>
      <c r="BR1523" s="350"/>
      <c r="BS1523" s="350"/>
      <c r="BT1523" s="350"/>
      <c r="BU1523" s="350"/>
      <c r="BV1523" s="351"/>
    </row>
    <row r="1524" spans="1:74" ht="45" customHeight="1">
      <c r="A1524" s="24">
        <f t="shared" si="5"/>
        <v>1510</v>
      </c>
      <c r="B1524" s="558" t="s">
        <v>294</v>
      </c>
      <c r="C1524" s="351"/>
      <c r="D1524" s="559" t="s">
        <v>298</v>
      </c>
      <c r="E1524" s="351"/>
      <c r="F1524" s="524" t="s">
        <v>325</v>
      </c>
      <c r="G1524" s="351"/>
      <c r="H1524" s="531" t="s">
        <v>325</v>
      </c>
      <c r="I1524" s="351"/>
      <c r="J1524" s="562"/>
      <c r="K1524" s="351"/>
      <c r="L1524" s="562"/>
      <c r="M1524" s="351"/>
      <c r="N1524" s="34"/>
      <c r="O1524" s="35"/>
      <c r="P1524" s="526"/>
      <c r="Q1524" s="351"/>
      <c r="R1524" s="535"/>
      <c r="S1524" s="351"/>
      <c r="T1524" s="536"/>
      <c r="U1524" s="351"/>
      <c r="V1524" s="537"/>
      <c r="W1524" s="351"/>
      <c r="X1524" s="538" t="s">
        <v>294</v>
      </c>
      <c r="Y1524" s="350"/>
      <c r="Z1524" s="350"/>
      <c r="AA1524" s="351"/>
      <c r="AB1524" s="539" t="s">
        <v>294</v>
      </c>
      <c r="AC1524" s="350"/>
      <c r="AD1524" s="350"/>
      <c r="AE1524" s="351"/>
      <c r="AF1524" s="540"/>
      <c r="AG1524" s="351"/>
      <c r="AH1524" s="540"/>
      <c r="AI1524" s="351"/>
      <c r="AJ1524" s="545"/>
      <c r="AK1524" s="351"/>
      <c r="AL1524" s="555" t="s">
        <v>325</v>
      </c>
      <c r="AM1524" s="351"/>
      <c r="AN1524" s="531" t="s">
        <v>325</v>
      </c>
      <c r="AO1524" s="351"/>
      <c r="AP1524" s="532"/>
      <c r="AQ1524" s="351"/>
      <c r="AR1524" s="533"/>
      <c r="AS1524" s="351"/>
      <c r="AT1524" s="534"/>
      <c r="AU1524" s="351"/>
      <c r="AV1524" s="531" t="s">
        <v>325</v>
      </c>
      <c r="AW1524" s="351"/>
      <c r="AX1524" s="553"/>
      <c r="AY1524" s="350"/>
      <c r="AZ1524" s="351"/>
      <c r="BA1524" s="545"/>
      <c r="BB1524" s="351"/>
      <c r="BC1524" s="36"/>
      <c r="BD1524" s="556" t="s">
        <v>325</v>
      </c>
      <c r="BE1524" s="351"/>
      <c r="BF1524" s="557"/>
      <c r="BG1524" s="350"/>
      <c r="BH1524" s="350"/>
      <c r="BI1524" s="351"/>
      <c r="BJ1524" s="506" t="s">
        <v>294</v>
      </c>
      <c r="BK1524" s="350"/>
      <c r="BL1524" s="350"/>
      <c r="BM1524" s="351"/>
      <c r="BN1524" s="530" t="s">
        <v>294</v>
      </c>
      <c r="BO1524" s="350"/>
      <c r="BP1524" s="350"/>
      <c r="BQ1524" s="350"/>
      <c r="BR1524" s="350"/>
      <c r="BS1524" s="350"/>
      <c r="BT1524" s="350"/>
      <c r="BU1524" s="350"/>
      <c r="BV1524" s="351"/>
    </row>
    <row r="1525" spans="1:74" ht="45" customHeight="1">
      <c r="A1525" s="24">
        <f t="shared" si="5"/>
        <v>1511</v>
      </c>
      <c r="B1525" s="522" t="s">
        <v>294</v>
      </c>
      <c r="C1525" s="351"/>
      <c r="D1525" s="523" t="s">
        <v>298</v>
      </c>
      <c r="E1525" s="351"/>
      <c r="F1525" s="524" t="s">
        <v>325</v>
      </c>
      <c r="G1525" s="351"/>
      <c r="H1525" s="549" t="s">
        <v>325</v>
      </c>
      <c r="I1525" s="351"/>
      <c r="J1525" s="563"/>
      <c r="K1525" s="351"/>
      <c r="L1525" s="563"/>
      <c r="M1525" s="351"/>
      <c r="N1525" s="37"/>
      <c r="O1525" s="38"/>
      <c r="P1525" s="560"/>
      <c r="Q1525" s="351"/>
      <c r="R1525" s="527"/>
      <c r="S1525" s="351"/>
      <c r="T1525" s="528"/>
      <c r="U1525" s="351"/>
      <c r="V1525" s="541"/>
      <c r="W1525" s="351"/>
      <c r="X1525" s="542" t="s">
        <v>294</v>
      </c>
      <c r="Y1525" s="350"/>
      <c r="Z1525" s="350"/>
      <c r="AA1525" s="351"/>
      <c r="AB1525" s="543" t="s">
        <v>294</v>
      </c>
      <c r="AC1525" s="350"/>
      <c r="AD1525" s="350"/>
      <c r="AE1525" s="351"/>
      <c r="AF1525" s="544"/>
      <c r="AG1525" s="351"/>
      <c r="AH1525" s="544"/>
      <c r="AI1525" s="351"/>
      <c r="AJ1525" s="545"/>
      <c r="AK1525" s="351"/>
      <c r="AL1525" s="524" t="s">
        <v>325</v>
      </c>
      <c r="AM1525" s="351"/>
      <c r="AN1525" s="549" t="s">
        <v>325</v>
      </c>
      <c r="AO1525" s="351"/>
      <c r="AP1525" s="550"/>
      <c r="AQ1525" s="351"/>
      <c r="AR1525" s="551"/>
      <c r="AS1525" s="351"/>
      <c r="AT1525" s="534"/>
      <c r="AU1525" s="351"/>
      <c r="AV1525" s="549" t="s">
        <v>325</v>
      </c>
      <c r="AW1525" s="351"/>
      <c r="AX1525" s="553"/>
      <c r="AY1525" s="350"/>
      <c r="AZ1525" s="351"/>
      <c r="BA1525" s="554"/>
      <c r="BB1525" s="351"/>
      <c r="BC1525" s="39"/>
      <c r="BD1525" s="546" t="s">
        <v>325</v>
      </c>
      <c r="BE1525" s="351"/>
      <c r="BF1525" s="547"/>
      <c r="BG1525" s="350"/>
      <c r="BH1525" s="350"/>
      <c r="BI1525" s="351"/>
      <c r="BJ1525" s="548" t="s">
        <v>294</v>
      </c>
      <c r="BK1525" s="350"/>
      <c r="BL1525" s="350"/>
      <c r="BM1525" s="351"/>
      <c r="BN1525" s="530" t="s">
        <v>294</v>
      </c>
      <c r="BO1525" s="350"/>
      <c r="BP1525" s="350"/>
      <c r="BQ1525" s="350"/>
      <c r="BR1525" s="350"/>
      <c r="BS1525" s="350"/>
      <c r="BT1525" s="350"/>
      <c r="BU1525" s="350"/>
      <c r="BV1525" s="351"/>
    </row>
    <row r="1526" spans="1:74" ht="45" customHeight="1">
      <c r="A1526" s="24">
        <f t="shared" si="5"/>
        <v>1512</v>
      </c>
      <c r="B1526" s="558" t="s">
        <v>294</v>
      </c>
      <c r="C1526" s="351"/>
      <c r="D1526" s="559" t="s">
        <v>298</v>
      </c>
      <c r="E1526" s="351"/>
      <c r="F1526" s="524" t="s">
        <v>325</v>
      </c>
      <c r="G1526" s="351"/>
      <c r="H1526" s="531" t="s">
        <v>325</v>
      </c>
      <c r="I1526" s="351"/>
      <c r="J1526" s="562"/>
      <c r="K1526" s="351"/>
      <c r="L1526" s="562"/>
      <c r="M1526" s="351"/>
      <c r="N1526" s="34"/>
      <c r="O1526" s="35"/>
      <c r="P1526" s="526"/>
      <c r="Q1526" s="351"/>
      <c r="R1526" s="535"/>
      <c r="S1526" s="351"/>
      <c r="T1526" s="536"/>
      <c r="U1526" s="351"/>
      <c r="V1526" s="537"/>
      <c r="W1526" s="351"/>
      <c r="X1526" s="538" t="s">
        <v>294</v>
      </c>
      <c r="Y1526" s="350"/>
      <c r="Z1526" s="350"/>
      <c r="AA1526" s="351"/>
      <c r="AB1526" s="539" t="s">
        <v>294</v>
      </c>
      <c r="AC1526" s="350"/>
      <c r="AD1526" s="350"/>
      <c r="AE1526" s="351"/>
      <c r="AF1526" s="540"/>
      <c r="AG1526" s="351"/>
      <c r="AH1526" s="540"/>
      <c r="AI1526" s="351"/>
      <c r="AJ1526" s="545"/>
      <c r="AK1526" s="351"/>
      <c r="AL1526" s="555" t="s">
        <v>325</v>
      </c>
      <c r="AM1526" s="351"/>
      <c r="AN1526" s="531" t="s">
        <v>325</v>
      </c>
      <c r="AO1526" s="351"/>
      <c r="AP1526" s="532"/>
      <c r="AQ1526" s="351"/>
      <c r="AR1526" s="533"/>
      <c r="AS1526" s="351"/>
      <c r="AT1526" s="534"/>
      <c r="AU1526" s="351"/>
      <c r="AV1526" s="531" t="s">
        <v>325</v>
      </c>
      <c r="AW1526" s="351"/>
      <c r="AX1526" s="553"/>
      <c r="AY1526" s="350"/>
      <c r="AZ1526" s="351"/>
      <c r="BA1526" s="545"/>
      <c r="BB1526" s="351"/>
      <c r="BC1526" s="36"/>
      <c r="BD1526" s="556" t="s">
        <v>325</v>
      </c>
      <c r="BE1526" s="351"/>
      <c r="BF1526" s="557"/>
      <c r="BG1526" s="350"/>
      <c r="BH1526" s="350"/>
      <c r="BI1526" s="351"/>
      <c r="BJ1526" s="506" t="s">
        <v>294</v>
      </c>
      <c r="BK1526" s="350"/>
      <c r="BL1526" s="350"/>
      <c r="BM1526" s="351"/>
      <c r="BN1526" s="530" t="s">
        <v>294</v>
      </c>
      <c r="BO1526" s="350"/>
      <c r="BP1526" s="350"/>
      <c r="BQ1526" s="350"/>
      <c r="BR1526" s="350"/>
      <c r="BS1526" s="350"/>
      <c r="BT1526" s="350"/>
      <c r="BU1526" s="350"/>
      <c r="BV1526" s="351"/>
    </row>
    <row r="1527" spans="1:74" ht="45" customHeight="1">
      <c r="A1527" s="24">
        <f t="shared" si="5"/>
        <v>1513</v>
      </c>
      <c r="B1527" s="522" t="s">
        <v>294</v>
      </c>
      <c r="C1527" s="351"/>
      <c r="D1527" s="523" t="s">
        <v>298</v>
      </c>
      <c r="E1527" s="351"/>
      <c r="F1527" s="524" t="s">
        <v>325</v>
      </c>
      <c r="G1527" s="351"/>
      <c r="H1527" s="549" t="s">
        <v>325</v>
      </c>
      <c r="I1527" s="351"/>
      <c r="J1527" s="563"/>
      <c r="K1527" s="351"/>
      <c r="L1527" s="563"/>
      <c r="M1527" s="351"/>
      <c r="N1527" s="37"/>
      <c r="O1527" s="38"/>
      <c r="P1527" s="560"/>
      <c r="Q1527" s="351"/>
      <c r="R1527" s="527"/>
      <c r="S1527" s="351"/>
      <c r="T1527" s="528"/>
      <c r="U1527" s="351"/>
      <c r="V1527" s="541"/>
      <c r="W1527" s="351"/>
      <c r="X1527" s="542" t="s">
        <v>294</v>
      </c>
      <c r="Y1527" s="350"/>
      <c r="Z1527" s="350"/>
      <c r="AA1527" s="351"/>
      <c r="AB1527" s="543" t="s">
        <v>294</v>
      </c>
      <c r="AC1527" s="350"/>
      <c r="AD1527" s="350"/>
      <c r="AE1527" s="351"/>
      <c r="AF1527" s="544"/>
      <c r="AG1527" s="351"/>
      <c r="AH1527" s="544"/>
      <c r="AI1527" s="351"/>
      <c r="AJ1527" s="545"/>
      <c r="AK1527" s="351"/>
      <c r="AL1527" s="524" t="s">
        <v>325</v>
      </c>
      <c r="AM1527" s="351"/>
      <c r="AN1527" s="549" t="s">
        <v>325</v>
      </c>
      <c r="AO1527" s="351"/>
      <c r="AP1527" s="550"/>
      <c r="AQ1527" s="351"/>
      <c r="AR1527" s="551"/>
      <c r="AS1527" s="351"/>
      <c r="AT1527" s="552"/>
      <c r="AU1527" s="351"/>
      <c r="AV1527" s="549" t="s">
        <v>325</v>
      </c>
      <c r="AW1527" s="351"/>
      <c r="AX1527" s="553"/>
      <c r="AY1527" s="350"/>
      <c r="AZ1527" s="351"/>
      <c r="BA1527" s="554"/>
      <c r="BB1527" s="351"/>
      <c r="BC1527" s="39"/>
      <c r="BD1527" s="546" t="s">
        <v>325</v>
      </c>
      <c r="BE1527" s="351"/>
      <c r="BF1527" s="547"/>
      <c r="BG1527" s="350"/>
      <c r="BH1527" s="350"/>
      <c r="BI1527" s="351"/>
      <c r="BJ1527" s="548" t="s">
        <v>294</v>
      </c>
      <c r="BK1527" s="350"/>
      <c r="BL1527" s="350"/>
      <c r="BM1527" s="351"/>
      <c r="BN1527" s="530" t="s">
        <v>294</v>
      </c>
      <c r="BO1527" s="350"/>
      <c r="BP1527" s="350"/>
      <c r="BQ1527" s="350"/>
      <c r="BR1527" s="350"/>
      <c r="BS1527" s="350"/>
      <c r="BT1527" s="350"/>
      <c r="BU1527" s="350"/>
      <c r="BV1527" s="351"/>
    </row>
    <row r="1528" spans="1:74" ht="45" customHeight="1">
      <c r="A1528" s="24">
        <f t="shared" si="5"/>
        <v>1514</v>
      </c>
      <c r="B1528" s="558" t="s">
        <v>294</v>
      </c>
      <c r="C1528" s="351"/>
      <c r="D1528" s="559" t="s">
        <v>298</v>
      </c>
      <c r="E1528" s="351"/>
      <c r="F1528" s="524" t="s">
        <v>325</v>
      </c>
      <c r="G1528" s="351"/>
      <c r="H1528" s="531" t="s">
        <v>325</v>
      </c>
      <c r="I1528" s="351"/>
      <c r="J1528" s="562"/>
      <c r="K1528" s="351"/>
      <c r="L1528" s="562"/>
      <c r="M1528" s="351"/>
      <c r="N1528" s="34"/>
      <c r="O1528" s="35"/>
      <c r="P1528" s="526"/>
      <c r="Q1528" s="351"/>
      <c r="R1528" s="535"/>
      <c r="S1528" s="351"/>
      <c r="T1528" s="536"/>
      <c r="U1528" s="351"/>
      <c r="V1528" s="537"/>
      <c r="W1528" s="351"/>
      <c r="X1528" s="538" t="s">
        <v>294</v>
      </c>
      <c r="Y1528" s="350"/>
      <c r="Z1528" s="350"/>
      <c r="AA1528" s="351"/>
      <c r="AB1528" s="539" t="s">
        <v>294</v>
      </c>
      <c r="AC1528" s="350"/>
      <c r="AD1528" s="350"/>
      <c r="AE1528" s="351"/>
      <c r="AF1528" s="540"/>
      <c r="AG1528" s="351"/>
      <c r="AH1528" s="540"/>
      <c r="AI1528" s="351"/>
      <c r="AJ1528" s="545"/>
      <c r="AK1528" s="351"/>
      <c r="AL1528" s="555" t="s">
        <v>325</v>
      </c>
      <c r="AM1528" s="351"/>
      <c r="AN1528" s="531" t="s">
        <v>325</v>
      </c>
      <c r="AO1528" s="351"/>
      <c r="AP1528" s="532"/>
      <c r="AQ1528" s="351"/>
      <c r="AR1528" s="533"/>
      <c r="AS1528" s="351"/>
      <c r="AT1528" s="534"/>
      <c r="AU1528" s="351"/>
      <c r="AV1528" s="531" t="s">
        <v>325</v>
      </c>
      <c r="AW1528" s="351"/>
      <c r="AX1528" s="553"/>
      <c r="AY1528" s="350"/>
      <c r="AZ1528" s="351"/>
      <c r="BA1528" s="545"/>
      <c r="BB1528" s="351"/>
      <c r="BC1528" s="36"/>
      <c r="BD1528" s="556" t="s">
        <v>325</v>
      </c>
      <c r="BE1528" s="351"/>
      <c r="BF1528" s="529"/>
      <c r="BG1528" s="350"/>
      <c r="BH1528" s="350"/>
      <c r="BI1528" s="351"/>
      <c r="BJ1528" s="506" t="s">
        <v>294</v>
      </c>
      <c r="BK1528" s="350"/>
      <c r="BL1528" s="350"/>
      <c r="BM1528" s="351"/>
      <c r="BN1528" s="530" t="s">
        <v>294</v>
      </c>
      <c r="BO1528" s="350"/>
      <c r="BP1528" s="350"/>
      <c r="BQ1528" s="350"/>
      <c r="BR1528" s="350"/>
      <c r="BS1528" s="350"/>
      <c r="BT1528" s="350"/>
      <c r="BU1528" s="350"/>
      <c r="BV1528" s="351"/>
    </row>
    <row r="1529" spans="1:74" ht="45" customHeight="1">
      <c r="A1529" s="24">
        <f t="shared" si="5"/>
        <v>1515</v>
      </c>
      <c r="B1529" s="522" t="s">
        <v>294</v>
      </c>
      <c r="C1529" s="351"/>
      <c r="D1529" s="523" t="s">
        <v>298</v>
      </c>
      <c r="E1529" s="351"/>
      <c r="F1529" s="524" t="s">
        <v>325</v>
      </c>
      <c r="G1529" s="351"/>
      <c r="H1529" s="549" t="s">
        <v>325</v>
      </c>
      <c r="I1529" s="351"/>
      <c r="J1529" s="563"/>
      <c r="K1529" s="351"/>
      <c r="L1529" s="563"/>
      <c r="M1529" s="351"/>
      <c r="N1529" s="37"/>
      <c r="O1529" s="38"/>
      <c r="P1529" s="560"/>
      <c r="Q1529" s="351"/>
      <c r="R1529" s="527"/>
      <c r="S1529" s="351"/>
      <c r="T1529" s="528"/>
      <c r="U1529" s="351"/>
      <c r="V1529" s="541"/>
      <c r="W1529" s="351"/>
      <c r="X1529" s="542" t="s">
        <v>294</v>
      </c>
      <c r="Y1529" s="350"/>
      <c r="Z1529" s="350"/>
      <c r="AA1529" s="351"/>
      <c r="AB1529" s="543" t="s">
        <v>294</v>
      </c>
      <c r="AC1529" s="350"/>
      <c r="AD1529" s="350"/>
      <c r="AE1529" s="351"/>
      <c r="AF1529" s="544"/>
      <c r="AG1529" s="351"/>
      <c r="AH1529" s="544"/>
      <c r="AI1529" s="351"/>
      <c r="AJ1529" s="545"/>
      <c r="AK1529" s="351"/>
      <c r="AL1529" s="524" t="s">
        <v>325</v>
      </c>
      <c r="AM1529" s="351"/>
      <c r="AN1529" s="549" t="s">
        <v>325</v>
      </c>
      <c r="AO1529" s="351"/>
      <c r="AP1529" s="550"/>
      <c r="AQ1529" s="351"/>
      <c r="AR1529" s="551"/>
      <c r="AS1529" s="351"/>
      <c r="AT1529" s="552"/>
      <c r="AU1529" s="351"/>
      <c r="AV1529" s="549" t="s">
        <v>325</v>
      </c>
      <c r="AW1529" s="351"/>
      <c r="AX1529" s="553"/>
      <c r="AY1529" s="350"/>
      <c r="AZ1529" s="351"/>
      <c r="BA1529" s="554"/>
      <c r="BB1529" s="351"/>
      <c r="BC1529" s="39"/>
      <c r="BD1529" s="546" t="s">
        <v>325</v>
      </c>
      <c r="BE1529" s="351"/>
      <c r="BF1529" s="547"/>
      <c r="BG1529" s="350"/>
      <c r="BH1529" s="350"/>
      <c r="BI1529" s="351"/>
      <c r="BJ1529" s="548" t="s">
        <v>294</v>
      </c>
      <c r="BK1529" s="350"/>
      <c r="BL1529" s="350"/>
      <c r="BM1529" s="351"/>
      <c r="BN1529" s="530" t="s">
        <v>294</v>
      </c>
      <c r="BO1529" s="350"/>
      <c r="BP1529" s="350"/>
      <c r="BQ1529" s="350"/>
      <c r="BR1529" s="350"/>
      <c r="BS1529" s="350"/>
      <c r="BT1529" s="350"/>
      <c r="BU1529" s="350"/>
      <c r="BV1529" s="351"/>
    </row>
    <row r="1530" spans="1:74" ht="45" customHeight="1">
      <c r="A1530" s="24">
        <f t="shared" si="5"/>
        <v>1516</v>
      </c>
      <c r="B1530" s="558" t="s">
        <v>294</v>
      </c>
      <c r="C1530" s="351"/>
      <c r="D1530" s="559" t="s">
        <v>298</v>
      </c>
      <c r="E1530" s="351"/>
      <c r="F1530" s="524" t="s">
        <v>325</v>
      </c>
      <c r="G1530" s="351"/>
      <c r="H1530" s="531" t="s">
        <v>325</v>
      </c>
      <c r="I1530" s="351"/>
      <c r="J1530" s="562"/>
      <c r="K1530" s="351"/>
      <c r="L1530" s="562"/>
      <c r="M1530" s="351"/>
      <c r="N1530" s="34"/>
      <c r="O1530" s="35"/>
      <c r="P1530" s="526"/>
      <c r="Q1530" s="351"/>
      <c r="R1530" s="535"/>
      <c r="S1530" s="351"/>
      <c r="T1530" s="536"/>
      <c r="U1530" s="351"/>
      <c r="V1530" s="537"/>
      <c r="W1530" s="351"/>
      <c r="X1530" s="538" t="s">
        <v>294</v>
      </c>
      <c r="Y1530" s="350"/>
      <c r="Z1530" s="350"/>
      <c r="AA1530" s="351"/>
      <c r="AB1530" s="539" t="s">
        <v>294</v>
      </c>
      <c r="AC1530" s="350"/>
      <c r="AD1530" s="350"/>
      <c r="AE1530" s="351"/>
      <c r="AF1530" s="540"/>
      <c r="AG1530" s="351"/>
      <c r="AH1530" s="540"/>
      <c r="AI1530" s="351"/>
      <c r="AJ1530" s="545"/>
      <c r="AK1530" s="351"/>
      <c r="AL1530" s="555" t="s">
        <v>325</v>
      </c>
      <c r="AM1530" s="351"/>
      <c r="AN1530" s="531" t="s">
        <v>325</v>
      </c>
      <c r="AO1530" s="351"/>
      <c r="AP1530" s="532"/>
      <c r="AQ1530" s="351"/>
      <c r="AR1530" s="533"/>
      <c r="AS1530" s="351"/>
      <c r="AT1530" s="534"/>
      <c r="AU1530" s="351"/>
      <c r="AV1530" s="531" t="s">
        <v>325</v>
      </c>
      <c r="AW1530" s="351"/>
      <c r="AX1530" s="553"/>
      <c r="AY1530" s="350"/>
      <c r="AZ1530" s="351"/>
      <c r="BA1530" s="545"/>
      <c r="BB1530" s="351"/>
      <c r="BC1530" s="36"/>
      <c r="BD1530" s="556" t="s">
        <v>325</v>
      </c>
      <c r="BE1530" s="351"/>
      <c r="BF1530" s="557"/>
      <c r="BG1530" s="350"/>
      <c r="BH1530" s="350"/>
      <c r="BI1530" s="351"/>
      <c r="BJ1530" s="506" t="s">
        <v>294</v>
      </c>
      <c r="BK1530" s="350"/>
      <c r="BL1530" s="350"/>
      <c r="BM1530" s="351"/>
      <c r="BN1530" s="530" t="s">
        <v>294</v>
      </c>
      <c r="BO1530" s="350"/>
      <c r="BP1530" s="350"/>
      <c r="BQ1530" s="350"/>
      <c r="BR1530" s="350"/>
      <c r="BS1530" s="350"/>
      <c r="BT1530" s="350"/>
      <c r="BU1530" s="350"/>
      <c r="BV1530" s="351"/>
    </row>
    <row r="1531" spans="1:74" ht="45" customHeight="1">
      <c r="A1531" s="24">
        <f t="shared" si="5"/>
        <v>1517</v>
      </c>
      <c r="B1531" s="522" t="s">
        <v>294</v>
      </c>
      <c r="C1531" s="351"/>
      <c r="D1531" s="523" t="s">
        <v>298</v>
      </c>
      <c r="E1531" s="351"/>
      <c r="F1531" s="524" t="s">
        <v>325</v>
      </c>
      <c r="G1531" s="351"/>
      <c r="H1531" s="549" t="s">
        <v>325</v>
      </c>
      <c r="I1531" s="351"/>
      <c r="J1531" s="563"/>
      <c r="K1531" s="351"/>
      <c r="L1531" s="563"/>
      <c r="M1531" s="351"/>
      <c r="N1531" s="37"/>
      <c r="O1531" s="38"/>
      <c r="P1531" s="560"/>
      <c r="Q1531" s="351"/>
      <c r="R1531" s="527"/>
      <c r="S1531" s="351"/>
      <c r="T1531" s="528"/>
      <c r="U1531" s="351"/>
      <c r="V1531" s="541"/>
      <c r="W1531" s="351"/>
      <c r="X1531" s="542" t="s">
        <v>294</v>
      </c>
      <c r="Y1531" s="350"/>
      <c r="Z1531" s="350"/>
      <c r="AA1531" s="351"/>
      <c r="AB1531" s="543" t="s">
        <v>294</v>
      </c>
      <c r="AC1531" s="350"/>
      <c r="AD1531" s="350"/>
      <c r="AE1531" s="351"/>
      <c r="AF1531" s="544"/>
      <c r="AG1531" s="351"/>
      <c r="AH1531" s="544"/>
      <c r="AI1531" s="351"/>
      <c r="AJ1531" s="545"/>
      <c r="AK1531" s="351"/>
      <c r="AL1531" s="524" t="s">
        <v>325</v>
      </c>
      <c r="AM1531" s="351"/>
      <c r="AN1531" s="549" t="s">
        <v>325</v>
      </c>
      <c r="AO1531" s="351"/>
      <c r="AP1531" s="550"/>
      <c r="AQ1531" s="351"/>
      <c r="AR1531" s="551"/>
      <c r="AS1531" s="351"/>
      <c r="AT1531" s="552"/>
      <c r="AU1531" s="351"/>
      <c r="AV1531" s="549" t="s">
        <v>325</v>
      </c>
      <c r="AW1531" s="351"/>
      <c r="AX1531" s="553"/>
      <c r="AY1531" s="350"/>
      <c r="AZ1531" s="351"/>
      <c r="BA1531" s="554"/>
      <c r="BB1531" s="351"/>
      <c r="BC1531" s="39"/>
      <c r="BD1531" s="546" t="s">
        <v>325</v>
      </c>
      <c r="BE1531" s="351"/>
      <c r="BF1531" s="547"/>
      <c r="BG1531" s="350"/>
      <c r="BH1531" s="350"/>
      <c r="BI1531" s="351"/>
      <c r="BJ1531" s="548" t="s">
        <v>294</v>
      </c>
      <c r="BK1531" s="350"/>
      <c r="BL1531" s="350"/>
      <c r="BM1531" s="351"/>
      <c r="BN1531" s="530" t="s">
        <v>294</v>
      </c>
      <c r="BO1531" s="350"/>
      <c r="BP1531" s="350"/>
      <c r="BQ1531" s="350"/>
      <c r="BR1531" s="350"/>
      <c r="BS1531" s="350"/>
      <c r="BT1531" s="350"/>
      <c r="BU1531" s="350"/>
      <c r="BV1531" s="351"/>
    </row>
    <row r="1532" spans="1:74" ht="45" customHeight="1">
      <c r="A1532" s="24">
        <f t="shared" si="5"/>
        <v>1518</v>
      </c>
      <c r="B1532" s="558" t="s">
        <v>294</v>
      </c>
      <c r="C1532" s="351"/>
      <c r="D1532" s="559" t="s">
        <v>298</v>
      </c>
      <c r="E1532" s="351"/>
      <c r="F1532" s="524" t="s">
        <v>325</v>
      </c>
      <c r="G1532" s="351"/>
      <c r="H1532" s="531" t="s">
        <v>325</v>
      </c>
      <c r="I1532" s="351"/>
      <c r="J1532" s="562"/>
      <c r="K1532" s="351"/>
      <c r="L1532" s="562"/>
      <c r="M1532" s="351"/>
      <c r="N1532" s="34"/>
      <c r="O1532" s="35"/>
      <c r="P1532" s="526"/>
      <c r="Q1532" s="351"/>
      <c r="R1532" s="535"/>
      <c r="S1532" s="351"/>
      <c r="T1532" s="536"/>
      <c r="U1532" s="351"/>
      <c r="V1532" s="537"/>
      <c r="W1532" s="351"/>
      <c r="X1532" s="538" t="s">
        <v>294</v>
      </c>
      <c r="Y1532" s="350"/>
      <c r="Z1532" s="350"/>
      <c r="AA1532" s="351"/>
      <c r="AB1532" s="539" t="s">
        <v>294</v>
      </c>
      <c r="AC1532" s="350"/>
      <c r="AD1532" s="350"/>
      <c r="AE1532" s="351"/>
      <c r="AF1532" s="540"/>
      <c r="AG1532" s="351"/>
      <c r="AH1532" s="540"/>
      <c r="AI1532" s="351"/>
      <c r="AJ1532" s="545"/>
      <c r="AK1532" s="351"/>
      <c r="AL1532" s="555" t="s">
        <v>325</v>
      </c>
      <c r="AM1532" s="351"/>
      <c r="AN1532" s="531" t="s">
        <v>325</v>
      </c>
      <c r="AO1532" s="351"/>
      <c r="AP1532" s="532"/>
      <c r="AQ1532" s="351"/>
      <c r="AR1532" s="533"/>
      <c r="AS1532" s="351"/>
      <c r="AT1532" s="534"/>
      <c r="AU1532" s="351"/>
      <c r="AV1532" s="531" t="s">
        <v>325</v>
      </c>
      <c r="AW1532" s="351"/>
      <c r="AX1532" s="553"/>
      <c r="AY1532" s="350"/>
      <c r="AZ1532" s="351"/>
      <c r="BA1532" s="545"/>
      <c r="BB1532" s="351"/>
      <c r="BC1532" s="36"/>
      <c r="BD1532" s="556" t="s">
        <v>325</v>
      </c>
      <c r="BE1532" s="351"/>
      <c r="BF1532" s="557"/>
      <c r="BG1532" s="350"/>
      <c r="BH1532" s="350"/>
      <c r="BI1532" s="351"/>
      <c r="BJ1532" s="506" t="s">
        <v>294</v>
      </c>
      <c r="BK1532" s="350"/>
      <c r="BL1532" s="350"/>
      <c r="BM1532" s="351"/>
      <c r="BN1532" s="530" t="s">
        <v>294</v>
      </c>
      <c r="BO1532" s="350"/>
      <c r="BP1532" s="350"/>
      <c r="BQ1532" s="350"/>
      <c r="BR1532" s="350"/>
      <c r="BS1532" s="350"/>
      <c r="BT1532" s="350"/>
      <c r="BU1532" s="350"/>
      <c r="BV1532" s="351"/>
    </row>
    <row r="1533" spans="1:74" ht="45" customHeight="1">
      <c r="A1533" s="24">
        <f t="shared" si="5"/>
        <v>1519</v>
      </c>
      <c r="B1533" s="522" t="s">
        <v>294</v>
      </c>
      <c r="C1533" s="351"/>
      <c r="D1533" s="523" t="s">
        <v>298</v>
      </c>
      <c r="E1533" s="351"/>
      <c r="F1533" s="524" t="s">
        <v>325</v>
      </c>
      <c r="G1533" s="351"/>
      <c r="H1533" s="549" t="s">
        <v>325</v>
      </c>
      <c r="I1533" s="351"/>
      <c r="J1533" s="563"/>
      <c r="K1533" s="351"/>
      <c r="L1533" s="563"/>
      <c r="M1533" s="351"/>
      <c r="N1533" s="37"/>
      <c r="O1533" s="38"/>
      <c r="P1533" s="560"/>
      <c r="Q1533" s="351"/>
      <c r="R1533" s="527"/>
      <c r="S1533" s="351"/>
      <c r="T1533" s="528"/>
      <c r="U1533" s="351"/>
      <c r="V1533" s="541"/>
      <c r="W1533" s="351"/>
      <c r="X1533" s="542" t="s">
        <v>294</v>
      </c>
      <c r="Y1533" s="350"/>
      <c r="Z1533" s="350"/>
      <c r="AA1533" s="351"/>
      <c r="AB1533" s="543" t="s">
        <v>294</v>
      </c>
      <c r="AC1533" s="350"/>
      <c r="AD1533" s="350"/>
      <c r="AE1533" s="351"/>
      <c r="AF1533" s="544"/>
      <c r="AG1533" s="351"/>
      <c r="AH1533" s="544"/>
      <c r="AI1533" s="351"/>
      <c r="AJ1533" s="545"/>
      <c r="AK1533" s="351"/>
      <c r="AL1533" s="524" t="s">
        <v>325</v>
      </c>
      <c r="AM1533" s="351"/>
      <c r="AN1533" s="549" t="s">
        <v>325</v>
      </c>
      <c r="AO1533" s="351"/>
      <c r="AP1533" s="550"/>
      <c r="AQ1533" s="351"/>
      <c r="AR1533" s="551"/>
      <c r="AS1533" s="351"/>
      <c r="AT1533" s="552"/>
      <c r="AU1533" s="351"/>
      <c r="AV1533" s="549" t="s">
        <v>325</v>
      </c>
      <c r="AW1533" s="351"/>
      <c r="AX1533" s="553"/>
      <c r="AY1533" s="350"/>
      <c r="AZ1533" s="351"/>
      <c r="BA1533" s="554"/>
      <c r="BB1533" s="351"/>
      <c r="BC1533" s="39"/>
      <c r="BD1533" s="546" t="s">
        <v>325</v>
      </c>
      <c r="BE1533" s="351"/>
      <c r="BF1533" s="547"/>
      <c r="BG1533" s="350"/>
      <c r="BH1533" s="350"/>
      <c r="BI1533" s="351"/>
      <c r="BJ1533" s="548" t="s">
        <v>294</v>
      </c>
      <c r="BK1533" s="350"/>
      <c r="BL1533" s="350"/>
      <c r="BM1533" s="351"/>
      <c r="BN1533" s="530" t="s">
        <v>294</v>
      </c>
      <c r="BO1533" s="350"/>
      <c r="BP1533" s="350"/>
      <c r="BQ1533" s="350"/>
      <c r="BR1533" s="350"/>
      <c r="BS1533" s="350"/>
      <c r="BT1533" s="350"/>
      <c r="BU1533" s="350"/>
      <c r="BV1533" s="351"/>
    </row>
    <row r="1534" spans="1:74" ht="45" customHeight="1">
      <c r="A1534" s="24">
        <f t="shared" si="5"/>
        <v>1520</v>
      </c>
      <c r="B1534" s="558" t="s">
        <v>294</v>
      </c>
      <c r="C1534" s="351"/>
      <c r="D1534" s="559" t="s">
        <v>298</v>
      </c>
      <c r="E1534" s="351"/>
      <c r="F1534" s="524" t="s">
        <v>325</v>
      </c>
      <c r="G1534" s="351"/>
      <c r="H1534" s="531" t="s">
        <v>325</v>
      </c>
      <c r="I1534" s="351"/>
      <c r="J1534" s="562"/>
      <c r="K1534" s="351"/>
      <c r="L1534" s="562"/>
      <c r="M1534" s="351"/>
      <c r="N1534" s="34"/>
      <c r="O1534" s="35"/>
      <c r="P1534" s="526"/>
      <c r="Q1534" s="351"/>
      <c r="R1534" s="535"/>
      <c r="S1534" s="351"/>
      <c r="T1534" s="536"/>
      <c r="U1534" s="351"/>
      <c r="V1534" s="537"/>
      <c r="W1534" s="351"/>
      <c r="X1534" s="538" t="s">
        <v>294</v>
      </c>
      <c r="Y1534" s="350"/>
      <c r="Z1534" s="350"/>
      <c r="AA1534" s="351"/>
      <c r="AB1534" s="539" t="s">
        <v>294</v>
      </c>
      <c r="AC1534" s="350"/>
      <c r="AD1534" s="350"/>
      <c r="AE1534" s="351"/>
      <c r="AF1534" s="540"/>
      <c r="AG1534" s="351"/>
      <c r="AH1534" s="540"/>
      <c r="AI1534" s="351"/>
      <c r="AJ1534" s="545"/>
      <c r="AK1534" s="351"/>
      <c r="AL1534" s="555" t="s">
        <v>325</v>
      </c>
      <c r="AM1534" s="351"/>
      <c r="AN1534" s="531" t="s">
        <v>325</v>
      </c>
      <c r="AO1534" s="351"/>
      <c r="AP1534" s="532"/>
      <c r="AQ1534" s="351"/>
      <c r="AR1534" s="533"/>
      <c r="AS1534" s="351"/>
      <c r="AT1534" s="534"/>
      <c r="AU1534" s="351"/>
      <c r="AV1534" s="531" t="s">
        <v>325</v>
      </c>
      <c r="AW1534" s="351"/>
      <c r="AX1534" s="553"/>
      <c r="AY1534" s="350"/>
      <c r="AZ1534" s="351"/>
      <c r="BA1534" s="545"/>
      <c r="BB1534" s="351"/>
      <c r="BC1534" s="36"/>
      <c r="BD1534" s="556" t="s">
        <v>325</v>
      </c>
      <c r="BE1534" s="351"/>
      <c r="BF1534" s="529"/>
      <c r="BG1534" s="350"/>
      <c r="BH1534" s="350"/>
      <c r="BI1534" s="351"/>
      <c r="BJ1534" s="506" t="s">
        <v>294</v>
      </c>
      <c r="BK1534" s="350"/>
      <c r="BL1534" s="350"/>
      <c r="BM1534" s="351"/>
      <c r="BN1534" s="530" t="s">
        <v>294</v>
      </c>
      <c r="BO1534" s="350"/>
      <c r="BP1534" s="350"/>
      <c r="BQ1534" s="350"/>
      <c r="BR1534" s="350"/>
      <c r="BS1534" s="350"/>
      <c r="BT1534" s="350"/>
      <c r="BU1534" s="350"/>
      <c r="BV1534" s="351"/>
    </row>
    <row r="1535" spans="1:74" ht="45" customHeight="1">
      <c r="A1535" s="24">
        <f t="shared" si="5"/>
        <v>1521</v>
      </c>
      <c r="B1535" s="522" t="s">
        <v>294</v>
      </c>
      <c r="C1535" s="351"/>
      <c r="D1535" s="523" t="s">
        <v>298</v>
      </c>
      <c r="E1535" s="351"/>
      <c r="F1535" s="524" t="s">
        <v>325</v>
      </c>
      <c r="G1535" s="351"/>
      <c r="H1535" s="549" t="s">
        <v>325</v>
      </c>
      <c r="I1535" s="351"/>
      <c r="J1535" s="563"/>
      <c r="K1535" s="351"/>
      <c r="L1535" s="563"/>
      <c r="M1535" s="351"/>
      <c r="N1535" s="37"/>
      <c r="O1535" s="38"/>
      <c r="P1535" s="560"/>
      <c r="Q1535" s="351"/>
      <c r="R1535" s="527"/>
      <c r="S1535" s="351"/>
      <c r="T1535" s="528"/>
      <c r="U1535" s="351"/>
      <c r="V1535" s="541"/>
      <c r="W1535" s="351"/>
      <c r="X1535" s="542" t="s">
        <v>294</v>
      </c>
      <c r="Y1535" s="350"/>
      <c r="Z1535" s="350"/>
      <c r="AA1535" s="351"/>
      <c r="AB1535" s="543" t="s">
        <v>294</v>
      </c>
      <c r="AC1535" s="350"/>
      <c r="AD1535" s="350"/>
      <c r="AE1535" s="351"/>
      <c r="AF1535" s="544"/>
      <c r="AG1535" s="351"/>
      <c r="AH1535" s="544"/>
      <c r="AI1535" s="351"/>
      <c r="AJ1535" s="545"/>
      <c r="AK1535" s="351"/>
      <c r="AL1535" s="524" t="s">
        <v>325</v>
      </c>
      <c r="AM1535" s="351"/>
      <c r="AN1535" s="549" t="s">
        <v>325</v>
      </c>
      <c r="AO1535" s="351"/>
      <c r="AP1535" s="550"/>
      <c r="AQ1535" s="351"/>
      <c r="AR1535" s="551"/>
      <c r="AS1535" s="351"/>
      <c r="AT1535" s="552"/>
      <c r="AU1535" s="351"/>
      <c r="AV1535" s="549" t="s">
        <v>325</v>
      </c>
      <c r="AW1535" s="351"/>
      <c r="AX1535" s="553"/>
      <c r="AY1535" s="350"/>
      <c r="AZ1535" s="351"/>
      <c r="BA1535" s="554"/>
      <c r="BB1535" s="351"/>
      <c r="BC1535" s="39"/>
      <c r="BD1535" s="546" t="s">
        <v>325</v>
      </c>
      <c r="BE1535" s="351"/>
      <c r="BF1535" s="547"/>
      <c r="BG1535" s="350"/>
      <c r="BH1535" s="350"/>
      <c r="BI1535" s="351"/>
      <c r="BJ1535" s="548" t="s">
        <v>294</v>
      </c>
      <c r="BK1535" s="350"/>
      <c r="BL1535" s="350"/>
      <c r="BM1535" s="351"/>
      <c r="BN1535" s="530" t="s">
        <v>294</v>
      </c>
      <c r="BO1535" s="350"/>
      <c r="BP1535" s="350"/>
      <c r="BQ1535" s="350"/>
      <c r="BR1535" s="350"/>
      <c r="BS1535" s="350"/>
      <c r="BT1535" s="350"/>
      <c r="BU1535" s="350"/>
      <c r="BV1535" s="351"/>
    </row>
    <row r="1536" spans="1:74" ht="45" customHeight="1">
      <c r="A1536" s="24">
        <f t="shared" si="5"/>
        <v>1522</v>
      </c>
      <c r="B1536" s="558" t="s">
        <v>294</v>
      </c>
      <c r="C1536" s="351"/>
      <c r="D1536" s="559" t="s">
        <v>298</v>
      </c>
      <c r="E1536" s="351"/>
      <c r="F1536" s="524" t="s">
        <v>325</v>
      </c>
      <c r="G1536" s="351"/>
      <c r="H1536" s="531" t="s">
        <v>325</v>
      </c>
      <c r="I1536" s="351"/>
      <c r="J1536" s="562"/>
      <c r="K1536" s="351"/>
      <c r="L1536" s="562"/>
      <c r="M1536" s="351"/>
      <c r="N1536" s="34"/>
      <c r="O1536" s="35"/>
      <c r="P1536" s="526"/>
      <c r="Q1536" s="351"/>
      <c r="R1536" s="535"/>
      <c r="S1536" s="351"/>
      <c r="T1536" s="536"/>
      <c r="U1536" s="351"/>
      <c r="V1536" s="537"/>
      <c r="W1536" s="351"/>
      <c r="X1536" s="538" t="s">
        <v>294</v>
      </c>
      <c r="Y1536" s="350"/>
      <c r="Z1536" s="350"/>
      <c r="AA1536" s="351"/>
      <c r="AB1536" s="539" t="s">
        <v>294</v>
      </c>
      <c r="AC1536" s="350"/>
      <c r="AD1536" s="350"/>
      <c r="AE1536" s="351"/>
      <c r="AF1536" s="540"/>
      <c r="AG1536" s="351"/>
      <c r="AH1536" s="540"/>
      <c r="AI1536" s="351"/>
      <c r="AJ1536" s="545"/>
      <c r="AK1536" s="351"/>
      <c r="AL1536" s="555" t="s">
        <v>325</v>
      </c>
      <c r="AM1536" s="351"/>
      <c r="AN1536" s="531" t="s">
        <v>325</v>
      </c>
      <c r="AO1536" s="351"/>
      <c r="AP1536" s="532"/>
      <c r="AQ1536" s="351"/>
      <c r="AR1536" s="533"/>
      <c r="AS1536" s="351"/>
      <c r="AT1536" s="534"/>
      <c r="AU1536" s="351"/>
      <c r="AV1536" s="531" t="s">
        <v>325</v>
      </c>
      <c r="AW1536" s="351"/>
      <c r="AX1536" s="553"/>
      <c r="AY1536" s="350"/>
      <c r="AZ1536" s="351"/>
      <c r="BA1536" s="545"/>
      <c r="BB1536" s="351"/>
      <c r="BC1536" s="36"/>
      <c r="BD1536" s="556" t="s">
        <v>325</v>
      </c>
      <c r="BE1536" s="351"/>
      <c r="BF1536" s="557"/>
      <c r="BG1536" s="350"/>
      <c r="BH1536" s="350"/>
      <c r="BI1536" s="351"/>
      <c r="BJ1536" s="506" t="s">
        <v>294</v>
      </c>
      <c r="BK1536" s="350"/>
      <c r="BL1536" s="350"/>
      <c r="BM1536" s="351"/>
      <c r="BN1536" s="530" t="s">
        <v>294</v>
      </c>
      <c r="BO1536" s="350"/>
      <c r="BP1536" s="350"/>
      <c r="BQ1536" s="350"/>
      <c r="BR1536" s="350"/>
      <c r="BS1536" s="350"/>
      <c r="BT1536" s="350"/>
      <c r="BU1536" s="350"/>
      <c r="BV1536" s="351"/>
    </row>
    <row r="1537" spans="1:74" ht="45" customHeight="1">
      <c r="A1537" s="24">
        <f t="shared" si="5"/>
        <v>1523</v>
      </c>
      <c r="B1537" s="522" t="s">
        <v>294</v>
      </c>
      <c r="C1537" s="351"/>
      <c r="D1537" s="523" t="s">
        <v>298</v>
      </c>
      <c r="E1537" s="351"/>
      <c r="F1537" s="524" t="s">
        <v>325</v>
      </c>
      <c r="G1537" s="351"/>
      <c r="H1537" s="549" t="s">
        <v>325</v>
      </c>
      <c r="I1537" s="351"/>
      <c r="J1537" s="563"/>
      <c r="K1537" s="351"/>
      <c r="L1537" s="563"/>
      <c r="M1537" s="351"/>
      <c r="N1537" s="34"/>
      <c r="O1537" s="35"/>
      <c r="P1537" s="526"/>
      <c r="Q1537" s="351"/>
      <c r="R1537" s="527"/>
      <c r="S1537" s="351"/>
      <c r="T1537" s="528"/>
      <c r="U1537" s="351"/>
      <c r="V1537" s="541"/>
      <c r="W1537" s="351"/>
      <c r="X1537" s="542" t="s">
        <v>294</v>
      </c>
      <c r="Y1537" s="350"/>
      <c r="Z1537" s="350"/>
      <c r="AA1537" s="351"/>
      <c r="AB1537" s="543" t="s">
        <v>294</v>
      </c>
      <c r="AC1537" s="350"/>
      <c r="AD1537" s="350"/>
      <c r="AE1537" s="351"/>
      <c r="AF1537" s="544"/>
      <c r="AG1537" s="351"/>
      <c r="AH1537" s="544"/>
      <c r="AI1537" s="351"/>
      <c r="AJ1537" s="545"/>
      <c r="AK1537" s="351"/>
      <c r="AL1537" s="524" t="s">
        <v>325</v>
      </c>
      <c r="AM1537" s="351"/>
      <c r="AN1537" s="549" t="s">
        <v>325</v>
      </c>
      <c r="AO1537" s="351"/>
      <c r="AP1537" s="550"/>
      <c r="AQ1537" s="351"/>
      <c r="AR1537" s="551"/>
      <c r="AS1537" s="351"/>
      <c r="AT1537" s="534"/>
      <c r="AU1537" s="351"/>
      <c r="AV1537" s="549" t="s">
        <v>325</v>
      </c>
      <c r="AW1537" s="351"/>
      <c r="AX1537" s="553"/>
      <c r="AY1537" s="350"/>
      <c r="AZ1537" s="351"/>
      <c r="BA1537" s="554"/>
      <c r="BB1537" s="351"/>
      <c r="BC1537" s="39"/>
      <c r="BD1537" s="546" t="s">
        <v>325</v>
      </c>
      <c r="BE1537" s="351"/>
      <c r="BF1537" s="547"/>
      <c r="BG1537" s="350"/>
      <c r="BH1537" s="350"/>
      <c r="BI1537" s="351"/>
      <c r="BJ1537" s="548" t="s">
        <v>294</v>
      </c>
      <c r="BK1537" s="350"/>
      <c r="BL1537" s="350"/>
      <c r="BM1537" s="351"/>
      <c r="BN1537" s="530" t="s">
        <v>294</v>
      </c>
      <c r="BO1537" s="350"/>
      <c r="BP1537" s="350"/>
      <c r="BQ1537" s="350"/>
      <c r="BR1537" s="350"/>
      <c r="BS1537" s="350"/>
      <c r="BT1537" s="350"/>
      <c r="BU1537" s="350"/>
      <c r="BV1537" s="351"/>
    </row>
    <row r="1538" spans="1:74" ht="45" customHeight="1">
      <c r="A1538" s="24">
        <f t="shared" si="5"/>
        <v>1524</v>
      </c>
      <c r="B1538" s="558" t="s">
        <v>294</v>
      </c>
      <c r="C1538" s="351"/>
      <c r="D1538" s="559" t="s">
        <v>298</v>
      </c>
      <c r="E1538" s="351"/>
      <c r="F1538" s="524" t="s">
        <v>325</v>
      </c>
      <c r="G1538" s="351"/>
      <c r="H1538" s="531" t="s">
        <v>325</v>
      </c>
      <c r="I1538" s="351"/>
      <c r="J1538" s="562"/>
      <c r="K1538" s="351"/>
      <c r="L1538" s="562"/>
      <c r="M1538" s="351"/>
      <c r="N1538" s="37"/>
      <c r="O1538" s="38"/>
      <c r="P1538" s="560"/>
      <c r="Q1538" s="351"/>
      <c r="R1538" s="535"/>
      <c r="S1538" s="351"/>
      <c r="T1538" s="536"/>
      <c r="U1538" s="351"/>
      <c r="V1538" s="537"/>
      <c r="W1538" s="351"/>
      <c r="X1538" s="538" t="s">
        <v>294</v>
      </c>
      <c r="Y1538" s="350"/>
      <c r="Z1538" s="350"/>
      <c r="AA1538" s="351"/>
      <c r="AB1538" s="539" t="s">
        <v>294</v>
      </c>
      <c r="AC1538" s="350"/>
      <c r="AD1538" s="350"/>
      <c r="AE1538" s="351"/>
      <c r="AF1538" s="540"/>
      <c r="AG1538" s="351"/>
      <c r="AH1538" s="540"/>
      <c r="AI1538" s="351"/>
      <c r="AJ1538" s="545"/>
      <c r="AK1538" s="351"/>
      <c r="AL1538" s="555" t="s">
        <v>325</v>
      </c>
      <c r="AM1538" s="351"/>
      <c r="AN1538" s="531" t="s">
        <v>325</v>
      </c>
      <c r="AO1538" s="351"/>
      <c r="AP1538" s="532"/>
      <c r="AQ1538" s="351"/>
      <c r="AR1538" s="533"/>
      <c r="AS1538" s="351"/>
      <c r="AT1538" s="534"/>
      <c r="AU1538" s="351"/>
      <c r="AV1538" s="531" t="s">
        <v>325</v>
      </c>
      <c r="AW1538" s="351"/>
      <c r="AX1538" s="553"/>
      <c r="AY1538" s="350"/>
      <c r="AZ1538" s="351"/>
      <c r="BA1538" s="545"/>
      <c r="BB1538" s="351"/>
      <c r="BC1538" s="36"/>
      <c r="BD1538" s="556" t="s">
        <v>325</v>
      </c>
      <c r="BE1538" s="351"/>
      <c r="BF1538" s="557"/>
      <c r="BG1538" s="350"/>
      <c r="BH1538" s="350"/>
      <c r="BI1538" s="351"/>
      <c r="BJ1538" s="506" t="s">
        <v>294</v>
      </c>
      <c r="BK1538" s="350"/>
      <c r="BL1538" s="350"/>
      <c r="BM1538" s="351"/>
      <c r="BN1538" s="530" t="s">
        <v>294</v>
      </c>
      <c r="BO1538" s="350"/>
      <c r="BP1538" s="350"/>
      <c r="BQ1538" s="350"/>
      <c r="BR1538" s="350"/>
      <c r="BS1538" s="350"/>
      <c r="BT1538" s="350"/>
      <c r="BU1538" s="350"/>
      <c r="BV1538" s="351"/>
    </row>
    <row r="1539" spans="1:74" ht="45" customHeight="1">
      <c r="A1539" s="24">
        <f t="shared" si="5"/>
        <v>1525</v>
      </c>
      <c r="B1539" s="522" t="s">
        <v>294</v>
      </c>
      <c r="C1539" s="351"/>
      <c r="D1539" s="523" t="s">
        <v>298</v>
      </c>
      <c r="E1539" s="351"/>
      <c r="F1539" s="524" t="s">
        <v>325</v>
      </c>
      <c r="G1539" s="351"/>
      <c r="H1539" s="549" t="s">
        <v>325</v>
      </c>
      <c r="I1539" s="351"/>
      <c r="J1539" s="563"/>
      <c r="K1539" s="351"/>
      <c r="L1539" s="563"/>
      <c r="M1539" s="351"/>
      <c r="N1539" s="34"/>
      <c r="O1539" s="35"/>
      <c r="P1539" s="526"/>
      <c r="Q1539" s="351"/>
      <c r="R1539" s="527"/>
      <c r="S1539" s="351"/>
      <c r="T1539" s="528"/>
      <c r="U1539" s="351"/>
      <c r="V1539" s="541"/>
      <c r="W1539" s="351"/>
      <c r="X1539" s="542" t="s">
        <v>294</v>
      </c>
      <c r="Y1539" s="350"/>
      <c r="Z1539" s="350"/>
      <c r="AA1539" s="351"/>
      <c r="AB1539" s="543" t="s">
        <v>294</v>
      </c>
      <c r="AC1539" s="350"/>
      <c r="AD1539" s="350"/>
      <c r="AE1539" s="351"/>
      <c r="AF1539" s="544"/>
      <c r="AG1539" s="351"/>
      <c r="AH1539" s="544"/>
      <c r="AI1539" s="351"/>
      <c r="AJ1539" s="545"/>
      <c r="AK1539" s="351"/>
      <c r="AL1539" s="524" t="s">
        <v>325</v>
      </c>
      <c r="AM1539" s="351"/>
      <c r="AN1539" s="549" t="s">
        <v>325</v>
      </c>
      <c r="AO1539" s="351"/>
      <c r="AP1539" s="550"/>
      <c r="AQ1539" s="351"/>
      <c r="AR1539" s="551"/>
      <c r="AS1539" s="351"/>
      <c r="AT1539" s="534"/>
      <c r="AU1539" s="351"/>
      <c r="AV1539" s="549" t="s">
        <v>325</v>
      </c>
      <c r="AW1539" s="351"/>
      <c r="AX1539" s="553"/>
      <c r="AY1539" s="350"/>
      <c r="AZ1539" s="351"/>
      <c r="BA1539" s="554"/>
      <c r="BB1539" s="351"/>
      <c r="BC1539" s="39"/>
      <c r="BD1539" s="546" t="s">
        <v>325</v>
      </c>
      <c r="BE1539" s="351"/>
      <c r="BF1539" s="547"/>
      <c r="BG1539" s="350"/>
      <c r="BH1539" s="350"/>
      <c r="BI1539" s="351"/>
      <c r="BJ1539" s="548" t="s">
        <v>294</v>
      </c>
      <c r="BK1539" s="350"/>
      <c r="BL1539" s="350"/>
      <c r="BM1539" s="351"/>
      <c r="BN1539" s="530" t="s">
        <v>294</v>
      </c>
      <c r="BO1539" s="350"/>
      <c r="BP1539" s="350"/>
      <c r="BQ1539" s="350"/>
      <c r="BR1539" s="350"/>
      <c r="BS1539" s="350"/>
      <c r="BT1539" s="350"/>
      <c r="BU1539" s="350"/>
      <c r="BV1539" s="351"/>
    </row>
    <row r="1540" spans="1:74" ht="45" customHeight="1">
      <c r="A1540" s="24">
        <f t="shared" si="5"/>
        <v>1526</v>
      </c>
      <c r="B1540" s="558" t="s">
        <v>294</v>
      </c>
      <c r="C1540" s="351"/>
      <c r="D1540" s="559" t="s">
        <v>298</v>
      </c>
      <c r="E1540" s="351"/>
      <c r="F1540" s="524" t="s">
        <v>325</v>
      </c>
      <c r="G1540" s="351"/>
      <c r="H1540" s="531" t="s">
        <v>325</v>
      </c>
      <c r="I1540" s="351"/>
      <c r="J1540" s="562"/>
      <c r="K1540" s="351"/>
      <c r="L1540" s="562"/>
      <c r="M1540" s="351"/>
      <c r="N1540" s="37"/>
      <c r="O1540" s="38"/>
      <c r="P1540" s="560"/>
      <c r="Q1540" s="351"/>
      <c r="R1540" s="535"/>
      <c r="S1540" s="351"/>
      <c r="T1540" s="536"/>
      <c r="U1540" s="351"/>
      <c r="V1540" s="537"/>
      <c r="W1540" s="351"/>
      <c r="X1540" s="538" t="s">
        <v>294</v>
      </c>
      <c r="Y1540" s="350"/>
      <c r="Z1540" s="350"/>
      <c r="AA1540" s="351"/>
      <c r="AB1540" s="539" t="s">
        <v>294</v>
      </c>
      <c r="AC1540" s="350"/>
      <c r="AD1540" s="350"/>
      <c r="AE1540" s="351"/>
      <c r="AF1540" s="540"/>
      <c r="AG1540" s="351"/>
      <c r="AH1540" s="540"/>
      <c r="AI1540" s="351"/>
      <c r="AJ1540" s="545"/>
      <c r="AK1540" s="351"/>
      <c r="AL1540" s="555" t="s">
        <v>325</v>
      </c>
      <c r="AM1540" s="351"/>
      <c r="AN1540" s="531" t="s">
        <v>325</v>
      </c>
      <c r="AO1540" s="351"/>
      <c r="AP1540" s="532"/>
      <c r="AQ1540" s="351"/>
      <c r="AR1540" s="533"/>
      <c r="AS1540" s="351"/>
      <c r="AT1540" s="534"/>
      <c r="AU1540" s="351"/>
      <c r="AV1540" s="531" t="s">
        <v>325</v>
      </c>
      <c r="AW1540" s="351"/>
      <c r="AX1540" s="553"/>
      <c r="AY1540" s="350"/>
      <c r="AZ1540" s="351"/>
      <c r="BA1540" s="545"/>
      <c r="BB1540" s="351"/>
      <c r="BC1540" s="36"/>
      <c r="BD1540" s="556" t="s">
        <v>325</v>
      </c>
      <c r="BE1540" s="351"/>
      <c r="BF1540" s="557"/>
      <c r="BG1540" s="350"/>
      <c r="BH1540" s="350"/>
      <c r="BI1540" s="351"/>
      <c r="BJ1540" s="506" t="s">
        <v>294</v>
      </c>
      <c r="BK1540" s="350"/>
      <c r="BL1540" s="350"/>
      <c r="BM1540" s="351"/>
      <c r="BN1540" s="530" t="s">
        <v>294</v>
      </c>
      <c r="BO1540" s="350"/>
      <c r="BP1540" s="350"/>
      <c r="BQ1540" s="350"/>
      <c r="BR1540" s="350"/>
      <c r="BS1540" s="350"/>
      <c r="BT1540" s="350"/>
      <c r="BU1540" s="350"/>
      <c r="BV1540" s="351"/>
    </row>
    <row r="1541" spans="1:74" ht="45" customHeight="1">
      <c r="A1541" s="24">
        <f t="shared" si="5"/>
        <v>1527</v>
      </c>
      <c r="B1541" s="522" t="s">
        <v>294</v>
      </c>
      <c r="C1541" s="351"/>
      <c r="D1541" s="523" t="s">
        <v>298</v>
      </c>
      <c r="E1541" s="351"/>
      <c r="F1541" s="524" t="s">
        <v>325</v>
      </c>
      <c r="G1541" s="351"/>
      <c r="H1541" s="549" t="s">
        <v>325</v>
      </c>
      <c r="I1541" s="351"/>
      <c r="J1541" s="563"/>
      <c r="K1541" s="351"/>
      <c r="L1541" s="563"/>
      <c r="M1541" s="351"/>
      <c r="N1541" s="34"/>
      <c r="O1541" s="38"/>
      <c r="P1541" s="526"/>
      <c r="Q1541" s="351"/>
      <c r="R1541" s="527"/>
      <c r="S1541" s="351"/>
      <c r="T1541" s="528"/>
      <c r="U1541" s="351"/>
      <c r="V1541" s="541"/>
      <c r="W1541" s="351"/>
      <c r="X1541" s="542" t="s">
        <v>294</v>
      </c>
      <c r="Y1541" s="350"/>
      <c r="Z1541" s="350"/>
      <c r="AA1541" s="351"/>
      <c r="AB1541" s="543" t="s">
        <v>294</v>
      </c>
      <c r="AC1541" s="350"/>
      <c r="AD1541" s="350"/>
      <c r="AE1541" s="351"/>
      <c r="AF1541" s="544"/>
      <c r="AG1541" s="351"/>
      <c r="AH1541" s="544"/>
      <c r="AI1541" s="351"/>
      <c r="AJ1541" s="545"/>
      <c r="AK1541" s="351"/>
      <c r="AL1541" s="524" t="s">
        <v>325</v>
      </c>
      <c r="AM1541" s="351"/>
      <c r="AN1541" s="549" t="s">
        <v>325</v>
      </c>
      <c r="AO1541" s="351"/>
      <c r="AP1541" s="550"/>
      <c r="AQ1541" s="351"/>
      <c r="AR1541" s="551"/>
      <c r="AS1541" s="351"/>
      <c r="AT1541" s="552"/>
      <c r="AU1541" s="351"/>
      <c r="AV1541" s="549" t="s">
        <v>325</v>
      </c>
      <c r="AW1541" s="351"/>
      <c r="AX1541" s="553"/>
      <c r="AY1541" s="350"/>
      <c r="AZ1541" s="351"/>
      <c r="BA1541" s="554"/>
      <c r="BB1541" s="351"/>
      <c r="BC1541" s="39"/>
      <c r="BD1541" s="546" t="s">
        <v>325</v>
      </c>
      <c r="BE1541" s="351"/>
      <c r="BF1541" s="547"/>
      <c r="BG1541" s="350"/>
      <c r="BH1541" s="350"/>
      <c r="BI1541" s="351"/>
      <c r="BJ1541" s="548" t="s">
        <v>294</v>
      </c>
      <c r="BK1541" s="350"/>
      <c r="BL1541" s="350"/>
      <c r="BM1541" s="351"/>
      <c r="BN1541" s="530" t="s">
        <v>294</v>
      </c>
      <c r="BO1541" s="350"/>
      <c r="BP1541" s="350"/>
      <c r="BQ1541" s="350"/>
      <c r="BR1541" s="350"/>
      <c r="BS1541" s="350"/>
      <c r="BT1541" s="350"/>
      <c r="BU1541" s="350"/>
      <c r="BV1541" s="351"/>
    </row>
    <row r="1542" spans="1:74" ht="45" customHeight="1">
      <c r="A1542" s="24">
        <f t="shared" si="5"/>
        <v>1528</v>
      </c>
      <c r="B1542" s="558" t="s">
        <v>294</v>
      </c>
      <c r="C1542" s="351"/>
      <c r="D1542" s="559" t="s">
        <v>298</v>
      </c>
      <c r="E1542" s="351"/>
      <c r="F1542" s="524" t="s">
        <v>325</v>
      </c>
      <c r="G1542" s="351"/>
      <c r="H1542" s="531" t="s">
        <v>325</v>
      </c>
      <c r="I1542" s="351"/>
      <c r="J1542" s="562"/>
      <c r="K1542" s="351"/>
      <c r="L1542" s="562"/>
      <c r="M1542" s="351"/>
      <c r="N1542" s="37"/>
      <c r="O1542" s="35"/>
      <c r="P1542" s="560"/>
      <c r="Q1542" s="351"/>
      <c r="R1542" s="535"/>
      <c r="S1542" s="351"/>
      <c r="T1542" s="536"/>
      <c r="U1542" s="351"/>
      <c r="V1542" s="537"/>
      <c r="W1542" s="351"/>
      <c r="X1542" s="538" t="s">
        <v>294</v>
      </c>
      <c r="Y1542" s="350"/>
      <c r="Z1542" s="350"/>
      <c r="AA1542" s="351"/>
      <c r="AB1542" s="539" t="s">
        <v>294</v>
      </c>
      <c r="AC1542" s="350"/>
      <c r="AD1542" s="350"/>
      <c r="AE1542" s="351"/>
      <c r="AF1542" s="540"/>
      <c r="AG1542" s="351"/>
      <c r="AH1542" s="540"/>
      <c r="AI1542" s="351"/>
      <c r="AJ1542" s="545"/>
      <c r="AK1542" s="351"/>
      <c r="AL1542" s="555" t="s">
        <v>325</v>
      </c>
      <c r="AM1542" s="351"/>
      <c r="AN1542" s="531" t="s">
        <v>325</v>
      </c>
      <c r="AO1542" s="351"/>
      <c r="AP1542" s="532"/>
      <c r="AQ1542" s="351"/>
      <c r="AR1542" s="533"/>
      <c r="AS1542" s="351"/>
      <c r="AT1542" s="534"/>
      <c r="AU1542" s="351"/>
      <c r="AV1542" s="531" t="s">
        <v>325</v>
      </c>
      <c r="AW1542" s="351"/>
      <c r="AX1542" s="553"/>
      <c r="AY1542" s="350"/>
      <c r="AZ1542" s="351"/>
      <c r="BA1542" s="545"/>
      <c r="BB1542" s="351"/>
      <c r="BC1542" s="36"/>
      <c r="BD1542" s="556" t="s">
        <v>325</v>
      </c>
      <c r="BE1542" s="351"/>
      <c r="BF1542" s="529"/>
      <c r="BG1542" s="350"/>
      <c r="BH1542" s="350"/>
      <c r="BI1542" s="351"/>
      <c r="BJ1542" s="506" t="s">
        <v>294</v>
      </c>
      <c r="BK1542" s="350"/>
      <c r="BL1542" s="350"/>
      <c r="BM1542" s="351"/>
      <c r="BN1542" s="530" t="s">
        <v>294</v>
      </c>
      <c r="BO1542" s="350"/>
      <c r="BP1542" s="350"/>
      <c r="BQ1542" s="350"/>
      <c r="BR1542" s="350"/>
      <c r="BS1542" s="350"/>
      <c r="BT1542" s="350"/>
      <c r="BU1542" s="350"/>
      <c r="BV1542" s="351"/>
    </row>
    <row r="1543" spans="1:74" ht="45" customHeight="1">
      <c r="A1543" s="24">
        <f t="shared" si="5"/>
        <v>1529</v>
      </c>
      <c r="B1543" s="522" t="s">
        <v>294</v>
      </c>
      <c r="C1543" s="351"/>
      <c r="D1543" s="523" t="s">
        <v>298</v>
      </c>
      <c r="E1543" s="351"/>
      <c r="F1543" s="524" t="s">
        <v>325</v>
      </c>
      <c r="G1543" s="351"/>
      <c r="H1543" s="549" t="s">
        <v>325</v>
      </c>
      <c r="I1543" s="351"/>
      <c r="J1543" s="563"/>
      <c r="K1543" s="351"/>
      <c r="L1543" s="563"/>
      <c r="M1543" s="351"/>
      <c r="N1543" s="34"/>
      <c r="O1543" s="38"/>
      <c r="P1543" s="526"/>
      <c r="Q1543" s="351"/>
      <c r="R1543" s="527"/>
      <c r="S1543" s="351"/>
      <c r="T1543" s="528"/>
      <c r="U1543" s="351"/>
      <c r="V1543" s="541"/>
      <c r="W1543" s="351"/>
      <c r="X1543" s="542" t="s">
        <v>294</v>
      </c>
      <c r="Y1543" s="350"/>
      <c r="Z1543" s="350"/>
      <c r="AA1543" s="351"/>
      <c r="AB1543" s="543" t="s">
        <v>294</v>
      </c>
      <c r="AC1543" s="350"/>
      <c r="AD1543" s="350"/>
      <c r="AE1543" s="351"/>
      <c r="AF1543" s="544"/>
      <c r="AG1543" s="351"/>
      <c r="AH1543" s="544"/>
      <c r="AI1543" s="351"/>
      <c r="AJ1543" s="545"/>
      <c r="AK1543" s="351"/>
      <c r="AL1543" s="524" t="s">
        <v>325</v>
      </c>
      <c r="AM1543" s="351"/>
      <c r="AN1543" s="549" t="s">
        <v>325</v>
      </c>
      <c r="AO1543" s="351"/>
      <c r="AP1543" s="550"/>
      <c r="AQ1543" s="351"/>
      <c r="AR1543" s="551"/>
      <c r="AS1543" s="351"/>
      <c r="AT1543" s="552"/>
      <c r="AU1543" s="351"/>
      <c r="AV1543" s="549" t="s">
        <v>325</v>
      </c>
      <c r="AW1543" s="351"/>
      <c r="AX1543" s="553"/>
      <c r="AY1543" s="350"/>
      <c r="AZ1543" s="351"/>
      <c r="BA1543" s="554"/>
      <c r="BB1543" s="351"/>
      <c r="BC1543" s="39"/>
      <c r="BD1543" s="546" t="s">
        <v>325</v>
      </c>
      <c r="BE1543" s="351"/>
      <c r="BF1543" s="547"/>
      <c r="BG1543" s="350"/>
      <c r="BH1543" s="350"/>
      <c r="BI1543" s="351"/>
      <c r="BJ1543" s="548" t="s">
        <v>294</v>
      </c>
      <c r="BK1543" s="350"/>
      <c r="BL1543" s="350"/>
      <c r="BM1543" s="351"/>
      <c r="BN1543" s="530" t="s">
        <v>294</v>
      </c>
      <c r="BO1543" s="350"/>
      <c r="BP1543" s="350"/>
      <c r="BQ1543" s="350"/>
      <c r="BR1543" s="350"/>
      <c r="BS1543" s="350"/>
      <c r="BT1543" s="350"/>
      <c r="BU1543" s="350"/>
      <c r="BV1543" s="351"/>
    </row>
    <row r="1544" spans="1:74" ht="45" customHeight="1">
      <c r="A1544" s="24">
        <f t="shared" si="5"/>
        <v>1530</v>
      </c>
      <c r="B1544" s="558" t="s">
        <v>294</v>
      </c>
      <c r="C1544" s="351"/>
      <c r="D1544" s="559" t="s">
        <v>298</v>
      </c>
      <c r="E1544" s="351"/>
      <c r="F1544" s="524" t="s">
        <v>325</v>
      </c>
      <c r="G1544" s="351"/>
      <c r="H1544" s="531" t="s">
        <v>325</v>
      </c>
      <c r="I1544" s="351"/>
      <c r="J1544" s="562"/>
      <c r="K1544" s="351"/>
      <c r="L1544" s="562"/>
      <c r="M1544" s="351"/>
      <c r="N1544" s="37"/>
      <c r="O1544" s="35"/>
      <c r="P1544" s="560"/>
      <c r="Q1544" s="351"/>
      <c r="R1544" s="535"/>
      <c r="S1544" s="351"/>
      <c r="T1544" s="536"/>
      <c r="U1544" s="351"/>
      <c r="V1544" s="537"/>
      <c r="W1544" s="351"/>
      <c r="X1544" s="538" t="s">
        <v>294</v>
      </c>
      <c r="Y1544" s="350"/>
      <c r="Z1544" s="350"/>
      <c r="AA1544" s="351"/>
      <c r="AB1544" s="539" t="s">
        <v>294</v>
      </c>
      <c r="AC1544" s="350"/>
      <c r="AD1544" s="350"/>
      <c r="AE1544" s="351"/>
      <c r="AF1544" s="540"/>
      <c r="AG1544" s="351"/>
      <c r="AH1544" s="540"/>
      <c r="AI1544" s="351"/>
      <c r="AJ1544" s="545"/>
      <c r="AK1544" s="351"/>
      <c r="AL1544" s="555" t="s">
        <v>325</v>
      </c>
      <c r="AM1544" s="351"/>
      <c r="AN1544" s="531" t="s">
        <v>325</v>
      </c>
      <c r="AO1544" s="351"/>
      <c r="AP1544" s="532"/>
      <c r="AQ1544" s="351"/>
      <c r="AR1544" s="533"/>
      <c r="AS1544" s="351"/>
      <c r="AT1544" s="534"/>
      <c r="AU1544" s="351"/>
      <c r="AV1544" s="531" t="s">
        <v>325</v>
      </c>
      <c r="AW1544" s="351"/>
      <c r="AX1544" s="553"/>
      <c r="AY1544" s="350"/>
      <c r="AZ1544" s="351"/>
      <c r="BA1544" s="545"/>
      <c r="BB1544" s="351"/>
      <c r="BC1544" s="36"/>
      <c r="BD1544" s="556" t="s">
        <v>325</v>
      </c>
      <c r="BE1544" s="351"/>
      <c r="BF1544" s="557"/>
      <c r="BG1544" s="350"/>
      <c r="BH1544" s="350"/>
      <c r="BI1544" s="351"/>
      <c r="BJ1544" s="506" t="s">
        <v>294</v>
      </c>
      <c r="BK1544" s="350"/>
      <c r="BL1544" s="350"/>
      <c r="BM1544" s="351"/>
      <c r="BN1544" s="530" t="s">
        <v>294</v>
      </c>
      <c r="BO1544" s="350"/>
      <c r="BP1544" s="350"/>
      <c r="BQ1544" s="350"/>
      <c r="BR1544" s="350"/>
      <c r="BS1544" s="350"/>
      <c r="BT1544" s="350"/>
      <c r="BU1544" s="350"/>
      <c r="BV1544" s="351"/>
    </row>
    <row r="1545" spans="1:74" ht="45" customHeight="1">
      <c r="A1545" s="24">
        <f t="shared" ref="A1545:A1614" si="6">ROW(A1531)</f>
        <v>1531</v>
      </c>
      <c r="B1545" s="522" t="s">
        <v>294</v>
      </c>
      <c r="C1545" s="351"/>
      <c r="D1545" s="523" t="s">
        <v>298</v>
      </c>
      <c r="E1545" s="351"/>
      <c r="F1545" s="524" t="s">
        <v>325</v>
      </c>
      <c r="G1545" s="351"/>
      <c r="H1545" s="549" t="s">
        <v>325</v>
      </c>
      <c r="I1545" s="351"/>
      <c r="J1545" s="563"/>
      <c r="K1545" s="351"/>
      <c r="L1545" s="563"/>
      <c r="M1545" s="351"/>
      <c r="N1545" s="34"/>
      <c r="O1545" s="38"/>
      <c r="P1545" s="526"/>
      <c r="Q1545" s="351"/>
      <c r="R1545" s="527"/>
      <c r="S1545" s="351"/>
      <c r="T1545" s="528"/>
      <c r="U1545" s="351"/>
      <c r="V1545" s="541"/>
      <c r="W1545" s="351"/>
      <c r="X1545" s="542" t="s">
        <v>294</v>
      </c>
      <c r="Y1545" s="350"/>
      <c r="Z1545" s="350"/>
      <c r="AA1545" s="351"/>
      <c r="AB1545" s="543" t="s">
        <v>294</v>
      </c>
      <c r="AC1545" s="350"/>
      <c r="AD1545" s="350"/>
      <c r="AE1545" s="351"/>
      <c r="AF1545" s="544"/>
      <c r="AG1545" s="351"/>
      <c r="AH1545" s="544"/>
      <c r="AI1545" s="351"/>
      <c r="AJ1545" s="545"/>
      <c r="AK1545" s="351"/>
      <c r="AL1545" s="524" t="s">
        <v>325</v>
      </c>
      <c r="AM1545" s="351"/>
      <c r="AN1545" s="549" t="s">
        <v>325</v>
      </c>
      <c r="AO1545" s="351"/>
      <c r="AP1545" s="550"/>
      <c r="AQ1545" s="351"/>
      <c r="AR1545" s="551"/>
      <c r="AS1545" s="351"/>
      <c r="AT1545" s="552"/>
      <c r="AU1545" s="351"/>
      <c r="AV1545" s="549" t="s">
        <v>325</v>
      </c>
      <c r="AW1545" s="351"/>
      <c r="AX1545" s="553"/>
      <c r="AY1545" s="350"/>
      <c r="AZ1545" s="351"/>
      <c r="BA1545" s="554"/>
      <c r="BB1545" s="351"/>
      <c r="BC1545" s="39"/>
      <c r="BD1545" s="546" t="s">
        <v>325</v>
      </c>
      <c r="BE1545" s="351"/>
      <c r="BF1545" s="547"/>
      <c r="BG1545" s="350"/>
      <c r="BH1545" s="350"/>
      <c r="BI1545" s="351"/>
      <c r="BJ1545" s="548" t="s">
        <v>294</v>
      </c>
      <c r="BK1545" s="350"/>
      <c r="BL1545" s="350"/>
      <c r="BM1545" s="351"/>
      <c r="BN1545" s="530" t="s">
        <v>294</v>
      </c>
      <c r="BO1545" s="350"/>
      <c r="BP1545" s="350"/>
      <c r="BQ1545" s="350"/>
      <c r="BR1545" s="350"/>
      <c r="BS1545" s="350"/>
      <c r="BT1545" s="350"/>
      <c r="BU1545" s="350"/>
      <c r="BV1545" s="351"/>
    </row>
    <row r="1546" spans="1:74" ht="45" customHeight="1">
      <c r="A1546" s="24">
        <f t="shared" si="6"/>
        <v>1532</v>
      </c>
      <c r="B1546" s="558" t="s">
        <v>294</v>
      </c>
      <c r="C1546" s="351"/>
      <c r="D1546" s="559" t="s">
        <v>298</v>
      </c>
      <c r="E1546" s="351"/>
      <c r="F1546" s="524" t="s">
        <v>325</v>
      </c>
      <c r="G1546" s="351"/>
      <c r="H1546" s="531" t="s">
        <v>325</v>
      </c>
      <c r="I1546" s="351"/>
      <c r="J1546" s="562"/>
      <c r="K1546" s="351"/>
      <c r="L1546" s="562"/>
      <c r="M1546" s="351"/>
      <c r="N1546" s="37"/>
      <c r="O1546" s="35"/>
      <c r="P1546" s="560"/>
      <c r="Q1546" s="351"/>
      <c r="R1546" s="535"/>
      <c r="S1546" s="351"/>
      <c r="T1546" s="536"/>
      <c r="U1546" s="351"/>
      <c r="V1546" s="537"/>
      <c r="W1546" s="351"/>
      <c r="X1546" s="538" t="s">
        <v>294</v>
      </c>
      <c r="Y1546" s="350"/>
      <c r="Z1546" s="350"/>
      <c r="AA1546" s="351"/>
      <c r="AB1546" s="539" t="s">
        <v>294</v>
      </c>
      <c r="AC1546" s="350"/>
      <c r="AD1546" s="350"/>
      <c r="AE1546" s="351"/>
      <c r="AF1546" s="540"/>
      <c r="AG1546" s="351"/>
      <c r="AH1546" s="540"/>
      <c r="AI1546" s="351"/>
      <c r="AJ1546" s="545"/>
      <c r="AK1546" s="351"/>
      <c r="AL1546" s="555" t="s">
        <v>325</v>
      </c>
      <c r="AM1546" s="351"/>
      <c r="AN1546" s="531" t="s">
        <v>325</v>
      </c>
      <c r="AO1546" s="351"/>
      <c r="AP1546" s="532"/>
      <c r="AQ1546" s="351"/>
      <c r="AR1546" s="533"/>
      <c r="AS1546" s="351"/>
      <c r="AT1546" s="534"/>
      <c r="AU1546" s="351"/>
      <c r="AV1546" s="531" t="s">
        <v>325</v>
      </c>
      <c r="AW1546" s="351"/>
      <c r="AX1546" s="553"/>
      <c r="AY1546" s="350"/>
      <c r="AZ1546" s="351"/>
      <c r="BA1546" s="545"/>
      <c r="BB1546" s="351"/>
      <c r="BC1546" s="36"/>
      <c r="BD1546" s="556" t="s">
        <v>325</v>
      </c>
      <c r="BE1546" s="351"/>
      <c r="BF1546" s="557"/>
      <c r="BG1546" s="350"/>
      <c r="BH1546" s="350"/>
      <c r="BI1546" s="351"/>
      <c r="BJ1546" s="506" t="s">
        <v>294</v>
      </c>
      <c r="BK1546" s="350"/>
      <c r="BL1546" s="350"/>
      <c r="BM1546" s="351"/>
      <c r="BN1546" s="530" t="s">
        <v>294</v>
      </c>
      <c r="BO1546" s="350"/>
      <c r="BP1546" s="350"/>
      <c r="BQ1546" s="350"/>
      <c r="BR1546" s="350"/>
      <c r="BS1546" s="350"/>
      <c r="BT1546" s="350"/>
      <c r="BU1546" s="350"/>
      <c r="BV1546" s="351"/>
    </row>
    <row r="1547" spans="1:74" ht="45" customHeight="1">
      <c r="A1547" s="24">
        <f t="shared" si="6"/>
        <v>1533</v>
      </c>
      <c r="B1547" s="522" t="s">
        <v>294</v>
      </c>
      <c r="C1547" s="351"/>
      <c r="D1547" s="523" t="s">
        <v>298</v>
      </c>
      <c r="E1547" s="351"/>
      <c r="F1547" s="524" t="s">
        <v>325</v>
      </c>
      <c r="G1547" s="351"/>
      <c r="H1547" s="549" t="s">
        <v>325</v>
      </c>
      <c r="I1547" s="351"/>
      <c r="J1547" s="563"/>
      <c r="K1547" s="351"/>
      <c r="L1547" s="563"/>
      <c r="M1547" s="351"/>
      <c r="N1547" s="34"/>
      <c r="O1547" s="38"/>
      <c r="P1547" s="526"/>
      <c r="Q1547" s="351"/>
      <c r="R1547" s="527"/>
      <c r="S1547" s="351"/>
      <c r="T1547" s="528"/>
      <c r="U1547" s="351"/>
      <c r="V1547" s="541"/>
      <c r="W1547" s="351"/>
      <c r="X1547" s="542" t="s">
        <v>294</v>
      </c>
      <c r="Y1547" s="350"/>
      <c r="Z1547" s="350"/>
      <c r="AA1547" s="351"/>
      <c r="AB1547" s="543" t="s">
        <v>294</v>
      </c>
      <c r="AC1547" s="350"/>
      <c r="AD1547" s="350"/>
      <c r="AE1547" s="351"/>
      <c r="AF1547" s="544"/>
      <c r="AG1547" s="351"/>
      <c r="AH1547" s="544"/>
      <c r="AI1547" s="351"/>
      <c r="AJ1547" s="545"/>
      <c r="AK1547" s="351"/>
      <c r="AL1547" s="524" t="s">
        <v>325</v>
      </c>
      <c r="AM1547" s="351"/>
      <c r="AN1547" s="549" t="s">
        <v>325</v>
      </c>
      <c r="AO1547" s="351"/>
      <c r="AP1547" s="550"/>
      <c r="AQ1547" s="351"/>
      <c r="AR1547" s="551"/>
      <c r="AS1547" s="351"/>
      <c r="AT1547" s="552"/>
      <c r="AU1547" s="351"/>
      <c r="AV1547" s="549" t="s">
        <v>325</v>
      </c>
      <c r="AW1547" s="351"/>
      <c r="AX1547" s="553"/>
      <c r="AY1547" s="350"/>
      <c r="AZ1547" s="351"/>
      <c r="BA1547" s="554"/>
      <c r="BB1547" s="351"/>
      <c r="BC1547" s="39"/>
      <c r="BD1547" s="546" t="s">
        <v>325</v>
      </c>
      <c r="BE1547" s="351"/>
      <c r="BF1547" s="547"/>
      <c r="BG1547" s="350"/>
      <c r="BH1547" s="350"/>
      <c r="BI1547" s="351"/>
      <c r="BJ1547" s="548" t="s">
        <v>294</v>
      </c>
      <c r="BK1547" s="350"/>
      <c r="BL1547" s="350"/>
      <c r="BM1547" s="351"/>
      <c r="BN1547" s="530" t="s">
        <v>294</v>
      </c>
      <c r="BO1547" s="350"/>
      <c r="BP1547" s="350"/>
      <c r="BQ1547" s="350"/>
      <c r="BR1547" s="350"/>
      <c r="BS1547" s="350"/>
      <c r="BT1547" s="350"/>
      <c r="BU1547" s="350"/>
      <c r="BV1547" s="351"/>
    </row>
    <row r="1548" spans="1:74" ht="45" customHeight="1">
      <c r="A1548" s="24">
        <f t="shared" si="6"/>
        <v>1534</v>
      </c>
      <c r="B1548" s="558" t="s">
        <v>294</v>
      </c>
      <c r="C1548" s="351"/>
      <c r="D1548" s="559" t="s">
        <v>298</v>
      </c>
      <c r="E1548" s="351"/>
      <c r="F1548" s="524" t="s">
        <v>325</v>
      </c>
      <c r="G1548" s="351"/>
      <c r="H1548" s="531" t="s">
        <v>325</v>
      </c>
      <c r="I1548" s="351"/>
      <c r="J1548" s="562"/>
      <c r="K1548" s="351"/>
      <c r="L1548" s="562"/>
      <c r="M1548" s="351"/>
      <c r="N1548" s="37"/>
      <c r="O1548" s="35"/>
      <c r="P1548" s="560"/>
      <c r="Q1548" s="351"/>
      <c r="R1548" s="535"/>
      <c r="S1548" s="351"/>
      <c r="T1548" s="536"/>
      <c r="U1548" s="351"/>
      <c r="V1548" s="537"/>
      <c r="W1548" s="351"/>
      <c r="X1548" s="538" t="s">
        <v>294</v>
      </c>
      <c r="Y1548" s="350"/>
      <c r="Z1548" s="350"/>
      <c r="AA1548" s="351"/>
      <c r="AB1548" s="539" t="s">
        <v>294</v>
      </c>
      <c r="AC1548" s="350"/>
      <c r="AD1548" s="350"/>
      <c r="AE1548" s="351"/>
      <c r="AF1548" s="540"/>
      <c r="AG1548" s="351"/>
      <c r="AH1548" s="540"/>
      <c r="AI1548" s="351"/>
      <c r="AJ1548" s="545"/>
      <c r="AK1548" s="351"/>
      <c r="AL1548" s="555" t="s">
        <v>325</v>
      </c>
      <c r="AM1548" s="351"/>
      <c r="AN1548" s="531" t="s">
        <v>325</v>
      </c>
      <c r="AO1548" s="351"/>
      <c r="AP1548" s="532"/>
      <c r="AQ1548" s="351"/>
      <c r="AR1548" s="533"/>
      <c r="AS1548" s="351"/>
      <c r="AT1548" s="534"/>
      <c r="AU1548" s="351"/>
      <c r="AV1548" s="531" t="s">
        <v>325</v>
      </c>
      <c r="AW1548" s="351"/>
      <c r="AX1548" s="553"/>
      <c r="AY1548" s="350"/>
      <c r="AZ1548" s="351"/>
      <c r="BA1548" s="545"/>
      <c r="BB1548" s="351"/>
      <c r="BC1548" s="36"/>
      <c r="BD1548" s="556" t="s">
        <v>325</v>
      </c>
      <c r="BE1548" s="351"/>
      <c r="BF1548" s="529"/>
      <c r="BG1548" s="350"/>
      <c r="BH1548" s="350"/>
      <c r="BI1548" s="351"/>
      <c r="BJ1548" s="506" t="s">
        <v>294</v>
      </c>
      <c r="BK1548" s="350"/>
      <c r="BL1548" s="350"/>
      <c r="BM1548" s="351"/>
      <c r="BN1548" s="530" t="s">
        <v>294</v>
      </c>
      <c r="BO1548" s="350"/>
      <c r="BP1548" s="350"/>
      <c r="BQ1548" s="350"/>
      <c r="BR1548" s="350"/>
      <c r="BS1548" s="350"/>
      <c r="BT1548" s="350"/>
      <c r="BU1548" s="350"/>
      <c r="BV1548" s="351"/>
    </row>
    <row r="1549" spans="1:74" ht="45" customHeight="1">
      <c r="A1549" s="24">
        <f t="shared" si="6"/>
        <v>1535</v>
      </c>
      <c r="B1549" s="522" t="s">
        <v>294</v>
      </c>
      <c r="C1549" s="351"/>
      <c r="D1549" s="523" t="s">
        <v>298</v>
      </c>
      <c r="E1549" s="351"/>
      <c r="F1549" s="524" t="s">
        <v>325</v>
      </c>
      <c r="G1549" s="351"/>
      <c r="H1549" s="549" t="s">
        <v>325</v>
      </c>
      <c r="I1549" s="351"/>
      <c r="J1549" s="563"/>
      <c r="K1549" s="351"/>
      <c r="L1549" s="563"/>
      <c r="M1549" s="351"/>
      <c r="N1549" s="34"/>
      <c r="O1549" s="38"/>
      <c r="P1549" s="526"/>
      <c r="Q1549" s="351"/>
      <c r="R1549" s="527"/>
      <c r="S1549" s="351"/>
      <c r="T1549" s="528"/>
      <c r="U1549" s="351"/>
      <c r="V1549" s="541"/>
      <c r="W1549" s="351"/>
      <c r="X1549" s="542" t="s">
        <v>294</v>
      </c>
      <c r="Y1549" s="350"/>
      <c r="Z1549" s="350"/>
      <c r="AA1549" s="351"/>
      <c r="AB1549" s="543" t="s">
        <v>294</v>
      </c>
      <c r="AC1549" s="350"/>
      <c r="AD1549" s="350"/>
      <c r="AE1549" s="351"/>
      <c r="AF1549" s="544"/>
      <c r="AG1549" s="351"/>
      <c r="AH1549" s="544"/>
      <c r="AI1549" s="351"/>
      <c r="AJ1549" s="545"/>
      <c r="AK1549" s="351"/>
      <c r="AL1549" s="524" t="s">
        <v>325</v>
      </c>
      <c r="AM1549" s="351"/>
      <c r="AN1549" s="549" t="s">
        <v>325</v>
      </c>
      <c r="AO1549" s="351"/>
      <c r="AP1549" s="550"/>
      <c r="AQ1549" s="351"/>
      <c r="AR1549" s="551"/>
      <c r="AS1549" s="351"/>
      <c r="AT1549" s="552"/>
      <c r="AU1549" s="351"/>
      <c r="AV1549" s="549" t="s">
        <v>325</v>
      </c>
      <c r="AW1549" s="351"/>
      <c r="AX1549" s="553"/>
      <c r="AY1549" s="350"/>
      <c r="AZ1549" s="351"/>
      <c r="BA1549" s="554"/>
      <c r="BB1549" s="351"/>
      <c r="BC1549" s="39"/>
      <c r="BD1549" s="546" t="s">
        <v>325</v>
      </c>
      <c r="BE1549" s="351"/>
      <c r="BF1549" s="547"/>
      <c r="BG1549" s="350"/>
      <c r="BH1549" s="350"/>
      <c r="BI1549" s="351"/>
      <c r="BJ1549" s="548" t="s">
        <v>294</v>
      </c>
      <c r="BK1549" s="350"/>
      <c r="BL1549" s="350"/>
      <c r="BM1549" s="351"/>
      <c r="BN1549" s="530" t="s">
        <v>294</v>
      </c>
      <c r="BO1549" s="350"/>
      <c r="BP1549" s="350"/>
      <c r="BQ1549" s="350"/>
      <c r="BR1549" s="350"/>
      <c r="BS1549" s="350"/>
      <c r="BT1549" s="350"/>
      <c r="BU1549" s="350"/>
      <c r="BV1549" s="351"/>
    </row>
    <row r="1550" spans="1:74" ht="45" customHeight="1">
      <c r="A1550" s="24">
        <f t="shared" si="6"/>
        <v>1536</v>
      </c>
      <c r="B1550" s="558" t="s">
        <v>294</v>
      </c>
      <c r="C1550" s="351"/>
      <c r="D1550" s="559" t="s">
        <v>298</v>
      </c>
      <c r="E1550" s="351"/>
      <c r="F1550" s="524" t="s">
        <v>325</v>
      </c>
      <c r="G1550" s="351"/>
      <c r="H1550" s="531" t="s">
        <v>325</v>
      </c>
      <c r="I1550" s="351"/>
      <c r="J1550" s="562"/>
      <c r="K1550" s="351"/>
      <c r="L1550" s="562"/>
      <c r="M1550" s="351"/>
      <c r="N1550" s="37"/>
      <c r="O1550" s="35"/>
      <c r="P1550" s="560"/>
      <c r="Q1550" s="351"/>
      <c r="R1550" s="535"/>
      <c r="S1550" s="351"/>
      <c r="T1550" s="536"/>
      <c r="U1550" s="351"/>
      <c r="V1550" s="537"/>
      <c r="W1550" s="351"/>
      <c r="X1550" s="538" t="s">
        <v>294</v>
      </c>
      <c r="Y1550" s="350"/>
      <c r="Z1550" s="350"/>
      <c r="AA1550" s="351"/>
      <c r="AB1550" s="539" t="s">
        <v>294</v>
      </c>
      <c r="AC1550" s="350"/>
      <c r="AD1550" s="350"/>
      <c r="AE1550" s="351"/>
      <c r="AF1550" s="540"/>
      <c r="AG1550" s="351"/>
      <c r="AH1550" s="540"/>
      <c r="AI1550" s="351"/>
      <c r="AJ1550" s="545"/>
      <c r="AK1550" s="351"/>
      <c r="AL1550" s="555" t="s">
        <v>325</v>
      </c>
      <c r="AM1550" s="351"/>
      <c r="AN1550" s="531" t="s">
        <v>325</v>
      </c>
      <c r="AO1550" s="351"/>
      <c r="AP1550" s="532"/>
      <c r="AQ1550" s="351"/>
      <c r="AR1550" s="533"/>
      <c r="AS1550" s="351"/>
      <c r="AT1550" s="534"/>
      <c r="AU1550" s="351"/>
      <c r="AV1550" s="531" t="s">
        <v>325</v>
      </c>
      <c r="AW1550" s="351"/>
      <c r="AX1550" s="553"/>
      <c r="AY1550" s="350"/>
      <c r="AZ1550" s="351"/>
      <c r="BA1550" s="545"/>
      <c r="BB1550" s="351"/>
      <c r="BC1550" s="36"/>
      <c r="BD1550" s="556" t="s">
        <v>325</v>
      </c>
      <c r="BE1550" s="351"/>
      <c r="BF1550" s="557"/>
      <c r="BG1550" s="350"/>
      <c r="BH1550" s="350"/>
      <c r="BI1550" s="351"/>
      <c r="BJ1550" s="506" t="s">
        <v>294</v>
      </c>
      <c r="BK1550" s="350"/>
      <c r="BL1550" s="350"/>
      <c r="BM1550" s="351"/>
      <c r="BN1550" s="530" t="s">
        <v>294</v>
      </c>
      <c r="BO1550" s="350"/>
      <c r="BP1550" s="350"/>
      <c r="BQ1550" s="350"/>
      <c r="BR1550" s="350"/>
      <c r="BS1550" s="350"/>
      <c r="BT1550" s="350"/>
      <c r="BU1550" s="350"/>
      <c r="BV1550" s="351"/>
    </row>
    <row r="1551" spans="1:74" ht="45" customHeight="1">
      <c r="A1551" s="24">
        <f t="shared" si="6"/>
        <v>1537</v>
      </c>
      <c r="B1551" s="522" t="s">
        <v>294</v>
      </c>
      <c r="C1551" s="351"/>
      <c r="D1551" s="523" t="s">
        <v>298</v>
      </c>
      <c r="E1551" s="351"/>
      <c r="F1551" s="524" t="s">
        <v>325</v>
      </c>
      <c r="G1551" s="351"/>
      <c r="H1551" s="549" t="s">
        <v>325</v>
      </c>
      <c r="I1551" s="351"/>
      <c r="J1551" s="563"/>
      <c r="K1551" s="351"/>
      <c r="L1551" s="563"/>
      <c r="M1551" s="351"/>
      <c r="N1551" s="37"/>
      <c r="O1551" s="38"/>
      <c r="P1551" s="560"/>
      <c r="Q1551" s="351"/>
      <c r="R1551" s="527"/>
      <c r="S1551" s="351"/>
      <c r="T1551" s="528"/>
      <c r="U1551" s="351"/>
      <c r="V1551" s="541"/>
      <c r="W1551" s="351"/>
      <c r="X1551" s="542" t="s">
        <v>294</v>
      </c>
      <c r="Y1551" s="350"/>
      <c r="Z1551" s="350"/>
      <c r="AA1551" s="351"/>
      <c r="AB1551" s="543" t="s">
        <v>294</v>
      </c>
      <c r="AC1551" s="350"/>
      <c r="AD1551" s="350"/>
      <c r="AE1551" s="351"/>
      <c r="AF1551" s="544"/>
      <c r="AG1551" s="351"/>
      <c r="AH1551" s="544"/>
      <c r="AI1551" s="351"/>
      <c r="AJ1551" s="545"/>
      <c r="AK1551" s="351"/>
      <c r="AL1551" s="524" t="s">
        <v>325</v>
      </c>
      <c r="AM1551" s="351"/>
      <c r="AN1551" s="549" t="s">
        <v>325</v>
      </c>
      <c r="AO1551" s="351"/>
      <c r="AP1551" s="550"/>
      <c r="AQ1551" s="351"/>
      <c r="AR1551" s="551"/>
      <c r="AS1551" s="351"/>
      <c r="AT1551" s="534"/>
      <c r="AU1551" s="351"/>
      <c r="AV1551" s="549" t="s">
        <v>325</v>
      </c>
      <c r="AW1551" s="351"/>
      <c r="AX1551" s="553"/>
      <c r="AY1551" s="350"/>
      <c r="AZ1551" s="351"/>
      <c r="BA1551" s="554"/>
      <c r="BB1551" s="351"/>
      <c r="BC1551" s="39"/>
      <c r="BD1551" s="556" t="s">
        <v>325</v>
      </c>
      <c r="BE1551" s="351"/>
      <c r="BF1551" s="547"/>
      <c r="BG1551" s="350"/>
      <c r="BH1551" s="350"/>
      <c r="BI1551" s="351"/>
      <c r="BJ1551" s="548" t="s">
        <v>294</v>
      </c>
      <c r="BK1551" s="350"/>
      <c r="BL1551" s="350"/>
      <c r="BM1551" s="351"/>
      <c r="BN1551" s="530" t="s">
        <v>294</v>
      </c>
      <c r="BO1551" s="350"/>
      <c r="BP1551" s="350"/>
      <c r="BQ1551" s="350"/>
      <c r="BR1551" s="350"/>
      <c r="BS1551" s="350"/>
      <c r="BT1551" s="350"/>
      <c r="BU1551" s="350"/>
      <c r="BV1551" s="351"/>
    </row>
    <row r="1552" spans="1:74" ht="45" customHeight="1">
      <c r="A1552" s="24">
        <f t="shared" si="6"/>
        <v>1538</v>
      </c>
      <c r="B1552" s="558" t="s">
        <v>294</v>
      </c>
      <c r="C1552" s="351"/>
      <c r="D1552" s="559" t="s">
        <v>298</v>
      </c>
      <c r="E1552" s="351"/>
      <c r="F1552" s="524" t="s">
        <v>325</v>
      </c>
      <c r="G1552" s="351"/>
      <c r="H1552" s="531" t="s">
        <v>325</v>
      </c>
      <c r="I1552" s="351"/>
      <c r="J1552" s="562"/>
      <c r="K1552" s="351"/>
      <c r="L1552" s="562"/>
      <c r="M1552" s="351"/>
      <c r="N1552" s="34"/>
      <c r="O1552" s="35"/>
      <c r="P1552" s="526"/>
      <c r="Q1552" s="351"/>
      <c r="R1552" s="535"/>
      <c r="S1552" s="351"/>
      <c r="T1552" s="536"/>
      <c r="U1552" s="351"/>
      <c r="V1552" s="537"/>
      <c r="W1552" s="351"/>
      <c r="X1552" s="538" t="s">
        <v>294</v>
      </c>
      <c r="Y1552" s="350"/>
      <c r="Z1552" s="350"/>
      <c r="AA1552" s="351"/>
      <c r="AB1552" s="539" t="s">
        <v>294</v>
      </c>
      <c r="AC1552" s="350"/>
      <c r="AD1552" s="350"/>
      <c r="AE1552" s="351"/>
      <c r="AF1552" s="540"/>
      <c r="AG1552" s="351"/>
      <c r="AH1552" s="540"/>
      <c r="AI1552" s="351"/>
      <c r="AJ1552" s="545"/>
      <c r="AK1552" s="351"/>
      <c r="AL1552" s="555" t="s">
        <v>325</v>
      </c>
      <c r="AM1552" s="351"/>
      <c r="AN1552" s="531" t="s">
        <v>325</v>
      </c>
      <c r="AO1552" s="351"/>
      <c r="AP1552" s="532"/>
      <c r="AQ1552" s="351"/>
      <c r="AR1552" s="533"/>
      <c r="AS1552" s="351"/>
      <c r="AT1552" s="534"/>
      <c r="AU1552" s="351"/>
      <c r="AV1552" s="531" t="s">
        <v>325</v>
      </c>
      <c r="AW1552" s="351"/>
      <c r="AX1552" s="553"/>
      <c r="AY1552" s="350"/>
      <c r="AZ1552" s="351"/>
      <c r="BA1552" s="545"/>
      <c r="BB1552" s="351"/>
      <c r="BC1552" s="36"/>
      <c r="BD1552" s="546" t="s">
        <v>325</v>
      </c>
      <c r="BE1552" s="351"/>
      <c r="BF1552" s="557"/>
      <c r="BG1552" s="350"/>
      <c r="BH1552" s="350"/>
      <c r="BI1552" s="351"/>
      <c r="BJ1552" s="506" t="s">
        <v>294</v>
      </c>
      <c r="BK1552" s="350"/>
      <c r="BL1552" s="350"/>
      <c r="BM1552" s="351"/>
      <c r="BN1552" s="530" t="s">
        <v>294</v>
      </c>
      <c r="BO1552" s="350"/>
      <c r="BP1552" s="350"/>
      <c r="BQ1552" s="350"/>
      <c r="BR1552" s="350"/>
      <c r="BS1552" s="350"/>
      <c r="BT1552" s="350"/>
      <c r="BU1552" s="350"/>
      <c r="BV1552" s="351"/>
    </row>
    <row r="1553" spans="1:74" ht="45" customHeight="1">
      <c r="A1553" s="24">
        <f t="shared" si="6"/>
        <v>1539</v>
      </c>
      <c r="B1553" s="522" t="s">
        <v>294</v>
      </c>
      <c r="C1553" s="351"/>
      <c r="D1553" s="523" t="s">
        <v>298</v>
      </c>
      <c r="E1553" s="351"/>
      <c r="F1553" s="524" t="s">
        <v>325</v>
      </c>
      <c r="G1553" s="351"/>
      <c r="H1553" s="549" t="s">
        <v>325</v>
      </c>
      <c r="I1553" s="351"/>
      <c r="J1553" s="563"/>
      <c r="K1553" s="351"/>
      <c r="L1553" s="563"/>
      <c r="M1553" s="351"/>
      <c r="N1553" s="37"/>
      <c r="O1553" s="38"/>
      <c r="P1553" s="560"/>
      <c r="Q1553" s="351"/>
      <c r="R1553" s="527"/>
      <c r="S1553" s="351"/>
      <c r="T1553" s="528"/>
      <c r="U1553" s="351"/>
      <c r="V1553" s="541"/>
      <c r="W1553" s="351"/>
      <c r="X1553" s="542" t="s">
        <v>294</v>
      </c>
      <c r="Y1553" s="350"/>
      <c r="Z1553" s="350"/>
      <c r="AA1553" s="351"/>
      <c r="AB1553" s="543" t="s">
        <v>294</v>
      </c>
      <c r="AC1553" s="350"/>
      <c r="AD1553" s="350"/>
      <c r="AE1553" s="351"/>
      <c r="AF1553" s="544"/>
      <c r="AG1553" s="351"/>
      <c r="AH1553" s="544"/>
      <c r="AI1553" s="351"/>
      <c r="AJ1553" s="545"/>
      <c r="AK1553" s="351"/>
      <c r="AL1553" s="524" t="s">
        <v>325</v>
      </c>
      <c r="AM1553" s="351"/>
      <c r="AN1553" s="549" t="s">
        <v>325</v>
      </c>
      <c r="AO1553" s="351"/>
      <c r="AP1553" s="550"/>
      <c r="AQ1553" s="351"/>
      <c r="AR1553" s="551"/>
      <c r="AS1553" s="351"/>
      <c r="AT1553" s="534"/>
      <c r="AU1553" s="351"/>
      <c r="AV1553" s="549" t="s">
        <v>325</v>
      </c>
      <c r="AW1553" s="351"/>
      <c r="AX1553" s="553"/>
      <c r="AY1553" s="350"/>
      <c r="AZ1553" s="351"/>
      <c r="BA1553" s="554"/>
      <c r="BB1553" s="351"/>
      <c r="BC1553" s="39"/>
      <c r="BD1553" s="556" t="s">
        <v>325</v>
      </c>
      <c r="BE1553" s="351"/>
      <c r="BF1553" s="547"/>
      <c r="BG1553" s="350"/>
      <c r="BH1553" s="350"/>
      <c r="BI1553" s="351"/>
      <c r="BJ1553" s="548" t="s">
        <v>294</v>
      </c>
      <c r="BK1553" s="350"/>
      <c r="BL1553" s="350"/>
      <c r="BM1553" s="351"/>
      <c r="BN1553" s="530" t="s">
        <v>294</v>
      </c>
      <c r="BO1553" s="350"/>
      <c r="BP1553" s="350"/>
      <c r="BQ1553" s="350"/>
      <c r="BR1553" s="350"/>
      <c r="BS1553" s="350"/>
      <c r="BT1553" s="350"/>
      <c r="BU1553" s="350"/>
      <c r="BV1553" s="351"/>
    </row>
    <row r="1554" spans="1:74" ht="45" customHeight="1">
      <c r="A1554" s="24">
        <f t="shared" si="6"/>
        <v>1540</v>
      </c>
      <c r="B1554" s="558" t="s">
        <v>294</v>
      </c>
      <c r="C1554" s="351"/>
      <c r="D1554" s="559" t="s">
        <v>298</v>
      </c>
      <c r="E1554" s="351"/>
      <c r="F1554" s="524" t="s">
        <v>325</v>
      </c>
      <c r="G1554" s="351"/>
      <c r="H1554" s="531" t="s">
        <v>325</v>
      </c>
      <c r="I1554" s="351"/>
      <c r="J1554" s="562"/>
      <c r="K1554" s="351"/>
      <c r="L1554" s="562"/>
      <c r="M1554" s="351"/>
      <c r="N1554" s="34"/>
      <c r="O1554" s="35"/>
      <c r="P1554" s="526"/>
      <c r="Q1554" s="351"/>
      <c r="R1554" s="535"/>
      <c r="S1554" s="351"/>
      <c r="T1554" s="536"/>
      <c r="U1554" s="351"/>
      <c r="V1554" s="537"/>
      <c r="W1554" s="351"/>
      <c r="X1554" s="538" t="s">
        <v>294</v>
      </c>
      <c r="Y1554" s="350"/>
      <c r="Z1554" s="350"/>
      <c r="AA1554" s="351"/>
      <c r="AB1554" s="539" t="s">
        <v>294</v>
      </c>
      <c r="AC1554" s="350"/>
      <c r="AD1554" s="350"/>
      <c r="AE1554" s="351"/>
      <c r="AF1554" s="540"/>
      <c r="AG1554" s="351"/>
      <c r="AH1554" s="540"/>
      <c r="AI1554" s="351"/>
      <c r="AJ1554" s="545"/>
      <c r="AK1554" s="351"/>
      <c r="AL1554" s="555" t="s">
        <v>325</v>
      </c>
      <c r="AM1554" s="351"/>
      <c r="AN1554" s="531" t="s">
        <v>325</v>
      </c>
      <c r="AO1554" s="351"/>
      <c r="AP1554" s="532"/>
      <c r="AQ1554" s="351"/>
      <c r="AR1554" s="533"/>
      <c r="AS1554" s="351"/>
      <c r="AT1554" s="534"/>
      <c r="AU1554" s="351"/>
      <c r="AV1554" s="531" t="s">
        <v>325</v>
      </c>
      <c r="AW1554" s="351"/>
      <c r="AX1554" s="553"/>
      <c r="AY1554" s="350"/>
      <c r="AZ1554" s="351"/>
      <c r="BA1554" s="545"/>
      <c r="BB1554" s="351"/>
      <c r="BC1554" s="36"/>
      <c r="BD1554" s="556" t="s">
        <v>325</v>
      </c>
      <c r="BE1554" s="351"/>
      <c r="BF1554" s="557"/>
      <c r="BG1554" s="350"/>
      <c r="BH1554" s="350"/>
      <c r="BI1554" s="351"/>
      <c r="BJ1554" s="506" t="s">
        <v>294</v>
      </c>
      <c r="BK1554" s="350"/>
      <c r="BL1554" s="350"/>
      <c r="BM1554" s="351"/>
      <c r="BN1554" s="530" t="s">
        <v>294</v>
      </c>
      <c r="BO1554" s="350"/>
      <c r="BP1554" s="350"/>
      <c r="BQ1554" s="350"/>
      <c r="BR1554" s="350"/>
      <c r="BS1554" s="350"/>
      <c r="BT1554" s="350"/>
      <c r="BU1554" s="350"/>
      <c r="BV1554" s="351"/>
    </row>
    <row r="1555" spans="1:74" ht="45" customHeight="1">
      <c r="A1555" s="24">
        <f t="shared" si="6"/>
        <v>1541</v>
      </c>
      <c r="B1555" s="522" t="s">
        <v>294</v>
      </c>
      <c r="C1555" s="351"/>
      <c r="D1555" s="523" t="s">
        <v>298</v>
      </c>
      <c r="E1555" s="351"/>
      <c r="F1555" s="524" t="s">
        <v>325</v>
      </c>
      <c r="G1555" s="351"/>
      <c r="H1555" s="549" t="s">
        <v>325</v>
      </c>
      <c r="I1555" s="351"/>
      <c r="J1555" s="563"/>
      <c r="K1555" s="351"/>
      <c r="L1555" s="563"/>
      <c r="M1555" s="351"/>
      <c r="N1555" s="37"/>
      <c r="O1555" s="38"/>
      <c r="P1555" s="560"/>
      <c r="Q1555" s="351"/>
      <c r="R1555" s="527"/>
      <c r="S1555" s="351"/>
      <c r="T1555" s="528"/>
      <c r="U1555" s="351"/>
      <c r="V1555" s="541"/>
      <c r="W1555" s="351"/>
      <c r="X1555" s="542" t="s">
        <v>294</v>
      </c>
      <c r="Y1555" s="350"/>
      <c r="Z1555" s="350"/>
      <c r="AA1555" s="351"/>
      <c r="AB1555" s="543" t="s">
        <v>294</v>
      </c>
      <c r="AC1555" s="350"/>
      <c r="AD1555" s="350"/>
      <c r="AE1555" s="351"/>
      <c r="AF1555" s="544"/>
      <c r="AG1555" s="351"/>
      <c r="AH1555" s="544"/>
      <c r="AI1555" s="351"/>
      <c r="AJ1555" s="545"/>
      <c r="AK1555" s="351"/>
      <c r="AL1555" s="524" t="s">
        <v>325</v>
      </c>
      <c r="AM1555" s="351"/>
      <c r="AN1555" s="549" t="s">
        <v>325</v>
      </c>
      <c r="AO1555" s="351"/>
      <c r="AP1555" s="550"/>
      <c r="AQ1555" s="351"/>
      <c r="AR1555" s="551"/>
      <c r="AS1555" s="351"/>
      <c r="AT1555" s="552"/>
      <c r="AU1555" s="351"/>
      <c r="AV1555" s="549" t="s">
        <v>325</v>
      </c>
      <c r="AW1555" s="351"/>
      <c r="AX1555" s="553"/>
      <c r="AY1555" s="350"/>
      <c r="AZ1555" s="351"/>
      <c r="BA1555" s="554"/>
      <c r="BB1555" s="351"/>
      <c r="BC1555" s="39"/>
      <c r="BD1555" s="546" t="s">
        <v>325</v>
      </c>
      <c r="BE1555" s="351"/>
      <c r="BF1555" s="547"/>
      <c r="BG1555" s="350"/>
      <c r="BH1555" s="350"/>
      <c r="BI1555" s="351"/>
      <c r="BJ1555" s="548" t="s">
        <v>294</v>
      </c>
      <c r="BK1555" s="350"/>
      <c r="BL1555" s="350"/>
      <c r="BM1555" s="351"/>
      <c r="BN1555" s="530" t="s">
        <v>294</v>
      </c>
      <c r="BO1555" s="350"/>
      <c r="BP1555" s="350"/>
      <c r="BQ1555" s="350"/>
      <c r="BR1555" s="350"/>
      <c r="BS1555" s="350"/>
      <c r="BT1555" s="350"/>
      <c r="BU1555" s="350"/>
      <c r="BV1555" s="351"/>
    </row>
    <row r="1556" spans="1:74" ht="45" customHeight="1">
      <c r="A1556" s="24">
        <f t="shared" si="6"/>
        <v>1542</v>
      </c>
      <c r="B1556" s="558" t="s">
        <v>294</v>
      </c>
      <c r="C1556" s="351"/>
      <c r="D1556" s="559" t="s">
        <v>298</v>
      </c>
      <c r="E1556" s="351"/>
      <c r="F1556" s="524" t="s">
        <v>325</v>
      </c>
      <c r="G1556" s="351"/>
      <c r="H1556" s="531" t="s">
        <v>325</v>
      </c>
      <c r="I1556" s="351"/>
      <c r="J1556" s="562"/>
      <c r="K1556" s="351"/>
      <c r="L1556" s="562"/>
      <c r="M1556" s="351"/>
      <c r="N1556" s="34"/>
      <c r="O1556" s="35"/>
      <c r="P1556" s="526"/>
      <c r="Q1556" s="351"/>
      <c r="R1556" s="535"/>
      <c r="S1556" s="351"/>
      <c r="T1556" s="536"/>
      <c r="U1556" s="351"/>
      <c r="V1556" s="537"/>
      <c r="W1556" s="351"/>
      <c r="X1556" s="538" t="s">
        <v>294</v>
      </c>
      <c r="Y1556" s="350"/>
      <c r="Z1556" s="350"/>
      <c r="AA1556" s="351"/>
      <c r="AB1556" s="539" t="s">
        <v>294</v>
      </c>
      <c r="AC1556" s="350"/>
      <c r="AD1556" s="350"/>
      <c r="AE1556" s="351"/>
      <c r="AF1556" s="540"/>
      <c r="AG1556" s="351"/>
      <c r="AH1556" s="540"/>
      <c r="AI1556" s="351"/>
      <c r="AJ1556" s="545"/>
      <c r="AK1556" s="351"/>
      <c r="AL1556" s="555" t="s">
        <v>325</v>
      </c>
      <c r="AM1556" s="351"/>
      <c r="AN1556" s="531" t="s">
        <v>325</v>
      </c>
      <c r="AO1556" s="351"/>
      <c r="AP1556" s="532"/>
      <c r="AQ1556" s="351"/>
      <c r="AR1556" s="533"/>
      <c r="AS1556" s="351"/>
      <c r="AT1556" s="534"/>
      <c r="AU1556" s="351"/>
      <c r="AV1556" s="531" t="s">
        <v>325</v>
      </c>
      <c r="AW1556" s="351"/>
      <c r="AX1556" s="553"/>
      <c r="AY1556" s="350"/>
      <c r="AZ1556" s="351"/>
      <c r="BA1556" s="545"/>
      <c r="BB1556" s="351"/>
      <c r="BC1556" s="36"/>
      <c r="BD1556" s="556" t="s">
        <v>325</v>
      </c>
      <c r="BE1556" s="351"/>
      <c r="BF1556" s="529"/>
      <c r="BG1556" s="350"/>
      <c r="BH1556" s="350"/>
      <c r="BI1556" s="351"/>
      <c r="BJ1556" s="506" t="s">
        <v>294</v>
      </c>
      <c r="BK1556" s="350"/>
      <c r="BL1556" s="350"/>
      <c r="BM1556" s="351"/>
      <c r="BN1556" s="530" t="s">
        <v>294</v>
      </c>
      <c r="BO1556" s="350"/>
      <c r="BP1556" s="350"/>
      <c r="BQ1556" s="350"/>
      <c r="BR1556" s="350"/>
      <c r="BS1556" s="350"/>
      <c r="BT1556" s="350"/>
      <c r="BU1556" s="350"/>
      <c r="BV1556" s="351"/>
    </row>
    <row r="1557" spans="1:74" ht="45" customHeight="1">
      <c r="A1557" s="24">
        <f t="shared" si="6"/>
        <v>1543</v>
      </c>
      <c r="B1557" s="522" t="s">
        <v>294</v>
      </c>
      <c r="C1557" s="351"/>
      <c r="D1557" s="523" t="s">
        <v>298</v>
      </c>
      <c r="E1557" s="351"/>
      <c r="F1557" s="524" t="s">
        <v>325</v>
      </c>
      <c r="G1557" s="351"/>
      <c r="H1557" s="549" t="s">
        <v>325</v>
      </c>
      <c r="I1557" s="351"/>
      <c r="J1557" s="563"/>
      <c r="K1557" s="351"/>
      <c r="L1557" s="563"/>
      <c r="M1557" s="351"/>
      <c r="N1557" s="37"/>
      <c r="O1557" s="38"/>
      <c r="P1557" s="560"/>
      <c r="Q1557" s="351"/>
      <c r="R1557" s="527"/>
      <c r="S1557" s="351"/>
      <c r="T1557" s="528"/>
      <c r="U1557" s="351"/>
      <c r="V1557" s="541"/>
      <c r="W1557" s="351"/>
      <c r="X1557" s="542" t="s">
        <v>294</v>
      </c>
      <c r="Y1557" s="350"/>
      <c r="Z1557" s="350"/>
      <c r="AA1557" s="351"/>
      <c r="AB1557" s="543" t="s">
        <v>294</v>
      </c>
      <c r="AC1557" s="350"/>
      <c r="AD1557" s="350"/>
      <c r="AE1557" s="351"/>
      <c r="AF1557" s="544"/>
      <c r="AG1557" s="351"/>
      <c r="AH1557" s="544"/>
      <c r="AI1557" s="351"/>
      <c r="AJ1557" s="545"/>
      <c r="AK1557" s="351"/>
      <c r="AL1557" s="524" t="s">
        <v>325</v>
      </c>
      <c r="AM1557" s="351"/>
      <c r="AN1557" s="549" t="s">
        <v>325</v>
      </c>
      <c r="AO1557" s="351"/>
      <c r="AP1557" s="550"/>
      <c r="AQ1557" s="351"/>
      <c r="AR1557" s="551"/>
      <c r="AS1557" s="351"/>
      <c r="AT1557" s="552"/>
      <c r="AU1557" s="351"/>
      <c r="AV1557" s="549" t="s">
        <v>325</v>
      </c>
      <c r="AW1557" s="351"/>
      <c r="AX1557" s="553"/>
      <c r="AY1557" s="350"/>
      <c r="AZ1557" s="351"/>
      <c r="BA1557" s="554"/>
      <c r="BB1557" s="351"/>
      <c r="BC1557" s="39"/>
      <c r="BD1557" s="546" t="s">
        <v>325</v>
      </c>
      <c r="BE1557" s="351"/>
      <c r="BF1557" s="547"/>
      <c r="BG1557" s="350"/>
      <c r="BH1557" s="350"/>
      <c r="BI1557" s="351"/>
      <c r="BJ1557" s="548" t="s">
        <v>294</v>
      </c>
      <c r="BK1557" s="350"/>
      <c r="BL1557" s="350"/>
      <c r="BM1557" s="351"/>
      <c r="BN1557" s="530" t="s">
        <v>294</v>
      </c>
      <c r="BO1557" s="350"/>
      <c r="BP1557" s="350"/>
      <c r="BQ1557" s="350"/>
      <c r="BR1557" s="350"/>
      <c r="BS1557" s="350"/>
      <c r="BT1557" s="350"/>
      <c r="BU1557" s="350"/>
      <c r="BV1557" s="351"/>
    </row>
    <row r="1558" spans="1:74" ht="45" customHeight="1">
      <c r="A1558" s="24">
        <f t="shared" si="6"/>
        <v>1544</v>
      </c>
      <c r="B1558" s="558" t="s">
        <v>294</v>
      </c>
      <c r="C1558" s="351"/>
      <c r="D1558" s="559" t="s">
        <v>298</v>
      </c>
      <c r="E1558" s="351"/>
      <c r="F1558" s="524" t="s">
        <v>325</v>
      </c>
      <c r="G1558" s="351"/>
      <c r="H1558" s="531" t="s">
        <v>325</v>
      </c>
      <c r="I1558" s="351"/>
      <c r="J1558" s="562"/>
      <c r="K1558" s="351"/>
      <c r="L1558" s="562"/>
      <c r="M1558" s="351"/>
      <c r="N1558" s="34"/>
      <c r="O1558" s="35"/>
      <c r="P1558" s="526"/>
      <c r="Q1558" s="351"/>
      <c r="R1558" s="535"/>
      <c r="S1558" s="351"/>
      <c r="T1558" s="536"/>
      <c r="U1558" s="351"/>
      <c r="V1558" s="537"/>
      <c r="W1558" s="351"/>
      <c r="X1558" s="538" t="s">
        <v>294</v>
      </c>
      <c r="Y1558" s="350"/>
      <c r="Z1558" s="350"/>
      <c r="AA1558" s="351"/>
      <c r="AB1558" s="539" t="s">
        <v>294</v>
      </c>
      <c r="AC1558" s="350"/>
      <c r="AD1558" s="350"/>
      <c r="AE1558" s="351"/>
      <c r="AF1558" s="540"/>
      <c r="AG1558" s="351"/>
      <c r="AH1558" s="540"/>
      <c r="AI1558" s="351"/>
      <c r="AJ1558" s="545"/>
      <c r="AK1558" s="351"/>
      <c r="AL1558" s="555" t="s">
        <v>325</v>
      </c>
      <c r="AM1558" s="351"/>
      <c r="AN1558" s="531" t="s">
        <v>325</v>
      </c>
      <c r="AO1558" s="351"/>
      <c r="AP1558" s="532"/>
      <c r="AQ1558" s="351"/>
      <c r="AR1558" s="533"/>
      <c r="AS1558" s="351"/>
      <c r="AT1558" s="534"/>
      <c r="AU1558" s="351"/>
      <c r="AV1558" s="531" t="s">
        <v>325</v>
      </c>
      <c r="AW1558" s="351"/>
      <c r="AX1558" s="553"/>
      <c r="AY1558" s="350"/>
      <c r="AZ1558" s="351"/>
      <c r="BA1558" s="545"/>
      <c r="BB1558" s="351"/>
      <c r="BC1558" s="36"/>
      <c r="BD1558" s="556" t="s">
        <v>325</v>
      </c>
      <c r="BE1558" s="351"/>
      <c r="BF1558" s="557"/>
      <c r="BG1558" s="350"/>
      <c r="BH1558" s="350"/>
      <c r="BI1558" s="351"/>
      <c r="BJ1558" s="506" t="s">
        <v>294</v>
      </c>
      <c r="BK1558" s="350"/>
      <c r="BL1558" s="350"/>
      <c r="BM1558" s="351"/>
      <c r="BN1558" s="530" t="s">
        <v>294</v>
      </c>
      <c r="BO1558" s="350"/>
      <c r="BP1558" s="350"/>
      <c r="BQ1558" s="350"/>
      <c r="BR1558" s="350"/>
      <c r="BS1558" s="350"/>
      <c r="BT1558" s="350"/>
      <c r="BU1558" s="350"/>
      <c r="BV1558" s="351"/>
    </row>
    <row r="1559" spans="1:74" ht="45" customHeight="1">
      <c r="A1559" s="24">
        <f t="shared" si="6"/>
        <v>1545</v>
      </c>
      <c r="B1559" s="522" t="s">
        <v>294</v>
      </c>
      <c r="C1559" s="351"/>
      <c r="D1559" s="523" t="s">
        <v>298</v>
      </c>
      <c r="E1559" s="351"/>
      <c r="F1559" s="524" t="s">
        <v>325</v>
      </c>
      <c r="G1559" s="351"/>
      <c r="H1559" s="549" t="s">
        <v>325</v>
      </c>
      <c r="I1559" s="351"/>
      <c r="J1559" s="563"/>
      <c r="K1559" s="351"/>
      <c r="L1559" s="563"/>
      <c r="M1559" s="351"/>
      <c r="N1559" s="37"/>
      <c r="O1559" s="38"/>
      <c r="P1559" s="560"/>
      <c r="Q1559" s="351"/>
      <c r="R1559" s="527"/>
      <c r="S1559" s="351"/>
      <c r="T1559" s="528"/>
      <c r="U1559" s="351"/>
      <c r="V1559" s="541"/>
      <c r="W1559" s="351"/>
      <c r="X1559" s="542" t="s">
        <v>294</v>
      </c>
      <c r="Y1559" s="350"/>
      <c r="Z1559" s="350"/>
      <c r="AA1559" s="351"/>
      <c r="AB1559" s="543" t="s">
        <v>294</v>
      </c>
      <c r="AC1559" s="350"/>
      <c r="AD1559" s="350"/>
      <c r="AE1559" s="351"/>
      <c r="AF1559" s="544"/>
      <c r="AG1559" s="351"/>
      <c r="AH1559" s="544"/>
      <c r="AI1559" s="351"/>
      <c r="AJ1559" s="545"/>
      <c r="AK1559" s="351"/>
      <c r="AL1559" s="524" t="s">
        <v>325</v>
      </c>
      <c r="AM1559" s="351"/>
      <c r="AN1559" s="549" t="s">
        <v>325</v>
      </c>
      <c r="AO1559" s="351"/>
      <c r="AP1559" s="550"/>
      <c r="AQ1559" s="351"/>
      <c r="AR1559" s="551"/>
      <c r="AS1559" s="351"/>
      <c r="AT1559" s="552"/>
      <c r="AU1559" s="351"/>
      <c r="AV1559" s="549" t="s">
        <v>325</v>
      </c>
      <c r="AW1559" s="351"/>
      <c r="AX1559" s="553"/>
      <c r="AY1559" s="350"/>
      <c r="AZ1559" s="351"/>
      <c r="BA1559" s="554"/>
      <c r="BB1559" s="351"/>
      <c r="BC1559" s="39"/>
      <c r="BD1559" s="546" t="s">
        <v>325</v>
      </c>
      <c r="BE1559" s="351"/>
      <c r="BF1559" s="547"/>
      <c r="BG1559" s="350"/>
      <c r="BH1559" s="350"/>
      <c r="BI1559" s="351"/>
      <c r="BJ1559" s="548" t="s">
        <v>294</v>
      </c>
      <c r="BK1559" s="350"/>
      <c r="BL1559" s="350"/>
      <c r="BM1559" s="351"/>
      <c r="BN1559" s="530" t="s">
        <v>294</v>
      </c>
      <c r="BO1559" s="350"/>
      <c r="BP1559" s="350"/>
      <c r="BQ1559" s="350"/>
      <c r="BR1559" s="350"/>
      <c r="BS1559" s="350"/>
      <c r="BT1559" s="350"/>
      <c r="BU1559" s="350"/>
      <c r="BV1559" s="351"/>
    </row>
    <row r="1560" spans="1:74" ht="45" customHeight="1">
      <c r="A1560" s="24">
        <f t="shared" si="6"/>
        <v>1546</v>
      </c>
      <c r="B1560" s="558" t="s">
        <v>294</v>
      </c>
      <c r="C1560" s="351"/>
      <c r="D1560" s="559" t="s">
        <v>298</v>
      </c>
      <c r="E1560" s="351"/>
      <c r="F1560" s="524" t="s">
        <v>325</v>
      </c>
      <c r="G1560" s="351"/>
      <c r="H1560" s="531" t="s">
        <v>325</v>
      </c>
      <c r="I1560" s="351"/>
      <c r="J1560" s="562"/>
      <c r="K1560" s="351"/>
      <c r="L1560" s="562"/>
      <c r="M1560" s="351"/>
      <c r="N1560" s="34"/>
      <c r="O1560" s="35"/>
      <c r="P1560" s="526"/>
      <c r="Q1560" s="351"/>
      <c r="R1560" s="535"/>
      <c r="S1560" s="351"/>
      <c r="T1560" s="536"/>
      <c r="U1560" s="351"/>
      <c r="V1560" s="537"/>
      <c r="W1560" s="351"/>
      <c r="X1560" s="538" t="s">
        <v>294</v>
      </c>
      <c r="Y1560" s="350"/>
      <c r="Z1560" s="350"/>
      <c r="AA1560" s="351"/>
      <c r="AB1560" s="539" t="s">
        <v>294</v>
      </c>
      <c r="AC1560" s="350"/>
      <c r="AD1560" s="350"/>
      <c r="AE1560" s="351"/>
      <c r="AF1560" s="540"/>
      <c r="AG1560" s="351"/>
      <c r="AH1560" s="540"/>
      <c r="AI1560" s="351"/>
      <c r="AJ1560" s="545"/>
      <c r="AK1560" s="351"/>
      <c r="AL1560" s="555" t="s">
        <v>325</v>
      </c>
      <c r="AM1560" s="351"/>
      <c r="AN1560" s="531" t="s">
        <v>325</v>
      </c>
      <c r="AO1560" s="351"/>
      <c r="AP1560" s="532"/>
      <c r="AQ1560" s="351"/>
      <c r="AR1560" s="533"/>
      <c r="AS1560" s="351"/>
      <c r="AT1560" s="534"/>
      <c r="AU1560" s="351"/>
      <c r="AV1560" s="531" t="s">
        <v>325</v>
      </c>
      <c r="AW1560" s="351"/>
      <c r="AX1560" s="553"/>
      <c r="AY1560" s="350"/>
      <c r="AZ1560" s="351"/>
      <c r="BA1560" s="545"/>
      <c r="BB1560" s="351"/>
      <c r="BC1560" s="36"/>
      <c r="BD1560" s="556" t="s">
        <v>325</v>
      </c>
      <c r="BE1560" s="351"/>
      <c r="BF1560" s="557"/>
      <c r="BG1560" s="350"/>
      <c r="BH1560" s="350"/>
      <c r="BI1560" s="351"/>
      <c r="BJ1560" s="506" t="s">
        <v>294</v>
      </c>
      <c r="BK1560" s="350"/>
      <c r="BL1560" s="350"/>
      <c r="BM1560" s="351"/>
      <c r="BN1560" s="530" t="s">
        <v>294</v>
      </c>
      <c r="BO1560" s="350"/>
      <c r="BP1560" s="350"/>
      <c r="BQ1560" s="350"/>
      <c r="BR1560" s="350"/>
      <c r="BS1560" s="350"/>
      <c r="BT1560" s="350"/>
      <c r="BU1560" s="350"/>
      <c r="BV1560" s="351"/>
    </row>
    <row r="1561" spans="1:74" ht="45" customHeight="1">
      <c r="A1561" s="24">
        <f t="shared" si="6"/>
        <v>1547</v>
      </c>
      <c r="B1561" s="522" t="s">
        <v>294</v>
      </c>
      <c r="C1561" s="351"/>
      <c r="D1561" s="523" t="s">
        <v>298</v>
      </c>
      <c r="E1561" s="351"/>
      <c r="F1561" s="524" t="s">
        <v>325</v>
      </c>
      <c r="G1561" s="351"/>
      <c r="H1561" s="549" t="s">
        <v>325</v>
      </c>
      <c r="I1561" s="351"/>
      <c r="J1561" s="563"/>
      <c r="K1561" s="351"/>
      <c r="L1561" s="563"/>
      <c r="M1561" s="351"/>
      <c r="N1561" s="37"/>
      <c r="O1561" s="38"/>
      <c r="P1561" s="560"/>
      <c r="Q1561" s="351"/>
      <c r="R1561" s="527"/>
      <c r="S1561" s="351"/>
      <c r="T1561" s="528"/>
      <c r="U1561" s="351"/>
      <c r="V1561" s="541"/>
      <c r="W1561" s="351"/>
      <c r="X1561" s="542" t="s">
        <v>294</v>
      </c>
      <c r="Y1561" s="350"/>
      <c r="Z1561" s="350"/>
      <c r="AA1561" s="351"/>
      <c r="AB1561" s="543" t="s">
        <v>294</v>
      </c>
      <c r="AC1561" s="350"/>
      <c r="AD1561" s="350"/>
      <c r="AE1561" s="351"/>
      <c r="AF1561" s="544"/>
      <c r="AG1561" s="351"/>
      <c r="AH1561" s="544"/>
      <c r="AI1561" s="351"/>
      <c r="AJ1561" s="545"/>
      <c r="AK1561" s="351"/>
      <c r="AL1561" s="524" t="s">
        <v>325</v>
      </c>
      <c r="AM1561" s="351"/>
      <c r="AN1561" s="549" t="s">
        <v>325</v>
      </c>
      <c r="AO1561" s="351"/>
      <c r="AP1561" s="550"/>
      <c r="AQ1561" s="351"/>
      <c r="AR1561" s="551"/>
      <c r="AS1561" s="351"/>
      <c r="AT1561" s="552"/>
      <c r="AU1561" s="351"/>
      <c r="AV1561" s="549" t="s">
        <v>325</v>
      </c>
      <c r="AW1561" s="351"/>
      <c r="AX1561" s="553"/>
      <c r="AY1561" s="350"/>
      <c r="AZ1561" s="351"/>
      <c r="BA1561" s="554"/>
      <c r="BB1561" s="351"/>
      <c r="BC1561" s="39"/>
      <c r="BD1561" s="546" t="s">
        <v>325</v>
      </c>
      <c r="BE1561" s="351"/>
      <c r="BF1561" s="547"/>
      <c r="BG1561" s="350"/>
      <c r="BH1561" s="350"/>
      <c r="BI1561" s="351"/>
      <c r="BJ1561" s="548" t="s">
        <v>294</v>
      </c>
      <c r="BK1561" s="350"/>
      <c r="BL1561" s="350"/>
      <c r="BM1561" s="351"/>
      <c r="BN1561" s="530" t="s">
        <v>294</v>
      </c>
      <c r="BO1561" s="350"/>
      <c r="BP1561" s="350"/>
      <c r="BQ1561" s="350"/>
      <c r="BR1561" s="350"/>
      <c r="BS1561" s="350"/>
      <c r="BT1561" s="350"/>
      <c r="BU1561" s="350"/>
      <c r="BV1561" s="351"/>
    </row>
    <row r="1562" spans="1:74" ht="45" customHeight="1">
      <c r="A1562" s="24">
        <f t="shared" si="6"/>
        <v>1548</v>
      </c>
      <c r="B1562" s="558" t="s">
        <v>294</v>
      </c>
      <c r="C1562" s="351"/>
      <c r="D1562" s="559" t="s">
        <v>298</v>
      </c>
      <c r="E1562" s="351"/>
      <c r="F1562" s="524" t="s">
        <v>325</v>
      </c>
      <c r="G1562" s="351"/>
      <c r="H1562" s="531" t="s">
        <v>325</v>
      </c>
      <c r="I1562" s="351"/>
      <c r="J1562" s="562"/>
      <c r="K1562" s="351"/>
      <c r="L1562" s="562"/>
      <c r="M1562" s="351"/>
      <c r="N1562" s="34"/>
      <c r="O1562" s="35"/>
      <c r="P1562" s="526"/>
      <c r="Q1562" s="351"/>
      <c r="R1562" s="535"/>
      <c r="S1562" s="351"/>
      <c r="T1562" s="536"/>
      <c r="U1562" s="351"/>
      <c r="V1562" s="537"/>
      <c r="W1562" s="351"/>
      <c r="X1562" s="538" t="s">
        <v>294</v>
      </c>
      <c r="Y1562" s="350"/>
      <c r="Z1562" s="350"/>
      <c r="AA1562" s="351"/>
      <c r="AB1562" s="539" t="s">
        <v>294</v>
      </c>
      <c r="AC1562" s="350"/>
      <c r="AD1562" s="350"/>
      <c r="AE1562" s="351"/>
      <c r="AF1562" s="540"/>
      <c r="AG1562" s="351"/>
      <c r="AH1562" s="540"/>
      <c r="AI1562" s="351"/>
      <c r="AJ1562" s="545"/>
      <c r="AK1562" s="351"/>
      <c r="AL1562" s="555" t="s">
        <v>325</v>
      </c>
      <c r="AM1562" s="351"/>
      <c r="AN1562" s="531" t="s">
        <v>325</v>
      </c>
      <c r="AO1562" s="351"/>
      <c r="AP1562" s="532"/>
      <c r="AQ1562" s="351"/>
      <c r="AR1562" s="533"/>
      <c r="AS1562" s="351"/>
      <c r="AT1562" s="534"/>
      <c r="AU1562" s="351"/>
      <c r="AV1562" s="531" t="s">
        <v>325</v>
      </c>
      <c r="AW1562" s="351"/>
      <c r="AX1562" s="553"/>
      <c r="AY1562" s="350"/>
      <c r="AZ1562" s="351"/>
      <c r="BA1562" s="545"/>
      <c r="BB1562" s="351"/>
      <c r="BC1562" s="36"/>
      <c r="BD1562" s="556" t="s">
        <v>325</v>
      </c>
      <c r="BE1562" s="351"/>
      <c r="BF1562" s="529"/>
      <c r="BG1562" s="350"/>
      <c r="BH1562" s="350"/>
      <c r="BI1562" s="351"/>
      <c r="BJ1562" s="506" t="s">
        <v>294</v>
      </c>
      <c r="BK1562" s="350"/>
      <c r="BL1562" s="350"/>
      <c r="BM1562" s="351"/>
      <c r="BN1562" s="530" t="s">
        <v>294</v>
      </c>
      <c r="BO1562" s="350"/>
      <c r="BP1562" s="350"/>
      <c r="BQ1562" s="350"/>
      <c r="BR1562" s="350"/>
      <c r="BS1562" s="350"/>
      <c r="BT1562" s="350"/>
      <c r="BU1562" s="350"/>
      <c r="BV1562" s="351"/>
    </row>
    <row r="1563" spans="1:74" ht="45" customHeight="1">
      <c r="A1563" s="24">
        <f t="shared" si="6"/>
        <v>1549</v>
      </c>
      <c r="B1563" s="522" t="s">
        <v>294</v>
      </c>
      <c r="C1563" s="351"/>
      <c r="D1563" s="523" t="s">
        <v>298</v>
      </c>
      <c r="E1563" s="351"/>
      <c r="F1563" s="524" t="s">
        <v>325</v>
      </c>
      <c r="G1563" s="351"/>
      <c r="H1563" s="549" t="s">
        <v>325</v>
      </c>
      <c r="I1563" s="351"/>
      <c r="J1563" s="563"/>
      <c r="K1563" s="351"/>
      <c r="L1563" s="563"/>
      <c r="M1563" s="351"/>
      <c r="N1563" s="37"/>
      <c r="O1563" s="38"/>
      <c r="P1563" s="560"/>
      <c r="Q1563" s="351"/>
      <c r="R1563" s="527"/>
      <c r="S1563" s="351"/>
      <c r="T1563" s="528"/>
      <c r="U1563" s="351"/>
      <c r="V1563" s="541"/>
      <c r="W1563" s="351"/>
      <c r="X1563" s="542" t="s">
        <v>294</v>
      </c>
      <c r="Y1563" s="350"/>
      <c r="Z1563" s="350"/>
      <c r="AA1563" s="351"/>
      <c r="AB1563" s="543" t="s">
        <v>294</v>
      </c>
      <c r="AC1563" s="350"/>
      <c r="AD1563" s="350"/>
      <c r="AE1563" s="351"/>
      <c r="AF1563" s="544"/>
      <c r="AG1563" s="351"/>
      <c r="AH1563" s="544"/>
      <c r="AI1563" s="351"/>
      <c r="AJ1563" s="545"/>
      <c r="AK1563" s="351"/>
      <c r="AL1563" s="524" t="s">
        <v>325</v>
      </c>
      <c r="AM1563" s="351"/>
      <c r="AN1563" s="549" t="s">
        <v>325</v>
      </c>
      <c r="AO1563" s="351"/>
      <c r="AP1563" s="550"/>
      <c r="AQ1563" s="351"/>
      <c r="AR1563" s="551"/>
      <c r="AS1563" s="351"/>
      <c r="AT1563" s="552"/>
      <c r="AU1563" s="351"/>
      <c r="AV1563" s="549" t="s">
        <v>325</v>
      </c>
      <c r="AW1563" s="351"/>
      <c r="AX1563" s="553"/>
      <c r="AY1563" s="350"/>
      <c r="AZ1563" s="351"/>
      <c r="BA1563" s="554"/>
      <c r="BB1563" s="351"/>
      <c r="BC1563" s="39"/>
      <c r="BD1563" s="546" t="s">
        <v>325</v>
      </c>
      <c r="BE1563" s="351"/>
      <c r="BF1563" s="547"/>
      <c r="BG1563" s="350"/>
      <c r="BH1563" s="350"/>
      <c r="BI1563" s="351"/>
      <c r="BJ1563" s="548" t="s">
        <v>294</v>
      </c>
      <c r="BK1563" s="350"/>
      <c r="BL1563" s="350"/>
      <c r="BM1563" s="351"/>
      <c r="BN1563" s="530" t="s">
        <v>294</v>
      </c>
      <c r="BO1563" s="350"/>
      <c r="BP1563" s="350"/>
      <c r="BQ1563" s="350"/>
      <c r="BR1563" s="350"/>
      <c r="BS1563" s="350"/>
      <c r="BT1563" s="350"/>
      <c r="BU1563" s="350"/>
      <c r="BV1563" s="351"/>
    </row>
    <row r="1564" spans="1:74" ht="45" customHeight="1">
      <c r="A1564" s="24">
        <f t="shared" si="6"/>
        <v>1550</v>
      </c>
      <c r="B1564" s="558" t="s">
        <v>294</v>
      </c>
      <c r="C1564" s="351"/>
      <c r="D1564" s="559" t="s">
        <v>298</v>
      </c>
      <c r="E1564" s="351"/>
      <c r="F1564" s="524" t="s">
        <v>325</v>
      </c>
      <c r="G1564" s="351"/>
      <c r="H1564" s="531" t="s">
        <v>325</v>
      </c>
      <c r="I1564" s="351"/>
      <c r="J1564" s="562"/>
      <c r="K1564" s="351"/>
      <c r="L1564" s="562"/>
      <c r="M1564" s="351"/>
      <c r="N1564" s="34"/>
      <c r="O1564" s="35"/>
      <c r="P1564" s="526"/>
      <c r="Q1564" s="351"/>
      <c r="R1564" s="535"/>
      <c r="S1564" s="351"/>
      <c r="T1564" s="536"/>
      <c r="U1564" s="351"/>
      <c r="V1564" s="537"/>
      <c r="W1564" s="351"/>
      <c r="X1564" s="538" t="s">
        <v>294</v>
      </c>
      <c r="Y1564" s="350"/>
      <c r="Z1564" s="350"/>
      <c r="AA1564" s="351"/>
      <c r="AB1564" s="539" t="s">
        <v>294</v>
      </c>
      <c r="AC1564" s="350"/>
      <c r="AD1564" s="350"/>
      <c r="AE1564" s="351"/>
      <c r="AF1564" s="540"/>
      <c r="AG1564" s="351"/>
      <c r="AH1564" s="540"/>
      <c r="AI1564" s="351"/>
      <c r="AJ1564" s="545"/>
      <c r="AK1564" s="351"/>
      <c r="AL1564" s="555" t="s">
        <v>325</v>
      </c>
      <c r="AM1564" s="351"/>
      <c r="AN1564" s="531" t="s">
        <v>325</v>
      </c>
      <c r="AO1564" s="351"/>
      <c r="AP1564" s="532"/>
      <c r="AQ1564" s="351"/>
      <c r="AR1564" s="533"/>
      <c r="AS1564" s="351"/>
      <c r="AT1564" s="534"/>
      <c r="AU1564" s="351"/>
      <c r="AV1564" s="531" t="s">
        <v>325</v>
      </c>
      <c r="AW1564" s="351"/>
      <c r="AX1564" s="553"/>
      <c r="AY1564" s="350"/>
      <c r="AZ1564" s="351"/>
      <c r="BA1564" s="545"/>
      <c r="BB1564" s="351"/>
      <c r="BC1564" s="36"/>
      <c r="BD1564" s="556" t="s">
        <v>325</v>
      </c>
      <c r="BE1564" s="351"/>
      <c r="BF1564" s="557"/>
      <c r="BG1564" s="350"/>
      <c r="BH1564" s="350"/>
      <c r="BI1564" s="351"/>
      <c r="BJ1564" s="506" t="s">
        <v>294</v>
      </c>
      <c r="BK1564" s="350"/>
      <c r="BL1564" s="350"/>
      <c r="BM1564" s="351"/>
      <c r="BN1564" s="530" t="s">
        <v>294</v>
      </c>
      <c r="BO1564" s="350"/>
      <c r="BP1564" s="350"/>
      <c r="BQ1564" s="350"/>
      <c r="BR1564" s="350"/>
      <c r="BS1564" s="350"/>
      <c r="BT1564" s="350"/>
      <c r="BU1564" s="350"/>
      <c r="BV1564" s="351"/>
    </row>
    <row r="1565" spans="1:74" ht="45" customHeight="1">
      <c r="A1565" s="24">
        <f t="shared" si="6"/>
        <v>1551</v>
      </c>
      <c r="B1565" s="522" t="s">
        <v>294</v>
      </c>
      <c r="C1565" s="351"/>
      <c r="D1565" s="523" t="s">
        <v>298</v>
      </c>
      <c r="E1565" s="351"/>
      <c r="F1565" s="524" t="s">
        <v>325</v>
      </c>
      <c r="G1565" s="351"/>
      <c r="H1565" s="549" t="s">
        <v>325</v>
      </c>
      <c r="I1565" s="351"/>
      <c r="J1565" s="563"/>
      <c r="K1565" s="351"/>
      <c r="L1565" s="563"/>
      <c r="M1565" s="351"/>
      <c r="N1565" s="34"/>
      <c r="O1565" s="35"/>
      <c r="P1565" s="526"/>
      <c r="Q1565" s="351"/>
      <c r="R1565" s="527"/>
      <c r="S1565" s="351"/>
      <c r="T1565" s="528"/>
      <c r="U1565" s="351"/>
      <c r="V1565" s="541"/>
      <c r="W1565" s="351"/>
      <c r="X1565" s="542" t="s">
        <v>294</v>
      </c>
      <c r="Y1565" s="350"/>
      <c r="Z1565" s="350"/>
      <c r="AA1565" s="351"/>
      <c r="AB1565" s="543" t="s">
        <v>294</v>
      </c>
      <c r="AC1565" s="350"/>
      <c r="AD1565" s="350"/>
      <c r="AE1565" s="351"/>
      <c r="AF1565" s="544"/>
      <c r="AG1565" s="351"/>
      <c r="AH1565" s="544"/>
      <c r="AI1565" s="351"/>
      <c r="AJ1565" s="545"/>
      <c r="AK1565" s="351"/>
      <c r="AL1565" s="524" t="s">
        <v>325</v>
      </c>
      <c r="AM1565" s="351"/>
      <c r="AN1565" s="549" t="s">
        <v>325</v>
      </c>
      <c r="AO1565" s="351"/>
      <c r="AP1565" s="550"/>
      <c r="AQ1565" s="351"/>
      <c r="AR1565" s="551"/>
      <c r="AS1565" s="351"/>
      <c r="AT1565" s="534"/>
      <c r="AU1565" s="351"/>
      <c r="AV1565" s="549" t="s">
        <v>325</v>
      </c>
      <c r="AW1565" s="351"/>
      <c r="AX1565" s="553"/>
      <c r="AY1565" s="350"/>
      <c r="AZ1565" s="351"/>
      <c r="BA1565" s="554"/>
      <c r="BB1565" s="351"/>
      <c r="BC1565" s="39"/>
      <c r="BD1565" s="546" t="s">
        <v>325</v>
      </c>
      <c r="BE1565" s="351"/>
      <c r="BF1565" s="547"/>
      <c r="BG1565" s="350"/>
      <c r="BH1565" s="350"/>
      <c r="BI1565" s="351"/>
      <c r="BJ1565" s="548" t="s">
        <v>294</v>
      </c>
      <c r="BK1565" s="350"/>
      <c r="BL1565" s="350"/>
      <c r="BM1565" s="351"/>
      <c r="BN1565" s="530" t="s">
        <v>294</v>
      </c>
      <c r="BO1565" s="350"/>
      <c r="BP1565" s="350"/>
      <c r="BQ1565" s="350"/>
      <c r="BR1565" s="350"/>
      <c r="BS1565" s="350"/>
      <c r="BT1565" s="350"/>
      <c r="BU1565" s="350"/>
      <c r="BV1565" s="351"/>
    </row>
    <row r="1566" spans="1:74" ht="45" customHeight="1">
      <c r="A1566" s="24">
        <f t="shared" si="6"/>
        <v>1552</v>
      </c>
      <c r="B1566" s="558" t="s">
        <v>294</v>
      </c>
      <c r="C1566" s="351"/>
      <c r="D1566" s="559" t="s">
        <v>298</v>
      </c>
      <c r="E1566" s="351"/>
      <c r="F1566" s="524" t="s">
        <v>325</v>
      </c>
      <c r="G1566" s="351"/>
      <c r="H1566" s="531" t="s">
        <v>325</v>
      </c>
      <c r="I1566" s="351"/>
      <c r="J1566" s="562"/>
      <c r="K1566" s="351"/>
      <c r="L1566" s="562"/>
      <c r="M1566" s="351"/>
      <c r="N1566" s="37"/>
      <c r="O1566" s="38"/>
      <c r="P1566" s="560"/>
      <c r="Q1566" s="351"/>
      <c r="R1566" s="535"/>
      <c r="S1566" s="351"/>
      <c r="T1566" s="536"/>
      <c r="U1566" s="351"/>
      <c r="V1566" s="537"/>
      <c r="W1566" s="351"/>
      <c r="X1566" s="538" t="s">
        <v>294</v>
      </c>
      <c r="Y1566" s="350"/>
      <c r="Z1566" s="350"/>
      <c r="AA1566" s="351"/>
      <c r="AB1566" s="539" t="s">
        <v>294</v>
      </c>
      <c r="AC1566" s="350"/>
      <c r="AD1566" s="350"/>
      <c r="AE1566" s="351"/>
      <c r="AF1566" s="540"/>
      <c r="AG1566" s="351"/>
      <c r="AH1566" s="540"/>
      <c r="AI1566" s="351"/>
      <c r="AJ1566" s="545"/>
      <c r="AK1566" s="351"/>
      <c r="AL1566" s="555" t="s">
        <v>325</v>
      </c>
      <c r="AM1566" s="351"/>
      <c r="AN1566" s="531" t="s">
        <v>325</v>
      </c>
      <c r="AO1566" s="351"/>
      <c r="AP1566" s="532"/>
      <c r="AQ1566" s="351"/>
      <c r="AR1566" s="533"/>
      <c r="AS1566" s="351"/>
      <c r="AT1566" s="534"/>
      <c r="AU1566" s="351"/>
      <c r="AV1566" s="531" t="s">
        <v>325</v>
      </c>
      <c r="AW1566" s="351"/>
      <c r="AX1566" s="553"/>
      <c r="AY1566" s="350"/>
      <c r="AZ1566" s="351"/>
      <c r="BA1566" s="545"/>
      <c r="BB1566" s="351"/>
      <c r="BC1566" s="36"/>
      <c r="BD1566" s="556" t="s">
        <v>325</v>
      </c>
      <c r="BE1566" s="351"/>
      <c r="BF1566" s="557"/>
      <c r="BG1566" s="350"/>
      <c r="BH1566" s="350"/>
      <c r="BI1566" s="351"/>
      <c r="BJ1566" s="506" t="s">
        <v>294</v>
      </c>
      <c r="BK1566" s="350"/>
      <c r="BL1566" s="350"/>
      <c r="BM1566" s="351"/>
      <c r="BN1566" s="530" t="s">
        <v>294</v>
      </c>
      <c r="BO1566" s="350"/>
      <c r="BP1566" s="350"/>
      <c r="BQ1566" s="350"/>
      <c r="BR1566" s="350"/>
      <c r="BS1566" s="350"/>
      <c r="BT1566" s="350"/>
      <c r="BU1566" s="350"/>
      <c r="BV1566" s="351"/>
    </row>
    <row r="1567" spans="1:74" ht="45" customHeight="1">
      <c r="A1567" s="24">
        <f t="shared" si="6"/>
        <v>1553</v>
      </c>
      <c r="B1567" s="522" t="s">
        <v>294</v>
      </c>
      <c r="C1567" s="351"/>
      <c r="D1567" s="523" t="s">
        <v>298</v>
      </c>
      <c r="E1567" s="351"/>
      <c r="F1567" s="524" t="s">
        <v>325</v>
      </c>
      <c r="G1567" s="351"/>
      <c r="H1567" s="549" t="s">
        <v>325</v>
      </c>
      <c r="I1567" s="351"/>
      <c r="J1567" s="563"/>
      <c r="K1567" s="351"/>
      <c r="L1567" s="563"/>
      <c r="M1567" s="351"/>
      <c r="N1567" s="34"/>
      <c r="O1567" s="35"/>
      <c r="P1567" s="526"/>
      <c r="Q1567" s="351"/>
      <c r="R1567" s="527"/>
      <c r="S1567" s="351"/>
      <c r="T1567" s="528"/>
      <c r="U1567" s="351"/>
      <c r="V1567" s="541"/>
      <c r="W1567" s="351"/>
      <c r="X1567" s="542" t="s">
        <v>294</v>
      </c>
      <c r="Y1567" s="350"/>
      <c r="Z1567" s="350"/>
      <c r="AA1567" s="351"/>
      <c r="AB1567" s="543" t="s">
        <v>294</v>
      </c>
      <c r="AC1567" s="350"/>
      <c r="AD1567" s="350"/>
      <c r="AE1567" s="351"/>
      <c r="AF1567" s="544"/>
      <c r="AG1567" s="351"/>
      <c r="AH1567" s="544"/>
      <c r="AI1567" s="351"/>
      <c r="AJ1567" s="545"/>
      <c r="AK1567" s="351"/>
      <c r="AL1567" s="524" t="s">
        <v>325</v>
      </c>
      <c r="AM1567" s="351"/>
      <c r="AN1567" s="549" t="s">
        <v>325</v>
      </c>
      <c r="AO1567" s="351"/>
      <c r="AP1567" s="550"/>
      <c r="AQ1567" s="351"/>
      <c r="AR1567" s="551"/>
      <c r="AS1567" s="351"/>
      <c r="AT1567" s="534"/>
      <c r="AU1567" s="351"/>
      <c r="AV1567" s="549" t="s">
        <v>325</v>
      </c>
      <c r="AW1567" s="351"/>
      <c r="AX1567" s="553"/>
      <c r="AY1567" s="350"/>
      <c r="AZ1567" s="351"/>
      <c r="BA1567" s="554"/>
      <c r="BB1567" s="351"/>
      <c r="BC1567" s="39"/>
      <c r="BD1567" s="546" t="s">
        <v>325</v>
      </c>
      <c r="BE1567" s="351"/>
      <c r="BF1567" s="547"/>
      <c r="BG1567" s="350"/>
      <c r="BH1567" s="350"/>
      <c r="BI1567" s="351"/>
      <c r="BJ1567" s="548" t="s">
        <v>294</v>
      </c>
      <c r="BK1567" s="350"/>
      <c r="BL1567" s="350"/>
      <c r="BM1567" s="351"/>
      <c r="BN1567" s="530" t="s">
        <v>294</v>
      </c>
      <c r="BO1567" s="350"/>
      <c r="BP1567" s="350"/>
      <c r="BQ1567" s="350"/>
      <c r="BR1567" s="350"/>
      <c r="BS1567" s="350"/>
      <c r="BT1567" s="350"/>
      <c r="BU1567" s="350"/>
      <c r="BV1567" s="351"/>
    </row>
    <row r="1568" spans="1:74" ht="45" customHeight="1">
      <c r="A1568" s="24">
        <f t="shared" si="6"/>
        <v>1554</v>
      </c>
      <c r="B1568" s="558" t="s">
        <v>294</v>
      </c>
      <c r="C1568" s="351"/>
      <c r="D1568" s="559" t="s">
        <v>298</v>
      </c>
      <c r="E1568" s="351"/>
      <c r="F1568" s="524" t="s">
        <v>325</v>
      </c>
      <c r="G1568" s="351"/>
      <c r="H1568" s="531" t="s">
        <v>325</v>
      </c>
      <c r="I1568" s="351"/>
      <c r="J1568" s="562"/>
      <c r="K1568" s="351"/>
      <c r="L1568" s="562"/>
      <c r="M1568" s="351"/>
      <c r="N1568" s="37"/>
      <c r="O1568" s="38"/>
      <c r="P1568" s="560"/>
      <c r="Q1568" s="351"/>
      <c r="R1568" s="535"/>
      <c r="S1568" s="351"/>
      <c r="T1568" s="536"/>
      <c r="U1568" s="351"/>
      <c r="V1568" s="537"/>
      <c r="W1568" s="351"/>
      <c r="X1568" s="538" t="s">
        <v>294</v>
      </c>
      <c r="Y1568" s="350"/>
      <c r="Z1568" s="350"/>
      <c r="AA1568" s="351"/>
      <c r="AB1568" s="539" t="s">
        <v>294</v>
      </c>
      <c r="AC1568" s="350"/>
      <c r="AD1568" s="350"/>
      <c r="AE1568" s="351"/>
      <c r="AF1568" s="540"/>
      <c r="AG1568" s="351"/>
      <c r="AH1568" s="540"/>
      <c r="AI1568" s="351"/>
      <c r="AJ1568" s="545"/>
      <c r="AK1568" s="351"/>
      <c r="AL1568" s="555" t="s">
        <v>325</v>
      </c>
      <c r="AM1568" s="351"/>
      <c r="AN1568" s="531" t="s">
        <v>325</v>
      </c>
      <c r="AO1568" s="351"/>
      <c r="AP1568" s="532"/>
      <c r="AQ1568" s="351"/>
      <c r="AR1568" s="533"/>
      <c r="AS1568" s="351"/>
      <c r="AT1568" s="534"/>
      <c r="AU1568" s="351"/>
      <c r="AV1568" s="531" t="s">
        <v>325</v>
      </c>
      <c r="AW1568" s="351"/>
      <c r="AX1568" s="553"/>
      <c r="AY1568" s="350"/>
      <c r="AZ1568" s="351"/>
      <c r="BA1568" s="545"/>
      <c r="BB1568" s="351"/>
      <c r="BC1568" s="36"/>
      <c r="BD1568" s="556" t="s">
        <v>325</v>
      </c>
      <c r="BE1568" s="351"/>
      <c r="BF1568" s="557"/>
      <c r="BG1568" s="350"/>
      <c r="BH1568" s="350"/>
      <c r="BI1568" s="351"/>
      <c r="BJ1568" s="506" t="s">
        <v>294</v>
      </c>
      <c r="BK1568" s="350"/>
      <c r="BL1568" s="350"/>
      <c r="BM1568" s="351"/>
      <c r="BN1568" s="530" t="s">
        <v>294</v>
      </c>
      <c r="BO1568" s="350"/>
      <c r="BP1568" s="350"/>
      <c r="BQ1568" s="350"/>
      <c r="BR1568" s="350"/>
      <c r="BS1568" s="350"/>
      <c r="BT1568" s="350"/>
      <c r="BU1568" s="350"/>
      <c r="BV1568" s="351"/>
    </row>
    <row r="1569" spans="1:74" ht="45" customHeight="1">
      <c r="A1569" s="24">
        <f t="shared" si="6"/>
        <v>1555</v>
      </c>
      <c r="B1569" s="522" t="s">
        <v>294</v>
      </c>
      <c r="C1569" s="351"/>
      <c r="D1569" s="523" t="s">
        <v>298</v>
      </c>
      <c r="E1569" s="351"/>
      <c r="F1569" s="524" t="s">
        <v>325</v>
      </c>
      <c r="G1569" s="351"/>
      <c r="H1569" s="549" t="s">
        <v>325</v>
      </c>
      <c r="I1569" s="351"/>
      <c r="J1569" s="563"/>
      <c r="K1569" s="351"/>
      <c r="L1569" s="563"/>
      <c r="M1569" s="351"/>
      <c r="N1569" s="34"/>
      <c r="O1569" s="38"/>
      <c r="P1569" s="526"/>
      <c r="Q1569" s="351"/>
      <c r="R1569" s="527"/>
      <c r="S1569" s="351"/>
      <c r="T1569" s="528"/>
      <c r="U1569" s="351"/>
      <c r="V1569" s="541"/>
      <c r="W1569" s="351"/>
      <c r="X1569" s="542" t="s">
        <v>294</v>
      </c>
      <c r="Y1569" s="350"/>
      <c r="Z1569" s="350"/>
      <c r="AA1569" s="351"/>
      <c r="AB1569" s="543" t="s">
        <v>294</v>
      </c>
      <c r="AC1569" s="350"/>
      <c r="AD1569" s="350"/>
      <c r="AE1569" s="351"/>
      <c r="AF1569" s="544"/>
      <c r="AG1569" s="351"/>
      <c r="AH1569" s="544"/>
      <c r="AI1569" s="351"/>
      <c r="AJ1569" s="545"/>
      <c r="AK1569" s="351"/>
      <c r="AL1569" s="524" t="s">
        <v>325</v>
      </c>
      <c r="AM1569" s="351"/>
      <c r="AN1569" s="549" t="s">
        <v>325</v>
      </c>
      <c r="AO1569" s="351"/>
      <c r="AP1569" s="550"/>
      <c r="AQ1569" s="351"/>
      <c r="AR1569" s="551"/>
      <c r="AS1569" s="351"/>
      <c r="AT1569" s="552"/>
      <c r="AU1569" s="351"/>
      <c r="AV1569" s="549" t="s">
        <v>325</v>
      </c>
      <c r="AW1569" s="351"/>
      <c r="AX1569" s="553"/>
      <c r="AY1569" s="350"/>
      <c r="AZ1569" s="351"/>
      <c r="BA1569" s="554"/>
      <c r="BB1569" s="351"/>
      <c r="BC1569" s="39"/>
      <c r="BD1569" s="546" t="s">
        <v>325</v>
      </c>
      <c r="BE1569" s="351"/>
      <c r="BF1569" s="547"/>
      <c r="BG1569" s="350"/>
      <c r="BH1569" s="350"/>
      <c r="BI1569" s="351"/>
      <c r="BJ1569" s="548" t="s">
        <v>294</v>
      </c>
      <c r="BK1569" s="350"/>
      <c r="BL1569" s="350"/>
      <c r="BM1569" s="351"/>
      <c r="BN1569" s="530" t="s">
        <v>294</v>
      </c>
      <c r="BO1569" s="350"/>
      <c r="BP1569" s="350"/>
      <c r="BQ1569" s="350"/>
      <c r="BR1569" s="350"/>
      <c r="BS1569" s="350"/>
      <c r="BT1569" s="350"/>
      <c r="BU1569" s="350"/>
      <c r="BV1569" s="351"/>
    </row>
    <row r="1570" spans="1:74" ht="45" customHeight="1">
      <c r="A1570" s="24">
        <f t="shared" si="6"/>
        <v>1556</v>
      </c>
      <c r="B1570" s="558" t="s">
        <v>294</v>
      </c>
      <c r="C1570" s="351"/>
      <c r="D1570" s="559" t="s">
        <v>298</v>
      </c>
      <c r="E1570" s="351"/>
      <c r="F1570" s="524" t="s">
        <v>325</v>
      </c>
      <c r="G1570" s="351"/>
      <c r="H1570" s="531" t="s">
        <v>325</v>
      </c>
      <c r="I1570" s="351"/>
      <c r="J1570" s="562"/>
      <c r="K1570" s="351"/>
      <c r="L1570" s="562"/>
      <c r="M1570" s="351"/>
      <c r="N1570" s="37"/>
      <c r="O1570" s="35"/>
      <c r="P1570" s="560"/>
      <c r="Q1570" s="351"/>
      <c r="R1570" s="535"/>
      <c r="S1570" s="351"/>
      <c r="T1570" s="536"/>
      <c r="U1570" s="351"/>
      <c r="V1570" s="537"/>
      <c r="W1570" s="351"/>
      <c r="X1570" s="538" t="s">
        <v>294</v>
      </c>
      <c r="Y1570" s="350"/>
      <c r="Z1570" s="350"/>
      <c r="AA1570" s="351"/>
      <c r="AB1570" s="539" t="s">
        <v>294</v>
      </c>
      <c r="AC1570" s="350"/>
      <c r="AD1570" s="350"/>
      <c r="AE1570" s="351"/>
      <c r="AF1570" s="540"/>
      <c r="AG1570" s="351"/>
      <c r="AH1570" s="540"/>
      <c r="AI1570" s="351"/>
      <c r="AJ1570" s="545"/>
      <c r="AK1570" s="351"/>
      <c r="AL1570" s="555" t="s">
        <v>325</v>
      </c>
      <c r="AM1570" s="351"/>
      <c r="AN1570" s="531" t="s">
        <v>325</v>
      </c>
      <c r="AO1570" s="351"/>
      <c r="AP1570" s="532"/>
      <c r="AQ1570" s="351"/>
      <c r="AR1570" s="533"/>
      <c r="AS1570" s="351"/>
      <c r="AT1570" s="534"/>
      <c r="AU1570" s="351"/>
      <c r="AV1570" s="531" t="s">
        <v>325</v>
      </c>
      <c r="AW1570" s="351"/>
      <c r="AX1570" s="553"/>
      <c r="AY1570" s="350"/>
      <c r="AZ1570" s="351"/>
      <c r="BA1570" s="545"/>
      <c r="BB1570" s="351"/>
      <c r="BC1570" s="36"/>
      <c r="BD1570" s="556" t="s">
        <v>325</v>
      </c>
      <c r="BE1570" s="351"/>
      <c r="BF1570" s="529"/>
      <c r="BG1570" s="350"/>
      <c r="BH1570" s="350"/>
      <c r="BI1570" s="351"/>
      <c r="BJ1570" s="506" t="s">
        <v>294</v>
      </c>
      <c r="BK1570" s="350"/>
      <c r="BL1570" s="350"/>
      <c r="BM1570" s="351"/>
      <c r="BN1570" s="530" t="s">
        <v>294</v>
      </c>
      <c r="BO1570" s="350"/>
      <c r="BP1570" s="350"/>
      <c r="BQ1570" s="350"/>
      <c r="BR1570" s="350"/>
      <c r="BS1570" s="350"/>
      <c r="BT1570" s="350"/>
      <c r="BU1570" s="350"/>
      <c r="BV1570" s="351"/>
    </row>
    <row r="1571" spans="1:74" ht="45" customHeight="1">
      <c r="A1571" s="24">
        <f t="shared" si="6"/>
        <v>1557</v>
      </c>
      <c r="B1571" s="522" t="s">
        <v>294</v>
      </c>
      <c r="C1571" s="351"/>
      <c r="D1571" s="523" t="s">
        <v>298</v>
      </c>
      <c r="E1571" s="351"/>
      <c r="F1571" s="524" t="s">
        <v>325</v>
      </c>
      <c r="G1571" s="351"/>
      <c r="H1571" s="549" t="s">
        <v>325</v>
      </c>
      <c r="I1571" s="351"/>
      <c r="J1571" s="563"/>
      <c r="K1571" s="351"/>
      <c r="L1571" s="563"/>
      <c r="M1571" s="351"/>
      <c r="N1571" s="34"/>
      <c r="O1571" s="38"/>
      <c r="P1571" s="526"/>
      <c r="Q1571" s="351"/>
      <c r="R1571" s="527"/>
      <c r="S1571" s="351"/>
      <c r="T1571" s="528"/>
      <c r="U1571" s="351"/>
      <c r="V1571" s="541"/>
      <c r="W1571" s="351"/>
      <c r="X1571" s="542" t="s">
        <v>294</v>
      </c>
      <c r="Y1571" s="350"/>
      <c r="Z1571" s="350"/>
      <c r="AA1571" s="351"/>
      <c r="AB1571" s="543" t="s">
        <v>294</v>
      </c>
      <c r="AC1571" s="350"/>
      <c r="AD1571" s="350"/>
      <c r="AE1571" s="351"/>
      <c r="AF1571" s="544"/>
      <c r="AG1571" s="351"/>
      <c r="AH1571" s="544"/>
      <c r="AI1571" s="351"/>
      <c r="AJ1571" s="545"/>
      <c r="AK1571" s="351"/>
      <c r="AL1571" s="524" t="s">
        <v>325</v>
      </c>
      <c r="AM1571" s="351"/>
      <c r="AN1571" s="549" t="s">
        <v>325</v>
      </c>
      <c r="AO1571" s="351"/>
      <c r="AP1571" s="550"/>
      <c r="AQ1571" s="351"/>
      <c r="AR1571" s="551"/>
      <c r="AS1571" s="351"/>
      <c r="AT1571" s="552"/>
      <c r="AU1571" s="351"/>
      <c r="AV1571" s="549" t="s">
        <v>325</v>
      </c>
      <c r="AW1571" s="351"/>
      <c r="AX1571" s="553"/>
      <c r="AY1571" s="350"/>
      <c r="AZ1571" s="351"/>
      <c r="BA1571" s="554"/>
      <c r="BB1571" s="351"/>
      <c r="BC1571" s="39"/>
      <c r="BD1571" s="546" t="s">
        <v>325</v>
      </c>
      <c r="BE1571" s="351"/>
      <c r="BF1571" s="547"/>
      <c r="BG1571" s="350"/>
      <c r="BH1571" s="350"/>
      <c r="BI1571" s="351"/>
      <c r="BJ1571" s="548" t="s">
        <v>294</v>
      </c>
      <c r="BK1571" s="350"/>
      <c r="BL1571" s="350"/>
      <c r="BM1571" s="351"/>
      <c r="BN1571" s="530" t="s">
        <v>294</v>
      </c>
      <c r="BO1571" s="350"/>
      <c r="BP1571" s="350"/>
      <c r="BQ1571" s="350"/>
      <c r="BR1571" s="350"/>
      <c r="BS1571" s="350"/>
      <c r="BT1571" s="350"/>
      <c r="BU1571" s="350"/>
      <c r="BV1571" s="351"/>
    </row>
    <row r="1572" spans="1:74" ht="45" customHeight="1">
      <c r="A1572" s="24">
        <f t="shared" si="6"/>
        <v>1558</v>
      </c>
      <c r="B1572" s="558" t="s">
        <v>294</v>
      </c>
      <c r="C1572" s="351"/>
      <c r="D1572" s="559" t="s">
        <v>298</v>
      </c>
      <c r="E1572" s="351"/>
      <c r="F1572" s="524" t="s">
        <v>325</v>
      </c>
      <c r="G1572" s="351"/>
      <c r="H1572" s="531" t="s">
        <v>325</v>
      </c>
      <c r="I1572" s="351"/>
      <c r="J1572" s="562"/>
      <c r="K1572" s="351"/>
      <c r="L1572" s="562"/>
      <c r="M1572" s="351"/>
      <c r="N1572" s="37"/>
      <c r="O1572" s="35"/>
      <c r="P1572" s="560"/>
      <c r="Q1572" s="351"/>
      <c r="R1572" s="535"/>
      <c r="S1572" s="351"/>
      <c r="T1572" s="536"/>
      <c r="U1572" s="351"/>
      <c r="V1572" s="537"/>
      <c r="W1572" s="351"/>
      <c r="X1572" s="538" t="s">
        <v>294</v>
      </c>
      <c r="Y1572" s="350"/>
      <c r="Z1572" s="350"/>
      <c r="AA1572" s="351"/>
      <c r="AB1572" s="539" t="s">
        <v>294</v>
      </c>
      <c r="AC1572" s="350"/>
      <c r="AD1572" s="350"/>
      <c r="AE1572" s="351"/>
      <c r="AF1572" s="540"/>
      <c r="AG1572" s="351"/>
      <c r="AH1572" s="540"/>
      <c r="AI1572" s="351"/>
      <c r="AJ1572" s="545"/>
      <c r="AK1572" s="351"/>
      <c r="AL1572" s="555" t="s">
        <v>325</v>
      </c>
      <c r="AM1572" s="351"/>
      <c r="AN1572" s="531" t="s">
        <v>325</v>
      </c>
      <c r="AO1572" s="351"/>
      <c r="AP1572" s="532"/>
      <c r="AQ1572" s="351"/>
      <c r="AR1572" s="533"/>
      <c r="AS1572" s="351"/>
      <c r="AT1572" s="534"/>
      <c r="AU1572" s="351"/>
      <c r="AV1572" s="531" t="s">
        <v>325</v>
      </c>
      <c r="AW1572" s="351"/>
      <c r="AX1572" s="553"/>
      <c r="AY1572" s="350"/>
      <c r="AZ1572" s="351"/>
      <c r="BA1572" s="545"/>
      <c r="BB1572" s="351"/>
      <c r="BC1572" s="36"/>
      <c r="BD1572" s="556" t="s">
        <v>325</v>
      </c>
      <c r="BE1572" s="351"/>
      <c r="BF1572" s="557"/>
      <c r="BG1572" s="350"/>
      <c r="BH1572" s="350"/>
      <c r="BI1572" s="351"/>
      <c r="BJ1572" s="506" t="s">
        <v>294</v>
      </c>
      <c r="BK1572" s="350"/>
      <c r="BL1572" s="350"/>
      <c r="BM1572" s="351"/>
      <c r="BN1572" s="530" t="s">
        <v>294</v>
      </c>
      <c r="BO1572" s="350"/>
      <c r="BP1572" s="350"/>
      <c r="BQ1572" s="350"/>
      <c r="BR1572" s="350"/>
      <c r="BS1572" s="350"/>
      <c r="BT1572" s="350"/>
      <c r="BU1572" s="350"/>
      <c r="BV1572" s="351"/>
    </row>
    <row r="1573" spans="1:74" ht="45" customHeight="1">
      <c r="A1573" s="24">
        <f t="shared" si="6"/>
        <v>1559</v>
      </c>
      <c r="B1573" s="522" t="s">
        <v>294</v>
      </c>
      <c r="C1573" s="351"/>
      <c r="D1573" s="523" t="s">
        <v>298</v>
      </c>
      <c r="E1573" s="351"/>
      <c r="F1573" s="524" t="s">
        <v>325</v>
      </c>
      <c r="G1573" s="351"/>
      <c r="H1573" s="549" t="s">
        <v>325</v>
      </c>
      <c r="I1573" s="351"/>
      <c r="J1573" s="563"/>
      <c r="K1573" s="351"/>
      <c r="L1573" s="563"/>
      <c r="M1573" s="351"/>
      <c r="N1573" s="34"/>
      <c r="O1573" s="38"/>
      <c r="P1573" s="526"/>
      <c r="Q1573" s="351"/>
      <c r="R1573" s="527"/>
      <c r="S1573" s="351"/>
      <c r="T1573" s="528"/>
      <c r="U1573" s="351"/>
      <c r="V1573" s="541"/>
      <c r="W1573" s="351"/>
      <c r="X1573" s="542" t="s">
        <v>294</v>
      </c>
      <c r="Y1573" s="350"/>
      <c r="Z1573" s="350"/>
      <c r="AA1573" s="351"/>
      <c r="AB1573" s="543" t="s">
        <v>294</v>
      </c>
      <c r="AC1573" s="350"/>
      <c r="AD1573" s="350"/>
      <c r="AE1573" s="351"/>
      <c r="AF1573" s="544"/>
      <c r="AG1573" s="351"/>
      <c r="AH1573" s="544"/>
      <c r="AI1573" s="351"/>
      <c r="AJ1573" s="545"/>
      <c r="AK1573" s="351"/>
      <c r="AL1573" s="524" t="s">
        <v>325</v>
      </c>
      <c r="AM1573" s="351"/>
      <c r="AN1573" s="549" t="s">
        <v>325</v>
      </c>
      <c r="AO1573" s="351"/>
      <c r="AP1573" s="550"/>
      <c r="AQ1573" s="351"/>
      <c r="AR1573" s="551"/>
      <c r="AS1573" s="351"/>
      <c r="AT1573" s="552"/>
      <c r="AU1573" s="351"/>
      <c r="AV1573" s="549" t="s">
        <v>325</v>
      </c>
      <c r="AW1573" s="351"/>
      <c r="AX1573" s="553"/>
      <c r="AY1573" s="350"/>
      <c r="AZ1573" s="351"/>
      <c r="BA1573" s="554"/>
      <c r="BB1573" s="351"/>
      <c r="BC1573" s="39"/>
      <c r="BD1573" s="546" t="s">
        <v>325</v>
      </c>
      <c r="BE1573" s="351"/>
      <c r="BF1573" s="547"/>
      <c r="BG1573" s="350"/>
      <c r="BH1573" s="350"/>
      <c r="BI1573" s="351"/>
      <c r="BJ1573" s="548" t="s">
        <v>294</v>
      </c>
      <c r="BK1573" s="350"/>
      <c r="BL1573" s="350"/>
      <c r="BM1573" s="351"/>
      <c r="BN1573" s="530" t="s">
        <v>294</v>
      </c>
      <c r="BO1573" s="350"/>
      <c r="BP1573" s="350"/>
      <c r="BQ1573" s="350"/>
      <c r="BR1573" s="350"/>
      <c r="BS1573" s="350"/>
      <c r="BT1573" s="350"/>
      <c r="BU1573" s="350"/>
      <c r="BV1573" s="351"/>
    </row>
    <row r="1574" spans="1:74" ht="45" customHeight="1">
      <c r="A1574" s="24">
        <f t="shared" si="6"/>
        <v>1560</v>
      </c>
      <c r="B1574" s="558" t="s">
        <v>294</v>
      </c>
      <c r="C1574" s="351"/>
      <c r="D1574" s="559" t="s">
        <v>298</v>
      </c>
      <c r="E1574" s="351"/>
      <c r="F1574" s="524" t="s">
        <v>325</v>
      </c>
      <c r="G1574" s="351"/>
      <c r="H1574" s="531" t="s">
        <v>325</v>
      </c>
      <c r="I1574" s="351"/>
      <c r="J1574" s="562"/>
      <c r="K1574" s="351"/>
      <c r="L1574" s="562"/>
      <c r="M1574" s="351"/>
      <c r="N1574" s="37"/>
      <c r="O1574" s="35"/>
      <c r="P1574" s="560"/>
      <c r="Q1574" s="351"/>
      <c r="R1574" s="535"/>
      <c r="S1574" s="351"/>
      <c r="T1574" s="536"/>
      <c r="U1574" s="351"/>
      <c r="V1574" s="537"/>
      <c r="W1574" s="351"/>
      <c r="X1574" s="538" t="s">
        <v>294</v>
      </c>
      <c r="Y1574" s="350"/>
      <c r="Z1574" s="350"/>
      <c r="AA1574" s="351"/>
      <c r="AB1574" s="539" t="s">
        <v>294</v>
      </c>
      <c r="AC1574" s="350"/>
      <c r="AD1574" s="350"/>
      <c r="AE1574" s="351"/>
      <c r="AF1574" s="540"/>
      <c r="AG1574" s="351"/>
      <c r="AH1574" s="540"/>
      <c r="AI1574" s="351"/>
      <c r="AJ1574" s="545"/>
      <c r="AK1574" s="351"/>
      <c r="AL1574" s="555" t="s">
        <v>325</v>
      </c>
      <c r="AM1574" s="351"/>
      <c r="AN1574" s="531" t="s">
        <v>325</v>
      </c>
      <c r="AO1574" s="351"/>
      <c r="AP1574" s="532"/>
      <c r="AQ1574" s="351"/>
      <c r="AR1574" s="533"/>
      <c r="AS1574" s="351"/>
      <c r="AT1574" s="534"/>
      <c r="AU1574" s="351"/>
      <c r="AV1574" s="531" t="s">
        <v>325</v>
      </c>
      <c r="AW1574" s="351"/>
      <c r="AX1574" s="553"/>
      <c r="AY1574" s="350"/>
      <c r="AZ1574" s="351"/>
      <c r="BA1574" s="545"/>
      <c r="BB1574" s="351"/>
      <c r="BC1574" s="36"/>
      <c r="BD1574" s="556" t="s">
        <v>325</v>
      </c>
      <c r="BE1574" s="351"/>
      <c r="BF1574" s="557"/>
      <c r="BG1574" s="350"/>
      <c r="BH1574" s="350"/>
      <c r="BI1574" s="351"/>
      <c r="BJ1574" s="506" t="s">
        <v>294</v>
      </c>
      <c r="BK1574" s="350"/>
      <c r="BL1574" s="350"/>
      <c r="BM1574" s="351"/>
      <c r="BN1574" s="530" t="s">
        <v>294</v>
      </c>
      <c r="BO1574" s="350"/>
      <c r="BP1574" s="350"/>
      <c r="BQ1574" s="350"/>
      <c r="BR1574" s="350"/>
      <c r="BS1574" s="350"/>
      <c r="BT1574" s="350"/>
      <c r="BU1574" s="350"/>
      <c r="BV1574" s="351"/>
    </row>
    <row r="1575" spans="1:74" ht="45" customHeight="1">
      <c r="A1575" s="24">
        <f t="shared" si="6"/>
        <v>1561</v>
      </c>
      <c r="B1575" s="522" t="s">
        <v>294</v>
      </c>
      <c r="C1575" s="351"/>
      <c r="D1575" s="523" t="s">
        <v>298</v>
      </c>
      <c r="E1575" s="351"/>
      <c r="F1575" s="524" t="s">
        <v>325</v>
      </c>
      <c r="G1575" s="351"/>
      <c r="H1575" s="549" t="s">
        <v>325</v>
      </c>
      <c r="I1575" s="351"/>
      <c r="J1575" s="563"/>
      <c r="K1575" s="351"/>
      <c r="L1575" s="563"/>
      <c r="M1575" s="351"/>
      <c r="N1575" s="34"/>
      <c r="O1575" s="38"/>
      <c r="P1575" s="526"/>
      <c r="Q1575" s="351"/>
      <c r="R1575" s="527"/>
      <c r="S1575" s="351"/>
      <c r="T1575" s="528"/>
      <c r="U1575" s="351"/>
      <c r="V1575" s="541"/>
      <c r="W1575" s="351"/>
      <c r="X1575" s="542" t="s">
        <v>294</v>
      </c>
      <c r="Y1575" s="350"/>
      <c r="Z1575" s="350"/>
      <c r="AA1575" s="351"/>
      <c r="AB1575" s="543" t="s">
        <v>294</v>
      </c>
      <c r="AC1575" s="350"/>
      <c r="AD1575" s="350"/>
      <c r="AE1575" s="351"/>
      <c r="AF1575" s="544"/>
      <c r="AG1575" s="351"/>
      <c r="AH1575" s="544"/>
      <c r="AI1575" s="351"/>
      <c r="AJ1575" s="545"/>
      <c r="AK1575" s="351"/>
      <c r="AL1575" s="524" t="s">
        <v>325</v>
      </c>
      <c r="AM1575" s="351"/>
      <c r="AN1575" s="549" t="s">
        <v>325</v>
      </c>
      <c r="AO1575" s="351"/>
      <c r="AP1575" s="550"/>
      <c r="AQ1575" s="351"/>
      <c r="AR1575" s="551"/>
      <c r="AS1575" s="351"/>
      <c r="AT1575" s="552"/>
      <c r="AU1575" s="351"/>
      <c r="AV1575" s="549" t="s">
        <v>325</v>
      </c>
      <c r="AW1575" s="351"/>
      <c r="AX1575" s="553"/>
      <c r="AY1575" s="350"/>
      <c r="AZ1575" s="351"/>
      <c r="BA1575" s="554"/>
      <c r="BB1575" s="351"/>
      <c r="BC1575" s="39"/>
      <c r="BD1575" s="546" t="s">
        <v>325</v>
      </c>
      <c r="BE1575" s="351"/>
      <c r="BF1575" s="547"/>
      <c r="BG1575" s="350"/>
      <c r="BH1575" s="350"/>
      <c r="BI1575" s="351"/>
      <c r="BJ1575" s="548" t="s">
        <v>294</v>
      </c>
      <c r="BK1575" s="350"/>
      <c r="BL1575" s="350"/>
      <c r="BM1575" s="351"/>
      <c r="BN1575" s="530" t="s">
        <v>294</v>
      </c>
      <c r="BO1575" s="350"/>
      <c r="BP1575" s="350"/>
      <c r="BQ1575" s="350"/>
      <c r="BR1575" s="350"/>
      <c r="BS1575" s="350"/>
      <c r="BT1575" s="350"/>
      <c r="BU1575" s="350"/>
      <c r="BV1575" s="351"/>
    </row>
    <row r="1576" spans="1:74" ht="45" customHeight="1">
      <c r="A1576" s="24">
        <f t="shared" si="6"/>
        <v>1562</v>
      </c>
      <c r="B1576" s="558" t="s">
        <v>294</v>
      </c>
      <c r="C1576" s="351"/>
      <c r="D1576" s="559" t="s">
        <v>298</v>
      </c>
      <c r="E1576" s="351"/>
      <c r="F1576" s="524" t="s">
        <v>325</v>
      </c>
      <c r="G1576" s="351"/>
      <c r="H1576" s="531" t="s">
        <v>325</v>
      </c>
      <c r="I1576" s="351"/>
      <c r="J1576" s="562"/>
      <c r="K1576" s="351"/>
      <c r="L1576" s="562"/>
      <c r="M1576" s="351"/>
      <c r="N1576" s="37"/>
      <c r="O1576" s="35"/>
      <c r="P1576" s="560"/>
      <c r="Q1576" s="351"/>
      <c r="R1576" s="535"/>
      <c r="S1576" s="351"/>
      <c r="T1576" s="536"/>
      <c r="U1576" s="351"/>
      <c r="V1576" s="537"/>
      <c r="W1576" s="351"/>
      <c r="X1576" s="538" t="s">
        <v>294</v>
      </c>
      <c r="Y1576" s="350"/>
      <c r="Z1576" s="350"/>
      <c r="AA1576" s="351"/>
      <c r="AB1576" s="539" t="s">
        <v>294</v>
      </c>
      <c r="AC1576" s="350"/>
      <c r="AD1576" s="350"/>
      <c r="AE1576" s="351"/>
      <c r="AF1576" s="540"/>
      <c r="AG1576" s="351"/>
      <c r="AH1576" s="540"/>
      <c r="AI1576" s="351"/>
      <c r="AJ1576" s="545"/>
      <c r="AK1576" s="351"/>
      <c r="AL1576" s="555" t="s">
        <v>325</v>
      </c>
      <c r="AM1576" s="351"/>
      <c r="AN1576" s="531" t="s">
        <v>325</v>
      </c>
      <c r="AO1576" s="351"/>
      <c r="AP1576" s="532"/>
      <c r="AQ1576" s="351"/>
      <c r="AR1576" s="533"/>
      <c r="AS1576" s="351"/>
      <c r="AT1576" s="534"/>
      <c r="AU1576" s="351"/>
      <c r="AV1576" s="531" t="s">
        <v>325</v>
      </c>
      <c r="AW1576" s="351"/>
      <c r="AX1576" s="553"/>
      <c r="AY1576" s="350"/>
      <c r="AZ1576" s="351"/>
      <c r="BA1576" s="545"/>
      <c r="BB1576" s="351"/>
      <c r="BC1576" s="36"/>
      <c r="BD1576" s="556" t="s">
        <v>325</v>
      </c>
      <c r="BE1576" s="351"/>
      <c r="BF1576" s="529"/>
      <c r="BG1576" s="350"/>
      <c r="BH1576" s="350"/>
      <c r="BI1576" s="351"/>
      <c r="BJ1576" s="506" t="s">
        <v>294</v>
      </c>
      <c r="BK1576" s="350"/>
      <c r="BL1576" s="350"/>
      <c r="BM1576" s="351"/>
      <c r="BN1576" s="530" t="s">
        <v>294</v>
      </c>
      <c r="BO1576" s="350"/>
      <c r="BP1576" s="350"/>
      <c r="BQ1576" s="350"/>
      <c r="BR1576" s="350"/>
      <c r="BS1576" s="350"/>
      <c r="BT1576" s="350"/>
      <c r="BU1576" s="350"/>
      <c r="BV1576" s="351"/>
    </row>
    <row r="1577" spans="1:74" ht="45" customHeight="1">
      <c r="A1577" s="24">
        <f t="shared" si="6"/>
        <v>1563</v>
      </c>
      <c r="B1577" s="522" t="s">
        <v>294</v>
      </c>
      <c r="C1577" s="351"/>
      <c r="D1577" s="523" t="s">
        <v>298</v>
      </c>
      <c r="E1577" s="351"/>
      <c r="F1577" s="524" t="s">
        <v>325</v>
      </c>
      <c r="G1577" s="351"/>
      <c r="H1577" s="549" t="s">
        <v>325</v>
      </c>
      <c r="I1577" s="351"/>
      <c r="J1577" s="563"/>
      <c r="K1577" s="351"/>
      <c r="L1577" s="563"/>
      <c r="M1577" s="351"/>
      <c r="N1577" s="34"/>
      <c r="O1577" s="38"/>
      <c r="P1577" s="526"/>
      <c r="Q1577" s="351"/>
      <c r="R1577" s="527"/>
      <c r="S1577" s="351"/>
      <c r="T1577" s="528"/>
      <c r="U1577" s="351"/>
      <c r="V1577" s="541"/>
      <c r="W1577" s="351"/>
      <c r="X1577" s="542" t="s">
        <v>294</v>
      </c>
      <c r="Y1577" s="350"/>
      <c r="Z1577" s="350"/>
      <c r="AA1577" s="351"/>
      <c r="AB1577" s="543" t="s">
        <v>294</v>
      </c>
      <c r="AC1577" s="350"/>
      <c r="AD1577" s="350"/>
      <c r="AE1577" s="351"/>
      <c r="AF1577" s="544"/>
      <c r="AG1577" s="351"/>
      <c r="AH1577" s="544"/>
      <c r="AI1577" s="351"/>
      <c r="AJ1577" s="545"/>
      <c r="AK1577" s="351"/>
      <c r="AL1577" s="524" t="s">
        <v>325</v>
      </c>
      <c r="AM1577" s="351"/>
      <c r="AN1577" s="549" t="s">
        <v>325</v>
      </c>
      <c r="AO1577" s="351"/>
      <c r="AP1577" s="550"/>
      <c r="AQ1577" s="351"/>
      <c r="AR1577" s="551"/>
      <c r="AS1577" s="351"/>
      <c r="AT1577" s="552"/>
      <c r="AU1577" s="351"/>
      <c r="AV1577" s="549" t="s">
        <v>325</v>
      </c>
      <c r="AW1577" s="351"/>
      <c r="AX1577" s="553"/>
      <c r="AY1577" s="350"/>
      <c r="AZ1577" s="351"/>
      <c r="BA1577" s="554"/>
      <c r="BB1577" s="351"/>
      <c r="BC1577" s="39"/>
      <c r="BD1577" s="546" t="s">
        <v>325</v>
      </c>
      <c r="BE1577" s="351"/>
      <c r="BF1577" s="547"/>
      <c r="BG1577" s="350"/>
      <c r="BH1577" s="350"/>
      <c r="BI1577" s="351"/>
      <c r="BJ1577" s="548" t="s">
        <v>294</v>
      </c>
      <c r="BK1577" s="350"/>
      <c r="BL1577" s="350"/>
      <c r="BM1577" s="351"/>
      <c r="BN1577" s="530" t="s">
        <v>294</v>
      </c>
      <c r="BO1577" s="350"/>
      <c r="BP1577" s="350"/>
      <c r="BQ1577" s="350"/>
      <c r="BR1577" s="350"/>
      <c r="BS1577" s="350"/>
      <c r="BT1577" s="350"/>
      <c r="BU1577" s="350"/>
      <c r="BV1577" s="351"/>
    </row>
    <row r="1578" spans="1:74" ht="45" customHeight="1">
      <c r="A1578" s="24">
        <f t="shared" si="6"/>
        <v>1564</v>
      </c>
      <c r="B1578" s="558" t="s">
        <v>294</v>
      </c>
      <c r="C1578" s="351"/>
      <c r="D1578" s="559" t="s">
        <v>298</v>
      </c>
      <c r="E1578" s="351"/>
      <c r="F1578" s="524" t="s">
        <v>325</v>
      </c>
      <c r="G1578" s="351"/>
      <c r="H1578" s="531" t="s">
        <v>325</v>
      </c>
      <c r="I1578" s="351"/>
      <c r="J1578" s="562"/>
      <c r="K1578" s="351"/>
      <c r="L1578" s="562"/>
      <c r="M1578" s="351"/>
      <c r="N1578" s="37"/>
      <c r="O1578" s="35"/>
      <c r="P1578" s="560"/>
      <c r="Q1578" s="351"/>
      <c r="R1578" s="535"/>
      <c r="S1578" s="351"/>
      <c r="T1578" s="536"/>
      <c r="U1578" s="351"/>
      <c r="V1578" s="537"/>
      <c r="W1578" s="351"/>
      <c r="X1578" s="538" t="s">
        <v>294</v>
      </c>
      <c r="Y1578" s="350"/>
      <c r="Z1578" s="350"/>
      <c r="AA1578" s="351"/>
      <c r="AB1578" s="539" t="s">
        <v>294</v>
      </c>
      <c r="AC1578" s="350"/>
      <c r="AD1578" s="350"/>
      <c r="AE1578" s="351"/>
      <c r="AF1578" s="540"/>
      <c r="AG1578" s="351"/>
      <c r="AH1578" s="540"/>
      <c r="AI1578" s="351"/>
      <c r="AJ1578" s="545"/>
      <c r="AK1578" s="351"/>
      <c r="AL1578" s="555" t="s">
        <v>325</v>
      </c>
      <c r="AM1578" s="351"/>
      <c r="AN1578" s="531" t="s">
        <v>325</v>
      </c>
      <c r="AO1578" s="351"/>
      <c r="AP1578" s="532"/>
      <c r="AQ1578" s="351"/>
      <c r="AR1578" s="533"/>
      <c r="AS1578" s="351"/>
      <c r="AT1578" s="534"/>
      <c r="AU1578" s="351"/>
      <c r="AV1578" s="531" t="s">
        <v>325</v>
      </c>
      <c r="AW1578" s="351"/>
      <c r="AX1578" s="553"/>
      <c r="AY1578" s="350"/>
      <c r="AZ1578" s="351"/>
      <c r="BA1578" s="545"/>
      <c r="BB1578" s="351"/>
      <c r="BC1578" s="36"/>
      <c r="BD1578" s="556" t="s">
        <v>325</v>
      </c>
      <c r="BE1578" s="351"/>
      <c r="BF1578" s="557"/>
      <c r="BG1578" s="350"/>
      <c r="BH1578" s="350"/>
      <c r="BI1578" s="351"/>
      <c r="BJ1578" s="506" t="s">
        <v>294</v>
      </c>
      <c r="BK1578" s="350"/>
      <c r="BL1578" s="350"/>
      <c r="BM1578" s="351"/>
      <c r="BN1578" s="530" t="s">
        <v>294</v>
      </c>
      <c r="BO1578" s="350"/>
      <c r="BP1578" s="350"/>
      <c r="BQ1578" s="350"/>
      <c r="BR1578" s="350"/>
      <c r="BS1578" s="350"/>
      <c r="BT1578" s="350"/>
      <c r="BU1578" s="350"/>
      <c r="BV1578" s="351"/>
    </row>
    <row r="1579" spans="1:74" ht="45" customHeight="1">
      <c r="A1579" s="24">
        <f t="shared" si="6"/>
        <v>1565</v>
      </c>
      <c r="B1579" s="522" t="s">
        <v>294</v>
      </c>
      <c r="C1579" s="351"/>
      <c r="D1579" s="523" t="s">
        <v>298</v>
      </c>
      <c r="E1579" s="351"/>
      <c r="F1579" s="524" t="s">
        <v>325</v>
      </c>
      <c r="G1579" s="351"/>
      <c r="H1579" s="549" t="s">
        <v>325</v>
      </c>
      <c r="I1579" s="351"/>
      <c r="J1579" s="563"/>
      <c r="K1579" s="351"/>
      <c r="L1579" s="563"/>
      <c r="M1579" s="351"/>
      <c r="N1579" s="37"/>
      <c r="O1579" s="38"/>
      <c r="P1579" s="560"/>
      <c r="Q1579" s="351"/>
      <c r="R1579" s="527"/>
      <c r="S1579" s="351"/>
      <c r="T1579" s="528"/>
      <c r="U1579" s="351"/>
      <c r="V1579" s="541"/>
      <c r="W1579" s="351"/>
      <c r="X1579" s="542" t="s">
        <v>294</v>
      </c>
      <c r="Y1579" s="350"/>
      <c r="Z1579" s="350"/>
      <c r="AA1579" s="351"/>
      <c r="AB1579" s="543" t="s">
        <v>294</v>
      </c>
      <c r="AC1579" s="350"/>
      <c r="AD1579" s="350"/>
      <c r="AE1579" s="351"/>
      <c r="AF1579" s="544"/>
      <c r="AG1579" s="351"/>
      <c r="AH1579" s="544"/>
      <c r="AI1579" s="351"/>
      <c r="AJ1579" s="545"/>
      <c r="AK1579" s="351"/>
      <c r="AL1579" s="524" t="s">
        <v>325</v>
      </c>
      <c r="AM1579" s="351"/>
      <c r="AN1579" s="549" t="s">
        <v>325</v>
      </c>
      <c r="AO1579" s="351"/>
      <c r="AP1579" s="550"/>
      <c r="AQ1579" s="351"/>
      <c r="AR1579" s="551"/>
      <c r="AS1579" s="351"/>
      <c r="AT1579" s="534"/>
      <c r="AU1579" s="351"/>
      <c r="AV1579" s="549" t="s">
        <v>325</v>
      </c>
      <c r="AW1579" s="351"/>
      <c r="AX1579" s="553"/>
      <c r="AY1579" s="350"/>
      <c r="AZ1579" s="351"/>
      <c r="BA1579" s="554"/>
      <c r="BB1579" s="351"/>
      <c r="BC1579" s="39"/>
      <c r="BD1579" s="546" t="s">
        <v>325</v>
      </c>
      <c r="BE1579" s="351"/>
      <c r="BF1579" s="547"/>
      <c r="BG1579" s="350"/>
      <c r="BH1579" s="350"/>
      <c r="BI1579" s="351"/>
      <c r="BJ1579" s="548" t="s">
        <v>294</v>
      </c>
      <c r="BK1579" s="350"/>
      <c r="BL1579" s="350"/>
      <c r="BM1579" s="351"/>
      <c r="BN1579" s="530" t="s">
        <v>294</v>
      </c>
      <c r="BO1579" s="350"/>
      <c r="BP1579" s="350"/>
      <c r="BQ1579" s="350"/>
      <c r="BR1579" s="350"/>
      <c r="BS1579" s="350"/>
      <c r="BT1579" s="350"/>
      <c r="BU1579" s="350"/>
      <c r="BV1579" s="351"/>
    </row>
    <row r="1580" spans="1:74" ht="45" customHeight="1">
      <c r="A1580" s="24">
        <f t="shared" si="6"/>
        <v>1566</v>
      </c>
      <c r="B1580" s="558" t="s">
        <v>294</v>
      </c>
      <c r="C1580" s="351"/>
      <c r="D1580" s="559" t="s">
        <v>298</v>
      </c>
      <c r="E1580" s="351"/>
      <c r="F1580" s="524" t="s">
        <v>325</v>
      </c>
      <c r="G1580" s="351"/>
      <c r="H1580" s="531" t="s">
        <v>325</v>
      </c>
      <c r="I1580" s="351"/>
      <c r="J1580" s="562"/>
      <c r="K1580" s="351"/>
      <c r="L1580" s="562"/>
      <c r="M1580" s="351"/>
      <c r="N1580" s="34"/>
      <c r="O1580" s="35"/>
      <c r="P1580" s="526"/>
      <c r="Q1580" s="351"/>
      <c r="R1580" s="535"/>
      <c r="S1580" s="351"/>
      <c r="T1580" s="536"/>
      <c r="U1580" s="351"/>
      <c r="V1580" s="537"/>
      <c r="W1580" s="351"/>
      <c r="X1580" s="538" t="s">
        <v>294</v>
      </c>
      <c r="Y1580" s="350"/>
      <c r="Z1580" s="350"/>
      <c r="AA1580" s="351"/>
      <c r="AB1580" s="539" t="s">
        <v>294</v>
      </c>
      <c r="AC1580" s="350"/>
      <c r="AD1580" s="350"/>
      <c r="AE1580" s="351"/>
      <c r="AF1580" s="540"/>
      <c r="AG1580" s="351"/>
      <c r="AH1580" s="540"/>
      <c r="AI1580" s="351"/>
      <c r="AJ1580" s="545"/>
      <c r="AK1580" s="351"/>
      <c r="AL1580" s="555" t="s">
        <v>325</v>
      </c>
      <c r="AM1580" s="351"/>
      <c r="AN1580" s="531" t="s">
        <v>325</v>
      </c>
      <c r="AO1580" s="351"/>
      <c r="AP1580" s="532"/>
      <c r="AQ1580" s="351"/>
      <c r="AR1580" s="533"/>
      <c r="AS1580" s="351"/>
      <c r="AT1580" s="534"/>
      <c r="AU1580" s="351"/>
      <c r="AV1580" s="531" t="s">
        <v>325</v>
      </c>
      <c r="AW1580" s="351"/>
      <c r="AX1580" s="553"/>
      <c r="AY1580" s="350"/>
      <c r="AZ1580" s="351"/>
      <c r="BA1580" s="545"/>
      <c r="BB1580" s="351"/>
      <c r="BC1580" s="36"/>
      <c r="BD1580" s="556" t="s">
        <v>325</v>
      </c>
      <c r="BE1580" s="351"/>
      <c r="BF1580" s="557"/>
      <c r="BG1580" s="350"/>
      <c r="BH1580" s="350"/>
      <c r="BI1580" s="351"/>
      <c r="BJ1580" s="506" t="s">
        <v>294</v>
      </c>
      <c r="BK1580" s="350"/>
      <c r="BL1580" s="350"/>
      <c r="BM1580" s="351"/>
      <c r="BN1580" s="530" t="s">
        <v>294</v>
      </c>
      <c r="BO1580" s="350"/>
      <c r="BP1580" s="350"/>
      <c r="BQ1580" s="350"/>
      <c r="BR1580" s="350"/>
      <c r="BS1580" s="350"/>
      <c r="BT1580" s="350"/>
      <c r="BU1580" s="350"/>
      <c r="BV1580" s="351"/>
    </row>
    <row r="1581" spans="1:74" ht="45" customHeight="1">
      <c r="A1581" s="24">
        <f t="shared" si="6"/>
        <v>1567</v>
      </c>
      <c r="B1581" s="522" t="s">
        <v>294</v>
      </c>
      <c r="C1581" s="351"/>
      <c r="D1581" s="523" t="s">
        <v>298</v>
      </c>
      <c r="E1581" s="351"/>
      <c r="F1581" s="524" t="s">
        <v>325</v>
      </c>
      <c r="G1581" s="351"/>
      <c r="H1581" s="549" t="s">
        <v>325</v>
      </c>
      <c r="I1581" s="351"/>
      <c r="J1581" s="563"/>
      <c r="K1581" s="351"/>
      <c r="L1581" s="563"/>
      <c r="M1581" s="351"/>
      <c r="N1581" s="37"/>
      <c r="O1581" s="38"/>
      <c r="P1581" s="560"/>
      <c r="Q1581" s="351"/>
      <c r="R1581" s="527"/>
      <c r="S1581" s="351"/>
      <c r="T1581" s="528"/>
      <c r="U1581" s="351"/>
      <c r="V1581" s="541"/>
      <c r="W1581" s="351"/>
      <c r="X1581" s="542" t="s">
        <v>294</v>
      </c>
      <c r="Y1581" s="350"/>
      <c r="Z1581" s="350"/>
      <c r="AA1581" s="351"/>
      <c r="AB1581" s="543" t="s">
        <v>294</v>
      </c>
      <c r="AC1581" s="350"/>
      <c r="AD1581" s="350"/>
      <c r="AE1581" s="351"/>
      <c r="AF1581" s="544"/>
      <c r="AG1581" s="351"/>
      <c r="AH1581" s="544"/>
      <c r="AI1581" s="351"/>
      <c r="AJ1581" s="545"/>
      <c r="AK1581" s="351"/>
      <c r="AL1581" s="524" t="s">
        <v>325</v>
      </c>
      <c r="AM1581" s="351"/>
      <c r="AN1581" s="549" t="s">
        <v>325</v>
      </c>
      <c r="AO1581" s="351"/>
      <c r="AP1581" s="550"/>
      <c r="AQ1581" s="351"/>
      <c r="AR1581" s="551"/>
      <c r="AS1581" s="351"/>
      <c r="AT1581" s="534"/>
      <c r="AU1581" s="351"/>
      <c r="AV1581" s="549" t="s">
        <v>325</v>
      </c>
      <c r="AW1581" s="351"/>
      <c r="AX1581" s="553"/>
      <c r="AY1581" s="350"/>
      <c r="AZ1581" s="351"/>
      <c r="BA1581" s="554"/>
      <c r="BB1581" s="351"/>
      <c r="BC1581" s="39"/>
      <c r="BD1581" s="546" t="s">
        <v>325</v>
      </c>
      <c r="BE1581" s="351"/>
      <c r="BF1581" s="547"/>
      <c r="BG1581" s="350"/>
      <c r="BH1581" s="350"/>
      <c r="BI1581" s="351"/>
      <c r="BJ1581" s="548" t="s">
        <v>294</v>
      </c>
      <c r="BK1581" s="350"/>
      <c r="BL1581" s="350"/>
      <c r="BM1581" s="351"/>
      <c r="BN1581" s="530" t="s">
        <v>294</v>
      </c>
      <c r="BO1581" s="350"/>
      <c r="BP1581" s="350"/>
      <c r="BQ1581" s="350"/>
      <c r="BR1581" s="350"/>
      <c r="BS1581" s="350"/>
      <c r="BT1581" s="350"/>
      <c r="BU1581" s="350"/>
      <c r="BV1581" s="351"/>
    </row>
    <row r="1582" spans="1:74" ht="45" customHeight="1">
      <c r="A1582" s="24">
        <f t="shared" si="6"/>
        <v>1568</v>
      </c>
      <c r="B1582" s="558" t="s">
        <v>294</v>
      </c>
      <c r="C1582" s="351"/>
      <c r="D1582" s="559" t="s">
        <v>298</v>
      </c>
      <c r="E1582" s="351"/>
      <c r="F1582" s="524" t="s">
        <v>325</v>
      </c>
      <c r="G1582" s="351"/>
      <c r="H1582" s="531" t="s">
        <v>325</v>
      </c>
      <c r="I1582" s="351"/>
      <c r="J1582" s="562"/>
      <c r="K1582" s="351"/>
      <c r="L1582" s="562"/>
      <c r="M1582" s="351"/>
      <c r="N1582" s="34"/>
      <c r="O1582" s="35"/>
      <c r="P1582" s="526"/>
      <c r="Q1582" s="351"/>
      <c r="R1582" s="535"/>
      <c r="S1582" s="351"/>
      <c r="T1582" s="536"/>
      <c r="U1582" s="351"/>
      <c r="V1582" s="537"/>
      <c r="W1582" s="351"/>
      <c r="X1582" s="538" t="s">
        <v>294</v>
      </c>
      <c r="Y1582" s="350"/>
      <c r="Z1582" s="350"/>
      <c r="AA1582" s="351"/>
      <c r="AB1582" s="539" t="s">
        <v>294</v>
      </c>
      <c r="AC1582" s="350"/>
      <c r="AD1582" s="350"/>
      <c r="AE1582" s="351"/>
      <c r="AF1582" s="540"/>
      <c r="AG1582" s="351"/>
      <c r="AH1582" s="540"/>
      <c r="AI1582" s="351"/>
      <c r="AJ1582" s="545"/>
      <c r="AK1582" s="351"/>
      <c r="AL1582" s="555" t="s">
        <v>325</v>
      </c>
      <c r="AM1582" s="351"/>
      <c r="AN1582" s="531" t="s">
        <v>325</v>
      </c>
      <c r="AO1582" s="351"/>
      <c r="AP1582" s="532"/>
      <c r="AQ1582" s="351"/>
      <c r="AR1582" s="533"/>
      <c r="AS1582" s="351"/>
      <c r="AT1582" s="534"/>
      <c r="AU1582" s="351"/>
      <c r="AV1582" s="531" t="s">
        <v>325</v>
      </c>
      <c r="AW1582" s="351"/>
      <c r="AX1582" s="553"/>
      <c r="AY1582" s="350"/>
      <c r="AZ1582" s="351"/>
      <c r="BA1582" s="545"/>
      <c r="BB1582" s="351"/>
      <c r="BC1582" s="36"/>
      <c r="BD1582" s="556" t="s">
        <v>325</v>
      </c>
      <c r="BE1582" s="351"/>
      <c r="BF1582" s="557"/>
      <c r="BG1582" s="350"/>
      <c r="BH1582" s="350"/>
      <c r="BI1582" s="351"/>
      <c r="BJ1582" s="506" t="s">
        <v>294</v>
      </c>
      <c r="BK1582" s="350"/>
      <c r="BL1582" s="350"/>
      <c r="BM1582" s="351"/>
      <c r="BN1582" s="530" t="s">
        <v>294</v>
      </c>
      <c r="BO1582" s="350"/>
      <c r="BP1582" s="350"/>
      <c r="BQ1582" s="350"/>
      <c r="BR1582" s="350"/>
      <c r="BS1582" s="350"/>
      <c r="BT1582" s="350"/>
      <c r="BU1582" s="350"/>
      <c r="BV1582" s="351"/>
    </row>
    <row r="1583" spans="1:74" ht="45" customHeight="1">
      <c r="A1583" s="24">
        <f t="shared" si="6"/>
        <v>1569</v>
      </c>
      <c r="B1583" s="522" t="s">
        <v>294</v>
      </c>
      <c r="C1583" s="351"/>
      <c r="D1583" s="523" t="s">
        <v>298</v>
      </c>
      <c r="E1583" s="351"/>
      <c r="F1583" s="524" t="s">
        <v>325</v>
      </c>
      <c r="G1583" s="351"/>
      <c r="H1583" s="549" t="s">
        <v>325</v>
      </c>
      <c r="I1583" s="351"/>
      <c r="J1583" s="563"/>
      <c r="K1583" s="351"/>
      <c r="L1583" s="563"/>
      <c r="M1583" s="351"/>
      <c r="N1583" s="37"/>
      <c r="O1583" s="38"/>
      <c r="P1583" s="560"/>
      <c r="Q1583" s="351"/>
      <c r="R1583" s="527"/>
      <c r="S1583" s="351"/>
      <c r="T1583" s="528"/>
      <c r="U1583" s="351"/>
      <c r="V1583" s="541"/>
      <c r="W1583" s="351"/>
      <c r="X1583" s="542" t="s">
        <v>294</v>
      </c>
      <c r="Y1583" s="350"/>
      <c r="Z1583" s="350"/>
      <c r="AA1583" s="351"/>
      <c r="AB1583" s="543" t="s">
        <v>294</v>
      </c>
      <c r="AC1583" s="350"/>
      <c r="AD1583" s="350"/>
      <c r="AE1583" s="351"/>
      <c r="AF1583" s="544"/>
      <c r="AG1583" s="351"/>
      <c r="AH1583" s="544"/>
      <c r="AI1583" s="351"/>
      <c r="AJ1583" s="545"/>
      <c r="AK1583" s="351"/>
      <c r="AL1583" s="524" t="s">
        <v>325</v>
      </c>
      <c r="AM1583" s="351"/>
      <c r="AN1583" s="549" t="s">
        <v>325</v>
      </c>
      <c r="AO1583" s="351"/>
      <c r="AP1583" s="550"/>
      <c r="AQ1583" s="351"/>
      <c r="AR1583" s="551"/>
      <c r="AS1583" s="351"/>
      <c r="AT1583" s="552"/>
      <c r="AU1583" s="351"/>
      <c r="AV1583" s="549" t="s">
        <v>325</v>
      </c>
      <c r="AW1583" s="351"/>
      <c r="AX1583" s="553"/>
      <c r="AY1583" s="350"/>
      <c r="AZ1583" s="351"/>
      <c r="BA1583" s="554"/>
      <c r="BB1583" s="351"/>
      <c r="BC1583" s="39"/>
      <c r="BD1583" s="546" t="s">
        <v>325</v>
      </c>
      <c r="BE1583" s="351"/>
      <c r="BF1583" s="547"/>
      <c r="BG1583" s="350"/>
      <c r="BH1583" s="350"/>
      <c r="BI1583" s="351"/>
      <c r="BJ1583" s="548" t="s">
        <v>294</v>
      </c>
      <c r="BK1583" s="350"/>
      <c r="BL1583" s="350"/>
      <c r="BM1583" s="351"/>
      <c r="BN1583" s="530" t="s">
        <v>294</v>
      </c>
      <c r="BO1583" s="350"/>
      <c r="BP1583" s="350"/>
      <c r="BQ1583" s="350"/>
      <c r="BR1583" s="350"/>
      <c r="BS1583" s="350"/>
      <c r="BT1583" s="350"/>
      <c r="BU1583" s="350"/>
      <c r="BV1583" s="351"/>
    </row>
    <row r="1584" spans="1:74" ht="45" customHeight="1">
      <c r="A1584" s="24">
        <f t="shared" si="6"/>
        <v>1570</v>
      </c>
      <c r="B1584" s="558" t="s">
        <v>294</v>
      </c>
      <c r="C1584" s="351"/>
      <c r="D1584" s="559" t="s">
        <v>298</v>
      </c>
      <c r="E1584" s="351"/>
      <c r="F1584" s="524" t="s">
        <v>325</v>
      </c>
      <c r="G1584" s="351"/>
      <c r="H1584" s="531" t="s">
        <v>325</v>
      </c>
      <c r="I1584" s="351"/>
      <c r="J1584" s="562"/>
      <c r="K1584" s="351"/>
      <c r="L1584" s="562"/>
      <c r="M1584" s="351"/>
      <c r="N1584" s="34"/>
      <c r="O1584" s="35"/>
      <c r="P1584" s="526"/>
      <c r="Q1584" s="351"/>
      <c r="R1584" s="535"/>
      <c r="S1584" s="351"/>
      <c r="T1584" s="536"/>
      <c r="U1584" s="351"/>
      <c r="V1584" s="537"/>
      <c r="W1584" s="351"/>
      <c r="X1584" s="538" t="s">
        <v>294</v>
      </c>
      <c r="Y1584" s="350"/>
      <c r="Z1584" s="350"/>
      <c r="AA1584" s="351"/>
      <c r="AB1584" s="539" t="s">
        <v>294</v>
      </c>
      <c r="AC1584" s="350"/>
      <c r="AD1584" s="350"/>
      <c r="AE1584" s="351"/>
      <c r="AF1584" s="540"/>
      <c r="AG1584" s="351"/>
      <c r="AH1584" s="540"/>
      <c r="AI1584" s="351"/>
      <c r="AJ1584" s="545"/>
      <c r="AK1584" s="351"/>
      <c r="AL1584" s="555" t="s">
        <v>325</v>
      </c>
      <c r="AM1584" s="351"/>
      <c r="AN1584" s="531" t="s">
        <v>325</v>
      </c>
      <c r="AO1584" s="351"/>
      <c r="AP1584" s="532"/>
      <c r="AQ1584" s="351"/>
      <c r="AR1584" s="533"/>
      <c r="AS1584" s="351"/>
      <c r="AT1584" s="534"/>
      <c r="AU1584" s="351"/>
      <c r="AV1584" s="531" t="s">
        <v>325</v>
      </c>
      <c r="AW1584" s="351"/>
      <c r="AX1584" s="553"/>
      <c r="AY1584" s="350"/>
      <c r="AZ1584" s="351"/>
      <c r="BA1584" s="545"/>
      <c r="BB1584" s="351"/>
      <c r="BC1584" s="36"/>
      <c r="BD1584" s="556" t="s">
        <v>325</v>
      </c>
      <c r="BE1584" s="351"/>
      <c r="BF1584" s="529"/>
      <c r="BG1584" s="350"/>
      <c r="BH1584" s="350"/>
      <c r="BI1584" s="351"/>
      <c r="BJ1584" s="506" t="s">
        <v>294</v>
      </c>
      <c r="BK1584" s="350"/>
      <c r="BL1584" s="350"/>
      <c r="BM1584" s="351"/>
      <c r="BN1584" s="530" t="s">
        <v>294</v>
      </c>
      <c r="BO1584" s="350"/>
      <c r="BP1584" s="350"/>
      <c r="BQ1584" s="350"/>
      <c r="BR1584" s="350"/>
      <c r="BS1584" s="350"/>
      <c r="BT1584" s="350"/>
      <c r="BU1584" s="350"/>
      <c r="BV1584" s="351"/>
    </row>
    <row r="1585" spans="1:74" ht="45" customHeight="1">
      <c r="A1585" s="24">
        <f t="shared" si="6"/>
        <v>1571</v>
      </c>
      <c r="B1585" s="522" t="s">
        <v>294</v>
      </c>
      <c r="C1585" s="351"/>
      <c r="D1585" s="523" t="s">
        <v>298</v>
      </c>
      <c r="E1585" s="351"/>
      <c r="F1585" s="524" t="s">
        <v>325</v>
      </c>
      <c r="G1585" s="351"/>
      <c r="H1585" s="549" t="s">
        <v>325</v>
      </c>
      <c r="I1585" s="351"/>
      <c r="J1585" s="563"/>
      <c r="K1585" s="351"/>
      <c r="L1585" s="563"/>
      <c r="M1585" s="351"/>
      <c r="N1585" s="37"/>
      <c r="O1585" s="38"/>
      <c r="P1585" s="560"/>
      <c r="Q1585" s="351"/>
      <c r="R1585" s="527"/>
      <c r="S1585" s="351"/>
      <c r="T1585" s="528"/>
      <c r="U1585" s="351"/>
      <c r="V1585" s="541"/>
      <c r="W1585" s="351"/>
      <c r="X1585" s="542" t="s">
        <v>294</v>
      </c>
      <c r="Y1585" s="350"/>
      <c r="Z1585" s="350"/>
      <c r="AA1585" s="351"/>
      <c r="AB1585" s="543" t="s">
        <v>294</v>
      </c>
      <c r="AC1585" s="350"/>
      <c r="AD1585" s="350"/>
      <c r="AE1585" s="351"/>
      <c r="AF1585" s="544"/>
      <c r="AG1585" s="351"/>
      <c r="AH1585" s="544"/>
      <c r="AI1585" s="351"/>
      <c r="AJ1585" s="545"/>
      <c r="AK1585" s="351"/>
      <c r="AL1585" s="524" t="s">
        <v>325</v>
      </c>
      <c r="AM1585" s="351"/>
      <c r="AN1585" s="549" t="s">
        <v>325</v>
      </c>
      <c r="AO1585" s="351"/>
      <c r="AP1585" s="550"/>
      <c r="AQ1585" s="351"/>
      <c r="AR1585" s="551"/>
      <c r="AS1585" s="351"/>
      <c r="AT1585" s="552"/>
      <c r="AU1585" s="351"/>
      <c r="AV1585" s="549" t="s">
        <v>325</v>
      </c>
      <c r="AW1585" s="351"/>
      <c r="AX1585" s="553"/>
      <c r="AY1585" s="350"/>
      <c r="AZ1585" s="351"/>
      <c r="BA1585" s="554"/>
      <c r="BB1585" s="351"/>
      <c r="BC1585" s="39"/>
      <c r="BD1585" s="546" t="s">
        <v>325</v>
      </c>
      <c r="BE1585" s="351"/>
      <c r="BF1585" s="547"/>
      <c r="BG1585" s="350"/>
      <c r="BH1585" s="350"/>
      <c r="BI1585" s="351"/>
      <c r="BJ1585" s="548" t="s">
        <v>294</v>
      </c>
      <c r="BK1585" s="350"/>
      <c r="BL1585" s="350"/>
      <c r="BM1585" s="351"/>
      <c r="BN1585" s="530" t="s">
        <v>294</v>
      </c>
      <c r="BO1585" s="350"/>
      <c r="BP1585" s="350"/>
      <c r="BQ1585" s="350"/>
      <c r="BR1585" s="350"/>
      <c r="BS1585" s="350"/>
      <c r="BT1585" s="350"/>
      <c r="BU1585" s="350"/>
      <c r="BV1585" s="351"/>
    </row>
    <row r="1586" spans="1:74" ht="45" customHeight="1">
      <c r="A1586" s="24">
        <f t="shared" si="6"/>
        <v>1572</v>
      </c>
      <c r="B1586" s="558" t="s">
        <v>294</v>
      </c>
      <c r="C1586" s="351"/>
      <c r="D1586" s="559" t="s">
        <v>298</v>
      </c>
      <c r="E1586" s="351"/>
      <c r="F1586" s="524" t="s">
        <v>325</v>
      </c>
      <c r="G1586" s="351"/>
      <c r="H1586" s="531" t="s">
        <v>325</v>
      </c>
      <c r="I1586" s="351"/>
      <c r="J1586" s="562"/>
      <c r="K1586" s="351"/>
      <c r="L1586" s="562"/>
      <c r="M1586" s="351"/>
      <c r="N1586" s="34"/>
      <c r="O1586" s="35"/>
      <c r="P1586" s="526"/>
      <c r="Q1586" s="351"/>
      <c r="R1586" s="535"/>
      <c r="S1586" s="351"/>
      <c r="T1586" s="536"/>
      <c r="U1586" s="351"/>
      <c r="V1586" s="537"/>
      <c r="W1586" s="351"/>
      <c r="X1586" s="538" t="s">
        <v>294</v>
      </c>
      <c r="Y1586" s="350"/>
      <c r="Z1586" s="350"/>
      <c r="AA1586" s="351"/>
      <c r="AB1586" s="539" t="s">
        <v>294</v>
      </c>
      <c r="AC1586" s="350"/>
      <c r="AD1586" s="350"/>
      <c r="AE1586" s="351"/>
      <c r="AF1586" s="540"/>
      <c r="AG1586" s="351"/>
      <c r="AH1586" s="540"/>
      <c r="AI1586" s="351"/>
      <c r="AJ1586" s="545"/>
      <c r="AK1586" s="351"/>
      <c r="AL1586" s="555" t="s">
        <v>325</v>
      </c>
      <c r="AM1586" s="351"/>
      <c r="AN1586" s="531" t="s">
        <v>325</v>
      </c>
      <c r="AO1586" s="351"/>
      <c r="AP1586" s="532"/>
      <c r="AQ1586" s="351"/>
      <c r="AR1586" s="533"/>
      <c r="AS1586" s="351"/>
      <c r="AT1586" s="534"/>
      <c r="AU1586" s="351"/>
      <c r="AV1586" s="531" t="s">
        <v>325</v>
      </c>
      <c r="AW1586" s="351"/>
      <c r="AX1586" s="553"/>
      <c r="AY1586" s="350"/>
      <c r="AZ1586" s="351"/>
      <c r="BA1586" s="545"/>
      <c r="BB1586" s="351"/>
      <c r="BC1586" s="36"/>
      <c r="BD1586" s="556" t="s">
        <v>325</v>
      </c>
      <c r="BE1586" s="351"/>
      <c r="BF1586" s="557"/>
      <c r="BG1586" s="350"/>
      <c r="BH1586" s="350"/>
      <c r="BI1586" s="351"/>
      <c r="BJ1586" s="506" t="s">
        <v>294</v>
      </c>
      <c r="BK1586" s="350"/>
      <c r="BL1586" s="350"/>
      <c r="BM1586" s="351"/>
      <c r="BN1586" s="530" t="s">
        <v>294</v>
      </c>
      <c r="BO1586" s="350"/>
      <c r="BP1586" s="350"/>
      <c r="BQ1586" s="350"/>
      <c r="BR1586" s="350"/>
      <c r="BS1586" s="350"/>
      <c r="BT1586" s="350"/>
      <c r="BU1586" s="350"/>
      <c r="BV1586" s="351"/>
    </row>
    <row r="1587" spans="1:74" ht="45" customHeight="1">
      <c r="A1587" s="24">
        <f t="shared" si="6"/>
        <v>1573</v>
      </c>
      <c r="B1587" s="522" t="s">
        <v>294</v>
      </c>
      <c r="C1587" s="351"/>
      <c r="D1587" s="523" t="s">
        <v>298</v>
      </c>
      <c r="E1587" s="351"/>
      <c r="F1587" s="524" t="s">
        <v>325</v>
      </c>
      <c r="G1587" s="351"/>
      <c r="H1587" s="549" t="s">
        <v>325</v>
      </c>
      <c r="I1587" s="351"/>
      <c r="J1587" s="563"/>
      <c r="K1587" s="351"/>
      <c r="L1587" s="563"/>
      <c r="M1587" s="351"/>
      <c r="N1587" s="37"/>
      <c r="O1587" s="38"/>
      <c r="P1587" s="560"/>
      <c r="Q1587" s="351"/>
      <c r="R1587" s="527"/>
      <c r="S1587" s="351"/>
      <c r="T1587" s="528"/>
      <c r="U1587" s="351"/>
      <c r="V1587" s="541"/>
      <c r="W1587" s="351"/>
      <c r="X1587" s="542" t="s">
        <v>294</v>
      </c>
      <c r="Y1587" s="350"/>
      <c r="Z1587" s="350"/>
      <c r="AA1587" s="351"/>
      <c r="AB1587" s="543" t="s">
        <v>294</v>
      </c>
      <c r="AC1587" s="350"/>
      <c r="AD1587" s="350"/>
      <c r="AE1587" s="351"/>
      <c r="AF1587" s="544"/>
      <c r="AG1587" s="351"/>
      <c r="AH1587" s="544"/>
      <c r="AI1587" s="351"/>
      <c r="AJ1587" s="545"/>
      <c r="AK1587" s="351"/>
      <c r="AL1587" s="524" t="s">
        <v>325</v>
      </c>
      <c r="AM1587" s="351"/>
      <c r="AN1587" s="549" t="s">
        <v>325</v>
      </c>
      <c r="AO1587" s="351"/>
      <c r="AP1587" s="550"/>
      <c r="AQ1587" s="351"/>
      <c r="AR1587" s="551"/>
      <c r="AS1587" s="351"/>
      <c r="AT1587" s="552"/>
      <c r="AU1587" s="351"/>
      <c r="AV1587" s="549" t="s">
        <v>325</v>
      </c>
      <c r="AW1587" s="351"/>
      <c r="AX1587" s="553"/>
      <c r="AY1587" s="350"/>
      <c r="AZ1587" s="351"/>
      <c r="BA1587" s="554"/>
      <c r="BB1587" s="351"/>
      <c r="BC1587" s="39"/>
      <c r="BD1587" s="546" t="s">
        <v>325</v>
      </c>
      <c r="BE1587" s="351"/>
      <c r="BF1587" s="547"/>
      <c r="BG1587" s="350"/>
      <c r="BH1587" s="350"/>
      <c r="BI1587" s="351"/>
      <c r="BJ1587" s="548" t="s">
        <v>294</v>
      </c>
      <c r="BK1587" s="350"/>
      <c r="BL1587" s="350"/>
      <c r="BM1587" s="351"/>
      <c r="BN1587" s="530" t="s">
        <v>294</v>
      </c>
      <c r="BO1587" s="350"/>
      <c r="BP1587" s="350"/>
      <c r="BQ1587" s="350"/>
      <c r="BR1587" s="350"/>
      <c r="BS1587" s="350"/>
      <c r="BT1587" s="350"/>
      <c r="BU1587" s="350"/>
      <c r="BV1587" s="351"/>
    </row>
    <row r="1588" spans="1:74" ht="45" customHeight="1">
      <c r="A1588" s="24">
        <f t="shared" si="6"/>
        <v>1574</v>
      </c>
      <c r="B1588" s="558" t="s">
        <v>294</v>
      </c>
      <c r="C1588" s="351"/>
      <c r="D1588" s="559" t="s">
        <v>298</v>
      </c>
      <c r="E1588" s="351"/>
      <c r="F1588" s="524" t="s">
        <v>325</v>
      </c>
      <c r="G1588" s="351"/>
      <c r="H1588" s="531" t="s">
        <v>325</v>
      </c>
      <c r="I1588" s="351"/>
      <c r="J1588" s="562"/>
      <c r="K1588" s="351"/>
      <c r="L1588" s="562"/>
      <c r="M1588" s="351"/>
      <c r="N1588" s="34"/>
      <c r="O1588" s="35"/>
      <c r="P1588" s="526"/>
      <c r="Q1588" s="351"/>
      <c r="R1588" s="535"/>
      <c r="S1588" s="351"/>
      <c r="T1588" s="536"/>
      <c r="U1588" s="351"/>
      <c r="V1588" s="537"/>
      <c r="W1588" s="351"/>
      <c r="X1588" s="538" t="s">
        <v>294</v>
      </c>
      <c r="Y1588" s="350"/>
      <c r="Z1588" s="350"/>
      <c r="AA1588" s="351"/>
      <c r="AB1588" s="539" t="s">
        <v>294</v>
      </c>
      <c r="AC1588" s="350"/>
      <c r="AD1588" s="350"/>
      <c r="AE1588" s="351"/>
      <c r="AF1588" s="540"/>
      <c r="AG1588" s="351"/>
      <c r="AH1588" s="540"/>
      <c r="AI1588" s="351"/>
      <c r="AJ1588" s="545"/>
      <c r="AK1588" s="351"/>
      <c r="AL1588" s="555" t="s">
        <v>325</v>
      </c>
      <c r="AM1588" s="351"/>
      <c r="AN1588" s="531" t="s">
        <v>325</v>
      </c>
      <c r="AO1588" s="351"/>
      <c r="AP1588" s="532"/>
      <c r="AQ1588" s="351"/>
      <c r="AR1588" s="533"/>
      <c r="AS1588" s="351"/>
      <c r="AT1588" s="534"/>
      <c r="AU1588" s="351"/>
      <c r="AV1588" s="531" t="s">
        <v>325</v>
      </c>
      <c r="AW1588" s="351"/>
      <c r="AX1588" s="553"/>
      <c r="AY1588" s="350"/>
      <c r="AZ1588" s="351"/>
      <c r="BA1588" s="545"/>
      <c r="BB1588" s="351"/>
      <c r="BC1588" s="36"/>
      <c r="BD1588" s="556" t="s">
        <v>325</v>
      </c>
      <c r="BE1588" s="351"/>
      <c r="BF1588" s="557"/>
      <c r="BG1588" s="350"/>
      <c r="BH1588" s="350"/>
      <c r="BI1588" s="351"/>
      <c r="BJ1588" s="506" t="s">
        <v>294</v>
      </c>
      <c r="BK1588" s="350"/>
      <c r="BL1588" s="350"/>
      <c r="BM1588" s="351"/>
      <c r="BN1588" s="530" t="s">
        <v>294</v>
      </c>
      <c r="BO1588" s="350"/>
      <c r="BP1588" s="350"/>
      <c r="BQ1588" s="350"/>
      <c r="BR1588" s="350"/>
      <c r="BS1588" s="350"/>
      <c r="BT1588" s="350"/>
      <c r="BU1588" s="350"/>
      <c r="BV1588" s="351"/>
    </row>
    <row r="1589" spans="1:74" ht="45" customHeight="1">
      <c r="A1589" s="24">
        <f t="shared" si="6"/>
        <v>1575</v>
      </c>
      <c r="B1589" s="522" t="s">
        <v>294</v>
      </c>
      <c r="C1589" s="351"/>
      <c r="D1589" s="523" t="s">
        <v>298</v>
      </c>
      <c r="E1589" s="351"/>
      <c r="F1589" s="524" t="s">
        <v>325</v>
      </c>
      <c r="G1589" s="351"/>
      <c r="H1589" s="549" t="s">
        <v>325</v>
      </c>
      <c r="I1589" s="351"/>
      <c r="J1589" s="563"/>
      <c r="K1589" s="351"/>
      <c r="L1589" s="563"/>
      <c r="M1589" s="351"/>
      <c r="N1589" s="37"/>
      <c r="O1589" s="38"/>
      <c r="P1589" s="560"/>
      <c r="Q1589" s="351"/>
      <c r="R1589" s="527"/>
      <c r="S1589" s="351"/>
      <c r="T1589" s="528"/>
      <c r="U1589" s="351"/>
      <c r="V1589" s="541"/>
      <c r="W1589" s="351"/>
      <c r="X1589" s="542" t="s">
        <v>294</v>
      </c>
      <c r="Y1589" s="350"/>
      <c r="Z1589" s="350"/>
      <c r="AA1589" s="351"/>
      <c r="AB1589" s="543" t="s">
        <v>294</v>
      </c>
      <c r="AC1589" s="350"/>
      <c r="AD1589" s="350"/>
      <c r="AE1589" s="351"/>
      <c r="AF1589" s="544"/>
      <c r="AG1589" s="351"/>
      <c r="AH1589" s="544"/>
      <c r="AI1589" s="351"/>
      <c r="AJ1589" s="545"/>
      <c r="AK1589" s="351"/>
      <c r="AL1589" s="524" t="s">
        <v>325</v>
      </c>
      <c r="AM1589" s="351"/>
      <c r="AN1589" s="549" t="s">
        <v>325</v>
      </c>
      <c r="AO1589" s="351"/>
      <c r="AP1589" s="550"/>
      <c r="AQ1589" s="351"/>
      <c r="AR1589" s="551"/>
      <c r="AS1589" s="351"/>
      <c r="AT1589" s="552"/>
      <c r="AU1589" s="351"/>
      <c r="AV1589" s="549" t="s">
        <v>325</v>
      </c>
      <c r="AW1589" s="351"/>
      <c r="AX1589" s="553"/>
      <c r="AY1589" s="350"/>
      <c r="AZ1589" s="351"/>
      <c r="BA1589" s="554"/>
      <c r="BB1589" s="351"/>
      <c r="BC1589" s="39"/>
      <c r="BD1589" s="546" t="s">
        <v>325</v>
      </c>
      <c r="BE1589" s="351"/>
      <c r="BF1589" s="547"/>
      <c r="BG1589" s="350"/>
      <c r="BH1589" s="350"/>
      <c r="BI1589" s="351"/>
      <c r="BJ1589" s="548" t="s">
        <v>294</v>
      </c>
      <c r="BK1589" s="350"/>
      <c r="BL1589" s="350"/>
      <c r="BM1589" s="351"/>
      <c r="BN1589" s="530" t="s">
        <v>294</v>
      </c>
      <c r="BO1589" s="350"/>
      <c r="BP1589" s="350"/>
      <c r="BQ1589" s="350"/>
      <c r="BR1589" s="350"/>
      <c r="BS1589" s="350"/>
      <c r="BT1589" s="350"/>
      <c r="BU1589" s="350"/>
      <c r="BV1589" s="351"/>
    </row>
    <row r="1590" spans="1:74" ht="45" customHeight="1">
      <c r="A1590" s="24">
        <f t="shared" si="6"/>
        <v>1576</v>
      </c>
      <c r="B1590" s="558" t="s">
        <v>294</v>
      </c>
      <c r="C1590" s="351"/>
      <c r="D1590" s="559" t="s">
        <v>298</v>
      </c>
      <c r="E1590" s="351"/>
      <c r="F1590" s="524" t="s">
        <v>325</v>
      </c>
      <c r="G1590" s="351"/>
      <c r="H1590" s="531" t="s">
        <v>325</v>
      </c>
      <c r="I1590" s="351"/>
      <c r="J1590" s="562"/>
      <c r="K1590" s="351"/>
      <c r="L1590" s="562"/>
      <c r="M1590" s="351"/>
      <c r="N1590" s="34"/>
      <c r="O1590" s="35"/>
      <c r="P1590" s="526"/>
      <c r="Q1590" s="351"/>
      <c r="R1590" s="535"/>
      <c r="S1590" s="351"/>
      <c r="T1590" s="536"/>
      <c r="U1590" s="351"/>
      <c r="V1590" s="537"/>
      <c r="W1590" s="351"/>
      <c r="X1590" s="538" t="s">
        <v>294</v>
      </c>
      <c r="Y1590" s="350"/>
      <c r="Z1590" s="350"/>
      <c r="AA1590" s="351"/>
      <c r="AB1590" s="539" t="s">
        <v>294</v>
      </c>
      <c r="AC1590" s="350"/>
      <c r="AD1590" s="350"/>
      <c r="AE1590" s="351"/>
      <c r="AF1590" s="540"/>
      <c r="AG1590" s="351"/>
      <c r="AH1590" s="540"/>
      <c r="AI1590" s="351"/>
      <c r="AJ1590" s="545"/>
      <c r="AK1590" s="351"/>
      <c r="AL1590" s="555" t="s">
        <v>325</v>
      </c>
      <c r="AM1590" s="351"/>
      <c r="AN1590" s="531" t="s">
        <v>325</v>
      </c>
      <c r="AO1590" s="351"/>
      <c r="AP1590" s="532"/>
      <c r="AQ1590" s="351"/>
      <c r="AR1590" s="533"/>
      <c r="AS1590" s="351"/>
      <c r="AT1590" s="534"/>
      <c r="AU1590" s="351"/>
      <c r="AV1590" s="531" t="s">
        <v>325</v>
      </c>
      <c r="AW1590" s="351"/>
      <c r="AX1590" s="553"/>
      <c r="AY1590" s="350"/>
      <c r="AZ1590" s="351"/>
      <c r="BA1590" s="545"/>
      <c r="BB1590" s="351"/>
      <c r="BC1590" s="36"/>
      <c r="BD1590" s="556" t="s">
        <v>325</v>
      </c>
      <c r="BE1590" s="351"/>
      <c r="BF1590" s="529"/>
      <c r="BG1590" s="350"/>
      <c r="BH1590" s="350"/>
      <c r="BI1590" s="351"/>
      <c r="BJ1590" s="506" t="s">
        <v>294</v>
      </c>
      <c r="BK1590" s="350"/>
      <c r="BL1590" s="350"/>
      <c r="BM1590" s="351"/>
      <c r="BN1590" s="530" t="s">
        <v>294</v>
      </c>
      <c r="BO1590" s="350"/>
      <c r="BP1590" s="350"/>
      <c r="BQ1590" s="350"/>
      <c r="BR1590" s="350"/>
      <c r="BS1590" s="350"/>
      <c r="BT1590" s="350"/>
      <c r="BU1590" s="350"/>
      <c r="BV1590" s="351"/>
    </row>
    <row r="1591" spans="1:74" ht="45" customHeight="1">
      <c r="A1591" s="24">
        <f t="shared" si="6"/>
        <v>1577</v>
      </c>
      <c r="B1591" s="522" t="s">
        <v>294</v>
      </c>
      <c r="C1591" s="351"/>
      <c r="D1591" s="523" t="s">
        <v>298</v>
      </c>
      <c r="E1591" s="351"/>
      <c r="F1591" s="524" t="s">
        <v>325</v>
      </c>
      <c r="G1591" s="351"/>
      <c r="H1591" s="549" t="s">
        <v>325</v>
      </c>
      <c r="I1591" s="351"/>
      <c r="J1591" s="563"/>
      <c r="K1591" s="351"/>
      <c r="L1591" s="563"/>
      <c r="M1591" s="351"/>
      <c r="N1591" s="37"/>
      <c r="O1591" s="38"/>
      <c r="P1591" s="560"/>
      <c r="Q1591" s="351"/>
      <c r="R1591" s="527"/>
      <c r="S1591" s="351"/>
      <c r="T1591" s="528"/>
      <c r="U1591" s="351"/>
      <c r="V1591" s="541"/>
      <c r="W1591" s="351"/>
      <c r="X1591" s="542" t="s">
        <v>294</v>
      </c>
      <c r="Y1591" s="350"/>
      <c r="Z1591" s="350"/>
      <c r="AA1591" s="351"/>
      <c r="AB1591" s="543" t="s">
        <v>294</v>
      </c>
      <c r="AC1591" s="350"/>
      <c r="AD1591" s="350"/>
      <c r="AE1591" s="351"/>
      <c r="AF1591" s="544"/>
      <c r="AG1591" s="351"/>
      <c r="AH1591" s="544"/>
      <c r="AI1591" s="351"/>
      <c r="AJ1591" s="545"/>
      <c r="AK1591" s="351"/>
      <c r="AL1591" s="524" t="s">
        <v>325</v>
      </c>
      <c r="AM1591" s="351"/>
      <c r="AN1591" s="549" t="s">
        <v>325</v>
      </c>
      <c r="AO1591" s="351"/>
      <c r="AP1591" s="550"/>
      <c r="AQ1591" s="351"/>
      <c r="AR1591" s="551"/>
      <c r="AS1591" s="351"/>
      <c r="AT1591" s="552"/>
      <c r="AU1591" s="351"/>
      <c r="AV1591" s="549" t="s">
        <v>325</v>
      </c>
      <c r="AW1591" s="351"/>
      <c r="AX1591" s="553"/>
      <c r="AY1591" s="350"/>
      <c r="AZ1591" s="351"/>
      <c r="BA1591" s="554"/>
      <c r="BB1591" s="351"/>
      <c r="BC1591" s="39"/>
      <c r="BD1591" s="546" t="s">
        <v>325</v>
      </c>
      <c r="BE1591" s="351"/>
      <c r="BF1591" s="547"/>
      <c r="BG1591" s="350"/>
      <c r="BH1591" s="350"/>
      <c r="BI1591" s="351"/>
      <c r="BJ1591" s="548" t="s">
        <v>294</v>
      </c>
      <c r="BK1591" s="350"/>
      <c r="BL1591" s="350"/>
      <c r="BM1591" s="351"/>
      <c r="BN1591" s="530" t="s">
        <v>294</v>
      </c>
      <c r="BO1591" s="350"/>
      <c r="BP1591" s="350"/>
      <c r="BQ1591" s="350"/>
      <c r="BR1591" s="350"/>
      <c r="BS1591" s="350"/>
      <c r="BT1591" s="350"/>
      <c r="BU1591" s="350"/>
      <c r="BV1591" s="351"/>
    </row>
    <row r="1592" spans="1:74" ht="45" customHeight="1">
      <c r="A1592" s="24">
        <f t="shared" si="6"/>
        <v>1578</v>
      </c>
      <c r="B1592" s="558" t="s">
        <v>294</v>
      </c>
      <c r="C1592" s="351"/>
      <c r="D1592" s="559" t="s">
        <v>298</v>
      </c>
      <c r="E1592" s="351"/>
      <c r="F1592" s="524" t="s">
        <v>325</v>
      </c>
      <c r="G1592" s="351"/>
      <c r="H1592" s="531" t="s">
        <v>325</v>
      </c>
      <c r="I1592" s="351"/>
      <c r="J1592" s="562"/>
      <c r="K1592" s="351"/>
      <c r="L1592" s="562"/>
      <c r="M1592" s="351"/>
      <c r="N1592" s="34"/>
      <c r="O1592" s="35"/>
      <c r="P1592" s="526"/>
      <c r="Q1592" s="351"/>
      <c r="R1592" s="535"/>
      <c r="S1592" s="351"/>
      <c r="T1592" s="536"/>
      <c r="U1592" s="351"/>
      <c r="V1592" s="537"/>
      <c r="W1592" s="351"/>
      <c r="X1592" s="538" t="s">
        <v>294</v>
      </c>
      <c r="Y1592" s="350"/>
      <c r="Z1592" s="350"/>
      <c r="AA1592" s="351"/>
      <c r="AB1592" s="539" t="s">
        <v>294</v>
      </c>
      <c r="AC1592" s="350"/>
      <c r="AD1592" s="350"/>
      <c r="AE1592" s="351"/>
      <c r="AF1592" s="540"/>
      <c r="AG1592" s="351"/>
      <c r="AH1592" s="540"/>
      <c r="AI1592" s="351"/>
      <c r="AJ1592" s="545"/>
      <c r="AK1592" s="351"/>
      <c r="AL1592" s="555" t="s">
        <v>325</v>
      </c>
      <c r="AM1592" s="351"/>
      <c r="AN1592" s="531" t="s">
        <v>325</v>
      </c>
      <c r="AO1592" s="351"/>
      <c r="AP1592" s="532"/>
      <c r="AQ1592" s="351"/>
      <c r="AR1592" s="533"/>
      <c r="AS1592" s="351"/>
      <c r="AT1592" s="534"/>
      <c r="AU1592" s="351"/>
      <c r="AV1592" s="531" t="s">
        <v>325</v>
      </c>
      <c r="AW1592" s="351"/>
      <c r="AX1592" s="553"/>
      <c r="AY1592" s="350"/>
      <c r="AZ1592" s="351"/>
      <c r="BA1592" s="545"/>
      <c r="BB1592" s="351"/>
      <c r="BC1592" s="36"/>
      <c r="BD1592" s="556" t="s">
        <v>325</v>
      </c>
      <c r="BE1592" s="351"/>
      <c r="BF1592" s="557"/>
      <c r="BG1592" s="350"/>
      <c r="BH1592" s="350"/>
      <c r="BI1592" s="351"/>
      <c r="BJ1592" s="506" t="s">
        <v>294</v>
      </c>
      <c r="BK1592" s="350"/>
      <c r="BL1592" s="350"/>
      <c r="BM1592" s="351"/>
      <c r="BN1592" s="530" t="s">
        <v>294</v>
      </c>
      <c r="BO1592" s="350"/>
      <c r="BP1592" s="350"/>
      <c r="BQ1592" s="350"/>
      <c r="BR1592" s="350"/>
      <c r="BS1592" s="350"/>
      <c r="BT1592" s="350"/>
      <c r="BU1592" s="350"/>
      <c r="BV1592" s="351"/>
    </row>
    <row r="1593" spans="1:74" ht="45" customHeight="1">
      <c r="A1593" s="24">
        <f t="shared" si="6"/>
        <v>1579</v>
      </c>
      <c r="B1593" s="522" t="s">
        <v>294</v>
      </c>
      <c r="C1593" s="351"/>
      <c r="D1593" s="523" t="s">
        <v>298</v>
      </c>
      <c r="E1593" s="351"/>
      <c r="F1593" s="524" t="s">
        <v>325</v>
      </c>
      <c r="G1593" s="351"/>
      <c r="H1593" s="549" t="s">
        <v>325</v>
      </c>
      <c r="I1593" s="351"/>
      <c r="J1593" s="563"/>
      <c r="K1593" s="351"/>
      <c r="L1593" s="563"/>
      <c r="M1593" s="351"/>
      <c r="N1593" s="34"/>
      <c r="O1593" s="35"/>
      <c r="P1593" s="526"/>
      <c r="Q1593" s="351"/>
      <c r="R1593" s="527"/>
      <c r="S1593" s="351"/>
      <c r="T1593" s="528"/>
      <c r="U1593" s="351"/>
      <c r="V1593" s="541"/>
      <c r="W1593" s="351"/>
      <c r="X1593" s="542" t="s">
        <v>294</v>
      </c>
      <c r="Y1593" s="350"/>
      <c r="Z1593" s="350"/>
      <c r="AA1593" s="351"/>
      <c r="AB1593" s="543" t="s">
        <v>294</v>
      </c>
      <c r="AC1593" s="350"/>
      <c r="AD1593" s="350"/>
      <c r="AE1593" s="351"/>
      <c r="AF1593" s="544"/>
      <c r="AG1593" s="351"/>
      <c r="AH1593" s="544"/>
      <c r="AI1593" s="351"/>
      <c r="AJ1593" s="545"/>
      <c r="AK1593" s="351"/>
      <c r="AL1593" s="524" t="s">
        <v>325</v>
      </c>
      <c r="AM1593" s="351"/>
      <c r="AN1593" s="549" t="s">
        <v>325</v>
      </c>
      <c r="AO1593" s="351"/>
      <c r="AP1593" s="550"/>
      <c r="AQ1593" s="351"/>
      <c r="AR1593" s="551"/>
      <c r="AS1593" s="351"/>
      <c r="AT1593" s="534"/>
      <c r="AU1593" s="351"/>
      <c r="AV1593" s="549" t="s">
        <v>325</v>
      </c>
      <c r="AW1593" s="351"/>
      <c r="AX1593" s="553"/>
      <c r="AY1593" s="350"/>
      <c r="AZ1593" s="351"/>
      <c r="BA1593" s="554"/>
      <c r="BB1593" s="351"/>
      <c r="BC1593" s="39"/>
      <c r="BD1593" s="546" t="s">
        <v>325</v>
      </c>
      <c r="BE1593" s="351"/>
      <c r="BF1593" s="547"/>
      <c r="BG1593" s="350"/>
      <c r="BH1593" s="350"/>
      <c r="BI1593" s="351"/>
      <c r="BJ1593" s="548" t="s">
        <v>294</v>
      </c>
      <c r="BK1593" s="350"/>
      <c r="BL1593" s="350"/>
      <c r="BM1593" s="351"/>
      <c r="BN1593" s="530" t="s">
        <v>294</v>
      </c>
      <c r="BO1593" s="350"/>
      <c r="BP1593" s="350"/>
      <c r="BQ1593" s="350"/>
      <c r="BR1593" s="350"/>
      <c r="BS1593" s="350"/>
      <c r="BT1593" s="350"/>
      <c r="BU1593" s="350"/>
      <c r="BV1593" s="351"/>
    </row>
    <row r="1594" spans="1:74" ht="45" customHeight="1">
      <c r="A1594" s="24">
        <f t="shared" si="6"/>
        <v>1580</v>
      </c>
      <c r="B1594" s="558" t="s">
        <v>294</v>
      </c>
      <c r="C1594" s="351"/>
      <c r="D1594" s="559" t="s">
        <v>298</v>
      </c>
      <c r="E1594" s="351"/>
      <c r="F1594" s="524" t="s">
        <v>325</v>
      </c>
      <c r="G1594" s="351"/>
      <c r="H1594" s="531" t="s">
        <v>325</v>
      </c>
      <c r="I1594" s="351"/>
      <c r="J1594" s="562"/>
      <c r="K1594" s="351"/>
      <c r="L1594" s="562"/>
      <c r="M1594" s="351"/>
      <c r="N1594" s="37"/>
      <c r="O1594" s="38"/>
      <c r="P1594" s="560"/>
      <c r="Q1594" s="351"/>
      <c r="R1594" s="535"/>
      <c r="S1594" s="351"/>
      <c r="T1594" s="536"/>
      <c r="U1594" s="351"/>
      <c r="V1594" s="537"/>
      <c r="W1594" s="351"/>
      <c r="X1594" s="538" t="s">
        <v>294</v>
      </c>
      <c r="Y1594" s="350"/>
      <c r="Z1594" s="350"/>
      <c r="AA1594" s="351"/>
      <c r="AB1594" s="539" t="s">
        <v>294</v>
      </c>
      <c r="AC1594" s="350"/>
      <c r="AD1594" s="350"/>
      <c r="AE1594" s="351"/>
      <c r="AF1594" s="540"/>
      <c r="AG1594" s="351"/>
      <c r="AH1594" s="540"/>
      <c r="AI1594" s="351"/>
      <c r="AJ1594" s="545"/>
      <c r="AK1594" s="351"/>
      <c r="AL1594" s="555" t="s">
        <v>325</v>
      </c>
      <c r="AM1594" s="351"/>
      <c r="AN1594" s="531" t="s">
        <v>325</v>
      </c>
      <c r="AO1594" s="351"/>
      <c r="AP1594" s="532"/>
      <c r="AQ1594" s="351"/>
      <c r="AR1594" s="533"/>
      <c r="AS1594" s="351"/>
      <c r="AT1594" s="534"/>
      <c r="AU1594" s="351"/>
      <c r="AV1594" s="531" t="s">
        <v>325</v>
      </c>
      <c r="AW1594" s="351"/>
      <c r="AX1594" s="553"/>
      <c r="AY1594" s="350"/>
      <c r="AZ1594" s="351"/>
      <c r="BA1594" s="545"/>
      <c r="BB1594" s="351"/>
      <c r="BC1594" s="36"/>
      <c r="BD1594" s="556" t="s">
        <v>325</v>
      </c>
      <c r="BE1594" s="351"/>
      <c r="BF1594" s="557"/>
      <c r="BG1594" s="350"/>
      <c r="BH1594" s="350"/>
      <c r="BI1594" s="351"/>
      <c r="BJ1594" s="506" t="s">
        <v>294</v>
      </c>
      <c r="BK1594" s="350"/>
      <c r="BL1594" s="350"/>
      <c r="BM1594" s="351"/>
      <c r="BN1594" s="530" t="s">
        <v>294</v>
      </c>
      <c r="BO1594" s="350"/>
      <c r="BP1594" s="350"/>
      <c r="BQ1594" s="350"/>
      <c r="BR1594" s="350"/>
      <c r="BS1594" s="350"/>
      <c r="BT1594" s="350"/>
      <c r="BU1594" s="350"/>
      <c r="BV1594" s="351"/>
    </row>
    <row r="1595" spans="1:74" ht="45" customHeight="1">
      <c r="A1595" s="24">
        <f t="shared" si="6"/>
        <v>1581</v>
      </c>
      <c r="B1595" s="522" t="s">
        <v>294</v>
      </c>
      <c r="C1595" s="351"/>
      <c r="D1595" s="523" t="s">
        <v>298</v>
      </c>
      <c r="E1595" s="351"/>
      <c r="F1595" s="524" t="s">
        <v>325</v>
      </c>
      <c r="G1595" s="351"/>
      <c r="H1595" s="549" t="s">
        <v>325</v>
      </c>
      <c r="I1595" s="351"/>
      <c r="J1595" s="563"/>
      <c r="K1595" s="351"/>
      <c r="L1595" s="563"/>
      <c r="M1595" s="351"/>
      <c r="N1595" s="34"/>
      <c r="O1595" s="35"/>
      <c r="P1595" s="526"/>
      <c r="Q1595" s="351"/>
      <c r="R1595" s="527"/>
      <c r="S1595" s="351"/>
      <c r="T1595" s="528"/>
      <c r="U1595" s="351"/>
      <c r="V1595" s="541"/>
      <c r="W1595" s="351"/>
      <c r="X1595" s="542" t="s">
        <v>294</v>
      </c>
      <c r="Y1595" s="350"/>
      <c r="Z1595" s="350"/>
      <c r="AA1595" s="351"/>
      <c r="AB1595" s="543" t="s">
        <v>294</v>
      </c>
      <c r="AC1595" s="350"/>
      <c r="AD1595" s="350"/>
      <c r="AE1595" s="351"/>
      <c r="AF1595" s="544"/>
      <c r="AG1595" s="351"/>
      <c r="AH1595" s="544"/>
      <c r="AI1595" s="351"/>
      <c r="AJ1595" s="545"/>
      <c r="AK1595" s="351"/>
      <c r="AL1595" s="524" t="s">
        <v>325</v>
      </c>
      <c r="AM1595" s="351"/>
      <c r="AN1595" s="549" t="s">
        <v>325</v>
      </c>
      <c r="AO1595" s="351"/>
      <c r="AP1595" s="550"/>
      <c r="AQ1595" s="351"/>
      <c r="AR1595" s="551"/>
      <c r="AS1595" s="351"/>
      <c r="AT1595" s="534"/>
      <c r="AU1595" s="351"/>
      <c r="AV1595" s="549" t="s">
        <v>325</v>
      </c>
      <c r="AW1595" s="351"/>
      <c r="AX1595" s="553"/>
      <c r="AY1595" s="350"/>
      <c r="AZ1595" s="351"/>
      <c r="BA1595" s="554"/>
      <c r="BB1595" s="351"/>
      <c r="BC1595" s="39"/>
      <c r="BD1595" s="546" t="s">
        <v>325</v>
      </c>
      <c r="BE1595" s="351"/>
      <c r="BF1595" s="547"/>
      <c r="BG1595" s="350"/>
      <c r="BH1595" s="350"/>
      <c r="BI1595" s="351"/>
      <c r="BJ1595" s="548" t="s">
        <v>294</v>
      </c>
      <c r="BK1595" s="350"/>
      <c r="BL1595" s="350"/>
      <c r="BM1595" s="351"/>
      <c r="BN1595" s="530" t="s">
        <v>294</v>
      </c>
      <c r="BO1595" s="350"/>
      <c r="BP1595" s="350"/>
      <c r="BQ1595" s="350"/>
      <c r="BR1595" s="350"/>
      <c r="BS1595" s="350"/>
      <c r="BT1595" s="350"/>
      <c r="BU1595" s="350"/>
      <c r="BV1595" s="351"/>
    </row>
    <row r="1596" spans="1:74" ht="45" customHeight="1">
      <c r="A1596" s="24">
        <f t="shared" si="6"/>
        <v>1582</v>
      </c>
      <c r="B1596" s="558" t="s">
        <v>294</v>
      </c>
      <c r="C1596" s="351"/>
      <c r="D1596" s="559" t="s">
        <v>298</v>
      </c>
      <c r="E1596" s="351"/>
      <c r="F1596" s="524" t="s">
        <v>325</v>
      </c>
      <c r="G1596" s="351"/>
      <c r="H1596" s="531" t="s">
        <v>325</v>
      </c>
      <c r="I1596" s="351"/>
      <c r="J1596" s="562"/>
      <c r="K1596" s="351"/>
      <c r="L1596" s="562"/>
      <c r="M1596" s="351"/>
      <c r="N1596" s="37"/>
      <c r="O1596" s="38"/>
      <c r="P1596" s="560"/>
      <c r="Q1596" s="351"/>
      <c r="R1596" s="535"/>
      <c r="S1596" s="351"/>
      <c r="T1596" s="536"/>
      <c r="U1596" s="351"/>
      <c r="V1596" s="537"/>
      <c r="W1596" s="351"/>
      <c r="X1596" s="538" t="s">
        <v>294</v>
      </c>
      <c r="Y1596" s="350"/>
      <c r="Z1596" s="350"/>
      <c r="AA1596" s="351"/>
      <c r="AB1596" s="539" t="s">
        <v>294</v>
      </c>
      <c r="AC1596" s="350"/>
      <c r="AD1596" s="350"/>
      <c r="AE1596" s="351"/>
      <c r="AF1596" s="540"/>
      <c r="AG1596" s="351"/>
      <c r="AH1596" s="540"/>
      <c r="AI1596" s="351"/>
      <c r="AJ1596" s="545"/>
      <c r="AK1596" s="351"/>
      <c r="AL1596" s="555" t="s">
        <v>325</v>
      </c>
      <c r="AM1596" s="351"/>
      <c r="AN1596" s="531" t="s">
        <v>325</v>
      </c>
      <c r="AO1596" s="351"/>
      <c r="AP1596" s="532"/>
      <c r="AQ1596" s="351"/>
      <c r="AR1596" s="533"/>
      <c r="AS1596" s="351"/>
      <c r="AT1596" s="534"/>
      <c r="AU1596" s="351"/>
      <c r="AV1596" s="531" t="s">
        <v>325</v>
      </c>
      <c r="AW1596" s="351"/>
      <c r="AX1596" s="553"/>
      <c r="AY1596" s="350"/>
      <c r="AZ1596" s="351"/>
      <c r="BA1596" s="545"/>
      <c r="BB1596" s="351"/>
      <c r="BC1596" s="36"/>
      <c r="BD1596" s="556" t="s">
        <v>325</v>
      </c>
      <c r="BE1596" s="351"/>
      <c r="BF1596" s="557"/>
      <c r="BG1596" s="350"/>
      <c r="BH1596" s="350"/>
      <c r="BI1596" s="351"/>
      <c r="BJ1596" s="506" t="s">
        <v>294</v>
      </c>
      <c r="BK1596" s="350"/>
      <c r="BL1596" s="350"/>
      <c r="BM1596" s="351"/>
      <c r="BN1596" s="530" t="s">
        <v>294</v>
      </c>
      <c r="BO1596" s="350"/>
      <c r="BP1596" s="350"/>
      <c r="BQ1596" s="350"/>
      <c r="BR1596" s="350"/>
      <c r="BS1596" s="350"/>
      <c r="BT1596" s="350"/>
      <c r="BU1596" s="350"/>
      <c r="BV1596" s="351"/>
    </row>
    <row r="1597" spans="1:74" ht="45" customHeight="1">
      <c r="A1597" s="24">
        <f t="shared" si="6"/>
        <v>1583</v>
      </c>
      <c r="B1597" s="522" t="s">
        <v>294</v>
      </c>
      <c r="C1597" s="351"/>
      <c r="D1597" s="523" t="s">
        <v>298</v>
      </c>
      <c r="E1597" s="351"/>
      <c r="F1597" s="524" t="s">
        <v>325</v>
      </c>
      <c r="G1597" s="351"/>
      <c r="H1597" s="549" t="s">
        <v>325</v>
      </c>
      <c r="I1597" s="351"/>
      <c r="J1597" s="563"/>
      <c r="K1597" s="351"/>
      <c r="L1597" s="563"/>
      <c r="M1597" s="351"/>
      <c r="N1597" s="34"/>
      <c r="O1597" s="38"/>
      <c r="P1597" s="526"/>
      <c r="Q1597" s="351"/>
      <c r="R1597" s="527"/>
      <c r="S1597" s="351"/>
      <c r="T1597" s="528"/>
      <c r="U1597" s="351"/>
      <c r="V1597" s="541"/>
      <c r="W1597" s="351"/>
      <c r="X1597" s="542" t="s">
        <v>294</v>
      </c>
      <c r="Y1597" s="350"/>
      <c r="Z1597" s="350"/>
      <c r="AA1597" s="351"/>
      <c r="AB1597" s="543" t="s">
        <v>294</v>
      </c>
      <c r="AC1597" s="350"/>
      <c r="AD1597" s="350"/>
      <c r="AE1597" s="351"/>
      <c r="AF1597" s="544"/>
      <c r="AG1597" s="351"/>
      <c r="AH1597" s="544"/>
      <c r="AI1597" s="351"/>
      <c r="AJ1597" s="545"/>
      <c r="AK1597" s="351"/>
      <c r="AL1597" s="524" t="s">
        <v>325</v>
      </c>
      <c r="AM1597" s="351"/>
      <c r="AN1597" s="549" t="s">
        <v>325</v>
      </c>
      <c r="AO1597" s="351"/>
      <c r="AP1597" s="550"/>
      <c r="AQ1597" s="351"/>
      <c r="AR1597" s="551"/>
      <c r="AS1597" s="351"/>
      <c r="AT1597" s="552"/>
      <c r="AU1597" s="351"/>
      <c r="AV1597" s="549" t="s">
        <v>325</v>
      </c>
      <c r="AW1597" s="351"/>
      <c r="AX1597" s="553"/>
      <c r="AY1597" s="350"/>
      <c r="AZ1597" s="351"/>
      <c r="BA1597" s="554"/>
      <c r="BB1597" s="351"/>
      <c r="BC1597" s="39"/>
      <c r="BD1597" s="546" t="s">
        <v>325</v>
      </c>
      <c r="BE1597" s="351"/>
      <c r="BF1597" s="547"/>
      <c r="BG1597" s="350"/>
      <c r="BH1597" s="350"/>
      <c r="BI1597" s="351"/>
      <c r="BJ1597" s="548" t="s">
        <v>294</v>
      </c>
      <c r="BK1597" s="350"/>
      <c r="BL1597" s="350"/>
      <c r="BM1597" s="351"/>
      <c r="BN1597" s="530" t="s">
        <v>294</v>
      </c>
      <c r="BO1597" s="350"/>
      <c r="BP1597" s="350"/>
      <c r="BQ1597" s="350"/>
      <c r="BR1597" s="350"/>
      <c r="BS1597" s="350"/>
      <c r="BT1597" s="350"/>
      <c r="BU1597" s="350"/>
      <c r="BV1597" s="351"/>
    </row>
    <row r="1598" spans="1:74" ht="45" customHeight="1">
      <c r="A1598" s="24">
        <f t="shared" si="6"/>
        <v>1584</v>
      </c>
      <c r="B1598" s="558" t="s">
        <v>294</v>
      </c>
      <c r="C1598" s="351"/>
      <c r="D1598" s="559" t="s">
        <v>298</v>
      </c>
      <c r="E1598" s="351"/>
      <c r="F1598" s="524" t="s">
        <v>325</v>
      </c>
      <c r="G1598" s="351"/>
      <c r="H1598" s="531" t="s">
        <v>325</v>
      </c>
      <c r="I1598" s="351"/>
      <c r="J1598" s="562"/>
      <c r="K1598" s="351"/>
      <c r="L1598" s="562"/>
      <c r="M1598" s="351"/>
      <c r="N1598" s="37"/>
      <c r="O1598" s="35"/>
      <c r="P1598" s="560"/>
      <c r="Q1598" s="351"/>
      <c r="R1598" s="535"/>
      <c r="S1598" s="351"/>
      <c r="T1598" s="536"/>
      <c r="U1598" s="351"/>
      <c r="V1598" s="537"/>
      <c r="W1598" s="351"/>
      <c r="X1598" s="538" t="s">
        <v>294</v>
      </c>
      <c r="Y1598" s="350"/>
      <c r="Z1598" s="350"/>
      <c r="AA1598" s="351"/>
      <c r="AB1598" s="539" t="s">
        <v>294</v>
      </c>
      <c r="AC1598" s="350"/>
      <c r="AD1598" s="350"/>
      <c r="AE1598" s="351"/>
      <c r="AF1598" s="540"/>
      <c r="AG1598" s="351"/>
      <c r="AH1598" s="540"/>
      <c r="AI1598" s="351"/>
      <c r="AJ1598" s="545"/>
      <c r="AK1598" s="351"/>
      <c r="AL1598" s="555" t="s">
        <v>325</v>
      </c>
      <c r="AM1598" s="351"/>
      <c r="AN1598" s="531" t="s">
        <v>325</v>
      </c>
      <c r="AO1598" s="351"/>
      <c r="AP1598" s="532"/>
      <c r="AQ1598" s="351"/>
      <c r="AR1598" s="533"/>
      <c r="AS1598" s="351"/>
      <c r="AT1598" s="534"/>
      <c r="AU1598" s="351"/>
      <c r="AV1598" s="531" t="s">
        <v>325</v>
      </c>
      <c r="AW1598" s="351"/>
      <c r="AX1598" s="553"/>
      <c r="AY1598" s="350"/>
      <c r="AZ1598" s="351"/>
      <c r="BA1598" s="545"/>
      <c r="BB1598" s="351"/>
      <c r="BC1598" s="36"/>
      <c r="BD1598" s="556" t="s">
        <v>325</v>
      </c>
      <c r="BE1598" s="351"/>
      <c r="BF1598" s="529"/>
      <c r="BG1598" s="350"/>
      <c r="BH1598" s="350"/>
      <c r="BI1598" s="351"/>
      <c r="BJ1598" s="506" t="s">
        <v>294</v>
      </c>
      <c r="BK1598" s="350"/>
      <c r="BL1598" s="350"/>
      <c r="BM1598" s="351"/>
      <c r="BN1598" s="530" t="s">
        <v>294</v>
      </c>
      <c r="BO1598" s="350"/>
      <c r="BP1598" s="350"/>
      <c r="BQ1598" s="350"/>
      <c r="BR1598" s="350"/>
      <c r="BS1598" s="350"/>
      <c r="BT1598" s="350"/>
      <c r="BU1598" s="350"/>
      <c r="BV1598" s="351"/>
    </row>
    <row r="1599" spans="1:74" ht="45" customHeight="1">
      <c r="A1599" s="24">
        <f t="shared" si="6"/>
        <v>1585</v>
      </c>
      <c r="B1599" s="522" t="s">
        <v>294</v>
      </c>
      <c r="C1599" s="351"/>
      <c r="D1599" s="523" t="s">
        <v>298</v>
      </c>
      <c r="E1599" s="351"/>
      <c r="F1599" s="524" t="s">
        <v>325</v>
      </c>
      <c r="G1599" s="351"/>
      <c r="H1599" s="549" t="s">
        <v>325</v>
      </c>
      <c r="I1599" s="351"/>
      <c r="J1599" s="563"/>
      <c r="K1599" s="351"/>
      <c r="L1599" s="563"/>
      <c r="M1599" s="351"/>
      <c r="N1599" s="34"/>
      <c r="O1599" s="38"/>
      <c r="P1599" s="526"/>
      <c r="Q1599" s="351"/>
      <c r="R1599" s="527"/>
      <c r="S1599" s="351"/>
      <c r="T1599" s="528"/>
      <c r="U1599" s="351"/>
      <c r="V1599" s="541"/>
      <c r="W1599" s="351"/>
      <c r="X1599" s="542" t="s">
        <v>294</v>
      </c>
      <c r="Y1599" s="350"/>
      <c r="Z1599" s="350"/>
      <c r="AA1599" s="351"/>
      <c r="AB1599" s="543" t="s">
        <v>294</v>
      </c>
      <c r="AC1599" s="350"/>
      <c r="AD1599" s="350"/>
      <c r="AE1599" s="351"/>
      <c r="AF1599" s="544"/>
      <c r="AG1599" s="351"/>
      <c r="AH1599" s="544"/>
      <c r="AI1599" s="351"/>
      <c r="AJ1599" s="545"/>
      <c r="AK1599" s="351"/>
      <c r="AL1599" s="524" t="s">
        <v>325</v>
      </c>
      <c r="AM1599" s="351"/>
      <c r="AN1599" s="549" t="s">
        <v>325</v>
      </c>
      <c r="AO1599" s="351"/>
      <c r="AP1599" s="550"/>
      <c r="AQ1599" s="351"/>
      <c r="AR1599" s="551"/>
      <c r="AS1599" s="351"/>
      <c r="AT1599" s="552"/>
      <c r="AU1599" s="351"/>
      <c r="AV1599" s="549" t="s">
        <v>325</v>
      </c>
      <c r="AW1599" s="351"/>
      <c r="AX1599" s="553"/>
      <c r="AY1599" s="350"/>
      <c r="AZ1599" s="351"/>
      <c r="BA1599" s="554"/>
      <c r="BB1599" s="351"/>
      <c r="BC1599" s="39"/>
      <c r="BD1599" s="546" t="s">
        <v>325</v>
      </c>
      <c r="BE1599" s="351"/>
      <c r="BF1599" s="547"/>
      <c r="BG1599" s="350"/>
      <c r="BH1599" s="350"/>
      <c r="BI1599" s="351"/>
      <c r="BJ1599" s="548" t="s">
        <v>294</v>
      </c>
      <c r="BK1599" s="350"/>
      <c r="BL1599" s="350"/>
      <c r="BM1599" s="351"/>
      <c r="BN1599" s="530" t="s">
        <v>294</v>
      </c>
      <c r="BO1599" s="350"/>
      <c r="BP1599" s="350"/>
      <c r="BQ1599" s="350"/>
      <c r="BR1599" s="350"/>
      <c r="BS1599" s="350"/>
      <c r="BT1599" s="350"/>
      <c r="BU1599" s="350"/>
      <c r="BV1599" s="351"/>
    </row>
    <row r="1600" spans="1:74" ht="45" customHeight="1">
      <c r="A1600" s="24">
        <f t="shared" si="6"/>
        <v>1586</v>
      </c>
      <c r="B1600" s="558" t="s">
        <v>294</v>
      </c>
      <c r="C1600" s="351"/>
      <c r="D1600" s="559" t="s">
        <v>298</v>
      </c>
      <c r="E1600" s="351"/>
      <c r="F1600" s="524" t="s">
        <v>325</v>
      </c>
      <c r="G1600" s="351"/>
      <c r="H1600" s="531" t="s">
        <v>325</v>
      </c>
      <c r="I1600" s="351"/>
      <c r="J1600" s="562"/>
      <c r="K1600" s="351"/>
      <c r="L1600" s="562"/>
      <c r="M1600" s="351"/>
      <c r="N1600" s="37"/>
      <c r="O1600" s="35"/>
      <c r="P1600" s="560"/>
      <c r="Q1600" s="351"/>
      <c r="R1600" s="535"/>
      <c r="S1600" s="351"/>
      <c r="T1600" s="536"/>
      <c r="U1600" s="351"/>
      <c r="V1600" s="537"/>
      <c r="W1600" s="351"/>
      <c r="X1600" s="538" t="s">
        <v>294</v>
      </c>
      <c r="Y1600" s="350"/>
      <c r="Z1600" s="350"/>
      <c r="AA1600" s="351"/>
      <c r="AB1600" s="539" t="s">
        <v>294</v>
      </c>
      <c r="AC1600" s="350"/>
      <c r="AD1600" s="350"/>
      <c r="AE1600" s="351"/>
      <c r="AF1600" s="540"/>
      <c r="AG1600" s="351"/>
      <c r="AH1600" s="540"/>
      <c r="AI1600" s="351"/>
      <c r="AJ1600" s="545"/>
      <c r="AK1600" s="351"/>
      <c r="AL1600" s="555" t="s">
        <v>325</v>
      </c>
      <c r="AM1600" s="351"/>
      <c r="AN1600" s="531" t="s">
        <v>325</v>
      </c>
      <c r="AO1600" s="351"/>
      <c r="AP1600" s="532"/>
      <c r="AQ1600" s="351"/>
      <c r="AR1600" s="533"/>
      <c r="AS1600" s="351"/>
      <c r="AT1600" s="534"/>
      <c r="AU1600" s="351"/>
      <c r="AV1600" s="531" t="s">
        <v>325</v>
      </c>
      <c r="AW1600" s="351"/>
      <c r="AX1600" s="553"/>
      <c r="AY1600" s="350"/>
      <c r="AZ1600" s="351"/>
      <c r="BA1600" s="545"/>
      <c r="BB1600" s="351"/>
      <c r="BC1600" s="36"/>
      <c r="BD1600" s="556" t="s">
        <v>325</v>
      </c>
      <c r="BE1600" s="351"/>
      <c r="BF1600" s="557"/>
      <c r="BG1600" s="350"/>
      <c r="BH1600" s="350"/>
      <c r="BI1600" s="351"/>
      <c r="BJ1600" s="506" t="s">
        <v>294</v>
      </c>
      <c r="BK1600" s="350"/>
      <c r="BL1600" s="350"/>
      <c r="BM1600" s="351"/>
      <c r="BN1600" s="530" t="s">
        <v>294</v>
      </c>
      <c r="BO1600" s="350"/>
      <c r="BP1600" s="350"/>
      <c r="BQ1600" s="350"/>
      <c r="BR1600" s="350"/>
      <c r="BS1600" s="350"/>
      <c r="BT1600" s="350"/>
      <c r="BU1600" s="350"/>
      <c r="BV1600" s="351"/>
    </row>
    <row r="1601" spans="1:74" ht="45" customHeight="1">
      <c r="A1601" s="24">
        <f t="shared" si="6"/>
        <v>1587</v>
      </c>
      <c r="B1601" s="522" t="s">
        <v>294</v>
      </c>
      <c r="C1601" s="351"/>
      <c r="D1601" s="523" t="s">
        <v>298</v>
      </c>
      <c r="E1601" s="351"/>
      <c r="F1601" s="524" t="s">
        <v>325</v>
      </c>
      <c r="G1601" s="351"/>
      <c r="H1601" s="549" t="s">
        <v>325</v>
      </c>
      <c r="I1601" s="351"/>
      <c r="J1601" s="563"/>
      <c r="K1601" s="351"/>
      <c r="L1601" s="563"/>
      <c r="M1601" s="351"/>
      <c r="N1601" s="34"/>
      <c r="O1601" s="38"/>
      <c r="P1601" s="526"/>
      <c r="Q1601" s="351"/>
      <c r="R1601" s="527"/>
      <c r="S1601" s="351"/>
      <c r="T1601" s="528"/>
      <c r="U1601" s="351"/>
      <c r="V1601" s="541"/>
      <c r="W1601" s="351"/>
      <c r="X1601" s="542" t="s">
        <v>294</v>
      </c>
      <c r="Y1601" s="350"/>
      <c r="Z1601" s="350"/>
      <c r="AA1601" s="351"/>
      <c r="AB1601" s="543" t="s">
        <v>294</v>
      </c>
      <c r="AC1601" s="350"/>
      <c r="AD1601" s="350"/>
      <c r="AE1601" s="351"/>
      <c r="AF1601" s="544"/>
      <c r="AG1601" s="351"/>
      <c r="AH1601" s="544"/>
      <c r="AI1601" s="351"/>
      <c r="AJ1601" s="545"/>
      <c r="AK1601" s="351"/>
      <c r="AL1601" s="524" t="s">
        <v>325</v>
      </c>
      <c r="AM1601" s="351"/>
      <c r="AN1601" s="549" t="s">
        <v>325</v>
      </c>
      <c r="AO1601" s="351"/>
      <c r="AP1601" s="550"/>
      <c r="AQ1601" s="351"/>
      <c r="AR1601" s="551"/>
      <c r="AS1601" s="351"/>
      <c r="AT1601" s="552"/>
      <c r="AU1601" s="351"/>
      <c r="AV1601" s="549" t="s">
        <v>325</v>
      </c>
      <c r="AW1601" s="351"/>
      <c r="AX1601" s="553"/>
      <c r="AY1601" s="350"/>
      <c r="AZ1601" s="351"/>
      <c r="BA1601" s="554"/>
      <c r="BB1601" s="351"/>
      <c r="BC1601" s="39"/>
      <c r="BD1601" s="546" t="s">
        <v>325</v>
      </c>
      <c r="BE1601" s="351"/>
      <c r="BF1601" s="547"/>
      <c r="BG1601" s="350"/>
      <c r="BH1601" s="350"/>
      <c r="BI1601" s="351"/>
      <c r="BJ1601" s="548" t="s">
        <v>294</v>
      </c>
      <c r="BK1601" s="350"/>
      <c r="BL1601" s="350"/>
      <c r="BM1601" s="351"/>
      <c r="BN1601" s="530" t="s">
        <v>294</v>
      </c>
      <c r="BO1601" s="350"/>
      <c r="BP1601" s="350"/>
      <c r="BQ1601" s="350"/>
      <c r="BR1601" s="350"/>
      <c r="BS1601" s="350"/>
      <c r="BT1601" s="350"/>
      <c r="BU1601" s="350"/>
      <c r="BV1601" s="351"/>
    </row>
    <row r="1602" spans="1:74" ht="45" customHeight="1">
      <c r="A1602" s="24">
        <f t="shared" si="6"/>
        <v>1588</v>
      </c>
      <c r="B1602" s="558" t="s">
        <v>294</v>
      </c>
      <c r="C1602" s="351"/>
      <c r="D1602" s="559" t="s">
        <v>298</v>
      </c>
      <c r="E1602" s="351"/>
      <c r="F1602" s="524" t="s">
        <v>325</v>
      </c>
      <c r="G1602" s="351"/>
      <c r="H1602" s="531" t="s">
        <v>325</v>
      </c>
      <c r="I1602" s="351"/>
      <c r="J1602" s="562"/>
      <c r="K1602" s="351"/>
      <c r="L1602" s="562"/>
      <c r="M1602" s="351"/>
      <c r="N1602" s="37"/>
      <c r="O1602" s="35"/>
      <c r="P1602" s="560"/>
      <c r="Q1602" s="351"/>
      <c r="R1602" s="535"/>
      <c r="S1602" s="351"/>
      <c r="T1602" s="536"/>
      <c r="U1602" s="351"/>
      <c r="V1602" s="537"/>
      <c r="W1602" s="351"/>
      <c r="X1602" s="538" t="s">
        <v>294</v>
      </c>
      <c r="Y1602" s="350"/>
      <c r="Z1602" s="350"/>
      <c r="AA1602" s="351"/>
      <c r="AB1602" s="539" t="s">
        <v>294</v>
      </c>
      <c r="AC1602" s="350"/>
      <c r="AD1602" s="350"/>
      <c r="AE1602" s="351"/>
      <c r="AF1602" s="540"/>
      <c r="AG1602" s="351"/>
      <c r="AH1602" s="540"/>
      <c r="AI1602" s="351"/>
      <c r="AJ1602" s="545"/>
      <c r="AK1602" s="351"/>
      <c r="AL1602" s="555" t="s">
        <v>325</v>
      </c>
      <c r="AM1602" s="351"/>
      <c r="AN1602" s="531" t="s">
        <v>325</v>
      </c>
      <c r="AO1602" s="351"/>
      <c r="AP1602" s="532"/>
      <c r="AQ1602" s="351"/>
      <c r="AR1602" s="533"/>
      <c r="AS1602" s="351"/>
      <c r="AT1602" s="534"/>
      <c r="AU1602" s="351"/>
      <c r="AV1602" s="531" t="s">
        <v>325</v>
      </c>
      <c r="AW1602" s="351"/>
      <c r="AX1602" s="553"/>
      <c r="AY1602" s="350"/>
      <c r="AZ1602" s="351"/>
      <c r="BA1602" s="545"/>
      <c r="BB1602" s="351"/>
      <c r="BC1602" s="36"/>
      <c r="BD1602" s="556" t="s">
        <v>325</v>
      </c>
      <c r="BE1602" s="351"/>
      <c r="BF1602" s="557"/>
      <c r="BG1602" s="350"/>
      <c r="BH1602" s="350"/>
      <c r="BI1602" s="351"/>
      <c r="BJ1602" s="506" t="s">
        <v>294</v>
      </c>
      <c r="BK1602" s="350"/>
      <c r="BL1602" s="350"/>
      <c r="BM1602" s="351"/>
      <c r="BN1602" s="530" t="s">
        <v>294</v>
      </c>
      <c r="BO1602" s="350"/>
      <c r="BP1602" s="350"/>
      <c r="BQ1602" s="350"/>
      <c r="BR1602" s="350"/>
      <c r="BS1602" s="350"/>
      <c r="BT1602" s="350"/>
      <c r="BU1602" s="350"/>
      <c r="BV1602" s="351"/>
    </row>
    <row r="1603" spans="1:74" ht="45" customHeight="1">
      <c r="A1603" s="24">
        <f t="shared" si="6"/>
        <v>1589</v>
      </c>
      <c r="B1603" s="522" t="s">
        <v>294</v>
      </c>
      <c r="C1603" s="351"/>
      <c r="D1603" s="523" t="s">
        <v>298</v>
      </c>
      <c r="E1603" s="351"/>
      <c r="F1603" s="524" t="s">
        <v>325</v>
      </c>
      <c r="G1603" s="351"/>
      <c r="H1603" s="549" t="s">
        <v>325</v>
      </c>
      <c r="I1603" s="351"/>
      <c r="J1603" s="563"/>
      <c r="K1603" s="351"/>
      <c r="L1603" s="563"/>
      <c r="M1603" s="351"/>
      <c r="N1603" s="34"/>
      <c r="O1603" s="38"/>
      <c r="P1603" s="526"/>
      <c r="Q1603" s="351"/>
      <c r="R1603" s="527"/>
      <c r="S1603" s="351"/>
      <c r="T1603" s="528"/>
      <c r="U1603" s="351"/>
      <c r="V1603" s="541"/>
      <c r="W1603" s="351"/>
      <c r="X1603" s="542" t="s">
        <v>294</v>
      </c>
      <c r="Y1603" s="350"/>
      <c r="Z1603" s="350"/>
      <c r="AA1603" s="351"/>
      <c r="AB1603" s="543" t="s">
        <v>294</v>
      </c>
      <c r="AC1603" s="350"/>
      <c r="AD1603" s="350"/>
      <c r="AE1603" s="351"/>
      <c r="AF1603" s="544"/>
      <c r="AG1603" s="351"/>
      <c r="AH1603" s="544"/>
      <c r="AI1603" s="351"/>
      <c r="AJ1603" s="545"/>
      <c r="AK1603" s="351"/>
      <c r="AL1603" s="524" t="s">
        <v>325</v>
      </c>
      <c r="AM1603" s="351"/>
      <c r="AN1603" s="549" t="s">
        <v>325</v>
      </c>
      <c r="AO1603" s="351"/>
      <c r="AP1603" s="550"/>
      <c r="AQ1603" s="351"/>
      <c r="AR1603" s="551"/>
      <c r="AS1603" s="351"/>
      <c r="AT1603" s="552"/>
      <c r="AU1603" s="351"/>
      <c r="AV1603" s="549" t="s">
        <v>325</v>
      </c>
      <c r="AW1603" s="351"/>
      <c r="AX1603" s="553"/>
      <c r="AY1603" s="350"/>
      <c r="AZ1603" s="351"/>
      <c r="BA1603" s="554"/>
      <c r="BB1603" s="351"/>
      <c r="BC1603" s="39"/>
      <c r="BD1603" s="546" t="s">
        <v>325</v>
      </c>
      <c r="BE1603" s="351"/>
      <c r="BF1603" s="547"/>
      <c r="BG1603" s="350"/>
      <c r="BH1603" s="350"/>
      <c r="BI1603" s="351"/>
      <c r="BJ1603" s="548" t="s">
        <v>294</v>
      </c>
      <c r="BK1603" s="350"/>
      <c r="BL1603" s="350"/>
      <c r="BM1603" s="351"/>
      <c r="BN1603" s="530" t="s">
        <v>294</v>
      </c>
      <c r="BO1603" s="350"/>
      <c r="BP1603" s="350"/>
      <c r="BQ1603" s="350"/>
      <c r="BR1603" s="350"/>
      <c r="BS1603" s="350"/>
      <c r="BT1603" s="350"/>
      <c r="BU1603" s="350"/>
      <c r="BV1603" s="351"/>
    </row>
    <row r="1604" spans="1:74" ht="45" customHeight="1">
      <c r="A1604" s="24">
        <f t="shared" si="6"/>
        <v>1590</v>
      </c>
      <c r="B1604" s="558" t="s">
        <v>294</v>
      </c>
      <c r="C1604" s="351"/>
      <c r="D1604" s="559" t="s">
        <v>298</v>
      </c>
      <c r="E1604" s="351"/>
      <c r="F1604" s="524" t="s">
        <v>325</v>
      </c>
      <c r="G1604" s="351"/>
      <c r="H1604" s="531" t="s">
        <v>325</v>
      </c>
      <c r="I1604" s="351"/>
      <c r="J1604" s="562"/>
      <c r="K1604" s="351"/>
      <c r="L1604" s="562"/>
      <c r="M1604" s="351"/>
      <c r="N1604" s="37"/>
      <c r="O1604" s="35"/>
      <c r="P1604" s="560"/>
      <c r="Q1604" s="351"/>
      <c r="R1604" s="535"/>
      <c r="S1604" s="351"/>
      <c r="T1604" s="536"/>
      <c r="U1604" s="351"/>
      <c r="V1604" s="537"/>
      <c r="W1604" s="351"/>
      <c r="X1604" s="538" t="s">
        <v>294</v>
      </c>
      <c r="Y1604" s="350"/>
      <c r="Z1604" s="350"/>
      <c r="AA1604" s="351"/>
      <c r="AB1604" s="539" t="s">
        <v>294</v>
      </c>
      <c r="AC1604" s="350"/>
      <c r="AD1604" s="350"/>
      <c r="AE1604" s="351"/>
      <c r="AF1604" s="540"/>
      <c r="AG1604" s="351"/>
      <c r="AH1604" s="540"/>
      <c r="AI1604" s="351"/>
      <c r="AJ1604" s="545"/>
      <c r="AK1604" s="351"/>
      <c r="AL1604" s="555" t="s">
        <v>325</v>
      </c>
      <c r="AM1604" s="351"/>
      <c r="AN1604" s="531" t="s">
        <v>325</v>
      </c>
      <c r="AO1604" s="351"/>
      <c r="AP1604" s="532"/>
      <c r="AQ1604" s="351"/>
      <c r="AR1604" s="533"/>
      <c r="AS1604" s="351"/>
      <c r="AT1604" s="534"/>
      <c r="AU1604" s="351"/>
      <c r="AV1604" s="531" t="s">
        <v>325</v>
      </c>
      <c r="AW1604" s="351"/>
      <c r="AX1604" s="553"/>
      <c r="AY1604" s="350"/>
      <c r="AZ1604" s="351"/>
      <c r="BA1604" s="545"/>
      <c r="BB1604" s="351"/>
      <c r="BC1604" s="36"/>
      <c r="BD1604" s="556" t="s">
        <v>325</v>
      </c>
      <c r="BE1604" s="351"/>
      <c r="BF1604" s="529"/>
      <c r="BG1604" s="350"/>
      <c r="BH1604" s="350"/>
      <c r="BI1604" s="351"/>
      <c r="BJ1604" s="506" t="s">
        <v>294</v>
      </c>
      <c r="BK1604" s="350"/>
      <c r="BL1604" s="350"/>
      <c r="BM1604" s="351"/>
      <c r="BN1604" s="530" t="s">
        <v>294</v>
      </c>
      <c r="BO1604" s="350"/>
      <c r="BP1604" s="350"/>
      <c r="BQ1604" s="350"/>
      <c r="BR1604" s="350"/>
      <c r="BS1604" s="350"/>
      <c r="BT1604" s="350"/>
      <c r="BU1604" s="350"/>
      <c r="BV1604" s="351"/>
    </row>
    <row r="1605" spans="1:74" ht="45" customHeight="1">
      <c r="A1605" s="24">
        <f t="shared" si="6"/>
        <v>1591</v>
      </c>
      <c r="B1605" s="522" t="s">
        <v>294</v>
      </c>
      <c r="C1605" s="351"/>
      <c r="D1605" s="523" t="s">
        <v>298</v>
      </c>
      <c r="E1605" s="351"/>
      <c r="F1605" s="524" t="s">
        <v>325</v>
      </c>
      <c r="G1605" s="351"/>
      <c r="H1605" s="549" t="s">
        <v>325</v>
      </c>
      <c r="I1605" s="351"/>
      <c r="J1605" s="563"/>
      <c r="K1605" s="351"/>
      <c r="L1605" s="563"/>
      <c r="M1605" s="351"/>
      <c r="N1605" s="34"/>
      <c r="O1605" s="38"/>
      <c r="P1605" s="526"/>
      <c r="Q1605" s="351"/>
      <c r="R1605" s="527"/>
      <c r="S1605" s="351"/>
      <c r="T1605" s="528"/>
      <c r="U1605" s="351"/>
      <c r="V1605" s="541"/>
      <c r="W1605" s="351"/>
      <c r="X1605" s="542" t="s">
        <v>294</v>
      </c>
      <c r="Y1605" s="350"/>
      <c r="Z1605" s="350"/>
      <c r="AA1605" s="351"/>
      <c r="AB1605" s="543" t="s">
        <v>294</v>
      </c>
      <c r="AC1605" s="350"/>
      <c r="AD1605" s="350"/>
      <c r="AE1605" s="351"/>
      <c r="AF1605" s="544"/>
      <c r="AG1605" s="351"/>
      <c r="AH1605" s="544"/>
      <c r="AI1605" s="351"/>
      <c r="AJ1605" s="545"/>
      <c r="AK1605" s="351"/>
      <c r="AL1605" s="524" t="s">
        <v>325</v>
      </c>
      <c r="AM1605" s="351"/>
      <c r="AN1605" s="549" t="s">
        <v>325</v>
      </c>
      <c r="AO1605" s="351"/>
      <c r="AP1605" s="550"/>
      <c r="AQ1605" s="351"/>
      <c r="AR1605" s="551"/>
      <c r="AS1605" s="351"/>
      <c r="AT1605" s="552"/>
      <c r="AU1605" s="351"/>
      <c r="AV1605" s="549" t="s">
        <v>325</v>
      </c>
      <c r="AW1605" s="351"/>
      <c r="AX1605" s="553"/>
      <c r="AY1605" s="350"/>
      <c r="AZ1605" s="351"/>
      <c r="BA1605" s="554"/>
      <c r="BB1605" s="351"/>
      <c r="BC1605" s="39"/>
      <c r="BD1605" s="546" t="s">
        <v>325</v>
      </c>
      <c r="BE1605" s="351"/>
      <c r="BF1605" s="547"/>
      <c r="BG1605" s="350"/>
      <c r="BH1605" s="350"/>
      <c r="BI1605" s="351"/>
      <c r="BJ1605" s="548" t="s">
        <v>294</v>
      </c>
      <c r="BK1605" s="350"/>
      <c r="BL1605" s="350"/>
      <c r="BM1605" s="351"/>
      <c r="BN1605" s="530" t="s">
        <v>294</v>
      </c>
      <c r="BO1605" s="350"/>
      <c r="BP1605" s="350"/>
      <c r="BQ1605" s="350"/>
      <c r="BR1605" s="350"/>
      <c r="BS1605" s="350"/>
      <c r="BT1605" s="350"/>
      <c r="BU1605" s="350"/>
      <c r="BV1605" s="351"/>
    </row>
    <row r="1606" spans="1:74" ht="45" customHeight="1">
      <c r="A1606" s="24">
        <f t="shared" si="6"/>
        <v>1592</v>
      </c>
      <c r="B1606" s="558" t="s">
        <v>294</v>
      </c>
      <c r="C1606" s="351"/>
      <c r="D1606" s="559" t="s">
        <v>298</v>
      </c>
      <c r="E1606" s="351"/>
      <c r="F1606" s="524" t="s">
        <v>325</v>
      </c>
      <c r="G1606" s="351"/>
      <c r="H1606" s="531" t="s">
        <v>325</v>
      </c>
      <c r="I1606" s="351"/>
      <c r="J1606" s="562"/>
      <c r="K1606" s="351"/>
      <c r="L1606" s="562"/>
      <c r="M1606" s="351"/>
      <c r="N1606" s="37"/>
      <c r="O1606" s="35"/>
      <c r="P1606" s="560"/>
      <c r="Q1606" s="351"/>
      <c r="R1606" s="535"/>
      <c r="S1606" s="351"/>
      <c r="T1606" s="536"/>
      <c r="U1606" s="351"/>
      <c r="V1606" s="537"/>
      <c r="W1606" s="351"/>
      <c r="X1606" s="538" t="s">
        <v>294</v>
      </c>
      <c r="Y1606" s="350"/>
      <c r="Z1606" s="350"/>
      <c r="AA1606" s="351"/>
      <c r="AB1606" s="539" t="s">
        <v>294</v>
      </c>
      <c r="AC1606" s="350"/>
      <c r="AD1606" s="350"/>
      <c r="AE1606" s="351"/>
      <c r="AF1606" s="540"/>
      <c r="AG1606" s="351"/>
      <c r="AH1606" s="540"/>
      <c r="AI1606" s="351"/>
      <c r="AJ1606" s="545"/>
      <c r="AK1606" s="351"/>
      <c r="AL1606" s="555" t="s">
        <v>325</v>
      </c>
      <c r="AM1606" s="351"/>
      <c r="AN1606" s="531" t="s">
        <v>325</v>
      </c>
      <c r="AO1606" s="351"/>
      <c r="AP1606" s="532"/>
      <c r="AQ1606" s="351"/>
      <c r="AR1606" s="533"/>
      <c r="AS1606" s="351"/>
      <c r="AT1606" s="534"/>
      <c r="AU1606" s="351"/>
      <c r="AV1606" s="531" t="s">
        <v>325</v>
      </c>
      <c r="AW1606" s="351"/>
      <c r="AX1606" s="553"/>
      <c r="AY1606" s="350"/>
      <c r="AZ1606" s="351"/>
      <c r="BA1606" s="545"/>
      <c r="BB1606" s="351"/>
      <c r="BC1606" s="36"/>
      <c r="BD1606" s="556" t="s">
        <v>325</v>
      </c>
      <c r="BE1606" s="351"/>
      <c r="BF1606" s="557"/>
      <c r="BG1606" s="350"/>
      <c r="BH1606" s="350"/>
      <c r="BI1606" s="351"/>
      <c r="BJ1606" s="506" t="s">
        <v>294</v>
      </c>
      <c r="BK1606" s="350"/>
      <c r="BL1606" s="350"/>
      <c r="BM1606" s="351"/>
      <c r="BN1606" s="530" t="s">
        <v>294</v>
      </c>
      <c r="BO1606" s="350"/>
      <c r="BP1606" s="350"/>
      <c r="BQ1606" s="350"/>
      <c r="BR1606" s="350"/>
      <c r="BS1606" s="350"/>
      <c r="BT1606" s="350"/>
      <c r="BU1606" s="350"/>
      <c r="BV1606" s="351"/>
    </row>
    <row r="1607" spans="1:74" ht="45" customHeight="1">
      <c r="A1607" s="24">
        <f t="shared" si="6"/>
        <v>1593</v>
      </c>
      <c r="B1607" s="558" t="s">
        <v>294</v>
      </c>
      <c r="C1607" s="351"/>
      <c r="D1607" s="559" t="s">
        <v>298</v>
      </c>
      <c r="E1607" s="351"/>
      <c r="F1607" s="524" t="s">
        <v>325</v>
      </c>
      <c r="G1607" s="351"/>
      <c r="H1607" s="531" t="s">
        <v>325</v>
      </c>
      <c r="I1607" s="351"/>
      <c r="J1607" s="562"/>
      <c r="K1607" s="351"/>
      <c r="L1607" s="562"/>
      <c r="M1607" s="351"/>
      <c r="N1607" s="37"/>
      <c r="O1607" s="35"/>
      <c r="P1607" s="560"/>
      <c r="Q1607" s="351"/>
      <c r="R1607" s="535"/>
      <c r="S1607" s="351"/>
      <c r="T1607" s="536"/>
      <c r="U1607" s="351"/>
      <c r="V1607" s="537"/>
      <c r="W1607" s="351"/>
      <c r="X1607" s="538" t="s">
        <v>294</v>
      </c>
      <c r="Y1607" s="350"/>
      <c r="Z1607" s="350"/>
      <c r="AA1607" s="351"/>
      <c r="AB1607" s="539" t="s">
        <v>294</v>
      </c>
      <c r="AC1607" s="350"/>
      <c r="AD1607" s="350"/>
      <c r="AE1607" s="351"/>
      <c r="AF1607" s="540"/>
      <c r="AG1607" s="351"/>
      <c r="AH1607" s="540"/>
      <c r="AI1607" s="351"/>
      <c r="AJ1607" s="545"/>
      <c r="AK1607" s="351"/>
      <c r="AL1607" s="555" t="s">
        <v>325</v>
      </c>
      <c r="AM1607" s="351"/>
      <c r="AN1607" s="531" t="s">
        <v>325</v>
      </c>
      <c r="AO1607" s="351"/>
      <c r="AP1607" s="532"/>
      <c r="AQ1607" s="351"/>
      <c r="AR1607" s="533"/>
      <c r="AS1607" s="351"/>
      <c r="AT1607" s="534"/>
      <c r="AU1607" s="351"/>
      <c r="AV1607" s="531" t="s">
        <v>325</v>
      </c>
      <c r="AW1607" s="351"/>
      <c r="AX1607" s="553"/>
      <c r="AY1607" s="350"/>
      <c r="AZ1607" s="351"/>
      <c r="BA1607" s="545"/>
      <c r="BB1607" s="351"/>
      <c r="BC1607" s="36"/>
      <c r="BD1607" s="556" t="s">
        <v>325</v>
      </c>
      <c r="BE1607" s="351"/>
      <c r="BF1607" s="529"/>
      <c r="BG1607" s="350"/>
      <c r="BH1607" s="350"/>
      <c r="BI1607" s="351"/>
      <c r="BJ1607" s="506" t="s">
        <v>294</v>
      </c>
      <c r="BK1607" s="350"/>
      <c r="BL1607" s="350"/>
      <c r="BM1607" s="351"/>
      <c r="BN1607" s="530" t="s">
        <v>294</v>
      </c>
      <c r="BO1607" s="350"/>
      <c r="BP1607" s="350"/>
      <c r="BQ1607" s="350"/>
      <c r="BR1607" s="350"/>
      <c r="BS1607" s="350"/>
      <c r="BT1607" s="350"/>
      <c r="BU1607" s="350"/>
      <c r="BV1607" s="351"/>
    </row>
    <row r="1608" spans="1:74" ht="45" customHeight="1">
      <c r="A1608" s="24">
        <f t="shared" si="6"/>
        <v>1594</v>
      </c>
      <c r="B1608" s="522" t="s">
        <v>294</v>
      </c>
      <c r="C1608" s="351"/>
      <c r="D1608" s="523" t="s">
        <v>298</v>
      </c>
      <c r="E1608" s="351"/>
      <c r="F1608" s="524" t="s">
        <v>325</v>
      </c>
      <c r="G1608" s="351"/>
      <c r="H1608" s="549" t="s">
        <v>325</v>
      </c>
      <c r="I1608" s="351"/>
      <c r="J1608" s="563"/>
      <c r="K1608" s="351"/>
      <c r="L1608" s="563"/>
      <c r="M1608" s="351"/>
      <c r="N1608" s="34"/>
      <c r="O1608" s="38"/>
      <c r="P1608" s="526"/>
      <c r="Q1608" s="351"/>
      <c r="R1608" s="527"/>
      <c r="S1608" s="351"/>
      <c r="T1608" s="528"/>
      <c r="U1608" s="351"/>
      <c r="V1608" s="541"/>
      <c r="W1608" s="351"/>
      <c r="X1608" s="542" t="s">
        <v>294</v>
      </c>
      <c r="Y1608" s="350"/>
      <c r="Z1608" s="350"/>
      <c r="AA1608" s="351"/>
      <c r="AB1608" s="543" t="s">
        <v>294</v>
      </c>
      <c r="AC1608" s="350"/>
      <c r="AD1608" s="350"/>
      <c r="AE1608" s="351"/>
      <c r="AF1608" s="544"/>
      <c r="AG1608" s="351"/>
      <c r="AH1608" s="544"/>
      <c r="AI1608" s="351"/>
      <c r="AJ1608" s="545"/>
      <c r="AK1608" s="351"/>
      <c r="AL1608" s="524" t="s">
        <v>325</v>
      </c>
      <c r="AM1608" s="351"/>
      <c r="AN1608" s="549" t="s">
        <v>325</v>
      </c>
      <c r="AO1608" s="351"/>
      <c r="AP1608" s="550"/>
      <c r="AQ1608" s="351"/>
      <c r="AR1608" s="551"/>
      <c r="AS1608" s="351"/>
      <c r="AT1608" s="552"/>
      <c r="AU1608" s="351"/>
      <c r="AV1608" s="549" t="s">
        <v>325</v>
      </c>
      <c r="AW1608" s="351"/>
      <c r="AX1608" s="553"/>
      <c r="AY1608" s="350"/>
      <c r="AZ1608" s="351"/>
      <c r="BA1608" s="554"/>
      <c r="BB1608" s="351"/>
      <c r="BC1608" s="39"/>
      <c r="BD1608" s="546" t="s">
        <v>325</v>
      </c>
      <c r="BE1608" s="351"/>
      <c r="BF1608" s="547"/>
      <c r="BG1608" s="350"/>
      <c r="BH1608" s="350"/>
      <c r="BI1608" s="351"/>
      <c r="BJ1608" s="548" t="s">
        <v>294</v>
      </c>
      <c r="BK1608" s="350"/>
      <c r="BL1608" s="350"/>
      <c r="BM1608" s="351"/>
      <c r="BN1608" s="530" t="s">
        <v>294</v>
      </c>
      <c r="BO1608" s="350"/>
      <c r="BP1608" s="350"/>
      <c r="BQ1608" s="350"/>
      <c r="BR1608" s="350"/>
      <c r="BS1608" s="350"/>
      <c r="BT1608" s="350"/>
      <c r="BU1608" s="350"/>
      <c r="BV1608" s="351"/>
    </row>
    <row r="1609" spans="1:74" ht="45" customHeight="1">
      <c r="A1609" s="24">
        <f t="shared" si="6"/>
        <v>1595</v>
      </c>
      <c r="B1609" s="558" t="s">
        <v>294</v>
      </c>
      <c r="C1609" s="351"/>
      <c r="D1609" s="559" t="s">
        <v>298</v>
      </c>
      <c r="E1609" s="351"/>
      <c r="F1609" s="524" t="s">
        <v>325</v>
      </c>
      <c r="G1609" s="351"/>
      <c r="H1609" s="531" t="s">
        <v>325</v>
      </c>
      <c r="I1609" s="351"/>
      <c r="J1609" s="564"/>
      <c r="K1609" s="351"/>
      <c r="L1609" s="564"/>
      <c r="M1609" s="351"/>
      <c r="N1609" s="37"/>
      <c r="O1609" s="35"/>
      <c r="P1609" s="560"/>
      <c r="Q1609" s="351"/>
      <c r="R1609" s="535"/>
      <c r="S1609" s="351"/>
      <c r="T1609" s="536"/>
      <c r="U1609" s="351"/>
      <c r="V1609" s="537"/>
      <c r="W1609" s="351"/>
      <c r="X1609" s="538" t="s">
        <v>294</v>
      </c>
      <c r="Y1609" s="350"/>
      <c r="Z1609" s="350"/>
      <c r="AA1609" s="351"/>
      <c r="AB1609" s="539" t="s">
        <v>294</v>
      </c>
      <c r="AC1609" s="350"/>
      <c r="AD1609" s="350"/>
      <c r="AE1609" s="351"/>
      <c r="AF1609" s="540"/>
      <c r="AG1609" s="351"/>
      <c r="AH1609" s="540"/>
      <c r="AI1609" s="351"/>
      <c r="AJ1609" s="545"/>
      <c r="AK1609" s="351"/>
      <c r="AL1609" s="555" t="s">
        <v>325</v>
      </c>
      <c r="AM1609" s="351"/>
      <c r="AN1609" s="531" t="s">
        <v>325</v>
      </c>
      <c r="AO1609" s="351"/>
      <c r="AP1609" s="532"/>
      <c r="AQ1609" s="351"/>
      <c r="AR1609" s="533"/>
      <c r="AS1609" s="351"/>
      <c r="AT1609" s="534"/>
      <c r="AU1609" s="351"/>
      <c r="AV1609" s="531" t="s">
        <v>325</v>
      </c>
      <c r="AW1609" s="351"/>
      <c r="AX1609" s="553"/>
      <c r="AY1609" s="350"/>
      <c r="AZ1609" s="351"/>
      <c r="BA1609" s="545"/>
      <c r="BB1609" s="351"/>
      <c r="BC1609" s="36"/>
      <c r="BD1609" s="556" t="s">
        <v>325</v>
      </c>
      <c r="BE1609" s="351"/>
      <c r="BF1609" s="557"/>
      <c r="BG1609" s="350"/>
      <c r="BH1609" s="350"/>
      <c r="BI1609" s="351"/>
      <c r="BJ1609" s="506" t="s">
        <v>294</v>
      </c>
      <c r="BK1609" s="350"/>
      <c r="BL1609" s="350"/>
      <c r="BM1609" s="351"/>
      <c r="BN1609" s="530" t="s">
        <v>294</v>
      </c>
      <c r="BO1609" s="350"/>
      <c r="BP1609" s="350"/>
      <c r="BQ1609" s="350"/>
      <c r="BR1609" s="350"/>
      <c r="BS1609" s="350"/>
      <c r="BT1609" s="350"/>
      <c r="BU1609" s="350"/>
      <c r="BV1609" s="351"/>
    </row>
    <row r="1610" spans="1:74" ht="45" customHeight="1">
      <c r="A1610" s="24">
        <f t="shared" si="6"/>
        <v>1596</v>
      </c>
      <c r="B1610" s="522" t="s">
        <v>294</v>
      </c>
      <c r="C1610" s="351"/>
      <c r="D1610" s="523" t="s">
        <v>298</v>
      </c>
      <c r="E1610" s="351"/>
      <c r="F1610" s="524" t="s">
        <v>325</v>
      </c>
      <c r="G1610" s="351"/>
      <c r="H1610" s="549" t="s">
        <v>325</v>
      </c>
      <c r="I1610" s="351"/>
      <c r="J1610" s="563"/>
      <c r="K1610" s="351"/>
      <c r="L1610" s="563"/>
      <c r="M1610" s="351"/>
      <c r="N1610" s="34"/>
      <c r="O1610" s="38"/>
      <c r="P1610" s="526"/>
      <c r="Q1610" s="351"/>
      <c r="R1610" s="527"/>
      <c r="S1610" s="351"/>
      <c r="T1610" s="528"/>
      <c r="U1610" s="351"/>
      <c r="V1610" s="541"/>
      <c r="W1610" s="351"/>
      <c r="X1610" s="542" t="s">
        <v>294</v>
      </c>
      <c r="Y1610" s="350"/>
      <c r="Z1610" s="350"/>
      <c r="AA1610" s="351"/>
      <c r="AB1610" s="543" t="s">
        <v>294</v>
      </c>
      <c r="AC1610" s="350"/>
      <c r="AD1610" s="350"/>
      <c r="AE1610" s="351"/>
      <c r="AF1610" s="544"/>
      <c r="AG1610" s="351"/>
      <c r="AH1610" s="544"/>
      <c r="AI1610" s="351"/>
      <c r="AJ1610" s="545"/>
      <c r="AK1610" s="351"/>
      <c r="AL1610" s="524" t="s">
        <v>325</v>
      </c>
      <c r="AM1610" s="351"/>
      <c r="AN1610" s="549" t="s">
        <v>325</v>
      </c>
      <c r="AO1610" s="351"/>
      <c r="AP1610" s="550"/>
      <c r="AQ1610" s="351"/>
      <c r="AR1610" s="551"/>
      <c r="AS1610" s="351"/>
      <c r="AT1610" s="552"/>
      <c r="AU1610" s="351"/>
      <c r="AV1610" s="549" t="s">
        <v>325</v>
      </c>
      <c r="AW1610" s="351"/>
      <c r="AX1610" s="553"/>
      <c r="AY1610" s="350"/>
      <c r="AZ1610" s="351"/>
      <c r="BA1610" s="554"/>
      <c r="BB1610" s="351"/>
      <c r="BC1610" s="39"/>
      <c r="BD1610" s="546" t="s">
        <v>325</v>
      </c>
      <c r="BE1610" s="351"/>
      <c r="BF1610" s="547"/>
      <c r="BG1610" s="350"/>
      <c r="BH1610" s="350"/>
      <c r="BI1610" s="351"/>
      <c r="BJ1610" s="548" t="s">
        <v>294</v>
      </c>
      <c r="BK1610" s="350"/>
      <c r="BL1610" s="350"/>
      <c r="BM1610" s="351"/>
      <c r="BN1610" s="530" t="s">
        <v>294</v>
      </c>
      <c r="BO1610" s="350"/>
      <c r="BP1610" s="350"/>
      <c r="BQ1610" s="350"/>
      <c r="BR1610" s="350"/>
      <c r="BS1610" s="350"/>
      <c r="BT1610" s="350"/>
      <c r="BU1610" s="350"/>
      <c r="BV1610" s="351"/>
    </row>
    <row r="1611" spans="1:74" ht="45" customHeight="1">
      <c r="A1611" s="24">
        <f t="shared" si="6"/>
        <v>1597</v>
      </c>
      <c r="B1611" s="558" t="s">
        <v>294</v>
      </c>
      <c r="C1611" s="351"/>
      <c r="D1611" s="559" t="s">
        <v>298</v>
      </c>
      <c r="E1611" s="351"/>
      <c r="F1611" s="524" t="s">
        <v>325</v>
      </c>
      <c r="G1611" s="351"/>
      <c r="H1611" s="531" t="s">
        <v>325</v>
      </c>
      <c r="I1611" s="351"/>
      <c r="J1611" s="562"/>
      <c r="K1611" s="351"/>
      <c r="L1611" s="562"/>
      <c r="M1611" s="351"/>
      <c r="N1611" s="37"/>
      <c r="O1611" s="35"/>
      <c r="P1611" s="560"/>
      <c r="Q1611" s="351"/>
      <c r="R1611" s="535"/>
      <c r="S1611" s="351"/>
      <c r="T1611" s="536"/>
      <c r="U1611" s="351"/>
      <c r="V1611" s="537"/>
      <c r="W1611" s="351"/>
      <c r="X1611" s="538" t="s">
        <v>294</v>
      </c>
      <c r="Y1611" s="350"/>
      <c r="Z1611" s="350"/>
      <c r="AA1611" s="351"/>
      <c r="AB1611" s="539" t="s">
        <v>294</v>
      </c>
      <c r="AC1611" s="350"/>
      <c r="AD1611" s="350"/>
      <c r="AE1611" s="351"/>
      <c r="AF1611" s="540"/>
      <c r="AG1611" s="351"/>
      <c r="AH1611" s="540"/>
      <c r="AI1611" s="351"/>
      <c r="AJ1611" s="545"/>
      <c r="AK1611" s="351"/>
      <c r="AL1611" s="555" t="s">
        <v>325</v>
      </c>
      <c r="AM1611" s="351"/>
      <c r="AN1611" s="531" t="s">
        <v>325</v>
      </c>
      <c r="AO1611" s="351"/>
      <c r="AP1611" s="532"/>
      <c r="AQ1611" s="351"/>
      <c r="AR1611" s="533"/>
      <c r="AS1611" s="351"/>
      <c r="AT1611" s="534"/>
      <c r="AU1611" s="351"/>
      <c r="AV1611" s="531" t="s">
        <v>325</v>
      </c>
      <c r="AW1611" s="351"/>
      <c r="AX1611" s="553"/>
      <c r="AY1611" s="350"/>
      <c r="AZ1611" s="351"/>
      <c r="BA1611" s="545"/>
      <c r="BB1611" s="351"/>
      <c r="BC1611" s="36"/>
      <c r="BD1611" s="556" t="s">
        <v>325</v>
      </c>
      <c r="BE1611" s="351"/>
      <c r="BF1611" s="557"/>
      <c r="BG1611" s="350"/>
      <c r="BH1611" s="350"/>
      <c r="BI1611" s="351"/>
      <c r="BJ1611" s="506" t="s">
        <v>294</v>
      </c>
      <c r="BK1611" s="350"/>
      <c r="BL1611" s="350"/>
      <c r="BM1611" s="351"/>
      <c r="BN1611" s="530" t="s">
        <v>294</v>
      </c>
      <c r="BO1611" s="350"/>
      <c r="BP1611" s="350"/>
      <c r="BQ1611" s="350"/>
      <c r="BR1611" s="350"/>
      <c r="BS1611" s="350"/>
      <c r="BT1611" s="350"/>
      <c r="BU1611" s="350"/>
      <c r="BV1611" s="351"/>
    </row>
    <row r="1612" spans="1:74" ht="45" customHeight="1">
      <c r="A1612" s="24">
        <f t="shared" si="6"/>
        <v>1598</v>
      </c>
      <c r="B1612" s="558" t="s">
        <v>294</v>
      </c>
      <c r="C1612" s="351"/>
      <c r="D1612" s="559" t="s">
        <v>298</v>
      </c>
      <c r="E1612" s="351"/>
      <c r="F1612" s="524" t="s">
        <v>325</v>
      </c>
      <c r="G1612" s="351"/>
      <c r="H1612" s="531" t="s">
        <v>325</v>
      </c>
      <c r="I1612" s="351"/>
      <c r="J1612" s="562"/>
      <c r="K1612" s="351"/>
      <c r="L1612" s="562"/>
      <c r="M1612" s="351"/>
      <c r="N1612" s="37"/>
      <c r="O1612" s="35"/>
      <c r="P1612" s="560"/>
      <c r="Q1612" s="351"/>
      <c r="R1612" s="535"/>
      <c r="S1612" s="351"/>
      <c r="T1612" s="536"/>
      <c r="U1612" s="351"/>
      <c r="V1612" s="537"/>
      <c r="W1612" s="351"/>
      <c r="X1612" s="538" t="s">
        <v>294</v>
      </c>
      <c r="Y1612" s="350"/>
      <c r="Z1612" s="350"/>
      <c r="AA1612" s="351"/>
      <c r="AB1612" s="539" t="s">
        <v>294</v>
      </c>
      <c r="AC1612" s="350"/>
      <c r="AD1612" s="350"/>
      <c r="AE1612" s="351"/>
      <c r="AF1612" s="540"/>
      <c r="AG1612" s="351"/>
      <c r="AH1612" s="540"/>
      <c r="AI1612" s="351"/>
      <c r="AJ1612" s="545"/>
      <c r="AK1612" s="351"/>
      <c r="AL1612" s="555" t="s">
        <v>325</v>
      </c>
      <c r="AM1612" s="351"/>
      <c r="AN1612" s="531" t="s">
        <v>325</v>
      </c>
      <c r="AO1612" s="351"/>
      <c r="AP1612" s="532"/>
      <c r="AQ1612" s="351"/>
      <c r="AR1612" s="533"/>
      <c r="AS1612" s="351"/>
      <c r="AT1612" s="534"/>
      <c r="AU1612" s="351"/>
      <c r="AV1612" s="531" t="s">
        <v>325</v>
      </c>
      <c r="AW1612" s="351"/>
      <c r="AX1612" s="553"/>
      <c r="AY1612" s="350"/>
      <c r="AZ1612" s="351"/>
      <c r="BA1612" s="545"/>
      <c r="BB1612" s="351"/>
      <c r="BC1612" s="36"/>
      <c r="BD1612" s="556" t="s">
        <v>325</v>
      </c>
      <c r="BE1612" s="351"/>
      <c r="BF1612" s="529"/>
      <c r="BG1612" s="350"/>
      <c r="BH1612" s="350"/>
      <c r="BI1612" s="351"/>
      <c r="BJ1612" s="506" t="s">
        <v>294</v>
      </c>
      <c r="BK1612" s="350"/>
      <c r="BL1612" s="350"/>
      <c r="BM1612" s="351"/>
      <c r="BN1612" s="530" t="s">
        <v>294</v>
      </c>
      <c r="BO1612" s="350"/>
      <c r="BP1612" s="350"/>
      <c r="BQ1612" s="350"/>
      <c r="BR1612" s="350"/>
      <c r="BS1612" s="350"/>
      <c r="BT1612" s="350"/>
      <c r="BU1612" s="350"/>
      <c r="BV1612" s="351"/>
    </row>
    <row r="1613" spans="1:74" ht="45" customHeight="1">
      <c r="A1613" s="24">
        <f t="shared" si="6"/>
        <v>1599</v>
      </c>
      <c r="B1613" s="522" t="s">
        <v>294</v>
      </c>
      <c r="C1613" s="351"/>
      <c r="D1613" s="523" t="s">
        <v>298</v>
      </c>
      <c r="E1613" s="351"/>
      <c r="F1613" s="524" t="s">
        <v>325</v>
      </c>
      <c r="G1613" s="351"/>
      <c r="H1613" s="549" t="s">
        <v>325</v>
      </c>
      <c r="I1613" s="351"/>
      <c r="J1613" s="563"/>
      <c r="K1613" s="351"/>
      <c r="L1613" s="563"/>
      <c r="M1613" s="351"/>
      <c r="N1613" s="34"/>
      <c r="O1613" s="38"/>
      <c r="P1613" s="526"/>
      <c r="Q1613" s="351"/>
      <c r="R1613" s="527"/>
      <c r="S1613" s="351"/>
      <c r="T1613" s="528"/>
      <c r="U1613" s="351"/>
      <c r="V1613" s="541"/>
      <c r="W1613" s="351"/>
      <c r="X1613" s="542" t="s">
        <v>294</v>
      </c>
      <c r="Y1613" s="350"/>
      <c r="Z1613" s="350"/>
      <c r="AA1613" s="351"/>
      <c r="AB1613" s="543" t="s">
        <v>294</v>
      </c>
      <c r="AC1613" s="350"/>
      <c r="AD1613" s="350"/>
      <c r="AE1613" s="351"/>
      <c r="AF1613" s="544"/>
      <c r="AG1613" s="351"/>
      <c r="AH1613" s="544"/>
      <c r="AI1613" s="351"/>
      <c r="AJ1613" s="545"/>
      <c r="AK1613" s="351"/>
      <c r="AL1613" s="524" t="s">
        <v>325</v>
      </c>
      <c r="AM1613" s="351"/>
      <c r="AN1613" s="549" t="s">
        <v>325</v>
      </c>
      <c r="AO1613" s="351"/>
      <c r="AP1613" s="550"/>
      <c r="AQ1613" s="351"/>
      <c r="AR1613" s="551"/>
      <c r="AS1613" s="351"/>
      <c r="AT1613" s="552"/>
      <c r="AU1613" s="351"/>
      <c r="AV1613" s="549" t="s">
        <v>325</v>
      </c>
      <c r="AW1613" s="351"/>
      <c r="AX1613" s="553"/>
      <c r="AY1613" s="350"/>
      <c r="AZ1613" s="351"/>
      <c r="BA1613" s="554"/>
      <c r="BB1613" s="351"/>
      <c r="BC1613" s="39"/>
      <c r="BD1613" s="546" t="s">
        <v>325</v>
      </c>
      <c r="BE1613" s="351"/>
      <c r="BF1613" s="547"/>
      <c r="BG1613" s="350"/>
      <c r="BH1613" s="350"/>
      <c r="BI1613" s="351"/>
      <c r="BJ1613" s="548" t="s">
        <v>294</v>
      </c>
      <c r="BK1613" s="350"/>
      <c r="BL1613" s="350"/>
      <c r="BM1613" s="351"/>
      <c r="BN1613" s="530" t="s">
        <v>294</v>
      </c>
      <c r="BO1613" s="350"/>
      <c r="BP1613" s="350"/>
      <c r="BQ1613" s="350"/>
      <c r="BR1613" s="350"/>
      <c r="BS1613" s="350"/>
      <c r="BT1613" s="350"/>
      <c r="BU1613" s="350"/>
      <c r="BV1613" s="351"/>
    </row>
    <row r="1614" spans="1:74" ht="45" customHeight="1">
      <c r="A1614" s="24">
        <f t="shared" si="6"/>
        <v>1600</v>
      </c>
      <c r="B1614" s="558" t="s">
        <v>294</v>
      </c>
      <c r="C1614" s="351"/>
      <c r="D1614" s="559" t="s">
        <v>298</v>
      </c>
      <c r="E1614" s="351"/>
      <c r="F1614" s="524" t="s">
        <v>325</v>
      </c>
      <c r="G1614" s="351"/>
      <c r="H1614" s="531" t="s">
        <v>325</v>
      </c>
      <c r="I1614" s="351"/>
      <c r="J1614" s="564"/>
      <c r="K1614" s="351"/>
      <c r="L1614" s="564"/>
      <c r="M1614" s="351"/>
      <c r="N1614" s="37"/>
      <c r="O1614" s="35"/>
      <c r="P1614" s="560"/>
      <c r="Q1614" s="351"/>
      <c r="R1614" s="535"/>
      <c r="S1614" s="351"/>
      <c r="T1614" s="536"/>
      <c r="U1614" s="351"/>
      <c r="V1614" s="537"/>
      <c r="W1614" s="351"/>
      <c r="X1614" s="538" t="s">
        <v>294</v>
      </c>
      <c r="Y1614" s="350"/>
      <c r="Z1614" s="350"/>
      <c r="AA1614" s="351"/>
      <c r="AB1614" s="539" t="s">
        <v>294</v>
      </c>
      <c r="AC1614" s="350"/>
      <c r="AD1614" s="350"/>
      <c r="AE1614" s="351"/>
      <c r="AF1614" s="540"/>
      <c r="AG1614" s="351"/>
      <c r="AH1614" s="540"/>
      <c r="AI1614" s="351"/>
      <c r="AJ1614" s="545"/>
      <c r="AK1614" s="351"/>
      <c r="AL1614" s="555" t="s">
        <v>325</v>
      </c>
      <c r="AM1614" s="351"/>
      <c r="AN1614" s="531" t="s">
        <v>325</v>
      </c>
      <c r="AO1614" s="351"/>
      <c r="AP1614" s="532"/>
      <c r="AQ1614" s="351"/>
      <c r="AR1614" s="533"/>
      <c r="AS1614" s="351"/>
      <c r="AT1614" s="534"/>
      <c r="AU1614" s="351"/>
      <c r="AV1614" s="531" t="s">
        <v>325</v>
      </c>
      <c r="AW1614" s="351"/>
      <c r="AX1614" s="553"/>
      <c r="AY1614" s="350"/>
      <c r="AZ1614" s="351"/>
      <c r="BA1614" s="545"/>
      <c r="BB1614" s="351"/>
      <c r="BC1614" s="36"/>
      <c r="BD1614" s="556" t="s">
        <v>325</v>
      </c>
      <c r="BE1614" s="351"/>
      <c r="BF1614" s="557"/>
      <c r="BG1614" s="350"/>
      <c r="BH1614" s="350"/>
      <c r="BI1614" s="351"/>
      <c r="BJ1614" s="506" t="s">
        <v>294</v>
      </c>
      <c r="BK1614" s="350"/>
      <c r="BL1614" s="350"/>
      <c r="BM1614" s="351"/>
      <c r="BN1614" s="530" t="s">
        <v>294</v>
      </c>
      <c r="BO1614" s="350"/>
      <c r="BP1614" s="350"/>
      <c r="BQ1614" s="350"/>
      <c r="BR1614" s="350"/>
      <c r="BS1614" s="350"/>
      <c r="BT1614" s="350"/>
      <c r="BU1614" s="350"/>
      <c r="BV1614" s="351"/>
    </row>
    <row r="1615" spans="1:74" ht="15.75" customHeight="1">
      <c r="AT1615" s="42"/>
      <c r="AU1615" s="42"/>
    </row>
    <row r="1616" spans="1:74" ht="15.75" customHeight="1">
      <c r="AT1616" s="42"/>
      <c r="AU1616" s="42"/>
    </row>
    <row r="1617" spans="46:47" ht="15.75" customHeight="1">
      <c r="AT1617" s="42"/>
      <c r="AU1617" s="42"/>
    </row>
    <row r="1618" spans="46:47" ht="15.75" customHeight="1">
      <c r="AT1618" s="42"/>
      <c r="AU1618" s="42"/>
    </row>
    <row r="1619" spans="46:47" ht="15.75" customHeight="1">
      <c r="AT1619" s="42"/>
      <c r="AU1619" s="42"/>
    </row>
    <row r="1620" spans="46:47" ht="15.75" customHeight="1">
      <c r="AT1620" s="42"/>
      <c r="AU1620" s="42"/>
    </row>
    <row r="1621" spans="46:47" ht="15.75" customHeight="1">
      <c r="AT1621" s="42"/>
      <c r="AU1621" s="42"/>
    </row>
    <row r="1622" spans="46:47" ht="15.75" customHeight="1">
      <c r="AT1622" s="42"/>
      <c r="AU1622" s="42"/>
    </row>
    <row r="1623" spans="46:47" ht="15.75" customHeight="1">
      <c r="AT1623" s="42"/>
      <c r="AU1623" s="42"/>
    </row>
    <row r="1624" spans="46:47" ht="15.75" customHeight="1">
      <c r="AT1624" s="42"/>
      <c r="AU1624" s="42"/>
    </row>
    <row r="1625" spans="46:47" ht="15.75" customHeight="1">
      <c r="AT1625" s="42"/>
      <c r="AU1625" s="42"/>
    </row>
    <row r="1626" spans="46:47" ht="15.75" customHeight="1">
      <c r="AT1626" s="42"/>
      <c r="AU1626" s="42"/>
    </row>
    <row r="1627" spans="46:47" ht="15.75" customHeight="1">
      <c r="AT1627" s="42"/>
      <c r="AU1627" s="42"/>
    </row>
    <row r="1628" spans="46:47" ht="15.75" customHeight="1">
      <c r="AT1628" s="42"/>
      <c r="AU1628" s="42"/>
    </row>
    <row r="1629" spans="46:47" ht="15.75" customHeight="1">
      <c r="AT1629" s="42"/>
      <c r="AU1629" s="42"/>
    </row>
    <row r="1630" spans="46:47" ht="15.75" customHeight="1">
      <c r="AT1630" s="42"/>
      <c r="AU1630" s="42"/>
    </row>
    <row r="1631" spans="46:47" ht="15.75" customHeight="1">
      <c r="AT1631" s="42"/>
      <c r="AU1631" s="42"/>
    </row>
    <row r="1632" spans="46:47" ht="15.75" customHeight="1">
      <c r="AT1632" s="42"/>
      <c r="AU1632" s="42"/>
    </row>
    <row r="1633" spans="46:47" ht="15.75" customHeight="1">
      <c r="AT1633" s="42"/>
      <c r="AU1633" s="42"/>
    </row>
    <row r="1634" spans="46:47" ht="15.75" customHeight="1">
      <c r="AT1634" s="42"/>
      <c r="AU1634" s="42"/>
    </row>
    <row r="1635" spans="46:47" ht="15.75" customHeight="1">
      <c r="AT1635" s="42"/>
      <c r="AU1635" s="42"/>
    </row>
    <row r="1636" spans="46:47" ht="15.75" customHeight="1">
      <c r="AT1636" s="42"/>
      <c r="AU1636" s="42"/>
    </row>
    <row r="1637" spans="46:47" ht="15.75" customHeight="1">
      <c r="AT1637" s="42"/>
      <c r="AU1637" s="42"/>
    </row>
    <row r="1638" spans="46:47" ht="15.75" customHeight="1">
      <c r="AT1638" s="42"/>
      <c r="AU1638" s="42"/>
    </row>
    <row r="1639" spans="46:47" ht="15.75" customHeight="1">
      <c r="AT1639" s="42"/>
      <c r="AU1639" s="42"/>
    </row>
    <row r="1640" spans="46:47" ht="15.75" customHeight="1">
      <c r="AT1640" s="42"/>
      <c r="AU1640" s="42"/>
    </row>
    <row r="1641" spans="46:47" ht="15.75" customHeight="1">
      <c r="AT1641" s="42"/>
      <c r="AU1641" s="42"/>
    </row>
    <row r="1642" spans="46:47" ht="15.75" customHeight="1">
      <c r="AT1642" s="42"/>
      <c r="AU1642" s="42"/>
    </row>
    <row r="1643" spans="46:47" ht="15.75" customHeight="1">
      <c r="AT1643" s="42"/>
      <c r="AU1643" s="42"/>
    </row>
    <row r="1644" spans="46:47" ht="15.75" customHeight="1">
      <c r="AT1644" s="42"/>
      <c r="AU1644" s="42"/>
    </row>
    <row r="1645" spans="46:47" ht="15.75" customHeight="1">
      <c r="AT1645" s="42"/>
      <c r="AU1645" s="42"/>
    </row>
    <row r="1646" spans="46:47" ht="15.75" customHeight="1">
      <c r="AT1646" s="42"/>
      <c r="AU1646" s="42"/>
    </row>
    <row r="1647" spans="46:47" ht="15.75" customHeight="1">
      <c r="AT1647" s="42"/>
      <c r="AU1647" s="42"/>
    </row>
    <row r="1648" spans="46:47" ht="15.75" customHeight="1">
      <c r="AT1648" s="42"/>
      <c r="AU1648" s="42"/>
    </row>
    <row r="1649" spans="46:47" ht="15.75" customHeight="1">
      <c r="AT1649" s="42"/>
      <c r="AU1649" s="42"/>
    </row>
    <row r="1650" spans="46:47" ht="15.75" customHeight="1">
      <c r="AT1650" s="42"/>
      <c r="AU1650" s="42"/>
    </row>
    <row r="1651" spans="46:47" ht="15.75" customHeight="1">
      <c r="AT1651" s="42"/>
      <c r="AU1651" s="42"/>
    </row>
    <row r="1652" spans="46:47" ht="15.75" customHeight="1">
      <c r="AT1652" s="42"/>
      <c r="AU1652" s="42"/>
    </row>
    <row r="1653" spans="46:47" ht="15.75" customHeight="1">
      <c r="AT1653" s="42"/>
      <c r="AU1653" s="42"/>
    </row>
    <row r="1654" spans="46:47" ht="15.75" customHeight="1">
      <c r="AT1654" s="42"/>
      <c r="AU1654" s="42"/>
    </row>
    <row r="1655" spans="46:47" ht="15.75" customHeight="1">
      <c r="AT1655" s="42"/>
      <c r="AU1655" s="42"/>
    </row>
    <row r="1656" spans="46:47" ht="15.75" customHeight="1">
      <c r="AT1656" s="42"/>
      <c r="AU1656" s="42"/>
    </row>
    <row r="1657" spans="46:47" ht="15.75" customHeight="1">
      <c r="AT1657" s="42"/>
      <c r="AU1657" s="42"/>
    </row>
    <row r="1658" spans="46:47" ht="15.75" customHeight="1">
      <c r="AT1658" s="42"/>
      <c r="AU1658" s="42"/>
    </row>
    <row r="1659" spans="46:47" ht="15.75" customHeight="1">
      <c r="AT1659" s="42"/>
      <c r="AU1659" s="42"/>
    </row>
    <row r="1660" spans="46:47" ht="15.75" customHeight="1">
      <c r="AT1660" s="42"/>
      <c r="AU1660" s="42"/>
    </row>
    <row r="1661" spans="46:47" ht="15.75" customHeight="1">
      <c r="AT1661" s="42"/>
      <c r="AU1661" s="42"/>
    </row>
    <row r="1662" spans="46:47" ht="15.75" customHeight="1">
      <c r="AT1662" s="42"/>
      <c r="AU1662" s="42"/>
    </row>
    <row r="1663" spans="46:47" ht="15.75" customHeight="1">
      <c r="AT1663" s="42"/>
      <c r="AU1663" s="42"/>
    </row>
    <row r="1664" spans="46:47" ht="15.75" customHeight="1">
      <c r="AT1664" s="42"/>
      <c r="AU1664" s="42"/>
    </row>
    <row r="1665" spans="46:47" ht="15.75" customHeight="1">
      <c r="AT1665" s="42"/>
      <c r="AU1665" s="42"/>
    </row>
    <row r="1666" spans="46:47" ht="15.75" customHeight="1">
      <c r="AT1666" s="42"/>
      <c r="AU1666" s="42"/>
    </row>
    <row r="1667" spans="46:47" ht="15.75" customHeight="1">
      <c r="AT1667" s="42"/>
      <c r="AU1667" s="42"/>
    </row>
    <row r="1668" spans="46:47" ht="15.75" customHeight="1">
      <c r="AT1668" s="42"/>
      <c r="AU1668" s="42"/>
    </row>
    <row r="1669" spans="46:47" ht="15.75" customHeight="1">
      <c r="AT1669" s="42"/>
      <c r="AU1669" s="42"/>
    </row>
    <row r="1670" spans="46:47" ht="15.75" customHeight="1">
      <c r="AT1670" s="42"/>
      <c r="AU1670" s="42"/>
    </row>
    <row r="1671" spans="46:47" ht="15.75" customHeight="1">
      <c r="AT1671" s="42"/>
      <c r="AU1671" s="42"/>
    </row>
    <row r="1672" spans="46:47" ht="15.75" customHeight="1">
      <c r="AT1672" s="42"/>
      <c r="AU1672" s="42"/>
    </row>
    <row r="1673" spans="46:47" ht="15.75" customHeight="1">
      <c r="AT1673" s="42"/>
      <c r="AU1673" s="42"/>
    </row>
    <row r="1674" spans="46:47" ht="15.75" customHeight="1">
      <c r="AT1674" s="42"/>
      <c r="AU1674" s="42"/>
    </row>
    <row r="1675" spans="46:47" ht="15.75" customHeight="1">
      <c r="AT1675" s="42"/>
      <c r="AU1675" s="42"/>
    </row>
    <row r="1676" spans="46:47" ht="15.75" customHeight="1">
      <c r="AT1676" s="42"/>
      <c r="AU1676" s="42"/>
    </row>
    <row r="1677" spans="46:47" ht="15.75" customHeight="1">
      <c r="AT1677" s="42"/>
      <c r="AU1677" s="42"/>
    </row>
    <row r="1678" spans="46:47" ht="15.75" customHeight="1">
      <c r="AT1678" s="42"/>
      <c r="AU1678" s="42"/>
    </row>
    <row r="1679" spans="46:47" ht="15.75" customHeight="1">
      <c r="AT1679" s="42"/>
      <c r="AU1679" s="42"/>
    </row>
    <row r="1680" spans="46:47" ht="15.75" customHeight="1">
      <c r="AT1680" s="42"/>
      <c r="AU1680" s="42"/>
    </row>
    <row r="1681" spans="46:47" ht="15.75" customHeight="1">
      <c r="AT1681" s="42"/>
      <c r="AU1681" s="42"/>
    </row>
    <row r="1682" spans="46:47" ht="15.75" customHeight="1">
      <c r="AT1682" s="42"/>
      <c r="AU1682" s="42"/>
    </row>
    <row r="1683" spans="46:47" ht="15.75" customHeight="1">
      <c r="AT1683" s="42"/>
      <c r="AU1683" s="42"/>
    </row>
    <row r="1684" spans="46:47" ht="15.75" customHeight="1">
      <c r="AT1684" s="42"/>
      <c r="AU1684" s="42"/>
    </row>
    <row r="1685" spans="46:47" ht="15.75" customHeight="1">
      <c r="AT1685" s="42"/>
      <c r="AU1685" s="42"/>
    </row>
    <row r="1686" spans="46:47" ht="15.75" customHeight="1">
      <c r="AT1686" s="42"/>
      <c r="AU1686" s="42"/>
    </row>
    <row r="1687" spans="46:47" ht="15.75" customHeight="1">
      <c r="AT1687" s="42"/>
      <c r="AU1687" s="42"/>
    </row>
    <row r="1688" spans="46:47" ht="15.75" customHeight="1">
      <c r="AT1688" s="42"/>
      <c r="AU1688" s="42"/>
    </row>
    <row r="1689" spans="46:47" ht="15.75" customHeight="1">
      <c r="AT1689" s="42"/>
      <c r="AU1689" s="42"/>
    </row>
    <row r="1690" spans="46:47" ht="15.75" customHeight="1">
      <c r="AT1690" s="42"/>
      <c r="AU1690" s="42"/>
    </row>
    <row r="1691" spans="46:47" ht="15.75" customHeight="1">
      <c r="AT1691" s="42"/>
      <c r="AU1691" s="42"/>
    </row>
    <row r="1692" spans="46:47" ht="15.75" customHeight="1">
      <c r="AT1692" s="42"/>
      <c r="AU1692" s="42"/>
    </row>
    <row r="1693" spans="46:47" ht="15.75" customHeight="1">
      <c r="AT1693" s="42"/>
      <c r="AU1693" s="42"/>
    </row>
    <row r="1694" spans="46:47" ht="15.75" customHeight="1">
      <c r="AT1694" s="42"/>
      <c r="AU1694" s="42"/>
    </row>
    <row r="1695" spans="46:47" ht="15.75" customHeight="1">
      <c r="AT1695" s="42"/>
      <c r="AU1695" s="42"/>
    </row>
    <row r="1696" spans="46:47" ht="15.75" customHeight="1">
      <c r="AT1696" s="42"/>
      <c r="AU1696" s="42"/>
    </row>
    <row r="1697" spans="46:47" ht="15.75" customHeight="1">
      <c r="AT1697" s="42"/>
      <c r="AU1697" s="42"/>
    </row>
    <row r="1698" spans="46:47" ht="15.75" customHeight="1">
      <c r="AT1698" s="42"/>
      <c r="AU1698" s="42"/>
    </row>
    <row r="1699" spans="46:47" ht="15.75" customHeight="1">
      <c r="AT1699" s="42"/>
      <c r="AU1699" s="42"/>
    </row>
    <row r="1700" spans="46:47" ht="15.75" customHeight="1">
      <c r="AT1700" s="42"/>
      <c r="AU1700" s="42"/>
    </row>
    <row r="1701" spans="46:47" ht="15.75" customHeight="1">
      <c r="AT1701" s="42"/>
      <c r="AU1701" s="42"/>
    </row>
    <row r="1702" spans="46:47" ht="15.75" customHeight="1">
      <c r="AT1702" s="42"/>
      <c r="AU1702" s="42"/>
    </row>
    <row r="1703" spans="46:47" ht="15.75" customHeight="1">
      <c r="AT1703" s="42"/>
      <c r="AU1703" s="42"/>
    </row>
    <row r="1704" spans="46:47" ht="15.75" customHeight="1">
      <c r="AT1704" s="42"/>
      <c r="AU1704" s="42"/>
    </row>
    <row r="1705" spans="46:47" ht="15.75" customHeight="1">
      <c r="AT1705" s="42"/>
      <c r="AU1705" s="42"/>
    </row>
    <row r="1706" spans="46:47" ht="15.75" customHeight="1">
      <c r="AT1706" s="42"/>
      <c r="AU1706" s="42"/>
    </row>
    <row r="1707" spans="46:47" ht="15.75" customHeight="1">
      <c r="AT1707" s="42"/>
      <c r="AU1707" s="42"/>
    </row>
    <row r="1708" spans="46:47" ht="15.75" customHeight="1">
      <c r="AT1708" s="42"/>
      <c r="AU1708" s="42"/>
    </row>
    <row r="1709" spans="46:47" ht="15.75" customHeight="1">
      <c r="AT1709" s="42"/>
      <c r="AU1709" s="42"/>
    </row>
    <row r="1710" spans="46:47" ht="15.75" customHeight="1">
      <c r="AT1710" s="42"/>
      <c r="AU1710" s="42"/>
    </row>
    <row r="1711" spans="46:47" ht="15.75" customHeight="1">
      <c r="AT1711" s="42"/>
      <c r="AU1711" s="42"/>
    </row>
    <row r="1712" spans="46:47" ht="15.75" customHeight="1">
      <c r="AT1712" s="42"/>
      <c r="AU1712" s="42"/>
    </row>
    <row r="1713" spans="46:47" ht="15.75" customHeight="1">
      <c r="AT1713" s="42"/>
      <c r="AU1713" s="42"/>
    </row>
    <row r="1714" spans="46:47" ht="15.75" customHeight="1">
      <c r="AT1714" s="42"/>
      <c r="AU1714" s="42"/>
    </row>
    <row r="1715" spans="46:47" ht="15.75" customHeight="1">
      <c r="AT1715" s="42"/>
      <c r="AU1715" s="42"/>
    </row>
    <row r="1716" spans="46:47" ht="15.75" customHeight="1">
      <c r="AT1716" s="42"/>
      <c r="AU1716" s="42"/>
    </row>
    <row r="1717" spans="46:47" ht="15.75" customHeight="1">
      <c r="AT1717" s="42"/>
      <c r="AU1717" s="42"/>
    </row>
    <row r="1718" spans="46:47" ht="15.75" customHeight="1">
      <c r="AT1718" s="42"/>
      <c r="AU1718" s="42"/>
    </row>
    <row r="1719" spans="46:47" ht="15.75" customHeight="1">
      <c r="AT1719" s="42"/>
      <c r="AU1719" s="42"/>
    </row>
    <row r="1720" spans="46:47" ht="15.75" customHeight="1">
      <c r="AT1720" s="42"/>
      <c r="AU1720" s="42"/>
    </row>
    <row r="1721" spans="46:47" ht="15.75" customHeight="1">
      <c r="AT1721" s="42"/>
      <c r="AU1721" s="42"/>
    </row>
    <row r="1722" spans="46:47" ht="15.75" customHeight="1">
      <c r="AT1722" s="42"/>
      <c r="AU1722" s="42"/>
    </row>
    <row r="1723" spans="46:47" ht="15.75" customHeight="1">
      <c r="AT1723" s="42"/>
      <c r="AU1723" s="42"/>
    </row>
    <row r="1724" spans="46:47" ht="15.75" customHeight="1">
      <c r="AT1724" s="42"/>
      <c r="AU1724" s="42"/>
    </row>
  </sheetData>
  <mergeCells count="42770">
    <mergeCell ref="AP13:BB13"/>
    <mergeCell ref="BC13:BM13"/>
    <mergeCell ref="BN13:BV13"/>
    <mergeCell ref="A13:E13"/>
    <mergeCell ref="F13:W13"/>
    <mergeCell ref="X13:AA13"/>
    <mergeCell ref="AB13:AE13"/>
    <mergeCell ref="AF13:AG13"/>
    <mergeCell ref="AH13:AI13"/>
    <mergeCell ref="AJ13:AO13"/>
    <mergeCell ref="BD14:BE14"/>
    <mergeCell ref="BF14:BI14"/>
    <mergeCell ref="AN14:AO14"/>
    <mergeCell ref="AP14:AQ14"/>
    <mergeCell ref="AR14:AS14"/>
    <mergeCell ref="AT14:AU14"/>
    <mergeCell ref="AV14:AW14"/>
    <mergeCell ref="AX14:AZ14"/>
    <mergeCell ref="BA14:BB14"/>
    <mergeCell ref="BJ14:BM14"/>
    <mergeCell ref="BN14:BV14"/>
    <mergeCell ref="B14:C14"/>
    <mergeCell ref="D14:E14"/>
    <mergeCell ref="F14:G14"/>
    <mergeCell ref="H14:I14"/>
    <mergeCell ref="J14:K14"/>
    <mergeCell ref="L14:M14"/>
    <mergeCell ref="P14:Q14"/>
    <mergeCell ref="AJ14:AK14"/>
    <mergeCell ref="AL14:AM14"/>
    <mergeCell ref="R14:S14"/>
    <mergeCell ref="T14:U14"/>
    <mergeCell ref="V14:W14"/>
    <mergeCell ref="X14:AA14"/>
    <mergeCell ref="AB14:AE14"/>
    <mergeCell ref="AF14:AG14"/>
    <mergeCell ref="AH14:AI14"/>
    <mergeCell ref="B1:C1"/>
    <mergeCell ref="D1:E1"/>
    <mergeCell ref="F1:G1"/>
    <mergeCell ref="H1:I1"/>
    <mergeCell ref="J1:K1"/>
    <mergeCell ref="L1:M1"/>
    <mergeCell ref="P1:Q1"/>
    <mergeCell ref="R1:S1"/>
    <mergeCell ref="T1:U1"/>
    <mergeCell ref="V1:W1"/>
    <mergeCell ref="X1:AA1"/>
    <mergeCell ref="AB1:AE1"/>
    <mergeCell ref="AF1:AG1"/>
    <mergeCell ref="AH1:AI1"/>
    <mergeCell ref="AJ1:AK1"/>
    <mergeCell ref="AL1:AM1"/>
    <mergeCell ref="AN1:AO1"/>
    <mergeCell ref="AP1:AQ1"/>
    <mergeCell ref="AR1:AS1"/>
    <mergeCell ref="AT1:AU1"/>
    <mergeCell ref="AV1:AW1"/>
    <mergeCell ref="AR5:BV12"/>
    <mergeCell ref="AX1:AZ1"/>
    <mergeCell ref="BA1:BB1"/>
    <mergeCell ref="BD1:BE1"/>
    <mergeCell ref="BF1:BI1"/>
    <mergeCell ref="BJ1:BM1"/>
    <mergeCell ref="BN1:BV1"/>
    <mergeCell ref="A2:BV2"/>
    <mergeCell ref="A3:BV3"/>
    <mergeCell ref="A5:AO5"/>
    <mergeCell ref="A6:G6"/>
    <mergeCell ref="H6:U6"/>
    <mergeCell ref="V6:AB6"/>
    <mergeCell ref="AC6:AQ6"/>
    <mergeCell ref="A7:G7"/>
    <mergeCell ref="AC7:AQ7"/>
    <mergeCell ref="V9:AB9"/>
    <mergeCell ref="AC9:AQ9"/>
    <mergeCell ref="H7:U7"/>
    <mergeCell ref="V7:AB7"/>
    <mergeCell ref="A8:G8"/>
    <mergeCell ref="H8:U9"/>
    <mergeCell ref="V8:AB8"/>
    <mergeCell ref="AC8:AQ8"/>
    <mergeCell ref="A9:G9"/>
    <mergeCell ref="A10:G10"/>
    <mergeCell ref="H10:Q10"/>
    <mergeCell ref="R10:U10"/>
    <mergeCell ref="V10:AB10"/>
    <mergeCell ref="AC10:AQ10"/>
    <mergeCell ref="A11:AE11"/>
    <mergeCell ref="A12:AP12"/>
    <mergeCell ref="R22:S22"/>
    <mergeCell ref="T22:U22"/>
    <mergeCell ref="V22:W22"/>
    <mergeCell ref="X22:AA22"/>
    <mergeCell ref="AB22:AE22"/>
    <mergeCell ref="AF22:AG22"/>
    <mergeCell ref="AH22:AI22"/>
    <mergeCell ref="AX22:AZ22"/>
    <mergeCell ref="BA22:BB22"/>
    <mergeCell ref="BD22:BE22"/>
    <mergeCell ref="BF22:BI22"/>
    <mergeCell ref="R23:S23"/>
    <mergeCell ref="T23:U23"/>
    <mergeCell ref="V23:W23"/>
    <mergeCell ref="X23:AA23"/>
    <mergeCell ref="BD21:BE21"/>
    <mergeCell ref="BF21:BI21"/>
    <mergeCell ref="AN21:AO21"/>
    <mergeCell ref="AP21:AQ21"/>
    <mergeCell ref="AR21:AS21"/>
    <mergeCell ref="AT21:AU21"/>
    <mergeCell ref="AV21:AW21"/>
    <mergeCell ref="AX21:AZ21"/>
    <mergeCell ref="BA21:BB21"/>
    <mergeCell ref="AJ23:AK23"/>
    <mergeCell ref="AL23:AM23"/>
    <mergeCell ref="T17:U17"/>
    <mergeCell ref="V17:W17"/>
    <mergeCell ref="X17:AA17"/>
    <mergeCell ref="AB17:AE17"/>
    <mergeCell ref="AF17:AG17"/>
    <mergeCell ref="AH17:AI17"/>
    <mergeCell ref="AX17:AZ17"/>
    <mergeCell ref="AX19:AZ19"/>
    <mergeCell ref="BA19:BB19"/>
    <mergeCell ref="BD19:BE19"/>
    <mergeCell ref="BF19:BI19"/>
    <mergeCell ref="R21:S21"/>
    <mergeCell ref="T21:U21"/>
    <mergeCell ref="V21:W21"/>
    <mergeCell ref="X21:AA21"/>
    <mergeCell ref="AB21:AE21"/>
    <mergeCell ref="AB23:AE23"/>
    <mergeCell ref="AF23:AG23"/>
    <mergeCell ref="AH23:AI23"/>
    <mergeCell ref="AH28:AI28"/>
    <mergeCell ref="AX28:AZ28"/>
    <mergeCell ref="BA28:BB28"/>
    <mergeCell ref="BD28:BE28"/>
    <mergeCell ref="BF28:BI28"/>
    <mergeCell ref="BJ28:BM28"/>
    <mergeCell ref="BN28:BV28"/>
    <mergeCell ref="BJ29:BM29"/>
    <mergeCell ref="BN29:BV29"/>
    <mergeCell ref="B28:C28"/>
    <mergeCell ref="D28:E28"/>
    <mergeCell ref="F28:G28"/>
    <mergeCell ref="H28:I28"/>
    <mergeCell ref="J28:K28"/>
    <mergeCell ref="L28:M28"/>
    <mergeCell ref="BD27:BE27"/>
    <mergeCell ref="BF27:BI27"/>
    <mergeCell ref="AN27:AO27"/>
    <mergeCell ref="AP27:AQ27"/>
    <mergeCell ref="AR27:AS27"/>
    <mergeCell ref="AT27:AU27"/>
    <mergeCell ref="AV27:AW27"/>
    <mergeCell ref="AX27:AZ27"/>
    <mergeCell ref="BA27:BB27"/>
    <mergeCell ref="AJ25:AK25"/>
    <mergeCell ref="AL25:AM25"/>
    <mergeCell ref="R25:S25"/>
    <mergeCell ref="T25:U25"/>
    <mergeCell ref="V25:W25"/>
    <mergeCell ref="X25:AA25"/>
    <mergeCell ref="AB25:AE25"/>
    <mergeCell ref="AF25:AG25"/>
    <mergeCell ref="AH25:AI25"/>
    <mergeCell ref="R26:S26"/>
    <mergeCell ref="T26:U26"/>
    <mergeCell ref="V26:W26"/>
    <mergeCell ref="X26:AA26"/>
    <mergeCell ref="AB26:AE26"/>
    <mergeCell ref="AF26:AG26"/>
    <mergeCell ref="AH26:AI26"/>
    <mergeCell ref="AX26:AZ26"/>
    <mergeCell ref="BA26:BB26"/>
    <mergeCell ref="BD26:BE26"/>
    <mergeCell ref="BF26:BI26"/>
    <mergeCell ref="J30:K30"/>
    <mergeCell ref="L30:M30"/>
    <mergeCell ref="P30:Q30"/>
    <mergeCell ref="B31:C31"/>
    <mergeCell ref="D31:E31"/>
    <mergeCell ref="F31:G31"/>
    <mergeCell ref="H31:I31"/>
    <mergeCell ref="J31:K31"/>
    <mergeCell ref="L31:M31"/>
    <mergeCell ref="P31:Q31"/>
    <mergeCell ref="AJ30:AK30"/>
    <mergeCell ref="AL30:AM30"/>
    <mergeCell ref="AN30:AO30"/>
    <mergeCell ref="AP30:AQ30"/>
    <mergeCell ref="AR30:AS30"/>
    <mergeCell ref="AT30:AU30"/>
    <mergeCell ref="BN26:BV26"/>
    <mergeCell ref="BJ27:BM27"/>
    <mergeCell ref="BN27:BV27"/>
    <mergeCell ref="B26:C26"/>
    <mergeCell ref="D26:E26"/>
    <mergeCell ref="F26:G26"/>
    <mergeCell ref="H26:I26"/>
    <mergeCell ref="J26:K26"/>
    <mergeCell ref="L26:M26"/>
    <mergeCell ref="P26:Q26"/>
    <mergeCell ref="B27:C27"/>
    <mergeCell ref="D27:E27"/>
    <mergeCell ref="F27:G27"/>
    <mergeCell ref="H27:I27"/>
    <mergeCell ref="J27:K27"/>
    <mergeCell ref="L27:M27"/>
    <mergeCell ref="P27:Q27"/>
    <mergeCell ref="AJ26:AK26"/>
    <mergeCell ref="AL26:AM26"/>
    <mergeCell ref="AN26:AO26"/>
    <mergeCell ref="AP26:AQ26"/>
    <mergeCell ref="AR26:AS26"/>
    <mergeCell ref="AT26:AU26"/>
    <mergeCell ref="AV26:AW26"/>
    <mergeCell ref="BD29:BE29"/>
    <mergeCell ref="BF29:BI29"/>
    <mergeCell ref="AN29:AO29"/>
    <mergeCell ref="AP29:AQ29"/>
    <mergeCell ref="AR29:AS29"/>
    <mergeCell ref="AT29:AU29"/>
    <mergeCell ref="AV29:AW29"/>
    <mergeCell ref="AX29:AZ29"/>
    <mergeCell ref="BA29:BB29"/>
    <mergeCell ref="AJ27:AK27"/>
    <mergeCell ref="AL27:AM27"/>
    <mergeCell ref="R27:S27"/>
    <mergeCell ref="T27:U27"/>
    <mergeCell ref="V27:W27"/>
    <mergeCell ref="X27:AA27"/>
    <mergeCell ref="AB27:AE27"/>
    <mergeCell ref="AF27:AG27"/>
    <mergeCell ref="AH27:AI27"/>
    <mergeCell ref="R28:S28"/>
    <mergeCell ref="T28:U28"/>
    <mergeCell ref="V28:W28"/>
    <mergeCell ref="X28:AA28"/>
    <mergeCell ref="AB28:AE28"/>
    <mergeCell ref="AF28:AG28"/>
    <mergeCell ref="L32:M32"/>
    <mergeCell ref="P32:Q32"/>
    <mergeCell ref="B33:C33"/>
    <mergeCell ref="D33:E33"/>
    <mergeCell ref="F33:G33"/>
    <mergeCell ref="H33:I33"/>
    <mergeCell ref="J33:K33"/>
    <mergeCell ref="L33:M33"/>
    <mergeCell ref="P33:Q33"/>
    <mergeCell ref="AJ32:AK32"/>
    <mergeCell ref="AL32:AM32"/>
    <mergeCell ref="AN32:AO32"/>
    <mergeCell ref="AP32:AQ32"/>
    <mergeCell ref="AR32:AS32"/>
    <mergeCell ref="AT32:AU32"/>
    <mergeCell ref="AV32:AW32"/>
    <mergeCell ref="P28:Q28"/>
    <mergeCell ref="B29:C29"/>
    <mergeCell ref="D29:E29"/>
    <mergeCell ref="F29:G29"/>
    <mergeCell ref="H29:I29"/>
    <mergeCell ref="J29:K29"/>
    <mergeCell ref="L29:M29"/>
    <mergeCell ref="P29:Q29"/>
    <mergeCell ref="AJ28:AK28"/>
    <mergeCell ref="AL28:AM28"/>
    <mergeCell ref="AN28:AO28"/>
    <mergeCell ref="AP28:AQ28"/>
    <mergeCell ref="AR28:AS28"/>
    <mergeCell ref="AT28:AU28"/>
    <mergeCell ref="AV28:AW28"/>
    <mergeCell ref="BD31:BE31"/>
    <mergeCell ref="BF31:BI31"/>
    <mergeCell ref="AN31:AO31"/>
    <mergeCell ref="AP31:AQ31"/>
    <mergeCell ref="AR31:AS31"/>
    <mergeCell ref="AT31:AU31"/>
    <mergeCell ref="AV31:AW31"/>
    <mergeCell ref="AX31:AZ31"/>
    <mergeCell ref="BA31:BB31"/>
    <mergeCell ref="AJ29:AK29"/>
    <mergeCell ref="AL29:AM29"/>
    <mergeCell ref="R29:S29"/>
    <mergeCell ref="T29:U29"/>
    <mergeCell ref="V29:W29"/>
    <mergeCell ref="X29:AA29"/>
    <mergeCell ref="AB29:AE29"/>
    <mergeCell ref="AF29:AG29"/>
    <mergeCell ref="AH29:AI29"/>
    <mergeCell ref="R30:S30"/>
    <mergeCell ref="T30:U30"/>
    <mergeCell ref="V30:W30"/>
    <mergeCell ref="X30:AA30"/>
    <mergeCell ref="AB30:AE30"/>
    <mergeCell ref="AF30:AG30"/>
    <mergeCell ref="AH30:AI30"/>
    <mergeCell ref="AX30:AZ30"/>
    <mergeCell ref="BA30:BB30"/>
    <mergeCell ref="BD30:BE30"/>
    <mergeCell ref="BF30:BI30"/>
    <mergeCell ref="B30:C30"/>
    <mergeCell ref="D30:E30"/>
    <mergeCell ref="F30:G30"/>
    <mergeCell ref="H30:I30"/>
    <mergeCell ref="X34:AA34"/>
    <mergeCell ref="AB34:AE34"/>
    <mergeCell ref="AF34:AG34"/>
    <mergeCell ref="AH34:AI34"/>
    <mergeCell ref="AX34:AZ34"/>
    <mergeCell ref="BA34:BB34"/>
    <mergeCell ref="BD34:BE34"/>
    <mergeCell ref="BF34:BI34"/>
    <mergeCell ref="B34:C34"/>
    <mergeCell ref="D34:E34"/>
    <mergeCell ref="F34:G34"/>
    <mergeCell ref="H34:I34"/>
    <mergeCell ref="J34:K34"/>
    <mergeCell ref="L34:M34"/>
    <mergeCell ref="P34:Q34"/>
    <mergeCell ref="B35:C35"/>
    <mergeCell ref="D35:E35"/>
    <mergeCell ref="F35:G35"/>
    <mergeCell ref="H35:I35"/>
    <mergeCell ref="J35:K35"/>
    <mergeCell ref="L35:M35"/>
    <mergeCell ref="P35:Q35"/>
    <mergeCell ref="AJ34:AK34"/>
    <mergeCell ref="AL34:AM34"/>
    <mergeCell ref="AN34:AO34"/>
    <mergeCell ref="AP34:AQ34"/>
    <mergeCell ref="AR34:AS34"/>
    <mergeCell ref="AT34:AU34"/>
    <mergeCell ref="AV34:AW34"/>
    <mergeCell ref="AV30:AW30"/>
    <mergeCell ref="BD33:BE33"/>
    <mergeCell ref="BF33:BI33"/>
    <mergeCell ref="AN33:AO33"/>
    <mergeCell ref="AP33:AQ33"/>
    <mergeCell ref="AR33:AS33"/>
    <mergeCell ref="AT33:AU33"/>
    <mergeCell ref="AV33:AW33"/>
    <mergeCell ref="AX33:AZ33"/>
    <mergeCell ref="BA33:BB33"/>
    <mergeCell ref="AJ31:AK31"/>
    <mergeCell ref="AL31:AM31"/>
    <mergeCell ref="R31:S31"/>
    <mergeCell ref="T31:U31"/>
    <mergeCell ref="V31:W31"/>
    <mergeCell ref="X31:AA31"/>
    <mergeCell ref="AB31:AE31"/>
    <mergeCell ref="AF31:AG31"/>
    <mergeCell ref="AH31:AI31"/>
    <mergeCell ref="R32:S32"/>
    <mergeCell ref="T32:U32"/>
    <mergeCell ref="V32:W32"/>
    <mergeCell ref="X32:AA32"/>
    <mergeCell ref="AB32:AE32"/>
    <mergeCell ref="AF32:AG32"/>
    <mergeCell ref="AH32:AI32"/>
    <mergeCell ref="AX32:AZ32"/>
    <mergeCell ref="BA32:BB32"/>
    <mergeCell ref="BD32:BE32"/>
    <mergeCell ref="BF32:BI32"/>
    <mergeCell ref="B32:C32"/>
    <mergeCell ref="D32:E32"/>
    <mergeCell ref="F32:G32"/>
    <mergeCell ref="H32:I32"/>
    <mergeCell ref="J32:K32"/>
    <mergeCell ref="AR37:AS37"/>
    <mergeCell ref="AT37:AU37"/>
    <mergeCell ref="AV37:AW37"/>
    <mergeCell ref="AX37:AZ37"/>
    <mergeCell ref="BA37:BB37"/>
    <mergeCell ref="AJ35:AK35"/>
    <mergeCell ref="AL35:AM35"/>
    <mergeCell ref="R35:S35"/>
    <mergeCell ref="T35:U35"/>
    <mergeCell ref="V35:W35"/>
    <mergeCell ref="X35:AA35"/>
    <mergeCell ref="AB35:AE35"/>
    <mergeCell ref="AF35:AG35"/>
    <mergeCell ref="AH35:AI35"/>
    <mergeCell ref="R36:S36"/>
    <mergeCell ref="T36:U36"/>
    <mergeCell ref="V36:W36"/>
    <mergeCell ref="X36:AA36"/>
    <mergeCell ref="AB36:AE36"/>
    <mergeCell ref="AF36:AG36"/>
    <mergeCell ref="AH36:AI36"/>
    <mergeCell ref="AX36:AZ36"/>
    <mergeCell ref="BA36:BB36"/>
    <mergeCell ref="BD36:BE36"/>
    <mergeCell ref="BF36:BI36"/>
    <mergeCell ref="B36:C36"/>
    <mergeCell ref="D36:E36"/>
    <mergeCell ref="F36:G36"/>
    <mergeCell ref="H36:I36"/>
    <mergeCell ref="J36:K36"/>
    <mergeCell ref="L36:M36"/>
    <mergeCell ref="P36:Q36"/>
    <mergeCell ref="B37:C37"/>
    <mergeCell ref="BD35:BE35"/>
    <mergeCell ref="BF35:BI35"/>
    <mergeCell ref="AN35:AO35"/>
    <mergeCell ref="AP35:AQ35"/>
    <mergeCell ref="AR35:AS35"/>
    <mergeCell ref="AT35:AU35"/>
    <mergeCell ref="AV35:AW35"/>
    <mergeCell ref="AX35:AZ35"/>
    <mergeCell ref="BA35:BB35"/>
    <mergeCell ref="L37:M37"/>
    <mergeCell ref="P37:Q37"/>
    <mergeCell ref="BJ57:BM57"/>
    <mergeCell ref="BN57:BV57"/>
    <mergeCell ref="BJ58:BM58"/>
    <mergeCell ref="BN58:BV58"/>
    <mergeCell ref="B57:C57"/>
    <mergeCell ref="D57:E57"/>
    <mergeCell ref="F57:G57"/>
    <mergeCell ref="H57:I57"/>
    <mergeCell ref="J57:K57"/>
    <mergeCell ref="L57:M57"/>
    <mergeCell ref="AJ36:AK36"/>
    <mergeCell ref="AL36:AM36"/>
    <mergeCell ref="AN36:AO36"/>
    <mergeCell ref="AP36:AQ36"/>
    <mergeCell ref="AR36:AS36"/>
    <mergeCell ref="AT36:AU36"/>
    <mergeCell ref="AV36:AW36"/>
    <mergeCell ref="AJ54:AK54"/>
    <mergeCell ref="AL54:AM54"/>
    <mergeCell ref="R54:S54"/>
    <mergeCell ref="T54:U54"/>
    <mergeCell ref="V54:W54"/>
    <mergeCell ref="X54:AA54"/>
    <mergeCell ref="AB54:AE54"/>
    <mergeCell ref="AF54:AG54"/>
    <mergeCell ref="AH54:AI54"/>
    <mergeCell ref="R55:S55"/>
    <mergeCell ref="T55:U55"/>
    <mergeCell ref="V55:W55"/>
    <mergeCell ref="X55:AA55"/>
    <mergeCell ref="AB55:AE55"/>
    <mergeCell ref="AF55:AG55"/>
    <mergeCell ref="AH55:AI55"/>
    <mergeCell ref="AX55:AZ55"/>
    <mergeCell ref="BA55:BB55"/>
    <mergeCell ref="BD55:BE55"/>
    <mergeCell ref="BF55:BI55"/>
    <mergeCell ref="BD39:BE39"/>
    <mergeCell ref="BF39:BI39"/>
    <mergeCell ref="AN39:AO39"/>
    <mergeCell ref="AP39:AQ39"/>
    <mergeCell ref="AR39:AS39"/>
    <mergeCell ref="AT39:AU39"/>
    <mergeCell ref="AV39:AW39"/>
    <mergeCell ref="AX39:AZ39"/>
    <mergeCell ref="BA39:BB39"/>
    <mergeCell ref="AJ37:AK37"/>
    <mergeCell ref="AL37:AM37"/>
    <mergeCell ref="BD41:BE41"/>
    <mergeCell ref="BF41:BI41"/>
    <mergeCell ref="AN41:AO41"/>
    <mergeCell ref="AP41:AQ41"/>
    <mergeCell ref="AR41:AS41"/>
    <mergeCell ref="AT41:AU41"/>
    <mergeCell ref="AV41:AW41"/>
    <mergeCell ref="AX41:AZ41"/>
    <mergeCell ref="BA41:BB41"/>
    <mergeCell ref="R40:S40"/>
    <mergeCell ref="T40:U40"/>
    <mergeCell ref="V40:W40"/>
    <mergeCell ref="X40:AA40"/>
    <mergeCell ref="AB40:AE40"/>
    <mergeCell ref="AF40:AG40"/>
    <mergeCell ref="AH40:AI40"/>
    <mergeCell ref="F56:G56"/>
    <mergeCell ref="H56:I56"/>
    <mergeCell ref="J56:K56"/>
    <mergeCell ref="L56:M56"/>
    <mergeCell ref="P56:Q56"/>
    <mergeCell ref="AJ55:AK55"/>
    <mergeCell ref="AL55:AM55"/>
    <mergeCell ref="AN55:AO55"/>
    <mergeCell ref="AP55:AQ55"/>
    <mergeCell ref="AR55:AS55"/>
    <mergeCell ref="AT55:AU55"/>
    <mergeCell ref="AV55:AW55"/>
    <mergeCell ref="BD58:BE58"/>
    <mergeCell ref="BF58:BI58"/>
    <mergeCell ref="AN58:AO58"/>
    <mergeCell ref="AP58:AQ58"/>
    <mergeCell ref="AR58:AS58"/>
    <mergeCell ref="AT58:AU58"/>
    <mergeCell ref="AV58:AW58"/>
    <mergeCell ref="AX58:AZ58"/>
    <mergeCell ref="BA58:BB58"/>
    <mergeCell ref="AJ56:AK56"/>
    <mergeCell ref="AL56:AM56"/>
    <mergeCell ref="R56:S56"/>
    <mergeCell ref="T56:U56"/>
    <mergeCell ref="V56:W56"/>
    <mergeCell ref="X56:AA56"/>
    <mergeCell ref="AB56:AE56"/>
    <mergeCell ref="AF56:AG56"/>
    <mergeCell ref="AH56:AI56"/>
    <mergeCell ref="R57:S57"/>
    <mergeCell ref="T57:U57"/>
    <mergeCell ref="V57:W57"/>
    <mergeCell ref="X57:AA57"/>
    <mergeCell ref="AB57:AE57"/>
    <mergeCell ref="AF57:AG57"/>
    <mergeCell ref="AH57:AI57"/>
    <mergeCell ref="AX57:AZ57"/>
    <mergeCell ref="BA57:BB57"/>
    <mergeCell ref="BD57:BE57"/>
    <mergeCell ref="BF57:BI57"/>
    <mergeCell ref="T58:U58"/>
    <mergeCell ref="V58:W58"/>
    <mergeCell ref="X58:AA58"/>
    <mergeCell ref="AB58:AE58"/>
    <mergeCell ref="AF58:AG58"/>
    <mergeCell ref="AH58:AI58"/>
    <mergeCell ref="AX52:AZ52"/>
    <mergeCell ref="BA52:BB52"/>
    <mergeCell ref="BD52:BE52"/>
    <mergeCell ref="BF52:BI52"/>
    <mergeCell ref="BJ52:BM52"/>
    <mergeCell ref="BN52:BV52"/>
    <mergeCell ref="AJ52:AK52"/>
    <mergeCell ref="AL52:AM52"/>
    <mergeCell ref="AN52:AO52"/>
    <mergeCell ref="AP52:AQ52"/>
    <mergeCell ref="AR52:AS52"/>
    <mergeCell ref="AT52:AU52"/>
    <mergeCell ref="AV52:AW52"/>
    <mergeCell ref="B52:C52"/>
    <mergeCell ref="D52:E52"/>
    <mergeCell ref="F52:G52"/>
    <mergeCell ref="H52:I52"/>
    <mergeCell ref="J52:K52"/>
    <mergeCell ref="L52:M52"/>
    <mergeCell ref="P52:Q52"/>
    <mergeCell ref="P57:Q57"/>
    <mergeCell ref="B58:C58"/>
    <mergeCell ref="D58:E58"/>
    <mergeCell ref="F58:G58"/>
    <mergeCell ref="H58:I58"/>
    <mergeCell ref="J58:K58"/>
    <mergeCell ref="L58:M58"/>
    <mergeCell ref="P58:Q58"/>
    <mergeCell ref="AJ57:AK57"/>
    <mergeCell ref="AL57:AM57"/>
    <mergeCell ref="AN57:AO57"/>
    <mergeCell ref="AP57:AQ57"/>
    <mergeCell ref="AR57:AS57"/>
    <mergeCell ref="AT57:AU57"/>
    <mergeCell ref="AV57:AW57"/>
    <mergeCell ref="BD54:BE54"/>
    <mergeCell ref="BF54:BI54"/>
    <mergeCell ref="AN54:AO54"/>
    <mergeCell ref="AP54:AQ54"/>
    <mergeCell ref="AR54:AS54"/>
    <mergeCell ref="AT54:AU54"/>
    <mergeCell ref="AV54:AW54"/>
    <mergeCell ref="AX54:AZ54"/>
    <mergeCell ref="BA54:BB54"/>
    <mergeCell ref="AX53:AZ53"/>
    <mergeCell ref="BA53:BB53"/>
    <mergeCell ref="BD53:BE53"/>
    <mergeCell ref="BF53:BI53"/>
    <mergeCell ref="AJ58:AK58"/>
    <mergeCell ref="AL58:AM58"/>
    <mergeCell ref="R58:S58"/>
    <mergeCell ref="BJ55:BM55"/>
    <mergeCell ref="BN55:BV55"/>
    <mergeCell ref="BJ56:BM56"/>
    <mergeCell ref="BN56:BV56"/>
    <mergeCell ref="B55:C55"/>
    <mergeCell ref="D55:E55"/>
    <mergeCell ref="F55:G55"/>
    <mergeCell ref="H55:I55"/>
    <mergeCell ref="J55:K55"/>
    <mergeCell ref="L55:M55"/>
    <mergeCell ref="P55:Q55"/>
    <mergeCell ref="B56:C56"/>
    <mergeCell ref="D56:E56"/>
    <mergeCell ref="B50:C50"/>
    <mergeCell ref="D50:E50"/>
    <mergeCell ref="F50:G50"/>
    <mergeCell ref="H50:I50"/>
    <mergeCell ref="J50:K50"/>
    <mergeCell ref="L50:M50"/>
    <mergeCell ref="P50:Q50"/>
    <mergeCell ref="AJ50:AK50"/>
    <mergeCell ref="AL50:AM50"/>
    <mergeCell ref="AN50:AO50"/>
    <mergeCell ref="AP50:AQ50"/>
    <mergeCell ref="AR50:AS50"/>
    <mergeCell ref="AT50:AU50"/>
    <mergeCell ref="AV50:AW50"/>
    <mergeCell ref="B51:C51"/>
    <mergeCell ref="D51:E51"/>
    <mergeCell ref="F51:G51"/>
    <mergeCell ref="H51:I51"/>
    <mergeCell ref="J51:K51"/>
    <mergeCell ref="L51:M51"/>
    <mergeCell ref="P51:Q51"/>
    <mergeCell ref="R53:S53"/>
    <mergeCell ref="T53:U53"/>
    <mergeCell ref="V53:W53"/>
    <mergeCell ref="X53:AA53"/>
    <mergeCell ref="AB53:AE53"/>
    <mergeCell ref="AF53:AG53"/>
    <mergeCell ref="AH53:AI53"/>
    <mergeCell ref="B53:C53"/>
    <mergeCell ref="D53:E53"/>
    <mergeCell ref="F53:G53"/>
    <mergeCell ref="H53:I53"/>
    <mergeCell ref="J53:K53"/>
    <mergeCell ref="L53:M53"/>
    <mergeCell ref="P53:Q53"/>
    <mergeCell ref="R52:S52"/>
    <mergeCell ref="T52:U52"/>
    <mergeCell ref="V52:W52"/>
    <mergeCell ref="X52:AA52"/>
    <mergeCell ref="AB52:AE52"/>
    <mergeCell ref="AF52:AG52"/>
    <mergeCell ref="AH52:AI52"/>
    <mergeCell ref="AN51:AO51"/>
    <mergeCell ref="AP51:AQ51"/>
    <mergeCell ref="AR51:AS51"/>
    <mergeCell ref="AT51:AU51"/>
    <mergeCell ref="AV51:AW51"/>
    <mergeCell ref="R50:S50"/>
    <mergeCell ref="T50:U50"/>
    <mergeCell ref="V50:W50"/>
    <mergeCell ref="X50:AA50"/>
    <mergeCell ref="AB50:AE50"/>
    <mergeCell ref="AF50:AG50"/>
    <mergeCell ref="AH50:AI50"/>
    <mergeCell ref="AJ51:AK51"/>
    <mergeCell ref="AL51:AM51"/>
    <mergeCell ref="R51:S51"/>
    <mergeCell ref="T51:U51"/>
    <mergeCell ref="V51:W51"/>
    <mergeCell ref="X51:AA51"/>
    <mergeCell ref="AB51:AE51"/>
    <mergeCell ref="AF51:AG51"/>
    <mergeCell ref="AH51:AI51"/>
    <mergeCell ref="B64:C64"/>
    <mergeCell ref="D64:E64"/>
    <mergeCell ref="F64:G64"/>
    <mergeCell ref="H64:I64"/>
    <mergeCell ref="J64:K64"/>
    <mergeCell ref="L64:M64"/>
    <mergeCell ref="P64:Q64"/>
    <mergeCell ref="B65:C65"/>
    <mergeCell ref="D65:E65"/>
    <mergeCell ref="F65:G65"/>
    <mergeCell ref="H65:I65"/>
    <mergeCell ref="J65:K65"/>
    <mergeCell ref="L65:M65"/>
    <mergeCell ref="P65:Q65"/>
    <mergeCell ref="AJ64:AK64"/>
    <mergeCell ref="AL64:AM64"/>
    <mergeCell ref="AN64:AO64"/>
    <mergeCell ref="AP64:AQ64"/>
    <mergeCell ref="AR64:AS64"/>
    <mergeCell ref="AT64:AU64"/>
    <mergeCell ref="AV64:AW64"/>
    <mergeCell ref="BJ53:BM53"/>
    <mergeCell ref="BN53:BV53"/>
    <mergeCell ref="BJ54:BM54"/>
    <mergeCell ref="BN54:BV54"/>
    <mergeCell ref="B54:C54"/>
    <mergeCell ref="D54:E54"/>
    <mergeCell ref="F54:G54"/>
    <mergeCell ref="H54:I54"/>
    <mergeCell ref="J54:K54"/>
    <mergeCell ref="L54:M54"/>
    <mergeCell ref="P54:Q54"/>
    <mergeCell ref="AJ53:AK53"/>
    <mergeCell ref="AL53:AM53"/>
    <mergeCell ref="AN53:AO53"/>
    <mergeCell ref="AP53:AQ53"/>
    <mergeCell ref="AR53:AS53"/>
    <mergeCell ref="AT53:AU53"/>
    <mergeCell ref="AV53:AW53"/>
    <mergeCell ref="BD56:BE56"/>
    <mergeCell ref="BF56:BI56"/>
    <mergeCell ref="AN56:AO56"/>
    <mergeCell ref="AP56:AQ56"/>
    <mergeCell ref="AR56:AS56"/>
    <mergeCell ref="AT56:AU56"/>
    <mergeCell ref="AV56:AW56"/>
    <mergeCell ref="AX56:AZ56"/>
    <mergeCell ref="BA56:BB56"/>
    <mergeCell ref="AJ60:AK60"/>
    <mergeCell ref="AL60:AM60"/>
    <mergeCell ref="BJ60:BM60"/>
    <mergeCell ref="BN60:BV60"/>
    <mergeCell ref="R60:S60"/>
    <mergeCell ref="T60:U60"/>
    <mergeCell ref="V60:W60"/>
    <mergeCell ref="X60:AA60"/>
    <mergeCell ref="AB60:AE60"/>
    <mergeCell ref="AF60:AG60"/>
    <mergeCell ref="AH60:AI60"/>
    <mergeCell ref="BJ59:BM59"/>
    <mergeCell ref="BN59:BV59"/>
    <mergeCell ref="B60:C60"/>
    <mergeCell ref="D60:E60"/>
    <mergeCell ref="F60:G60"/>
    <mergeCell ref="BA66:BB66"/>
    <mergeCell ref="BD66:BE66"/>
    <mergeCell ref="BF66:BI66"/>
    <mergeCell ref="BJ66:BM66"/>
    <mergeCell ref="BN66:BV66"/>
    <mergeCell ref="BJ67:BM67"/>
    <mergeCell ref="BN67:BV67"/>
    <mergeCell ref="BD65:BE65"/>
    <mergeCell ref="BF65:BI65"/>
    <mergeCell ref="AN65:AO65"/>
    <mergeCell ref="AP65:AQ65"/>
    <mergeCell ref="AR65:AS65"/>
    <mergeCell ref="AT65:AU65"/>
    <mergeCell ref="AV65:AW65"/>
    <mergeCell ref="AX65:AZ65"/>
    <mergeCell ref="BA65:BB65"/>
    <mergeCell ref="AJ63:AK63"/>
    <mergeCell ref="AL63:AM63"/>
    <mergeCell ref="R63:S63"/>
    <mergeCell ref="T63:U63"/>
    <mergeCell ref="V63:W63"/>
    <mergeCell ref="X63:AA63"/>
    <mergeCell ref="AB63:AE63"/>
    <mergeCell ref="AF63:AG63"/>
    <mergeCell ref="AH63:AI63"/>
    <mergeCell ref="R64:S64"/>
    <mergeCell ref="T64:U64"/>
    <mergeCell ref="V64:W64"/>
    <mergeCell ref="X64:AA64"/>
    <mergeCell ref="AB64:AE64"/>
    <mergeCell ref="AF64:AG64"/>
    <mergeCell ref="AH64:AI64"/>
    <mergeCell ref="AX64:AZ64"/>
    <mergeCell ref="BA64:BB64"/>
    <mergeCell ref="BD64:BE64"/>
    <mergeCell ref="BF64:BI64"/>
    <mergeCell ref="BJ64:BM64"/>
    <mergeCell ref="BN64:BV64"/>
    <mergeCell ref="BJ65:BM65"/>
    <mergeCell ref="BN65:BV65"/>
    <mergeCell ref="AH67:AI67"/>
    <mergeCell ref="R59:S59"/>
    <mergeCell ref="T59:U59"/>
    <mergeCell ref="V59:W59"/>
    <mergeCell ref="X59:AA59"/>
    <mergeCell ref="AB59:AE59"/>
    <mergeCell ref="AF59:AG59"/>
    <mergeCell ref="AH59:AI59"/>
    <mergeCell ref="AX59:AZ59"/>
    <mergeCell ref="BA59:BB59"/>
    <mergeCell ref="BD59:BE59"/>
    <mergeCell ref="BF59:BI59"/>
    <mergeCell ref="B59:C59"/>
    <mergeCell ref="D59:E59"/>
    <mergeCell ref="F59:G59"/>
    <mergeCell ref="H59:I59"/>
    <mergeCell ref="J59:K59"/>
    <mergeCell ref="L59:M59"/>
    <mergeCell ref="P59:Q59"/>
    <mergeCell ref="AJ59:AK59"/>
    <mergeCell ref="AL59:AM59"/>
    <mergeCell ref="AN59:AO59"/>
    <mergeCell ref="AP59:AQ59"/>
    <mergeCell ref="AR59:AS59"/>
    <mergeCell ref="AT59:AU59"/>
    <mergeCell ref="AV59:AW59"/>
    <mergeCell ref="X61:AA61"/>
    <mergeCell ref="AB61:AE61"/>
    <mergeCell ref="AF61:AG61"/>
    <mergeCell ref="AH61:AI61"/>
    <mergeCell ref="AX61:AZ61"/>
    <mergeCell ref="BA61:BB61"/>
    <mergeCell ref="BD61:BE61"/>
    <mergeCell ref="BF61:BI61"/>
    <mergeCell ref="H60:I60"/>
    <mergeCell ref="J60:K60"/>
    <mergeCell ref="L60:M60"/>
    <mergeCell ref="P60:Q60"/>
    <mergeCell ref="B66:C66"/>
    <mergeCell ref="D66:E66"/>
    <mergeCell ref="F66:G66"/>
    <mergeCell ref="H66:I66"/>
    <mergeCell ref="J66:K66"/>
    <mergeCell ref="L66:M66"/>
    <mergeCell ref="P66:Q66"/>
    <mergeCell ref="B67:C67"/>
    <mergeCell ref="D67:E67"/>
    <mergeCell ref="F67:G67"/>
    <mergeCell ref="H67:I67"/>
    <mergeCell ref="J67:K67"/>
    <mergeCell ref="L67:M67"/>
    <mergeCell ref="P67:Q67"/>
    <mergeCell ref="AJ66:AK66"/>
    <mergeCell ref="AL66:AM66"/>
    <mergeCell ref="AN66:AO66"/>
    <mergeCell ref="AP66:AQ66"/>
    <mergeCell ref="AR66:AS66"/>
    <mergeCell ref="AT66:AU66"/>
    <mergeCell ref="AV66:AW66"/>
    <mergeCell ref="BD60:BE60"/>
    <mergeCell ref="BF60:BI60"/>
    <mergeCell ref="AN60:AO60"/>
    <mergeCell ref="AP60:AQ60"/>
    <mergeCell ref="AR60:AS60"/>
    <mergeCell ref="AT60:AU60"/>
    <mergeCell ref="AV60:AW60"/>
    <mergeCell ref="AX60:AZ60"/>
    <mergeCell ref="BA60:BB60"/>
    <mergeCell ref="BD67:BE67"/>
    <mergeCell ref="BF67:BI67"/>
    <mergeCell ref="AN67:AO67"/>
    <mergeCell ref="AP67:AQ67"/>
    <mergeCell ref="AR67:AS67"/>
    <mergeCell ref="AT67:AU67"/>
    <mergeCell ref="AV67:AW67"/>
    <mergeCell ref="AX67:AZ67"/>
    <mergeCell ref="BA67:BB67"/>
    <mergeCell ref="AJ65:AK65"/>
    <mergeCell ref="AL65:AM65"/>
    <mergeCell ref="R65:S65"/>
    <mergeCell ref="T65:U65"/>
    <mergeCell ref="V65:W65"/>
    <mergeCell ref="X65:AA65"/>
    <mergeCell ref="AB65:AE65"/>
    <mergeCell ref="AF65:AG65"/>
    <mergeCell ref="AH65:AI65"/>
    <mergeCell ref="R66:S66"/>
    <mergeCell ref="T66:U66"/>
    <mergeCell ref="V66:W66"/>
    <mergeCell ref="X66:AA66"/>
    <mergeCell ref="AB66:AE66"/>
    <mergeCell ref="AF66:AG66"/>
    <mergeCell ref="AH66:AI66"/>
    <mergeCell ref="AX66:AZ66"/>
    <mergeCell ref="AJ67:AK67"/>
    <mergeCell ref="AL67:AM67"/>
    <mergeCell ref="R67:S67"/>
    <mergeCell ref="T67:U67"/>
    <mergeCell ref="V67:W67"/>
    <mergeCell ref="X67:AA67"/>
    <mergeCell ref="AB67:AE67"/>
    <mergeCell ref="AF67:AG67"/>
    <mergeCell ref="BJ61:BM61"/>
    <mergeCell ref="BN61:BV61"/>
    <mergeCell ref="AJ61:AK61"/>
    <mergeCell ref="AL61:AM61"/>
    <mergeCell ref="AN61:AO61"/>
    <mergeCell ref="AP61:AQ61"/>
    <mergeCell ref="AR61:AS61"/>
    <mergeCell ref="AT61:AU61"/>
    <mergeCell ref="AV61:AW61"/>
    <mergeCell ref="B61:C61"/>
    <mergeCell ref="D61:E61"/>
    <mergeCell ref="F61:G61"/>
    <mergeCell ref="H61:I61"/>
    <mergeCell ref="J61:K61"/>
    <mergeCell ref="L61:M61"/>
    <mergeCell ref="P61:Q61"/>
    <mergeCell ref="AX62:AZ62"/>
    <mergeCell ref="BA62:BB62"/>
    <mergeCell ref="BD62:BE62"/>
    <mergeCell ref="BF62:BI62"/>
    <mergeCell ref="BJ62:BM62"/>
    <mergeCell ref="BN62:BV62"/>
    <mergeCell ref="BJ63:BM63"/>
    <mergeCell ref="BN63:BV63"/>
    <mergeCell ref="B63:C63"/>
    <mergeCell ref="D63:E63"/>
    <mergeCell ref="F63:G63"/>
    <mergeCell ref="H63:I63"/>
    <mergeCell ref="J63:K63"/>
    <mergeCell ref="L63:M63"/>
    <mergeCell ref="P63:Q63"/>
    <mergeCell ref="AJ62:AK62"/>
    <mergeCell ref="AL62:AM62"/>
    <mergeCell ref="AN62:AO62"/>
    <mergeCell ref="AP62:AQ62"/>
    <mergeCell ref="AR62:AS62"/>
    <mergeCell ref="AT62:AU62"/>
    <mergeCell ref="AV62:AW62"/>
    <mergeCell ref="R62:S62"/>
    <mergeCell ref="T62:U62"/>
    <mergeCell ref="V62:W62"/>
    <mergeCell ref="X62:AA62"/>
    <mergeCell ref="AB62:AE62"/>
    <mergeCell ref="AF62:AG62"/>
    <mergeCell ref="AH62:AI62"/>
    <mergeCell ref="B62:C62"/>
    <mergeCell ref="D62:E62"/>
    <mergeCell ref="F62:G62"/>
    <mergeCell ref="H62:I62"/>
    <mergeCell ref="J62:K62"/>
    <mergeCell ref="L62:M62"/>
    <mergeCell ref="P62:Q62"/>
    <mergeCell ref="BD63:BE63"/>
    <mergeCell ref="BF63:BI63"/>
    <mergeCell ref="AN63:AO63"/>
    <mergeCell ref="AP63:AQ63"/>
    <mergeCell ref="AR63:AS63"/>
    <mergeCell ref="AT63:AU63"/>
    <mergeCell ref="AV63:AW63"/>
    <mergeCell ref="AX63:AZ63"/>
    <mergeCell ref="BA63:BB63"/>
    <mergeCell ref="R61:S61"/>
    <mergeCell ref="T61:U61"/>
    <mergeCell ref="V61:W61"/>
    <mergeCell ref="BJ69:BM69"/>
    <mergeCell ref="BN69:BV69"/>
    <mergeCell ref="R69:S69"/>
    <mergeCell ref="T69:U69"/>
    <mergeCell ref="V69:W69"/>
    <mergeCell ref="X69:AA69"/>
    <mergeCell ref="AB69:AE69"/>
    <mergeCell ref="AF69:AG69"/>
    <mergeCell ref="AH69:AI69"/>
    <mergeCell ref="AJ72:AK72"/>
    <mergeCell ref="AL72:AM72"/>
    <mergeCell ref="R72:S72"/>
    <mergeCell ref="T72:U72"/>
    <mergeCell ref="V72:W72"/>
    <mergeCell ref="X72:AA72"/>
    <mergeCell ref="AB72:AE72"/>
    <mergeCell ref="AF72:AG72"/>
    <mergeCell ref="AH72:AI72"/>
    <mergeCell ref="R73:S73"/>
    <mergeCell ref="T73:U73"/>
    <mergeCell ref="V73:W73"/>
    <mergeCell ref="X73:AA73"/>
    <mergeCell ref="AB73:AE73"/>
    <mergeCell ref="AF73:AG73"/>
    <mergeCell ref="AH73:AI73"/>
    <mergeCell ref="AX73:AZ73"/>
    <mergeCell ref="BA73:BB73"/>
    <mergeCell ref="BD73:BE73"/>
    <mergeCell ref="BF73:BI73"/>
    <mergeCell ref="BJ73:BM73"/>
    <mergeCell ref="BN73:BV73"/>
    <mergeCell ref="BJ71:BM71"/>
    <mergeCell ref="BN71:BV71"/>
    <mergeCell ref="BJ72:BM72"/>
    <mergeCell ref="BN72:BV72"/>
    <mergeCell ref="BD69:BE69"/>
    <mergeCell ref="BF69:BI69"/>
    <mergeCell ref="AN69:AO69"/>
    <mergeCell ref="AP69:AQ69"/>
    <mergeCell ref="AR69:AS69"/>
    <mergeCell ref="AT69:AU69"/>
    <mergeCell ref="AV69:AW69"/>
    <mergeCell ref="AX69:AZ69"/>
    <mergeCell ref="BA69:BB69"/>
    <mergeCell ref="BJ70:BM70"/>
    <mergeCell ref="BN70:BV70"/>
    <mergeCell ref="R68:S68"/>
    <mergeCell ref="T68:U68"/>
    <mergeCell ref="V68:W68"/>
    <mergeCell ref="X68:AA68"/>
    <mergeCell ref="AB68:AE68"/>
    <mergeCell ref="AF68:AG68"/>
    <mergeCell ref="AH68:AI68"/>
    <mergeCell ref="AX68:AZ68"/>
    <mergeCell ref="BA68:BB68"/>
    <mergeCell ref="BD68:BE68"/>
    <mergeCell ref="BF68:BI68"/>
    <mergeCell ref="BD72:BE72"/>
    <mergeCell ref="BF72:BI72"/>
    <mergeCell ref="AN72:AO72"/>
    <mergeCell ref="AP72:AQ72"/>
    <mergeCell ref="AR72:AS72"/>
    <mergeCell ref="AT72:AU72"/>
    <mergeCell ref="AV72:AW72"/>
    <mergeCell ref="AX72:AZ72"/>
    <mergeCell ref="BA72:BB72"/>
    <mergeCell ref="AX71:AZ71"/>
    <mergeCell ref="BA71:BB71"/>
    <mergeCell ref="BD71:BE71"/>
    <mergeCell ref="BF71:BI71"/>
    <mergeCell ref="R70:S70"/>
    <mergeCell ref="T70:U70"/>
    <mergeCell ref="V70:W70"/>
    <mergeCell ref="X70:AA70"/>
    <mergeCell ref="AB70:AE70"/>
    <mergeCell ref="AF70:AG70"/>
    <mergeCell ref="AH70:AI70"/>
    <mergeCell ref="AX70:AZ70"/>
    <mergeCell ref="BA70:BB70"/>
    <mergeCell ref="BD70:BE70"/>
    <mergeCell ref="BF70:BI70"/>
    <mergeCell ref="AJ70:AK70"/>
    <mergeCell ref="AL70:AM70"/>
    <mergeCell ref="AN70:AO70"/>
    <mergeCell ref="AP70:AQ70"/>
    <mergeCell ref="AR70:AS70"/>
    <mergeCell ref="AT70:AU70"/>
    <mergeCell ref="AV70:AW70"/>
    <mergeCell ref="AJ69:AK69"/>
    <mergeCell ref="AL69:AM69"/>
    <mergeCell ref="F70:G70"/>
    <mergeCell ref="H70:I70"/>
    <mergeCell ref="J70:K70"/>
    <mergeCell ref="L70:M70"/>
    <mergeCell ref="P70:Q70"/>
    <mergeCell ref="D76:E76"/>
    <mergeCell ref="F76:G76"/>
    <mergeCell ref="H76:I76"/>
    <mergeCell ref="J76:K76"/>
    <mergeCell ref="L76:M76"/>
    <mergeCell ref="P76:Q76"/>
    <mergeCell ref="AJ75:AK75"/>
    <mergeCell ref="AL75:AM75"/>
    <mergeCell ref="AN75:AO75"/>
    <mergeCell ref="AP75:AQ75"/>
    <mergeCell ref="AR75:AS75"/>
    <mergeCell ref="AT75:AU75"/>
    <mergeCell ref="AV75:AW75"/>
    <mergeCell ref="BJ74:BM74"/>
    <mergeCell ref="BN74:BV74"/>
    <mergeCell ref="B73:C73"/>
    <mergeCell ref="D73:E73"/>
    <mergeCell ref="F73:G73"/>
    <mergeCell ref="H73:I73"/>
    <mergeCell ref="J73:K73"/>
    <mergeCell ref="L73:M73"/>
    <mergeCell ref="P73:Q73"/>
    <mergeCell ref="B74:C74"/>
    <mergeCell ref="D74:E74"/>
    <mergeCell ref="F74:G74"/>
    <mergeCell ref="H74:I74"/>
    <mergeCell ref="J74:K74"/>
    <mergeCell ref="L74:M74"/>
    <mergeCell ref="P74:Q74"/>
    <mergeCell ref="AJ73:AK73"/>
    <mergeCell ref="AL73:AM73"/>
    <mergeCell ref="AN73:AO73"/>
    <mergeCell ref="AP73:AQ73"/>
    <mergeCell ref="AR73:AS73"/>
    <mergeCell ref="AT73:AU73"/>
    <mergeCell ref="AV73:AW73"/>
    <mergeCell ref="BD76:BE76"/>
    <mergeCell ref="BD74:BE74"/>
    <mergeCell ref="BF74:BI74"/>
    <mergeCell ref="AN74:AO74"/>
    <mergeCell ref="AP74:AQ74"/>
    <mergeCell ref="AR74:AS74"/>
    <mergeCell ref="AT74:AU74"/>
    <mergeCell ref="AV74:AW74"/>
    <mergeCell ref="AX74:AZ74"/>
    <mergeCell ref="BA74:BB74"/>
    <mergeCell ref="AX75:AZ75"/>
    <mergeCell ref="BA75:BB75"/>
    <mergeCell ref="BD75:BE75"/>
    <mergeCell ref="BF75:BI75"/>
    <mergeCell ref="BJ75:BM75"/>
    <mergeCell ref="BN75:BV75"/>
    <mergeCell ref="BJ76:BM76"/>
    <mergeCell ref="BN76:BV76"/>
    <mergeCell ref="B75:C75"/>
    <mergeCell ref="D75:E75"/>
    <mergeCell ref="F75:G75"/>
    <mergeCell ref="H75:I75"/>
    <mergeCell ref="J75:K75"/>
    <mergeCell ref="BJ78:BM78"/>
    <mergeCell ref="BN78:BV78"/>
    <mergeCell ref="R78:S78"/>
    <mergeCell ref="T78:U78"/>
    <mergeCell ref="V78:W78"/>
    <mergeCell ref="X78:AA78"/>
    <mergeCell ref="AB78:AE78"/>
    <mergeCell ref="AF78:AG78"/>
    <mergeCell ref="AH78:AI78"/>
    <mergeCell ref="BJ77:BM77"/>
    <mergeCell ref="BN77:BV77"/>
    <mergeCell ref="B78:C78"/>
    <mergeCell ref="D78:E78"/>
    <mergeCell ref="F78:G78"/>
    <mergeCell ref="H78:I78"/>
    <mergeCell ref="J78:K78"/>
    <mergeCell ref="L78:M78"/>
    <mergeCell ref="P78:Q78"/>
    <mergeCell ref="BJ68:BM68"/>
    <mergeCell ref="BN68:BV68"/>
    <mergeCell ref="B68:C68"/>
    <mergeCell ref="D68:E68"/>
    <mergeCell ref="F68:G68"/>
    <mergeCell ref="H68:I68"/>
    <mergeCell ref="J68:K68"/>
    <mergeCell ref="L68:M68"/>
    <mergeCell ref="P68:Q68"/>
    <mergeCell ref="AJ68:AK68"/>
    <mergeCell ref="AL68:AM68"/>
    <mergeCell ref="AN68:AO68"/>
    <mergeCell ref="AP68:AQ68"/>
    <mergeCell ref="AR68:AS68"/>
    <mergeCell ref="AT68:AU68"/>
    <mergeCell ref="AV68:AW68"/>
    <mergeCell ref="B69:C69"/>
    <mergeCell ref="D69:E69"/>
    <mergeCell ref="F69:G69"/>
    <mergeCell ref="H69:I69"/>
    <mergeCell ref="J69:K69"/>
    <mergeCell ref="L69:M69"/>
    <mergeCell ref="P69:Q69"/>
    <mergeCell ref="R71:S71"/>
    <mergeCell ref="T71:U71"/>
    <mergeCell ref="V71:W71"/>
    <mergeCell ref="X71:AA71"/>
    <mergeCell ref="AB71:AE71"/>
    <mergeCell ref="AF71:AG71"/>
    <mergeCell ref="AH71:AI71"/>
    <mergeCell ref="B71:C71"/>
    <mergeCell ref="D71:E71"/>
    <mergeCell ref="F71:G71"/>
    <mergeCell ref="H71:I71"/>
    <mergeCell ref="J71:K71"/>
    <mergeCell ref="AB76:AE76"/>
    <mergeCell ref="AF76:AG76"/>
    <mergeCell ref="AH76:AI76"/>
    <mergeCell ref="R77:S77"/>
    <mergeCell ref="T77:U77"/>
    <mergeCell ref="V77:W77"/>
    <mergeCell ref="X77:AA77"/>
    <mergeCell ref="AB77:AE77"/>
    <mergeCell ref="AF77:AG77"/>
    <mergeCell ref="B70:C70"/>
    <mergeCell ref="D70:E70"/>
    <mergeCell ref="B72:C72"/>
    <mergeCell ref="D72:E72"/>
    <mergeCell ref="F72:G72"/>
    <mergeCell ref="H72:I72"/>
    <mergeCell ref="J72:K72"/>
    <mergeCell ref="L72:M72"/>
    <mergeCell ref="P72:Q72"/>
    <mergeCell ref="AJ71:AK71"/>
    <mergeCell ref="AL71:AM71"/>
    <mergeCell ref="AN71:AO71"/>
    <mergeCell ref="AP71:AQ71"/>
    <mergeCell ref="AR71:AS71"/>
    <mergeCell ref="AT71:AU71"/>
    <mergeCell ref="AV71:AW71"/>
    <mergeCell ref="L71:M71"/>
    <mergeCell ref="P71:Q71"/>
    <mergeCell ref="AN76:AO76"/>
    <mergeCell ref="AP76:AQ76"/>
    <mergeCell ref="AR76:AS76"/>
    <mergeCell ref="AT76:AU76"/>
    <mergeCell ref="AV76:AW76"/>
    <mergeCell ref="AJ74:AK74"/>
    <mergeCell ref="AL74:AM74"/>
    <mergeCell ref="R74:S74"/>
    <mergeCell ref="T74:U74"/>
    <mergeCell ref="V74:W74"/>
    <mergeCell ref="X74:AA74"/>
    <mergeCell ref="AB74:AE74"/>
    <mergeCell ref="AF74:AG74"/>
    <mergeCell ref="AH74:AI74"/>
    <mergeCell ref="R75:S75"/>
    <mergeCell ref="T75:U75"/>
    <mergeCell ref="V75:W75"/>
    <mergeCell ref="X75:AA75"/>
    <mergeCell ref="AB75:AE75"/>
    <mergeCell ref="AF75:AG75"/>
    <mergeCell ref="AH75:AI75"/>
    <mergeCell ref="AJ76:AK76"/>
    <mergeCell ref="AL76:AM76"/>
    <mergeCell ref="R76:S76"/>
    <mergeCell ref="T76:U76"/>
    <mergeCell ref="V76:W76"/>
    <mergeCell ref="X76:AA76"/>
    <mergeCell ref="L75:M75"/>
    <mergeCell ref="P75:Q75"/>
    <mergeCell ref="B76:C76"/>
    <mergeCell ref="BJ84:BM84"/>
    <mergeCell ref="BN84:BV84"/>
    <mergeCell ref="BJ85:BM85"/>
    <mergeCell ref="BN85:BV85"/>
    <mergeCell ref="BD83:BE83"/>
    <mergeCell ref="BF83:BI83"/>
    <mergeCell ref="AN83:AO83"/>
    <mergeCell ref="AP83:AQ83"/>
    <mergeCell ref="AR83:AS83"/>
    <mergeCell ref="AT83:AU83"/>
    <mergeCell ref="AV83:AW83"/>
    <mergeCell ref="AX83:AZ83"/>
    <mergeCell ref="BA83:BB83"/>
    <mergeCell ref="AJ81:AK81"/>
    <mergeCell ref="AL81:AM81"/>
    <mergeCell ref="R81:S81"/>
    <mergeCell ref="T81:U81"/>
    <mergeCell ref="V81:W81"/>
    <mergeCell ref="X81:AA81"/>
    <mergeCell ref="AB81:AE81"/>
    <mergeCell ref="AF81:AG81"/>
    <mergeCell ref="AH81:AI81"/>
    <mergeCell ref="R82:S82"/>
    <mergeCell ref="T82:U82"/>
    <mergeCell ref="V82:W82"/>
    <mergeCell ref="X82:AA82"/>
    <mergeCell ref="AB82:AE82"/>
    <mergeCell ref="AF82:AG82"/>
    <mergeCell ref="AH82:AI82"/>
    <mergeCell ref="AX82:AZ82"/>
    <mergeCell ref="BA82:BB82"/>
    <mergeCell ref="BD82:BE82"/>
    <mergeCell ref="BF82:BI82"/>
    <mergeCell ref="BJ82:BM82"/>
    <mergeCell ref="BN82:BV82"/>
    <mergeCell ref="BJ83:BM83"/>
    <mergeCell ref="BN83:BV83"/>
    <mergeCell ref="AJ82:AK82"/>
    <mergeCell ref="AL82:AM82"/>
    <mergeCell ref="AN82:AO82"/>
    <mergeCell ref="AP82:AQ82"/>
    <mergeCell ref="AR82:AS82"/>
    <mergeCell ref="AT82:AU82"/>
    <mergeCell ref="AV82:AW82"/>
    <mergeCell ref="AH77:AI77"/>
    <mergeCell ref="AX77:AZ77"/>
    <mergeCell ref="BA77:BB77"/>
    <mergeCell ref="BD77:BE77"/>
    <mergeCell ref="BF77:BI77"/>
    <mergeCell ref="B77:C77"/>
    <mergeCell ref="D77:E77"/>
    <mergeCell ref="F77:G77"/>
    <mergeCell ref="H77:I77"/>
    <mergeCell ref="J77:K77"/>
    <mergeCell ref="L77:M77"/>
    <mergeCell ref="P77:Q77"/>
    <mergeCell ref="AJ77:AK77"/>
    <mergeCell ref="AL77:AM77"/>
    <mergeCell ref="AN77:AO77"/>
    <mergeCell ref="AP77:AQ77"/>
    <mergeCell ref="AR77:AS77"/>
    <mergeCell ref="AT77:AU77"/>
    <mergeCell ref="AV77:AW77"/>
    <mergeCell ref="BF76:BI76"/>
    <mergeCell ref="AX76:AZ76"/>
    <mergeCell ref="BA76:BB76"/>
    <mergeCell ref="X79:AA79"/>
    <mergeCell ref="AB79:AE79"/>
    <mergeCell ref="AF79:AG79"/>
    <mergeCell ref="AH79:AI79"/>
    <mergeCell ref="AX79:AZ79"/>
    <mergeCell ref="BA79:BB79"/>
    <mergeCell ref="BD79:BE79"/>
    <mergeCell ref="BF79:BI79"/>
    <mergeCell ref="B84:C84"/>
    <mergeCell ref="D84:E84"/>
    <mergeCell ref="F84:G84"/>
    <mergeCell ref="H84:I84"/>
    <mergeCell ref="J84:K84"/>
    <mergeCell ref="L84:M84"/>
    <mergeCell ref="P84:Q84"/>
    <mergeCell ref="BA84:BB84"/>
    <mergeCell ref="BD84:BE84"/>
    <mergeCell ref="BF84:BI84"/>
    <mergeCell ref="B82:C82"/>
    <mergeCell ref="D82:E82"/>
    <mergeCell ref="F82:G82"/>
    <mergeCell ref="H82:I82"/>
    <mergeCell ref="J82:K82"/>
    <mergeCell ref="L82:M82"/>
    <mergeCell ref="P82:Q82"/>
    <mergeCell ref="B83:C83"/>
    <mergeCell ref="D83:E83"/>
    <mergeCell ref="F83:G83"/>
    <mergeCell ref="H83:I83"/>
    <mergeCell ref="J83:K83"/>
    <mergeCell ref="L83:M83"/>
    <mergeCell ref="P83:Q83"/>
    <mergeCell ref="AJ78:AK78"/>
    <mergeCell ref="AL78:AM78"/>
    <mergeCell ref="T79:U79"/>
    <mergeCell ref="V79:W79"/>
    <mergeCell ref="B85:C85"/>
    <mergeCell ref="D85:E85"/>
    <mergeCell ref="F85:G85"/>
    <mergeCell ref="H85:I85"/>
    <mergeCell ref="J85:K85"/>
    <mergeCell ref="L85:M85"/>
    <mergeCell ref="P85:Q85"/>
    <mergeCell ref="AJ84:AK84"/>
    <mergeCell ref="AL84:AM84"/>
    <mergeCell ref="AN84:AO84"/>
    <mergeCell ref="AP84:AQ84"/>
    <mergeCell ref="AR84:AS84"/>
    <mergeCell ref="AT84:AU84"/>
    <mergeCell ref="AV84:AW84"/>
    <mergeCell ref="BD78:BE78"/>
    <mergeCell ref="BF78:BI78"/>
    <mergeCell ref="AN78:AO78"/>
    <mergeCell ref="AP78:AQ78"/>
    <mergeCell ref="AR78:AS78"/>
    <mergeCell ref="AT78:AU78"/>
    <mergeCell ref="AV78:AW78"/>
    <mergeCell ref="AX78:AZ78"/>
    <mergeCell ref="BA78:BB78"/>
    <mergeCell ref="BD85:BE85"/>
    <mergeCell ref="BF85:BI85"/>
    <mergeCell ref="AN85:AO85"/>
    <mergeCell ref="AP85:AQ85"/>
    <mergeCell ref="AR85:AS85"/>
    <mergeCell ref="AT85:AU85"/>
    <mergeCell ref="AV85:AW85"/>
    <mergeCell ref="AX85:AZ85"/>
    <mergeCell ref="BA85:BB85"/>
    <mergeCell ref="AJ83:AK83"/>
    <mergeCell ref="AL83:AM83"/>
    <mergeCell ref="R83:S83"/>
    <mergeCell ref="T83:U83"/>
    <mergeCell ref="V83:W83"/>
    <mergeCell ref="X83:AA83"/>
    <mergeCell ref="AB83:AE83"/>
    <mergeCell ref="AF83:AG83"/>
    <mergeCell ref="AH83:AI83"/>
    <mergeCell ref="R84:S84"/>
    <mergeCell ref="T84:U84"/>
    <mergeCell ref="V84:W84"/>
    <mergeCell ref="X84:AA84"/>
    <mergeCell ref="AB84:AE84"/>
    <mergeCell ref="AF84:AG84"/>
    <mergeCell ref="AH84:AI84"/>
    <mergeCell ref="AX84:AZ84"/>
    <mergeCell ref="AJ85:AK85"/>
    <mergeCell ref="AL85:AM85"/>
    <mergeCell ref="R85:S85"/>
    <mergeCell ref="T85:U85"/>
    <mergeCell ref="V85:W85"/>
    <mergeCell ref="X85:AA85"/>
    <mergeCell ref="AB85:AE85"/>
    <mergeCell ref="AF85:AG85"/>
    <mergeCell ref="AH85:AI85"/>
    <mergeCell ref="BJ79:BM79"/>
    <mergeCell ref="BN79:BV79"/>
    <mergeCell ref="AJ79:AK79"/>
    <mergeCell ref="AL79:AM79"/>
    <mergeCell ref="AN79:AO79"/>
    <mergeCell ref="AP79:AQ79"/>
    <mergeCell ref="AR79:AS79"/>
    <mergeCell ref="AT79:AU79"/>
    <mergeCell ref="AV79:AW79"/>
    <mergeCell ref="B79:C79"/>
    <mergeCell ref="D79:E79"/>
    <mergeCell ref="F79:G79"/>
    <mergeCell ref="H79:I79"/>
    <mergeCell ref="J79:K79"/>
    <mergeCell ref="L79:M79"/>
    <mergeCell ref="P79:Q79"/>
    <mergeCell ref="AX80:AZ80"/>
    <mergeCell ref="BA80:BB80"/>
    <mergeCell ref="BD80:BE80"/>
    <mergeCell ref="BF80:BI80"/>
    <mergeCell ref="BJ80:BM80"/>
    <mergeCell ref="BN80:BV80"/>
    <mergeCell ref="BJ81:BM81"/>
    <mergeCell ref="BN81:BV81"/>
    <mergeCell ref="B81:C81"/>
    <mergeCell ref="D81:E81"/>
    <mergeCell ref="F81:G81"/>
    <mergeCell ref="H81:I81"/>
    <mergeCell ref="J81:K81"/>
    <mergeCell ref="L81:M81"/>
    <mergeCell ref="P81:Q81"/>
    <mergeCell ref="AJ80:AK80"/>
    <mergeCell ref="AL80:AM80"/>
    <mergeCell ref="AN80:AO80"/>
    <mergeCell ref="AP80:AQ80"/>
    <mergeCell ref="AR80:AS80"/>
    <mergeCell ref="AT80:AU80"/>
    <mergeCell ref="AV80:AW80"/>
    <mergeCell ref="R80:S80"/>
    <mergeCell ref="T80:U80"/>
    <mergeCell ref="V80:W80"/>
    <mergeCell ref="X80:AA80"/>
    <mergeCell ref="AB80:AE80"/>
    <mergeCell ref="AF80:AG80"/>
    <mergeCell ref="AH80:AI80"/>
    <mergeCell ref="B80:C80"/>
    <mergeCell ref="D80:E80"/>
    <mergeCell ref="F80:G80"/>
    <mergeCell ref="H80:I80"/>
    <mergeCell ref="J80:K80"/>
    <mergeCell ref="L80:M80"/>
    <mergeCell ref="P80:Q80"/>
    <mergeCell ref="BD81:BE81"/>
    <mergeCell ref="BF81:BI81"/>
    <mergeCell ref="AN81:AO81"/>
    <mergeCell ref="AP81:AQ81"/>
    <mergeCell ref="AR81:AS81"/>
    <mergeCell ref="AT81:AU81"/>
    <mergeCell ref="AV81:AW81"/>
    <mergeCell ref="AX81:AZ81"/>
    <mergeCell ref="BA81:BB81"/>
    <mergeCell ref="R79:S79"/>
    <mergeCell ref="BN94:BV94"/>
    <mergeCell ref="B93:C93"/>
    <mergeCell ref="D93:E93"/>
    <mergeCell ref="F93:G93"/>
    <mergeCell ref="H93:I93"/>
    <mergeCell ref="J93:K93"/>
    <mergeCell ref="L93:M93"/>
    <mergeCell ref="P93:Q93"/>
    <mergeCell ref="B94:C94"/>
    <mergeCell ref="BJ87:BM87"/>
    <mergeCell ref="BN87:BV87"/>
    <mergeCell ref="R87:S87"/>
    <mergeCell ref="T87:U87"/>
    <mergeCell ref="V87:W87"/>
    <mergeCell ref="X87:AA87"/>
    <mergeCell ref="AB87:AE87"/>
    <mergeCell ref="AF87:AG87"/>
    <mergeCell ref="AH87:AI87"/>
    <mergeCell ref="AJ90:AK90"/>
    <mergeCell ref="AL90:AM90"/>
    <mergeCell ref="R90:S90"/>
    <mergeCell ref="T90:U90"/>
    <mergeCell ref="V90:W90"/>
    <mergeCell ref="X90:AA90"/>
    <mergeCell ref="AB90:AE90"/>
    <mergeCell ref="AF90:AG90"/>
    <mergeCell ref="AH90:AI90"/>
    <mergeCell ref="R91:S91"/>
    <mergeCell ref="T91:U91"/>
    <mergeCell ref="V91:W91"/>
    <mergeCell ref="X91:AA91"/>
    <mergeCell ref="AB91:AE91"/>
    <mergeCell ref="AF91:AG91"/>
    <mergeCell ref="AH91:AI91"/>
    <mergeCell ref="AX91:AZ91"/>
    <mergeCell ref="BA91:BB91"/>
    <mergeCell ref="BD91:BE91"/>
    <mergeCell ref="BF91:BI91"/>
    <mergeCell ref="BJ91:BM91"/>
    <mergeCell ref="BN91:BV91"/>
    <mergeCell ref="BJ89:BM89"/>
    <mergeCell ref="BN89:BV89"/>
    <mergeCell ref="BJ90:BM90"/>
    <mergeCell ref="BN90:BV90"/>
    <mergeCell ref="BD87:BE87"/>
    <mergeCell ref="BF87:BI87"/>
    <mergeCell ref="AN87:AO87"/>
    <mergeCell ref="AP87:AQ87"/>
    <mergeCell ref="AR87:AS87"/>
    <mergeCell ref="AT87:AU87"/>
    <mergeCell ref="AV87:AW87"/>
    <mergeCell ref="AX87:AZ87"/>
    <mergeCell ref="BJ88:BM88"/>
    <mergeCell ref="BN88:BV88"/>
    <mergeCell ref="V92:W92"/>
    <mergeCell ref="X92:AA92"/>
    <mergeCell ref="AB92:AE92"/>
    <mergeCell ref="AF92:AG92"/>
    <mergeCell ref="AH92:AI92"/>
    <mergeCell ref="R93:S93"/>
    <mergeCell ref="T93:U93"/>
    <mergeCell ref="V93:W93"/>
    <mergeCell ref="X93:AA93"/>
    <mergeCell ref="AB93:AE93"/>
    <mergeCell ref="R86:S86"/>
    <mergeCell ref="T86:U86"/>
    <mergeCell ref="V86:W86"/>
    <mergeCell ref="X86:AA86"/>
    <mergeCell ref="AB86:AE86"/>
    <mergeCell ref="AF86:AG86"/>
    <mergeCell ref="AH86:AI86"/>
    <mergeCell ref="AX86:AZ86"/>
    <mergeCell ref="BA86:BB86"/>
    <mergeCell ref="BD86:BE86"/>
    <mergeCell ref="BF86:BI86"/>
    <mergeCell ref="BD90:BE90"/>
    <mergeCell ref="BF90:BI90"/>
    <mergeCell ref="AN90:AO90"/>
    <mergeCell ref="AP90:AQ90"/>
    <mergeCell ref="AR90:AS90"/>
    <mergeCell ref="AT90:AU90"/>
    <mergeCell ref="AV90:AW90"/>
    <mergeCell ref="AX90:AZ90"/>
    <mergeCell ref="BA90:BB90"/>
    <mergeCell ref="AX89:AZ89"/>
    <mergeCell ref="BA89:BB89"/>
    <mergeCell ref="BD89:BE89"/>
    <mergeCell ref="BF89:BI89"/>
    <mergeCell ref="AJ87:AK87"/>
    <mergeCell ref="AL87:AM87"/>
    <mergeCell ref="AB88:AE88"/>
    <mergeCell ref="AF88:AG88"/>
    <mergeCell ref="AH88:AI88"/>
    <mergeCell ref="AX88:AZ88"/>
    <mergeCell ref="BA88:BB88"/>
    <mergeCell ref="BD88:BE88"/>
    <mergeCell ref="BF88:BI88"/>
    <mergeCell ref="AJ88:AK88"/>
    <mergeCell ref="AL88:AM88"/>
    <mergeCell ref="AN88:AO88"/>
    <mergeCell ref="AP88:AQ88"/>
    <mergeCell ref="AR88:AS88"/>
    <mergeCell ref="AT88:AU88"/>
    <mergeCell ref="AV88:AW88"/>
    <mergeCell ref="BA87:BB87"/>
    <mergeCell ref="AF93:AG93"/>
    <mergeCell ref="AH93:AI93"/>
    <mergeCell ref="AX93:AZ93"/>
    <mergeCell ref="BA93:BB93"/>
    <mergeCell ref="BD93:BE93"/>
    <mergeCell ref="BF93:BI93"/>
    <mergeCell ref="V88:W88"/>
    <mergeCell ref="X88:AA88"/>
    <mergeCell ref="BD96:BE96"/>
    <mergeCell ref="BF96:BI96"/>
    <mergeCell ref="AN96:AO96"/>
    <mergeCell ref="B88:C88"/>
    <mergeCell ref="D88:E88"/>
    <mergeCell ref="F88:G88"/>
    <mergeCell ref="H88:I88"/>
    <mergeCell ref="J88:K88"/>
    <mergeCell ref="L88:M88"/>
    <mergeCell ref="P88:Q88"/>
    <mergeCell ref="D94:E94"/>
    <mergeCell ref="F94:G94"/>
    <mergeCell ref="H94:I94"/>
    <mergeCell ref="J94:K94"/>
    <mergeCell ref="L94:M94"/>
    <mergeCell ref="P94:Q94"/>
    <mergeCell ref="AJ93:AK93"/>
    <mergeCell ref="AL93:AM93"/>
    <mergeCell ref="AN93:AO93"/>
    <mergeCell ref="AP93:AQ93"/>
    <mergeCell ref="AR93:AS93"/>
    <mergeCell ref="AT93:AU93"/>
    <mergeCell ref="AV93:AW93"/>
    <mergeCell ref="BJ92:BM92"/>
    <mergeCell ref="BN92:BV92"/>
    <mergeCell ref="B91:C91"/>
    <mergeCell ref="D91:E91"/>
    <mergeCell ref="F91:G91"/>
    <mergeCell ref="H91:I91"/>
    <mergeCell ref="J91:K91"/>
    <mergeCell ref="L91:M91"/>
    <mergeCell ref="P91:Q91"/>
    <mergeCell ref="B92:C92"/>
    <mergeCell ref="D92:E92"/>
    <mergeCell ref="F92:G92"/>
    <mergeCell ref="H92:I92"/>
    <mergeCell ref="J92:K92"/>
    <mergeCell ref="L92:M92"/>
    <mergeCell ref="P92:Q92"/>
    <mergeCell ref="AJ91:AK91"/>
    <mergeCell ref="AL91:AM91"/>
    <mergeCell ref="AN91:AO91"/>
    <mergeCell ref="AP91:AQ91"/>
    <mergeCell ref="AR91:AS91"/>
    <mergeCell ref="AT91:AU91"/>
    <mergeCell ref="AV91:AW91"/>
    <mergeCell ref="BD94:BE94"/>
    <mergeCell ref="BF94:BI94"/>
    <mergeCell ref="AN94:AO94"/>
    <mergeCell ref="AP94:AQ94"/>
    <mergeCell ref="AR94:AS94"/>
    <mergeCell ref="AV92:AW92"/>
    <mergeCell ref="AX92:AZ92"/>
    <mergeCell ref="BA92:BB92"/>
    <mergeCell ref="AT94:AU94"/>
    <mergeCell ref="AV94:AW94"/>
    <mergeCell ref="AX94:AZ94"/>
    <mergeCell ref="BA94:BB94"/>
    <mergeCell ref="AJ92:AK92"/>
    <mergeCell ref="AL92:AM92"/>
    <mergeCell ref="R92:S92"/>
    <mergeCell ref="T92:U92"/>
    <mergeCell ref="R100:S100"/>
    <mergeCell ref="T100:U100"/>
    <mergeCell ref="V100:W100"/>
    <mergeCell ref="X100:AA100"/>
    <mergeCell ref="AB100:AE100"/>
    <mergeCell ref="AF100:AG100"/>
    <mergeCell ref="AH100:AI100"/>
    <mergeCell ref="AX100:AZ100"/>
    <mergeCell ref="BA100:BB100"/>
    <mergeCell ref="BD100:BE100"/>
    <mergeCell ref="BF100:BI100"/>
    <mergeCell ref="BJ100:BM100"/>
    <mergeCell ref="BN100:BV100"/>
    <mergeCell ref="BJ101:BM101"/>
    <mergeCell ref="BN101:BV101"/>
    <mergeCell ref="B100:C100"/>
    <mergeCell ref="D100:E100"/>
    <mergeCell ref="F100:G100"/>
    <mergeCell ref="H100:I100"/>
    <mergeCell ref="J100:K100"/>
    <mergeCell ref="L100:M100"/>
    <mergeCell ref="P100:Q100"/>
    <mergeCell ref="B101:C101"/>
    <mergeCell ref="D101:E101"/>
    <mergeCell ref="F101:G101"/>
    <mergeCell ref="H101:I101"/>
    <mergeCell ref="J101:K101"/>
    <mergeCell ref="L101:M101"/>
    <mergeCell ref="P101:Q101"/>
    <mergeCell ref="AJ100:AK100"/>
    <mergeCell ref="AL100:AM100"/>
    <mergeCell ref="AN100:AO100"/>
    <mergeCell ref="AP100:AQ100"/>
    <mergeCell ref="AR100:AS100"/>
    <mergeCell ref="AT100:AU100"/>
    <mergeCell ref="AV100:AW100"/>
    <mergeCell ref="AJ101:AK101"/>
    <mergeCell ref="AL101:AM101"/>
    <mergeCell ref="R101:S101"/>
    <mergeCell ref="T101:U101"/>
    <mergeCell ref="V101:W101"/>
    <mergeCell ref="X101:AA101"/>
    <mergeCell ref="AB101:AE101"/>
    <mergeCell ref="AF101:AG101"/>
    <mergeCell ref="AH101:AI101"/>
    <mergeCell ref="R94:S94"/>
    <mergeCell ref="T94:U94"/>
    <mergeCell ref="V94:W94"/>
    <mergeCell ref="X94:AA94"/>
    <mergeCell ref="AB94:AE94"/>
    <mergeCell ref="AF94:AG94"/>
    <mergeCell ref="AH94:AI94"/>
    <mergeCell ref="R95:S95"/>
    <mergeCell ref="T95:U95"/>
    <mergeCell ref="V95:W95"/>
    <mergeCell ref="X95:AA95"/>
    <mergeCell ref="AB95:AE95"/>
    <mergeCell ref="AF95:AG95"/>
    <mergeCell ref="R102:S102"/>
    <mergeCell ref="T102:U102"/>
    <mergeCell ref="V102:W102"/>
    <mergeCell ref="X102:AA102"/>
    <mergeCell ref="AB102:AE102"/>
    <mergeCell ref="AF102:AG102"/>
    <mergeCell ref="AH102:AI102"/>
    <mergeCell ref="AX102:AZ102"/>
    <mergeCell ref="BA102:BB102"/>
    <mergeCell ref="BD102:BE102"/>
    <mergeCell ref="BF102:BI102"/>
    <mergeCell ref="BJ102:BM102"/>
    <mergeCell ref="BN102:BV102"/>
    <mergeCell ref="BJ103:BM103"/>
    <mergeCell ref="BN103:BV103"/>
    <mergeCell ref="BD101:BE101"/>
    <mergeCell ref="BF101:BI101"/>
    <mergeCell ref="AN101:AO101"/>
    <mergeCell ref="AP101:AQ101"/>
    <mergeCell ref="AR101:AS101"/>
    <mergeCell ref="AT101:AU101"/>
    <mergeCell ref="AV101:AW101"/>
    <mergeCell ref="AX101:AZ101"/>
    <mergeCell ref="BA101:BB101"/>
    <mergeCell ref="B102:C102"/>
    <mergeCell ref="D102:E102"/>
    <mergeCell ref="F102:G102"/>
    <mergeCell ref="H102:I102"/>
    <mergeCell ref="J102:K102"/>
    <mergeCell ref="L102:M102"/>
    <mergeCell ref="P102:Q102"/>
    <mergeCell ref="B103:C103"/>
    <mergeCell ref="D103:E103"/>
    <mergeCell ref="F103:G103"/>
    <mergeCell ref="H103:I103"/>
    <mergeCell ref="J103:K103"/>
    <mergeCell ref="L103:M103"/>
    <mergeCell ref="P103:Q103"/>
    <mergeCell ref="AJ102:AK102"/>
    <mergeCell ref="AL102:AM102"/>
    <mergeCell ref="AN102:AO102"/>
    <mergeCell ref="AP102:AQ102"/>
    <mergeCell ref="AR102:AS102"/>
    <mergeCell ref="AT102:AU102"/>
    <mergeCell ref="AV102:AW102"/>
    <mergeCell ref="AJ103:AK103"/>
    <mergeCell ref="AL103:AM103"/>
    <mergeCell ref="R103:S103"/>
    <mergeCell ref="T103:U103"/>
    <mergeCell ref="V103:W103"/>
    <mergeCell ref="X103:AA103"/>
    <mergeCell ref="AB103:AE103"/>
    <mergeCell ref="AF103:AG103"/>
    <mergeCell ref="AH103:AI103"/>
    <mergeCell ref="BD103:BE103"/>
    <mergeCell ref="BF103:BI103"/>
    <mergeCell ref="AN103:AO103"/>
    <mergeCell ref="AP103:AQ103"/>
    <mergeCell ref="AR103:AS103"/>
    <mergeCell ref="AT103:AU103"/>
    <mergeCell ref="AV103:AW103"/>
    <mergeCell ref="AX103:AZ103"/>
    <mergeCell ref="BA103:BB103"/>
    <mergeCell ref="AH95:AI95"/>
    <mergeCell ref="AX95:AZ95"/>
    <mergeCell ref="BA95:BB95"/>
    <mergeCell ref="BD95:BE95"/>
    <mergeCell ref="BF95:BI95"/>
    <mergeCell ref="B95:C95"/>
    <mergeCell ref="D95:E95"/>
    <mergeCell ref="F95:G95"/>
    <mergeCell ref="H95:I95"/>
    <mergeCell ref="J95:K95"/>
    <mergeCell ref="L95:M95"/>
    <mergeCell ref="P95:Q95"/>
    <mergeCell ref="AJ95:AK95"/>
    <mergeCell ref="AL95:AM95"/>
    <mergeCell ref="AN95:AO95"/>
    <mergeCell ref="AP95:AQ95"/>
    <mergeCell ref="AR95:AS95"/>
    <mergeCell ref="AT95:AU95"/>
    <mergeCell ref="AV95:AW95"/>
    <mergeCell ref="AJ96:AK96"/>
    <mergeCell ref="AL96:AM96"/>
    <mergeCell ref="R96:S96"/>
    <mergeCell ref="T96:U96"/>
    <mergeCell ref="V96:W96"/>
    <mergeCell ref="X96:AA96"/>
    <mergeCell ref="AB96:AE96"/>
    <mergeCell ref="AF96:AG96"/>
    <mergeCell ref="AH96:AI96"/>
    <mergeCell ref="B96:C96"/>
    <mergeCell ref="D96:E96"/>
    <mergeCell ref="F96:G96"/>
    <mergeCell ref="H96:I96"/>
    <mergeCell ref="J96:K96"/>
    <mergeCell ref="L96:M96"/>
    <mergeCell ref="P96:Q96"/>
    <mergeCell ref="AP96:AQ96"/>
    <mergeCell ref="AR96:AS96"/>
    <mergeCell ref="AT96:AU96"/>
    <mergeCell ref="AV96:AW96"/>
    <mergeCell ref="AX96:AZ96"/>
    <mergeCell ref="BA96:BB96"/>
    <mergeCell ref="BJ99:BM99"/>
    <mergeCell ref="BN99:BV99"/>
    <mergeCell ref="B99:C99"/>
    <mergeCell ref="D99:E99"/>
    <mergeCell ref="F99:G99"/>
    <mergeCell ref="H99:I99"/>
    <mergeCell ref="J99:K99"/>
    <mergeCell ref="L99:M99"/>
    <mergeCell ref="P99:Q99"/>
    <mergeCell ref="AJ98:AK98"/>
    <mergeCell ref="AL98:AM98"/>
    <mergeCell ref="AN98:AO98"/>
    <mergeCell ref="AP98:AQ98"/>
    <mergeCell ref="AR98:AS98"/>
    <mergeCell ref="AT98:AU98"/>
    <mergeCell ref="AV98:AW98"/>
    <mergeCell ref="R98:S98"/>
    <mergeCell ref="T98:U98"/>
    <mergeCell ref="V98:W98"/>
    <mergeCell ref="X98:AA98"/>
    <mergeCell ref="AB98:AE98"/>
    <mergeCell ref="AF98:AG98"/>
    <mergeCell ref="AH98:AI98"/>
    <mergeCell ref="B98:C98"/>
    <mergeCell ref="D98:E98"/>
    <mergeCell ref="F98:G98"/>
    <mergeCell ref="H98:I98"/>
    <mergeCell ref="J98:K98"/>
    <mergeCell ref="L98:M98"/>
    <mergeCell ref="P98:Q98"/>
    <mergeCell ref="BD99:BE99"/>
    <mergeCell ref="BF99:BI99"/>
    <mergeCell ref="AN99:AO99"/>
    <mergeCell ref="AP99:AQ99"/>
    <mergeCell ref="AR99:AS99"/>
    <mergeCell ref="AT99:AU99"/>
    <mergeCell ref="AV99:AW99"/>
    <mergeCell ref="AX99:AZ99"/>
    <mergeCell ref="BA99:BB99"/>
    <mergeCell ref="AJ99:AK99"/>
    <mergeCell ref="AL99:AM99"/>
    <mergeCell ref="R99:S99"/>
    <mergeCell ref="T99:U99"/>
    <mergeCell ref="V99:W99"/>
    <mergeCell ref="X99:AA99"/>
    <mergeCell ref="AB99:AE99"/>
    <mergeCell ref="AF99:AG99"/>
    <mergeCell ref="AH99:AI99"/>
    <mergeCell ref="BJ97:BM97"/>
    <mergeCell ref="BN97:BV97"/>
    <mergeCell ref="AJ97:AK97"/>
    <mergeCell ref="AL97:AM97"/>
    <mergeCell ref="AN97:AO97"/>
    <mergeCell ref="AP97:AQ97"/>
    <mergeCell ref="AR97:AS97"/>
    <mergeCell ref="AT97:AU97"/>
    <mergeCell ref="AV97:AW97"/>
    <mergeCell ref="B97:C97"/>
    <mergeCell ref="D97:E97"/>
    <mergeCell ref="F97:G97"/>
    <mergeCell ref="H97:I97"/>
    <mergeCell ref="J97:K97"/>
    <mergeCell ref="L97:M97"/>
    <mergeCell ref="P97:Q97"/>
    <mergeCell ref="AX98:AZ98"/>
    <mergeCell ref="BA98:BB98"/>
    <mergeCell ref="BD98:BE98"/>
    <mergeCell ref="BF98:BI98"/>
    <mergeCell ref="BJ98:BM98"/>
    <mergeCell ref="BN98:BV98"/>
    <mergeCell ref="R97:S97"/>
    <mergeCell ref="T97:U97"/>
    <mergeCell ref="V97:W97"/>
    <mergeCell ref="X97:AA97"/>
    <mergeCell ref="AB97:AE97"/>
    <mergeCell ref="AF97:AG97"/>
    <mergeCell ref="AH97:AI97"/>
    <mergeCell ref="AX97:AZ97"/>
    <mergeCell ref="BA97:BB97"/>
    <mergeCell ref="BD97:BE97"/>
    <mergeCell ref="BF97:BI97"/>
    <mergeCell ref="BJ24:BM24"/>
    <mergeCell ref="BN24:BV24"/>
    <mergeCell ref="BJ25:BM25"/>
    <mergeCell ref="BN25:BV25"/>
    <mergeCell ref="AJ24:AK24"/>
    <mergeCell ref="AL24:AM24"/>
    <mergeCell ref="AN24:AO24"/>
    <mergeCell ref="AP24:AQ24"/>
    <mergeCell ref="AR24:AS24"/>
    <mergeCell ref="AT24:AU24"/>
    <mergeCell ref="AV24:AW24"/>
    <mergeCell ref="BD25:BE25"/>
    <mergeCell ref="BF25:BI25"/>
    <mergeCell ref="AN25:AO25"/>
    <mergeCell ref="AP25:AQ25"/>
    <mergeCell ref="AR25:AS25"/>
    <mergeCell ref="AT25:AU25"/>
    <mergeCell ref="AV25:AW25"/>
    <mergeCell ref="AX25:AZ25"/>
    <mergeCell ref="BA25:BB25"/>
    <mergeCell ref="BJ51:BM51"/>
    <mergeCell ref="BN51:BV51"/>
    <mergeCell ref="BJ50:BM50"/>
    <mergeCell ref="BN50:BV50"/>
    <mergeCell ref="BD51:BE51"/>
    <mergeCell ref="BF51:BI51"/>
    <mergeCell ref="AX51:AZ51"/>
    <mergeCell ref="BA51:BB51"/>
    <mergeCell ref="AJ49:AK49"/>
    <mergeCell ref="AL49:AM49"/>
    <mergeCell ref="AX50:AZ50"/>
    <mergeCell ref="BA50:BB50"/>
    <mergeCell ref="BD50:BE50"/>
    <mergeCell ref="BF50:BI50"/>
    <mergeCell ref="AX40:AZ40"/>
    <mergeCell ref="BA40:BB40"/>
    <mergeCell ref="BD40:BE40"/>
    <mergeCell ref="BF40:BI40"/>
    <mergeCell ref="BJ34:BM34"/>
    <mergeCell ref="BN34:BV34"/>
    <mergeCell ref="BJ35:BM35"/>
    <mergeCell ref="BN35:BV35"/>
    <mergeCell ref="BJ36:BM36"/>
    <mergeCell ref="BN36:BV36"/>
    <mergeCell ref="BJ30:BM30"/>
    <mergeCell ref="BN30:BV30"/>
    <mergeCell ref="BJ31:BM31"/>
    <mergeCell ref="BN31:BV31"/>
    <mergeCell ref="BJ32:BM32"/>
    <mergeCell ref="BN32:BV32"/>
    <mergeCell ref="BJ33:BM33"/>
    <mergeCell ref="BN33:BV33"/>
    <mergeCell ref="BJ26:BM26"/>
    <mergeCell ref="BD37:BE37"/>
    <mergeCell ref="BF37:BI37"/>
    <mergeCell ref="AN37:AO37"/>
    <mergeCell ref="AP37:AQ37"/>
    <mergeCell ref="BJ40:BM40"/>
    <mergeCell ref="BN40:BV40"/>
    <mergeCell ref="BJ41:BM41"/>
    <mergeCell ref="BN41:BV41"/>
    <mergeCell ref="BJ42:BM42"/>
    <mergeCell ref="BN42:BV42"/>
    <mergeCell ref="BJ43:BM43"/>
    <mergeCell ref="AJ94:AK94"/>
    <mergeCell ref="AL94:AM94"/>
    <mergeCell ref="BJ96:BM96"/>
    <mergeCell ref="BN96:BV96"/>
    <mergeCell ref="BJ95:BM95"/>
    <mergeCell ref="BN95:BV95"/>
    <mergeCell ref="BJ86:BM86"/>
    <mergeCell ref="BN86:BV86"/>
    <mergeCell ref="AJ86:AK86"/>
    <mergeCell ref="AL86:AM86"/>
    <mergeCell ref="AN86:AO86"/>
    <mergeCell ref="AP86:AQ86"/>
    <mergeCell ref="AR86:AS86"/>
    <mergeCell ref="AT86:AU86"/>
    <mergeCell ref="AV86:AW86"/>
    <mergeCell ref="BJ93:BM93"/>
    <mergeCell ref="BN93:BV93"/>
    <mergeCell ref="BJ94:BM94"/>
    <mergeCell ref="B24:C24"/>
    <mergeCell ref="D24:E24"/>
    <mergeCell ref="F24:G24"/>
    <mergeCell ref="H24:I24"/>
    <mergeCell ref="J24:K24"/>
    <mergeCell ref="L24:M24"/>
    <mergeCell ref="P24:Q24"/>
    <mergeCell ref="B25:C25"/>
    <mergeCell ref="D25:E25"/>
    <mergeCell ref="F25:G25"/>
    <mergeCell ref="H25:I25"/>
    <mergeCell ref="J25:K25"/>
    <mergeCell ref="L25:M25"/>
    <mergeCell ref="P25:Q25"/>
    <mergeCell ref="B90:C90"/>
    <mergeCell ref="D90:E90"/>
    <mergeCell ref="F90:G90"/>
    <mergeCell ref="H90:I90"/>
    <mergeCell ref="J90:K90"/>
    <mergeCell ref="L90:M90"/>
    <mergeCell ref="P90:Q90"/>
    <mergeCell ref="AJ89:AK89"/>
    <mergeCell ref="AL89:AM89"/>
    <mergeCell ref="AN89:AO89"/>
    <mergeCell ref="AP89:AQ89"/>
    <mergeCell ref="AR89:AS89"/>
    <mergeCell ref="AT89:AU89"/>
    <mergeCell ref="AV89:AW89"/>
    <mergeCell ref="BD92:BE92"/>
    <mergeCell ref="BF92:BI92"/>
    <mergeCell ref="AN92:AO92"/>
    <mergeCell ref="AP92:AQ92"/>
    <mergeCell ref="AR92:AS92"/>
    <mergeCell ref="AT92:AU92"/>
    <mergeCell ref="B86:C86"/>
    <mergeCell ref="D86:E86"/>
    <mergeCell ref="F86:G86"/>
    <mergeCell ref="H86:I86"/>
    <mergeCell ref="J86:K86"/>
    <mergeCell ref="L86:M86"/>
    <mergeCell ref="P86:Q86"/>
    <mergeCell ref="B87:C87"/>
    <mergeCell ref="D87:E87"/>
    <mergeCell ref="F87:G87"/>
    <mergeCell ref="H87:I87"/>
    <mergeCell ref="J87:K87"/>
    <mergeCell ref="L87:M87"/>
    <mergeCell ref="P87:Q87"/>
    <mergeCell ref="R89:S89"/>
    <mergeCell ref="T89:U89"/>
    <mergeCell ref="V89:W89"/>
    <mergeCell ref="X89:AA89"/>
    <mergeCell ref="AB89:AE89"/>
    <mergeCell ref="AF89:AG89"/>
    <mergeCell ref="AH89:AI89"/>
    <mergeCell ref="B89:C89"/>
    <mergeCell ref="D89:E89"/>
    <mergeCell ref="F89:G89"/>
    <mergeCell ref="H89:I89"/>
    <mergeCell ref="J89:K89"/>
    <mergeCell ref="L89:M89"/>
    <mergeCell ref="P89:Q89"/>
    <mergeCell ref="R88:S88"/>
    <mergeCell ref="T88:U88"/>
    <mergeCell ref="BA17:BB17"/>
    <mergeCell ref="BD17:BE17"/>
    <mergeCell ref="BF17:BI17"/>
    <mergeCell ref="L19:M19"/>
    <mergeCell ref="P19:Q19"/>
    <mergeCell ref="AX20:AZ20"/>
    <mergeCell ref="BA20:BB20"/>
    <mergeCell ref="BD20:BE20"/>
    <mergeCell ref="BF20:BI20"/>
    <mergeCell ref="AJ18:AK18"/>
    <mergeCell ref="AL18:AM18"/>
    <mergeCell ref="R18:S18"/>
    <mergeCell ref="T18:U18"/>
    <mergeCell ref="V18:W18"/>
    <mergeCell ref="X18:AA18"/>
    <mergeCell ref="AB18:AE18"/>
    <mergeCell ref="AF18:AG18"/>
    <mergeCell ref="AH18:AI18"/>
    <mergeCell ref="BD18:BE18"/>
    <mergeCell ref="BF18:BI18"/>
    <mergeCell ref="AN18:AO18"/>
    <mergeCell ref="AP18:AQ18"/>
    <mergeCell ref="AR18:AS18"/>
    <mergeCell ref="AT18:AU18"/>
    <mergeCell ref="AV18:AW18"/>
    <mergeCell ref="AX18:AZ18"/>
    <mergeCell ref="BA18:BB18"/>
    <mergeCell ref="R17:S17"/>
    <mergeCell ref="R24:S24"/>
    <mergeCell ref="T24:U24"/>
    <mergeCell ref="V24:W24"/>
    <mergeCell ref="X24:AA24"/>
    <mergeCell ref="AB24:AE24"/>
    <mergeCell ref="AF24:AG24"/>
    <mergeCell ref="AH24:AI24"/>
    <mergeCell ref="AX24:AZ24"/>
    <mergeCell ref="BA24:BB24"/>
    <mergeCell ref="BD24:BE24"/>
    <mergeCell ref="BF24:BI24"/>
    <mergeCell ref="AJ33:AK33"/>
    <mergeCell ref="AL33:AM33"/>
    <mergeCell ref="R33:S33"/>
    <mergeCell ref="T33:U33"/>
    <mergeCell ref="V33:W33"/>
    <mergeCell ref="X33:AA33"/>
    <mergeCell ref="AB33:AE33"/>
    <mergeCell ref="AF33:AG33"/>
    <mergeCell ref="AH33:AI33"/>
    <mergeCell ref="R34:S34"/>
    <mergeCell ref="T34:U34"/>
    <mergeCell ref="V34:W34"/>
    <mergeCell ref="BJ15:BM15"/>
    <mergeCell ref="BN15:BV15"/>
    <mergeCell ref="BJ16:BM16"/>
    <mergeCell ref="BN16:BV16"/>
    <mergeCell ref="B15:C15"/>
    <mergeCell ref="D15:E15"/>
    <mergeCell ref="F15:G15"/>
    <mergeCell ref="H15:I15"/>
    <mergeCell ref="J15:K15"/>
    <mergeCell ref="L15:M15"/>
    <mergeCell ref="P15:Q15"/>
    <mergeCell ref="B16:C16"/>
    <mergeCell ref="D16:E16"/>
    <mergeCell ref="F16:G16"/>
    <mergeCell ref="H16:I16"/>
    <mergeCell ref="J16:K16"/>
    <mergeCell ref="L16:M16"/>
    <mergeCell ref="P16:Q16"/>
    <mergeCell ref="AJ15:AK15"/>
    <mergeCell ref="AL15:AM15"/>
    <mergeCell ref="AN15:AO15"/>
    <mergeCell ref="AP15:AQ15"/>
    <mergeCell ref="AR15:AS15"/>
    <mergeCell ref="AT15:AU15"/>
    <mergeCell ref="AV15:AW15"/>
    <mergeCell ref="AJ16:AK16"/>
    <mergeCell ref="AL16:AM16"/>
    <mergeCell ref="R16:S16"/>
    <mergeCell ref="T16:U16"/>
    <mergeCell ref="V16:W16"/>
    <mergeCell ref="X16:AA16"/>
    <mergeCell ref="AB16:AE16"/>
    <mergeCell ref="AF16:AG16"/>
    <mergeCell ref="AH16:AI16"/>
    <mergeCell ref="BD16:BE16"/>
    <mergeCell ref="BF16:BI16"/>
    <mergeCell ref="AN16:AO16"/>
    <mergeCell ref="AP16:AQ16"/>
    <mergeCell ref="AR16:AS16"/>
    <mergeCell ref="AT16:AU16"/>
    <mergeCell ref="AV16:AW16"/>
    <mergeCell ref="AX16:AZ16"/>
    <mergeCell ref="BA16:BB16"/>
    <mergeCell ref="R15:S15"/>
    <mergeCell ref="T15:U15"/>
    <mergeCell ref="V15:W15"/>
    <mergeCell ref="X15:AA15"/>
    <mergeCell ref="AB15:AE15"/>
    <mergeCell ref="AF15:AG15"/>
    <mergeCell ref="AH15:AI15"/>
    <mergeCell ref="AX15:AZ15"/>
    <mergeCell ref="BA15:BB15"/>
    <mergeCell ref="BD15:BE15"/>
    <mergeCell ref="BF15:BI15"/>
    <mergeCell ref="BJ17:BM17"/>
    <mergeCell ref="BN17:BV17"/>
    <mergeCell ref="BJ18:BM18"/>
    <mergeCell ref="BN18:BV18"/>
    <mergeCell ref="B17:C17"/>
    <mergeCell ref="D17:E17"/>
    <mergeCell ref="F17:G17"/>
    <mergeCell ref="H17:I17"/>
    <mergeCell ref="J17:K17"/>
    <mergeCell ref="L17:M17"/>
    <mergeCell ref="P17:Q17"/>
    <mergeCell ref="AJ17:AK17"/>
    <mergeCell ref="AL17:AM17"/>
    <mergeCell ref="AN17:AO17"/>
    <mergeCell ref="AP17:AQ17"/>
    <mergeCell ref="AR17:AS17"/>
    <mergeCell ref="AT17:AU17"/>
    <mergeCell ref="AV17:AW17"/>
    <mergeCell ref="B18:C18"/>
    <mergeCell ref="D18:E18"/>
    <mergeCell ref="F18:G18"/>
    <mergeCell ref="H18:I18"/>
    <mergeCell ref="J18:K18"/>
    <mergeCell ref="L18:M18"/>
    <mergeCell ref="P18:Q18"/>
    <mergeCell ref="R20:S20"/>
    <mergeCell ref="T20:U20"/>
    <mergeCell ref="V20:W20"/>
    <mergeCell ref="X20:AA20"/>
    <mergeCell ref="AB20:AE20"/>
    <mergeCell ref="AF20:AG20"/>
    <mergeCell ref="AH20:AI20"/>
    <mergeCell ref="B20:C20"/>
    <mergeCell ref="D20:E20"/>
    <mergeCell ref="F20:G20"/>
    <mergeCell ref="H20:I20"/>
    <mergeCell ref="J20:K20"/>
    <mergeCell ref="L20:M20"/>
    <mergeCell ref="P20:Q20"/>
    <mergeCell ref="R19:S19"/>
    <mergeCell ref="T19:U19"/>
    <mergeCell ref="V19:W19"/>
    <mergeCell ref="X19:AA19"/>
    <mergeCell ref="AB19:AE19"/>
    <mergeCell ref="AF19:AG19"/>
    <mergeCell ref="AH19:AI19"/>
    <mergeCell ref="BJ19:BM19"/>
    <mergeCell ref="BN19:BV19"/>
    <mergeCell ref="AJ19:AK19"/>
    <mergeCell ref="AL19:AM19"/>
    <mergeCell ref="AN19:AO19"/>
    <mergeCell ref="AP19:AQ19"/>
    <mergeCell ref="AR19:AS19"/>
    <mergeCell ref="AT19:AU19"/>
    <mergeCell ref="AV19:AW19"/>
    <mergeCell ref="B19:C19"/>
    <mergeCell ref="D19:E19"/>
    <mergeCell ref="F19:G19"/>
    <mergeCell ref="H19:I19"/>
    <mergeCell ref="J19:K19"/>
    <mergeCell ref="BJ20:BM20"/>
    <mergeCell ref="BN20:BV20"/>
    <mergeCell ref="BJ21:BM21"/>
    <mergeCell ref="BN21:BV21"/>
    <mergeCell ref="B21:C21"/>
    <mergeCell ref="D21:E21"/>
    <mergeCell ref="F21:G21"/>
    <mergeCell ref="H21:I21"/>
    <mergeCell ref="J21:K21"/>
    <mergeCell ref="L21:M21"/>
    <mergeCell ref="P21:Q21"/>
    <mergeCell ref="AJ20:AK20"/>
    <mergeCell ref="AL20:AM20"/>
    <mergeCell ref="AN20:AO20"/>
    <mergeCell ref="AP20:AQ20"/>
    <mergeCell ref="AR20:AS20"/>
    <mergeCell ref="AT20:AU20"/>
    <mergeCell ref="AV20:AW20"/>
    <mergeCell ref="BD23:BE23"/>
    <mergeCell ref="BF23:BI23"/>
    <mergeCell ref="AN23:AO23"/>
    <mergeCell ref="AP23:AQ23"/>
    <mergeCell ref="AR23:AS23"/>
    <mergeCell ref="AT23:AU23"/>
    <mergeCell ref="AV23:AW23"/>
    <mergeCell ref="AX23:AZ23"/>
    <mergeCell ref="BA23:BB23"/>
    <mergeCell ref="B22:C22"/>
    <mergeCell ref="D22:E22"/>
    <mergeCell ref="F22:G22"/>
    <mergeCell ref="H22:I22"/>
    <mergeCell ref="J22:K22"/>
    <mergeCell ref="L22:M22"/>
    <mergeCell ref="P22:Q22"/>
    <mergeCell ref="B23:C23"/>
    <mergeCell ref="D23:E23"/>
    <mergeCell ref="F23:G23"/>
    <mergeCell ref="H23:I23"/>
    <mergeCell ref="J23:K23"/>
    <mergeCell ref="L23:M23"/>
    <mergeCell ref="P23:Q23"/>
    <mergeCell ref="AJ22:AK22"/>
    <mergeCell ref="AL22:AM22"/>
    <mergeCell ref="AN22:AO22"/>
    <mergeCell ref="AP22:AQ22"/>
    <mergeCell ref="AR22:AS22"/>
    <mergeCell ref="AT22:AU22"/>
    <mergeCell ref="AV22:AW22"/>
    <mergeCell ref="AJ21:AK21"/>
    <mergeCell ref="AL21:AM21"/>
    <mergeCell ref="BJ22:BM22"/>
    <mergeCell ref="BN22:BV22"/>
    <mergeCell ref="BJ23:BM23"/>
    <mergeCell ref="BN23:BV23"/>
    <mergeCell ref="AF21:AG21"/>
    <mergeCell ref="AH21:AI21"/>
    <mergeCell ref="BJ37:BM37"/>
    <mergeCell ref="BN37:BV37"/>
    <mergeCell ref="R37:S37"/>
    <mergeCell ref="T37:U37"/>
    <mergeCell ref="V37:W37"/>
    <mergeCell ref="X37:AA37"/>
    <mergeCell ref="AB37:AE37"/>
    <mergeCell ref="AF37:AG37"/>
    <mergeCell ref="AH37:AI37"/>
    <mergeCell ref="R38:S38"/>
    <mergeCell ref="T38:U38"/>
    <mergeCell ref="V38:W38"/>
    <mergeCell ref="X38:AA38"/>
    <mergeCell ref="AB38:AE38"/>
    <mergeCell ref="AF38:AG38"/>
    <mergeCell ref="AH38:AI38"/>
    <mergeCell ref="AX38:AZ38"/>
    <mergeCell ref="BA38:BB38"/>
    <mergeCell ref="BD38:BE38"/>
    <mergeCell ref="BF38:BI38"/>
    <mergeCell ref="BJ38:BM38"/>
    <mergeCell ref="BN38:BV38"/>
    <mergeCell ref="BJ39:BM39"/>
    <mergeCell ref="BN39:BV39"/>
    <mergeCell ref="B38:C38"/>
    <mergeCell ref="D38:E38"/>
    <mergeCell ref="F38:G38"/>
    <mergeCell ref="H38:I38"/>
    <mergeCell ref="J38:K38"/>
    <mergeCell ref="L38:M38"/>
    <mergeCell ref="P38:Q38"/>
    <mergeCell ref="B39:C39"/>
    <mergeCell ref="D39:E39"/>
    <mergeCell ref="F39:G39"/>
    <mergeCell ref="H39:I39"/>
    <mergeCell ref="J39:K39"/>
    <mergeCell ref="L39:M39"/>
    <mergeCell ref="P39:Q39"/>
    <mergeCell ref="AJ38:AK38"/>
    <mergeCell ref="AL38:AM38"/>
    <mergeCell ref="AN38:AO38"/>
    <mergeCell ref="AP38:AQ38"/>
    <mergeCell ref="AR38:AS38"/>
    <mergeCell ref="AT38:AU38"/>
    <mergeCell ref="AV38:AW38"/>
    <mergeCell ref="AJ39:AK39"/>
    <mergeCell ref="AL39:AM39"/>
    <mergeCell ref="R39:S39"/>
    <mergeCell ref="T39:U39"/>
    <mergeCell ref="V39:W39"/>
    <mergeCell ref="X39:AA39"/>
    <mergeCell ref="AB39:AE39"/>
    <mergeCell ref="AF39:AG39"/>
    <mergeCell ref="AH39:AI39"/>
    <mergeCell ref="D37:E37"/>
    <mergeCell ref="F37:G37"/>
    <mergeCell ref="H37:I37"/>
    <mergeCell ref="J37:K37"/>
    <mergeCell ref="B40:C40"/>
    <mergeCell ref="D40:E40"/>
    <mergeCell ref="F40:G40"/>
    <mergeCell ref="H40:I40"/>
    <mergeCell ref="J40:K40"/>
    <mergeCell ref="L40:M40"/>
    <mergeCell ref="P40:Q40"/>
    <mergeCell ref="B41:C41"/>
    <mergeCell ref="D41:E41"/>
    <mergeCell ref="F41:G41"/>
    <mergeCell ref="H41:I41"/>
    <mergeCell ref="J41:K41"/>
    <mergeCell ref="L41:M41"/>
    <mergeCell ref="P41:Q41"/>
    <mergeCell ref="AJ40:AK40"/>
    <mergeCell ref="AL40:AM40"/>
    <mergeCell ref="AN40:AO40"/>
    <mergeCell ref="AP40:AQ40"/>
    <mergeCell ref="AR40:AS40"/>
    <mergeCell ref="AT40:AU40"/>
    <mergeCell ref="AV40:AW40"/>
    <mergeCell ref="BD43:BE43"/>
    <mergeCell ref="BF43:BI43"/>
    <mergeCell ref="AN43:AO43"/>
    <mergeCell ref="AP43:AQ43"/>
    <mergeCell ref="AR43:AS43"/>
    <mergeCell ref="AT43:AU43"/>
    <mergeCell ref="AV43:AW43"/>
    <mergeCell ref="AX43:AZ43"/>
    <mergeCell ref="BA43:BB43"/>
    <mergeCell ref="AJ41:AK41"/>
    <mergeCell ref="AL41:AM41"/>
    <mergeCell ref="R41:S41"/>
    <mergeCell ref="T41:U41"/>
    <mergeCell ref="V41:W41"/>
    <mergeCell ref="X41:AA41"/>
    <mergeCell ref="AB41:AE41"/>
    <mergeCell ref="AF41:AG41"/>
    <mergeCell ref="AH41:AI41"/>
    <mergeCell ref="R42:S42"/>
    <mergeCell ref="T42:U42"/>
    <mergeCell ref="V42:W42"/>
    <mergeCell ref="X42:AA42"/>
    <mergeCell ref="AB42:AE42"/>
    <mergeCell ref="AF42:AG42"/>
    <mergeCell ref="AH42:AI42"/>
    <mergeCell ref="AX42:AZ42"/>
    <mergeCell ref="BA42:BB42"/>
    <mergeCell ref="BD42:BE42"/>
    <mergeCell ref="BF42:BI42"/>
    <mergeCell ref="BN43:BV43"/>
    <mergeCell ref="B42:C42"/>
    <mergeCell ref="D42:E42"/>
    <mergeCell ref="F42:G42"/>
    <mergeCell ref="H42:I42"/>
    <mergeCell ref="J42:K42"/>
    <mergeCell ref="L42:M42"/>
    <mergeCell ref="P42:Q42"/>
    <mergeCell ref="B43:C43"/>
    <mergeCell ref="D43:E43"/>
    <mergeCell ref="F43:G43"/>
    <mergeCell ref="H43:I43"/>
    <mergeCell ref="J43:K43"/>
    <mergeCell ref="L43:M43"/>
    <mergeCell ref="P43:Q43"/>
    <mergeCell ref="AJ42:AK42"/>
    <mergeCell ref="AL42:AM42"/>
    <mergeCell ref="AN42:AO42"/>
    <mergeCell ref="AP42:AQ42"/>
    <mergeCell ref="AR42:AS42"/>
    <mergeCell ref="AT42:AU42"/>
    <mergeCell ref="AV42:AW42"/>
    <mergeCell ref="BD45:BE45"/>
    <mergeCell ref="BF45:BI45"/>
    <mergeCell ref="AN45:AO45"/>
    <mergeCell ref="AP45:AQ45"/>
    <mergeCell ref="AR45:AS45"/>
    <mergeCell ref="AT45:AU45"/>
    <mergeCell ref="AV45:AW45"/>
    <mergeCell ref="AX45:AZ45"/>
    <mergeCell ref="BA45:BB45"/>
    <mergeCell ref="AJ43:AK43"/>
    <mergeCell ref="AL43:AM43"/>
    <mergeCell ref="R43:S43"/>
    <mergeCell ref="T43:U43"/>
    <mergeCell ref="V43:W43"/>
    <mergeCell ref="X43:AA43"/>
    <mergeCell ref="AB43:AE43"/>
    <mergeCell ref="AF43:AG43"/>
    <mergeCell ref="AH43:AI43"/>
    <mergeCell ref="R44:S44"/>
    <mergeCell ref="T44:U44"/>
    <mergeCell ref="V44:W44"/>
    <mergeCell ref="X44:AA44"/>
    <mergeCell ref="AB44:AE44"/>
    <mergeCell ref="AF44:AG44"/>
    <mergeCell ref="AH44:AI44"/>
    <mergeCell ref="AX44:AZ44"/>
    <mergeCell ref="BA44:BB44"/>
    <mergeCell ref="BD44:BE44"/>
    <mergeCell ref="BF44:BI44"/>
    <mergeCell ref="BJ44:BM44"/>
    <mergeCell ref="BN44:BV44"/>
    <mergeCell ref="BJ45:BM45"/>
    <mergeCell ref="BN45:BV45"/>
    <mergeCell ref="B44:C44"/>
    <mergeCell ref="D44:E44"/>
    <mergeCell ref="F44:G44"/>
    <mergeCell ref="H44:I44"/>
    <mergeCell ref="J44:K44"/>
    <mergeCell ref="L44:M44"/>
    <mergeCell ref="P44:Q44"/>
    <mergeCell ref="B45:C45"/>
    <mergeCell ref="D45:E45"/>
    <mergeCell ref="F45:G45"/>
    <mergeCell ref="H45:I45"/>
    <mergeCell ref="J45:K45"/>
    <mergeCell ref="L45:M45"/>
    <mergeCell ref="P45:Q45"/>
    <mergeCell ref="AJ44:AK44"/>
    <mergeCell ref="AL44:AM44"/>
    <mergeCell ref="AN44:AO44"/>
    <mergeCell ref="AP44:AQ44"/>
    <mergeCell ref="AR44:AS44"/>
    <mergeCell ref="AT44:AU44"/>
    <mergeCell ref="AV44:AW44"/>
    <mergeCell ref="BD47:BE47"/>
    <mergeCell ref="BF47:BI47"/>
    <mergeCell ref="AN47:AO47"/>
    <mergeCell ref="AP47:AQ47"/>
    <mergeCell ref="AR47:AS47"/>
    <mergeCell ref="AT47:AU47"/>
    <mergeCell ref="AV47:AW47"/>
    <mergeCell ref="AX47:AZ47"/>
    <mergeCell ref="BA47:BB47"/>
    <mergeCell ref="AJ45:AK45"/>
    <mergeCell ref="AL45:AM45"/>
    <mergeCell ref="R45:S45"/>
    <mergeCell ref="T45:U45"/>
    <mergeCell ref="V45:W45"/>
    <mergeCell ref="X45:AA45"/>
    <mergeCell ref="AB45:AE45"/>
    <mergeCell ref="AF45:AG45"/>
    <mergeCell ref="AH45:AI45"/>
    <mergeCell ref="R46:S46"/>
    <mergeCell ref="T46:U46"/>
    <mergeCell ref="V46:W46"/>
    <mergeCell ref="X46:AA46"/>
    <mergeCell ref="AB46:AE46"/>
    <mergeCell ref="AF46:AG46"/>
    <mergeCell ref="AH46:AI46"/>
    <mergeCell ref="AX46:AZ46"/>
    <mergeCell ref="BA46:BB46"/>
    <mergeCell ref="BD46:BE46"/>
    <mergeCell ref="BF46:BI46"/>
    <mergeCell ref="BJ46:BM46"/>
    <mergeCell ref="BN46:BV46"/>
    <mergeCell ref="BJ47:BM47"/>
    <mergeCell ref="BN47:BV47"/>
    <mergeCell ref="B46:C46"/>
    <mergeCell ref="D46:E46"/>
    <mergeCell ref="F46:G46"/>
    <mergeCell ref="H46:I46"/>
    <mergeCell ref="J46:K46"/>
    <mergeCell ref="L46:M46"/>
    <mergeCell ref="P46:Q46"/>
    <mergeCell ref="B47:C47"/>
    <mergeCell ref="D47:E47"/>
    <mergeCell ref="F47:G47"/>
    <mergeCell ref="H47:I47"/>
    <mergeCell ref="J47:K47"/>
    <mergeCell ref="L47:M47"/>
    <mergeCell ref="P47:Q47"/>
    <mergeCell ref="AJ46:AK46"/>
    <mergeCell ref="AL46:AM46"/>
    <mergeCell ref="AN46:AO46"/>
    <mergeCell ref="AP46:AQ46"/>
    <mergeCell ref="AR46:AS46"/>
    <mergeCell ref="AT46:AU46"/>
    <mergeCell ref="AV46:AW46"/>
    <mergeCell ref="BD49:BE49"/>
    <mergeCell ref="BF49:BI49"/>
    <mergeCell ref="AN49:AO49"/>
    <mergeCell ref="AP49:AQ49"/>
    <mergeCell ref="AR49:AS49"/>
    <mergeCell ref="AT49:AU49"/>
    <mergeCell ref="AV49:AW49"/>
    <mergeCell ref="AX49:AZ49"/>
    <mergeCell ref="BA49:BB49"/>
    <mergeCell ref="AJ47:AK47"/>
    <mergeCell ref="AL47:AM47"/>
    <mergeCell ref="R47:S47"/>
    <mergeCell ref="T47:U47"/>
    <mergeCell ref="V47:W47"/>
    <mergeCell ref="X47:AA47"/>
    <mergeCell ref="AB47:AE47"/>
    <mergeCell ref="AF47:AG47"/>
    <mergeCell ref="AH47:AI47"/>
    <mergeCell ref="R48:S48"/>
    <mergeCell ref="T48:U48"/>
    <mergeCell ref="V48:W48"/>
    <mergeCell ref="X48:AA48"/>
    <mergeCell ref="AB48:AE48"/>
    <mergeCell ref="AF48:AG48"/>
    <mergeCell ref="AH48:AI48"/>
    <mergeCell ref="AX48:AZ48"/>
    <mergeCell ref="BA48:BB48"/>
    <mergeCell ref="BD48:BE48"/>
    <mergeCell ref="BF48:BI48"/>
    <mergeCell ref="R49:S49"/>
    <mergeCell ref="T49:U49"/>
    <mergeCell ref="V49:W49"/>
    <mergeCell ref="X49:AA49"/>
    <mergeCell ref="AB49:AE49"/>
    <mergeCell ref="AF49:AG49"/>
    <mergeCell ref="AH49:AI49"/>
    <mergeCell ref="BJ48:BM48"/>
    <mergeCell ref="BN48:BV48"/>
    <mergeCell ref="BJ49:BM49"/>
    <mergeCell ref="BN49:BV49"/>
    <mergeCell ref="B48:C48"/>
    <mergeCell ref="D48:E48"/>
    <mergeCell ref="F48:G48"/>
    <mergeCell ref="H48:I48"/>
    <mergeCell ref="J48:K48"/>
    <mergeCell ref="L48:M48"/>
    <mergeCell ref="P48:Q48"/>
    <mergeCell ref="B49:C49"/>
    <mergeCell ref="D49:E49"/>
    <mergeCell ref="F49:G49"/>
    <mergeCell ref="H49:I49"/>
    <mergeCell ref="J49:K49"/>
    <mergeCell ref="L49:M49"/>
    <mergeCell ref="P49:Q49"/>
    <mergeCell ref="AJ48:AK48"/>
    <mergeCell ref="AL48:AM48"/>
    <mergeCell ref="AN48:AO48"/>
    <mergeCell ref="AP48:AQ48"/>
    <mergeCell ref="AR48:AS48"/>
    <mergeCell ref="AT48:AU48"/>
    <mergeCell ref="AV48:AW48"/>
    <mergeCell ref="BD168:BE168"/>
    <mergeCell ref="BF168:BI168"/>
    <mergeCell ref="AN168:AO168"/>
    <mergeCell ref="AP168:AQ168"/>
    <mergeCell ref="AR168:AS168"/>
    <mergeCell ref="AT168:AU168"/>
    <mergeCell ref="AV168:AW168"/>
    <mergeCell ref="AX168:AZ168"/>
    <mergeCell ref="BA168:BB168"/>
    <mergeCell ref="AJ166:AK166"/>
    <mergeCell ref="AL166:AM166"/>
    <mergeCell ref="R166:S166"/>
    <mergeCell ref="T166:U166"/>
    <mergeCell ref="V166:W166"/>
    <mergeCell ref="X166:AA166"/>
    <mergeCell ref="AB166:AE166"/>
    <mergeCell ref="AF166:AG166"/>
    <mergeCell ref="AH166:AI166"/>
    <mergeCell ref="R167:S167"/>
    <mergeCell ref="T167:U167"/>
    <mergeCell ref="V167:W167"/>
    <mergeCell ref="X167:AA167"/>
    <mergeCell ref="AB167:AE167"/>
    <mergeCell ref="AF167:AG167"/>
    <mergeCell ref="AH167:AI167"/>
    <mergeCell ref="AX167:AZ167"/>
    <mergeCell ref="BA167:BB167"/>
    <mergeCell ref="BD167:BE167"/>
    <mergeCell ref="BF167:BI167"/>
    <mergeCell ref="BJ167:BM167"/>
    <mergeCell ref="BN167:BV167"/>
    <mergeCell ref="BJ168:BM168"/>
    <mergeCell ref="BN168:BV168"/>
    <mergeCell ref="B167:C167"/>
    <mergeCell ref="D167:E167"/>
    <mergeCell ref="F167:G167"/>
    <mergeCell ref="H167:I167"/>
    <mergeCell ref="J167:K167"/>
    <mergeCell ref="L167:M167"/>
    <mergeCell ref="D168:E168"/>
    <mergeCell ref="F168:G168"/>
    <mergeCell ref="H168:I168"/>
    <mergeCell ref="J168:K168"/>
    <mergeCell ref="L168:M168"/>
    <mergeCell ref="P168:Q168"/>
    <mergeCell ref="AJ167:AK167"/>
    <mergeCell ref="AL167:AM167"/>
    <mergeCell ref="AN167:AO167"/>
    <mergeCell ref="AP167:AQ167"/>
    <mergeCell ref="AR167:AS167"/>
    <mergeCell ref="AT167:AU167"/>
    <mergeCell ref="AV167:AW167"/>
    <mergeCell ref="AJ162:AK162"/>
    <mergeCell ref="AL162:AM162"/>
    <mergeCell ref="R162:S162"/>
    <mergeCell ref="T162:U162"/>
    <mergeCell ref="V162:W162"/>
    <mergeCell ref="X162:AA162"/>
    <mergeCell ref="AB162:AE162"/>
    <mergeCell ref="AF162:AG162"/>
    <mergeCell ref="AH162:AI162"/>
    <mergeCell ref="R163:S163"/>
    <mergeCell ref="T163:U163"/>
    <mergeCell ref="V163:W163"/>
    <mergeCell ref="X163:AA163"/>
    <mergeCell ref="AB163:AE163"/>
    <mergeCell ref="AF163:AG163"/>
    <mergeCell ref="AH163:AI163"/>
    <mergeCell ref="AX163:AZ163"/>
    <mergeCell ref="BA163:BB163"/>
    <mergeCell ref="J165:K165"/>
    <mergeCell ref="L165:M165"/>
    <mergeCell ref="P165:Q165"/>
    <mergeCell ref="D166:E166"/>
    <mergeCell ref="F166:G166"/>
    <mergeCell ref="H166:I166"/>
    <mergeCell ref="J166:K166"/>
    <mergeCell ref="L166:M166"/>
    <mergeCell ref="P166:Q166"/>
    <mergeCell ref="AJ165:AK165"/>
    <mergeCell ref="AL165:AM165"/>
    <mergeCell ref="AN165:AO165"/>
    <mergeCell ref="AP165:AQ165"/>
    <mergeCell ref="AR165:AS165"/>
    <mergeCell ref="AT165:AU165"/>
    <mergeCell ref="AV165:AW165"/>
    <mergeCell ref="AR163:AS163"/>
    <mergeCell ref="AT163:AU163"/>
    <mergeCell ref="AV163:AW163"/>
    <mergeCell ref="AN166:AO166"/>
    <mergeCell ref="AP166:AQ166"/>
    <mergeCell ref="AR166:AS166"/>
    <mergeCell ref="AT166:AU166"/>
    <mergeCell ref="P167:Q167"/>
    <mergeCell ref="R164:S164"/>
    <mergeCell ref="R165:S165"/>
    <mergeCell ref="B158:C158"/>
    <mergeCell ref="D158:E158"/>
    <mergeCell ref="F158:G158"/>
    <mergeCell ref="H158:I158"/>
    <mergeCell ref="J158:K158"/>
    <mergeCell ref="L158:M158"/>
    <mergeCell ref="P158:Q158"/>
    <mergeCell ref="AJ158:AK158"/>
    <mergeCell ref="AL158:AM158"/>
    <mergeCell ref="AN158:AO158"/>
    <mergeCell ref="AP158:AQ158"/>
    <mergeCell ref="AR158:AS158"/>
    <mergeCell ref="AT158:AU158"/>
    <mergeCell ref="AV158:AW158"/>
    <mergeCell ref="B159:C159"/>
    <mergeCell ref="D159:E159"/>
    <mergeCell ref="F159:G159"/>
    <mergeCell ref="H159:I159"/>
    <mergeCell ref="J159:K159"/>
    <mergeCell ref="L159:M159"/>
    <mergeCell ref="P159:Q159"/>
    <mergeCell ref="B163:C163"/>
    <mergeCell ref="D163:E163"/>
    <mergeCell ref="F163:G163"/>
    <mergeCell ref="BJ158:BM158"/>
    <mergeCell ref="L164:M164"/>
    <mergeCell ref="P164:Q164"/>
    <mergeCell ref="BN165:BV165"/>
    <mergeCell ref="BJ166:BM166"/>
    <mergeCell ref="BN166:BV166"/>
    <mergeCell ref="B165:C165"/>
    <mergeCell ref="D165:E165"/>
    <mergeCell ref="F165:G165"/>
    <mergeCell ref="H165:I165"/>
    <mergeCell ref="B166:C166"/>
    <mergeCell ref="BD166:BE166"/>
    <mergeCell ref="BF166:BI166"/>
    <mergeCell ref="J161:K161"/>
    <mergeCell ref="L161:M161"/>
    <mergeCell ref="P161:Q161"/>
    <mergeCell ref="BD162:BE162"/>
    <mergeCell ref="BF162:BI162"/>
    <mergeCell ref="AN162:AO162"/>
    <mergeCell ref="AP162:AQ162"/>
    <mergeCell ref="AR162:AS162"/>
    <mergeCell ref="AT162:AU162"/>
    <mergeCell ref="AV162:AW162"/>
    <mergeCell ref="AX162:AZ162"/>
    <mergeCell ref="BA162:BB162"/>
    <mergeCell ref="R160:S160"/>
    <mergeCell ref="T160:U160"/>
    <mergeCell ref="V160:W160"/>
    <mergeCell ref="X160:AA160"/>
    <mergeCell ref="AB160:AE160"/>
    <mergeCell ref="AF160:AG160"/>
    <mergeCell ref="AH160:AI160"/>
    <mergeCell ref="AX160:AZ160"/>
    <mergeCell ref="BA160:BB160"/>
    <mergeCell ref="BD160:BE160"/>
    <mergeCell ref="BF160:BI160"/>
    <mergeCell ref="BD159:BE159"/>
    <mergeCell ref="BF159:BI159"/>
    <mergeCell ref="AN159:AO159"/>
    <mergeCell ref="AP159:AQ159"/>
    <mergeCell ref="AR159:AS159"/>
    <mergeCell ref="AT159:AU159"/>
    <mergeCell ref="AV159:AW159"/>
    <mergeCell ref="AX159:AZ159"/>
    <mergeCell ref="BA159:BB159"/>
    <mergeCell ref="AJ157:AK157"/>
    <mergeCell ref="AL157:AM157"/>
    <mergeCell ref="R157:S157"/>
    <mergeCell ref="T157:U157"/>
    <mergeCell ref="V157:W157"/>
    <mergeCell ref="X157:AA157"/>
    <mergeCell ref="AB157:AE157"/>
    <mergeCell ref="AF157:AG157"/>
    <mergeCell ref="AH157:AI157"/>
    <mergeCell ref="R158:S158"/>
    <mergeCell ref="T158:U158"/>
    <mergeCell ref="V158:W158"/>
    <mergeCell ref="X158:AA158"/>
    <mergeCell ref="AB158:AE158"/>
    <mergeCell ref="AF158:AG158"/>
    <mergeCell ref="AH158:AI158"/>
    <mergeCell ref="AX158:AZ158"/>
    <mergeCell ref="BA158:BB158"/>
    <mergeCell ref="BD158:BE158"/>
    <mergeCell ref="BF158:BI158"/>
    <mergeCell ref="BJ169:BM169"/>
    <mergeCell ref="BN169:BV169"/>
    <mergeCell ref="BJ170:BM170"/>
    <mergeCell ref="BN170:BV170"/>
    <mergeCell ref="BJ171:BM171"/>
    <mergeCell ref="BN171:BV171"/>
    <mergeCell ref="BJ172:BM172"/>
    <mergeCell ref="BN172:BV172"/>
    <mergeCell ref="AJ171:AK171"/>
    <mergeCell ref="AL171:AM171"/>
    <mergeCell ref="AN171:AO171"/>
    <mergeCell ref="AP171:AQ171"/>
    <mergeCell ref="AR171:AS171"/>
    <mergeCell ref="AT171:AU171"/>
    <mergeCell ref="AV171:AW171"/>
    <mergeCell ref="BJ160:BM160"/>
    <mergeCell ref="BN160:BV160"/>
    <mergeCell ref="AJ160:AK160"/>
    <mergeCell ref="AL160:AM160"/>
    <mergeCell ref="AN160:AO160"/>
    <mergeCell ref="AP160:AQ160"/>
    <mergeCell ref="AR160:AS160"/>
    <mergeCell ref="AT160:AU160"/>
    <mergeCell ref="AV160:AW160"/>
    <mergeCell ref="T171:U171"/>
    <mergeCell ref="V171:W171"/>
    <mergeCell ref="X171:AA171"/>
    <mergeCell ref="AB171:AE171"/>
    <mergeCell ref="AF171:AG171"/>
    <mergeCell ref="AH171:AI171"/>
    <mergeCell ref="AX171:AZ171"/>
    <mergeCell ref="BA171:BB171"/>
    <mergeCell ref="BD171:BE171"/>
    <mergeCell ref="BF171:BI171"/>
    <mergeCell ref="AL163:AM163"/>
    <mergeCell ref="AN163:AO163"/>
    <mergeCell ref="AP163:AQ163"/>
    <mergeCell ref="BD163:BE163"/>
    <mergeCell ref="BF163:BI163"/>
    <mergeCell ref="BJ163:BM163"/>
    <mergeCell ref="AV166:AW166"/>
    <mergeCell ref="AX166:AZ166"/>
    <mergeCell ref="BA166:BB166"/>
    <mergeCell ref="AJ164:AK164"/>
    <mergeCell ref="AL164:AM164"/>
    <mergeCell ref="T164:U164"/>
    <mergeCell ref="V164:W164"/>
    <mergeCell ref="X164:AA164"/>
    <mergeCell ref="AB164:AE164"/>
    <mergeCell ref="AF164:AG164"/>
    <mergeCell ref="AH164:AI164"/>
    <mergeCell ref="T165:U165"/>
    <mergeCell ref="V165:W165"/>
    <mergeCell ref="X165:AA165"/>
    <mergeCell ref="AB165:AE165"/>
    <mergeCell ref="AF165:AG165"/>
    <mergeCell ref="AH165:AI165"/>
    <mergeCell ref="AX165:AZ165"/>
    <mergeCell ref="BA165:BB165"/>
    <mergeCell ref="BD165:BE165"/>
    <mergeCell ref="BF165:BI165"/>
    <mergeCell ref="BJ165:BM165"/>
    <mergeCell ref="BN158:BV158"/>
    <mergeCell ref="BN163:BV163"/>
    <mergeCell ref="BJ164:BM164"/>
    <mergeCell ref="BN164:BV164"/>
    <mergeCell ref="AJ163:AK163"/>
    <mergeCell ref="B168:C168"/>
    <mergeCell ref="AJ172:AK172"/>
    <mergeCell ref="AL172:AM172"/>
    <mergeCell ref="R172:S172"/>
    <mergeCell ref="T172:U172"/>
    <mergeCell ref="V172:W172"/>
    <mergeCell ref="X172:AA172"/>
    <mergeCell ref="AB172:AE172"/>
    <mergeCell ref="AF172:AG172"/>
    <mergeCell ref="AH172:AI172"/>
    <mergeCell ref="B160:C160"/>
    <mergeCell ref="D160:E160"/>
    <mergeCell ref="F160:G160"/>
    <mergeCell ref="H160:I160"/>
    <mergeCell ref="J160:K160"/>
    <mergeCell ref="L160:M160"/>
    <mergeCell ref="P160:Q160"/>
    <mergeCell ref="AX161:AZ161"/>
    <mergeCell ref="BA161:BB161"/>
    <mergeCell ref="BD161:BE161"/>
    <mergeCell ref="BF161:BI161"/>
    <mergeCell ref="BJ161:BM161"/>
    <mergeCell ref="BN161:BV161"/>
    <mergeCell ref="BJ162:BM162"/>
    <mergeCell ref="BN162:BV162"/>
    <mergeCell ref="B162:C162"/>
    <mergeCell ref="D162:E162"/>
    <mergeCell ref="F162:G162"/>
    <mergeCell ref="H162:I162"/>
    <mergeCell ref="J162:K162"/>
    <mergeCell ref="L162:M162"/>
    <mergeCell ref="P162:Q162"/>
    <mergeCell ref="AJ161:AK161"/>
    <mergeCell ref="AL161:AM161"/>
    <mergeCell ref="AN161:AO161"/>
    <mergeCell ref="AP161:AQ161"/>
    <mergeCell ref="AR161:AS161"/>
    <mergeCell ref="AT161:AU161"/>
    <mergeCell ref="AV161:AW161"/>
    <mergeCell ref="R161:S161"/>
    <mergeCell ref="T161:U161"/>
    <mergeCell ref="V161:W161"/>
    <mergeCell ref="X161:AA161"/>
    <mergeCell ref="AB161:AE161"/>
    <mergeCell ref="AF161:AG161"/>
    <mergeCell ref="AH161:AI161"/>
    <mergeCell ref="B161:C161"/>
    <mergeCell ref="D161:E161"/>
    <mergeCell ref="F161:G161"/>
    <mergeCell ref="H161:I161"/>
    <mergeCell ref="H163:I163"/>
    <mergeCell ref="J163:K163"/>
    <mergeCell ref="L163:M163"/>
    <mergeCell ref="P163:Q163"/>
    <mergeCell ref="B164:C164"/>
    <mergeCell ref="D164:E164"/>
    <mergeCell ref="F164:G164"/>
    <mergeCell ref="H164:I164"/>
    <mergeCell ref="J164:K164"/>
    <mergeCell ref="J172:K172"/>
    <mergeCell ref="L172:M172"/>
    <mergeCell ref="P172:Q172"/>
    <mergeCell ref="BD164:BE164"/>
    <mergeCell ref="BF164:BI164"/>
    <mergeCell ref="AN164:AO164"/>
    <mergeCell ref="AP164:AQ164"/>
    <mergeCell ref="AR164:AS164"/>
    <mergeCell ref="AT164:AU164"/>
    <mergeCell ref="AV164:AW164"/>
    <mergeCell ref="AX164:AZ164"/>
    <mergeCell ref="BA164:BB164"/>
    <mergeCell ref="BD170:BE170"/>
    <mergeCell ref="BF170:BI170"/>
    <mergeCell ref="AN170:AO170"/>
    <mergeCell ref="AP170:AQ170"/>
    <mergeCell ref="AR170:AS170"/>
    <mergeCell ref="AT170:AU170"/>
    <mergeCell ref="AV170:AW170"/>
    <mergeCell ref="AX170:AZ170"/>
    <mergeCell ref="BA170:BB170"/>
    <mergeCell ref="AJ168:AK168"/>
    <mergeCell ref="AL168:AM168"/>
    <mergeCell ref="R168:S168"/>
    <mergeCell ref="T168:U168"/>
    <mergeCell ref="V168:W168"/>
    <mergeCell ref="X168:AA168"/>
    <mergeCell ref="AB168:AE168"/>
    <mergeCell ref="AF168:AG168"/>
    <mergeCell ref="AH168:AI168"/>
    <mergeCell ref="R169:S169"/>
    <mergeCell ref="T169:U169"/>
    <mergeCell ref="V169:W169"/>
    <mergeCell ref="X169:AA169"/>
    <mergeCell ref="AB169:AE169"/>
    <mergeCell ref="AF169:AG169"/>
    <mergeCell ref="AH169:AI169"/>
    <mergeCell ref="AX169:AZ169"/>
    <mergeCell ref="BA169:BB169"/>
    <mergeCell ref="BD169:BE169"/>
    <mergeCell ref="BF169:BI169"/>
    <mergeCell ref="BJ173:BM173"/>
    <mergeCell ref="BN173:BV173"/>
    <mergeCell ref="BJ174:BM174"/>
    <mergeCell ref="BN174:BV174"/>
    <mergeCell ref="B169:C169"/>
    <mergeCell ref="D169:E169"/>
    <mergeCell ref="F169:G169"/>
    <mergeCell ref="H169:I169"/>
    <mergeCell ref="J169:K169"/>
    <mergeCell ref="L169:M169"/>
    <mergeCell ref="P169:Q169"/>
    <mergeCell ref="B170:C170"/>
    <mergeCell ref="D170:E170"/>
    <mergeCell ref="F170:G170"/>
    <mergeCell ref="H170:I170"/>
    <mergeCell ref="J170:K170"/>
    <mergeCell ref="L170:M170"/>
    <mergeCell ref="P170:Q170"/>
    <mergeCell ref="AJ169:AK169"/>
    <mergeCell ref="AL169:AM169"/>
    <mergeCell ref="AN169:AO169"/>
    <mergeCell ref="AP169:AQ169"/>
    <mergeCell ref="AR169:AS169"/>
    <mergeCell ref="AT169:AU169"/>
    <mergeCell ref="AV169:AW169"/>
    <mergeCell ref="BD172:BE172"/>
    <mergeCell ref="BF172:BI172"/>
    <mergeCell ref="AN172:AO172"/>
    <mergeCell ref="AP172:AQ172"/>
    <mergeCell ref="AR172:AS172"/>
    <mergeCell ref="AT172:AU172"/>
    <mergeCell ref="AV172:AW172"/>
    <mergeCell ref="AX172:AZ172"/>
    <mergeCell ref="BA172:BB172"/>
    <mergeCell ref="AJ170:AK170"/>
    <mergeCell ref="AL170:AM170"/>
    <mergeCell ref="R170:S170"/>
    <mergeCell ref="T170:U170"/>
    <mergeCell ref="V170:W170"/>
    <mergeCell ref="X170:AA170"/>
    <mergeCell ref="AB170:AE170"/>
    <mergeCell ref="AF170:AG170"/>
    <mergeCell ref="AH170:AI170"/>
    <mergeCell ref="R171:S171"/>
    <mergeCell ref="B173:C173"/>
    <mergeCell ref="D173:E173"/>
    <mergeCell ref="F173:G173"/>
    <mergeCell ref="H173:I173"/>
    <mergeCell ref="J173:K173"/>
    <mergeCell ref="L173:M173"/>
    <mergeCell ref="P173:Q173"/>
    <mergeCell ref="B174:C174"/>
    <mergeCell ref="D174:E174"/>
    <mergeCell ref="B171:C171"/>
    <mergeCell ref="D171:E171"/>
    <mergeCell ref="F171:G171"/>
    <mergeCell ref="H171:I171"/>
    <mergeCell ref="J171:K171"/>
    <mergeCell ref="L171:M171"/>
    <mergeCell ref="P171:Q171"/>
    <mergeCell ref="B172:C172"/>
    <mergeCell ref="D172:E172"/>
    <mergeCell ref="F172:G172"/>
    <mergeCell ref="H172:I172"/>
    <mergeCell ref="F174:G174"/>
    <mergeCell ref="H174:I174"/>
    <mergeCell ref="J174:K174"/>
    <mergeCell ref="L174:M174"/>
    <mergeCell ref="P174:Q174"/>
    <mergeCell ref="AJ173:AK173"/>
    <mergeCell ref="AL173:AM173"/>
    <mergeCell ref="AN173:AO173"/>
    <mergeCell ref="AP173:AQ173"/>
    <mergeCell ref="AR173:AS173"/>
    <mergeCell ref="AT173:AU173"/>
    <mergeCell ref="AV173:AW173"/>
    <mergeCell ref="BD176:BE176"/>
    <mergeCell ref="BF176:BI176"/>
    <mergeCell ref="AN176:AO176"/>
    <mergeCell ref="AP176:AQ176"/>
    <mergeCell ref="AR176:AS176"/>
    <mergeCell ref="AT176:AU176"/>
    <mergeCell ref="AV176:AW176"/>
    <mergeCell ref="AX176:AZ176"/>
    <mergeCell ref="BA176:BB176"/>
    <mergeCell ref="AJ174:AK174"/>
    <mergeCell ref="AL174:AM174"/>
    <mergeCell ref="R174:S174"/>
    <mergeCell ref="T174:U174"/>
    <mergeCell ref="V174:W174"/>
    <mergeCell ref="X174:AA174"/>
    <mergeCell ref="AB174:AE174"/>
    <mergeCell ref="AF174:AG174"/>
    <mergeCell ref="AH174:AI174"/>
    <mergeCell ref="R175:S175"/>
    <mergeCell ref="T175:U175"/>
    <mergeCell ref="V175:W175"/>
    <mergeCell ref="X175:AA175"/>
    <mergeCell ref="AB175:AE175"/>
    <mergeCell ref="AF175:AG175"/>
    <mergeCell ref="AH175:AI175"/>
    <mergeCell ref="AX175:AZ175"/>
    <mergeCell ref="BA175:BB175"/>
    <mergeCell ref="BD175:BE175"/>
    <mergeCell ref="BF175:BI175"/>
    <mergeCell ref="BD174:BE174"/>
    <mergeCell ref="BF174:BI174"/>
    <mergeCell ref="AN174:AO174"/>
    <mergeCell ref="AP174:AQ174"/>
    <mergeCell ref="AR174:AS174"/>
    <mergeCell ref="AT174:AU174"/>
    <mergeCell ref="AV174:AW174"/>
    <mergeCell ref="AX174:AZ174"/>
    <mergeCell ref="BA174:BB174"/>
    <mergeCell ref="R173:S173"/>
    <mergeCell ref="T173:U173"/>
    <mergeCell ref="V173:W173"/>
    <mergeCell ref="X173:AA173"/>
    <mergeCell ref="AB173:AE173"/>
    <mergeCell ref="AF173:AG173"/>
    <mergeCell ref="AH173:AI173"/>
    <mergeCell ref="AX173:AZ173"/>
    <mergeCell ref="BA173:BB173"/>
    <mergeCell ref="BD173:BE173"/>
    <mergeCell ref="BF173:BI173"/>
    <mergeCell ref="BJ175:BM175"/>
    <mergeCell ref="BN175:BV175"/>
    <mergeCell ref="BJ176:BM176"/>
    <mergeCell ref="BN176:BV176"/>
    <mergeCell ref="B175:C175"/>
    <mergeCell ref="D175:E175"/>
    <mergeCell ref="F175:G175"/>
    <mergeCell ref="H175:I175"/>
    <mergeCell ref="J175:K175"/>
    <mergeCell ref="L175:M175"/>
    <mergeCell ref="P175:Q175"/>
    <mergeCell ref="B176:C176"/>
    <mergeCell ref="D176:E176"/>
    <mergeCell ref="F176:G176"/>
    <mergeCell ref="H176:I176"/>
    <mergeCell ref="J176:K176"/>
    <mergeCell ref="L176:M176"/>
    <mergeCell ref="P176:Q176"/>
    <mergeCell ref="AJ175:AK175"/>
    <mergeCell ref="AL175:AM175"/>
    <mergeCell ref="AN175:AO175"/>
    <mergeCell ref="AP175:AQ175"/>
    <mergeCell ref="AR175:AS175"/>
    <mergeCell ref="AT175:AU175"/>
    <mergeCell ref="AV175:AW175"/>
    <mergeCell ref="BD178:BE178"/>
    <mergeCell ref="BF178:BI178"/>
    <mergeCell ref="AN178:AO178"/>
    <mergeCell ref="AP178:AQ178"/>
    <mergeCell ref="AR178:AS178"/>
    <mergeCell ref="AT178:AU178"/>
    <mergeCell ref="AV178:AW178"/>
    <mergeCell ref="AX178:AZ178"/>
    <mergeCell ref="BA178:BB178"/>
    <mergeCell ref="AJ176:AK176"/>
    <mergeCell ref="AL176:AM176"/>
    <mergeCell ref="R176:S176"/>
    <mergeCell ref="T176:U176"/>
    <mergeCell ref="V176:W176"/>
    <mergeCell ref="X176:AA176"/>
    <mergeCell ref="AB176:AE176"/>
    <mergeCell ref="AF176:AG176"/>
    <mergeCell ref="AH176:AI176"/>
    <mergeCell ref="R177:S177"/>
    <mergeCell ref="T177:U177"/>
    <mergeCell ref="V177:W177"/>
    <mergeCell ref="X177:AA177"/>
    <mergeCell ref="AB177:AE177"/>
    <mergeCell ref="AF177:AG177"/>
    <mergeCell ref="AH177:AI177"/>
    <mergeCell ref="AX177:AZ177"/>
    <mergeCell ref="BA177:BB177"/>
    <mergeCell ref="BD177:BE177"/>
    <mergeCell ref="BF177:BI177"/>
    <mergeCell ref="BJ177:BM177"/>
    <mergeCell ref="BN177:BV177"/>
    <mergeCell ref="BJ178:BM178"/>
    <mergeCell ref="BN178:BV178"/>
    <mergeCell ref="B177:C177"/>
    <mergeCell ref="D177:E177"/>
    <mergeCell ref="F177:G177"/>
    <mergeCell ref="H177:I177"/>
    <mergeCell ref="J177:K177"/>
    <mergeCell ref="L177:M177"/>
    <mergeCell ref="P177:Q177"/>
    <mergeCell ref="B178:C178"/>
    <mergeCell ref="D178:E178"/>
    <mergeCell ref="F178:G178"/>
    <mergeCell ref="H178:I178"/>
    <mergeCell ref="J178:K178"/>
    <mergeCell ref="L178:M178"/>
    <mergeCell ref="P178:Q178"/>
    <mergeCell ref="AJ177:AK177"/>
    <mergeCell ref="AL177:AM177"/>
    <mergeCell ref="AN177:AO177"/>
    <mergeCell ref="AP177:AQ177"/>
    <mergeCell ref="AR177:AS177"/>
    <mergeCell ref="AT177:AU177"/>
    <mergeCell ref="AV177:AW177"/>
    <mergeCell ref="BD180:BE180"/>
    <mergeCell ref="BF180:BI180"/>
    <mergeCell ref="AN180:AO180"/>
    <mergeCell ref="AP180:AQ180"/>
    <mergeCell ref="AR180:AS180"/>
    <mergeCell ref="AT180:AU180"/>
    <mergeCell ref="AV180:AW180"/>
    <mergeCell ref="AX180:AZ180"/>
    <mergeCell ref="BA180:BB180"/>
    <mergeCell ref="AJ178:AK178"/>
    <mergeCell ref="AL178:AM178"/>
    <mergeCell ref="R178:S178"/>
    <mergeCell ref="T178:U178"/>
    <mergeCell ref="V178:W178"/>
    <mergeCell ref="X178:AA178"/>
    <mergeCell ref="AB178:AE178"/>
    <mergeCell ref="AF178:AG178"/>
    <mergeCell ref="AH178:AI178"/>
    <mergeCell ref="R179:S179"/>
    <mergeCell ref="T179:U179"/>
    <mergeCell ref="V179:W179"/>
    <mergeCell ref="X179:AA179"/>
    <mergeCell ref="AB179:AE179"/>
    <mergeCell ref="AF179:AG179"/>
    <mergeCell ref="AH179:AI179"/>
    <mergeCell ref="AX179:AZ179"/>
    <mergeCell ref="BA179:BB179"/>
    <mergeCell ref="BD179:BE179"/>
    <mergeCell ref="BF179:BI179"/>
    <mergeCell ref="AJ180:AK180"/>
    <mergeCell ref="AL180:AM180"/>
    <mergeCell ref="R180:S180"/>
    <mergeCell ref="T180:U180"/>
    <mergeCell ref="V180:W180"/>
    <mergeCell ref="X180:AA180"/>
    <mergeCell ref="AB180:AE180"/>
    <mergeCell ref="AF180:AG180"/>
    <mergeCell ref="AH180:AI180"/>
    <mergeCell ref="BJ179:BM179"/>
    <mergeCell ref="BN179:BV179"/>
    <mergeCell ref="BJ180:BM180"/>
    <mergeCell ref="BN180:BV180"/>
    <mergeCell ref="B179:C179"/>
    <mergeCell ref="D179:E179"/>
    <mergeCell ref="F179:G179"/>
    <mergeCell ref="H179:I179"/>
    <mergeCell ref="J179:K179"/>
    <mergeCell ref="L179:M179"/>
    <mergeCell ref="P179:Q179"/>
    <mergeCell ref="B180:C180"/>
    <mergeCell ref="D180:E180"/>
    <mergeCell ref="F180:G180"/>
    <mergeCell ref="H180:I180"/>
    <mergeCell ref="J180:K180"/>
    <mergeCell ref="L180:M180"/>
    <mergeCell ref="P180:Q180"/>
    <mergeCell ref="AJ179:AK179"/>
    <mergeCell ref="AL179:AM179"/>
    <mergeCell ref="AN179:AO179"/>
    <mergeCell ref="AP179:AQ179"/>
    <mergeCell ref="AR179:AS179"/>
    <mergeCell ref="AT179:AU179"/>
    <mergeCell ref="AV179:AW179"/>
    <mergeCell ref="BD191:BE191"/>
    <mergeCell ref="BF191:BI191"/>
    <mergeCell ref="AN191:AO191"/>
    <mergeCell ref="AP191:AQ191"/>
    <mergeCell ref="AR191:AS191"/>
    <mergeCell ref="AT191:AU191"/>
    <mergeCell ref="AV191:AW191"/>
    <mergeCell ref="AX191:AZ191"/>
    <mergeCell ref="BA191:BB191"/>
    <mergeCell ref="AJ189:AK189"/>
    <mergeCell ref="AL189:AM189"/>
    <mergeCell ref="R189:S189"/>
    <mergeCell ref="T189:U189"/>
    <mergeCell ref="V189:W189"/>
    <mergeCell ref="X189:AA189"/>
    <mergeCell ref="AB189:AE189"/>
    <mergeCell ref="AF189:AG189"/>
    <mergeCell ref="AH189:AI189"/>
    <mergeCell ref="R190:S190"/>
    <mergeCell ref="T190:U190"/>
    <mergeCell ref="V190:W190"/>
    <mergeCell ref="X190:AA190"/>
    <mergeCell ref="AB190:AE190"/>
    <mergeCell ref="AF190:AG190"/>
    <mergeCell ref="AH190:AI190"/>
    <mergeCell ref="AX190:AZ190"/>
    <mergeCell ref="BA190:BB190"/>
    <mergeCell ref="BD190:BE190"/>
    <mergeCell ref="BF190:BI190"/>
    <mergeCell ref="BJ190:BM190"/>
    <mergeCell ref="BN190:BV190"/>
    <mergeCell ref="BJ191:BM191"/>
    <mergeCell ref="BN191:BV191"/>
    <mergeCell ref="B190:C190"/>
    <mergeCell ref="D190:E190"/>
    <mergeCell ref="F190:G190"/>
    <mergeCell ref="H190:I190"/>
    <mergeCell ref="J190:K190"/>
    <mergeCell ref="L190:M190"/>
    <mergeCell ref="B189:C189"/>
    <mergeCell ref="D189:E189"/>
    <mergeCell ref="F189:G189"/>
    <mergeCell ref="H189:I189"/>
    <mergeCell ref="J189:K189"/>
    <mergeCell ref="L189:M189"/>
    <mergeCell ref="P189:Q189"/>
    <mergeCell ref="AJ188:AK188"/>
    <mergeCell ref="AL188:AM188"/>
    <mergeCell ref="AN188:AO188"/>
    <mergeCell ref="AP188:AQ188"/>
    <mergeCell ref="AR188:AS188"/>
    <mergeCell ref="AT188:AU188"/>
    <mergeCell ref="AV188:AW188"/>
    <mergeCell ref="AN189:AO189"/>
    <mergeCell ref="AP189:AQ189"/>
    <mergeCell ref="AR189:AS189"/>
    <mergeCell ref="AT189:AU189"/>
    <mergeCell ref="AV189:AW189"/>
    <mergeCell ref="AX189:AZ189"/>
    <mergeCell ref="BA189:BB189"/>
    <mergeCell ref="AJ187:AK187"/>
    <mergeCell ref="AL187:AM187"/>
    <mergeCell ref="R187:S187"/>
    <mergeCell ref="T187:U187"/>
    <mergeCell ref="V187:W187"/>
    <mergeCell ref="X187:AA187"/>
    <mergeCell ref="AB187:AE187"/>
    <mergeCell ref="L186:M186"/>
    <mergeCell ref="P186:Q186"/>
    <mergeCell ref="B187:C187"/>
    <mergeCell ref="D187:E187"/>
    <mergeCell ref="F187:G187"/>
    <mergeCell ref="H187:I187"/>
    <mergeCell ref="J187:K187"/>
    <mergeCell ref="L187:M187"/>
    <mergeCell ref="P187:Q187"/>
    <mergeCell ref="B188:C188"/>
    <mergeCell ref="D188:E188"/>
    <mergeCell ref="F188:G188"/>
    <mergeCell ref="H188:I188"/>
    <mergeCell ref="J188:K188"/>
    <mergeCell ref="L188:M188"/>
    <mergeCell ref="P188:Q188"/>
    <mergeCell ref="B191:C191"/>
    <mergeCell ref="D191:E191"/>
    <mergeCell ref="F191:G191"/>
    <mergeCell ref="H191:I191"/>
    <mergeCell ref="J191:K191"/>
    <mergeCell ref="L191:M191"/>
    <mergeCell ref="P191:Q191"/>
    <mergeCell ref="AJ190:AK190"/>
    <mergeCell ref="AL190:AM190"/>
    <mergeCell ref="AN190:AO190"/>
    <mergeCell ref="AP190:AQ190"/>
    <mergeCell ref="AR190:AS190"/>
    <mergeCell ref="AT190:AU190"/>
    <mergeCell ref="AV190:AW190"/>
    <mergeCell ref="AJ185:AK185"/>
    <mergeCell ref="AL185:AM185"/>
    <mergeCell ref="R185:S185"/>
    <mergeCell ref="T185:U185"/>
    <mergeCell ref="V185:W185"/>
    <mergeCell ref="X185:AA185"/>
    <mergeCell ref="AB185:AE185"/>
    <mergeCell ref="AF185:AG185"/>
    <mergeCell ref="AH185:AI185"/>
    <mergeCell ref="R186:S186"/>
    <mergeCell ref="T186:U186"/>
    <mergeCell ref="V186:W186"/>
    <mergeCell ref="X186:AA186"/>
    <mergeCell ref="AB186:AE186"/>
    <mergeCell ref="AF186:AG186"/>
    <mergeCell ref="AH186:AI186"/>
    <mergeCell ref="BD182:BE182"/>
    <mergeCell ref="BF182:BI182"/>
    <mergeCell ref="AN182:AO182"/>
    <mergeCell ref="AP182:AQ182"/>
    <mergeCell ref="AR182:AS182"/>
    <mergeCell ref="AT182:AU182"/>
    <mergeCell ref="AV182:AW182"/>
    <mergeCell ref="AX182:AZ182"/>
    <mergeCell ref="BA182:BB182"/>
    <mergeCell ref="AF187:AG187"/>
    <mergeCell ref="AH187:AI187"/>
    <mergeCell ref="R188:S188"/>
    <mergeCell ref="T188:U188"/>
    <mergeCell ref="V188:W188"/>
    <mergeCell ref="X188:AA188"/>
    <mergeCell ref="AB188:AE188"/>
    <mergeCell ref="AF188:AG188"/>
    <mergeCell ref="AH188:AI188"/>
    <mergeCell ref="AX188:AZ188"/>
    <mergeCell ref="BA188:BB188"/>
    <mergeCell ref="BD188:BE188"/>
    <mergeCell ref="BF188:BI188"/>
    <mergeCell ref="B183:C183"/>
    <mergeCell ref="D183:E183"/>
    <mergeCell ref="F183:G183"/>
    <mergeCell ref="H183:I183"/>
    <mergeCell ref="J183:K183"/>
    <mergeCell ref="L183:M183"/>
    <mergeCell ref="P183:Q183"/>
    <mergeCell ref="B185:C185"/>
    <mergeCell ref="D185:E185"/>
    <mergeCell ref="F185:G185"/>
    <mergeCell ref="H185:I185"/>
    <mergeCell ref="AX186:AZ186"/>
    <mergeCell ref="BJ181:BM181"/>
    <mergeCell ref="BN181:BV181"/>
    <mergeCell ref="B181:C181"/>
    <mergeCell ref="D181:E181"/>
    <mergeCell ref="F181:G181"/>
    <mergeCell ref="H181:I181"/>
    <mergeCell ref="J181:K181"/>
    <mergeCell ref="L181:M181"/>
    <mergeCell ref="P181:Q181"/>
    <mergeCell ref="AJ181:AK181"/>
    <mergeCell ref="AL181:AM181"/>
    <mergeCell ref="AN181:AO181"/>
    <mergeCell ref="AP181:AQ181"/>
    <mergeCell ref="AR181:AS181"/>
    <mergeCell ref="AT181:AU181"/>
    <mergeCell ref="AV181:AW181"/>
    <mergeCell ref="B182:C182"/>
    <mergeCell ref="D182:E182"/>
    <mergeCell ref="F182:G182"/>
    <mergeCell ref="H182:I182"/>
    <mergeCell ref="J182:K182"/>
    <mergeCell ref="L182:M182"/>
    <mergeCell ref="P182:Q182"/>
    <mergeCell ref="BD186:BE186"/>
    <mergeCell ref="BF186:BI186"/>
    <mergeCell ref="BJ186:BM186"/>
    <mergeCell ref="BN186:BV186"/>
    <mergeCell ref="BJ187:BM187"/>
    <mergeCell ref="BN187:BV187"/>
    <mergeCell ref="B186:C186"/>
    <mergeCell ref="D186:E186"/>
    <mergeCell ref="F186:G186"/>
    <mergeCell ref="H186:I186"/>
    <mergeCell ref="J186:K186"/>
    <mergeCell ref="R181:S181"/>
    <mergeCell ref="T181:U181"/>
    <mergeCell ref="V181:W181"/>
    <mergeCell ref="X181:AA181"/>
    <mergeCell ref="AB181:AE181"/>
    <mergeCell ref="AF181:AG181"/>
    <mergeCell ref="AH181:AI181"/>
    <mergeCell ref="AX181:AZ181"/>
    <mergeCell ref="BA181:BB181"/>
    <mergeCell ref="BD181:BE181"/>
    <mergeCell ref="BF181:BI181"/>
    <mergeCell ref="AJ182:AK182"/>
    <mergeCell ref="AL182:AM182"/>
    <mergeCell ref="BJ182:BM182"/>
    <mergeCell ref="BN182:BV182"/>
    <mergeCell ref="R182:S182"/>
    <mergeCell ref="T182:U182"/>
    <mergeCell ref="V182:W182"/>
    <mergeCell ref="X182:AA182"/>
    <mergeCell ref="AB182:AE182"/>
    <mergeCell ref="AF182:AG182"/>
    <mergeCell ref="AH182:AI182"/>
    <mergeCell ref="BA186:BB186"/>
    <mergeCell ref="J185:K185"/>
    <mergeCell ref="L185:M185"/>
    <mergeCell ref="P185:Q185"/>
    <mergeCell ref="R184:S184"/>
    <mergeCell ref="AB184:AE184"/>
    <mergeCell ref="AF184:AG184"/>
    <mergeCell ref="AH184:AI184"/>
    <mergeCell ref="BJ192:BM192"/>
    <mergeCell ref="BN192:BV192"/>
    <mergeCell ref="BJ193:BM193"/>
    <mergeCell ref="BN193:BV193"/>
    <mergeCell ref="BJ194:BM194"/>
    <mergeCell ref="BN194:BV194"/>
    <mergeCell ref="BJ195:BM195"/>
    <mergeCell ref="BN195:BV195"/>
    <mergeCell ref="AJ194:AK194"/>
    <mergeCell ref="AL194:AM194"/>
    <mergeCell ref="AN194:AO194"/>
    <mergeCell ref="AP194:AQ194"/>
    <mergeCell ref="AR194:AS194"/>
    <mergeCell ref="AT194:AU194"/>
    <mergeCell ref="AV194:AW194"/>
    <mergeCell ref="BJ183:BM183"/>
    <mergeCell ref="BN183:BV183"/>
    <mergeCell ref="AJ183:AK183"/>
    <mergeCell ref="AL183:AM183"/>
    <mergeCell ref="AN183:AO183"/>
    <mergeCell ref="AP183:AQ183"/>
    <mergeCell ref="AR183:AS183"/>
    <mergeCell ref="AT183:AU183"/>
    <mergeCell ref="AV183:AW183"/>
    <mergeCell ref="T194:U194"/>
    <mergeCell ref="V194:W194"/>
    <mergeCell ref="X194:AA194"/>
    <mergeCell ref="AB194:AE194"/>
    <mergeCell ref="AF194:AG194"/>
    <mergeCell ref="AH194:AI194"/>
    <mergeCell ref="AX194:AZ194"/>
    <mergeCell ref="BA194:BB194"/>
    <mergeCell ref="BD194:BE194"/>
    <mergeCell ref="BF194:BI194"/>
    <mergeCell ref="AJ186:AK186"/>
    <mergeCell ref="AL186:AM186"/>
    <mergeCell ref="AN186:AO186"/>
    <mergeCell ref="AP186:AQ186"/>
    <mergeCell ref="AR186:AS186"/>
    <mergeCell ref="AT186:AU186"/>
    <mergeCell ref="AV186:AW186"/>
    <mergeCell ref="BD185:BE185"/>
    <mergeCell ref="AX184:AZ184"/>
    <mergeCell ref="BA184:BB184"/>
    <mergeCell ref="BD184:BE184"/>
    <mergeCell ref="BF184:BI184"/>
    <mergeCell ref="BJ184:BM184"/>
    <mergeCell ref="BN184:BV184"/>
    <mergeCell ref="BJ185:BM185"/>
    <mergeCell ref="BN185:BV185"/>
    <mergeCell ref="BJ188:BM188"/>
    <mergeCell ref="BN188:BV188"/>
    <mergeCell ref="BJ189:BM189"/>
    <mergeCell ref="BN189:BV189"/>
    <mergeCell ref="AJ184:AK184"/>
    <mergeCell ref="AL184:AM184"/>
    <mergeCell ref="AN184:AO184"/>
    <mergeCell ref="AP184:AQ184"/>
    <mergeCell ref="AR184:AS184"/>
    <mergeCell ref="AT184:AU184"/>
    <mergeCell ref="AV184:AW184"/>
    <mergeCell ref="T184:U184"/>
    <mergeCell ref="V184:W184"/>
    <mergeCell ref="X184:AA184"/>
    <mergeCell ref="B184:C184"/>
    <mergeCell ref="D184:E184"/>
    <mergeCell ref="F184:G184"/>
    <mergeCell ref="H184:I184"/>
    <mergeCell ref="J184:K184"/>
    <mergeCell ref="L184:M184"/>
    <mergeCell ref="P184:Q184"/>
    <mergeCell ref="BF185:BI185"/>
    <mergeCell ref="AN185:AO185"/>
    <mergeCell ref="AP185:AQ185"/>
    <mergeCell ref="AR185:AS185"/>
    <mergeCell ref="AT185:AU185"/>
    <mergeCell ref="AV185:AW185"/>
    <mergeCell ref="AX185:AZ185"/>
    <mergeCell ref="BA185:BB185"/>
    <mergeCell ref="R183:S183"/>
    <mergeCell ref="T183:U183"/>
    <mergeCell ref="V183:W183"/>
    <mergeCell ref="X183:AA183"/>
    <mergeCell ref="AB183:AE183"/>
    <mergeCell ref="AF183:AG183"/>
    <mergeCell ref="AH183:AI183"/>
    <mergeCell ref="AX183:AZ183"/>
    <mergeCell ref="BA183:BB183"/>
    <mergeCell ref="BD183:BE183"/>
    <mergeCell ref="BF183:BI183"/>
    <mergeCell ref="J195:K195"/>
    <mergeCell ref="L195:M195"/>
    <mergeCell ref="P195:Q195"/>
    <mergeCell ref="BD187:BE187"/>
    <mergeCell ref="BF187:BI187"/>
    <mergeCell ref="AN187:AO187"/>
    <mergeCell ref="AP187:AQ187"/>
    <mergeCell ref="AR187:AS187"/>
    <mergeCell ref="AT187:AU187"/>
    <mergeCell ref="AV187:AW187"/>
    <mergeCell ref="AX187:AZ187"/>
    <mergeCell ref="BA187:BB187"/>
    <mergeCell ref="BD193:BE193"/>
    <mergeCell ref="BF193:BI193"/>
    <mergeCell ref="AN193:AO193"/>
    <mergeCell ref="AP193:AQ193"/>
    <mergeCell ref="AR193:AS193"/>
    <mergeCell ref="AT193:AU193"/>
    <mergeCell ref="AV193:AW193"/>
    <mergeCell ref="AX193:AZ193"/>
    <mergeCell ref="BA193:BB193"/>
    <mergeCell ref="AJ191:AK191"/>
    <mergeCell ref="AL191:AM191"/>
    <mergeCell ref="R191:S191"/>
    <mergeCell ref="T191:U191"/>
    <mergeCell ref="V191:W191"/>
    <mergeCell ref="X191:AA191"/>
    <mergeCell ref="AB191:AE191"/>
    <mergeCell ref="AF191:AG191"/>
    <mergeCell ref="AH191:AI191"/>
    <mergeCell ref="R192:S192"/>
    <mergeCell ref="T192:U192"/>
    <mergeCell ref="V192:W192"/>
    <mergeCell ref="X192:AA192"/>
    <mergeCell ref="AB192:AE192"/>
    <mergeCell ref="AF192:AG192"/>
    <mergeCell ref="AH192:AI192"/>
    <mergeCell ref="AX192:AZ192"/>
    <mergeCell ref="BA192:BB192"/>
    <mergeCell ref="BD192:BE192"/>
    <mergeCell ref="BF192:BI192"/>
    <mergeCell ref="BD189:BE189"/>
    <mergeCell ref="BF189:BI189"/>
    <mergeCell ref="AJ195:AK195"/>
    <mergeCell ref="AL195:AM195"/>
    <mergeCell ref="R195:S195"/>
    <mergeCell ref="T195:U195"/>
    <mergeCell ref="V195:W195"/>
    <mergeCell ref="X195:AA195"/>
    <mergeCell ref="AB195:AE195"/>
    <mergeCell ref="AF195:AG195"/>
    <mergeCell ref="AH195:AI195"/>
    <mergeCell ref="P190:Q190"/>
    <mergeCell ref="BJ196:BM196"/>
    <mergeCell ref="BN196:BV196"/>
    <mergeCell ref="BJ197:BM197"/>
    <mergeCell ref="BN197:BV197"/>
    <mergeCell ref="B192:C192"/>
    <mergeCell ref="D192:E192"/>
    <mergeCell ref="F192:G192"/>
    <mergeCell ref="H192:I192"/>
    <mergeCell ref="J192:K192"/>
    <mergeCell ref="L192:M192"/>
    <mergeCell ref="P192:Q192"/>
    <mergeCell ref="B193:C193"/>
    <mergeCell ref="D193:E193"/>
    <mergeCell ref="F193:G193"/>
    <mergeCell ref="H193:I193"/>
    <mergeCell ref="J193:K193"/>
    <mergeCell ref="L193:M193"/>
    <mergeCell ref="P193:Q193"/>
    <mergeCell ref="AJ192:AK192"/>
    <mergeCell ref="AL192:AM192"/>
    <mergeCell ref="AN192:AO192"/>
    <mergeCell ref="AP192:AQ192"/>
    <mergeCell ref="AR192:AS192"/>
    <mergeCell ref="AT192:AU192"/>
    <mergeCell ref="AV192:AW192"/>
    <mergeCell ref="BD195:BE195"/>
    <mergeCell ref="BF195:BI195"/>
    <mergeCell ref="AN195:AO195"/>
    <mergeCell ref="AP195:AQ195"/>
    <mergeCell ref="AR195:AS195"/>
    <mergeCell ref="AT195:AU195"/>
    <mergeCell ref="AV195:AW195"/>
    <mergeCell ref="AX195:AZ195"/>
    <mergeCell ref="BA195:BB195"/>
    <mergeCell ref="AJ193:AK193"/>
    <mergeCell ref="AL193:AM193"/>
    <mergeCell ref="R193:S193"/>
    <mergeCell ref="T193:U193"/>
    <mergeCell ref="V193:W193"/>
    <mergeCell ref="X193:AA193"/>
    <mergeCell ref="AB193:AE193"/>
    <mergeCell ref="AF193:AG193"/>
    <mergeCell ref="AH193:AI193"/>
    <mergeCell ref="R194:S194"/>
    <mergeCell ref="B196:C196"/>
    <mergeCell ref="D196:E196"/>
    <mergeCell ref="F196:G196"/>
    <mergeCell ref="H196:I196"/>
    <mergeCell ref="J196:K196"/>
    <mergeCell ref="B198:C198"/>
    <mergeCell ref="D198:E198"/>
    <mergeCell ref="F198:G198"/>
    <mergeCell ref="H198:I198"/>
    <mergeCell ref="J198:K198"/>
    <mergeCell ref="L198:M198"/>
    <mergeCell ref="P198:Q198"/>
    <mergeCell ref="B199:C199"/>
    <mergeCell ref="D199:E199"/>
    <mergeCell ref="F199:G199"/>
    <mergeCell ref="H199:I199"/>
    <mergeCell ref="J199:K199"/>
    <mergeCell ref="L199:M199"/>
    <mergeCell ref="P199:Q199"/>
    <mergeCell ref="AJ198:AK198"/>
    <mergeCell ref="AL198:AM198"/>
    <mergeCell ref="AN198:AO198"/>
    <mergeCell ref="AP198:AQ198"/>
    <mergeCell ref="AR198:AS198"/>
    <mergeCell ref="AT198:AU198"/>
    <mergeCell ref="AV198:AW198"/>
    <mergeCell ref="L196:M196"/>
    <mergeCell ref="P196:Q196"/>
    <mergeCell ref="B197:C197"/>
    <mergeCell ref="D197:E197"/>
    <mergeCell ref="B194:C194"/>
    <mergeCell ref="D194:E194"/>
    <mergeCell ref="F194:G194"/>
    <mergeCell ref="H194:I194"/>
    <mergeCell ref="J194:K194"/>
    <mergeCell ref="L194:M194"/>
    <mergeCell ref="P194:Q194"/>
    <mergeCell ref="B195:C195"/>
    <mergeCell ref="D195:E195"/>
    <mergeCell ref="F195:G195"/>
    <mergeCell ref="H195:I195"/>
    <mergeCell ref="F197:G197"/>
    <mergeCell ref="H197:I197"/>
    <mergeCell ref="J197:K197"/>
    <mergeCell ref="L197:M197"/>
    <mergeCell ref="P197:Q197"/>
    <mergeCell ref="AJ196:AK196"/>
    <mergeCell ref="AL196:AM196"/>
    <mergeCell ref="AN196:AO196"/>
    <mergeCell ref="AP196:AQ196"/>
    <mergeCell ref="AR196:AS196"/>
    <mergeCell ref="AT196:AU196"/>
    <mergeCell ref="AV196:AW196"/>
    <mergeCell ref="AN199:AO199"/>
    <mergeCell ref="AP199:AQ199"/>
    <mergeCell ref="AR199:AS199"/>
    <mergeCell ref="AT199:AU199"/>
    <mergeCell ref="AV199:AW199"/>
    <mergeCell ref="AJ197:AK197"/>
    <mergeCell ref="AL197:AM197"/>
    <mergeCell ref="R197:S197"/>
    <mergeCell ref="T197:U197"/>
    <mergeCell ref="V197:W197"/>
    <mergeCell ref="X197:AA197"/>
    <mergeCell ref="AB197:AE197"/>
    <mergeCell ref="AF197:AG197"/>
    <mergeCell ref="AH197:AI197"/>
    <mergeCell ref="R198:S198"/>
    <mergeCell ref="T198:U198"/>
    <mergeCell ref="AJ199:AK199"/>
    <mergeCell ref="AL199:AM199"/>
    <mergeCell ref="R199:S199"/>
    <mergeCell ref="T199:U199"/>
    <mergeCell ref="V199:W199"/>
    <mergeCell ref="X199:AA199"/>
    <mergeCell ref="AB199:AE199"/>
    <mergeCell ref="AF199:AG199"/>
    <mergeCell ref="AH199:AI199"/>
    <mergeCell ref="R200:S200"/>
    <mergeCell ref="T200:U200"/>
    <mergeCell ref="V200:W200"/>
    <mergeCell ref="X200:AA200"/>
    <mergeCell ref="AB200:AE200"/>
    <mergeCell ref="AF200:AG200"/>
    <mergeCell ref="AH200:AI200"/>
    <mergeCell ref="AX200:AZ200"/>
    <mergeCell ref="BA200:BB200"/>
    <mergeCell ref="BD200:BE200"/>
    <mergeCell ref="BF200:BI200"/>
    <mergeCell ref="BJ200:BM200"/>
    <mergeCell ref="BN200:BV200"/>
    <mergeCell ref="BJ201:BM201"/>
    <mergeCell ref="BN201:BV201"/>
    <mergeCell ref="BA197:BB197"/>
    <mergeCell ref="R196:S196"/>
    <mergeCell ref="T196:U196"/>
    <mergeCell ref="V196:W196"/>
    <mergeCell ref="X196:AA196"/>
    <mergeCell ref="AB196:AE196"/>
    <mergeCell ref="AF196:AG196"/>
    <mergeCell ref="AH196:AI196"/>
    <mergeCell ref="AX196:AZ196"/>
    <mergeCell ref="BA196:BB196"/>
    <mergeCell ref="BD196:BE196"/>
    <mergeCell ref="BF196:BI196"/>
    <mergeCell ref="BJ198:BM198"/>
    <mergeCell ref="BN198:BV198"/>
    <mergeCell ref="BJ199:BM199"/>
    <mergeCell ref="BN199:BV199"/>
    <mergeCell ref="BD199:BE199"/>
    <mergeCell ref="BF199:BI199"/>
    <mergeCell ref="AX199:AZ199"/>
    <mergeCell ref="BA199:BB199"/>
    <mergeCell ref="V198:W198"/>
    <mergeCell ref="X198:AA198"/>
    <mergeCell ref="AB198:AE198"/>
    <mergeCell ref="AF198:AG198"/>
    <mergeCell ref="AH198:AI198"/>
    <mergeCell ref="AX198:AZ198"/>
    <mergeCell ref="BA198:BB198"/>
    <mergeCell ref="BD198:BE198"/>
    <mergeCell ref="BF198:BI198"/>
    <mergeCell ref="BD197:BE197"/>
    <mergeCell ref="BF197:BI197"/>
    <mergeCell ref="AN197:AO197"/>
    <mergeCell ref="AP197:AQ197"/>
    <mergeCell ref="AR197:AS197"/>
    <mergeCell ref="AT197:AU197"/>
    <mergeCell ref="AV197:AW197"/>
    <mergeCell ref="AX197:AZ197"/>
    <mergeCell ref="B200:C200"/>
    <mergeCell ref="D200:E200"/>
    <mergeCell ref="F200:G200"/>
    <mergeCell ref="H200:I200"/>
    <mergeCell ref="J200:K200"/>
    <mergeCell ref="L200:M200"/>
    <mergeCell ref="P200:Q200"/>
    <mergeCell ref="B201:C201"/>
    <mergeCell ref="D201:E201"/>
    <mergeCell ref="F201:G201"/>
    <mergeCell ref="H201:I201"/>
    <mergeCell ref="J201:K201"/>
    <mergeCell ref="L201:M201"/>
    <mergeCell ref="P201:Q201"/>
    <mergeCell ref="AJ200:AK200"/>
    <mergeCell ref="AL200:AM200"/>
    <mergeCell ref="AN200:AO200"/>
    <mergeCell ref="AP200:AQ200"/>
    <mergeCell ref="AR200:AS200"/>
    <mergeCell ref="AT200:AU200"/>
    <mergeCell ref="AV200:AW200"/>
    <mergeCell ref="BD203:BE203"/>
    <mergeCell ref="BF203:BI203"/>
    <mergeCell ref="AN203:AO203"/>
    <mergeCell ref="AP203:AQ203"/>
    <mergeCell ref="AR203:AS203"/>
    <mergeCell ref="AT203:AU203"/>
    <mergeCell ref="AV203:AW203"/>
    <mergeCell ref="AX203:AZ203"/>
    <mergeCell ref="BA203:BB203"/>
    <mergeCell ref="AJ201:AK201"/>
    <mergeCell ref="AL201:AM201"/>
    <mergeCell ref="R201:S201"/>
    <mergeCell ref="T201:U201"/>
    <mergeCell ref="V201:W201"/>
    <mergeCell ref="X201:AA201"/>
    <mergeCell ref="AB201:AE201"/>
    <mergeCell ref="AF201:AG201"/>
    <mergeCell ref="AH201:AI201"/>
    <mergeCell ref="R202:S202"/>
    <mergeCell ref="T202:U202"/>
    <mergeCell ref="V202:W202"/>
    <mergeCell ref="X202:AA202"/>
    <mergeCell ref="AB202:AE202"/>
    <mergeCell ref="AF202:AG202"/>
    <mergeCell ref="AH202:AI202"/>
    <mergeCell ref="AX202:AZ202"/>
    <mergeCell ref="BA202:BB202"/>
    <mergeCell ref="BD202:BE202"/>
    <mergeCell ref="BF202:BI202"/>
    <mergeCell ref="BD201:BE201"/>
    <mergeCell ref="BF201:BI201"/>
    <mergeCell ref="AN201:AO201"/>
    <mergeCell ref="AP201:AQ201"/>
    <mergeCell ref="AR201:AS201"/>
    <mergeCell ref="AT201:AU201"/>
    <mergeCell ref="AV201:AW201"/>
    <mergeCell ref="AX201:AZ201"/>
    <mergeCell ref="BA201:BB201"/>
    <mergeCell ref="BJ202:BM202"/>
    <mergeCell ref="BN202:BV202"/>
    <mergeCell ref="BJ203:BM203"/>
    <mergeCell ref="BN203:BV203"/>
    <mergeCell ref="B202:C202"/>
    <mergeCell ref="D202:E202"/>
    <mergeCell ref="F202:G202"/>
    <mergeCell ref="H202:I202"/>
    <mergeCell ref="J202:K202"/>
    <mergeCell ref="L202:M202"/>
    <mergeCell ref="P202:Q202"/>
    <mergeCell ref="B203:C203"/>
    <mergeCell ref="D203:E203"/>
    <mergeCell ref="F203:G203"/>
    <mergeCell ref="H203:I203"/>
    <mergeCell ref="J203:K203"/>
    <mergeCell ref="L203:M203"/>
    <mergeCell ref="P203:Q203"/>
    <mergeCell ref="AJ202:AK202"/>
    <mergeCell ref="AL202:AM202"/>
    <mergeCell ref="AN202:AO202"/>
    <mergeCell ref="AP202:AQ202"/>
    <mergeCell ref="AR202:AS202"/>
    <mergeCell ref="AT202:AU202"/>
    <mergeCell ref="AV202:AW202"/>
    <mergeCell ref="BJ214:BM214"/>
    <mergeCell ref="BN214:BV214"/>
    <mergeCell ref="AR214:AS214"/>
    <mergeCell ref="AT214:AU214"/>
    <mergeCell ref="AV214:AW214"/>
    <mergeCell ref="AX214:AZ214"/>
    <mergeCell ref="BA214:BB214"/>
    <mergeCell ref="BD214:BE214"/>
    <mergeCell ref="BF214:BI214"/>
    <mergeCell ref="AN212:AO212"/>
    <mergeCell ref="AP212:AQ212"/>
    <mergeCell ref="V212:W212"/>
    <mergeCell ref="X212:AA212"/>
    <mergeCell ref="AB212:AE212"/>
    <mergeCell ref="AF212:AG212"/>
    <mergeCell ref="AH212:AI212"/>
    <mergeCell ref="AJ212:AK212"/>
    <mergeCell ref="AL212:AM212"/>
    <mergeCell ref="R213:S213"/>
    <mergeCell ref="T213:U213"/>
    <mergeCell ref="V213:W213"/>
    <mergeCell ref="X213:AA213"/>
    <mergeCell ref="AB213:AE213"/>
    <mergeCell ref="AF213:AG213"/>
    <mergeCell ref="AH213:AI213"/>
    <mergeCell ref="AX213:AZ213"/>
    <mergeCell ref="BA213:BB213"/>
    <mergeCell ref="BD213:BE213"/>
    <mergeCell ref="BF213:BI213"/>
    <mergeCell ref="BJ213:BM213"/>
    <mergeCell ref="BN213:BV213"/>
    <mergeCell ref="B213:C213"/>
    <mergeCell ref="D213:E213"/>
    <mergeCell ref="F213:G213"/>
    <mergeCell ref="H213:I213"/>
    <mergeCell ref="J213:K213"/>
    <mergeCell ref="L213:M213"/>
    <mergeCell ref="P213:Q213"/>
    <mergeCell ref="B214:C214"/>
    <mergeCell ref="D214:E214"/>
    <mergeCell ref="F214:G214"/>
    <mergeCell ref="H214:I214"/>
    <mergeCell ref="P214:Q214"/>
    <mergeCell ref="R214:S214"/>
    <mergeCell ref="T214:U214"/>
    <mergeCell ref="AJ213:AK213"/>
    <mergeCell ref="AL213:AM213"/>
    <mergeCell ref="AN213:AO213"/>
    <mergeCell ref="AP213:AQ213"/>
    <mergeCell ref="AR213:AS213"/>
    <mergeCell ref="AT213:AU213"/>
    <mergeCell ref="AV213:AW213"/>
    <mergeCell ref="AJ208:AK208"/>
    <mergeCell ref="AL208:AM208"/>
    <mergeCell ref="R208:S208"/>
    <mergeCell ref="T208:U208"/>
    <mergeCell ref="V208:W208"/>
    <mergeCell ref="X208:AA208"/>
    <mergeCell ref="AB208:AE208"/>
    <mergeCell ref="AF208:AG208"/>
    <mergeCell ref="AH208:AI208"/>
    <mergeCell ref="R209:S209"/>
    <mergeCell ref="T209:U209"/>
    <mergeCell ref="V209:W209"/>
    <mergeCell ref="X209:AA209"/>
    <mergeCell ref="AB209:AE209"/>
    <mergeCell ref="AF209:AG209"/>
    <mergeCell ref="AH209:AI209"/>
    <mergeCell ref="AX209:AZ209"/>
    <mergeCell ref="BA209:BB209"/>
    <mergeCell ref="BD209:BE209"/>
    <mergeCell ref="BF209:BI209"/>
    <mergeCell ref="H212:I212"/>
    <mergeCell ref="P212:Q212"/>
    <mergeCell ref="R212:S212"/>
    <mergeCell ref="T212:U212"/>
    <mergeCell ref="AJ211:AK211"/>
    <mergeCell ref="AL211:AM211"/>
    <mergeCell ref="AN211:AO211"/>
    <mergeCell ref="AP211:AQ211"/>
    <mergeCell ref="AR211:AS211"/>
    <mergeCell ref="AT211:AU211"/>
    <mergeCell ref="AV211:AW211"/>
    <mergeCell ref="AN214:AO214"/>
    <mergeCell ref="AP214:AQ214"/>
    <mergeCell ref="V214:W214"/>
    <mergeCell ref="X214:AA214"/>
    <mergeCell ref="AB214:AE214"/>
    <mergeCell ref="AF214:AG214"/>
    <mergeCell ref="AH214:AI214"/>
    <mergeCell ref="AJ214:AK214"/>
    <mergeCell ref="AL214:AM214"/>
    <mergeCell ref="BJ212:BM212"/>
    <mergeCell ref="BN212:BV212"/>
    <mergeCell ref="AR212:AS212"/>
    <mergeCell ref="AT212:AU212"/>
    <mergeCell ref="AV212:AW212"/>
    <mergeCell ref="AX212:AZ212"/>
    <mergeCell ref="BA212:BB212"/>
    <mergeCell ref="BD212:BE212"/>
    <mergeCell ref="BF212:BI212"/>
    <mergeCell ref="AN210:AO210"/>
    <mergeCell ref="AP210:AQ210"/>
    <mergeCell ref="V210:W210"/>
    <mergeCell ref="X210:AA210"/>
    <mergeCell ref="AB210:AE210"/>
    <mergeCell ref="AF210:AG210"/>
    <mergeCell ref="AH210:AI210"/>
    <mergeCell ref="AJ210:AK210"/>
    <mergeCell ref="AL210:AM210"/>
    <mergeCell ref="R211:S211"/>
    <mergeCell ref="T211:U211"/>
    <mergeCell ref="V211:W211"/>
    <mergeCell ref="X211:AA211"/>
    <mergeCell ref="AB211:AE211"/>
    <mergeCell ref="AF211:AG211"/>
    <mergeCell ref="AH211:AI211"/>
    <mergeCell ref="AX211:AZ211"/>
    <mergeCell ref="BA211:BB211"/>
    <mergeCell ref="BD211:BE211"/>
    <mergeCell ref="BF211:BI211"/>
    <mergeCell ref="BJ211:BM211"/>
    <mergeCell ref="BN211:BV211"/>
    <mergeCell ref="B211:C211"/>
    <mergeCell ref="D211:E211"/>
    <mergeCell ref="F211:G211"/>
    <mergeCell ref="H211:I211"/>
    <mergeCell ref="J211:K211"/>
    <mergeCell ref="L211:M211"/>
    <mergeCell ref="P211:Q211"/>
    <mergeCell ref="B212:C212"/>
    <mergeCell ref="D212:E212"/>
    <mergeCell ref="F212:G212"/>
    <mergeCell ref="BJ210:BM210"/>
    <mergeCell ref="BN210:BV210"/>
    <mergeCell ref="AR210:AS210"/>
    <mergeCell ref="AT210:AU210"/>
    <mergeCell ref="AV210:AW210"/>
    <mergeCell ref="AX210:AZ210"/>
    <mergeCell ref="BA210:BB210"/>
    <mergeCell ref="BD210:BE210"/>
    <mergeCell ref="BF210:BI210"/>
    <mergeCell ref="B204:C204"/>
    <mergeCell ref="D204:E204"/>
    <mergeCell ref="F204:G204"/>
    <mergeCell ref="H204:I204"/>
    <mergeCell ref="J204:K204"/>
    <mergeCell ref="L204:M204"/>
    <mergeCell ref="P204:Q204"/>
    <mergeCell ref="AJ204:AK204"/>
    <mergeCell ref="AL204:AM204"/>
    <mergeCell ref="AN204:AO204"/>
    <mergeCell ref="AP204:AQ204"/>
    <mergeCell ref="AR204:AS204"/>
    <mergeCell ref="AT204:AU204"/>
    <mergeCell ref="AV204:AW204"/>
    <mergeCell ref="B205:C205"/>
    <mergeCell ref="D205:E205"/>
    <mergeCell ref="F205:G205"/>
    <mergeCell ref="H205:I205"/>
    <mergeCell ref="J205:K205"/>
    <mergeCell ref="L205:M205"/>
    <mergeCell ref="P205:Q205"/>
    <mergeCell ref="BJ209:BM209"/>
    <mergeCell ref="BN209:BV209"/>
    <mergeCell ref="B209:C209"/>
    <mergeCell ref="D209:E209"/>
    <mergeCell ref="F209:G209"/>
    <mergeCell ref="H209:I209"/>
    <mergeCell ref="J209:K209"/>
    <mergeCell ref="L209:M209"/>
    <mergeCell ref="P209:Q209"/>
    <mergeCell ref="B210:C210"/>
    <mergeCell ref="D210:E210"/>
    <mergeCell ref="F210:G210"/>
    <mergeCell ref="H210:I210"/>
    <mergeCell ref="P210:Q210"/>
    <mergeCell ref="R210:S210"/>
    <mergeCell ref="T210:U210"/>
    <mergeCell ref="AJ209:AK209"/>
    <mergeCell ref="AL209:AM209"/>
    <mergeCell ref="AN209:AO209"/>
    <mergeCell ref="AP209:AQ209"/>
    <mergeCell ref="AR209:AS209"/>
    <mergeCell ref="AT209:AU209"/>
    <mergeCell ref="AV209:AW209"/>
    <mergeCell ref="AJ205:AK205"/>
    <mergeCell ref="AL205:AM205"/>
    <mergeCell ref="BJ205:BM205"/>
    <mergeCell ref="BN205:BV205"/>
    <mergeCell ref="R205:S205"/>
    <mergeCell ref="T205:U205"/>
    <mergeCell ref="V205:W205"/>
    <mergeCell ref="X205:AA205"/>
    <mergeCell ref="AB205:AE205"/>
    <mergeCell ref="AF205:AG205"/>
    <mergeCell ref="AH205:AI205"/>
    <mergeCell ref="X206:AA206"/>
    <mergeCell ref="AB206:AE206"/>
    <mergeCell ref="AF206:AG206"/>
    <mergeCell ref="AH206:AI206"/>
    <mergeCell ref="AX206:AZ206"/>
    <mergeCell ref="BA206:BB206"/>
    <mergeCell ref="BD206:BE206"/>
    <mergeCell ref="BD205:BE205"/>
    <mergeCell ref="BF205:BI205"/>
    <mergeCell ref="AN205:AO205"/>
    <mergeCell ref="AP205:AQ205"/>
    <mergeCell ref="AR205:AS205"/>
    <mergeCell ref="AT205:AU205"/>
    <mergeCell ref="AV205:AW205"/>
    <mergeCell ref="AX205:AZ205"/>
    <mergeCell ref="BA205:BB205"/>
    <mergeCell ref="AJ203:AK203"/>
    <mergeCell ref="AL203:AM203"/>
    <mergeCell ref="R203:S203"/>
    <mergeCell ref="T203:U203"/>
    <mergeCell ref="V203:W203"/>
    <mergeCell ref="X203:AA203"/>
    <mergeCell ref="AB203:AE203"/>
    <mergeCell ref="AF203:AG203"/>
    <mergeCell ref="AH203:AI203"/>
    <mergeCell ref="R204:S204"/>
    <mergeCell ref="T204:U204"/>
    <mergeCell ref="V204:W204"/>
    <mergeCell ref="X204:AA204"/>
    <mergeCell ref="AB204:AE204"/>
    <mergeCell ref="AF204:AG204"/>
    <mergeCell ref="AH204:AI204"/>
    <mergeCell ref="AX204:AZ204"/>
    <mergeCell ref="BA204:BB204"/>
    <mergeCell ref="BD204:BE204"/>
    <mergeCell ref="BF204:BI204"/>
    <mergeCell ref="BJ206:BM206"/>
    <mergeCell ref="BN206:BV206"/>
    <mergeCell ref="AJ206:AK206"/>
    <mergeCell ref="AL206:AM206"/>
    <mergeCell ref="AN206:AO206"/>
    <mergeCell ref="AP206:AQ206"/>
    <mergeCell ref="AR206:AS206"/>
    <mergeCell ref="AT206:AU206"/>
    <mergeCell ref="AV206:AW206"/>
    <mergeCell ref="BJ204:BM204"/>
    <mergeCell ref="BN204:BV204"/>
    <mergeCell ref="B206:C206"/>
    <mergeCell ref="D206:E206"/>
    <mergeCell ref="F206:G206"/>
    <mergeCell ref="H206:I206"/>
    <mergeCell ref="J206:K206"/>
    <mergeCell ref="L206:M206"/>
    <mergeCell ref="P206:Q206"/>
    <mergeCell ref="AX207:AZ207"/>
    <mergeCell ref="BA207:BB207"/>
    <mergeCell ref="BD207:BE207"/>
    <mergeCell ref="BF207:BI207"/>
    <mergeCell ref="BJ207:BM207"/>
    <mergeCell ref="BN207:BV207"/>
    <mergeCell ref="BJ208:BM208"/>
    <mergeCell ref="BN208:BV208"/>
    <mergeCell ref="B208:C208"/>
    <mergeCell ref="D208:E208"/>
    <mergeCell ref="F208:G208"/>
    <mergeCell ref="H208:I208"/>
    <mergeCell ref="J208:K208"/>
    <mergeCell ref="L208:M208"/>
    <mergeCell ref="P208:Q208"/>
    <mergeCell ref="AJ207:AK207"/>
    <mergeCell ref="AL207:AM207"/>
    <mergeCell ref="AN207:AO207"/>
    <mergeCell ref="AP207:AQ207"/>
    <mergeCell ref="AR207:AS207"/>
    <mergeCell ref="AT207:AU207"/>
    <mergeCell ref="AV207:AW207"/>
    <mergeCell ref="R207:S207"/>
    <mergeCell ref="T207:U207"/>
    <mergeCell ref="V207:W207"/>
    <mergeCell ref="X207:AA207"/>
    <mergeCell ref="AB207:AE207"/>
    <mergeCell ref="AF207:AG207"/>
    <mergeCell ref="AH207:AI207"/>
    <mergeCell ref="B207:C207"/>
    <mergeCell ref="D207:E207"/>
    <mergeCell ref="F207:G207"/>
    <mergeCell ref="H207:I207"/>
    <mergeCell ref="J207:K207"/>
    <mergeCell ref="L207:M207"/>
    <mergeCell ref="P207:Q207"/>
    <mergeCell ref="BD208:BE208"/>
    <mergeCell ref="BF208:BI208"/>
    <mergeCell ref="AN208:AO208"/>
    <mergeCell ref="AP208:AQ208"/>
    <mergeCell ref="AR208:AS208"/>
    <mergeCell ref="AT208:AU208"/>
    <mergeCell ref="AV208:AW208"/>
    <mergeCell ref="AX208:AZ208"/>
    <mergeCell ref="BA208:BB208"/>
    <mergeCell ref="R206:S206"/>
    <mergeCell ref="T206:U206"/>
    <mergeCell ref="V206:W206"/>
    <mergeCell ref="BF206:BI206"/>
    <mergeCell ref="BJ218:BM218"/>
    <mergeCell ref="BN218:BV218"/>
    <mergeCell ref="AR218:AS218"/>
    <mergeCell ref="AT218:AU218"/>
    <mergeCell ref="AV218:AW218"/>
    <mergeCell ref="AX218:AZ218"/>
    <mergeCell ref="BA218:BB218"/>
    <mergeCell ref="BD218:BE218"/>
    <mergeCell ref="BF218:BI218"/>
    <mergeCell ref="BJ220:BM220"/>
    <mergeCell ref="BN220:BV220"/>
    <mergeCell ref="AR220:AS220"/>
    <mergeCell ref="AT220:AU220"/>
    <mergeCell ref="AV220:AW220"/>
    <mergeCell ref="AX220:AZ220"/>
    <mergeCell ref="BA220:BB220"/>
    <mergeCell ref="BD220:BE220"/>
    <mergeCell ref="BF220:BI220"/>
    <mergeCell ref="BJ222:BM222"/>
    <mergeCell ref="BN222:BV222"/>
    <mergeCell ref="AR222:AS222"/>
    <mergeCell ref="AT222:AU222"/>
    <mergeCell ref="AV222:AW222"/>
    <mergeCell ref="AX222:AZ222"/>
    <mergeCell ref="BA222:BB222"/>
    <mergeCell ref="BD222:BE222"/>
    <mergeCell ref="BF222:BI222"/>
    <mergeCell ref="R215:S215"/>
    <mergeCell ref="T215:U215"/>
    <mergeCell ref="V215:W215"/>
    <mergeCell ref="X215:AA215"/>
    <mergeCell ref="AB215:AE215"/>
    <mergeCell ref="AF215:AG215"/>
    <mergeCell ref="AH215:AI215"/>
    <mergeCell ref="AX215:AZ215"/>
    <mergeCell ref="BA215:BB215"/>
    <mergeCell ref="BD215:BE215"/>
    <mergeCell ref="BF215:BI215"/>
    <mergeCell ref="BJ215:BM215"/>
    <mergeCell ref="BN215:BV215"/>
    <mergeCell ref="R217:S217"/>
    <mergeCell ref="T217:U217"/>
    <mergeCell ref="V217:W217"/>
    <mergeCell ref="X217:AA217"/>
    <mergeCell ref="AB217:AE217"/>
    <mergeCell ref="AF217:AG217"/>
    <mergeCell ref="AH217:AI217"/>
    <mergeCell ref="AX217:AZ217"/>
    <mergeCell ref="BA217:BB217"/>
    <mergeCell ref="BD217:BE217"/>
    <mergeCell ref="BF217:BI217"/>
    <mergeCell ref="BJ217:BM217"/>
    <mergeCell ref="BN217:BV217"/>
    <mergeCell ref="AX219:AZ219"/>
    <mergeCell ref="BA219:BB219"/>
    <mergeCell ref="BD219:BE219"/>
    <mergeCell ref="BF219:BI219"/>
    <mergeCell ref="BJ219:BM219"/>
    <mergeCell ref="BN219:BV219"/>
    <mergeCell ref="BF221:BI221"/>
    <mergeCell ref="BJ221:BM221"/>
    <mergeCell ref="BN221:BV221"/>
    <mergeCell ref="B215:C215"/>
    <mergeCell ref="D215:E215"/>
    <mergeCell ref="F215:G215"/>
    <mergeCell ref="H215:I215"/>
    <mergeCell ref="J215:K215"/>
    <mergeCell ref="L215:M215"/>
    <mergeCell ref="P215:Q215"/>
    <mergeCell ref="B216:C216"/>
    <mergeCell ref="D216:E216"/>
    <mergeCell ref="F216:G216"/>
    <mergeCell ref="H216:I216"/>
    <mergeCell ref="P216:Q216"/>
    <mergeCell ref="R216:S216"/>
    <mergeCell ref="T216:U216"/>
    <mergeCell ref="AJ215:AK215"/>
    <mergeCell ref="AL215:AM215"/>
    <mergeCell ref="AN215:AO215"/>
    <mergeCell ref="AP215:AQ215"/>
    <mergeCell ref="AR215:AS215"/>
    <mergeCell ref="AT215:AU215"/>
    <mergeCell ref="AV215:AW215"/>
    <mergeCell ref="AN216:AO216"/>
    <mergeCell ref="AP216:AQ216"/>
    <mergeCell ref="V216:W216"/>
    <mergeCell ref="X216:AA216"/>
    <mergeCell ref="AB216:AE216"/>
    <mergeCell ref="AF216:AG216"/>
    <mergeCell ref="AH216:AI216"/>
    <mergeCell ref="AJ216:AK216"/>
    <mergeCell ref="AL216:AM216"/>
    <mergeCell ref="BJ216:BM216"/>
    <mergeCell ref="BN216:BV216"/>
    <mergeCell ref="AR216:AS216"/>
    <mergeCell ref="AT216:AU216"/>
    <mergeCell ref="AV216:AW216"/>
    <mergeCell ref="AX216:AZ216"/>
    <mergeCell ref="BA216:BB216"/>
    <mergeCell ref="BD216:BE216"/>
    <mergeCell ref="BF216:BI216"/>
    <mergeCell ref="B217:C217"/>
    <mergeCell ref="D217:E217"/>
    <mergeCell ref="F217:G217"/>
    <mergeCell ref="H217:I217"/>
    <mergeCell ref="J217:K217"/>
    <mergeCell ref="L217:M217"/>
    <mergeCell ref="P217:Q217"/>
    <mergeCell ref="B218:C218"/>
    <mergeCell ref="D218:E218"/>
    <mergeCell ref="F218:G218"/>
    <mergeCell ref="H218:I218"/>
    <mergeCell ref="P218:Q218"/>
    <mergeCell ref="R218:S218"/>
    <mergeCell ref="T218:U218"/>
    <mergeCell ref="AJ217:AK217"/>
    <mergeCell ref="AL217:AM217"/>
    <mergeCell ref="AN217:AO217"/>
    <mergeCell ref="AP217:AQ217"/>
    <mergeCell ref="AR217:AS217"/>
    <mergeCell ref="AT217:AU217"/>
    <mergeCell ref="AV217:AW217"/>
    <mergeCell ref="AN218:AO218"/>
    <mergeCell ref="AP218:AQ218"/>
    <mergeCell ref="V218:W218"/>
    <mergeCell ref="X218:AA218"/>
    <mergeCell ref="AB218:AE218"/>
    <mergeCell ref="AF218:AG218"/>
    <mergeCell ref="AH218:AI218"/>
    <mergeCell ref="AJ218:AK218"/>
    <mergeCell ref="AL218:AM218"/>
    <mergeCell ref="R219:S219"/>
    <mergeCell ref="T219:U219"/>
    <mergeCell ref="V219:W219"/>
    <mergeCell ref="X219:AA219"/>
    <mergeCell ref="AB219:AE219"/>
    <mergeCell ref="AF219:AG219"/>
    <mergeCell ref="AH219:AI219"/>
    <mergeCell ref="B219:C219"/>
    <mergeCell ref="D219:E219"/>
    <mergeCell ref="F219:G219"/>
    <mergeCell ref="H219:I219"/>
    <mergeCell ref="J219:K219"/>
    <mergeCell ref="L219:M219"/>
    <mergeCell ref="P219:Q219"/>
    <mergeCell ref="B220:C220"/>
    <mergeCell ref="D220:E220"/>
    <mergeCell ref="F220:G220"/>
    <mergeCell ref="H220:I220"/>
    <mergeCell ref="P220:Q220"/>
    <mergeCell ref="R220:S220"/>
    <mergeCell ref="T220:U220"/>
    <mergeCell ref="AJ219:AK219"/>
    <mergeCell ref="AL219:AM219"/>
    <mergeCell ref="AN219:AO219"/>
    <mergeCell ref="AP219:AQ219"/>
    <mergeCell ref="AR219:AS219"/>
    <mergeCell ref="AT219:AU219"/>
    <mergeCell ref="AV219:AW219"/>
    <mergeCell ref="AN220:AO220"/>
    <mergeCell ref="AP220:AQ220"/>
    <mergeCell ref="V220:W220"/>
    <mergeCell ref="X220:AA220"/>
    <mergeCell ref="AB220:AE220"/>
    <mergeCell ref="AF220:AG220"/>
    <mergeCell ref="AH220:AI220"/>
    <mergeCell ref="AJ220:AK220"/>
    <mergeCell ref="AL220:AM220"/>
    <mergeCell ref="R221:S221"/>
    <mergeCell ref="T221:U221"/>
    <mergeCell ref="V221:W221"/>
    <mergeCell ref="X221:AA221"/>
    <mergeCell ref="AB221:AE221"/>
    <mergeCell ref="AF221:AG221"/>
    <mergeCell ref="AH221:AI221"/>
    <mergeCell ref="AX221:AZ221"/>
    <mergeCell ref="BA221:BB221"/>
    <mergeCell ref="BD221:BE221"/>
    <mergeCell ref="B221:C221"/>
    <mergeCell ref="D221:E221"/>
    <mergeCell ref="F221:G221"/>
    <mergeCell ref="H221:I221"/>
    <mergeCell ref="J221:K221"/>
    <mergeCell ref="L221:M221"/>
    <mergeCell ref="P221:Q221"/>
    <mergeCell ref="B222:C222"/>
    <mergeCell ref="D222:E222"/>
    <mergeCell ref="F222:G222"/>
    <mergeCell ref="H222:I222"/>
    <mergeCell ref="P222:Q222"/>
    <mergeCell ref="R222:S222"/>
    <mergeCell ref="T222:U222"/>
    <mergeCell ref="AJ221:AK221"/>
    <mergeCell ref="AL221:AM221"/>
    <mergeCell ref="AN221:AO221"/>
    <mergeCell ref="AP221:AQ221"/>
    <mergeCell ref="AR221:AS221"/>
    <mergeCell ref="AT221:AU221"/>
    <mergeCell ref="AV221:AW221"/>
    <mergeCell ref="AN222:AO222"/>
    <mergeCell ref="AP222:AQ222"/>
    <mergeCell ref="V222:W222"/>
    <mergeCell ref="X222:AA222"/>
    <mergeCell ref="AB222:AE222"/>
    <mergeCell ref="AF222:AG222"/>
    <mergeCell ref="AH222:AI222"/>
    <mergeCell ref="AJ222:AK222"/>
    <mergeCell ref="AL222:AM222"/>
    <mergeCell ref="R223:S223"/>
    <mergeCell ref="T223:U223"/>
    <mergeCell ref="V223:W223"/>
    <mergeCell ref="X223:AA223"/>
    <mergeCell ref="AB223:AE223"/>
    <mergeCell ref="AF223:AG223"/>
    <mergeCell ref="AH223:AI223"/>
    <mergeCell ref="AX223:AZ223"/>
    <mergeCell ref="BA223:BB223"/>
    <mergeCell ref="BD223:BE223"/>
    <mergeCell ref="BF223:BI223"/>
    <mergeCell ref="BJ223:BM223"/>
    <mergeCell ref="BN223:BV223"/>
    <mergeCell ref="B223:C223"/>
    <mergeCell ref="D223:E223"/>
    <mergeCell ref="F223:G223"/>
    <mergeCell ref="H223:I223"/>
    <mergeCell ref="J223:K223"/>
    <mergeCell ref="L223:M223"/>
    <mergeCell ref="P223:Q223"/>
    <mergeCell ref="B224:C224"/>
    <mergeCell ref="D224:E224"/>
    <mergeCell ref="F224:G224"/>
    <mergeCell ref="H224:I224"/>
    <mergeCell ref="P224:Q224"/>
    <mergeCell ref="R224:S224"/>
    <mergeCell ref="T224:U224"/>
    <mergeCell ref="AJ223:AK223"/>
    <mergeCell ref="AL223:AM223"/>
    <mergeCell ref="AN223:AO223"/>
    <mergeCell ref="AP223:AQ223"/>
    <mergeCell ref="AR223:AS223"/>
    <mergeCell ref="AT223:AU223"/>
    <mergeCell ref="AV223:AW223"/>
    <mergeCell ref="BJ224:BM224"/>
    <mergeCell ref="AV224:AW224"/>
    <mergeCell ref="AX224:AZ224"/>
    <mergeCell ref="BA224:BB224"/>
    <mergeCell ref="BD224:BE224"/>
    <mergeCell ref="BF224:BI224"/>
    <mergeCell ref="AV226:AW226"/>
    <mergeCell ref="AX226:AZ226"/>
    <mergeCell ref="BA226:BB226"/>
    <mergeCell ref="BD226:BE226"/>
    <mergeCell ref="BF226:BI226"/>
    <mergeCell ref="AN224:AO224"/>
    <mergeCell ref="AP224:AQ224"/>
    <mergeCell ref="V224:W224"/>
    <mergeCell ref="X224:AA224"/>
    <mergeCell ref="AB224:AE224"/>
    <mergeCell ref="AF224:AG224"/>
    <mergeCell ref="AH224:AI224"/>
    <mergeCell ref="AJ224:AK224"/>
    <mergeCell ref="AL224:AM224"/>
    <mergeCell ref="R225:S225"/>
    <mergeCell ref="T225:U225"/>
    <mergeCell ref="V225:W225"/>
    <mergeCell ref="X225:AA225"/>
    <mergeCell ref="AB225:AE225"/>
    <mergeCell ref="AF225:AG225"/>
    <mergeCell ref="AH225:AI225"/>
    <mergeCell ref="AX225:AZ225"/>
    <mergeCell ref="BA225:BB225"/>
    <mergeCell ref="BD225:BE225"/>
    <mergeCell ref="BF225:BI225"/>
    <mergeCell ref="BJ225:BM225"/>
    <mergeCell ref="BN225:BV225"/>
    <mergeCell ref="B225:C225"/>
    <mergeCell ref="D225:E225"/>
    <mergeCell ref="F225:G225"/>
    <mergeCell ref="H225:I225"/>
    <mergeCell ref="J225:K225"/>
    <mergeCell ref="L225:M225"/>
    <mergeCell ref="P225:Q225"/>
    <mergeCell ref="V236:W236"/>
    <mergeCell ref="X236:AA236"/>
    <mergeCell ref="AB236:AE236"/>
    <mergeCell ref="AF236:AG236"/>
    <mergeCell ref="AH236:AI236"/>
    <mergeCell ref="AJ236:AK236"/>
    <mergeCell ref="AL236:AM236"/>
    <mergeCell ref="BD236:BE236"/>
    <mergeCell ref="BF236:BI236"/>
    <mergeCell ref="BJ236:BM236"/>
    <mergeCell ref="BN236:BV236"/>
    <mergeCell ref="AN236:AO236"/>
    <mergeCell ref="AP236:AQ236"/>
    <mergeCell ref="AR236:AS236"/>
    <mergeCell ref="AT236:AU236"/>
    <mergeCell ref="AV236:AW236"/>
    <mergeCell ref="AX236:AZ236"/>
    <mergeCell ref="BA236:BB236"/>
    <mergeCell ref="B236:C236"/>
    <mergeCell ref="D236:E236"/>
    <mergeCell ref="F236:G236"/>
    <mergeCell ref="H236:I236"/>
    <mergeCell ref="P236:Q236"/>
    <mergeCell ref="R236:S236"/>
    <mergeCell ref="T236:U236"/>
    <mergeCell ref="B226:C226"/>
    <mergeCell ref="D226:E226"/>
    <mergeCell ref="F226:G226"/>
    <mergeCell ref="H226:I226"/>
    <mergeCell ref="P226:Q226"/>
    <mergeCell ref="R226:S226"/>
    <mergeCell ref="T226:U226"/>
    <mergeCell ref="AJ225:AK225"/>
    <mergeCell ref="AL225:AM225"/>
    <mergeCell ref="AN225:AO225"/>
    <mergeCell ref="AP225:AQ225"/>
    <mergeCell ref="AR225:AS225"/>
    <mergeCell ref="AT225:AU225"/>
    <mergeCell ref="AV225:AW225"/>
    <mergeCell ref="AN226:AO226"/>
    <mergeCell ref="AP226:AQ226"/>
    <mergeCell ref="V226:W226"/>
    <mergeCell ref="X226:AA226"/>
    <mergeCell ref="AB226:AE226"/>
    <mergeCell ref="AF226:AG226"/>
    <mergeCell ref="AH226:AI226"/>
    <mergeCell ref="AJ226:AK226"/>
    <mergeCell ref="AL226:AM226"/>
    <mergeCell ref="BJ226:BM226"/>
    <mergeCell ref="BN226:BV226"/>
    <mergeCell ref="AR226:AS226"/>
    <mergeCell ref="AT226:AU226"/>
    <mergeCell ref="V234:W234"/>
    <mergeCell ref="X234:AA234"/>
    <mergeCell ref="AB234:AE234"/>
    <mergeCell ref="AF234:AG234"/>
    <mergeCell ref="AH234:AI234"/>
    <mergeCell ref="AJ234:AK234"/>
    <mergeCell ref="AL234:AM234"/>
    <mergeCell ref="BD234:BE234"/>
    <mergeCell ref="BF234:BI234"/>
    <mergeCell ref="BJ234:BM234"/>
    <mergeCell ref="BN234:BV234"/>
    <mergeCell ref="AN234:AO234"/>
    <mergeCell ref="BJ109:BM109"/>
    <mergeCell ref="BN109:BV109"/>
    <mergeCell ref="BJ110:BM110"/>
    <mergeCell ref="BN110:BV110"/>
    <mergeCell ref="B109:C109"/>
    <mergeCell ref="D109:E109"/>
    <mergeCell ref="F109:G109"/>
    <mergeCell ref="H109:I109"/>
    <mergeCell ref="J109:K109"/>
    <mergeCell ref="L109:M109"/>
    <mergeCell ref="P109:Q109"/>
    <mergeCell ref="B110:C110"/>
    <mergeCell ref="D110:E110"/>
    <mergeCell ref="B235:C235"/>
    <mergeCell ref="D235:E235"/>
    <mergeCell ref="F235:G235"/>
    <mergeCell ref="H235:I235"/>
    <mergeCell ref="J235:K235"/>
    <mergeCell ref="L235:M235"/>
    <mergeCell ref="P235:Q235"/>
    <mergeCell ref="AX235:AZ235"/>
    <mergeCell ref="BA235:BB235"/>
    <mergeCell ref="BD235:BE235"/>
    <mergeCell ref="BF235:BI235"/>
    <mergeCell ref="BJ235:BM235"/>
    <mergeCell ref="BN235:BV235"/>
    <mergeCell ref="AN235:AO235"/>
    <mergeCell ref="AP235:AQ235"/>
    <mergeCell ref="AR235:AS235"/>
    <mergeCell ref="AT235:AU235"/>
    <mergeCell ref="AV235:AW235"/>
    <mergeCell ref="R235:S235"/>
    <mergeCell ref="T235:U235"/>
    <mergeCell ref="V235:W235"/>
    <mergeCell ref="X235:AA235"/>
    <mergeCell ref="AB235:AE235"/>
    <mergeCell ref="AF235:AG235"/>
    <mergeCell ref="AH235:AI235"/>
    <mergeCell ref="AJ235:AK235"/>
    <mergeCell ref="AL235:AM235"/>
    <mergeCell ref="BN224:BV224"/>
    <mergeCell ref="AR224:AS224"/>
    <mergeCell ref="AT224:AU224"/>
    <mergeCell ref="AP234:AQ234"/>
    <mergeCell ref="AR234:AS234"/>
    <mergeCell ref="AT234:AU234"/>
    <mergeCell ref="AV234:AW234"/>
    <mergeCell ref="AX234:AZ234"/>
    <mergeCell ref="BA234:BB234"/>
    <mergeCell ref="B234:C234"/>
    <mergeCell ref="D234:E234"/>
    <mergeCell ref="F234:G234"/>
    <mergeCell ref="H234:I234"/>
    <mergeCell ref="P234:Q234"/>
    <mergeCell ref="R234:S234"/>
    <mergeCell ref="T234:U234"/>
    <mergeCell ref="R227:S227"/>
    <mergeCell ref="T227:U227"/>
    <mergeCell ref="V227:W227"/>
    <mergeCell ref="X227:AA227"/>
    <mergeCell ref="AB227:AE227"/>
    <mergeCell ref="AF227:AG227"/>
    <mergeCell ref="AH227:AI227"/>
    <mergeCell ref="AX227:AZ227"/>
    <mergeCell ref="L106:M106"/>
    <mergeCell ref="P106:Q106"/>
    <mergeCell ref="AX107:AZ107"/>
    <mergeCell ref="BA107:BB107"/>
    <mergeCell ref="BD107:BE107"/>
    <mergeCell ref="AJ105:AK105"/>
    <mergeCell ref="AL105:AM105"/>
    <mergeCell ref="R105:S105"/>
    <mergeCell ref="T105:U105"/>
    <mergeCell ref="V105:W105"/>
    <mergeCell ref="X105:AA105"/>
    <mergeCell ref="AB105:AE105"/>
    <mergeCell ref="AF105:AG105"/>
    <mergeCell ref="AH105:AI105"/>
    <mergeCell ref="B237:C237"/>
    <mergeCell ref="D237:E237"/>
    <mergeCell ref="F237:G237"/>
    <mergeCell ref="H237:I237"/>
    <mergeCell ref="J237:K237"/>
    <mergeCell ref="L237:M237"/>
    <mergeCell ref="P237:Q237"/>
    <mergeCell ref="AX237:AZ237"/>
    <mergeCell ref="BA237:BB237"/>
    <mergeCell ref="BD237:BE237"/>
    <mergeCell ref="BF237:BI237"/>
    <mergeCell ref="BJ237:BM237"/>
    <mergeCell ref="BN237:BV237"/>
    <mergeCell ref="AN237:AO237"/>
    <mergeCell ref="AP237:AQ237"/>
    <mergeCell ref="AR237:AS237"/>
    <mergeCell ref="AT237:AU237"/>
    <mergeCell ref="AV237:AW237"/>
    <mergeCell ref="R237:S237"/>
    <mergeCell ref="T237:U237"/>
    <mergeCell ref="V237:W237"/>
    <mergeCell ref="X237:AA237"/>
    <mergeCell ref="AB237:AE237"/>
    <mergeCell ref="AF237:AG237"/>
    <mergeCell ref="AH237:AI237"/>
    <mergeCell ref="AJ237:AK237"/>
    <mergeCell ref="AL237:AM237"/>
    <mergeCell ref="BJ111:BM111"/>
    <mergeCell ref="BN111:BV111"/>
    <mergeCell ref="BJ112:BM112"/>
    <mergeCell ref="BN112:BV112"/>
    <mergeCell ref="AJ108:AK108"/>
    <mergeCell ref="AL108:AM108"/>
    <mergeCell ref="R108:S108"/>
    <mergeCell ref="T108:U108"/>
    <mergeCell ref="V108:W108"/>
    <mergeCell ref="X108:AA108"/>
    <mergeCell ref="AB108:AE108"/>
    <mergeCell ref="AF108:AG108"/>
    <mergeCell ref="AH108:AI108"/>
    <mergeCell ref="R109:S109"/>
    <mergeCell ref="T109:U109"/>
    <mergeCell ref="V109:W109"/>
    <mergeCell ref="X109:AA109"/>
    <mergeCell ref="AB109:AE109"/>
    <mergeCell ref="AF109:AG109"/>
    <mergeCell ref="AH109:AI109"/>
    <mergeCell ref="AX109:AZ109"/>
    <mergeCell ref="BA109:BB109"/>
    <mergeCell ref="BD109:BE109"/>
    <mergeCell ref="AJ109:AK109"/>
    <mergeCell ref="AL109:AM109"/>
    <mergeCell ref="AN109:AO109"/>
    <mergeCell ref="AP109:AQ109"/>
    <mergeCell ref="AR109:AS109"/>
    <mergeCell ref="AT109:AU109"/>
    <mergeCell ref="AV109:AW109"/>
    <mergeCell ref="AJ112:AK112"/>
    <mergeCell ref="AL112:AM112"/>
    <mergeCell ref="R112:S112"/>
    <mergeCell ref="T112:U112"/>
    <mergeCell ref="V112:W112"/>
    <mergeCell ref="X112:AA112"/>
    <mergeCell ref="AB112:AE112"/>
    <mergeCell ref="AF112:AG112"/>
    <mergeCell ref="AH112:AI112"/>
    <mergeCell ref="R104:S104"/>
    <mergeCell ref="T104:U104"/>
    <mergeCell ref="V104:W104"/>
    <mergeCell ref="X104:AA104"/>
    <mergeCell ref="AB104:AE104"/>
    <mergeCell ref="AF104:AG104"/>
    <mergeCell ref="AH104:AI104"/>
    <mergeCell ref="AX104:AZ104"/>
    <mergeCell ref="BA104:BB104"/>
    <mergeCell ref="BD104:BE104"/>
    <mergeCell ref="BF104:BI104"/>
    <mergeCell ref="BD108:BE108"/>
    <mergeCell ref="BF108:BI108"/>
    <mergeCell ref="AN108:AO108"/>
    <mergeCell ref="AP108:AQ108"/>
    <mergeCell ref="AR108:AS108"/>
    <mergeCell ref="AT108:AU108"/>
    <mergeCell ref="AV108:AW108"/>
    <mergeCell ref="AX108:AZ108"/>
    <mergeCell ref="BA108:BB108"/>
    <mergeCell ref="BF109:BI109"/>
    <mergeCell ref="B111:C111"/>
    <mergeCell ref="D111:E111"/>
    <mergeCell ref="F111:G111"/>
    <mergeCell ref="H111:I111"/>
    <mergeCell ref="J111:K111"/>
    <mergeCell ref="L111:M111"/>
    <mergeCell ref="P111:Q111"/>
    <mergeCell ref="B112:C112"/>
    <mergeCell ref="D112:E112"/>
    <mergeCell ref="F112:G112"/>
    <mergeCell ref="H112:I112"/>
    <mergeCell ref="J112:K112"/>
    <mergeCell ref="L112:M112"/>
    <mergeCell ref="P112:Q112"/>
    <mergeCell ref="AJ111:AK111"/>
    <mergeCell ref="AL111:AM111"/>
    <mergeCell ref="AN111:AO111"/>
    <mergeCell ref="AP111:AQ111"/>
    <mergeCell ref="AR111:AS111"/>
    <mergeCell ref="AT111:AU111"/>
    <mergeCell ref="AV111:AW111"/>
    <mergeCell ref="BD105:BE105"/>
    <mergeCell ref="BF105:BI105"/>
    <mergeCell ref="AN105:AO105"/>
    <mergeCell ref="AP105:AQ105"/>
    <mergeCell ref="AR105:AS105"/>
    <mergeCell ref="AT105:AU105"/>
    <mergeCell ref="AV105:AW105"/>
    <mergeCell ref="AX105:AZ105"/>
    <mergeCell ref="BA105:BB105"/>
    <mergeCell ref="BD112:BE112"/>
    <mergeCell ref="BF112:BI112"/>
    <mergeCell ref="AN112:AO112"/>
    <mergeCell ref="AP112:AQ112"/>
    <mergeCell ref="AR112:AS112"/>
    <mergeCell ref="AT112:AU112"/>
    <mergeCell ref="AV112:AW112"/>
    <mergeCell ref="AX112:AZ112"/>
    <mergeCell ref="BA112:BB112"/>
    <mergeCell ref="AJ110:AK110"/>
    <mergeCell ref="AL110:AM110"/>
    <mergeCell ref="R110:S110"/>
    <mergeCell ref="T110:U110"/>
    <mergeCell ref="V110:W110"/>
    <mergeCell ref="X110:AA110"/>
    <mergeCell ref="AB110:AE110"/>
    <mergeCell ref="AF110:AG110"/>
    <mergeCell ref="AH110:AI110"/>
    <mergeCell ref="R111:S111"/>
    <mergeCell ref="T111:U111"/>
    <mergeCell ref="V111:W111"/>
    <mergeCell ref="X111:AA111"/>
    <mergeCell ref="AB111:AE111"/>
    <mergeCell ref="AF111:AG111"/>
    <mergeCell ref="AH111:AI111"/>
    <mergeCell ref="AX111:AZ111"/>
    <mergeCell ref="BA111:BB111"/>
    <mergeCell ref="BD111:BE111"/>
    <mergeCell ref="BF111:BI111"/>
    <mergeCell ref="F110:G110"/>
    <mergeCell ref="H110:I110"/>
    <mergeCell ref="J110:K110"/>
    <mergeCell ref="L110:M110"/>
    <mergeCell ref="P110:Q110"/>
    <mergeCell ref="BJ104:BM104"/>
    <mergeCell ref="BN104:BV104"/>
    <mergeCell ref="BJ105:BM105"/>
    <mergeCell ref="BN105:BV105"/>
    <mergeCell ref="B104:C104"/>
    <mergeCell ref="D104:E104"/>
    <mergeCell ref="F104:G104"/>
    <mergeCell ref="H104:I104"/>
    <mergeCell ref="J104:K104"/>
    <mergeCell ref="L104:M104"/>
    <mergeCell ref="P104:Q104"/>
    <mergeCell ref="AJ104:AK104"/>
    <mergeCell ref="AL104:AM104"/>
    <mergeCell ref="AN104:AO104"/>
    <mergeCell ref="AP104:AQ104"/>
    <mergeCell ref="AR104:AS104"/>
    <mergeCell ref="AT104:AU104"/>
    <mergeCell ref="AV104:AW104"/>
    <mergeCell ref="B105:C105"/>
    <mergeCell ref="D105:E105"/>
    <mergeCell ref="F105:G105"/>
    <mergeCell ref="H105:I105"/>
    <mergeCell ref="J105:K105"/>
    <mergeCell ref="L105:M105"/>
    <mergeCell ref="P105:Q105"/>
    <mergeCell ref="R107:S107"/>
    <mergeCell ref="T107:U107"/>
    <mergeCell ref="V107:W107"/>
    <mergeCell ref="X107:AA107"/>
    <mergeCell ref="AB107:AE107"/>
    <mergeCell ref="AF107:AG107"/>
    <mergeCell ref="AH107:AI107"/>
    <mergeCell ref="B107:C107"/>
    <mergeCell ref="D107:E107"/>
    <mergeCell ref="F107:G107"/>
    <mergeCell ref="H107:I107"/>
    <mergeCell ref="J107:K107"/>
    <mergeCell ref="L107:M107"/>
    <mergeCell ref="P107:Q107"/>
    <mergeCell ref="R106:S106"/>
    <mergeCell ref="T106:U106"/>
    <mergeCell ref="V106:W106"/>
    <mergeCell ref="X106:AA106"/>
    <mergeCell ref="AB106:AE106"/>
    <mergeCell ref="AF106:AG106"/>
    <mergeCell ref="AH106:AI106"/>
    <mergeCell ref="AX106:AZ106"/>
    <mergeCell ref="BA106:BB106"/>
    <mergeCell ref="BD106:BE106"/>
    <mergeCell ref="BF106:BI106"/>
    <mergeCell ref="BJ106:BM106"/>
    <mergeCell ref="BN106:BV106"/>
    <mergeCell ref="AJ106:AK106"/>
    <mergeCell ref="AL106:AM106"/>
    <mergeCell ref="AN106:AO106"/>
    <mergeCell ref="AP106:AQ106"/>
    <mergeCell ref="AR106:AS106"/>
    <mergeCell ref="AT106:AU106"/>
    <mergeCell ref="AV106:AW106"/>
    <mergeCell ref="B106:C106"/>
    <mergeCell ref="D106:E106"/>
    <mergeCell ref="F106:G106"/>
    <mergeCell ref="H106:I106"/>
    <mergeCell ref="J106:K106"/>
    <mergeCell ref="B118:C118"/>
    <mergeCell ref="D118:E118"/>
    <mergeCell ref="F118:G118"/>
    <mergeCell ref="H118:I118"/>
    <mergeCell ref="J118:K118"/>
    <mergeCell ref="L118:M118"/>
    <mergeCell ref="P118:Q118"/>
    <mergeCell ref="B119:C119"/>
    <mergeCell ref="D119:E119"/>
    <mergeCell ref="F119:G119"/>
    <mergeCell ref="H119:I119"/>
    <mergeCell ref="J119:K119"/>
    <mergeCell ref="L119:M119"/>
    <mergeCell ref="P119:Q119"/>
    <mergeCell ref="AJ118:AK118"/>
    <mergeCell ref="AL118:AM118"/>
    <mergeCell ref="AN118:AO118"/>
    <mergeCell ref="AP118:AQ118"/>
    <mergeCell ref="AR118:AS118"/>
    <mergeCell ref="AT118:AU118"/>
    <mergeCell ref="AV118:AW118"/>
    <mergeCell ref="BF107:BI107"/>
    <mergeCell ref="BJ107:BM107"/>
    <mergeCell ref="BN107:BV107"/>
    <mergeCell ref="BJ108:BM108"/>
    <mergeCell ref="BN108:BV108"/>
    <mergeCell ref="B108:C108"/>
    <mergeCell ref="D108:E108"/>
    <mergeCell ref="F108:G108"/>
    <mergeCell ref="H108:I108"/>
    <mergeCell ref="J108:K108"/>
    <mergeCell ref="L108:M108"/>
    <mergeCell ref="P108:Q108"/>
    <mergeCell ref="AJ107:AK107"/>
    <mergeCell ref="AL107:AM107"/>
    <mergeCell ref="AN107:AO107"/>
    <mergeCell ref="AP107:AQ107"/>
    <mergeCell ref="AR107:AS107"/>
    <mergeCell ref="AT107:AU107"/>
    <mergeCell ref="AV107:AW107"/>
    <mergeCell ref="BD110:BE110"/>
    <mergeCell ref="BF110:BI110"/>
    <mergeCell ref="AN110:AO110"/>
    <mergeCell ref="AP110:AQ110"/>
    <mergeCell ref="AR110:AS110"/>
    <mergeCell ref="AT110:AU110"/>
    <mergeCell ref="AV110:AW110"/>
    <mergeCell ref="AX110:AZ110"/>
    <mergeCell ref="BA110:BB110"/>
    <mergeCell ref="AJ114:AK114"/>
    <mergeCell ref="AL114:AM114"/>
    <mergeCell ref="BJ114:BM114"/>
    <mergeCell ref="BN114:BV114"/>
    <mergeCell ref="R114:S114"/>
    <mergeCell ref="T114:U114"/>
    <mergeCell ref="V114:W114"/>
    <mergeCell ref="X114:AA114"/>
    <mergeCell ref="AB114:AE114"/>
    <mergeCell ref="AF114:AG114"/>
    <mergeCell ref="AH114:AI114"/>
    <mergeCell ref="BJ113:BM113"/>
    <mergeCell ref="BN113:BV113"/>
    <mergeCell ref="B114:C114"/>
    <mergeCell ref="D114:E114"/>
    <mergeCell ref="BA120:BB120"/>
    <mergeCell ref="BD120:BE120"/>
    <mergeCell ref="BF120:BI120"/>
    <mergeCell ref="BJ120:BM120"/>
    <mergeCell ref="BN120:BV120"/>
    <mergeCell ref="BJ121:BM121"/>
    <mergeCell ref="BN121:BV121"/>
    <mergeCell ref="BD119:BE119"/>
    <mergeCell ref="BF119:BI119"/>
    <mergeCell ref="AN119:AO119"/>
    <mergeCell ref="AP119:AQ119"/>
    <mergeCell ref="AR119:AS119"/>
    <mergeCell ref="AT119:AU119"/>
    <mergeCell ref="AV119:AW119"/>
    <mergeCell ref="AX119:AZ119"/>
    <mergeCell ref="BA119:BB119"/>
    <mergeCell ref="AJ117:AK117"/>
    <mergeCell ref="AL117:AM117"/>
    <mergeCell ref="R117:S117"/>
    <mergeCell ref="T117:U117"/>
    <mergeCell ref="V117:W117"/>
    <mergeCell ref="X117:AA117"/>
    <mergeCell ref="AB117:AE117"/>
    <mergeCell ref="AF117:AG117"/>
    <mergeCell ref="AH117:AI117"/>
    <mergeCell ref="R118:S118"/>
    <mergeCell ref="T118:U118"/>
    <mergeCell ref="V118:W118"/>
    <mergeCell ref="X118:AA118"/>
    <mergeCell ref="AB118:AE118"/>
    <mergeCell ref="AF118:AG118"/>
    <mergeCell ref="AH118:AI118"/>
    <mergeCell ref="AX118:AZ118"/>
    <mergeCell ref="BA118:BB118"/>
    <mergeCell ref="BD118:BE118"/>
    <mergeCell ref="BF118:BI118"/>
    <mergeCell ref="BJ118:BM118"/>
    <mergeCell ref="BN118:BV118"/>
    <mergeCell ref="BJ119:BM119"/>
    <mergeCell ref="BN119:BV119"/>
    <mergeCell ref="AH121:AI121"/>
    <mergeCell ref="R113:S113"/>
    <mergeCell ref="T113:U113"/>
    <mergeCell ref="V113:W113"/>
    <mergeCell ref="X113:AA113"/>
    <mergeCell ref="AB113:AE113"/>
    <mergeCell ref="AF113:AG113"/>
    <mergeCell ref="AH113:AI113"/>
    <mergeCell ref="AX113:AZ113"/>
    <mergeCell ref="BA113:BB113"/>
    <mergeCell ref="BD113:BE113"/>
    <mergeCell ref="BF113:BI113"/>
    <mergeCell ref="B113:C113"/>
    <mergeCell ref="D113:E113"/>
    <mergeCell ref="F113:G113"/>
    <mergeCell ref="H113:I113"/>
    <mergeCell ref="J113:K113"/>
    <mergeCell ref="L113:M113"/>
    <mergeCell ref="P113:Q113"/>
    <mergeCell ref="AJ113:AK113"/>
    <mergeCell ref="AL113:AM113"/>
    <mergeCell ref="AN113:AO113"/>
    <mergeCell ref="AP113:AQ113"/>
    <mergeCell ref="AR113:AS113"/>
    <mergeCell ref="AT113:AU113"/>
    <mergeCell ref="AV113:AW113"/>
    <mergeCell ref="X115:AA115"/>
    <mergeCell ref="AB115:AE115"/>
    <mergeCell ref="AF115:AG115"/>
    <mergeCell ref="AH115:AI115"/>
    <mergeCell ref="AX115:AZ115"/>
    <mergeCell ref="BA115:BB115"/>
    <mergeCell ref="BD115:BE115"/>
    <mergeCell ref="BF115:BI115"/>
    <mergeCell ref="F114:G114"/>
    <mergeCell ref="H114:I114"/>
    <mergeCell ref="J114:K114"/>
    <mergeCell ref="L114:M114"/>
    <mergeCell ref="P114:Q114"/>
    <mergeCell ref="B120:C120"/>
    <mergeCell ref="D120:E120"/>
    <mergeCell ref="F120:G120"/>
    <mergeCell ref="H120:I120"/>
    <mergeCell ref="J120:K120"/>
    <mergeCell ref="L120:M120"/>
    <mergeCell ref="P120:Q120"/>
    <mergeCell ref="B121:C121"/>
    <mergeCell ref="D121:E121"/>
    <mergeCell ref="F121:G121"/>
    <mergeCell ref="H121:I121"/>
    <mergeCell ref="J121:K121"/>
    <mergeCell ref="L121:M121"/>
    <mergeCell ref="P121:Q121"/>
    <mergeCell ref="AJ120:AK120"/>
    <mergeCell ref="AL120:AM120"/>
    <mergeCell ref="AN120:AO120"/>
    <mergeCell ref="AP120:AQ120"/>
    <mergeCell ref="AR120:AS120"/>
    <mergeCell ref="AT120:AU120"/>
    <mergeCell ref="AV120:AW120"/>
    <mergeCell ref="BD114:BE114"/>
    <mergeCell ref="BF114:BI114"/>
    <mergeCell ref="AN114:AO114"/>
    <mergeCell ref="AP114:AQ114"/>
    <mergeCell ref="AR114:AS114"/>
    <mergeCell ref="AT114:AU114"/>
    <mergeCell ref="AV114:AW114"/>
    <mergeCell ref="AX114:AZ114"/>
    <mergeCell ref="BA114:BB114"/>
    <mergeCell ref="BD121:BE121"/>
    <mergeCell ref="BF121:BI121"/>
    <mergeCell ref="AN121:AO121"/>
    <mergeCell ref="AP121:AQ121"/>
    <mergeCell ref="AR121:AS121"/>
    <mergeCell ref="AT121:AU121"/>
    <mergeCell ref="AV121:AW121"/>
    <mergeCell ref="AX121:AZ121"/>
    <mergeCell ref="BA121:BB121"/>
    <mergeCell ref="AJ119:AK119"/>
    <mergeCell ref="AL119:AM119"/>
    <mergeCell ref="R119:S119"/>
    <mergeCell ref="T119:U119"/>
    <mergeCell ref="V119:W119"/>
    <mergeCell ref="X119:AA119"/>
    <mergeCell ref="AB119:AE119"/>
    <mergeCell ref="AF119:AG119"/>
    <mergeCell ref="AH119:AI119"/>
    <mergeCell ref="R120:S120"/>
    <mergeCell ref="T120:U120"/>
    <mergeCell ref="V120:W120"/>
    <mergeCell ref="X120:AA120"/>
    <mergeCell ref="AB120:AE120"/>
    <mergeCell ref="AF120:AG120"/>
    <mergeCell ref="AH120:AI120"/>
    <mergeCell ref="AX120:AZ120"/>
    <mergeCell ref="AJ121:AK121"/>
    <mergeCell ref="AL121:AM121"/>
    <mergeCell ref="R121:S121"/>
    <mergeCell ref="T121:U121"/>
    <mergeCell ref="V121:W121"/>
    <mergeCell ref="X121:AA121"/>
    <mergeCell ref="AB121:AE121"/>
    <mergeCell ref="AF121:AG121"/>
    <mergeCell ref="BJ115:BM115"/>
    <mergeCell ref="BN115:BV115"/>
    <mergeCell ref="AJ115:AK115"/>
    <mergeCell ref="AL115:AM115"/>
    <mergeCell ref="AN115:AO115"/>
    <mergeCell ref="AP115:AQ115"/>
    <mergeCell ref="AR115:AS115"/>
    <mergeCell ref="AT115:AU115"/>
    <mergeCell ref="AV115:AW115"/>
    <mergeCell ref="B115:C115"/>
    <mergeCell ref="D115:E115"/>
    <mergeCell ref="F115:G115"/>
    <mergeCell ref="H115:I115"/>
    <mergeCell ref="J115:K115"/>
    <mergeCell ref="L115:M115"/>
    <mergeCell ref="P115:Q115"/>
    <mergeCell ref="AX116:AZ116"/>
    <mergeCell ref="BA116:BB116"/>
    <mergeCell ref="BD116:BE116"/>
    <mergeCell ref="BF116:BI116"/>
    <mergeCell ref="BJ116:BM116"/>
    <mergeCell ref="BN116:BV116"/>
    <mergeCell ref="BJ117:BM117"/>
    <mergeCell ref="BN117:BV117"/>
    <mergeCell ref="B117:C117"/>
    <mergeCell ref="D117:E117"/>
    <mergeCell ref="F117:G117"/>
    <mergeCell ref="H117:I117"/>
    <mergeCell ref="J117:K117"/>
    <mergeCell ref="L117:M117"/>
    <mergeCell ref="P117:Q117"/>
    <mergeCell ref="AJ116:AK116"/>
    <mergeCell ref="AL116:AM116"/>
    <mergeCell ref="AN116:AO116"/>
    <mergeCell ref="AP116:AQ116"/>
    <mergeCell ref="AR116:AS116"/>
    <mergeCell ref="AT116:AU116"/>
    <mergeCell ref="AV116:AW116"/>
    <mergeCell ref="R116:S116"/>
    <mergeCell ref="T116:U116"/>
    <mergeCell ref="V116:W116"/>
    <mergeCell ref="X116:AA116"/>
    <mergeCell ref="AB116:AE116"/>
    <mergeCell ref="AF116:AG116"/>
    <mergeCell ref="AH116:AI116"/>
    <mergeCell ref="B116:C116"/>
    <mergeCell ref="D116:E116"/>
    <mergeCell ref="F116:G116"/>
    <mergeCell ref="H116:I116"/>
    <mergeCell ref="J116:K116"/>
    <mergeCell ref="L116:M116"/>
    <mergeCell ref="P116:Q116"/>
    <mergeCell ref="BD117:BE117"/>
    <mergeCell ref="BF117:BI117"/>
    <mergeCell ref="AN117:AO117"/>
    <mergeCell ref="AP117:AQ117"/>
    <mergeCell ref="AR117:AS117"/>
    <mergeCell ref="AT117:AU117"/>
    <mergeCell ref="AV117:AW117"/>
    <mergeCell ref="AX117:AZ117"/>
    <mergeCell ref="BA117:BB117"/>
    <mergeCell ref="R115:S115"/>
    <mergeCell ref="T115:U115"/>
    <mergeCell ref="V115:W115"/>
    <mergeCell ref="BJ123:BM123"/>
    <mergeCell ref="BN123:BV123"/>
    <mergeCell ref="R123:S123"/>
    <mergeCell ref="T123:U123"/>
    <mergeCell ref="V123:W123"/>
    <mergeCell ref="X123:AA123"/>
    <mergeCell ref="AB123:AE123"/>
    <mergeCell ref="AF123:AG123"/>
    <mergeCell ref="AH123:AI123"/>
    <mergeCell ref="AJ126:AK126"/>
    <mergeCell ref="AL126:AM126"/>
    <mergeCell ref="R126:S126"/>
    <mergeCell ref="T126:U126"/>
    <mergeCell ref="V126:W126"/>
    <mergeCell ref="X126:AA126"/>
    <mergeCell ref="AB126:AE126"/>
    <mergeCell ref="AF126:AG126"/>
    <mergeCell ref="AH126:AI126"/>
    <mergeCell ref="R127:S127"/>
    <mergeCell ref="T127:U127"/>
    <mergeCell ref="V127:W127"/>
    <mergeCell ref="X127:AA127"/>
    <mergeCell ref="AB127:AE127"/>
    <mergeCell ref="AF127:AG127"/>
    <mergeCell ref="AH127:AI127"/>
    <mergeCell ref="AX127:AZ127"/>
    <mergeCell ref="BA127:BB127"/>
    <mergeCell ref="BD127:BE127"/>
    <mergeCell ref="BF127:BI127"/>
    <mergeCell ref="BJ127:BM127"/>
    <mergeCell ref="BN127:BV127"/>
    <mergeCell ref="BJ125:BM125"/>
    <mergeCell ref="BN125:BV125"/>
    <mergeCell ref="BJ126:BM126"/>
    <mergeCell ref="BN126:BV126"/>
    <mergeCell ref="BD123:BE123"/>
    <mergeCell ref="BF123:BI123"/>
    <mergeCell ref="AN123:AO123"/>
    <mergeCell ref="AP123:AQ123"/>
    <mergeCell ref="AR123:AS123"/>
    <mergeCell ref="AT123:AU123"/>
    <mergeCell ref="AV123:AW123"/>
    <mergeCell ref="AX123:AZ123"/>
    <mergeCell ref="BA123:BB123"/>
    <mergeCell ref="BJ124:BM124"/>
    <mergeCell ref="BN124:BV124"/>
    <mergeCell ref="R122:S122"/>
    <mergeCell ref="T122:U122"/>
    <mergeCell ref="V122:W122"/>
    <mergeCell ref="X122:AA122"/>
    <mergeCell ref="AB122:AE122"/>
    <mergeCell ref="AF122:AG122"/>
    <mergeCell ref="AH122:AI122"/>
    <mergeCell ref="AX122:AZ122"/>
    <mergeCell ref="BA122:BB122"/>
    <mergeCell ref="BD122:BE122"/>
    <mergeCell ref="BF122:BI122"/>
    <mergeCell ref="BD126:BE126"/>
    <mergeCell ref="BF126:BI126"/>
    <mergeCell ref="AN126:AO126"/>
    <mergeCell ref="AP126:AQ126"/>
    <mergeCell ref="AR126:AS126"/>
    <mergeCell ref="AT126:AU126"/>
    <mergeCell ref="AV126:AW126"/>
    <mergeCell ref="AX126:AZ126"/>
    <mergeCell ref="BA126:BB126"/>
    <mergeCell ref="AX125:AZ125"/>
    <mergeCell ref="BA125:BB125"/>
    <mergeCell ref="BD125:BE125"/>
    <mergeCell ref="BF125:BI125"/>
    <mergeCell ref="R124:S124"/>
    <mergeCell ref="T124:U124"/>
    <mergeCell ref="V124:W124"/>
    <mergeCell ref="X124:AA124"/>
    <mergeCell ref="AB124:AE124"/>
    <mergeCell ref="AF124:AG124"/>
    <mergeCell ref="AH124:AI124"/>
    <mergeCell ref="AX124:AZ124"/>
    <mergeCell ref="BA124:BB124"/>
    <mergeCell ref="BD124:BE124"/>
    <mergeCell ref="BF124:BI124"/>
    <mergeCell ref="AJ124:AK124"/>
    <mergeCell ref="AL124:AM124"/>
    <mergeCell ref="AN124:AO124"/>
    <mergeCell ref="AP124:AQ124"/>
    <mergeCell ref="AR124:AS124"/>
    <mergeCell ref="AT124:AU124"/>
    <mergeCell ref="AV124:AW124"/>
    <mergeCell ref="AJ123:AK123"/>
    <mergeCell ref="AL123:AM123"/>
    <mergeCell ref="F124:G124"/>
    <mergeCell ref="H124:I124"/>
    <mergeCell ref="J124:K124"/>
    <mergeCell ref="L124:M124"/>
    <mergeCell ref="P124:Q124"/>
    <mergeCell ref="D130:E130"/>
    <mergeCell ref="F130:G130"/>
    <mergeCell ref="H130:I130"/>
    <mergeCell ref="J130:K130"/>
    <mergeCell ref="L130:M130"/>
    <mergeCell ref="P130:Q130"/>
    <mergeCell ref="AJ129:AK129"/>
    <mergeCell ref="AL129:AM129"/>
    <mergeCell ref="AN129:AO129"/>
    <mergeCell ref="AP129:AQ129"/>
    <mergeCell ref="AR129:AS129"/>
    <mergeCell ref="AT129:AU129"/>
    <mergeCell ref="AV129:AW129"/>
    <mergeCell ref="BJ128:BM128"/>
    <mergeCell ref="BN128:BV128"/>
    <mergeCell ref="B127:C127"/>
    <mergeCell ref="D127:E127"/>
    <mergeCell ref="F127:G127"/>
    <mergeCell ref="H127:I127"/>
    <mergeCell ref="J127:K127"/>
    <mergeCell ref="L127:M127"/>
    <mergeCell ref="P127:Q127"/>
    <mergeCell ref="B128:C128"/>
    <mergeCell ref="D128:E128"/>
    <mergeCell ref="F128:G128"/>
    <mergeCell ref="H128:I128"/>
    <mergeCell ref="J128:K128"/>
    <mergeCell ref="L128:M128"/>
    <mergeCell ref="P128:Q128"/>
    <mergeCell ref="AJ127:AK127"/>
    <mergeCell ref="AL127:AM127"/>
    <mergeCell ref="AN127:AO127"/>
    <mergeCell ref="AP127:AQ127"/>
    <mergeCell ref="AR127:AS127"/>
    <mergeCell ref="AT127:AU127"/>
    <mergeCell ref="AV127:AW127"/>
    <mergeCell ref="BD130:BE130"/>
    <mergeCell ref="BD128:BE128"/>
    <mergeCell ref="BF128:BI128"/>
    <mergeCell ref="AN128:AO128"/>
    <mergeCell ref="AP128:AQ128"/>
    <mergeCell ref="AR128:AS128"/>
    <mergeCell ref="AT128:AU128"/>
    <mergeCell ref="AV128:AW128"/>
    <mergeCell ref="AX128:AZ128"/>
    <mergeCell ref="BA128:BB128"/>
    <mergeCell ref="AX129:AZ129"/>
    <mergeCell ref="BA129:BB129"/>
    <mergeCell ref="BD129:BE129"/>
    <mergeCell ref="BF129:BI129"/>
    <mergeCell ref="BJ129:BM129"/>
    <mergeCell ref="BN129:BV129"/>
    <mergeCell ref="BJ130:BM130"/>
    <mergeCell ref="BN130:BV130"/>
    <mergeCell ref="B129:C129"/>
    <mergeCell ref="D129:E129"/>
    <mergeCell ref="F129:G129"/>
    <mergeCell ref="H129:I129"/>
    <mergeCell ref="J129:K129"/>
    <mergeCell ref="BJ132:BM132"/>
    <mergeCell ref="BN132:BV132"/>
    <mergeCell ref="R132:S132"/>
    <mergeCell ref="T132:U132"/>
    <mergeCell ref="V132:W132"/>
    <mergeCell ref="X132:AA132"/>
    <mergeCell ref="AB132:AE132"/>
    <mergeCell ref="AF132:AG132"/>
    <mergeCell ref="AH132:AI132"/>
    <mergeCell ref="BJ131:BM131"/>
    <mergeCell ref="BN131:BV131"/>
    <mergeCell ref="B132:C132"/>
    <mergeCell ref="D132:E132"/>
    <mergeCell ref="F132:G132"/>
    <mergeCell ref="H132:I132"/>
    <mergeCell ref="J132:K132"/>
    <mergeCell ref="L132:M132"/>
    <mergeCell ref="P132:Q132"/>
    <mergeCell ref="BJ122:BM122"/>
    <mergeCell ref="BN122:BV122"/>
    <mergeCell ref="B122:C122"/>
    <mergeCell ref="D122:E122"/>
    <mergeCell ref="F122:G122"/>
    <mergeCell ref="H122:I122"/>
    <mergeCell ref="J122:K122"/>
    <mergeCell ref="L122:M122"/>
    <mergeCell ref="P122:Q122"/>
    <mergeCell ref="AJ122:AK122"/>
    <mergeCell ref="AL122:AM122"/>
    <mergeCell ref="AN122:AO122"/>
    <mergeCell ref="AP122:AQ122"/>
    <mergeCell ref="AR122:AS122"/>
    <mergeCell ref="AT122:AU122"/>
    <mergeCell ref="AV122:AW122"/>
    <mergeCell ref="B123:C123"/>
    <mergeCell ref="D123:E123"/>
    <mergeCell ref="F123:G123"/>
    <mergeCell ref="H123:I123"/>
    <mergeCell ref="J123:K123"/>
    <mergeCell ref="L123:M123"/>
    <mergeCell ref="P123:Q123"/>
    <mergeCell ref="R125:S125"/>
    <mergeCell ref="T125:U125"/>
    <mergeCell ref="V125:W125"/>
    <mergeCell ref="X125:AA125"/>
    <mergeCell ref="AB125:AE125"/>
    <mergeCell ref="AF125:AG125"/>
    <mergeCell ref="AH125:AI125"/>
    <mergeCell ref="B125:C125"/>
    <mergeCell ref="D125:E125"/>
    <mergeCell ref="F125:G125"/>
    <mergeCell ref="H125:I125"/>
    <mergeCell ref="J125:K125"/>
    <mergeCell ref="AB130:AE130"/>
    <mergeCell ref="AF130:AG130"/>
    <mergeCell ref="AH130:AI130"/>
    <mergeCell ref="R131:S131"/>
    <mergeCell ref="T131:U131"/>
    <mergeCell ref="V131:W131"/>
    <mergeCell ref="X131:AA131"/>
    <mergeCell ref="AB131:AE131"/>
    <mergeCell ref="AF131:AG131"/>
    <mergeCell ref="B124:C124"/>
    <mergeCell ref="D124:E124"/>
    <mergeCell ref="B126:C126"/>
    <mergeCell ref="D126:E126"/>
    <mergeCell ref="F126:G126"/>
    <mergeCell ref="H126:I126"/>
    <mergeCell ref="J126:K126"/>
    <mergeCell ref="L126:M126"/>
    <mergeCell ref="P126:Q126"/>
    <mergeCell ref="AJ125:AK125"/>
    <mergeCell ref="AL125:AM125"/>
    <mergeCell ref="AN125:AO125"/>
    <mergeCell ref="AP125:AQ125"/>
    <mergeCell ref="AR125:AS125"/>
    <mergeCell ref="AT125:AU125"/>
    <mergeCell ref="AV125:AW125"/>
    <mergeCell ref="L125:M125"/>
    <mergeCell ref="P125:Q125"/>
    <mergeCell ref="AN130:AO130"/>
    <mergeCell ref="AP130:AQ130"/>
    <mergeCell ref="AR130:AS130"/>
    <mergeCell ref="AT130:AU130"/>
    <mergeCell ref="AV130:AW130"/>
    <mergeCell ref="AJ128:AK128"/>
    <mergeCell ref="AL128:AM128"/>
    <mergeCell ref="R128:S128"/>
    <mergeCell ref="T128:U128"/>
    <mergeCell ref="V128:W128"/>
    <mergeCell ref="X128:AA128"/>
    <mergeCell ref="AB128:AE128"/>
    <mergeCell ref="AF128:AG128"/>
    <mergeCell ref="AH128:AI128"/>
    <mergeCell ref="R129:S129"/>
    <mergeCell ref="T129:U129"/>
    <mergeCell ref="V129:W129"/>
    <mergeCell ref="X129:AA129"/>
    <mergeCell ref="AB129:AE129"/>
    <mergeCell ref="AF129:AG129"/>
    <mergeCell ref="AH129:AI129"/>
    <mergeCell ref="AJ130:AK130"/>
    <mergeCell ref="AL130:AM130"/>
    <mergeCell ref="R130:S130"/>
    <mergeCell ref="T130:U130"/>
    <mergeCell ref="V130:W130"/>
    <mergeCell ref="X130:AA130"/>
    <mergeCell ref="L129:M129"/>
    <mergeCell ref="P129:Q129"/>
    <mergeCell ref="B130:C130"/>
    <mergeCell ref="BJ138:BM138"/>
    <mergeCell ref="BN138:BV138"/>
    <mergeCell ref="BJ139:BM139"/>
    <mergeCell ref="BN139:BV139"/>
    <mergeCell ref="BD137:BE137"/>
    <mergeCell ref="BF137:BI137"/>
    <mergeCell ref="AN137:AO137"/>
    <mergeCell ref="AP137:AQ137"/>
    <mergeCell ref="AR137:AS137"/>
    <mergeCell ref="AT137:AU137"/>
    <mergeCell ref="AV137:AW137"/>
    <mergeCell ref="AX137:AZ137"/>
    <mergeCell ref="BA137:BB137"/>
    <mergeCell ref="AJ135:AK135"/>
    <mergeCell ref="AL135:AM135"/>
    <mergeCell ref="R135:S135"/>
    <mergeCell ref="T135:U135"/>
    <mergeCell ref="V135:W135"/>
    <mergeCell ref="X135:AA135"/>
    <mergeCell ref="AB135:AE135"/>
    <mergeCell ref="AF135:AG135"/>
    <mergeCell ref="AH135:AI135"/>
    <mergeCell ref="R136:S136"/>
    <mergeCell ref="T136:U136"/>
    <mergeCell ref="V136:W136"/>
    <mergeCell ref="X136:AA136"/>
    <mergeCell ref="AB136:AE136"/>
    <mergeCell ref="AF136:AG136"/>
    <mergeCell ref="AH136:AI136"/>
    <mergeCell ref="AX136:AZ136"/>
    <mergeCell ref="BA136:BB136"/>
    <mergeCell ref="BD136:BE136"/>
    <mergeCell ref="BF136:BI136"/>
    <mergeCell ref="BJ136:BM136"/>
    <mergeCell ref="BN136:BV136"/>
    <mergeCell ref="BJ137:BM137"/>
    <mergeCell ref="BN137:BV137"/>
    <mergeCell ref="AJ136:AK136"/>
    <mergeCell ref="AL136:AM136"/>
    <mergeCell ref="AN136:AO136"/>
    <mergeCell ref="AP136:AQ136"/>
    <mergeCell ref="AR136:AS136"/>
    <mergeCell ref="AT136:AU136"/>
    <mergeCell ref="AV136:AW136"/>
    <mergeCell ref="AH131:AI131"/>
    <mergeCell ref="AX131:AZ131"/>
    <mergeCell ref="BA131:BB131"/>
    <mergeCell ref="BD131:BE131"/>
    <mergeCell ref="BF131:BI131"/>
    <mergeCell ref="B131:C131"/>
    <mergeCell ref="D131:E131"/>
    <mergeCell ref="F131:G131"/>
    <mergeCell ref="H131:I131"/>
    <mergeCell ref="J131:K131"/>
    <mergeCell ref="L131:M131"/>
    <mergeCell ref="P131:Q131"/>
    <mergeCell ref="AJ131:AK131"/>
    <mergeCell ref="AL131:AM131"/>
    <mergeCell ref="AN131:AO131"/>
    <mergeCell ref="AP131:AQ131"/>
    <mergeCell ref="AR131:AS131"/>
    <mergeCell ref="AT131:AU131"/>
    <mergeCell ref="AV131:AW131"/>
    <mergeCell ref="BF130:BI130"/>
    <mergeCell ref="AX130:AZ130"/>
    <mergeCell ref="BA130:BB130"/>
    <mergeCell ref="X133:AA133"/>
    <mergeCell ref="AB133:AE133"/>
    <mergeCell ref="AF133:AG133"/>
    <mergeCell ref="AH133:AI133"/>
    <mergeCell ref="AX133:AZ133"/>
    <mergeCell ref="BA133:BB133"/>
    <mergeCell ref="BD133:BE133"/>
    <mergeCell ref="BF133:BI133"/>
    <mergeCell ref="B138:C138"/>
    <mergeCell ref="D138:E138"/>
    <mergeCell ref="F138:G138"/>
    <mergeCell ref="H138:I138"/>
    <mergeCell ref="J138:K138"/>
    <mergeCell ref="L138:M138"/>
    <mergeCell ref="P138:Q138"/>
    <mergeCell ref="BA138:BB138"/>
    <mergeCell ref="BD138:BE138"/>
    <mergeCell ref="BF138:BI138"/>
    <mergeCell ref="B136:C136"/>
    <mergeCell ref="D136:E136"/>
    <mergeCell ref="F136:G136"/>
    <mergeCell ref="H136:I136"/>
    <mergeCell ref="J136:K136"/>
    <mergeCell ref="L136:M136"/>
    <mergeCell ref="P136:Q136"/>
    <mergeCell ref="B137:C137"/>
    <mergeCell ref="D137:E137"/>
    <mergeCell ref="F137:G137"/>
    <mergeCell ref="H137:I137"/>
    <mergeCell ref="J137:K137"/>
    <mergeCell ref="L137:M137"/>
    <mergeCell ref="P137:Q137"/>
    <mergeCell ref="AJ132:AK132"/>
    <mergeCell ref="AL132:AM132"/>
    <mergeCell ref="B139:C139"/>
    <mergeCell ref="D139:E139"/>
    <mergeCell ref="F139:G139"/>
    <mergeCell ref="H139:I139"/>
    <mergeCell ref="J139:K139"/>
    <mergeCell ref="L139:M139"/>
    <mergeCell ref="P139:Q139"/>
    <mergeCell ref="AJ138:AK138"/>
    <mergeCell ref="AL138:AM138"/>
    <mergeCell ref="AN138:AO138"/>
    <mergeCell ref="AP138:AQ138"/>
    <mergeCell ref="AR138:AS138"/>
    <mergeCell ref="AT138:AU138"/>
    <mergeCell ref="AV138:AW138"/>
    <mergeCell ref="BD132:BE132"/>
    <mergeCell ref="BF132:BI132"/>
    <mergeCell ref="AN132:AO132"/>
    <mergeCell ref="AP132:AQ132"/>
    <mergeCell ref="AR132:AS132"/>
    <mergeCell ref="AT132:AU132"/>
    <mergeCell ref="AV132:AW132"/>
    <mergeCell ref="AX132:AZ132"/>
    <mergeCell ref="BA132:BB132"/>
    <mergeCell ref="BD139:BE139"/>
    <mergeCell ref="BF139:BI139"/>
    <mergeCell ref="AN139:AO139"/>
    <mergeCell ref="AP139:AQ139"/>
    <mergeCell ref="AR139:AS139"/>
    <mergeCell ref="AT139:AU139"/>
    <mergeCell ref="AV139:AW139"/>
    <mergeCell ref="AX139:AZ139"/>
    <mergeCell ref="BA139:BB139"/>
    <mergeCell ref="AJ137:AK137"/>
    <mergeCell ref="AL137:AM137"/>
    <mergeCell ref="R137:S137"/>
    <mergeCell ref="T137:U137"/>
    <mergeCell ref="V137:W137"/>
    <mergeCell ref="X137:AA137"/>
    <mergeCell ref="AB137:AE137"/>
    <mergeCell ref="AF137:AG137"/>
    <mergeCell ref="AH137:AI137"/>
    <mergeCell ref="R138:S138"/>
    <mergeCell ref="T138:U138"/>
    <mergeCell ref="V138:W138"/>
    <mergeCell ref="X138:AA138"/>
    <mergeCell ref="AB138:AE138"/>
    <mergeCell ref="AF138:AG138"/>
    <mergeCell ref="AH138:AI138"/>
    <mergeCell ref="AX138:AZ138"/>
    <mergeCell ref="BJ133:BM133"/>
    <mergeCell ref="BN133:BV133"/>
    <mergeCell ref="AJ133:AK133"/>
    <mergeCell ref="AL133:AM133"/>
    <mergeCell ref="AN133:AO133"/>
    <mergeCell ref="AP133:AQ133"/>
    <mergeCell ref="AR133:AS133"/>
    <mergeCell ref="AT133:AU133"/>
    <mergeCell ref="AV133:AW133"/>
    <mergeCell ref="B133:C133"/>
    <mergeCell ref="D133:E133"/>
    <mergeCell ref="F133:G133"/>
    <mergeCell ref="H133:I133"/>
    <mergeCell ref="J133:K133"/>
    <mergeCell ref="L133:M133"/>
    <mergeCell ref="P133:Q133"/>
    <mergeCell ref="AX134:AZ134"/>
    <mergeCell ref="BA134:BB134"/>
    <mergeCell ref="BD134:BE134"/>
    <mergeCell ref="BF134:BI134"/>
    <mergeCell ref="BJ134:BM134"/>
    <mergeCell ref="BN134:BV134"/>
    <mergeCell ref="BJ135:BM135"/>
    <mergeCell ref="BN135:BV135"/>
    <mergeCell ref="B135:C135"/>
    <mergeCell ref="D135:E135"/>
    <mergeCell ref="F135:G135"/>
    <mergeCell ref="H135:I135"/>
    <mergeCell ref="J135:K135"/>
    <mergeCell ref="L135:M135"/>
    <mergeCell ref="P135:Q135"/>
    <mergeCell ref="AJ134:AK134"/>
    <mergeCell ref="AL134:AM134"/>
    <mergeCell ref="AN134:AO134"/>
    <mergeCell ref="AP134:AQ134"/>
    <mergeCell ref="AR134:AS134"/>
    <mergeCell ref="AT134:AU134"/>
    <mergeCell ref="AV134:AW134"/>
    <mergeCell ref="R134:S134"/>
    <mergeCell ref="T134:U134"/>
    <mergeCell ref="V134:W134"/>
    <mergeCell ref="X134:AA134"/>
    <mergeCell ref="AB134:AE134"/>
    <mergeCell ref="AF134:AG134"/>
    <mergeCell ref="AH134:AI134"/>
    <mergeCell ref="B134:C134"/>
    <mergeCell ref="D134:E134"/>
    <mergeCell ref="F134:G134"/>
    <mergeCell ref="H134:I134"/>
    <mergeCell ref="J134:K134"/>
    <mergeCell ref="L134:M134"/>
    <mergeCell ref="P134:Q134"/>
    <mergeCell ref="BD135:BE135"/>
    <mergeCell ref="BF135:BI135"/>
    <mergeCell ref="AN135:AO135"/>
    <mergeCell ref="AP135:AQ135"/>
    <mergeCell ref="AR135:AS135"/>
    <mergeCell ref="AT135:AU135"/>
    <mergeCell ref="AV135:AW135"/>
    <mergeCell ref="AX135:AZ135"/>
    <mergeCell ref="BA135:BB135"/>
    <mergeCell ref="R133:S133"/>
    <mergeCell ref="T133:U133"/>
    <mergeCell ref="V133:W133"/>
    <mergeCell ref="BJ141:BM141"/>
    <mergeCell ref="BN141:BV141"/>
    <mergeCell ref="R141:S141"/>
    <mergeCell ref="T141:U141"/>
    <mergeCell ref="V141:W141"/>
    <mergeCell ref="X141:AA141"/>
    <mergeCell ref="AB141:AE141"/>
    <mergeCell ref="AF141:AG141"/>
    <mergeCell ref="AH141:AI141"/>
    <mergeCell ref="AJ144:AK144"/>
    <mergeCell ref="AL144:AM144"/>
    <mergeCell ref="R144:S144"/>
    <mergeCell ref="T144:U144"/>
    <mergeCell ref="V144:W144"/>
    <mergeCell ref="X144:AA144"/>
    <mergeCell ref="AB144:AE144"/>
    <mergeCell ref="AF144:AG144"/>
    <mergeCell ref="AH144:AI144"/>
    <mergeCell ref="R145:S145"/>
    <mergeCell ref="T145:U145"/>
    <mergeCell ref="V145:W145"/>
    <mergeCell ref="X145:AA145"/>
    <mergeCell ref="AB145:AE145"/>
    <mergeCell ref="AF145:AG145"/>
    <mergeCell ref="AH145:AI145"/>
    <mergeCell ref="AX145:AZ145"/>
    <mergeCell ref="BA145:BB145"/>
    <mergeCell ref="BD145:BE145"/>
    <mergeCell ref="BF145:BI145"/>
    <mergeCell ref="BJ145:BM145"/>
    <mergeCell ref="BN145:BV145"/>
    <mergeCell ref="BJ143:BM143"/>
    <mergeCell ref="BN143:BV143"/>
    <mergeCell ref="BJ144:BM144"/>
    <mergeCell ref="BN144:BV144"/>
    <mergeCell ref="BJ146:BM146"/>
    <mergeCell ref="BN146:BV146"/>
    <mergeCell ref="B145:C145"/>
    <mergeCell ref="D145:E145"/>
    <mergeCell ref="F145:G145"/>
    <mergeCell ref="H145:I145"/>
    <mergeCell ref="J145:K145"/>
    <mergeCell ref="L145:M145"/>
    <mergeCell ref="P145:Q145"/>
    <mergeCell ref="B146:C146"/>
    <mergeCell ref="D146:E146"/>
    <mergeCell ref="F146:G146"/>
    <mergeCell ref="H146:I146"/>
    <mergeCell ref="J146:K146"/>
    <mergeCell ref="L146:M146"/>
    <mergeCell ref="P146:Q146"/>
    <mergeCell ref="AJ145:AK145"/>
    <mergeCell ref="AL145:AM145"/>
    <mergeCell ref="AN145:AO145"/>
    <mergeCell ref="AP145:AQ145"/>
    <mergeCell ref="AR145:AS145"/>
    <mergeCell ref="AT145:AU145"/>
    <mergeCell ref="AV145:AW145"/>
    <mergeCell ref="BD148:BE148"/>
    <mergeCell ref="BF148:BI148"/>
    <mergeCell ref="AN148:AO148"/>
    <mergeCell ref="AP148:AQ148"/>
    <mergeCell ref="AR148:AS148"/>
    <mergeCell ref="AT148:AU148"/>
    <mergeCell ref="AV148:AW148"/>
    <mergeCell ref="AX148:AZ148"/>
    <mergeCell ref="BA148:BB148"/>
    <mergeCell ref="AJ146:AK146"/>
    <mergeCell ref="AL146:AM146"/>
    <mergeCell ref="R146:S146"/>
    <mergeCell ref="T146:U146"/>
    <mergeCell ref="V146:W146"/>
    <mergeCell ref="X146:AA146"/>
    <mergeCell ref="AB146:AE146"/>
    <mergeCell ref="AF146:AG146"/>
    <mergeCell ref="AH146:AI146"/>
    <mergeCell ref="R147:S147"/>
    <mergeCell ref="T147:U147"/>
    <mergeCell ref="V147:W147"/>
    <mergeCell ref="X147:AA147"/>
    <mergeCell ref="AB147:AE147"/>
    <mergeCell ref="AF147:AG147"/>
    <mergeCell ref="AH147:AI147"/>
    <mergeCell ref="AX147:AZ147"/>
    <mergeCell ref="BA147:BB147"/>
    <mergeCell ref="BD147:BE147"/>
    <mergeCell ref="BF147:BI147"/>
    <mergeCell ref="BJ147:BM147"/>
    <mergeCell ref="BN147:BV147"/>
    <mergeCell ref="BJ148:BM148"/>
    <mergeCell ref="BN148:BV148"/>
    <mergeCell ref="B147:C147"/>
    <mergeCell ref="D147:E147"/>
    <mergeCell ref="F147:G147"/>
    <mergeCell ref="H147:I147"/>
    <mergeCell ref="J147:K147"/>
    <mergeCell ref="L147:M147"/>
    <mergeCell ref="P147:Q147"/>
    <mergeCell ref="B148:C148"/>
    <mergeCell ref="D148:E148"/>
    <mergeCell ref="F148:G148"/>
    <mergeCell ref="H148:I148"/>
    <mergeCell ref="J148:K148"/>
    <mergeCell ref="L148:M148"/>
    <mergeCell ref="P148:Q148"/>
    <mergeCell ref="AJ147:AK147"/>
    <mergeCell ref="AL147:AM147"/>
    <mergeCell ref="AN147:AO147"/>
    <mergeCell ref="AP147:AQ147"/>
    <mergeCell ref="AR147:AS147"/>
    <mergeCell ref="AT147:AU147"/>
    <mergeCell ref="AV147:AW147"/>
    <mergeCell ref="BD141:BE141"/>
    <mergeCell ref="BF141:BI141"/>
    <mergeCell ref="AN141:AO141"/>
    <mergeCell ref="AP141:AQ141"/>
    <mergeCell ref="AR141:AS141"/>
    <mergeCell ref="AT141:AU141"/>
    <mergeCell ref="AV141:AW141"/>
    <mergeCell ref="AX141:AZ141"/>
    <mergeCell ref="BA141:BB141"/>
    <mergeCell ref="AJ139:AK139"/>
    <mergeCell ref="AL139:AM139"/>
    <mergeCell ref="R139:S139"/>
    <mergeCell ref="T139:U139"/>
    <mergeCell ref="V139:W139"/>
    <mergeCell ref="X139:AA139"/>
    <mergeCell ref="AB139:AE139"/>
    <mergeCell ref="AF139:AG139"/>
    <mergeCell ref="AH139:AI139"/>
    <mergeCell ref="R140:S140"/>
    <mergeCell ref="T140:U140"/>
    <mergeCell ref="V140:W140"/>
    <mergeCell ref="X140:AA140"/>
    <mergeCell ref="AB140:AE140"/>
    <mergeCell ref="AF140:AG140"/>
    <mergeCell ref="AH140:AI140"/>
    <mergeCell ref="AX140:AZ140"/>
    <mergeCell ref="BA140:BB140"/>
    <mergeCell ref="BD140:BE140"/>
    <mergeCell ref="BF140:BI140"/>
    <mergeCell ref="BD144:BE144"/>
    <mergeCell ref="BF144:BI144"/>
    <mergeCell ref="AN144:AO144"/>
    <mergeCell ref="AP144:AQ144"/>
    <mergeCell ref="AR144:AS144"/>
    <mergeCell ref="AT144:AU144"/>
    <mergeCell ref="AV144:AW144"/>
    <mergeCell ref="AX144:AZ144"/>
    <mergeCell ref="BA144:BB144"/>
    <mergeCell ref="AX143:AZ143"/>
    <mergeCell ref="BA143:BB143"/>
    <mergeCell ref="BD143:BE143"/>
    <mergeCell ref="BF143:BI143"/>
    <mergeCell ref="AJ141:AK141"/>
    <mergeCell ref="AL141:AM141"/>
    <mergeCell ref="BJ140:BM140"/>
    <mergeCell ref="BN140:BV140"/>
    <mergeCell ref="B140:C140"/>
    <mergeCell ref="D140:E140"/>
    <mergeCell ref="F140:G140"/>
    <mergeCell ref="H140:I140"/>
    <mergeCell ref="J140:K140"/>
    <mergeCell ref="L140:M140"/>
    <mergeCell ref="P140:Q140"/>
    <mergeCell ref="AJ140:AK140"/>
    <mergeCell ref="AL140:AM140"/>
    <mergeCell ref="AN140:AO140"/>
    <mergeCell ref="AP140:AQ140"/>
    <mergeCell ref="AR140:AS140"/>
    <mergeCell ref="AT140:AU140"/>
    <mergeCell ref="AV140:AW140"/>
    <mergeCell ref="B141:C141"/>
    <mergeCell ref="D141:E141"/>
    <mergeCell ref="F141:G141"/>
    <mergeCell ref="H141:I141"/>
    <mergeCell ref="J141:K141"/>
    <mergeCell ref="L141:M141"/>
    <mergeCell ref="P141:Q141"/>
    <mergeCell ref="R143:S143"/>
    <mergeCell ref="T143:U143"/>
    <mergeCell ref="V143:W143"/>
    <mergeCell ref="X143:AA143"/>
    <mergeCell ref="AB143:AE143"/>
    <mergeCell ref="AF143:AG143"/>
    <mergeCell ref="AH143:AI143"/>
    <mergeCell ref="B143:C143"/>
    <mergeCell ref="D143:E143"/>
    <mergeCell ref="F143:G143"/>
    <mergeCell ref="H143:I143"/>
    <mergeCell ref="J143:K143"/>
    <mergeCell ref="L143:M143"/>
    <mergeCell ref="P143:Q143"/>
    <mergeCell ref="R142:S142"/>
    <mergeCell ref="T142:U142"/>
    <mergeCell ref="V142:W142"/>
    <mergeCell ref="X142:AA142"/>
    <mergeCell ref="AB142:AE142"/>
    <mergeCell ref="AF142:AG142"/>
    <mergeCell ref="AH142:AI142"/>
    <mergeCell ref="AX142:AZ142"/>
    <mergeCell ref="BA142:BB142"/>
    <mergeCell ref="BD142:BE142"/>
    <mergeCell ref="BF142:BI142"/>
    <mergeCell ref="BJ142:BM142"/>
    <mergeCell ref="BN142:BV142"/>
    <mergeCell ref="AJ142:AK142"/>
    <mergeCell ref="AL142:AM142"/>
    <mergeCell ref="AN142:AO142"/>
    <mergeCell ref="AP142:AQ142"/>
    <mergeCell ref="AR142:AS142"/>
    <mergeCell ref="AT142:AU142"/>
    <mergeCell ref="AV142:AW142"/>
    <mergeCell ref="B142:C142"/>
    <mergeCell ref="D142:E142"/>
    <mergeCell ref="F142:G142"/>
    <mergeCell ref="H142:I142"/>
    <mergeCell ref="J142:K142"/>
    <mergeCell ref="L142:M142"/>
    <mergeCell ref="P142:Q142"/>
    <mergeCell ref="B144:C144"/>
    <mergeCell ref="D144:E144"/>
    <mergeCell ref="F144:G144"/>
    <mergeCell ref="H144:I144"/>
    <mergeCell ref="J144:K144"/>
    <mergeCell ref="L144:M144"/>
    <mergeCell ref="P144:Q144"/>
    <mergeCell ref="AJ143:AK143"/>
    <mergeCell ref="AL143:AM143"/>
    <mergeCell ref="AN143:AO143"/>
    <mergeCell ref="AP143:AQ143"/>
    <mergeCell ref="AR143:AS143"/>
    <mergeCell ref="AT143:AU143"/>
    <mergeCell ref="AV143:AW143"/>
    <mergeCell ref="BD146:BE146"/>
    <mergeCell ref="BF146:BI146"/>
    <mergeCell ref="AN146:AO146"/>
    <mergeCell ref="AP146:AQ146"/>
    <mergeCell ref="AR146:AS146"/>
    <mergeCell ref="AT146:AU146"/>
    <mergeCell ref="AV146:AW146"/>
    <mergeCell ref="AX146:AZ146"/>
    <mergeCell ref="BA146:BB146"/>
    <mergeCell ref="AJ150:AK150"/>
    <mergeCell ref="AL150:AM150"/>
    <mergeCell ref="BJ150:BM150"/>
    <mergeCell ref="BN150:BV150"/>
    <mergeCell ref="R150:S150"/>
    <mergeCell ref="T150:U150"/>
    <mergeCell ref="V150:W150"/>
    <mergeCell ref="X150:AA150"/>
    <mergeCell ref="AB150:AE150"/>
    <mergeCell ref="AF150:AG150"/>
    <mergeCell ref="AH150:AI150"/>
    <mergeCell ref="BD150:BE150"/>
    <mergeCell ref="BF150:BI150"/>
    <mergeCell ref="AN150:AO150"/>
    <mergeCell ref="AP150:AQ150"/>
    <mergeCell ref="AR150:AS150"/>
    <mergeCell ref="AT150:AU150"/>
    <mergeCell ref="AV150:AW150"/>
    <mergeCell ref="AX150:AZ150"/>
    <mergeCell ref="BA150:BB150"/>
    <mergeCell ref="AJ148:AK148"/>
    <mergeCell ref="AL148:AM148"/>
    <mergeCell ref="R148:S148"/>
    <mergeCell ref="T148:U148"/>
    <mergeCell ref="V148:W148"/>
    <mergeCell ref="X148:AA148"/>
    <mergeCell ref="AB148:AE148"/>
    <mergeCell ref="AF148:AG148"/>
    <mergeCell ref="AH148:AI148"/>
    <mergeCell ref="R149:S149"/>
    <mergeCell ref="T149:U149"/>
    <mergeCell ref="V149:W149"/>
    <mergeCell ref="X149:AA149"/>
    <mergeCell ref="AB149:AE149"/>
    <mergeCell ref="AF149:AG149"/>
    <mergeCell ref="AH149:AI149"/>
    <mergeCell ref="AX149:AZ149"/>
    <mergeCell ref="BA149:BB149"/>
    <mergeCell ref="BD149:BE149"/>
    <mergeCell ref="BF149:BI149"/>
    <mergeCell ref="BJ149:BM149"/>
    <mergeCell ref="BJ154:BM154"/>
    <mergeCell ref="BN154:BV154"/>
    <mergeCell ref="BJ155:BM155"/>
    <mergeCell ref="BN155:BV155"/>
    <mergeCell ref="B154:C154"/>
    <mergeCell ref="D154:E154"/>
    <mergeCell ref="F154:G154"/>
    <mergeCell ref="H154:I154"/>
    <mergeCell ref="J154:K154"/>
    <mergeCell ref="L154:M154"/>
    <mergeCell ref="P154:Q154"/>
    <mergeCell ref="B155:C155"/>
    <mergeCell ref="D155:E155"/>
    <mergeCell ref="F155:G155"/>
    <mergeCell ref="H155:I155"/>
    <mergeCell ref="J155:K155"/>
    <mergeCell ref="L155:M155"/>
    <mergeCell ref="P155:Q155"/>
    <mergeCell ref="AJ154:AK154"/>
    <mergeCell ref="AL154:AM154"/>
    <mergeCell ref="AN154:AO154"/>
    <mergeCell ref="AP154:AQ154"/>
    <mergeCell ref="AR154:AS154"/>
    <mergeCell ref="AT154:AU154"/>
    <mergeCell ref="AV154:AW154"/>
    <mergeCell ref="AJ155:AK155"/>
    <mergeCell ref="AL155:AM155"/>
    <mergeCell ref="R155:S155"/>
    <mergeCell ref="T155:U155"/>
    <mergeCell ref="V155:W155"/>
    <mergeCell ref="X155:AA155"/>
    <mergeCell ref="AB155:AE155"/>
    <mergeCell ref="AF155:AG155"/>
    <mergeCell ref="AH155:AI155"/>
    <mergeCell ref="D157:E157"/>
    <mergeCell ref="F157:G157"/>
    <mergeCell ref="H157:I157"/>
    <mergeCell ref="J157:K157"/>
    <mergeCell ref="L157:M157"/>
    <mergeCell ref="P157:Q157"/>
    <mergeCell ref="AJ156:AK156"/>
    <mergeCell ref="AL156:AM156"/>
    <mergeCell ref="AN156:AO156"/>
    <mergeCell ref="AP156:AQ156"/>
    <mergeCell ref="AR156:AS156"/>
    <mergeCell ref="AT156:AU156"/>
    <mergeCell ref="AV156:AW156"/>
    <mergeCell ref="AJ153:AK153"/>
    <mergeCell ref="AL153:AM153"/>
    <mergeCell ref="R153:S153"/>
    <mergeCell ref="T153:U153"/>
    <mergeCell ref="V153:W153"/>
    <mergeCell ref="X153:AA153"/>
    <mergeCell ref="AB153:AE153"/>
    <mergeCell ref="AF153:AG153"/>
    <mergeCell ref="AH153:AI153"/>
    <mergeCell ref="R154:S154"/>
    <mergeCell ref="T154:U154"/>
    <mergeCell ref="V154:W154"/>
    <mergeCell ref="X154:AA154"/>
    <mergeCell ref="AB154:AE154"/>
    <mergeCell ref="AF154:AG154"/>
    <mergeCell ref="AH154:AI154"/>
    <mergeCell ref="AX154:AZ154"/>
    <mergeCell ref="BA154:BB154"/>
    <mergeCell ref="BD154:BE154"/>
    <mergeCell ref="BF154:BI154"/>
    <mergeCell ref="BD153:BE153"/>
    <mergeCell ref="BF153:BI153"/>
    <mergeCell ref="AN153:AO153"/>
    <mergeCell ref="AP153:AQ153"/>
    <mergeCell ref="AR153:AS153"/>
    <mergeCell ref="AT153:AU153"/>
    <mergeCell ref="AV153:AW153"/>
    <mergeCell ref="AX153:AZ153"/>
    <mergeCell ref="BA153:BB153"/>
    <mergeCell ref="BD157:BE157"/>
    <mergeCell ref="BF157:BI157"/>
    <mergeCell ref="AN157:AO157"/>
    <mergeCell ref="AP157:AQ157"/>
    <mergeCell ref="AR157:AS157"/>
    <mergeCell ref="AT157:AU157"/>
    <mergeCell ref="AV157:AW157"/>
    <mergeCell ref="AX157:AZ157"/>
    <mergeCell ref="BA157:BB157"/>
    <mergeCell ref="BN149:BV149"/>
    <mergeCell ref="B149:C149"/>
    <mergeCell ref="D149:E149"/>
    <mergeCell ref="F149:G149"/>
    <mergeCell ref="H149:I149"/>
    <mergeCell ref="J149:K149"/>
    <mergeCell ref="L149:M149"/>
    <mergeCell ref="P149:Q149"/>
    <mergeCell ref="AJ149:AK149"/>
    <mergeCell ref="AL149:AM149"/>
    <mergeCell ref="AN149:AO149"/>
    <mergeCell ref="AP149:AQ149"/>
    <mergeCell ref="AR149:AS149"/>
    <mergeCell ref="AT149:AU149"/>
    <mergeCell ref="AV149:AW149"/>
    <mergeCell ref="B150:C150"/>
    <mergeCell ref="D150:E150"/>
    <mergeCell ref="F150:G150"/>
    <mergeCell ref="H150:I150"/>
    <mergeCell ref="J150:K150"/>
    <mergeCell ref="L150:M150"/>
    <mergeCell ref="P150:Q150"/>
    <mergeCell ref="R152:S152"/>
    <mergeCell ref="T152:U152"/>
    <mergeCell ref="V152:W152"/>
    <mergeCell ref="X152:AA152"/>
    <mergeCell ref="AB152:AE152"/>
    <mergeCell ref="AF152:AG152"/>
    <mergeCell ref="AH152:AI152"/>
    <mergeCell ref="B152:C152"/>
    <mergeCell ref="D152:E152"/>
    <mergeCell ref="F152:G152"/>
    <mergeCell ref="H152:I152"/>
    <mergeCell ref="J152:K152"/>
    <mergeCell ref="L152:M152"/>
    <mergeCell ref="P152:Q152"/>
    <mergeCell ref="R151:S151"/>
    <mergeCell ref="T151:U151"/>
    <mergeCell ref="V151:W151"/>
    <mergeCell ref="X151:AA151"/>
    <mergeCell ref="AB151:AE151"/>
    <mergeCell ref="AF151:AG151"/>
    <mergeCell ref="AH151:AI151"/>
    <mergeCell ref="AX151:AZ151"/>
    <mergeCell ref="BA151:BB151"/>
    <mergeCell ref="BD151:BE151"/>
    <mergeCell ref="BF151:BI151"/>
    <mergeCell ref="BJ151:BM151"/>
    <mergeCell ref="BN151:BV151"/>
    <mergeCell ref="AJ151:AK151"/>
    <mergeCell ref="AL151:AM151"/>
    <mergeCell ref="AN151:AO151"/>
    <mergeCell ref="AP151:AQ151"/>
    <mergeCell ref="AR151:AS151"/>
    <mergeCell ref="AT151:AU151"/>
    <mergeCell ref="AV151:AW151"/>
    <mergeCell ref="B151:C151"/>
    <mergeCell ref="D151:E151"/>
    <mergeCell ref="F151:G151"/>
    <mergeCell ref="H151:I151"/>
    <mergeCell ref="J151:K151"/>
    <mergeCell ref="L151:M151"/>
    <mergeCell ref="P151:Q151"/>
    <mergeCell ref="AX152:AZ152"/>
    <mergeCell ref="BA152:BB152"/>
    <mergeCell ref="BD152:BE152"/>
    <mergeCell ref="BF152:BI152"/>
    <mergeCell ref="BJ152:BM152"/>
    <mergeCell ref="BN152:BV152"/>
    <mergeCell ref="BJ153:BM153"/>
    <mergeCell ref="BN153:BV153"/>
    <mergeCell ref="B153:C153"/>
    <mergeCell ref="D153:E153"/>
    <mergeCell ref="F153:G153"/>
    <mergeCell ref="H153:I153"/>
    <mergeCell ref="J153:K153"/>
    <mergeCell ref="L153:M153"/>
    <mergeCell ref="P153:Q153"/>
    <mergeCell ref="AJ152:AK152"/>
    <mergeCell ref="AL152:AM152"/>
    <mergeCell ref="AN152:AO152"/>
    <mergeCell ref="AP152:AQ152"/>
    <mergeCell ref="AR152:AS152"/>
    <mergeCell ref="AT152:AU152"/>
    <mergeCell ref="AV152:AW152"/>
    <mergeCell ref="BD155:BE155"/>
    <mergeCell ref="BF155:BI155"/>
    <mergeCell ref="AN155:AO155"/>
    <mergeCell ref="AP155:AQ155"/>
    <mergeCell ref="AR155:AS155"/>
    <mergeCell ref="AT155:AU155"/>
    <mergeCell ref="AV155:AW155"/>
    <mergeCell ref="AX155:AZ155"/>
    <mergeCell ref="BA155:BB155"/>
    <mergeCell ref="AJ159:AK159"/>
    <mergeCell ref="AL159:AM159"/>
    <mergeCell ref="BJ159:BM159"/>
    <mergeCell ref="BN159:BV159"/>
    <mergeCell ref="R159:S159"/>
    <mergeCell ref="T159:U159"/>
    <mergeCell ref="V159:W159"/>
    <mergeCell ref="X159:AA159"/>
    <mergeCell ref="AB159:AE159"/>
    <mergeCell ref="AF159:AG159"/>
    <mergeCell ref="AH159:AI159"/>
    <mergeCell ref="R156:S156"/>
    <mergeCell ref="T156:U156"/>
    <mergeCell ref="V156:W156"/>
    <mergeCell ref="X156:AA156"/>
    <mergeCell ref="AB156:AE156"/>
    <mergeCell ref="AF156:AG156"/>
    <mergeCell ref="AH156:AI156"/>
    <mergeCell ref="AX156:AZ156"/>
    <mergeCell ref="BA156:BB156"/>
    <mergeCell ref="BD156:BE156"/>
    <mergeCell ref="BF156:BI156"/>
    <mergeCell ref="BJ156:BM156"/>
    <mergeCell ref="BN156:BV156"/>
    <mergeCell ref="BJ157:BM157"/>
    <mergeCell ref="BN157:BV157"/>
    <mergeCell ref="B156:C156"/>
    <mergeCell ref="D156:E156"/>
    <mergeCell ref="F156:G156"/>
    <mergeCell ref="H156:I156"/>
    <mergeCell ref="J156:K156"/>
    <mergeCell ref="L156:M156"/>
    <mergeCell ref="P156:Q156"/>
    <mergeCell ref="B157:C157"/>
    <mergeCell ref="V238:W238"/>
    <mergeCell ref="X238:AA238"/>
    <mergeCell ref="AB238:AE238"/>
    <mergeCell ref="AF238:AG238"/>
    <mergeCell ref="AH238:AI238"/>
    <mergeCell ref="AJ238:AK238"/>
    <mergeCell ref="AL238:AM238"/>
    <mergeCell ref="BD238:BE238"/>
    <mergeCell ref="BF238:BI238"/>
    <mergeCell ref="BJ238:BM238"/>
    <mergeCell ref="BN238:BV238"/>
    <mergeCell ref="AN238:AO238"/>
    <mergeCell ref="AP238:AQ238"/>
    <mergeCell ref="AR238:AS238"/>
    <mergeCell ref="AT238:AU238"/>
    <mergeCell ref="AV238:AW238"/>
    <mergeCell ref="AX238:AZ238"/>
    <mergeCell ref="BA238:BB238"/>
    <mergeCell ref="B238:C238"/>
    <mergeCell ref="D238:E238"/>
    <mergeCell ref="F238:G238"/>
    <mergeCell ref="H238:I238"/>
    <mergeCell ref="P238:Q238"/>
    <mergeCell ref="R238:S238"/>
    <mergeCell ref="T238:U238"/>
    <mergeCell ref="B239:C239"/>
    <mergeCell ref="D239:E239"/>
    <mergeCell ref="F239:G239"/>
    <mergeCell ref="H239:I239"/>
    <mergeCell ref="J239:K239"/>
    <mergeCell ref="L239:M239"/>
    <mergeCell ref="P239:Q239"/>
    <mergeCell ref="AX239:AZ239"/>
    <mergeCell ref="BA239:BB239"/>
    <mergeCell ref="BD239:BE239"/>
    <mergeCell ref="BF239:BI239"/>
    <mergeCell ref="BJ239:BM239"/>
    <mergeCell ref="BN239:BV239"/>
    <mergeCell ref="AN239:AO239"/>
    <mergeCell ref="AP239:AQ239"/>
    <mergeCell ref="AR239:AS239"/>
    <mergeCell ref="AT239:AU239"/>
    <mergeCell ref="AV239:AW239"/>
    <mergeCell ref="R239:S239"/>
    <mergeCell ref="T239:U239"/>
    <mergeCell ref="V239:W239"/>
    <mergeCell ref="X239:AA239"/>
    <mergeCell ref="AB239:AE239"/>
    <mergeCell ref="AF239:AG239"/>
    <mergeCell ref="AH239:AI239"/>
    <mergeCell ref="AJ239:AK239"/>
    <mergeCell ref="AL239:AM239"/>
    <mergeCell ref="V240:W240"/>
    <mergeCell ref="X240:AA240"/>
    <mergeCell ref="AB240:AE240"/>
    <mergeCell ref="AF240:AG240"/>
    <mergeCell ref="AH240:AI240"/>
    <mergeCell ref="AJ240:AK240"/>
    <mergeCell ref="AL240:AM240"/>
    <mergeCell ref="BD240:BE240"/>
    <mergeCell ref="BF240:BI240"/>
    <mergeCell ref="BJ240:BM240"/>
    <mergeCell ref="BN240:BV240"/>
    <mergeCell ref="AN240:AO240"/>
    <mergeCell ref="AP240:AQ240"/>
    <mergeCell ref="AR240:AS240"/>
    <mergeCell ref="AT240:AU240"/>
    <mergeCell ref="AV240:AW240"/>
    <mergeCell ref="AX240:AZ240"/>
    <mergeCell ref="BA240:BB240"/>
    <mergeCell ref="B240:C240"/>
    <mergeCell ref="D240:E240"/>
    <mergeCell ref="F240:G240"/>
    <mergeCell ref="H240:I240"/>
    <mergeCell ref="P240:Q240"/>
    <mergeCell ref="R240:S240"/>
    <mergeCell ref="T240:U240"/>
    <mergeCell ref="B241:C241"/>
    <mergeCell ref="D241:E241"/>
    <mergeCell ref="F241:G241"/>
    <mergeCell ref="H241:I241"/>
    <mergeCell ref="J241:K241"/>
    <mergeCell ref="L241:M241"/>
    <mergeCell ref="P241:Q241"/>
    <mergeCell ref="AX241:AZ241"/>
    <mergeCell ref="BA241:BB241"/>
    <mergeCell ref="BD241:BE241"/>
    <mergeCell ref="BF241:BI241"/>
    <mergeCell ref="BJ241:BM241"/>
    <mergeCell ref="BN241:BV241"/>
    <mergeCell ref="AN241:AO241"/>
    <mergeCell ref="AP241:AQ241"/>
    <mergeCell ref="AR241:AS241"/>
    <mergeCell ref="AT241:AU241"/>
    <mergeCell ref="AV241:AW241"/>
    <mergeCell ref="R241:S241"/>
    <mergeCell ref="T241:U241"/>
    <mergeCell ref="V241:W241"/>
    <mergeCell ref="X241:AA241"/>
    <mergeCell ref="AB241:AE241"/>
    <mergeCell ref="AF241:AG241"/>
    <mergeCell ref="AH241:AI241"/>
    <mergeCell ref="AJ241:AK241"/>
    <mergeCell ref="AL241:AM241"/>
    <mergeCell ref="V242:W242"/>
    <mergeCell ref="X242:AA242"/>
    <mergeCell ref="AB242:AE242"/>
    <mergeCell ref="AF242:AG242"/>
    <mergeCell ref="AH242:AI242"/>
    <mergeCell ref="AJ242:AK242"/>
    <mergeCell ref="AL242:AM242"/>
    <mergeCell ref="BD242:BE242"/>
    <mergeCell ref="BF242:BI242"/>
    <mergeCell ref="BJ242:BM242"/>
    <mergeCell ref="BN242:BV242"/>
    <mergeCell ref="AN242:AO242"/>
    <mergeCell ref="AP242:AQ242"/>
    <mergeCell ref="AR242:AS242"/>
    <mergeCell ref="AT242:AU242"/>
    <mergeCell ref="AV242:AW242"/>
    <mergeCell ref="AX242:AZ242"/>
    <mergeCell ref="BA242:BB242"/>
    <mergeCell ref="B242:C242"/>
    <mergeCell ref="D242:E242"/>
    <mergeCell ref="F242:G242"/>
    <mergeCell ref="H242:I242"/>
    <mergeCell ref="P242:Q242"/>
    <mergeCell ref="R242:S242"/>
    <mergeCell ref="T242:U242"/>
    <mergeCell ref="B243:C243"/>
    <mergeCell ref="D243:E243"/>
    <mergeCell ref="F243:G243"/>
    <mergeCell ref="H243:I243"/>
    <mergeCell ref="J243:K243"/>
    <mergeCell ref="L243:M243"/>
    <mergeCell ref="P243:Q243"/>
    <mergeCell ref="AX243:AZ243"/>
    <mergeCell ref="BA243:BB243"/>
    <mergeCell ref="BD243:BE243"/>
    <mergeCell ref="BF243:BI243"/>
    <mergeCell ref="BJ243:BM243"/>
    <mergeCell ref="BN243:BV243"/>
    <mergeCell ref="AN243:AO243"/>
    <mergeCell ref="AP243:AQ243"/>
    <mergeCell ref="AR243:AS243"/>
    <mergeCell ref="AT243:AU243"/>
    <mergeCell ref="AV243:AW243"/>
    <mergeCell ref="R243:S243"/>
    <mergeCell ref="T243:U243"/>
    <mergeCell ref="V243:W243"/>
    <mergeCell ref="X243:AA243"/>
    <mergeCell ref="AB243:AE243"/>
    <mergeCell ref="AF243:AG243"/>
    <mergeCell ref="AH243:AI243"/>
    <mergeCell ref="AJ243:AK243"/>
    <mergeCell ref="AL243:AM243"/>
    <mergeCell ref="V244:W244"/>
    <mergeCell ref="X244:AA244"/>
    <mergeCell ref="AB244:AE244"/>
    <mergeCell ref="AF244:AG244"/>
    <mergeCell ref="AH244:AI244"/>
    <mergeCell ref="AJ244:AK244"/>
    <mergeCell ref="AL244:AM244"/>
    <mergeCell ref="BD244:BE244"/>
    <mergeCell ref="BF244:BI244"/>
    <mergeCell ref="BJ244:BM244"/>
    <mergeCell ref="BN244:BV244"/>
    <mergeCell ref="AN244:AO244"/>
    <mergeCell ref="AP244:AQ244"/>
    <mergeCell ref="AR244:AS244"/>
    <mergeCell ref="AT244:AU244"/>
    <mergeCell ref="AV244:AW244"/>
    <mergeCell ref="AX244:AZ244"/>
    <mergeCell ref="BA244:BB244"/>
    <mergeCell ref="B244:C244"/>
    <mergeCell ref="D244:E244"/>
    <mergeCell ref="F244:G244"/>
    <mergeCell ref="H244:I244"/>
    <mergeCell ref="P244:Q244"/>
    <mergeCell ref="R244:S244"/>
    <mergeCell ref="T244:U244"/>
    <mergeCell ref="B245:C245"/>
    <mergeCell ref="D245:E245"/>
    <mergeCell ref="F245:G245"/>
    <mergeCell ref="H245:I245"/>
    <mergeCell ref="J245:K245"/>
    <mergeCell ref="L245:M245"/>
    <mergeCell ref="P245:Q245"/>
    <mergeCell ref="AX245:AZ245"/>
    <mergeCell ref="BA245:BB245"/>
    <mergeCell ref="BD245:BE245"/>
    <mergeCell ref="BF245:BI245"/>
    <mergeCell ref="BJ245:BM245"/>
    <mergeCell ref="BN245:BV245"/>
    <mergeCell ref="AN245:AO245"/>
    <mergeCell ref="AP245:AQ245"/>
    <mergeCell ref="AR245:AS245"/>
    <mergeCell ref="AT245:AU245"/>
    <mergeCell ref="AV245:AW245"/>
    <mergeCell ref="R245:S245"/>
    <mergeCell ref="T245:U245"/>
    <mergeCell ref="V245:W245"/>
    <mergeCell ref="X245:AA245"/>
    <mergeCell ref="AB245:AE245"/>
    <mergeCell ref="AF245:AG245"/>
    <mergeCell ref="AH245:AI245"/>
    <mergeCell ref="AJ245:AK245"/>
    <mergeCell ref="AL245:AM245"/>
    <mergeCell ref="V246:W246"/>
    <mergeCell ref="X246:AA246"/>
    <mergeCell ref="AB246:AE246"/>
    <mergeCell ref="AF246:AG246"/>
    <mergeCell ref="AH246:AI246"/>
    <mergeCell ref="AJ246:AK246"/>
    <mergeCell ref="AL246:AM246"/>
    <mergeCell ref="BD246:BE246"/>
    <mergeCell ref="BF246:BI246"/>
    <mergeCell ref="BJ246:BM246"/>
    <mergeCell ref="BN246:BV246"/>
    <mergeCell ref="AN246:AO246"/>
    <mergeCell ref="AP246:AQ246"/>
    <mergeCell ref="AR246:AS246"/>
    <mergeCell ref="AT246:AU246"/>
    <mergeCell ref="AV246:AW246"/>
    <mergeCell ref="AX246:AZ246"/>
    <mergeCell ref="BA246:BB246"/>
    <mergeCell ref="B246:C246"/>
    <mergeCell ref="D246:E246"/>
    <mergeCell ref="F246:G246"/>
    <mergeCell ref="H246:I246"/>
    <mergeCell ref="P246:Q246"/>
    <mergeCell ref="R246:S246"/>
    <mergeCell ref="T246:U246"/>
    <mergeCell ref="B247:C247"/>
    <mergeCell ref="D247:E247"/>
    <mergeCell ref="F247:G247"/>
    <mergeCell ref="H247:I247"/>
    <mergeCell ref="J247:K247"/>
    <mergeCell ref="L247:M247"/>
    <mergeCell ref="P247:Q247"/>
    <mergeCell ref="AX247:AZ247"/>
    <mergeCell ref="BA247:BB247"/>
    <mergeCell ref="BD247:BE247"/>
    <mergeCell ref="BF247:BI247"/>
    <mergeCell ref="BJ247:BM247"/>
    <mergeCell ref="BN247:BV247"/>
    <mergeCell ref="AN247:AO247"/>
    <mergeCell ref="AP247:AQ247"/>
    <mergeCell ref="AR247:AS247"/>
    <mergeCell ref="AT247:AU247"/>
    <mergeCell ref="AV247:AW247"/>
    <mergeCell ref="R247:S247"/>
    <mergeCell ref="T247:U247"/>
    <mergeCell ref="V247:W247"/>
    <mergeCell ref="X247:AA247"/>
    <mergeCell ref="AB247:AE247"/>
    <mergeCell ref="AF247:AG247"/>
    <mergeCell ref="AH247:AI247"/>
    <mergeCell ref="AJ247:AK247"/>
    <mergeCell ref="AL247:AM247"/>
    <mergeCell ref="V248:W248"/>
    <mergeCell ref="X248:AA248"/>
    <mergeCell ref="AB248:AE248"/>
    <mergeCell ref="AF248:AG248"/>
    <mergeCell ref="AH248:AI248"/>
    <mergeCell ref="AJ248:AK248"/>
    <mergeCell ref="AL248:AM248"/>
    <mergeCell ref="BD248:BE248"/>
    <mergeCell ref="BF248:BI248"/>
    <mergeCell ref="BJ248:BM248"/>
    <mergeCell ref="BN248:BV248"/>
    <mergeCell ref="AN248:AO248"/>
    <mergeCell ref="AP248:AQ248"/>
    <mergeCell ref="AR248:AS248"/>
    <mergeCell ref="AT248:AU248"/>
    <mergeCell ref="AV248:AW248"/>
    <mergeCell ref="AX248:AZ248"/>
    <mergeCell ref="BA248:BB248"/>
    <mergeCell ref="B248:C248"/>
    <mergeCell ref="D248:E248"/>
    <mergeCell ref="F248:G248"/>
    <mergeCell ref="H248:I248"/>
    <mergeCell ref="P248:Q248"/>
    <mergeCell ref="R248:S248"/>
    <mergeCell ref="T248:U248"/>
    <mergeCell ref="B249:C249"/>
    <mergeCell ref="D249:E249"/>
    <mergeCell ref="F249:G249"/>
    <mergeCell ref="H249:I249"/>
    <mergeCell ref="J249:K249"/>
    <mergeCell ref="L249:M249"/>
    <mergeCell ref="P249:Q249"/>
    <mergeCell ref="AX249:AZ249"/>
    <mergeCell ref="BA249:BB249"/>
    <mergeCell ref="BD249:BE249"/>
    <mergeCell ref="BF249:BI249"/>
    <mergeCell ref="BJ249:BM249"/>
    <mergeCell ref="BN249:BV249"/>
    <mergeCell ref="AN249:AO249"/>
    <mergeCell ref="AP249:AQ249"/>
    <mergeCell ref="AR249:AS249"/>
    <mergeCell ref="AT249:AU249"/>
    <mergeCell ref="AV249:AW249"/>
    <mergeCell ref="R249:S249"/>
    <mergeCell ref="T249:U249"/>
    <mergeCell ref="V249:W249"/>
    <mergeCell ref="X249:AA249"/>
    <mergeCell ref="AB249:AE249"/>
    <mergeCell ref="AF249:AG249"/>
    <mergeCell ref="AH249:AI249"/>
    <mergeCell ref="AJ249:AK249"/>
    <mergeCell ref="AL249:AM249"/>
    <mergeCell ref="V250:W250"/>
    <mergeCell ref="X250:AA250"/>
    <mergeCell ref="AB250:AE250"/>
    <mergeCell ref="AF250:AG250"/>
    <mergeCell ref="AH250:AI250"/>
    <mergeCell ref="AJ250:AK250"/>
    <mergeCell ref="AL250:AM250"/>
    <mergeCell ref="BD250:BE250"/>
    <mergeCell ref="BF250:BI250"/>
    <mergeCell ref="BJ250:BM250"/>
    <mergeCell ref="BN250:BV250"/>
    <mergeCell ref="AN250:AO250"/>
    <mergeCell ref="AP250:AQ250"/>
    <mergeCell ref="AR250:AS250"/>
    <mergeCell ref="AT250:AU250"/>
    <mergeCell ref="AV250:AW250"/>
    <mergeCell ref="AX250:AZ250"/>
    <mergeCell ref="BA250:BB250"/>
    <mergeCell ref="B250:C250"/>
    <mergeCell ref="D250:E250"/>
    <mergeCell ref="F250:G250"/>
    <mergeCell ref="H250:I250"/>
    <mergeCell ref="P250:Q250"/>
    <mergeCell ref="R250:S250"/>
    <mergeCell ref="T250:U250"/>
    <mergeCell ref="B251:C251"/>
    <mergeCell ref="D251:E251"/>
    <mergeCell ref="F251:G251"/>
    <mergeCell ref="H251:I251"/>
    <mergeCell ref="J251:K251"/>
    <mergeCell ref="L251:M251"/>
    <mergeCell ref="P251:Q251"/>
    <mergeCell ref="AX251:AZ251"/>
    <mergeCell ref="BA251:BB251"/>
    <mergeCell ref="BD251:BE251"/>
    <mergeCell ref="BF251:BI251"/>
    <mergeCell ref="BJ251:BM251"/>
    <mergeCell ref="BN251:BV251"/>
    <mergeCell ref="AN251:AO251"/>
    <mergeCell ref="AP251:AQ251"/>
    <mergeCell ref="AR251:AS251"/>
    <mergeCell ref="AT251:AU251"/>
    <mergeCell ref="AV251:AW251"/>
    <mergeCell ref="R251:S251"/>
    <mergeCell ref="T251:U251"/>
    <mergeCell ref="V251:W251"/>
    <mergeCell ref="X251:AA251"/>
    <mergeCell ref="AB251:AE251"/>
    <mergeCell ref="AF251:AG251"/>
    <mergeCell ref="AH251:AI251"/>
    <mergeCell ref="AJ251:AK251"/>
    <mergeCell ref="AL251:AM251"/>
    <mergeCell ref="V252:W252"/>
    <mergeCell ref="X252:AA252"/>
    <mergeCell ref="AB252:AE252"/>
    <mergeCell ref="AF252:AG252"/>
    <mergeCell ref="AH252:AI252"/>
    <mergeCell ref="AJ252:AK252"/>
    <mergeCell ref="AL252:AM252"/>
    <mergeCell ref="BD252:BE252"/>
    <mergeCell ref="BF252:BI252"/>
    <mergeCell ref="BJ252:BM252"/>
    <mergeCell ref="BN252:BV252"/>
    <mergeCell ref="AN252:AO252"/>
    <mergeCell ref="AP252:AQ252"/>
    <mergeCell ref="AR252:AS252"/>
    <mergeCell ref="AT252:AU252"/>
    <mergeCell ref="AV252:AW252"/>
    <mergeCell ref="AX252:AZ252"/>
    <mergeCell ref="BA252:BB252"/>
    <mergeCell ref="B252:C252"/>
    <mergeCell ref="D252:E252"/>
    <mergeCell ref="F252:G252"/>
    <mergeCell ref="H252:I252"/>
    <mergeCell ref="P252:Q252"/>
    <mergeCell ref="R252:S252"/>
    <mergeCell ref="T252:U252"/>
    <mergeCell ref="B253:C253"/>
    <mergeCell ref="D253:E253"/>
    <mergeCell ref="F253:G253"/>
    <mergeCell ref="H253:I253"/>
    <mergeCell ref="J253:K253"/>
    <mergeCell ref="L253:M253"/>
    <mergeCell ref="P253:Q253"/>
    <mergeCell ref="AX253:AZ253"/>
    <mergeCell ref="BA253:BB253"/>
    <mergeCell ref="BD253:BE253"/>
    <mergeCell ref="BF253:BI253"/>
    <mergeCell ref="BJ253:BM253"/>
    <mergeCell ref="BN253:BV253"/>
    <mergeCell ref="AN253:AO253"/>
    <mergeCell ref="AP253:AQ253"/>
    <mergeCell ref="AR253:AS253"/>
    <mergeCell ref="AT253:AU253"/>
    <mergeCell ref="AV253:AW253"/>
    <mergeCell ref="R253:S253"/>
    <mergeCell ref="T253:U253"/>
    <mergeCell ref="V253:W253"/>
    <mergeCell ref="X253:AA253"/>
    <mergeCell ref="AB253:AE253"/>
    <mergeCell ref="AF253:AG253"/>
    <mergeCell ref="AH253:AI253"/>
    <mergeCell ref="AJ253:AK253"/>
    <mergeCell ref="AL253:AM253"/>
    <mergeCell ref="V254:W254"/>
    <mergeCell ref="X254:AA254"/>
    <mergeCell ref="AB254:AE254"/>
    <mergeCell ref="AF254:AG254"/>
    <mergeCell ref="AH254:AI254"/>
    <mergeCell ref="AJ254:AK254"/>
    <mergeCell ref="AL254:AM254"/>
    <mergeCell ref="BD254:BE254"/>
    <mergeCell ref="BF254:BI254"/>
    <mergeCell ref="BJ254:BM254"/>
    <mergeCell ref="BN254:BV254"/>
    <mergeCell ref="AN254:AO254"/>
    <mergeCell ref="AP254:AQ254"/>
    <mergeCell ref="AR254:AS254"/>
    <mergeCell ref="AT254:AU254"/>
    <mergeCell ref="AV254:AW254"/>
    <mergeCell ref="AX254:AZ254"/>
    <mergeCell ref="BA254:BB254"/>
    <mergeCell ref="B254:C254"/>
    <mergeCell ref="D254:E254"/>
    <mergeCell ref="F254:G254"/>
    <mergeCell ref="H254:I254"/>
    <mergeCell ref="P254:Q254"/>
    <mergeCell ref="R254:S254"/>
    <mergeCell ref="T254:U254"/>
    <mergeCell ref="B255:C255"/>
    <mergeCell ref="D255:E255"/>
    <mergeCell ref="F255:G255"/>
    <mergeCell ref="H255:I255"/>
    <mergeCell ref="J255:K255"/>
    <mergeCell ref="L255:M255"/>
    <mergeCell ref="P255:Q255"/>
    <mergeCell ref="AX255:AZ255"/>
    <mergeCell ref="BA255:BB255"/>
    <mergeCell ref="BD255:BE255"/>
    <mergeCell ref="BF255:BI255"/>
    <mergeCell ref="BJ255:BM255"/>
    <mergeCell ref="BN255:BV255"/>
    <mergeCell ref="AN255:AO255"/>
    <mergeCell ref="AP255:AQ255"/>
    <mergeCell ref="AR255:AS255"/>
    <mergeCell ref="AT255:AU255"/>
    <mergeCell ref="AV255:AW255"/>
    <mergeCell ref="R255:S255"/>
    <mergeCell ref="T255:U255"/>
    <mergeCell ref="V255:W255"/>
    <mergeCell ref="X255:AA255"/>
    <mergeCell ref="AB255:AE255"/>
    <mergeCell ref="AF255:AG255"/>
    <mergeCell ref="AH255:AI255"/>
    <mergeCell ref="AJ255:AK255"/>
    <mergeCell ref="AL255:AM255"/>
    <mergeCell ref="V256:W256"/>
    <mergeCell ref="X256:AA256"/>
    <mergeCell ref="AB256:AE256"/>
    <mergeCell ref="AF256:AG256"/>
    <mergeCell ref="AH256:AI256"/>
    <mergeCell ref="AJ256:AK256"/>
    <mergeCell ref="AL256:AM256"/>
    <mergeCell ref="BD256:BE256"/>
    <mergeCell ref="BF256:BI256"/>
    <mergeCell ref="BJ256:BM256"/>
    <mergeCell ref="BN256:BV256"/>
    <mergeCell ref="AN256:AO256"/>
    <mergeCell ref="AP256:AQ256"/>
    <mergeCell ref="AR256:AS256"/>
    <mergeCell ref="AT256:AU256"/>
    <mergeCell ref="AV256:AW256"/>
    <mergeCell ref="AX256:AZ256"/>
    <mergeCell ref="BA256:BB256"/>
    <mergeCell ref="B256:C256"/>
    <mergeCell ref="D256:E256"/>
    <mergeCell ref="F256:G256"/>
    <mergeCell ref="H256:I256"/>
    <mergeCell ref="P256:Q256"/>
    <mergeCell ref="R256:S256"/>
    <mergeCell ref="T256:U256"/>
    <mergeCell ref="B257:C257"/>
    <mergeCell ref="D257:E257"/>
    <mergeCell ref="F257:G257"/>
    <mergeCell ref="H257:I257"/>
    <mergeCell ref="J257:K257"/>
    <mergeCell ref="L257:M257"/>
    <mergeCell ref="P257:Q257"/>
    <mergeCell ref="AX257:AZ257"/>
    <mergeCell ref="BA257:BB257"/>
    <mergeCell ref="BD257:BE257"/>
    <mergeCell ref="BF257:BI257"/>
    <mergeCell ref="BJ257:BM257"/>
    <mergeCell ref="BN257:BV257"/>
    <mergeCell ref="AN257:AO257"/>
    <mergeCell ref="AP257:AQ257"/>
    <mergeCell ref="AR257:AS257"/>
    <mergeCell ref="AT257:AU257"/>
    <mergeCell ref="AV257:AW257"/>
    <mergeCell ref="R257:S257"/>
    <mergeCell ref="T257:U257"/>
    <mergeCell ref="V257:W257"/>
    <mergeCell ref="X257:AA257"/>
    <mergeCell ref="AB257:AE257"/>
    <mergeCell ref="AF257:AG257"/>
    <mergeCell ref="AH257:AI257"/>
    <mergeCell ref="AJ257:AK257"/>
    <mergeCell ref="AL257:AM257"/>
    <mergeCell ref="V258:W258"/>
    <mergeCell ref="X258:AA258"/>
    <mergeCell ref="AB258:AE258"/>
    <mergeCell ref="AF258:AG258"/>
    <mergeCell ref="AH258:AI258"/>
    <mergeCell ref="AJ258:AK258"/>
    <mergeCell ref="AL258:AM258"/>
    <mergeCell ref="BD258:BE258"/>
    <mergeCell ref="BF258:BI258"/>
    <mergeCell ref="BJ258:BM258"/>
    <mergeCell ref="BN258:BV258"/>
    <mergeCell ref="AN258:AO258"/>
    <mergeCell ref="AP258:AQ258"/>
    <mergeCell ref="AR258:AS258"/>
    <mergeCell ref="AT258:AU258"/>
    <mergeCell ref="AV258:AW258"/>
    <mergeCell ref="AX258:AZ258"/>
    <mergeCell ref="BA258:BB258"/>
    <mergeCell ref="B258:C258"/>
    <mergeCell ref="D258:E258"/>
    <mergeCell ref="F258:G258"/>
    <mergeCell ref="H258:I258"/>
    <mergeCell ref="P258:Q258"/>
    <mergeCell ref="R258:S258"/>
    <mergeCell ref="T258:U258"/>
    <mergeCell ref="B259:C259"/>
    <mergeCell ref="D259:E259"/>
    <mergeCell ref="F259:G259"/>
    <mergeCell ref="H259:I259"/>
    <mergeCell ref="J259:K259"/>
    <mergeCell ref="L259:M259"/>
    <mergeCell ref="P259:Q259"/>
    <mergeCell ref="AX259:AZ259"/>
    <mergeCell ref="BA259:BB259"/>
    <mergeCell ref="BD259:BE259"/>
    <mergeCell ref="BF259:BI259"/>
    <mergeCell ref="BJ259:BM259"/>
    <mergeCell ref="BN259:BV259"/>
    <mergeCell ref="AN259:AO259"/>
    <mergeCell ref="AP259:AQ259"/>
    <mergeCell ref="AR259:AS259"/>
    <mergeCell ref="AT259:AU259"/>
    <mergeCell ref="AV259:AW259"/>
    <mergeCell ref="R259:S259"/>
    <mergeCell ref="T259:U259"/>
    <mergeCell ref="V259:W259"/>
    <mergeCell ref="X259:AA259"/>
    <mergeCell ref="AB259:AE259"/>
    <mergeCell ref="AF259:AG259"/>
    <mergeCell ref="AH259:AI259"/>
    <mergeCell ref="AJ259:AK259"/>
    <mergeCell ref="AL259:AM259"/>
    <mergeCell ref="V260:W260"/>
    <mergeCell ref="X260:AA260"/>
    <mergeCell ref="AB260:AE260"/>
    <mergeCell ref="AF260:AG260"/>
    <mergeCell ref="AH260:AI260"/>
    <mergeCell ref="AJ260:AK260"/>
    <mergeCell ref="AL260:AM260"/>
    <mergeCell ref="BD260:BE260"/>
    <mergeCell ref="BF260:BI260"/>
    <mergeCell ref="BJ260:BM260"/>
    <mergeCell ref="BN260:BV260"/>
    <mergeCell ref="AN260:AO260"/>
    <mergeCell ref="AP260:AQ260"/>
    <mergeCell ref="AR260:AS260"/>
    <mergeCell ref="AT260:AU260"/>
    <mergeCell ref="AV260:AW260"/>
    <mergeCell ref="AX260:AZ260"/>
    <mergeCell ref="BA260:BB260"/>
    <mergeCell ref="B260:C260"/>
    <mergeCell ref="D260:E260"/>
    <mergeCell ref="F260:G260"/>
    <mergeCell ref="H260:I260"/>
    <mergeCell ref="P260:Q260"/>
    <mergeCell ref="R260:S260"/>
    <mergeCell ref="T260:U260"/>
    <mergeCell ref="B261:C261"/>
    <mergeCell ref="D261:E261"/>
    <mergeCell ref="F261:G261"/>
    <mergeCell ref="H261:I261"/>
    <mergeCell ref="J261:K261"/>
    <mergeCell ref="L261:M261"/>
    <mergeCell ref="P261:Q261"/>
    <mergeCell ref="AX261:AZ261"/>
    <mergeCell ref="BA261:BB261"/>
    <mergeCell ref="BD261:BE261"/>
    <mergeCell ref="BF261:BI261"/>
    <mergeCell ref="BJ261:BM261"/>
    <mergeCell ref="BN261:BV261"/>
    <mergeCell ref="AN261:AO261"/>
    <mergeCell ref="AP261:AQ261"/>
    <mergeCell ref="AR261:AS261"/>
    <mergeCell ref="AT261:AU261"/>
    <mergeCell ref="AV261:AW261"/>
    <mergeCell ref="R261:S261"/>
    <mergeCell ref="T261:U261"/>
    <mergeCell ref="V261:W261"/>
    <mergeCell ref="X261:AA261"/>
    <mergeCell ref="AB261:AE261"/>
    <mergeCell ref="AF261:AG261"/>
    <mergeCell ref="AH261:AI261"/>
    <mergeCell ref="AJ261:AK261"/>
    <mergeCell ref="AL261:AM261"/>
    <mergeCell ref="V262:W262"/>
    <mergeCell ref="X262:AA262"/>
    <mergeCell ref="AB262:AE262"/>
    <mergeCell ref="AF262:AG262"/>
    <mergeCell ref="AH262:AI262"/>
    <mergeCell ref="AJ262:AK262"/>
    <mergeCell ref="AL262:AM262"/>
    <mergeCell ref="BD262:BE262"/>
    <mergeCell ref="BF262:BI262"/>
    <mergeCell ref="BJ262:BM262"/>
    <mergeCell ref="BN262:BV262"/>
    <mergeCell ref="AN262:AO262"/>
    <mergeCell ref="AP262:AQ262"/>
    <mergeCell ref="AR262:AS262"/>
    <mergeCell ref="AT262:AU262"/>
    <mergeCell ref="AV262:AW262"/>
    <mergeCell ref="AX262:AZ262"/>
    <mergeCell ref="BA262:BB262"/>
    <mergeCell ref="B262:C262"/>
    <mergeCell ref="D262:E262"/>
    <mergeCell ref="F262:G262"/>
    <mergeCell ref="H262:I262"/>
    <mergeCell ref="P262:Q262"/>
    <mergeCell ref="R262:S262"/>
    <mergeCell ref="T262:U262"/>
    <mergeCell ref="B263:C263"/>
    <mergeCell ref="D263:E263"/>
    <mergeCell ref="F263:G263"/>
    <mergeCell ref="H263:I263"/>
    <mergeCell ref="J263:K263"/>
    <mergeCell ref="L263:M263"/>
    <mergeCell ref="P263:Q263"/>
    <mergeCell ref="AX263:AZ263"/>
    <mergeCell ref="BA263:BB263"/>
    <mergeCell ref="BD263:BE263"/>
    <mergeCell ref="BF263:BI263"/>
    <mergeCell ref="BJ263:BM263"/>
    <mergeCell ref="BN263:BV263"/>
    <mergeCell ref="AN263:AO263"/>
    <mergeCell ref="AP263:AQ263"/>
    <mergeCell ref="AR263:AS263"/>
    <mergeCell ref="AT263:AU263"/>
    <mergeCell ref="AV263:AW263"/>
    <mergeCell ref="R263:S263"/>
    <mergeCell ref="T263:U263"/>
    <mergeCell ref="V263:W263"/>
    <mergeCell ref="X263:AA263"/>
    <mergeCell ref="AB263:AE263"/>
    <mergeCell ref="AF263:AG263"/>
    <mergeCell ref="AH263:AI263"/>
    <mergeCell ref="AJ263:AK263"/>
    <mergeCell ref="AL263:AM263"/>
    <mergeCell ref="V264:W264"/>
    <mergeCell ref="X264:AA264"/>
    <mergeCell ref="AB264:AE264"/>
    <mergeCell ref="AF264:AG264"/>
    <mergeCell ref="AH264:AI264"/>
    <mergeCell ref="AJ264:AK264"/>
    <mergeCell ref="AL264:AM264"/>
    <mergeCell ref="BD264:BE264"/>
    <mergeCell ref="BF264:BI264"/>
    <mergeCell ref="BJ264:BM264"/>
    <mergeCell ref="BN264:BV264"/>
    <mergeCell ref="AN264:AO264"/>
    <mergeCell ref="AP264:AQ264"/>
    <mergeCell ref="AR264:AS264"/>
    <mergeCell ref="AT264:AU264"/>
    <mergeCell ref="AV264:AW264"/>
    <mergeCell ref="AX264:AZ264"/>
    <mergeCell ref="BA264:BB264"/>
    <mergeCell ref="B264:C264"/>
    <mergeCell ref="D264:E264"/>
    <mergeCell ref="F264:G264"/>
    <mergeCell ref="H264:I264"/>
    <mergeCell ref="P264:Q264"/>
    <mergeCell ref="R264:S264"/>
    <mergeCell ref="T264:U264"/>
    <mergeCell ref="B265:C265"/>
    <mergeCell ref="D265:E265"/>
    <mergeCell ref="F265:G265"/>
    <mergeCell ref="H265:I265"/>
    <mergeCell ref="J265:K265"/>
    <mergeCell ref="L265:M265"/>
    <mergeCell ref="P265:Q265"/>
    <mergeCell ref="AX265:AZ265"/>
    <mergeCell ref="BA265:BB265"/>
    <mergeCell ref="BD265:BE265"/>
    <mergeCell ref="BF265:BI265"/>
    <mergeCell ref="BJ265:BM265"/>
    <mergeCell ref="BN265:BV265"/>
    <mergeCell ref="AN265:AO265"/>
    <mergeCell ref="AP265:AQ265"/>
    <mergeCell ref="AR265:AS265"/>
    <mergeCell ref="AT265:AU265"/>
    <mergeCell ref="AV265:AW265"/>
    <mergeCell ref="R265:S265"/>
    <mergeCell ref="T265:U265"/>
    <mergeCell ref="V265:W265"/>
    <mergeCell ref="X265:AA265"/>
    <mergeCell ref="AB265:AE265"/>
    <mergeCell ref="AF265:AG265"/>
    <mergeCell ref="AH265:AI265"/>
    <mergeCell ref="AJ265:AK265"/>
    <mergeCell ref="AL265:AM265"/>
    <mergeCell ref="AJ367:AK367"/>
    <mergeCell ref="AL367:AM367"/>
    <mergeCell ref="R367:S367"/>
    <mergeCell ref="T367:U367"/>
    <mergeCell ref="V367:W367"/>
    <mergeCell ref="X367:AA367"/>
    <mergeCell ref="AB367:AE367"/>
    <mergeCell ref="AF367:AG367"/>
    <mergeCell ref="AH367:AI367"/>
    <mergeCell ref="R368:S368"/>
    <mergeCell ref="T368:U368"/>
    <mergeCell ref="V368:W368"/>
    <mergeCell ref="X368:AA368"/>
    <mergeCell ref="AB368:AE368"/>
    <mergeCell ref="AF368:AG368"/>
    <mergeCell ref="AH368:AI368"/>
    <mergeCell ref="AX368:AZ368"/>
    <mergeCell ref="BA368:BB368"/>
    <mergeCell ref="BD368:BE368"/>
    <mergeCell ref="BF368:BI368"/>
    <mergeCell ref="BJ368:BM368"/>
    <mergeCell ref="BN368:BV368"/>
    <mergeCell ref="BJ369:BM369"/>
    <mergeCell ref="BN369:BV369"/>
    <mergeCell ref="B368:C368"/>
    <mergeCell ref="D368:E368"/>
    <mergeCell ref="F368:G368"/>
    <mergeCell ref="H368:I368"/>
    <mergeCell ref="J368:K368"/>
    <mergeCell ref="L368:M368"/>
    <mergeCell ref="P368:Q368"/>
    <mergeCell ref="B369:C369"/>
    <mergeCell ref="D369:E369"/>
    <mergeCell ref="F369:G369"/>
    <mergeCell ref="H369:I369"/>
    <mergeCell ref="J369:K369"/>
    <mergeCell ref="L369:M369"/>
    <mergeCell ref="P369:Q369"/>
    <mergeCell ref="AJ368:AK368"/>
    <mergeCell ref="AL368:AM368"/>
    <mergeCell ref="AN368:AO368"/>
    <mergeCell ref="AP368:AQ368"/>
    <mergeCell ref="AR368:AS368"/>
    <mergeCell ref="AT368:AU368"/>
    <mergeCell ref="AV368:AW368"/>
    <mergeCell ref="BD371:BE371"/>
    <mergeCell ref="BF371:BI371"/>
    <mergeCell ref="AN371:AO371"/>
    <mergeCell ref="AP371:AQ371"/>
    <mergeCell ref="AR371:AS371"/>
    <mergeCell ref="AT371:AU371"/>
    <mergeCell ref="AV371:AW371"/>
    <mergeCell ref="AX371:AZ371"/>
    <mergeCell ref="BA371:BB371"/>
    <mergeCell ref="AJ369:AK369"/>
    <mergeCell ref="AL369:AM369"/>
    <mergeCell ref="R369:S369"/>
    <mergeCell ref="T369:U369"/>
    <mergeCell ref="V369:W369"/>
    <mergeCell ref="X369:AA369"/>
    <mergeCell ref="AB369:AE369"/>
    <mergeCell ref="AF369:AG369"/>
    <mergeCell ref="AH369:AI369"/>
    <mergeCell ref="R370:S370"/>
    <mergeCell ref="T370:U370"/>
    <mergeCell ref="V370:W370"/>
    <mergeCell ref="X370:AA370"/>
    <mergeCell ref="AB370:AE370"/>
    <mergeCell ref="AF370:AG370"/>
    <mergeCell ref="AH370:AI370"/>
    <mergeCell ref="AX370:AZ370"/>
    <mergeCell ref="BA370:BB370"/>
    <mergeCell ref="BD370:BE370"/>
    <mergeCell ref="BF370:BI370"/>
    <mergeCell ref="BJ370:BM370"/>
    <mergeCell ref="BN370:BV370"/>
    <mergeCell ref="BJ371:BM371"/>
    <mergeCell ref="BN371:BV371"/>
    <mergeCell ref="B370:C370"/>
    <mergeCell ref="D370:E370"/>
    <mergeCell ref="F370:G370"/>
    <mergeCell ref="H370:I370"/>
    <mergeCell ref="J370:K370"/>
    <mergeCell ref="L370:M370"/>
    <mergeCell ref="P370:Q370"/>
    <mergeCell ref="B371:C371"/>
    <mergeCell ref="D371:E371"/>
    <mergeCell ref="F371:G371"/>
    <mergeCell ref="H371:I371"/>
    <mergeCell ref="J371:K371"/>
    <mergeCell ref="L371:M371"/>
    <mergeCell ref="P371:Q371"/>
    <mergeCell ref="AJ370:AK370"/>
    <mergeCell ref="AL370:AM370"/>
    <mergeCell ref="AN370:AO370"/>
    <mergeCell ref="AP370:AQ370"/>
    <mergeCell ref="AR370:AS370"/>
    <mergeCell ref="AT370:AU370"/>
    <mergeCell ref="AV370:AW370"/>
    <mergeCell ref="BD364:BE364"/>
    <mergeCell ref="BF364:BI364"/>
    <mergeCell ref="AN364:AO364"/>
    <mergeCell ref="AP364:AQ364"/>
    <mergeCell ref="AR364:AS364"/>
    <mergeCell ref="AT364:AU364"/>
    <mergeCell ref="AV364:AW364"/>
    <mergeCell ref="AX364:AZ364"/>
    <mergeCell ref="BA364:BB364"/>
    <mergeCell ref="AJ362:AK362"/>
    <mergeCell ref="AL362:AM362"/>
    <mergeCell ref="R362:S362"/>
    <mergeCell ref="T362:U362"/>
    <mergeCell ref="V362:W362"/>
    <mergeCell ref="X362:AA362"/>
    <mergeCell ref="AB362:AE362"/>
    <mergeCell ref="AF362:AG362"/>
    <mergeCell ref="AH362:AI362"/>
    <mergeCell ref="R363:S363"/>
    <mergeCell ref="T363:U363"/>
    <mergeCell ref="V363:W363"/>
    <mergeCell ref="X363:AA363"/>
    <mergeCell ref="AB363:AE363"/>
    <mergeCell ref="AF363:AG363"/>
    <mergeCell ref="AH363:AI363"/>
    <mergeCell ref="AX363:AZ363"/>
    <mergeCell ref="BA363:BB363"/>
    <mergeCell ref="BD363:BE363"/>
    <mergeCell ref="BF363:BI363"/>
    <mergeCell ref="BD367:BE367"/>
    <mergeCell ref="BF367:BI367"/>
    <mergeCell ref="AN367:AO367"/>
    <mergeCell ref="AP367:AQ367"/>
    <mergeCell ref="AR367:AS367"/>
    <mergeCell ref="AT367:AU367"/>
    <mergeCell ref="AV367:AW367"/>
    <mergeCell ref="AX367:AZ367"/>
    <mergeCell ref="BA367:BB367"/>
    <mergeCell ref="AX366:AZ366"/>
    <mergeCell ref="BA366:BB366"/>
    <mergeCell ref="BD366:BE366"/>
    <mergeCell ref="BF366:BI366"/>
    <mergeCell ref="D362:E362"/>
    <mergeCell ref="BJ363:BM363"/>
    <mergeCell ref="BN363:BV363"/>
    <mergeCell ref="B363:C363"/>
    <mergeCell ref="D363:E363"/>
    <mergeCell ref="F363:G363"/>
    <mergeCell ref="H363:I363"/>
    <mergeCell ref="J363:K363"/>
    <mergeCell ref="L363:M363"/>
    <mergeCell ref="P363:Q363"/>
    <mergeCell ref="AJ363:AK363"/>
    <mergeCell ref="AL363:AM363"/>
    <mergeCell ref="AN363:AO363"/>
    <mergeCell ref="AP363:AQ363"/>
    <mergeCell ref="AR363:AS363"/>
    <mergeCell ref="AT363:AU363"/>
    <mergeCell ref="AV363:AW363"/>
    <mergeCell ref="B364:C364"/>
    <mergeCell ref="D364:E364"/>
    <mergeCell ref="F364:G364"/>
    <mergeCell ref="H364:I364"/>
    <mergeCell ref="J364:K364"/>
    <mergeCell ref="L364:M364"/>
    <mergeCell ref="P364:Q364"/>
    <mergeCell ref="R366:S366"/>
    <mergeCell ref="T366:U366"/>
    <mergeCell ref="V366:W366"/>
    <mergeCell ref="X366:AA366"/>
    <mergeCell ref="AB366:AE366"/>
    <mergeCell ref="AF366:AG366"/>
    <mergeCell ref="AH366:AI366"/>
    <mergeCell ref="B366:C366"/>
    <mergeCell ref="D366:E366"/>
    <mergeCell ref="F366:G366"/>
    <mergeCell ref="H366:I366"/>
    <mergeCell ref="J366:K366"/>
    <mergeCell ref="L366:M366"/>
    <mergeCell ref="P366:Q366"/>
    <mergeCell ref="R365:S365"/>
    <mergeCell ref="T365:U365"/>
    <mergeCell ref="V365:W365"/>
    <mergeCell ref="X365:AA365"/>
    <mergeCell ref="AB365:AE365"/>
    <mergeCell ref="AF365:AG365"/>
    <mergeCell ref="AH365:AI365"/>
    <mergeCell ref="AX365:AZ365"/>
    <mergeCell ref="BA365:BB365"/>
    <mergeCell ref="BD365:BE365"/>
    <mergeCell ref="BF365:BI365"/>
    <mergeCell ref="BJ365:BM365"/>
    <mergeCell ref="BN365:BV365"/>
    <mergeCell ref="AJ365:AK365"/>
    <mergeCell ref="AL365:AM365"/>
    <mergeCell ref="AN365:AO365"/>
    <mergeCell ref="AP365:AQ365"/>
    <mergeCell ref="AR365:AS365"/>
    <mergeCell ref="AT365:AU365"/>
    <mergeCell ref="AV365:AW365"/>
    <mergeCell ref="B365:C365"/>
    <mergeCell ref="D365:E365"/>
    <mergeCell ref="F365:G365"/>
    <mergeCell ref="H365:I365"/>
    <mergeCell ref="J365:K365"/>
    <mergeCell ref="L365:M365"/>
    <mergeCell ref="P365:Q365"/>
    <mergeCell ref="BJ366:BM366"/>
    <mergeCell ref="BN366:BV366"/>
    <mergeCell ref="BJ367:BM367"/>
    <mergeCell ref="BN367:BV367"/>
    <mergeCell ref="B367:C367"/>
    <mergeCell ref="D367:E367"/>
    <mergeCell ref="F367:G367"/>
    <mergeCell ref="H367:I367"/>
    <mergeCell ref="J367:K367"/>
    <mergeCell ref="L367:M367"/>
    <mergeCell ref="P367:Q367"/>
    <mergeCell ref="AJ366:AK366"/>
    <mergeCell ref="AL366:AM366"/>
    <mergeCell ref="AN366:AO366"/>
    <mergeCell ref="AP366:AQ366"/>
    <mergeCell ref="AR366:AS366"/>
    <mergeCell ref="AT366:AU366"/>
    <mergeCell ref="AV366:AW366"/>
    <mergeCell ref="BD369:BE369"/>
    <mergeCell ref="BF369:BI369"/>
    <mergeCell ref="AN369:AO369"/>
    <mergeCell ref="AP369:AQ369"/>
    <mergeCell ref="AR369:AS369"/>
    <mergeCell ref="AT369:AU369"/>
    <mergeCell ref="AV369:AW369"/>
    <mergeCell ref="AX369:AZ369"/>
    <mergeCell ref="BA369:BB369"/>
    <mergeCell ref="AJ387:AK387"/>
    <mergeCell ref="AL387:AM387"/>
    <mergeCell ref="BJ387:BM387"/>
    <mergeCell ref="BN387:BV387"/>
    <mergeCell ref="R387:S387"/>
    <mergeCell ref="T387:U387"/>
    <mergeCell ref="V387:W387"/>
    <mergeCell ref="X387:AA387"/>
    <mergeCell ref="AB387:AE387"/>
    <mergeCell ref="AF387:AG387"/>
    <mergeCell ref="AH387:AI387"/>
    <mergeCell ref="BD375:BE375"/>
    <mergeCell ref="BF375:BI375"/>
    <mergeCell ref="AN375:AO375"/>
    <mergeCell ref="AP375:AQ375"/>
    <mergeCell ref="AR375:AS375"/>
    <mergeCell ref="AT375:AU375"/>
    <mergeCell ref="AV375:AW375"/>
    <mergeCell ref="AX375:AZ375"/>
    <mergeCell ref="BA375:BB375"/>
    <mergeCell ref="AJ373:AK373"/>
    <mergeCell ref="AL373:AM373"/>
    <mergeCell ref="R373:S373"/>
    <mergeCell ref="T373:U373"/>
    <mergeCell ref="V373:W373"/>
    <mergeCell ref="X373:AA373"/>
    <mergeCell ref="AB373:AE373"/>
    <mergeCell ref="AF373:AG373"/>
    <mergeCell ref="AH373:AI373"/>
    <mergeCell ref="R374:S374"/>
    <mergeCell ref="T374:U374"/>
    <mergeCell ref="V374:W374"/>
    <mergeCell ref="X374:AA374"/>
    <mergeCell ref="AB374:AE374"/>
    <mergeCell ref="AF374:AG374"/>
    <mergeCell ref="AH374:AI374"/>
    <mergeCell ref="AX374:AZ374"/>
    <mergeCell ref="BA374:BB374"/>
    <mergeCell ref="BD374:BE374"/>
    <mergeCell ref="BF374:BI374"/>
    <mergeCell ref="BJ374:BM374"/>
    <mergeCell ref="BN374:BV374"/>
    <mergeCell ref="BJ375:BM375"/>
    <mergeCell ref="BN375:BV375"/>
    <mergeCell ref="B374:C374"/>
    <mergeCell ref="D374:E374"/>
    <mergeCell ref="F374:G374"/>
    <mergeCell ref="H374:I374"/>
    <mergeCell ref="J374:K374"/>
    <mergeCell ref="L374:M374"/>
    <mergeCell ref="P374:Q374"/>
    <mergeCell ref="B375:C375"/>
    <mergeCell ref="D375:E375"/>
    <mergeCell ref="F375:G375"/>
    <mergeCell ref="H375:I375"/>
    <mergeCell ref="J375:K375"/>
    <mergeCell ref="L375:M375"/>
    <mergeCell ref="P375:Q375"/>
    <mergeCell ref="AJ374:AK374"/>
    <mergeCell ref="AL374:AM374"/>
    <mergeCell ref="AN374:AO374"/>
    <mergeCell ref="AP374:AQ374"/>
    <mergeCell ref="AR374:AS374"/>
    <mergeCell ref="AT374:AU374"/>
    <mergeCell ref="AV374:AW374"/>
    <mergeCell ref="BD377:BE377"/>
    <mergeCell ref="BF377:BI377"/>
    <mergeCell ref="AN377:AO377"/>
    <mergeCell ref="AP377:AQ377"/>
    <mergeCell ref="AR377:AS377"/>
    <mergeCell ref="AT377:AU377"/>
    <mergeCell ref="AV377:AW377"/>
    <mergeCell ref="AX377:AZ377"/>
    <mergeCell ref="BA377:BB377"/>
    <mergeCell ref="AJ375:AK375"/>
    <mergeCell ref="AL375:AM375"/>
    <mergeCell ref="R375:S375"/>
    <mergeCell ref="T375:U375"/>
    <mergeCell ref="V375:W375"/>
    <mergeCell ref="X375:AA375"/>
    <mergeCell ref="AB375:AE375"/>
    <mergeCell ref="AF375:AG375"/>
    <mergeCell ref="AH375:AI375"/>
    <mergeCell ref="R376:S376"/>
    <mergeCell ref="T376:U376"/>
    <mergeCell ref="V376:W376"/>
    <mergeCell ref="X376:AA376"/>
    <mergeCell ref="AB376:AE376"/>
    <mergeCell ref="AF376:AG376"/>
    <mergeCell ref="AH376:AI376"/>
    <mergeCell ref="AX376:AZ376"/>
    <mergeCell ref="BA376:BB376"/>
    <mergeCell ref="BD376:BE376"/>
    <mergeCell ref="BF376:BI376"/>
    <mergeCell ref="BJ376:BM376"/>
    <mergeCell ref="BN376:BV376"/>
    <mergeCell ref="BJ377:BM377"/>
    <mergeCell ref="BN377:BV377"/>
    <mergeCell ref="B376:C376"/>
    <mergeCell ref="D376:E376"/>
    <mergeCell ref="F376:G376"/>
    <mergeCell ref="H376:I376"/>
    <mergeCell ref="J376:K376"/>
    <mergeCell ref="L376:M376"/>
    <mergeCell ref="P376:Q376"/>
    <mergeCell ref="B377:C377"/>
    <mergeCell ref="D377:E377"/>
    <mergeCell ref="F377:G377"/>
    <mergeCell ref="H377:I377"/>
    <mergeCell ref="J377:K377"/>
    <mergeCell ref="L377:M377"/>
    <mergeCell ref="P377:Q377"/>
    <mergeCell ref="AJ376:AK376"/>
    <mergeCell ref="AL376:AM376"/>
    <mergeCell ref="AN376:AO376"/>
    <mergeCell ref="AP376:AQ376"/>
    <mergeCell ref="AR376:AS376"/>
    <mergeCell ref="AT376:AU376"/>
    <mergeCell ref="AV376:AW376"/>
    <mergeCell ref="BD379:BE379"/>
    <mergeCell ref="BF379:BI379"/>
    <mergeCell ref="AN379:AO379"/>
    <mergeCell ref="AP379:AQ379"/>
    <mergeCell ref="AR379:AS379"/>
    <mergeCell ref="AT379:AU379"/>
    <mergeCell ref="AV379:AW379"/>
    <mergeCell ref="AX379:AZ379"/>
    <mergeCell ref="BA379:BB379"/>
    <mergeCell ref="AJ377:AK377"/>
    <mergeCell ref="AL377:AM377"/>
    <mergeCell ref="R377:S377"/>
    <mergeCell ref="T377:U377"/>
    <mergeCell ref="V377:W377"/>
    <mergeCell ref="X377:AA377"/>
    <mergeCell ref="AB377:AE377"/>
    <mergeCell ref="AF377:AG377"/>
    <mergeCell ref="AH377:AI377"/>
    <mergeCell ref="R378:S378"/>
    <mergeCell ref="T378:U378"/>
    <mergeCell ref="V378:W378"/>
    <mergeCell ref="X378:AA378"/>
    <mergeCell ref="AB378:AE378"/>
    <mergeCell ref="AF378:AG378"/>
    <mergeCell ref="AH378:AI378"/>
    <mergeCell ref="AX378:AZ378"/>
    <mergeCell ref="BA378:BB378"/>
    <mergeCell ref="BD378:BE378"/>
    <mergeCell ref="BF378:BI378"/>
    <mergeCell ref="BJ378:BM378"/>
    <mergeCell ref="BN378:BV378"/>
    <mergeCell ref="BJ379:BM379"/>
    <mergeCell ref="BN379:BV379"/>
    <mergeCell ref="B378:C378"/>
    <mergeCell ref="D378:E378"/>
    <mergeCell ref="F378:G378"/>
    <mergeCell ref="H378:I378"/>
    <mergeCell ref="J378:K378"/>
    <mergeCell ref="L378:M378"/>
    <mergeCell ref="P378:Q378"/>
    <mergeCell ref="B379:C379"/>
    <mergeCell ref="D379:E379"/>
    <mergeCell ref="F379:G379"/>
    <mergeCell ref="H379:I379"/>
    <mergeCell ref="J379:K379"/>
    <mergeCell ref="L379:M379"/>
    <mergeCell ref="P379:Q379"/>
    <mergeCell ref="AJ378:AK378"/>
    <mergeCell ref="AL378:AM378"/>
    <mergeCell ref="AN378:AO378"/>
    <mergeCell ref="AP378:AQ378"/>
    <mergeCell ref="AR378:AS378"/>
    <mergeCell ref="AT378:AU378"/>
    <mergeCell ref="AV378:AW378"/>
    <mergeCell ref="BD381:BE381"/>
    <mergeCell ref="BF381:BI381"/>
    <mergeCell ref="AN381:AO381"/>
    <mergeCell ref="AP381:AQ381"/>
    <mergeCell ref="AR381:AS381"/>
    <mergeCell ref="AT381:AU381"/>
    <mergeCell ref="AV381:AW381"/>
    <mergeCell ref="AX381:AZ381"/>
    <mergeCell ref="BA381:BB381"/>
    <mergeCell ref="AJ379:AK379"/>
    <mergeCell ref="AL379:AM379"/>
    <mergeCell ref="R379:S379"/>
    <mergeCell ref="T379:U379"/>
    <mergeCell ref="V379:W379"/>
    <mergeCell ref="X379:AA379"/>
    <mergeCell ref="AB379:AE379"/>
    <mergeCell ref="AF379:AG379"/>
    <mergeCell ref="AH379:AI379"/>
    <mergeCell ref="R380:S380"/>
    <mergeCell ref="T380:U380"/>
    <mergeCell ref="V380:W380"/>
    <mergeCell ref="X380:AA380"/>
    <mergeCell ref="AB380:AE380"/>
    <mergeCell ref="AF380:AG380"/>
    <mergeCell ref="AH380:AI380"/>
    <mergeCell ref="AX380:AZ380"/>
    <mergeCell ref="BA380:BB380"/>
    <mergeCell ref="BD380:BE380"/>
    <mergeCell ref="BF380:BI380"/>
    <mergeCell ref="BJ380:BM380"/>
    <mergeCell ref="BN380:BV380"/>
    <mergeCell ref="BJ381:BM381"/>
    <mergeCell ref="BN381:BV381"/>
    <mergeCell ref="B380:C380"/>
    <mergeCell ref="D380:E380"/>
    <mergeCell ref="F380:G380"/>
    <mergeCell ref="H380:I380"/>
    <mergeCell ref="J380:K380"/>
    <mergeCell ref="L380:M380"/>
    <mergeCell ref="L381:M381"/>
    <mergeCell ref="P381:Q381"/>
    <mergeCell ref="AJ380:AK380"/>
    <mergeCell ref="AL380:AM380"/>
    <mergeCell ref="AN380:AO380"/>
    <mergeCell ref="AP380:AQ380"/>
    <mergeCell ref="AR380:AS380"/>
    <mergeCell ref="AT380:AU380"/>
    <mergeCell ref="AV380:AW380"/>
    <mergeCell ref="BD383:BE383"/>
    <mergeCell ref="BF383:BI383"/>
    <mergeCell ref="AN383:AO383"/>
    <mergeCell ref="AP383:AQ383"/>
    <mergeCell ref="AR383:AS383"/>
    <mergeCell ref="AT383:AU383"/>
    <mergeCell ref="AV383:AW383"/>
    <mergeCell ref="AX383:AZ383"/>
    <mergeCell ref="BA383:BB383"/>
    <mergeCell ref="AJ381:AK381"/>
    <mergeCell ref="AL381:AM381"/>
    <mergeCell ref="R381:S381"/>
    <mergeCell ref="T381:U381"/>
    <mergeCell ref="V381:W381"/>
    <mergeCell ref="X381:AA381"/>
    <mergeCell ref="AB381:AE381"/>
    <mergeCell ref="AF381:AG381"/>
    <mergeCell ref="AH381:AI381"/>
    <mergeCell ref="R382:S382"/>
    <mergeCell ref="T382:U382"/>
    <mergeCell ref="V382:W382"/>
    <mergeCell ref="X382:AA382"/>
    <mergeCell ref="AB382:AE382"/>
    <mergeCell ref="AF382:AG382"/>
    <mergeCell ref="AH382:AI382"/>
    <mergeCell ref="AX382:AZ382"/>
    <mergeCell ref="BA382:BB382"/>
    <mergeCell ref="BD382:BE382"/>
    <mergeCell ref="BF382:BI382"/>
    <mergeCell ref="AR385:AS385"/>
    <mergeCell ref="AT385:AU385"/>
    <mergeCell ref="AV385:AW385"/>
    <mergeCell ref="AX385:AZ385"/>
    <mergeCell ref="BA385:BB385"/>
    <mergeCell ref="AJ383:AK383"/>
    <mergeCell ref="AL383:AM383"/>
    <mergeCell ref="R383:S383"/>
    <mergeCell ref="T383:U383"/>
    <mergeCell ref="V383:W383"/>
    <mergeCell ref="X383:AA383"/>
    <mergeCell ref="AB383:AE383"/>
    <mergeCell ref="AF383:AG383"/>
    <mergeCell ref="AH383:AI383"/>
    <mergeCell ref="R384:S384"/>
    <mergeCell ref="T384:U384"/>
    <mergeCell ref="V384:W384"/>
    <mergeCell ref="X384:AA384"/>
    <mergeCell ref="AB384:AE384"/>
    <mergeCell ref="AF384:AG384"/>
    <mergeCell ref="AH384:AI384"/>
    <mergeCell ref="AX384:AZ384"/>
    <mergeCell ref="BA384:BB384"/>
    <mergeCell ref="BD384:BE384"/>
    <mergeCell ref="BF384:BI384"/>
    <mergeCell ref="BJ384:BM384"/>
    <mergeCell ref="BN384:BV384"/>
    <mergeCell ref="BJ385:BM385"/>
    <mergeCell ref="BN385:BV385"/>
    <mergeCell ref="B384:C384"/>
    <mergeCell ref="D384:E384"/>
    <mergeCell ref="F384:G384"/>
    <mergeCell ref="H384:I384"/>
    <mergeCell ref="J384:K384"/>
    <mergeCell ref="L384:M384"/>
    <mergeCell ref="R395:S395"/>
    <mergeCell ref="T395:U395"/>
    <mergeCell ref="V395:W395"/>
    <mergeCell ref="X395:AA395"/>
    <mergeCell ref="AB395:AE395"/>
    <mergeCell ref="AF395:AG395"/>
    <mergeCell ref="AH395:AI395"/>
    <mergeCell ref="AX395:AZ395"/>
    <mergeCell ref="BA395:BB395"/>
    <mergeCell ref="BD395:BE395"/>
    <mergeCell ref="BF395:BI395"/>
    <mergeCell ref="BD391:BE391"/>
    <mergeCell ref="BF391:BI391"/>
    <mergeCell ref="P393:Q393"/>
    <mergeCell ref="B394:C394"/>
    <mergeCell ref="D394:E394"/>
    <mergeCell ref="F394:G394"/>
    <mergeCell ref="H394:I394"/>
    <mergeCell ref="J394:K394"/>
    <mergeCell ref="L394:M394"/>
    <mergeCell ref="P394:Q394"/>
    <mergeCell ref="AJ393:AK393"/>
    <mergeCell ref="AL393:AM393"/>
    <mergeCell ref="AN393:AO393"/>
    <mergeCell ref="AP393:AQ393"/>
    <mergeCell ref="AR393:AS393"/>
    <mergeCell ref="AT393:AU393"/>
    <mergeCell ref="AV393:AW393"/>
    <mergeCell ref="BD387:BE387"/>
    <mergeCell ref="BF387:BI387"/>
    <mergeCell ref="BD390:BE390"/>
    <mergeCell ref="BF390:BI390"/>
    <mergeCell ref="AN390:AO390"/>
    <mergeCell ref="AP390:AQ390"/>
    <mergeCell ref="AR390:AS390"/>
    <mergeCell ref="AT390:AU390"/>
    <mergeCell ref="AV390:AW390"/>
    <mergeCell ref="AX390:AZ390"/>
    <mergeCell ref="BA390:BB390"/>
    <mergeCell ref="L388:M388"/>
    <mergeCell ref="P388:Q388"/>
    <mergeCell ref="AX389:AZ389"/>
    <mergeCell ref="BA389:BB389"/>
    <mergeCell ref="BD389:BE389"/>
    <mergeCell ref="BF389:BI389"/>
    <mergeCell ref="AF310:AG310"/>
    <mergeCell ref="AH310:AI310"/>
    <mergeCell ref="AJ310:AK310"/>
    <mergeCell ref="AL310:AM310"/>
    <mergeCell ref="BD310:BE310"/>
    <mergeCell ref="BF310:BI310"/>
    <mergeCell ref="BJ310:BM310"/>
    <mergeCell ref="BN310:BV310"/>
    <mergeCell ref="AN310:AO310"/>
    <mergeCell ref="AP310:AQ310"/>
    <mergeCell ref="AR310:AS310"/>
    <mergeCell ref="AT310:AU310"/>
    <mergeCell ref="AV310:AW310"/>
    <mergeCell ref="AX310:AZ310"/>
    <mergeCell ref="BA310:BB310"/>
    <mergeCell ref="B310:C310"/>
    <mergeCell ref="D310:E310"/>
    <mergeCell ref="F310:G310"/>
    <mergeCell ref="H310:I310"/>
    <mergeCell ref="P310:Q310"/>
    <mergeCell ref="R310:S310"/>
    <mergeCell ref="T310:U310"/>
    <mergeCell ref="B311:C311"/>
    <mergeCell ref="D311:E311"/>
    <mergeCell ref="F311:G311"/>
    <mergeCell ref="H311:I311"/>
    <mergeCell ref="J311:K311"/>
    <mergeCell ref="L311:M311"/>
    <mergeCell ref="P311:Q311"/>
    <mergeCell ref="AX311:AZ311"/>
    <mergeCell ref="BA311:BB311"/>
    <mergeCell ref="X394:AA394"/>
    <mergeCell ref="AB394:AE394"/>
    <mergeCell ref="AF394:AG394"/>
    <mergeCell ref="AH394:AI394"/>
    <mergeCell ref="BJ382:BM382"/>
    <mergeCell ref="BN382:BV382"/>
    <mergeCell ref="BJ383:BM383"/>
    <mergeCell ref="BN383:BV383"/>
    <mergeCell ref="B382:C382"/>
    <mergeCell ref="D382:E382"/>
    <mergeCell ref="F382:G382"/>
    <mergeCell ref="H382:I382"/>
    <mergeCell ref="J382:K382"/>
    <mergeCell ref="L382:M382"/>
    <mergeCell ref="P382:Q382"/>
    <mergeCell ref="B383:C383"/>
    <mergeCell ref="D383:E383"/>
    <mergeCell ref="F383:G383"/>
    <mergeCell ref="H383:I383"/>
    <mergeCell ref="J383:K383"/>
    <mergeCell ref="L383:M383"/>
    <mergeCell ref="P383:Q383"/>
    <mergeCell ref="AJ382:AK382"/>
    <mergeCell ref="AL382:AM382"/>
    <mergeCell ref="AN382:AO382"/>
    <mergeCell ref="AP382:AQ382"/>
    <mergeCell ref="AR382:AS382"/>
    <mergeCell ref="AT382:AU382"/>
    <mergeCell ref="AV382:AW382"/>
    <mergeCell ref="BD385:BE385"/>
    <mergeCell ref="BF385:BI385"/>
    <mergeCell ref="AN385:AO385"/>
    <mergeCell ref="AP385:AQ385"/>
    <mergeCell ref="AL312:AM312"/>
    <mergeCell ref="BD312:BE312"/>
    <mergeCell ref="BF312:BI312"/>
    <mergeCell ref="BJ312:BM312"/>
    <mergeCell ref="BN312:BV312"/>
    <mergeCell ref="AN312:AO312"/>
    <mergeCell ref="AP312:AQ312"/>
    <mergeCell ref="AR312:AS312"/>
    <mergeCell ref="AT312:AU312"/>
    <mergeCell ref="AV312:AW312"/>
    <mergeCell ref="AX312:AZ312"/>
    <mergeCell ref="BA312:BB312"/>
    <mergeCell ref="BJ395:BM395"/>
    <mergeCell ref="BN395:BV395"/>
    <mergeCell ref="B395:C395"/>
    <mergeCell ref="D395:E395"/>
    <mergeCell ref="F395:G395"/>
    <mergeCell ref="H395:I395"/>
    <mergeCell ref="J395:K395"/>
    <mergeCell ref="L395:M395"/>
    <mergeCell ref="P395:Q395"/>
    <mergeCell ref="B396:C396"/>
    <mergeCell ref="D396:E396"/>
    <mergeCell ref="F396:G396"/>
    <mergeCell ref="H396:I396"/>
    <mergeCell ref="J396:K396"/>
    <mergeCell ref="L396:M396"/>
    <mergeCell ref="P396:Q396"/>
    <mergeCell ref="AJ395:AK395"/>
    <mergeCell ref="AL395:AM395"/>
    <mergeCell ref="AN395:AO395"/>
    <mergeCell ref="AP395:AQ395"/>
    <mergeCell ref="AR395:AS395"/>
    <mergeCell ref="AT395:AU395"/>
    <mergeCell ref="AV395:AW395"/>
    <mergeCell ref="P384:Q384"/>
    <mergeCell ref="B385:C385"/>
    <mergeCell ref="D385:E385"/>
    <mergeCell ref="F385:G385"/>
    <mergeCell ref="H385:I385"/>
    <mergeCell ref="J385:K385"/>
    <mergeCell ref="L385:M385"/>
    <mergeCell ref="P385:Q385"/>
    <mergeCell ref="AJ384:AK384"/>
    <mergeCell ref="AL384:AM384"/>
    <mergeCell ref="AN384:AO384"/>
    <mergeCell ref="AP384:AQ384"/>
    <mergeCell ref="AR384:AS384"/>
    <mergeCell ref="AT384:AU384"/>
    <mergeCell ref="AV384:AW384"/>
    <mergeCell ref="BD396:BE396"/>
    <mergeCell ref="BF396:BI396"/>
    <mergeCell ref="AN396:AO396"/>
    <mergeCell ref="AP396:AQ396"/>
    <mergeCell ref="AR396:AS396"/>
    <mergeCell ref="AT396:AU396"/>
    <mergeCell ref="AV396:AW396"/>
    <mergeCell ref="AX396:AZ396"/>
    <mergeCell ref="BA396:BB396"/>
    <mergeCell ref="AJ394:AK394"/>
    <mergeCell ref="AL394:AM394"/>
    <mergeCell ref="R394:S394"/>
    <mergeCell ref="T394:U394"/>
    <mergeCell ref="V394:W394"/>
    <mergeCell ref="B312:C312"/>
    <mergeCell ref="D312:E312"/>
    <mergeCell ref="F312:G312"/>
    <mergeCell ref="H312:I312"/>
    <mergeCell ref="P312:Q312"/>
    <mergeCell ref="R312:S312"/>
    <mergeCell ref="T312:U312"/>
    <mergeCell ref="B313:C313"/>
    <mergeCell ref="D313:E313"/>
    <mergeCell ref="F313:G313"/>
    <mergeCell ref="H313:I313"/>
    <mergeCell ref="J313:K313"/>
    <mergeCell ref="L313:M313"/>
    <mergeCell ref="P313:Q313"/>
    <mergeCell ref="AX313:AZ313"/>
    <mergeCell ref="BA313:BB313"/>
    <mergeCell ref="BD313:BE313"/>
    <mergeCell ref="BF313:BI313"/>
    <mergeCell ref="BJ313:BM313"/>
    <mergeCell ref="BN313:BV313"/>
    <mergeCell ref="AJ311:AK311"/>
    <mergeCell ref="AL311:AM311"/>
    <mergeCell ref="AN313:AO313"/>
    <mergeCell ref="AP313:AQ313"/>
    <mergeCell ref="AR313:AS313"/>
    <mergeCell ref="AT313:AU313"/>
    <mergeCell ref="AV313:AW313"/>
    <mergeCell ref="BJ228:BM228"/>
    <mergeCell ref="BN228:BV228"/>
    <mergeCell ref="AR228:AS228"/>
    <mergeCell ref="AT228:AU228"/>
    <mergeCell ref="AV228:AW228"/>
    <mergeCell ref="AX228:AZ228"/>
    <mergeCell ref="BA228:BB228"/>
    <mergeCell ref="BD228:BE228"/>
    <mergeCell ref="BF228:BI228"/>
    <mergeCell ref="V230:W230"/>
    <mergeCell ref="X230:AA230"/>
    <mergeCell ref="AB230:AE230"/>
    <mergeCell ref="AF230:AG230"/>
    <mergeCell ref="AH230:AI230"/>
    <mergeCell ref="AJ230:AK230"/>
    <mergeCell ref="AL230:AM230"/>
    <mergeCell ref="B230:C230"/>
    <mergeCell ref="D230:E230"/>
    <mergeCell ref="F230:G230"/>
    <mergeCell ref="H230:I230"/>
    <mergeCell ref="P230:Q230"/>
    <mergeCell ref="R230:S230"/>
    <mergeCell ref="T230:U230"/>
    <mergeCell ref="AN230:AO230"/>
    <mergeCell ref="AP230:AQ230"/>
    <mergeCell ref="AR230:AS230"/>
    <mergeCell ref="AT230:AU230"/>
    <mergeCell ref="AV230:AW230"/>
    <mergeCell ref="AX230:AZ230"/>
    <mergeCell ref="BA230:BB230"/>
    <mergeCell ref="AN231:AO231"/>
    <mergeCell ref="AP231:AQ231"/>
    <mergeCell ref="AR231:AS231"/>
    <mergeCell ref="AT231:AU231"/>
    <mergeCell ref="AV231:AW231"/>
    <mergeCell ref="AX231:AZ231"/>
    <mergeCell ref="BA231:BB231"/>
    <mergeCell ref="BD227:BE227"/>
    <mergeCell ref="BF227:BI227"/>
    <mergeCell ref="BJ227:BM227"/>
    <mergeCell ref="BN227:BV227"/>
    <mergeCell ref="B227:C227"/>
    <mergeCell ref="D227:E227"/>
    <mergeCell ref="F227:G227"/>
    <mergeCell ref="H227:I227"/>
    <mergeCell ref="J227:K227"/>
    <mergeCell ref="L227:M227"/>
    <mergeCell ref="P227:Q227"/>
    <mergeCell ref="AJ227:AK227"/>
    <mergeCell ref="AL227:AM227"/>
    <mergeCell ref="AN227:AO227"/>
    <mergeCell ref="AP227:AQ227"/>
    <mergeCell ref="AR227:AS227"/>
    <mergeCell ref="AT227:AU227"/>
    <mergeCell ref="AV227:AW227"/>
    <mergeCell ref="B228:C228"/>
    <mergeCell ref="D228:E228"/>
    <mergeCell ref="F228:G228"/>
    <mergeCell ref="H228:I228"/>
    <mergeCell ref="P228:Q228"/>
    <mergeCell ref="R228:S228"/>
    <mergeCell ref="T228:U228"/>
    <mergeCell ref="AN228:AO228"/>
    <mergeCell ref="AP228:AQ228"/>
    <mergeCell ref="V228:W228"/>
    <mergeCell ref="X228:AA228"/>
    <mergeCell ref="AB228:AE228"/>
    <mergeCell ref="AF228:AG228"/>
    <mergeCell ref="AH228:AI228"/>
    <mergeCell ref="AJ228:AK228"/>
    <mergeCell ref="AL228:AM228"/>
    <mergeCell ref="BA227:BB227"/>
    <mergeCell ref="R229:S229"/>
    <mergeCell ref="T229:U229"/>
    <mergeCell ref="V229:W229"/>
    <mergeCell ref="X229:AA229"/>
    <mergeCell ref="AB229:AE229"/>
    <mergeCell ref="AF229:AG229"/>
    <mergeCell ref="AH229:AI229"/>
    <mergeCell ref="AX229:AZ229"/>
    <mergeCell ref="BA229:BB229"/>
    <mergeCell ref="BD229:BE229"/>
    <mergeCell ref="BF229:BI229"/>
    <mergeCell ref="BJ229:BM229"/>
    <mergeCell ref="BN229:BV229"/>
    <mergeCell ref="AJ229:AK229"/>
    <mergeCell ref="AL229:AM229"/>
    <mergeCell ref="AN229:AO229"/>
    <mergeCell ref="AP229:AQ229"/>
    <mergeCell ref="AR229:AS229"/>
    <mergeCell ref="AT229:AU229"/>
    <mergeCell ref="AV229:AW229"/>
    <mergeCell ref="B229:C229"/>
    <mergeCell ref="D229:E229"/>
    <mergeCell ref="F229:G229"/>
    <mergeCell ref="H229:I229"/>
    <mergeCell ref="J229:K229"/>
    <mergeCell ref="L229:M229"/>
    <mergeCell ref="P229:Q229"/>
    <mergeCell ref="BD230:BE230"/>
    <mergeCell ref="BF230:BI230"/>
    <mergeCell ref="BJ230:BM230"/>
    <mergeCell ref="BN230:BV230"/>
    <mergeCell ref="B231:C231"/>
    <mergeCell ref="D231:E231"/>
    <mergeCell ref="F231:G231"/>
    <mergeCell ref="H231:I231"/>
    <mergeCell ref="J231:K231"/>
    <mergeCell ref="L231:M231"/>
    <mergeCell ref="P231:Q231"/>
    <mergeCell ref="BD231:BE231"/>
    <mergeCell ref="BF231:BI231"/>
    <mergeCell ref="BJ231:BM231"/>
    <mergeCell ref="BN231:BV231"/>
    <mergeCell ref="R231:S231"/>
    <mergeCell ref="T231:U231"/>
    <mergeCell ref="V231:W231"/>
    <mergeCell ref="X231:AA231"/>
    <mergeCell ref="AB231:AE231"/>
    <mergeCell ref="AF231:AG231"/>
    <mergeCell ref="AH231:AI231"/>
    <mergeCell ref="AJ231:AK231"/>
    <mergeCell ref="AL231:AM231"/>
    <mergeCell ref="BD311:BE311"/>
    <mergeCell ref="BF311:BI311"/>
    <mergeCell ref="V232:W232"/>
    <mergeCell ref="X232:AA232"/>
    <mergeCell ref="AB232:AE232"/>
    <mergeCell ref="AF232:AG232"/>
    <mergeCell ref="AH232:AI232"/>
    <mergeCell ref="AJ232:AK232"/>
    <mergeCell ref="AL232:AM232"/>
    <mergeCell ref="BD232:BE232"/>
    <mergeCell ref="BF232:BI232"/>
    <mergeCell ref="BJ232:BM232"/>
    <mergeCell ref="BN232:BV232"/>
    <mergeCell ref="AN232:AO232"/>
    <mergeCell ref="AP232:AQ232"/>
    <mergeCell ref="AR232:AS232"/>
    <mergeCell ref="AT232:AU232"/>
    <mergeCell ref="AV232:AW232"/>
    <mergeCell ref="AX232:AZ232"/>
    <mergeCell ref="BA232:BB232"/>
    <mergeCell ref="B232:C232"/>
    <mergeCell ref="D232:E232"/>
    <mergeCell ref="F232:G232"/>
    <mergeCell ref="H232:I232"/>
    <mergeCell ref="P232:Q232"/>
    <mergeCell ref="R232:S232"/>
    <mergeCell ref="T232:U232"/>
    <mergeCell ref="B233:C233"/>
    <mergeCell ref="D233:E233"/>
    <mergeCell ref="F233:G233"/>
    <mergeCell ref="H233:I233"/>
    <mergeCell ref="J233:K233"/>
    <mergeCell ref="L233:M233"/>
    <mergeCell ref="P233:Q233"/>
    <mergeCell ref="AX233:AZ233"/>
    <mergeCell ref="BA233:BB233"/>
    <mergeCell ref="BD233:BE233"/>
    <mergeCell ref="BF233:BI233"/>
    <mergeCell ref="BJ233:BM233"/>
    <mergeCell ref="BN233:BV233"/>
    <mergeCell ref="AN233:AO233"/>
    <mergeCell ref="AP233:AQ233"/>
    <mergeCell ref="AR233:AS233"/>
    <mergeCell ref="AT233:AU233"/>
    <mergeCell ref="AV233:AW233"/>
    <mergeCell ref="R233:S233"/>
    <mergeCell ref="T233:U233"/>
    <mergeCell ref="V233:W233"/>
    <mergeCell ref="X233:AA233"/>
    <mergeCell ref="AB233:AE233"/>
    <mergeCell ref="AF233:AG233"/>
    <mergeCell ref="AH233:AI233"/>
    <mergeCell ref="AJ233:AK233"/>
    <mergeCell ref="AL233:AM233"/>
    <mergeCell ref="R309:S309"/>
    <mergeCell ref="T309:U309"/>
    <mergeCell ref="V309:W309"/>
    <mergeCell ref="X309:AA309"/>
    <mergeCell ref="AB309:AE309"/>
    <mergeCell ref="AF309:AG309"/>
    <mergeCell ref="AH309:AI309"/>
    <mergeCell ref="V310:W310"/>
    <mergeCell ref="X310:AA310"/>
    <mergeCell ref="AB310:AE310"/>
    <mergeCell ref="B294:C294"/>
    <mergeCell ref="D294:E294"/>
    <mergeCell ref="F294:G294"/>
    <mergeCell ref="H294:I294"/>
    <mergeCell ref="P294:Q294"/>
    <mergeCell ref="R294:S294"/>
    <mergeCell ref="T294:U294"/>
    <mergeCell ref="B295:C295"/>
    <mergeCell ref="D295:E295"/>
    <mergeCell ref="F295:G295"/>
    <mergeCell ref="H295:I295"/>
    <mergeCell ref="J295:K295"/>
    <mergeCell ref="L295:M295"/>
    <mergeCell ref="P295:Q295"/>
    <mergeCell ref="AX295:AZ295"/>
    <mergeCell ref="BA295:BB295"/>
    <mergeCell ref="BD295:BE295"/>
    <mergeCell ref="BF295:BI295"/>
    <mergeCell ref="BJ295:BM295"/>
    <mergeCell ref="BN295:BV295"/>
    <mergeCell ref="AJ293:AK293"/>
    <mergeCell ref="AL293:AM293"/>
    <mergeCell ref="AN295:AO295"/>
    <mergeCell ref="AP295:AQ295"/>
    <mergeCell ref="AR295:AS295"/>
    <mergeCell ref="AT295:AU295"/>
    <mergeCell ref="AV295:AW295"/>
    <mergeCell ref="R295:S295"/>
    <mergeCell ref="T295:U295"/>
    <mergeCell ref="V295:W295"/>
    <mergeCell ref="X295:AA295"/>
    <mergeCell ref="AB295:AE295"/>
    <mergeCell ref="AF295:AG295"/>
    <mergeCell ref="AH295:AI295"/>
    <mergeCell ref="R293:S293"/>
    <mergeCell ref="T293:U293"/>
    <mergeCell ref="V293:W293"/>
    <mergeCell ref="X293:AA293"/>
    <mergeCell ref="AB293:AE293"/>
    <mergeCell ref="AF293:AG293"/>
    <mergeCell ref="AH293:AI293"/>
    <mergeCell ref="V294:W294"/>
    <mergeCell ref="X294:AA294"/>
    <mergeCell ref="AB294:AE294"/>
    <mergeCell ref="AF294:AG294"/>
    <mergeCell ref="AH294:AI294"/>
    <mergeCell ref="AJ294:AK294"/>
    <mergeCell ref="AL294:AM294"/>
    <mergeCell ref="BD294:BE294"/>
    <mergeCell ref="BF294:BI294"/>
    <mergeCell ref="BJ294:BM294"/>
    <mergeCell ref="BN294:BV294"/>
    <mergeCell ref="AN294:AO294"/>
    <mergeCell ref="AP294:AQ294"/>
    <mergeCell ref="AR294:AS294"/>
    <mergeCell ref="AT294:AU294"/>
    <mergeCell ref="AV294:AW294"/>
    <mergeCell ref="AX294:AZ294"/>
    <mergeCell ref="BA294:BB294"/>
    <mergeCell ref="B296:C296"/>
    <mergeCell ref="D296:E296"/>
    <mergeCell ref="F296:G296"/>
    <mergeCell ref="H296:I296"/>
    <mergeCell ref="P296:Q296"/>
    <mergeCell ref="R296:S296"/>
    <mergeCell ref="T296:U296"/>
    <mergeCell ref="B297:C297"/>
    <mergeCell ref="D297:E297"/>
    <mergeCell ref="F297:G297"/>
    <mergeCell ref="H297:I297"/>
    <mergeCell ref="J297:K297"/>
    <mergeCell ref="L297:M297"/>
    <mergeCell ref="P297:Q297"/>
    <mergeCell ref="AX297:AZ297"/>
    <mergeCell ref="BA297:BB297"/>
    <mergeCell ref="BD297:BE297"/>
    <mergeCell ref="BF297:BI297"/>
    <mergeCell ref="BJ297:BM297"/>
    <mergeCell ref="BN297:BV297"/>
    <mergeCell ref="AJ295:AK295"/>
    <mergeCell ref="AL295:AM295"/>
    <mergeCell ref="AN297:AO297"/>
    <mergeCell ref="AP297:AQ297"/>
    <mergeCell ref="AR297:AS297"/>
    <mergeCell ref="AT297:AU297"/>
    <mergeCell ref="AV297:AW297"/>
    <mergeCell ref="R297:S297"/>
    <mergeCell ref="T297:U297"/>
    <mergeCell ref="V297:W297"/>
    <mergeCell ref="X297:AA297"/>
    <mergeCell ref="AB297:AE297"/>
    <mergeCell ref="AF297:AG297"/>
    <mergeCell ref="AH297:AI297"/>
    <mergeCell ref="V296:W296"/>
    <mergeCell ref="X296:AA296"/>
    <mergeCell ref="AB296:AE296"/>
    <mergeCell ref="AF296:AG296"/>
    <mergeCell ref="AH296:AI296"/>
    <mergeCell ref="AJ296:AK296"/>
    <mergeCell ref="AL296:AM296"/>
    <mergeCell ref="BD296:BE296"/>
    <mergeCell ref="BF296:BI296"/>
    <mergeCell ref="BJ296:BM296"/>
    <mergeCell ref="BN296:BV296"/>
    <mergeCell ref="AN296:AO296"/>
    <mergeCell ref="AP296:AQ296"/>
    <mergeCell ref="AR296:AS296"/>
    <mergeCell ref="AT296:AU296"/>
    <mergeCell ref="AV296:AW296"/>
    <mergeCell ref="AX296:AZ296"/>
    <mergeCell ref="BA296:BB296"/>
    <mergeCell ref="BN298:BV298"/>
    <mergeCell ref="AN298:AO298"/>
    <mergeCell ref="AP298:AQ298"/>
    <mergeCell ref="AR298:AS298"/>
    <mergeCell ref="AT298:AU298"/>
    <mergeCell ref="AV298:AW298"/>
    <mergeCell ref="AX298:AZ298"/>
    <mergeCell ref="BA298:BB298"/>
    <mergeCell ref="B298:C298"/>
    <mergeCell ref="D298:E298"/>
    <mergeCell ref="F298:G298"/>
    <mergeCell ref="H298:I298"/>
    <mergeCell ref="P298:Q298"/>
    <mergeCell ref="R298:S298"/>
    <mergeCell ref="T298:U298"/>
    <mergeCell ref="B299:C299"/>
    <mergeCell ref="D299:E299"/>
    <mergeCell ref="F299:G299"/>
    <mergeCell ref="H299:I299"/>
    <mergeCell ref="J299:K299"/>
    <mergeCell ref="L299:M299"/>
    <mergeCell ref="P299:Q299"/>
    <mergeCell ref="AX299:AZ299"/>
    <mergeCell ref="BA299:BB299"/>
    <mergeCell ref="BD299:BE299"/>
    <mergeCell ref="BF299:BI299"/>
    <mergeCell ref="BJ299:BM299"/>
    <mergeCell ref="BN299:BV299"/>
    <mergeCell ref="AJ297:AK297"/>
    <mergeCell ref="AL297:AM297"/>
    <mergeCell ref="AN299:AO299"/>
    <mergeCell ref="AP299:AQ299"/>
    <mergeCell ref="AR299:AS299"/>
    <mergeCell ref="AT299:AU299"/>
    <mergeCell ref="AV299:AW299"/>
    <mergeCell ref="R299:S299"/>
    <mergeCell ref="T299:U299"/>
    <mergeCell ref="V299:W299"/>
    <mergeCell ref="X299:AA299"/>
    <mergeCell ref="AB299:AE299"/>
    <mergeCell ref="AF299:AG299"/>
    <mergeCell ref="AH299:AI299"/>
    <mergeCell ref="AJ299:AK299"/>
    <mergeCell ref="AL299:AM299"/>
    <mergeCell ref="V298:W298"/>
    <mergeCell ref="X298:AA298"/>
    <mergeCell ref="AB298:AE298"/>
    <mergeCell ref="AF298:AG298"/>
    <mergeCell ref="AH298:AI298"/>
    <mergeCell ref="AJ298:AK298"/>
    <mergeCell ref="AL298:AM298"/>
    <mergeCell ref="BD298:BE298"/>
    <mergeCell ref="BF298:BI298"/>
    <mergeCell ref="BJ298:BM298"/>
    <mergeCell ref="V300:W300"/>
    <mergeCell ref="X300:AA300"/>
    <mergeCell ref="AB300:AE300"/>
    <mergeCell ref="AF300:AG300"/>
    <mergeCell ref="AH300:AI300"/>
    <mergeCell ref="AJ300:AK300"/>
    <mergeCell ref="AL300:AM300"/>
    <mergeCell ref="BD300:BE300"/>
    <mergeCell ref="BF300:BI300"/>
    <mergeCell ref="BJ300:BM300"/>
    <mergeCell ref="BN300:BV300"/>
    <mergeCell ref="AN300:AO300"/>
    <mergeCell ref="AP300:AQ300"/>
    <mergeCell ref="AR300:AS300"/>
    <mergeCell ref="AT300:AU300"/>
    <mergeCell ref="AV300:AW300"/>
    <mergeCell ref="AX300:AZ300"/>
    <mergeCell ref="BA300:BB300"/>
    <mergeCell ref="B300:C300"/>
    <mergeCell ref="D300:E300"/>
    <mergeCell ref="F300:G300"/>
    <mergeCell ref="H300:I300"/>
    <mergeCell ref="P300:Q300"/>
    <mergeCell ref="R300:S300"/>
    <mergeCell ref="T300:U300"/>
    <mergeCell ref="B301:C301"/>
    <mergeCell ref="D301:E301"/>
    <mergeCell ref="F301:G301"/>
    <mergeCell ref="H301:I301"/>
    <mergeCell ref="J301:K301"/>
    <mergeCell ref="L301:M301"/>
    <mergeCell ref="P301:Q301"/>
    <mergeCell ref="AX301:AZ301"/>
    <mergeCell ref="BA301:BB301"/>
    <mergeCell ref="BD301:BE301"/>
    <mergeCell ref="BF301:BI301"/>
    <mergeCell ref="BJ301:BM301"/>
    <mergeCell ref="BN301:BV301"/>
    <mergeCell ref="AN301:AO301"/>
    <mergeCell ref="AP301:AQ301"/>
    <mergeCell ref="AR301:AS301"/>
    <mergeCell ref="AT301:AU301"/>
    <mergeCell ref="AV301:AW301"/>
    <mergeCell ref="R301:S301"/>
    <mergeCell ref="T301:U301"/>
    <mergeCell ref="V301:W301"/>
    <mergeCell ref="X301:AA301"/>
    <mergeCell ref="AB301:AE301"/>
    <mergeCell ref="AF301:AG301"/>
    <mergeCell ref="AH301:AI301"/>
    <mergeCell ref="AJ301:AK301"/>
    <mergeCell ref="AL301:AM301"/>
    <mergeCell ref="AL305:AM305"/>
    <mergeCell ref="V302:W302"/>
    <mergeCell ref="X302:AA302"/>
    <mergeCell ref="AB302:AE302"/>
    <mergeCell ref="AF302:AG302"/>
    <mergeCell ref="AH302:AI302"/>
    <mergeCell ref="AJ302:AK302"/>
    <mergeCell ref="AL302:AM302"/>
    <mergeCell ref="BD302:BE302"/>
    <mergeCell ref="BF302:BI302"/>
    <mergeCell ref="BJ302:BM302"/>
    <mergeCell ref="BN302:BV302"/>
    <mergeCell ref="AN302:AO302"/>
    <mergeCell ref="AP302:AQ302"/>
    <mergeCell ref="AR302:AS302"/>
    <mergeCell ref="AT302:AU302"/>
    <mergeCell ref="AV302:AW302"/>
    <mergeCell ref="AX302:AZ302"/>
    <mergeCell ref="BA302:BB302"/>
    <mergeCell ref="B302:C302"/>
    <mergeCell ref="D302:E302"/>
    <mergeCell ref="F302:G302"/>
    <mergeCell ref="H302:I302"/>
    <mergeCell ref="P302:Q302"/>
    <mergeCell ref="R302:S302"/>
    <mergeCell ref="T302:U302"/>
    <mergeCell ref="B303:C303"/>
    <mergeCell ref="D303:E303"/>
    <mergeCell ref="F303:G303"/>
    <mergeCell ref="H303:I303"/>
    <mergeCell ref="J303:K303"/>
    <mergeCell ref="L303:M303"/>
    <mergeCell ref="P303:Q303"/>
    <mergeCell ref="AX303:AZ303"/>
    <mergeCell ref="BA303:BB303"/>
    <mergeCell ref="BD303:BE303"/>
    <mergeCell ref="BF303:BI303"/>
    <mergeCell ref="BJ303:BM303"/>
    <mergeCell ref="BN303:BV303"/>
    <mergeCell ref="AN303:AO303"/>
    <mergeCell ref="AP303:AQ303"/>
    <mergeCell ref="AR303:AS303"/>
    <mergeCell ref="AT303:AU303"/>
    <mergeCell ref="AV303:AW303"/>
    <mergeCell ref="R303:S303"/>
    <mergeCell ref="T303:U303"/>
    <mergeCell ref="V303:W303"/>
    <mergeCell ref="X303:AA303"/>
    <mergeCell ref="AB303:AE303"/>
    <mergeCell ref="AF303:AG303"/>
    <mergeCell ref="AH303:AI303"/>
    <mergeCell ref="AJ303:AK303"/>
    <mergeCell ref="AL303:AM303"/>
    <mergeCell ref="AP307:AQ307"/>
    <mergeCell ref="AR307:AS307"/>
    <mergeCell ref="AT307:AU307"/>
    <mergeCell ref="AV307:AW307"/>
    <mergeCell ref="R307:S307"/>
    <mergeCell ref="T307:U307"/>
    <mergeCell ref="V307:W307"/>
    <mergeCell ref="X307:AA307"/>
    <mergeCell ref="AB307:AE307"/>
    <mergeCell ref="AF307:AG307"/>
    <mergeCell ref="AH307:AI307"/>
    <mergeCell ref="AJ307:AK307"/>
    <mergeCell ref="AL307:AM307"/>
    <mergeCell ref="V304:W304"/>
    <mergeCell ref="X304:AA304"/>
    <mergeCell ref="AB304:AE304"/>
    <mergeCell ref="AF304:AG304"/>
    <mergeCell ref="AH304:AI304"/>
    <mergeCell ref="AJ304:AK304"/>
    <mergeCell ref="AL304:AM304"/>
    <mergeCell ref="BD304:BE304"/>
    <mergeCell ref="BF304:BI304"/>
    <mergeCell ref="BJ304:BM304"/>
    <mergeCell ref="BN304:BV304"/>
    <mergeCell ref="AN304:AO304"/>
    <mergeCell ref="AP304:AQ304"/>
    <mergeCell ref="AR304:AS304"/>
    <mergeCell ref="AT304:AU304"/>
    <mergeCell ref="AV304:AW304"/>
    <mergeCell ref="AX304:AZ304"/>
    <mergeCell ref="BA304:BB304"/>
    <mergeCell ref="B304:C304"/>
    <mergeCell ref="D304:E304"/>
    <mergeCell ref="F304:G304"/>
    <mergeCell ref="H304:I304"/>
    <mergeCell ref="P304:Q304"/>
    <mergeCell ref="R304:S304"/>
    <mergeCell ref="T304:U304"/>
    <mergeCell ref="B305:C305"/>
    <mergeCell ref="D305:E305"/>
    <mergeCell ref="F305:G305"/>
    <mergeCell ref="H305:I305"/>
    <mergeCell ref="J305:K305"/>
    <mergeCell ref="L305:M305"/>
    <mergeCell ref="P305:Q305"/>
    <mergeCell ref="AX305:AZ305"/>
    <mergeCell ref="BA305:BB305"/>
    <mergeCell ref="BD305:BE305"/>
    <mergeCell ref="BF305:BI305"/>
    <mergeCell ref="BJ305:BM305"/>
    <mergeCell ref="BN305:BV305"/>
    <mergeCell ref="AN305:AO305"/>
    <mergeCell ref="AP305:AQ305"/>
    <mergeCell ref="AR305:AS305"/>
    <mergeCell ref="AT305:AU305"/>
    <mergeCell ref="AV305:AW305"/>
    <mergeCell ref="R305:S305"/>
    <mergeCell ref="T305:U305"/>
    <mergeCell ref="V305:W305"/>
    <mergeCell ref="X305:AA305"/>
    <mergeCell ref="AB305:AE305"/>
    <mergeCell ref="AF305:AG305"/>
    <mergeCell ref="AH305:AI305"/>
    <mergeCell ref="AJ305:AK305"/>
    <mergeCell ref="B308:C308"/>
    <mergeCell ref="D308:E308"/>
    <mergeCell ref="F308:G308"/>
    <mergeCell ref="H308:I308"/>
    <mergeCell ref="P308:Q308"/>
    <mergeCell ref="R308:S308"/>
    <mergeCell ref="T308:U308"/>
    <mergeCell ref="B309:C309"/>
    <mergeCell ref="D309:E309"/>
    <mergeCell ref="F309:G309"/>
    <mergeCell ref="H309:I309"/>
    <mergeCell ref="J309:K309"/>
    <mergeCell ref="L309:M309"/>
    <mergeCell ref="P309:Q309"/>
    <mergeCell ref="AX309:AZ309"/>
    <mergeCell ref="BA309:BB309"/>
    <mergeCell ref="BD309:BE309"/>
    <mergeCell ref="BF309:BI309"/>
    <mergeCell ref="BJ309:BM309"/>
    <mergeCell ref="BN309:BV309"/>
    <mergeCell ref="AN309:AO309"/>
    <mergeCell ref="AP309:AQ309"/>
    <mergeCell ref="AR309:AS309"/>
    <mergeCell ref="AT309:AU309"/>
    <mergeCell ref="AV309:AW309"/>
    <mergeCell ref="V306:W306"/>
    <mergeCell ref="X306:AA306"/>
    <mergeCell ref="AB306:AE306"/>
    <mergeCell ref="AF306:AG306"/>
    <mergeCell ref="AH306:AI306"/>
    <mergeCell ref="AJ306:AK306"/>
    <mergeCell ref="AL306:AM306"/>
    <mergeCell ref="BD306:BE306"/>
    <mergeCell ref="BF306:BI306"/>
    <mergeCell ref="BJ306:BM306"/>
    <mergeCell ref="BN306:BV306"/>
    <mergeCell ref="AN306:AO306"/>
    <mergeCell ref="AP306:AQ306"/>
    <mergeCell ref="AR306:AS306"/>
    <mergeCell ref="AT306:AU306"/>
    <mergeCell ref="AV306:AW306"/>
    <mergeCell ref="AX306:AZ306"/>
    <mergeCell ref="BA306:BB306"/>
    <mergeCell ref="B306:C306"/>
    <mergeCell ref="D306:E306"/>
    <mergeCell ref="F306:G306"/>
    <mergeCell ref="H306:I306"/>
    <mergeCell ref="P306:Q306"/>
    <mergeCell ref="R306:S306"/>
    <mergeCell ref="T306:U306"/>
    <mergeCell ref="B307:C307"/>
    <mergeCell ref="D307:E307"/>
    <mergeCell ref="F307:G307"/>
    <mergeCell ref="H307:I307"/>
    <mergeCell ref="J307:K307"/>
    <mergeCell ref="L307:M307"/>
    <mergeCell ref="P307:Q307"/>
    <mergeCell ref="AX307:AZ307"/>
    <mergeCell ref="BA307:BB307"/>
    <mergeCell ref="BD307:BE307"/>
    <mergeCell ref="BF307:BI307"/>
    <mergeCell ref="BJ307:BM307"/>
    <mergeCell ref="BN307:BV307"/>
    <mergeCell ref="AN307:AO307"/>
    <mergeCell ref="AJ313:AK313"/>
    <mergeCell ref="AL313:AM313"/>
    <mergeCell ref="R313:S313"/>
    <mergeCell ref="T313:U313"/>
    <mergeCell ref="V313:W313"/>
    <mergeCell ref="X313:AA313"/>
    <mergeCell ref="AB313:AE313"/>
    <mergeCell ref="AF313:AG313"/>
    <mergeCell ref="AH313:AI313"/>
    <mergeCell ref="R314:S314"/>
    <mergeCell ref="T314:U314"/>
    <mergeCell ref="V314:W314"/>
    <mergeCell ref="X314:AA314"/>
    <mergeCell ref="AB314:AE314"/>
    <mergeCell ref="AF314:AG314"/>
    <mergeCell ref="AH314:AI314"/>
    <mergeCell ref="AX314:AZ314"/>
    <mergeCell ref="BA314:BB314"/>
    <mergeCell ref="BD314:BE314"/>
    <mergeCell ref="BF314:BI314"/>
    <mergeCell ref="BJ314:BM314"/>
    <mergeCell ref="BN314:BV314"/>
    <mergeCell ref="BJ315:BM315"/>
    <mergeCell ref="BN315:BV315"/>
    <mergeCell ref="V308:W308"/>
    <mergeCell ref="X308:AA308"/>
    <mergeCell ref="AB308:AE308"/>
    <mergeCell ref="AF308:AG308"/>
    <mergeCell ref="AH308:AI308"/>
    <mergeCell ref="AJ308:AK308"/>
    <mergeCell ref="AL308:AM308"/>
    <mergeCell ref="BD308:BE308"/>
    <mergeCell ref="BF308:BI308"/>
    <mergeCell ref="BJ308:BM308"/>
    <mergeCell ref="BN308:BV308"/>
    <mergeCell ref="AN308:AO308"/>
    <mergeCell ref="AP308:AQ308"/>
    <mergeCell ref="AR308:AS308"/>
    <mergeCell ref="AT308:AU308"/>
    <mergeCell ref="AV308:AW308"/>
    <mergeCell ref="AX308:AZ308"/>
    <mergeCell ref="BA308:BB308"/>
    <mergeCell ref="BJ311:BM311"/>
    <mergeCell ref="BN311:BV311"/>
    <mergeCell ref="AJ309:AK309"/>
    <mergeCell ref="AL309:AM309"/>
    <mergeCell ref="AN311:AO311"/>
    <mergeCell ref="AP311:AQ311"/>
    <mergeCell ref="AR311:AS311"/>
    <mergeCell ref="AT311:AU311"/>
    <mergeCell ref="AV311:AW311"/>
    <mergeCell ref="R311:S311"/>
    <mergeCell ref="T311:U311"/>
    <mergeCell ref="V311:W311"/>
    <mergeCell ref="X311:AA311"/>
    <mergeCell ref="AB311:AE311"/>
    <mergeCell ref="AF311:AG311"/>
    <mergeCell ref="AH311:AI311"/>
    <mergeCell ref="V312:W312"/>
    <mergeCell ref="X312:AA312"/>
    <mergeCell ref="AB312:AE312"/>
    <mergeCell ref="AF312:AG312"/>
    <mergeCell ref="AH312:AI312"/>
    <mergeCell ref="AJ312:AK312"/>
    <mergeCell ref="B314:C314"/>
    <mergeCell ref="D314:E314"/>
    <mergeCell ref="F314:G314"/>
    <mergeCell ref="H314:I314"/>
    <mergeCell ref="J314:K314"/>
    <mergeCell ref="L314:M314"/>
    <mergeCell ref="P314:Q314"/>
    <mergeCell ref="B315:C315"/>
    <mergeCell ref="D315:E315"/>
    <mergeCell ref="F315:G315"/>
    <mergeCell ref="H315:I315"/>
    <mergeCell ref="J315:K315"/>
    <mergeCell ref="L315:M315"/>
    <mergeCell ref="P315:Q315"/>
    <mergeCell ref="AJ314:AK314"/>
    <mergeCell ref="AL314:AM314"/>
    <mergeCell ref="AN314:AO314"/>
    <mergeCell ref="AP314:AQ314"/>
    <mergeCell ref="AR314:AS314"/>
    <mergeCell ref="AT314:AU314"/>
    <mergeCell ref="AV314:AW314"/>
    <mergeCell ref="BD317:BE317"/>
    <mergeCell ref="BF317:BI317"/>
    <mergeCell ref="AN317:AO317"/>
    <mergeCell ref="AP317:AQ317"/>
    <mergeCell ref="AR317:AS317"/>
    <mergeCell ref="AT317:AU317"/>
    <mergeCell ref="AV317:AW317"/>
    <mergeCell ref="AX317:AZ317"/>
    <mergeCell ref="BA317:BB317"/>
    <mergeCell ref="AJ315:AK315"/>
    <mergeCell ref="AL315:AM315"/>
    <mergeCell ref="R315:S315"/>
    <mergeCell ref="T315:U315"/>
    <mergeCell ref="V315:W315"/>
    <mergeCell ref="X315:AA315"/>
    <mergeCell ref="AB315:AE315"/>
    <mergeCell ref="AF315:AG315"/>
    <mergeCell ref="AH315:AI315"/>
    <mergeCell ref="R316:S316"/>
    <mergeCell ref="T316:U316"/>
    <mergeCell ref="V316:W316"/>
    <mergeCell ref="X316:AA316"/>
    <mergeCell ref="AB316:AE316"/>
    <mergeCell ref="AF316:AG316"/>
    <mergeCell ref="AH316:AI316"/>
    <mergeCell ref="AX316:AZ316"/>
    <mergeCell ref="BA316:BB316"/>
    <mergeCell ref="BD316:BE316"/>
    <mergeCell ref="BF316:BI316"/>
    <mergeCell ref="BD315:BE315"/>
    <mergeCell ref="BF315:BI315"/>
    <mergeCell ref="AN315:AO315"/>
    <mergeCell ref="AP315:AQ315"/>
    <mergeCell ref="AR315:AS315"/>
    <mergeCell ref="AT315:AU315"/>
    <mergeCell ref="AV315:AW315"/>
    <mergeCell ref="AX315:AZ315"/>
    <mergeCell ref="BA315:BB315"/>
    <mergeCell ref="AJ317:AK317"/>
    <mergeCell ref="AL317:AM317"/>
    <mergeCell ref="R317:S317"/>
    <mergeCell ref="T317:U317"/>
    <mergeCell ref="V317:W317"/>
    <mergeCell ref="BJ316:BM316"/>
    <mergeCell ref="BN316:BV316"/>
    <mergeCell ref="BJ317:BM317"/>
    <mergeCell ref="BN317:BV317"/>
    <mergeCell ref="B316:C316"/>
    <mergeCell ref="D316:E316"/>
    <mergeCell ref="F316:G316"/>
    <mergeCell ref="H316:I316"/>
    <mergeCell ref="J316:K316"/>
    <mergeCell ref="L316:M316"/>
    <mergeCell ref="P316:Q316"/>
    <mergeCell ref="B317:C317"/>
    <mergeCell ref="D317:E317"/>
    <mergeCell ref="F317:G317"/>
    <mergeCell ref="H317:I317"/>
    <mergeCell ref="J317:K317"/>
    <mergeCell ref="L317:M317"/>
    <mergeCell ref="P317:Q317"/>
    <mergeCell ref="AJ316:AK316"/>
    <mergeCell ref="AL316:AM316"/>
    <mergeCell ref="AN316:AO316"/>
    <mergeCell ref="AP316:AQ316"/>
    <mergeCell ref="AR316:AS316"/>
    <mergeCell ref="AT316:AU316"/>
    <mergeCell ref="AV316:AW316"/>
    <mergeCell ref="BD373:BE373"/>
    <mergeCell ref="BF373:BI373"/>
    <mergeCell ref="AN373:AO373"/>
    <mergeCell ref="AP373:AQ373"/>
    <mergeCell ref="AR373:AS373"/>
    <mergeCell ref="AT373:AU373"/>
    <mergeCell ref="AV373:AW373"/>
    <mergeCell ref="AX373:AZ373"/>
    <mergeCell ref="BA373:BB373"/>
    <mergeCell ref="AJ371:AK371"/>
    <mergeCell ref="AL371:AM371"/>
    <mergeCell ref="R371:S371"/>
    <mergeCell ref="T371:U371"/>
    <mergeCell ref="V371:W371"/>
    <mergeCell ref="X371:AA371"/>
    <mergeCell ref="AB371:AE371"/>
    <mergeCell ref="AF371:AG371"/>
    <mergeCell ref="AH371:AI371"/>
    <mergeCell ref="R372:S372"/>
    <mergeCell ref="T372:U372"/>
    <mergeCell ref="V372:W372"/>
    <mergeCell ref="X372:AA372"/>
    <mergeCell ref="AB372:AE372"/>
    <mergeCell ref="AF372:AG372"/>
    <mergeCell ref="AH372:AI372"/>
    <mergeCell ref="AX372:AZ372"/>
    <mergeCell ref="BA372:BB372"/>
    <mergeCell ref="BD372:BE372"/>
    <mergeCell ref="BF372:BI372"/>
    <mergeCell ref="BJ372:BM372"/>
    <mergeCell ref="BN372:BV372"/>
    <mergeCell ref="BJ373:BM373"/>
    <mergeCell ref="BN373:BV373"/>
    <mergeCell ref="B372:C372"/>
    <mergeCell ref="D372:E372"/>
    <mergeCell ref="F372:G372"/>
    <mergeCell ref="H372:I372"/>
    <mergeCell ref="J372:K372"/>
    <mergeCell ref="L372:M372"/>
    <mergeCell ref="P372:Q372"/>
    <mergeCell ref="B373:C373"/>
    <mergeCell ref="D373:E373"/>
    <mergeCell ref="F373:G373"/>
    <mergeCell ref="H373:I373"/>
    <mergeCell ref="J373:K373"/>
    <mergeCell ref="L373:M373"/>
    <mergeCell ref="P373:Q373"/>
    <mergeCell ref="AJ372:AK372"/>
    <mergeCell ref="AL372:AM372"/>
    <mergeCell ref="AN372:AO372"/>
    <mergeCell ref="AP372:AQ372"/>
    <mergeCell ref="AR372:AS372"/>
    <mergeCell ref="AT372:AU372"/>
    <mergeCell ref="AV372:AW372"/>
    <mergeCell ref="AJ390:AK390"/>
    <mergeCell ref="AL390:AM390"/>
    <mergeCell ref="R390:S390"/>
    <mergeCell ref="T390:U390"/>
    <mergeCell ref="V390:W390"/>
    <mergeCell ref="X390:AA390"/>
    <mergeCell ref="AB390:AE390"/>
    <mergeCell ref="AF390:AG390"/>
    <mergeCell ref="AH390:AI390"/>
    <mergeCell ref="R391:S391"/>
    <mergeCell ref="T391:U391"/>
    <mergeCell ref="V391:W391"/>
    <mergeCell ref="X391:AA391"/>
    <mergeCell ref="AB391:AE391"/>
    <mergeCell ref="AF391:AG391"/>
    <mergeCell ref="AH391:AI391"/>
    <mergeCell ref="AX391:AZ391"/>
    <mergeCell ref="BA391:BB391"/>
    <mergeCell ref="AN387:AO387"/>
    <mergeCell ref="AP387:AQ387"/>
    <mergeCell ref="AR387:AS387"/>
    <mergeCell ref="AT387:AU387"/>
    <mergeCell ref="AV387:AW387"/>
    <mergeCell ref="AX387:AZ387"/>
    <mergeCell ref="BA387:BB387"/>
    <mergeCell ref="AJ385:AK385"/>
    <mergeCell ref="AL385:AM385"/>
    <mergeCell ref="R385:S385"/>
    <mergeCell ref="T385:U385"/>
    <mergeCell ref="V385:W385"/>
    <mergeCell ref="X385:AA385"/>
    <mergeCell ref="AB385:AE385"/>
    <mergeCell ref="AF385:AG385"/>
    <mergeCell ref="AH385:AI385"/>
    <mergeCell ref="R386:S386"/>
    <mergeCell ref="T386:U386"/>
    <mergeCell ref="V386:W386"/>
    <mergeCell ref="X386:AA386"/>
    <mergeCell ref="AB386:AE386"/>
    <mergeCell ref="AF386:AG386"/>
    <mergeCell ref="AH386:AI386"/>
    <mergeCell ref="AX386:AZ386"/>
    <mergeCell ref="BA386:BB386"/>
    <mergeCell ref="P380:Q380"/>
    <mergeCell ref="B381:C381"/>
    <mergeCell ref="D381:E381"/>
    <mergeCell ref="F381:G381"/>
    <mergeCell ref="H381:I381"/>
    <mergeCell ref="J381:K381"/>
    <mergeCell ref="BJ391:BM391"/>
    <mergeCell ref="BN391:BV391"/>
    <mergeCell ref="BJ392:BM392"/>
    <mergeCell ref="BN392:BV392"/>
    <mergeCell ref="B391:C391"/>
    <mergeCell ref="D391:E391"/>
    <mergeCell ref="F391:G391"/>
    <mergeCell ref="H391:I391"/>
    <mergeCell ref="J391:K391"/>
    <mergeCell ref="L391:M391"/>
    <mergeCell ref="P391:Q391"/>
    <mergeCell ref="B392:C392"/>
    <mergeCell ref="D392:E392"/>
    <mergeCell ref="F392:G392"/>
    <mergeCell ref="H392:I392"/>
    <mergeCell ref="J392:K392"/>
    <mergeCell ref="L392:M392"/>
    <mergeCell ref="P392:Q392"/>
    <mergeCell ref="AJ391:AK391"/>
    <mergeCell ref="AL391:AM391"/>
    <mergeCell ref="AN391:AO391"/>
    <mergeCell ref="AP391:AQ391"/>
    <mergeCell ref="AR391:AS391"/>
    <mergeCell ref="AT391:AU391"/>
    <mergeCell ref="AV391:AW391"/>
    <mergeCell ref="BD394:BE394"/>
    <mergeCell ref="BF394:BI394"/>
    <mergeCell ref="AN394:AO394"/>
    <mergeCell ref="AP394:AQ394"/>
    <mergeCell ref="AR394:AS394"/>
    <mergeCell ref="AT394:AU394"/>
    <mergeCell ref="AV394:AW394"/>
    <mergeCell ref="AX394:AZ394"/>
    <mergeCell ref="BA394:BB394"/>
    <mergeCell ref="AJ392:AK392"/>
    <mergeCell ref="AL392:AM392"/>
    <mergeCell ref="R392:S392"/>
    <mergeCell ref="T392:U392"/>
    <mergeCell ref="V392:W392"/>
    <mergeCell ref="X392:AA392"/>
    <mergeCell ref="AB392:AE392"/>
    <mergeCell ref="AF392:AG392"/>
    <mergeCell ref="AH392:AI392"/>
    <mergeCell ref="R393:S393"/>
    <mergeCell ref="T393:U393"/>
    <mergeCell ref="V393:W393"/>
    <mergeCell ref="X393:AA393"/>
    <mergeCell ref="AB393:AE393"/>
    <mergeCell ref="AF393:AG393"/>
    <mergeCell ref="AH393:AI393"/>
    <mergeCell ref="AX393:AZ393"/>
    <mergeCell ref="BA393:BB393"/>
    <mergeCell ref="BD393:BE393"/>
    <mergeCell ref="BF393:BI393"/>
    <mergeCell ref="BJ393:BM393"/>
    <mergeCell ref="BN393:BV393"/>
    <mergeCell ref="BJ394:BM394"/>
    <mergeCell ref="BN394:BV394"/>
    <mergeCell ref="B393:C393"/>
    <mergeCell ref="D393:E393"/>
    <mergeCell ref="F393:G393"/>
    <mergeCell ref="H393:I393"/>
    <mergeCell ref="J393:K393"/>
    <mergeCell ref="L393:M393"/>
    <mergeCell ref="BF386:BI386"/>
    <mergeCell ref="BJ386:BM386"/>
    <mergeCell ref="BN386:BV386"/>
    <mergeCell ref="B386:C386"/>
    <mergeCell ref="D386:E386"/>
    <mergeCell ref="F386:G386"/>
    <mergeCell ref="H386:I386"/>
    <mergeCell ref="J386:K386"/>
    <mergeCell ref="L386:M386"/>
    <mergeCell ref="P386:Q386"/>
    <mergeCell ref="AJ386:AK386"/>
    <mergeCell ref="AL386:AM386"/>
    <mergeCell ref="AN386:AO386"/>
    <mergeCell ref="AP386:AQ386"/>
    <mergeCell ref="AR386:AS386"/>
    <mergeCell ref="AT386:AU386"/>
    <mergeCell ref="AV386:AW386"/>
    <mergeCell ref="B387:C387"/>
    <mergeCell ref="D387:E387"/>
    <mergeCell ref="F387:G387"/>
    <mergeCell ref="H387:I387"/>
    <mergeCell ref="J387:K387"/>
    <mergeCell ref="L387:M387"/>
    <mergeCell ref="P387:Q387"/>
    <mergeCell ref="R389:S389"/>
    <mergeCell ref="T389:U389"/>
    <mergeCell ref="V389:W389"/>
    <mergeCell ref="X389:AA389"/>
    <mergeCell ref="AB389:AE389"/>
    <mergeCell ref="AF389:AG389"/>
    <mergeCell ref="AH389:AI389"/>
    <mergeCell ref="B389:C389"/>
    <mergeCell ref="D389:E389"/>
    <mergeCell ref="F389:G389"/>
    <mergeCell ref="H389:I389"/>
    <mergeCell ref="J389:K389"/>
    <mergeCell ref="L389:M389"/>
    <mergeCell ref="P389:Q389"/>
    <mergeCell ref="BD386:BE386"/>
    <mergeCell ref="R388:S388"/>
    <mergeCell ref="T388:U388"/>
    <mergeCell ref="V388:W388"/>
    <mergeCell ref="X388:AA388"/>
    <mergeCell ref="AB388:AE388"/>
    <mergeCell ref="AF388:AG388"/>
    <mergeCell ref="AH388:AI388"/>
    <mergeCell ref="AX388:AZ388"/>
    <mergeCell ref="BA388:BB388"/>
    <mergeCell ref="BD388:BE388"/>
    <mergeCell ref="BF388:BI388"/>
    <mergeCell ref="BJ388:BM388"/>
    <mergeCell ref="BN388:BV388"/>
    <mergeCell ref="AJ388:AK388"/>
    <mergeCell ref="AL388:AM388"/>
    <mergeCell ref="AN388:AO388"/>
    <mergeCell ref="AP388:AQ388"/>
    <mergeCell ref="AR388:AS388"/>
    <mergeCell ref="AT388:AU388"/>
    <mergeCell ref="AV388:AW388"/>
    <mergeCell ref="B388:C388"/>
    <mergeCell ref="D388:E388"/>
    <mergeCell ref="F388:G388"/>
    <mergeCell ref="H388:I388"/>
    <mergeCell ref="J388:K388"/>
    <mergeCell ref="BJ389:BM389"/>
    <mergeCell ref="BN389:BV389"/>
    <mergeCell ref="BJ390:BM390"/>
    <mergeCell ref="BN390:BV390"/>
    <mergeCell ref="B390:C390"/>
    <mergeCell ref="D390:E390"/>
    <mergeCell ref="F390:G390"/>
    <mergeCell ref="H390:I390"/>
    <mergeCell ref="J390:K390"/>
    <mergeCell ref="L390:M390"/>
    <mergeCell ref="P390:Q390"/>
    <mergeCell ref="AJ389:AK389"/>
    <mergeCell ref="AL389:AM389"/>
    <mergeCell ref="AN389:AO389"/>
    <mergeCell ref="AP389:AQ389"/>
    <mergeCell ref="AR389:AS389"/>
    <mergeCell ref="AT389:AU389"/>
    <mergeCell ref="AV389:AW389"/>
    <mergeCell ref="BD392:BE392"/>
    <mergeCell ref="BF392:BI392"/>
    <mergeCell ref="AN392:AO392"/>
    <mergeCell ref="AP392:AQ392"/>
    <mergeCell ref="AR392:AS392"/>
    <mergeCell ref="AT392:AU392"/>
    <mergeCell ref="AV392:AW392"/>
    <mergeCell ref="AX392:AZ392"/>
    <mergeCell ref="BA392:BB392"/>
    <mergeCell ref="AJ410:AK410"/>
    <mergeCell ref="AL410:AM410"/>
    <mergeCell ref="BJ410:BM410"/>
    <mergeCell ref="BN410:BV410"/>
    <mergeCell ref="R410:S410"/>
    <mergeCell ref="T410:U410"/>
    <mergeCell ref="V410:W410"/>
    <mergeCell ref="X410:AA410"/>
    <mergeCell ref="AB410:AE410"/>
    <mergeCell ref="AF410:AG410"/>
    <mergeCell ref="AH410:AI410"/>
    <mergeCell ref="BD398:BE398"/>
    <mergeCell ref="BF398:BI398"/>
    <mergeCell ref="AN398:AO398"/>
    <mergeCell ref="AP398:AQ398"/>
    <mergeCell ref="AR398:AS398"/>
    <mergeCell ref="AT398:AU398"/>
    <mergeCell ref="AV398:AW398"/>
    <mergeCell ref="AX398:AZ398"/>
    <mergeCell ref="BA398:BB398"/>
    <mergeCell ref="AJ396:AK396"/>
    <mergeCell ref="AL396:AM396"/>
    <mergeCell ref="BJ396:BM396"/>
    <mergeCell ref="BN396:BV396"/>
    <mergeCell ref="R396:S396"/>
    <mergeCell ref="T396:U396"/>
    <mergeCell ref="V396:W396"/>
    <mergeCell ref="X396:AA396"/>
    <mergeCell ref="AB396:AE396"/>
    <mergeCell ref="AF396:AG396"/>
    <mergeCell ref="AH396:AI396"/>
    <mergeCell ref="R397:S397"/>
    <mergeCell ref="T397:U397"/>
    <mergeCell ref="V397:W397"/>
    <mergeCell ref="X397:AA397"/>
    <mergeCell ref="AB397:AE397"/>
    <mergeCell ref="AF397:AG397"/>
    <mergeCell ref="AH397:AI397"/>
    <mergeCell ref="AX397:AZ397"/>
    <mergeCell ref="BA397:BB397"/>
    <mergeCell ref="BD397:BE397"/>
    <mergeCell ref="BF397:BI397"/>
    <mergeCell ref="BJ397:BM397"/>
    <mergeCell ref="BN397:BV397"/>
    <mergeCell ref="BJ398:BM398"/>
    <mergeCell ref="BN398:BV398"/>
    <mergeCell ref="BJ399:BM399"/>
    <mergeCell ref="BN399:BV399"/>
    <mergeCell ref="BJ400:BM400"/>
    <mergeCell ref="BN400:BV400"/>
    <mergeCell ref="AJ399:AK399"/>
    <mergeCell ref="AL399:AM399"/>
    <mergeCell ref="AN399:AO399"/>
    <mergeCell ref="AP399:AQ399"/>
    <mergeCell ref="AR399:AS399"/>
    <mergeCell ref="B397:C397"/>
    <mergeCell ref="D397:E397"/>
    <mergeCell ref="F397:G397"/>
    <mergeCell ref="H397:I397"/>
    <mergeCell ref="J397:K397"/>
    <mergeCell ref="L397:M397"/>
    <mergeCell ref="P397:Q397"/>
    <mergeCell ref="B398:C398"/>
    <mergeCell ref="D398:E398"/>
    <mergeCell ref="F398:G398"/>
    <mergeCell ref="H398:I398"/>
    <mergeCell ref="J398:K398"/>
    <mergeCell ref="L398:M398"/>
    <mergeCell ref="P398:Q398"/>
    <mergeCell ref="AJ397:AK397"/>
    <mergeCell ref="AL397:AM397"/>
    <mergeCell ref="AN397:AO397"/>
    <mergeCell ref="AP397:AQ397"/>
    <mergeCell ref="AR397:AS397"/>
    <mergeCell ref="AT397:AU397"/>
    <mergeCell ref="AV397:AW397"/>
    <mergeCell ref="BD400:BE400"/>
    <mergeCell ref="BF400:BI400"/>
    <mergeCell ref="AN400:AO400"/>
    <mergeCell ref="AP400:AQ400"/>
    <mergeCell ref="AR400:AS400"/>
    <mergeCell ref="AT400:AU400"/>
    <mergeCell ref="AV400:AW400"/>
    <mergeCell ref="AX400:AZ400"/>
    <mergeCell ref="BA400:BB400"/>
    <mergeCell ref="AJ398:AK398"/>
    <mergeCell ref="AL398:AM398"/>
    <mergeCell ref="R398:S398"/>
    <mergeCell ref="T398:U398"/>
    <mergeCell ref="V398:W398"/>
    <mergeCell ref="X398:AA398"/>
    <mergeCell ref="AB398:AE398"/>
    <mergeCell ref="AF398:AG398"/>
    <mergeCell ref="AH398:AI398"/>
    <mergeCell ref="R399:S399"/>
    <mergeCell ref="T399:U399"/>
    <mergeCell ref="V399:W399"/>
    <mergeCell ref="X399:AA399"/>
    <mergeCell ref="AB399:AE399"/>
    <mergeCell ref="AF399:AG399"/>
    <mergeCell ref="AH399:AI399"/>
    <mergeCell ref="AX399:AZ399"/>
    <mergeCell ref="BA399:BB399"/>
    <mergeCell ref="BD399:BE399"/>
    <mergeCell ref="BF399:BI399"/>
    <mergeCell ref="B399:C399"/>
    <mergeCell ref="D399:E399"/>
    <mergeCell ref="F399:G399"/>
    <mergeCell ref="H399:I399"/>
    <mergeCell ref="J399:K399"/>
    <mergeCell ref="L399:M399"/>
    <mergeCell ref="P399:Q399"/>
    <mergeCell ref="B400:C400"/>
    <mergeCell ref="D400:E400"/>
    <mergeCell ref="F400:G400"/>
    <mergeCell ref="H400:I400"/>
    <mergeCell ref="J400:K400"/>
    <mergeCell ref="L400:M400"/>
    <mergeCell ref="P400:Q400"/>
    <mergeCell ref="AT399:AU399"/>
    <mergeCell ref="AV399:AW399"/>
    <mergeCell ref="BD402:BE402"/>
    <mergeCell ref="BF402:BI402"/>
    <mergeCell ref="AN402:AO402"/>
    <mergeCell ref="AP402:AQ402"/>
    <mergeCell ref="AR402:AS402"/>
    <mergeCell ref="AT402:AU402"/>
    <mergeCell ref="AV402:AW402"/>
    <mergeCell ref="AX402:AZ402"/>
    <mergeCell ref="BA402:BB402"/>
    <mergeCell ref="AJ400:AK400"/>
    <mergeCell ref="AL400:AM400"/>
    <mergeCell ref="R400:S400"/>
    <mergeCell ref="T400:U400"/>
    <mergeCell ref="V400:W400"/>
    <mergeCell ref="X400:AA400"/>
    <mergeCell ref="AB400:AE400"/>
    <mergeCell ref="AF400:AG400"/>
    <mergeCell ref="AH400:AI400"/>
    <mergeCell ref="R401:S401"/>
    <mergeCell ref="T401:U401"/>
    <mergeCell ref="V401:W401"/>
    <mergeCell ref="X401:AA401"/>
    <mergeCell ref="AB401:AE401"/>
    <mergeCell ref="AF401:AG401"/>
    <mergeCell ref="AH401:AI401"/>
    <mergeCell ref="AX401:AZ401"/>
    <mergeCell ref="BA401:BB401"/>
    <mergeCell ref="BD401:BE401"/>
    <mergeCell ref="BF401:BI401"/>
    <mergeCell ref="BJ401:BM401"/>
    <mergeCell ref="BN401:BV401"/>
    <mergeCell ref="BJ402:BM402"/>
    <mergeCell ref="BN402:BV402"/>
    <mergeCell ref="B401:C401"/>
    <mergeCell ref="D401:E401"/>
    <mergeCell ref="F401:G401"/>
    <mergeCell ref="H401:I401"/>
    <mergeCell ref="J401:K401"/>
    <mergeCell ref="L401:M401"/>
    <mergeCell ref="P401:Q401"/>
    <mergeCell ref="B402:C402"/>
    <mergeCell ref="D402:E402"/>
    <mergeCell ref="F402:G402"/>
    <mergeCell ref="H402:I402"/>
    <mergeCell ref="J402:K402"/>
    <mergeCell ref="L402:M402"/>
    <mergeCell ref="P402:Q402"/>
    <mergeCell ref="AJ401:AK401"/>
    <mergeCell ref="AL401:AM401"/>
    <mergeCell ref="AN401:AO401"/>
    <mergeCell ref="AP401:AQ401"/>
    <mergeCell ref="AR401:AS401"/>
    <mergeCell ref="AT401:AU401"/>
    <mergeCell ref="AV401:AW401"/>
    <mergeCell ref="BD404:BE404"/>
    <mergeCell ref="BF404:BI404"/>
    <mergeCell ref="AN404:AO404"/>
    <mergeCell ref="AP404:AQ404"/>
    <mergeCell ref="AR404:AS404"/>
    <mergeCell ref="AT404:AU404"/>
    <mergeCell ref="AV404:AW404"/>
    <mergeCell ref="AX404:AZ404"/>
    <mergeCell ref="BA404:BB404"/>
    <mergeCell ref="AJ402:AK402"/>
    <mergeCell ref="AL402:AM402"/>
    <mergeCell ref="R402:S402"/>
    <mergeCell ref="T402:U402"/>
    <mergeCell ref="V402:W402"/>
    <mergeCell ref="X402:AA402"/>
    <mergeCell ref="AB402:AE402"/>
    <mergeCell ref="AF402:AG402"/>
    <mergeCell ref="AH402:AI402"/>
    <mergeCell ref="R403:S403"/>
    <mergeCell ref="T403:U403"/>
    <mergeCell ref="V403:W403"/>
    <mergeCell ref="X403:AA403"/>
    <mergeCell ref="AB403:AE403"/>
    <mergeCell ref="AF403:AG403"/>
    <mergeCell ref="AH403:AI403"/>
    <mergeCell ref="AX403:AZ403"/>
    <mergeCell ref="BA403:BB403"/>
    <mergeCell ref="BD403:BE403"/>
    <mergeCell ref="BF403:BI403"/>
    <mergeCell ref="BJ403:BM403"/>
    <mergeCell ref="BN403:BV403"/>
    <mergeCell ref="BJ404:BM404"/>
    <mergeCell ref="BN404:BV404"/>
    <mergeCell ref="B403:C403"/>
    <mergeCell ref="D403:E403"/>
    <mergeCell ref="F403:G403"/>
    <mergeCell ref="H403:I403"/>
    <mergeCell ref="J403:K403"/>
    <mergeCell ref="L403:M403"/>
    <mergeCell ref="P403:Q403"/>
    <mergeCell ref="B404:C404"/>
    <mergeCell ref="D404:E404"/>
    <mergeCell ref="F404:G404"/>
    <mergeCell ref="H404:I404"/>
    <mergeCell ref="J404:K404"/>
    <mergeCell ref="L404:M404"/>
    <mergeCell ref="P404:Q404"/>
    <mergeCell ref="AJ403:AK403"/>
    <mergeCell ref="AL403:AM403"/>
    <mergeCell ref="AN403:AO403"/>
    <mergeCell ref="AP403:AQ403"/>
    <mergeCell ref="AR403:AS403"/>
    <mergeCell ref="AT403:AU403"/>
    <mergeCell ref="AV403:AW403"/>
    <mergeCell ref="BD406:BE406"/>
    <mergeCell ref="BF406:BI406"/>
    <mergeCell ref="AN406:AO406"/>
    <mergeCell ref="AP406:AQ406"/>
    <mergeCell ref="AR406:AS406"/>
    <mergeCell ref="AT406:AU406"/>
    <mergeCell ref="AV406:AW406"/>
    <mergeCell ref="AX406:AZ406"/>
    <mergeCell ref="BA406:BB406"/>
    <mergeCell ref="AJ404:AK404"/>
    <mergeCell ref="AL404:AM404"/>
    <mergeCell ref="R404:S404"/>
    <mergeCell ref="T404:U404"/>
    <mergeCell ref="V404:W404"/>
    <mergeCell ref="X404:AA404"/>
    <mergeCell ref="AB404:AE404"/>
    <mergeCell ref="AF404:AG404"/>
    <mergeCell ref="AH404:AI404"/>
    <mergeCell ref="R405:S405"/>
    <mergeCell ref="T405:U405"/>
    <mergeCell ref="V405:W405"/>
    <mergeCell ref="X405:AA405"/>
    <mergeCell ref="AB405:AE405"/>
    <mergeCell ref="AF405:AG405"/>
    <mergeCell ref="AH405:AI405"/>
    <mergeCell ref="AX405:AZ405"/>
    <mergeCell ref="BA405:BB405"/>
    <mergeCell ref="BD405:BE405"/>
    <mergeCell ref="BF405:BI405"/>
    <mergeCell ref="BJ405:BM405"/>
    <mergeCell ref="BN405:BV405"/>
    <mergeCell ref="BJ406:BM406"/>
    <mergeCell ref="BN406:BV406"/>
    <mergeCell ref="B405:C405"/>
    <mergeCell ref="D405:E405"/>
    <mergeCell ref="F405:G405"/>
    <mergeCell ref="H405:I405"/>
    <mergeCell ref="J405:K405"/>
    <mergeCell ref="L405:M405"/>
    <mergeCell ref="P405:Q405"/>
    <mergeCell ref="B406:C406"/>
    <mergeCell ref="D406:E406"/>
    <mergeCell ref="F406:G406"/>
    <mergeCell ref="H406:I406"/>
    <mergeCell ref="J406:K406"/>
    <mergeCell ref="L406:M406"/>
    <mergeCell ref="P406:Q406"/>
    <mergeCell ref="AJ405:AK405"/>
    <mergeCell ref="AL405:AM405"/>
    <mergeCell ref="AN405:AO405"/>
    <mergeCell ref="AP405:AQ405"/>
    <mergeCell ref="AR405:AS405"/>
    <mergeCell ref="AT405:AU405"/>
    <mergeCell ref="AV405:AW405"/>
    <mergeCell ref="BD408:BE408"/>
    <mergeCell ref="BF408:BI408"/>
    <mergeCell ref="AN408:AO408"/>
    <mergeCell ref="AP408:AQ408"/>
    <mergeCell ref="AR408:AS408"/>
    <mergeCell ref="AT408:AU408"/>
    <mergeCell ref="AV408:AW408"/>
    <mergeCell ref="AX408:AZ408"/>
    <mergeCell ref="BA408:BB408"/>
    <mergeCell ref="AJ406:AK406"/>
    <mergeCell ref="AL406:AM406"/>
    <mergeCell ref="R406:S406"/>
    <mergeCell ref="T406:U406"/>
    <mergeCell ref="V406:W406"/>
    <mergeCell ref="X406:AA406"/>
    <mergeCell ref="AB406:AE406"/>
    <mergeCell ref="AF406:AG406"/>
    <mergeCell ref="AH406:AI406"/>
    <mergeCell ref="R407:S407"/>
    <mergeCell ref="T407:U407"/>
    <mergeCell ref="V407:W407"/>
    <mergeCell ref="X407:AA407"/>
    <mergeCell ref="AB407:AE407"/>
    <mergeCell ref="AF407:AG407"/>
    <mergeCell ref="AH407:AI407"/>
    <mergeCell ref="AX407:AZ407"/>
    <mergeCell ref="BA407:BB407"/>
    <mergeCell ref="BD407:BE407"/>
    <mergeCell ref="BF407:BI407"/>
    <mergeCell ref="BJ407:BM407"/>
    <mergeCell ref="BN407:BV407"/>
    <mergeCell ref="BJ408:BM408"/>
    <mergeCell ref="BN408:BV408"/>
    <mergeCell ref="B407:C407"/>
    <mergeCell ref="D407:E407"/>
    <mergeCell ref="F407:G407"/>
    <mergeCell ref="H407:I407"/>
    <mergeCell ref="J407:K407"/>
    <mergeCell ref="L407:M407"/>
    <mergeCell ref="P407:Q407"/>
    <mergeCell ref="B408:C408"/>
    <mergeCell ref="D408:E408"/>
    <mergeCell ref="F408:G408"/>
    <mergeCell ref="H408:I408"/>
    <mergeCell ref="J408:K408"/>
    <mergeCell ref="L408:M408"/>
    <mergeCell ref="P408:Q408"/>
    <mergeCell ref="AJ407:AK407"/>
    <mergeCell ref="AL407:AM407"/>
    <mergeCell ref="AN407:AO407"/>
    <mergeCell ref="AP407:AQ407"/>
    <mergeCell ref="AR407:AS407"/>
    <mergeCell ref="AT407:AU407"/>
    <mergeCell ref="AV407:AW407"/>
    <mergeCell ref="BD419:BE419"/>
    <mergeCell ref="BF419:BI419"/>
    <mergeCell ref="AN419:AO419"/>
    <mergeCell ref="AP419:AQ419"/>
    <mergeCell ref="AR419:AS419"/>
    <mergeCell ref="AT419:AU419"/>
    <mergeCell ref="AV419:AW419"/>
    <mergeCell ref="AX419:AZ419"/>
    <mergeCell ref="BA419:BB419"/>
    <mergeCell ref="AJ417:AK417"/>
    <mergeCell ref="AL417:AM417"/>
    <mergeCell ref="R417:S417"/>
    <mergeCell ref="T417:U417"/>
    <mergeCell ref="V417:W417"/>
    <mergeCell ref="X417:AA417"/>
    <mergeCell ref="AB417:AE417"/>
    <mergeCell ref="AF417:AG417"/>
    <mergeCell ref="AH417:AI417"/>
    <mergeCell ref="R418:S418"/>
    <mergeCell ref="T418:U418"/>
    <mergeCell ref="V418:W418"/>
    <mergeCell ref="X418:AA418"/>
    <mergeCell ref="AB418:AE418"/>
    <mergeCell ref="AF418:AG418"/>
    <mergeCell ref="AH418:AI418"/>
    <mergeCell ref="AX418:AZ418"/>
    <mergeCell ref="BA418:BB418"/>
    <mergeCell ref="BD418:BE418"/>
    <mergeCell ref="BF418:BI418"/>
    <mergeCell ref="AV417:AW417"/>
    <mergeCell ref="AX417:AZ417"/>
    <mergeCell ref="BA417:BB417"/>
    <mergeCell ref="AJ415:AK415"/>
    <mergeCell ref="AL415:AM415"/>
    <mergeCell ref="R415:S415"/>
    <mergeCell ref="T415:U415"/>
    <mergeCell ref="V415:W415"/>
    <mergeCell ref="X415:AA415"/>
    <mergeCell ref="AB415:AE415"/>
    <mergeCell ref="AF415:AG415"/>
    <mergeCell ref="AH415:AI415"/>
    <mergeCell ref="R416:S416"/>
    <mergeCell ref="T416:U416"/>
    <mergeCell ref="V416:W416"/>
    <mergeCell ref="X416:AA416"/>
    <mergeCell ref="AB416:AE416"/>
    <mergeCell ref="AF416:AG416"/>
    <mergeCell ref="AH416:AI416"/>
    <mergeCell ref="AX416:AZ416"/>
    <mergeCell ref="BJ418:BM418"/>
    <mergeCell ref="BN418:BV418"/>
    <mergeCell ref="BJ419:BM419"/>
    <mergeCell ref="BN419:BV419"/>
    <mergeCell ref="B418:C418"/>
    <mergeCell ref="D418:E418"/>
    <mergeCell ref="F418:G418"/>
    <mergeCell ref="H418:I418"/>
    <mergeCell ref="J418:K418"/>
    <mergeCell ref="L418:M418"/>
    <mergeCell ref="P418:Q418"/>
    <mergeCell ref="B419:C419"/>
    <mergeCell ref="D419:E419"/>
    <mergeCell ref="F419:G419"/>
    <mergeCell ref="H419:I419"/>
    <mergeCell ref="J419:K419"/>
    <mergeCell ref="L419:M419"/>
    <mergeCell ref="P419:Q419"/>
    <mergeCell ref="AJ418:AK418"/>
    <mergeCell ref="AL418:AM418"/>
    <mergeCell ref="AN418:AO418"/>
    <mergeCell ref="AP418:AQ418"/>
    <mergeCell ref="AR418:AS418"/>
    <mergeCell ref="AT418:AU418"/>
    <mergeCell ref="AV418:AW418"/>
    <mergeCell ref="AJ413:AK413"/>
    <mergeCell ref="AL413:AM413"/>
    <mergeCell ref="R413:S413"/>
    <mergeCell ref="T413:U413"/>
    <mergeCell ref="V413:W413"/>
    <mergeCell ref="X413:AA413"/>
    <mergeCell ref="AB413:AE413"/>
    <mergeCell ref="AF413:AG413"/>
    <mergeCell ref="AH413:AI413"/>
    <mergeCell ref="R414:S414"/>
    <mergeCell ref="T414:U414"/>
    <mergeCell ref="V414:W414"/>
    <mergeCell ref="X414:AA414"/>
    <mergeCell ref="AB414:AE414"/>
    <mergeCell ref="AF414:AG414"/>
    <mergeCell ref="AH414:AI414"/>
    <mergeCell ref="AX414:AZ414"/>
    <mergeCell ref="BA414:BB414"/>
    <mergeCell ref="J416:K416"/>
    <mergeCell ref="L416:M416"/>
    <mergeCell ref="P416:Q416"/>
    <mergeCell ref="B417:C417"/>
    <mergeCell ref="D417:E417"/>
    <mergeCell ref="F417:G417"/>
    <mergeCell ref="H417:I417"/>
    <mergeCell ref="J417:K417"/>
    <mergeCell ref="L417:M417"/>
    <mergeCell ref="P417:Q417"/>
    <mergeCell ref="AJ416:AK416"/>
    <mergeCell ref="AL416:AM416"/>
    <mergeCell ref="AN416:AO416"/>
    <mergeCell ref="AP416:AQ416"/>
    <mergeCell ref="AR416:AS416"/>
    <mergeCell ref="AT416:AU416"/>
    <mergeCell ref="AV416:AW416"/>
    <mergeCell ref="AN417:AO417"/>
    <mergeCell ref="AP417:AQ417"/>
    <mergeCell ref="AR417:AS417"/>
    <mergeCell ref="AT417:AU417"/>
    <mergeCell ref="BA416:BB416"/>
    <mergeCell ref="BD416:BE416"/>
    <mergeCell ref="BF416:BI416"/>
    <mergeCell ref="BJ416:BM416"/>
    <mergeCell ref="BN416:BV416"/>
    <mergeCell ref="BJ417:BM417"/>
    <mergeCell ref="BN417:BV417"/>
    <mergeCell ref="B416:C416"/>
    <mergeCell ref="D416:E416"/>
    <mergeCell ref="F416:G416"/>
    <mergeCell ref="H416:I416"/>
    <mergeCell ref="BJ409:BM409"/>
    <mergeCell ref="BN409:BV409"/>
    <mergeCell ref="B409:C409"/>
    <mergeCell ref="D409:E409"/>
    <mergeCell ref="F409:G409"/>
    <mergeCell ref="H409:I409"/>
    <mergeCell ref="J409:K409"/>
    <mergeCell ref="L409:M409"/>
    <mergeCell ref="P409:Q409"/>
    <mergeCell ref="AJ409:AK409"/>
    <mergeCell ref="AL409:AM409"/>
    <mergeCell ref="AN409:AO409"/>
    <mergeCell ref="AP409:AQ409"/>
    <mergeCell ref="AR409:AS409"/>
    <mergeCell ref="AT409:AU409"/>
    <mergeCell ref="AV409:AW409"/>
    <mergeCell ref="B410:C410"/>
    <mergeCell ref="D410:E410"/>
    <mergeCell ref="F410:G410"/>
    <mergeCell ref="H410:I410"/>
    <mergeCell ref="J410:K410"/>
    <mergeCell ref="L410:M410"/>
    <mergeCell ref="P410:Q410"/>
    <mergeCell ref="BD414:BE414"/>
    <mergeCell ref="BF414:BI414"/>
    <mergeCell ref="BJ414:BM414"/>
    <mergeCell ref="BN414:BV414"/>
    <mergeCell ref="BJ415:BM415"/>
    <mergeCell ref="BN415:BV415"/>
    <mergeCell ref="B414:C414"/>
    <mergeCell ref="D414:E414"/>
    <mergeCell ref="F414:G414"/>
    <mergeCell ref="H414:I414"/>
    <mergeCell ref="J414:K414"/>
    <mergeCell ref="L414:M414"/>
    <mergeCell ref="P414:Q414"/>
    <mergeCell ref="B415:C415"/>
    <mergeCell ref="D415:E415"/>
    <mergeCell ref="F415:G415"/>
    <mergeCell ref="H415:I415"/>
    <mergeCell ref="J415:K415"/>
    <mergeCell ref="L415:M415"/>
    <mergeCell ref="P415:Q415"/>
    <mergeCell ref="AJ414:AK414"/>
    <mergeCell ref="AL414:AM414"/>
    <mergeCell ref="AN414:AO414"/>
    <mergeCell ref="AP414:AQ414"/>
    <mergeCell ref="AR414:AS414"/>
    <mergeCell ref="AT414:AU414"/>
    <mergeCell ref="AV414:AW414"/>
    <mergeCell ref="J412:K412"/>
    <mergeCell ref="L412:M412"/>
    <mergeCell ref="P412:Q412"/>
    <mergeCell ref="BD413:BE413"/>
    <mergeCell ref="BF413:BI413"/>
    <mergeCell ref="AN413:AO413"/>
    <mergeCell ref="AP413:AQ413"/>
    <mergeCell ref="AR413:AS413"/>
    <mergeCell ref="AT413:AU413"/>
    <mergeCell ref="AV413:AW413"/>
    <mergeCell ref="AX413:AZ413"/>
    <mergeCell ref="BA413:BB413"/>
    <mergeCell ref="R411:S411"/>
    <mergeCell ref="T411:U411"/>
    <mergeCell ref="V411:W411"/>
    <mergeCell ref="X411:AA411"/>
    <mergeCell ref="AB411:AE411"/>
    <mergeCell ref="AF411:AG411"/>
    <mergeCell ref="AH411:AI411"/>
    <mergeCell ref="AX411:AZ411"/>
    <mergeCell ref="BA411:BB411"/>
    <mergeCell ref="BD411:BE411"/>
    <mergeCell ref="BF411:BI411"/>
    <mergeCell ref="BD410:BE410"/>
    <mergeCell ref="BF410:BI410"/>
    <mergeCell ref="AN410:AO410"/>
    <mergeCell ref="AP410:AQ410"/>
    <mergeCell ref="AR410:AS410"/>
    <mergeCell ref="AT410:AU410"/>
    <mergeCell ref="AV410:AW410"/>
    <mergeCell ref="AX410:AZ410"/>
    <mergeCell ref="BA410:BB410"/>
    <mergeCell ref="AJ408:AK408"/>
    <mergeCell ref="AL408:AM408"/>
    <mergeCell ref="R408:S408"/>
    <mergeCell ref="T408:U408"/>
    <mergeCell ref="V408:W408"/>
    <mergeCell ref="X408:AA408"/>
    <mergeCell ref="AB408:AE408"/>
    <mergeCell ref="AF408:AG408"/>
    <mergeCell ref="AH408:AI408"/>
    <mergeCell ref="R409:S409"/>
    <mergeCell ref="T409:U409"/>
    <mergeCell ref="V409:W409"/>
    <mergeCell ref="X409:AA409"/>
    <mergeCell ref="AB409:AE409"/>
    <mergeCell ref="AF409:AG409"/>
    <mergeCell ref="AH409:AI409"/>
    <mergeCell ref="AX409:AZ409"/>
    <mergeCell ref="BA409:BB409"/>
    <mergeCell ref="BD409:BE409"/>
    <mergeCell ref="BF409:BI409"/>
    <mergeCell ref="BJ420:BM420"/>
    <mergeCell ref="BN420:BV420"/>
    <mergeCell ref="BJ421:BM421"/>
    <mergeCell ref="BN421:BV421"/>
    <mergeCell ref="BJ422:BM422"/>
    <mergeCell ref="BN422:BV422"/>
    <mergeCell ref="BJ423:BM423"/>
    <mergeCell ref="BN423:BV423"/>
    <mergeCell ref="AJ422:AK422"/>
    <mergeCell ref="AL422:AM422"/>
    <mergeCell ref="AN422:AO422"/>
    <mergeCell ref="AP422:AQ422"/>
    <mergeCell ref="AR422:AS422"/>
    <mergeCell ref="AT422:AU422"/>
    <mergeCell ref="AV422:AW422"/>
    <mergeCell ref="BJ411:BM411"/>
    <mergeCell ref="BN411:BV411"/>
    <mergeCell ref="AJ411:AK411"/>
    <mergeCell ref="AL411:AM411"/>
    <mergeCell ref="AN411:AO411"/>
    <mergeCell ref="AP411:AQ411"/>
    <mergeCell ref="AR411:AS411"/>
    <mergeCell ref="AT411:AU411"/>
    <mergeCell ref="AV411:AW411"/>
    <mergeCell ref="B411:C411"/>
    <mergeCell ref="D411:E411"/>
    <mergeCell ref="F411:G411"/>
    <mergeCell ref="H411:I411"/>
    <mergeCell ref="J411:K411"/>
    <mergeCell ref="L411:M411"/>
    <mergeCell ref="P411:Q411"/>
    <mergeCell ref="AX412:AZ412"/>
    <mergeCell ref="BA412:BB412"/>
    <mergeCell ref="BD412:BE412"/>
    <mergeCell ref="BF412:BI412"/>
    <mergeCell ref="BJ412:BM412"/>
    <mergeCell ref="BN412:BV412"/>
    <mergeCell ref="BJ413:BM413"/>
    <mergeCell ref="BN413:BV413"/>
    <mergeCell ref="B413:C413"/>
    <mergeCell ref="D413:E413"/>
    <mergeCell ref="F413:G413"/>
    <mergeCell ref="H413:I413"/>
    <mergeCell ref="J413:K413"/>
    <mergeCell ref="L413:M413"/>
    <mergeCell ref="P413:Q413"/>
    <mergeCell ref="AJ412:AK412"/>
    <mergeCell ref="AL412:AM412"/>
    <mergeCell ref="AN412:AO412"/>
    <mergeCell ref="AP412:AQ412"/>
    <mergeCell ref="AR412:AS412"/>
    <mergeCell ref="AT412:AU412"/>
    <mergeCell ref="AV412:AW412"/>
    <mergeCell ref="R412:S412"/>
    <mergeCell ref="T412:U412"/>
    <mergeCell ref="V412:W412"/>
    <mergeCell ref="X412:AA412"/>
    <mergeCell ref="AB412:AE412"/>
    <mergeCell ref="AF412:AG412"/>
    <mergeCell ref="AH412:AI412"/>
    <mergeCell ref="B412:C412"/>
    <mergeCell ref="D412:E412"/>
    <mergeCell ref="F412:G412"/>
    <mergeCell ref="H412:I412"/>
    <mergeCell ref="T422:U422"/>
    <mergeCell ref="V422:W422"/>
    <mergeCell ref="X422:AA422"/>
    <mergeCell ref="AB422:AE422"/>
    <mergeCell ref="AF422:AG422"/>
    <mergeCell ref="AH422:AI422"/>
    <mergeCell ref="AX422:AZ422"/>
    <mergeCell ref="BA422:BB422"/>
    <mergeCell ref="BD422:BE422"/>
    <mergeCell ref="BF422:BI422"/>
    <mergeCell ref="B422:C422"/>
    <mergeCell ref="D422:E422"/>
    <mergeCell ref="F422:G422"/>
    <mergeCell ref="H422:I422"/>
    <mergeCell ref="J422:K422"/>
    <mergeCell ref="L422:M422"/>
    <mergeCell ref="P422:Q422"/>
    <mergeCell ref="B423:C423"/>
    <mergeCell ref="D423:E423"/>
    <mergeCell ref="F423:G423"/>
    <mergeCell ref="H423:I423"/>
    <mergeCell ref="J423:K423"/>
    <mergeCell ref="L423:M423"/>
    <mergeCell ref="P423:Q423"/>
    <mergeCell ref="BD415:BE415"/>
    <mergeCell ref="BF415:BI415"/>
    <mergeCell ref="AN415:AO415"/>
    <mergeCell ref="AP415:AQ415"/>
    <mergeCell ref="AR415:AS415"/>
    <mergeCell ref="AT415:AU415"/>
    <mergeCell ref="AV415:AW415"/>
    <mergeCell ref="AX415:AZ415"/>
    <mergeCell ref="BA415:BB415"/>
    <mergeCell ref="BD421:BE421"/>
    <mergeCell ref="BF421:BI421"/>
    <mergeCell ref="AN421:AO421"/>
    <mergeCell ref="AP421:AQ421"/>
    <mergeCell ref="AR421:AS421"/>
    <mergeCell ref="AT421:AU421"/>
    <mergeCell ref="AV421:AW421"/>
    <mergeCell ref="AX421:AZ421"/>
    <mergeCell ref="BA421:BB421"/>
    <mergeCell ref="AJ419:AK419"/>
    <mergeCell ref="AL419:AM419"/>
    <mergeCell ref="R419:S419"/>
    <mergeCell ref="T419:U419"/>
    <mergeCell ref="V419:W419"/>
    <mergeCell ref="X419:AA419"/>
    <mergeCell ref="AB419:AE419"/>
    <mergeCell ref="AF419:AG419"/>
    <mergeCell ref="AH419:AI419"/>
    <mergeCell ref="R420:S420"/>
    <mergeCell ref="T420:U420"/>
    <mergeCell ref="V420:W420"/>
    <mergeCell ref="X420:AA420"/>
    <mergeCell ref="AB420:AE420"/>
    <mergeCell ref="AF420:AG420"/>
    <mergeCell ref="AH420:AI420"/>
    <mergeCell ref="AX420:AZ420"/>
    <mergeCell ref="BA420:BB420"/>
    <mergeCell ref="BD420:BE420"/>
    <mergeCell ref="BF420:BI420"/>
    <mergeCell ref="BD417:BE417"/>
    <mergeCell ref="BF417:BI417"/>
    <mergeCell ref="AJ423:AK423"/>
    <mergeCell ref="AL423:AM423"/>
    <mergeCell ref="R423:S423"/>
    <mergeCell ref="T423:U423"/>
    <mergeCell ref="V423:W423"/>
    <mergeCell ref="X423:AA423"/>
    <mergeCell ref="AB423:AE423"/>
    <mergeCell ref="AF423:AG423"/>
    <mergeCell ref="AH423:AI423"/>
    <mergeCell ref="R424:S424"/>
    <mergeCell ref="T424:U424"/>
    <mergeCell ref="V424:W424"/>
    <mergeCell ref="X424:AA424"/>
    <mergeCell ref="AB424:AE424"/>
    <mergeCell ref="AF424:AG424"/>
    <mergeCell ref="AH424:AI424"/>
    <mergeCell ref="AX424:AZ424"/>
    <mergeCell ref="BA424:BB424"/>
    <mergeCell ref="BD424:BE424"/>
    <mergeCell ref="BF424:BI424"/>
    <mergeCell ref="BJ424:BM424"/>
    <mergeCell ref="BN424:BV424"/>
    <mergeCell ref="BJ425:BM425"/>
    <mergeCell ref="BN425:BV425"/>
    <mergeCell ref="B420:C420"/>
    <mergeCell ref="D420:E420"/>
    <mergeCell ref="F420:G420"/>
    <mergeCell ref="H420:I420"/>
    <mergeCell ref="J420:K420"/>
    <mergeCell ref="L420:M420"/>
    <mergeCell ref="P420:Q420"/>
    <mergeCell ref="B421:C421"/>
    <mergeCell ref="D421:E421"/>
    <mergeCell ref="F421:G421"/>
    <mergeCell ref="H421:I421"/>
    <mergeCell ref="J421:K421"/>
    <mergeCell ref="L421:M421"/>
    <mergeCell ref="P421:Q421"/>
    <mergeCell ref="AJ420:AK420"/>
    <mergeCell ref="AL420:AM420"/>
    <mergeCell ref="AN420:AO420"/>
    <mergeCell ref="AP420:AQ420"/>
    <mergeCell ref="AR420:AS420"/>
    <mergeCell ref="AT420:AU420"/>
    <mergeCell ref="AV420:AW420"/>
    <mergeCell ref="BD423:BE423"/>
    <mergeCell ref="BF423:BI423"/>
    <mergeCell ref="AN423:AO423"/>
    <mergeCell ref="AP423:AQ423"/>
    <mergeCell ref="AR423:AS423"/>
    <mergeCell ref="AT423:AU423"/>
    <mergeCell ref="AV423:AW423"/>
    <mergeCell ref="AX423:AZ423"/>
    <mergeCell ref="BA423:BB423"/>
    <mergeCell ref="AJ421:AK421"/>
    <mergeCell ref="AL421:AM421"/>
    <mergeCell ref="R421:S421"/>
    <mergeCell ref="T421:U421"/>
    <mergeCell ref="V421:W421"/>
    <mergeCell ref="X421:AA421"/>
    <mergeCell ref="AB421:AE421"/>
    <mergeCell ref="AF421:AG421"/>
    <mergeCell ref="AH421:AI421"/>
    <mergeCell ref="R422:S422"/>
    <mergeCell ref="B424:C424"/>
    <mergeCell ref="D424:E424"/>
    <mergeCell ref="F424:G424"/>
    <mergeCell ref="H424:I424"/>
    <mergeCell ref="J424:K424"/>
    <mergeCell ref="L424:M424"/>
    <mergeCell ref="P424:Q424"/>
    <mergeCell ref="B425:C425"/>
    <mergeCell ref="D425:E425"/>
    <mergeCell ref="F425:G425"/>
    <mergeCell ref="H425:I425"/>
    <mergeCell ref="J425:K425"/>
    <mergeCell ref="L425:M425"/>
    <mergeCell ref="P425:Q425"/>
    <mergeCell ref="AJ424:AK424"/>
    <mergeCell ref="AL424:AM424"/>
    <mergeCell ref="AN424:AO424"/>
    <mergeCell ref="AP424:AQ424"/>
    <mergeCell ref="AR424:AS424"/>
    <mergeCell ref="AT424:AU424"/>
    <mergeCell ref="AV424:AW424"/>
    <mergeCell ref="BD427:BE427"/>
    <mergeCell ref="BF427:BI427"/>
    <mergeCell ref="AN427:AO427"/>
    <mergeCell ref="AP427:AQ427"/>
    <mergeCell ref="AR427:AS427"/>
    <mergeCell ref="AT427:AU427"/>
    <mergeCell ref="AV427:AW427"/>
    <mergeCell ref="AX427:AZ427"/>
    <mergeCell ref="BA427:BB427"/>
    <mergeCell ref="AJ425:AK425"/>
    <mergeCell ref="AL425:AM425"/>
    <mergeCell ref="R425:S425"/>
    <mergeCell ref="T425:U425"/>
    <mergeCell ref="V425:W425"/>
    <mergeCell ref="X425:AA425"/>
    <mergeCell ref="AB425:AE425"/>
    <mergeCell ref="AF425:AG425"/>
    <mergeCell ref="AH425:AI425"/>
    <mergeCell ref="R426:S426"/>
    <mergeCell ref="T426:U426"/>
    <mergeCell ref="V426:W426"/>
    <mergeCell ref="X426:AA426"/>
    <mergeCell ref="AB426:AE426"/>
    <mergeCell ref="AF426:AG426"/>
    <mergeCell ref="AH426:AI426"/>
    <mergeCell ref="AX426:AZ426"/>
    <mergeCell ref="BA426:BB426"/>
    <mergeCell ref="BD426:BE426"/>
    <mergeCell ref="BF426:BI426"/>
    <mergeCell ref="BD425:BE425"/>
    <mergeCell ref="BF425:BI425"/>
    <mergeCell ref="AN425:AO425"/>
    <mergeCell ref="AP425:AQ425"/>
    <mergeCell ref="AR425:AS425"/>
    <mergeCell ref="AT425:AU425"/>
    <mergeCell ref="AV425:AW425"/>
    <mergeCell ref="AX425:AZ425"/>
    <mergeCell ref="BA425:BB425"/>
    <mergeCell ref="BJ426:BM426"/>
    <mergeCell ref="BN426:BV426"/>
    <mergeCell ref="BJ427:BM427"/>
    <mergeCell ref="BN427:BV427"/>
    <mergeCell ref="B426:C426"/>
    <mergeCell ref="D426:E426"/>
    <mergeCell ref="F426:G426"/>
    <mergeCell ref="H426:I426"/>
    <mergeCell ref="J426:K426"/>
    <mergeCell ref="L426:M426"/>
    <mergeCell ref="P426:Q426"/>
    <mergeCell ref="B427:C427"/>
    <mergeCell ref="D427:E427"/>
    <mergeCell ref="F427:G427"/>
    <mergeCell ref="H427:I427"/>
    <mergeCell ref="J427:K427"/>
    <mergeCell ref="L427:M427"/>
    <mergeCell ref="P427:Q427"/>
    <mergeCell ref="AJ426:AK426"/>
    <mergeCell ref="AL426:AM426"/>
    <mergeCell ref="AN426:AO426"/>
    <mergeCell ref="AP426:AQ426"/>
    <mergeCell ref="AR426:AS426"/>
    <mergeCell ref="AT426:AU426"/>
    <mergeCell ref="AV426:AW426"/>
    <mergeCell ref="BD429:BE429"/>
    <mergeCell ref="BF429:BI429"/>
    <mergeCell ref="AN429:AO429"/>
    <mergeCell ref="AP429:AQ429"/>
    <mergeCell ref="AR429:AS429"/>
    <mergeCell ref="AT429:AU429"/>
    <mergeCell ref="AV429:AW429"/>
    <mergeCell ref="AX429:AZ429"/>
    <mergeCell ref="BA429:BB429"/>
    <mergeCell ref="AJ427:AK427"/>
    <mergeCell ref="AL427:AM427"/>
    <mergeCell ref="R427:S427"/>
    <mergeCell ref="T427:U427"/>
    <mergeCell ref="V427:W427"/>
    <mergeCell ref="X427:AA427"/>
    <mergeCell ref="AB427:AE427"/>
    <mergeCell ref="AF427:AG427"/>
    <mergeCell ref="AH427:AI427"/>
    <mergeCell ref="R428:S428"/>
    <mergeCell ref="T428:U428"/>
    <mergeCell ref="V428:W428"/>
    <mergeCell ref="X428:AA428"/>
    <mergeCell ref="AB428:AE428"/>
    <mergeCell ref="AF428:AG428"/>
    <mergeCell ref="AH428:AI428"/>
    <mergeCell ref="AX428:AZ428"/>
    <mergeCell ref="BA428:BB428"/>
    <mergeCell ref="BD428:BE428"/>
    <mergeCell ref="BF428:BI428"/>
    <mergeCell ref="BJ428:BM428"/>
    <mergeCell ref="BN428:BV428"/>
    <mergeCell ref="BJ429:BM429"/>
    <mergeCell ref="BN429:BV429"/>
    <mergeCell ref="B428:C428"/>
    <mergeCell ref="D428:E428"/>
    <mergeCell ref="F428:G428"/>
    <mergeCell ref="H428:I428"/>
    <mergeCell ref="J428:K428"/>
    <mergeCell ref="L428:M428"/>
    <mergeCell ref="P428:Q428"/>
    <mergeCell ref="B429:C429"/>
    <mergeCell ref="D429:E429"/>
    <mergeCell ref="F429:G429"/>
    <mergeCell ref="H429:I429"/>
    <mergeCell ref="J429:K429"/>
    <mergeCell ref="L429:M429"/>
    <mergeCell ref="P429:Q429"/>
    <mergeCell ref="AJ428:AK428"/>
    <mergeCell ref="AL428:AM428"/>
    <mergeCell ref="AN428:AO428"/>
    <mergeCell ref="AP428:AQ428"/>
    <mergeCell ref="AR428:AS428"/>
    <mergeCell ref="AT428:AU428"/>
    <mergeCell ref="AV428:AW428"/>
    <mergeCell ref="BD431:BE431"/>
    <mergeCell ref="BF431:BI431"/>
    <mergeCell ref="AN431:AO431"/>
    <mergeCell ref="AP431:AQ431"/>
    <mergeCell ref="AR431:AS431"/>
    <mergeCell ref="AT431:AU431"/>
    <mergeCell ref="AV431:AW431"/>
    <mergeCell ref="AX431:AZ431"/>
    <mergeCell ref="BA431:BB431"/>
    <mergeCell ref="AJ429:AK429"/>
    <mergeCell ref="AL429:AM429"/>
    <mergeCell ref="R429:S429"/>
    <mergeCell ref="T429:U429"/>
    <mergeCell ref="V429:W429"/>
    <mergeCell ref="X429:AA429"/>
    <mergeCell ref="AB429:AE429"/>
    <mergeCell ref="AF429:AG429"/>
    <mergeCell ref="AH429:AI429"/>
    <mergeCell ref="R430:S430"/>
    <mergeCell ref="T430:U430"/>
    <mergeCell ref="V430:W430"/>
    <mergeCell ref="X430:AA430"/>
    <mergeCell ref="AB430:AE430"/>
    <mergeCell ref="AF430:AG430"/>
    <mergeCell ref="AH430:AI430"/>
    <mergeCell ref="AX430:AZ430"/>
    <mergeCell ref="BA430:BB430"/>
    <mergeCell ref="BD430:BE430"/>
    <mergeCell ref="BF430:BI430"/>
    <mergeCell ref="AJ431:AK431"/>
    <mergeCell ref="AL431:AM431"/>
    <mergeCell ref="R431:S431"/>
    <mergeCell ref="T431:U431"/>
    <mergeCell ref="V431:W431"/>
    <mergeCell ref="X431:AA431"/>
    <mergeCell ref="AB431:AE431"/>
    <mergeCell ref="AF431:AG431"/>
    <mergeCell ref="AH431:AI431"/>
    <mergeCell ref="BJ430:BM430"/>
    <mergeCell ref="BN430:BV430"/>
    <mergeCell ref="BJ431:BM431"/>
    <mergeCell ref="BN431:BV431"/>
    <mergeCell ref="B430:C430"/>
    <mergeCell ref="D430:E430"/>
    <mergeCell ref="F430:G430"/>
    <mergeCell ref="H430:I430"/>
    <mergeCell ref="J430:K430"/>
    <mergeCell ref="L430:M430"/>
    <mergeCell ref="P430:Q430"/>
    <mergeCell ref="B431:C431"/>
    <mergeCell ref="D431:E431"/>
    <mergeCell ref="F431:G431"/>
    <mergeCell ref="H431:I431"/>
    <mergeCell ref="J431:K431"/>
    <mergeCell ref="L431:M431"/>
    <mergeCell ref="P431:Q431"/>
    <mergeCell ref="AJ430:AK430"/>
    <mergeCell ref="AL430:AM430"/>
    <mergeCell ref="AN430:AO430"/>
    <mergeCell ref="AP430:AQ430"/>
    <mergeCell ref="AR430:AS430"/>
    <mergeCell ref="AT430:AU430"/>
    <mergeCell ref="AV430:AW430"/>
    <mergeCell ref="BD442:BE442"/>
    <mergeCell ref="BF442:BI442"/>
    <mergeCell ref="AN442:AO442"/>
    <mergeCell ref="AP442:AQ442"/>
    <mergeCell ref="AR442:AS442"/>
    <mergeCell ref="AT442:AU442"/>
    <mergeCell ref="AV442:AW442"/>
    <mergeCell ref="AX442:AZ442"/>
    <mergeCell ref="BA442:BB442"/>
    <mergeCell ref="AJ440:AK440"/>
    <mergeCell ref="AL440:AM440"/>
    <mergeCell ref="R440:S440"/>
    <mergeCell ref="T440:U440"/>
    <mergeCell ref="V440:W440"/>
    <mergeCell ref="X440:AA440"/>
    <mergeCell ref="AB440:AE440"/>
    <mergeCell ref="AF440:AG440"/>
    <mergeCell ref="AH440:AI440"/>
    <mergeCell ref="R441:S441"/>
    <mergeCell ref="T441:U441"/>
    <mergeCell ref="V441:W441"/>
    <mergeCell ref="X441:AA441"/>
    <mergeCell ref="AB441:AE441"/>
    <mergeCell ref="AF441:AG441"/>
    <mergeCell ref="AH441:AI441"/>
    <mergeCell ref="AX441:AZ441"/>
    <mergeCell ref="BA441:BB441"/>
    <mergeCell ref="BD441:BE441"/>
    <mergeCell ref="BF441:BI441"/>
    <mergeCell ref="BJ441:BM441"/>
    <mergeCell ref="BN441:BV441"/>
    <mergeCell ref="BJ442:BM442"/>
    <mergeCell ref="BN442:BV442"/>
    <mergeCell ref="B441:C441"/>
    <mergeCell ref="D441:E441"/>
    <mergeCell ref="F441:G441"/>
    <mergeCell ref="H441:I441"/>
    <mergeCell ref="J441:K441"/>
    <mergeCell ref="L441:M441"/>
    <mergeCell ref="AX437:AZ437"/>
    <mergeCell ref="B440:C440"/>
    <mergeCell ref="D440:E440"/>
    <mergeCell ref="F440:G440"/>
    <mergeCell ref="H440:I440"/>
    <mergeCell ref="J440:K440"/>
    <mergeCell ref="L440:M440"/>
    <mergeCell ref="P440:Q440"/>
    <mergeCell ref="AJ439:AK439"/>
    <mergeCell ref="AL439:AM439"/>
    <mergeCell ref="AN439:AO439"/>
    <mergeCell ref="AP439:AQ439"/>
    <mergeCell ref="AR439:AS439"/>
    <mergeCell ref="AT439:AU439"/>
    <mergeCell ref="AV439:AW439"/>
    <mergeCell ref="AN440:AO440"/>
    <mergeCell ref="AP440:AQ440"/>
    <mergeCell ref="AR440:AS440"/>
    <mergeCell ref="AT440:AU440"/>
    <mergeCell ref="AV440:AW440"/>
    <mergeCell ref="AX440:AZ440"/>
    <mergeCell ref="BA440:BB440"/>
    <mergeCell ref="AJ438:AK438"/>
    <mergeCell ref="AL438:AM438"/>
    <mergeCell ref="R438:S438"/>
    <mergeCell ref="T438:U438"/>
    <mergeCell ref="V438:W438"/>
    <mergeCell ref="X438:AA438"/>
    <mergeCell ref="AB438:AE438"/>
    <mergeCell ref="L437:M437"/>
    <mergeCell ref="P437:Q437"/>
    <mergeCell ref="B438:C438"/>
    <mergeCell ref="D438:E438"/>
    <mergeCell ref="F438:G438"/>
    <mergeCell ref="H438:I438"/>
    <mergeCell ref="J438:K438"/>
    <mergeCell ref="L438:M438"/>
    <mergeCell ref="P438:Q438"/>
    <mergeCell ref="B439:C439"/>
    <mergeCell ref="D439:E439"/>
    <mergeCell ref="F439:G439"/>
    <mergeCell ref="H439:I439"/>
    <mergeCell ref="J439:K439"/>
    <mergeCell ref="L439:M439"/>
    <mergeCell ref="P439:Q439"/>
    <mergeCell ref="AH435:AI435"/>
    <mergeCell ref="B442:C442"/>
    <mergeCell ref="D442:E442"/>
    <mergeCell ref="F442:G442"/>
    <mergeCell ref="H442:I442"/>
    <mergeCell ref="J442:K442"/>
    <mergeCell ref="L442:M442"/>
    <mergeCell ref="P442:Q442"/>
    <mergeCell ref="AJ441:AK441"/>
    <mergeCell ref="AL441:AM441"/>
    <mergeCell ref="AN441:AO441"/>
    <mergeCell ref="AP441:AQ441"/>
    <mergeCell ref="AR441:AS441"/>
    <mergeCell ref="AT441:AU441"/>
    <mergeCell ref="AV441:AW441"/>
    <mergeCell ref="AJ436:AK436"/>
    <mergeCell ref="AL436:AM436"/>
    <mergeCell ref="R436:S436"/>
    <mergeCell ref="T436:U436"/>
    <mergeCell ref="V436:W436"/>
    <mergeCell ref="X436:AA436"/>
    <mergeCell ref="AB436:AE436"/>
    <mergeCell ref="AF436:AG436"/>
    <mergeCell ref="AH436:AI436"/>
    <mergeCell ref="R437:S437"/>
    <mergeCell ref="T437:U437"/>
    <mergeCell ref="V437:W437"/>
    <mergeCell ref="X437:AA437"/>
    <mergeCell ref="AB437:AE437"/>
    <mergeCell ref="AF437:AG437"/>
    <mergeCell ref="AH437:AI437"/>
    <mergeCell ref="BD433:BE433"/>
    <mergeCell ref="BF433:BI433"/>
    <mergeCell ref="AN433:AO433"/>
    <mergeCell ref="AP433:AQ433"/>
    <mergeCell ref="AR433:AS433"/>
    <mergeCell ref="AT433:AU433"/>
    <mergeCell ref="AV433:AW433"/>
    <mergeCell ref="AX433:AZ433"/>
    <mergeCell ref="BA433:BB433"/>
    <mergeCell ref="AF438:AG438"/>
    <mergeCell ref="AH438:AI438"/>
    <mergeCell ref="R439:S439"/>
    <mergeCell ref="T439:U439"/>
    <mergeCell ref="V439:W439"/>
    <mergeCell ref="X439:AA439"/>
    <mergeCell ref="AB439:AE439"/>
    <mergeCell ref="AF439:AG439"/>
    <mergeCell ref="AH439:AI439"/>
    <mergeCell ref="AX439:AZ439"/>
    <mergeCell ref="BA439:BB439"/>
    <mergeCell ref="BD439:BE439"/>
    <mergeCell ref="BF439:BI439"/>
    <mergeCell ref="B434:C434"/>
    <mergeCell ref="D434:E434"/>
    <mergeCell ref="F434:G434"/>
    <mergeCell ref="H434:I434"/>
    <mergeCell ref="J434:K434"/>
    <mergeCell ref="L434:M434"/>
    <mergeCell ref="P434:Q434"/>
    <mergeCell ref="B436:C436"/>
    <mergeCell ref="D436:E436"/>
    <mergeCell ref="F436:G436"/>
    <mergeCell ref="H436:I436"/>
    <mergeCell ref="X435:AA435"/>
    <mergeCell ref="BJ432:BM432"/>
    <mergeCell ref="BN432:BV432"/>
    <mergeCell ref="B432:C432"/>
    <mergeCell ref="D432:E432"/>
    <mergeCell ref="F432:G432"/>
    <mergeCell ref="H432:I432"/>
    <mergeCell ref="J432:K432"/>
    <mergeCell ref="L432:M432"/>
    <mergeCell ref="P432:Q432"/>
    <mergeCell ref="AJ432:AK432"/>
    <mergeCell ref="AL432:AM432"/>
    <mergeCell ref="AN432:AO432"/>
    <mergeCell ref="AP432:AQ432"/>
    <mergeCell ref="AR432:AS432"/>
    <mergeCell ref="AT432:AU432"/>
    <mergeCell ref="AV432:AW432"/>
    <mergeCell ref="B433:C433"/>
    <mergeCell ref="D433:E433"/>
    <mergeCell ref="F433:G433"/>
    <mergeCell ref="H433:I433"/>
    <mergeCell ref="J433:K433"/>
    <mergeCell ref="L433:M433"/>
    <mergeCell ref="P433:Q433"/>
    <mergeCell ref="BD437:BE437"/>
    <mergeCell ref="BF437:BI437"/>
    <mergeCell ref="BJ437:BM437"/>
    <mergeCell ref="BN437:BV437"/>
    <mergeCell ref="BJ438:BM438"/>
    <mergeCell ref="BN438:BV438"/>
    <mergeCell ref="B437:C437"/>
    <mergeCell ref="D437:E437"/>
    <mergeCell ref="F437:G437"/>
    <mergeCell ref="H437:I437"/>
    <mergeCell ref="J437:K437"/>
    <mergeCell ref="R432:S432"/>
    <mergeCell ref="T432:U432"/>
    <mergeCell ref="V432:W432"/>
    <mergeCell ref="X432:AA432"/>
    <mergeCell ref="AB432:AE432"/>
    <mergeCell ref="AF432:AG432"/>
    <mergeCell ref="AH432:AI432"/>
    <mergeCell ref="AX432:AZ432"/>
    <mergeCell ref="BA432:BB432"/>
    <mergeCell ref="BD432:BE432"/>
    <mergeCell ref="BF432:BI432"/>
    <mergeCell ref="AJ433:AK433"/>
    <mergeCell ref="AL433:AM433"/>
    <mergeCell ref="BJ433:BM433"/>
    <mergeCell ref="BN433:BV433"/>
    <mergeCell ref="R433:S433"/>
    <mergeCell ref="T433:U433"/>
    <mergeCell ref="V433:W433"/>
    <mergeCell ref="X433:AA433"/>
    <mergeCell ref="AB433:AE433"/>
    <mergeCell ref="AF433:AG433"/>
    <mergeCell ref="AH433:AI433"/>
    <mergeCell ref="BA437:BB437"/>
    <mergeCell ref="J436:K436"/>
    <mergeCell ref="L436:M436"/>
    <mergeCell ref="P436:Q436"/>
    <mergeCell ref="R435:S435"/>
    <mergeCell ref="AB435:AE435"/>
    <mergeCell ref="AF435:AG435"/>
    <mergeCell ref="AX443:AZ443"/>
    <mergeCell ref="BJ443:BM443"/>
    <mergeCell ref="BN443:BV443"/>
    <mergeCell ref="BJ444:BM444"/>
    <mergeCell ref="BN444:BV444"/>
    <mergeCell ref="BJ445:BM445"/>
    <mergeCell ref="BN445:BV445"/>
    <mergeCell ref="BJ446:BM446"/>
    <mergeCell ref="BN446:BV446"/>
    <mergeCell ref="AJ445:AK445"/>
    <mergeCell ref="AL445:AM445"/>
    <mergeCell ref="AN445:AO445"/>
    <mergeCell ref="AP445:AQ445"/>
    <mergeCell ref="AR445:AS445"/>
    <mergeCell ref="AT445:AU445"/>
    <mergeCell ref="AV445:AW445"/>
    <mergeCell ref="BJ434:BM434"/>
    <mergeCell ref="BN434:BV434"/>
    <mergeCell ref="AJ434:AK434"/>
    <mergeCell ref="AL434:AM434"/>
    <mergeCell ref="AN434:AO434"/>
    <mergeCell ref="AP434:AQ434"/>
    <mergeCell ref="AR434:AS434"/>
    <mergeCell ref="AT434:AU434"/>
    <mergeCell ref="AV434:AW434"/>
    <mergeCell ref="T445:U445"/>
    <mergeCell ref="V445:W445"/>
    <mergeCell ref="X445:AA445"/>
    <mergeCell ref="AB445:AE445"/>
    <mergeCell ref="AF445:AG445"/>
    <mergeCell ref="AH445:AI445"/>
    <mergeCell ref="AX445:AZ445"/>
    <mergeCell ref="BA445:BB445"/>
    <mergeCell ref="BD445:BE445"/>
    <mergeCell ref="BF445:BI445"/>
    <mergeCell ref="AJ437:AK437"/>
    <mergeCell ref="AL437:AM437"/>
    <mergeCell ref="AN437:AO437"/>
    <mergeCell ref="AP437:AQ437"/>
    <mergeCell ref="AR437:AS437"/>
    <mergeCell ref="AT437:AU437"/>
    <mergeCell ref="AV437:AW437"/>
    <mergeCell ref="BD436:BE436"/>
    <mergeCell ref="AX435:AZ435"/>
    <mergeCell ref="BA435:BB435"/>
    <mergeCell ref="BD435:BE435"/>
    <mergeCell ref="BF435:BI435"/>
    <mergeCell ref="BJ435:BM435"/>
    <mergeCell ref="BN435:BV435"/>
    <mergeCell ref="BJ436:BM436"/>
    <mergeCell ref="BN436:BV436"/>
    <mergeCell ref="BJ439:BM439"/>
    <mergeCell ref="BN439:BV439"/>
    <mergeCell ref="BJ440:BM440"/>
    <mergeCell ref="BN440:BV440"/>
    <mergeCell ref="AJ435:AK435"/>
    <mergeCell ref="AL435:AM435"/>
    <mergeCell ref="AN435:AO435"/>
    <mergeCell ref="AP435:AQ435"/>
    <mergeCell ref="AR435:AS435"/>
    <mergeCell ref="AT435:AU435"/>
    <mergeCell ref="AV435:AW435"/>
    <mergeCell ref="T435:U435"/>
    <mergeCell ref="V435:W435"/>
    <mergeCell ref="J447:K447"/>
    <mergeCell ref="B435:C435"/>
    <mergeCell ref="D435:E435"/>
    <mergeCell ref="F435:G435"/>
    <mergeCell ref="H435:I435"/>
    <mergeCell ref="J435:K435"/>
    <mergeCell ref="L435:M435"/>
    <mergeCell ref="P435:Q435"/>
    <mergeCell ref="BF436:BI436"/>
    <mergeCell ref="AN436:AO436"/>
    <mergeCell ref="AP436:AQ436"/>
    <mergeCell ref="AR436:AS436"/>
    <mergeCell ref="AT436:AU436"/>
    <mergeCell ref="AV436:AW436"/>
    <mergeCell ref="AX436:AZ436"/>
    <mergeCell ref="BA436:BB436"/>
    <mergeCell ref="R434:S434"/>
    <mergeCell ref="T434:U434"/>
    <mergeCell ref="V434:W434"/>
    <mergeCell ref="X434:AA434"/>
    <mergeCell ref="AB434:AE434"/>
    <mergeCell ref="AF434:AG434"/>
    <mergeCell ref="AH434:AI434"/>
    <mergeCell ref="AX434:AZ434"/>
    <mergeCell ref="BA434:BB434"/>
    <mergeCell ref="BD434:BE434"/>
    <mergeCell ref="BF434:BI434"/>
    <mergeCell ref="J446:K446"/>
    <mergeCell ref="L446:M446"/>
    <mergeCell ref="P446:Q446"/>
    <mergeCell ref="BD438:BE438"/>
    <mergeCell ref="BF438:BI438"/>
    <mergeCell ref="AN438:AO438"/>
    <mergeCell ref="AP438:AQ438"/>
    <mergeCell ref="AR438:AS438"/>
    <mergeCell ref="AT438:AU438"/>
    <mergeCell ref="AV438:AW438"/>
    <mergeCell ref="AX438:AZ438"/>
    <mergeCell ref="BA438:BB438"/>
    <mergeCell ref="BD444:BE444"/>
    <mergeCell ref="BF444:BI444"/>
    <mergeCell ref="AN444:AO444"/>
    <mergeCell ref="AP444:AQ444"/>
    <mergeCell ref="AR444:AS444"/>
    <mergeCell ref="AT444:AU444"/>
    <mergeCell ref="AV444:AW444"/>
    <mergeCell ref="AX444:AZ444"/>
    <mergeCell ref="BA444:BB444"/>
    <mergeCell ref="AJ442:AK442"/>
    <mergeCell ref="AL442:AM442"/>
    <mergeCell ref="R442:S442"/>
    <mergeCell ref="T442:U442"/>
    <mergeCell ref="V442:W442"/>
    <mergeCell ref="X442:AA442"/>
    <mergeCell ref="AB442:AE442"/>
    <mergeCell ref="AF442:AG442"/>
    <mergeCell ref="AH442:AI442"/>
    <mergeCell ref="R443:S443"/>
    <mergeCell ref="T443:U443"/>
    <mergeCell ref="V443:W443"/>
    <mergeCell ref="X443:AA443"/>
    <mergeCell ref="AB443:AE443"/>
    <mergeCell ref="AF443:AG443"/>
    <mergeCell ref="AH443:AI443"/>
    <mergeCell ref="AX448:AZ448"/>
    <mergeCell ref="BA443:BB443"/>
    <mergeCell ref="BD443:BE443"/>
    <mergeCell ref="BF443:BI443"/>
    <mergeCell ref="BD440:BE440"/>
    <mergeCell ref="BF440:BI440"/>
    <mergeCell ref="AJ446:AK446"/>
    <mergeCell ref="AL446:AM446"/>
    <mergeCell ref="R446:S446"/>
    <mergeCell ref="T446:U446"/>
    <mergeCell ref="V446:W446"/>
    <mergeCell ref="X446:AA446"/>
    <mergeCell ref="AB446:AE446"/>
    <mergeCell ref="AF446:AG446"/>
    <mergeCell ref="AH446:AI446"/>
    <mergeCell ref="P441:Q441"/>
    <mergeCell ref="BJ447:BM447"/>
    <mergeCell ref="BN447:BV447"/>
    <mergeCell ref="BJ448:BM448"/>
    <mergeCell ref="BN448:BV448"/>
    <mergeCell ref="B443:C443"/>
    <mergeCell ref="D443:E443"/>
    <mergeCell ref="F443:G443"/>
    <mergeCell ref="H443:I443"/>
    <mergeCell ref="J443:K443"/>
    <mergeCell ref="L443:M443"/>
    <mergeCell ref="P443:Q443"/>
    <mergeCell ref="B444:C444"/>
    <mergeCell ref="D444:E444"/>
    <mergeCell ref="F444:G444"/>
    <mergeCell ref="H444:I444"/>
    <mergeCell ref="J444:K444"/>
    <mergeCell ref="L444:M444"/>
    <mergeCell ref="P444:Q444"/>
    <mergeCell ref="AJ443:AK443"/>
    <mergeCell ref="AL443:AM443"/>
    <mergeCell ref="AN443:AO443"/>
    <mergeCell ref="AP443:AQ443"/>
    <mergeCell ref="AR443:AS443"/>
    <mergeCell ref="AT443:AU443"/>
    <mergeCell ref="AV443:AW443"/>
    <mergeCell ref="BD446:BE446"/>
    <mergeCell ref="BF446:BI446"/>
    <mergeCell ref="AN446:AO446"/>
    <mergeCell ref="AP446:AQ446"/>
    <mergeCell ref="AR446:AS446"/>
    <mergeCell ref="AT446:AU446"/>
    <mergeCell ref="AV446:AW446"/>
    <mergeCell ref="AX446:AZ446"/>
    <mergeCell ref="BA446:BB446"/>
    <mergeCell ref="AJ444:AK444"/>
    <mergeCell ref="AL444:AM444"/>
    <mergeCell ref="R444:S444"/>
    <mergeCell ref="T444:U444"/>
    <mergeCell ref="V444:W444"/>
    <mergeCell ref="X444:AA444"/>
    <mergeCell ref="AB444:AE444"/>
    <mergeCell ref="AF444:AG444"/>
    <mergeCell ref="AH444:AI444"/>
    <mergeCell ref="R445:S445"/>
    <mergeCell ref="B447:C447"/>
    <mergeCell ref="D447:E447"/>
    <mergeCell ref="F447:G447"/>
    <mergeCell ref="H447:I447"/>
    <mergeCell ref="B449:C449"/>
    <mergeCell ref="D449:E449"/>
    <mergeCell ref="F449:G449"/>
    <mergeCell ref="H449:I449"/>
    <mergeCell ref="J449:K449"/>
    <mergeCell ref="L449:M449"/>
    <mergeCell ref="P449:Q449"/>
    <mergeCell ref="B450:C450"/>
    <mergeCell ref="D450:E450"/>
    <mergeCell ref="F450:G450"/>
    <mergeCell ref="H450:I450"/>
    <mergeCell ref="J450:K450"/>
    <mergeCell ref="L450:M450"/>
    <mergeCell ref="P450:Q450"/>
    <mergeCell ref="AJ449:AK449"/>
    <mergeCell ref="AL449:AM449"/>
    <mergeCell ref="AN449:AO449"/>
    <mergeCell ref="AP449:AQ449"/>
    <mergeCell ref="AR449:AS449"/>
    <mergeCell ref="AT449:AU449"/>
    <mergeCell ref="AV449:AW449"/>
    <mergeCell ref="L447:M447"/>
    <mergeCell ref="P447:Q447"/>
    <mergeCell ref="B448:C448"/>
    <mergeCell ref="D448:E448"/>
    <mergeCell ref="B445:C445"/>
    <mergeCell ref="D445:E445"/>
    <mergeCell ref="F445:G445"/>
    <mergeCell ref="H445:I445"/>
    <mergeCell ref="J445:K445"/>
    <mergeCell ref="L445:M445"/>
    <mergeCell ref="P445:Q445"/>
    <mergeCell ref="B446:C446"/>
    <mergeCell ref="D446:E446"/>
    <mergeCell ref="F446:G446"/>
    <mergeCell ref="H446:I446"/>
    <mergeCell ref="F448:G448"/>
    <mergeCell ref="H448:I448"/>
    <mergeCell ref="J448:K448"/>
    <mergeCell ref="L448:M448"/>
    <mergeCell ref="P448:Q448"/>
    <mergeCell ref="AJ447:AK447"/>
    <mergeCell ref="AL447:AM447"/>
    <mergeCell ref="AN447:AO447"/>
    <mergeCell ref="AP447:AQ447"/>
    <mergeCell ref="AR447:AS447"/>
    <mergeCell ref="AT447:AU447"/>
    <mergeCell ref="AV447:AW447"/>
    <mergeCell ref="AN450:AO450"/>
    <mergeCell ref="AP450:AQ450"/>
    <mergeCell ref="AR450:AS450"/>
    <mergeCell ref="AT450:AU450"/>
    <mergeCell ref="AV450:AW450"/>
    <mergeCell ref="AJ448:AK448"/>
    <mergeCell ref="AL448:AM448"/>
    <mergeCell ref="R448:S448"/>
    <mergeCell ref="T448:U448"/>
    <mergeCell ref="V448:W448"/>
    <mergeCell ref="X448:AA448"/>
    <mergeCell ref="AB448:AE448"/>
    <mergeCell ref="AF448:AG448"/>
    <mergeCell ref="AH448:AI448"/>
    <mergeCell ref="R449:S449"/>
    <mergeCell ref="T449:U449"/>
    <mergeCell ref="AT452:AU452"/>
    <mergeCell ref="AV452:AW452"/>
    <mergeCell ref="AX452:AZ452"/>
    <mergeCell ref="BA452:BB452"/>
    <mergeCell ref="AJ450:AK450"/>
    <mergeCell ref="AL450:AM450"/>
    <mergeCell ref="R450:S450"/>
    <mergeCell ref="T450:U450"/>
    <mergeCell ref="V450:W450"/>
    <mergeCell ref="X450:AA450"/>
    <mergeCell ref="AB450:AE450"/>
    <mergeCell ref="AF450:AG450"/>
    <mergeCell ref="AH450:AI450"/>
    <mergeCell ref="R451:S451"/>
    <mergeCell ref="T451:U451"/>
    <mergeCell ref="V451:W451"/>
    <mergeCell ref="X451:AA451"/>
    <mergeCell ref="AB451:AE451"/>
    <mergeCell ref="AF451:AG451"/>
    <mergeCell ref="AH451:AI451"/>
    <mergeCell ref="AX451:AZ451"/>
    <mergeCell ref="BA451:BB451"/>
    <mergeCell ref="BD451:BE451"/>
    <mergeCell ref="BF451:BI451"/>
    <mergeCell ref="BJ451:BM451"/>
    <mergeCell ref="BN451:BV451"/>
    <mergeCell ref="BJ452:BM452"/>
    <mergeCell ref="BN452:BV452"/>
    <mergeCell ref="BA448:BB448"/>
    <mergeCell ref="R447:S447"/>
    <mergeCell ref="T447:U447"/>
    <mergeCell ref="V447:W447"/>
    <mergeCell ref="X447:AA447"/>
    <mergeCell ref="AB447:AE447"/>
    <mergeCell ref="AF447:AG447"/>
    <mergeCell ref="AH447:AI447"/>
    <mergeCell ref="AX447:AZ447"/>
    <mergeCell ref="BA447:BB447"/>
    <mergeCell ref="BD447:BE447"/>
    <mergeCell ref="BF447:BI447"/>
    <mergeCell ref="BJ449:BM449"/>
    <mergeCell ref="BN449:BV449"/>
    <mergeCell ref="BJ450:BM450"/>
    <mergeCell ref="BN450:BV450"/>
    <mergeCell ref="BD450:BE450"/>
    <mergeCell ref="BF450:BI450"/>
    <mergeCell ref="AX450:AZ450"/>
    <mergeCell ref="BA450:BB450"/>
    <mergeCell ref="V449:W449"/>
    <mergeCell ref="X449:AA449"/>
    <mergeCell ref="AB449:AE449"/>
    <mergeCell ref="AF449:AG449"/>
    <mergeCell ref="AH449:AI449"/>
    <mergeCell ref="AX449:AZ449"/>
    <mergeCell ref="BA449:BB449"/>
    <mergeCell ref="BD449:BE449"/>
    <mergeCell ref="BF449:BI449"/>
    <mergeCell ref="BD448:BE448"/>
    <mergeCell ref="BF448:BI448"/>
    <mergeCell ref="AN448:AO448"/>
    <mergeCell ref="AP448:AQ448"/>
    <mergeCell ref="AR448:AS448"/>
    <mergeCell ref="AT448:AU448"/>
    <mergeCell ref="AV448:AW448"/>
    <mergeCell ref="B451:C451"/>
    <mergeCell ref="D451:E451"/>
    <mergeCell ref="F451:G451"/>
    <mergeCell ref="H451:I451"/>
    <mergeCell ref="J451:K451"/>
    <mergeCell ref="L451:M451"/>
    <mergeCell ref="P451:Q451"/>
    <mergeCell ref="B452:C452"/>
    <mergeCell ref="D452:E452"/>
    <mergeCell ref="F452:G452"/>
    <mergeCell ref="H452:I452"/>
    <mergeCell ref="J452:K452"/>
    <mergeCell ref="L452:M452"/>
    <mergeCell ref="P452:Q452"/>
    <mergeCell ref="AJ451:AK451"/>
    <mergeCell ref="AL451:AM451"/>
    <mergeCell ref="AN451:AO451"/>
    <mergeCell ref="AP451:AQ451"/>
    <mergeCell ref="AR451:AS451"/>
    <mergeCell ref="AT451:AU451"/>
    <mergeCell ref="AV451:AW451"/>
    <mergeCell ref="BD454:BE454"/>
    <mergeCell ref="BF454:BI454"/>
    <mergeCell ref="AN454:AO454"/>
    <mergeCell ref="AP454:AQ454"/>
    <mergeCell ref="AR454:AS454"/>
    <mergeCell ref="AT454:AU454"/>
    <mergeCell ref="AV454:AW454"/>
    <mergeCell ref="AX454:AZ454"/>
    <mergeCell ref="BA454:BB454"/>
    <mergeCell ref="AJ452:AK452"/>
    <mergeCell ref="AL452:AM452"/>
    <mergeCell ref="R452:S452"/>
    <mergeCell ref="T452:U452"/>
    <mergeCell ref="V452:W452"/>
    <mergeCell ref="X452:AA452"/>
    <mergeCell ref="AB452:AE452"/>
    <mergeCell ref="AF452:AG452"/>
    <mergeCell ref="AH452:AI452"/>
    <mergeCell ref="R453:S453"/>
    <mergeCell ref="T453:U453"/>
    <mergeCell ref="V453:W453"/>
    <mergeCell ref="X453:AA453"/>
    <mergeCell ref="AB453:AE453"/>
    <mergeCell ref="AF453:AG453"/>
    <mergeCell ref="AH453:AI453"/>
    <mergeCell ref="AX453:AZ453"/>
    <mergeCell ref="BA453:BB453"/>
    <mergeCell ref="BD453:BE453"/>
    <mergeCell ref="BF453:BI453"/>
    <mergeCell ref="AJ454:AK454"/>
    <mergeCell ref="AL454:AM454"/>
    <mergeCell ref="R454:S454"/>
    <mergeCell ref="T454:U454"/>
    <mergeCell ref="V454:W454"/>
    <mergeCell ref="X454:AA454"/>
    <mergeCell ref="AB454:AE454"/>
    <mergeCell ref="AF454:AG454"/>
    <mergeCell ref="AH454:AI454"/>
    <mergeCell ref="BD452:BE452"/>
    <mergeCell ref="BF452:BI452"/>
    <mergeCell ref="AN452:AO452"/>
    <mergeCell ref="AP452:AQ452"/>
    <mergeCell ref="AR452:AS452"/>
    <mergeCell ref="BJ453:BM453"/>
    <mergeCell ref="BN453:BV453"/>
    <mergeCell ref="BJ454:BM454"/>
    <mergeCell ref="BN454:BV454"/>
    <mergeCell ref="B453:C453"/>
    <mergeCell ref="D453:E453"/>
    <mergeCell ref="F453:G453"/>
    <mergeCell ref="H453:I453"/>
    <mergeCell ref="J453:K453"/>
    <mergeCell ref="L453:M453"/>
    <mergeCell ref="P453:Q453"/>
    <mergeCell ref="B454:C454"/>
    <mergeCell ref="D454:E454"/>
    <mergeCell ref="F454:G454"/>
    <mergeCell ref="H454:I454"/>
    <mergeCell ref="J454:K454"/>
    <mergeCell ref="L454:M454"/>
    <mergeCell ref="P454:Q454"/>
    <mergeCell ref="AJ453:AK453"/>
    <mergeCell ref="AL453:AM453"/>
    <mergeCell ref="AN453:AO453"/>
    <mergeCell ref="AP453:AQ453"/>
    <mergeCell ref="AR453:AS453"/>
    <mergeCell ref="AT453:AU453"/>
    <mergeCell ref="AV453:AW453"/>
    <mergeCell ref="BD465:BE465"/>
    <mergeCell ref="BF465:BI465"/>
    <mergeCell ref="AN465:AO465"/>
    <mergeCell ref="AP465:AQ465"/>
    <mergeCell ref="AR465:AS465"/>
    <mergeCell ref="AT465:AU465"/>
    <mergeCell ref="AV465:AW465"/>
    <mergeCell ref="AX465:AZ465"/>
    <mergeCell ref="BA465:BB465"/>
    <mergeCell ref="AJ463:AK463"/>
    <mergeCell ref="AL463:AM463"/>
    <mergeCell ref="R463:S463"/>
    <mergeCell ref="T463:U463"/>
    <mergeCell ref="V463:W463"/>
    <mergeCell ref="X463:AA463"/>
    <mergeCell ref="AB463:AE463"/>
    <mergeCell ref="AF463:AG463"/>
    <mergeCell ref="AH463:AI463"/>
    <mergeCell ref="R464:S464"/>
    <mergeCell ref="T464:U464"/>
    <mergeCell ref="V464:W464"/>
    <mergeCell ref="X464:AA464"/>
    <mergeCell ref="AB464:AE464"/>
    <mergeCell ref="AF464:AG464"/>
    <mergeCell ref="AH464:AI464"/>
    <mergeCell ref="AX464:AZ464"/>
    <mergeCell ref="BA464:BB464"/>
    <mergeCell ref="BD464:BE464"/>
    <mergeCell ref="BF464:BI464"/>
    <mergeCell ref="BJ464:BM464"/>
    <mergeCell ref="BN464:BV464"/>
    <mergeCell ref="BJ465:BM465"/>
    <mergeCell ref="BN465:BV465"/>
    <mergeCell ref="B464:C464"/>
    <mergeCell ref="D464:E464"/>
    <mergeCell ref="F464:G464"/>
    <mergeCell ref="H464:I464"/>
    <mergeCell ref="J464:K464"/>
    <mergeCell ref="L464:M464"/>
    <mergeCell ref="B463:C463"/>
    <mergeCell ref="D463:E463"/>
    <mergeCell ref="F463:G463"/>
    <mergeCell ref="H463:I463"/>
    <mergeCell ref="J463:K463"/>
    <mergeCell ref="L463:M463"/>
    <mergeCell ref="P463:Q463"/>
    <mergeCell ref="AJ462:AK462"/>
    <mergeCell ref="AL462:AM462"/>
    <mergeCell ref="AN462:AO462"/>
    <mergeCell ref="AP462:AQ462"/>
    <mergeCell ref="AR462:AS462"/>
    <mergeCell ref="AT462:AU462"/>
    <mergeCell ref="AV462:AW462"/>
    <mergeCell ref="AN463:AO463"/>
    <mergeCell ref="AP463:AQ463"/>
    <mergeCell ref="AR463:AS463"/>
    <mergeCell ref="AT463:AU463"/>
    <mergeCell ref="AV463:AW463"/>
    <mergeCell ref="AX463:AZ463"/>
    <mergeCell ref="BA463:BB463"/>
    <mergeCell ref="AJ461:AK461"/>
    <mergeCell ref="AL461:AM461"/>
    <mergeCell ref="R461:S461"/>
    <mergeCell ref="T461:U461"/>
    <mergeCell ref="V461:W461"/>
    <mergeCell ref="X461:AA461"/>
    <mergeCell ref="AB461:AE461"/>
    <mergeCell ref="L460:M460"/>
    <mergeCell ref="P460:Q460"/>
    <mergeCell ref="B461:C461"/>
    <mergeCell ref="D461:E461"/>
    <mergeCell ref="F461:G461"/>
    <mergeCell ref="H461:I461"/>
    <mergeCell ref="J461:K461"/>
    <mergeCell ref="L461:M461"/>
    <mergeCell ref="P461:Q461"/>
    <mergeCell ref="B462:C462"/>
    <mergeCell ref="D462:E462"/>
    <mergeCell ref="F462:G462"/>
    <mergeCell ref="H462:I462"/>
    <mergeCell ref="J462:K462"/>
    <mergeCell ref="L462:M462"/>
    <mergeCell ref="P462:Q462"/>
    <mergeCell ref="B465:C465"/>
    <mergeCell ref="D465:E465"/>
    <mergeCell ref="F465:G465"/>
    <mergeCell ref="H465:I465"/>
    <mergeCell ref="J465:K465"/>
    <mergeCell ref="L465:M465"/>
    <mergeCell ref="P465:Q465"/>
    <mergeCell ref="AJ464:AK464"/>
    <mergeCell ref="AL464:AM464"/>
    <mergeCell ref="AN464:AO464"/>
    <mergeCell ref="AP464:AQ464"/>
    <mergeCell ref="AR464:AS464"/>
    <mergeCell ref="AT464:AU464"/>
    <mergeCell ref="AV464:AW464"/>
    <mergeCell ref="AJ459:AK459"/>
    <mergeCell ref="AL459:AM459"/>
    <mergeCell ref="R459:S459"/>
    <mergeCell ref="T459:U459"/>
    <mergeCell ref="V459:W459"/>
    <mergeCell ref="X459:AA459"/>
    <mergeCell ref="AB459:AE459"/>
    <mergeCell ref="AF459:AG459"/>
    <mergeCell ref="AH459:AI459"/>
    <mergeCell ref="R460:S460"/>
    <mergeCell ref="T460:U460"/>
    <mergeCell ref="V460:W460"/>
    <mergeCell ref="X460:AA460"/>
    <mergeCell ref="AB460:AE460"/>
    <mergeCell ref="AF460:AG460"/>
    <mergeCell ref="AH460:AI460"/>
    <mergeCell ref="BD456:BE456"/>
    <mergeCell ref="BF456:BI456"/>
    <mergeCell ref="AN456:AO456"/>
    <mergeCell ref="AP456:AQ456"/>
    <mergeCell ref="AR456:AS456"/>
    <mergeCell ref="AT456:AU456"/>
    <mergeCell ref="AV456:AW456"/>
    <mergeCell ref="AX456:AZ456"/>
    <mergeCell ref="BA456:BB456"/>
    <mergeCell ref="AF461:AG461"/>
    <mergeCell ref="AH461:AI461"/>
    <mergeCell ref="R462:S462"/>
    <mergeCell ref="T462:U462"/>
    <mergeCell ref="V462:W462"/>
    <mergeCell ref="X462:AA462"/>
    <mergeCell ref="AB462:AE462"/>
    <mergeCell ref="AF462:AG462"/>
    <mergeCell ref="AH462:AI462"/>
    <mergeCell ref="AX462:AZ462"/>
    <mergeCell ref="BA462:BB462"/>
    <mergeCell ref="BD462:BE462"/>
    <mergeCell ref="BF462:BI462"/>
    <mergeCell ref="B457:C457"/>
    <mergeCell ref="D457:E457"/>
    <mergeCell ref="F457:G457"/>
    <mergeCell ref="H457:I457"/>
    <mergeCell ref="J457:K457"/>
    <mergeCell ref="L457:M457"/>
    <mergeCell ref="P457:Q457"/>
    <mergeCell ref="B459:C459"/>
    <mergeCell ref="D459:E459"/>
    <mergeCell ref="F459:G459"/>
    <mergeCell ref="H459:I459"/>
    <mergeCell ref="AX460:AZ460"/>
    <mergeCell ref="BJ455:BM455"/>
    <mergeCell ref="BN455:BV455"/>
    <mergeCell ref="B455:C455"/>
    <mergeCell ref="D455:E455"/>
    <mergeCell ref="F455:G455"/>
    <mergeCell ref="H455:I455"/>
    <mergeCell ref="J455:K455"/>
    <mergeCell ref="L455:M455"/>
    <mergeCell ref="P455:Q455"/>
    <mergeCell ref="AJ455:AK455"/>
    <mergeCell ref="AL455:AM455"/>
    <mergeCell ref="AN455:AO455"/>
    <mergeCell ref="AP455:AQ455"/>
    <mergeCell ref="AR455:AS455"/>
    <mergeCell ref="AT455:AU455"/>
    <mergeCell ref="AV455:AW455"/>
    <mergeCell ref="B456:C456"/>
    <mergeCell ref="D456:E456"/>
    <mergeCell ref="F456:G456"/>
    <mergeCell ref="H456:I456"/>
    <mergeCell ref="J456:K456"/>
    <mergeCell ref="L456:M456"/>
    <mergeCell ref="P456:Q456"/>
    <mergeCell ref="BD460:BE460"/>
    <mergeCell ref="BF460:BI460"/>
    <mergeCell ref="BJ460:BM460"/>
    <mergeCell ref="BN460:BV460"/>
    <mergeCell ref="BJ461:BM461"/>
    <mergeCell ref="BN461:BV461"/>
    <mergeCell ref="B460:C460"/>
    <mergeCell ref="D460:E460"/>
    <mergeCell ref="F460:G460"/>
    <mergeCell ref="H460:I460"/>
    <mergeCell ref="J460:K460"/>
    <mergeCell ref="R455:S455"/>
    <mergeCell ref="T455:U455"/>
    <mergeCell ref="V455:W455"/>
    <mergeCell ref="X455:AA455"/>
    <mergeCell ref="AB455:AE455"/>
    <mergeCell ref="AF455:AG455"/>
    <mergeCell ref="AH455:AI455"/>
    <mergeCell ref="AX455:AZ455"/>
    <mergeCell ref="BA455:BB455"/>
    <mergeCell ref="BD455:BE455"/>
    <mergeCell ref="BF455:BI455"/>
    <mergeCell ref="AJ456:AK456"/>
    <mergeCell ref="AL456:AM456"/>
    <mergeCell ref="BJ456:BM456"/>
    <mergeCell ref="BN456:BV456"/>
    <mergeCell ref="R456:S456"/>
    <mergeCell ref="T456:U456"/>
    <mergeCell ref="V456:W456"/>
    <mergeCell ref="X456:AA456"/>
    <mergeCell ref="AB456:AE456"/>
    <mergeCell ref="AF456:AG456"/>
    <mergeCell ref="AH456:AI456"/>
    <mergeCell ref="BA460:BB460"/>
    <mergeCell ref="J459:K459"/>
    <mergeCell ref="L459:M459"/>
    <mergeCell ref="P459:Q459"/>
    <mergeCell ref="R458:S458"/>
    <mergeCell ref="AB458:AE458"/>
    <mergeCell ref="AF458:AG458"/>
    <mergeCell ref="AH458:AI458"/>
    <mergeCell ref="BJ466:BM466"/>
    <mergeCell ref="BN466:BV466"/>
    <mergeCell ref="BJ467:BM467"/>
    <mergeCell ref="BN467:BV467"/>
    <mergeCell ref="BJ468:BM468"/>
    <mergeCell ref="BN468:BV468"/>
    <mergeCell ref="BJ469:BM469"/>
    <mergeCell ref="BN469:BV469"/>
    <mergeCell ref="AJ468:AK468"/>
    <mergeCell ref="AL468:AM468"/>
    <mergeCell ref="AN468:AO468"/>
    <mergeCell ref="AP468:AQ468"/>
    <mergeCell ref="AR468:AS468"/>
    <mergeCell ref="AT468:AU468"/>
    <mergeCell ref="AV468:AW468"/>
    <mergeCell ref="BJ457:BM457"/>
    <mergeCell ref="BN457:BV457"/>
    <mergeCell ref="AJ457:AK457"/>
    <mergeCell ref="AL457:AM457"/>
    <mergeCell ref="AN457:AO457"/>
    <mergeCell ref="AP457:AQ457"/>
    <mergeCell ref="AR457:AS457"/>
    <mergeCell ref="AT457:AU457"/>
    <mergeCell ref="AV457:AW457"/>
    <mergeCell ref="T468:U468"/>
    <mergeCell ref="V468:W468"/>
    <mergeCell ref="X468:AA468"/>
    <mergeCell ref="AB468:AE468"/>
    <mergeCell ref="AF468:AG468"/>
    <mergeCell ref="AH468:AI468"/>
    <mergeCell ref="AX468:AZ468"/>
    <mergeCell ref="BA468:BB468"/>
    <mergeCell ref="BD468:BE468"/>
    <mergeCell ref="BF468:BI468"/>
    <mergeCell ref="AJ460:AK460"/>
    <mergeCell ref="AL460:AM460"/>
    <mergeCell ref="AN460:AO460"/>
    <mergeCell ref="AP460:AQ460"/>
    <mergeCell ref="AR460:AS460"/>
    <mergeCell ref="AT460:AU460"/>
    <mergeCell ref="AV460:AW460"/>
    <mergeCell ref="BD459:BE459"/>
    <mergeCell ref="AX458:AZ458"/>
    <mergeCell ref="BA458:BB458"/>
    <mergeCell ref="BD458:BE458"/>
    <mergeCell ref="BF458:BI458"/>
    <mergeCell ref="BJ458:BM458"/>
    <mergeCell ref="BN458:BV458"/>
    <mergeCell ref="BJ459:BM459"/>
    <mergeCell ref="BN459:BV459"/>
    <mergeCell ref="BJ462:BM462"/>
    <mergeCell ref="BN462:BV462"/>
    <mergeCell ref="BJ463:BM463"/>
    <mergeCell ref="BN463:BV463"/>
    <mergeCell ref="AJ458:AK458"/>
    <mergeCell ref="AL458:AM458"/>
    <mergeCell ref="AN458:AO458"/>
    <mergeCell ref="AP458:AQ458"/>
    <mergeCell ref="AR458:AS458"/>
    <mergeCell ref="AT458:AU458"/>
    <mergeCell ref="AV458:AW458"/>
    <mergeCell ref="T458:U458"/>
    <mergeCell ref="V458:W458"/>
    <mergeCell ref="X458:AA458"/>
    <mergeCell ref="B458:C458"/>
    <mergeCell ref="D458:E458"/>
    <mergeCell ref="F458:G458"/>
    <mergeCell ref="H458:I458"/>
    <mergeCell ref="J458:K458"/>
    <mergeCell ref="L458:M458"/>
    <mergeCell ref="P458:Q458"/>
    <mergeCell ref="BF459:BI459"/>
    <mergeCell ref="AN459:AO459"/>
    <mergeCell ref="AP459:AQ459"/>
    <mergeCell ref="AR459:AS459"/>
    <mergeCell ref="AT459:AU459"/>
    <mergeCell ref="AV459:AW459"/>
    <mergeCell ref="AX459:AZ459"/>
    <mergeCell ref="BA459:BB459"/>
    <mergeCell ref="R457:S457"/>
    <mergeCell ref="T457:U457"/>
    <mergeCell ref="V457:W457"/>
    <mergeCell ref="X457:AA457"/>
    <mergeCell ref="AB457:AE457"/>
    <mergeCell ref="AF457:AG457"/>
    <mergeCell ref="AH457:AI457"/>
    <mergeCell ref="AX457:AZ457"/>
    <mergeCell ref="BA457:BB457"/>
    <mergeCell ref="BD457:BE457"/>
    <mergeCell ref="BF457:BI457"/>
    <mergeCell ref="J469:K469"/>
    <mergeCell ref="L469:M469"/>
    <mergeCell ref="P469:Q469"/>
    <mergeCell ref="BD461:BE461"/>
    <mergeCell ref="BF461:BI461"/>
    <mergeCell ref="AN461:AO461"/>
    <mergeCell ref="AP461:AQ461"/>
    <mergeCell ref="AR461:AS461"/>
    <mergeCell ref="AT461:AU461"/>
    <mergeCell ref="AV461:AW461"/>
    <mergeCell ref="AX461:AZ461"/>
    <mergeCell ref="BA461:BB461"/>
    <mergeCell ref="BD467:BE467"/>
    <mergeCell ref="BF467:BI467"/>
    <mergeCell ref="AN467:AO467"/>
    <mergeCell ref="AP467:AQ467"/>
    <mergeCell ref="AR467:AS467"/>
    <mergeCell ref="AT467:AU467"/>
    <mergeCell ref="AV467:AW467"/>
    <mergeCell ref="AX467:AZ467"/>
    <mergeCell ref="BA467:BB467"/>
    <mergeCell ref="AJ465:AK465"/>
    <mergeCell ref="AL465:AM465"/>
    <mergeCell ref="R465:S465"/>
    <mergeCell ref="T465:U465"/>
    <mergeCell ref="V465:W465"/>
    <mergeCell ref="X465:AA465"/>
    <mergeCell ref="AB465:AE465"/>
    <mergeCell ref="AF465:AG465"/>
    <mergeCell ref="AH465:AI465"/>
    <mergeCell ref="R466:S466"/>
    <mergeCell ref="T466:U466"/>
    <mergeCell ref="V466:W466"/>
    <mergeCell ref="X466:AA466"/>
    <mergeCell ref="AB466:AE466"/>
    <mergeCell ref="AF466:AG466"/>
    <mergeCell ref="AH466:AI466"/>
    <mergeCell ref="AX466:AZ466"/>
    <mergeCell ref="BA466:BB466"/>
    <mergeCell ref="BD466:BE466"/>
    <mergeCell ref="BF466:BI466"/>
    <mergeCell ref="BD463:BE463"/>
    <mergeCell ref="BF463:BI463"/>
    <mergeCell ref="AJ469:AK469"/>
    <mergeCell ref="AL469:AM469"/>
    <mergeCell ref="R469:S469"/>
    <mergeCell ref="T469:U469"/>
    <mergeCell ref="V469:W469"/>
    <mergeCell ref="X469:AA469"/>
    <mergeCell ref="AB469:AE469"/>
    <mergeCell ref="AF469:AG469"/>
    <mergeCell ref="AH469:AI469"/>
    <mergeCell ref="P464:Q464"/>
    <mergeCell ref="BJ470:BM470"/>
    <mergeCell ref="BN470:BV470"/>
    <mergeCell ref="BJ471:BM471"/>
    <mergeCell ref="BN471:BV471"/>
    <mergeCell ref="B466:C466"/>
    <mergeCell ref="D466:E466"/>
    <mergeCell ref="F466:G466"/>
    <mergeCell ref="H466:I466"/>
    <mergeCell ref="J466:K466"/>
    <mergeCell ref="L466:M466"/>
    <mergeCell ref="P466:Q466"/>
    <mergeCell ref="B467:C467"/>
    <mergeCell ref="D467:E467"/>
    <mergeCell ref="F467:G467"/>
    <mergeCell ref="H467:I467"/>
    <mergeCell ref="J467:K467"/>
    <mergeCell ref="L467:M467"/>
    <mergeCell ref="P467:Q467"/>
    <mergeCell ref="AJ466:AK466"/>
    <mergeCell ref="AL466:AM466"/>
    <mergeCell ref="AN466:AO466"/>
    <mergeCell ref="AP466:AQ466"/>
    <mergeCell ref="AR466:AS466"/>
    <mergeCell ref="AT466:AU466"/>
    <mergeCell ref="AV466:AW466"/>
    <mergeCell ref="BD469:BE469"/>
    <mergeCell ref="BF469:BI469"/>
    <mergeCell ref="AN469:AO469"/>
    <mergeCell ref="AP469:AQ469"/>
    <mergeCell ref="AR469:AS469"/>
    <mergeCell ref="AT469:AU469"/>
    <mergeCell ref="AV469:AW469"/>
    <mergeCell ref="AX469:AZ469"/>
    <mergeCell ref="BA469:BB469"/>
    <mergeCell ref="AJ467:AK467"/>
    <mergeCell ref="AL467:AM467"/>
    <mergeCell ref="R467:S467"/>
    <mergeCell ref="T467:U467"/>
    <mergeCell ref="V467:W467"/>
    <mergeCell ref="X467:AA467"/>
    <mergeCell ref="AB467:AE467"/>
    <mergeCell ref="AF467:AG467"/>
    <mergeCell ref="AH467:AI467"/>
    <mergeCell ref="R468:S468"/>
    <mergeCell ref="B470:C470"/>
    <mergeCell ref="D470:E470"/>
    <mergeCell ref="F470:G470"/>
    <mergeCell ref="H470:I470"/>
    <mergeCell ref="J470:K470"/>
    <mergeCell ref="B472:C472"/>
    <mergeCell ref="D472:E472"/>
    <mergeCell ref="F472:G472"/>
    <mergeCell ref="H472:I472"/>
    <mergeCell ref="J472:K472"/>
    <mergeCell ref="L472:M472"/>
    <mergeCell ref="P472:Q472"/>
    <mergeCell ref="B473:C473"/>
    <mergeCell ref="D473:E473"/>
    <mergeCell ref="F473:G473"/>
    <mergeCell ref="H473:I473"/>
    <mergeCell ref="J473:K473"/>
    <mergeCell ref="L473:M473"/>
    <mergeCell ref="P473:Q473"/>
    <mergeCell ref="AJ472:AK472"/>
    <mergeCell ref="AL472:AM472"/>
    <mergeCell ref="AN472:AO472"/>
    <mergeCell ref="AP472:AQ472"/>
    <mergeCell ref="AR472:AS472"/>
    <mergeCell ref="AT472:AU472"/>
    <mergeCell ref="AV472:AW472"/>
    <mergeCell ref="L470:M470"/>
    <mergeCell ref="P470:Q470"/>
    <mergeCell ref="B471:C471"/>
    <mergeCell ref="D471:E471"/>
    <mergeCell ref="B468:C468"/>
    <mergeCell ref="D468:E468"/>
    <mergeCell ref="F468:G468"/>
    <mergeCell ref="H468:I468"/>
    <mergeCell ref="J468:K468"/>
    <mergeCell ref="L468:M468"/>
    <mergeCell ref="P468:Q468"/>
    <mergeCell ref="B469:C469"/>
    <mergeCell ref="D469:E469"/>
    <mergeCell ref="F469:G469"/>
    <mergeCell ref="H469:I469"/>
    <mergeCell ref="F471:G471"/>
    <mergeCell ref="H471:I471"/>
    <mergeCell ref="J471:K471"/>
    <mergeCell ref="L471:M471"/>
    <mergeCell ref="P471:Q471"/>
    <mergeCell ref="AJ470:AK470"/>
    <mergeCell ref="AL470:AM470"/>
    <mergeCell ref="AN470:AO470"/>
    <mergeCell ref="AP470:AQ470"/>
    <mergeCell ref="AR470:AS470"/>
    <mergeCell ref="AT470:AU470"/>
    <mergeCell ref="AV470:AW470"/>
    <mergeCell ref="AN473:AO473"/>
    <mergeCell ref="AP473:AQ473"/>
    <mergeCell ref="AR473:AS473"/>
    <mergeCell ref="AT473:AU473"/>
    <mergeCell ref="AV473:AW473"/>
    <mergeCell ref="AJ471:AK471"/>
    <mergeCell ref="AL471:AM471"/>
    <mergeCell ref="R471:S471"/>
    <mergeCell ref="T471:U471"/>
    <mergeCell ref="V471:W471"/>
    <mergeCell ref="X471:AA471"/>
    <mergeCell ref="AB471:AE471"/>
    <mergeCell ref="AF471:AG471"/>
    <mergeCell ref="AH471:AI471"/>
    <mergeCell ref="R472:S472"/>
    <mergeCell ref="T472:U472"/>
    <mergeCell ref="AJ473:AK473"/>
    <mergeCell ref="AL473:AM473"/>
    <mergeCell ref="R473:S473"/>
    <mergeCell ref="T473:U473"/>
    <mergeCell ref="V473:W473"/>
    <mergeCell ref="X473:AA473"/>
    <mergeCell ref="AB473:AE473"/>
    <mergeCell ref="AF473:AG473"/>
    <mergeCell ref="AH473:AI473"/>
    <mergeCell ref="R474:S474"/>
    <mergeCell ref="T474:U474"/>
    <mergeCell ref="V474:W474"/>
    <mergeCell ref="X474:AA474"/>
    <mergeCell ref="AB474:AE474"/>
    <mergeCell ref="AF474:AG474"/>
    <mergeCell ref="AH474:AI474"/>
    <mergeCell ref="AX474:AZ474"/>
    <mergeCell ref="BA474:BB474"/>
    <mergeCell ref="BD474:BE474"/>
    <mergeCell ref="BF474:BI474"/>
    <mergeCell ref="BJ474:BM474"/>
    <mergeCell ref="BN474:BV474"/>
    <mergeCell ref="BJ475:BM475"/>
    <mergeCell ref="BN475:BV475"/>
    <mergeCell ref="BA471:BB471"/>
    <mergeCell ref="R470:S470"/>
    <mergeCell ref="T470:U470"/>
    <mergeCell ref="V470:W470"/>
    <mergeCell ref="X470:AA470"/>
    <mergeCell ref="AB470:AE470"/>
    <mergeCell ref="AF470:AG470"/>
    <mergeCell ref="AH470:AI470"/>
    <mergeCell ref="AX470:AZ470"/>
    <mergeCell ref="BA470:BB470"/>
    <mergeCell ref="BD470:BE470"/>
    <mergeCell ref="BF470:BI470"/>
    <mergeCell ref="BJ472:BM472"/>
    <mergeCell ref="BN472:BV472"/>
    <mergeCell ref="BJ473:BM473"/>
    <mergeCell ref="BN473:BV473"/>
    <mergeCell ref="BD473:BE473"/>
    <mergeCell ref="BF473:BI473"/>
    <mergeCell ref="AX473:AZ473"/>
    <mergeCell ref="BA473:BB473"/>
    <mergeCell ref="V472:W472"/>
    <mergeCell ref="X472:AA472"/>
    <mergeCell ref="AB472:AE472"/>
    <mergeCell ref="AF472:AG472"/>
    <mergeCell ref="AH472:AI472"/>
    <mergeCell ref="AX472:AZ472"/>
    <mergeCell ref="BA472:BB472"/>
    <mergeCell ref="BD472:BE472"/>
    <mergeCell ref="BF472:BI472"/>
    <mergeCell ref="BD471:BE471"/>
    <mergeCell ref="BF471:BI471"/>
    <mergeCell ref="AN471:AO471"/>
    <mergeCell ref="AP471:AQ471"/>
    <mergeCell ref="AR471:AS471"/>
    <mergeCell ref="AT471:AU471"/>
    <mergeCell ref="AV471:AW471"/>
    <mergeCell ref="AX471:AZ471"/>
    <mergeCell ref="B474:C474"/>
    <mergeCell ref="D474:E474"/>
    <mergeCell ref="F474:G474"/>
    <mergeCell ref="H474:I474"/>
    <mergeCell ref="J474:K474"/>
    <mergeCell ref="L474:M474"/>
    <mergeCell ref="P474:Q474"/>
    <mergeCell ref="B475:C475"/>
    <mergeCell ref="D475:E475"/>
    <mergeCell ref="F475:G475"/>
    <mergeCell ref="H475:I475"/>
    <mergeCell ref="J475:K475"/>
    <mergeCell ref="L475:M475"/>
    <mergeCell ref="P475:Q475"/>
    <mergeCell ref="AJ474:AK474"/>
    <mergeCell ref="AL474:AM474"/>
    <mergeCell ref="AN474:AO474"/>
    <mergeCell ref="AP474:AQ474"/>
    <mergeCell ref="AR474:AS474"/>
    <mergeCell ref="AT474:AU474"/>
    <mergeCell ref="AV474:AW474"/>
    <mergeCell ref="BD477:BE477"/>
    <mergeCell ref="BF477:BI477"/>
    <mergeCell ref="AN477:AO477"/>
    <mergeCell ref="AP477:AQ477"/>
    <mergeCell ref="AR477:AS477"/>
    <mergeCell ref="AT477:AU477"/>
    <mergeCell ref="AV477:AW477"/>
    <mergeCell ref="AX477:AZ477"/>
    <mergeCell ref="BA477:BB477"/>
    <mergeCell ref="AJ475:AK475"/>
    <mergeCell ref="AL475:AM475"/>
    <mergeCell ref="R475:S475"/>
    <mergeCell ref="T475:U475"/>
    <mergeCell ref="V475:W475"/>
    <mergeCell ref="X475:AA475"/>
    <mergeCell ref="AB475:AE475"/>
    <mergeCell ref="AF475:AG475"/>
    <mergeCell ref="AH475:AI475"/>
    <mergeCell ref="R476:S476"/>
    <mergeCell ref="T476:U476"/>
    <mergeCell ref="V476:W476"/>
    <mergeCell ref="X476:AA476"/>
    <mergeCell ref="AB476:AE476"/>
    <mergeCell ref="AF476:AG476"/>
    <mergeCell ref="AH476:AI476"/>
    <mergeCell ref="AX476:AZ476"/>
    <mergeCell ref="BA476:BB476"/>
    <mergeCell ref="BD476:BE476"/>
    <mergeCell ref="BF476:BI476"/>
    <mergeCell ref="BD475:BE475"/>
    <mergeCell ref="BF475:BI475"/>
    <mergeCell ref="AN475:AO475"/>
    <mergeCell ref="AP475:AQ475"/>
    <mergeCell ref="AR475:AS475"/>
    <mergeCell ref="AT475:AU475"/>
    <mergeCell ref="AV475:AW475"/>
    <mergeCell ref="AX475:AZ475"/>
    <mergeCell ref="BA475:BB475"/>
    <mergeCell ref="BJ476:BM476"/>
    <mergeCell ref="BN476:BV476"/>
    <mergeCell ref="BJ477:BM477"/>
    <mergeCell ref="BN477:BV477"/>
    <mergeCell ref="B476:C476"/>
    <mergeCell ref="D476:E476"/>
    <mergeCell ref="F476:G476"/>
    <mergeCell ref="H476:I476"/>
    <mergeCell ref="J476:K476"/>
    <mergeCell ref="L476:M476"/>
    <mergeCell ref="P476:Q476"/>
    <mergeCell ref="B477:C477"/>
    <mergeCell ref="D477:E477"/>
    <mergeCell ref="F477:G477"/>
    <mergeCell ref="H477:I477"/>
    <mergeCell ref="J477:K477"/>
    <mergeCell ref="L477:M477"/>
    <mergeCell ref="P477:Q477"/>
    <mergeCell ref="AJ476:AK476"/>
    <mergeCell ref="AL476:AM476"/>
    <mergeCell ref="AN476:AO476"/>
    <mergeCell ref="AP476:AQ476"/>
    <mergeCell ref="AR476:AS476"/>
    <mergeCell ref="AT476:AU476"/>
    <mergeCell ref="AV476:AW476"/>
    <mergeCell ref="BD488:BE488"/>
    <mergeCell ref="BF488:BI488"/>
    <mergeCell ref="AN488:AO488"/>
    <mergeCell ref="AP488:AQ488"/>
    <mergeCell ref="AR488:AS488"/>
    <mergeCell ref="AT488:AU488"/>
    <mergeCell ref="AV488:AW488"/>
    <mergeCell ref="AX488:AZ488"/>
    <mergeCell ref="BA488:BB488"/>
    <mergeCell ref="AJ486:AK486"/>
    <mergeCell ref="AL486:AM486"/>
    <mergeCell ref="R486:S486"/>
    <mergeCell ref="T486:U486"/>
    <mergeCell ref="V486:W486"/>
    <mergeCell ref="X486:AA486"/>
    <mergeCell ref="AB486:AE486"/>
    <mergeCell ref="AF486:AG486"/>
    <mergeCell ref="AH486:AI486"/>
    <mergeCell ref="R487:S487"/>
    <mergeCell ref="T487:U487"/>
    <mergeCell ref="V487:W487"/>
    <mergeCell ref="X487:AA487"/>
    <mergeCell ref="AB487:AE487"/>
    <mergeCell ref="AF487:AG487"/>
    <mergeCell ref="AH487:AI487"/>
    <mergeCell ref="AX487:AZ487"/>
    <mergeCell ref="BA487:BB487"/>
    <mergeCell ref="BD487:BE487"/>
    <mergeCell ref="BF487:BI487"/>
    <mergeCell ref="BJ487:BM487"/>
    <mergeCell ref="BN487:BV487"/>
    <mergeCell ref="BJ488:BM488"/>
    <mergeCell ref="BN488:BV488"/>
    <mergeCell ref="B487:C487"/>
    <mergeCell ref="D487:E487"/>
    <mergeCell ref="F487:G487"/>
    <mergeCell ref="H487:I487"/>
    <mergeCell ref="J487:K487"/>
    <mergeCell ref="L487:M487"/>
    <mergeCell ref="BJ485:BM485"/>
    <mergeCell ref="BN485:BV485"/>
    <mergeCell ref="BJ486:BM486"/>
    <mergeCell ref="BN486:BV486"/>
    <mergeCell ref="B485:C485"/>
    <mergeCell ref="D485:E485"/>
    <mergeCell ref="F485:G485"/>
    <mergeCell ref="H485:I485"/>
    <mergeCell ref="P487:Q487"/>
    <mergeCell ref="B488:C488"/>
    <mergeCell ref="D488:E488"/>
    <mergeCell ref="F488:G488"/>
    <mergeCell ref="H488:I488"/>
    <mergeCell ref="J488:K488"/>
    <mergeCell ref="L488:M488"/>
    <mergeCell ref="P488:Q488"/>
    <mergeCell ref="AJ487:AK487"/>
    <mergeCell ref="AL487:AM487"/>
    <mergeCell ref="AN487:AO487"/>
    <mergeCell ref="AP487:AQ487"/>
    <mergeCell ref="AR487:AS487"/>
    <mergeCell ref="AT487:AU487"/>
    <mergeCell ref="AV487:AW487"/>
    <mergeCell ref="AJ482:AK482"/>
    <mergeCell ref="AL482:AM482"/>
    <mergeCell ref="R482:S482"/>
    <mergeCell ref="T482:U482"/>
    <mergeCell ref="V482:W482"/>
    <mergeCell ref="X482:AA482"/>
    <mergeCell ref="AB482:AE482"/>
    <mergeCell ref="AF482:AG482"/>
    <mergeCell ref="AH482:AI482"/>
    <mergeCell ref="R483:S483"/>
    <mergeCell ref="T483:U483"/>
    <mergeCell ref="V483:W483"/>
    <mergeCell ref="X483:AA483"/>
    <mergeCell ref="AB483:AE483"/>
    <mergeCell ref="AF483:AG483"/>
    <mergeCell ref="AH483:AI483"/>
    <mergeCell ref="AX483:AZ483"/>
    <mergeCell ref="BA483:BB483"/>
    <mergeCell ref="J485:K485"/>
    <mergeCell ref="L485:M485"/>
    <mergeCell ref="P485:Q485"/>
    <mergeCell ref="B486:C486"/>
    <mergeCell ref="D486:E486"/>
    <mergeCell ref="F486:G486"/>
    <mergeCell ref="H486:I486"/>
    <mergeCell ref="J486:K486"/>
    <mergeCell ref="L486:M486"/>
    <mergeCell ref="P486:Q486"/>
    <mergeCell ref="AJ485:AK485"/>
    <mergeCell ref="AL485:AM485"/>
    <mergeCell ref="AN485:AO485"/>
    <mergeCell ref="AP485:AQ485"/>
    <mergeCell ref="AR485:AS485"/>
    <mergeCell ref="AT485:AU485"/>
    <mergeCell ref="AV485:AW485"/>
    <mergeCell ref="BJ478:BM478"/>
    <mergeCell ref="BN478:BV478"/>
    <mergeCell ref="B478:C478"/>
    <mergeCell ref="D478:E478"/>
    <mergeCell ref="F478:G478"/>
    <mergeCell ref="H478:I478"/>
    <mergeCell ref="J478:K478"/>
    <mergeCell ref="L478:M478"/>
    <mergeCell ref="P478:Q478"/>
    <mergeCell ref="AJ478:AK478"/>
    <mergeCell ref="AL478:AM478"/>
    <mergeCell ref="AN478:AO478"/>
    <mergeCell ref="AP478:AQ478"/>
    <mergeCell ref="AR478:AS478"/>
    <mergeCell ref="AT478:AU478"/>
    <mergeCell ref="AV478:AW478"/>
    <mergeCell ref="B479:C479"/>
    <mergeCell ref="D479:E479"/>
    <mergeCell ref="F479:G479"/>
    <mergeCell ref="H479:I479"/>
    <mergeCell ref="J479:K479"/>
    <mergeCell ref="L479:M479"/>
    <mergeCell ref="P479:Q479"/>
    <mergeCell ref="BD483:BE483"/>
    <mergeCell ref="BF483:BI483"/>
    <mergeCell ref="BJ483:BM483"/>
    <mergeCell ref="BN483:BV483"/>
    <mergeCell ref="BJ484:BM484"/>
    <mergeCell ref="BN484:BV484"/>
    <mergeCell ref="B483:C483"/>
    <mergeCell ref="D483:E483"/>
    <mergeCell ref="F483:G483"/>
    <mergeCell ref="H483:I483"/>
    <mergeCell ref="J483:K483"/>
    <mergeCell ref="L483:M483"/>
    <mergeCell ref="P483:Q483"/>
    <mergeCell ref="B484:C484"/>
    <mergeCell ref="D484:E484"/>
    <mergeCell ref="F484:G484"/>
    <mergeCell ref="H484:I484"/>
    <mergeCell ref="J484:K484"/>
    <mergeCell ref="L484:M484"/>
    <mergeCell ref="P484:Q484"/>
    <mergeCell ref="AJ483:AK483"/>
    <mergeCell ref="AL483:AM483"/>
    <mergeCell ref="AN483:AO483"/>
    <mergeCell ref="AP483:AQ483"/>
    <mergeCell ref="AR483:AS483"/>
    <mergeCell ref="AT483:AU483"/>
    <mergeCell ref="AV483:AW483"/>
    <mergeCell ref="AJ484:AK484"/>
    <mergeCell ref="AL484:AM484"/>
    <mergeCell ref="R484:S484"/>
    <mergeCell ref="T484:U484"/>
    <mergeCell ref="V484:W484"/>
    <mergeCell ref="X484:AA484"/>
    <mergeCell ref="AB484:AE484"/>
    <mergeCell ref="AF484:AG484"/>
    <mergeCell ref="AH484:AI484"/>
    <mergeCell ref="AJ479:AK479"/>
    <mergeCell ref="AL479:AM479"/>
    <mergeCell ref="BJ479:BM479"/>
    <mergeCell ref="BN479:BV479"/>
    <mergeCell ref="R479:S479"/>
    <mergeCell ref="X480:AA480"/>
    <mergeCell ref="AB480:AE480"/>
    <mergeCell ref="AF480:AG480"/>
    <mergeCell ref="AH480:AI480"/>
    <mergeCell ref="AX480:AZ480"/>
    <mergeCell ref="BA480:BB480"/>
    <mergeCell ref="BD480:BE480"/>
    <mergeCell ref="BF480:BI480"/>
    <mergeCell ref="BD479:BE479"/>
    <mergeCell ref="BF479:BI479"/>
    <mergeCell ref="AN479:AO479"/>
    <mergeCell ref="AP479:AQ479"/>
    <mergeCell ref="AR479:AS479"/>
    <mergeCell ref="AT479:AU479"/>
    <mergeCell ref="AV479:AW479"/>
    <mergeCell ref="AX479:AZ479"/>
    <mergeCell ref="BA479:BB479"/>
    <mergeCell ref="AJ477:AK477"/>
    <mergeCell ref="AL477:AM477"/>
    <mergeCell ref="R477:S477"/>
    <mergeCell ref="T477:U477"/>
    <mergeCell ref="V477:W477"/>
    <mergeCell ref="X477:AA477"/>
    <mergeCell ref="AB477:AE477"/>
    <mergeCell ref="AF477:AG477"/>
    <mergeCell ref="AH477:AI477"/>
    <mergeCell ref="R478:S478"/>
    <mergeCell ref="T478:U478"/>
    <mergeCell ref="V478:W478"/>
    <mergeCell ref="X478:AA478"/>
    <mergeCell ref="AB478:AE478"/>
    <mergeCell ref="AF478:AG478"/>
    <mergeCell ref="AH478:AI478"/>
    <mergeCell ref="AX478:AZ478"/>
    <mergeCell ref="BA478:BB478"/>
    <mergeCell ref="BD478:BE478"/>
    <mergeCell ref="BF478:BI478"/>
    <mergeCell ref="T479:U479"/>
    <mergeCell ref="V479:W479"/>
    <mergeCell ref="X479:AA479"/>
    <mergeCell ref="AB479:AE479"/>
    <mergeCell ref="AF479:AG479"/>
    <mergeCell ref="AH479:AI479"/>
    <mergeCell ref="BJ480:BM480"/>
    <mergeCell ref="BN480:BV480"/>
    <mergeCell ref="AJ480:AK480"/>
    <mergeCell ref="AL480:AM480"/>
    <mergeCell ref="AN480:AO480"/>
    <mergeCell ref="AP480:AQ480"/>
    <mergeCell ref="AR480:AS480"/>
    <mergeCell ref="AT480:AU480"/>
    <mergeCell ref="AV480:AW480"/>
    <mergeCell ref="B480:C480"/>
    <mergeCell ref="D480:E480"/>
    <mergeCell ref="F480:G480"/>
    <mergeCell ref="H480:I480"/>
    <mergeCell ref="J480:K480"/>
    <mergeCell ref="L480:M480"/>
    <mergeCell ref="P480:Q480"/>
    <mergeCell ref="AX481:AZ481"/>
    <mergeCell ref="BA481:BB481"/>
    <mergeCell ref="BD481:BE481"/>
    <mergeCell ref="BF481:BI481"/>
    <mergeCell ref="BJ481:BM481"/>
    <mergeCell ref="BN481:BV481"/>
    <mergeCell ref="BJ482:BM482"/>
    <mergeCell ref="BN482:BV482"/>
    <mergeCell ref="B482:C482"/>
    <mergeCell ref="D482:E482"/>
    <mergeCell ref="F482:G482"/>
    <mergeCell ref="H482:I482"/>
    <mergeCell ref="J482:K482"/>
    <mergeCell ref="L482:M482"/>
    <mergeCell ref="P482:Q482"/>
    <mergeCell ref="AJ481:AK481"/>
    <mergeCell ref="AL481:AM481"/>
    <mergeCell ref="AN481:AO481"/>
    <mergeCell ref="AP481:AQ481"/>
    <mergeCell ref="AR481:AS481"/>
    <mergeCell ref="AT481:AU481"/>
    <mergeCell ref="AV481:AW481"/>
    <mergeCell ref="R481:S481"/>
    <mergeCell ref="T481:U481"/>
    <mergeCell ref="V481:W481"/>
    <mergeCell ref="X481:AA481"/>
    <mergeCell ref="AB481:AE481"/>
    <mergeCell ref="AF481:AG481"/>
    <mergeCell ref="AH481:AI481"/>
    <mergeCell ref="B481:C481"/>
    <mergeCell ref="D481:E481"/>
    <mergeCell ref="F481:G481"/>
    <mergeCell ref="H481:I481"/>
    <mergeCell ref="J481:K481"/>
    <mergeCell ref="L481:M481"/>
    <mergeCell ref="P481:Q481"/>
    <mergeCell ref="BD482:BE482"/>
    <mergeCell ref="BF482:BI482"/>
    <mergeCell ref="AN482:AO482"/>
    <mergeCell ref="AP482:AQ482"/>
    <mergeCell ref="AR482:AS482"/>
    <mergeCell ref="AT482:AU482"/>
    <mergeCell ref="AV482:AW482"/>
    <mergeCell ref="AX482:AZ482"/>
    <mergeCell ref="BA482:BB482"/>
    <mergeCell ref="R480:S480"/>
    <mergeCell ref="T480:U480"/>
    <mergeCell ref="V480:W480"/>
    <mergeCell ref="BJ502:BM502"/>
    <mergeCell ref="BN502:BV502"/>
    <mergeCell ref="R502:S502"/>
    <mergeCell ref="T502:U502"/>
    <mergeCell ref="V502:W502"/>
    <mergeCell ref="X502:AA502"/>
    <mergeCell ref="AB502:AE502"/>
    <mergeCell ref="AF502:AG502"/>
    <mergeCell ref="AH502:AI502"/>
    <mergeCell ref="BD490:BE490"/>
    <mergeCell ref="BF490:BI490"/>
    <mergeCell ref="AN490:AO490"/>
    <mergeCell ref="AP490:AQ490"/>
    <mergeCell ref="AR490:AS490"/>
    <mergeCell ref="AT490:AU490"/>
    <mergeCell ref="AV490:AW490"/>
    <mergeCell ref="AX490:AZ490"/>
    <mergeCell ref="BA490:BB490"/>
    <mergeCell ref="AJ488:AK488"/>
    <mergeCell ref="AL488:AM488"/>
    <mergeCell ref="R488:S488"/>
    <mergeCell ref="T488:U488"/>
    <mergeCell ref="V488:W488"/>
    <mergeCell ref="X488:AA488"/>
    <mergeCell ref="AB488:AE488"/>
    <mergeCell ref="AF488:AG488"/>
    <mergeCell ref="AH488:AI488"/>
    <mergeCell ref="R489:S489"/>
    <mergeCell ref="T489:U489"/>
    <mergeCell ref="V489:W489"/>
    <mergeCell ref="X489:AA489"/>
    <mergeCell ref="AB489:AE489"/>
    <mergeCell ref="AF489:AG489"/>
    <mergeCell ref="AH489:AI489"/>
    <mergeCell ref="AX489:AZ489"/>
    <mergeCell ref="BA489:BB489"/>
    <mergeCell ref="BD489:BE489"/>
    <mergeCell ref="BF489:BI489"/>
    <mergeCell ref="BJ489:BM489"/>
    <mergeCell ref="BN489:BV489"/>
    <mergeCell ref="BJ490:BM490"/>
    <mergeCell ref="BN490:BV490"/>
    <mergeCell ref="BJ491:BM491"/>
    <mergeCell ref="BN491:BV491"/>
    <mergeCell ref="BJ492:BM492"/>
    <mergeCell ref="BN492:BV492"/>
    <mergeCell ref="AJ491:AK491"/>
    <mergeCell ref="AL491:AM491"/>
    <mergeCell ref="AN491:AO491"/>
    <mergeCell ref="AP491:AQ491"/>
    <mergeCell ref="AR491:AS491"/>
    <mergeCell ref="AT491:AU491"/>
    <mergeCell ref="AV491:AW491"/>
    <mergeCell ref="T491:U491"/>
    <mergeCell ref="V491:W491"/>
    <mergeCell ref="X491:AA491"/>
    <mergeCell ref="AB491:AE491"/>
    <mergeCell ref="AF491:AG491"/>
    <mergeCell ref="AH491:AI491"/>
    <mergeCell ref="AX491:AZ491"/>
    <mergeCell ref="BA491:BB491"/>
    <mergeCell ref="BD491:BE491"/>
    <mergeCell ref="BJ493:BM493"/>
    <mergeCell ref="BN493:BV493"/>
    <mergeCell ref="H492:I492"/>
    <mergeCell ref="J492:K492"/>
    <mergeCell ref="L492:M492"/>
    <mergeCell ref="P492:Q492"/>
    <mergeCell ref="BD484:BE484"/>
    <mergeCell ref="BF484:BI484"/>
    <mergeCell ref="AN484:AO484"/>
    <mergeCell ref="AP484:AQ484"/>
    <mergeCell ref="AR484:AS484"/>
    <mergeCell ref="AT484:AU484"/>
    <mergeCell ref="AV484:AW484"/>
    <mergeCell ref="AX484:AZ484"/>
    <mergeCell ref="BA484:BB484"/>
    <mergeCell ref="BD486:BE486"/>
    <mergeCell ref="BF486:BI486"/>
    <mergeCell ref="AN486:AO486"/>
    <mergeCell ref="AP486:AQ486"/>
    <mergeCell ref="AR486:AS486"/>
    <mergeCell ref="AT486:AU486"/>
    <mergeCell ref="AV486:AW486"/>
    <mergeCell ref="AX486:AZ486"/>
    <mergeCell ref="BA486:BB486"/>
    <mergeCell ref="R485:S485"/>
    <mergeCell ref="T485:U485"/>
    <mergeCell ref="V485:W485"/>
    <mergeCell ref="X485:AA485"/>
    <mergeCell ref="AB485:AE485"/>
    <mergeCell ref="AF485:AG485"/>
    <mergeCell ref="AH485:AI485"/>
    <mergeCell ref="AX485:AZ485"/>
    <mergeCell ref="BA485:BB485"/>
    <mergeCell ref="BD485:BE485"/>
    <mergeCell ref="BF485:BI485"/>
    <mergeCell ref="AJ492:AK492"/>
    <mergeCell ref="AL492:AM492"/>
    <mergeCell ref="R492:S492"/>
    <mergeCell ref="T492:U492"/>
    <mergeCell ref="V492:W492"/>
    <mergeCell ref="X492:AA492"/>
    <mergeCell ref="AB492:AE492"/>
    <mergeCell ref="AF492:AG492"/>
    <mergeCell ref="AH492:AI492"/>
    <mergeCell ref="BJ494:BM494"/>
    <mergeCell ref="BN494:BV494"/>
    <mergeCell ref="B489:C489"/>
    <mergeCell ref="D489:E489"/>
    <mergeCell ref="F489:G489"/>
    <mergeCell ref="H489:I489"/>
    <mergeCell ref="J489:K489"/>
    <mergeCell ref="L489:M489"/>
    <mergeCell ref="P489:Q489"/>
    <mergeCell ref="B490:C490"/>
    <mergeCell ref="D490:E490"/>
    <mergeCell ref="F490:G490"/>
    <mergeCell ref="H490:I490"/>
    <mergeCell ref="J490:K490"/>
    <mergeCell ref="L490:M490"/>
    <mergeCell ref="P490:Q490"/>
    <mergeCell ref="AJ489:AK489"/>
    <mergeCell ref="AL489:AM489"/>
    <mergeCell ref="AN489:AO489"/>
    <mergeCell ref="AP489:AQ489"/>
    <mergeCell ref="AR489:AS489"/>
    <mergeCell ref="AT489:AU489"/>
    <mergeCell ref="AV489:AW489"/>
    <mergeCell ref="BD492:BE492"/>
    <mergeCell ref="BF492:BI492"/>
    <mergeCell ref="AN492:AO492"/>
    <mergeCell ref="AP492:AQ492"/>
    <mergeCell ref="AR492:AS492"/>
    <mergeCell ref="AT492:AU492"/>
    <mergeCell ref="AV492:AW492"/>
    <mergeCell ref="AX492:AZ492"/>
    <mergeCell ref="BA492:BB492"/>
    <mergeCell ref="AJ490:AK490"/>
    <mergeCell ref="AL490:AM490"/>
    <mergeCell ref="R490:S490"/>
    <mergeCell ref="T490:U490"/>
    <mergeCell ref="V490:W490"/>
    <mergeCell ref="X490:AA490"/>
    <mergeCell ref="AB490:AE490"/>
    <mergeCell ref="AF490:AG490"/>
    <mergeCell ref="AH490:AI490"/>
    <mergeCell ref="R491:S491"/>
    <mergeCell ref="B493:C493"/>
    <mergeCell ref="D493:E493"/>
    <mergeCell ref="F493:G493"/>
    <mergeCell ref="H493:I493"/>
    <mergeCell ref="J493:K493"/>
    <mergeCell ref="L493:M493"/>
    <mergeCell ref="P493:Q493"/>
    <mergeCell ref="B494:C494"/>
    <mergeCell ref="D494:E494"/>
    <mergeCell ref="BF491:BI491"/>
    <mergeCell ref="B491:C491"/>
    <mergeCell ref="D491:E491"/>
    <mergeCell ref="F491:G491"/>
    <mergeCell ref="H491:I491"/>
    <mergeCell ref="J491:K491"/>
    <mergeCell ref="L491:M491"/>
    <mergeCell ref="P491:Q491"/>
    <mergeCell ref="B492:C492"/>
    <mergeCell ref="D492:E492"/>
    <mergeCell ref="F492:G492"/>
    <mergeCell ref="F494:G494"/>
    <mergeCell ref="H494:I494"/>
    <mergeCell ref="J494:K494"/>
    <mergeCell ref="L494:M494"/>
    <mergeCell ref="P494:Q494"/>
    <mergeCell ref="AJ493:AK493"/>
    <mergeCell ref="AL493:AM493"/>
    <mergeCell ref="AN493:AO493"/>
    <mergeCell ref="AP493:AQ493"/>
    <mergeCell ref="AR493:AS493"/>
    <mergeCell ref="AT493:AU493"/>
    <mergeCell ref="AV493:AW493"/>
    <mergeCell ref="BD496:BE496"/>
    <mergeCell ref="BF496:BI496"/>
    <mergeCell ref="AN496:AO496"/>
    <mergeCell ref="AP496:AQ496"/>
    <mergeCell ref="AR496:AS496"/>
    <mergeCell ref="AT496:AU496"/>
    <mergeCell ref="AV496:AW496"/>
    <mergeCell ref="AX496:AZ496"/>
    <mergeCell ref="BA496:BB496"/>
    <mergeCell ref="AJ494:AK494"/>
    <mergeCell ref="AL494:AM494"/>
    <mergeCell ref="R494:S494"/>
    <mergeCell ref="T494:U494"/>
    <mergeCell ref="V494:W494"/>
    <mergeCell ref="X494:AA494"/>
    <mergeCell ref="AB494:AE494"/>
    <mergeCell ref="AF494:AG494"/>
    <mergeCell ref="AH494:AI494"/>
    <mergeCell ref="R495:S495"/>
    <mergeCell ref="T495:U495"/>
    <mergeCell ref="V495:W495"/>
    <mergeCell ref="X495:AA495"/>
    <mergeCell ref="AB495:AE495"/>
    <mergeCell ref="AF495:AG495"/>
    <mergeCell ref="AH495:AI495"/>
    <mergeCell ref="AX495:AZ495"/>
    <mergeCell ref="BA495:BB495"/>
    <mergeCell ref="BD495:BE495"/>
    <mergeCell ref="BF495:BI495"/>
    <mergeCell ref="BD494:BE494"/>
    <mergeCell ref="BF494:BI494"/>
    <mergeCell ref="AN494:AO494"/>
    <mergeCell ref="AP494:AQ494"/>
    <mergeCell ref="AR494:AS494"/>
    <mergeCell ref="AT494:AU494"/>
    <mergeCell ref="AV494:AW494"/>
    <mergeCell ref="AX494:AZ494"/>
    <mergeCell ref="BA494:BB494"/>
    <mergeCell ref="R493:S493"/>
    <mergeCell ref="T493:U493"/>
    <mergeCell ref="V493:W493"/>
    <mergeCell ref="X493:AA493"/>
    <mergeCell ref="AB493:AE493"/>
    <mergeCell ref="AF493:AG493"/>
    <mergeCell ref="AH493:AI493"/>
    <mergeCell ref="AX493:AZ493"/>
    <mergeCell ref="BA493:BB493"/>
    <mergeCell ref="BD493:BE493"/>
    <mergeCell ref="BF493:BI493"/>
    <mergeCell ref="BJ495:BM495"/>
    <mergeCell ref="BN495:BV495"/>
    <mergeCell ref="BJ496:BM496"/>
    <mergeCell ref="BN496:BV496"/>
    <mergeCell ref="B495:C495"/>
    <mergeCell ref="D495:E495"/>
    <mergeCell ref="F495:G495"/>
    <mergeCell ref="H495:I495"/>
    <mergeCell ref="J495:K495"/>
    <mergeCell ref="L495:M495"/>
    <mergeCell ref="P495:Q495"/>
    <mergeCell ref="B496:C496"/>
    <mergeCell ref="D496:E496"/>
    <mergeCell ref="F496:G496"/>
    <mergeCell ref="H496:I496"/>
    <mergeCell ref="J496:K496"/>
    <mergeCell ref="L496:M496"/>
    <mergeCell ref="P496:Q496"/>
    <mergeCell ref="AJ495:AK495"/>
    <mergeCell ref="AL495:AM495"/>
    <mergeCell ref="AN495:AO495"/>
    <mergeCell ref="AP495:AQ495"/>
    <mergeCell ref="AR495:AS495"/>
    <mergeCell ref="AT495:AU495"/>
    <mergeCell ref="AV495:AW495"/>
    <mergeCell ref="BD498:BE498"/>
    <mergeCell ref="BF498:BI498"/>
    <mergeCell ref="AN498:AO498"/>
    <mergeCell ref="AP498:AQ498"/>
    <mergeCell ref="AR498:AS498"/>
    <mergeCell ref="AT498:AU498"/>
    <mergeCell ref="AV498:AW498"/>
    <mergeCell ref="AX498:AZ498"/>
    <mergeCell ref="BA498:BB498"/>
    <mergeCell ref="AJ496:AK496"/>
    <mergeCell ref="AL496:AM496"/>
    <mergeCell ref="R496:S496"/>
    <mergeCell ref="T496:U496"/>
    <mergeCell ref="V496:W496"/>
    <mergeCell ref="X496:AA496"/>
    <mergeCell ref="AB496:AE496"/>
    <mergeCell ref="AF496:AG496"/>
    <mergeCell ref="AH496:AI496"/>
    <mergeCell ref="R497:S497"/>
    <mergeCell ref="T497:U497"/>
    <mergeCell ref="V497:W497"/>
    <mergeCell ref="X497:AA497"/>
    <mergeCell ref="AB497:AE497"/>
    <mergeCell ref="AF497:AG497"/>
    <mergeCell ref="AH497:AI497"/>
    <mergeCell ref="AX497:AZ497"/>
    <mergeCell ref="BA497:BB497"/>
    <mergeCell ref="BD497:BE497"/>
    <mergeCell ref="BF497:BI497"/>
    <mergeCell ref="BJ497:BM497"/>
    <mergeCell ref="BN497:BV497"/>
    <mergeCell ref="BJ498:BM498"/>
    <mergeCell ref="BN498:BV498"/>
    <mergeCell ref="B497:C497"/>
    <mergeCell ref="D497:E497"/>
    <mergeCell ref="F497:G497"/>
    <mergeCell ref="H497:I497"/>
    <mergeCell ref="J497:K497"/>
    <mergeCell ref="L497:M497"/>
    <mergeCell ref="P497:Q497"/>
    <mergeCell ref="B498:C498"/>
    <mergeCell ref="D498:E498"/>
    <mergeCell ref="F498:G498"/>
    <mergeCell ref="H498:I498"/>
    <mergeCell ref="J498:K498"/>
    <mergeCell ref="L498:M498"/>
    <mergeCell ref="P498:Q498"/>
    <mergeCell ref="AJ497:AK497"/>
    <mergeCell ref="AL497:AM497"/>
    <mergeCell ref="AN497:AO497"/>
    <mergeCell ref="AP497:AQ497"/>
    <mergeCell ref="AR497:AS497"/>
    <mergeCell ref="AT497:AU497"/>
    <mergeCell ref="AV497:AW497"/>
    <mergeCell ref="BD500:BE500"/>
    <mergeCell ref="BF500:BI500"/>
    <mergeCell ref="AN500:AO500"/>
    <mergeCell ref="AP500:AQ500"/>
    <mergeCell ref="AR500:AS500"/>
    <mergeCell ref="AT500:AU500"/>
    <mergeCell ref="AV500:AW500"/>
    <mergeCell ref="AX500:AZ500"/>
    <mergeCell ref="BA500:BB500"/>
    <mergeCell ref="AJ498:AK498"/>
    <mergeCell ref="AL498:AM498"/>
    <mergeCell ref="R498:S498"/>
    <mergeCell ref="T498:U498"/>
    <mergeCell ref="V498:W498"/>
    <mergeCell ref="X498:AA498"/>
    <mergeCell ref="AB498:AE498"/>
    <mergeCell ref="AF498:AG498"/>
    <mergeCell ref="AH498:AI498"/>
    <mergeCell ref="R499:S499"/>
    <mergeCell ref="T499:U499"/>
    <mergeCell ref="V499:W499"/>
    <mergeCell ref="X499:AA499"/>
    <mergeCell ref="AB499:AE499"/>
    <mergeCell ref="AF499:AG499"/>
    <mergeCell ref="AH499:AI499"/>
    <mergeCell ref="AX499:AZ499"/>
    <mergeCell ref="BA499:BB499"/>
    <mergeCell ref="BD499:BE499"/>
    <mergeCell ref="BF499:BI499"/>
    <mergeCell ref="BJ499:BM499"/>
    <mergeCell ref="BN499:BV499"/>
    <mergeCell ref="BJ500:BM500"/>
    <mergeCell ref="BN500:BV500"/>
    <mergeCell ref="B499:C499"/>
    <mergeCell ref="D499:E499"/>
    <mergeCell ref="F499:G499"/>
    <mergeCell ref="H499:I499"/>
    <mergeCell ref="J499:K499"/>
    <mergeCell ref="L499:M499"/>
    <mergeCell ref="P499:Q499"/>
    <mergeCell ref="B500:C500"/>
    <mergeCell ref="D500:E500"/>
    <mergeCell ref="F500:G500"/>
    <mergeCell ref="H500:I500"/>
    <mergeCell ref="J500:K500"/>
    <mergeCell ref="L500:M500"/>
    <mergeCell ref="P500:Q500"/>
    <mergeCell ref="AJ499:AK499"/>
    <mergeCell ref="AL499:AM499"/>
    <mergeCell ref="AN499:AO499"/>
    <mergeCell ref="AP499:AQ499"/>
    <mergeCell ref="AR499:AS499"/>
    <mergeCell ref="AT499:AU499"/>
    <mergeCell ref="AV499:AW499"/>
    <mergeCell ref="AJ505:AK505"/>
    <mergeCell ref="AL505:AM505"/>
    <mergeCell ref="R505:S505"/>
    <mergeCell ref="T505:U505"/>
    <mergeCell ref="V505:W505"/>
    <mergeCell ref="X505:AA505"/>
    <mergeCell ref="AB505:AE505"/>
    <mergeCell ref="AF505:AG505"/>
    <mergeCell ref="AH505:AI505"/>
    <mergeCell ref="BJ501:BM501"/>
    <mergeCell ref="BN501:BV501"/>
    <mergeCell ref="B502:C502"/>
    <mergeCell ref="D502:E502"/>
    <mergeCell ref="F502:G502"/>
    <mergeCell ref="H502:I502"/>
    <mergeCell ref="J502:K502"/>
    <mergeCell ref="L502:M502"/>
    <mergeCell ref="P502:Q502"/>
    <mergeCell ref="R504:S504"/>
    <mergeCell ref="T504:U504"/>
    <mergeCell ref="V504:W504"/>
    <mergeCell ref="X504:AA504"/>
    <mergeCell ref="AB504:AE504"/>
    <mergeCell ref="AF504:AG504"/>
    <mergeCell ref="AH504:AI504"/>
    <mergeCell ref="B504:C504"/>
    <mergeCell ref="D504:E504"/>
    <mergeCell ref="F504:G504"/>
    <mergeCell ref="H504:I504"/>
    <mergeCell ref="J504:K504"/>
    <mergeCell ref="L504:M504"/>
    <mergeCell ref="P504:Q504"/>
    <mergeCell ref="BD505:BE505"/>
    <mergeCell ref="BF505:BI505"/>
    <mergeCell ref="AN505:AO505"/>
    <mergeCell ref="AP505:AQ505"/>
    <mergeCell ref="AR505:AS505"/>
    <mergeCell ref="AT505:AU505"/>
    <mergeCell ref="AV505:AW505"/>
    <mergeCell ref="R506:S506"/>
    <mergeCell ref="T506:U506"/>
    <mergeCell ref="V506:W506"/>
    <mergeCell ref="X506:AA506"/>
    <mergeCell ref="AB506:AE506"/>
    <mergeCell ref="AF506:AG506"/>
    <mergeCell ref="AH506:AI506"/>
    <mergeCell ref="AX506:AZ506"/>
    <mergeCell ref="BA506:BB506"/>
    <mergeCell ref="BD506:BE506"/>
    <mergeCell ref="BF506:BI506"/>
    <mergeCell ref="BJ506:BM506"/>
    <mergeCell ref="BN506:BV506"/>
    <mergeCell ref="BJ507:BM507"/>
    <mergeCell ref="BN507:BV507"/>
    <mergeCell ref="B506:C506"/>
    <mergeCell ref="D506:E506"/>
    <mergeCell ref="F506:G506"/>
    <mergeCell ref="H506:I506"/>
    <mergeCell ref="J506:K506"/>
    <mergeCell ref="L506:M506"/>
    <mergeCell ref="P506:Q506"/>
    <mergeCell ref="B507:C507"/>
    <mergeCell ref="D507:E507"/>
    <mergeCell ref="F507:G507"/>
    <mergeCell ref="H507:I507"/>
    <mergeCell ref="J507:K507"/>
    <mergeCell ref="L507:M507"/>
    <mergeCell ref="P507:Q507"/>
    <mergeCell ref="AJ506:AK506"/>
    <mergeCell ref="AL506:AM506"/>
    <mergeCell ref="AN506:AO506"/>
    <mergeCell ref="AP506:AQ506"/>
    <mergeCell ref="AR506:AS506"/>
    <mergeCell ref="AT506:AU506"/>
    <mergeCell ref="AV506:AW506"/>
    <mergeCell ref="R507:S507"/>
    <mergeCell ref="T507:U507"/>
    <mergeCell ref="V507:W507"/>
    <mergeCell ref="X507:AA507"/>
    <mergeCell ref="AB507:AE507"/>
    <mergeCell ref="AF507:AG507"/>
    <mergeCell ref="AH507:AI507"/>
    <mergeCell ref="AJ507:AK507"/>
    <mergeCell ref="AL507:AM507"/>
    <mergeCell ref="BD507:BE507"/>
    <mergeCell ref="BF507:BI507"/>
    <mergeCell ref="AN507:AO507"/>
    <mergeCell ref="AP507:AQ507"/>
    <mergeCell ref="AR507:AS507"/>
    <mergeCell ref="AT507:AU507"/>
    <mergeCell ref="AV507:AW507"/>
    <mergeCell ref="AX507:AZ507"/>
    <mergeCell ref="BA507:BB507"/>
    <mergeCell ref="V508:W508"/>
    <mergeCell ref="X508:AA508"/>
    <mergeCell ref="AB508:AE508"/>
    <mergeCell ref="AF508:AG508"/>
    <mergeCell ref="AH508:AI508"/>
    <mergeCell ref="AJ508:AK508"/>
    <mergeCell ref="AL508:AM508"/>
    <mergeCell ref="BD508:BE508"/>
    <mergeCell ref="BF508:BI508"/>
    <mergeCell ref="BJ508:BM508"/>
    <mergeCell ref="BN508:BV508"/>
    <mergeCell ref="AN508:AO508"/>
    <mergeCell ref="AP508:AQ508"/>
    <mergeCell ref="AR508:AS508"/>
    <mergeCell ref="AT508:AU508"/>
    <mergeCell ref="AV508:AW508"/>
    <mergeCell ref="AX508:AZ508"/>
    <mergeCell ref="BA508:BB508"/>
    <mergeCell ref="B508:C508"/>
    <mergeCell ref="D508:E508"/>
    <mergeCell ref="F508:G508"/>
    <mergeCell ref="H508:I508"/>
    <mergeCell ref="P508:Q508"/>
    <mergeCell ref="R508:S508"/>
    <mergeCell ref="T508:U508"/>
    <mergeCell ref="B509:C509"/>
    <mergeCell ref="D509:E509"/>
    <mergeCell ref="F509:G509"/>
    <mergeCell ref="H509:I509"/>
    <mergeCell ref="J509:K509"/>
    <mergeCell ref="L509:M509"/>
    <mergeCell ref="P509:Q509"/>
    <mergeCell ref="AX509:AZ509"/>
    <mergeCell ref="BA509:BB509"/>
    <mergeCell ref="BD509:BE509"/>
    <mergeCell ref="BF509:BI509"/>
    <mergeCell ref="BJ509:BM509"/>
    <mergeCell ref="BN509:BV509"/>
    <mergeCell ref="AN509:AO509"/>
    <mergeCell ref="AP509:AQ509"/>
    <mergeCell ref="AR509:AS509"/>
    <mergeCell ref="AT509:AU509"/>
    <mergeCell ref="AV509:AW509"/>
    <mergeCell ref="R509:S509"/>
    <mergeCell ref="T509:U509"/>
    <mergeCell ref="V509:W509"/>
    <mergeCell ref="X509:AA509"/>
    <mergeCell ref="AB509:AE509"/>
    <mergeCell ref="AF509:AG509"/>
    <mergeCell ref="AH509:AI509"/>
    <mergeCell ref="AJ509:AK509"/>
    <mergeCell ref="AL509:AM509"/>
    <mergeCell ref="V266:W266"/>
    <mergeCell ref="X266:AA266"/>
    <mergeCell ref="AB266:AE266"/>
    <mergeCell ref="AF266:AG266"/>
    <mergeCell ref="AH266:AI266"/>
    <mergeCell ref="AJ266:AK266"/>
    <mergeCell ref="AL266:AM266"/>
    <mergeCell ref="BD266:BE266"/>
    <mergeCell ref="BF266:BI266"/>
    <mergeCell ref="BJ266:BM266"/>
    <mergeCell ref="BN266:BV266"/>
    <mergeCell ref="AN266:AO266"/>
    <mergeCell ref="AP266:AQ266"/>
    <mergeCell ref="AR266:AS266"/>
    <mergeCell ref="AT266:AU266"/>
    <mergeCell ref="AV266:AW266"/>
    <mergeCell ref="AX266:AZ266"/>
    <mergeCell ref="BA266:BB266"/>
    <mergeCell ref="B266:C266"/>
    <mergeCell ref="D266:E266"/>
    <mergeCell ref="F266:G266"/>
    <mergeCell ref="H266:I266"/>
    <mergeCell ref="P266:Q266"/>
    <mergeCell ref="R266:S266"/>
    <mergeCell ref="T266:U266"/>
    <mergeCell ref="B267:C267"/>
    <mergeCell ref="D267:E267"/>
    <mergeCell ref="F267:G267"/>
    <mergeCell ref="H267:I267"/>
    <mergeCell ref="J267:K267"/>
    <mergeCell ref="L267:M267"/>
    <mergeCell ref="P267:Q267"/>
    <mergeCell ref="AX267:AZ267"/>
    <mergeCell ref="BA267:BB267"/>
    <mergeCell ref="BD267:BE267"/>
    <mergeCell ref="BF267:BI267"/>
    <mergeCell ref="BJ267:BM267"/>
    <mergeCell ref="BN267:BV267"/>
    <mergeCell ref="AN267:AO267"/>
    <mergeCell ref="AP267:AQ267"/>
    <mergeCell ref="AR267:AS267"/>
    <mergeCell ref="AT267:AU267"/>
    <mergeCell ref="AV267:AW267"/>
    <mergeCell ref="R267:S267"/>
    <mergeCell ref="T267:U267"/>
    <mergeCell ref="V267:W267"/>
    <mergeCell ref="X267:AA267"/>
    <mergeCell ref="AB267:AE267"/>
    <mergeCell ref="AF267:AG267"/>
    <mergeCell ref="AH267:AI267"/>
    <mergeCell ref="AJ267:AK267"/>
    <mergeCell ref="AL267:AM267"/>
    <mergeCell ref="V268:W268"/>
    <mergeCell ref="X268:AA268"/>
    <mergeCell ref="AB268:AE268"/>
    <mergeCell ref="AF268:AG268"/>
    <mergeCell ref="AH268:AI268"/>
    <mergeCell ref="AJ268:AK268"/>
    <mergeCell ref="AL268:AM268"/>
    <mergeCell ref="BD268:BE268"/>
    <mergeCell ref="BF268:BI268"/>
    <mergeCell ref="BJ268:BM268"/>
    <mergeCell ref="BN268:BV268"/>
    <mergeCell ref="AN268:AO268"/>
    <mergeCell ref="AP268:AQ268"/>
    <mergeCell ref="AR268:AS268"/>
    <mergeCell ref="AT268:AU268"/>
    <mergeCell ref="AV268:AW268"/>
    <mergeCell ref="AX268:AZ268"/>
    <mergeCell ref="BA268:BB268"/>
    <mergeCell ref="B268:C268"/>
    <mergeCell ref="D268:E268"/>
    <mergeCell ref="F268:G268"/>
    <mergeCell ref="H268:I268"/>
    <mergeCell ref="P268:Q268"/>
    <mergeCell ref="R268:S268"/>
    <mergeCell ref="T268:U268"/>
    <mergeCell ref="B269:C269"/>
    <mergeCell ref="D269:E269"/>
    <mergeCell ref="F269:G269"/>
    <mergeCell ref="H269:I269"/>
    <mergeCell ref="J269:K269"/>
    <mergeCell ref="L269:M269"/>
    <mergeCell ref="P269:Q269"/>
    <mergeCell ref="AX269:AZ269"/>
    <mergeCell ref="BA269:BB269"/>
    <mergeCell ref="BD269:BE269"/>
    <mergeCell ref="BF269:BI269"/>
    <mergeCell ref="BJ269:BM269"/>
    <mergeCell ref="BN269:BV269"/>
    <mergeCell ref="AN269:AO269"/>
    <mergeCell ref="AP269:AQ269"/>
    <mergeCell ref="AR269:AS269"/>
    <mergeCell ref="AT269:AU269"/>
    <mergeCell ref="AV269:AW269"/>
    <mergeCell ref="R269:S269"/>
    <mergeCell ref="T269:U269"/>
    <mergeCell ref="V269:W269"/>
    <mergeCell ref="X269:AA269"/>
    <mergeCell ref="AB269:AE269"/>
    <mergeCell ref="AF269:AG269"/>
    <mergeCell ref="AH269:AI269"/>
    <mergeCell ref="AJ269:AK269"/>
    <mergeCell ref="AL269:AM269"/>
    <mergeCell ref="V270:W270"/>
    <mergeCell ref="X270:AA270"/>
    <mergeCell ref="AB270:AE270"/>
    <mergeCell ref="AF270:AG270"/>
    <mergeCell ref="AH270:AI270"/>
    <mergeCell ref="AJ270:AK270"/>
    <mergeCell ref="AL270:AM270"/>
    <mergeCell ref="BD270:BE270"/>
    <mergeCell ref="BF270:BI270"/>
    <mergeCell ref="BJ270:BM270"/>
    <mergeCell ref="BN270:BV270"/>
    <mergeCell ref="AN270:AO270"/>
    <mergeCell ref="AP270:AQ270"/>
    <mergeCell ref="AR270:AS270"/>
    <mergeCell ref="AT270:AU270"/>
    <mergeCell ref="AV270:AW270"/>
    <mergeCell ref="AX270:AZ270"/>
    <mergeCell ref="BA270:BB270"/>
    <mergeCell ref="B270:C270"/>
    <mergeCell ref="D270:E270"/>
    <mergeCell ref="F270:G270"/>
    <mergeCell ref="H270:I270"/>
    <mergeCell ref="P270:Q270"/>
    <mergeCell ref="R270:S270"/>
    <mergeCell ref="T270:U270"/>
    <mergeCell ref="B271:C271"/>
    <mergeCell ref="D271:E271"/>
    <mergeCell ref="F271:G271"/>
    <mergeCell ref="H271:I271"/>
    <mergeCell ref="J271:K271"/>
    <mergeCell ref="L271:M271"/>
    <mergeCell ref="P271:Q271"/>
    <mergeCell ref="AX271:AZ271"/>
    <mergeCell ref="BA271:BB271"/>
    <mergeCell ref="BD271:BE271"/>
    <mergeCell ref="BF271:BI271"/>
    <mergeCell ref="BJ271:BM271"/>
    <mergeCell ref="BN271:BV271"/>
    <mergeCell ref="AN271:AO271"/>
    <mergeCell ref="AP271:AQ271"/>
    <mergeCell ref="AR271:AS271"/>
    <mergeCell ref="AT271:AU271"/>
    <mergeCell ref="AV271:AW271"/>
    <mergeCell ref="R271:S271"/>
    <mergeCell ref="T271:U271"/>
    <mergeCell ref="V271:W271"/>
    <mergeCell ref="X271:AA271"/>
    <mergeCell ref="AB271:AE271"/>
    <mergeCell ref="AF271:AG271"/>
    <mergeCell ref="AH271:AI271"/>
    <mergeCell ref="AJ271:AK271"/>
    <mergeCell ref="AL271:AM271"/>
    <mergeCell ref="V272:W272"/>
    <mergeCell ref="X272:AA272"/>
    <mergeCell ref="AB272:AE272"/>
    <mergeCell ref="AF272:AG272"/>
    <mergeCell ref="AH272:AI272"/>
    <mergeCell ref="AJ272:AK272"/>
    <mergeCell ref="AL272:AM272"/>
    <mergeCell ref="BD272:BE272"/>
    <mergeCell ref="BF272:BI272"/>
    <mergeCell ref="BJ272:BM272"/>
    <mergeCell ref="BN272:BV272"/>
    <mergeCell ref="AN272:AO272"/>
    <mergeCell ref="AP272:AQ272"/>
    <mergeCell ref="AR272:AS272"/>
    <mergeCell ref="AT272:AU272"/>
    <mergeCell ref="AV272:AW272"/>
    <mergeCell ref="AX272:AZ272"/>
    <mergeCell ref="BA272:BB272"/>
    <mergeCell ref="B272:C272"/>
    <mergeCell ref="D272:E272"/>
    <mergeCell ref="F272:G272"/>
    <mergeCell ref="H272:I272"/>
    <mergeCell ref="P272:Q272"/>
    <mergeCell ref="R272:S272"/>
    <mergeCell ref="T272:U272"/>
    <mergeCell ref="B273:C273"/>
    <mergeCell ref="D273:E273"/>
    <mergeCell ref="F273:G273"/>
    <mergeCell ref="H273:I273"/>
    <mergeCell ref="J273:K273"/>
    <mergeCell ref="L273:M273"/>
    <mergeCell ref="P273:Q273"/>
    <mergeCell ref="AX273:AZ273"/>
    <mergeCell ref="BA273:BB273"/>
    <mergeCell ref="BD273:BE273"/>
    <mergeCell ref="BF273:BI273"/>
    <mergeCell ref="BJ273:BM273"/>
    <mergeCell ref="BN273:BV273"/>
    <mergeCell ref="AN273:AO273"/>
    <mergeCell ref="AP273:AQ273"/>
    <mergeCell ref="AR273:AS273"/>
    <mergeCell ref="AT273:AU273"/>
    <mergeCell ref="AV273:AW273"/>
    <mergeCell ref="R273:S273"/>
    <mergeCell ref="T273:U273"/>
    <mergeCell ref="V273:W273"/>
    <mergeCell ref="X273:AA273"/>
    <mergeCell ref="AB273:AE273"/>
    <mergeCell ref="AF273:AG273"/>
    <mergeCell ref="AH273:AI273"/>
    <mergeCell ref="AJ273:AK273"/>
    <mergeCell ref="AL273:AM273"/>
    <mergeCell ref="V274:W274"/>
    <mergeCell ref="X274:AA274"/>
    <mergeCell ref="AB274:AE274"/>
    <mergeCell ref="AF274:AG274"/>
    <mergeCell ref="AH274:AI274"/>
    <mergeCell ref="AJ274:AK274"/>
    <mergeCell ref="AL274:AM274"/>
    <mergeCell ref="BD274:BE274"/>
    <mergeCell ref="BF274:BI274"/>
    <mergeCell ref="BJ274:BM274"/>
    <mergeCell ref="BN274:BV274"/>
    <mergeCell ref="AN274:AO274"/>
    <mergeCell ref="AP274:AQ274"/>
    <mergeCell ref="AR274:AS274"/>
    <mergeCell ref="AT274:AU274"/>
    <mergeCell ref="AV274:AW274"/>
    <mergeCell ref="AX274:AZ274"/>
    <mergeCell ref="BA274:BB274"/>
    <mergeCell ref="B274:C274"/>
    <mergeCell ref="D274:E274"/>
    <mergeCell ref="F274:G274"/>
    <mergeCell ref="H274:I274"/>
    <mergeCell ref="P274:Q274"/>
    <mergeCell ref="R274:S274"/>
    <mergeCell ref="T274:U274"/>
    <mergeCell ref="B275:C275"/>
    <mergeCell ref="D275:E275"/>
    <mergeCell ref="F275:G275"/>
    <mergeCell ref="H275:I275"/>
    <mergeCell ref="J275:K275"/>
    <mergeCell ref="L275:M275"/>
    <mergeCell ref="P275:Q275"/>
    <mergeCell ref="AX275:AZ275"/>
    <mergeCell ref="BA275:BB275"/>
    <mergeCell ref="BD275:BE275"/>
    <mergeCell ref="BF275:BI275"/>
    <mergeCell ref="BJ275:BM275"/>
    <mergeCell ref="BN275:BV275"/>
    <mergeCell ref="AN275:AO275"/>
    <mergeCell ref="AP275:AQ275"/>
    <mergeCell ref="AR275:AS275"/>
    <mergeCell ref="AT275:AU275"/>
    <mergeCell ref="AV275:AW275"/>
    <mergeCell ref="R275:S275"/>
    <mergeCell ref="T275:U275"/>
    <mergeCell ref="V275:W275"/>
    <mergeCell ref="X275:AA275"/>
    <mergeCell ref="AB275:AE275"/>
    <mergeCell ref="AF275:AG275"/>
    <mergeCell ref="AH275:AI275"/>
    <mergeCell ref="AJ275:AK275"/>
    <mergeCell ref="AL275:AM275"/>
    <mergeCell ref="V276:W276"/>
    <mergeCell ref="X276:AA276"/>
    <mergeCell ref="AB276:AE276"/>
    <mergeCell ref="AF276:AG276"/>
    <mergeCell ref="AH276:AI276"/>
    <mergeCell ref="AJ276:AK276"/>
    <mergeCell ref="AL276:AM276"/>
    <mergeCell ref="BD276:BE276"/>
    <mergeCell ref="BF276:BI276"/>
    <mergeCell ref="BJ276:BM276"/>
    <mergeCell ref="BN276:BV276"/>
    <mergeCell ref="AN276:AO276"/>
    <mergeCell ref="AP276:AQ276"/>
    <mergeCell ref="AR276:AS276"/>
    <mergeCell ref="AT276:AU276"/>
    <mergeCell ref="AV276:AW276"/>
    <mergeCell ref="AX276:AZ276"/>
    <mergeCell ref="BA276:BB276"/>
    <mergeCell ref="B276:C276"/>
    <mergeCell ref="D276:E276"/>
    <mergeCell ref="F276:G276"/>
    <mergeCell ref="H276:I276"/>
    <mergeCell ref="P276:Q276"/>
    <mergeCell ref="R276:S276"/>
    <mergeCell ref="T276:U276"/>
    <mergeCell ref="B277:C277"/>
    <mergeCell ref="D277:E277"/>
    <mergeCell ref="F277:G277"/>
    <mergeCell ref="H277:I277"/>
    <mergeCell ref="J277:K277"/>
    <mergeCell ref="L277:M277"/>
    <mergeCell ref="P277:Q277"/>
    <mergeCell ref="AX277:AZ277"/>
    <mergeCell ref="BA277:BB277"/>
    <mergeCell ref="BD277:BE277"/>
    <mergeCell ref="BF277:BI277"/>
    <mergeCell ref="BJ277:BM277"/>
    <mergeCell ref="BN277:BV277"/>
    <mergeCell ref="AN277:AO277"/>
    <mergeCell ref="AP277:AQ277"/>
    <mergeCell ref="AR277:AS277"/>
    <mergeCell ref="AT277:AU277"/>
    <mergeCell ref="AV277:AW277"/>
    <mergeCell ref="R277:S277"/>
    <mergeCell ref="T277:U277"/>
    <mergeCell ref="V277:W277"/>
    <mergeCell ref="X277:AA277"/>
    <mergeCell ref="AB277:AE277"/>
    <mergeCell ref="AF277:AG277"/>
    <mergeCell ref="AH277:AI277"/>
    <mergeCell ref="AJ277:AK277"/>
    <mergeCell ref="AL277:AM277"/>
    <mergeCell ref="V278:W278"/>
    <mergeCell ref="X278:AA278"/>
    <mergeCell ref="AB278:AE278"/>
    <mergeCell ref="AF278:AG278"/>
    <mergeCell ref="AH278:AI278"/>
    <mergeCell ref="AJ278:AK278"/>
    <mergeCell ref="AL278:AM278"/>
    <mergeCell ref="BD278:BE278"/>
    <mergeCell ref="BF278:BI278"/>
    <mergeCell ref="BJ278:BM278"/>
    <mergeCell ref="BN278:BV278"/>
    <mergeCell ref="AN278:AO278"/>
    <mergeCell ref="AP278:AQ278"/>
    <mergeCell ref="AR278:AS278"/>
    <mergeCell ref="AT278:AU278"/>
    <mergeCell ref="AV278:AW278"/>
    <mergeCell ref="AX278:AZ278"/>
    <mergeCell ref="BA278:BB278"/>
    <mergeCell ref="B278:C278"/>
    <mergeCell ref="D278:E278"/>
    <mergeCell ref="F278:G278"/>
    <mergeCell ref="H278:I278"/>
    <mergeCell ref="P278:Q278"/>
    <mergeCell ref="R278:S278"/>
    <mergeCell ref="T278:U278"/>
    <mergeCell ref="B279:C279"/>
    <mergeCell ref="D279:E279"/>
    <mergeCell ref="F279:G279"/>
    <mergeCell ref="H279:I279"/>
    <mergeCell ref="J279:K279"/>
    <mergeCell ref="L279:M279"/>
    <mergeCell ref="P279:Q279"/>
    <mergeCell ref="AX279:AZ279"/>
    <mergeCell ref="BA279:BB279"/>
    <mergeCell ref="BD279:BE279"/>
    <mergeCell ref="BF279:BI279"/>
    <mergeCell ref="BJ279:BM279"/>
    <mergeCell ref="BN279:BV279"/>
    <mergeCell ref="AN279:AO279"/>
    <mergeCell ref="AP279:AQ279"/>
    <mergeCell ref="AR279:AS279"/>
    <mergeCell ref="AT279:AU279"/>
    <mergeCell ref="AV279:AW279"/>
    <mergeCell ref="R279:S279"/>
    <mergeCell ref="T279:U279"/>
    <mergeCell ref="V279:W279"/>
    <mergeCell ref="X279:AA279"/>
    <mergeCell ref="AB279:AE279"/>
    <mergeCell ref="AF279:AG279"/>
    <mergeCell ref="AH279:AI279"/>
    <mergeCell ref="AJ279:AK279"/>
    <mergeCell ref="AL279:AM279"/>
    <mergeCell ref="V280:W280"/>
    <mergeCell ref="X280:AA280"/>
    <mergeCell ref="AB280:AE280"/>
    <mergeCell ref="AF280:AG280"/>
    <mergeCell ref="AH280:AI280"/>
    <mergeCell ref="AJ280:AK280"/>
    <mergeCell ref="AL280:AM280"/>
    <mergeCell ref="BD280:BE280"/>
    <mergeCell ref="BF280:BI280"/>
    <mergeCell ref="BJ280:BM280"/>
    <mergeCell ref="BN280:BV280"/>
    <mergeCell ref="AN280:AO280"/>
    <mergeCell ref="AP280:AQ280"/>
    <mergeCell ref="AR280:AS280"/>
    <mergeCell ref="AT280:AU280"/>
    <mergeCell ref="AV280:AW280"/>
    <mergeCell ref="AX280:AZ280"/>
    <mergeCell ref="BA280:BB280"/>
    <mergeCell ref="B280:C280"/>
    <mergeCell ref="D280:E280"/>
    <mergeCell ref="F280:G280"/>
    <mergeCell ref="H280:I280"/>
    <mergeCell ref="P280:Q280"/>
    <mergeCell ref="R280:S280"/>
    <mergeCell ref="T280:U280"/>
    <mergeCell ref="B281:C281"/>
    <mergeCell ref="D281:E281"/>
    <mergeCell ref="F281:G281"/>
    <mergeCell ref="H281:I281"/>
    <mergeCell ref="J281:K281"/>
    <mergeCell ref="L281:M281"/>
    <mergeCell ref="P281:Q281"/>
    <mergeCell ref="AX281:AZ281"/>
    <mergeCell ref="BA281:BB281"/>
    <mergeCell ref="BD281:BE281"/>
    <mergeCell ref="BF281:BI281"/>
    <mergeCell ref="BJ281:BM281"/>
    <mergeCell ref="BN281:BV281"/>
    <mergeCell ref="AN281:AO281"/>
    <mergeCell ref="AP281:AQ281"/>
    <mergeCell ref="AR281:AS281"/>
    <mergeCell ref="AT281:AU281"/>
    <mergeCell ref="AV281:AW281"/>
    <mergeCell ref="R281:S281"/>
    <mergeCell ref="T281:U281"/>
    <mergeCell ref="V281:W281"/>
    <mergeCell ref="X281:AA281"/>
    <mergeCell ref="AB281:AE281"/>
    <mergeCell ref="AF281:AG281"/>
    <mergeCell ref="AH281:AI281"/>
    <mergeCell ref="AJ281:AK281"/>
    <mergeCell ref="AL281:AM281"/>
    <mergeCell ref="V282:W282"/>
    <mergeCell ref="X282:AA282"/>
    <mergeCell ref="AB282:AE282"/>
    <mergeCell ref="AF282:AG282"/>
    <mergeCell ref="AH282:AI282"/>
    <mergeCell ref="AJ282:AK282"/>
    <mergeCell ref="AL282:AM282"/>
    <mergeCell ref="BD282:BE282"/>
    <mergeCell ref="BF282:BI282"/>
    <mergeCell ref="BJ282:BM282"/>
    <mergeCell ref="BN282:BV282"/>
    <mergeCell ref="AN282:AO282"/>
    <mergeCell ref="AP282:AQ282"/>
    <mergeCell ref="AR282:AS282"/>
    <mergeCell ref="AT282:AU282"/>
    <mergeCell ref="AV282:AW282"/>
    <mergeCell ref="AX282:AZ282"/>
    <mergeCell ref="BA282:BB282"/>
    <mergeCell ref="B282:C282"/>
    <mergeCell ref="D282:E282"/>
    <mergeCell ref="F282:G282"/>
    <mergeCell ref="H282:I282"/>
    <mergeCell ref="P282:Q282"/>
    <mergeCell ref="R282:S282"/>
    <mergeCell ref="T282:U282"/>
    <mergeCell ref="B283:C283"/>
    <mergeCell ref="D283:E283"/>
    <mergeCell ref="F283:G283"/>
    <mergeCell ref="H283:I283"/>
    <mergeCell ref="J283:K283"/>
    <mergeCell ref="L283:M283"/>
    <mergeCell ref="P283:Q283"/>
    <mergeCell ref="AX283:AZ283"/>
    <mergeCell ref="BA283:BB283"/>
    <mergeCell ref="BD283:BE283"/>
    <mergeCell ref="BF283:BI283"/>
    <mergeCell ref="BJ283:BM283"/>
    <mergeCell ref="BN283:BV283"/>
    <mergeCell ref="AN283:AO283"/>
    <mergeCell ref="AP283:AQ283"/>
    <mergeCell ref="AR283:AS283"/>
    <mergeCell ref="AT283:AU283"/>
    <mergeCell ref="AV283:AW283"/>
    <mergeCell ref="R283:S283"/>
    <mergeCell ref="T283:U283"/>
    <mergeCell ref="V283:W283"/>
    <mergeCell ref="X283:AA283"/>
    <mergeCell ref="AB283:AE283"/>
    <mergeCell ref="AF283:AG283"/>
    <mergeCell ref="AH283:AI283"/>
    <mergeCell ref="AJ283:AK283"/>
    <mergeCell ref="AL283:AM283"/>
    <mergeCell ref="V284:W284"/>
    <mergeCell ref="X284:AA284"/>
    <mergeCell ref="AB284:AE284"/>
    <mergeCell ref="AF284:AG284"/>
    <mergeCell ref="AH284:AI284"/>
    <mergeCell ref="AJ284:AK284"/>
    <mergeCell ref="AL284:AM284"/>
    <mergeCell ref="BD284:BE284"/>
    <mergeCell ref="BF284:BI284"/>
    <mergeCell ref="BJ284:BM284"/>
    <mergeCell ref="BN284:BV284"/>
    <mergeCell ref="AN284:AO284"/>
    <mergeCell ref="AP284:AQ284"/>
    <mergeCell ref="AR284:AS284"/>
    <mergeCell ref="AT284:AU284"/>
    <mergeCell ref="AV284:AW284"/>
    <mergeCell ref="AX284:AZ284"/>
    <mergeCell ref="BA284:BB284"/>
    <mergeCell ref="B284:C284"/>
    <mergeCell ref="D284:E284"/>
    <mergeCell ref="F284:G284"/>
    <mergeCell ref="H284:I284"/>
    <mergeCell ref="P284:Q284"/>
    <mergeCell ref="R284:S284"/>
    <mergeCell ref="T284:U284"/>
    <mergeCell ref="B285:C285"/>
    <mergeCell ref="D285:E285"/>
    <mergeCell ref="F285:G285"/>
    <mergeCell ref="H285:I285"/>
    <mergeCell ref="J285:K285"/>
    <mergeCell ref="L285:M285"/>
    <mergeCell ref="P285:Q285"/>
    <mergeCell ref="AX285:AZ285"/>
    <mergeCell ref="BA285:BB285"/>
    <mergeCell ref="BD285:BE285"/>
    <mergeCell ref="BF285:BI285"/>
    <mergeCell ref="BJ285:BM285"/>
    <mergeCell ref="BN285:BV285"/>
    <mergeCell ref="AN285:AO285"/>
    <mergeCell ref="AP285:AQ285"/>
    <mergeCell ref="AR285:AS285"/>
    <mergeCell ref="AT285:AU285"/>
    <mergeCell ref="AV285:AW285"/>
    <mergeCell ref="R285:S285"/>
    <mergeCell ref="T285:U285"/>
    <mergeCell ref="V285:W285"/>
    <mergeCell ref="X285:AA285"/>
    <mergeCell ref="AB285:AE285"/>
    <mergeCell ref="AF285:AG285"/>
    <mergeCell ref="AH285:AI285"/>
    <mergeCell ref="AJ285:AK285"/>
    <mergeCell ref="AL285:AM285"/>
    <mergeCell ref="V286:W286"/>
    <mergeCell ref="X286:AA286"/>
    <mergeCell ref="AB286:AE286"/>
    <mergeCell ref="AF286:AG286"/>
    <mergeCell ref="AH286:AI286"/>
    <mergeCell ref="AJ286:AK286"/>
    <mergeCell ref="AL286:AM286"/>
    <mergeCell ref="BD286:BE286"/>
    <mergeCell ref="BF286:BI286"/>
    <mergeCell ref="BJ286:BM286"/>
    <mergeCell ref="BN286:BV286"/>
    <mergeCell ref="AN286:AO286"/>
    <mergeCell ref="AP286:AQ286"/>
    <mergeCell ref="AR286:AS286"/>
    <mergeCell ref="AT286:AU286"/>
    <mergeCell ref="AV286:AW286"/>
    <mergeCell ref="AX286:AZ286"/>
    <mergeCell ref="BA286:BB286"/>
    <mergeCell ref="B286:C286"/>
    <mergeCell ref="D286:E286"/>
    <mergeCell ref="F286:G286"/>
    <mergeCell ref="H286:I286"/>
    <mergeCell ref="P286:Q286"/>
    <mergeCell ref="R286:S286"/>
    <mergeCell ref="T286:U286"/>
    <mergeCell ref="B287:C287"/>
    <mergeCell ref="D287:E287"/>
    <mergeCell ref="F287:G287"/>
    <mergeCell ref="H287:I287"/>
    <mergeCell ref="J287:K287"/>
    <mergeCell ref="L287:M287"/>
    <mergeCell ref="P287:Q287"/>
    <mergeCell ref="AX287:AZ287"/>
    <mergeCell ref="BA287:BB287"/>
    <mergeCell ref="BD287:BE287"/>
    <mergeCell ref="BF287:BI287"/>
    <mergeCell ref="BJ287:BM287"/>
    <mergeCell ref="BN287:BV287"/>
    <mergeCell ref="AN287:AO287"/>
    <mergeCell ref="AP287:AQ287"/>
    <mergeCell ref="AR287:AS287"/>
    <mergeCell ref="AT287:AU287"/>
    <mergeCell ref="AV287:AW287"/>
    <mergeCell ref="R287:S287"/>
    <mergeCell ref="T287:U287"/>
    <mergeCell ref="V287:W287"/>
    <mergeCell ref="X287:AA287"/>
    <mergeCell ref="AB287:AE287"/>
    <mergeCell ref="AF287:AG287"/>
    <mergeCell ref="AH287:AI287"/>
    <mergeCell ref="AJ287:AK287"/>
    <mergeCell ref="AL287:AM287"/>
    <mergeCell ref="V288:W288"/>
    <mergeCell ref="X288:AA288"/>
    <mergeCell ref="AB288:AE288"/>
    <mergeCell ref="AF288:AG288"/>
    <mergeCell ref="AH288:AI288"/>
    <mergeCell ref="AJ288:AK288"/>
    <mergeCell ref="AL288:AM288"/>
    <mergeCell ref="BD288:BE288"/>
    <mergeCell ref="BF288:BI288"/>
    <mergeCell ref="BJ288:BM288"/>
    <mergeCell ref="BN288:BV288"/>
    <mergeCell ref="AN288:AO288"/>
    <mergeCell ref="AP288:AQ288"/>
    <mergeCell ref="AR288:AS288"/>
    <mergeCell ref="AT288:AU288"/>
    <mergeCell ref="AV288:AW288"/>
    <mergeCell ref="AX288:AZ288"/>
    <mergeCell ref="BA288:BB288"/>
    <mergeCell ref="B288:C288"/>
    <mergeCell ref="D288:E288"/>
    <mergeCell ref="F288:G288"/>
    <mergeCell ref="H288:I288"/>
    <mergeCell ref="P288:Q288"/>
    <mergeCell ref="R288:S288"/>
    <mergeCell ref="T288:U288"/>
    <mergeCell ref="B289:C289"/>
    <mergeCell ref="D289:E289"/>
    <mergeCell ref="F289:G289"/>
    <mergeCell ref="H289:I289"/>
    <mergeCell ref="J289:K289"/>
    <mergeCell ref="L289:M289"/>
    <mergeCell ref="P289:Q289"/>
    <mergeCell ref="AX289:AZ289"/>
    <mergeCell ref="BA289:BB289"/>
    <mergeCell ref="BD289:BE289"/>
    <mergeCell ref="BF289:BI289"/>
    <mergeCell ref="BJ289:BM289"/>
    <mergeCell ref="BN289:BV289"/>
    <mergeCell ref="AN289:AO289"/>
    <mergeCell ref="AP289:AQ289"/>
    <mergeCell ref="AR289:AS289"/>
    <mergeCell ref="AT289:AU289"/>
    <mergeCell ref="AV289:AW289"/>
    <mergeCell ref="R289:S289"/>
    <mergeCell ref="T289:U289"/>
    <mergeCell ref="V289:W289"/>
    <mergeCell ref="X289:AA289"/>
    <mergeCell ref="AB289:AE289"/>
    <mergeCell ref="AF289:AG289"/>
    <mergeCell ref="AH289:AI289"/>
    <mergeCell ref="AJ289:AK289"/>
    <mergeCell ref="AL289:AM289"/>
    <mergeCell ref="V290:W290"/>
    <mergeCell ref="X290:AA290"/>
    <mergeCell ref="AB290:AE290"/>
    <mergeCell ref="AF290:AG290"/>
    <mergeCell ref="AH290:AI290"/>
    <mergeCell ref="AJ290:AK290"/>
    <mergeCell ref="AL290:AM290"/>
    <mergeCell ref="BD290:BE290"/>
    <mergeCell ref="BF290:BI290"/>
    <mergeCell ref="BJ290:BM290"/>
    <mergeCell ref="BN290:BV290"/>
    <mergeCell ref="AN290:AO290"/>
    <mergeCell ref="AP290:AQ290"/>
    <mergeCell ref="AR290:AS290"/>
    <mergeCell ref="AT290:AU290"/>
    <mergeCell ref="AV290:AW290"/>
    <mergeCell ref="AX290:AZ290"/>
    <mergeCell ref="BA290:BB290"/>
    <mergeCell ref="B290:C290"/>
    <mergeCell ref="D290:E290"/>
    <mergeCell ref="F290:G290"/>
    <mergeCell ref="H290:I290"/>
    <mergeCell ref="P290:Q290"/>
    <mergeCell ref="R290:S290"/>
    <mergeCell ref="T290:U290"/>
    <mergeCell ref="B291:C291"/>
    <mergeCell ref="D291:E291"/>
    <mergeCell ref="F291:G291"/>
    <mergeCell ref="H291:I291"/>
    <mergeCell ref="J291:K291"/>
    <mergeCell ref="L291:M291"/>
    <mergeCell ref="P291:Q291"/>
    <mergeCell ref="AX291:AZ291"/>
    <mergeCell ref="BA291:BB291"/>
    <mergeCell ref="BD291:BE291"/>
    <mergeCell ref="BF291:BI291"/>
    <mergeCell ref="BJ291:BM291"/>
    <mergeCell ref="BN291:BV291"/>
    <mergeCell ref="AN291:AO291"/>
    <mergeCell ref="AP291:AQ291"/>
    <mergeCell ref="AR291:AS291"/>
    <mergeCell ref="AT291:AU291"/>
    <mergeCell ref="AV291:AW291"/>
    <mergeCell ref="R291:S291"/>
    <mergeCell ref="T291:U291"/>
    <mergeCell ref="V291:W291"/>
    <mergeCell ref="X291:AA291"/>
    <mergeCell ref="AB291:AE291"/>
    <mergeCell ref="AF291:AG291"/>
    <mergeCell ref="AH291:AI291"/>
    <mergeCell ref="AJ291:AK291"/>
    <mergeCell ref="AL291:AM291"/>
    <mergeCell ref="V292:W292"/>
    <mergeCell ref="X292:AA292"/>
    <mergeCell ref="AB292:AE292"/>
    <mergeCell ref="AF292:AG292"/>
    <mergeCell ref="AH292:AI292"/>
    <mergeCell ref="AJ292:AK292"/>
    <mergeCell ref="AL292:AM292"/>
    <mergeCell ref="BD292:BE292"/>
    <mergeCell ref="BF292:BI292"/>
    <mergeCell ref="BJ292:BM292"/>
    <mergeCell ref="BN292:BV292"/>
    <mergeCell ref="AN292:AO292"/>
    <mergeCell ref="AP292:AQ292"/>
    <mergeCell ref="AR292:AS292"/>
    <mergeCell ref="AT292:AU292"/>
    <mergeCell ref="AV292:AW292"/>
    <mergeCell ref="AX292:AZ292"/>
    <mergeCell ref="BA292:BB292"/>
    <mergeCell ref="B292:C292"/>
    <mergeCell ref="D292:E292"/>
    <mergeCell ref="F292:G292"/>
    <mergeCell ref="H292:I292"/>
    <mergeCell ref="P292:Q292"/>
    <mergeCell ref="R292:S292"/>
    <mergeCell ref="T292:U292"/>
    <mergeCell ref="B293:C293"/>
    <mergeCell ref="D293:E293"/>
    <mergeCell ref="F293:G293"/>
    <mergeCell ref="H293:I293"/>
    <mergeCell ref="J293:K293"/>
    <mergeCell ref="L293:M293"/>
    <mergeCell ref="P293:Q293"/>
    <mergeCell ref="AX293:AZ293"/>
    <mergeCell ref="BA293:BB293"/>
    <mergeCell ref="BD293:BE293"/>
    <mergeCell ref="BF293:BI293"/>
    <mergeCell ref="BJ293:BM293"/>
    <mergeCell ref="BN293:BV293"/>
    <mergeCell ref="AN293:AO293"/>
    <mergeCell ref="AP293:AQ293"/>
    <mergeCell ref="AR293:AS293"/>
    <mergeCell ref="AT293:AU293"/>
    <mergeCell ref="AV293:AW293"/>
    <mergeCell ref="BJ325:BM325"/>
    <mergeCell ref="BN325:BV325"/>
    <mergeCell ref="BJ326:BM326"/>
    <mergeCell ref="BN326:BV326"/>
    <mergeCell ref="AJ322:AK322"/>
    <mergeCell ref="AL322:AM322"/>
    <mergeCell ref="R322:S322"/>
    <mergeCell ref="T322:U322"/>
    <mergeCell ref="V322:W322"/>
    <mergeCell ref="X322:AA322"/>
    <mergeCell ref="AB322:AE322"/>
    <mergeCell ref="AF322:AG322"/>
    <mergeCell ref="AH322:AI322"/>
    <mergeCell ref="R323:S323"/>
    <mergeCell ref="T323:U323"/>
    <mergeCell ref="V323:W323"/>
    <mergeCell ref="X323:AA323"/>
    <mergeCell ref="AB323:AE323"/>
    <mergeCell ref="AF323:AG323"/>
    <mergeCell ref="AH323:AI323"/>
    <mergeCell ref="AX323:AZ323"/>
    <mergeCell ref="BA323:BB323"/>
    <mergeCell ref="BD323:BE323"/>
    <mergeCell ref="BF323:BI323"/>
    <mergeCell ref="BJ323:BM323"/>
    <mergeCell ref="BN323:BV323"/>
    <mergeCell ref="BJ324:BM324"/>
    <mergeCell ref="BN324:BV324"/>
    <mergeCell ref="B323:C323"/>
    <mergeCell ref="D323:E323"/>
    <mergeCell ref="F323:G323"/>
    <mergeCell ref="H323:I323"/>
    <mergeCell ref="J323:K323"/>
    <mergeCell ref="L323:M323"/>
    <mergeCell ref="P323:Q323"/>
    <mergeCell ref="B324:C324"/>
    <mergeCell ref="D324:E324"/>
    <mergeCell ref="F324:G324"/>
    <mergeCell ref="H324:I324"/>
    <mergeCell ref="J324:K324"/>
    <mergeCell ref="L324:M324"/>
    <mergeCell ref="P324:Q324"/>
    <mergeCell ref="AJ323:AK323"/>
    <mergeCell ref="AL323:AM323"/>
    <mergeCell ref="AN323:AO323"/>
    <mergeCell ref="AP323:AQ323"/>
    <mergeCell ref="AR323:AS323"/>
    <mergeCell ref="AT323:AU323"/>
    <mergeCell ref="AV323:AW323"/>
    <mergeCell ref="B325:C325"/>
    <mergeCell ref="D325:E325"/>
    <mergeCell ref="F325:G325"/>
    <mergeCell ref="H325:I325"/>
    <mergeCell ref="J325:K325"/>
    <mergeCell ref="L325:M325"/>
    <mergeCell ref="P325:Q325"/>
    <mergeCell ref="B326:C326"/>
    <mergeCell ref="D326:E326"/>
    <mergeCell ref="F326:G326"/>
    <mergeCell ref="H326:I326"/>
    <mergeCell ref="J326:K326"/>
    <mergeCell ref="L326:M326"/>
    <mergeCell ref="P326:Q326"/>
    <mergeCell ref="AJ325:AK325"/>
    <mergeCell ref="X317:AA317"/>
    <mergeCell ref="AB317:AE317"/>
    <mergeCell ref="AF317:AG317"/>
    <mergeCell ref="AH317:AI317"/>
    <mergeCell ref="R318:S318"/>
    <mergeCell ref="T318:U318"/>
    <mergeCell ref="V318:W318"/>
    <mergeCell ref="X318:AA318"/>
    <mergeCell ref="AB318:AE318"/>
    <mergeCell ref="AF318:AG318"/>
    <mergeCell ref="AH318:AI318"/>
    <mergeCell ref="AX318:AZ318"/>
    <mergeCell ref="BA318:BB318"/>
    <mergeCell ref="BD318:BE318"/>
    <mergeCell ref="BF318:BI318"/>
    <mergeCell ref="BD322:BE322"/>
    <mergeCell ref="BF322:BI322"/>
    <mergeCell ref="AN322:AO322"/>
    <mergeCell ref="AP322:AQ322"/>
    <mergeCell ref="AR322:AS322"/>
    <mergeCell ref="AT322:AU322"/>
    <mergeCell ref="AV322:AW322"/>
    <mergeCell ref="AX322:AZ322"/>
    <mergeCell ref="BA322:BB322"/>
    <mergeCell ref="AX321:AZ321"/>
    <mergeCell ref="BA321:BB321"/>
    <mergeCell ref="BD321:BE321"/>
    <mergeCell ref="BF321:BI321"/>
    <mergeCell ref="AJ319:AK319"/>
    <mergeCell ref="AL319:AM319"/>
    <mergeCell ref="H320:I320"/>
    <mergeCell ref="J320:K320"/>
    <mergeCell ref="L320:M320"/>
    <mergeCell ref="P320:Q320"/>
    <mergeCell ref="R319:S319"/>
    <mergeCell ref="T319:U319"/>
    <mergeCell ref="V319:W319"/>
    <mergeCell ref="X319:AA319"/>
    <mergeCell ref="AB319:AE319"/>
    <mergeCell ref="AF319:AG319"/>
    <mergeCell ref="AH319:AI319"/>
    <mergeCell ref="AL325:AM325"/>
    <mergeCell ref="AN325:AO325"/>
    <mergeCell ref="AP325:AQ325"/>
    <mergeCell ref="AR325:AS325"/>
    <mergeCell ref="AT325:AU325"/>
    <mergeCell ref="AV325:AW325"/>
    <mergeCell ref="BD319:BE319"/>
    <mergeCell ref="BF319:BI319"/>
    <mergeCell ref="AN319:AO319"/>
    <mergeCell ref="AP319:AQ319"/>
    <mergeCell ref="AR319:AS319"/>
    <mergeCell ref="AT319:AU319"/>
    <mergeCell ref="AV319:AW319"/>
    <mergeCell ref="AX319:AZ319"/>
    <mergeCell ref="BA319:BB319"/>
    <mergeCell ref="BD326:BE326"/>
    <mergeCell ref="BF326:BI326"/>
    <mergeCell ref="AN326:AO326"/>
    <mergeCell ref="AP326:AQ326"/>
    <mergeCell ref="AR326:AS326"/>
    <mergeCell ref="AT326:AU326"/>
    <mergeCell ref="AV326:AW326"/>
    <mergeCell ref="AX326:AZ326"/>
    <mergeCell ref="BA326:BB326"/>
    <mergeCell ref="AJ324:AK324"/>
    <mergeCell ref="AL324:AM324"/>
    <mergeCell ref="R324:S324"/>
    <mergeCell ref="T324:U324"/>
    <mergeCell ref="V324:W324"/>
    <mergeCell ref="X324:AA324"/>
    <mergeCell ref="AB324:AE324"/>
    <mergeCell ref="AF324:AG324"/>
    <mergeCell ref="AH324:AI324"/>
    <mergeCell ref="R325:S325"/>
    <mergeCell ref="T325:U325"/>
    <mergeCell ref="V325:W325"/>
    <mergeCell ref="X325:AA325"/>
    <mergeCell ref="AB325:AE325"/>
    <mergeCell ref="AF325:AG325"/>
    <mergeCell ref="AH325:AI325"/>
    <mergeCell ref="AX325:AZ325"/>
    <mergeCell ref="BA325:BB325"/>
    <mergeCell ref="BD325:BE325"/>
    <mergeCell ref="BF325:BI325"/>
    <mergeCell ref="AJ326:AK326"/>
    <mergeCell ref="AL326:AM326"/>
    <mergeCell ref="R326:S326"/>
    <mergeCell ref="T326:U326"/>
    <mergeCell ref="V326:W326"/>
    <mergeCell ref="X326:AA326"/>
    <mergeCell ref="AB326:AE326"/>
    <mergeCell ref="AF326:AG326"/>
    <mergeCell ref="AH326:AI326"/>
    <mergeCell ref="BJ318:BM318"/>
    <mergeCell ref="BN318:BV318"/>
    <mergeCell ref="B318:C318"/>
    <mergeCell ref="D318:E318"/>
    <mergeCell ref="F318:G318"/>
    <mergeCell ref="H318:I318"/>
    <mergeCell ref="J318:K318"/>
    <mergeCell ref="L318:M318"/>
    <mergeCell ref="P318:Q318"/>
    <mergeCell ref="AJ318:AK318"/>
    <mergeCell ref="AL318:AM318"/>
    <mergeCell ref="AN318:AO318"/>
    <mergeCell ref="AP318:AQ318"/>
    <mergeCell ref="AR318:AS318"/>
    <mergeCell ref="AT318:AU318"/>
    <mergeCell ref="AV318:AW318"/>
    <mergeCell ref="B319:C319"/>
    <mergeCell ref="D319:E319"/>
    <mergeCell ref="F319:G319"/>
    <mergeCell ref="H319:I319"/>
    <mergeCell ref="J319:K319"/>
    <mergeCell ref="L319:M319"/>
    <mergeCell ref="P319:Q319"/>
    <mergeCell ref="R321:S321"/>
    <mergeCell ref="T321:U321"/>
    <mergeCell ref="V321:W321"/>
    <mergeCell ref="X321:AA321"/>
    <mergeCell ref="AB321:AE321"/>
    <mergeCell ref="AF321:AG321"/>
    <mergeCell ref="AH321:AI321"/>
    <mergeCell ref="B321:C321"/>
    <mergeCell ref="D321:E321"/>
    <mergeCell ref="F321:G321"/>
    <mergeCell ref="H321:I321"/>
    <mergeCell ref="J321:K321"/>
    <mergeCell ref="L321:M321"/>
    <mergeCell ref="P321:Q321"/>
    <mergeCell ref="R320:S320"/>
    <mergeCell ref="T320:U320"/>
    <mergeCell ref="V320:W320"/>
    <mergeCell ref="X320:AA320"/>
    <mergeCell ref="AB320:AE320"/>
    <mergeCell ref="AF320:AG320"/>
    <mergeCell ref="AH320:AI320"/>
    <mergeCell ref="AX320:AZ320"/>
    <mergeCell ref="BA320:BB320"/>
    <mergeCell ref="BD320:BE320"/>
    <mergeCell ref="BF320:BI320"/>
    <mergeCell ref="BJ320:BM320"/>
    <mergeCell ref="BN320:BV320"/>
    <mergeCell ref="AJ320:AK320"/>
    <mergeCell ref="AL320:AM320"/>
    <mergeCell ref="AN320:AO320"/>
    <mergeCell ref="AP320:AQ320"/>
    <mergeCell ref="AR320:AS320"/>
    <mergeCell ref="AT320:AU320"/>
    <mergeCell ref="AV320:AW320"/>
    <mergeCell ref="B320:C320"/>
    <mergeCell ref="D320:E320"/>
    <mergeCell ref="F320:G320"/>
    <mergeCell ref="BJ319:BM319"/>
    <mergeCell ref="BN319:BV319"/>
    <mergeCell ref="B332:C332"/>
    <mergeCell ref="D332:E332"/>
    <mergeCell ref="F332:G332"/>
    <mergeCell ref="H332:I332"/>
    <mergeCell ref="J332:K332"/>
    <mergeCell ref="L332:M332"/>
    <mergeCell ref="P332:Q332"/>
    <mergeCell ref="B333:C333"/>
    <mergeCell ref="D333:E333"/>
    <mergeCell ref="F333:G333"/>
    <mergeCell ref="H333:I333"/>
    <mergeCell ref="J333:K333"/>
    <mergeCell ref="L333:M333"/>
    <mergeCell ref="P333:Q333"/>
    <mergeCell ref="AJ332:AK332"/>
    <mergeCell ref="AL332:AM332"/>
    <mergeCell ref="AN332:AO332"/>
    <mergeCell ref="AP332:AQ332"/>
    <mergeCell ref="AR332:AS332"/>
    <mergeCell ref="AT332:AU332"/>
    <mergeCell ref="AV332:AW332"/>
    <mergeCell ref="BJ321:BM321"/>
    <mergeCell ref="BN321:BV321"/>
    <mergeCell ref="BJ322:BM322"/>
    <mergeCell ref="BN322:BV322"/>
    <mergeCell ref="B322:C322"/>
    <mergeCell ref="D322:E322"/>
    <mergeCell ref="F322:G322"/>
    <mergeCell ref="H322:I322"/>
    <mergeCell ref="J322:K322"/>
    <mergeCell ref="L322:M322"/>
    <mergeCell ref="P322:Q322"/>
    <mergeCell ref="AJ321:AK321"/>
    <mergeCell ref="AL321:AM321"/>
    <mergeCell ref="AN321:AO321"/>
    <mergeCell ref="AP321:AQ321"/>
    <mergeCell ref="AR321:AS321"/>
    <mergeCell ref="AT321:AU321"/>
    <mergeCell ref="AV321:AW321"/>
    <mergeCell ref="BD324:BE324"/>
    <mergeCell ref="BF324:BI324"/>
    <mergeCell ref="AN324:AO324"/>
    <mergeCell ref="AP324:AQ324"/>
    <mergeCell ref="AR324:AS324"/>
    <mergeCell ref="AT324:AU324"/>
    <mergeCell ref="AV324:AW324"/>
    <mergeCell ref="AX324:AZ324"/>
    <mergeCell ref="BA324:BB324"/>
    <mergeCell ref="AJ328:AK328"/>
    <mergeCell ref="AL328:AM328"/>
    <mergeCell ref="BJ328:BM328"/>
    <mergeCell ref="BN328:BV328"/>
    <mergeCell ref="R328:S328"/>
    <mergeCell ref="T328:U328"/>
    <mergeCell ref="V328:W328"/>
    <mergeCell ref="X328:AA328"/>
    <mergeCell ref="AB328:AE328"/>
    <mergeCell ref="AF328:AG328"/>
    <mergeCell ref="AH328:AI328"/>
    <mergeCell ref="BJ327:BM327"/>
    <mergeCell ref="BN327:BV327"/>
    <mergeCell ref="B328:C328"/>
    <mergeCell ref="D328:E328"/>
    <mergeCell ref="F328:G328"/>
    <mergeCell ref="BA334:BB334"/>
    <mergeCell ref="BD334:BE334"/>
    <mergeCell ref="BF334:BI334"/>
    <mergeCell ref="BJ334:BM334"/>
    <mergeCell ref="BN334:BV334"/>
    <mergeCell ref="BJ335:BM335"/>
    <mergeCell ref="BN335:BV335"/>
    <mergeCell ref="BD333:BE333"/>
    <mergeCell ref="BF333:BI333"/>
    <mergeCell ref="AN333:AO333"/>
    <mergeCell ref="AP333:AQ333"/>
    <mergeCell ref="AR333:AS333"/>
    <mergeCell ref="AT333:AU333"/>
    <mergeCell ref="AV333:AW333"/>
    <mergeCell ref="AX333:AZ333"/>
    <mergeCell ref="BA333:BB333"/>
    <mergeCell ref="AJ331:AK331"/>
    <mergeCell ref="AL331:AM331"/>
    <mergeCell ref="R331:S331"/>
    <mergeCell ref="T331:U331"/>
    <mergeCell ref="V331:W331"/>
    <mergeCell ref="X331:AA331"/>
    <mergeCell ref="AB331:AE331"/>
    <mergeCell ref="AF331:AG331"/>
    <mergeCell ref="AH331:AI331"/>
    <mergeCell ref="R332:S332"/>
    <mergeCell ref="T332:U332"/>
    <mergeCell ref="V332:W332"/>
    <mergeCell ref="X332:AA332"/>
    <mergeCell ref="AB332:AE332"/>
    <mergeCell ref="AF332:AG332"/>
    <mergeCell ref="AH332:AI332"/>
    <mergeCell ref="AX332:AZ332"/>
    <mergeCell ref="BA332:BB332"/>
    <mergeCell ref="BD332:BE332"/>
    <mergeCell ref="BF332:BI332"/>
    <mergeCell ref="BJ332:BM332"/>
    <mergeCell ref="BN332:BV332"/>
    <mergeCell ref="BJ333:BM333"/>
    <mergeCell ref="BN333:BV333"/>
    <mergeCell ref="AH335:AI335"/>
    <mergeCell ref="R327:S327"/>
    <mergeCell ref="T327:U327"/>
    <mergeCell ref="V327:W327"/>
    <mergeCell ref="X327:AA327"/>
    <mergeCell ref="AB327:AE327"/>
    <mergeCell ref="AF327:AG327"/>
    <mergeCell ref="AH327:AI327"/>
    <mergeCell ref="AX327:AZ327"/>
    <mergeCell ref="BA327:BB327"/>
    <mergeCell ref="BD327:BE327"/>
    <mergeCell ref="BF327:BI327"/>
    <mergeCell ref="B327:C327"/>
    <mergeCell ref="D327:E327"/>
    <mergeCell ref="F327:G327"/>
    <mergeCell ref="H327:I327"/>
    <mergeCell ref="J327:K327"/>
    <mergeCell ref="L327:M327"/>
    <mergeCell ref="P327:Q327"/>
    <mergeCell ref="AJ327:AK327"/>
    <mergeCell ref="AL327:AM327"/>
    <mergeCell ref="AN327:AO327"/>
    <mergeCell ref="AP327:AQ327"/>
    <mergeCell ref="AR327:AS327"/>
    <mergeCell ref="AT327:AU327"/>
    <mergeCell ref="AV327:AW327"/>
    <mergeCell ref="X329:AA329"/>
    <mergeCell ref="AB329:AE329"/>
    <mergeCell ref="AF329:AG329"/>
    <mergeCell ref="AH329:AI329"/>
    <mergeCell ref="AX329:AZ329"/>
    <mergeCell ref="BA329:BB329"/>
    <mergeCell ref="BD329:BE329"/>
    <mergeCell ref="BF329:BI329"/>
    <mergeCell ref="H328:I328"/>
    <mergeCell ref="J328:K328"/>
    <mergeCell ref="L328:M328"/>
    <mergeCell ref="P328:Q328"/>
    <mergeCell ref="B334:C334"/>
    <mergeCell ref="D334:E334"/>
    <mergeCell ref="F334:G334"/>
    <mergeCell ref="H334:I334"/>
    <mergeCell ref="J334:K334"/>
    <mergeCell ref="L334:M334"/>
    <mergeCell ref="P334:Q334"/>
    <mergeCell ref="B335:C335"/>
    <mergeCell ref="D335:E335"/>
    <mergeCell ref="F335:G335"/>
    <mergeCell ref="H335:I335"/>
    <mergeCell ref="J335:K335"/>
    <mergeCell ref="L335:M335"/>
    <mergeCell ref="P335:Q335"/>
    <mergeCell ref="AJ334:AK334"/>
    <mergeCell ref="AL334:AM334"/>
    <mergeCell ref="AN334:AO334"/>
    <mergeCell ref="AP334:AQ334"/>
    <mergeCell ref="AR334:AS334"/>
    <mergeCell ref="AT334:AU334"/>
    <mergeCell ref="AV334:AW334"/>
    <mergeCell ref="BD328:BE328"/>
    <mergeCell ref="BF328:BI328"/>
    <mergeCell ref="AN328:AO328"/>
    <mergeCell ref="AP328:AQ328"/>
    <mergeCell ref="AR328:AS328"/>
    <mergeCell ref="AT328:AU328"/>
    <mergeCell ref="AV328:AW328"/>
    <mergeCell ref="AX328:AZ328"/>
    <mergeCell ref="BA328:BB328"/>
    <mergeCell ref="BD335:BE335"/>
    <mergeCell ref="BF335:BI335"/>
    <mergeCell ref="AN335:AO335"/>
    <mergeCell ref="AP335:AQ335"/>
    <mergeCell ref="AR335:AS335"/>
    <mergeCell ref="AT335:AU335"/>
    <mergeCell ref="AV335:AW335"/>
    <mergeCell ref="AX335:AZ335"/>
    <mergeCell ref="BA335:BB335"/>
    <mergeCell ref="AJ333:AK333"/>
    <mergeCell ref="AL333:AM333"/>
    <mergeCell ref="R333:S333"/>
    <mergeCell ref="T333:U333"/>
    <mergeCell ref="V333:W333"/>
    <mergeCell ref="X333:AA333"/>
    <mergeCell ref="AB333:AE333"/>
    <mergeCell ref="AF333:AG333"/>
    <mergeCell ref="AH333:AI333"/>
    <mergeCell ref="R334:S334"/>
    <mergeCell ref="T334:U334"/>
    <mergeCell ref="V334:W334"/>
    <mergeCell ref="X334:AA334"/>
    <mergeCell ref="AB334:AE334"/>
    <mergeCell ref="AF334:AG334"/>
    <mergeCell ref="AH334:AI334"/>
    <mergeCell ref="AX334:AZ334"/>
    <mergeCell ref="AJ335:AK335"/>
    <mergeCell ref="AL335:AM335"/>
    <mergeCell ref="R335:S335"/>
    <mergeCell ref="T335:U335"/>
    <mergeCell ref="V335:W335"/>
    <mergeCell ref="X335:AA335"/>
    <mergeCell ref="AB335:AE335"/>
    <mergeCell ref="AF335:AG335"/>
    <mergeCell ref="BJ329:BM329"/>
    <mergeCell ref="BN329:BV329"/>
    <mergeCell ref="AJ329:AK329"/>
    <mergeCell ref="AL329:AM329"/>
    <mergeCell ref="AN329:AO329"/>
    <mergeCell ref="AP329:AQ329"/>
    <mergeCell ref="AR329:AS329"/>
    <mergeCell ref="AT329:AU329"/>
    <mergeCell ref="AV329:AW329"/>
    <mergeCell ref="B329:C329"/>
    <mergeCell ref="D329:E329"/>
    <mergeCell ref="F329:G329"/>
    <mergeCell ref="H329:I329"/>
    <mergeCell ref="J329:K329"/>
    <mergeCell ref="L329:M329"/>
    <mergeCell ref="P329:Q329"/>
    <mergeCell ref="AX330:AZ330"/>
    <mergeCell ref="BA330:BB330"/>
    <mergeCell ref="BD330:BE330"/>
    <mergeCell ref="BF330:BI330"/>
    <mergeCell ref="BJ330:BM330"/>
    <mergeCell ref="BN330:BV330"/>
    <mergeCell ref="BJ331:BM331"/>
    <mergeCell ref="BN331:BV331"/>
    <mergeCell ref="B331:C331"/>
    <mergeCell ref="D331:E331"/>
    <mergeCell ref="F331:G331"/>
    <mergeCell ref="H331:I331"/>
    <mergeCell ref="J331:K331"/>
    <mergeCell ref="L331:M331"/>
    <mergeCell ref="P331:Q331"/>
    <mergeCell ref="AJ330:AK330"/>
    <mergeCell ref="AL330:AM330"/>
    <mergeCell ref="AN330:AO330"/>
    <mergeCell ref="AP330:AQ330"/>
    <mergeCell ref="AR330:AS330"/>
    <mergeCell ref="AT330:AU330"/>
    <mergeCell ref="AV330:AW330"/>
    <mergeCell ref="R330:S330"/>
    <mergeCell ref="T330:U330"/>
    <mergeCell ref="V330:W330"/>
    <mergeCell ref="X330:AA330"/>
    <mergeCell ref="AB330:AE330"/>
    <mergeCell ref="AF330:AG330"/>
    <mergeCell ref="AH330:AI330"/>
    <mergeCell ref="B330:C330"/>
    <mergeCell ref="D330:E330"/>
    <mergeCell ref="F330:G330"/>
    <mergeCell ref="H330:I330"/>
    <mergeCell ref="J330:K330"/>
    <mergeCell ref="L330:M330"/>
    <mergeCell ref="P330:Q330"/>
    <mergeCell ref="BD331:BE331"/>
    <mergeCell ref="BF331:BI331"/>
    <mergeCell ref="AN331:AO331"/>
    <mergeCell ref="AP331:AQ331"/>
    <mergeCell ref="AR331:AS331"/>
    <mergeCell ref="AT331:AU331"/>
    <mergeCell ref="AV331:AW331"/>
    <mergeCell ref="AX331:AZ331"/>
    <mergeCell ref="BA331:BB331"/>
    <mergeCell ref="R329:S329"/>
    <mergeCell ref="T329:U329"/>
    <mergeCell ref="V329:W329"/>
    <mergeCell ref="BJ337:BM337"/>
    <mergeCell ref="BN337:BV337"/>
    <mergeCell ref="R337:S337"/>
    <mergeCell ref="T337:U337"/>
    <mergeCell ref="V337:W337"/>
    <mergeCell ref="X337:AA337"/>
    <mergeCell ref="AB337:AE337"/>
    <mergeCell ref="AF337:AG337"/>
    <mergeCell ref="AH337:AI337"/>
    <mergeCell ref="AJ340:AK340"/>
    <mergeCell ref="AL340:AM340"/>
    <mergeCell ref="R340:S340"/>
    <mergeCell ref="T340:U340"/>
    <mergeCell ref="V340:W340"/>
    <mergeCell ref="X340:AA340"/>
    <mergeCell ref="AB340:AE340"/>
    <mergeCell ref="AF340:AG340"/>
    <mergeCell ref="AH340:AI340"/>
    <mergeCell ref="R341:S341"/>
    <mergeCell ref="T341:U341"/>
    <mergeCell ref="V341:W341"/>
    <mergeCell ref="X341:AA341"/>
    <mergeCell ref="AB341:AE341"/>
    <mergeCell ref="AF341:AG341"/>
    <mergeCell ref="AH341:AI341"/>
    <mergeCell ref="AX341:AZ341"/>
    <mergeCell ref="BA341:BB341"/>
    <mergeCell ref="BD341:BE341"/>
    <mergeCell ref="BF341:BI341"/>
    <mergeCell ref="BJ341:BM341"/>
    <mergeCell ref="BN341:BV341"/>
    <mergeCell ref="BJ339:BM339"/>
    <mergeCell ref="BN339:BV339"/>
    <mergeCell ref="BJ340:BM340"/>
    <mergeCell ref="BN340:BV340"/>
    <mergeCell ref="BD337:BE337"/>
    <mergeCell ref="BF337:BI337"/>
    <mergeCell ref="AN337:AO337"/>
    <mergeCell ref="AP337:AQ337"/>
    <mergeCell ref="AR337:AS337"/>
    <mergeCell ref="AT337:AU337"/>
    <mergeCell ref="AV337:AW337"/>
    <mergeCell ref="AX337:AZ337"/>
    <mergeCell ref="BA337:BB337"/>
    <mergeCell ref="BJ338:BM338"/>
    <mergeCell ref="BN338:BV338"/>
    <mergeCell ref="R336:S336"/>
    <mergeCell ref="T336:U336"/>
    <mergeCell ref="V336:W336"/>
    <mergeCell ref="X336:AA336"/>
    <mergeCell ref="AB336:AE336"/>
    <mergeCell ref="AF336:AG336"/>
    <mergeCell ref="AH336:AI336"/>
    <mergeCell ref="AX336:AZ336"/>
    <mergeCell ref="BA336:BB336"/>
    <mergeCell ref="BD336:BE336"/>
    <mergeCell ref="BF336:BI336"/>
    <mergeCell ref="BD340:BE340"/>
    <mergeCell ref="BF340:BI340"/>
    <mergeCell ref="AN340:AO340"/>
    <mergeCell ref="AP340:AQ340"/>
    <mergeCell ref="AR340:AS340"/>
    <mergeCell ref="AT340:AU340"/>
    <mergeCell ref="AV340:AW340"/>
    <mergeCell ref="AX340:AZ340"/>
    <mergeCell ref="BA340:BB340"/>
    <mergeCell ref="AX339:AZ339"/>
    <mergeCell ref="BA339:BB339"/>
    <mergeCell ref="BD339:BE339"/>
    <mergeCell ref="BF339:BI339"/>
    <mergeCell ref="R338:S338"/>
    <mergeCell ref="T338:U338"/>
    <mergeCell ref="V338:W338"/>
    <mergeCell ref="X338:AA338"/>
    <mergeCell ref="AB338:AE338"/>
    <mergeCell ref="AF338:AG338"/>
    <mergeCell ref="AH338:AI338"/>
    <mergeCell ref="AX338:AZ338"/>
    <mergeCell ref="BA338:BB338"/>
    <mergeCell ref="BD338:BE338"/>
    <mergeCell ref="BF338:BI338"/>
    <mergeCell ref="AJ338:AK338"/>
    <mergeCell ref="AL338:AM338"/>
    <mergeCell ref="AN338:AO338"/>
    <mergeCell ref="AP338:AQ338"/>
    <mergeCell ref="AR338:AS338"/>
    <mergeCell ref="AT338:AU338"/>
    <mergeCell ref="AV338:AW338"/>
    <mergeCell ref="AJ337:AK337"/>
    <mergeCell ref="AL337:AM337"/>
    <mergeCell ref="F338:G338"/>
    <mergeCell ref="H338:I338"/>
    <mergeCell ref="J338:K338"/>
    <mergeCell ref="L338:M338"/>
    <mergeCell ref="P338:Q338"/>
    <mergeCell ref="D344:E344"/>
    <mergeCell ref="F344:G344"/>
    <mergeCell ref="H344:I344"/>
    <mergeCell ref="J344:K344"/>
    <mergeCell ref="L344:M344"/>
    <mergeCell ref="P344:Q344"/>
    <mergeCell ref="AJ343:AK343"/>
    <mergeCell ref="AL343:AM343"/>
    <mergeCell ref="AN343:AO343"/>
    <mergeCell ref="AP343:AQ343"/>
    <mergeCell ref="AR343:AS343"/>
    <mergeCell ref="AT343:AU343"/>
    <mergeCell ref="AV343:AW343"/>
    <mergeCell ref="BJ342:BM342"/>
    <mergeCell ref="BN342:BV342"/>
    <mergeCell ref="B341:C341"/>
    <mergeCell ref="D341:E341"/>
    <mergeCell ref="F341:G341"/>
    <mergeCell ref="H341:I341"/>
    <mergeCell ref="J341:K341"/>
    <mergeCell ref="L341:M341"/>
    <mergeCell ref="P341:Q341"/>
    <mergeCell ref="B342:C342"/>
    <mergeCell ref="D342:E342"/>
    <mergeCell ref="F342:G342"/>
    <mergeCell ref="H342:I342"/>
    <mergeCell ref="J342:K342"/>
    <mergeCell ref="L342:M342"/>
    <mergeCell ref="P342:Q342"/>
    <mergeCell ref="AJ341:AK341"/>
    <mergeCell ref="AL341:AM341"/>
    <mergeCell ref="AN341:AO341"/>
    <mergeCell ref="AP341:AQ341"/>
    <mergeCell ref="AR341:AS341"/>
    <mergeCell ref="AT341:AU341"/>
    <mergeCell ref="AV341:AW341"/>
    <mergeCell ref="BD344:BE344"/>
    <mergeCell ref="BD342:BE342"/>
    <mergeCell ref="BF342:BI342"/>
    <mergeCell ref="AN342:AO342"/>
    <mergeCell ref="AP342:AQ342"/>
    <mergeCell ref="AR342:AS342"/>
    <mergeCell ref="AT342:AU342"/>
    <mergeCell ref="AV342:AW342"/>
    <mergeCell ref="AX342:AZ342"/>
    <mergeCell ref="BA342:BB342"/>
    <mergeCell ref="AX343:AZ343"/>
    <mergeCell ref="BA343:BB343"/>
    <mergeCell ref="BD343:BE343"/>
    <mergeCell ref="BF343:BI343"/>
    <mergeCell ref="BJ343:BM343"/>
    <mergeCell ref="BN343:BV343"/>
    <mergeCell ref="BJ344:BM344"/>
    <mergeCell ref="BN344:BV344"/>
    <mergeCell ref="B343:C343"/>
    <mergeCell ref="D343:E343"/>
    <mergeCell ref="F343:G343"/>
    <mergeCell ref="H343:I343"/>
    <mergeCell ref="J343:K343"/>
    <mergeCell ref="BJ346:BM346"/>
    <mergeCell ref="BN346:BV346"/>
    <mergeCell ref="R346:S346"/>
    <mergeCell ref="T346:U346"/>
    <mergeCell ref="V346:W346"/>
    <mergeCell ref="X346:AA346"/>
    <mergeCell ref="AB346:AE346"/>
    <mergeCell ref="AF346:AG346"/>
    <mergeCell ref="AH346:AI346"/>
    <mergeCell ref="BJ345:BM345"/>
    <mergeCell ref="BN345:BV345"/>
    <mergeCell ref="B346:C346"/>
    <mergeCell ref="D346:E346"/>
    <mergeCell ref="F346:G346"/>
    <mergeCell ref="H346:I346"/>
    <mergeCell ref="J346:K346"/>
    <mergeCell ref="L346:M346"/>
    <mergeCell ref="P346:Q346"/>
    <mergeCell ref="BJ336:BM336"/>
    <mergeCell ref="BN336:BV336"/>
    <mergeCell ref="B336:C336"/>
    <mergeCell ref="D336:E336"/>
    <mergeCell ref="F336:G336"/>
    <mergeCell ref="H336:I336"/>
    <mergeCell ref="J336:K336"/>
    <mergeCell ref="L336:M336"/>
    <mergeCell ref="P336:Q336"/>
    <mergeCell ref="AJ336:AK336"/>
    <mergeCell ref="AL336:AM336"/>
    <mergeCell ref="AN336:AO336"/>
    <mergeCell ref="AP336:AQ336"/>
    <mergeCell ref="AR336:AS336"/>
    <mergeCell ref="AT336:AU336"/>
    <mergeCell ref="AV336:AW336"/>
    <mergeCell ref="B337:C337"/>
    <mergeCell ref="D337:E337"/>
    <mergeCell ref="F337:G337"/>
    <mergeCell ref="H337:I337"/>
    <mergeCell ref="J337:K337"/>
    <mergeCell ref="L337:M337"/>
    <mergeCell ref="P337:Q337"/>
    <mergeCell ref="R339:S339"/>
    <mergeCell ref="T339:U339"/>
    <mergeCell ref="V339:W339"/>
    <mergeCell ref="X339:AA339"/>
    <mergeCell ref="AB339:AE339"/>
    <mergeCell ref="AF339:AG339"/>
    <mergeCell ref="AH339:AI339"/>
    <mergeCell ref="B339:C339"/>
    <mergeCell ref="D339:E339"/>
    <mergeCell ref="F339:G339"/>
    <mergeCell ref="H339:I339"/>
    <mergeCell ref="J339:K339"/>
    <mergeCell ref="AB344:AE344"/>
    <mergeCell ref="AF344:AG344"/>
    <mergeCell ref="AH344:AI344"/>
    <mergeCell ref="R345:S345"/>
    <mergeCell ref="T345:U345"/>
    <mergeCell ref="V345:W345"/>
    <mergeCell ref="X345:AA345"/>
    <mergeCell ref="AB345:AE345"/>
    <mergeCell ref="AF345:AG345"/>
    <mergeCell ref="B338:C338"/>
    <mergeCell ref="D338:E338"/>
    <mergeCell ref="B340:C340"/>
    <mergeCell ref="D340:E340"/>
    <mergeCell ref="F340:G340"/>
    <mergeCell ref="H340:I340"/>
    <mergeCell ref="J340:K340"/>
    <mergeCell ref="L340:M340"/>
    <mergeCell ref="P340:Q340"/>
    <mergeCell ref="AJ339:AK339"/>
    <mergeCell ref="AL339:AM339"/>
    <mergeCell ref="AN339:AO339"/>
    <mergeCell ref="AP339:AQ339"/>
    <mergeCell ref="AR339:AS339"/>
    <mergeCell ref="AT339:AU339"/>
    <mergeCell ref="AV339:AW339"/>
    <mergeCell ref="L339:M339"/>
    <mergeCell ref="P339:Q339"/>
    <mergeCell ref="AN344:AO344"/>
    <mergeCell ref="AP344:AQ344"/>
    <mergeCell ref="AR344:AS344"/>
    <mergeCell ref="AT344:AU344"/>
    <mergeCell ref="AV344:AW344"/>
    <mergeCell ref="AJ342:AK342"/>
    <mergeCell ref="AL342:AM342"/>
    <mergeCell ref="R342:S342"/>
    <mergeCell ref="T342:U342"/>
    <mergeCell ref="V342:W342"/>
    <mergeCell ref="X342:AA342"/>
    <mergeCell ref="AB342:AE342"/>
    <mergeCell ref="AF342:AG342"/>
    <mergeCell ref="AH342:AI342"/>
    <mergeCell ref="R343:S343"/>
    <mergeCell ref="T343:U343"/>
    <mergeCell ref="V343:W343"/>
    <mergeCell ref="X343:AA343"/>
    <mergeCell ref="AB343:AE343"/>
    <mergeCell ref="AF343:AG343"/>
    <mergeCell ref="AH343:AI343"/>
    <mergeCell ref="AJ344:AK344"/>
    <mergeCell ref="AL344:AM344"/>
    <mergeCell ref="R344:S344"/>
    <mergeCell ref="T344:U344"/>
    <mergeCell ref="V344:W344"/>
    <mergeCell ref="X344:AA344"/>
    <mergeCell ref="L343:M343"/>
    <mergeCell ref="P343:Q343"/>
    <mergeCell ref="B344:C344"/>
    <mergeCell ref="BJ352:BM352"/>
    <mergeCell ref="BN352:BV352"/>
    <mergeCell ref="BJ353:BM353"/>
    <mergeCell ref="BN353:BV353"/>
    <mergeCell ref="BD351:BE351"/>
    <mergeCell ref="BF351:BI351"/>
    <mergeCell ref="AN351:AO351"/>
    <mergeCell ref="AP351:AQ351"/>
    <mergeCell ref="AR351:AS351"/>
    <mergeCell ref="AT351:AU351"/>
    <mergeCell ref="AV351:AW351"/>
    <mergeCell ref="AX351:AZ351"/>
    <mergeCell ref="BA351:BB351"/>
    <mergeCell ref="AJ349:AK349"/>
    <mergeCell ref="AL349:AM349"/>
    <mergeCell ref="R349:S349"/>
    <mergeCell ref="T349:U349"/>
    <mergeCell ref="V349:W349"/>
    <mergeCell ref="X349:AA349"/>
    <mergeCell ref="AB349:AE349"/>
    <mergeCell ref="AF349:AG349"/>
    <mergeCell ref="AH349:AI349"/>
    <mergeCell ref="R350:S350"/>
    <mergeCell ref="T350:U350"/>
    <mergeCell ref="V350:W350"/>
    <mergeCell ref="X350:AA350"/>
    <mergeCell ref="AB350:AE350"/>
    <mergeCell ref="AF350:AG350"/>
    <mergeCell ref="AH350:AI350"/>
    <mergeCell ref="AX350:AZ350"/>
    <mergeCell ref="BA350:BB350"/>
    <mergeCell ref="BD350:BE350"/>
    <mergeCell ref="BF350:BI350"/>
    <mergeCell ref="BJ350:BM350"/>
    <mergeCell ref="BN350:BV350"/>
    <mergeCell ref="BJ351:BM351"/>
    <mergeCell ref="BN351:BV351"/>
    <mergeCell ref="AJ350:AK350"/>
    <mergeCell ref="AL350:AM350"/>
    <mergeCell ref="AN350:AO350"/>
    <mergeCell ref="AP350:AQ350"/>
    <mergeCell ref="AR350:AS350"/>
    <mergeCell ref="AT350:AU350"/>
    <mergeCell ref="AV350:AW350"/>
    <mergeCell ref="AH345:AI345"/>
    <mergeCell ref="AX345:AZ345"/>
    <mergeCell ref="BA345:BB345"/>
    <mergeCell ref="BD345:BE345"/>
    <mergeCell ref="BF345:BI345"/>
    <mergeCell ref="B345:C345"/>
    <mergeCell ref="D345:E345"/>
    <mergeCell ref="F345:G345"/>
    <mergeCell ref="H345:I345"/>
    <mergeCell ref="J345:K345"/>
    <mergeCell ref="L345:M345"/>
    <mergeCell ref="P345:Q345"/>
    <mergeCell ref="AJ345:AK345"/>
    <mergeCell ref="AL345:AM345"/>
    <mergeCell ref="AN345:AO345"/>
    <mergeCell ref="AP345:AQ345"/>
    <mergeCell ref="AR345:AS345"/>
    <mergeCell ref="AT345:AU345"/>
    <mergeCell ref="AV345:AW345"/>
    <mergeCell ref="BF344:BI344"/>
    <mergeCell ref="AX344:AZ344"/>
    <mergeCell ref="BA344:BB344"/>
    <mergeCell ref="X347:AA347"/>
    <mergeCell ref="AB347:AE347"/>
    <mergeCell ref="AF347:AG347"/>
    <mergeCell ref="AH347:AI347"/>
    <mergeCell ref="AX347:AZ347"/>
    <mergeCell ref="BA347:BB347"/>
    <mergeCell ref="BD347:BE347"/>
    <mergeCell ref="BF347:BI347"/>
    <mergeCell ref="B352:C352"/>
    <mergeCell ref="D352:E352"/>
    <mergeCell ref="F352:G352"/>
    <mergeCell ref="H352:I352"/>
    <mergeCell ref="J352:K352"/>
    <mergeCell ref="L352:M352"/>
    <mergeCell ref="P352:Q352"/>
    <mergeCell ref="BA352:BB352"/>
    <mergeCell ref="BD352:BE352"/>
    <mergeCell ref="BF352:BI352"/>
    <mergeCell ref="B350:C350"/>
    <mergeCell ref="D350:E350"/>
    <mergeCell ref="F350:G350"/>
    <mergeCell ref="H350:I350"/>
    <mergeCell ref="J350:K350"/>
    <mergeCell ref="L350:M350"/>
    <mergeCell ref="P350:Q350"/>
    <mergeCell ref="B351:C351"/>
    <mergeCell ref="D351:E351"/>
    <mergeCell ref="F351:G351"/>
    <mergeCell ref="H351:I351"/>
    <mergeCell ref="J351:K351"/>
    <mergeCell ref="L351:M351"/>
    <mergeCell ref="P351:Q351"/>
    <mergeCell ref="AJ346:AK346"/>
    <mergeCell ref="AL346:AM346"/>
    <mergeCell ref="B353:C353"/>
    <mergeCell ref="D353:E353"/>
    <mergeCell ref="F353:G353"/>
    <mergeCell ref="H353:I353"/>
    <mergeCell ref="J353:K353"/>
    <mergeCell ref="L353:M353"/>
    <mergeCell ref="P353:Q353"/>
    <mergeCell ref="AJ352:AK352"/>
    <mergeCell ref="AL352:AM352"/>
    <mergeCell ref="AN352:AO352"/>
    <mergeCell ref="AP352:AQ352"/>
    <mergeCell ref="AR352:AS352"/>
    <mergeCell ref="AT352:AU352"/>
    <mergeCell ref="AV352:AW352"/>
    <mergeCell ref="BD346:BE346"/>
    <mergeCell ref="BF346:BI346"/>
    <mergeCell ref="AN346:AO346"/>
    <mergeCell ref="AP346:AQ346"/>
    <mergeCell ref="AR346:AS346"/>
    <mergeCell ref="AT346:AU346"/>
    <mergeCell ref="AV346:AW346"/>
    <mergeCell ref="AX346:AZ346"/>
    <mergeCell ref="BA346:BB346"/>
    <mergeCell ref="BD353:BE353"/>
    <mergeCell ref="BF353:BI353"/>
    <mergeCell ref="AN353:AO353"/>
    <mergeCell ref="AP353:AQ353"/>
    <mergeCell ref="AR353:AS353"/>
    <mergeCell ref="AT353:AU353"/>
    <mergeCell ref="AV353:AW353"/>
    <mergeCell ref="AX353:AZ353"/>
    <mergeCell ref="BA353:BB353"/>
    <mergeCell ref="AJ351:AK351"/>
    <mergeCell ref="AL351:AM351"/>
    <mergeCell ref="R351:S351"/>
    <mergeCell ref="T351:U351"/>
    <mergeCell ref="V351:W351"/>
    <mergeCell ref="X351:AA351"/>
    <mergeCell ref="AB351:AE351"/>
    <mergeCell ref="AF351:AG351"/>
    <mergeCell ref="AH351:AI351"/>
    <mergeCell ref="R352:S352"/>
    <mergeCell ref="T352:U352"/>
    <mergeCell ref="V352:W352"/>
    <mergeCell ref="X352:AA352"/>
    <mergeCell ref="AB352:AE352"/>
    <mergeCell ref="AF352:AG352"/>
    <mergeCell ref="AH352:AI352"/>
    <mergeCell ref="AX352:AZ352"/>
    <mergeCell ref="BJ347:BM347"/>
    <mergeCell ref="BN347:BV347"/>
    <mergeCell ref="AJ347:AK347"/>
    <mergeCell ref="AL347:AM347"/>
    <mergeCell ref="AN347:AO347"/>
    <mergeCell ref="AP347:AQ347"/>
    <mergeCell ref="AR347:AS347"/>
    <mergeCell ref="AT347:AU347"/>
    <mergeCell ref="AV347:AW347"/>
    <mergeCell ref="B347:C347"/>
    <mergeCell ref="D347:E347"/>
    <mergeCell ref="F347:G347"/>
    <mergeCell ref="H347:I347"/>
    <mergeCell ref="J347:K347"/>
    <mergeCell ref="L347:M347"/>
    <mergeCell ref="P347:Q347"/>
    <mergeCell ref="AX348:AZ348"/>
    <mergeCell ref="BA348:BB348"/>
    <mergeCell ref="BD348:BE348"/>
    <mergeCell ref="BF348:BI348"/>
    <mergeCell ref="BJ348:BM348"/>
    <mergeCell ref="BN348:BV348"/>
    <mergeCell ref="BJ349:BM349"/>
    <mergeCell ref="BN349:BV349"/>
    <mergeCell ref="B349:C349"/>
    <mergeCell ref="D349:E349"/>
    <mergeCell ref="F349:G349"/>
    <mergeCell ref="H349:I349"/>
    <mergeCell ref="J349:K349"/>
    <mergeCell ref="L349:M349"/>
    <mergeCell ref="P349:Q349"/>
    <mergeCell ref="AJ348:AK348"/>
    <mergeCell ref="AL348:AM348"/>
    <mergeCell ref="AN348:AO348"/>
    <mergeCell ref="AP348:AQ348"/>
    <mergeCell ref="AR348:AS348"/>
    <mergeCell ref="AT348:AU348"/>
    <mergeCell ref="AV348:AW348"/>
    <mergeCell ref="R348:S348"/>
    <mergeCell ref="T348:U348"/>
    <mergeCell ref="V348:W348"/>
    <mergeCell ref="X348:AA348"/>
    <mergeCell ref="AB348:AE348"/>
    <mergeCell ref="AF348:AG348"/>
    <mergeCell ref="AH348:AI348"/>
    <mergeCell ref="B348:C348"/>
    <mergeCell ref="D348:E348"/>
    <mergeCell ref="F348:G348"/>
    <mergeCell ref="H348:I348"/>
    <mergeCell ref="J348:K348"/>
    <mergeCell ref="L348:M348"/>
    <mergeCell ref="P348:Q348"/>
    <mergeCell ref="BD349:BE349"/>
    <mergeCell ref="BF349:BI349"/>
    <mergeCell ref="AN349:AO349"/>
    <mergeCell ref="AP349:AQ349"/>
    <mergeCell ref="AR349:AS349"/>
    <mergeCell ref="AT349:AU349"/>
    <mergeCell ref="AV349:AW349"/>
    <mergeCell ref="AX349:AZ349"/>
    <mergeCell ref="BA349:BB349"/>
    <mergeCell ref="R347:S347"/>
    <mergeCell ref="T347:U347"/>
    <mergeCell ref="V347:W347"/>
    <mergeCell ref="BJ361:BM361"/>
    <mergeCell ref="BN361:BV361"/>
    <mergeCell ref="BJ362:BM362"/>
    <mergeCell ref="BN362:BV362"/>
    <mergeCell ref="B361:C361"/>
    <mergeCell ref="D361:E361"/>
    <mergeCell ref="F361:G361"/>
    <mergeCell ref="H361:I361"/>
    <mergeCell ref="J361:K361"/>
    <mergeCell ref="L361:M361"/>
    <mergeCell ref="P361:Q361"/>
    <mergeCell ref="B362:C362"/>
    <mergeCell ref="AJ355:AK355"/>
    <mergeCell ref="AL355:AM355"/>
    <mergeCell ref="BJ355:BM355"/>
    <mergeCell ref="BN355:BV355"/>
    <mergeCell ref="R355:S355"/>
    <mergeCell ref="T355:U355"/>
    <mergeCell ref="V355:W355"/>
    <mergeCell ref="X355:AA355"/>
    <mergeCell ref="AB355:AE355"/>
    <mergeCell ref="AF355:AG355"/>
    <mergeCell ref="AH355:AI355"/>
    <mergeCell ref="AJ358:AK358"/>
    <mergeCell ref="AL358:AM358"/>
    <mergeCell ref="R358:S358"/>
    <mergeCell ref="T358:U358"/>
    <mergeCell ref="V358:W358"/>
    <mergeCell ref="X358:AA358"/>
    <mergeCell ref="AB358:AE358"/>
    <mergeCell ref="AF358:AG358"/>
    <mergeCell ref="AH358:AI358"/>
    <mergeCell ref="R359:S359"/>
    <mergeCell ref="T359:U359"/>
    <mergeCell ref="V359:W359"/>
    <mergeCell ref="X359:AA359"/>
    <mergeCell ref="AB359:AE359"/>
    <mergeCell ref="AF359:AG359"/>
    <mergeCell ref="AH359:AI359"/>
    <mergeCell ref="AX359:AZ359"/>
    <mergeCell ref="BA359:BB359"/>
    <mergeCell ref="BD359:BE359"/>
    <mergeCell ref="BF359:BI359"/>
    <mergeCell ref="BJ359:BM359"/>
    <mergeCell ref="BN359:BV359"/>
    <mergeCell ref="BJ357:BM357"/>
    <mergeCell ref="BN357:BV357"/>
    <mergeCell ref="BJ358:BM358"/>
    <mergeCell ref="BN358:BV358"/>
    <mergeCell ref="AN359:AO359"/>
    <mergeCell ref="AP359:AQ359"/>
    <mergeCell ref="AR359:AS359"/>
    <mergeCell ref="AT359:AU359"/>
    <mergeCell ref="AV359:AW359"/>
    <mergeCell ref="BD362:BE362"/>
    <mergeCell ref="BF362:BI362"/>
    <mergeCell ref="AN362:AO362"/>
    <mergeCell ref="AP362:AQ362"/>
    <mergeCell ref="AR362:AS362"/>
    <mergeCell ref="AT362:AU362"/>
    <mergeCell ref="AV362:AW362"/>
    <mergeCell ref="AX362:AZ362"/>
    <mergeCell ref="BA362:BB362"/>
    <mergeCell ref="AJ360:AK360"/>
    <mergeCell ref="AL360:AM360"/>
    <mergeCell ref="R360:S360"/>
    <mergeCell ref="T360:U360"/>
    <mergeCell ref="V360:W360"/>
    <mergeCell ref="X360:AA360"/>
    <mergeCell ref="AB360:AE360"/>
    <mergeCell ref="AF360:AG360"/>
    <mergeCell ref="AH360:AI360"/>
    <mergeCell ref="R361:S361"/>
    <mergeCell ref="T361:U361"/>
    <mergeCell ref="V361:W361"/>
    <mergeCell ref="X361:AA361"/>
    <mergeCell ref="AB361:AE361"/>
    <mergeCell ref="AF361:AG361"/>
    <mergeCell ref="AH361:AI361"/>
    <mergeCell ref="AX361:AZ361"/>
    <mergeCell ref="BA361:BB361"/>
    <mergeCell ref="BD361:BE361"/>
    <mergeCell ref="BF361:BI361"/>
    <mergeCell ref="BD355:BE355"/>
    <mergeCell ref="BF355:BI355"/>
    <mergeCell ref="AN355:AO355"/>
    <mergeCell ref="AP355:AQ355"/>
    <mergeCell ref="AR355:AS355"/>
    <mergeCell ref="AT355:AU355"/>
    <mergeCell ref="AV355:AW355"/>
    <mergeCell ref="AX355:AZ355"/>
    <mergeCell ref="BA355:BB355"/>
    <mergeCell ref="AJ353:AK353"/>
    <mergeCell ref="AL353:AM353"/>
    <mergeCell ref="R353:S353"/>
    <mergeCell ref="T353:U353"/>
    <mergeCell ref="V353:W353"/>
    <mergeCell ref="X353:AA353"/>
    <mergeCell ref="AB353:AE353"/>
    <mergeCell ref="AF353:AG353"/>
    <mergeCell ref="AH353:AI353"/>
    <mergeCell ref="R354:S354"/>
    <mergeCell ref="T354:U354"/>
    <mergeCell ref="V354:W354"/>
    <mergeCell ref="X354:AA354"/>
    <mergeCell ref="AB354:AE354"/>
    <mergeCell ref="AF354:AG354"/>
    <mergeCell ref="AH354:AI354"/>
    <mergeCell ref="AX354:AZ354"/>
    <mergeCell ref="BA354:BB354"/>
    <mergeCell ref="BD354:BE354"/>
    <mergeCell ref="BF354:BI354"/>
    <mergeCell ref="BD358:BE358"/>
    <mergeCell ref="BF358:BI358"/>
    <mergeCell ref="AN358:AO358"/>
    <mergeCell ref="AP358:AQ358"/>
    <mergeCell ref="AR358:AS358"/>
    <mergeCell ref="AT358:AU358"/>
    <mergeCell ref="AV358:AW358"/>
    <mergeCell ref="AX358:AZ358"/>
    <mergeCell ref="BA358:BB358"/>
    <mergeCell ref="AX357:AZ357"/>
    <mergeCell ref="BA357:BB357"/>
    <mergeCell ref="BD357:BE357"/>
    <mergeCell ref="BF357:BI357"/>
    <mergeCell ref="BJ354:BM354"/>
    <mergeCell ref="BN354:BV354"/>
    <mergeCell ref="B354:C354"/>
    <mergeCell ref="D354:E354"/>
    <mergeCell ref="F354:G354"/>
    <mergeCell ref="H354:I354"/>
    <mergeCell ref="J354:K354"/>
    <mergeCell ref="L354:M354"/>
    <mergeCell ref="P354:Q354"/>
    <mergeCell ref="AJ354:AK354"/>
    <mergeCell ref="AL354:AM354"/>
    <mergeCell ref="AN354:AO354"/>
    <mergeCell ref="AP354:AQ354"/>
    <mergeCell ref="AR354:AS354"/>
    <mergeCell ref="AT354:AU354"/>
    <mergeCell ref="AV354:AW354"/>
    <mergeCell ref="B355:C355"/>
    <mergeCell ref="D355:E355"/>
    <mergeCell ref="F355:G355"/>
    <mergeCell ref="H355:I355"/>
    <mergeCell ref="J355:K355"/>
    <mergeCell ref="L355:M355"/>
    <mergeCell ref="P355:Q355"/>
    <mergeCell ref="R357:S357"/>
    <mergeCell ref="T357:U357"/>
    <mergeCell ref="V357:W357"/>
    <mergeCell ref="X357:AA357"/>
    <mergeCell ref="AB357:AE357"/>
    <mergeCell ref="AF357:AG357"/>
    <mergeCell ref="AH357:AI357"/>
    <mergeCell ref="B357:C357"/>
    <mergeCell ref="D357:E357"/>
    <mergeCell ref="F357:G357"/>
    <mergeCell ref="H357:I357"/>
    <mergeCell ref="J357:K357"/>
    <mergeCell ref="L357:M357"/>
    <mergeCell ref="P357:Q357"/>
    <mergeCell ref="R356:S356"/>
    <mergeCell ref="T356:U356"/>
    <mergeCell ref="V356:W356"/>
    <mergeCell ref="X356:AA356"/>
    <mergeCell ref="AB356:AE356"/>
    <mergeCell ref="AF356:AG356"/>
    <mergeCell ref="AH356:AI356"/>
    <mergeCell ref="AX356:AZ356"/>
    <mergeCell ref="BA356:BB356"/>
    <mergeCell ref="BD356:BE356"/>
    <mergeCell ref="BF356:BI356"/>
    <mergeCell ref="BJ356:BM356"/>
    <mergeCell ref="BN356:BV356"/>
    <mergeCell ref="AJ356:AK356"/>
    <mergeCell ref="AL356:AM356"/>
    <mergeCell ref="AN356:AO356"/>
    <mergeCell ref="AP356:AQ356"/>
    <mergeCell ref="AR356:AS356"/>
    <mergeCell ref="AT356:AU356"/>
    <mergeCell ref="AV356:AW356"/>
    <mergeCell ref="B356:C356"/>
    <mergeCell ref="D356:E356"/>
    <mergeCell ref="F356:G356"/>
    <mergeCell ref="H356:I356"/>
    <mergeCell ref="J356:K356"/>
    <mergeCell ref="L356:M356"/>
    <mergeCell ref="P356:Q356"/>
    <mergeCell ref="B358:C358"/>
    <mergeCell ref="D358:E358"/>
    <mergeCell ref="F358:G358"/>
    <mergeCell ref="H358:I358"/>
    <mergeCell ref="J358:K358"/>
    <mergeCell ref="L358:M358"/>
    <mergeCell ref="P358:Q358"/>
    <mergeCell ref="AJ357:AK357"/>
    <mergeCell ref="AL357:AM357"/>
    <mergeCell ref="AN357:AO357"/>
    <mergeCell ref="AP357:AQ357"/>
    <mergeCell ref="AR357:AS357"/>
    <mergeCell ref="AT357:AU357"/>
    <mergeCell ref="AV357:AW357"/>
    <mergeCell ref="BD360:BE360"/>
    <mergeCell ref="BF360:BI360"/>
    <mergeCell ref="AN360:AO360"/>
    <mergeCell ref="AP360:AQ360"/>
    <mergeCell ref="AR360:AS360"/>
    <mergeCell ref="AT360:AU360"/>
    <mergeCell ref="AV360:AW360"/>
    <mergeCell ref="AX360:AZ360"/>
    <mergeCell ref="BA360:BB360"/>
    <mergeCell ref="AJ364:AK364"/>
    <mergeCell ref="AL364:AM364"/>
    <mergeCell ref="BJ364:BM364"/>
    <mergeCell ref="BN364:BV364"/>
    <mergeCell ref="R364:S364"/>
    <mergeCell ref="T364:U364"/>
    <mergeCell ref="V364:W364"/>
    <mergeCell ref="X364:AA364"/>
    <mergeCell ref="AB364:AE364"/>
    <mergeCell ref="AF364:AG364"/>
    <mergeCell ref="AH364:AI364"/>
    <mergeCell ref="F362:G362"/>
    <mergeCell ref="H362:I362"/>
    <mergeCell ref="J362:K362"/>
    <mergeCell ref="L362:M362"/>
    <mergeCell ref="P362:Q362"/>
    <mergeCell ref="AJ361:AK361"/>
    <mergeCell ref="AL361:AM361"/>
    <mergeCell ref="AN361:AO361"/>
    <mergeCell ref="AP361:AQ361"/>
    <mergeCell ref="AR361:AS361"/>
    <mergeCell ref="AT361:AU361"/>
    <mergeCell ref="AV361:AW361"/>
    <mergeCell ref="BJ360:BM360"/>
    <mergeCell ref="BN360:BV360"/>
    <mergeCell ref="B359:C359"/>
    <mergeCell ref="D359:E359"/>
    <mergeCell ref="F359:G359"/>
    <mergeCell ref="H359:I359"/>
    <mergeCell ref="J359:K359"/>
    <mergeCell ref="L359:M359"/>
    <mergeCell ref="P359:Q359"/>
    <mergeCell ref="B360:C360"/>
    <mergeCell ref="D360:E360"/>
    <mergeCell ref="F360:G360"/>
    <mergeCell ref="H360:I360"/>
    <mergeCell ref="J360:K360"/>
    <mergeCell ref="L360:M360"/>
    <mergeCell ref="P360:Q360"/>
    <mergeCell ref="AJ359:AK359"/>
    <mergeCell ref="AL359:AM359"/>
    <mergeCell ref="V510:W510"/>
    <mergeCell ref="X510:AA510"/>
    <mergeCell ref="AB510:AE510"/>
    <mergeCell ref="AF510:AG510"/>
    <mergeCell ref="AH510:AI510"/>
    <mergeCell ref="AJ510:AK510"/>
    <mergeCell ref="AL510:AM510"/>
    <mergeCell ref="BD510:BE510"/>
    <mergeCell ref="BF510:BI510"/>
    <mergeCell ref="BJ510:BM510"/>
    <mergeCell ref="BN510:BV510"/>
    <mergeCell ref="AN510:AO510"/>
    <mergeCell ref="AP510:AQ510"/>
    <mergeCell ref="AR510:AS510"/>
    <mergeCell ref="AT510:AU510"/>
    <mergeCell ref="AV510:AW510"/>
    <mergeCell ref="AX510:AZ510"/>
    <mergeCell ref="BA510:BB510"/>
    <mergeCell ref="B510:C510"/>
    <mergeCell ref="D510:E510"/>
    <mergeCell ref="F510:G510"/>
    <mergeCell ref="H510:I510"/>
    <mergeCell ref="P510:Q510"/>
    <mergeCell ref="R510:S510"/>
    <mergeCell ref="T510:U510"/>
    <mergeCell ref="B511:C511"/>
    <mergeCell ref="D511:E511"/>
    <mergeCell ref="F511:G511"/>
    <mergeCell ref="H511:I511"/>
    <mergeCell ref="J511:K511"/>
    <mergeCell ref="L511:M511"/>
    <mergeCell ref="P511:Q511"/>
    <mergeCell ref="AX511:AZ511"/>
    <mergeCell ref="BA511:BB511"/>
    <mergeCell ref="BD511:BE511"/>
    <mergeCell ref="BF511:BI511"/>
    <mergeCell ref="BJ511:BM511"/>
    <mergeCell ref="BN511:BV511"/>
    <mergeCell ref="AN511:AO511"/>
    <mergeCell ref="AP511:AQ511"/>
    <mergeCell ref="AR511:AS511"/>
    <mergeCell ref="AT511:AU511"/>
    <mergeCell ref="AV511:AW511"/>
    <mergeCell ref="R511:S511"/>
    <mergeCell ref="T511:U511"/>
    <mergeCell ref="V511:W511"/>
    <mergeCell ref="X511:AA511"/>
    <mergeCell ref="AB511:AE511"/>
    <mergeCell ref="AF511:AG511"/>
    <mergeCell ref="AH511:AI511"/>
    <mergeCell ref="AJ511:AK511"/>
    <mergeCell ref="AL511:AM511"/>
    <mergeCell ref="V512:W512"/>
    <mergeCell ref="X512:AA512"/>
    <mergeCell ref="AB512:AE512"/>
    <mergeCell ref="AF512:AG512"/>
    <mergeCell ref="AH512:AI512"/>
    <mergeCell ref="AJ512:AK512"/>
    <mergeCell ref="AL512:AM512"/>
    <mergeCell ref="BD512:BE512"/>
    <mergeCell ref="BF512:BI512"/>
    <mergeCell ref="BJ512:BM512"/>
    <mergeCell ref="BN512:BV512"/>
    <mergeCell ref="AN512:AO512"/>
    <mergeCell ref="AP512:AQ512"/>
    <mergeCell ref="AR512:AS512"/>
    <mergeCell ref="AT512:AU512"/>
    <mergeCell ref="AV512:AW512"/>
    <mergeCell ref="AX512:AZ512"/>
    <mergeCell ref="BA512:BB512"/>
    <mergeCell ref="B512:C512"/>
    <mergeCell ref="D512:E512"/>
    <mergeCell ref="F512:G512"/>
    <mergeCell ref="H512:I512"/>
    <mergeCell ref="P512:Q512"/>
    <mergeCell ref="R512:S512"/>
    <mergeCell ref="T512:U512"/>
    <mergeCell ref="B513:C513"/>
    <mergeCell ref="D513:E513"/>
    <mergeCell ref="F513:G513"/>
    <mergeCell ref="H513:I513"/>
    <mergeCell ref="J513:K513"/>
    <mergeCell ref="L513:M513"/>
    <mergeCell ref="P513:Q513"/>
    <mergeCell ref="AX513:AZ513"/>
    <mergeCell ref="BA513:BB513"/>
    <mergeCell ref="BD513:BE513"/>
    <mergeCell ref="BF513:BI513"/>
    <mergeCell ref="BJ513:BM513"/>
    <mergeCell ref="BN513:BV513"/>
    <mergeCell ref="AN513:AO513"/>
    <mergeCell ref="AP513:AQ513"/>
    <mergeCell ref="AR513:AS513"/>
    <mergeCell ref="AT513:AU513"/>
    <mergeCell ref="AV513:AW513"/>
    <mergeCell ref="R513:S513"/>
    <mergeCell ref="T513:U513"/>
    <mergeCell ref="V513:W513"/>
    <mergeCell ref="X513:AA513"/>
    <mergeCell ref="AB513:AE513"/>
    <mergeCell ref="AF513:AG513"/>
    <mergeCell ref="AH513:AI513"/>
    <mergeCell ref="AJ513:AK513"/>
    <mergeCell ref="AL513:AM513"/>
    <mergeCell ref="V514:W514"/>
    <mergeCell ref="X514:AA514"/>
    <mergeCell ref="AB514:AE514"/>
    <mergeCell ref="AF514:AG514"/>
    <mergeCell ref="AH514:AI514"/>
    <mergeCell ref="AJ514:AK514"/>
    <mergeCell ref="AL514:AM514"/>
    <mergeCell ref="BD514:BE514"/>
    <mergeCell ref="BF514:BI514"/>
    <mergeCell ref="BJ514:BM514"/>
    <mergeCell ref="BN514:BV514"/>
    <mergeCell ref="AN514:AO514"/>
    <mergeCell ref="AP514:AQ514"/>
    <mergeCell ref="AR514:AS514"/>
    <mergeCell ref="AT514:AU514"/>
    <mergeCell ref="AV514:AW514"/>
    <mergeCell ref="AX514:AZ514"/>
    <mergeCell ref="BA514:BB514"/>
    <mergeCell ref="B514:C514"/>
    <mergeCell ref="D514:E514"/>
    <mergeCell ref="F514:G514"/>
    <mergeCell ref="H514:I514"/>
    <mergeCell ref="P514:Q514"/>
    <mergeCell ref="R514:S514"/>
    <mergeCell ref="T514:U514"/>
    <mergeCell ref="B515:C515"/>
    <mergeCell ref="D515:E515"/>
    <mergeCell ref="F515:G515"/>
    <mergeCell ref="H515:I515"/>
    <mergeCell ref="J515:K515"/>
    <mergeCell ref="L515:M515"/>
    <mergeCell ref="P515:Q515"/>
    <mergeCell ref="AX515:AZ515"/>
    <mergeCell ref="BA515:BB515"/>
    <mergeCell ref="BD515:BE515"/>
    <mergeCell ref="BF515:BI515"/>
    <mergeCell ref="BJ515:BM515"/>
    <mergeCell ref="BN515:BV515"/>
    <mergeCell ref="AN515:AO515"/>
    <mergeCell ref="AP515:AQ515"/>
    <mergeCell ref="AR515:AS515"/>
    <mergeCell ref="AT515:AU515"/>
    <mergeCell ref="AV515:AW515"/>
    <mergeCell ref="R515:S515"/>
    <mergeCell ref="T515:U515"/>
    <mergeCell ref="V515:W515"/>
    <mergeCell ref="X515:AA515"/>
    <mergeCell ref="AB515:AE515"/>
    <mergeCell ref="AF515:AG515"/>
    <mergeCell ref="AH515:AI515"/>
    <mergeCell ref="AJ515:AK515"/>
    <mergeCell ref="AL515:AM515"/>
    <mergeCell ref="V516:W516"/>
    <mergeCell ref="X516:AA516"/>
    <mergeCell ref="AB516:AE516"/>
    <mergeCell ref="AF516:AG516"/>
    <mergeCell ref="AH516:AI516"/>
    <mergeCell ref="AJ516:AK516"/>
    <mergeCell ref="AL516:AM516"/>
    <mergeCell ref="BD516:BE516"/>
    <mergeCell ref="BF516:BI516"/>
    <mergeCell ref="BJ516:BM516"/>
    <mergeCell ref="BN516:BV516"/>
    <mergeCell ref="AN516:AO516"/>
    <mergeCell ref="AP516:AQ516"/>
    <mergeCell ref="AR516:AS516"/>
    <mergeCell ref="AT516:AU516"/>
    <mergeCell ref="AV516:AW516"/>
    <mergeCell ref="AX516:AZ516"/>
    <mergeCell ref="BA516:BB516"/>
    <mergeCell ref="B516:C516"/>
    <mergeCell ref="D516:E516"/>
    <mergeCell ref="F516:G516"/>
    <mergeCell ref="H516:I516"/>
    <mergeCell ref="P516:Q516"/>
    <mergeCell ref="R516:S516"/>
    <mergeCell ref="T516:U516"/>
    <mergeCell ref="B517:C517"/>
    <mergeCell ref="D517:E517"/>
    <mergeCell ref="F517:G517"/>
    <mergeCell ref="H517:I517"/>
    <mergeCell ref="J517:K517"/>
    <mergeCell ref="L517:M517"/>
    <mergeCell ref="P517:Q517"/>
    <mergeCell ref="AX517:AZ517"/>
    <mergeCell ref="BA517:BB517"/>
    <mergeCell ref="BD517:BE517"/>
    <mergeCell ref="BF517:BI517"/>
    <mergeCell ref="BJ517:BM517"/>
    <mergeCell ref="BN517:BV517"/>
    <mergeCell ref="AN517:AO517"/>
    <mergeCell ref="AP517:AQ517"/>
    <mergeCell ref="AR517:AS517"/>
    <mergeCell ref="AT517:AU517"/>
    <mergeCell ref="AV517:AW517"/>
    <mergeCell ref="R517:S517"/>
    <mergeCell ref="T517:U517"/>
    <mergeCell ref="V517:W517"/>
    <mergeCell ref="X517:AA517"/>
    <mergeCell ref="AB517:AE517"/>
    <mergeCell ref="AF517:AG517"/>
    <mergeCell ref="AH517:AI517"/>
    <mergeCell ref="AJ517:AK517"/>
    <mergeCell ref="AL517:AM517"/>
    <mergeCell ref="V518:W518"/>
    <mergeCell ref="X518:AA518"/>
    <mergeCell ref="AB518:AE518"/>
    <mergeCell ref="AF518:AG518"/>
    <mergeCell ref="AH518:AI518"/>
    <mergeCell ref="AJ518:AK518"/>
    <mergeCell ref="AL518:AM518"/>
    <mergeCell ref="BD518:BE518"/>
    <mergeCell ref="BF518:BI518"/>
    <mergeCell ref="BJ518:BM518"/>
    <mergeCell ref="BN518:BV518"/>
    <mergeCell ref="AN518:AO518"/>
    <mergeCell ref="AP518:AQ518"/>
    <mergeCell ref="AR518:AS518"/>
    <mergeCell ref="AT518:AU518"/>
    <mergeCell ref="AV518:AW518"/>
    <mergeCell ref="AX518:AZ518"/>
    <mergeCell ref="BA518:BB518"/>
    <mergeCell ref="B518:C518"/>
    <mergeCell ref="D518:E518"/>
    <mergeCell ref="F518:G518"/>
    <mergeCell ref="H518:I518"/>
    <mergeCell ref="P518:Q518"/>
    <mergeCell ref="R518:S518"/>
    <mergeCell ref="T518:U518"/>
    <mergeCell ref="B519:C519"/>
    <mergeCell ref="D519:E519"/>
    <mergeCell ref="F519:G519"/>
    <mergeCell ref="H519:I519"/>
    <mergeCell ref="J519:K519"/>
    <mergeCell ref="L519:M519"/>
    <mergeCell ref="P519:Q519"/>
    <mergeCell ref="AX519:AZ519"/>
    <mergeCell ref="BA519:BB519"/>
    <mergeCell ref="BD519:BE519"/>
    <mergeCell ref="BF519:BI519"/>
    <mergeCell ref="BJ519:BM519"/>
    <mergeCell ref="BN519:BV519"/>
    <mergeCell ref="AN519:AO519"/>
    <mergeCell ref="AP519:AQ519"/>
    <mergeCell ref="AR519:AS519"/>
    <mergeCell ref="AT519:AU519"/>
    <mergeCell ref="AV519:AW519"/>
    <mergeCell ref="R519:S519"/>
    <mergeCell ref="T519:U519"/>
    <mergeCell ref="V519:W519"/>
    <mergeCell ref="X519:AA519"/>
    <mergeCell ref="AB519:AE519"/>
    <mergeCell ref="AF519:AG519"/>
    <mergeCell ref="AH519:AI519"/>
    <mergeCell ref="AJ519:AK519"/>
    <mergeCell ref="AL519:AM519"/>
    <mergeCell ref="V520:W520"/>
    <mergeCell ref="X520:AA520"/>
    <mergeCell ref="AB520:AE520"/>
    <mergeCell ref="AF520:AG520"/>
    <mergeCell ref="AH520:AI520"/>
    <mergeCell ref="AJ520:AK520"/>
    <mergeCell ref="AL520:AM520"/>
    <mergeCell ref="BD520:BE520"/>
    <mergeCell ref="BF520:BI520"/>
    <mergeCell ref="BJ520:BM520"/>
    <mergeCell ref="BN520:BV520"/>
    <mergeCell ref="AN520:AO520"/>
    <mergeCell ref="AP520:AQ520"/>
    <mergeCell ref="AR520:AS520"/>
    <mergeCell ref="AT520:AU520"/>
    <mergeCell ref="AV520:AW520"/>
    <mergeCell ref="AX520:AZ520"/>
    <mergeCell ref="BA520:BB520"/>
    <mergeCell ref="B520:C520"/>
    <mergeCell ref="D520:E520"/>
    <mergeCell ref="F520:G520"/>
    <mergeCell ref="H520:I520"/>
    <mergeCell ref="P520:Q520"/>
    <mergeCell ref="R520:S520"/>
    <mergeCell ref="T520:U520"/>
    <mergeCell ref="B521:C521"/>
    <mergeCell ref="D521:E521"/>
    <mergeCell ref="F521:G521"/>
    <mergeCell ref="H521:I521"/>
    <mergeCell ref="J521:K521"/>
    <mergeCell ref="L521:M521"/>
    <mergeCell ref="P521:Q521"/>
    <mergeCell ref="AX521:AZ521"/>
    <mergeCell ref="BA521:BB521"/>
    <mergeCell ref="BD521:BE521"/>
    <mergeCell ref="BF521:BI521"/>
    <mergeCell ref="BJ521:BM521"/>
    <mergeCell ref="BN521:BV521"/>
    <mergeCell ref="AN521:AO521"/>
    <mergeCell ref="AP521:AQ521"/>
    <mergeCell ref="AR521:AS521"/>
    <mergeCell ref="AT521:AU521"/>
    <mergeCell ref="AV521:AW521"/>
    <mergeCell ref="R521:S521"/>
    <mergeCell ref="T521:U521"/>
    <mergeCell ref="V521:W521"/>
    <mergeCell ref="X521:AA521"/>
    <mergeCell ref="AB521:AE521"/>
    <mergeCell ref="AF521:AG521"/>
    <mergeCell ref="AH521:AI521"/>
    <mergeCell ref="AJ521:AK521"/>
    <mergeCell ref="AL521:AM521"/>
    <mergeCell ref="V522:W522"/>
    <mergeCell ref="X522:AA522"/>
    <mergeCell ref="AB522:AE522"/>
    <mergeCell ref="AF522:AG522"/>
    <mergeCell ref="AH522:AI522"/>
    <mergeCell ref="AJ522:AK522"/>
    <mergeCell ref="AL522:AM522"/>
    <mergeCell ref="BD522:BE522"/>
    <mergeCell ref="BF522:BI522"/>
    <mergeCell ref="BJ522:BM522"/>
    <mergeCell ref="BN522:BV522"/>
    <mergeCell ref="AN522:AO522"/>
    <mergeCell ref="AP522:AQ522"/>
    <mergeCell ref="AR522:AS522"/>
    <mergeCell ref="AT522:AU522"/>
    <mergeCell ref="AV522:AW522"/>
    <mergeCell ref="AX522:AZ522"/>
    <mergeCell ref="BA522:BB522"/>
    <mergeCell ref="B522:C522"/>
    <mergeCell ref="D522:E522"/>
    <mergeCell ref="F522:G522"/>
    <mergeCell ref="H522:I522"/>
    <mergeCell ref="P522:Q522"/>
    <mergeCell ref="R522:S522"/>
    <mergeCell ref="T522:U522"/>
    <mergeCell ref="B523:C523"/>
    <mergeCell ref="D523:E523"/>
    <mergeCell ref="F523:G523"/>
    <mergeCell ref="H523:I523"/>
    <mergeCell ref="J523:K523"/>
    <mergeCell ref="L523:M523"/>
    <mergeCell ref="P523:Q523"/>
    <mergeCell ref="AX523:AZ523"/>
    <mergeCell ref="BA523:BB523"/>
    <mergeCell ref="BD523:BE523"/>
    <mergeCell ref="BF523:BI523"/>
    <mergeCell ref="BJ523:BM523"/>
    <mergeCell ref="BN523:BV523"/>
    <mergeCell ref="AN523:AO523"/>
    <mergeCell ref="AP523:AQ523"/>
    <mergeCell ref="AR523:AS523"/>
    <mergeCell ref="AT523:AU523"/>
    <mergeCell ref="AV523:AW523"/>
    <mergeCell ref="R523:S523"/>
    <mergeCell ref="T523:U523"/>
    <mergeCell ref="V523:W523"/>
    <mergeCell ref="X523:AA523"/>
    <mergeCell ref="AB523:AE523"/>
    <mergeCell ref="AF523:AG523"/>
    <mergeCell ref="AH523:AI523"/>
    <mergeCell ref="AJ523:AK523"/>
    <mergeCell ref="AL523:AM523"/>
    <mergeCell ref="V524:W524"/>
    <mergeCell ref="X524:AA524"/>
    <mergeCell ref="AB524:AE524"/>
    <mergeCell ref="AF524:AG524"/>
    <mergeCell ref="AH524:AI524"/>
    <mergeCell ref="AJ524:AK524"/>
    <mergeCell ref="AL524:AM524"/>
    <mergeCell ref="BD524:BE524"/>
    <mergeCell ref="BF524:BI524"/>
    <mergeCell ref="BJ524:BM524"/>
    <mergeCell ref="BN524:BV524"/>
    <mergeCell ref="AN524:AO524"/>
    <mergeCell ref="AP524:AQ524"/>
    <mergeCell ref="AR524:AS524"/>
    <mergeCell ref="AT524:AU524"/>
    <mergeCell ref="AV524:AW524"/>
    <mergeCell ref="AX524:AZ524"/>
    <mergeCell ref="BA524:BB524"/>
    <mergeCell ref="B524:C524"/>
    <mergeCell ref="D524:E524"/>
    <mergeCell ref="F524:G524"/>
    <mergeCell ref="H524:I524"/>
    <mergeCell ref="P524:Q524"/>
    <mergeCell ref="R524:S524"/>
    <mergeCell ref="T524:U524"/>
    <mergeCell ref="B525:C525"/>
    <mergeCell ref="D525:E525"/>
    <mergeCell ref="F525:G525"/>
    <mergeCell ref="H525:I525"/>
    <mergeCell ref="J525:K525"/>
    <mergeCell ref="L525:M525"/>
    <mergeCell ref="P525:Q525"/>
    <mergeCell ref="AX525:AZ525"/>
    <mergeCell ref="BA525:BB525"/>
    <mergeCell ref="BD525:BE525"/>
    <mergeCell ref="BF525:BI525"/>
    <mergeCell ref="BJ525:BM525"/>
    <mergeCell ref="BN525:BV525"/>
    <mergeCell ref="AN525:AO525"/>
    <mergeCell ref="AP525:AQ525"/>
    <mergeCell ref="AR525:AS525"/>
    <mergeCell ref="AT525:AU525"/>
    <mergeCell ref="AV525:AW525"/>
    <mergeCell ref="R525:S525"/>
    <mergeCell ref="T525:U525"/>
    <mergeCell ref="V525:W525"/>
    <mergeCell ref="X525:AA525"/>
    <mergeCell ref="AB525:AE525"/>
    <mergeCell ref="AF525:AG525"/>
    <mergeCell ref="AH525:AI525"/>
    <mergeCell ref="AJ525:AK525"/>
    <mergeCell ref="AL525:AM525"/>
    <mergeCell ref="V526:W526"/>
    <mergeCell ref="X526:AA526"/>
    <mergeCell ref="AB526:AE526"/>
    <mergeCell ref="AF526:AG526"/>
    <mergeCell ref="AH526:AI526"/>
    <mergeCell ref="AJ526:AK526"/>
    <mergeCell ref="AL526:AM526"/>
    <mergeCell ref="BD526:BE526"/>
    <mergeCell ref="BF526:BI526"/>
    <mergeCell ref="BJ526:BM526"/>
    <mergeCell ref="BN526:BV526"/>
    <mergeCell ref="AN526:AO526"/>
    <mergeCell ref="AP526:AQ526"/>
    <mergeCell ref="AR526:AS526"/>
    <mergeCell ref="AT526:AU526"/>
    <mergeCell ref="AV526:AW526"/>
    <mergeCell ref="AX526:AZ526"/>
    <mergeCell ref="BA526:BB526"/>
    <mergeCell ref="B526:C526"/>
    <mergeCell ref="D526:E526"/>
    <mergeCell ref="F526:G526"/>
    <mergeCell ref="H526:I526"/>
    <mergeCell ref="P526:Q526"/>
    <mergeCell ref="R526:S526"/>
    <mergeCell ref="T526:U526"/>
    <mergeCell ref="B527:C527"/>
    <mergeCell ref="D527:E527"/>
    <mergeCell ref="F527:G527"/>
    <mergeCell ref="H527:I527"/>
    <mergeCell ref="J527:K527"/>
    <mergeCell ref="L527:M527"/>
    <mergeCell ref="P527:Q527"/>
    <mergeCell ref="AX527:AZ527"/>
    <mergeCell ref="BA527:BB527"/>
    <mergeCell ref="BD527:BE527"/>
    <mergeCell ref="BF527:BI527"/>
    <mergeCell ref="BJ527:BM527"/>
    <mergeCell ref="BN527:BV527"/>
    <mergeCell ref="AN527:AO527"/>
    <mergeCell ref="AP527:AQ527"/>
    <mergeCell ref="AR527:AS527"/>
    <mergeCell ref="AT527:AU527"/>
    <mergeCell ref="AV527:AW527"/>
    <mergeCell ref="R527:S527"/>
    <mergeCell ref="T527:U527"/>
    <mergeCell ref="V527:W527"/>
    <mergeCell ref="X527:AA527"/>
    <mergeCell ref="AB527:AE527"/>
    <mergeCell ref="AF527:AG527"/>
    <mergeCell ref="AH527:AI527"/>
    <mergeCell ref="AJ527:AK527"/>
    <mergeCell ref="AL527:AM527"/>
    <mergeCell ref="V528:W528"/>
    <mergeCell ref="X528:AA528"/>
    <mergeCell ref="AB528:AE528"/>
    <mergeCell ref="AF528:AG528"/>
    <mergeCell ref="AH528:AI528"/>
    <mergeCell ref="AJ528:AK528"/>
    <mergeCell ref="AL528:AM528"/>
    <mergeCell ref="BD528:BE528"/>
    <mergeCell ref="BF528:BI528"/>
    <mergeCell ref="BJ528:BM528"/>
    <mergeCell ref="BN528:BV528"/>
    <mergeCell ref="AN528:AO528"/>
    <mergeCell ref="AP528:AQ528"/>
    <mergeCell ref="AR528:AS528"/>
    <mergeCell ref="AT528:AU528"/>
    <mergeCell ref="AV528:AW528"/>
    <mergeCell ref="AX528:AZ528"/>
    <mergeCell ref="BA528:BB528"/>
    <mergeCell ref="B528:C528"/>
    <mergeCell ref="D528:E528"/>
    <mergeCell ref="F528:G528"/>
    <mergeCell ref="H528:I528"/>
    <mergeCell ref="P528:Q528"/>
    <mergeCell ref="R528:S528"/>
    <mergeCell ref="T528:U528"/>
    <mergeCell ref="B529:C529"/>
    <mergeCell ref="D529:E529"/>
    <mergeCell ref="F529:G529"/>
    <mergeCell ref="H529:I529"/>
    <mergeCell ref="J529:K529"/>
    <mergeCell ref="L529:M529"/>
    <mergeCell ref="P529:Q529"/>
    <mergeCell ref="AX529:AZ529"/>
    <mergeCell ref="BA529:BB529"/>
    <mergeCell ref="BD529:BE529"/>
    <mergeCell ref="BF529:BI529"/>
    <mergeCell ref="BJ529:BM529"/>
    <mergeCell ref="BN529:BV529"/>
    <mergeCell ref="AN529:AO529"/>
    <mergeCell ref="AP529:AQ529"/>
    <mergeCell ref="AR529:AS529"/>
    <mergeCell ref="AT529:AU529"/>
    <mergeCell ref="AV529:AW529"/>
    <mergeCell ref="R529:S529"/>
    <mergeCell ref="T529:U529"/>
    <mergeCell ref="V529:W529"/>
    <mergeCell ref="X529:AA529"/>
    <mergeCell ref="AB529:AE529"/>
    <mergeCell ref="AF529:AG529"/>
    <mergeCell ref="AH529:AI529"/>
    <mergeCell ref="AJ529:AK529"/>
    <mergeCell ref="AL529:AM529"/>
    <mergeCell ref="V530:W530"/>
    <mergeCell ref="X530:AA530"/>
    <mergeCell ref="AB530:AE530"/>
    <mergeCell ref="AF530:AG530"/>
    <mergeCell ref="AH530:AI530"/>
    <mergeCell ref="AJ530:AK530"/>
    <mergeCell ref="AL530:AM530"/>
    <mergeCell ref="BD530:BE530"/>
    <mergeCell ref="BF530:BI530"/>
    <mergeCell ref="BJ530:BM530"/>
    <mergeCell ref="BN530:BV530"/>
    <mergeCell ref="AN530:AO530"/>
    <mergeCell ref="AP530:AQ530"/>
    <mergeCell ref="AR530:AS530"/>
    <mergeCell ref="AT530:AU530"/>
    <mergeCell ref="AV530:AW530"/>
    <mergeCell ref="AX530:AZ530"/>
    <mergeCell ref="BA530:BB530"/>
    <mergeCell ref="B530:C530"/>
    <mergeCell ref="D530:E530"/>
    <mergeCell ref="F530:G530"/>
    <mergeCell ref="H530:I530"/>
    <mergeCell ref="P530:Q530"/>
    <mergeCell ref="R530:S530"/>
    <mergeCell ref="T530:U530"/>
    <mergeCell ref="B531:C531"/>
    <mergeCell ref="D531:E531"/>
    <mergeCell ref="F531:G531"/>
    <mergeCell ref="H531:I531"/>
    <mergeCell ref="J531:K531"/>
    <mergeCell ref="L531:M531"/>
    <mergeCell ref="P531:Q531"/>
    <mergeCell ref="AX531:AZ531"/>
    <mergeCell ref="BA531:BB531"/>
    <mergeCell ref="BD531:BE531"/>
    <mergeCell ref="BF531:BI531"/>
    <mergeCell ref="BJ531:BM531"/>
    <mergeCell ref="BN531:BV531"/>
    <mergeCell ref="AN531:AO531"/>
    <mergeCell ref="AP531:AQ531"/>
    <mergeCell ref="AR531:AS531"/>
    <mergeCell ref="AT531:AU531"/>
    <mergeCell ref="AV531:AW531"/>
    <mergeCell ref="R531:S531"/>
    <mergeCell ref="T531:U531"/>
    <mergeCell ref="V531:W531"/>
    <mergeCell ref="X531:AA531"/>
    <mergeCell ref="AB531:AE531"/>
    <mergeCell ref="AF531:AG531"/>
    <mergeCell ref="AH531:AI531"/>
    <mergeCell ref="AJ531:AK531"/>
    <mergeCell ref="AL531:AM531"/>
    <mergeCell ref="V532:W532"/>
    <mergeCell ref="X532:AA532"/>
    <mergeCell ref="AB532:AE532"/>
    <mergeCell ref="AF532:AG532"/>
    <mergeCell ref="AH532:AI532"/>
    <mergeCell ref="AJ532:AK532"/>
    <mergeCell ref="AL532:AM532"/>
    <mergeCell ref="BD532:BE532"/>
    <mergeCell ref="BF532:BI532"/>
    <mergeCell ref="BJ532:BM532"/>
    <mergeCell ref="BN532:BV532"/>
    <mergeCell ref="AN532:AO532"/>
    <mergeCell ref="AP532:AQ532"/>
    <mergeCell ref="AR532:AS532"/>
    <mergeCell ref="AT532:AU532"/>
    <mergeCell ref="AV532:AW532"/>
    <mergeCell ref="AX532:AZ532"/>
    <mergeCell ref="BA532:BB532"/>
    <mergeCell ref="B532:C532"/>
    <mergeCell ref="D532:E532"/>
    <mergeCell ref="F532:G532"/>
    <mergeCell ref="H532:I532"/>
    <mergeCell ref="P532:Q532"/>
    <mergeCell ref="R532:S532"/>
    <mergeCell ref="T532:U532"/>
    <mergeCell ref="B533:C533"/>
    <mergeCell ref="D533:E533"/>
    <mergeCell ref="F533:G533"/>
    <mergeCell ref="H533:I533"/>
    <mergeCell ref="J533:K533"/>
    <mergeCell ref="L533:M533"/>
    <mergeCell ref="P533:Q533"/>
    <mergeCell ref="AX533:AZ533"/>
    <mergeCell ref="BA533:BB533"/>
    <mergeCell ref="BD533:BE533"/>
    <mergeCell ref="BF533:BI533"/>
    <mergeCell ref="BJ533:BM533"/>
    <mergeCell ref="BN533:BV533"/>
    <mergeCell ref="AN533:AO533"/>
    <mergeCell ref="AP533:AQ533"/>
    <mergeCell ref="AR533:AS533"/>
    <mergeCell ref="AT533:AU533"/>
    <mergeCell ref="AV533:AW533"/>
    <mergeCell ref="R533:S533"/>
    <mergeCell ref="T533:U533"/>
    <mergeCell ref="V533:W533"/>
    <mergeCell ref="X533:AA533"/>
    <mergeCell ref="AB533:AE533"/>
    <mergeCell ref="AF533:AG533"/>
    <mergeCell ref="AH533:AI533"/>
    <mergeCell ref="AJ533:AK533"/>
    <mergeCell ref="AL533:AM533"/>
    <mergeCell ref="V534:W534"/>
    <mergeCell ref="X534:AA534"/>
    <mergeCell ref="AB534:AE534"/>
    <mergeCell ref="AF534:AG534"/>
    <mergeCell ref="AH534:AI534"/>
    <mergeCell ref="AJ534:AK534"/>
    <mergeCell ref="AL534:AM534"/>
    <mergeCell ref="BD534:BE534"/>
    <mergeCell ref="BF534:BI534"/>
    <mergeCell ref="BJ534:BM534"/>
    <mergeCell ref="BN534:BV534"/>
    <mergeCell ref="AN534:AO534"/>
    <mergeCell ref="AP534:AQ534"/>
    <mergeCell ref="AR534:AS534"/>
    <mergeCell ref="AT534:AU534"/>
    <mergeCell ref="AV534:AW534"/>
    <mergeCell ref="AX534:AZ534"/>
    <mergeCell ref="BA534:BB534"/>
    <mergeCell ref="B534:C534"/>
    <mergeCell ref="D534:E534"/>
    <mergeCell ref="F534:G534"/>
    <mergeCell ref="H534:I534"/>
    <mergeCell ref="P534:Q534"/>
    <mergeCell ref="R534:S534"/>
    <mergeCell ref="T534:U534"/>
    <mergeCell ref="B535:C535"/>
    <mergeCell ref="D535:E535"/>
    <mergeCell ref="F535:G535"/>
    <mergeCell ref="H535:I535"/>
    <mergeCell ref="J535:K535"/>
    <mergeCell ref="L535:M535"/>
    <mergeCell ref="P535:Q535"/>
    <mergeCell ref="AX535:AZ535"/>
    <mergeCell ref="BA535:BB535"/>
    <mergeCell ref="BD535:BE535"/>
    <mergeCell ref="BF535:BI535"/>
    <mergeCell ref="BJ535:BM535"/>
    <mergeCell ref="BN535:BV535"/>
    <mergeCell ref="AN535:AO535"/>
    <mergeCell ref="AP535:AQ535"/>
    <mergeCell ref="AR535:AS535"/>
    <mergeCell ref="AT535:AU535"/>
    <mergeCell ref="AV535:AW535"/>
    <mergeCell ref="R535:S535"/>
    <mergeCell ref="T535:U535"/>
    <mergeCell ref="V535:W535"/>
    <mergeCell ref="X535:AA535"/>
    <mergeCell ref="AB535:AE535"/>
    <mergeCell ref="AF535:AG535"/>
    <mergeCell ref="AH535:AI535"/>
    <mergeCell ref="AJ535:AK535"/>
    <mergeCell ref="AL535:AM535"/>
    <mergeCell ref="V536:W536"/>
    <mergeCell ref="X536:AA536"/>
    <mergeCell ref="AB536:AE536"/>
    <mergeCell ref="AF536:AG536"/>
    <mergeCell ref="AH536:AI536"/>
    <mergeCell ref="AJ536:AK536"/>
    <mergeCell ref="AL536:AM536"/>
    <mergeCell ref="BD536:BE536"/>
    <mergeCell ref="BF536:BI536"/>
    <mergeCell ref="BJ536:BM536"/>
    <mergeCell ref="BN536:BV536"/>
    <mergeCell ref="AN536:AO536"/>
    <mergeCell ref="AP536:AQ536"/>
    <mergeCell ref="AR536:AS536"/>
    <mergeCell ref="AT536:AU536"/>
    <mergeCell ref="AV536:AW536"/>
    <mergeCell ref="AX536:AZ536"/>
    <mergeCell ref="BA536:BB536"/>
    <mergeCell ref="B536:C536"/>
    <mergeCell ref="D536:E536"/>
    <mergeCell ref="F536:G536"/>
    <mergeCell ref="H536:I536"/>
    <mergeCell ref="P536:Q536"/>
    <mergeCell ref="R536:S536"/>
    <mergeCell ref="T536:U536"/>
    <mergeCell ref="B537:C537"/>
    <mergeCell ref="D537:E537"/>
    <mergeCell ref="F537:G537"/>
    <mergeCell ref="H537:I537"/>
    <mergeCell ref="J537:K537"/>
    <mergeCell ref="L537:M537"/>
    <mergeCell ref="P537:Q537"/>
    <mergeCell ref="AX537:AZ537"/>
    <mergeCell ref="BA537:BB537"/>
    <mergeCell ref="BD537:BE537"/>
    <mergeCell ref="BF537:BI537"/>
    <mergeCell ref="BJ537:BM537"/>
    <mergeCell ref="BN537:BV537"/>
    <mergeCell ref="AN537:AO537"/>
    <mergeCell ref="AP537:AQ537"/>
    <mergeCell ref="AR537:AS537"/>
    <mergeCell ref="AT537:AU537"/>
    <mergeCell ref="AV537:AW537"/>
    <mergeCell ref="AJ658:AK658"/>
    <mergeCell ref="AL658:AM658"/>
    <mergeCell ref="R658:S658"/>
    <mergeCell ref="T658:U658"/>
    <mergeCell ref="V658:W658"/>
    <mergeCell ref="X658:AA658"/>
    <mergeCell ref="AB658:AE658"/>
    <mergeCell ref="AF658:AG658"/>
    <mergeCell ref="AH658:AI658"/>
    <mergeCell ref="R659:S659"/>
    <mergeCell ref="T659:U659"/>
    <mergeCell ref="V659:W659"/>
    <mergeCell ref="X659:AA659"/>
    <mergeCell ref="AB659:AE659"/>
    <mergeCell ref="AF659:AG659"/>
    <mergeCell ref="AH659:AI659"/>
    <mergeCell ref="AX659:AZ659"/>
    <mergeCell ref="BA659:BB659"/>
    <mergeCell ref="BD659:BE659"/>
    <mergeCell ref="BF659:BI659"/>
    <mergeCell ref="BJ659:BM659"/>
    <mergeCell ref="BN659:BV659"/>
    <mergeCell ref="BJ660:BM660"/>
    <mergeCell ref="BN660:BV660"/>
    <mergeCell ref="B659:C659"/>
    <mergeCell ref="D659:E659"/>
    <mergeCell ref="F659:G659"/>
    <mergeCell ref="H659:I659"/>
    <mergeCell ref="J659:K659"/>
    <mergeCell ref="L659:M659"/>
    <mergeCell ref="P659:Q659"/>
    <mergeCell ref="B660:C660"/>
    <mergeCell ref="D660:E660"/>
    <mergeCell ref="F660:G660"/>
    <mergeCell ref="H660:I660"/>
    <mergeCell ref="J660:K660"/>
    <mergeCell ref="L660:M660"/>
    <mergeCell ref="P660:Q660"/>
    <mergeCell ref="AJ659:AK659"/>
    <mergeCell ref="AL659:AM659"/>
    <mergeCell ref="AN659:AO659"/>
    <mergeCell ref="AP659:AQ659"/>
    <mergeCell ref="AR659:AS659"/>
    <mergeCell ref="AT659:AU659"/>
    <mergeCell ref="AV659:AW659"/>
    <mergeCell ref="BD662:BE662"/>
    <mergeCell ref="BF662:BI662"/>
    <mergeCell ref="AN662:AO662"/>
    <mergeCell ref="AP662:AQ662"/>
    <mergeCell ref="AR662:AS662"/>
    <mergeCell ref="AT662:AU662"/>
    <mergeCell ref="AV662:AW662"/>
    <mergeCell ref="AX662:AZ662"/>
    <mergeCell ref="BA662:BB662"/>
    <mergeCell ref="AJ660:AK660"/>
    <mergeCell ref="AL660:AM660"/>
    <mergeCell ref="R660:S660"/>
    <mergeCell ref="T660:U660"/>
    <mergeCell ref="V660:W660"/>
    <mergeCell ref="X660:AA660"/>
    <mergeCell ref="AB660:AE660"/>
    <mergeCell ref="AF660:AG660"/>
    <mergeCell ref="AH660:AI660"/>
    <mergeCell ref="R661:S661"/>
    <mergeCell ref="T661:U661"/>
    <mergeCell ref="V661:W661"/>
    <mergeCell ref="X661:AA661"/>
    <mergeCell ref="AB661:AE661"/>
    <mergeCell ref="AF661:AG661"/>
    <mergeCell ref="AH661:AI661"/>
    <mergeCell ref="AX661:AZ661"/>
    <mergeCell ref="BA661:BB661"/>
    <mergeCell ref="BD661:BE661"/>
    <mergeCell ref="BF661:BI661"/>
    <mergeCell ref="BJ661:BM661"/>
    <mergeCell ref="BN661:BV661"/>
    <mergeCell ref="BJ662:BM662"/>
    <mergeCell ref="BN662:BV662"/>
    <mergeCell ref="B661:C661"/>
    <mergeCell ref="D661:E661"/>
    <mergeCell ref="F661:G661"/>
    <mergeCell ref="H661:I661"/>
    <mergeCell ref="J661:K661"/>
    <mergeCell ref="L661:M661"/>
    <mergeCell ref="P661:Q661"/>
    <mergeCell ref="B662:C662"/>
    <mergeCell ref="D662:E662"/>
    <mergeCell ref="F662:G662"/>
    <mergeCell ref="H662:I662"/>
    <mergeCell ref="J662:K662"/>
    <mergeCell ref="L662:M662"/>
    <mergeCell ref="P662:Q662"/>
    <mergeCell ref="AJ661:AK661"/>
    <mergeCell ref="AL661:AM661"/>
    <mergeCell ref="AN661:AO661"/>
    <mergeCell ref="AP661:AQ661"/>
    <mergeCell ref="AR661:AS661"/>
    <mergeCell ref="AT661:AU661"/>
    <mergeCell ref="AV661:AW661"/>
    <mergeCell ref="BD655:BE655"/>
    <mergeCell ref="BF655:BI655"/>
    <mergeCell ref="AN655:AO655"/>
    <mergeCell ref="AP655:AQ655"/>
    <mergeCell ref="AR655:AS655"/>
    <mergeCell ref="AT655:AU655"/>
    <mergeCell ref="AV655:AW655"/>
    <mergeCell ref="AX655:AZ655"/>
    <mergeCell ref="BA655:BB655"/>
    <mergeCell ref="AJ653:AK653"/>
    <mergeCell ref="AL653:AM653"/>
    <mergeCell ref="R653:S653"/>
    <mergeCell ref="T653:U653"/>
    <mergeCell ref="V653:W653"/>
    <mergeCell ref="X653:AA653"/>
    <mergeCell ref="AB653:AE653"/>
    <mergeCell ref="AF653:AG653"/>
    <mergeCell ref="AH653:AI653"/>
    <mergeCell ref="R654:S654"/>
    <mergeCell ref="T654:U654"/>
    <mergeCell ref="V654:W654"/>
    <mergeCell ref="X654:AA654"/>
    <mergeCell ref="AB654:AE654"/>
    <mergeCell ref="AF654:AG654"/>
    <mergeCell ref="AH654:AI654"/>
    <mergeCell ref="AX654:AZ654"/>
    <mergeCell ref="BA654:BB654"/>
    <mergeCell ref="BD654:BE654"/>
    <mergeCell ref="BF654:BI654"/>
    <mergeCell ref="BD658:BE658"/>
    <mergeCell ref="BF658:BI658"/>
    <mergeCell ref="AN658:AO658"/>
    <mergeCell ref="AP658:AQ658"/>
    <mergeCell ref="AR658:AS658"/>
    <mergeCell ref="AT658:AU658"/>
    <mergeCell ref="AV658:AW658"/>
    <mergeCell ref="AX658:AZ658"/>
    <mergeCell ref="BA658:BB658"/>
    <mergeCell ref="AX657:AZ657"/>
    <mergeCell ref="BA657:BB657"/>
    <mergeCell ref="BD657:BE657"/>
    <mergeCell ref="BF657:BI657"/>
    <mergeCell ref="BD653:BE653"/>
    <mergeCell ref="BJ654:BM654"/>
    <mergeCell ref="BN654:BV654"/>
    <mergeCell ref="B654:C654"/>
    <mergeCell ref="D654:E654"/>
    <mergeCell ref="F654:G654"/>
    <mergeCell ref="H654:I654"/>
    <mergeCell ref="J654:K654"/>
    <mergeCell ref="L654:M654"/>
    <mergeCell ref="P654:Q654"/>
    <mergeCell ref="AJ654:AK654"/>
    <mergeCell ref="AL654:AM654"/>
    <mergeCell ref="AN654:AO654"/>
    <mergeCell ref="AP654:AQ654"/>
    <mergeCell ref="AR654:AS654"/>
    <mergeCell ref="AT654:AU654"/>
    <mergeCell ref="AV654:AW654"/>
    <mergeCell ref="B655:C655"/>
    <mergeCell ref="D655:E655"/>
    <mergeCell ref="F655:G655"/>
    <mergeCell ref="H655:I655"/>
    <mergeCell ref="J655:K655"/>
    <mergeCell ref="L655:M655"/>
    <mergeCell ref="P655:Q655"/>
    <mergeCell ref="R657:S657"/>
    <mergeCell ref="T657:U657"/>
    <mergeCell ref="V657:W657"/>
    <mergeCell ref="X657:AA657"/>
    <mergeCell ref="AB657:AE657"/>
    <mergeCell ref="AF657:AG657"/>
    <mergeCell ref="AH657:AI657"/>
    <mergeCell ref="B657:C657"/>
    <mergeCell ref="D657:E657"/>
    <mergeCell ref="F657:G657"/>
    <mergeCell ref="H657:I657"/>
    <mergeCell ref="J657:K657"/>
    <mergeCell ref="L657:M657"/>
    <mergeCell ref="P657:Q657"/>
    <mergeCell ref="R656:S656"/>
    <mergeCell ref="T656:U656"/>
    <mergeCell ref="V656:W656"/>
    <mergeCell ref="X656:AA656"/>
    <mergeCell ref="AB656:AE656"/>
    <mergeCell ref="AF656:AG656"/>
    <mergeCell ref="AH656:AI656"/>
    <mergeCell ref="AX656:AZ656"/>
    <mergeCell ref="BA656:BB656"/>
    <mergeCell ref="BD656:BE656"/>
    <mergeCell ref="BF656:BI656"/>
    <mergeCell ref="BJ656:BM656"/>
    <mergeCell ref="BN656:BV656"/>
    <mergeCell ref="AJ656:AK656"/>
    <mergeCell ref="AL656:AM656"/>
    <mergeCell ref="AN656:AO656"/>
    <mergeCell ref="AP656:AQ656"/>
    <mergeCell ref="AR656:AS656"/>
    <mergeCell ref="AT656:AU656"/>
    <mergeCell ref="AV656:AW656"/>
    <mergeCell ref="B656:C656"/>
    <mergeCell ref="D656:E656"/>
    <mergeCell ref="F656:G656"/>
    <mergeCell ref="H656:I656"/>
    <mergeCell ref="J656:K656"/>
    <mergeCell ref="L656:M656"/>
    <mergeCell ref="P656:Q656"/>
    <mergeCell ref="BJ657:BM657"/>
    <mergeCell ref="BN657:BV657"/>
    <mergeCell ref="BJ658:BM658"/>
    <mergeCell ref="BN658:BV658"/>
    <mergeCell ref="B658:C658"/>
    <mergeCell ref="D658:E658"/>
    <mergeCell ref="F658:G658"/>
    <mergeCell ref="H658:I658"/>
    <mergeCell ref="J658:K658"/>
    <mergeCell ref="L658:M658"/>
    <mergeCell ref="P658:Q658"/>
    <mergeCell ref="AJ657:AK657"/>
    <mergeCell ref="AL657:AM657"/>
    <mergeCell ref="AN657:AO657"/>
    <mergeCell ref="AP657:AQ657"/>
    <mergeCell ref="AR657:AS657"/>
    <mergeCell ref="AT657:AU657"/>
    <mergeCell ref="AV657:AW657"/>
    <mergeCell ref="BD660:BE660"/>
    <mergeCell ref="BF660:BI660"/>
    <mergeCell ref="AN660:AO660"/>
    <mergeCell ref="AP660:AQ660"/>
    <mergeCell ref="AR660:AS660"/>
    <mergeCell ref="AT660:AU660"/>
    <mergeCell ref="AV660:AW660"/>
    <mergeCell ref="AX660:AZ660"/>
    <mergeCell ref="BA660:BB660"/>
    <mergeCell ref="AJ678:AK678"/>
    <mergeCell ref="AL678:AM678"/>
    <mergeCell ref="BJ678:BM678"/>
    <mergeCell ref="BN678:BV678"/>
    <mergeCell ref="R678:S678"/>
    <mergeCell ref="T678:U678"/>
    <mergeCell ref="V678:W678"/>
    <mergeCell ref="X678:AA678"/>
    <mergeCell ref="AB678:AE678"/>
    <mergeCell ref="AF678:AG678"/>
    <mergeCell ref="AH678:AI678"/>
    <mergeCell ref="BD666:BE666"/>
    <mergeCell ref="BF666:BI666"/>
    <mergeCell ref="AN666:AO666"/>
    <mergeCell ref="AP666:AQ666"/>
    <mergeCell ref="AR666:AS666"/>
    <mergeCell ref="AT666:AU666"/>
    <mergeCell ref="AV666:AW666"/>
    <mergeCell ref="AX666:AZ666"/>
    <mergeCell ref="BA666:BB666"/>
    <mergeCell ref="AJ664:AK664"/>
    <mergeCell ref="AL664:AM664"/>
    <mergeCell ref="R664:S664"/>
    <mergeCell ref="T664:U664"/>
    <mergeCell ref="V664:W664"/>
    <mergeCell ref="X664:AA664"/>
    <mergeCell ref="AB664:AE664"/>
    <mergeCell ref="AF664:AG664"/>
    <mergeCell ref="AH664:AI664"/>
    <mergeCell ref="R665:S665"/>
    <mergeCell ref="T665:U665"/>
    <mergeCell ref="V665:W665"/>
    <mergeCell ref="X665:AA665"/>
    <mergeCell ref="AB665:AE665"/>
    <mergeCell ref="AF665:AG665"/>
    <mergeCell ref="AH665:AI665"/>
    <mergeCell ref="AX665:AZ665"/>
    <mergeCell ref="BA665:BB665"/>
    <mergeCell ref="BD665:BE665"/>
    <mergeCell ref="BF665:BI665"/>
    <mergeCell ref="BJ665:BM665"/>
    <mergeCell ref="BN665:BV665"/>
    <mergeCell ref="BJ666:BM666"/>
    <mergeCell ref="BN666:BV666"/>
    <mergeCell ref="B665:C665"/>
    <mergeCell ref="D665:E665"/>
    <mergeCell ref="F665:G665"/>
    <mergeCell ref="H665:I665"/>
    <mergeCell ref="J665:K665"/>
    <mergeCell ref="L665:M665"/>
    <mergeCell ref="P665:Q665"/>
    <mergeCell ref="B666:C666"/>
    <mergeCell ref="D666:E666"/>
    <mergeCell ref="F666:G666"/>
    <mergeCell ref="H666:I666"/>
    <mergeCell ref="J666:K666"/>
    <mergeCell ref="L666:M666"/>
    <mergeCell ref="P666:Q666"/>
    <mergeCell ref="AJ665:AK665"/>
    <mergeCell ref="AL665:AM665"/>
    <mergeCell ref="AN665:AO665"/>
    <mergeCell ref="AP665:AQ665"/>
    <mergeCell ref="AR665:AS665"/>
    <mergeCell ref="AT665:AU665"/>
    <mergeCell ref="AV665:AW665"/>
    <mergeCell ref="BD668:BE668"/>
    <mergeCell ref="BF668:BI668"/>
    <mergeCell ref="AN668:AO668"/>
    <mergeCell ref="AP668:AQ668"/>
    <mergeCell ref="AR668:AS668"/>
    <mergeCell ref="AT668:AU668"/>
    <mergeCell ref="AV668:AW668"/>
    <mergeCell ref="AX668:AZ668"/>
    <mergeCell ref="BA668:BB668"/>
    <mergeCell ref="AJ666:AK666"/>
    <mergeCell ref="AL666:AM666"/>
    <mergeCell ref="R666:S666"/>
    <mergeCell ref="T666:U666"/>
    <mergeCell ref="V666:W666"/>
    <mergeCell ref="X666:AA666"/>
    <mergeCell ref="AB666:AE666"/>
    <mergeCell ref="AF666:AG666"/>
    <mergeCell ref="AH666:AI666"/>
    <mergeCell ref="R667:S667"/>
    <mergeCell ref="T667:U667"/>
    <mergeCell ref="V667:W667"/>
    <mergeCell ref="X667:AA667"/>
    <mergeCell ref="AB667:AE667"/>
    <mergeCell ref="AF667:AG667"/>
    <mergeCell ref="AH667:AI667"/>
    <mergeCell ref="AX667:AZ667"/>
    <mergeCell ref="BA667:BB667"/>
    <mergeCell ref="BD667:BE667"/>
    <mergeCell ref="BF667:BI667"/>
    <mergeCell ref="BJ667:BM667"/>
    <mergeCell ref="BN667:BV667"/>
    <mergeCell ref="BJ668:BM668"/>
    <mergeCell ref="BN668:BV668"/>
    <mergeCell ref="B667:C667"/>
    <mergeCell ref="D667:E667"/>
    <mergeCell ref="F667:G667"/>
    <mergeCell ref="F671:G671"/>
    <mergeCell ref="H671:I671"/>
    <mergeCell ref="J671:K671"/>
    <mergeCell ref="L671:M671"/>
    <mergeCell ref="H667:I667"/>
    <mergeCell ref="J667:K667"/>
    <mergeCell ref="L667:M667"/>
    <mergeCell ref="P667:Q667"/>
    <mergeCell ref="B668:C668"/>
    <mergeCell ref="D668:E668"/>
    <mergeCell ref="F668:G668"/>
    <mergeCell ref="H668:I668"/>
    <mergeCell ref="J668:K668"/>
    <mergeCell ref="L668:M668"/>
    <mergeCell ref="P668:Q668"/>
    <mergeCell ref="AJ667:AK667"/>
    <mergeCell ref="AL667:AM667"/>
    <mergeCell ref="AN667:AO667"/>
    <mergeCell ref="AP667:AQ667"/>
    <mergeCell ref="AR667:AS667"/>
    <mergeCell ref="AT667:AU667"/>
    <mergeCell ref="AV667:AW667"/>
    <mergeCell ref="BD670:BE670"/>
    <mergeCell ref="BF670:BI670"/>
    <mergeCell ref="AN670:AO670"/>
    <mergeCell ref="AP670:AQ670"/>
    <mergeCell ref="AR670:AS670"/>
    <mergeCell ref="AT670:AU670"/>
    <mergeCell ref="AV670:AW670"/>
    <mergeCell ref="AX670:AZ670"/>
    <mergeCell ref="BA670:BB670"/>
    <mergeCell ref="AJ668:AK668"/>
    <mergeCell ref="AL668:AM668"/>
    <mergeCell ref="R668:S668"/>
    <mergeCell ref="T668:U668"/>
    <mergeCell ref="V668:W668"/>
    <mergeCell ref="X668:AA668"/>
    <mergeCell ref="AB668:AE668"/>
    <mergeCell ref="AF668:AG668"/>
    <mergeCell ref="AH668:AI668"/>
    <mergeCell ref="R669:S669"/>
    <mergeCell ref="T669:U669"/>
    <mergeCell ref="V669:W669"/>
    <mergeCell ref="X669:AA669"/>
    <mergeCell ref="AB669:AE669"/>
    <mergeCell ref="AF669:AG669"/>
    <mergeCell ref="AH669:AI669"/>
    <mergeCell ref="AX669:AZ669"/>
    <mergeCell ref="BA669:BB669"/>
    <mergeCell ref="BD669:BE669"/>
    <mergeCell ref="BF669:BI669"/>
    <mergeCell ref="AX673:AZ673"/>
    <mergeCell ref="BA673:BB673"/>
    <mergeCell ref="BD673:BE673"/>
    <mergeCell ref="BF673:BI673"/>
    <mergeCell ref="BJ669:BM669"/>
    <mergeCell ref="BN669:BV669"/>
    <mergeCell ref="BJ670:BM670"/>
    <mergeCell ref="BN670:BV670"/>
    <mergeCell ref="B669:C669"/>
    <mergeCell ref="D669:E669"/>
    <mergeCell ref="F669:G669"/>
    <mergeCell ref="H669:I669"/>
    <mergeCell ref="J669:K669"/>
    <mergeCell ref="L669:M669"/>
    <mergeCell ref="P669:Q669"/>
    <mergeCell ref="B670:C670"/>
    <mergeCell ref="D670:E670"/>
    <mergeCell ref="F670:G670"/>
    <mergeCell ref="H670:I670"/>
    <mergeCell ref="J670:K670"/>
    <mergeCell ref="L670:M670"/>
    <mergeCell ref="P670:Q670"/>
    <mergeCell ref="AJ669:AK669"/>
    <mergeCell ref="AL669:AM669"/>
    <mergeCell ref="AN669:AO669"/>
    <mergeCell ref="AP669:AQ669"/>
    <mergeCell ref="AR669:AS669"/>
    <mergeCell ref="AT669:AU669"/>
    <mergeCell ref="AV669:AW669"/>
    <mergeCell ref="BD672:BE672"/>
    <mergeCell ref="BF672:BI672"/>
    <mergeCell ref="AN672:AO672"/>
    <mergeCell ref="AP672:AQ672"/>
    <mergeCell ref="AR672:AS672"/>
    <mergeCell ref="AT672:AU672"/>
    <mergeCell ref="AV672:AW672"/>
    <mergeCell ref="AX672:AZ672"/>
    <mergeCell ref="BA672:BB672"/>
    <mergeCell ref="AJ670:AK670"/>
    <mergeCell ref="AL670:AM670"/>
    <mergeCell ref="R670:S670"/>
    <mergeCell ref="T670:U670"/>
    <mergeCell ref="V670:W670"/>
    <mergeCell ref="X670:AA670"/>
    <mergeCell ref="AB670:AE670"/>
    <mergeCell ref="AF670:AG670"/>
    <mergeCell ref="AH670:AI670"/>
    <mergeCell ref="R671:S671"/>
    <mergeCell ref="T671:U671"/>
    <mergeCell ref="V671:W671"/>
    <mergeCell ref="X671:AA671"/>
    <mergeCell ref="AB671:AE671"/>
    <mergeCell ref="AF671:AG671"/>
    <mergeCell ref="AH671:AI671"/>
    <mergeCell ref="AX671:AZ671"/>
    <mergeCell ref="BA671:BB671"/>
    <mergeCell ref="BD671:BE671"/>
    <mergeCell ref="BF671:BI671"/>
    <mergeCell ref="BJ671:BM671"/>
    <mergeCell ref="BN671:BV671"/>
    <mergeCell ref="BJ672:BM672"/>
    <mergeCell ref="BN672:BV672"/>
    <mergeCell ref="B671:C671"/>
    <mergeCell ref="D671:E671"/>
    <mergeCell ref="AB674:AE674"/>
    <mergeCell ref="AF674:AG674"/>
    <mergeCell ref="AH674:AI674"/>
    <mergeCell ref="R675:S675"/>
    <mergeCell ref="T675:U675"/>
    <mergeCell ref="V675:W675"/>
    <mergeCell ref="X675:AA675"/>
    <mergeCell ref="AB675:AE675"/>
    <mergeCell ref="AF675:AG675"/>
    <mergeCell ref="AH675:AI675"/>
    <mergeCell ref="AX675:AZ675"/>
    <mergeCell ref="BA675:BB675"/>
    <mergeCell ref="BD675:BE675"/>
    <mergeCell ref="BF675:BI675"/>
    <mergeCell ref="BJ675:BM675"/>
    <mergeCell ref="BN675:BV675"/>
    <mergeCell ref="BJ676:BM676"/>
    <mergeCell ref="BN676:BV676"/>
    <mergeCell ref="B675:C675"/>
    <mergeCell ref="D675:E675"/>
    <mergeCell ref="F675:G675"/>
    <mergeCell ref="H675:I675"/>
    <mergeCell ref="J675:K675"/>
    <mergeCell ref="L675:M675"/>
    <mergeCell ref="P671:Q671"/>
    <mergeCell ref="B672:C672"/>
    <mergeCell ref="D672:E672"/>
    <mergeCell ref="F672:G672"/>
    <mergeCell ref="H672:I672"/>
    <mergeCell ref="J672:K672"/>
    <mergeCell ref="L672:M672"/>
    <mergeCell ref="P672:Q672"/>
    <mergeCell ref="AJ671:AK671"/>
    <mergeCell ref="AL671:AM671"/>
    <mergeCell ref="AN671:AO671"/>
    <mergeCell ref="AP671:AQ671"/>
    <mergeCell ref="AR671:AS671"/>
    <mergeCell ref="AT671:AU671"/>
    <mergeCell ref="AV671:AW671"/>
    <mergeCell ref="BD674:BE674"/>
    <mergeCell ref="BF674:BI674"/>
    <mergeCell ref="AN674:AO674"/>
    <mergeCell ref="AP674:AQ674"/>
    <mergeCell ref="AR674:AS674"/>
    <mergeCell ref="AT674:AU674"/>
    <mergeCell ref="AV674:AW674"/>
    <mergeCell ref="AX674:AZ674"/>
    <mergeCell ref="BA674:BB674"/>
    <mergeCell ref="AJ672:AK672"/>
    <mergeCell ref="AL672:AM672"/>
    <mergeCell ref="R672:S672"/>
    <mergeCell ref="T672:U672"/>
    <mergeCell ref="V672:W672"/>
    <mergeCell ref="X672:AA672"/>
    <mergeCell ref="AB672:AE672"/>
    <mergeCell ref="AF672:AG672"/>
    <mergeCell ref="AH672:AI672"/>
    <mergeCell ref="R673:S673"/>
    <mergeCell ref="T673:U673"/>
    <mergeCell ref="V673:W673"/>
    <mergeCell ref="X673:AA673"/>
    <mergeCell ref="AB673:AE673"/>
    <mergeCell ref="AF673:AG673"/>
    <mergeCell ref="AH673:AI673"/>
    <mergeCell ref="AV682:AW682"/>
    <mergeCell ref="BD685:BE685"/>
    <mergeCell ref="BF685:BI685"/>
    <mergeCell ref="AN685:AO685"/>
    <mergeCell ref="AP685:AQ685"/>
    <mergeCell ref="AR685:AS685"/>
    <mergeCell ref="AT685:AU685"/>
    <mergeCell ref="AV685:AW685"/>
    <mergeCell ref="AX685:AZ685"/>
    <mergeCell ref="BA685:BB685"/>
    <mergeCell ref="AJ683:AK683"/>
    <mergeCell ref="AL683:AM683"/>
    <mergeCell ref="R683:S683"/>
    <mergeCell ref="T683:U683"/>
    <mergeCell ref="V683:W683"/>
    <mergeCell ref="BD681:BE681"/>
    <mergeCell ref="BF681:BI681"/>
    <mergeCell ref="AN681:AO681"/>
    <mergeCell ref="AP681:AQ681"/>
    <mergeCell ref="AR681:AS681"/>
    <mergeCell ref="AT681:AU681"/>
    <mergeCell ref="AV681:AW681"/>
    <mergeCell ref="AX681:AZ681"/>
    <mergeCell ref="BA681:BB681"/>
    <mergeCell ref="BJ673:BM673"/>
    <mergeCell ref="BN673:BV673"/>
    <mergeCell ref="BJ674:BM674"/>
    <mergeCell ref="BN674:BV674"/>
    <mergeCell ref="B673:C673"/>
    <mergeCell ref="D673:E673"/>
    <mergeCell ref="F673:G673"/>
    <mergeCell ref="H673:I673"/>
    <mergeCell ref="J673:K673"/>
    <mergeCell ref="L673:M673"/>
    <mergeCell ref="P673:Q673"/>
    <mergeCell ref="B674:C674"/>
    <mergeCell ref="D674:E674"/>
    <mergeCell ref="F674:G674"/>
    <mergeCell ref="H674:I674"/>
    <mergeCell ref="J674:K674"/>
    <mergeCell ref="L674:M674"/>
    <mergeCell ref="P674:Q674"/>
    <mergeCell ref="AJ673:AK673"/>
    <mergeCell ref="AL673:AM673"/>
    <mergeCell ref="AN673:AO673"/>
    <mergeCell ref="AP673:AQ673"/>
    <mergeCell ref="AR673:AS673"/>
    <mergeCell ref="AT673:AU673"/>
    <mergeCell ref="AV673:AW673"/>
    <mergeCell ref="BD676:BE676"/>
    <mergeCell ref="BF676:BI676"/>
    <mergeCell ref="AN676:AO676"/>
    <mergeCell ref="AP676:AQ676"/>
    <mergeCell ref="AR676:AS676"/>
    <mergeCell ref="AT676:AU676"/>
    <mergeCell ref="AV676:AW676"/>
    <mergeCell ref="AX676:AZ676"/>
    <mergeCell ref="BA676:BB676"/>
    <mergeCell ref="AJ674:AK674"/>
    <mergeCell ref="AL674:AM674"/>
    <mergeCell ref="R674:S674"/>
    <mergeCell ref="T674:U674"/>
    <mergeCell ref="V674:W674"/>
    <mergeCell ref="X674:AA674"/>
    <mergeCell ref="F681:G681"/>
    <mergeCell ref="H681:I681"/>
    <mergeCell ref="J681:K681"/>
    <mergeCell ref="L681:M681"/>
    <mergeCell ref="P681:Q681"/>
    <mergeCell ref="P675:Q675"/>
    <mergeCell ref="B676:C676"/>
    <mergeCell ref="D676:E676"/>
    <mergeCell ref="F676:G676"/>
    <mergeCell ref="H676:I676"/>
    <mergeCell ref="J676:K676"/>
    <mergeCell ref="L676:M676"/>
    <mergeCell ref="P676:Q676"/>
    <mergeCell ref="AJ675:AK675"/>
    <mergeCell ref="AL675:AM675"/>
    <mergeCell ref="B679:C679"/>
    <mergeCell ref="D679:E679"/>
    <mergeCell ref="F679:G679"/>
    <mergeCell ref="H679:I679"/>
    <mergeCell ref="J679:K679"/>
    <mergeCell ref="L679:M679"/>
    <mergeCell ref="P679:Q679"/>
    <mergeCell ref="R679:S679"/>
    <mergeCell ref="T679:U679"/>
    <mergeCell ref="V679:W679"/>
    <mergeCell ref="AN675:AO675"/>
    <mergeCell ref="AP675:AQ675"/>
    <mergeCell ref="AR675:AS675"/>
    <mergeCell ref="AT675:AU675"/>
    <mergeCell ref="AV675:AW675"/>
    <mergeCell ref="BD687:BE687"/>
    <mergeCell ref="BF687:BI687"/>
    <mergeCell ref="AN687:AO687"/>
    <mergeCell ref="AP687:AQ687"/>
    <mergeCell ref="AR687:AS687"/>
    <mergeCell ref="AT687:AU687"/>
    <mergeCell ref="AV687:AW687"/>
    <mergeCell ref="AX687:AZ687"/>
    <mergeCell ref="BA687:BB687"/>
    <mergeCell ref="AJ685:AK685"/>
    <mergeCell ref="AL685:AM685"/>
    <mergeCell ref="R685:S685"/>
    <mergeCell ref="T685:U685"/>
    <mergeCell ref="V685:W685"/>
    <mergeCell ref="X685:AA685"/>
    <mergeCell ref="AB685:AE685"/>
    <mergeCell ref="AF685:AG685"/>
    <mergeCell ref="AH685:AI685"/>
    <mergeCell ref="R686:S686"/>
    <mergeCell ref="T686:U686"/>
    <mergeCell ref="V686:W686"/>
    <mergeCell ref="X686:AA686"/>
    <mergeCell ref="AB686:AE686"/>
    <mergeCell ref="AF686:AG686"/>
    <mergeCell ref="AH686:AI686"/>
    <mergeCell ref="AX686:AZ686"/>
    <mergeCell ref="BA686:BB686"/>
    <mergeCell ref="BD686:BE686"/>
    <mergeCell ref="BF686:BI686"/>
    <mergeCell ref="AL682:AM682"/>
    <mergeCell ref="AN682:AO682"/>
    <mergeCell ref="AP682:AQ682"/>
    <mergeCell ref="AR682:AS682"/>
    <mergeCell ref="AT682:AU682"/>
    <mergeCell ref="BJ685:BM685"/>
    <mergeCell ref="BN685:BV685"/>
    <mergeCell ref="B684:C684"/>
    <mergeCell ref="D684:E684"/>
    <mergeCell ref="F684:G684"/>
    <mergeCell ref="H684:I684"/>
    <mergeCell ref="J684:K684"/>
    <mergeCell ref="L684:M684"/>
    <mergeCell ref="P684:Q684"/>
    <mergeCell ref="B685:C685"/>
    <mergeCell ref="D685:E685"/>
    <mergeCell ref="F685:G685"/>
    <mergeCell ref="H685:I685"/>
    <mergeCell ref="J685:K685"/>
    <mergeCell ref="L685:M685"/>
    <mergeCell ref="P685:Q685"/>
    <mergeCell ref="AJ684:AK684"/>
    <mergeCell ref="AL684:AM684"/>
    <mergeCell ref="AN684:AO684"/>
    <mergeCell ref="AP684:AQ684"/>
    <mergeCell ref="AR684:AS684"/>
    <mergeCell ref="AT684:AU684"/>
    <mergeCell ref="AV684:AW684"/>
    <mergeCell ref="BD683:BE683"/>
    <mergeCell ref="BF683:BI683"/>
    <mergeCell ref="AN683:AO683"/>
    <mergeCell ref="AP683:AQ683"/>
    <mergeCell ref="AR683:AS683"/>
    <mergeCell ref="AT683:AU683"/>
    <mergeCell ref="AV683:AW683"/>
    <mergeCell ref="AX683:AZ683"/>
    <mergeCell ref="BA683:BB683"/>
    <mergeCell ref="BJ686:BM686"/>
    <mergeCell ref="BN686:BV686"/>
    <mergeCell ref="B686:C686"/>
    <mergeCell ref="D686:E686"/>
    <mergeCell ref="F686:G686"/>
    <mergeCell ref="H686:I686"/>
    <mergeCell ref="J686:K686"/>
    <mergeCell ref="L686:M686"/>
    <mergeCell ref="P686:Q686"/>
    <mergeCell ref="BJ683:BM683"/>
    <mergeCell ref="BN683:BV683"/>
    <mergeCell ref="X683:AA683"/>
    <mergeCell ref="AB683:AE683"/>
    <mergeCell ref="AF683:AG683"/>
    <mergeCell ref="AH683:AI683"/>
    <mergeCell ref="R684:S684"/>
    <mergeCell ref="T684:U684"/>
    <mergeCell ref="V684:W684"/>
    <mergeCell ref="X684:AA684"/>
    <mergeCell ref="AB684:AE684"/>
    <mergeCell ref="AF684:AG684"/>
    <mergeCell ref="AH684:AI684"/>
    <mergeCell ref="AX684:AZ684"/>
    <mergeCell ref="BA684:BB684"/>
    <mergeCell ref="BD684:BE684"/>
    <mergeCell ref="BF684:BI684"/>
    <mergeCell ref="BJ684:BM684"/>
    <mergeCell ref="BN684:BV684"/>
    <mergeCell ref="AJ686:AK686"/>
    <mergeCell ref="AL686:AM686"/>
    <mergeCell ref="AN686:AO686"/>
    <mergeCell ref="AP686:AQ686"/>
    <mergeCell ref="BJ682:BM682"/>
    <mergeCell ref="BN682:BV682"/>
    <mergeCell ref="X679:AA679"/>
    <mergeCell ref="AB679:AE679"/>
    <mergeCell ref="AF679:AG679"/>
    <mergeCell ref="AH679:AI679"/>
    <mergeCell ref="AX679:AZ679"/>
    <mergeCell ref="BA679:BB679"/>
    <mergeCell ref="BD679:BE679"/>
    <mergeCell ref="BF679:BI679"/>
    <mergeCell ref="BD678:BE678"/>
    <mergeCell ref="BF678:BI678"/>
    <mergeCell ref="AN678:AO678"/>
    <mergeCell ref="AP678:AQ678"/>
    <mergeCell ref="AR678:AS678"/>
    <mergeCell ref="AT678:AU678"/>
    <mergeCell ref="AV678:AW678"/>
    <mergeCell ref="AX678:AZ678"/>
    <mergeCell ref="BA678:BB678"/>
    <mergeCell ref="AX680:AZ680"/>
    <mergeCell ref="BA680:BB680"/>
    <mergeCell ref="BD680:BE680"/>
    <mergeCell ref="BF680:BI680"/>
    <mergeCell ref="AJ676:AK676"/>
    <mergeCell ref="AL676:AM676"/>
    <mergeCell ref="R676:S676"/>
    <mergeCell ref="T676:U676"/>
    <mergeCell ref="V676:W676"/>
    <mergeCell ref="X676:AA676"/>
    <mergeCell ref="AB676:AE676"/>
    <mergeCell ref="AF676:AG676"/>
    <mergeCell ref="AH676:AI676"/>
    <mergeCell ref="R677:S677"/>
    <mergeCell ref="T677:U677"/>
    <mergeCell ref="V677:W677"/>
    <mergeCell ref="X677:AA677"/>
    <mergeCell ref="AB677:AE677"/>
    <mergeCell ref="AF677:AG677"/>
    <mergeCell ref="AH677:AI677"/>
    <mergeCell ref="AX677:AZ677"/>
    <mergeCell ref="BA677:BB677"/>
    <mergeCell ref="BD677:BE677"/>
    <mergeCell ref="BF677:BI677"/>
    <mergeCell ref="BJ679:BM679"/>
    <mergeCell ref="BN679:BV679"/>
    <mergeCell ref="AJ679:AK679"/>
    <mergeCell ref="AL679:AM679"/>
    <mergeCell ref="AN679:AO679"/>
    <mergeCell ref="AP679:AQ679"/>
    <mergeCell ref="AR679:AS679"/>
    <mergeCell ref="AT679:AU679"/>
    <mergeCell ref="AV679:AW679"/>
    <mergeCell ref="BJ680:BM680"/>
    <mergeCell ref="BN680:BV680"/>
    <mergeCell ref="BJ681:BM681"/>
    <mergeCell ref="BN681:BV681"/>
    <mergeCell ref="AJ680:AK680"/>
    <mergeCell ref="AL680:AM680"/>
    <mergeCell ref="AN680:AO680"/>
    <mergeCell ref="AP680:AQ680"/>
    <mergeCell ref="AR680:AS680"/>
    <mergeCell ref="AT680:AU680"/>
    <mergeCell ref="AV680:AW680"/>
    <mergeCell ref="AJ681:AK681"/>
    <mergeCell ref="BJ677:BM677"/>
    <mergeCell ref="BN677:BV677"/>
    <mergeCell ref="B677:C677"/>
    <mergeCell ref="D677:E677"/>
    <mergeCell ref="F677:G677"/>
    <mergeCell ref="H677:I677"/>
    <mergeCell ref="J677:K677"/>
    <mergeCell ref="L677:M677"/>
    <mergeCell ref="P677:Q677"/>
    <mergeCell ref="AJ677:AK677"/>
    <mergeCell ref="AL677:AM677"/>
    <mergeCell ref="AN677:AO677"/>
    <mergeCell ref="AP677:AQ677"/>
    <mergeCell ref="AR677:AS677"/>
    <mergeCell ref="AT677:AU677"/>
    <mergeCell ref="AV677:AW677"/>
    <mergeCell ref="B678:C678"/>
    <mergeCell ref="D678:E678"/>
    <mergeCell ref="F678:G678"/>
    <mergeCell ref="H678:I678"/>
    <mergeCell ref="J678:K678"/>
    <mergeCell ref="L678:M678"/>
    <mergeCell ref="P678:Q678"/>
    <mergeCell ref="R680:S680"/>
    <mergeCell ref="T680:U680"/>
    <mergeCell ref="V680:W680"/>
    <mergeCell ref="X680:AA680"/>
    <mergeCell ref="AB680:AE680"/>
    <mergeCell ref="AF680:AG680"/>
    <mergeCell ref="AH680:AI680"/>
    <mergeCell ref="B680:C680"/>
    <mergeCell ref="D680:E680"/>
    <mergeCell ref="F680:G680"/>
    <mergeCell ref="H680:I680"/>
    <mergeCell ref="J680:K680"/>
    <mergeCell ref="L680:M680"/>
    <mergeCell ref="P680:Q680"/>
    <mergeCell ref="V688:W688"/>
    <mergeCell ref="X688:AA688"/>
    <mergeCell ref="AB688:AE688"/>
    <mergeCell ref="AF688:AG688"/>
    <mergeCell ref="AH688:AI688"/>
    <mergeCell ref="AX688:AZ688"/>
    <mergeCell ref="BA688:BB688"/>
    <mergeCell ref="BD688:BE688"/>
    <mergeCell ref="BF688:BI688"/>
    <mergeCell ref="BF682:BI682"/>
    <mergeCell ref="B687:C687"/>
    <mergeCell ref="D687:E687"/>
    <mergeCell ref="F687:G687"/>
    <mergeCell ref="H687:I687"/>
    <mergeCell ref="J687:K687"/>
    <mergeCell ref="L687:M687"/>
    <mergeCell ref="P687:Q687"/>
    <mergeCell ref="AR686:AS686"/>
    <mergeCell ref="AT686:AU686"/>
    <mergeCell ref="AV686:AW686"/>
    <mergeCell ref="AL681:AM681"/>
    <mergeCell ref="R681:S681"/>
    <mergeCell ref="T681:U681"/>
    <mergeCell ref="V681:W681"/>
    <mergeCell ref="X681:AA681"/>
    <mergeCell ref="AB681:AE681"/>
    <mergeCell ref="AF681:AG681"/>
    <mergeCell ref="AH681:AI681"/>
    <mergeCell ref="R682:S682"/>
    <mergeCell ref="T682:U682"/>
    <mergeCell ref="V682:W682"/>
    <mergeCell ref="X682:AA682"/>
    <mergeCell ref="AB682:AE682"/>
    <mergeCell ref="AF682:AG682"/>
    <mergeCell ref="AH682:AI682"/>
    <mergeCell ref="AX682:AZ682"/>
    <mergeCell ref="BA682:BB682"/>
    <mergeCell ref="BD682:BE682"/>
    <mergeCell ref="B682:C682"/>
    <mergeCell ref="D682:E682"/>
    <mergeCell ref="F682:G682"/>
    <mergeCell ref="H682:I682"/>
    <mergeCell ref="J682:K682"/>
    <mergeCell ref="L682:M682"/>
    <mergeCell ref="P682:Q682"/>
    <mergeCell ref="B683:C683"/>
    <mergeCell ref="D683:E683"/>
    <mergeCell ref="F683:G683"/>
    <mergeCell ref="H683:I683"/>
    <mergeCell ref="J683:K683"/>
    <mergeCell ref="L683:M683"/>
    <mergeCell ref="P683:Q683"/>
    <mergeCell ref="AJ682:AK682"/>
    <mergeCell ref="AJ687:AK687"/>
    <mergeCell ref="AL687:AM687"/>
    <mergeCell ref="R687:S687"/>
    <mergeCell ref="T687:U687"/>
    <mergeCell ref="V687:W687"/>
    <mergeCell ref="X687:AA687"/>
    <mergeCell ref="AB687:AE687"/>
    <mergeCell ref="AF687:AG687"/>
    <mergeCell ref="AH687:AI687"/>
    <mergeCell ref="B681:C681"/>
    <mergeCell ref="D681:E681"/>
    <mergeCell ref="BD689:BE689"/>
    <mergeCell ref="BJ688:BM688"/>
    <mergeCell ref="BN688:BV688"/>
    <mergeCell ref="BJ689:BM689"/>
    <mergeCell ref="BN689:BV689"/>
    <mergeCell ref="BJ690:BM690"/>
    <mergeCell ref="BN690:BV690"/>
    <mergeCell ref="BJ691:BM691"/>
    <mergeCell ref="BN691:BV691"/>
    <mergeCell ref="AJ690:AK690"/>
    <mergeCell ref="AL690:AM690"/>
    <mergeCell ref="AN690:AO690"/>
    <mergeCell ref="AP690:AQ690"/>
    <mergeCell ref="AR690:AS690"/>
    <mergeCell ref="AT690:AU690"/>
    <mergeCell ref="AV690:AW690"/>
    <mergeCell ref="BJ687:BM687"/>
    <mergeCell ref="BN687:BV687"/>
    <mergeCell ref="AX690:AZ690"/>
    <mergeCell ref="BA690:BB690"/>
    <mergeCell ref="BD690:BE690"/>
    <mergeCell ref="BF690:BI690"/>
    <mergeCell ref="B690:C690"/>
    <mergeCell ref="D690:E690"/>
    <mergeCell ref="F690:G690"/>
    <mergeCell ref="H690:I690"/>
    <mergeCell ref="J690:K690"/>
    <mergeCell ref="L690:M690"/>
    <mergeCell ref="P690:Q690"/>
    <mergeCell ref="B691:C691"/>
    <mergeCell ref="D691:E691"/>
    <mergeCell ref="F691:G691"/>
    <mergeCell ref="H691:I691"/>
    <mergeCell ref="J691:K691"/>
    <mergeCell ref="L691:M691"/>
    <mergeCell ref="P691:Q691"/>
    <mergeCell ref="B688:C688"/>
    <mergeCell ref="D688:E688"/>
    <mergeCell ref="F688:G688"/>
    <mergeCell ref="H688:I688"/>
    <mergeCell ref="J688:K688"/>
    <mergeCell ref="L688:M688"/>
    <mergeCell ref="P688:Q688"/>
    <mergeCell ref="AJ688:AK688"/>
    <mergeCell ref="AL688:AM688"/>
    <mergeCell ref="AN688:AO688"/>
    <mergeCell ref="AP688:AQ688"/>
    <mergeCell ref="AR688:AS688"/>
    <mergeCell ref="AT688:AU688"/>
    <mergeCell ref="AV688:AW688"/>
    <mergeCell ref="R689:S689"/>
    <mergeCell ref="T689:U689"/>
    <mergeCell ref="V689:W689"/>
    <mergeCell ref="X689:AA689"/>
    <mergeCell ref="AN689:AO689"/>
    <mergeCell ref="AP689:AQ689"/>
    <mergeCell ref="AR689:AS689"/>
    <mergeCell ref="AT689:AU689"/>
    <mergeCell ref="AV689:AW689"/>
    <mergeCell ref="AX689:AZ689"/>
    <mergeCell ref="BA689:BB689"/>
    <mergeCell ref="BF689:BI689"/>
    <mergeCell ref="R688:S688"/>
    <mergeCell ref="T688:U688"/>
    <mergeCell ref="B692:C692"/>
    <mergeCell ref="D692:E692"/>
    <mergeCell ref="F692:G692"/>
    <mergeCell ref="H692:I692"/>
    <mergeCell ref="J692:K692"/>
    <mergeCell ref="L692:M692"/>
    <mergeCell ref="P692:Q692"/>
    <mergeCell ref="B693:C693"/>
    <mergeCell ref="D693:E693"/>
    <mergeCell ref="F693:G693"/>
    <mergeCell ref="H693:I693"/>
    <mergeCell ref="J693:K693"/>
    <mergeCell ref="L693:M693"/>
    <mergeCell ref="P693:Q693"/>
    <mergeCell ref="AJ692:AK692"/>
    <mergeCell ref="AL692:AM692"/>
    <mergeCell ref="AN692:AO692"/>
    <mergeCell ref="AP692:AQ692"/>
    <mergeCell ref="AR692:AS692"/>
    <mergeCell ref="AT692:AU692"/>
    <mergeCell ref="AV692:AW692"/>
    <mergeCell ref="B689:C689"/>
    <mergeCell ref="D689:E689"/>
    <mergeCell ref="F689:G689"/>
    <mergeCell ref="H689:I689"/>
    <mergeCell ref="J689:K689"/>
    <mergeCell ref="L689:M689"/>
    <mergeCell ref="P689:Q689"/>
    <mergeCell ref="AN691:AO691"/>
    <mergeCell ref="AP691:AQ691"/>
    <mergeCell ref="AR691:AS691"/>
    <mergeCell ref="AT691:AU691"/>
    <mergeCell ref="AV691:AW691"/>
    <mergeCell ref="AJ689:AK689"/>
    <mergeCell ref="AL689:AM689"/>
    <mergeCell ref="AB689:AE689"/>
    <mergeCell ref="AF689:AG689"/>
    <mergeCell ref="AH689:AI689"/>
    <mergeCell ref="R690:S690"/>
    <mergeCell ref="T690:U690"/>
    <mergeCell ref="V690:W690"/>
    <mergeCell ref="X690:AA690"/>
    <mergeCell ref="AB690:AE690"/>
    <mergeCell ref="AF690:AG690"/>
    <mergeCell ref="AH690:AI690"/>
    <mergeCell ref="AJ693:AK693"/>
    <mergeCell ref="AL693:AM693"/>
    <mergeCell ref="R693:S693"/>
    <mergeCell ref="T693:U693"/>
    <mergeCell ref="V693:W693"/>
    <mergeCell ref="X693:AA693"/>
    <mergeCell ref="AB693:AE693"/>
    <mergeCell ref="AF693:AG693"/>
    <mergeCell ref="AH693:AI693"/>
    <mergeCell ref="AF694:AG694"/>
    <mergeCell ref="AH694:AI694"/>
    <mergeCell ref="AX694:AZ694"/>
    <mergeCell ref="BA694:BB694"/>
    <mergeCell ref="BD694:BE694"/>
    <mergeCell ref="BF694:BI694"/>
    <mergeCell ref="BJ694:BM694"/>
    <mergeCell ref="BN694:BV694"/>
    <mergeCell ref="BJ695:BM695"/>
    <mergeCell ref="BN695:BV695"/>
    <mergeCell ref="AJ691:AK691"/>
    <mergeCell ref="AL691:AM691"/>
    <mergeCell ref="R691:S691"/>
    <mergeCell ref="T691:U691"/>
    <mergeCell ref="V691:W691"/>
    <mergeCell ref="X691:AA691"/>
    <mergeCell ref="AB691:AE691"/>
    <mergeCell ref="AF691:AG691"/>
    <mergeCell ref="AH691:AI691"/>
    <mergeCell ref="R692:S692"/>
    <mergeCell ref="T692:U692"/>
    <mergeCell ref="V692:W692"/>
    <mergeCell ref="X692:AA692"/>
    <mergeCell ref="AB692:AE692"/>
    <mergeCell ref="AF692:AG692"/>
    <mergeCell ref="AH692:AI692"/>
    <mergeCell ref="AX692:AZ692"/>
    <mergeCell ref="BA692:BB692"/>
    <mergeCell ref="BD692:BE692"/>
    <mergeCell ref="BF692:BI692"/>
    <mergeCell ref="BJ692:BM692"/>
    <mergeCell ref="BN692:BV692"/>
    <mergeCell ref="BJ693:BM693"/>
    <mergeCell ref="BN693:BV693"/>
    <mergeCell ref="BD691:BE691"/>
    <mergeCell ref="BF691:BI691"/>
    <mergeCell ref="AX691:AZ691"/>
    <mergeCell ref="BA691:BB691"/>
    <mergeCell ref="BD693:BE693"/>
    <mergeCell ref="BF693:BI693"/>
    <mergeCell ref="AN693:AO693"/>
    <mergeCell ref="AP693:AQ693"/>
    <mergeCell ref="AR693:AS693"/>
    <mergeCell ref="AT693:AU693"/>
    <mergeCell ref="AV693:AW693"/>
    <mergeCell ref="AX693:AZ693"/>
    <mergeCell ref="BA693:BB693"/>
    <mergeCell ref="B694:C694"/>
    <mergeCell ref="D694:E694"/>
    <mergeCell ref="F694:G694"/>
    <mergeCell ref="H694:I694"/>
    <mergeCell ref="J694:K694"/>
    <mergeCell ref="L694:M694"/>
    <mergeCell ref="P694:Q694"/>
    <mergeCell ref="B695:C695"/>
    <mergeCell ref="D695:E695"/>
    <mergeCell ref="F695:G695"/>
    <mergeCell ref="H695:I695"/>
    <mergeCell ref="J695:K695"/>
    <mergeCell ref="L695:M695"/>
    <mergeCell ref="P695:Q695"/>
    <mergeCell ref="AJ694:AK694"/>
    <mergeCell ref="AL694:AM694"/>
    <mergeCell ref="AN694:AO694"/>
    <mergeCell ref="AP694:AQ694"/>
    <mergeCell ref="AR694:AS694"/>
    <mergeCell ref="AT694:AU694"/>
    <mergeCell ref="AV694:AW694"/>
    <mergeCell ref="BD697:BE697"/>
    <mergeCell ref="BF697:BI697"/>
    <mergeCell ref="AN697:AO697"/>
    <mergeCell ref="AP697:AQ697"/>
    <mergeCell ref="AR697:AS697"/>
    <mergeCell ref="AT697:AU697"/>
    <mergeCell ref="AV697:AW697"/>
    <mergeCell ref="AX697:AZ697"/>
    <mergeCell ref="BA697:BB697"/>
    <mergeCell ref="AJ695:AK695"/>
    <mergeCell ref="AL695:AM695"/>
    <mergeCell ref="R695:S695"/>
    <mergeCell ref="T695:U695"/>
    <mergeCell ref="V695:W695"/>
    <mergeCell ref="X695:AA695"/>
    <mergeCell ref="AB695:AE695"/>
    <mergeCell ref="AF695:AG695"/>
    <mergeCell ref="AH695:AI695"/>
    <mergeCell ref="R696:S696"/>
    <mergeCell ref="T696:U696"/>
    <mergeCell ref="V696:W696"/>
    <mergeCell ref="X696:AA696"/>
    <mergeCell ref="AB696:AE696"/>
    <mergeCell ref="AF696:AG696"/>
    <mergeCell ref="AH696:AI696"/>
    <mergeCell ref="AX696:AZ696"/>
    <mergeCell ref="BA696:BB696"/>
    <mergeCell ref="BD696:BE696"/>
    <mergeCell ref="BF696:BI696"/>
    <mergeCell ref="BD695:BE695"/>
    <mergeCell ref="BF695:BI695"/>
    <mergeCell ref="AN695:AO695"/>
    <mergeCell ref="AP695:AQ695"/>
    <mergeCell ref="AR695:AS695"/>
    <mergeCell ref="AT695:AU695"/>
    <mergeCell ref="AV695:AW695"/>
    <mergeCell ref="AX695:AZ695"/>
    <mergeCell ref="BA695:BB695"/>
    <mergeCell ref="R694:S694"/>
    <mergeCell ref="T694:U694"/>
    <mergeCell ref="V694:W694"/>
    <mergeCell ref="X694:AA694"/>
    <mergeCell ref="AB694:AE694"/>
    <mergeCell ref="BJ696:BM696"/>
    <mergeCell ref="BN696:BV696"/>
    <mergeCell ref="BJ697:BM697"/>
    <mergeCell ref="BN697:BV697"/>
    <mergeCell ref="B696:C696"/>
    <mergeCell ref="D696:E696"/>
    <mergeCell ref="F696:G696"/>
    <mergeCell ref="H696:I696"/>
    <mergeCell ref="J696:K696"/>
    <mergeCell ref="L696:M696"/>
    <mergeCell ref="P696:Q696"/>
    <mergeCell ref="B697:C697"/>
    <mergeCell ref="D697:E697"/>
    <mergeCell ref="F697:G697"/>
    <mergeCell ref="H697:I697"/>
    <mergeCell ref="J697:K697"/>
    <mergeCell ref="L697:M697"/>
    <mergeCell ref="P697:Q697"/>
    <mergeCell ref="AJ696:AK696"/>
    <mergeCell ref="AL696:AM696"/>
    <mergeCell ref="AN696:AO696"/>
    <mergeCell ref="AP696:AQ696"/>
    <mergeCell ref="AR696:AS696"/>
    <mergeCell ref="AT696:AU696"/>
    <mergeCell ref="AV696:AW696"/>
    <mergeCell ref="BD699:BE699"/>
    <mergeCell ref="BF699:BI699"/>
    <mergeCell ref="AN699:AO699"/>
    <mergeCell ref="AP699:AQ699"/>
    <mergeCell ref="AR699:AS699"/>
    <mergeCell ref="AT699:AU699"/>
    <mergeCell ref="AV699:AW699"/>
    <mergeCell ref="AX699:AZ699"/>
    <mergeCell ref="BA699:BB699"/>
    <mergeCell ref="AJ697:AK697"/>
    <mergeCell ref="AL697:AM697"/>
    <mergeCell ref="R697:S697"/>
    <mergeCell ref="T697:U697"/>
    <mergeCell ref="V697:W697"/>
    <mergeCell ref="X697:AA697"/>
    <mergeCell ref="AB697:AE697"/>
    <mergeCell ref="AF697:AG697"/>
    <mergeCell ref="AH697:AI697"/>
    <mergeCell ref="R698:S698"/>
    <mergeCell ref="T698:U698"/>
    <mergeCell ref="V698:W698"/>
    <mergeCell ref="X698:AA698"/>
    <mergeCell ref="AB698:AE698"/>
    <mergeCell ref="AF698:AG698"/>
    <mergeCell ref="AH698:AI698"/>
    <mergeCell ref="AX698:AZ698"/>
    <mergeCell ref="BA698:BB698"/>
    <mergeCell ref="BD698:BE698"/>
    <mergeCell ref="BF698:BI698"/>
    <mergeCell ref="BJ698:BM698"/>
    <mergeCell ref="BN698:BV698"/>
    <mergeCell ref="BJ699:BM699"/>
    <mergeCell ref="BN699:BV699"/>
    <mergeCell ref="B698:C698"/>
    <mergeCell ref="D698:E698"/>
    <mergeCell ref="F698:G698"/>
    <mergeCell ref="H698:I698"/>
    <mergeCell ref="J698:K698"/>
    <mergeCell ref="L698:M698"/>
    <mergeCell ref="B704:C704"/>
    <mergeCell ref="D704:E704"/>
    <mergeCell ref="F704:G704"/>
    <mergeCell ref="H704:I704"/>
    <mergeCell ref="J704:K704"/>
    <mergeCell ref="L704:M704"/>
    <mergeCell ref="P704:Q704"/>
    <mergeCell ref="P698:Q698"/>
    <mergeCell ref="B699:C699"/>
    <mergeCell ref="D699:E699"/>
    <mergeCell ref="F699:G699"/>
    <mergeCell ref="H699:I699"/>
    <mergeCell ref="J699:K699"/>
    <mergeCell ref="L699:M699"/>
    <mergeCell ref="P699:Q699"/>
    <mergeCell ref="AJ698:AK698"/>
    <mergeCell ref="AL698:AM698"/>
    <mergeCell ref="AN698:AO698"/>
    <mergeCell ref="AP698:AQ698"/>
    <mergeCell ref="AR698:AS698"/>
    <mergeCell ref="AT698:AU698"/>
    <mergeCell ref="AV698:AW698"/>
    <mergeCell ref="BD710:BE710"/>
    <mergeCell ref="BF710:BI710"/>
    <mergeCell ref="AN710:AO710"/>
    <mergeCell ref="AP710:AQ710"/>
    <mergeCell ref="AR710:AS710"/>
    <mergeCell ref="AT710:AU710"/>
    <mergeCell ref="AV710:AW710"/>
    <mergeCell ref="AX710:AZ710"/>
    <mergeCell ref="BA710:BB710"/>
    <mergeCell ref="AJ708:AK708"/>
    <mergeCell ref="AL708:AM708"/>
    <mergeCell ref="R708:S708"/>
    <mergeCell ref="T708:U708"/>
    <mergeCell ref="V708:W708"/>
    <mergeCell ref="X708:AA708"/>
    <mergeCell ref="AB708:AE708"/>
    <mergeCell ref="AF708:AG708"/>
    <mergeCell ref="AH708:AI708"/>
    <mergeCell ref="R709:S709"/>
    <mergeCell ref="T709:U709"/>
    <mergeCell ref="V709:W709"/>
    <mergeCell ref="X709:AA709"/>
    <mergeCell ref="AB709:AE709"/>
    <mergeCell ref="AF709:AG709"/>
    <mergeCell ref="AH709:AI709"/>
    <mergeCell ref="AX709:AZ709"/>
    <mergeCell ref="BA709:BB709"/>
    <mergeCell ref="BD709:BE709"/>
    <mergeCell ref="BF709:BI709"/>
    <mergeCell ref="AL705:AM705"/>
    <mergeCell ref="AN705:AO705"/>
    <mergeCell ref="AP705:AQ705"/>
    <mergeCell ref="AR705:AS705"/>
    <mergeCell ref="AT705:AU705"/>
    <mergeCell ref="AV705:AW705"/>
    <mergeCell ref="BD708:BE708"/>
    <mergeCell ref="BF708:BI708"/>
    <mergeCell ref="AN708:AO708"/>
    <mergeCell ref="AP708:AQ708"/>
    <mergeCell ref="AR708:AS708"/>
    <mergeCell ref="AT708:AU708"/>
    <mergeCell ref="AV708:AW708"/>
    <mergeCell ref="R705:S705"/>
    <mergeCell ref="T705:U705"/>
    <mergeCell ref="V705:W705"/>
    <mergeCell ref="X705:AA705"/>
    <mergeCell ref="AB705:AE705"/>
    <mergeCell ref="AF705:AG705"/>
    <mergeCell ref="AH705:AI705"/>
    <mergeCell ref="AX705:AZ705"/>
    <mergeCell ref="BA705:BB705"/>
    <mergeCell ref="BD705:BE705"/>
    <mergeCell ref="B705:C705"/>
    <mergeCell ref="D705:E705"/>
    <mergeCell ref="F705:G705"/>
    <mergeCell ref="H705:I705"/>
    <mergeCell ref="J705:K705"/>
    <mergeCell ref="L705:M705"/>
    <mergeCell ref="P705:Q705"/>
    <mergeCell ref="B706:C706"/>
    <mergeCell ref="D706:E706"/>
    <mergeCell ref="F706:G706"/>
    <mergeCell ref="H706:I706"/>
    <mergeCell ref="J706:K706"/>
    <mergeCell ref="L706:M706"/>
    <mergeCell ref="P706:Q706"/>
    <mergeCell ref="AJ705:AK705"/>
    <mergeCell ref="AJ710:AK710"/>
    <mergeCell ref="AL710:AM710"/>
    <mergeCell ref="R710:S710"/>
    <mergeCell ref="T710:U710"/>
    <mergeCell ref="V710:W710"/>
    <mergeCell ref="X710:AA710"/>
    <mergeCell ref="AB710:AE710"/>
    <mergeCell ref="AF710:AG710"/>
    <mergeCell ref="AH710:AI710"/>
    <mergeCell ref="AX708:AZ708"/>
    <mergeCell ref="BA708:BB708"/>
    <mergeCell ref="AJ706:AK706"/>
    <mergeCell ref="AL706:AM706"/>
    <mergeCell ref="R706:S706"/>
    <mergeCell ref="T706:U706"/>
    <mergeCell ref="V706:W706"/>
    <mergeCell ref="AT706:AU706"/>
    <mergeCell ref="AV706:AW706"/>
    <mergeCell ref="AX706:AZ706"/>
    <mergeCell ref="BA706:BB706"/>
    <mergeCell ref="BJ709:BM709"/>
    <mergeCell ref="BN709:BV709"/>
    <mergeCell ref="B709:C709"/>
    <mergeCell ref="D709:E709"/>
    <mergeCell ref="F709:G709"/>
    <mergeCell ref="H709:I709"/>
    <mergeCell ref="J709:K709"/>
    <mergeCell ref="L709:M709"/>
    <mergeCell ref="P709:Q709"/>
    <mergeCell ref="BJ706:BM706"/>
    <mergeCell ref="BN706:BV706"/>
    <mergeCell ref="X706:AA706"/>
    <mergeCell ref="AB706:AE706"/>
    <mergeCell ref="AF706:AG706"/>
    <mergeCell ref="AH706:AI706"/>
    <mergeCell ref="R707:S707"/>
    <mergeCell ref="T707:U707"/>
    <mergeCell ref="V707:W707"/>
    <mergeCell ref="X707:AA707"/>
    <mergeCell ref="AB707:AE707"/>
    <mergeCell ref="AF707:AG707"/>
    <mergeCell ref="AH707:AI707"/>
    <mergeCell ref="AX707:AZ707"/>
    <mergeCell ref="BA707:BB707"/>
    <mergeCell ref="BD707:BE707"/>
    <mergeCell ref="BF707:BI707"/>
    <mergeCell ref="BJ707:BM707"/>
    <mergeCell ref="BN707:BV707"/>
    <mergeCell ref="B710:C710"/>
    <mergeCell ref="D710:E710"/>
    <mergeCell ref="F710:G710"/>
    <mergeCell ref="H710:I710"/>
    <mergeCell ref="J710:K710"/>
    <mergeCell ref="L710:M710"/>
    <mergeCell ref="P710:Q710"/>
    <mergeCell ref="AJ709:AK709"/>
    <mergeCell ref="AL709:AM709"/>
    <mergeCell ref="AN709:AO709"/>
    <mergeCell ref="AP709:AQ709"/>
    <mergeCell ref="AR709:AS709"/>
    <mergeCell ref="AT709:AU709"/>
    <mergeCell ref="AV709:AW709"/>
    <mergeCell ref="AF702:AG702"/>
    <mergeCell ref="AH702:AI702"/>
    <mergeCell ref="AX702:AZ702"/>
    <mergeCell ref="BA702:BB702"/>
    <mergeCell ref="BD702:BE702"/>
    <mergeCell ref="BF702:BI702"/>
    <mergeCell ref="BD701:BE701"/>
    <mergeCell ref="BF701:BI701"/>
    <mergeCell ref="AN701:AO701"/>
    <mergeCell ref="AP701:AQ701"/>
    <mergeCell ref="AR701:AS701"/>
    <mergeCell ref="AT701:AU701"/>
    <mergeCell ref="AV701:AW701"/>
    <mergeCell ref="AX701:AZ701"/>
    <mergeCell ref="BA701:BB701"/>
    <mergeCell ref="AX703:AZ703"/>
    <mergeCell ref="BA703:BB703"/>
    <mergeCell ref="BD703:BE703"/>
    <mergeCell ref="BF703:BI703"/>
    <mergeCell ref="AJ701:AK701"/>
    <mergeCell ref="AL701:AM701"/>
    <mergeCell ref="BJ701:BM701"/>
    <mergeCell ref="BN701:BV701"/>
    <mergeCell ref="R701:S701"/>
    <mergeCell ref="T701:U701"/>
    <mergeCell ref="V701:W701"/>
    <mergeCell ref="X701:AA701"/>
    <mergeCell ref="AB701:AE701"/>
    <mergeCell ref="AF701:AG701"/>
    <mergeCell ref="AH701:AI701"/>
    <mergeCell ref="BJ703:BM703"/>
    <mergeCell ref="BN703:BV703"/>
    <mergeCell ref="BJ704:BM704"/>
    <mergeCell ref="BN704:BV704"/>
    <mergeCell ref="AJ703:AK703"/>
    <mergeCell ref="AL703:AM703"/>
    <mergeCell ref="AN703:AO703"/>
    <mergeCell ref="AP703:AQ703"/>
    <mergeCell ref="AR703:AS703"/>
    <mergeCell ref="AT703:AU703"/>
    <mergeCell ref="AV703:AW703"/>
    <mergeCell ref="R703:S703"/>
    <mergeCell ref="T703:U703"/>
    <mergeCell ref="V703:W703"/>
    <mergeCell ref="X703:AA703"/>
    <mergeCell ref="AB703:AE703"/>
    <mergeCell ref="AF703:AG703"/>
    <mergeCell ref="AH703:AI703"/>
    <mergeCell ref="AJ704:AK704"/>
    <mergeCell ref="AL704:AM704"/>
    <mergeCell ref="R704:S704"/>
    <mergeCell ref="T704:U704"/>
    <mergeCell ref="V704:W704"/>
    <mergeCell ref="X704:AA704"/>
    <mergeCell ref="AB704:AE704"/>
    <mergeCell ref="AF704:AG704"/>
    <mergeCell ref="AH704:AI704"/>
    <mergeCell ref="AJ699:AK699"/>
    <mergeCell ref="AL699:AM699"/>
    <mergeCell ref="R699:S699"/>
    <mergeCell ref="T699:U699"/>
    <mergeCell ref="V699:W699"/>
    <mergeCell ref="X699:AA699"/>
    <mergeCell ref="AB699:AE699"/>
    <mergeCell ref="AF699:AG699"/>
    <mergeCell ref="AH699:AI699"/>
    <mergeCell ref="R700:S700"/>
    <mergeCell ref="T700:U700"/>
    <mergeCell ref="V700:W700"/>
    <mergeCell ref="X700:AA700"/>
    <mergeCell ref="AB700:AE700"/>
    <mergeCell ref="AF700:AG700"/>
    <mergeCell ref="AH700:AI700"/>
    <mergeCell ref="AX700:AZ700"/>
    <mergeCell ref="BA700:BB700"/>
    <mergeCell ref="BD700:BE700"/>
    <mergeCell ref="BF700:BI700"/>
    <mergeCell ref="BJ702:BM702"/>
    <mergeCell ref="BN702:BV702"/>
    <mergeCell ref="AJ702:AK702"/>
    <mergeCell ref="AL702:AM702"/>
    <mergeCell ref="AN702:AO702"/>
    <mergeCell ref="AP702:AQ702"/>
    <mergeCell ref="AR702:AS702"/>
    <mergeCell ref="AT702:AU702"/>
    <mergeCell ref="AV702:AW702"/>
    <mergeCell ref="B702:C702"/>
    <mergeCell ref="D702:E702"/>
    <mergeCell ref="F702:G702"/>
    <mergeCell ref="H702:I702"/>
    <mergeCell ref="J702:K702"/>
    <mergeCell ref="L702:M702"/>
    <mergeCell ref="P702:Q702"/>
    <mergeCell ref="R702:S702"/>
    <mergeCell ref="T702:U702"/>
    <mergeCell ref="V702:W702"/>
    <mergeCell ref="BJ700:BM700"/>
    <mergeCell ref="BN700:BV700"/>
    <mergeCell ref="B700:C700"/>
    <mergeCell ref="D700:E700"/>
    <mergeCell ref="F700:G700"/>
    <mergeCell ref="H700:I700"/>
    <mergeCell ref="J700:K700"/>
    <mergeCell ref="L700:M700"/>
    <mergeCell ref="P700:Q700"/>
    <mergeCell ref="AJ700:AK700"/>
    <mergeCell ref="AL700:AM700"/>
    <mergeCell ref="AN700:AO700"/>
    <mergeCell ref="AP700:AQ700"/>
    <mergeCell ref="AR700:AS700"/>
    <mergeCell ref="AT700:AU700"/>
    <mergeCell ref="AV700:AW700"/>
    <mergeCell ref="B701:C701"/>
    <mergeCell ref="D701:E701"/>
    <mergeCell ref="F701:G701"/>
    <mergeCell ref="H701:I701"/>
    <mergeCell ref="J701:K701"/>
    <mergeCell ref="L701:M701"/>
    <mergeCell ref="P701:Q701"/>
    <mergeCell ref="X702:AA702"/>
    <mergeCell ref="AB702:AE702"/>
    <mergeCell ref="B703:C703"/>
    <mergeCell ref="D703:E703"/>
    <mergeCell ref="F703:G703"/>
    <mergeCell ref="H703:I703"/>
    <mergeCell ref="J703:K703"/>
    <mergeCell ref="L703:M703"/>
    <mergeCell ref="P703:Q703"/>
    <mergeCell ref="BD704:BE704"/>
    <mergeCell ref="BF704:BI704"/>
    <mergeCell ref="AN704:AO704"/>
    <mergeCell ref="AP704:AQ704"/>
    <mergeCell ref="AR704:AS704"/>
    <mergeCell ref="AT704:AU704"/>
    <mergeCell ref="AV704:AW704"/>
    <mergeCell ref="AX704:AZ704"/>
    <mergeCell ref="BA704:BB704"/>
    <mergeCell ref="R711:S711"/>
    <mergeCell ref="T711:U711"/>
    <mergeCell ref="V711:W711"/>
    <mergeCell ref="X711:AA711"/>
    <mergeCell ref="AB711:AE711"/>
    <mergeCell ref="AF711:AG711"/>
    <mergeCell ref="AH711:AI711"/>
    <mergeCell ref="AX711:AZ711"/>
    <mergeCell ref="BA711:BB711"/>
    <mergeCell ref="BD711:BE711"/>
    <mergeCell ref="BF711:BI711"/>
    <mergeCell ref="BJ711:BM711"/>
    <mergeCell ref="BN711:BV711"/>
    <mergeCell ref="BJ712:BM712"/>
    <mergeCell ref="BN712:BV712"/>
    <mergeCell ref="BJ713:BM713"/>
    <mergeCell ref="BN713:BV713"/>
    <mergeCell ref="BF705:BI705"/>
    <mergeCell ref="BJ705:BM705"/>
    <mergeCell ref="BN705:BV705"/>
    <mergeCell ref="BJ708:BM708"/>
    <mergeCell ref="BN708:BV708"/>
    <mergeCell ref="B707:C707"/>
    <mergeCell ref="D707:E707"/>
    <mergeCell ref="F707:G707"/>
    <mergeCell ref="H707:I707"/>
    <mergeCell ref="J707:K707"/>
    <mergeCell ref="L707:M707"/>
    <mergeCell ref="P707:Q707"/>
    <mergeCell ref="B708:C708"/>
    <mergeCell ref="D708:E708"/>
    <mergeCell ref="F708:G708"/>
    <mergeCell ref="H708:I708"/>
    <mergeCell ref="J708:K708"/>
    <mergeCell ref="L708:M708"/>
    <mergeCell ref="P708:Q708"/>
    <mergeCell ref="AJ707:AK707"/>
    <mergeCell ref="AL707:AM707"/>
    <mergeCell ref="AN707:AO707"/>
    <mergeCell ref="AP707:AQ707"/>
    <mergeCell ref="AR707:AS707"/>
    <mergeCell ref="AT707:AU707"/>
    <mergeCell ref="AV707:AW707"/>
    <mergeCell ref="BD706:BE706"/>
    <mergeCell ref="BF706:BI706"/>
    <mergeCell ref="AN706:AO706"/>
    <mergeCell ref="AP706:AQ706"/>
    <mergeCell ref="AR706:AS706"/>
    <mergeCell ref="BD712:BE712"/>
    <mergeCell ref="BJ714:BM714"/>
    <mergeCell ref="BN714:BV714"/>
    <mergeCell ref="AJ713:AK713"/>
    <mergeCell ref="AL713:AM713"/>
    <mergeCell ref="AN713:AO713"/>
    <mergeCell ref="AP713:AQ713"/>
    <mergeCell ref="AR713:AS713"/>
    <mergeCell ref="AT713:AU713"/>
    <mergeCell ref="AV713:AW713"/>
    <mergeCell ref="BJ710:BM710"/>
    <mergeCell ref="BN710:BV710"/>
    <mergeCell ref="AX713:AZ713"/>
    <mergeCell ref="BA713:BB713"/>
    <mergeCell ref="BD713:BE713"/>
    <mergeCell ref="BF713:BI713"/>
    <mergeCell ref="B713:C713"/>
    <mergeCell ref="D713:E713"/>
    <mergeCell ref="F713:G713"/>
    <mergeCell ref="H713:I713"/>
    <mergeCell ref="J713:K713"/>
    <mergeCell ref="L713:M713"/>
    <mergeCell ref="P713:Q713"/>
    <mergeCell ref="B714:C714"/>
    <mergeCell ref="D714:E714"/>
    <mergeCell ref="F714:G714"/>
    <mergeCell ref="H714:I714"/>
    <mergeCell ref="J714:K714"/>
    <mergeCell ref="L714:M714"/>
    <mergeCell ref="P714:Q714"/>
    <mergeCell ref="B711:C711"/>
    <mergeCell ref="D711:E711"/>
    <mergeCell ref="F711:G711"/>
    <mergeCell ref="H711:I711"/>
    <mergeCell ref="J711:K711"/>
    <mergeCell ref="L711:M711"/>
    <mergeCell ref="P711:Q711"/>
    <mergeCell ref="AJ711:AK711"/>
    <mergeCell ref="AL711:AM711"/>
    <mergeCell ref="AN711:AO711"/>
    <mergeCell ref="AP711:AQ711"/>
    <mergeCell ref="AR711:AS711"/>
    <mergeCell ref="AT711:AU711"/>
    <mergeCell ref="AV711:AW711"/>
    <mergeCell ref="R712:S712"/>
    <mergeCell ref="T712:U712"/>
    <mergeCell ref="V712:W712"/>
    <mergeCell ref="X712:AA712"/>
    <mergeCell ref="AN712:AO712"/>
    <mergeCell ref="AP712:AQ712"/>
    <mergeCell ref="AR712:AS712"/>
    <mergeCell ref="AT712:AU712"/>
    <mergeCell ref="AV712:AW712"/>
    <mergeCell ref="AX712:AZ712"/>
    <mergeCell ref="BA712:BB712"/>
    <mergeCell ref="BF712:BI712"/>
    <mergeCell ref="B715:C715"/>
    <mergeCell ref="D715:E715"/>
    <mergeCell ref="F715:G715"/>
    <mergeCell ref="H715:I715"/>
    <mergeCell ref="J715:K715"/>
    <mergeCell ref="L715:M715"/>
    <mergeCell ref="P715:Q715"/>
    <mergeCell ref="B716:C716"/>
    <mergeCell ref="D716:E716"/>
    <mergeCell ref="F716:G716"/>
    <mergeCell ref="H716:I716"/>
    <mergeCell ref="J716:K716"/>
    <mergeCell ref="L716:M716"/>
    <mergeCell ref="P716:Q716"/>
    <mergeCell ref="AJ715:AK715"/>
    <mergeCell ref="AL715:AM715"/>
    <mergeCell ref="AN715:AO715"/>
    <mergeCell ref="AP715:AQ715"/>
    <mergeCell ref="AR715:AS715"/>
    <mergeCell ref="AT715:AU715"/>
    <mergeCell ref="AV715:AW715"/>
    <mergeCell ref="B712:C712"/>
    <mergeCell ref="D712:E712"/>
    <mergeCell ref="F712:G712"/>
    <mergeCell ref="H712:I712"/>
    <mergeCell ref="J712:K712"/>
    <mergeCell ref="L712:M712"/>
    <mergeCell ref="P712:Q712"/>
    <mergeCell ref="AN714:AO714"/>
    <mergeCell ref="AP714:AQ714"/>
    <mergeCell ref="AR714:AS714"/>
    <mergeCell ref="AT714:AU714"/>
    <mergeCell ref="AV714:AW714"/>
    <mergeCell ref="AJ712:AK712"/>
    <mergeCell ref="AL712:AM712"/>
    <mergeCell ref="AB712:AE712"/>
    <mergeCell ref="AF712:AG712"/>
    <mergeCell ref="AH712:AI712"/>
    <mergeCell ref="R713:S713"/>
    <mergeCell ref="T713:U713"/>
    <mergeCell ref="V713:W713"/>
    <mergeCell ref="X713:AA713"/>
    <mergeCell ref="AB713:AE713"/>
    <mergeCell ref="AF713:AG713"/>
    <mergeCell ref="AH713:AI713"/>
    <mergeCell ref="AJ716:AK716"/>
    <mergeCell ref="AL716:AM716"/>
    <mergeCell ref="R716:S716"/>
    <mergeCell ref="T716:U716"/>
    <mergeCell ref="V716:W716"/>
    <mergeCell ref="X716:AA716"/>
    <mergeCell ref="AB716:AE716"/>
    <mergeCell ref="AF716:AG716"/>
    <mergeCell ref="AH716:AI716"/>
    <mergeCell ref="AF717:AG717"/>
    <mergeCell ref="AH717:AI717"/>
    <mergeCell ref="AX717:AZ717"/>
    <mergeCell ref="BA717:BB717"/>
    <mergeCell ref="BD717:BE717"/>
    <mergeCell ref="BF717:BI717"/>
    <mergeCell ref="BJ717:BM717"/>
    <mergeCell ref="BN717:BV717"/>
    <mergeCell ref="BJ718:BM718"/>
    <mergeCell ref="BN718:BV718"/>
    <mergeCell ref="AJ714:AK714"/>
    <mergeCell ref="AL714:AM714"/>
    <mergeCell ref="R714:S714"/>
    <mergeCell ref="T714:U714"/>
    <mergeCell ref="V714:W714"/>
    <mergeCell ref="X714:AA714"/>
    <mergeCell ref="AB714:AE714"/>
    <mergeCell ref="AF714:AG714"/>
    <mergeCell ref="AH714:AI714"/>
    <mergeCell ref="R715:S715"/>
    <mergeCell ref="T715:U715"/>
    <mergeCell ref="V715:W715"/>
    <mergeCell ref="X715:AA715"/>
    <mergeCell ref="AB715:AE715"/>
    <mergeCell ref="AF715:AG715"/>
    <mergeCell ref="AH715:AI715"/>
    <mergeCell ref="AX715:AZ715"/>
    <mergeCell ref="BA715:BB715"/>
    <mergeCell ref="BD715:BE715"/>
    <mergeCell ref="BF715:BI715"/>
    <mergeCell ref="BJ715:BM715"/>
    <mergeCell ref="BN715:BV715"/>
    <mergeCell ref="BJ716:BM716"/>
    <mergeCell ref="BN716:BV716"/>
    <mergeCell ref="BD714:BE714"/>
    <mergeCell ref="BF714:BI714"/>
    <mergeCell ref="AX714:AZ714"/>
    <mergeCell ref="BA714:BB714"/>
    <mergeCell ref="BD716:BE716"/>
    <mergeCell ref="BF716:BI716"/>
    <mergeCell ref="AN716:AO716"/>
    <mergeCell ref="AP716:AQ716"/>
    <mergeCell ref="AR716:AS716"/>
    <mergeCell ref="AT716:AU716"/>
    <mergeCell ref="AV716:AW716"/>
    <mergeCell ref="AX716:AZ716"/>
    <mergeCell ref="BA716:BB716"/>
    <mergeCell ref="B717:C717"/>
    <mergeCell ref="D717:E717"/>
    <mergeCell ref="F717:G717"/>
    <mergeCell ref="H717:I717"/>
    <mergeCell ref="J717:K717"/>
    <mergeCell ref="L717:M717"/>
    <mergeCell ref="P717:Q717"/>
    <mergeCell ref="B718:C718"/>
    <mergeCell ref="D718:E718"/>
    <mergeCell ref="F718:G718"/>
    <mergeCell ref="H718:I718"/>
    <mergeCell ref="J718:K718"/>
    <mergeCell ref="L718:M718"/>
    <mergeCell ref="P718:Q718"/>
    <mergeCell ref="AJ717:AK717"/>
    <mergeCell ref="AL717:AM717"/>
    <mergeCell ref="AN717:AO717"/>
    <mergeCell ref="AP717:AQ717"/>
    <mergeCell ref="AR717:AS717"/>
    <mergeCell ref="AT717:AU717"/>
    <mergeCell ref="AV717:AW717"/>
    <mergeCell ref="BD720:BE720"/>
    <mergeCell ref="BF720:BI720"/>
    <mergeCell ref="AN720:AO720"/>
    <mergeCell ref="AP720:AQ720"/>
    <mergeCell ref="AR720:AS720"/>
    <mergeCell ref="AT720:AU720"/>
    <mergeCell ref="AV720:AW720"/>
    <mergeCell ref="AX720:AZ720"/>
    <mergeCell ref="BA720:BB720"/>
    <mergeCell ref="AJ718:AK718"/>
    <mergeCell ref="AL718:AM718"/>
    <mergeCell ref="R718:S718"/>
    <mergeCell ref="T718:U718"/>
    <mergeCell ref="V718:W718"/>
    <mergeCell ref="X718:AA718"/>
    <mergeCell ref="AB718:AE718"/>
    <mergeCell ref="AF718:AG718"/>
    <mergeCell ref="AH718:AI718"/>
    <mergeCell ref="R719:S719"/>
    <mergeCell ref="T719:U719"/>
    <mergeCell ref="V719:W719"/>
    <mergeCell ref="X719:AA719"/>
    <mergeCell ref="AB719:AE719"/>
    <mergeCell ref="AF719:AG719"/>
    <mergeCell ref="AH719:AI719"/>
    <mergeCell ref="AX719:AZ719"/>
    <mergeCell ref="BA719:BB719"/>
    <mergeCell ref="BD719:BE719"/>
    <mergeCell ref="BF719:BI719"/>
    <mergeCell ref="BD718:BE718"/>
    <mergeCell ref="BF718:BI718"/>
    <mergeCell ref="AN718:AO718"/>
    <mergeCell ref="AP718:AQ718"/>
    <mergeCell ref="AR718:AS718"/>
    <mergeCell ref="AT718:AU718"/>
    <mergeCell ref="AV718:AW718"/>
    <mergeCell ref="AX718:AZ718"/>
    <mergeCell ref="BA718:BB718"/>
    <mergeCell ref="R717:S717"/>
    <mergeCell ref="T717:U717"/>
    <mergeCell ref="V717:W717"/>
    <mergeCell ref="X717:AA717"/>
    <mergeCell ref="AB717:AE717"/>
    <mergeCell ref="BJ719:BM719"/>
    <mergeCell ref="BN719:BV719"/>
    <mergeCell ref="BJ720:BM720"/>
    <mergeCell ref="BN720:BV720"/>
    <mergeCell ref="B719:C719"/>
    <mergeCell ref="D719:E719"/>
    <mergeCell ref="F719:G719"/>
    <mergeCell ref="H719:I719"/>
    <mergeCell ref="J719:K719"/>
    <mergeCell ref="L719:M719"/>
    <mergeCell ref="P719:Q719"/>
    <mergeCell ref="B720:C720"/>
    <mergeCell ref="D720:E720"/>
    <mergeCell ref="F720:G720"/>
    <mergeCell ref="H720:I720"/>
    <mergeCell ref="J720:K720"/>
    <mergeCell ref="L720:M720"/>
    <mergeCell ref="P720:Q720"/>
    <mergeCell ref="AJ719:AK719"/>
    <mergeCell ref="AL719:AM719"/>
    <mergeCell ref="AN719:AO719"/>
    <mergeCell ref="AP719:AQ719"/>
    <mergeCell ref="AR719:AS719"/>
    <mergeCell ref="AT719:AU719"/>
    <mergeCell ref="AV719:AW719"/>
    <mergeCell ref="BD722:BE722"/>
    <mergeCell ref="BF722:BI722"/>
    <mergeCell ref="AN722:AO722"/>
    <mergeCell ref="AP722:AQ722"/>
    <mergeCell ref="AR722:AS722"/>
    <mergeCell ref="AT722:AU722"/>
    <mergeCell ref="AV722:AW722"/>
    <mergeCell ref="AX722:AZ722"/>
    <mergeCell ref="BA722:BB722"/>
    <mergeCell ref="AJ720:AK720"/>
    <mergeCell ref="AL720:AM720"/>
    <mergeCell ref="R720:S720"/>
    <mergeCell ref="T720:U720"/>
    <mergeCell ref="V720:W720"/>
    <mergeCell ref="X720:AA720"/>
    <mergeCell ref="AB720:AE720"/>
    <mergeCell ref="AF720:AG720"/>
    <mergeCell ref="AH720:AI720"/>
    <mergeCell ref="R721:S721"/>
    <mergeCell ref="T721:U721"/>
    <mergeCell ref="V721:W721"/>
    <mergeCell ref="X721:AA721"/>
    <mergeCell ref="AB721:AE721"/>
    <mergeCell ref="AF721:AG721"/>
    <mergeCell ref="AH721:AI721"/>
    <mergeCell ref="AX721:AZ721"/>
    <mergeCell ref="BA721:BB721"/>
    <mergeCell ref="BD721:BE721"/>
    <mergeCell ref="BF721:BI721"/>
    <mergeCell ref="BJ721:BM721"/>
    <mergeCell ref="BN721:BV721"/>
    <mergeCell ref="BJ722:BM722"/>
    <mergeCell ref="BN722:BV722"/>
    <mergeCell ref="B721:C721"/>
    <mergeCell ref="D721:E721"/>
    <mergeCell ref="F721:G721"/>
    <mergeCell ref="H721:I721"/>
    <mergeCell ref="J721:K721"/>
    <mergeCell ref="L721:M721"/>
    <mergeCell ref="B727:C727"/>
    <mergeCell ref="D727:E727"/>
    <mergeCell ref="F727:G727"/>
    <mergeCell ref="H727:I727"/>
    <mergeCell ref="J727:K727"/>
    <mergeCell ref="L727:M727"/>
    <mergeCell ref="P727:Q727"/>
    <mergeCell ref="P721:Q721"/>
    <mergeCell ref="B722:C722"/>
    <mergeCell ref="D722:E722"/>
    <mergeCell ref="F722:G722"/>
    <mergeCell ref="H722:I722"/>
    <mergeCell ref="J722:K722"/>
    <mergeCell ref="L722:M722"/>
    <mergeCell ref="P722:Q722"/>
    <mergeCell ref="AJ721:AK721"/>
    <mergeCell ref="AL721:AM721"/>
    <mergeCell ref="AN721:AO721"/>
    <mergeCell ref="AP721:AQ721"/>
    <mergeCell ref="AR721:AS721"/>
    <mergeCell ref="AT721:AU721"/>
    <mergeCell ref="AV721:AW721"/>
    <mergeCell ref="BD733:BE733"/>
    <mergeCell ref="BF733:BI733"/>
    <mergeCell ref="AN733:AO733"/>
    <mergeCell ref="AP733:AQ733"/>
    <mergeCell ref="AR733:AS733"/>
    <mergeCell ref="AT733:AU733"/>
    <mergeCell ref="AV733:AW733"/>
    <mergeCell ref="AX733:AZ733"/>
    <mergeCell ref="BA733:BB733"/>
    <mergeCell ref="AJ731:AK731"/>
    <mergeCell ref="AL731:AM731"/>
    <mergeCell ref="R731:S731"/>
    <mergeCell ref="T731:U731"/>
    <mergeCell ref="V731:W731"/>
    <mergeCell ref="X731:AA731"/>
    <mergeCell ref="AB731:AE731"/>
    <mergeCell ref="AF731:AG731"/>
    <mergeCell ref="AH731:AI731"/>
    <mergeCell ref="R732:S732"/>
    <mergeCell ref="T732:U732"/>
    <mergeCell ref="V732:W732"/>
    <mergeCell ref="X732:AA732"/>
    <mergeCell ref="AB732:AE732"/>
    <mergeCell ref="AF732:AG732"/>
    <mergeCell ref="AH732:AI732"/>
    <mergeCell ref="AX732:AZ732"/>
    <mergeCell ref="BA732:BB732"/>
    <mergeCell ref="BD732:BE732"/>
    <mergeCell ref="BF732:BI732"/>
    <mergeCell ref="AL728:AM728"/>
    <mergeCell ref="AN728:AO728"/>
    <mergeCell ref="AP728:AQ728"/>
    <mergeCell ref="AR728:AS728"/>
    <mergeCell ref="AT728:AU728"/>
    <mergeCell ref="AV728:AW728"/>
    <mergeCell ref="BD731:BE731"/>
    <mergeCell ref="BF731:BI731"/>
    <mergeCell ref="AN731:AO731"/>
    <mergeCell ref="AP731:AQ731"/>
    <mergeCell ref="AR731:AS731"/>
    <mergeCell ref="AT731:AU731"/>
    <mergeCell ref="AV731:AW731"/>
    <mergeCell ref="R728:S728"/>
    <mergeCell ref="T728:U728"/>
    <mergeCell ref="V728:W728"/>
    <mergeCell ref="X728:AA728"/>
    <mergeCell ref="AB728:AE728"/>
    <mergeCell ref="AF728:AG728"/>
    <mergeCell ref="AH728:AI728"/>
    <mergeCell ref="AX728:AZ728"/>
    <mergeCell ref="BA728:BB728"/>
    <mergeCell ref="BD728:BE728"/>
    <mergeCell ref="B728:C728"/>
    <mergeCell ref="D728:E728"/>
    <mergeCell ref="F728:G728"/>
    <mergeCell ref="H728:I728"/>
    <mergeCell ref="J728:K728"/>
    <mergeCell ref="L728:M728"/>
    <mergeCell ref="P728:Q728"/>
    <mergeCell ref="B729:C729"/>
    <mergeCell ref="D729:E729"/>
    <mergeCell ref="F729:G729"/>
    <mergeCell ref="H729:I729"/>
    <mergeCell ref="J729:K729"/>
    <mergeCell ref="L729:M729"/>
    <mergeCell ref="P729:Q729"/>
    <mergeCell ref="AJ728:AK728"/>
    <mergeCell ref="AJ733:AK733"/>
    <mergeCell ref="AL733:AM733"/>
    <mergeCell ref="R733:S733"/>
    <mergeCell ref="T733:U733"/>
    <mergeCell ref="V733:W733"/>
    <mergeCell ref="X733:AA733"/>
    <mergeCell ref="AB733:AE733"/>
    <mergeCell ref="AF733:AG733"/>
    <mergeCell ref="AH733:AI733"/>
    <mergeCell ref="AX731:AZ731"/>
    <mergeCell ref="BA731:BB731"/>
    <mergeCell ref="AJ729:AK729"/>
    <mergeCell ref="AL729:AM729"/>
    <mergeCell ref="R729:S729"/>
    <mergeCell ref="T729:U729"/>
    <mergeCell ref="V729:W729"/>
    <mergeCell ref="AT729:AU729"/>
    <mergeCell ref="AV729:AW729"/>
    <mergeCell ref="AX729:AZ729"/>
    <mergeCell ref="BA729:BB729"/>
    <mergeCell ref="BJ732:BM732"/>
    <mergeCell ref="BN732:BV732"/>
    <mergeCell ref="B732:C732"/>
    <mergeCell ref="D732:E732"/>
    <mergeCell ref="F732:G732"/>
    <mergeCell ref="H732:I732"/>
    <mergeCell ref="J732:K732"/>
    <mergeCell ref="L732:M732"/>
    <mergeCell ref="P732:Q732"/>
    <mergeCell ref="BJ729:BM729"/>
    <mergeCell ref="BN729:BV729"/>
    <mergeCell ref="X729:AA729"/>
    <mergeCell ref="AB729:AE729"/>
    <mergeCell ref="AF729:AG729"/>
    <mergeCell ref="AH729:AI729"/>
    <mergeCell ref="R730:S730"/>
    <mergeCell ref="T730:U730"/>
    <mergeCell ref="V730:W730"/>
    <mergeCell ref="X730:AA730"/>
    <mergeCell ref="AB730:AE730"/>
    <mergeCell ref="AF730:AG730"/>
    <mergeCell ref="AH730:AI730"/>
    <mergeCell ref="AX730:AZ730"/>
    <mergeCell ref="BA730:BB730"/>
    <mergeCell ref="BD730:BE730"/>
    <mergeCell ref="BF730:BI730"/>
    <mergeCell ref="BJ730:BM730"/>
    <mergeCell ref="BN730:BV730"/>
    <mergeCell ref="B733:C733"/>
    <mergeCell ref="D733:E733"/>
    <mergeCell ref="F733:G733"/>
    <mergeCell ref="H733:I733"/>
    <mergeCell ref="J733:K733"/>
    <mergeCell ref="L733:M733"/>
    <mergeCell ref="P733:Q733"/>
    <mergeCell ref="AJ732:AK732"/>
    <mergeCell ref="AL732:AM732"/>
    <mergeCell ref="AN732:AO732"/>
    <mergeCell ref="AP732:AQ732"/>
    <mergeCell ref="AR732:AS732"/>
    <mergeCell ref="AT732:AU732"/>
    <mergeCell ref="AV732:AW732"/>
    <mergeCell ref="AF725:AG725"/>
    <mergeCell ref="AH725:AI725"/>
    <mergeCell ref="AX725:AZ725"/>
    <mergeCell ref="BA725:BB725"/>
    <mergeCell ref="BD725:BE725"/>
    <mergeCell ref="BF725:BI725"/>
    <mergeCell ref="BD724:BE724"/>
    <mergeCell ref="BF724:BI724"/>
    <mergeCell ref="AN724:AO724"/>
    <mergeCell ref="AP724:AQ724"/>
    <mergeCell ref="AR724:AS724"/>
    <mergeCell ref="AT724:AU724"/>
    <mergeCell ref="AV724:AW724"/>
    <mergeCell ref="AX724:AZ724"/>
    <mergeCell ref="BA724:BB724"/>
    <mergeCell ref="AX726:AZ726"/>
    <mergeCell ref="BA726:BB726"/>
    <mergeCell ref="BD726:BE726"/>
    <mergeCell ref="BF726:BI726"/>
    <mergeCell ref="AJ724:AK724"/>
    <mergeCell ref="AL724:AM724"/>
    <mergeCell ref="BJ724:BM724"/>
    <mergeCell ref="BN724:BV724"/>
    <mergeCell ref="R724:S724"/>
    <mergeCell ref="T724:U724"/>
    <mergeCell ref="V724:W724"/>
    <mergeCell ref="X724:AA724"/>
    <mergeCell ref="AB724:AE724"/>
    <mergeCell ref="AF724:AG724"/>
    <mergeCell ref="AH724:AI724"/>
    <mergeCell ref="BJ726:BM726"/>
    <mergeCell ref="BN726:BV726"/>
    <mergeCell ref="BJ727:BM727"/>
    <mergeCell ref="BN727:BV727"/>
    <mergeCell ref="AJ726:AK726"/>
    <mergeCell ref="AL726:AM726"/>
    <mergeCell ref="AN726:AO726"/>
    <mergeCell ref="AP726:AQ726"/>
    <mergeCell ref="AR726:AS726"/>
    <mergeCell ref="AT726:AU726"/>
    <mergeCell ref="AV726:AW726"/>
    <mergeCell ref="R726:S726"/>
    <mergeCell ref="T726:U726"/>
    <mergeCell ref="V726:W726"/>
    <mergeCell ref="X726:AA726"/>
    <mergeCell ref="AB726:AE726"/>
    <mergeCell ref="AF726:AG726"/>
    <mergeCell ref="AH726:AI726"/>
    <mergeCell ref="AJ727:AK727"/>
    <mergeCell ref="AL727:AM727"/>
    <mergeCell ref="R727:S727"/>
    <mergeCell ref="T727:U727"/>
    <mergeCell ref="V727:W727"/>
    <mergeCell ref="X727:AA727"/>
    <mergeCell ref="AB727:AE727"/>
    <mergeCell ref="AF727:AG727"/>
    <mergeCell ref="AH727:AI727"/>
    <mergeCell ref="AJ722:AK722"/>
    <mergeCell ref="AL722:AM722"/>
    <mergeCell ref="R722:S722"/>
    <mergeCell ref="T722:U722"/>
    <mergeCell ref="V722:W722"/>
    <mergeCell ref="X722:AA722"/>
    <mergeCell ref="AB722:AE722"/>
    <mergeCell ref="AF722:AG722"/>
    <mergeCell ref="AH722:AI722"/>
    <mergeCell ref="R723:S723"/>
    <mergeCell ref="T723:U723"/>
    <mergeCell ref="V723:W723"/>
    <mergeCell ref="X723:AA723"/>
    <mergeCell ref="AB723:AE723"/>
    <mergeCell ref="AF723:AG723"/>
    <mergeCell ref="AH723:AI723"/>
    <mergeCell ref="AX723:AZ723"/>
    <mergeCell ref="BA723:BB723"/>
    <mergeCell ref="BD723:BE723"/>
    <mergeCell ref="BF723:BI723"/>
    <mergeCell ref="BJ725:BM725"/>
    <mergeCell ref="BN725:BV725"/>
    <mergeCell ref="AJ725:AK725"/>
    <mergeCell ref="AL725:AM725"/>
    <mergeCell ref="AN725:AO725"/>
    <mergeCell ref="AP725:AQ725"/>
    <mergeCell ref="AR725:AS725"/>
    <mergeCell ref="AT725:AU725"/>
    <mergeCell ref="AV725:AW725"/>
    <mergeCell ref="B725:C725"/>
    <mergeCell ref="D725:E725"/>
    <mergeCell ref="F725:G725"/>
    <mergeCell ref="H725:I725"/>
    <mergeCell ref="J725:K725"/>
    <mergeCell ref="L725:M725"/>
    <mergeCell ref="P725:Q725"/>
    <mergeCell ref="R725:S725"/>
    <mergeCell ref="T725:U725"/>
    <mergeCell ref="V725:W725"/>
    <mergeCell ref="BJ723:BM723"/>
    <mergeCell ref="BN723:BV723"/>
    <mergeCell ref="B723:C723"/>
    <mergeCell ref="D723:E723"/>
    <mergeCell ref="F723:G723"/>
    <mergeCell ref="H723:I723"/>
    <mergeCell ref="J723:K723"/>
    <mergeCell ref="L723:M723"/>
    <mergeCell ref="P723:Q723"/>
    <mergeCell ref="AJ723:AK723"/>
    <mergeCell ref="AL723:AM723"/>
    <mergeCell ref="AN723:AO723"/>
    <mergeCell ref="AP723:AQ723"/>
    <mergeCell ref="AR723:AS723"/>
    <mergeCell ref="AT723:AU723"/>
    <mergeCell ref="AV723:AW723"/>
    <mergeCell ref="B724:C724"/>
    <mergeCell ref="D724:E724"/>
    <mergeCell ref="F724:G724"/>
    <mergeCell ref="H724:I724"/>
    <mergeCell ref="J724:K724"/>
    <mergeCell ref="L724:M724"/>
    <mergeCell ref="P724:Q724"/>
    <mergeCell ref="X725:AA725"/>
    <mergeCell ref="AB725:AE725"/>
    <mergeCell ref="B726:C726"/>
    <mergeCell ref="D726:E726"/>
    <mergeCell ref="F726:G726"/>
    <mergeCell ref="H726:I726"/>
    <mergeCell ref="J726:K726"/>
    <mergeCell ref="L726:M726"/>
    <mergeCell ref="P726:Q726"/>
    <mergeCell ref="BD727:BE727"/>
    <mergeCell ref="BF727:BI727"/>
    <mergeCell ref="AN727:AO727"/>
    <mergeCell ref="AP727:AQ727"/>
    <mergeCell ref="AR727:AS727"/>
    <mergeCell ref="AT727:AU727"/>
    <mergeCell ref="AV727:AW727"/>
    <mergeCell ref="AX727:AZ727"/>
    <mergeCell ref="BA727:BB727"/>
    <mergeCell ref="R734:S734"/>
    <mergeCell ref="T734:U734"/>
    <mergeCell ref="V734:W734"/>
    <mergeCell ref="X734:AA734"/>
    <mergeCell ref="AB734:AE734"/>
    <mergeCell ref="AF734:AG734"/>
    <mergeCell ref="AH734:AI734"/>
    <mergeCell ref="AX734:AZ734"/>
    <mergeCell ref="BA734:BB734"/>
    <mergeCell ref="BD734:BE734"/>
    <mergeCell ref="BF734:BI734"/>
    <mergeCell ref="BJ734:BM734"/>
    <mergeCell ref="BN734:BV734"/>
    <mergeCell ref="BJ735:BM735"/>
    <mergeCell ref="BN735:BV735"/>
    <mergeCell ref="BJ736:BM736"/>
    <mergeCell ref="BN736:BV736"/>
    <mergeCell ref="BF728:BI728"/>
    <mergeCell ref="BJ728:BM728"/>
    <mergeCell ref="BN728:BV728"/>
    <mergeCell ref="BJ731:BM731"/>
    <mergeCell ref="BN731:BV731"/>
    <mergeCell ref="B730:C730"/>
    <mergeCell ref="D730:E730"/>
    <mergeCell ref="F730:G730"/>
    <mergeCell ref="H730:I730"/>
    <mergeCell ref="J730:K730"/>
    <mergeCell ref="L730:M730"/>
    <mergeCell ref="P730:Q730"/>
    <mergeCell ref="B731:C731"/>
    <mergeCell ref="D731:E731"/>
    <mergeCell ref="F731:G731"/>
    <mergeCell ref="H731:I731"/>
    <mergeCell ref="J731:K731"/>
    <mergeCell ref="L731:M731"/>
    <mergeCell ref="P731:Q731"/>
    <mergeCell ref="AJ730:AK730"/>
    <mergeCell ref="AL730:AM730"/>
    <mergeCell ref="AN730:AO730"/>
    <mergeCell ref="AP730:AQ730"/>
    <mergeCell ref="AR730:AS730"/>
    <mergeCell ref="AT730:AU730"/>
    <mergeCell ref="AV730:AW730"/>
    <mergeCell ref="BD729:BE729"/>
    <mergeCell ref="BF729:BI729"/>
    <mergeCell ref="AN729:AO729"/>
    <mergeCell ref="AP729:AQ729"/>
    <mergeCell ref="AR729:AS729"/>
    <mergeCell ref="BD735:BE735"/>
    <mergeCell ref="BJ737:BM737"/>
    <mergeCell ref="BN737:BV737"/>
    <mergeCell ref="AJ736:AK736"/>
    <mergeCell ref="AL736:AM736"/>
    <mergeCell ref="AN736:AO736"/>
    <mergeCell ref="AP736:AQ736"/>
    <mergeCell ref="AR736:AS736"/>
    <mergeCell ref="AT736:AU736"/>
    <mergeCell ref="AV736:AW736"/>
    <mergeCell ref="BJ733:BM733"/>
    <mergeCell ref="BN733:BV733"/>
    <mergeCell ref="AX736:AZ736"/>
    <mergeCell ref="BA736:BB736"/>
    <mergeCell ref="BD736:BE736"/>
    <mergeCell ref="BF736:BI736"/>
    <mergeCell ref="B736:C736"/>
    <mergeCell ref="D736:E736"/>
    <mergeCell ref="F736:G736"/>
    <mergeCell ref="H736:I736"/>
    <mergeCell ref="J736:K736"/>
    <mergeCell ref="L736:M736"/>
    <mergeCell ref="P736:Q736"/>
    <mergeCell ref="B737:C737"/>
    <mergeCell ref="D737:E737"/>
    <mergeCell ref="F737:G737"/>
    <mergeCell ref="H737:I737"/>
    <mergeCell ref="J737:K737"/>
    <mergeCell ref="L737:M737"/>
    <mergeCell ref="P737:Q737"/>
    <mergeCell ref="B734:C734"/>
    <mergeCell ref="D734:E734"/>
    <mergeCell ref="F734:G734"/>
    <mergeCell ref="H734:I734"/>
    <mergeCell ref="J734:K734"/>
    <mergeCell ref="L734:M734"/>
    <mergeCell ref="P734:Q734"/>
    <mergeCell ref="AJ734:AK734"/>
    <mergeCell ref="AL734:AM734"/>
    <mergeCell ref="AN734:AO734"/>
    <mergeCell ref="AP734:AQ734"/>
    <mergeCell ref="AR734:AS734"/>
    <mergeCell ref="AT734:AU734"/>
    <mergeCell ref="AV734:AW734"/>
    <mergeCell ref="R735:S735"/>
    <mergeCell ref="T735:U735"/>
    <mergeCell ref="V735:W735"/>
    <mergeCell ref="X735:AA735"/>
    <mergeCell ref="AN735:AO735"/>
    <mergeCell ref="AP735:AQ735"/>
    <mergeCell ref="AR735:AS735"/>
    <mergeCell ref="AT735:AU735"/>
    <mergeCell ref="AV735:AW735"/>
    <mergeCell ref="AX735:AZ735"/>
    <mergeCell ref="BA735:BB735"/>
    <mergeCell ref="BF735:BI735"/>
    <mergeCell ref="B738:C738"/>
    <mergeCell ref="D738:E738"/>
    <mergeCell ref="F738:G738"/>
    <mergeCell ref="H738:I738"/>
    <mergeCell ref="J738:K738"/>
    <mergeCell ref="L738:M738"/>
    <mergeCell ref="P738:Q738"/>
    <mergeCell ref="B739:C739"/>
    <mergeCell ref="D739:E739"/>
    <mergeCell ref="F739:G739"/>
    <mergeCell ref="H739:I739"/>
    <mergeCell ref="J739:K739"/>
    <mergeCell ref="L739:M739"/>
    <mergeCell ref="P739:Q739"/>
    <mergeCell ref="AJ738:AK738"/>
    <mergeCell ref="AL738:AM738"/>
    <mergeCell ref="AN738:AO738"/>
    <mergeCell ref="AP738:AQ738"/>
    <mergeCell ref="AR738:AS738"/>
    <mergeCell ref="AT738:AU738"/>
    <mergeCell ref="AV738:AW738"/>
    <mergeCell ref="B735:C735"/>
    <mergeCell ref="D735:E735"/>
    <mergeCell ref="F735:G735"/>
    <mergeCell ref="H735:I735"/>
    <mergeCell ref="J735:K735"/>
    <mergeCell ref="L735:M735"/>
    <mergeCell ref="P735:Q735"/>
    <mergeCell ref="AN737:AO737"/>
    <mergeCell ref="AP737:AQ737"/>
    <mergeCell ref="AR737:AS737"/>
    <mergeCell ref="AT737:AU737"/>
    <mergeCell ref="AV737:AW737"/>
    <mergeCell ref="AJ735:AK735"/>
    <mergeCell ref="AL735:AM735"/>
    <mergeCell ref="AB735:AE735"/>
    <mergeCell ref="AF735:AG735"/>
    <mergeCell ref="AH735:AI735"/>
    <mergeCell ref="R736:S736"/>
    <mergeCell ref="T736:U736"/>
    <mergeCell ref="V736:W736"/>
    <mergeCell ref="X736:AA736"/>
    <mergeCell ref="AB736:AE736"/>
    <mergeCell ref="AF736:AG736"/>
    <mergeCell ref="AH736:AI736"/>
    <mergeCell ref="AJ739:AK739"/>
    <mergeCell ref="AL739:AM739"/>
    <mergeCell ref="R739:S739"/>
    <mergeCell ref="T739:U739"/>
    <mergeCell ref="V739:W739"/>
    <mergeCell ref="X739:AA739"/>
    <mergeCell ref="AB739:AE739"/>
    <mergeCell ref="AF739:AG739"/>
    <mergeCell ref="AH739:AI739"/>
    <mergeCell ref="AF740:AG740"/>
    <mergeCell ref="AH740:AI740"/>
    <mergeCell ref="AX740:AZ740"/>
    <mergeCell ref="BA740:BB740"/>
    <mergeCell ref="BD740:BE740"/>
    <mergeCell ref="BF740:BI740"/>
    <mergeCell ref="BJ740:BM740"/>
    <mergeCell ref="BN740:BV740"/>
    <mergeCell ref="BJ741:BM741"/>
    <mergeCell ref="BN741:BV741"/>
    <mergeCell ref="AJ737:AK737"/>
    <mergeCell ref="AL737:AM737"/>
    <mergeCell ref="R737:S737"/>
    <mergeCell ref="T737:U737"/>
    <mergeCell ref="V737:W737"/>
    <mergeCell ref="X737:AA737"/>
    <mergeCell ref="AB737:AE737"/>
    <mergeCell ref="AF737:AG737"/>
    <mergeCell ref="AH737:AI737"/>
    <mergeCell ref="R738:S738"/>
    <mergeCell ref="T738:U738"/>
    <mergeCell ref="V738:W738"/>
    <mergeCell ref="X738:AA738"/>
    <mergeCell ref="AB738:AE738"/>
    <mergeCell ref="AF738:AG738"/>
    <mergeCell ref="AH738:AI738"/>
    <mergeCell ref="AX738:AZ738"/>
    <mergeCell ref="BA738:BB738"/>
    <mergeCell ref="BD738:BE738"/>
    <mergeCell ref="BF738:BI738"/>
    <mergeCell ref="BJ738:BM738"/>
    <mergeCell ref="BN738:BV738"/>
    <mergeCell ref="BJ739:BM739"/>
    <mergeCell ref="BN739:BV739"/>
    <mergeCell ref="BD737:BE737"/>
    <mergeCell ref="BF737:BI737"/>
    <mergeCell ref="AX737:AZ737"/>
    <mergeCell ref="BA737:BB737"/>
    <mergeCell ref="BD739:BE739"/>
    <mergeCell ref="BF739:BI739"/>
    <mergeCell ref="AN739:AO739"/>
    <mergeCell ref="AP739:AQ739"/>
    <mergeCell ref="AR739:AS739"/>
    <mergeCell ref="AT739:AU739"/>
    <mergeCell ref="AV739:AW739"/>
    <mergeCell ref="AX739:AZ739"/>
    <mergeCell ref="BA739:BB739"/>
    <mergeCell ref="B740:C740"/>
    <mergeCell ref="D740:E740"/>
    <mergeCell ref="F740:G740"/>
    <mergeCell ref="H740:I740"/>
    <mergeCell ref="J740:K740"/>
    <mergeCell ref="L740:M740"/>
    <mergeCell ref="P740:Q740"/>
    <mergeCell ref="B741:C741"/>
    <mergeCell ref="D741:E741"/>
    <mergeCell ref="F741:G741"/>
    <mergeCell ref="H741:I741"/>
    <mergeCell ref="J741:K741"/>
    <mergeCell ref="L741:M741"/>
    <mergeCell ref="P741:Q741"/>
    <mergeCell ref="AJ740:AK740"/>
    <mergeCell ref="AL740:AM740"/>
    <mergeCell ref="AN740:AO740"/>
    <mergeCell ref="AP740:AQ740"/>
    <mergeCell ref="AR740:AS740"/>
    <mergeCell ref="AT740:AU740"/>
    <mergeCell ref="AV740:AW740"/>
    <mergeCell ref="BD743:BE743"/>
    <mergeCell ref="BF743:BI743"/>
    <mergeCell ref="AN743:AO743"/>
    <mergeCell ref="AP743:AQ743"/>
    <mergeCell ref="AR743:AS743"/>
    <mergeCell ref="AT743:AU743"/>
    <mergeCell ref="AV743:AW743"/>
    <mergeCell ref="AX743:AZ743"/>
    <mergeCell ref="BA743:BB743"/>
    <mergeCell ref="AJ741:AK741"/>
    <mergeCell ref="AL741:AM741"/>
    <mergeCell ref="R741:S741"/>
    <mergeCell ref="T741:U741"/>
    <mergeCell ref="V741:W741"/>
    <mergeCell ref="X741:AA741"/>
    <mergeCell ref="AB741:AE741"/>
    <mergeCell ref="AF741:AG741"/>
    <mergeCell ref="AH741:AI741"/>
    <mergeCell ref="R742:S742"/>
    <mergeCell ref="T742:U742"/>
    <mergeCell ref="V742:W742"/>
    <mergeCell ref="X742:AA742"/>
    <mergeCell ref="AB742:AE742"/>
    <mergeCell ref="AF742:AG742"/>
    <mergeCell ref="AH742:AI742"/>
    <mergeCell ref="AX742:AZ742"/>
    <mergeCell ref="BA742:BB742"/>
    <mergeCell ref="BD742:BE742"/>
    <mergeCell ref="BF742:BI742"/>
    <mergeCell ref="BD741:BE741"/>
    <mergeCell ref="BF741:BI741"/>
    <mergeCell ref="AN741:AO741"/>
    <mergeCell ref="AP741:AQ741"/>
    <mergeCell ref="AR741:AS741"/>
    <mergeCell ref="AT741:AU741"/>
    <mergeCell ref="AV741:AW741"/>
    <mergeCell ref="AX741:AZ741"/>
    <mergeCell ref="BA741:BB741"/>
    <mergeCell ref="R740:S740"/>
    <mergeCell ref="T740:U740"/>
    <mergeCell ref="V740:W740"/>
    <mergeCell ref="X740:AA740"/>
    <mergeCell ref="AB740:AE740"/>
    <mergeCell ref="BJ742:BM742"/>
    <mergeCell ref="BN742:BV742"/>
    <mergeCell ref="BJ743:BM743"/>
    <mergeCell ref="BN743:BV743"/>
    <mergeCell ref="B742:C742"/>
    <mergeCell ref="D742:E742"/>
    <mergeCell ref="F742:G742"/>
    <mergeCell ref="H742:I742"/>
    <mergeCell ref="J742:K742"/>
    <mergeCell ref="L742:M742"/>
    <mergeCell ref="P742:Q742"/>
    <mergeCell ref="B743:C743"/>
    <mergeCell ref="D743:E743"/>
    <mergeCell ref="F743:G743"/>
    <mergeCell ref="H743:I743"/>
    <mergeCell ref="J743:K743"/>
    <mergeCell ref="L743:M743"/>
    <mergeCell ref="P743:Q743"/>
    <mergeCell ref="AJ742:AK742"/>
    <mergeCell ref="AL742:AM742"/>
    <mergeCell ref="AN742:AO742"/>
    <mergeCell ref="AP742:AQ742"/>
    <mergeCell ref="AR742:AS742"/>
    <mergeCell ref="AT742:AU742"/>
    <mergeCell ref="AV742:AW742"/>
    <mergeCell ref="BD745:BE745"/>
    <mergeCell ref="BF745:BI745"/>
    <mergeCell ref="AN745:AO745"/>
    <mergeCell ref="AP745:AQ745"/>
    <mergeCell ref="AR745:AS745"/>
    <mergeCell ref="AT745:AU745"/>
    <mergeCell ref="AV745:AW745"/>
    <mergeCell ref="AX745:AZ745"/>
    <mergeCell ref="BA745:BB745"/>
    <mergeCell ref="AJ743:AK743"/>
    <mergeCell ref="AL743:AM743"/>
    <mergeCell ref="R743:S743"/>
    <mergeCell ref="T743:U743"/>
    <mergeCell ref="V743:W743"/>
    <mergeCell ref="X743:AA743"/>
    <mergeCell ref="AB743:AE743"/>
    <mergeCell ref="AF743:AG743"/>
    <mergeCell ref="AH743:AI743"/>
    <mergeCell ref="R744:S744"/>
    <mergeCell ref="T744:U744"/>
    <mergeCell ref="V744:W744"/>
    <mergeCell ref="X744:AA744"/>
    <mergeCell ref="AB744:AE744"/>
    <mergeCell ref="AF744:AG744"/>
    <mergeCell ref="AH744:AI744"/>
    <mergeCell ref="AX744:AZ744"/>
    <mergeCell ref="BA744:BB744"/>
    <mergeCell ref="BD744:BE744"/>
    <mergeCell ref="BF744:BI744"/>
    <mergeCell ref="BJ744:BM744"/>
    <mergeCell ref="BN744:BV744"/>
    <mergeCell ref="BJ745:BM745"/>
    <mergeCell ref="BN745:BV745"/>
    <mergeCell ref="B744:C744"/>
    <mergeCell ref="D744:E744"/>
    <mergeCell ref="F744:G744"/>
    <mergeCell ref="H744:I744"/>
    <mergeCell ref="J744:K744"/>
    <mergeCell ref="L744:M744"/>
    <mergeCell ref="B750:C750"/>
    <mergeCell ref="D750:E750"/>
    <mergeCell ref="F750:G750"/>
    <mergeCell ref="H750:I750"/>
    <mergeCell ref="J750:K750"/>
    <mergeCell ref="L750:M750"/>
    <mergeCell ref="P750:Q750"/>
    <mergeCell ref="P744:Q744"/>
    <mergeCell ref="B745:C745"/>
    <mergeCell ref="D745:E745"/>
    <mergeCell ref="F745:G745"/>
    <mergeCell ref="H745:I745"/>
    <mergeCell ref="J745:K745"/>
    <mergeCell ref="L745:M745"/>
    <mergeCell ref="P745:Q745"/>
    <mergeCell ref="AJ744:AK744"/>
    <mergeCell ref="AL744:AM744"/>
    <mergeCell ref="AN744:AO744"/>
    <mergeCell ref="AP744:AQ744"/>
    <mergeCell ref="AR744:AS744"/>
    <mergeCell ref="AT744:AU744"/>
    <mergeCell ref="AV744:AW744"/>
    <mergeCell ref="BD756:BE756"/>
    <mergeCell ref="BF756:BI756"/>
    <mergeCell ref="AN756:AO756"/>
    <mergeCell ref="AP756:AQ756"/>
    <mergeCell ref="AR756:AS756"/>
    <mergeCell ref="AT756:AU756"/>
    <mergeCell ref="AV756:AW756"/>
    <mergeCell ref="AX756:AZ756"/>
    <mergeCell ref="BA756:BB756"/>
    <mergeCell ref="AJ754:AK754"/>
    <mergeCell ref="AL754:AM754"/>
    <mergeCell ref="R754:S754"/>
    <mergeCell ref="T754:U754"/>
    <mergeCell ref="V754:W754"/>
    <mergeCell ref="X754:AA754"/>
    <mergeCell ref="AB754:AE754"/>
    <mergeCell ref="AF754:AG754"/>
    <mergeCell ref="AH754:AI754"/>
    <mergeCell ref="R755:S755"/>
    <mergeCell ref="T755:U755"/>
    <mergeCell ref="V755:W755"/>
    <mergeCell ref="X755:AA755"/>
    <mergeCell ref="AB755:AE755"/>
    <mergeCell ref="AF755:AG755"/>
    <mergeCell ref="AH755:AI755"/>
    <mergeCell ref="AX755:AZ755"/>
    <mergeCell ref="BA755:BB755"/>
    <mergeCell ref="BD755:BE755"/>
    <mergeCell ref="BF755:BI755"/>
    <mergeCell ref="AL751:AM751"/>
    <mergeCell ref="AN751:AO751"/>
    <mergeCell ref="AP751:AQ751"/>
    <mergeCell ref="AR751:AS751"/>
    <mergeCell ref="AT751:AU751"/>
    <mergeCell ref="AV751:AW751"/>
    <mergeCell ref="BD754:BE754"/>
    <mergeCell ref="BF754:BI754"/>
    <mergeCell ref="AN754:AO754"/>
    <mergeCell ref="AP754:AQ754"/>
    <mergeCell ref="AR754:AS754"/>
    <mergeCell ref="AT754:AU754"/>
    <mergeCell ref="AV754:AW754"/>
    <mergeCell ref="R751:S751"/>
    <mergeCell ref="T751:U751"/>
    <mergeCell ref="V751:W751"/>
    <mergeCell ref="X751:AA751"/>
    <mergeCell ref="AB751:AE751"/>
    <mergeCell ref="AF751:AG751"/>
    <mergeCell ref="AH751:AI751"/>
    <mergeCell ref="AX751:AZ751"/>
    <mergeCell ref="BA751:BB751"/>
    <mergeCell ref="BD751:BE751"/>
    <mergeCell ref="B751:C751"/>
    <mergeCell ref="D751:E751"/>
    <mergeCell ref="F751:G751"/>
    <mergeCell ref="H751:I751"/>
    <mergeCell ref="J751:K751"/>
    <mergeCell ref="L751:M751"/>
    <mergeCell ref="P751:Q751"/>
    <mergeCell ref="B752:C752"/>
    <mergeCell ref="D752:E752"/>
    <mergeCell ref="F752:G752"/>
    <mergeCell ref="H752:I752"/>
    <mergeCell ref="J752:K752"/>
    <mergeCell ref="L752:M752"/>
    <mergeCell ref="P752:Q752"/>
    <mergeCell ref="AJ751:AK751"/>
    <mergeCell ref="AJ756:AK756"/>
    <mergeCell ref="AL756:AM756"/>
    <mergeCell ref="R756:S756"/>
    <mergeCell ref="T756:U756"/>
    <mergeCell ref="V756:W756"/>
    <mergeCell ref="X756:AA756"/>
    <mergeCell ref="AB756:AE756"/>
    <mergeCell ref="AF756:AG756"/>
    <mergeCell ref="AH756:AI756"/>
    <mergeCell ref="AX754:AZ754"/>
    <mergeCell ref="BA754:BB754"/>
    <mergeCell ref="AJ752:AK752"/>
    <mergeCell ref="AL752:AM752"/>
    <mergeCell ref="R752:S752"/>
    <mergeCell ref="T752:U752"/>
    <mergeCell ref="V752:W752"/>
    <mergeCell ref="AT752:AU752"/>
    <mergeCell ref="AV752:AW752"/>
    <mergeCell ref="AX752:AZ752"/>
    <mergeCell ref="BA752:BB752"/>
    <mergeCell ref="BJ755:BM755"/>
    <mergeCell ref="BN755:BV755"/>
    <mergeCell ref="B755:C755"/>
    <mergeCell ref="D755:E755"/>
    <mergeCell ref="F755:G755"/>
    <mergeCell ref="H755:I755"/>
    <mergeCell ref="J755:K755"/>
    <mergeCell ref="L755:M755"/>
    <mergeCell ref="P755:Q755"/>
    <mergeCell ref="BJ752:BM752"/>
    <mergeCell ref="BN752:BV752"/>
    <mergeCell ref="X752:AA752"/>
    <mergeCell ref="AB752:AE752"/>
    <mergeCell ref="AF752:AG752"/>
    <mergeCell ref="AH752:AI752"/>
    <mergeCell ref="R753:S753"/>
    <mergeCell ref="T753:U753"/>
    <mergeCell ref="V753:W753"/>
    <mergeCell ref="X753:AA753"/>
    <mergeCell ref="AB753:AE753"/>
    <mergeCell ref="AF753:AG753"/>
    <mergeCell ref="AH753:AI753"/>
    <mergeCell ref="AX753:AZ753"/>
    <mergeCell ref="BA753:BB753"/>
    <mergeCell ref="BD753:BE753"/>
    <mergeCell ref="BF753:BI753"/>
    <mergeCell ref="BJ753:BM753"/>
    <mergeCell ref="BN753:BV753"/>
    <mergeCell ref="B756:C756"/>
    <mergeCell ref="D756:E756"/>
    <mergeCell ref="F756:G756"/>
    <mergeCell ref="H756:I756"/>
    <mergeCell ref="J756:K756"/>
    <mergeCell ref="L756:M756"/>
    <mergeCell ref="P756:Q756"/>
    <mergeCell ref="AJ755:AK755"/>
    <mergeCell ref="AL755:AM755"/>
    <mergeCell ref="AN755:AO755"/>
    <mergeCell ref="AP755:AQ755"/>
    <mergeCell ref="AR755:AS755"/>
    <mergeCell ref="AT755:AU755"/>
    <mergeCell ref="AV755:AW755"/>
    <mergeCell ref="AF748:AG748"/>
    <mergeCell ref="AH748:AI748"/>
    <mergeCell ref="AX748:AZ748"/>
    <mergeCell ref="BA748:BB748"/>
    <mergeCell ref="BD748:BE748"/>
    <mergeCell ref="BF748:BI748"/>
    <mergeCell ref="BD747:BE747"/>
    <mergeCell ref="BF747:BI747"/>
    <mergeCell ref="AN747:AO747"/>
    <mergeCell ref="AP747:AQ747"/>
    <mergeCell ref="AR747:AS747"/>
    <mergeCell ref="AT747:AU747"/>
    <mergeCell ref="AV747:AW747"/>
    <mergeCell ref="AX747:AZ747"/>
    <mergeCell ref="BA747:BB747"/>
    <mergeCell ref="AX749:AZ749"/>
    <mergeCell ref="BA749:BB749"/>
    <mergeCell ref="BD749:BE749"/>
    <mergeCell ref="BF749:BI749"/>
    <mergeCell ref="AJ747:AK747"/>
    <mergeCell ref="AL747:AM747"/>
    <mergeCell ref="BJ747:BM747"/>
    <mergeCell ref="BN747:BV747"/>
    <mergeCell ref="R747:S747"/>
    <mergeCell ref="T747:U747"/>
    <mergeCell ref="V747:W747"/>
    <mergeCell ref="X747:AA747"/>
    <mergeCell ref="AB747:AE747"/>
    <mergeCell ref="AF747:AG747"/>
    <mergeCell ref="AH747:AI747"/>
    <mergeCell ref="BJ749:BM749"/>
    <mergeCell ref="BN749:BV749"/>
    <mergeCell ref="BJ750:BM750"/>
    <mergeCell ref="BN750:BV750"/>
    <mergeCell ref="AJ749:AK749"/>
    <mergeCell ref="AL749:AM749"/>
    <mergeCell ref="AN749:AO749"/>
    <mergeCell ref="AP749:AQ749"/>
    <mergeCell ref="AR749:AS749"/>
    <mergeCell ref="AT749:AU749"/>
    <mergeCell ref="AV749:AW749"/>
    <mergeCell ref="R749:S749"/>
    <mergeCell ref="T749:U749"/>
    <mergeCell ref="V749:W749"/>
    <mergeCell ref="X749:AA749"/>
    <mergeCell ref="AB749:AE749"/>
    <mergeCell ref="AF749:AG749"/>
    <mergeCell ref="AH749:AI749"/>
    <mergeCell ref="AJ750:AK750"/>
    <mergeCell ref="AL750:AM750"/>
    <mergeCell ref="R750:S750"/>
    <mergeCell ref="T750:U750"/>
    <mergeCell ref="V750:W750"/>
    <mergeCell ref="X750:AA750"/>
    <mergeCell ref="AB750:AE750"/>
    <mergeCell ref="AF750:AG750"/>
    <mergeCell ref="AH750:AI750"/>
    <mergeCell ref="AJ745:AK745"/>
    <mergeCell ref="AL745:AM745"/>
    <mergeCell ref="R745:S745"/>
    <mergeCell ref="T745:U745"/>
    <mergeCell ref="V745:W745"/>
    <mergeCell ref="X745:AA745"/>
    <mergeCell ref="AB745:AE745"/>
    <mergeCell ref="AF745:AG745"/>
    <mergeCell ref="AH745:AI745"/>
    <mergeCell ref="R746:S746"/>
    <mergeCell ref="T746:U746"/>
    <mergeCell ref="V746:W746"/>
    <mergeCell ref="X746:AA746"/>
    <mergeCell ref="AB746:AE746"/>
    <mergeCell ref="AF746:AG746"/>
    <mergeCell ref="AH746:AI746"/>
    <mergeCell ref="AX746:AZ746"/>
    <mergeCell ref="BA746:BB746"/>
    <mergeCell ref="BD746:BE746"/>
    <mergeCell ref="BF746:BI746"/>
    <mergeCell ref="BJ748:BM748"/>
    <mergeCell ref="BN748:BV748"/>
    <mergeCell ref="AJ748:AK748"/>
    <mergeCell ref="AL748:AM748"/>
    <mergeCell ref="AN748:AO748"/>
    <mergeCell ref="AP748:AQ748"/>
    <mergeCell ref="AR748:AS748"/>
    <mergeCell ref="AT748:AU748"/>
    <mergeCell ref="AV748:AW748"/>
    <mergeCell ref="B748:C748"/>
    <mergeCell ref="D748:E748"/>
    <mergeCell ref="F748:G748"/>
    <mergeCell ref="H748:I748"/>
    <mergeCell ref="J748:K748"/>
    <mergeCell ref="L748:M748"/>
    <mergeCell ref="P748:Q748"/>
    <mergeCell ref="R748:S748"/>
    <mergeCell ref="T748:U748"/>
    <mergeCell ref="V748:W748"/>
    <mergeCell ref="BJ746:BM746"/>
    <mergeCell ref="BN746:BV746"/>
    <mergeCell ref="B746:C746"/>
    <mergeCell ref="D746:E746"/>
    <mergeCell ref="F746:G746"/>
    <mergeCell ref="H746:I746"/>
    <mergeCell ref="J746:K746"/>
    <mergeCell ref="L746:M746"/>
    <mergeCell ref="P746:Q746"/>
    <mergeCell ref="AJ746:AK746"/>
    <mergeCell ref="AL746:AM746"/>
    <mergeCell ref="AN746:AO746"/>
    <mergeCell ref="AP746:AQ746"/>
    <mergeCell ref="AR746:AS746"/>
    <mergeCell ref="AT746:AU746"/>
    <mergeCell ref="AV746:AW746"/>
    <mergeCell ref="B747:C747"/>
    <mergeCell ref="D747:E747"/>
    <mergeCell ref="F747:G747"/>
    <mergeCell ref="H747:I747"/>
    <mergeCell ref="J747:K747"/>
    <mergeCell ref="L747:M747"/>
    <mergeCell ref="P747:Q747"/>
    <mergeCell ref="X748:AA748"/>
    <mergeCell ref="AB748:AE748"/>
    <mergeCell ref="B749:C749"/>
    <mergeCell ref="D749:E749"/>
    <mergeCell ref="F749:G749"/>
    <mergeCell ref="H749:I749"/>
    <mergeCell ref="J749:K749"/>
    <mergeCell ref="L749:M749"/>
    <mergeCell ref="P749:Q749"/>
    <mergeCell ref="BD750:BE750"/>
    <mergeCell ref="BF750:BI750"/>
    <mergeCell ref="AN750:AO750"/>
    <mergeCell ref="AP750:AQ750"/>
    <mergeCell ref="AR750:AS750"/>
    <mergeCell ref="AT750:AU750"/>
    <mergeCell ref="AV750:AW750"/>
    <mergeCell ref="AX750:AZ750"/>
    <mergeCell ref="BA750:BB750"/>
    <mergeCell ref="R757:S757"/>
    <mergeCell ref="T757:U757"/>
    <mergeCell ref="V757:W757"/>
    <mergeCell ref="X757:AA757"/>
    <mergeCell ref="AB757:AE757"/>
    <mergeCell ref="AF757:AG757"/>
    <mergeCell ref="AH757:AI757"/>
    <mergeCell ref="AX757:AZ757"/>
    <mergeCell ref="BA757:BB757"/>
    <mergeCell ref="BD757:BE757"/>
    <mergeCell ref="BF757:BI757"/>
    <mergeCell ref="BJ757:BM757"/>
    <mergeCell ref="BN757:BV757"/>
    <mergeCell ref="BJ758:BM758"/>
    <mergeCell ref="BN758:BV758"/>
    <mergeCell ref="BJ759:BM759"/>
    <mergeCell ref="BN759:BV759"/>
    <mergeCell ref="BF751:BI751"/>
    <mergeCell ref="BJ751:BM751"/>
    <mergeCell ref="BN751:BV751"/>
    <mergeCell ref="BJ754:BM754"/>
    <mergeCell ref="BN754:BV754"/>
    <mergeCell ref="B753:C753"/>
    <mergeCell ref="D753:E753"/>
    <mergeCell ref="F753:G753"/>
    <mergeCell ref="H753:I753"/>
    <mergeCell ref="J753:K753"/>
    <mergeCell ref="L753:M753"/>
    <mergeCell ref="P753:Q753"/>
    <mergeCell ref="B754:C754"/>
    <mergeCell ref="D754:E754"/>
    <mergeCell ref="F754:G754"/>
    <mergeCell ref="H754:I754"/>
    <mergeCell ref="J754:K754"/>
    <mergeCell ref="L754:M754"/>
    <mergeCell ref="P754:Q754"/>
    <mergeCell ref="AJ753:AK753"/>
    <mergeCell ref="AL753:AM753"/>
    <mergeCell ref="AN753:AO753"/>
    <mergeCell ref="AP753:AQ753"/>
    <mergeCell ref="AR753:AS753"/>
    <mergeCell ref="AT753:AU753"/>
    <mergeCell ref="AV753:AW753"/>
    <mergeCell ref="BD752:BE752"/>
    <mergeCell ref="BF752:BI752"/>
    <mergeCell ref="AN752:AO752"/>
    <mergeCell ref="AP752:AQ752"/>
    <mergeCell ref="AR752:AS752"/>
    <mergeCell ref="BD758:BE758"/>
    <mergeCell ref="BJ760:BM760"/>
    <mergeCell ref="BN760:BV760"/>
    <mergeCell ref="AJ759:AK759"/>
    <mergeCell ref="AL759:AM759"/>
    <mergeCell ref="AN759:AO759"/>
    <mergeCell ref="AP759:AQ759"/>
    <mergeCell ref="AR759:AS759"/>
    <mergeCell ref="AT759:AU759"/>
    <mergeCell ref="AV759:AW759"/>
    <mergeCell ref="BJ756:BM756"/>
    <mergeCell ref="BN756:BV756"/>
    <mergeCell ref="AX759:AZ759"/>
    <mergeCell ref="BA759:BB759"/>
    <mergeCell ref="BD759:BE759"/>
    <mergeCell ref="BF759:BI759"/>
    <mergeCell ref="B759:C759"/>
    <mergeCell ref="D759:E759"/>
    <mergeCell ref="F759:G759"/>
    <mergeCell ref="H759:I759"/>
    <mergeCell ref="J759:K759"/>
    <mergeCell ref="L759:M759"/>
    <mergeCell ref="P759:Q759"/>
    <mergeCell ref="B760:C760"/>
    <mergeCell ref="D760:E760"/>
    <mergeCell ref="F760:G760"/>
    <mergeCell ref="H760:I760"/>
    <mergeCell ref="J760:K760"/>
    <mergeCell ref="L760:M760"/>
    <mergeCell ref="P760:Q760"/>
    <mergeCell ref="B757:C757"/>
    <mergeCell ref="D757:E757"/>
    <mergeCell ref="F757:G757"/>
    <mergeCell ref="H757:I757"/>
    <mergeCell ref="J757:K757"/>
    <mergeCell ref="L757:M757"/>
    <mergeCell ref="P757:Q757"/>
    <mergeCell ref="AJ757:AK757"/>
    <mergeCell ref="AL757:AM757"/>
    <mergeCell ref="AN757:AO757"/>
    <mergeCell ref="AP757:AQ757"/>
    <mergeCell ref="AR757:AS757"/>
    <mergeCell ref="AT757:AU757"/>
    <mergeCell ref="AV757:AW757"/>
    <mergeCell ref="R758:S758"/>
    <mergeCell ref="T758:U758"/>
    <mergeCell ref="V758:W758"/>
    <mergeCell ref="X758:AA758"/>
    <mergeCell ref="AN758:AO758"/>
    <mergeCell ref="AP758:AQ758"/>
    <mergeCell ref="AR758:AS758"/>
    <mergeCell ref="AT758:AU758"/>
    <mergeCell ref="AV758:AW758"/>
    <mergeCell ref="AX758:AZ758"/>
    <mergeCell ref="BA758:BB758"/>
    <mergeCell ref="BF758:BI758"/>
    <mergeCell ref="B761:C761"/>
    <mergeCell ref="D761:E761"/>
    <mergeCell ref="F761:G761"/>
    <mergeCell ref="H761:I761"/>
    <mergeCell ref="J761:K761"/>
    <mergeCell ref="L761:M761"/>
    <mergeCell ref="P761:Q761"/>
    <mergeCell ref="B762:C762"/>
    <mergeCell ref="D762:E762"/>
    <mergeCell ref="F762:G762"/>
    <mergeCell ref="H762:I762"/>
    <mergeCell ref="J762:K762"/>
    <mergeCell ref="L762:M762"/>
    <mergeCell ref="P762:Q762"/>
    <mergeCell ref="AJ761:AK761"/>
    <mergeCell ref="AL761:AM761"/>
    <mergeCell ref="AN761:AO761"/>
    <mergeCell ref="AP761:AQ761"/>
    <mergeCell ref="AR761:AS761"/>
    <mergeCell ref="AT761:AU761"/>
    <mergeCell ref="AV761:AW761"/>
    <mergeCell ref="B758:C758"/>
    <mergeCell ref="D758:E758"/>
    <mergeCell ref="F758:G758"/>
    <mergeCell ref="H758:I758"/>
    <mergeCell ref="J758:K758"/>
    <mergeCell ref="L758:M758"/>
    <mergeCell ref="P758:Q758"/>
    <mergeCell ref="AN760:AO760"/>
    <mergeCell ref="AP760:AQ760"/>
    <mergeCell ref="AR760:AS760"/>
    <mergeCell ref="AT760:AU760"/>
    <mergeCell ref="AV760:AW760"/>
    <mergeCell ref="AJ758:AK758"/>
    <mergeCell ref="AL758:AM758"/>
    <mergeCell ref="AB758:AE758"/>
    <mergeCell ref="AF758:AG758"/>
    <mergeCell ref="AH758:AI758"/>
    <mergeCell ref="R759:S759"/>
    <mergeCell ref="T759:U759"/>
    <mergeCell ref="V759:W759"/>
    <mergeCell ref="X759:AA759"/>
    <mergeCell ref="AB759:AE759"/>
    <mergeCell ref="AF759:AG759"/>
    <mergeCell ref="AH759:AI759"/>
    <mergeCell ref="AJ762:AK762"/>
    <mergeCell ref="AL762:AM762"/>
    <mergeCell ref="R762:S762"/>
    <mergeCell ref="T762:U762"/>
    <mergeCell ref="V762:W762"/>
    <mergeCell ref="X762:AA762"/>
    <mergeCell ref="AB762:AE762"/>
    <mergeCell ref="AF762:AG762"/>
    <mergeCell ref="AH762:AI762"/>
    <mergeCell ref="AF763:AG763"/>
    <mergeCell ref="AH763:AI763"/>
    <mergeCell ref="AX763:AZ763"/>
    <mergeCell ref="BA763:BB763"/>
    <mergeCell ref="BD763:BE763"/>
    <mergeCell ref="BF763:BI763"/>
    <mergeCell ref="BJ763:BM763"/>
    <mergeCell ref="BN763:BV763"/>
    <mergeCell ref="BJ764:BM764"/>
    <mergeCell ref="BN764:BV764"/>
    <mergeCell ref="AJ760:AK760"/>
    <mergeCell ref="AL760:AM760"/>
    <mergeCell ref="R760:S760"/>
    <mergeCell ref="T760:U760"/>
    <mergeCell ref="V760:W760"/>
    <mergeCell ref="X760:AA760"/>
    <mergeCell ref="AB760:AE760"/>
    <mergeCell ref="AF760:AG760"/>
    <mergeCell ref="AH760:AI760"/>
    <mergeCell ref="R761:S761"/>
    <mergeCell ref="T761:U761"/>
    <mergeCell ref="V761:W761"/>
    <mergeCell ref="X761:AA761"/>
    <mergeCell ref="AB761:AE761"/>
    <mergeCell ref="AF761:AG761"/>
    <mergeCell ref="AH761:AI761"/>
    <mergeCell ref="AX761:AZ761"/>
    <mergeCell ref="BA761:BB761"/>
    <mergeCell ref="BD761:BE761"/>
    <mergeCell ref="BF761:BI761"/>
    <mergeCell ref="BJ761:BM761"/>
    <mergeCell ref="BN761:BV761"/>
    <mergeCell ref="BJ762:BM762"/>
    <mergeCell ref="BN762:BV762"/>
    <mergeCell ref="BD760:BE760"/>
    <mergeCell ref="BF760:BI760"/>
    <mergeCell ref="AX760:AZ760"/>
    <mergeCell ref="BA760:BB760"/>
    <mergeCell ref="BD762:BE762"/>
    <mergeCell ref="BF762:BI762"/>
    <mergeCell ref="AN762:AO762"/>
    <mergeCell ref="AP762:AQ762"/>
    <mergeCell ref="AR762:AS762"/>
    <mergeCell ref="AT762:AU762"/>
    <mergeCell ref="AV762:AW762"/>
    <mergeCell ref="AX762:AZ762"/>
    <mergeCell ref="BA762:BB762"/>
    <mergeCell ref="B763:C763"/>
    <mergeCell ref="D763:E763"/>
    <mergeCell ref="F763:G763"/>
    <mergeCell ref="H763:I763"/>
    <mergeCell ref="J763:K763"/>
    <mergeCell ref="L763:M763"/>
    <mergeCell ref="P763:Q763"/>
    <mergeCell ref="B764:C764"/>
    <mergeCell ref="D764:E764"/>
    <mergeCell ref="F764:G764"/>
    <mergeCell ref="H764:I764"/>
    <mergeCell ref="J764:K764"/>
    <mergeCell ref="L764:M764"/>
    <mergeCell ref="P764:Q764"/>
    <mergeCell ref="AJ763:AK763"/>
    <mergeCell ref="AL763:AM763"/>
    <mergeCell ref="AN763:AO763"/>
    <mergeCell ref="AP763:AQ763"/>
    <mergeCell ref="AR763:AS763"/>
    <mergeCell ref="AT763:AU763"/>
    <mergeCell ref="AV763:AW763"/>
    <mergeCell ref="BD766:BE766"/>
    <mergeCell ref="BF766:BI766"/>
    <mergeCell ref="AN766:AO766"/>
    <mergeCell ref="AP766:AQ766"/>
    <mergeCell ref="AR766:AS766"/>
    <mergeCell ref="AT766:AU766"/>
    <mergeCell ref="AV766:AW766"/>
    <mergeCell ref="AX766:AZ766"/>
    <mergeCell ref="BA766:BB766"/>
    <mergeCell ref="AJ764:AK764"/>
    <mergeCell ref="AL764:AM764"/>
    <mergeCell ref="R764:S764"/>
    <mergeCell ref="T764:U764"/>
    <mergeCell ref="V764:W764"/>
    <mergeCell ref="X764:AA764"/>
    <mergeCell ref="AB764:AE764"/>
    <mergeCell ref="AF764:AG764"/>
    <mergeCell ref="AH764:AI764"/>
    <mergeCell ref="R765:S765"/>
    <mergeCell ref="T765:U765"/>
    <mergeCell ref="V765:W765"/>
    <mergeCell ref="X765:AA765"/>
    <mergeCell ref="AB765:AE765"/>
    <mergeCell ref="AF765:AG765"/>
    <mergeCell ref="AH765:AI765"/>
    <mergeCell ref="AX765:AZ765"/>
    <mergeCell ref="BA765:BB765"/>
    <mergeCell ref="BD765:BE765"/>
    <mergeCell ref="BF765:BI765"/>
    <mergeCell ref="BD764:BE764"/>
    <mergeCell ref="BF764:BI764"/>
    <mergeCell ref="AN764:AO764"/>
    <mergeCell ref="AP764:AQ764"/>
    <mergeCell ref="AR764:AS764"/>
    <mergeCell ref="AT764:AU764"/>
    <mergeCell ref="AV764:AW764"/>
    <mergeCell ref="AX764:AZ764"/>
    <mergeCell ref="BA764:BB764"/>
    <mergeCell ref="R763:S763"/>
    <mergeCell ref="T763:U763"/>
    <mergeCell ref="V763:W763"/>
    <mergeCell ref="X763:AA763"/>
    <mergeCell ref="AB763:AE763"/>
    <mergeCell ref="BJ765:BM765"/>
    <mergeCell ref="BN765:BV765"/>
    <mergeCell ref="BJ766:BM766"/>
    <mergeCell ref="BN766:BV766"/>
    <mergeCell ref="B765:C765"/>
    <mergeCell ref="D765:E765"/>
    <mergeCell ref="F765:G765"/>
    <mergeCell ref="H765:I765"/>
    <mergeCell ref="J765:K765"/>
    <mergeCell ref="L765:M765"/>
    <mergeCell ref="P765:Q765"/>
    <mergeCell ref="B766:C766"/>
    <mergeCell ref="D766:E766"/>
    <mergeCell ref="F766:G766"/>
    <mergeCell ref="H766:I766"/>
    <mergeCell ref="J766:K766"/>
    <mergeCell ref="L766:M766"/>
    <mergeCell ref="P766:Q766"/>
    <mergeCell ref="AJ765:AK765"/>
    <mergeCell ref="AL765:AM765"/>
    <mergeCell ref="AN765:AO765"/>
    <mergeCell ref="AP765:AQ765"/>
    <mergeCell ref="AR765:AS765"/>
    <mergeCell ref="AT765:AU765"/>
    <mergeCell ref="AV765:AW765"/>
    <mergeCell ref="BD768:BE768"/>
    <mergeCell ref="BF768:BI768"/>
    <mergeCell ref="AN768:AO768"/>
    <mergeCell ref="AP768:AQ768"/>
    <mergeCell ref="AR768:AS768"/>
    <mergeCell ref="AT768:AU768"/>
    <mergeCell ref="AV768:AW768"/>
    <mergeCell ref="AX768:AZ768"/>
    <mergeCell ref="BA768:BB768"/>
    <mergeCell ref="AJ766:AK766"/>
    <mergeCell ref="AL766:AM766"/>
    <mergeCell ref="R766:S766"/>
    <mergeCell ref="T766:U766"/>
    <mergeCell ref="V766:W766"/>
    <mergeCell ref="X766:AA766"/>
    <mergeCell ref="AB766:AE766"/>
    <mergeCell ref="AF766:AG766"/>
    <mergeCell ref="AH766:AI766"/>
    <mergeCell ref="R767:S767"/>
    <mergeCell ref="T767:U767"/>
    <mergeCell ref="V767:W767"/>
    <mergeCell ref="X767:AA767"/>
    <mergeCell ref="AB767:AE767"/>
    <mergeCell ref="AF767:AG767"/>
    <mergeCell ref="AH767:AI767"/>
    <mergeCell ref="AX767:AZ767"/>
    <mergeCell ref="BA767:BB767"/>
    <mergeCell ref="BD767:BE767"/>
    <mergeCell ref="BF767:BI767"/>
    <mergeCell ref="BJ767:BM767"/>
    <mergeCell ref="BN767:BV767"/>
    <mergeCell ref="BJ768:BM768"/>
    <mergeCell ref="BN768:BV768"/>
    <mergeCell ref="B767:C767"/>
    <mergeCell ref="D767:E767"/>
    <mergeCell ref="F767:G767"/>
    <mergeCell ref="H767:I767"/>
    <mergeCell ref="J767:K767"/>
    <mergeCell ref="L767:M767"/>
    <mergeCell ref="B773:C773"/>
    <mergeCell ref="D773:E773"/>
    <mergeCell ref="F773:G773"/>
    <mergeCell ref="H773:I773"/>
    <mergeCell ref="J773:K773"/>
    <mergeCell ref="L773:M773"/>
    <mergeCell ref="P773:Q773"/>
    <mergeCell ref="P767:Q767"/>
    <mergeCell ref="B768:C768"/>
    <mergeCell ref="D768:E768"/>
    <mergeCell ref="F768:G768"/>
    <mergeCell ref="H768:I768"/>
    <mergeCell ref="J768:K768"/>
    <mergeCell ref="L768:M768"/>
    <mergeCell ref="P768:Q768"/>
    <mergeCell ref="AJ767:AK767"/>
    <mergeCell ref="AL767:AM767"/>
    <mergeCell ref="AN767:AO767"/>
    <mergeCell ref="AP767:AQ767"/>
    <mergeCell ref="AR767:AS767"/>
    <mergeCell ref="AT767:AU767"/>
    <mergeCell ref="AV767:AW767"/>
    <mergeCell ref="BD779:BE779"/>
    <mergeCell ref="BF779:BI779"/>
    <mergeCell ref="AN779:AO779"/>
    <mergeCell ref="AP779:AQ779"/>
    <mergeCell ref="AR779:AS779"/>
    <mergeCell ref="AT779:AU779"/>
    <mergeCell ref="AV779:AW779"/>
    <mergeCell ref="AX779:AZ779"/>
    <mergeCell ref="BA779:BB779"/>
    <mergeCell ref="AJ777:AK777"/>
    <mergeCell ref="AL777:AM777"/>
    <mergeCell ref="R777:S777"/>
    <mergeCell ref="T777:U777"/>
    <mergeCell ref="V777:W777"/>
    <mergeCell ref="X777:AA777"/>
    <mergeCell ref="AB777:AE777"/>
    <mergeCell ref="AF777:AG777"/>
    <mergeCell ref="AH777:AI777"/>
    <mergeCell ref="R778:S778"/>
    <mergeCell ref="T778:U778"/>
    <mergeCell ref="V778:W778"/>
    <mergeCell ref="X778:AA778"/>
    <mergeCell ref="AB778:AE778"/>
    <mergeCell ref="AF778:AG778"/>
    <mergeCell ref="AH778:AI778"/>
    <mergeCell ref="AX778:AZ778"/>
    <mergeCell ref="BA778:BB778"/>
    <mergeCell ref="BD778:BE778"/>
    <mergeCell ref="BF778:BI778"/>
    <mergeCell ref="AL774:AM774"/>
    <mergeCell ref="AN774:AO774"/>
    <mergeCell ref="AP774:AQ774"/>
    <mergeCell ref="AR774:AS774"/>
    <mergeCell ref="AT774:AU774"/>
    <mergeCell ref="AV774:AW774"/>
    <mergeCell ref="BD777:BE777"/>
    <mergeCell ref="BF777:BI777"/>
    <mergeCell ref="AN777:AO777"/>
    <mergeCell ref="AP777:AQ777"/>
    <mergeCell ref="AR777:AS777"/>
    <mergeCell ref="AT777:AU777"/>
    <mergeCell ref="AV777:AW777"/>
    <mergeCell ref="R774:S774"/>
    <mergeCell ref="T774:U774"/>
    <mergeCell ref="V774:W774"/>
    <mergeCell ref="X774:AA774"/>
    <mergeCell ref="AB774:AE774"/>
    <mergeCell ref="AF774:AG774"/>
    <mergeCell ref="AH774:AI774"/>
    <mergeCell ref="AX774:AZ774"/>
    <mergeCell ref="BA774:BB774"/>
    <mergeCell ref="BD774:BE774"/>
    <mergeCell ref="B774:C774"/>
    <mergeCell ref="D774:E774"/>
    <mergeCell ref="F774:G774"/>
    <mergeCell ref="H774:I774"/>
    <mergeCell ref="J774:K774"/>
    <mergeCell ref="L774:M774"/>
    <mergeCell ref="P774:Q774"/>
    <mergeCell ref="B775:C775"/>
    <mergeCell ref="D775:E775"/>
    <mergeCell ref="F775:G775"/>
    <mergeCell ref="H775:I775"/>
    <mergeCell ref="J775:K775"/>
    <mergeCell ref="L775:M775"/>
    <mergeCell ref="P775:Q775"/>
    <mergeCell ref="AJ774:AK774"/>
    <mergeCell ref="AJ779:AK779"/>
    <mergeCell ref="AL779:AM779"/>
    <mergeCell ref="R779:S779"/>
    <mergeCell ref="T779:U779"/>
    <mergeCell ref="V779:W779"/>
    <mergeCell ref="X779:AA779"/>
    <mergeCell ref="AB779:AE779"/>
    <mergeCell ref="AF779:AG779"/>
    <mergeCell ref="AH779:AI779"/>
    <mergeCell ref="AX777:AZ777"/>
    <mergeCell ref="BA777:BB777"/>
    <mergeCell ref="AJ775:AK775"/>
    <mergeCell ref="AL775:AM775"/>
    <mergeCell ref="R775:S775"/>
    <mergeCell ref="T775:U775"/>
    <mergeCell ref="V775:W775"/>
    <mergeCell ref="AT775:AU775"/>
    <mergeCell ref="AV775:AW775"/>
    <mergeCell ref="AX775:AZ775"/>
    <mergeCell ref="BA775:BB775"/>
    <mergeCell ref="BJ778:BM778"/>
    <mergeCell ref="BN778:BV778"/>
    <mergeCell ref="B778:C778"/>
    <mergeCell ref="D778:E778"/>
    <mergeCell ref="F778:G778"/>
    <mergeCell ref="H778:I778"/>
    <mergeCell ref="J778:K778"/>
    <mergeCell ref="L778:M778"/>
    <mergeCell ref="P778:Q778"/>
    <mergeCell ref="BJ775:BM775"/>
    <mergeCell ref="BN775:BV775"/>
    <mergeCell ref="X775:AA775"/>
    <mergeCell ref="AB775:AE775"/>
    <mergeCell ref="AF775:AG775"/>
    <mergeCell ref="AH775:AI775"/>
    <mergeCell ref="R776:S776"/>
    <mergeCell ref="T776:U776"/>
    <mergeCell ref="V776:W776"/>
    <mergeCell ref="X776:AA776"/>
    <mergeCell ref="AB776:AE776"/>
    <mergeCell ref="AF776:AG776"/>
    <mergeCell ref="AH776:AI776"/>
    <mergeCell ref="AX776:AZ776"/>
    <mergeCell ref="BA776:BB776"/>
    <mergeCell ref="BD776:BE776"/>
    <mergeCell ref="BF776:BI776"/>
    <mergeCell ref="BJ776:BM776"/>
    <mergeCell ref="BN776:BV776"/>
    <mergeCell ref="B779:C779"/>
    <mergeCell ref="D779:E779"/>
    <mergeCell ref="F779:G779"/>
    <mergeCell ref="H779:I779"/>
    <mergeCell ref="J779:K779"/>
    <mergeCell ref="L779:M779"/>
    <mergeCell ref="P779:Q779"/>
    <mergeCell ref="AJ778:AK778"/>
    <mergeCell ref="AL778:AM778"/>
    <mergeCell ref="AN778:AO778"/>
    <mergeCell ref="AP778:AQ778"/>
    <mergeCell ref="AR778:AS778"/>
    <mergeCell ref="AT778:AU778"/>
    <mergeCell ref="AV778:AW778"/>
    <mergeCell ref="AF771:AG771"/>
    <mergeCell ref="AH771:AI771"/>
    <mergeCell ref="AX771:AZ771"/>
    <mergeCell ref="BA771:BB771"/>
    <mergeCell ref="BD771:BE771"/>
    <mergeCell ref="BF771:BI771"/>
    <mergeCell ref="BD770:BE770"/>
    <mergeCell ref="BF770:BI770"/>
    <mergeCell ref="AN770:AO770"/>
    <mergeCell ref="AP770:AQ770"/>
    <mergeCell ref="AR770:AS770"/>
    <mergeCell ref="AT770:AU770"/>
    <mergeCell ref="AV770:AW770"/>
    <mergeCell ref="AX770:AZ770"/>
    <mergeCell ref="BA770:BB770"/>
    <mergeCell ref="AX772:AZ772"/>
    <mergeCell ref="BA772:BB772"/>
    <mergeCell ref="BD772:BE772"/>
    <mergeCell ref="BF772:BI772"/>
    <mergeCell ref="AJ770:AK770"/>
    <mergeCell ref="AL770:AM770"/>
    <mergeCell ref="BJ770:BM770"/>
    <mergeCell ref="BN770:BV770"/>
    <mergeCell ref="R770:S770"/>
    <mergeCell ref="T770:U770"/>
    <mergeCell ref="V770:W770"/>
    <mergeCell ref="X770:AA770"/>
    <mergeCell ref="AB770:AE770"/>
    <mergeCell ref="AF770:AG770"/>
    <mergeCell ref="AH770:AI770"/>
    <mergeCell ref="BJ772:BM772"/>
    <mergeCell ref="BN772:BV772"/>
    <mergeCell ref="BJ773:BM773"/>
    <mergeCell ref="BN773:BV773"/>
    <mergeCell ref="AJ772:AK772"/>
    <mergeCell ref="AL772:AM772"/>
    <mergeCell ref="AN772:AO772"/>
    <mergeCell ref="AP772:AQ772"/>
    <mergeCell ref="AR772:AS772"/>
    <mergeCell ref="AT772:AU772"/>
    <mergeCell ref="AV772:AW772"/>
    <mergeCell ref="R772:S772"/>
    <mergeCell ref="T772:U772"/>
    <mergeCell ref="V772:W772"/>
    <mergeCell ref="X772:AA772"/>
    <mergeCell ref="AB772:AE772"/>
    <mergeCell ref="AF772:AG772"/>
    <mergeCell ref="AH772:AI772"/>
    <mergeCell ref="AJ773:AK773"/>
    <mergeCell ref="AL773:AM773"/>
    <mergeCell ref="R773:S773"/>
    <mergeCell ref="T773:U773"/>
    <mergeCell ref="V773:W773"/>
    <mergeCell ref="X773:AA773"/>
    <mergeCell ref="AB773:AE773"/>
    <mergeCell ref="AF773:AG773"/>
    <mergeCell ref="AH773:AI773"/>
    <mergeCell ref="AJ768:AK768"/>
    <mergeCell ref="AL768:AM768"/>
    <mergeCell ref="R768:S768"/>
    <mergeCell ref="T768:U768"/>
    <mergeCell ref="V768:W768"/>
    <mergeCell ref="X768:AA768"/>
    <mergeCell ref="AB768:AE768"/>
    <mergeCell ref="AF768:AG768"/>
    <mergeCell ref="AH768:AI768"/>
    <mergeCell ref="R769:S769"/>
    <mergeCell ref="T769:U769"/>
    <mergeCell ref="V769:W769"/>
    <mergeCell ref="X769:AA769"/>
    <mergeCell ref="AB769:AE769"/>
    <mergeCell ref="AF769:AG769"/>
    <mergeCell ref="AH769:AI769"/>
    <mergeCell ref="AX769:AZ769"/>
    <mergeCell ref="BA769:BB769"/>
    <mergeCell ref="BD769:BE769"/>
    <mergeCell ref="BF769:BI769"/>
    <mergeCell ref="BJ771:BM771"/>
    <mergeCell ref="BN771:BV771"/>
    <mergeCell ref="AJ771:AK771"/>
    <mergeCell ref="AL771:AM771"/>
    <mergeCell ref="AN771:AO771"/>
    <mergeCell ref="AP771:AQ771"/>
    <mergeCell ref="AR771:AS771"/>
    <mergeCell ref="AT771:AU771"/>
    <mergeCell ref="AV771:AW771"/>
    <mergeCell ref="B771:C771"/>
    <mergeCell ref="D771:E771"/>
    <mergeCell ref="F771:G771"/>
    <mergeCell ref="H771:I771"/>
    <mergeCell ref="J771:K771"/>
    <mergeCell ref="L771:M771"/>
    <mergeCell ref="P771:Q771"/>
    <mergeCell ref="R771:S771"/>
    <mergeCell ref="T771:U771"/>
    <mergeCell ref="V771:W771"/>
    <mergeCell ref="BJ769:BM769"/>
    <mergeCell ref="BN769:BV769"/>
    <mergeCell ref="B769:C769"/>
    <mergeCell ref="D769:E769"/>
    <mergeCell ref="F769:G769"/>
    <mergeCell ref="H769:I769"/>
    <mergeCell ref="J769:K769"/>
    <mergeCell ref="L769:M769"/>
    <mergeCell ref="P769:Q769"/>
    <mergeCell ref="AJ769:AK769"/>
    <mergeCell ref="AL769:AM769"/>
    <mergeCell ref="AN769:AO769"/>
    <mergeCell ref="AP769:AQ769"/>
    <mergeCell ref="AR769:AS769"/>
    <mergeCell ref="AT769:AU769"/>
    <mergeCell ref="AV769:AW769"/>
    <mergeCell ref="B770:C770"/>
    <mergeCell ref="D770:E770"/>
    <mergeCell ref="F770:G770"/>
    <mergeCell ref="H770:I770"/>
    <mergeCell ref="J770:K770"/>
    <mergeCell ref="L770:M770"/>
    <mergeCell ref="P770:Q770"/>
    <mergeCell ref="X771:AA771"/>
    <mergeCell ref="AB771:AE771"/>
    <mergeCell ref="B772:C772"/>
    <mergeCell ref="D772:E772"/>
    <mergeCell ref="F772:G772"/>
    <mergeCell ref="H772:I772"/>
    <mergeCell ref="J772:K772"/>
    <mergeCell ref="L772:M772"/>
    <mergeCell ref="P772:Q772"/>
    <mergeCell ref="BD773:BE773"/>
    <mergeCell ref="BF773:BI773"/>
    <mergeCell ref="AN773:AO773"/>
    <mergeCell ref="AP773:AQ773"/>
    <mergeCell ref="AR773:AS773"/>
    <mergeCell ref="AT773:AU773"/>
    <mergeCell ref="AV773:AW773"/>
    <mergeCell ref="AX773:AZ773"/>
    <mergeCell ref="BA773:BB773"/>
    <mergeCell ref="R780:S780"/>
    <mergeCell ref="T780:U780"/>
    <mergeCell ref="V780:W780"/>
    <mergeCell ref="X780:AA780"/>
    <mergeCell ref="AB780:AE780"/>
    <mergeCell ref="AF780:AG780"/>
    <mergeCell ref="AH780:AI780"/>
    <mergeCell ref="AX780:AZ780"/>
    <mergeCell ref="BA780:BB780"/>
    <mergeCell ref="BD780:BE780"/>
    <mergeCell ref="BF780:BI780"/>
    <mergeCell ref="BJ780:BM780"/>
    <mergeCell ref="BN780:BV780"/>
    <mergeCell ref="BJ781:BM781"/>
    <mergeCell ref="BN781:BV781"/>
    <mergeCell ref="BJ782:BM782"/>
    <mergeCell ref="BN782:BV782"/>
    <mergeCell ref="BF774:BI774"/>
    <mergeCell ref="BJ774:BM774"/>
    <mergeCell ref="BN774:BV774"/>
    <mergeCell ref="BJ777:BM777"/>
    <mergeCell ref="BN777:BV777"/>
    <mergeCell ref="B776:C776"/>
    <mergeCell ref="D776:E776"/>
    <mergeCell ref="F776:G776"/>
    <mergeCell ref="H776:I776"/>
    <mergeCell ref="J776:K776"/>
    <mergeCell ref="L776:M776"/>
    <mergeCell ref="P776:Q776"/>
    <mergeCell ref="B777:C777"/>
    <mergeCell ref="D777:E777"/>
    <mergeCell ref="F777:G777"/>
    <mergeCell ref="H777:I777"/>
    <mergeCell ref="J777:K777"/>
    <mergeCell ref="L777:M777"/>
    <mergeCell ref="P777:Q777"/>
    <mergeCell ref="AJ776:AK776"/>
    <mergeCell ref="AL776:AM776"/>
    <mergeCell ref="AN776:AO776"/>
    <mergeCell ref="AP776:AQ776"/>
    <mergeCell ref="AR776:AS776"/>
    <mergeCell ref="AT776:AU776"/>
    <mergeCell ref="AV776:AW776"/>
    <mergeCell ref="BD775:BE775"/>
    <mergeCell ref="BF775:BI775"/>
    <mergeCell ref="AN775:AO775"/>
    <mergeCell ref="AP775:AQ775"/>
    <mergeCell ref="AR775:AS775"/>
    <mergeCell ref="AJ782:AK782"/>
    <mergeCell ref="AL782:AM782"/>
    <mergeCell ref="AN782:AO782"/>
    <mergeCell ref="AP782:AQ782"/>
    <mergeCell ref="AR782:AS782"/>
    <mergeCell ref="AT782:AU782"/>
    <mergeCell ref="AV782:AW782"/>
    <mergeCell ref="BJ779:BM779"/>
    <mergeCell ref="BN779:BV779"/>
    <mergeCell ref="AX782:AZ782"/>
    <mergeCell ref="BA782:BB782"/>
    <mergeCell ref="BD782:BE782"/>
    <mergeCell ref="BF782:BI782"/>
    <mergeCell ref="B782:C782"/>
    <mergeCell ref="D782:E782"/>
    <mergeCell ref="F782:G782"/>
    <mergeCell ref="H782:I782"/>
    <mergeCell ref="J782:K782"/>
    <mergeCell ref="L782:M782"/>
    <mergeCell ref="P782:Q782"/>
    <mergeCell ref="B783:C783"/>
    <mergeCell ref="D783:E783"/>
    <mergeCell ref="F783:G783"/>
    <mergeCell ref="H783:I783"/>
    <mergeCell ref="J783:K783"/>
    <mergeCell ref="L783:M783"/>
    <mergeCell ref="P783:Q783"/>
    <mergeCell ref="B780:C780"/>
    <mergeCell ref="D780:E780"/>
    <mergeCell ref="F780:G780"/>
    <mergeCell ref="H780:I780"/>
    <mergeCell ref="J780:K780"/>
    <mergeCell ref="L780:M780"/>
    <mergeCell ref="P780:Q780"/>
    <mergeCell ref="AJ780:AK780"/>
    <mergeCell ref="AL780:AM780"/>
    <mergeCell ref="AN780:AO780"/>
    <mergeCell ref="AP780:AQ780"/>
    <mergeCell ref="AR780:AS780"/>
    <mergeCell ref="AT780:AU780"/>
    <mergeCell ref="AV780:AW780"/>
    <mergeCell ref="R781:S781"/>
    <mergeCell ref="T781:U781"/>
    <mergeCell ref="V781:W781"/>
    <mergeCell ref="X781:AA781"/>
    <mergeCell ref="AH793:AI793"/>
    <mergeCell ref="BD781:BE781"/>
    <mergeCell ref="BF781:BI781"/>
    <mergeCell ref="AN781:AO781"/>
    <mergeCell ref="AP781:AQ781"/>
    <mergeCell ref="AR781:AS781"/>
    <mergeCell ref="AT781:AU781"/>
    <mergeCell ref="AV781:AW781"/>
    <mergeCell ref="AX781:AZ781"/>
    <mergeCell ref="BA781:BB781"/>
    <mergeCell ref="BD785:BE785"/>
    <mergeCell ref="BF785:BI785"/>
    <mergeCell ref="AN785:AO785"/>
    <mergeCell ref="AP785:AQ785"/>
    <mergeCell ref="AR785:AS785"/>
    <mergeCell ref="AT785:AU785"/>
    <mergeCell ref="AV785:AW785"/>
    <mergeCell ref="AX785:AZ785"/>
    <mergeCell ref="BA785:BB785"/>
    <mergeCell ref="B784:C784"/>
    <mergeCell ref="D784:E784"/>
    <mergeCell ref="F784:G784"/>
    <mergeCell ref="H784:I784"/>
    <mergeCell ref="J784:K784"/>
    <mergeCell ref="L784:M784"/>
    <mergeCell ref="P784:Q784"/>
    <mergeCell ref="B785:C785"/>
    <mergeCell ref="D785:E785"/>
    <mergeCell ref="F785:G785"/>
    <mergeCell ref="H785:I785"/>
    <mergeCell ref="J785:K785"/>
    <mergeCell ref="L785:M785"/>
    <mergeCell ref="P785:Q785"/>
    <mergeCell ref="AJ784:AK784"/>
    <mergeCell ref="AL784:AM784"/>
    <mergeCell ref="AN784:AO784"/>
    <mergeCell ref="AP784:AQ784"/>
    <mergeCell ref="AR784:AS784"/>
    <mergeCell ref="AT784:AU784"/>
    <mergeCell ref="AV784:AW784"/>
    <mergeCell ref="B781:C781"/>
    <mergeCell ref="D781:E781"/>
    <mergeCell ref="F781:G781"/>
    <mergeCell ref="H781:I781"/>
    <mergeCell ref="J781:K781"/>
    <mergeCell ref="L781:M781"/>
    <mergeCell ref="P781:Q781"/>
    <mergeCell ref="AN783:AO783"/>
    <mergeCell ref="AP783:AQ783"/>
    <mergeCell ref="AR783:AS783"/>
    <mergeCell ref="AT783:AU783"/>
    <mergeCell ref="AV783:AW783"/>
    <mergeCell ref="AJ781:AK781"/>
    <mergeCell ref="AL781:AM781"/>
    <mergeCell ref="AB781:AE781"/>
    <mergeCell ref="AF781:AG781"/>
    <mergeCell ref="AH781:AI781"/>
    <mergeCell ref="R782:S782"/>
    <mergeCell ref="T782:U782"/>
    <mergeCell ref="V782:W782"/>
    <mergeCell ref="X782:AA782"/>
    <mergeCell ref="AB782:AE782"/>
    <mergeCell ref="AF782:AG782"/>
    <mergeCell ref="AH782:AI782"/>
    <mergeCell ref="AJ785:AK785"/>
    <mergeCell ref="AL785:AM785"/>
    <mergeCell ref="R785:S785"/>
    <mergeCell ref="T785:U785"/>
    <mergeCell ref="V785:W785"/>
    <mergeCell ref="X785:AA785"/>
    <mergeCell ref="AB785:AE785"/>
    <mergeCell ref="AF785:AG785"/>
    <mergeCell ref="AH785:AI785"/>
    <mergeCell ref="R786:S786"/>
    <mergeCell ref="T786:U786"/>
    <mergeCell ref="V786:W786"/>
    <mergeCell ref="X786:AA786"/>
    <mergeCell ref="AB786:AE786"/>
    <mergeCell ref="AF786:AG786"/>
    <mergeCell ref="AH786:AI786"/>
    <mergeCell ref="AX786:AZ786"/>
    <mergeCell ref="BA786:BB786"/>
    <mergeCell ref="BD786:BE786"/>
    <mergeCell ref="BF786:BI786"/>
    <mergeCell ref="BJ786:BM786"/>
    <mergeCell ref="BN786:BV786"/>
    <mergeCell ref="BJ787:BM787"/>
    <mergeCell ref="BN787:BV787"/>
    <mergeCell ref="AJ783:AK783"/>
    <mergeCell ref="AL783:AM783"/>
    <mergeCell ref="R783:S783"/>
    <mergeCell ref="T783:U783"/>
    <mergeCell ref="V783:W783"/>
    <mergeCell ref="X783:AA783"/>
    <mergeCell ref="AB783:AE783"/>
    <mergeCell ref="AF783:AG783"/>
    <mergeCell ref="AH783:AI783"/>
    <mergeCell ref="R784:S784"/>
    <mergeCell ref="T784:U784"/>
    <mergeCell ref="V784:W784"/>
    <mergeCell ref="X784:AA784"/>
    <mergeCell ref="AB784:AE784"/>
    <mergeCell ref="AF784:AG784"/>
    <mergeCell ref="AH784:AI784"/>
    <mergeCell ref="AX784:AZ784"/>
    <mergeCell ref="BA784:BB784"/>
    <mergeCell ref="BD784:BE784"/>
    <mergeCell ref="BF784:BI784"/>
    <mergeCell ref="BJ784:BM784"/>
    <mergeCell ref="BN784:BV784"/>
    <mergeCell ref="BJ785:BM785"/>
    <mergeCell ref="BN785:BV785"/>
    <mergeCell ref="BD783:BE783"/>
    <mergeCell ref="BF783:BI783"/>
    <mergeCell ref="AX783:AZ783"/>
    <mergeCell ref="BA783:BB783"/>
    <mergeCell ref="BJ783:BM783"/>
    <mergeCell ref="BN783:BV783"/>
    <mergeCell ref="B786:C786"/>
    <mergeCell ref="D786:E786"/>
    <mergeCell ref="F786:G786"/>
    <mergeCell ref="H786:I786"/>
    <mergeCell ref="J786:K786"/>
    <mergeCell ref="L786:M786"/>
    <mergeCell ref="P786:Q786"/>
    <mergeCell ref="B787:C787"/>
    <mergeCell ref="D787:E787"/>
    <mergeCell ref="F787:G787"/>
    <mergeCell ref="H787:I787"/>
    <mergeCell ref="J787:K787"/>
    <mergeCell ref="L787:M787"/>
    <mergeCell ref="P787:Q787"/>
    <mergeCell ref="AJ786:AK786"/>
    <mergeCell ref="AL786:AM786"/>
    <mergeCell ref="AN786:AO786"/>
    <mergeCell ref="AP786:AQ786"/>
    <mergeCell ref="AR786:AS786"/>
    <mergeCell ref="AT786:AU786"/>
    <mergeCell ref="AV786:AW786"/>
    <mergeCell ref="BD789:BE789"/>
    <mergeCell ref="BF789:BI789"/>
    <mergeCell ref="AN789:AO789"/>
    <mergeCell ref="AP789:AQ789"/>
    <mergeCell ref="AR789:AS789"/>
    <mergeCell ref="AT789:AU789"/>
    <mergeCell ref="AV789:AW789"/>
    <mergeCell ref="AX789:AZ789"/>
    <mergeCell ref="BA789:BB789"/>
    <mergeCell ref="AJ787:AK787"/>
    <mergeCell ref="AL787:AM787"/>
    <mergeCell ref="R787:S787"/>
    <mergeCell ref="T787:U787"/>
    <mergeCell ref="V787:W787"/>
    <mergeCell ref="X787:AA787"/>
    <mergeCell ref="AB787:AE787"/>
    <mergeCell ref="AF787:AG787"/>
    <mergeCell ref="AH787:AI787"/>
    <mergeCell ref="R788:S788"/>
    <mergeCell ref="T788:U788"/>
    <mergeCell ref="V788:W788"/>
    <mergeCell ref="X788:AA788"/>
    <mergeCell ref="AB788:AE788"/>
    <mergeCell ref="AF788:AG788"/>
    <mergeCell ref="AH788:AI788"/>
    <mergeCell ref="AX788:AZ788"/>
    <mergeCell ref="BA788:BB788"/>
    <mergeCell ref="BD788:BE788"/>
    <mergeCell ref="BF788:BI788"/>
    <mergeCell ref="BD787:BE787"/>
    <mergeCell ref="BF787:BI787"/>
    <mergeCell ref="AN787:AO787"/>
    <mergeCell ref="AP787:AQ787"/>
    <mergeCell ref="AR787:AS787"/>
    <mergeCell ref="AT787:AU787"/>
    <mergeCell ref="AV787:AW787"/>
    <mergeCell ref="AX787:AZ787"/>
    <mergeCell ref="BA787:BB787"/>
    <mergeCell ref="BJ788:BM788"/>
    <mergeCell ref="BN788:BV788"/>
    <mergeCell ref="BJ789:BM789"/>
    <mergeCell ref="BN789:BV789"/>
    <mergeCell ref="B788:C788"/>
    <mergeCell ref="D788:E788"/>
    <mergeCell ref="F788:G788"/>
    <mergeCell ref="H788:I788"/>
    <mergeCell ref="J788:K788"/>
    <mergeCell ref="L788:M788"/>
    <mergeCell ref="P788:Q788"/>
    <mergeCell ref="B789:C789"/>
    <mergeCell ref="D789:E789"/>
    <mergeCell ref="F789:G789"/>
    <mergeCell ref="H789:I789"/>
    <mergeCell ref="J789:K789"/>
    <mergeCell ref="L789:M789"/>
    <mergeCell ref="P789:Q789"/>
    <mergeCell ref="AJ788:AK788"/>
    <mergeCell ref="AL788:AM788"/>
    <mergeCell ref="AN788:AO788"/>
    <mergeCell ref="AP788:AQ788"/>
    <mergeCell ref="AR788:AS788"/>
    <mergeCell ref="AT788:AU788"/>
    <mergeCell ref="AV788:AW788"/>
    <mergeCell ref="BD791:BE791"/>
    <mergeCell ref="BF791:BI791"/>
    <mergeCell ref="AN791:AO791"/>
    <mergeCell ref="AP791:AQ791"/>
    <mergeCell ref="AR791:AS791"/>
    <mergeCell ref="AT791:AU791"/>
    <mergeCell ref="AV791:AW791"/>
    <mergeCell ref="AX791:AZ791"/>
    <mergeCell ref="BA791:BB791"/>
    <mergeCell ref="AJ789:AK789"/>
    <mergeCell ref="AL789:AM789"/>
    <mergeCell ref="R789:S789"/>
    <mergeCell ref="T789:U789"/>
    <mergeCell ref="V789:W789"/>
    <mergeCell ref="X789:AA789"/>
    <mergeCell ref="AB789:AE789"/>
    <mergeCell ref="AF789:AG789"/>
    <mergeCell ref="AH789:AI789"/>
    <mergeCell ref="R790:S790"/>
    <mergeCell ref="T790:U790"/>
    <mergeCell ref="V790:W790"/>
    <mergeCell ref="X790:AA790"/>
    <mergeCell ref="AB790:AE790"/>
    <mergeCell ref="AF790:AG790"/>
    <mergeCell ref="AH790:AI790"/>
    <mergeCell ref="AX790:AZ790"/>
    <mergeCell ref="BA790:BB790"/>
    <mergeCell ref="BD790:BE790"/>
    <mergeCell ref="BF790:BI790"/>
    <mergeCell ref="BJ790:BM790"/>
    <mergeCell ref="BN790:BV790"/>
    <mergeCell ref="BJ791:BM791"/>
    <mergeCell ref="BN791:BV791"/>
    <mergeCell ref="B790:C790"/>
    <mergeCell ref="D790:E790"/>
    <mergeCell ref="F790:G790"/>
    <mergeCell ref="H790:I790"/>
    <mergeCell ref="J790:K790"/>
    <mergeCell ref="L790:M790"/>
    <mergeCell ref="P790:Q790"/>
    <mergeCell ref="B791:C791"/>
    <mergeCell ref="D791:E791"/>
    <mergeCell ref="F791:G791"/>
    <mergeCell ref="H791:I791"/>
    <mergeCell ref="J791:K791"/>
    <mergeCell ref="L791:M791"/>
    <mergeCell ref="P791:Q791"/>
    <mergeCell ref="AJ790:AK790"/>
    <mergeCell ref="AL790:AM790"/>
    <mergeCell ref="AN790:AO790"/>
    <mergeCell ref="AP790:AQ790"/>
    <mergeCell ref="AR790:AS790"/>
    <mergeCell ref="AT790:AU790"/>
    <mergeCell ref="AV790:AW790"/>
    <mergeCell ref="BD802:BE802"/>
    <mergeCell ref="BF802:BI802"/>
    <mergeCell ref="AN802:AO802"/>
    <mergeCell ref="AP802:AQ802"/>
    <mergeCell ref="AR802:AS802"/>
    <mergeCell ref="AT802:AU802"/>
    <mergeCell ref="AV802:AW802"/>
    <mergeCell ref="AX802:AZ802"/>
    <mergeCell ref="BA802:BB802"/>
    <mergeCell ref="AJ800:AK800"/>
    <mergeCell ref="AL800:AM800"/>
    <mergeCell ref="R800:S800"/>
    <mergeCell ref="T800:U800"/>
    <mergeCell ref="V800:W800"/>
    <mergeCell ref="X800:AA800"/>
    <mergeCell ref="AB800:AE800"/>
    <mergeCell ref="AF800:AG800"/>
    <mergeCell ref="AH800:AI800"/>
    <mergeCell ref="R801:S801"/>
    <mergeCell ref="T801:U801"/>
    <mergeCell ref="V801:W801"/>
    <mergeCell ref="X801:AA801"/>
    <mergeCell ref="AB801:AE801"/>
    <mergeCell ref="AF801:AG801"/>
    <mergeCell ref="AH801:AI801"/>
    <mergeCell ref="AX801:AZ801"/>
    <mergeCell ref="BA801:BB801"/>
    <mergeCell ref="BD801:BE801"/>
    <mergeCell ref="BF801:BI801"/>
    <mergeCell ref="AL797:AM797"/>
    <mergeCell ref="AN797:AO797"/>
    <mergeCell ref="AP797:AQ797"/>
    <mergeCell ref="AR797:AS797"/>
    <mergeCell ref="AT797:AU797"/>
    <mergeCell ref="AV797:AW797"/>
    <mergeCell ref="BD800:BE800"/>
    <mergeCell ref="BF800:BI800"/>
    <mergeCell ref="AN800:AO800"/>
    <mergeCell ref="AP800:AQ800"/>
    <mergeCell ref="AR800:AS800"/>
    <mergeCell ref="AT800:AU800"/>
    <mergeCell ref="AV800:AW800"/>
    <mergeCell ref="AX800:AZ800"/>
    <mergeCell ref="BA800:BB800"/>
    <mergeCell ref="AJ798:AK798"/>
    <mergeCell ref="AL798:AM798"/>
    <mergeCell ref="R798:S798"/>
    <mergeCell ref="T798:U798"/>
    <mergeCell ref="V798:W798"/>
    <mergeCell ref="BJ802:BM802"/>
    <mergeCell ref="BN802:BV802"/>
    <mergeCell ref="B801:C801"/>
    <mergeCell ref="D801:E801"/>
    <mergeCell ref="F801:G801"/>
    <mergeCell ref="H801:I801"/>
    <mergeCell ref="J801:K801"/>
    <mergeCell ref="L801:M801"/>
    <mergeCell ref="P801:Q801"/>
    <mergeCell ref="B802:C802"/>
    <mergeCell ref="D802:E802"/>
    <mergeCell ref="F802:G802"/>
    <mergeCell ref="H802:I802"/>
    <mergeCell ref="J802:K802"/>
    <mergeCell ref="L802:M802"/>
    <mergeCell ref="P802:Q802"/>
    <mergeCell ref="AJ801:AK801"/>
    <mergeCell ref="AL801:AM801"/>
    <mergeCell ref="AN801:AO801"/>
    <mergeCell ref="AP801:AQ801"/>
    <mergeCell ref="AR801:AS801"/>
    <mergeCell ref="AT801:AU801"/>
    <mergeCell ref="AV801:AW801"/>
    <mergeCell ref="AJ796:AK796"/>
    <mergeCell ref="AL796:AM796"/>
    <mergeCell ref="R796:S796"/>
    <mergeCell ref="T796:U796"/>
    <mergeCell ref="V796:W796"/>
    <mergeCell ref="X796:AA796"/>
    <mergeCell ref="AB796:AE796"/>
    <mergeCell ref="AF796:AG796"/>
    <mergeCell ref="AH796:AI796"/>
    <mergeCell ref="R797:S797"/>
    <mergeCell ref="T797:U797"/>
    <mergeCell ref="V797:W797"/>
    <mergeCell ref="X797:AA797"/>
    <mergeCell ref="AB797:AE797"/>
    <mergeCell ref="AF797:AG797"/>
    <mergeCell ref="AH797:AI797"/>
    <mergeCell ref="AX797:AZ797"/>
    <mergeCell ref="BA797:BB797"/>
    <mergeCell ref="BD797:BE797"/>
    <mergeCell ref="BF797:BI797"/>
    <mergeCell ref="BJ797:BM797"/>
    <mergeCell ref="BN797:BV797"/>
    <mergeCell ref="BJ798:BM798"/>
    <mergeCell ref="BN798:BV798"/>
    <mergeCell ref="B797:C797"/>
    <mergeCell ref="D797:E797"/>
    <mergeCell ref="F797:G797"/>
    <mergeCell ref="H797:I797"/>
    <mergeCell ref="J797:K797"/>
    <mergeCell ref="L797:M797"/>
    <mergeCell ref="P797:Q797"/>
    <mergeCell ref="B798:C798"/>
    <mergeCell ref="D798:E798"/>
    <mergeCell ref="F798:G798"/>
    <mergeCell ref="H798:I798"/>
    <mergeCell ref="J798:K798"/>
    <mergeCell ref="L798:M798"/>
    <mergeCell ref="P798:Q798"/>
    <mergeCell ref="AJ797:AK797"/>
    <mergeCell ref="BJ800:BM800"/>
    <mergeCell ref="BN800:BV800"/>
    <mergeCell ref="B799:C799"/>
    <mergeCell ref="D799:E799"/>
    <mergeCell ref="F799:G799"/>
    <mergeCell ref="H799:I799"/>
    <mergeCell ref="J799:K799"/>
    <mergeCell ref="L799:M799"/>
    <mergeCell ref="P799:Q799"/>
    <mergeCell ref="B800:C800"/>
    <mergeCell ref="D800:E800"/>
    <mergeCell ref="F800:G800"/>
    <mergeCell ref="H800:I800"/>
    <mergeCell ref="J800:K800"/>
    <mergeCell ref="L800:M800"/>
    <mergeCell ref="P800:Q800"/>
    <mergeCell ref="AJ799:AK799"/>
    <mergeCell ref="AL799:AM799"/>
    <mergeCell ref="AN799:AO799"/>
    <mergeCell ref="AP799:AQ799"/>
    <mergeCell ref="AR799:AS799"/>
    <mergeCell ref="AT799:AU799"/>
    <mergeCell ref="AV799:AW799"/>
    <mergeCell ref="BD798:BE798"/>
    <mergeCell ref="BF798:BI798"/>
    <mergeCell ref="AN798:AO798"/>
    <mergeCell ref="AP798:AQ798"/>
    <mergeCell ref="AR798:AS798"/>
    <mergeCell ref="AT798:AU798"/>
    <mergeCell ref="AV798:AW798"/>
    <mergeCell ref="AX798:AZ798"/>
    <mergeCell ref="BA798:BB798"/>
    <mergeCell ref="BJ801:BM801"/>
    <mergeCell ref="BN801:BV801"/>
    <mergeCell ref="BJ792:BM792"/>
    <mergeCell ref="BN792:BV792"/>
    <mergeCell ref="B792:C792"/>
    <mergeCell ref="D792:E792"/>
    <mergeCell ref="F792:G792"/>
    <mergeCell ref="H792:I792"/>
    <mergeCell ref="J792:K792"/>
    <mergeCell ref="L792:M792"/>
    <mergeCell ref="P792:Q792"/>
    <mergeCell ref="AJ792:AK792"/>
    <mergeCell ref="AL792:AM792"/>
    <mergeCell ref="AN792:AO792"/>
    <mergeCell ref="AP792:AQ792"/>
    <mergeCell ref="AR792:AS792"/>
    <mergeCell ref="AT792:AU792"/>
    <mergeCell ref="AV792:AW792"/>
    <mergeCell ref="B793:C793"/>
    <mergeCell ref="D793:E793"/>
    <mergeCell ref="F793:G793"/>
    <mergeCell ref="H793:I793"/>
    <mergeCell ref="J793:K793"/>
    <mergeCell ref="L793:M793"/>
    <mergeCell ref="P793:Q793"/>
    <mergeCell ref="X798:AA798"/>
    <mergeCell ref="AB798:AE798"/>
    <mergeCell ref="AF798:AG798"/>
    <mergeCell ref="AH798:AI798"/>
    <mergeCell ref="R799:S799"/>
    <mergeCell ref="T799:U799"/>
    <mergeCell ref="V799:W799"/>
    <mergeCell ref="X799:AA799"/>
    <mergeCell ref="AB799:AE799"/>
    <mergeCell ref="AF799:AG799"/>
    <mergeCell ref="AH799:AI799"/>
    <mergeCell ref="AX799:AZ799"/>
    <mergeCell ref="BA799:BB799"/>
    <mergeCell ref="BD799:BE799"/>
    <mergeCell ref="BF799:BI799"/>
    <mergeCell ref="BJ799:BM799"/>
    <mergeCell ref="BN799:BV799"/>
    <mergeCell ref="X794:AA794"/>
    <mergeCell ref="AB794:AE794"/>
    <mergeCell ref="AF794:AG794"/>
    <mergeCell ref="AH794:AI794"/>
    <mergeCell ref="AX794:AZ794"/>
    <mergeCell ref="BA794:BB794"/>
    <mergeCell ref="BD794:BE794"/>
    <mergeCell ref="BF794:BI794"/>
    <mergeCell ref="BD793:BE793"/>
    <mergeCell ref="BF793:BI793"/>
    <mergeCell ref="AN793:AO793"/>
    <mergeCell ref="AP793:AQ793"/>
    <mergeCell ref="AR793:AS793"/>
    <mergeCell ref="AT793:AU793"/>
    <mergeCell ref="AV793:AW793"/>
    <mergeCell ref="AX793:AZ793"/>
    <mergeCell ref="BA793:BB793"/>
    <mergeCell ref="AJ791:AK791"/>
    <mergeCell ref="AL791:AM791"/>
    <mergeCell ref="R791:S791"/>
    <mergeCell ref="T791:U791"/>
    <mergeCell ref="V791:W791"/>
    <mergeCell ref="X791:AA791"/>
    <mergeCell ref="AB791:AE791"/>
    <mergeCell ref="AF791:AG791"/>
    <mergeCell ref="AH791:AI791"/>
    <mergeCell ref="R792:S792"/>
    <mergeCell ref="T792:U792"/>
    <mergeCell ref="V792:W792"/>
    <mergeCell ref="X792:AA792"/>
    <mergeCell ref="AB792:AE792"/>
    <mergeCell ref="AF792:AG792"/>
    <mergeCell ref="AH792:AI792"/>
    <mergeCell ref="AX792:AZ792"/>
    <mergeCell ref="BA792:BB792"/>
    <mergeCell ref="BD792:BE792"/>
    <mergeCell ref="BF792:BI792"/>
    <mergeCell ref="BJ794:BM794"/>
    <mergeCell ref="BN794:BV794"/>
    <mergeCell ref="AJ794:AK794"/>
    <mergeCell ref="AL794:AM794"/>
    <mergeCell ref="AN794:AO794"/>
    <mergeCell ref="AP794:AQ794"/>
    <mergeCell ref="AR794:AS794"/>
    <mergeCell ref="AT794:AU794"/>
    <mergeCell ref="AV794:AW794"/>
    <mergeCell ref="AJ793:AK793"/>
    <mergeCell ref="AL793:AM793"/>
    <mergeCell ref="BJ793:BM793"/>
    <mergeCell ref="BN793:BV793"/>
    <mergeCell ref="R793:S793"/>
    <mergeCell ref="T793:U793"/>
    <mergeCell ref="V793:W793"/>
    <mergeCell ref="X793:AA793"/>
    <mergeCell ref="AB793:AE793"/>
    <mergeCell ref="AF793:AG793"/>
    <mergeCell ref="B794:C794"/>
    <mergeCell ref="D794:E794"/>
    <mergeCell ref="F794:G794"/>
    <mergeCell ref="H794:I794"/>
    <mergeCell ref="J794:K794"/>
    <mergeCell ref="L794:M794"/>
    <mergeCell ref="P794:Q794"/>
    <mergeCell ref="AX795:AZ795"/>
    <mergeCell ref="BA795:BB795"/>
    <mergeCell ref="BD795:BE795"/>
    <mergeCell ref="BF795:BI795"/>
    <mergeCell ref="BJ795:BM795"/>
    <mergeCell ref="BN795:BV795"/>
    <mergeCell ref="BJ796:BM796"/>
    <mergeCell ref="BN796:BV796"/>
    <mergeCell ref="B796:C796"/>
    <mergeCell ref="D796:E796"/>
    <mergeCell ref="F796:G796"/>
    <mergeCell ref="H796:I796"/>
    <mergeCell ref="J796:K796"/>
    <mergeCell ref="L796:M796"/>
    <mergeCell ref="P796:Q796"/>
    <mergeCell ref="AJ795:AK795"/>
    <mergeCell ref="AL795:AM795"/>
    <mergeCell ref="AN795:AO795"/>
    <mergeCell ref="AP795:AQ795"/>
    <mergeCell ref="AR795:AS795"/>
    <mergeCell ref="AT795:AU795"/>
    <mergeCell ref="AV795:AW795"/>
    <mergeCell ref="R795:S795"/>
    <mergeCell ref="T795:U795"/>
    <mergeCell ref="V795:W795"/>
    <mergeCell ref="X795:AA795"/>
    <mergeCell ref="AB795:AE795"/>
    <mergeCell ref="AF795:AG795"/>
    <mergeCell ref="AH795:AI795"/>
    <mergeCell ref="B795:C795"/>
    <mergeCell ref="D795:E795"/>
    <mergeCell ref="F795:G795"/>
    <mergeCell ref="H795:I795"/>
    <mergeCell ref="J795:K795"/>
    <mergeCell ref="L795:M795"/>
    <mergeCell ref="P795:Q795"/>
    <mergeCell ref="BD796:BE796"/>
    <mergeCell ref="BF796:BI796"/>
    <mergeCell ref="AN796:AO796"/>
    <mergeCell ref="AP796:AQ796"/>
    <mergeCell ref="AR796:AS796"/>
    <mergeCell ref="AT796:AU796"/>
    <mergeCell ref="AV796:AW796"/>
    <mergeCell ref="AX796:AZ796"/>
    <mergeCell ref="BA796:BB796"/>
    <mergeCell ref="R794:S794"/>
    <mergeCell ref="T794:U794"/>
    <mergeCell ref="V794:W794"/>
    <mergeCell ref="BD804:BE804"/>
    <mergeCell ref="BF804:BI804"/>
    <mergeCell ref="AN804:AO804"/>
    <mergeCell ref="AP804:AQ804"/>
    <mergeCell ref="AR804:AS804"/>
    <mergeCell ref="AT804:AU804"/>
    <mergeCell ref="AV804:AW804"/>
    <mergeCell ref="AX804:AZ804"/>
    <mergeCell ref="BA804:BB804"/>
    <mergeCell ref="AJ802:AK802"/>
    <mergeCell ref="AL802:AM802"/>
    <mergeCell ref="R802:S802"/>
    <mergeCell ref="T802:U802"/>
    <mergeCell ref="V802:W802"/>
    <mergeCell ref="X802:AA802"/>
    <mergeCell ref="AB802:AE802"/>
    <mergeCell ref="AF802:AG802"/>
    <mergeCell ref="AH802:AI802"/>
    <mergeCell ref="R803:S803"/>
    <mergeCell ref="T803:U803"/>
    <mergeCell ref="V803:W803"/>
    <mergeCell ref="X803:AA803"/>
    <mergeCell ref="AB803:AE803"/>
    <mergeCell ref="AF803:AG803"/>
    <mergeCell ref="AH803:AI803"/>
    <mergeCell ref="AX803:AZ803"/>
    <mergeCell ref="BA803:BB803"/>
    <mergeCell ref="BD803:BE803"/>
    <mergeCell ref="BF803:BI803"/>
    <mergeCell ref="R810:S810"/>
    <mergeCell ref="T810:U810"/>
    <mergeCell ref="AJ809:AK809"/>
    <mergeCell ref="AL809:AM809"/>
    <mergeCell ref="AN809:AO809"/>
    <mergeCell ref="AP809:AQ809"/>
    <mergeCell ref="AR809:AS809"/>
    <mergeCell ref="AT809:AU809"/>
    <mergeCell ref="AV809:AW809"/>
    <mergeCell ref="AN810:AO810"/>
    <mergeCell ref="AP810:AQ810"/>
    <mergeCell ref="V810:W810"/>
    <mergeCell ref="X810:AA810"/>
    <mergeCell ref="AB810:AE810"/>
    <mergeCell ref="AF810:AG810"/>
    <mergeCell ref="AH810:AI810"/>
    <mergeCell ref="AJ810:AK810"/>
    <mergeCell ref="AL810:AM810"/>
    <mergeCell ref="BJ803:BM803"/>
    <mergeCell ref="BN803:BV803"/>
    <mergeCell ref="BJ804:BM804"/>
    <mergeCell ref="BN804:BV804"/>
    <mergeCell ref="B803:C803"/>
    <mergeCell ref="D803:E803"/>
    <mergeCell ref="F803:G803"/>
    <mergeCell ref="H803:I803"/>
    <mergeCell ref="J803:K803"/>
    <mergeCell ref="L803:M803"/>
    <mergeCell ref="P803:Q803"/>
    <mergeCell ref="B804:C804"/>
    <mergeCell ref="D804:E804"/>
    <mergeCell ref="F804:G804"/>
    <mergeCell ref="H804:I804"/>
    <mergeCell ref="J804:K804"/>
    <mergeCell ref="L804:M804"/>
    <mergeCell ref="P804:Q804"/>
    <mergeCell ref="AJ803:AK803"/>
    <mergeCell ref="AL803:AM803"/>
    <mergeCell ref="AN803:AO803"/>
    <mergeCell ref="AP803:AQ803"/>
    <mergeCell ref="AR803:AS803"/>
    <mergeCell ref="AT803:AU803"/>
    <mergeCell ref="AV803:AW803"/>
    <mergeCell ref="BJ806:BM806"/>
    <mergeCell ref="BN806:BV806"/>
    <mergeCell ref="AR806:AS806"/>
    <mergeCell ref="AT806:AU806"/>
    <mergeCell ref="AV806:AW806"/>
    <mergeCell ref="AX806:AZ806"/>
    <mergeCell ref="BA806:BB806"/>
    <mergeCell ref="BD806:BE806"/>
    <mergeCell ref="BF806:BI806"/>
    <mergeCell ref="AJ804:AK804"/>
    <mergeCell ref="AL804:AM804"/>
    <mergeCell ref="R804:S804"/>
    <mergeCell ref="T804:U804"/>
    <mergeCell ref="V804:W804"/>
    <mergeCell ref="X804:AA804"/>
    <mergeCell ref="AB804:AE804"/>
    <mergeCell ref="AF804:AG804"/>
    <mergeCell ref="AH804:AI804"/>
    <mergeCell ref="R805:S805"/>
    <mergeCell ref="T805:U805"/>
    <mergeCell ref="V805:W805"/>
    <mergeCell ref="X805:AA805"/>
    <mergeCell ref="AB805:AE805"/>
    <mergeCell ref="AF805:AG805"/>
    <mergeCell ref="AH805:AI805"/>
    <mergeCell ref="AX805:AZ805"/>
    <mergeCell ref="BA805:BB805"/>
    <mergeCell ref="BD805:BE805"/>
    <mergeCell ref="BF805:BI805"/>
    <mergeCell ref="BJ805:BM805"/>
    <mergeCell ref="BN805:BV805"/>
    <mergeCell ref="B805:C805"/>
    <mergeCell ref="D805:E805"/>
    <mergeCell ref="F805:G805"/>
    <mergeCell ref="H805:I805"/>
    <mergeCell ref="J805:K805"/>
    <mergeCell ref="L805:M805"/>
    <mergeCell ref="P805:Q805"/>
    <mergeCell ref="B806:C806"/>
    <mergeCell ref="D806:E806"/>
    <mergeCell ref="F806:G806"/>
    <mergeCell ref="H806:I806"/>
    <mergeCell ref="P806:Q806"/>
    <mergeCell ref="R806:S806"/>
    <mergeCell ref="T806:U806"/>
    <mergeCell ref="AJ805:AK805"/>
    <mergeCell ref="AL805:AM805"/>
    <mergeCell ref="AN805:AO805"/>
    <mergeCell ref="AP805:AQ805"/>
    <mergeCell ref="AR805:AS805"/>
    <mergeCell ref="AT805:AU805"/>
    <mergeCell ref="AV805:AW805"/>
    <mergeCell ref="BJ808:BM808"/>
    <mergeCell ref="BN808:BV808"/>
    <mergeCell ref="AR808:AS808"/>
    <mergeCell ref="AT808:AU808"/>
    <mergeCell ref="AV808:AW808"/>
    <mergeCell ref="AX808:AZ808"/>
    <mergeCell ref="BA808:BB808"/>
    <mergeCell ref="BD808:BE808"/>
    <mergeCell ref="BF808:BI808"/>
    <mergeCell ref="AN806:AO806"/>
    <mergeCell ref="AP806:AQ806"/>
    <mergeCell ref="V806:W806"/>
    <mergeCell ref="X806:AA806"/>
    <mergeCell ref="AB806:AE806"/>
    <mergeCell ref="AF806:AG806"/>
    <mergeCell ref="AH806:AI806"/>
    <mergeCell ref="AJ806:AK806"/>
    <mergeCell ref="AL806:AM806"/>
    <mergeCell ref="R807:S807"/>
    <mergeCell ref="T807:U807"/>
    <mergeCell ref="V807:W807"/>
    <mergeCell ref="X807:AA807"/>
    <mergeCell ref="AB807:AE807"/>
    <mergeCell ref="AF807:AG807"/>
    <mergeCell ref="AH807:AI807"/>
    <mergeCell ref="AX807:AZ807"/>
    <mergeCell ref="BA807:BB807"/>
    <mergeCell ref="BD807:BE807"/>
    <mergeCell ref="BF807:BI807"/>
    <mergeCell ref="BJ807:BM807"/>
    <mergeCell ref="BN807:BV807"/>
    <mergeCell ref="B807:C807"/>
    <mergeCell ref="D807:E807"/>
    <mergeCell ref="F807:G807"/>
    <mergeCell ref="H807:I807"/>
    <mergeCell ref="J807:K807"/>
    <mergeCell ref="L807:M807"/>
    <mergeCell ref="P807:Q807"/>
    <mergeCell ref="B808:C808"/>
    <mergeCell ref="D808:E808"/>
    <mergeCell ref="F808:G808"/>
    <mergeCell ref="H808:I808"/>
    <mergeCell ref="P808:Q808"/>
    <mergeCell ref="R808:S808"/>
    <mergeCell ref="T808:U808"/>
    <mergeCell ref="AJ807:AK807"/>
    <mergeCell ref="AL807:AM807"/>
    <mergeCell ref="AN807:AO807"/>
    <mergeCell ref="AP807:AQ807"/>
    <mergeCell ref="AR807:AS807"/>
    <mergeCell ref="AT807:AU807"/>
    <mergeCell ref="AV807:AW807"/>
    <mergeCell ref="BJ810:BM810"/>
    <mergeCell ref="BN810:BV810"/>
    <mergeCell ref="AR810:AS810"/>
    <mergeCell ref="AT810:AU810"/>
    <mergeCell ref="AV810:AW810"/>
    <mergeCell ref="AX810:AZ810"/>
    <mergeCell ref="BA810:BB810"/>
    <mergeCell ref="BD810:BE810"/>
    <mergeCell ref="BF810:BI810"/>
    <mergeCell ref="AN808:AO808"/>
    <mergeCell ref="AP808:AQ808"/>
    <mergeCell ref="V808:W808"/>
    <mergeCell ref="X808:AA808"/>
    <mergeCell ref="AB808:AE808"/>
    <mergeCell ref="AF808:AG808"/>
    <mergeCell ref="AH808:AI808"/>
    <mergeCell ref="AJ808:AK808"/>
    <mergeCell ref="AL808:AM808"/>
    <mergeCell ref="R809:S809"/>
    <mergeCell ref="T809:U809"/>
    <mergeCell ref="V809:W809"/>
    <mergeCell ref="X809:AA809"/>
    <mergeCell ref="AB809:AE809"/>
    <mergeCell ref="AF809:AG809"/>
    <mergeCell ref="AH809:AI809"/>
    <mergeCell ref="AX809:AZ809"/>
    <mergeCell ref="BA809:BB809"/>
    <mergeCell ref="BD809:BE809"/>
    <mergeCell ref="BF809:BI809"/>
    <mergeCell ref="BJ809:BM809"/>
    <mergeCell ref="BN809:BV809"/>
    <mergeCell ref="B809:C809"/>
    <mergeCell ref="D809:E809"/>
    <mergeCell ref="F809:G809"/>
    <mergeCell ref="H809:I809"/>
    <mergeCell ref="J809:K809"/>
    <mergeCell ref="L809:M809"/>
    <mergeCell ref="P809:Q809"/>
    <mergeCell ref="B810:C810"/>
    <mergeCell ref="D810:E810"/>
    <mergeCell ref="F810:G810"/>
    <mergeCell ref="H810:I810"/>
    <mergeCell ref="P810:Q810"/>
    <mergeCell ref="R811:S811"/>
    <mergeCell ref="T811:U811"/>
    <mergeCell ref="V811:W811"/>
    <mergeCell ref="X811:AA811"/>
    <mergeCell ref="AB811:AE811"/>
    <mergeCell ref="AF811:AG811"/>
    <mergeCell ref="AH811:AI811"/>
    <mergeCell ref="AX811:AZ811"/>
    <mergeCell ref="BA811:BB811"/>
    <mergeCell ref="BD811:BE811"/>
    <mergeCell ref="BF811:BI811"/>
    <mergeCell ref="BJ811:BM811"/>
    <mergeCell ref="BN811:BV811"/>
    <mergeCell ref="B811:C811"/>
    <mergeCell ref="D811:E811"/>
    <mergeCell ref="F811:G811"/>
    <mergeCell ref="H811:I811"/>
    <mergeCell ref="J811:K811"/>
    <mergeCell ref="L811:M811"/>
    <mergeCell ref="P811:Q811"/>
    <mergeCell ref="B812:C812"/>
    <mergeCell ref="D812:E812"/>
    <mergeCell ref="F812:G812"/>
    <mergeCell ref="H812:I812"/>
    <mergeCell ref="P812:Q812"/>
    <mergeCell ref="R812:S812"/>
    <mergeCell ref="T812:U812"/>
    <mergeCell ref="AJ811:AK811"/>
    <mergeCell ref="AL811:AM811"/>
    <mergeCell ref="AN811:AO811"/>
    <mergeCell ref="AP811:AQ811"/>
    <mergeCell ref="AR811:AS811"/>
    <mergeCell ref="AT811:AU811"/>
    <mergeCell ref="AV811:AW811"/>
    <mergeCell ref="AN812:AO812"/>
    <mergeCell ref="AP812:AQ812"/>
    <mergeCell ref="V812:W812"/>
    <mergeCell ref="X812:AA812"/>
    <mergeCell ref="AB812:AE812"/>
    <mergeCell ref="AF812:AG812"/>
    <mergeCell ref="AH812:AI812"/>
    <mergeCell ref="AJ812:AK812"/>
    <mergeCell ref="AL812:AM812"/>
    <mergeCell ref="BJ812:BM812"/>
    <mergeCell ref="BN812:BV812"/>
    <mergeCell ref="AR812:AS812"/>
    <mergeCell ref="AT812:AU812"/>
    <mergeCell ref="AV812:AW812"/>
    <mergeCell ref="AX812:AZ812"/>
    <mergeCell ref="BA812:BB812"/>
    <mergeCell ref="BD812:BE812"/>
    <mergeCell ref="BF812:BI812"/>
    <mergeCell ref="R813:S813"/>
    <mergeCell ref="T813:U813"/>
    <mergeCell ref="V813:W813"/>
    <mergeCell ref="X813:AA813"/>
    <mergeCell ref="AB813:AE813"/>
    <mergeCell ref="AF813:AG813"/>
    <mergeCell ref="AH813:AI813"/>
    <mergeCell ref="AX813:AZ813"/>
    <mergeCell ref="BA813:BB813"/>
    <mergeCell ref="BD813:BE813"/>
    <mergeCell ref="BF813:BI813"/>
    <mergeCell ref="BJ813:BM813"/>
    <mergeCell ref="BN813:BV813"/>
    <mergeCell ref="B813:C813"/>
    <mergeCell ref="D813:E813"/>
    <mergeCell ref="F813:G813"/>
    <mergeCell ref="H813:I813"/>
    <mergeCell ref="J813:K813"/>
    <mergeCell ref="L813:M813"/>
    <mergeCell ref="P813:Q813"/>
    <mergeCell ref="B814:C814"/>
    <mergeCell ref="D814:E814"/>
    <mergeCell ref="F814:G814"/>
    <mergeCell ref="H814:I814"/>
    <mergeCell ref="P814:Q814"/>
    <mergeCell ref="R814:S814"/>
    <mergeCell ref="T814:U814"/>
    <mergeCell ref="AJ813:AK813"/>
    <mergeCell ref="AL813:AM813"/>
    <mergeCell ref="AN813:AO813"/>
    <mergeCell ref="AP813:AQ813"/>
    <mergeCell ref="AR813:AS813"/>
    <mergeCell ref="AT813:AU813"/>
    <mergeCell ref="AV813:AW813"/>
    <mergeCell ref="V822:W822"/>
    <mergeCell ref="X822:AA822"/>
    <mergeCell ref="AB822:AE822"/>
    <mergeCell ref="AF822:AG822"/>
    <mergeCell ref="AH822:AI822"/>
    <mergeCell ref="AJ822:AK822"/>
    <mergeCell ref="AL822:AM822"/>
    <mergeCell ref="BD822:BE822"/>
    <mergeCell ref="BF822:BI822"/>
    <mergeCell ref="BJ822:BM822"/>
    <mergeCell ref="BN822:BV822"/>
    <mergeCell ref="AN822:AO822"/>
    <mergeCell ref="AP822:AQ822"/>
    <mergeCell ref="AR822:AS822"/>
    <mergeCell ref="AT822:AU822"/>
    <mergeCell ref="AV822:AW822"/>
    <mergeCell ref="AX822:AZ822"/>
    <mergeCell ref="BA822:BB822"/>
    <mergeCell ref="B822:C822"/>
    <mergeCell ref="D822:E822"/>
    <mergeCell ref="F822:G822"/>
    <mergeCell ref="H822:I822"/>
    <mergeCell ref="P822:Q822"/>
    <mergeCell ref="R822:S822"/>
    <mergeCell ref="T822:U822"/>
    <mergeCell ref="B823:C823"/>
    <mergeCell ref="D823:E823"/>
    <mergeCell ref="F823:G823"/>
    <mergeCell ref="H823:I823"/>
    <mergeCell ref="J823:K823"/>
    <mergeCell ref="L823:M823"/>
    <mergeCell ref="P823:Q823"/>
    <mergeCell ref="AX823:AZ823"/>
    <mergeCell ref="BA823:BB823"/>
    <mergeCell ref="BD823:BE823"/>
    <mergeCell ref="BF823:BI823"/>
    <mergeCell ref="BJ823:BM823"/>
    <mergeCell ref="BN823:BV823"/>
    <mergeCell ref="AN823:AO823"/>
    <mergeCell ref="AP823:AQ823"/>
    <mergeCell ref="AR823:AS823"/>
    <mergeCell ref="AT823:AU823"/>
    <mergeCell ref="AV823:AW823"/>
    <mergeCell ref="R823:S823"/>
    <mergeCell ref="T823:U823"/>
    <mergeCell ref="V823:W823"/>
    <mergeCell ref="X823:AA823"/>
    <mergeCell ref="AB823:AE823"/>
    <mergeCell ref="AF823:AG823"/>
    <mergeCell ref="AH823:AI823"/>
    <mergeCell ref="AJ823:AK823"/>
    <mergeCell ref="AL823:AM823"/>
    <mergeCell ref="AF824:AG824"/>
    <mergeCell ref="AH824:AI824"/>
    <mergeCell ref="AJ824:AK824"/>
    <mergeCell ref="AL824:AM824"/>
    <mergeCell ref="BD824:BE824"/>
    <mergeCell ref="BF824:BI824"/>
    <mergeCell ref="BJ824:BM824"/>
    <mergeCell ref="BN824:BV824"/>
    <mergeCell ref="AN824:AO824"/>
    <mergeCell ref="AP824:AQ824"/>
    <mergeCell ref="AR824:AS824"/>
    <mergeCell ref="AT824:AU824"/>
    <mergeCell ref="AV824:AW824"/>
    <mergeCell ref="AX824:AZ824"/>
    <mergeCell ref="BA824:BB824"/>
    <mergeCell ref="B824:C824"/>
    <mergeCell ref="D824:E824"/>
    <mergeCell ref="F824:G824"/>
    <mergeCell ref="H824:I824"/>
    <mergeCell ref="P824:Q824"/>
    <mergeCell ref="R824:S824"/>
    <mergeCell ref="T824:U824"/>
    <mergeCell ref="B825:C825"/>
    <mergeCell ref="D825:E825"/>
    <mergeCell ref="F825:G825"/>
    <mergeCell ref="H825:I825"/>
    <mergeCell ref="J825:K825"/>
    <mergeCell ref="L825:M825"/>
    <mergeCell ref="P825:Q825"/>
    <mergeCell ref="AX825:AZ825"/>
    <mergeCell ref="BA825:BB825"/>
    <mergeCell ref="BD825:BE825"/>
    <mergeCell ref="BF825:BI825"/>
    <mergeCell ref="BJ825:BM825"/>
    <mergeCell ref="BN825:BV825"/>
    <mergeCell ref="AN825:AO825"/>
    <mergeCell ref="AP825:AQ825"/>
    <mergeCell ref="AR825:AS825"/>
    <mergeCell ref="AT825:AU825"/>
    <mergeCell ref="AV825:AW825"/>
    <mergeCell ref="R825:S825"/>
    <mergeCell ref="T825:U825"/>
    <mergeCell ref="V825:W825"/>
    <mergeCell ref="X825:AA825"/>
    <mergeCell ref="AB825:AE825"/>
    <mergeCell ref="AF825:AG825"/>
    <mergeCell ref="AH825:AI825"/>
    <mergeCell ref="AJ825:AK825"/>
    <mergeCell ref="AL825:AM825"/>
    <mergeCell ref="B909:C909"/>
    <mergeCell ref="D909:E909"/>
    <mergeCell ref="F909:G909"/>
    <mergeCell ref="H909:I909"/>
    <mergeCell ref="J909:K909"/>
    <mergeCell ref="L909:M909"/>
    <mergeCell ref="P909:Q909"/>
    <mergeCell ref="AX909:AZ909"/>
    <mergeCell ref="BA909:BB909"/>
    <mergeCell ref="BD909:BE909"/>
    <mergeCell ref="BF909:BI909"/>
    <mergeCell ref="BJ909:BM909"/>
    <mergeCell ref="BN909:BV909"/>
    <mergeCell ref="AN909:AO909"/>
    <mergeCell ref="AP909:AQ909"/>
    <mergeCell ref="AR909:AS909"/>
    <mergeCell ref="AT909:AU909"/>
    <mergeCell ref="AV909:AW909"/>
    <mergeCell ref="R905:S905"/>
    <mergeCell ref="T905:U905"/>
    <mergeCell ref="V905:W905"/>
    <mergeCell ref="X905:AA905"/>
    <mergeCell ref="AB905:AE905"/>
    <mergeCell ref="AF905:AG905"/>
    <mergeCell ref="AH905:AI905"/>
    <mergeCell ref="V906:W906"/>
    <mergeCell ref="X906:AA906"/>
    <mergeCell ref="AB906:AE906"/>
    <mergeCell ref="AF906:AG906"/>
    <mergeCell ref="AH906:AI906"/>
    <mergeCell ref="AJ906:AK906"/>
    <mergeCell ref="AL906:AM906"/>
    <mergeCell ref="BD906:BE906"/>
    <mergeCell ref="BF906:BI906"/>
    <mergeCell ref="BJ906:BM906"/>
    <mergeCell ref="BN906:BV906"/>
    <mergeCell ref="AN906:AO906"/>
    <mergeCell ref="AP906:AQ906"/>
    <mergeCell ref="AR906:AS906"/>
    <mergeCell ref="AT906:AU906"/>
    <mergeCell ref="AV906:AW906"/>
    <mergeCell ref="AX906:AZ906"/>
    <mergeCell ref="BA906:BB906"/>
    <mergeCell ref="B906:C906"/>
    <mergeCell ref="D906:E906"/>
    <mergeCell ref="F906:G906"/>
    <mergeCell ref="H906:I906"/>
    <mergeCell ref="P906:Q906"/>
    <mergeCell ref="R906:S906"/>
    <mergeCell ref="T906:U906"/>
    <mergeCell ref="B907:C907"/>
    <mergeCell ref="D907:E907"/>
    <mergeCell ref="F907:G907"/>
    <mergeCell ref="H907:I907"/>
    <mergeCell ref="J907:K907"/>
    <mergeCell ref="L907:M907"/>
    <mergeCell ref="P907:Q907"/>
    <mergeCell ref="AX907:AZ907"/>
    <mergeCell ref="BA907:BB907"/>
    <mergeCell ref="BD907:BE907"/>
    <mergeCell ref="BF907:BI907"/>
    <mergeCell ref="BJ907:BM907"/>
    <mergeCell ref="BN907:BV907"/>
    <mergeCell ref="AJ905:AK905"/>
    <mergeCell ref="B815:C815"/>
    <mergeCell ref="D815:E815"/>
    <mergeCell ref="F815:G815"/>
    <mergeCell ref="H815:I815"/>
    <mergeCell ref="J815:K815"/>
    <mergeCell ref="L815:M815"/>
    <mergeCell ref="P815:Q815"/>
    <mergeCell ref="AJ815:AK815"/>
    <mergeCell ref="AL815:AM815"/>
    <mergeCell ref="AN815:AO815"/>
    <mergeCell ref="AP815:AQ815"/>
    <mergeCell ref="AR815:AS815"/>
    <mergeCell ref="AT815:AU815"/>
    <mergeCell ref="AV815:AW815"/>
    <mergeCell ref="B816:C816"/>
    <mergeCell ref="D816:E816"/>
    <mergeCell ref="F816:G816"/>
    <mergeCell ref="H816:I816"/>
    <mergeCell ref="P816:Q816"/>
    <mergeCell ref="R816:S816"/>
    <mergeCell ref="T816:U816"/>
    <mergeCell ref="V908:W908"/>
    <mergeCell ref="X908:AA908"/>
    <mergeCell ref="AB908:AE908"/>
    <mergeCell ref="AF908:AG908"/>
    <mergeCell ref="AH908:AI908"/>
    <mergeCell ref="AJ908:AK908"/>
    <mergeCell ref="AL908:AM908"/>
    <mergeCell ref="BD908:BE908"/>
    <mergeCell ref="BF908:BI908"/>
    <mergeCell ref="BJ908:BM908"/>
    <mergeCell ref="BN908:BV908"/>
    <mergeCell ref="AN908:AO908"/>
    <mergeCell ref="AP908:AQ908"/>
    <mergeCell ref="AR908:AS908"/>
    <mergeCell ref="AT908:AU908"/>
    <mergeCell ref="AV908:AW908"/>
    <mergeCell ref="AX908:AZ908"/>
    <mergeCell ref="BA908:BB908"/>
    <mergeCell ref="B908:C908"/>
    <mergeCell ref="D908:E908"/>
    <mergeCell ref="F908:G908"/>
    <mergeCell ref="H908:I908"/>
    <mergeCell ref="P908:Q908"/>
    <mergeCell ref="R908:S908"/>
    <mergeCell ref="T908:U908"/>
    <mergeCell ref="AL905:AM905"/>
    <mergeCell ref="AN907:AO907"/>
    <mergeCell ref="AP907:AQ907"/>
    <mergeCell ref="AR907:AS907"/>
    <mergeCell ref="AT907:AU907"/>
    <mergeCell ref="AV907:AW907"/>
    <mergeCell ref="R907:S907"/>
    <mergeCell ref="T907:U907"/>
    <mergeCell ref="V907:W907"/>
    <mergeCell ref="X907:AA907"/>
    <mergeCell ref="AB907:AE907"/>
    <mergeCell ref="AF907:AG907"/>
    <mergeCell ref="AH907:AI907"/>
    <mergeCell ref="AJ907:AK907"/>
    <mergeCell ref="AL907:AM907"/>
    <mergeCell ref="V824:W824"/>
    <mergeCell ref="X824:AA824"/>
    <mergeCell ref="AB824:AE824"/>
    <mergeCell ref="AP819:AQ819"/>
    <mergeCell ref="AR819:AS819"/>
    <mergeCell ref="AT819:AU819"/>
    <mergeCell ref="AV819:AW819"/>
    <mergeCell ref="AX819:AZ819"/>
    <mergeCell ref="BA819:BB819"/>
    <mergeCell ref="R817:S817"/>
    <mergeCell ref="T817:U817"/>
    <mergeCell ref="V817:W817"/>
    <mergeCell ref="X817:AA817"/>
    <mergeCell ref="AB817:AE817"/>
    <mergeCell ref="AF817:AG817"/>
    <mergeCell ref="AH817:AI817"/>
    <mergeCell ref="AX817:AZ817"/>
    <mergeCell ref="BA817:BB817"/>
    <mergeCell ref="BJ816:BM816"/>
    <mergeCell ref="BN816:BV816"/>
    <mergeCell ref="AR816:AS816"/>
    <mergeCell ref="AT816:AU816"/>
    <mergeCell ref="AV816:AW816"/>
    <mergeCell ref="AX816:AZ816"/>
    <mergeCell ref="BA816:BB816"/>
    <mergeCell ref="BD816:BE816"/>
    <mergeCell ref="BF816:BI816"/>
    <mergeCell ref="AN814:AO814"/>
    <mergeCell ref="AP814:AQ814"/>
    <mergeCell ref="V814:W814"/>
    <mergeCell ref="X814:AA814"/>
    <mergeCell ref="AB814:AE814"/>
    <mergeCell ref="AF814:AG814"/>
    <mergeCell ref="AH814:AI814"/>
    <mergeCell ref="AJ814:AK814"/>
    <mergeCell ref="AL814:AM814"/>
    <mergeCell ref="R815:S815"/>
    <mergeCell ref="T815:U815"/>
    <mergeCell ref="V815:W815"/>
    <mergeCell ref="X815:AA815"/>
    <mergeCell ref="AB815:AE815"/>
    <mergeCell ref="AF815:AG815"/>
    <mergeCell ref="AH815:AI815"/>
    <mergeCell ref="AX815:AZ815"/>
    <mergeCell ref="BA815:BB815"/>
    <mergeCell ref="BD815:BE815"/>
    <mergeCell ref="BF815:BI815"/>
    <mergeCell ref="BJ815:BM815"/>
    <mergeCell ref="BN815:BV815"/>
    <mergeCell ref="BJ814:BM814"/>
    <mergeCell ref="BN814:BV814"/>
    <mergeCell ref="AR814:AS814"/>
    <mergeCell ref="AT814:AU814"/>
    <mergeCell ref="AV814:AW814"/>
    <mergeCell ref="AX814:AZ814"/>
    <mergeCell ref="BA814:BB814"/>
    <mergeCell ref="BD814:BE814"/>
    <mergeCell ref="BF814:BI814"/>
    <mergeCell ref="AN816:AO816"/>
    <mergeCell ref="AP816:AQ816"/>
    <mergeCell ref="V816:W816"/>
    <mergeCell ref="X816:AA816"/>
    <mergeCell ref="AB816:AE816"/>
    <mergeCell ref="AF816:AG816"/>
    <mergeCell ref="AH816:AI816"/>
    <mergeCell ref="AJ816:AK816"/>
    <mergeCell ref="AL816:AM816"/>
    <mergeCell ref="BD817:BE817"/>
    <mergeCell ref="BF817:BI817"/>
    <mergeCell ref="BJ817:BM817"/>
    <mergeCell ref="BN817:BV817"/>
    <mergeCell ref="AJ817:AK817"/>
    <mergeCell ref="AL817:AM817"/>
    <mergeCell ref="AN817:AO817"/>
    <mergeCell ref="AP817:AQ817"/>
    <mergeCell ref="AR817:AS817"/>
    <mergeCell ref="AT817:AU817"/>
    <mergeCell ref="AV817:AW817"/>
    <mergeCell ref="B817:C817"/>
    <mergeCell ref="D817:E817"/>
    <mergeCell ref="F817:G817"/>
    <mergeCell ref="H817:I817"/>
    <mergeCell ref="J817:K817"/>
    <mergeCell ref="L817:M817"/>
    <mergeCell ref="P817:Q817"/>
    <mergeCell ref="BD818:BE818"/>
    <mergeCell ref="BF818:BI818"/>
    <mergeCell ref="BJ818:BM818"/>
    <mergeCell ref="BN818:BV818"/>
    <mergeCell ref="B819:C819"/>
    <mergeCell ref="D819:E819"/>
    <mergeCell ref="F819:G819"/>
    <mergeCell ref="H819:I819"/>
    <mergeCell ref="J819:K819"/>
    <mergeCell ref="L819:M819"/>
    <mergeCell ref="P819:Q819"/>
    <mergeCell ref="BD819:BE819"/>
    <mergeCell ref="BF819:BI819"/>
    <mergeCell ref="BJ819:BM819"/>
    <mergeCell ref="BN819:BV819"/>
    <mergeCell ref="R819:S819"/>
    <mergeCell ref="T819:U819"/>
    <mergeCell ref="V819:W819"/>
    <mergeCell ref="X819:AA819"/>
    <mergeCell ref="AB819:AE819"/>
    <mergeCell ref="AF819:AG819"/>
    <mergeCell ref="AH819:AI819"/>
    <mergeCell ref="AJ819:AK819"/>
    <mergeCell ref="AL819:AM819"/>
    <mergeCell ref="V818:W818"/>
    <mergeCell ref="X818:AA818"/>
    <mergeCell ref="AB818:AE818"/>
    <mergeCell ref="AF818:AG818"/>
    <mergeCell ref="AH818:AI818"/>
    <mergeCell ref="AJ818:AK818"/>
    <mergeCell ref="AL818:AM818"/>
    <mergeCell ref="B818:C818"/>
    <mergeCell ref="D818:E818"/>
    <mergeCell ref="F818:G818"/>
    <mergeCell ref="H818:I818"/>
    <mergeCell ref="P818:Q818"/>
    <mergeCell ref="R818:S818"/>
    <mergeCell ref="T818:U818"/>
    <mergeCell ref="AN818:AO818"/>
    <mergeCell ref="AP818:AQ818"/>
    <mergeCell ref="AR818:AS818"/>
    <mergeCell ref="AT818:AU818"/>
    <mergeCell ref="AV818:AW818"/>
    <mergeCell ref="AX818:AZ818"/>
    <mergeCell ref="BA818:BB818"/>
    <mergeCell ref="AN819:AO819"/>
    <mergeCell ref="V820:W820"/>
    <mergeCell ref="X820:AA820"/>
    <mergeCell ref="AB820:AE820"/>
    <mergeCell ref="AF820:AG820"/>
    <mergeCell ref="AH820:AI820"/>
    <mergeCell ref="AJ820:AK820"/>
    <mergeCell ref="AL820:AM820"/>
    <mergeCell ref="BD820:BE820"/>
    <mergeCell ref="BF820:BI820"/>
    <mergeCell ref="BJ820:BM820"/>
    <mergeCell ref="BN820:BV820"/>
    <mergeCell ref="AN820:AO820"/>
    <mergeCell ref="AP820:AQ820"/>
    <mergeCell ref="AR820:AS820"/>
    <mergeCell ref="AT820:AU820"/>
    <mergeCell ref="AV820:AW820"/>
    <mergeCell ref="AX820:AZ820"/>
    <mergeCell ref="BA820:BB820"/>
    <mergeCell ref="B820:C820"/>
    <mergeCell ref="D820:E820"/>
    <mergeCell ref="F820:G820"/>
    <mergeCell ref="H820:I820"/>
    <mergeCell ref="P820:Q820"/>
    <mergeCell ref="R820:S820"/>
    <mergeCell ref="T820:U820"/>
    <mergeCell ref="B821:C821"/>
    <mergeCell ref="D821:E821"/>
    <mergeCell ref="F821:G821"/>
    <mergeCell ref="H821:I821"/>
    <mergeCell ref="J821:K821"/>
    <mergeCell ref="L821:M821"/>
    <mergeCell ref="P821:Q821"/>
    <mergeCell ref="AX821:AZ821"/>
    <mergeCell ref="BA821:BB821"/>
    <mergeCell ref="BD821:BE821"/>
    <mergeCell ref="BF821:BI821"/>
    <mergeCell ref="BJ821:BM821"/>
    <mergeCell ref="BN821:BV821"/>
    <mergeCell ref="AN821:AO821"/>
    <mergeCell ref="AP821:AQ821"/>
    <mergeCell ref="AR821:AS821"/>
    <mergeCell ref="AT821:AU821"/>
    <mergeCell ref="AV821:AW821"/>
    <mergeCell ref="R821:S821"/>
    <mergeCell ref="T821:U821"/>
    <mergeCell ref="V821:W821"/>
    <mergeCell ref="X821:AA821"/>
    <mergeCell ref="AB821:AE821"/>
    <mergeCell ref="AF821:AG821"/>
    <mergeCell ref="AH821:AI821"/>
    <mergeCell ref="AJ821:AK821"/>
    <mergeCell ref="AL821:AM821"/>
    <mergeCell ref="BJ911:BM911"/>
    <mergeCell ref="BN911:BV911"/>
    <mergeCell ref="R911:S911"/>
    <mergeCell ref="T911:U911"/>
    <mergeCell ref="V911:W911"/>
    <mergeCell ref="X911:AA911"/>
    <mergeCell ref="AB911:AE911"/>
    <mergeCell ref="AF911:AG911"/>
    <mergeCell ref="AH911:AI911"/>
    <mergeCell ref="R881:S881"/>
    <mergeCell ref="T881:U881"/>
    <mergeCell ref="V881:W881"/>
    <mergeCell ref="X881:AA881"/>
    <mergeCell ref="AB881:AE881"/>
    <mergeCell ref="AF881:AG881"/>
    <mergeCell ref="AH881:AI881"/>
    <mergeCell ref="V882:W882"/>
    <mergeCell ref="X882:AA882"/>
    <mergeCell ref="AB882:AE882"/>
    <mergeCell ref="AF882:AG882"/>
    <mergeCell ref="AH882:AI882"/>
    <mergeCell ref="AJ882:AK882"/>
    <mergeCell ref="AL882:AM882"/>
    <mergeCell ref="BD882:BE882"/>
    <mergeCell ref="BF882:BI882"/>
    <mergeCell ref="BJ882:BM882"/>
    <mergeCell ref="BN882:BV882"/>
    <mergeCell ref="AN882:AO882"/>
    <mergeCell ref="AP882:AQ882"/>
    <mergeCell ref="AR882:AS882"/>
    <mergeCell ref="AT882:AU882"/>
    <mergeCell ref="AV882:AW882"/>
    <mergeCell ref="AX882:AZ882"/>
    <mergeCell ref="BA882:BB882"/>
    <mergeCell ref="V884:W884"/>
    <mergeCell ref="X884:AA884"/>
    <mergeCell ref="AB884:AE884"/>
    <mergeCell ref="AF884:AG884"/>
    <mergeCell ref="AH884:AI884"/>
    <mergeCell ref="AJ884:AK884"/>
    <mergeCell ref="AL884:AM884"/>
    <mergeCell ref="BD884:BE884"/>
    <mergeCell ref="BF884:BI884"/>
    <mergeCell ref="BJ884:BM884"/>
    <mergeCell ref="BN884:BV884"/>
    <mergeCell ref="AN884:AO884"/>
    <mergeCell ref="AP884:AQ884"/>
    <mergeCell ref="AR884:AS884"/>
    <mergeCell ref="AT884:AU884"/>
    <mergeCell ref="AV884:AW884"/>
    <mergeCell ref="AX884:AZ884"/>
    <mergeCell ref="BA884:BB884"/>
    <mergeCell ref="V886:W886"/>
    <mergeCell ref="X886:AA886"/>
    <mergeCell ref="AB886:AE886"/>
    <mergeCell ref="AF886:AG886"/>
    <mergeCell ref="AH886:AI886"/>
    <mergeCell ref="AJ886:AK886"/>
    <mergeCell ref="AL886:AM886"/>
    <mergeCell ref="BD886:BE886"/>
    <mergeCell ref="BF886:BI886"/>
    <mergeCell ref="BJ886:BM886"/>
    <mergeCell ref="BN886:BV886"/>
    <mergeCell ref="AN886:AO886"/>
    <mergeCell ref="B882:C882"/>
    <mergeCell ref="D882:E882"/>
    <mergeCell ref="F882:G882"/>
    <mergeCell ref="H882:I882"/>
    <mergeCell ref="P882:Q882"/>
    <mergeCell ref="R882:S882"/>
    <mergeCell ref="T882:U882"/>
    <mergeCell ref="B883:C883"/>
    <mergeCell ref="D883:E883"/>
    <mergeCell ref="F883:G883"/>
    <mergeCell ref="H883:I883"/>
    <mergeCell ref="J883:K883"/>
    <mergeCell ref="L883:M883"/>
    <mergeCell ref="P883:Q883"/>
    <mergeCell ref="AX883:AZ883"/>
    <mergeCell ref="BA883:BB883"/>
    <mergeCell ref="BD883:BE883"/>
    <mergeCell ref="BF883:BI883"/>
    <mergeCell ref="BJ883:BM883"/>
    <mergeCell ref="BN883:BV883"/>
    <mergeCell ref="AJ881:AK881"/>
    <mergeCell ref="AL881:AM881"/>
    <mergeCell ref="AN883:AO883"/>
    <mergeCell ref="AP883:AQ883"/>
    <mergeCell ref="AR883:AS883"/>
    <mergeCell ref="AT883:AU883"/>
    <mergeCell ref="AV883:AW883"/>
    <mergeCell ref="R883:S883"/>
    <mergeCell ref="T883:U883"/>
    <mergeCell ref="V883:W883"/>
    <mergeCell ref="X883:AA883"/>
    <mergeCell ref="AB883:AE883"/>
    <mergeCell ref="AF883:AG883"/>
    <mergeCell ref="AH883:AI883"/>
    <mergeCell ref="B884:C884"/>
    <mergeCell ref="D884:E884"/>
    <mergeCell ref="F884:G884"/>
    <mergeCell ref="H884:I884"/>
    <mergeCell ref="P884:Q884"/>
    <mergeCell ref="R884:S884"/>
    <mergeCell ref="T884:U884"/>
    <mergeCell ref="B885:C885"/>
    <mergeCell ref="D885:E885"/>
    <mergeCell ref="F885:G885"/>
    <mergeCell ref="H885:I885"/>
    <mergeCell ref="J885:K885"/>
    <mergeCell ref="L885:M885"/>
    <mergeCell ref="P885:Q885"/>
    <mergeCell ref="AX885:AZ885"/>
    <mergeCell ref="BA885:BB885"/>
    <mergeCell ref="BD885:BE885"/>
    <mergeCell ref="BF885:BI885"/>
    <mergeCell ref="BJ885:BM885"/>
    <mergeCell ref="BN885:BV885"/>
    <mergeCell ref="AJ883:AK883"/>
    <mergeCell ref="AL883:AM883"/>
    <mergeCell ref="AN885:AO885"/>
    <mergeCell ref="AP885:AQ885"/>
    <mergeCell ref="AR885:AS885"/>
    <mergeCell ref="AT885:AU885"/>
    <mergeCell ref="AV885:AW885"/>
    <mergeCell ref="R885:S885"/>
    <mergeCell ref="T885:U885"/>
    <mergeCell ref="V885:W885"/>
    <mergeCell ref="X885:AA885"/>
    <mergeCell ref="AB885:AE885"/>
    <mergeCell ref="AF885:AG885"/>
    <mergeCell ref="AH885:AI885"/>
    <mergeCell ref="AP886:AQ886"/>
    <mergeCell ref="AR886:AS886"/>
    <mergeCell ref="AT886:AU886"/>
    <mergeCell ref="AV886:AW886"/>
    <mergeCell ref="AX886:AZ886"/>
    <mergeCell ref="BA886:BB886"/>
    <mergeCell ref="B886:C886"/>
    <mergeCell ref="D886:E886"/>
    <mergeCell ref="F886:G886"/>
    <mergeCell ref="H886:I886"/>
    <mergeCell ref="P886:Q886"/>
    <mergeCell ref="R886:S886"/>
    <mergeCell ref="T886:U886"/>
    <mergeCell ref="B887:C887"/>
    <mergeCell ref="D887:E887"/>
    <mergeCell ref="F887:G887"/>
    <mergeCell ref="H887:I887"/>
    <mergeCell ref="J887:K887"/>
    <mergeCell ref="L887:M887"/>
    <mergeCell ref="P887:Q887"/>
    <mergeCell ref="AX887:AZ887"/>
    <mergeCell ref="BA887:BB887"/>
    <mergeCell ref="BD887:BE887"/>
    <mergeCell ref="BF887:BI887"/>
    <mergeCell ref="BJ887:BM887"/>
    <mergeCell ref="BN887:BV887"/>
    <mergeCell ref="AJ885:AK885"/>
    <mergeCell ref="AL885:AM885"/>
    <mergeCell ref="AN887:AO887"/>
    <mergeCell ref="AP887:AQ887"/>
    <mergeCell ref="AR887:AS887"/>
    <mergeCell ref="AT887:AU887"/>
    <mergeCell ref="AV887:AW887"/>
    <mergeCell ref="R887:S887"/>
    <mergeCell ref="T887:U887"/>
    <mergeCell ref="V887:W887"/>
    <mergeCell ref="X887:AA887"/>
    <mergeCell ref="AB887:AE887"/>
    <mergeCell ref="AF887:AG887"/>
    <mergeCell ref="AH887:AI887"/>
    <mergeCell ref="AJ887:AK887"/>
    <mergeCell ref="AL887:AM887"/>
    <mergeCell ref="V888:W888"/>
    <mergeCell ref="X888:AA888"/>
    <mergeCell ref="AB888:AE888"/>
    <mergeCell ref="AF888:AG888"/>
    <mergeCell ref="AH888:AI888"/>
    <mergeCell ref="AJ888:AK888"/>
    <mergeCell ref="AL888:AM888"/>
    <mergeCell ref="BD888:BE888"/>
    <mergeCell ref="BF888:BI888"/>
    <mergeCell ref="BJ888:BM888"/>
    <mergeCell ref="BN888:BV888"/>
    <mergeCell ref="AN888:AO888"/>
    <mergeCell ref="AP888:AQ888"/>
    <mergeCell ref="AR888:AS888"/>
    <mergeCell ref="AT888:AU888"/>
    <mergeCell ref="AV888:AW888"/>
    <mergeCell ref="AX888:AZ888"/>
    <mergeCell ref="BA888:BB888"/>
    <mergeCell ref="B888:C888"/>
    <mergeCell ref="D888:E888"/>
    <mergeCell ref="F888:G888"/>
    <mergeCell ref="H888:I888"/>
    <mergeCell ref="P888:Q888"/>
    <mergeCell ref="R888:S888"/>
    <mergeCell ref="T888:U888"/>
    <mergeCell ref="B889:C889"/>
    <mergeCell ref="D889:E889"/>
    <mergeCell ref="F889:G889"/>
    <mergeCell ref="H889:I889"/>
    <mergeCell ref="J889:K889"/>
    <mergeCell ref="L889:M889"/>
    <mergeCell ref="P889:Q889"/>
    <mergeCell ref="AX889:AZ889"/>
    <mergeCell ref="BA889:BB889"/>
    <mergeCell ref="BD889:BE889"/>
    <mergeCell ref="BF889:BI889"/>
    <mergeCell ref="BJ889:BM889"/>
    <mergeCell ref="BN889:BV889"/>
    <mergeCell ref="AN889:AO889"/>
    <mergeCell ref="AP889:AQ889"/>
    <mergeCell ref="AR889:AS889"/>
    <mergeCell ref="AT889:AU889"/>
    <mergeCell ref="AV889:AW889"/>
    <mergeCell ref="R889:S889"/>
    <mergeCell ref="T889:U889"/>
    <mergeCell ref="V889:W889"/>
    <mergeCell ref="X889:AA889"/>
    <mergeCell ref="AB889:AE889"/>
    <mergeCell ref="AF889:AG889"/>
    <mergeCell ref="AH889:AI889"/>
    <mergeCell ref="AJ889:AK889"/>
    <mergeCell ref="AL889:AM889"/>
    <mergeCell ref="V890:W890"/>
    <mergeCell ref="X890:AA890"/>
    <mergeCell ref="AB890:AE890"/>
    <mergeCell ref="AF890:AG890"/>
    <mergeCell ref="AH890:AI890"/>
    <mergeCell ref="AJ890:AK890"/>
    <mergeCell ref="AL890:AM890"/>
    <mergeCell ref="BD890:BE890"/>
    <mergeCell ref="BF890:BI890"/>
    <mergeCell ref="BJ890:BM890"/>
    <mergeCell ref="BN890:BV890"/>
    <mergeCell ref="AN890:AO890"/>
    <mergeCell ref="AP890:AQ890"/>
    <mergeCell ref="AR890:AS890"/>
    <mergeCell ref="AT890:AU890"/>
    <mergeCell ref="AV890:AW890"/>
    <mergeCell ref="AX890:AZ890"/>
    <mergeCell ref="BA890:BB890"/>
    <mergeCell ref="B890:C890"/>
    <mergeCell ref="D890:E890"/>
    <mergeCell ref="F890:G890"/>
    <mergeCell ref="H890:I890"/>
    <mergeCell ref="P890:Q890"/>
    <mergeCell ref="R890:S890"/>
    <mergeCell ref="T890:U890"/>
    <mergeCell ref="B891:C891"/>
    <mergeCell ref="D891:E891"/>
    <mergeCell ref="F891:G891"/>
    <mergeCell ref="H891:I891"/>
    <mergeCell ref="J891:K891"/>
    <mergeCell ref="L891:M891"/>
    <mergeCell ref="P891:Q891"/>
    <mergeCell ref="AX891:AZ891"/>
    <mergeCell ref="BA891:BB891"/>
    <mergeCell ref="BD891:BE891"/>
    <mergeCell ref="BF891:BI891"/>
    <mergeCell ref="BJ891:BM891"/>
    <mergeCell ref="BN891:BV891"/>
    <mergeCell ref="AN891:AO891"/>
    <mergeCell ref="AP891:AQ891"/>
    <mergeCell ref="AR891:AS891"/>
    <mergeCell ref="AT891:AU891"/>
    <mergeCell ref="AV891:AW891"/>
    <mergeCell ref="R891:S891"/>
    <mergeCell ref="T891:U891"/>
    <mergeCell ref="V891:W891"/>
    <mergeCell ref="X891:AA891"/>
    <mergeCell ref="AB891:AE891"/>
    <mergeCell ref="AF891:AG891"/>
    <mergeCell ref="AH891:AI891"/>
    <mergeCell ref="AJ891:AK891"/>
    <mergeCell ref="AL891:AM891"/>
    <mergeCell ref="V892:W892"/>
    <mergeCell ref="X892:AA892"/>
    <mergeCell ref="AB892:AE892"/>
    <mergeCell ref="AF892:AG892"/>
    <mergeCell ref="AH892:AI892"/>
    <mergeCell ref="AJ892:AK892"/>
    <mergeCell ref="AL892:AM892"/>
    <mergeCell ref="BD892:BE892"/>
    <mergeCell ref="BF892:BI892"/>
    <mergeCell ref="BJ892:BM892"/>
    <mergeCell ref="BN892:BV892"/>
    <mergeCell ref="AN892:AO892"/>
    <mergeCell ref="AP892:AQ892"/>
    <mergeCell ref="AR892:AS892"/>
    <mergeCell ref="AT892:AU892"/>
    <mergeCell ref="AV892:AW892"/>
    <mergeCell ref="AX892:AZ892"/>
    <mergeCell ref="BA892:BB892"/>
    <mergeCell ref="B892:C892"/>
    <mergeCell ref="D892:E892"/>
    <mergeCell ref="F892:G892"/>
    <mergeCell ref="H892:I892"/>
    <mergeCell ref="P892:Q892"/>
    <mergeCell ref="R892:S892"/>
    <mergeCell ref="T892:U892"/>
    <mergeCell ref="B893:C893"/>
    <mergeCell ref="D893:E893"/>
    <mergeCell ref="F893:G893"/>
    <mergeCell ref="H893:I893"/>
    <mergeCell ref="J893:K893"/>
    <mergeCell ref="L893:M893"/>
    <mergeCell ref="P893:Q893"/>
    <mergeCell ref="AX893:AZ893"/>
    <mergeCell ref="BA893:BB893"/>
    <mergeCell ref="BD893:BE893"/>
    <mergeCell ref="BF893:BI893"/>
    <mergeCell ref="BJ893:BM893"/>
    <mergeCell ref="BN893:BV893"/>
    <mergeCell ref="AN893:AO893"/>
    <mergeCell ref="AP893:AQ893"/>
    <mergeCell ref="AR893:AS893"/>
    <mergeCell ref="AT893:AU893"/>
    <mergeCell ref="AV893:AW893"/>
    <mergeCell ref="R893:S893"/>
    <mergeCell ref="T893:U893"/>
    <mergeCell ref="V893:W893"/>
    <mergeCell ref="X893:AA893"/>
    <mergeCell ref="AB893:AE893"/>
    <mergeCell ref="AF893:AG893"/>
    <mergeCell ref="AH893:AI893"/>
    <mergeCell ref="AJ893:AK893"/>
    <mergeCell ref="AL893:AM893"/>
    <mergeCell ref="V894:W894"/>
    <mergeCell ref="X894:AA894"/>
    <mergeCell ref="AB894:AE894"/>
    <mergeCell ref="AF894:AG894"/>
    <mergeCell ref="AH894:AI894"/>
    <mergeCell ref="AJ894:AK894"/>
    <mergeCell ref="AL894:AM894"/>
    <mergeCell ref="BD894:BE894"/>
    <mergeCell ref="BF894:BI894"/>
    <mergeCell ref="BJ894:BM894"/>
    <mergeCell ref="BN894:BV894"/>
    <mergeCell ref="AN894:AO894"/>
    <mergeCell ref="AP894:AQ894"/>
    <mergeCell ref="AR894:AS894"/>
    <mergeCell ref="AT894:AU894"/>
    <mergeCell ref="AV894:AW894"/>
    <mergeCell ref="AX894:AZ894"/>
    <mergeCell ref="BA894:BB894"/>
    <mergeCell ref="B894:C894"/>
    <mergeCell ref="D894:E894"/>
    <mergeCell ref="F894:G894"/>
    <mergeCell ref="H894:I894"/>
    <mergeCell ref="P894:Q894"/>
    <mergeCell ref="R894:S894"/>
    <mergeCell ref="T894:U894"/>
    <mergeCell ref="B895:C895"/>
    <mergeCell ref="D895:E895"/>
    <mergeCell ref="F895:G895"/>
    <mergeCell ref="H895:I895"/>
    <mergeCell ref="J895:K895"/>
    <mergeCell ref="L895:M895"/>
    <mergeCell ref="P895:Q895"/>
    <mergeCell ref="AX895:AZ895"/>
    <mergeCell ref="BA895:BB895"/>
    <mergeCell ref="BD895:BE895"/>
    <mergeCell ref="BF895:BI895"/>
    <mergeCell ref="BJ895:BM895"/>
    <mergeCell ref="BN895:BV895"/>
    <mergeCell ref="AN895:AO895"/>
    <mergeCell ref="AP895:AQ895"/>
    <mergeCell ref="AR895:AS895"/>
    <mergeCell ref="AT895:AU895"/>
    <mergeCell ref="AV895:AW895"/>
    <mergeCell ref="R895:S895"/>
    <mergeCell ref="T895:U895"/>
    <mergeCell ref="V895:W895"/>
    <mergeCell ref="X895:AA895"/>
    <mergeCell ref="AB895:AE895"/>
    <mergeCell ref="AF895:AG895"/>
    <mergeCell ref="AH895:AI895"/>
    <mergeCell ref="AJ895:AK895"/>
    <mergeCell ref="AL895:AM895"/>
    <mergeCell ref="V896:W896"/>
    <mergeCell ref="X896:AA896"/>
    <mergeCell ref="AB896:AE896"/>
    <mergeCell ref="AF896:AG896"/>
    <mergeCell ref="AH896:AI896"/>
    <mergeCell ref="AJ896:AK896"/>
    <mergeCell ref="AL896:AM896"/>
    <mergeCell ref="BD896:BE896"/>
    <mergeCell ref="BF896:BI896"/>
    <mergeCell ref="BJ896:BM896"/>
    <mergeCell ref="BN896:BV896"/>
    <mergeCell ref="AN896:AO896"/>
    <mergeCell ref="AP896:AQ896"/>
    <mergeCell ref="AR896:AS896"/>
    <mergeCell ref="AT896:AU896"/>
    <mergeCell ref="AV896:AW896"/>
    <mergeCell ref="AX896:AZ896"/>
    <mergeCell ref="BA896:BB896"/>
    <mergeCell ref="B896:C896"/>
    <mergeCell ref="D896:E896"/>
    <mergeCell ref="F896:G896"/>
    <mergeCell ref="H896:I896"/>
    <mergeCell ref="P896:Q896"/>
    <mergeCell ref="R896:S896"/>
    <mergeCell ref="T896:U896"/>
    <mergeCell ref="B897:C897"/>
    <mergeCell ref="D897:E897"/>
    <mergeCell ref="F897:G897"/>
    <mergeCell ref="H897:I897"/>
    <mergeCell ref="J897:K897"/>
    <mergeCell ref="L897:M897"/>
    <mergeCell ref="P897:Q897"/>
    <mergeCell ref="AX897:AZ897"/>
    <mergeCell ref="BA897:BB897"/>
    <mergeCell ref="BD897:BE897"/>
    <mergeCell ref="BF897:BI897"/>
    <mergeCell ref="BJ897:BM897"/>
    <mergeCell ref="BN897:BV897"/>
    <mergeCell ref="AN897:AO897"/>
    <mergeCell ref="AP897:AQ897"/>
    <mergeCell ref="AR897:AS897"/>
    <mergeCell ref="AT897:AU897"/>
    <mergeCell ref="AV897:AW897"/>
    <mergeCell ref="R897:S897"/>
    <mergeCell ref="T897:U897"/>
    <mergeCell ref="V897:W897"/>
    <mergeCell ref="X897:AA897"/>
    <mergeCell ref="AB897:AE897"/>
    <mergeCell ref="AF897:AG897"/>
    <mergeCell ref="AH897:AI897"/>
    <mergeCell ref="AJ897:AK897"/>
    <mergeCell ref="AL897:AM897"/>
    <mergeCell ref="V898:W898"/>
    <mergeCell ref="X898:AA898"/>
    <mergeCell ref="AB898:AE898"/>
    <mergeCell ref="AF898:AG898"/>
    <mergeCell ref="AH898:AI898"/>
    <mergeCell ref="AJ898:AK898"/>
    <mergeCell ref="AL898:AM898"/>
    <mergeCell ref="BD898:BE898"/>
    <mergeCell ref="BF898:BI898"/>
    <mergeCell ref="BJ898:BM898"/>
    <mergeCell ref="BN898:BV898"/>
    <mergeCell ref="AN898:AO898"/>
    <mergeCell ref="AP898:AQ898"/>
    <mergeCell ref="AR898:AS898"/>
    <mergeCell ref="AT898:AU898"/>
    <mergeCell ref="AV898:AW898"/>
    <mergeCell ref="AX898:AZ898"/>
    <mergeCell ref="BA898:BB898"/>
    <mergeCell ref="B898:C898"/>
    <mergeCell ref="D898:E898"/>
    <mergeCell ref="F898:G898"/>
    <mergeCell ref="H898:I898"/>
    <mergeCell ref="P898:Q898"/>
    <mergeCell ref="R898:S898"/>
    <mergeCell ref="T898:U898"/>
    <mergeCell ref="B899:C899"/>
    <mergeCell ref="D899:E899"/>
    <mergeCell ref="F899:G899"/>
    <mergeCell ref="H899:I899"/>
    <mergeCell ref="J899:K899"/>
    <mergeCell ref="L899:M899"/>
    <mergeCell ref="P899:Q899"/>
    <mergeCell ref="AX899:AZ899"/>
    <mergeCell ref="BA899:BB899"/>
    <mergeCell ref="BD899:BE899"/>
    <mergeCell ref="BF899:BI899"/>
    <mergeCell ref="BJ899:BM899"/>
    <mergeCell ref="BN899:BV899"/>
    <mergeCell ref="AN899:AO899"/>
    <mergeCell ref="AP899:AQ899"/>
    <mergeCell ref="AR899:AS899"/>
    <mergeCell ref="AT899:AU899"/>
    <mergeCell ref="AV899:AW899"/>
    <mergeCell ref="R899:S899"/>
    <mergeCell ref="T899:U899"/>
    <mergeCell ref="V899:W899"/>
    <mergeCell ref="X899:AA899"/>
    <mergeCell ref="AB899:AE899"/>
    <mergeCell ref="AF899:AG899"/>
    <mergeCell ref="AH899:AI899"/>
    <mergeCell ref="AJ899:AK899"/>
    <mergeCell ref="AL899:AM899"/>
    <mergeCell ref="V900:W900"/>
    <mergeCell ref="X900:AA900"/>
    <mergeCell ref="AB900:AE900"/>
    <mergeCell ref="AF900:AG900"/>
    <mergeCell ref="AH900:AI900"/>
    <mergeCell ref="AJ900:AK900"/>
    <mergeCell ref="AL900:AM900"/>
    <mergeCell ref="BD900:BE900"/>
    <mergeCell ref="BF900:BI900"/>
    <mergeCell ref="BJ900:BM900"/>
    <mergeCell ref="BN900:BV900"/>
    <mergeCell ref="AN900:AO900"/>
    <mergeCell ref="AP900:AQ900"/>
    <mergeCell ref="AR900:AS900"/>
    <mergeCell ref="AT900:AU900"/>
    <mergeCell ref="AV900:AW900"/>
    <mergeCell ref="AX900:AZ900"/>
    <mergeCell ref="BA900:BB900"/>
    <mergeCell ref="B900:C900"/>
    <mergeCell ref="D900:E900"/>
    <mergeCell ref="F900:G900"/>
    <mergeCell ref="H900:I900"/>
    <mergeCell ref="P900:Q900"/>
    <mergeCell ref="R900:S900"/>
    <mergeCell ref="T900:U900"/>
    <mergeCell ref="B901:C901"/>
    <mergeCell ref="D901:E901"/>
    <mergeCell ref="F901:G901"/>
    <mergeCell ref="H901:I901"/>
    <mergeCell ref="J901:K901"/>
    <mergeCell ref="L901:M901"/>
    <mergeCell ref="P901:Q901"/>
    <mergeCell ref="AX901:AZ901"/>
    <mergeCell ref="BA901:BB901"/>
    <mergeCell ref="BD901:BE901"/>
    <mergeCell ref="BF901:BI901"/>
    <mergeCell ref="BJ901:BM901"/>
    <mergeCell ref="BN901:BV901"/>
    <mergeCell ref="AN901:AO901"/>
    <mergeCell ref="AP901:AQ901"/>
    <mergeCell ref="AR901:AS901"/>
    <mergeCell ref="AT901:AU901"/>
    <mergeCell ref="AV901:AW901"/>
    <mergeCell ref="R901:S901"/>
    <mergeCell ref="T901:U901"/>
    <mergeCell ref="V901:W901"/>
    <mergeCell ref="X901:AA901"/>
    <mergeCell ref="AB901:AE901"/>
    <mergeCell ref="AF901:AG901"/>
    <mergeCell ref="AH901:AI901"/>
    <mergeCell ref="AJ901:AK901"/>
    <mergeCell ref="AL901:AM901"/>
    <mergeCell ref="V902:W902"/>
    <mergeCell ref="X902:AA902"/>
    <mergeCell ref="AB902:AE902"/>
    <mergeCell ref="AF902:AG902"/>
    <mergeCell ref="AH902:AI902"/>
    <mergeCell ref="AJ902:AK902"/>
    <mergeCell ref="AL902:AM902"/>
    <mergeCell ref="BD902:BE902"/>
    <mergeCell ref="BF902:BI902"/>
    <mergeCell ref="BJ902:BM902"/>
    <mergeCell ref="BN902:BV902"/>
    <mergeCell ref="AN902:AO902"/>
    <mergeCell ref="AP902:AQ902"/>
    <mergeCell ref="AR902:AS902"/>
    <mergeCell ref="AT902:AU902"/>
    <mergeCell ref="AV902:AW902"/>
    <mergeCell ref="AX902:AZ902"/>
    <mergeCell ref="BA902:BB902"/>
    <mergeCell ref="B902:C902"/>
    <mergeCell ref="D902:E902"/>
    <mergeCell ref="F902:G902"/>
    <mergeCell ref="H902:I902"/>
    <mergeCell ref="P902:Q902"/>
    <mergeCell ref="R902:S902"/>
    <mergeCell ref="T902:U902"/>
    <mergeCell ref="B903:C903"/>
    <mergeCell ref="D903:E903"/>
    <mergeCell ref="F903:G903"/>
    <mergeCell ref="H903:I903"/>
    <mergeCell ref="J903:K903"/>
    <mergeCell ref="L903:M903"/>
    <mergeCell ref="P903:Q903"/>
    <mergeCell ref="AX903:AZ903"/>
    <mergeCell ref="BA903:BB903"/>
    <mergeCell ref="BD903:BE903"/>
    <mergeCell ref="BF903:BI903"/>
    <mergeCell ref="BJ903:BM903"/>
    <mergeCell ref="BN903:BV903"/>
    <mergeCell ref="AN903:AO903"/>
    <mergeCell ref="AP903:AQ903"/>
    <mergeCell ref="AR903:AS903"/>
    <mergeCell ref="AT903:AU903"/>
    <mergeCell ref="AV903:AW903"/>
    <mergeCell ref="R903:S903"/>
    <mergeCell ref="T903:U903"/>
    <mergeCell ref="V903:W903"/>
    <mergeCell ref="X903:AA903"/>
    <mergeCell ref="AB903:AE903"/>
    <mergeCell ref="AF903:AG903"/>
    <mergeCell ref="AH903:AI903"/>
    <mergeCell ref="AJ903:AK903"/>
    <mergeCell ref="AL903:AM903"/>
    <mergeCell ref="V904:W904"/>
    <mergeCell ref="X904:AA904"/>
    <mergeCell ref="AB904:AE904"/>
    <mergeCell ref="AF904:AG904"/>
    <mergeCell ref="AH904:AI904"/>
    <mergeCell ref="AJ904:AK904"/>
    <mergeCell ref="AL904:AM904"/>
    <mergeCell ref="BD904:BE904"/>
    <mergeCell ref="BF904:BI904"/>
    <mergeCell ref="BJ904:BM904"/>
    <mergeCell ref="BN904:BV904"/>
    <mergeCell ref="AN904:AO904"/>
    <mergeCell ref="AP904:AQ904"/>
    <mergeCell ref="AR904:AS904"/>
    <mergeCell ref="AT904:AU904"/>
    <mergeCell ref="AV904:AW904"/>
    <mergeCell ref="AX904:AZ904"/>
    <mergeCell ref="BA904:BB904"/>
    <mergeCell ref="B904:C904"/>
    <mergeCell ref="D904:E904"/>
    <mergeCell ref="F904:G904"/>
    <mergeCell ref="H904:I904"/>
    <mergeCell ref="P904:Q904"/>
    <mergeCell ref="R904:S904"/>
    <mergeCell ref="T904:U904"/>
    <mergeCell ref="B905:C905"/>
    <mergeCell ref="D905:E905"/>
    <mergeCell ref="F905:G905"/>
    <mergeCell ref="H905:I905"/>
    <mergeCell ref="J905:K905"/>
    <mergeCell ref="L905:M905"/>
    <mergeCell ref="P905:Q905"/>
    <mergeCell ref="AX905:AZ905"/>
    <mergeCell ref="BA905:BB905"/>
    <mergeCell ref="BD905:BE905"/>
    <mergeCell ref="BF905:BI905"/>
    <mergeCell ref="BJ905:BM905"/>
    <mergeCell ref="BN905:BV905"/>
    <mergeCell ref="AN905:AO905"/>
    <mergeCell ref="AP905:AQ905"/>
    <mergeCell ref="AR905:AS905"/>
    <mergeCell ref="AT905:AU905"/>
    <mergeCell ref="AV905:AW905"/>
    <mergeCell ref="BD965:BE965"/>
    <mergeCell ref="BF965:BI965"/>
    <mergeCell ref="AN965:AO965"/>
    <mergeCell ref="AP965:AQ965"/>
    <mergeCell ref="AR965:AS965"/>
    <mergeCell ref="AT965:AU965"/>
    <mergeCell ref="AV965:AW965"/>
    <mergeCell ref="AX965:AZ965"/>
    <mergeCell ref="BA965:BB965"/>
    <mergeCell ref="AJ963:AK963"/>
    <mergeCell ref="AL963:AM963"/>
    <mergeCell ref="R963:S963"/>
    <mergeCell ref="T963:U963"/>
    <mergeCell ref="V963:W963"/>
    <mergeCell ref="X963:AA963"/>
    <mergeCell ref="AB963:AE963"/>
    <mergeCell ref="AF963:AG963"/>
    <mergeCell ref="AH963:AI963"/>
    <mergeCell ref="R964:S964"/>
    <mergeCell ref="T964:U964"/>
    <mergeCell ref="V964:W964"/>
    <mergeCell ref="X964:AA964"/>
    <mergeCell ref="AB964:AE964"/>
    <mergeCell ref="AF964:AG964"/>
    <mergeCell ref="AH964:AI964"/>
    <mergeCell ref="AX964:AZ964"/>
    <mergeCell ref="BA964:BB964"/>
    <mergeCell ref="BD964:BE964"/>
    <mergeCell ref="BF964:BI964"/>
    <mergeCell ref="BJ964:BM964"/>
    <mergeCell ref="BN964:BV964"/>
    <mergeCell ref="BJ965:BM965"/>
    <mergeCell ref="BN965:BV965"/>
    <mergeCell ref="BD963:BE963"/>
    <mergeCell ref="BF963:BI963"/>
    <mergeCell ref="AN963:AO963"/>
    <mergeCell ref="AP963:AQ963"/>
    <mergeCell ref="AR963:AS963"/>
    <mergeCell ref="AT963:AU963"/>
    <mergeCell ref="AV963:AW963"/>
    <mergeCell ref="AX963:AZ963"/>
    <mergeCell ref="BA963:BB963"/>
    <mergeCell ref="B964:C964"/>
    <mergeCell ref="D964:E964"/>
    <mergeCell ref="F964:G964"/>
    <mergeCell ref="H964:I964"/>
    <mergeCell ref="J964:K964"/>
    <mergeCell ref="L964:M964"/>
    <mergeCell ref="P964:Q964"/>
    <mergeCell ref="B965:C965"/>
    <mergeCell ref="D965:E965"/>
    <mergeCell ref="F965:G965"/>
    <mergeCell ref="H965:I965"/>
    <mergeCell ref="J965:K965"/>
    <mergeCell ref="L965:M965"/>
    <mergeCell ref="P965:Q965"/>
    <mergeCell ref="AJ964:AK964"/>
    <mergeCell ref="AL964:AM964"/>
    <mergeCell ref="AN964:AO964"/>
    <mergeCell ref="AP964:AQ964"/>
    <mergeCell ref="AR964:AS964"/>
    <mergeCell ref="AT964:AU964"/>
    <mergeCell ref="AV964:AW964"/>
    <mergeCell ref="R853:S853"/>
    <mergeCell ref="T853:U853"/>
    <mergeCell ref="V853:W853"/>
    <mergeCell ref="X853:AA853"/>
    <mergeCell ref="AB853:AE853"/>
    <mergeCell ref="AF853:AG853"/>
    <mergeCell ref="AH853:AI853"/>
    <mergeCell ref="V854:W854"/>
    <mergeCell ref="X854:AA854"/>
    <mergeCell ref="AB854:AE854"/>
    <mergeCell ref="AF854:AG854"/>
    <mergeCell ref="AH854:AI854"/>
    <mergeCell ref="AJ854:AK854"/>
    <mergeCell ref="AL854:AM854"/>
    <mergeCell ref="V856:W856"/>
    <mergeCell ref="X856:AA856"/>
    <mergeCell ref="AB856:AE856"/>
    <mergeCell ref="AF856:AG856"/>
    <mergeCell ref="AH856:AI856"/>
    <mergeCell ref="AJ856:AK856"/>
    <mergeCell ref="AL856:AM856"/>
    <mergeCell ref="V858:W858"/>
    <mergeCell ref="X858:AA858"/>
    <mergeCell ref="AB858:AE858"/>
    <mergeCell ref="AF858:AG858"/>
    <mergeCell ref="AH858:AI858"/>
    <mergeCell ref="AJ858:AK858"/>
    <mergeCell ref="AL858:AM858"/>
    <mergeCell ref="V860:W860"/>
    <mergeCell ref="X860:AA860"/>
    <mergeCell ref="AB860:AE860"/>
    <mergeCell ref="AF860:AG860"/>
    <mergeCell ref="AH860:AI860"/>
    <mergeCell ref="AJ860:AK860"/>
    <mergeCell ref="AL860:AM860"/>
    <mergeCell ref="V862:W862"/>
    <mergeCell ref="X862:AA862"/>
    <mergeCell ref="AB862:AE862"/>
    <mergeCell ref="AF862:AG862"/>
    <mergeCell ref="AH862:AI862"/>
    <mergeCell ref="AJ862:AK862"/>
    <mergeCell ref="AL862:AM862"/>
    <mergeCell ref="V864:W864"/>
    <mergeCell ref="BD854:BE854"/>
    <mergeCell ref="BF854:BI854"/>
    <mergeCell ref="BJ854:BM854"/>
    <mergeCell ref="BN854:BV854"/>
    <mergeCell ref="AN854:AO854"/>
    <mergeCell ref="AP854:AQ854"/>
    <mergeCell ref="AR854:AS854"/>
    <mergeCell ref="AT854:AU854"/>
    <mergeCell ref="AV854:AW854"/>
    <mergeCell ref="AX854:AZ854"/>
    <mergeCell ref="BA854:BB854"/>
    <mergeCell ref="B854:C854"/>
    <mergeCell ref="D854:E854"/>
    <mergeCell ref="F854:G854"/>
    <mergeCell ref="H854:I854"/>
    <mergeCell ref="P854:Q854"/>
    <mergeCell ref="R854:S854"/>
    <mergeCell ref="T854:U854"/>
    <mergeCell ref="B855:C855"/>
    <mergeCell ref="D855:E855"/>
    <mergeCell ref="F855:G855"/>
    <mergeCell ref="H855:I855"/>
    <mergeCell ref="J855:K855"/>
    <mergeCell ref="L855:M855"/>
    <mergeCell ref="P855:Q855"/>
    <mergeCell ref="AX855:AZ855"/>
    <mergeCell ref="BA855:BB855"/>
    <mergeCell ref="BD855:BE855"/>
    <mergeCell ref="BF855:BI855"/>
    <mergeCell ref="BJ855:BM855"/>
    <mergeCell ref="BN855:BV855"/>
    <mergeCell ref="AJ853:AK853"/>
    <mergeCell ref="AL853:AM853"/>
    <mergeCell ref="AN855:AO855"/>
    <mergeCell ref="AP855:AQ855"/>
    <mergeCell ref="AR855:AS855"/>
    <mergeCell ref="AT855:AU855"/>
    <mergeCell ref="AV855:AW855"/>
    <mergeCell ref="R855:S855"/>
    <mergeCell ref="T855:U855"/>
    <mergeCell ref="V855:W855"/>
    <mergeCell ref="X855:AA855"/>
    <mergeCell ref="AB855:AE855"/>
    <mergeCell ref="AF855:AG855"/>
    <mergeCell ref="AH855:AI855"/>
    <mergeCell ref="BD856:BE856"/>
    <mergeCell ref="BF856:BI856"/>
    <mergeCell ref="BJ856:BM856"/>
    <mergeCell ref="BN856:BV856"/>
    <mergeCell ref="AN856:AO856"/>
    <mergeCell ref="AP856:AQ856"/>
    <mergeCell ref="AR856:AS856"/>
    <mergeCell ref="AT856:AU856"/>
    <mergeCell ref="AV856:AW856"/>
    <mergeCell ref="AX856:AZ856"/>
    <mergeCell ref="BA856:BB856"/>
    <mergeCell ref="B856:C856"/>
    <mergeCell ref="D856:E856"/>
    <mergeCell ref="F856:G856"/>
    <mergeCell ref="H856:I856"/>
    <mergeCell ref="P856:Q856"/>
    <mergeCell ref="R856:S856"/>
    <mergeCell ref="T856:U856"/>
    <mergeCell ref="B857:C857"/>
    <mergeCell ref="D857:E857"/>
    <mergeCell ref="F857:G857"/>
    <mergeCell ref="H857:I857"/>
    <mergeCell ref="J857:K857"/>
    <mergeCell ref="L857:M857"/>
    <mergeCell ref="P857:Q857"/>
    <mergeCell ref="AX857:AZ857"/>
    <mergeCell ref="BA857:BB857"/>
    <mergeCell ref="BD857:BE857"/>
    <mergeCell ref="BF857:BI857"/>
    <mergeCell ref="BJ857:BM857"/>
    <mergeCell ref="BN857:BV857"/>
    <mergeCell ref="AJ855:AK855"/>
    <mergeCell ref="AL855:AM855"/>
    <mergeCell ref="AN857:AO857"/>
    <mergeCell ref="AP857:AQ857"/>
    <mergeCell ref="AR857:AS857"/>
    <mergeCell ref="AT857:AU857"/>
    <mergeCell ref="AV857:AW857"/>
    <mergeCell ref="R857:S857"/>
    <mergeCell ref="T857:U857"/>
    <mergeCell ref="V857:W857"/>
    <mergeCell ref="X857:AA857"/>
    <mergeCell ref="AB857:AE857"/>
    <mergeCell ref="AF857:AG857"/>
    <mergeCell ref="AH857:AI857"/>
    <mergeCell ref="BD858:BE858"/>
    <mergeCell ref="BF858:BI858"/>
    <mergeCell ref="BJ858:BM858"/>
    <mergeCell ref="BN858:BV858"/>
    <mergeCell ref="AN858:AO858"/>
    <mergeCell ref="AP858:AQ858"/>
    <mergeCell ref="AR858:AS858"/>
    <mergeCell ref="AT858:AU858"/>
    <mergeCell ref="AV858:AW858"/>
    <mergeCell ref="AX858:AZ858"/>
    <mergeCell ref="BA858:BB858"/>
    <mergeCell ref="B858:C858"/>
    <mergeCell ref="D858:E858"/>
    <mergeCell ref="F858:G858"/>
    <mergeCell ref="H858:I858"/>
    <mergeCell ref="P858:Q858"/>
    <mergeCell ref="R858:S858"/>
    <mergeCell ref="T858:U858"/>
    <mergeCell ref="B859:C859"/>
    <mergeCell ref="D859:E859"/>
    <mergeCell ref="F859:G859"/>
    <mergeCell ref="H859:I859"/>
    <mergeCell ref="J859:K859"/>
    <mergeCell ref="L859:M859"/>
    <mergeCell ref="P859:Q859"/>
    <mergeCell ref="AX859:AZ859"/>
    <mergeCell ref="BA859:BB859"/>
    <mergeCell ref="BD859:BE859"/>
    <mergeCell ref="BF859:BI859"/>
    <mergeCell ref="BJ859:BM859"/>
    <mergeCell ref="BN859:BV859"/>
    <mergeCell ref="AJ857:AK857"/>
    <mergeCell ref="AL857:AM857"/>
    <mergeCell ref="AN859:AO859"/>
    <mergeCell ref="AP859:AQ859"/>
    <mergeCell ref="AR859:AS859"/>
    <mergeCell ref="AT859:AU859"/>
    <mergeCell ref="AV859:AW859"/>
    <mergeCell ref="R859:S859"/>
    <mergeCell ref="T859:U859"/>
    <mergeCell ref="V859:W859"/>
    <mergeCell ref="X859:AA859"/>
    <mergeCell ref="AB859:AE859"/>
    <mergeCell ref="AF859:AG859"/>
    <mergeCell ref="AH859:AI859"/>
    <mergeCell ref="BD860:BE860"/>
    <mergeCell ref="BF860:BI860"/>
    <mergeCell ref="BJ860:BM860"/>
    <mergeCell ref="BN860:BV860"/>
    <mergeCell ref="AN860:AO860"/>
    <mergeCell ref="AP860:AQ860"/>
    <mergeCell ref="AR860:AS860"/>
    <mergeCell ref="AT860:AU860"/>
    <mergeCell ref="AV860:AW860"/>
    <mergeCell ref="AX860:AZ860"/>
    <mergeCell ref="BA860:BB860"/>
    <mergeCell ref="B860:C860"/>
    <mergeCell ref="D860:E860"/>
    <mergeCell ref="F860:G860"/>
    <mergeCell ref="H860:I860"/>
    <mergeCell ref="P860:Q860"/>
    <mergeCell ref="R860:S860"/>
    <mergeCell ref="T860:U860"/>
    <mergeCell ref="B861:C861"/>
    <mergeCell ref="D861:E861"/>
    <mergeCell ref="F861:G861"/>
    <mergeCell ref="H861:I861"/>
    <mergeCell ref="J861:K861"/>
    <mergeCell ref="L861:M861"/>
    <mergeCell ref="P861:Q861"/>
    <mergeCell ref="AX861:AZ861"/>
    <mergeCell ref="BA861:BB861"/>
    <mergeCell ref="BD861:BE861"/>
    <mergeCell ref="BF861:BI861"/>
    <mergeCell ref="BJ861:BM861"/>
    <mergeCell ref="BN861:BV861"/>
    <mergeCell ref="AJ859:AK859"/>
    <mergeCell ref="AL859:AM859"/>
    <mergeCell ref="AN861:AO861"/>
    <mergeCell ref="AP861:AQ861"/>
    <mergeCell ref="AR861:AS861"/>
    <mergeCell ref="AT861:AU861"/>
    <mergeCell ref="AV861:AW861"/>
    <mergeCell ref="R861:S861"/>
    <mergeCell ref="T861:U861"/>
    <mergeCell ref="V861:W861"/>
    <mergeCell ref="X861:AA861"/>
    <mergeCell ref="AB861:AE861"/>
    <mergeCell ref="AF861:AG861"/>
    <mergeCell ref="AH861:AI861"/>
    <mergeCell ref="BD862:BE862"/>
    <mergeCell ref="BF862:BI862"/>
    <mergeCell ref="BJ862:BM862"/>
    <mergeCell ref="BN862:BV862"/>
    <mergeCell ref="AN862:AO862"/>
    <mergeCell ref="AP862:AQ862"/>
    <mergeCell ref="AR862:AS862"/>
    <mergeCell ref="AT862:AU862"/>
    <mergeCell ref="AV862:AW862"/>
    <mergeCell ref="AX862:AZ862"/>
    <mergeCell ref="BA862:BB862"/>
    <mergeCell ref="B862:C862"/>
    <mergeCell ref="D862:E862"/>
    <mergeCell ref="F862:G862"/>
    <mergeCell ref="H862:I862"/>
    <mergeCell ref="P862:Q862"/>
    <mergeCell ref="R862:S862"/>
    <mergeCell ref="T862:U862"/>
    <mergeCell ref="B863:C863"/>
    <mergeCell ref="D863:E863"/>
    <mergeCell ref="F863:G863"/>
    <mergeCell ref="H863:I863"/>
    <mergeCell ref="J863:K863"/>
    <mergeCell ref="L863:M863"/>
    <mergeCell ref="P863:Q863"/>
    <mergeCell ref="AX863:AZ863"/>
    <mergeCell ref="BA863:BB863"/>
    <mergeCell ref="BD863:BE863"/>
    <mergeCell ref="BF863:BI863"/>
    <mergeCell ref="BJ863:BM863"/>
    <mergeCell ref="BN863:BV863"/>
    <mergeCell ref="AJ861:AK861"/>
    <mergeCell ref="AL861:AM861"/>
    <mergeCell ref="AN863:AO863"/>
    <mergeCell ref="AP863:AQ863"/>
    <mergeCell ref="AR863:AS863"/>
    <mergeCell ref="AT863:AU863"/>
    <mergeCell ref="AV863:AW863"/>
    <mergeCell ref="R863:S863"/>
    <mergeCell ref="T863:U863"/>
    <mergeCell ref="V863:W863"/>
    <mergeCell ref="X863:AA863"/>
    <mergeCell ref="AB863:AE863"/>
    <mergeCell ref="AF863:AG863"/>
    <mergeCell ref="AH863:AI863"/>
    <mergeCell ref="AJ863:AK863"/>
    <mergeCell ref="AL863:AM863"/>
    <mergeCell ref="X864:AA864"/>
    <mergeCell ref="AB864:AE864"/>
    <mergeCell ref="AF864:AG864"/>
    <mergeCell ref="AH864:AI864"/>
    <mergeCell ref="AJ864:AK864"/>
    <mergeCell ref="AL864:AM864"/>
    <mergeCell ref="BD864:BE864"/>
    <mergeCell ref="BF864:BI864"/>
    <mergeCell ref="BJ864:BM864"/>
    <mergeCell ref="BN864:BV864"/>
    <mergeCell ref="AN864:AO864"/>
    <mergeCell ref="AP864:AQ864"/>
    <mergeCell ref="AR864:AS864"/>
    <mergeCell ref="AT864:AU864"/>
    <mergeCell ref="AV864:AW864"/>
    <mergeCell ref="AX864:AZ864"/>
    <mergeCell ref="BA864:BB864"/>
    <mergeCell ref="B864:C864"/>
    <mergeCell ref="D864:E864"/>
    <mergeCell ref="F864:G864"/>
    <mergeCell ref="H864:I864"/>
    <mergeCell ref="P864:Q864"/>
    <mergeCell ref="R864:S864"/>
    <mergeCell ref="T864:U864"/>
    <mergeCell ref="B865:C865"/>
    <mergeCell ref="D865:E865"/>
    <mergeCell ref="F865:G865"/>
    <mergeCell ref="H865:I865"/>
    <mergeCell ref="J865:K865"/>
    <mergeCell ref="L865:M865"/>
    <mergeCell ref="P865:Q865"/>
    <mergeCell ref="AX865:AZ865"/>
    <mergeCell ref="BA865:BB865"/>
    <mergeCell ref="BD865:BE865"/>
    <mergeCell ref="BF865:BI865"/>
    <mergeCell ref="BJ865:BM865"/>
    <mergeCell ref="BN865:BV865"/>
    <mergeCell ref="AN865:AO865"/>
    <mergeCell ref="AP865:AQ865"/>
    <mergeCell ref="AR865:AS865"/>
    <mergeCell ref="AT865:AU865"/>
    <mergeCell ref="AV865:AW865"/>
    <mergeCell ref="R865:S865"/>
    <mergeCell ref="T865:U865"/>
    <mergeCell ref="V865:W865"/>
    <mergeCell ref="X865:AA865"/>
    <mergeCell ref="AB865:AE865"/>
    <mergeCell ref="AF865:AG865"/>
    <mergeCell ref="AH865:AI865"/>
    <mergeCell ref="AJ865:AK865"/>
    <mergeCell ref="AL865:AM865"/>
    <mergeCell ref="V866:W866"/>
    <mergeCell ref="X866:AA866"/>
    <mergeCell ref="AB866:AE866"/>
    <mergeCell ref="AF866:AG866"/>
    <mergeCell ref="AH866:AI866"/>
    <mergeCell ref="AJ866:AK866"/>
    <mergeCell ref="AL866:AM866"/>
    <mergeCell ref="BD866:BE866"/>
    <mergeCell ref="BF866:BI866"/>
    <mergeCell ref="BJ866:BM866"/>
    <mergeCell ref="BN866:BV866"/>
    <mergeCell ref="AN866:AO866"/>
    <mergeCell ref="AP866:AQ866"/>
    <mergeCell ref="AR866:AS866"/>
    <mergeCell ref="AT866:AU866"/>
    <mergeCell ref="AV866:AW866"/>
    <mergeCell ref="AX866:AZ866"/>
    <mergeCell ref="BA866:BB866"/>
    <mergeCell ref="B866:C866"/>
    <mergeCell ref="D866:E866"/>
    <mergeCell ref="F866:G866"/>
    <mergeCell ref="H866:I866"/>
    <mergeCell ref="P866:Q866"/>
    <mergeCell ref="R866:S866"/>
    <mergeCell ref="T866:U866"/>
    <mergeCell ref="B867:C867"/>
    <mergeCell ref="D867:E867"/>
    <mergeCell ref="F867:G867"/>
    <mergeCell ref="H867:I867"/>
    <mergeCell ref="J867:K867"/>
    <mergeCell ref="L867:M867"/>
    <mergeCell ref="P867:Q867"/>
    <mergeCell ref="AX867:AZ867"/>
    <mergeCell ref="BA867:BB867"/>
    <mergeCell ref="BD867:BE867"/>
    <mergeCell ref="BF867:BI867"/>
    <mergeCell ref="BJ867:BM867"/>
    <mergeCell ref="BN867:BV867"/>
    <mergeCell ref="AN867:AO867"/>
    <mergeCell ref="AP867:AQ867"/>
    <mergeCell ref="AR867:AS867"/>
    <mergeCell ref="AT867:AU867"/>
    <mergeCell ref="AV867:AW867"/>
    <mergeCell ref="R867:S867"/>
    <mergeCell ref="T867:U867"/>
    <mergeCell ref="V867:W867"/>
    <mergeCell ref="X867:AA867"/>
    <mergeCell ref="AB867:AE867"/>
    <mergeCell ref="AF867:AG867"/>
    <mergeCell ref="AH867:AI867"/>
    <mergeCell ref="AJ867:AK867"/>
    <mergeCell ref="AL867:AM867"/>
    <mergeCell ref="V868:W868"/>
    <mergeCell ref="X868:AA868"/>
    <mergeCell ref="AB868:AE868"/>
    <mergeCell ref="AF868:AG868"/>
    <mergeCell ref="AH868:AI868"/>
    <mergeCell ref="AJ868:AK868"/>
    <mergeCell ref="AL868:AM868"/>
    <mergeCell ref="BD868:BE868"/>
    <mergeCell ref="BF868:BI868"/>
    <mergeCell ref="BJ868:BM868"/>
    <mergeCell ref="BN868:BV868"/>
    <mergeCell ref="AN868:AO868"/>
    <mergeCell ref="AP868:AQ868"/>
    <mergeCell ref="AR868:AS868"/>
    <mergeCell ref="AT868:AU868"/>
    <mergeCell ref="AV868:AW868"/>
    <mergeCell ref="AX868:AZ868"/>
    <mergeCell ref="BA868:BB868"/>
    <mergeCell ref="B868:C868"/>
    <mergeCell ref="D868:E868"/>
    <mergeCell ref="F868:G868"/>
    <mergeCell ref="H868:I868"/>
    <mergeCell ref="P868:Q868"/>
    <mergeCell ref="R868:S868"/>
    <mergeCell ref="T868:U868"/>
    <mergeCell ref="B869:C869"/>
    <mergeCell ref="D869:E869"/>
    <mergeCell ref="F869:G869"/>
    <mergeCell ref="H869:I869"/>
    <mergeCell ref="J869:K869"/>
    <mergeCell ref="L869:M869"/>
    <mergeCell ref="P869:Q869"/>
    <mergeCell ref="AX869:AZ869"/>
    <mergeCell ref="BA869:BB869"/>
    <mergeCell ref="BD869:BE869"/>
    <mergeCell ref="BF869:BI869"/>
    <mergeCell ref="BJ869:BM869"/>
    <mergeCell ref="BN869:BV869"/>
    <mergeCell ref="AN869:AO869"/>
    <mergeCell ref="AP869:AQ869"/>
    <mergeCell ref="AR869:AS869"/>
    <mergeCell ref="AT869:AU869"/>
    <mergeCell ref="AV869:AW869"/>
    <mergeCell ref="R869:S869"/>
    <mergeCell ref="T869:U869"/>
    <mergeCell ref="V869:W869"/>
    <mergeCell ref="X869:AA869"/>
    <mergeCell ref="AB869:AE869"/>
    <mergeCell ref="AF869:AG869"/>
    <mergeCell ref="AH869:AI869"/>
    <mergeCell ref="AJ869:AK869"/>
    <mergeCell ref="AL869:AM869"/>
    <mergeCell ref="V870:W870"/>
    <mergeCell ref="X870:AA870"/>
    <mergeCell ref="AB870:AE870"/>
    <mergeCell ref="AF870:AG870"/>
    <mergeCell ref="AH870:AI870"/>
    <mergeCell ref="AJ870:AK870"/>
    <mergeCell ref="AL870:AM870"/>
    <mergeCell ref="BD870:BE870"/>
    <mergeCell ref="BF870:BI870"/>
    <mergeCell ref="BJ870:BM870"/>
    <mergeCell ref="BN870:BV870"/>
    <mergeCell ref="AN870:AO870"/>
    <mergeCell ref="AP870:AQ870"/>
    <mergeCell ref="AR870:AS870"/>
    <mergeCell ref="AT870:AU870"/>
    <mergeCell ref="AV870:AW870"/>
    <mergeCell ref="AX870:AZ870"/>
    <mergeCell ref="BA870:BB870"/>
    <mergeCell ref="B870:C870"/>
    <mergeCell ref="D870:E870"/>
    <mergeCell ref="F870:G870"/>
    <mergeCell ref="H870:I870"/>
    <mergeCell ref="P870:Q870"/>
    <mergeCell ref="R870:S870"/>
    <mergeCell ref="T870:U870"/>
    <mergeCell ref="B871:C871"/>
    <mergeCell ref="D871:E871"/>
    <mergeCell ref="F871:G871"/>
    <mergeCell ref="H871:I871"/>
    <mergeCell ref="J871:K871"/>
    <mergeCell ref="L871:M871"/>
    <mergeCell ref="P871:Q871"/>
    <mergeCell ref="AX871:AZ871"/>
    <mergeCell ref="BA871:BB871"/>
    <mergeCell ref="BD871:BE871"/>
    <mergeCell ref="BF871:BI871"/>
    <mergeCell ref="BJ871:BM871"/>
    <mergeCell ref="BN871:BV871"/>
    <mergeCell ref="AN871:AO871"/>
    <mergeCell ref="AP871:AQ871"/>
    <mergeCell ref="AR871:AS871"/>
    <mergeCell ref="AT871:AU871"/>
    <mergeCell ref="AV871:AW871"/>
    <mergeCell ref="R871:S871"/>
    <mergeCell ref="T871:U871"/>
    <mergeCell ref="V871:W871"/>
    <mergeCell ref="X871:AA871"/>
    <mergeCell ref="AB871:AE871"/>
    <mergeCell ref="AF871:AG871"/>
    <mergeCell ref="AH871:AI871"/>
    <mergeCell ref="AJ871:AK871"/>
    <mergeCell ref="AL871:AM871"/>
    <mergeCell ref="V872:W872"/>
    <mergeCell ref="X872:AA872"/>
    <mergeCell ref="AB872:AE872"/>
    <mergeCell ref="AF872:AG872"/>
    <mergeCell ref="AH872:AI872"/>
    <mergeCell ref="AJ872:AK872"/>
    <mergeCell ref="AL872:AM872"/>
    <mergeCell ref="BD872:BE872"/>
    <mergeCell ref="BF872:BI872"/>
    <mergeCell ref="BJ872:BM872"/>
    <mergeCell ref="BN872:BV872"/>
    <mergeCell ref="AN872:AO872"/>
    <mergeCell ref="AP872:AQ872"/>
    <mergeCell ref="AR872:AS872"/>
    <mergeCell ref="AT872:AU872"/>
    <mergeCell ref="AV872:AW872"/>
    <mergeCell ref="AX872:AZ872"/>
    <mergeCell ref="BA872:BB872"/>
    <mergeCell ref="B872:C872"/>
    <mergeCell ref="D872:E872"/>
    <mergeCell ref="F872:G872"/>
    <mergeCell ref="H872:I872"/>
    <mergeCell ref="P872:Q872"/>
    <mergeCell ref="R872:S872"/>
    <mergeCell ref="T872:U872"/>
    <mergeCell ref="B873:C873"/>
    <mergeCell ref="D873:E873"/>
    <mergeCell ref="F873:G873"/>
    <mergeCell ref="H873:I873"/>
    <mergeCell ref="J873:K873"/>
    <mergeCell ref="L873:M873"/>
    <mergeCell ref="P873:Q873"/>
    <mergeCell ref="AX873:AZ873"/>
    <mergeCell ref="BA873:BB873"/>
    <mergeCell ref="BD873:BE873"/>
    <mergeCell ref="BF873:BI873"/>
    <mergeCell ref="BJ873:BM873"/>
    <mergeCell ref="BN873:BV873"/>
    <mergeCell ref="AN873:AO873"/>
    <mergeCell ref="AP873:AQ873"/>
    <mergeCell ref="AR873:AS873"/>
    <mergeCell ref="AT873:AU873"/>
    <mergeCell ref="AV873:AW873"/>
    <mergeCell ref="R873:S873"/>
    <mergeCell ref="T873:U873"/>
    <mergeCell ref="V873:W873"/>
    <mergeCell ref="X873:AA873"/>
    <mergeCell ref="AB873:AE873"/>
    <mergeCell ref="AF873:AG873"/>
    <mergeCell ref="AH873:AI873"/>
    <mergeCell ref="AJ873:AK873"/>
    <mergeCell ref="AL873:AM873"/>
    <mergeCell ref="V874:W874"/>
    <mergeCell ref="X874:AA874"/>
    <mergeCell ref="AB874:AE874"/>
    <mergeCell ref="AF874:AG874"/>
    <mergeCell ref="AH874:AI874"/>
    <mergeCell ref="AJ874:AK874"/>
    <mergeCell ref="AL874:AM874"/>
    <mergeCell ref="BD874:BE874"/>
    <mergeCell ref="BF874:BI874"/>
    <mergeCell ref="BJ874:BM874"/>
    <mergeCell ref="BN874:BV874"/>
    <mergeCell ref="AN874:AO874"/>
    <mergeCell ref="AP874:AQ874"/>
    <mergeCell ref="AR874:AS874"/>
    <mergeCell ref="AT874:AU874"/>
    <mergeCell ref="AV874:AW874"/>
    <mergeCell ref="AX874:AZ874"/>
    <mergeCell ref="BA874:BB874"/>
    <mergeCell ref="B874:C874"/>
    <mergeCell ref="D874:E874"/>
    <mergeCell ref="F874:G874"/>
    <mergeCell ref="H874:I874"/>
    <mergeCell ref="P874:Q874"/>
    <mergeCell ref="R874:S874"/>
    <mergeCell ref="T874:U874"/>
    <mergeCell ref="B875:C875"/>
    <mergeCell ref="D875:E875"/>
    <mergeCell ref="F875:G875"/>
    <mergeCell ref="H875:I875"/>
    <mergeCell ref="J875:K875"/>
    <mergeCell ref="L875:M875"/>
    <mergeCell ref="P875:Q875"/>
    <mergeCell ref="AX875:AZ875"/>
    <mergeCell ref="BA875:BB875"/>
    <mergeCell ref="BD875:BE875"/>
    <mergeCell ref="BF875:BI875"/>
    <mergeCell ref="BJ875:BM875"/>
    <mergeCell ref="BN875:BV875"/>
    <mergeCell ref="AN875:AO875"/>
    <mergeCell ref="AP875:AQ875"/>
    <mergeCell ref="AR875:AS875"/>
    <mergeCell ref="AT875:AU875"/>
    <mergeCell ref="AV875:AW875"/>
    <mergeCell ref="R875:S875"/>
    <mergeCell ref="T875:U875"/>
    <mergeCell ref="V875:W875"/>
    <mergeCell ref="X875:AA875"/>
    <mergeCell ref="AB875:AE875"/>
    <mergeCell ref="AF875:AG875"/>
    <mergeCell ref="AH875:AI875"/>
    <mergeCell ref="AJ875:AK875"/>
    <mergeCell ref="AL875:AM875"/>
    <mergeCell ref="V876:W876"/>
    <mergeCell ref="X876:AA876"/>
    <mergeCell ref="AB876:AE876"/>
    <mergeCell ref="AF876:AG876"/>
    <mergeCell ref="AH876:AI876"/>
    <mergeCell ref="AJ876:AK876"/>
    <mergeCell ref="AL876:AM876"/>
    <mergeCell ref="BD876:BE876"/>
    <mergeCell ref="BF876:BI876"/>
    <mergeCell ref="BJ876:BM876"/>
    <mergeCell ref="BN876:BV876"/>
    <mergeCell ref="AN876:AO876"/>
    <mergeCell ref="AP876:AQ876"/>
    <mergeCell ref="AR876:AS876"/>
    <mergeCell ref="AT876:AU876"/>
    <mergeCell ref="AV876:AW876"/>
    <mergeCell ref="AX876:AZ876"/>
    <mergeCell ref="BA876:BB876"/>
    <mergeCell ref="B876:C876"/>
    <mergeCell ref="D876:E876"/>
    <mergeCell ref="F876:G876"/>
    <mergeCell ref="H876:I876"/>
    <mergeCell ref="P876:Q876"/>
    <mergeCell ref="R876:S876"/>
    <mergeCell ref="T876:U876"/>
    <mergeCell ref="B877:C877"/>
    <mergeCell ref="D877:E877"/>
    <mergeCell ref="F877:G877"/>
    <mergeCell ref="H877:I877"/>
    <mergeCell ref="J877:K877"/>
    <mergeCell ref="L877:M877"/>
    <mergeCell ref="P877:Q877"/>
    <mergeCell ref="AX877:AZ877"/>
    <mergeCell ref="BA877:BB877"/>
    <mergeCell ref="BD877:BE877"/>
    <mergeCell ref="BF877:BI877"/>
    <mergeCell ref="BJ877:BM877"/>
    <mergeCell ref="BN877:BV877"/>
    <mergeCell ref="AN877:AO877"/>
    <mergeCell ref="AP877:AQ877"/>
    <mergeCell ref="AR877:AS877"/>
    <mergeCell ref="AT877:AU877"/>
    <mergeCell ref="AV877:AW877"/>
    <mergeCell ref="R877:S877"/>
    <mergeCell ref="T877:U877"/>
    <mergeCell ref="V877:W877"/>
    <mergeCell ref="X877:AA877"/>
    <mergeCell ref="AB877:AE877"/>
    <mergeCell ref="AF877:AG877"/>
    <mergeCell ref="AH877:AI877"/>
    <mergeCell ref="AJ877:AK877"/>
    <mergeCell ref="AL877:AM877"/>
    <mergeCell ref="V878:W878"/>
    <mergeCell ref="X878:AA878"/>
    <mergeCell ref="AB878:AE878"/>
    <mergeCell ref="AF878:AG878"/>
    <mergeCell ref="AH878:AI878"/>
    <mergeCell ref="AJ878:AK878"/>
    <mergeCell ref="AL878:AM878"/>
    <mergeCell ref="BD878:BE878"/>
    <mergeCell ref="BF878:BI878"/>
    <mergeCell ref="BJ878:BM878"/>
    <mergeCell ref="BN878:BV878"/>
    <mergeCell ref="AN878:AO878"/>
    <mergeCell ref="AP878:AQ878"/>
    <mergeCell ref="AR878:AS878"/>
    <mergeCell ref="AT878:AU878"/>
    <mergeCell ref="AV878:AW878"/>
    <mergeCell ref="AX878:AZ878"/>
    <mergeCell ref="BA878:BB878"/>
    <mergeCell ref="B878:C878"/>
    <mergeCell ref="D878:E878"/>
    <mergeCell ref="F878:G878"/>
    <mergeCell ref="H878:I878"/>
    <mergeCell ref="P878:Q878"/>
    <mergeCell ref="R878:S878"/>
    <mergeCell ref="T878:U878"/>
    <mergeCell ref="B879:C879"/>
    <mergeCell ref="D879:E879"/>
    <mergeCell ref="F879:G879"/>
    <mergeCell ref="H879:I879"/>
    <mergeCell ref="J879:K879"/>
    <mergeCell ref="L879:M879"/>
    <mergeCell ref="P879:Q879"/>
    <mergeCell ref="AX879:AZ879"/>
    <mergeCell ref="BA879:BB879"/>
    <mergeCell ref="BD879:BE879"/>
    <mergeCell ref="BF879:BI879"/>
    <mergeCell ref="BJ879:BM879"/>
    <mergeCell ref="BN879:BV879"/>
    <mergeCell ref="AN879:AO879"/>
    <mergeCell ref="AP879:AQ879"/>
    <mergeCell ref="AR879:AS879"/>
    <mergeCell ref="AT879:AU879"/>
    <mergeCell ref="AV879:AW879"/>
    <mergeCell ref="R879:S879"/>
    <mergeCell ref="T879:U879"/>
    <mergeCell ref="V879:W879"/>
    <mergeCell ref="X879:AA879"/>
    <mergeCell ref="AB879:AE879"/>
    <mergeCell ref="AF879:AG879"/>
    <mergeCell ref="AH879:AI879"/>
    <mergeCell ref="AJ879:AK879"/>
    <mergeCell ref="AL879:AM879"/>
    <mergeCell ref="V880:W880"/>
    <mergeCell ref="X880:AA880"/>
    <mergeCell ref="AB880:AE880"/>
    <mergeCell ref="AF880:AG880"/>
    <mergeCell ref="AH880:AI880"/>
    <mergeCell ref="AJ880:AK880"/>
    <mergeCell ref="AL880:AM880"/>
    <mergeCell ref="BD880:BE880"/>
    <mergeCell ref="BF880:BI880"/>
    <mergeCell ref="BJ880:BM880"/>
    <mergeCell ref="BN880:BV880"/>
    <mergeCell ref="AN880:AO880"/>
    <mergeCell ref="AP880:AQ880"/>
    <mergeCell ref="AR880:AS880"/>
    <mergeCell ref="AT880:AU880"/>
    <mergeCell ref="AV880:AW880"/>
    <mergeCell ref="AX880:AZ880"/>
    <mergeCell ref="BA880:BB880"/>
    <mergeCell ref="B880:C880"/>
    <mergeCell ref="D880:E880"/>
    <mergeCell ref="F880:G880"/>
    <mergeCell ref="H880:I880"/>
    <mergeCell ref="P880:Q880"/>
    <mergeCell ref="R880:S880"/>
    <mergeCell ref="T880:U880"/>
    <mergeCell ref="B881:C881"/>
    <mergeCell ref="D881:E881"/>
    <mergeCell ref="F881:G881"/>
    <mergeCell ref="H881:I881"/>
    <mergeCell ref="J881:K881"/>
    <mergeCell ref="L881:M881"/>
    <mergeCell ref="P881:Q881"/>
    <mergeCell ref="AX881:AZ881"/>
    <mergeCell ref="BA881:BB881"/>
    <mergeCell ref="BD881:BE881"/>
    <mergeCell ref="BF881:BI881"/>
    <mergeCell ref="BJ881:BM881"/>
    <mergeCell ref="BN881:BV881"/>
    <mergeCell ref="AN881:AO881"/>
    <mergeCell ref="AP881:AQ881"/>
    <mergeCell ref="AR881:AS881"/>
    <mergeCell ref="AT881:AU881"/>
    <mergeCell ref="AV881:AW881"/>
    <mergeCell ref="BJ917:BM917"/>
    <mergeCell ref="BN917:BV917"/>
    <mergeCell ref="BJ918:BM918"/>
    <mergeCell ref="BN918:BV918"/>
    <mergeCell ref="AJ914:AK914"/>
    <mergeCell ref="AL914:AM914"/>
    <mergeCell ref="R914:S914"/>
    <mergeCell ref="T914:U914"/>
    <mergeCell ref="V914:W914"/>
    <mergeCell ref="X914:AA914"/>
    <mergeCell ref="AB914:AE914"/>
    <mergeCell ref="AF914:AG914"/>
    <mergeCell ref="AH914:AI914"/>
    <mergeCell ref="R915:S915"/>
    <mergeCell ref="T915:U915"/>
    <mergeCell ref="V915:W915"/>
    <mergeCell ref="X915:AA915"/>
    <mergeCell ref="AB915:AE915"/>
    <mergeCell ref="AF915:AG915"/>
    <mergeCell ref="AH915:AI915"/>
    <mergeCell ref="AX915:AZ915"/>
    <mergeCell ref="BA915:BB915"/>
    <mergeCell ref="BD915:BE915"/>
    <mergeCell ref="BF915:BI915"/>
    <mergeCell ref="BJ915:BM915"/>
    <mergeCell ref="BN915:BV915"/>
    <mergeCell ref="BJ916:BM916"/>
    <mergeCell ref="BN916:BV916"/>
    <mergeCell ref="B915:C915"/>
    <mergeCell ref="D915:E915"/>
    <mergeCell ref="F915:G915"/>
    <mergeCell ref="H915:I915"/>
    <mergeCell ref="J915:K915"/>
    <mergeCell ref="L915:M915"/>
    <mergeCell ref="P915:Q915"/>
    <mergeCell ref="B916:C916"/>
    <mergeCell ref="D916:E916"/>
    <mergeCell ref="F916:G916"/>
    <mergeCell ref="H916:I916"/>
    <mergeCell ref="J916:K916"/>
    <mergeCell ref="L916:M916"/>
    <mergeCell ref="P916:Q916"/>
    <mergeCell ref="AJ915:AK915"/>
    <mergeCell ref="AL915:AM915"/>
    <mergeCell ref="AN915:AO915"/>
    <mergeCell ref="AP915:AQ915"/>
    <mergeCell ref="AR915:AS915"/>
    <mergeCell ref="AT915:AU915"/>
    <mergeCell ref="AV915:AW915"/>
    <mergeCell ref="AL918:AM918"/>
    <mergeCell ref="R918:S918"/>
    <mergeCell ref="T918:U918"/>
    <mergeCell ref="V918:W918"/>
    <mergeCell ref="X918:AA918"/>
    <mergeCell ref="AB918:AE918"/>
    <mergeCell ref="AF918:AG918"/>
    <mergeCell ref="AH918:AI918"/>
    <mergeCell ref="B917:C917"/>
    <mergeCell ref="D917:E917"/>
    <mergeCell ref="F917:G917"/>
    <mergeCell ref="H917:I917"/>
    <mergeCell ref="J917:K917"/>
    <mergeCell ref="L917:M917"/>
    <mergeCell ref="P917:Q917"/>
    <mergeCell ref="AJ909:AK909"/>
    <mergeCell ref="AL909:AM909"/>
    <mergeCell ref="R909:S909"/>
    <mergeCell ref="T909:U909"/>
    <mergeCell ref="V909:W909"/>
    <mergeCell ref="X909:AA909"/>
    <mergeCell ref="AB909:AE909"/>
    <mergeCell ref="AF909:AG909"/>
    <mergeCell ref="AH909:AI909"/>
    <mergeCell ref="R910:S910"/>
    <mergeCell ref="T910:U910"/>
    <mergeCell ref="V910:W910"/>
    <mergeCell ref="X910:AA910"/>
    <mergeCell ref="AB910:AE910"/>
    <mergeCell ref="AF910:AG910"/>
    <mergeCell ref="AH910:AI910"/>
    <mergeCell ref="AX910:AZ910"/>
    <mergeCell ref="BA910:BB910"/>
    <mergeCell ref="BD910:BE910"/>
    <mergeCell ref="BF910:BI910"/>
    <mergeCell ref="BD914:BE914"/>
    <mergeCell ref="BF914:BI914"/>
    <mergeCell ref="AN914:AO914"/>
    <mergeCell ref="AP914:AQ914"/>
    <mergeCell ref="AR914:AS914"/>
    <mergeCell ref="AT914:AU914"/>
    <mergeCell ref="AV914:AW914"/>
    <mergeCell ref="AX914:AZ914"/>
    <mergeCell ref="BA914:BB914"/>
    <mergeCell ref="AX913:AZ913"/>
    <mergeCell ref="BA913:BB913"/>
    <mergeCell ref="BD913:BE913"/>
    <mergeCell ref="BF913:BI913"/>
    <mergeCell ref="AJ911:AK911"/>
    <mergeCell ref="AL911:AM911"/>
    <mergeCell ref="B918:C918"/>
    <mergeCell ref="D918:E918"/>
    <mergeCell ref="F918:G918"/>
    <mergeCell ref="H918:I918"/>
    <mergeCell ref="J918:K918"/>
    <mergeCell ref="L918:M918"/>
    <mergeCell ref="P918:Q918"/>
    <mergeCell ref="AJ917:AK917"/>
    <mergeCell ref="AL917:AM917"/>
    <mergeCell ref="AN917:AO917"/>
    <mergeCell ref="AP917:AQ917"/>
    <mergeCell ref="AR917:AS917"/>
    <mergeCell ref="AT917:AU917"/>
    <mergeCell ref="AV917:AW917"/>
    <mergeCell ref="BD911:BE911"/>
    <mergeCell ref="BF911:BI911"/>
    <mergeCell ref="AN911:AO911"/>
    <mergeCell ref="AP911:AQ911"/>
    <mergeCell ref="AR911:AS911"/>
    <mergeCell ref="AT911:AU911"/>
    <mergeCell ref="AV911:AW911"/>
    <mergeCell ref="AX911:AZ911"/>
    <mergeCell ref="BA911:BB911"/>
    <mergeCell ref="BD918:BE918"/>
    <mergeCell ref="BF918:BI918"/>
    <mergeCell ref="AN918:AO918"/>
    <mergeCell ref="AP918:AQ918"/>
    <mergeCell ref="AR918:AS918"/>
    <mergeCell ref="AT918:AU918"/>
    <mergeCell ref="AV918:AW918"/>
    <mergeCell ref="AX918:AZ918"/>
    <mergeCell ref="BA918:BB918"/>
    <mergeCell ref="AJ916:AK916"/>
    <mergeCell ref="AL916:AM916"/>
    <mergeCell ref="R916:S916"/>
    <mergeCell ref="T916:U916"/>
    <mergeCell ref="V916:W916"/>
    <mergeCell ref="X916:AA916"/>
    <mergeCell ref="AB916:AE916"/>
    <mergeCell ref="AF916:AG916"/>
    <mergeCell ref="AH916:AI916"/>
    <mergeCell ref="R917:S917"/>
    <mergeCell ref="T917:U917"/>
    <mergeCell ref="V917:W917"/>
    <mergeCell ref="X917:AA917"/>
    <mergeCell ref="AB917:AE917"/>
    <mergeCell ref="AF917:AG917"/>
    <mergeCell ref="AH917:AI917"/>
    <mergeCell ref="AX917:AZ917"/>
    <mergeCell ref="BA917:BB917"/>
    <mergeCell ref="BD917:BE917"/>
    <mergeCell ref="BF917:BI917"/>
    <mergeCell ref="AJ918:AK918"/>
    <mergeCell ref="BJ910:BM910"/>
    <mergeCell ref="BN910:BV910"/>
    <mergeCell ref="B910:C910"/>
    <mergeCell ref="D910:E910"/>
    <mergeCell ref="F910:G910"/>
    <mergeCell ref="H910:I910"/>
    <mergeCell ref="J910:K910"/>
    <mergeCell ref="L910:M910"/>
    <mergeCell ref="P910:Q910"/>
    <mergeCell ref="AJ910:AK910"/>
    <mergeCell ref="AL910:AM910"/>
    <mergeCell ref="AN910:AO910"/>
    <mergeCell ref="AP910:AQ910"/>
    <mergeCell ref="AR910:AS910"/>
    <mergeCell ref="AT910:AU910"/>
    <mergeCell ref="AV910:AW910"/>
    <mergeCell ref="B911:C911"/>
    <mergeCell ref="D911:E911"/>
    <mergeCell ref="F911:G911"/>
    <mergeCell ref="H911:I911"/>
    <mergeCell ref="J911:K911"/>
    <mergeCell ref="L911:M911"/>
    <mergeCell ref="P911:Q911"/>
    <mergeCell ref="R913:S913"/>
    <mergeCell ref="T913:U913"/>
    <mergeCell ref="V913:W913"/>
    <mergeCell ref="X913:AA913"/>
    <mergeCell ref="AB913:AE913"/>
    <mergeCell ref="AF913:AG913"/>
    <mergeCell ref="AH913:AI913"/>
    <mergeCell ref="B913:C913"/>
    <mergeCell ref="D913:E913"/>
    <mergeCell ref="F913:G913"/>
    <mergeCell ref="H913:I913"/>
    <mergeCell ref="J913:K913"/>
    <mergeCell ref="L913:M913"/>
    <mergeCell ref="P913:Q913"/>
    <mergeCell ref="R912:S912"/>
    <mergeCell ref="T912:U912"/>
    <mergeCell ref="V912:W912"/>
    <mergeCell ref="X912:AA912"/>
    <mergeCell ref="AB912:AE912"/>
    <mergeCell ref="AF912:AG912"/>
    <mergeCell ref="AH912:AI912"/>
    <mergeCell ref="AX912:AZ912"/>
    <mergeCell ref="BA912:BB912"/>
    <mergeCell ref="BD912:BE912"/>
    <mergeCell ref="BF912:BI912"/>
    <mergeCell ref="BJ912:BM912"/>
    <mergeCell ref="BN912:BV912"/>
    <mergeCell ref="AJ912:AK912"/>
    <mergeCell ref="AL912:AM912"/>
    <mergeCell ref="AN912:AO912"/>
    <mergeCell ref="AP912:AQ912"/>
    <mergeCell ref="AR912:AS912"/>
    <mergeCell ref="AT912:AU912"/>
    <mergeCell ref="AV912:AW912"/>
    <mergeCell ref="B912:C912"/>
    <mergeCell ref="D912:E912"/>
    <mergeCell ref="F912:G912"/>
    <mergeCell ref="H912:I912"/>
    <mergeCell ref="J912:K912"/>
    <mergeCell ref="L912:M912"/>
    <mergeCell ref="P912:Q912"/>
    <mergeCell ref="B924:C924"/>
    <mergeCell ref="D924:E924"/>
    <mergeCell ref="F924:G924"/>
    <mergeCell ref="H924:I924"/>
    <mergeCell ref="J924:K924"/>
    <mergeCell ref="L924:M924"/>
    <mergeCell ref="P924:Q924"/>
    <mergeCell ref="B925:C925"/>
    <mergeCell ref="D925:E925"/>
    <mergeCell ref="F925:G925"/>
    <mergeCell ref="H925:I925"/>
    <mergeCell ref="J925:K925"/>
    <mergeCell ref="L925:M925"/>
    <mergeCell ref="P925:Q925"/>
    <mergeCell ref="AJ924:AK924"/>
    <mergeCell ref="AL924:AM924"/>
    <mergeCell ref="AN924:AO924"/>
    <mergeCell ref="AP924:AQ924"/>
    <mergeCell ref="AR924:AS924"/>
    <mergeCell ref="AT924:AU924"/>
    <mergeCell ref="AV924:AW924"/>
    <mergeCell ref="BJ913:BM913"/>
    <mergeCell ref="BN913:BV913"/>
    <mergeCell ref="BJ914:BM914"/>
    <mergeCell ref="BN914:BV914"/>
    <mergeCell ref="B914:C914"/>
    <mergeCell ref="D914:E914"/>
    <mergeCell ref="F914:G914"/>
    <mergeCell ref="H914:I914"/>
    <mergeCell ref="J914:K914"/>
    <mergeCell ref="L914:M914"/>
    <mergeCell ref="P914:Q914"/>
    <mergeCell ref="AJ913:AK913"/>
    <mergeCell ref="AL913:AM913"/>
    <mergeCell ref="AN913:AO913"/>
    <mergeCell ref="AP913:AQ913"/>
    <mergeCell ref="AR913:AS913"/>
    <mergeCell ref="AT913:AU913"/>
    <mergeCell ref="AV913:AW913"/>
    <mergeCell ref="BD916:BE916"/>
    <mergeCell ref="BF916:BI916"/>
    <mergeCell ref="AN916:AO916"/>
    <mergeCell ref="AP916:AQ916"/>
    <mergeCell ref="AR916:AS916"/>
    <mergeCell ref="AT916:AU916"/>
    <mergeCell ref="AV916:AW916"/>
    <mergeCell ref="AX916:AZ916"/>
    <mergeCell ref="BA916:BB916"/>
    <mergeCell ref="AJ920:AK920"/>
    <mergeCell ref="AL920:AM920"/>
    <mergeCell ref="BJ920:BM920"/>
    <mergeCell ref="BN920:BV920"/>
    <mergeCell ref="R920:S920"/>
    <mergeCell ref="T920:U920"/>
    <mergeCell ref="V920:W920"/>
    <mergeCell ref="X920:AA920"/>
    <mergeCell ref="AB920:AE920"/>
    <mergeCell ref="AF920:AG920"/>
    <mergeCell ref="AH920:AI920"/>
    <mergeCell ref="BJ919:BM919"/>
    <mergeCell ref="BN919:BV919"/>
    <mergeCell ref="B920:C920"/>
    <mergeCell ref="D920:E920"/>
    <mergeCell ref="F920:G920"/>
    <mergeCell ref="BA926:BB926"/>
    <mergeCell ref="BD926:BE926"/>
    <mergeCell ref="BF926:BI926"/>
    <mergeCell ref="BJ926:BM926"/>
    <mergeCell ref="BN926:BV926"/>
    <mergeCell ref="BJ927:BM927"/>
    <mergeCell ref="BN927:BV927"/>
    <mergeCell ref="BD925:BE925"/>
    <mergeCell ref="BF925:BI925"/>
    <mergeCell ref="AN925:AO925"/>
    <mergeCell ref="AP925:AQ925"/>
    <mergeCell ref="AR925:AS925"/>
    <mergeCell ref="AT925:AU925"/>
    <mergeCell ref="AV925:AW925"/>
    <mergeCell ref="AX925:AZ925"/>
    <mergeCell ref="BA925:BB925"/>
    <mergeCell ref="AJ923:AK923"/>
    <mergeCell ref="AL923:AM923"/>
    <mergeCell ref="R923:S923"/>
    <mergeCell ref="T923:U923"/>
    <mergeCell ref="V923:W923"/>
    <mergeCell ref="X923:AA923"/>
    <mergeCell ref="AB923:AE923"/>
    <mergeCell ref="AF923:AG923"/>
    <mergeCell ref="AH923:AI923"/>
    <mergeCell ref="R924:S924"/>
    <mergeCell ref="T924:U924"/>
    <mergeCell ref="V924:W924"/>
    <mergeCell ref="X924:AA924"/>
    <mergeCell ref="AB924:AE924"/>
    <mergeCell ref="AF924:AG924"/>
    <mergeCell ref="AH924:AI924"/>
    <mergeCell ref="AX924:AZ924"/>
    <mergeCell ref="BA924:BB924"/>
    <mergeCell ref="BD924:BE924"/>
    <mergeCell ref="BF924:BI924"/>
    <mergeCell ref="BJ924:BM924"/>
    <mergeCell ref="BN924:BV924"/>
    <mergeCell ref="BJ925:BM925"/>
    <mergeCell ref="BN925:BV925"/>
    <mergeCell ref="AH927:AI927"/>
    <mergeCell ref="R919:S919"/>
    <mergeCell ref="T919:U919"/>
    <mergeCell ref="V919:W919"/>
    <mergeCell ref="X919:AA919"/>
    <mergeCell ref="AB919:AE919"/>
    <mergeCell ref="AF919:AG919"/>
    <mergeCell ref="AH919:AI919"/>
    <mergeCell ref="AX919:AZ919"/>
    <mergeCell ref="BA919:BB919"/>
    <mergeCell ref="BD919:BE919"/>
    <mergeCell ref="BF919:BI919"/>
    <mergeCell ref="B919:C919"/>
    <mergeCell ref="D919:E919"/>
    <mergeCell ref="F919:G919"/>
    <mergeCell ref="H919:I919"/>
    <mergeCell ref="J919:K919"/>
    <mergeCell ref="L919:M919"/>
    <mergeCell ref="P919:Q919"/>
    <mergeCell ref="AJ919:AK919"/>
    <mergeCell ref="AL919:AM919"/>
    <mergeCell ref="AN919:AO919"/>
    <mergeCell ref="AP919:AQ919"/>
    <mergeCell ref="AR919:AS919"/>
    <mergeCell ref="AT919:AU919"/>
    <mergeCell ref="AV919:AW919"/>
    <mergeCell ref="X921:AA921"/>
    <mergeCell ref="AB921:AE921"/>
    <mergeCell ref="AF921:AG921"/>
    <mergeCell ref="AH921:AI921"/>
    <mergeCell ref="AX921:AZ921"/>
    <mergeCell ref="BA921:BB921"/>
    <mergeCell ref="BD921:BE921"/>
    <mergeCell ref="BF921:BI921"/>
    <mergeCell ref="H920:I920"/>
    <mergeCell ref="J920:K920"/>
    <mergeCell ref="L920:M920"/>
    <mergeCell ref="P920:Q920"/>
    <mergeCell ref="B926:C926"/>
    <mergeCell ref="D926:E926"/>
    <mergeCell ref="F926:G926"/>
    <mergeCell ref="H926:I926"/>
    <mergeCell ref="J926:K926"/>
    <mergeCell ref="L926:M926"/>
    <mergeCell ref="P926:Q926"/>
    <mergeCell ref="B927:C927"/>
    <mergeCell ref="D927:E927"/>
    <mergeCell ref="F927:G927"/>
    <mergeCell ref="H927:I927"/>
    <mergeCell ref="J927:K927"/>
    <mergeCell ref="L927:M927"/>
    <mergeCell ref="P927:Q927"/>
    <mergeCell ref="AJ926:AK926"/>
    <mergeCell ref="AL926:AM926"/>
    <mergeCell ref="AN926:AO926"/>
    <mergeCell ref="AP926:AQ926"/>
    <mergeCell ref="AR926:AS926"/>
    <mergeCell ref="AT926:AU926"/>
    <mergeCell ref="AV926:AW926"/>
    <mergeCell ref="BD920:BE920"/>
    <mergeCell ref="BF920:BI920"/>
    <mergeCell ref="AN920:AO920"/>
    <mergeCell ref="AP920:AQ920"/>
    <mergeCell ref="AR920:AS920"/>
    <mergeCell ref="AT920:AU920"/>
    <mergeCell ref="AV920:AW920"/>
    <mergeCell ref="AX920:AZ920"/>
    <mergeCell ref="BA920:BB920"/>
    <mergeCell ref="BD927:BE927"/>
    <mergeCell ref="BF927:BI927"/>
    <mergeCell ref="AN927:AO927"/>
    <mergeCell ref="AP927:AQ927"/>
    <mergeCell ref="AR927:AS927"/>
    <mergeCell ref="AT927:AU927"/>
    <mergeCell ref="AV927:AW927"/>
    <mergeCell ref="AX927:AZ927"/>
    <mergeCell ref="BA927:BB927"/>
    <mergeCell ref="AJ925:AK925"/>
    <mergeCell ref="AL925:AM925"/>
    <mergeCell ref="R925:S925"/>
    <mergeCell ref="T925:U925"/>
    <mergeCell ref="V925:W925"/>
    <mergeCell ref="X925:AA925"/>
    <mergeCell ref="AB925:AE925"/>
    <mergeCell ref="AF925:AG925"/>
    <mergeCell ref="AH925:AI925"/>
    <mergeCell ref="R926:S926"/>
    <mergeCell ref="T926:U926"/>
    <mergeCell ref="V926:W926"/>
    <mergeCell ref="X926:AA926"/>
    <mergeCell ref="AB926:AE926"/>
    <mergeCell ref="AF926:AG926"/>
    <mergeCell ref="AH926:AI926"/>
    <mergeCell ref="AX926:AZ926"/>
    <mergeCell ref="AJ927:AK927"/>
    <mergeCell ref="AL927:AM927"/>
    <mergeCell ref="R927:S927"/>
    <mergeCell ref="T927:U927"/>
    <mergeCell ref="V927:W927"/>
    <mergeCell ref="X927:AA927"/>
    <mergeCell ref="AB927:AE927"/>
    <mergeCell ref="AF927:AG927"/>
    <mergeCell ref="BJ921:BM921"/>
    <mergeCell ref="BN921:BV921"/>
    <mergeCell ref="AJ921:AK921"/>
    <mergeCell ref="AL921:AM921"/>
    <mergeCell ref="AN921:AO921"/>
    <mergeCell ref="AP921:AQ921"/>
    <mergeCell ref="AR921:AS921"/>
    <mergeCell ref="AT921:AU921"/>
    <mergeCell ref="AV921:AW921"/>
    <mergeCell ref="B921:C921"/>
    <mergeCell ref="D921:E921"/>
    <mergeCell ref="F921:G921"/>
    <mergeCell ref="H921:I921"/>
    <mergeCell ref="J921:K921"/>
    <mergeCell ref="L921:M921"/>
    <mergeCell ref="P921:Q921"/>
    <mergeCell ref="AX922:AZ922"/>
    <mergeCell ref="BA922:BB922"/>
    <mergeCell ref="BD922:BE922"/>
    <mergeCell ref="BF922:BI922"/>
    <mergeCell ref="BJ922:BM922"/>
    <mergeCell ref="BN922:BV922"/>
    <mergeCell ref="BJ923:BM923"/>
    <mergeCell ref="BN923:BV923"/>
    <mergeCell ref="B923:C923"/>
    <mergeCell ref="D923:E923"/>
    <mergeCell ref="F923:G923"/>
    <mergeCell ref="H923:I923"/>
    <mergeCell ref="J923:K923"/>
    <mergeCell ref="L923:M923"/>
    <mergeCell ref="P923:Q923"/>
    <mergeCell ref="AJ922:AK922"/>
    <mergeCell ref="AL922:AM922"/>
    <mergeCell ref="AN922:AO922"/>
    <mergeCell ref="AP922:AQ922"/>
    <mergeCell ref="AR922:AS922"/>
    <mergeCell ref="AT922:AU922"/>
    <mergeCell ref="AV922:AW922"/>
    <mergeCell ref="R922:S922"/>
    <mergeCell ref="T922:U922"/>
    <mergeCell ref="V922:W922"/>
    <mergeCell ref="X922:AA922"/>
    <mergeCell ref="AB922:AE922"/>
    <mergeCell ref="AF922:AG922"/>
    <mergeCell ref="AH922:AI922"/>
    <mergeCell ref="B922:C922"/>
    <mergeCell ref="D922:E922"/>
    <mergeCell ref="F922:G922"/>
    <mergeCell ref="H922:I922"/>
    <mergeCell ref="J922:K922"/>
    <mergeCell ref="L922:M922"/>
    <mergeCell ref="P922:Q922"/>
    <mergeCell ref="BD923:BE923"/>
    <mergeCell ref="BF923:BI923"/>
    <mergeCell ref="AN923:AO923"/>
    <mergeCell ref="AP923:AQ923"/>
    <mergeCell ref="AR923:AS923"/>
    <mergeCell ref="AT923:AU923"/>
    <mergeCell ref="AV923:AW923"/>
    <mergeCell ref="AX923:AZ923"/>
    <mergeCell ref="BA923:BB923"/>
    <mergeCell ref="R921:S921"/>
    <mergeCell ref="T921:U921"/>
    <mergeCell ref="V921:W921"/>
    <mergeCell ref="BJ929:BM929"/>
    <mergeCell ref="BN929:BV929"/>
    <mergeCell ref="R929:S929"/>
    <mergeCell ref="T929:U929"/>
    <mergeCell ref="V929:W929"/>
    <mergeCell ref="X929:AA929"/>
    <mergeCell ref="AB929:AE929"/>
    <mergeCell ref="AF929:AG929"/>
    <mergeCell ref="AH929:AI929"/>
    <mergeCell ref="AJ932:AK932"/>
    <mergeCell ref="AL932:AM932"/>
    <mergeCell ref="R932:S932"/>
    <mergeCell ref="T932:U932"/>
    <mergeCell ref="V932:W932"/>
    <mergeCell ref="X932:AA932"/>
    <mergeCell ref="AB932:AE932"/>
    <mergeCell ref="AF932:AG932"/>
    <mergeCell ref="AH932:AI932"/>
    <mergeCell ref="R933:S933"/>
    <mergeCell ref="T933:U933"/>
    <mergeCell ref="V933:W933"/>
    <mergeCell ref="X933:AA933"/>
    <mergeCell ref="AB933:AE933"/>
    <mergeCell ref="AF933:AG933"/>
    <mergeCell ref="AH933:AI933"/>
    <mergeCell ref="AX933:AZ933"/>
    <mergeCell ref="BA933:BB933"/>
    <mergeCell ref="BD933:BE933"/>
    <mergeCell ref="BF933:BI933"/>
    <mergeCell ref="BJ933:BM933"/>
    <mergeCell ref="BN933:BV933"/>
    <mergeCell ref="BJ931:BM931"/>
    <mergeCell ref="BN931:BV931"/>
    <mergeCell ref="BJ932:BM932"/>
    <mergeCell ref="BN932:BV932"/>
    <mergeCell ref="BD929:BE929"/>
    <mergeCell ref="BF929:BI929"/>
    <mergeCell ref="AN929:AO929"/>
    <mergeCell ref="AP929:AQ929"/>
    <mergeCell ref="AR929:AS929"/>
    <mergeCell ref="AT929:AU929"/>
    <mergeCell ref="AV929:AW929"/>
    <mergeCell ref="AX929:AZ929"/>
    <mergeCell ref="BA929:BB929"/>
    <mergeCell ref="BJ930:BM930"/>
    <mergeCell ref="BN930:BV930"/>
    <mergeCell ref="R928:S928"/>
    <mergeCell ref="T928:U928"/>
    <mergeCell ref="V928:W928"/>
    <mergeCell ref="X928:AA928"/>
    <mergeCell ref="AB928:AE928"/>
    <mergeCell ref="AF928:AG928"/>
    <mergeCell ref="AH928:AI928"/>
    <mergeCell ref="AX928:AZ928"/>
    <mergeCell ref="BA928:BB928"/>
    <mergeCell ref="BD928:BE928"/>
    <mergeCell ref="BF928:BI928"/>
    <mergeCell ref="BD932:BE932"/>
    <mergeCell ref="BF932:BI932"/>
    <mergeCell ref="AN932:AO932"/>
    <mergeCell ref="AP932:AQ932"/>
    <mergeCell ref="AR932:AS932"/>
    <mergeCell ref="AT932:AU932"/>
    <mergeCell ref="AV932:AW932"/>
    <mergeCell ref="AX932:AZ932"/>
    <mergeCell ref="BA932:BB932"/>
    <mergeCell ref="AX931:AZ931"/>
    <mergeCell ref="BA931:BB931"/>
    <mergeCell ref="BD931:BE931"/>
    <mergeCell ref="BF931:BI931"/>
    <mergeCell ref="R930:S930"/>
    <mergeCell ref="T930:U930"/>
    <mergeCell ref="V930:W930"/>
    <mergeCell ref="X930:AA930"/>
    <mergeCell ref="AB930:AE930"/>
    <mergeCell ref="AF930:AG930"/>
    <mergeCell ref="AH930:AI930"/>
    <mergeCell ref="AX930:AZ930"/>
    <mergeCell ref="BA930:BB930"/>
    <mergeCell ref="BD930:BE930"/>
    <mergeCell ref="BF930:BI930"/>
    <mergeCell ref="AJ930:AK930"/>
    <mergeCell ref="AL930:AM930"/>
    <mergeCell ref="AN930:AO930"/>
    <mergeCell ref="AP930:AQ930"/>
    <mergeCell ref="AR930:AS930"/>
    <mergeCell ref="AT930:AU930"/>
    <mergeCell ref="AV930:AW930"/>
    <mergeCell ref="AJ929:AK929"/>
    <mergeCell ref="AL929:AM929"/>
    <mergeCell ref="F930:G930"/>
    <mergeCell ref="H930:I930"/>
    <mergeCell ref="J930:K930"/>
    <mergeCell ref="L930:M930"/>
    <mergeCell ref="P930:Q930"/>
    <mergeCell ref="D936:E936"/>
    <mergeCell ref="F936:G936"/>
    <mergeCell ref="H936:I936"/>
    <mergeCell ref="J936:K936"/>
    <mergeCell ref="L936:M936"/>
    <mergeCell ref="P936:Q936"/>
    <mergeCell ref="AJ935:AK935"/>
    <mergeCell ref="AL935:AM935"/>
    <mergeCell ref="AN935:AO935"/>
    <mergeCell ref="AP935:AQ935"/>
    <mergeCell ref="AR935:AS935"/>
    <mergeCell ref="AT935:AU935"/>
    <mergeCell ref="AV935:AW935"/>
    <mergeCell ref="BJ934:BM934"/>
    <mergeCell ref="BN934:BV934"/>
    <mergeCell ref="B933:C933"/>
    <mergeCell ref="D933:E933"/>
    <mergeCell ref="F933:G933"/>
    <mergeCell ref="H933:I933"/>
    <mergeCell ref="J933:K933"/>
    <mergeCell ref="L933:M933"/>
    <mergeCell ref="P933:Q933"/>
    <mergeCell ref="B934:C934"/>
    <mergeCell ref="D934:E934"/>
    <mergeCell ref="F934:G934"/>
    <mergeCell ref="H934:I934"/>
    <mergeCell ref="J934:K934"/>
    <mergeCell ref="L934:M934"/>
    <mergeCell ref="P934:Q934"/>
    <mergeCell ref="AJ933:AK933"/>
    <mergeCell ref="AL933:AM933"/>
    <mergeCell ref="AN933:AO933"/>
    <mergeCell ref="AP933:AQ933"/>
    <mergeCell ref="AR933:AS933"/>
    <mergeCell ref="AT933:AU933"/>
    <mergeCell ref="AV933:AW933"/>
    <mergeCell ref="BD936:BE936"/>
    <mergeCell ref="BD934:BE934"/>
    <mergeCell ref="BF934:BI934"/>
    <mergeCell ref="AN934:AO934"/>
    <mergeCell ref="AP934:AQ934"/>
    <mergeCell ref="AR934:AS934"/>
    <mergeCell ref="AT934:AU934"/>
    <mergeCell ref="AV934:AW934"/>
    <mergeCell ref="AX934:AZ934"/>
    <mergeCell ref="BA934:BB934"/>
    <mergeCell ref="AX935:AZ935"/>
    <mergeCell ref="BA935:BB935"/>
    <mergeCell ref="BD935:BE935"/>
    <mergeCell ref="BF935:BI935"/>
    <mergeCell ref="BJ935:BM935"/>
    <mergeCell ref="BN935:BV935"/>
    <mergeCell ref="BJ936:BM936"/>
    <mergeCell ref="BN936:BV936"/>
    <mergeCell ref="B935:C935"/>
    <mergeCell ref="D935:E935"/>
    <mergeCell ref="F935:G935"/>
    <mergeCell ref="H935:I935"/>
    <mergeCell ref="J935:K935"/>
    <mergeCell ref="BJ938:BM938"/>
    <mergeCell ref="BN938:BV938"/>
    <mergeCell ref="R938:S938"/>
    <mergeCell ref="T938:U938"/>
    <mergeCell ref="V938:W938"/>
    <mergeCell ref="X938:AA938"/>
    <mergeCell ref="AB938:AE938"/>
    <mergeCell ref="AF938:AG938"/>
    <mergeCell ref="AH938:AI938"/>
    <mergeCell ref="BJ937:BM937"/>
    <mergeCell ref="BN937:BV937"/>
    <mergeCell ref="B938:C938"/>
    <mergeCell ref="D938:E938"/>
    <mergeCell ref="F938:G938"/>
    <mergeCell ref="H938:I938"/>
    <mergeCell ref="J938:K938"/>
    <mergeCell ref="L938:M938"/>
    <mergeCell ref="P938:Q938"/>
    <mergeCell ref="BJ928:BM928"/>
    <mergeCell ref="BN928:BV928"/>
    <mergeCell ref="B928:C928"/>
    <mergeCell ref="D928:E928"/>
    <mergeCell ref="F928:G928"/>
    <mergeCell ref="H928:I928"/>
    <mergeCell ref="J928:K928"/>
    <mergeCell ref="L928:M928"/>
    <mergeCell ref="P928:Q928"/>
    <mergeCell ref="AJ928:AK928"/>
    <mergeCell ref="AL928:AM928"/>
    <mergeCell ref="AN928:AO928"/>
    <mergeCell ref="AP928:AQ928"/>
    <mergeCell ref="AR928:AS928"/>
    <mergeCell ref="AT928:AU928"/>
    <mergeCell ref="AV928:AW928"/>
    <mergeCell ref="B929:C929"/>
    <mergeCell ref="D929:E929"/>
    <mergeCell ref="F929:G929"/>
    <mergeCell ref="H929:I929"/>
    <mergeCell ref="J929:K929"/>
    <mergeCell ref="L929:M929"/>
    <mergeCell ref="P929:Q929"/>
    <mergeCell ref="R931:S931"/>
    <mergeCell ref="T931:U931"/>
    <mergeCell ref="V931:W931"/>
    <mergeCell ref="X931:AA931"/>
    <mergeCell ref="AB931:AE931"/>
    <mergeCell ref="AF931:AG931"/>
    <mergeCell ref="AH931:AI931"/>
    <mergeCell ref="B931:C931"/>
    <mergeCell ref="D931:E931"/>
    <mergeCell ref="F931:G931"/>
    <mergeCell ref="H931:I931"/>
    <mergeCell ref="J931:K931"/>
    <mergeCell ref="AB936:AE936"/>
    <mergeCell ref="AF936:AG936"/>
    <mergeCell ref="AH936:AI936"/>
    <mergeCell ref="R937:S937"/>
    <mergeCell ref="T937:U937"/>
    <mergeCell ref="V937:W937"/>
    <mergeCell ref="X937:AA937"/>
    <mergeCell ref="AB937:AE937"/>
    <mergeCell ref="AF937:AG937"/>
    <mergeCell ref="B930:C930"/>
    <mergeCell ref="D930:E930"/>
    <mergeCell ref="B932:C932"/>
    <mergeCell ref="D932:E932"/>
    <mergeCell ref="F932:G932"/>
    <mergeCell ref="H932:I932"/>
    <mergeCell ref="J932:K932"/>
    <mergeCell ref="L932:M932"/>
    <mergeCell ref="P932:Q932"/>
    <mergeCell ref="AJ931:AK931"/>
    <mergeCell ref="AL931:AM931"/>
    <mergeCell ref="AN931:AO931"/>
    <mergeCell ref="AP931:AQ931"/>
    <mergeCell ref="AR931:AS931"/>
    <mergeCell ref="AT931:AU931"/>
    <mergeCell ref="AV931:AW931"/>
    <mergeCell ref="L931:M931"/>
    <mergeCell ref="P931:Q931"/>
    <mergeCell ref="AN936:AO936"/>
    <mergeCell ref="AP936:AQ936"/>
    <mergeCell ref="AR936:AS936"/>
    <mergeCell ref="AT936:AU936"/>
    <mergeCell ref="AV936:AW936"/>
    <mergeCell ref="AJ934:AK934"/>
    <mergeCell ref="AL934:AM934"/>
    <mergeCell ref="R934:S934"/>
    <mergeCell ref="T934:U934"/>
    <mergeCell ref="V934:W934"/>
    <mergeCell ref="X934:AA934"/>
    <mergeCell ref="AB934:AE934"/>
    <mergeCell ref="AF934:AG934"/>
    <mergeCell ref="AH934:AI934"/>
    <mergeCell ref="R935:S935"/>
    <mergeCell ref="T935:U935"/>
    <mergeCell ref="V935:W935"/>
    <mergeCell ref="X935:AA935"/>
    <mergeCell ref="AB935:AE935"/>
    <mergeCell ref="AF935:AG935"/>
    <mergeCell ref="AH935:AI935"/>
    <mergeCell ref="AJ936:AK936"/>
    <mergeCell ref="AL936:AM936"/>
    <mergeCell ref="R936:S936"/>
    <mergeCell ref="T936:U936"/>
    <mergeCell ref="V936:W936"/>
    <mergeCell ref="X936:AA936"/>
    <mergeCell ref="L935:M935"/>
    <mergeCell ref="P935:Q935"/>
    <mergeCell ref="B936:C936"/>
    <mergeCell ref="BJ944:BM944"/>
    <mergeCell ref="BN944:BV944"/>
    <mergeCell ref="BJ945:BM945"/>
    <mergeCell ref="BN945:BV945"/>
    <mergeCell ref="BD943:BE943"/>
    <mergeCell ref="BF943:BI943"/>
    <mergeCell ref="AN943:AO943"/>
    <mergeCell ref="AP943:AQ943"/>
    <mergeCell ref="AR943:AS943"/>
    <mergeCell ref="AT943:AU943"/>
    <mergeCell ref="AV943:AW943"/>
    <mergeCell ref="AX943:AZ943"/>
    <mergeCell ref="BA943:BB943"/>
    <mergeCell ref="AJ941:AK941"/>
    <mergeCell ref="AL941:AM941"/>
    <mergeCell ref="R941:S941"/>
    <mergeCell ref="T941:U941"/>
    <mergeCell ref="V941:W941"/>
    <mergeCell ref="X941:AA941"/>
    <mergeCell ref="AB941:AE941"/>
    <mergeCell ref="AF941:AG941"/>
    <mergeCell ref="AH941:AI941"/>
    <mergeCell ref="R942:S942"/>
    <mergeCell ref="T942:U942"/>
    <mergeCell ref="V942:W942"/>
    <mergeCell ref="X942:AA942"/>
    <mergeCell ref="AB942:AE942"/>
    <mergeCell ref="AF942:AG942"/>
    <mergeCell ref="AH942:AI942"/>
    <mergeCell ref="AX942:AZ942"/>
    <mergeCell ref="BA942:BB942"/>
    <mergeCell ref="BD942:BE942"/>
    <mergeCell ref="BF942:BI942"/>
    <mergeCell ref="BJ942:BM942"/>
    <mergeCell ref="BN942:BV942"/>
    <mergeCell ref="BJ943:BM943"/>
    <mergeCell ref="BN943:BV943"/>
    <mergeCell ref="AJ942:AK942"/>
    <mergeCell ref="AL942:AM942"/>
    <mergeCell ref="AN942:AO942"/>
    <mergeCell ref="AP942:AQ942"/>
    <mergeCell ref="AR942:AS942"/>
    <mergeCell ref="AT942:AU942"/>
    <mergeCell ref="AV942:AW942"/>
    <mergeCell ref="AH937:AI937"/>
    <mergeCell ref="AX937:AZ937"/>
    <mergeCell ref="BA937:BB937"/>
    <mergeCell ref="BD937:BE937"/>
    <mergeCell ref="BF937:BI937"/>
    <mergeCell ref="B937:C937"/>
    <mergeCell ref="D937:E937"/>
    <mergeCell ref="F937:G937"/>
    <mergeCell ref="H937:I937"/>
    <mergeCell ref="J937:K937"/>
    <mergeCell ref="L937:M937"/>
    <mergeCell ref="P937:Q937"/>
    <mergeCell ref="AJ937:AK937"/>
    <mergeCell ref="AL937:AM937"/>
    <mergeCell ref="AN937:AO937"/>
    <mergeCell ref="AP937:AQ937"/>
    <mergeCell ref="AR937:AS937"/>
    <mergeCell ref="AT937:AU937"/>
    <mergeCell ref="AV937:AW937"/>
    <mergeCell ref="BF936:BI936"/>
    <mergeCell ref="AX936:AZ936"/>
    <mergeCell ref="BA936:BB936"/>
    <mergeCell ref="X939:AA939"/>
    <mergeCell ref="AB939:AE939"/>
    <mergeCell ref="AF939:AG939"/>
    <mergeCell ref="AH939:AI939"/>
    <mergeCell ref="AX939:AZ939"/>
    <mergeCell ref="BA939:BB939"/>
    <mergeCell ref="BD939:BE939"/>
    <mergeCell ref="BF939:BI939"/>
    <mergeCell ref="B944:C944"/>
    <mergeCell ref="D944:E944"/>
    <mergeCell ref="F944:G944"/>
    <mergeCell ref="H944:I944"/>
    <mergeCell ref="J944:K944"/>
    <mergeCell ref="L944:M944"/>
    <mergeCell ref="P944:Q944"/>
    <mergeCell ref="BA944:BB944"/>
    <mergeCell ref="BD944:BE944"/>
    <mergeCell ref="BF944:BI944"/>
    <mergeCell ref="B942:C942"/>
    <mergeCell ref="D942:E942"/>
    <mergeCell ref="F942:G942"/>
    <mergeCell ref="H942:I942"/>
    <mergeCell ref="J942:K942"/>
    <mergeCell ref="L942:M942"/>
    <mergeCell ref="P942:Q942"/>
    <mergeCell ref="B943:C943"/>
    <mergeCell ref="D943:E943"/>
    <mergeCell ref="F943:G943"/>
    <mergeCell ref="H943:I943"/>
    <mergeCell ref="J943:K943"/>
    <mergeCell ref="L943:M943"/>
    <mergeCell ref="P943:Q943"/>
    <mergeCell ref="AJ938:AK938"/>
    <mergeCell ref="AL938:AM938"/>
    <mergeCell ref="B945:C945"/>
    <mergeCell ref="D945:E945"/>
    <mergeCell ref="F945:G945"/>
    <mergeCell ref="H945:I945"/>
    <mergeCell ref="J945:K945"/>
    <mergeCell ref="L945:M945"/>
    <mergeCell ref="P945:Q945"/>
    <mergeCell ref="AJ944:AK944"/>
    <mergeCell ref="AL944:AM944"/>
    <mergeCell ref="AN944:AO944"/>
    <mergeCell ref="AP944:AQ944"/>
    <mergeCell ref="AR944:AS944"/>
    <mergeCell ref="AT944:AU944"/>
    <mergeCell ref="AV944:AW944"/>
    <mergeCell ref="BD938:BE938"/>
    <mergeCell ref="BF938:BI938"/>
    <mergeCell ref="AN938:AO938"/>
    <mergeCell ref="AP938:AQ938"/>
    <mergeCell ref="AR938:AS938"/>
    <mergeCell ref="AT938:AU938"/>
    <mergeCell ref="AV938:AW938"/>
    <mergeCell ref="AX938:AZ938"/>
    <mergeCell ref="BA938:BB938"/>
    <mergeCell ref="BD945:BE945"/>
    <mergeCell ref="BF945:BI945"/>
    <mergeCell ref="AN945:AO945"/>
    <mergeCell ref="AP945:AQ945"/>
    <mergeCell ref="AR945:AS945"/>
    <mergeCell ref="AT945:AU945"/>
    <mergeCell ref="AV945:AW945"/>
    <mergeCell ref="AX945:AZ945"/>
    <mergeCell ref="BA945:BB945"/>
    <mergeCell ref="AJ943:AK943"/>
    <mergeCell ref="AL943:AM943"/>
    <mergeCell ref="R943:S943"/>
    <mergeCell ref="T943:U943"/>
    <mergeCell ref="V943:W943"/>
    <mergeCell ref="X943:AA943"/>
    <mergeCell ref="AB943:AE943"/>
    <mergeCell ref="AF943:AG943"/>
    <mergeCell ref="AH943:AI943"/>
    <mergeCell ref="R944:S944"/>
    <mergeCell ref="T944:U944"/>
    <mergeCell ref="V944:W944"/>
    <mergeCell ref="X944:AA944"/>
    <mergeCell ref="AB944:AE944"/>
    <mergeCell ref="AF944:AG944"/>
    <mergeCell ref="AH944:AI944"/>
    <mergeCell ref="AX944:AZ944"/>
    <mergeCell ref="BJ939:BM939"/>
    <mergeCell ref="BN939:BV939"/>
    <mergeCell ref="AJ939:AK939"/>
    <mergeCell ref="AL939:AM939"/>
    <mergeCell ref="AN939:AO939"/>
    <mergeCell ref="AP939:AQ939"/>
    <mergeCell ref="AR939:AS939"/>
    <mergeCell ref="AT939:AU939"/>
    <mergeCell ref="AV939:AW939"/>
    <mergeCell ref="B939:C939"/>
    <mergeCell ref="D939:E939"/>
    <mergeCell ref="F939:G939"/>
    <mergeCell ref="H939:I939"/>
    <mergeCell ref="J939:K939"/>
    <mergeCell ref="L939:M939"/>
    <mergeCell ref="P939:Q939"/>
    <mergeCell ref="AX940:AZ940"/>
    <mergeCell ref="BA940:BB940"/>
    <mergeCell ref="BD940:BE940"/>
    <mergeCell ref="BF940:BI940"/>
    <mergeCell ref="BJ940:BM940"/>
    <mergeCell ref="BN940:BV940"/>
    <mergeCell ref="BJ941:BM941"/>
    <mergeCell ref="BN941:BV941"/>
    <mergeCell ref="B941:C941"/>
    <mergeCell ref="D941:E941"/>
    <mergeCell ref="F941:G941"/>
    <mergeCell ref="H941:I941"/>
    <mergeCell ref="J941:K941"/>
    <mergeCell ref="L941:M941"/>
    <mergeCell ref="P941:Q941"/>
    <mergeCell ref="AJ940:AK940"/>
    <mergeCell ref="AL940:AM940"/>
    <mergeCell ref="AN940:AO940"/>
    <mergeCell ref="AP940:AQ940"/>
    <mergeCell ref="AR940:AS940"/>
    <mergeCell ref="AT940:AU940"/>
    <mergeCell ref="AV940:AW940"/>
    <mergeCell ref="R940:S940"/>
    <mergeCell ref="T940:U940"/>
    <mergeCell ref="V940:W940"/>
    <mergeCell ref="X940:AA940"/>
    <mergeCell ref="AB940:AE940"/>
    <mergeCell ref="AF940:AG940"/>
    <mergeCell ref="AH940:AI940"/>
    <mergeCell ref="B940:C940"/>
    <mergeCell ref="D940:E940"/>
    <mergeCell ref="F940:G940"/>
    <mergeCell ref="H940:I940"/>
    <mergeCell ref="J940:K940"/>
    <mergeCell ref="L940:M940"/>
    <mergeCell ref="P940:Q940"/>
    <mergeCell ref="BD941:BE941"/>
    <mergeCell ref="BF941:BI941"/>
    <mergeCell ref="AN941:AO941"/>
    <mergeCell ref="AP941:AQ941"/>
    <mergeCell ref="AR941:AS941"/>
    <mergeCell ref="AT941:AU941"/>
    <mergeCell ref="AV941:AW941"/>
    <mergeCell ref="AX941:AZ941"/>
    <mergeCell ref="BA941:BB941"/>
    <mergeCell ref="R939:S939"/>
    <mergeCell ref="T939:U939"/>
    <mergeCell ref="V939:W939"/>
    <mergeCell ref="BJ947:BM947"/>
    <mergeCell ref="BN947:BV947"/>
    <mergeCell ref="R947:S947"/>
    <mergeCell ref="T947:U947"/>
    <mergeCell ref="V947:W947"/>
    <mergeCell ref="X947:AA947"/>
    <mergeCell ref="AB947:AE947"/>
    <mergeCell ref="AF947:AG947"/>
    <mergeCell ref="AH947:AI947"/>
    <mergeCell ref="AJ950:AK950"/>
    <mergeCell ref="AL950:AM950"/>
    <mergeCell ref="R950:S950"/>
    <mergeCell ref="T950:U950"/>
    <mergeCell ref="V950:W950"/>
    <mergeCell ref="X950:AA950"/>
    <mergeCell ref="AB950:AE950"/>
    <mergeCell ref="AF950:AG950"/>
    <mergeCell ref="AH950:AI950"/>
    <mergeCell ref="R951:S951"/>
    <mergeCell ref="T951:U951"/>
    <mergeCell ref="V951:W951"/>
    <mergeCell ref="X951:AA951"/>
    <mergeCell ref="AB951:AE951"/>
    <mergeCell ref="AF951:AG951"/>
    <mergeCell ref="AH951:AI951"/>
    <mergeCell ref="AX951:AZ951"/>
    <mergeCell ref="BA951:BB951"/>
    <mergeCell ref="BD951:BE951"/>
    <mergeCell ref="BF951:BI951"/>
    <mergeCell ref="BJ951:BM951"/>
    <mergeCell ref="BN951:BV951"/>
    <mergeCell ref="BJ949:BM949"/>
    <mergeCell ref="BN949:BV949"/>
    <mergeCell ref="BJ950:BM950"/>
    <mergeCell ref="BN950:BV950"/>
    <mergeCell ref="BJ952:BM952"/>
    <mergeCell ref="BN952:BV952"/>
    <mergeCell ref="B951:C951"/>
    <mergeCell ref="D951:E951"/>
    <mergeCell ref="F951:G951"/>
    <mergeCell ref="H951:I951"/>
    <mergeCell ref="J951:K951"/>
    <mergeCell ref="L951:M951"/>
    <mergeCell ref="P951:Q951"/>
    <mergeCell ref="B952:C952"/>
    <mergeCell ref="D952:E952"/>
    <mergeCell ref="F952:G952"/>
    <mergeCell ref="H952:I952"/>
    <mergeCell ref="J952:K952"/>
    <mergeCell ref="L952:M952"/>
    <mergeCell ref="P952:Q952"/>
    <mergeCell ref="AJ951:AK951"/>
    <mergeCell ref="AL951:AM951"/>
    <mergeCell ref="AN951:AO951"/>
    <mergeCell ref="AP951:AQ951"/>
    <mergeCell ref="AR951:AS951"/>
    <mergeCell ref="AT951:AU951"/>
    <mergeCell ref="AV951:AW951"/>
    <mergeCell ref="BD954:BE954"/>
    <mergeCell ref="BF954:BI954"/>
    <mergeCell ref="AN954:AO954"/>
    <mergeCell ref="AP954:AQ954"/>
    <mergeCell ref="AR954:AS954"/>
    <mergeCell ref="AT954:AU954"/>
    <mergeCell ref="AV954:AW954"/>
    <mergeCell ref="AX954:AZ954"/>
    <mergeCell ref="BA954:BB954"/>
    <mergeCell ref="AJ952:AK952"/>
    <mergeCell ref="AL952:AM952"/>
    <mergeCell ref="R952:S952"/>
    <mergeCell ref="T952:U952"/>
    <mergeCell ref="V952:W952"/>
    <mergeCell ref="X952:AA952"/>
    <mergeCell ref="AB952:AE952"/>
    <mergeCell ref="AF952:AG952"/>
    <mergeCell ref="AH952:AI952"/>
    <mergeCell ref="R953:S953"/>
    <mergeCell ref="T953:U953"/>
    <mergeCell ref="V953:W953"/>
    <mergeCell ref="X953:AA953"/>
    <mergeCell ref="AB953:AE953"/>
    <mergeCell ref="AF953:AG953"/>
    <mergeCell ref="AH953:AI953"/>
    <mergeCell ref="AX953:AZ953"/>
    <mergeCell ref="BA953:BB953"/>
    <mergeCell ref="BD953:BE953"/>
    <mergeCell ref="BF953:BI953"/>
    <mergeCell ref="BJ953:BM953"/>
    <mergeCell ref="BN953:BV953"/>
    <mergeCell ref="BJ954:BM954"/>
    <mergeCell ref="BN954:BV954"/>
    <mergeCell ref="B953:C953"/>
    <mergeCell ref="D953:E953"/>
    <mergeCell ref="F953:G953"/>
    <mergeCell ref="H953:I953"/>
    <mergeCell ref="J953:K953"/>
    <mergeCell ref="L953:M953"/>
    <mergeCell ref="P953:Q953"/>
    <mergeCell ref="B954:C954"/>
    <mergeCell ref="D954:E954"/>
    <mergeCell ref="F954:G954"/>
    <mergeCell ref="H954:I954"/>
    <mergeCell ref="J954:K954"/>
    <mergeCell ref="L954:M954"/>
    <mergeCell ref="P954:Q954"/>
    <mergeCell ref="AJ953:AK953"/>
    <mergeCell ref="AL953:AM953"/>
    <mergeCell ref="AN953:AO953"/>
    <mergeCell ref="AP953:AQ953"/>
    <mergeCell ref="AR953:AS953"/>
    <mergeCell ref="AT953:AU953"/>
    <mergeCell ref="AV953:AW953"/>
    <mergeCell ref="BD947:BE947"/>
    <mergeCell ref="BF947:BI947"/>
    <mergeCell ref="AN947:AO947"/>
    <mergeCell ref="AP947:AQ947"/>
    <mergeCell ref="AR947:AS947"/>
    <mergeCell ref="AT947:AU947"/>
    <mergeCell ref="AV947:AW947"/>
    <mergeCell ref="AX947:AZ947"/>
    <mergeCell ref="BA947:BB947"/>
    <mergeCell ref="AJ945:AK945"/>
    <mergeCell ref="AL945:AM945"/>
    <mergeCell ref="R945:S945"/>
    <mergeCell ref="T945:U945"/>
    <mergeCell ref="V945:W945"/>
    <mergeCell ref="X945:AA945"/>
    <mergeCell ref="AB945:AE945"/>
    <mergeCell ref="AF945:AG945"/>
    <mergeCell ref="AH945:AI945"/>
    <mergeCell ref="R946:S946"/>
    <mergeCell ref="T946:U946"/>
    <mergeCell ref="V946:W946"/>
    <mergeCell ref="X946:AA946"/>
    <mergeCell ref="AB946:AE946"/>
    <mergeCell ref="AF946:AG946"/>
    <mergeCell ref="AH946:AI946"/>
    <mergeCell ref="AX946:AZ946"/>
    <mergeCell ref="BA946:BB946"/>
    <mergeCell ref="BD946:BE946"/>
    <mergeCell ref="BF946:BI946"/>
    <mergeCell ref="BD950:BE950"/>
    <mergeCell ref="BF950:BI950"/>
    <mergeCell ref="AN950:AO950"/>
    <mergeCell ref="AP950:AQ950"/>
    <mergeCell ref="AR950:AS950"/>
    <mergeCell ref="AT950:AU950"/>
    <mergeCell ref="AV950:AW950"/>
    <mergeCell ref="AX950:AZ950"/>
    <mergeCell ref="BA950:BB950"/>
    <mergeCell ref="AX949:AZ949"/>
    <mergeCell ref="BA949:BB949"/>
    <mergeCell ref="BD949:BE949"/>
    <mergeCell ref="BF949:BI949"/>
    <mergeCell ref="AJ947:AK947"/>
    <mergeCell ref="AL947:AM947"/>
    <mergeCell ref="BJ946:BM946"/>
    <mergeCell ref="BN946:BV946"/>
    <mergeCell ref="B946:C946"/>
    <mergeCell ref="D946:E946"/>
    <mergeCell ref="F946:G946"/>
    <mergeCell ref="H946:I946"/>
    <mergeCell ref="J946:K946"/>
    <mergeCell ref="L946:M946"/>
    <mergeCell ref="P946:Q946"/>
    <mergeCell ref="AJ946:AK946"/>
    <mergeCell ref="AL946:AM946"/>
    <mergeCell ref="AN946:AO946"/>
    <mergeCell ref="AP946:AQ946"/>
    <mergeCell ref="AR946:AS946"/>
    <mergeCell ref="AT946:AU946"/>
    <mergeCell ref="AV946:AW946"/>
    <mergeCell ref="B947:C947"/>
    <mergeCell ref="D947:E947"/>
    <mergeCell ref="F947:G947"/>
    <mergeCell ref="H947:I947"/>
    <mergeCell ref="J947:K947"/>
    <mergeCell ref="L947:M947"/>
    <mergeCell ref="P947:Q947"/>
    <mergeCell ref="R949:S949"/>
    <mergeCell ref="T949:U949"/>
    <mergeCell ref="V949:W949"/>
    <mergeCell ref="X949:AA949"/>
    <mergeCell ref="AB949:AE949"/>
    <mergeCell ref="AF949:AG949"/>
    <mergeCell ref="AH949:AI949"/>
    <mergeCell ref="B949:C949"/>
    <mergeCell ref="D949:E949"/>
    <mergeCell ref="F949:G949"/>
    <mergeCell ref="H949:I949"/>
    <mergeCell ref="J949:K949"/>
    <mergeCell ref="L949:M949"/>
    <mergeCell ref="P949:Q949"/>
    <mergeCell ref="R948:S948"/>
    <mergeCell ref="T948:U948"/>
    <mergeCell ref="V948:W948"/>
    <mergeCell ref="X948:AA948"/>
    <mergeCell ref="AB948:AE948"/>
    <mergeCell ref="AF948:AG948"/>
    <mergeCell ref="AH948:AI948"/>
    <mergeCell ref="AX948:AZ948"/>
    <mergeCell ref="BA948:BB948"/>
    <mergeCell ref="BD948:BE948"/>
    <mergeCell ref="BF948:BI948"/>
    <mergeCell ref="BJ948:BM948"/>
    <mergeCell ref="BN948:BV948"/>
    <mergeCell ref="AJ948:AK948"/>
    <mergeCell ref="AL948:AM948"/>
    <mergeCell ref="AN948:AO948"/>
    <mergeCell ref="AP948:AQ948"/>
    <mergeCell ref="AR948:AS948"/>
    <mergeCell ref="AT948:AU948"/>
    <mergeCell ref="AV948:AW948"/>
    <mergeCell ref="B948:C948"/>
    <mergeCell ref="D948:E948"/>
    <mergeCell ref="F948:G948"/>
    <mergeCell ref="H948:I948"/>
    <mergeCell ref="J948:K948"/>
    <mergeCell ref="L948:M948"/>
    <mergeCell ref="P948:Q948"/>
    <mergeCell ref="B950:C950"/>
    <mergeCell ref="D950:E950"/>
    <mergeCell ref="F950:G950"/>
    <mergeCell ref="H950:I950"/>
    <mergeCell ref="J950:K950"/>
    <mergeCell ref="L950:M950"/>
    <mergeCell ref="P950:Q950"/>
    <mergeCell ref="AJ949:AK949"/>
    <mergeCell ref="AL949:AM949"/>
    <mergeCell ref="AN949:AO949"/>
    <mergeCell ref="AP949:AQ949"/>
    <mergeCell ref="AR949:AS949"/>
    <mergeCell ref="AT949:AU949"/>
    <mergeCell ref="AV949:AW949"/>
    <mergeCell ref="BD952:BE952"/>
    <mergeCell ref="BF952:BI952"/>
    <mergeCell ref="AN952:AO952"/>
    <mergeCell ref="AP952:AQ952"/>
    <mergeCell ref="AR952:AS952"/>
    <mergeCell ref="AT952:AU952"/>
    <mergeCell ref="AV952:AW952"/>
    <mergeCell ref="AX952:AZ952"/>
    <mergeCell ref="BA952:BB952"/>
    <mergeCell ref="AJ956:AK956"/>
    <mergeCell ref="AL956:AM956"/>
    <mergeCell ref="BJ956:BM956"/>
    <mergeCell ref="BN956:BV956"/>
    <mergeCell ref="R956:S956"/>
    <mergeCell ref="T956:U956"/>
    <mergeCell ref="V956:W956"/>
    <mergeCell ref="X956:AA956"/>
    <mergeCell ref="AB956:AE956"/>
    <mergeCell ref="AF956:AG956"/>
    <mergeCell ref="AH956:AI956"/>
    <mergeCell ref="BD956:BE956"/>
    <mergeCell ref="BF956:BI956"/>
    <mergeCell ref="AN956:AO956"/>
    <mergeCell ref="AP956:AQ956"/>
    <mergeCell ref="AR956:AS956"/>
    <mergeCell ref="AT956:AU956"/>
    <mergeCell ref="AV956:AW956"/>
    <mergeCell ref="AX956:AZ956"/>
    <mergeCell ref="BA956:BB956"/>
    <mergeCell ref="AJ954:AK954"/>
    <mergeCell ref="AL954:AM954"/>
    <mergeCell ref="R954:S954"/>
    <mergeCell ref="T954:U954"/>
    <mergeCell ref="V954:W954"/>
    <mergeCell ref="X954:AA954"/>
    <mergeCell ref="AB954:AE954"/>
    <mergeCell ref="AF954:AG954"/>
    <mergeCell ref="AH954:AI954"/>
    <mergeCell ref="R955:S955"/>
    <mergeCell ref="T955:U955"/>
    <mergeCell ref="V955:W955"/>
    <mergeCell ref="X955:AA955"/>
    <mergeCell ref="AB955:AE955"/>
    <mergeCell ref="AF955:AG955"/>
    <mergeCell ref="AH955:AI955"/>
    <mergeCell ref="AX955:AZ955"/>
    <mergeCell ref="BA955:BB955"/>
    <mergeCell ref="BD955:BE955"/>
    <mergeCell ref="BF955:BI955"/>
    <mergeCell ref="BJ955:BM955"/>
    <mergeCell ref="BJ1077:BM1077"/>
    <mergeCell ref="BN1077:BV1077"/>
    <mergeCell ref="BJ1078:BM1078"/>
    <mergeCell ref="BN1078:BV1078"/>
    <mergeCell ref="AJ1074:AK1074"/>
    <mergeCell ref="AL1074:AM1074"/>
    <mergeCell ref="R1074:S1074"/>
    <mergeCell ref="T1074:U1074"/>
    <mergeCell ref="V1074:W1074"/>
    <mergeCell ref="X1074:AA1074"/>
    <mergeCell ref="AB1074:AE1074"/>
    <mergeCell ref="AF1074:AG1074"/>
    <mergeCell ref="AH1074:AI1074"/>
    <mergeCell ref="R1075:S1075"/>
    <mergeCell ref="T1075:U1075"/>
    <mergeCell ref="V1075:W1075"/>
    <mergeCell ref="X1075:AA1075"/>
    <mergeCell ref="AB1075:AE1075"/>
    <mergeCell ref="AF1075:AG1075"/>
    <mergeCell ref="AH1075:AI1075"/>
    <mergeCell ref="AX1075:AZ1075"/>
    <mergeCell ref="BA1075:BB1075"/>
    <mergeCell ref="BD1075:BE1075"/>
    <mergeCell ref="BF1075:BI1075"/>
    <mergeCell ref="BJ1075:BM1075"/>
    <mergeCell ref="BN1075:BV1075"/>
    <mergeCell ref="BJ1076:BM1076"/>
    <mergeCell ref="BN1076:BV1076"/>
    <mergeCell ref="B1075:C1075"/>
    <mergeCell ref="D1075:E1075"/>
    <mergeCell ref="F1075:G1075"/>
    <mergeCell ref="H1075:I1075"/>
    <mergeCell ref="J1075:K1075"/>
    <mergeCell ref="L1075:M1075"/>
    <mergeCell ref="P1075:Q1075"/>
    <mergeCell ref="B1076:C1076"/>
    <mergeCell ref="D1076:E1076"/>
    <mergeCell ref="F1076:G1076"/>
    <mergeCell ref="H1076:I1076"/>
    <mergeCell ref="J1076:K1076"/>
    <mergeCell ref="L1076:M1076"/>
    <mergeCell ref="P1076:Q1076"/>
    <mergeCell ref="AJ1075:AK1075"/>
    <mergeCell ref="AL1075:AM1075"/>
    <mergeCell ref="AN1075:AO1075"/>
    <mergeCell ref="AP1075:AQ1075"/>
    <mergeCell ref="AR1075:AS1075"/>
    <mergeCell ref="AT1075:AU1075"/>
    <mergeCell ref="AV1075:AW1075"/>
    <mergeCell ref="J1077:K1077"/>
    <mergeCell ref="L1077:M1077"/>
    <mergeCell ref="P1077:Q1077"/>
    <mergeCell ref="B1078:C1078"/>
    <mergeCell ref="D1078:E1078"/>
    <mergeCell ref="F1078:G1078"/>
    <mergeCell ref="H1078:I1078"/>
    <mergeCell ref="J1078:K1078"/>
    <mergeCell ref="L1078:M1078"/>
    <mergeCell ref="P1078:Q1078"/>
    <mergeCell ref="R1070:S1070"/>
    <mergeCell ref="T1070:U1070"/>
    <mergeCell ref="V1070:W1070"/>
    <mergeCell ref="X1070:AA1070"/>
    <mergeCell ref="AB1070:AE1070"/>
    <mergeCell ref="AF1070:AG1070"/>
    <mergeCell ref="AH1070:AI1070"/>
    <mergeCell ref="AX1070:AZ1070"/>
    <mergeCell ref="BA1070:BB1070"/>
    <mergeCell ref="BD1070:BE1070"/>
    <mergeCell ref="BF1070:BI1070"/>
    <mergeCell ref="BD1074:BE1074"/>
    <mergeCell ref="BF1074:BI1074"/>
    <mergeCell ref="AN1074:AO1074"/>
    <mergeCell ref="AP1074:AQ1074"/>
    <mergeCell ref="AR1074:AS1074"/>
    <mergeCell ref="AT1074:AU1074"/>
    <mergeCell ref="AV1074:AW1074"/>
    <mergeCell ref="AX1074:AZ1074"/>
    <mergeCell ref="BA1074:BB1074"/>
    <mergeCell ref="AX1073:AZ1073"/>
    <mergeCell ref="BA1073:BB1073"/>
    <mergeCell ref="BD1073:BE1073"/>
    <mergeCell ref="BF1073:BI1073"/>
    <mergeCell ref="AJ1071:AK1071"/>
    <mergeCell ref="BD1078:BE1078"/>
    <mergeCell ref="BF1078:BI1078"/>
    <mergeCell ref="AN1078:AO1078"/>
    <mergeCell ref="AP1078:AQ1078"/>
    <mergeCell ref="AR1078:AS1078"/>
    <mergeCell ref="AT1078:AU1078"/>
    <mergeCell ref="AV1078:AW1078"/>
    <mergeCell ref="AX1078:AZ1078"/>
    <mergeCell ref="BA1078:BB1078"/>
    <mergeCell ref="AJ1076:AK1076"/>
    <mergeCell ref="AL1076:AM1076"/>
    <mergeCell ref="R1076:S1076"/>
    <mergeCell ref="T1076:U1076"/>
    <mergeCell ref="V1076:W1076"/>
    <mergeCell ref="X1076:AA1076"/>
    <mergeCell ref="AB1076:AE1076"/>
    <mergeCell ref="AF1076:AG1076"/>
    <mergeCell ref="AH1076:AI1076"/>
    <mergeCell ref="R1077:S1077"/>
    <mergeCell ref="T1077:U1077"/>
    <mergeCell ref="V1077:W1077"/>
    <mergeCell ref="X1077:AA1077"/>
    <mergeCell ref="AB1077:AE1077"/>
    <mergeCell ref="AF1077:AG1077"/>
    <mergeCell ref="AH1077:AI1077"/>
    <mergeCell ref="AX1077:AZ1077"/>
    <mergeCell ref="BA1077:BB1077"/>
    <mergeCell ref="BD1077:BE1077"/>
    <mergeCell ref="BF1077:BI1077"/>
    <mergeCell ref="AV1072:AW1072"/>
    <mergeCell ref="AJ1077:AK1077"/>
    <mergeCell ref="AL1077:AM1077"/>
    <mergeCell ref="AN1077:AO1077"/>
    <mergeCell ref="AP1077:AQ1077"/>
    <mergeCell ref="AR1077:AS1077"/>
    <mergeCell ref="AT1077:AU1077"/>
    <mergeCell ref="AV1077:AW1077"/>
    <mergeCell ref="BD1071:BE1071"/>
    <mergeCell ref="BF1071:BI1071"/>
    <mergeCell ref="AN1071:AO1071"/>
    <mergeCell ref="AP1071:AQ1071"/>
    <mergeCell ref="AR1071:AS1071"/>
    <mergeCell ref="AT1071:AU1071"/>
    <mergeCell ref="AV1071:AW1071"/>
    <mergeCell ref="AX1071:AZ1071"/>
    <mergeCell ref="BA1071:BB1071"/>
    <mergeCell ref="BD1076:BE1076"/>
    <mergeCell ref="BF1076:BI1076"/>
    <mergeCell ref="AN1076:AO1076"/>
    <mergeCell ref="AP1076:AQ1076"/>
    <mergeCell ref="AR1076:AS1076"/>
    <mergeCell ref="AT1076:AU1076"/>
    <mergeCell ref="AV1076:AW1076"/>
    <mergeCell ref="AX1076:AZ1076"/>
    <mergeCell ref="BA1076:BB1076"/>
    <mergeCell ref="AH1071:AI1071"/>
    <mergeCell ref="B1079:C1079"/>
    <mergeCell ref="D1079:E1079"/>
    <mergeCell ref="F1079:G1079"/>
    <mergeCell ref="H1079:I1079"/>
    <mergeCell ref="J1079:K1079"/>
    <mergeCell ref="L1079:M1079"/>
    <mergeCell ref="P1079:Q1079"/>
    <mergeCell ref="BJ1070:BM1070"/>
    <mergeCell ref="BN1070:BV1070"/>
    <mergeCell ref="B1070:C1070"/>
    <mergeCell ref="D1070:E1070"/>
    <mergeCell ref="F1070:G1070"/>
    <mergeCell ref="H1070:I1070"/>
    <mergeCell ref="J1070:K1070"/>
    <mergeCell ref="L1070:M1070"/>
    <mergeCell ref="P1070:Q1070"/>
    <mergeCell ref="AJ1070:AK1070"/>
    <mergeCell ref="AL1070:AM1070"/>
    <mergeCell ref="AN1070:AO1070"/>
    <mergeCell ref="AP1070:AQ1070"/>
    <mergeCell ref="AR1070:AS1070"/>
    <mergeCell ref="AT1070:AU1070"/>
    <mergeCell ref="AV1070:AW1070"/>
    <mergeCell ref="B1071:C1071"/>
    <mergeCell ref="D1071:E1071"/>
    <mergeCell ref="F1071:G1071"/>
    <mergeCell ref="H1071:I1071"/>
    <mergeCell ref="J1071:K1071"/>
    <mergeCell ref="L1071:M1071"/>
    <mergeCell ref="P1071:Q1071"/>
    <mergeCell ref="R1073:S1073"/>
    <mergeCell ref="T1073:U1073"/>
    <mergeCell ref="V1073:W1073"/>
    <mergeCell ref="X1073:AA1073"/>
    <mergeCell ref="AB1073:AE1073"/>
    <mergeCell ref="AF1073:AG1073"/>
    <mergeCell ref="AH1073:AI1073"/>
    <mergeCell ref="B1073:C1073"/>
    <mergeCell ref="D1073:E1073"/>
    <mergeCell ref="F1073:G1073"/>
    <mergeCell ref="H1073:I1073"/>
    <mergeCell ref="J1073:K1073"/>
    <mergeCell ref="L1073:M1073"/>
    <mergeCell ref="P1073:Q1073"/>
    <mergeCell ref="AL1071:AM1071"/>
    <mergeCell ref="BJ1071:BM1071"/>
    <mergeCell ref="BN1071:BV1071"/>
    <mergeCell ref="R1071:S1071"/>
    <mergeCell ref="T1071:U1071"/>
    <mergeCell ref="V1071:W1071"/>
    <mergeCell ref="X1071:AA1071"/>
    <mergeCell ref="AB1071:AE1071"/>
    <mergeCell ref="AF1071:AG1071"/>
    <mergeCell ref="B1072:C1072"/>
    <mergeCell ref="D1072:E1072"/>
    <mergeCell ref="F1072:G1072"/>
    <mergeCell ref="H1072:I1072"/>
    <mergeCell ref="J1072:K1072"/>
    <mergeCell ref="L1072:M1072"/>
    <mergeCell ref="P1072:Q1072"/>
    <mergeCell ref="B1077:C1077"/>
    <mergeCell ref="D1077:E1077"/>
    <mergeCell ref="F1077:G1077"/>
    <mergeCell ref="H1077:I1077"/>
    <mergeCell ref="B610:C610"/>
    <mergeCell ref="D610:E610"/>
    <mergeCell ref="F610:G610"/>
    <mergeCell ref="H610:I610"/>
    <mergeCell ref="P610:Q610"/>
    <mergeCell ref="R610:S610"/>
    <mergeCell ref="T610:U610"/>
    <mergeCell ref="B611:C611"/>
    <mergeCell ref="D611:E611"/>
    <mergeCell ref="F611:G611"/>
    <mergeCell ref="H611:I611"/>
    <mergeCell ref="J611:K611"/>
    <mergeCell ref="L611:M611"/>
    <mergeCell ref="P611:Q611"/>
    <mergeCell ref="AX611:AZ611"/>
    <mergeCell ref="BA611:BB611"/>
    <mergeCell ref="R614:S614"/>
    <mergeCell ref="T614:U614"/>
    <mergeCell ref="V614:W614"/>
    <mergeCell ref="X614:AA614"/>
    <mergeCell ref="AB614:AE614"/>
    <mergeCell ref="AF614:AG614"/>
    <mergeCell ref="AH614:AI614"/>
    <mergeCell ref="AX614:AZ614"/>
    <mergeCell ref="BA614:BB614"/>
    <mergeCell ref="B614:C614"/>
    <mergeCell ref="D614:E614"/>
    <mergeCell ref="F614:G614"/>
    <mergeCell ref="H614:I614"/>
    <mergeCell ref="J614:K614"/>
    <mergeCell ref="L614:M614"/>
    <mergeCell ref="P614:Q614"/>
    <mergeCell ref="B615:C615"/>
    <mergeCell ref="D615:E615"/>
    <mergeCell ref="F615:G615"/>
    <mergeCell ref="H615:I615"/>
    <mergeCell ref="J615:K615"/>
    <mergeCell ref="L615:M615"/>
    <mergeCell ref="P615:Q615"/>
    <mergeCell ref="P663:Q663"/>
    <mergeCell ref="B664:C664"/>
    <mergeCell ref="D664:E664"/>
    <mergeCell ref="F664:G664"/>
    <mergeCell ref="H664:I664"/>
    <mergeCell ref="J664:K664"/>
    <mergeCell ref="L664:M664"/>
    <mergeCell ref="P664:Q664"/>
    <mergeCell ref="BD611:BE611"/>
    <mergeCell ref="BF611:BI611"/>
    <mergeCell ref="BJ611:BM611"/>
    <mergeCell ref="BN611:BV611"/>
    <mergeCell ref="AJ609:AK609"/>
    <mergeCell ref="AL609:AM609"/>
    <mergeCell ref="AN611:AO611"/>
    <mergeCell ref="AP611:AQ611"/>
    <mergeCell ref="AR611:AS611"/>
    <mergeCell ref="AT611:AU611"/>
    <mergeCell ref="AV611:AW611"/>
    <mergeCell ref="BJ1073:BM1073"/>
    <mergeCell ref="BN1073:BV1073"/>
    <mergeCell ref="BJ1074:BM1074"/>
    <mergeCell ref="BN1074:BV1074"/>
    <mergeCell ref="B1074:C1074"/>
    <mergeCell ref="D1074:E1074"/>
    <mergeCell ref="F1074:G1074"/>
    <mergeCell ref="H1074:I1074"/>
    <mergeCell ref="J1074:K1074"/>
    <mergeCell ref="L1074:M1074"/>
    <mergeCell ref="P1074:Q1074"/>
    <mergeCell ref="AJ1073:AK1073"/>
    <mergeCell ref="AL1073:AM1073"/>
    <mergeCell ref="AN1073:AO1073"/>
    <mergeCell ref="AP1073:AQ1073"/>
    <mergeCell ref="AR1073:AS1073"/>
    <mergeCell ref="AT1073:AU1073"/>
    <mergeCell ref="AV1073:AW1073"/>
    <mergeCell ref="R1072:S1072"/>
    <mergeCell ref="T1072:U1072"/>
    <mergeCell ref="V1072:W1072"/>
    <mergeCell ref="X1072:AA1072"/>
    <mergeCell ref="AB1072:AE1072"/>
    <mergeCell ref="AF1072:AG1072"/>
    <mergeCell ref="AH1072:AI1072"/>
    <mergeCell ref="AX1072:AZ1072"/>
    <mergeCell ref="BA1072:BB1072"/>
    <mergeCell ref="BD1072:BE1072"/>
    <mergeCell ref="BF1072:BI1072"/>
    <mergeCell ref="BJ1072:BM1072"/>
    <mergeCell ref="BN1072:BV1072"/>
    <mergeCell ref="AJ1072:AK1072"/>
    <mergeCell ref="AL1072:AM1072"/>
    <mergeCell ref="AN1072:AO1072"/>
    <mergeCell ref="AP1072:AQ1072"/>
    <mergeCell ref="AR1072:AS1072"/>
    <mergeCell ref="AT1072:AU1072"/>
    <mergeCell ref="R609:S609"/>
    <mergeCell ref="T609:U609"/>
    <mergeCell ref="V609:W609"/>
    <mergeCell ref="X609:AA609"/>
    <mergeCell ref="AB609:AE609"/>
    <mergeCell ref="AF609:AG609"/>
    <mergeCell ref="AH609:AI609"/>
    <mergeCell ref="V610:W610"/>
    <mergeCell ref="X610:AA610"/>
    <mergeCell ref="AB610:AE610"/>
    <mergeCell ref="AF610:AG610"/>
    <mergeCell ref="AH610:AI610"/>
    <mergeCell ref="AJ610:AK610"/>
    <mergeCell ref="AL610:AM610"/>
    <mergeCell ref="BD610:BE610"/>
    <mergeCell ref="BF610:BI610"/>
    <mergeCell ref="AV610:AW610"/>
    <mergeCell ref="AX610:AZ610"/>
    <mergeCell ref="BA610:BB610"/>
    <mergeCell ref="AJ613:AK613"/>
    <mergeCell ref="AL613:AM613"/>
    <mergeCell ref="R613:S613"/>
    <mergeCell ref="T613:U613"/>
    <mergeCell ref="V613:W613"/>
    <mergeCell ref="X613:AA613"/>
    <mergeCell ref="AB613:AE613"/>
    <mergeCell ref="AF613:AG613"/>
    <mergeCell ref="AH613:AI613"/>
    <mergeCell ref="B612:C612"/>
    <mergeCell ref="D612:E612"/>
    <mergeCell ref="F612:G612"/>
    <mergeCell ref="H612:I612"/>
    <mergeCell ref="J612:K612"/>
    <mergeCell ref="L612:M612"/>
    <mergeCell ref="P612:Q612"/>
    <mergeCell ref="B613:C613"/>
    <mergeCell ref="D613:E613"/>
    <mergeCell ref="F613:G613"/>
    <mergeCell ref="H613:I613"/>
    <mergeCell ref="J613:K613"/>
    <mergeCell ref="L613:M613"/>
    <mergeCell ref="P613:Q613"/>
    <mergeCell ref="AJ612:AK612"/>
    <mergeCell ref="AL612:AM612"/>
    <mergeCell ref="AN612:AO612"/>
    <mergeCell ref="AP612:AQ612"/>
    <mergeCell ref="AR612:AS612"/>
    <mergeCell ref="AT612:AU612"/>
    <mergeCell ref="AV612:AW612"/>
    <mergeCell ref="R611:S611"/>
    <mergeCell ref="T611:U611"/>
    <mergeCell ref="R612:S612"/>
    <mergeCell ref="T612:U612"/>
    <mergeCell ref="BD502:BE502"/>
    <mergeCell ref="BF502:BI502"/>
    <mergeCell ref="AN502:AO502"/>
    <mergeCell ref="AP502:AQ502"/>
    <mergeCell ref="AR502:AS502"/>
    <mergeCell ref="AT502:AU502"/>
    <mergeCell ref="AV502:AW502"/>
    <mergeCell ref="AX502:AZ502"/>
    <mergeCell ref="BA502:BB502"/>
    <mergeCell ref="AJ500:AK500"/>
    <mergeCell ref="AL500:AM500"/>
    <mergeCell ref="R500:S500"/>
    <mergeCell ref="T500:U500"/>
    <mergeCell ref="V500:W500"/>
    <mergeCell ref="X500:AA500"/>
    <mergeCell ref="AB500:AE500"/>
    <mergeCell ref="AF500:AG500"/>
    <mergeCell ref="AH500:AI500"/>
    <mergeCell ref="R501:S501"/>
    <mergeCell ref="T501:U501"/>
    <mergeCell ref="V501:W501"/>
    <mergeCell ref="X501:AA501"/>
    <mergeCell ref="AB501:AE501"/>
    <mergeCell ref="AF501:AG501"/>
    <mergeCell ref="AH501:AI501"/>
    <mergeCell ref="AX501:AZ501"/>
    <mergeCell ref="BA501:BB501"/>
    <mergeCell ref="BD501:BE501"/>
    <mergeCell ref="BF501:BI501"/>
    <mergeCell ref="B501:C501"/>
    <mergeCell ref="D501:E501"/>
    <mergeCell ref="F501:G501"/>
    <mergeCell ref="H501:I501"/>
    <mergeCell ref="J501:K501"/>
    <mergeCell ref="L501:M501"/>
    <mergeCell ref="P501:Q501"/>
    <mergeCell ref="AJ501:AK501"/>
    <mergeCell ref="AL501:AM501"/>
    <mergeCell ref="AN501:AO501"/>
    <mergeCell ref="AP501:AQ501"/>
    <mergeCell ref="AR501:AS501"/>
    <mergeCell ref="AT501:AU501"/>
    <mergeCell ref="AV501:AW501"/>
    <mergeCell ref="AJ502:AK502"/>
    <mergeCell ref="AL502:AM502"/>
    <mergeCell ref="AX505:AZ505"/>
    <mergeCell ref="BA505:BB505"/>
    <mergeCell ref="R503:S503"/>
    <mergeCell ref="T503:U503"/>
    <mergeCell ref="V503:W503"/>
    <mergeCell ref="X503:AA503"/>
    <mergeCell ref="AB503:AE503"/>
    <mergeCell ref="AF503:AG503"/>
    <mergeCell ref="AH503:AI503"/>
    <mergeCell ref="AX503:AZ503"/>
    <mergeCell ref="BA503:BB503"/>
    <mergeCell ref="BD503:BE503"/>
    <mergeCell ref="BF503:BI503"/>
    <mergeCell ref="BJ503:BM503"/>
    <mergeCell ref="BN503:BV503"/>
    <mergeCell ref="AJ503:AK503"/>
    <mergeCell ref="AL503:AM503"/>
    <mergeCell ref="AN503:AO503"/>
    <mergeCell ref="AP503:AQ503"/>
    <mergeCell ref="AR503:AS503"/>
    <mergeCell ref="AT503:AU503"/>
    <mergeCell ref="AV503:AW503"/>
    <mergeCell ref="B503:C503"/>
    <mergeCell ref="D503:E503"/>
    <mergeCell ref="F503:G503"/>
    <mergeCell ref="H503:I503"/>
    <mergeCell ref="J503:K503"/>
    <mergeCell ref="L503:M503"/>
    <mergeCell ref="P503:Q503"/>
    <mergeCell ref="AX504:AZ504"/>
    <mergeCell ref="BA504:BB504"/>
    <mergeCell ref="BD504:BE504"/>
    <mergeCell ref="BF504:BI504"/>
    <mergeCell ref="BJ504:BM504"/>
    <mergeCell ref="BN504:BV504"/>
    <mergeCell ref="BJ505:BM505"/>
    <mergeCell ref="BN505:BV505"/>
    <mergeCell ref="B505:C505"/>
    <mergeCell ref="D505:E505"/>
    <mergeCell ref="F505:G505"/>
    <mergeCell ref="H505:I505"/>
    <mergeCell ref="J505:K505"/>
    <mergeCell ref="L505:M505"/>
    <mergeCell ref="P505:Q505"/>
    <mergeCell ref="AJ504:AK504"/>
    <mergeCell ref="AL504:AM504"/>
    <mergeCell ref="AN504:AO504"/>
    <mergeCell ref="AP504:AQ504"/>
    <mergeCell ref="AR504:AS504"/>
    <mergeCell ref="AT504:AU504"/>
    <mergeCell ref="AV504:AW504"/>
    <mergeCell ref="BJ619:BM619"/>
    <mergeCell ref="BN619:BV619"/>
    <mergeCell ref="R619:S619"/>
    <mergeCell ref="T619:U619"/>
    <mergeCell ref="V619:W619"/>
    <mergeCell ref="X619:AA619"/>
    <mergeCell ref="AB619:AE619"/>
    <mergeCell ref="AF619:AG619"/>
    <mergeCell ref="AH619:AI619"/>
    <mergeCell ref="R593:S593"/>
    <mergeCell ref="T593:U593"/>
    <mergeCell ref="V593:W593"/>
    <mergeCell ref="X593:AA593"/>
    <mergeCell ref="AB593:AE593"/>
    <mergeCell ref="AF593:AG593"/>
    <mergeCell ref="AH593:AI593"/>
    <mergeCell ref="V594:W594"/>
    <mergeCell ref="X594:AA594"/>
    <mergeCell ref="AB594:AE594"/>
    <mergeCell ref="AF594:AG594"/>
    <mergeCell ref="AH594:AI594"/>
    <mergeCell ref="AJ594:AK594"/>
    <mergeCell ref="AL594:AM594"/>
    <mergeCell ref="BD594:BE594"/>
    <mergeCell ref="BF594:BI594"/>
    <mergeCell ref="BJ594:BM594"/>
    <mergeCell ref="BN594:BV594"/>
    <mergeCell ref="AN594:AO594"/>
    <mergeCell ref="AP594:AQ594"/>
    <mergeCell ref="AR594:AS594"/>
    <mergeCell ref="AT594:AU594"/>
    <mergeCell ref="AV594:AW594"/>
    <mergeCell ref="AX594:AZ594"/>
    <mergeCell ref="BA594:BB594"/>
    <mergeCell ref="V596:W596"/>
    <mergeCell ref="X596:AA596"/>
    <mergeCell ref="AB596:AE596"/>
    <mergeCell ref="AF596:AG596"/>
    <mergeCell ref="AH596:AI596"/>
    <mergeCell ref="AJ596:AK596"/>
    <mergeCell ref="AL596:AM596"/>
    <mergeCell ref="BD596:BE596"/>
    <mergeCell ref="BF596:BI596"/>
    <mergeCell ref="BJ596:BM596"/>
    <mergeCell ref="BN596:BV596"/>
    <mergeCell ref="AN596:AO596"/>
    <mergeCell ref="AP596:AQ596"/>
    <mergeCell ref="AR596:AS596"/>
    <mergeCell ref="AT596:AU596"/>
    <mergeCell ref="AV596:AW596"/>
    <mergeCell ref="AX596:AZ596"/>
    <mergeCell ref="BA596:BB596"/>
    <mergeCell ref="V598:W598"/>
    <mergeCell ref="X598:AA598"/>
    <mergeCell ref="AB598:AE598"/>
    <mergeCell ref="AF598:AG598"/>
    <mergeCell ref="AH598:AI598"/>
    <mergeCell ref="AJ598:AK598"/>
    <mergeCell ref="AL598:AM598"/>
    <mergeCell ref="BD598:BE598"/>
    <mergeCell ref="BF598:BI598"/>
    <mergeCell ref="BJ598:BM598"/>
    <mergeCell ref="BD613:BE613"/>
    <mergeCell ref="BF613:BI613"/>
    <mergeCell ref="B594:C594"/>
    <mergeCell ref="D594:E594"/>
    <mergeCell ref="F594:G594"/>
    <mergeCell ref="H594:I594"/>
    <mergeCell ref="P594:Q594"/>
    <mergeCell ref="R594:S594"/>
    <mergeCell ref="T594:U594"/>
    <mergeCell ref="B595:C595"/>
    <mergeCell ref="D595:E595"/>
    <mergeCell ref="F595:G595"/>
    <mergeCell ref="H595:I595"/>
    <mergeCell ref="J595:K595"/>
    <mergeCell ref="L595:M595"/>
    <mergeCell ref="P595:Q595"/>
    <mergeCell ref="AX595:AZ595"/>
    <mergeCell ref="BA595:BB595"/>
    <mergeCell ref="BD595:BE595"/>
    <mergeCell ref="BF595:BI595"/>
    <mergeCell ref="BJ595:BM595"/>
    <mergeCell ref="BN595:BV595"/>
    <mergeCell ref="AJ593:AK593"/>
    <mergeCell ref="AL593:AM593"/>
    <mergeCell ref="AN595:AO595"/>
    <mergeCell ref="AP595:AQ595"/>
    <mergeCell ref="AR595:AS595"/>
    <mergeCell ref="AT595:AU595"/>
    <mergeCell ref="AV595:AW595"/>
    <mergeCell ref="R595:S595"/>
    <mergeCell ref="T595:U595"/>
    <mergeCell ref="V595:W595"/>
    <mergeCell ref="X595:AA595"/>
    <mergeCell ref="AB595:AE595"/>
    <mergeCell ref="AF595:AG595"/>
    <mergeCell ref="AH595:AI595"/>
    <mergeCell ref="B593:C593"/>
    <mergeCell ref="D593:E593"/>
    <mergeCell ref="F593:G593"/>
    <mergeCell ref="H593:I593"/>
    <mergeCell ref="J593:K593"/>
    <mergeCell ref="L593:M593"/>
    <mergeCell ref="P593:Q593"/>
    <mergeCell ref="AX593:AZ593"/>
    <mergeCell ref="BA593:BB593"/>
    <mergeCell ref="BD593:BE593"/>
    <mergeCell ref="BF593:BI593"/>
    <mergeCell ref="BJ593:BM593"/>
    <mergeCell ref="BN593:BV593"/>
    <mergeCell ref="AN593:AO593"/>
    <mergeCell ref="AP593:AQ593"/>
    <mergeCell ref="AR593:AS593"/>
    <mergeCell ref="AT593:AU593"/>
    <mergeCell ref="AV593:AW593"/>
    <mergeCell ref="B596:C596"/>
    <mergeCell ref="D596:E596"/>
    <mergeCell ref="F596:G596"/>
    <mergeCell ref="H596:I596"/>
    <mergeCell ref="P596:Q596"/>
    <mergeCell ref="R596:S596"/>
    <mergeCell ref="T596:U596"/>
    <mergeCell ref="B597:C597"/>
    <mergeCell ref="D597:E597"/>
    <mergeCell ref="F597:G597"/>
    <mergeCell ref="H597:I597"/>
    <mergeCell ref="J597:K597"/>
    <mergeCell ref="L597:M597"/>
    <mergeCell ref="P597:Q597"/>
    <mergeCell ref="AX597:AZ597"/>
    <mergeCell ref="BA597:BB597"/>
    <mergeCell ref="BD597:BE597"/>
    <mergeCell ref="BF597:BI597"/>
    <mergeCell ref="BJ597:BM597"/>
    <mergeCell ref="BN597:BV597"/>
    <mergeCell ref="AJ595:AK595"/>
    <mergeCell ref="AL595:AM595"/>
    <mergeCell ref="AN597:AO597"/>
    <mergeCell ref="AP597:AQ597"/>
    <mergeCell ref="AR597:AS597"/>
    <mergeCell ref="AT597:AU597"/>
    <mergeCell ref="AV597:AW597"/>
    <mergeCell ref="R597:S597"/>
    <mergeCell ref="T597:U597"/>
    <mergeCell ref="V597:W597"/>
    <mergeCell ref="X597:AA597"/>
    <mergeCell ref="AB597:AE597"/>
    <mergeCell ref="AF597:AG597"/>
    <mergeCell ref="AH597:AI597"/>
    <mergeCell ref="BN598:BV598"/>
    <mergeCell ref="AN598:AO598"/>
    <mergeCell ref="AP598:AQ598"/>
    <mergeCell ref="AR598:AS598"/>
    <mergeCell ref="AT598:AU598"/>
    <mergeCell ref="AV598:AW598"/>
    <mergeCell ref="AX598:AZ598"/>
    <mergeCell ref="BA598:BB598"/>
    <mergeCell ref="B598:C598"/>
    <mergeCell ref="D598:E598"/>
    <mergeCell ref="F598:G598"/>
    <mergeCell ref="H598:I598"/>
    <mergeCell ref="P598:Q598"/>
    <mergeCell ref="R598:S598"/>
    <mergeCell ref="T598:U598"/>
    <mergeCell ref="B599:C599"/>
    <mergeCell ref="D599:E599"/>
    <mergeCell ref="F599:G599"/>
    <mergeCell ref="H599:I599"/>
    <mergeCell ref="J599:K599"/>
    <mergeCell ref="L599:M599"/>
    <mergeCell ref="P599:Q599"/>
    <mergeCell ref="AX599:AZ599"/>
    <mergeCell ref="BA599:BB599"/>
    <mergeCell ref="BD599:BE599"/>
    <mergeCell ref="BF599:BI599"/>
    <mergeCell ref="BJ599:BM599"/>
    <mergeCell ref="BN599:BV599"/>
    <mergeCell ref="AJ597:AK597"/>
    <mergeCell ref="AL597:AM597"/>
    <mergeCell ref="AN599:AO599"/>
    <mergeCell ref="AP599:AQ599"/>
    <mergeCell ref="AR599:AS599"/>
    <mergeCell ref="AT599:AU599"/>
    <mergeCell ref="AV599:AW599"/>
    <mergeCell ref="R599:S599"/>
    <mergeCell ref="T599:U599"/>
    <mergeCell ref="V599:W599"/>
    <mergeCell ref="X599:AA599"/>
    <mergeCell ref="AB599:AE599"/>
    <mergeCell ref="AF599:AG599"/>
    <mergeCell ref="AH599:AI599"/>
    <mergeCell ref="AJ599:AK599"/>
    <mergeCell ref="AL599:AM599"/>
    <mergeCell ref="V600:W600"/>
    <mergeCell ref="X600:AA600"/>
    <mergeCell ref="AB600:AE600"/>
    <mergeCell ref="AF600:AG600"/>
    <mergeCell ref="AH600:AI600"/>
    <mergeCell ref="AJ600:AK600"/>
    <mergeCell ref="AL600:AM600"/>
    <mergeCell ref="BD600:BE600"/>
    <mergeCell ref="BF600:BI600"/>
    <mergeCell ref="BJ600:BM600"/>
    <mergeCell ref="BN600:BV600"/>
    <mergeCell ref="AN600:AO600"/>
    <mergeCell ref="AP600:AQ600"/>
    <mergeCell ref="AR600:AS600"/>
    <mergeCell ref="AT600:AU600"/>
    <mergeCell ref="AV600:AW600"/>
    <mergeCell ref="AX600:AZ600"/>
    <mergeCell ref="BA600:BB600"/>
    <mergeCell ref="B600:C600"/>
    <mergeCell ref="D600:E600"/>
    <mergeCell ref="F600:G600"/>
    <mergeCell ref="H600:I600"/>
    <mergeCell ref="P600:Q600"/>
    <mergeCell ref="R600:S600"/>
    <mergeCell ref="T600:U600"/>
    <mergeCell ref="B601:C601"/>
    <mergeCell ref="D601:E601"/>
    <mergeCell ref="F601:G601"/>
    <mergeCell ref="H601:I601"/>
    <mergeCell ref="J601:K601"/>
    <mergeCell ref="L601:M601"/>
    <mergeCell ref="P601:Q601"/>
    <mergeCell ref="AX601:AZ601"/>
    <mergeCell ref="BA601:BB601"/>
    <mergeCell ref="BD601:BE601"/>
    <mergeCell ref="BF601:BI601"/>
    <mergeCell ref="BJ601:BM601"/>
    <mergeCell ref="BN601:BV601"/>
    <mergeCell ref="AN601:AO601"/>
    <mergeCell ref="AP601:AQ601"/>
    <mergeCell ref="AR601:AS601"/>
    <mergeCell ref="AT601:AU601"/>
    <mergeCell ref="AV601:AW601"/>
    <mergeCell ref="R601:S601"/>
    <mergeCell ref="T601:U601"/>
    <mergeCell ref="V601:W601"/>
    <mergeCell ref="X601:AA601"/>
    <mergeCell ref="AB601:AE601"/>
    <mergeCell ref="AF601:AG601"/>
    <mergeCell ref="AH601:AI601"/>
    <mergeCell ref="AJ601:AK601"/>
    <mergeCell ref="AL601:AM601"/>
    <mergeCell ref="AL605:AM605"/>
    <mergeCell ref="V602:W602"/>
    <mergeCell ref="X602:AA602"/>
    <mergeCell ref="AB602:AE602"/>
    <mergeCell ref="AF602:AG602"/>
    <mergeCell ref="AH602:AI602"/>
    <mergeCell ref="AJ602:AK602"/>
    <mergeCell ref="AL602:AM602"/>
    <mergeCell ref="BD602:BE602"/>
    <mergeCell ref="BF602:BI602"/>
    <mergeCell ref="BJ602:BM602"/>
    <mergeCell ref="BN602:BV602"/>
    <mergeCell ref="AN602:AO602"/>
    <mergeCell ref="AP602:AQ602"/>
    <mergeCell ref="AR602:AS602"/>
    <mergeCell ref="AT602:AU602"/>
    <mergeCell ref="AV602:AW602"/>
    <mergeCell ref="AX602:AZ602"/>
    <mergeCell ref="BA602:BB602"/>
    <mergeCell ref="B602:C602"/>
    <mergeCell ref="D602:E602"/>
    <mergeCell ref="F602:G602"/>
    <mergeCell ref="H602:I602"/>
    <mergeCell ref="P602:Q602"/>
    <mergeCell ref="R602:S602"/>
    <mergeCell ref="T602:U602"/>
    <mergeCell ref="B603:C603"/>
    <mergeCell ref="D603:E603"/>
    <mergeCell ref="F603:G603"/>
    <mergeCell ref="H603:I603"/>
    <mergeCell ref="J603:K603"/>
    <mergeCell ref="L603:M603"/>
    <mergeCell ref="P603:Q603"/>
    <mergeCell ref="AX603:AZ603"/>
    <mergeCell ref="BA603:BB603"/>
    <mergeCell ref="BD603:BE603"/>
    <mergeCell ref="BF603:BI603"/>
    <mergeCell ref="BJ603:BM603"/>
    <mergeCell ref="BN603:BV603"/>
    <mergeCell ref="AN603:AO603"/>
    <mergeCell ref="AP603:AQ603"/>
    <mergeCell ref="AR603:AS603"/>
    <mergeCell ref="AT603:AU603"/>
    <mergeCell ref="AV603:AW603"/>
    <mergeCell ref="R603:S603"/>
    <mergeCell ref="T603:U603"/>
    <mergeCell ref="V603:W603"/>
    <mergeCell ref="X603:AA603"/>
    <mergeCell ref="AB603:AE603"/>
    <mergeCell ref="AF603:AG603"/>
    <mergeCell ref="AH603:AI603"/>
    <mergeCell ref="AJ603:AK603"/>
    <mergeCell ref="AL603:AM603"/>
    <mergeCell ref="AP607:AQ607"/>
    <mergeCell ref="AR607:AS607"/>
    <mergeCell ref="AT607:AU607"/>
    <mergeCell ref="AV607:AW607"/>
    <mergeCell ref="R607:S607"/>
    <mergeCell ref="T607:U607"/>
    <mergeCell ref="V607:W607"/>
    <mergeCell ref="X607:AA607"/>
    <mergeCell ref="AB607:AE607"/>
    <mergeCell ref="AF607:AG607"/>
    <mergeCell ref="AH607:AI607"/>
    <mergeCell ref="AJ607:AK607"/>
    <mergeCell ref="AL607:AM607"/>
    <mergeCell ref="V604:W604"/>
    <mergeCell ref="X604:AA604"/>
    <mergeCell ref="AB604:AE604"/>
    <mergeCell ref="AF604:AG604"/>
    <mergeCell ref="AH604:AI604"/>
    <mergeCell ref="AJ604:AK604"/>
    <mergeCell ref="AL604:AM604"/>
    <mergeCell ref="BD604:BE604"/>
    <mergeCell ref="BF604:BI604"/>
    <mergeCell ref="BJ604:BM604"/>
    <mergeCell ref="BN604:BV604"/>
    <mergeCell ref="AN604:AO604"/>
    <mergeCell ref="AP604:AQ604"/>
    <mergeCell ref="AR604:AS604"/>
    <mergeCell ref="AT604:AU604"/>
    <mergeCell ref="AV604:AW604"/>
    <mergeCell ref="AX604:AZ604"/>
    <mergeCell ref="BA604:BB604"/>
    <mergeCell ref="B604:C604"/>
    <mergeCell ref="D604:E604"/>
    <mergeCell ref="F604:G604"/>
    <mergeCell ref="H604:I604"/>
    <mergeCell ref="P604:Q604"/>
    <mergeCell ref="R604:S604"/>
    <mergeCell ref="T604:U604"/>
    <mergeCell ref="B605:C605"/>
    <mergeCell ref="D605:E605"/>
    <mergeCell ref="F605:G605"/>
    <mergeCell ref="H605:I605"/>
    <mergeCell ref="J605:K605"/>
    <mergeCell ref="L605:M605"/>
    <mergeCell ref="P605:Q605"/>
    <mergeCell ref="AX605:AZ605"/>
    <mergeCell ref="BA605:BB605"/>
    <mergeCell ref="BD605:BE605"/>
    <mergeCell ref="BF605:BI605"/>
    <mergeCell ref="BJ605:BM605"/>
    <mergeCell ref="BN605:BV605"/>
    <mergeCell ref="AN605:AO605"/>
    <mergeCell ref="AP605:AQ605"/>
    <mergeCell ref="AR605:AS605"/>
    <mergeCell ref="AT605:AU605"/>
    <mergeCell ref="AV605:AW605"/>
    <mergeCell ref="R605:S605"/>
    <mergeCell ref="T605:U605"/>
    <mergeCell ref="V605:W605"/>
    <mergeCell ref="X605:AA605"/>
    <mergeCell ref="AB605:AE605"/>
    <mergeCell ref="AF605:AG605"/>
    <mergeCell ref="AH605:AI605"/>
    <mergeCell ref="AJ605:AK605"/>
    <mergeCell ref="B608:C608"/>
    <mergeCell ref="D608:E608"/>
    <mergeCell ref="F608:G608"/>
    <mergeCell ref="H608:I608"/>
    <mergeCell ref="P608:Q608"/>
    <mergeCell ref="R608:S608"/>
    <mergeCell ref="T608:U608"/>
    <mergeCell ref="B609:C609"/>
    <mergeCell ref="D609:E609"/>
    <mergeCell ref="F609:G609"/>
    <mergeCell ref="H609:I609"/>
    <mergeCell ref="J609:K609"/>
    <mergeCell ref="L609:M609"/>
    <mergeCell ref="P609:Q609"/>
    <mergeCell ref="AX609:AZ609"/>
    <mergeCell ref="BA609:BB609"/>
    <mergeCell ref="BD609:BE609"/>
    <mergeCell ref="BF609:BI609"/>
    <mergeCell ref="BJ609:BM609"/>
    <mergeCell ref="BN609:BV609"/>
    <mergeCell ref="AN609:AO609"/>
    <mergeCell ref="AP609:AQ609"/>
    <mergeCell ref="AR609:AS609"/>
    <mergeCell ref="AT609:AU609"/>
    <mergeCell ref="AV609:AW609"/>
    <mergeCell ref="V606:W606"/>
    <mergeCell ref="X606:AA606"/>
    <mergeCell ref="AB606:AE606"/>
    <mergeCell ref="AF606:AG606"/>
    <mergeCell ref="AH606:AI606"/>
    <mergeCell ref="AJ606:AK606"/>
    <mergeCell ref="AL606:AM606"/>
    <mergeCell ref="BD606:BE606"/>
    <mergeCell ref="BF606:BI606"/>
    <mergeCell ref="BJ606:BM606"/>
    <mergeCell ref="BN606:BV606"/>
    <mergeCell ref="AN606:AO606"/>
    <mergeCell ref="AP606:AQ606"/>
    <mergeCell ref="AR606:AS606"/>
    <mergeCell ref="AT606:AU606"/>
    <mergeCell ref="AV606:AW606"/>
    <mergeCell ref="AX606:AZ606"/>
    <mergeCell ref="BA606:BB606"/>
    <mergeCell ref="B606:C606"/>
    <mergeCell ref="D606:E606"/>
    <mergeCell ref="F606:G606"/>
    <mergeCell ref="H606:I606"/>
    <mergeCell ref="P606:Q606"/>
    <mergeCell ref="R606:S606"/>
    <mergeCell ref="T606:U606"/>
    <mergeCell ref="B607:C607"/>
    <mergeCell ref="D607:E607"/>
    <mergeCell ref="F607:G607"/>
    <mergeCell ref="H607:I607"/>
    <mergeCell ref="J607:K607"/>
    <mergeCell ref="L607:M607"/>
    <mergeCell ref="P607:Q607"/>
    <mergeCell ref="AX607:AZ607"/>
    <mergeCell ref="BA607:BB607"/>
    <mergeCell ref="BD607:BE607"/>
    <mergeCell ref="BF607:BI607"/>
    <mergeCell ref="BJ607:BM607"/>
    <mergeCell ref="BN607:BV607"/>
    <mergeCell ref="AN607:AO607"/>
    <mergeCell ref="BD614:BE614"/>
    <mergeCell ref="BF614:BI614"/>
    <mergeCell ref="BJ614:BM614"/>
    <mergeCell ref="BN614:BV614"/>
    <mergeCell ref="BJ615:BM615"/>
    <mergeCell ref="BN615:BV615"/>
    <mergeCell ref="V608:W608"/>
    <mergeCell ref="X608:AA608"/>
    <mergeCell ref="AB608:AE608"/>
    <mergeCell ref="AF608:AG608"/>
    <mergeCell ref="AH608:AI608"/>
    <mergeCell ref="AJ608:AK608"/>
    <mergeCell ref="AL608:AM608"/>
    <mergeCell ref="BD608:BE608"/>
    <mergeCell ref="BF608:BI608"/>
    <mergeCell ref="BJ608:BM608"/>
    <mergeCell ref="BN608:BV608"/>
    <mergeCell ref="AN608:AO608"/>
    <mergeCell ref="AP608:AQ608"/>
    <mergeCell ref="AR608:AS608"/>
    <mergeCell ref="AT608:AU608"/>
    <mergeCell ref="AV608:AW608"/>
    <mergeCell ref="AX608:AZ608"/>
    <mergeCell ref="BA608:BB608"/>
    <mergeCell ref="AN613:AO613"/>
    <mergeCell ref="AP613:AQ613"/>
    <mergeCell ref="AR613:AS613"/>
    <mergeCell ref="AT613:AU613"/>
    <mergeCell ref="AV613:AW613"/>
    <mergeCell ref="AX613:AZ613"/>
    <mergeCell ref="BA613:BB613"/>
    <mergeCell ref="AJ611:AK611"/>
    <mergeCell ref="AL611:AM611"/>
    <mergeCell ref="V611:W611"/>
    <mergeCell ref="X611:AA611"/>
    <mergeCell ref="AB611:AE611"/>
    <mergeCell ref="AF611:AG611"/>
    <mergeCell ref="AH611:AI611"/>
    <mergeCell ref="V612:W612"/>
    <mergeCell ref="X612:AA612"/>
    <mergeCell ref="AB612:AE612"/>
    <mergeCell ref="AF612:AG612"/>
    <mergeCell ref="AH612:AI612"/>
    <mergeCell ref="AX612:AZ612"/>
    <mergeCell ref="BA612:BB612"/>
    <mergeCell ref="BD612:BE612"/>
    <mergeCell ref="BF612:BI612"/>
    <mergeCell ref="BJ612:BM612"/>
    <mergeCell ref="BN612:BV612"/>
    <mergeCell ref="BJ613:BM613"/>
    <mergeCell ref="BN613:BV613"/>
    <mergeCell ref="AJ614:AK614"/>
    <mergeCell ref="AL614:AM614"/>
    <mergeCell ref="AN614:AO614"/>
    <mergeCell ref="AP614:AQ614"/>
    <mergeCell ref="AR614:AS614"/>
    <mergeCell ref="AT614:AU614"/>
    <mergeCell ref="AV614:AW614"/>
    <mergeCell ref="BJ610:BM610"/>
    <mergeCell ref="BN610:BV610"/>
    <mergeCell ref="AN610:AO610"/>
    <mergeCell ref="AP610:AQ610"/>
    <mergeCell ref="AR610:AS610"/>
    <mergeCell ref="AT610:AU610"/>
    <mergeCell ref="BD617:BE617"/>
    <mergeCell ref="BF617:BI617"/>
    <mergeCell ref="AN617:AO617"/>
    <mergeCell ref="AP617:AQ617"/>
    <mergeCell ref="AR617:AS617"/>
    <mergeCell ref="AT617:AU617"/>
    <mergeCell ref="AV617:AW617"/>
    <mergeCell ref="AX617:AZ617"/>
    <mergeCell ref="BA617:BB617"/>
    <mergeCell ref="AJ615:AK615"/>
    <mergeCell ref="AL615:AM615"/>
    <mergeCell ref="R615:S615"/>
    <mergeCell ref="T615:U615"/>
    <mergeCell ref="V615:W615"/>
    <mergeCell ref="X615:AA615"/>
    <mergeCell ref="AB615:AE615"/>
    <mergeCell ref="AF615:AG615"/>
    <mergeCell ref="AH615:AI615"/>
    <mergeCell ref="R616:S616"/>
    <mergeCell ref="T616:U616"/>
    <mergeCell ref="V616:W616"/>
    <mergeCell ref="X616:AA616"/>
    <mergeCell ref="AB616:AE616"/>
    <mergeCell ref="AF616:AG616"/>
    <mergeCell ref="AH616:AI616"/>
    <mergeCell ref="AX616:AZ616"/>
    <mergeCell ref="BA616:BB616"/>
    <mergeCell ref="BD616:BE616"/>
    <mergeCell ref="BF616:BI616"/>
    <mergeCell ref="BD615:BE615"/>
    <mergeCell ref="BF615:BI615"/>
    <mergeCell ref="AN615:AO615"/>
    <mergeCell ref="AP615:AQ615"/>
    <mergeCell ref="AR615:AS615"/>
    <mergeCell ref="AT615:AU615"/>
    <mergeCell ref="AV615:AW615"/>
    <mergeCell ref="AX615:AZ615"/>
    <mergeCell ref="BA615:BB615"/>
    <mergeCell ref="AJ617:AK617"/>
    <mergeCell ref="AL617:AM617"/>
    <mergeCell ref="R617:S617"/>
    <mergeCell ref="T617:U617"/>
    <mergeCell ref="V617:W617"/>
    <mergeCell ref="X617:AA617"/>
    <mergeCell ref="AB617:AE617"/>
    <mergeCell ref="AF617:AG617"/>
    <mergeCell ref="AH617:AI617"/>
    <mergeCell ref="BJ616:BM616"/>
    <mergeCell ref="BN616:BV616"/>
    <mergeCell ref="BJ617:BM617"/>
    <mergeCell ref="BN617:BV617"/>
    <mergeCell ref="B616:C616"/>
    <mergeCell ref="D616:E616"/>
    <mergeCell ref="F616:G616"/>
    <mergeCell ref="H616:I616"/>
    <mergeCell ref="J616:K616"/>
    <mergeCell ref="L616:M616"/>
    <mergeCell ref="P616:Q616"/>
    <mergeCell ref="B617:C617"/>
    <mergeCell ref="D617:E617"/>
    <mergeCell ref="F617:G617"/>
    <mergeCell ref="H617:I617"/>
    <mergeCell ref="J617:K617"/>
    <mergeCell ref="L617:M617"/>
    <mergeCell ref="P617:Q617"/>
    <mergeCell ref="AJ616:AK616"/>
    <mergeCell ref="AL616:AM616"/>
    <mergeCell ref="AN616:AO616"/>
    <mergeCell ref="AP616:AQ616"/>
    <mergeCell ref="AR616:AS616"/>
    <mergeCell ref="AT616:AU616"/>
    <mergeCell ref="AV616:AW616"/>
    <mergeCell ref="BD664:BE664"/>
    <mergeCell ref="BF664:BI664"/>
    <mergeCell ref="AN664:AO664"/>
    <mergeCell ref="AP664:AQ664"/>
    <mergeCell ref="AR664:AS664"/>
    <mergeCell ref="AT664:AU664"/>
    <mergeCell ref="AV664:AW664"/>
    <mergeCell ref="AX664:AZ664"/>
    <mergeCell ref="BA664:BB664"/>
    <mergeCell ref="AJ662:AK662"/>
    <mergeCell ref="AL662:AM662"/>
    <mergeCell ref="R662:S662"/>
    <mergeCell ref="T662:U662"/>
    <mergeCell ref="V662:W662"/>
    <mergeCell ref="X662:AA662"/>
    <mergeCell ref="AB662:AE662"/>
    <mergeCell ref="AF662:AG662"/>
    <mergeCell ref="AH662:AI662"/>
    <mergeCell ref="R663:S663"/>
    <mergeCell ref="T663:U663"/>
    <mergeCell ref="V663:W663"/>
    <mergeCell ref="X663:AA663"/>
    <mergeCell ref="AB663:AE663"/>
    <mergeCell ref="AF663:AG663"/>
    <mergeCell ref="AH663:AI663"/>
    <mergeCell ref="AX663:AZ663"/>
    <mergeCell ref="BA663:BB663"/>
    <mergeCell ref="BD663:BE663"/>
    <mergeCell ref="BF663:BI663"/>
    <mergeCell ref="BJ663:BM663"/>
    <mergeCell ref="BN663:BV663"/>
    <mergeCell ref="BJ664:BM664"/>
    <mergeCell ref="BN664:BV664"/>
    <mergeCell ref="B663:C663"/>
    <mergeCell ref="D663:E663"/>
    <mergeCell ref="F663:G663"/>
    <mergeCell ref="H663:I663"/>
    <mergeCell ref="J663:K663"/>
    <mergeCell ref="L663:M663"/>
    <mergeCell ref="AJ663:AK663"/>
    <mergeCell ref="AL663:AM663"/>
    <mergeCell ref="AN663:AO663"/>
    <mergeCell ref="AP663:AQ663"/>
    <mergeCell ref="AR663:AS663"/>
    <mergeCell ref="AT663:AU663"/>
    <mergeCell ref="AV663:AW663"/>
    <mergeCell ref="R537:S537"/>
    <mergeCell ref="T537:U537"/>
    <mergeCell ref="V537:W537"/>
    <mergeCell ref="X537:AA537"/>
    <mergeCell ref="AB537:AE537"/>
    <mergeCell ref="AF537:AG537"/>
    <mergeCell ref="AH537:AI537"/>
    <mergeCell ref="V538:W538"/>
    <mergeCell ref="X538:AA538"/>
    <mergeCell ref="AB538:AE538"/>
    <mergeCell ref="AF538:AG538"/>
    <mergeCell ref="AH538:AI538"/>
    <mergeCell ref="AJ538:AK538"/>
    <mergeCell ref="AL538:AM538"/>
    <mergeCell ref="BD538:BE538"/>
    <mergeCell ref="BF538:BI538"/>
    <mergeCell ref="BJ538:BM538"/>
    <mergeCell ref="BN538:BV538"/>
    <mergeCell ref="AN538:AO538"/>
    <mergeCell ref="AP538:AQ538"/>
    <mergeCell ref="AR538:AS538"/>
    <mergeCell ref="AT538:AU538"/>
    <mergeCell ref="AV538:AW538"/>
    <mergeCell ref="AX538:AZ538"/>
    <mergeCell ref="BA538:BB538"/>
    <mergeCell ref="B538:C538"/>
    <mergeCell ref="D538:E538"/>
    <mergeCell ref="F538:G538"/>
    <mergeCell ref="H538:I538"/>
    <mergeCell ref="P538:Q538"/>
    <mergeCell ref="R538:S538"/>
    <mergeCell ref="T538:U538"/>
    <mergeCell ref="B539:C539"/>
    <mergeCell ref="D539:E539"/>
    <mergeCell ref="F539:G539"/>
    <mergeCell ref="H539:I539"/>
    <mergeCell ref="J539:K539"/>
    <mergeCell ref="L539:M539"/>
    <mergeCell ref="P539:Q539"/>
    <mergeCell ref="AX539:AZ539"/>
    <mergeCell ref="BA539:BB539"/>
    <mergeCell ref="BD539:BE539"/>
    <mergeCell ref="BF539:BI539"/>
    <mergeCell ref="BJ539:BM539"/>
    <mergeCell ref="BN539:BV539"/>
    <mergeCell ref="AJ537:AK537"/>
    <mergeCell ref="AL537:AM537"/>
    <mergeCell ref="AN539:AO539"/>
    <mergeCell ref="AP539:AQ539"/>
    <mergeCell ref="B542:C542"/>
    <mergeCell ref="D542:E542"/>
    <mergeCell ref="F542:G542"/>
    <mergeCell ref="H542:I542"/>
    <mergeCell ref="P542:Q542"/>
    <mergeCell ref="R542:S542"/>
    <mergeCell ref="T542:U542"/>
    <mergeCell ref="AR539:AS539"/>
    <mergeCell ref="AJ539:AK539"/>
    <mergeCell ref="AL539:AM539"/>
    <mergeCell ref="AN541:AO541"/>
    <mergeCell ref="AP541:AQ541"/>
    <mergeCell ref="AR541:AS541"/>
    <mergeCell ref="AT541:AU541"/>
    <mergeCell ref="AV541:AW541"/>
    <mergeCell ref="R541:S541"/>
    <mergeCell ref="T541:U541"/>
    <mergeCell ref="V541:W541"/>
    <mergeCell ref="X541:AA541"/>
    <mergeCell ref="AB541:AE541"/>
    <mergeCell ref="AF541:AG541"/>
    <mergeCell ref="AH541:AI541"/>
    <mergeCell ref="B543:C543"/>
    <mergeCell ref="D543:E543"/>
    <mergeCell ref="F543:G543"/>
    <mergeCell ref="H543:I543"/>
    <mergeCell ref="J543:K543"/>
    <mergeCell ref="L543:M543"/>
    <mergeCell ref="P543:Q543"/>
    <mergeCell ref="AX543:AZ543"/>
    <mergeCell ref="BA543:BB543"/>
    <mergeCell ref="BD543:BE543"/>
    <mergeCell ref="BF543:BI543"/>
    <mergeCell ref="BJ543:BM543"/>
    <mergeCell ref="BN543:BV543"/>
    <mergeCell ref="AT539:AU539"/>
    <mergeCell ref="AV539:AW539"/>
    <mergeCell ref="R539:S539"/>
    <mergeCell ref="T539:U539"/>
    <mergeCell ref="V539:W539"/>
    <mergeCell ref="X539:AA539"/>
    <mergeCell ref="AB539:AE539"/>
    <mergeCell ref="AF539:AG539"/>
    <mergeCell ref="AH539:AI539"/>
    <mergeCell ref="V540:W540"/>
    <mergeCell ref="X540:AA540"/>
    <mergeCell ref="AB540:AE540"/>
    <mergeCell ref="AF540:AG540"/>
    <mergeCell ref="AH540:AI540"/>
    <mergeCell ref="AJ540:AK540"/>
    <mergeCell ref="AL540:AM540"/>
    <mergeCell ref="BD540:BE540"/>
    <mergeCell ref="BF540:BI540"/>
    <mergeCell ref="BJ540:BM540"/>
    <mergeCell ref="BN540:BV540"/>
    <mergeCell ref="AN540:AO540"/>
    <mergeCell ref="AP540:AQ540"/>
    <mergeCell ref="AR540:AS540"/>
    <mergeCell ref="AT540:AU540"/>
    <mergeCell ref="AV540:AW540"/>
    <mergeCell ref="AX540:AZ540"/>
    <mergeCell ref="BA540:BB540"/>
    <mergeCell ref="B540:C540"/>
    <mergeCell ref="D540:E540"/>
    <mergeCell ref="F540:G540"/>
    <mergeCell ref="H540:I540"/>
    <mergeCell ref="P540:Q540"/>
    <mergeCell ref="R540:S540"/>
    <mergeCell ref="T540:U540"/>
    <mergeCell ref="AP543:AQ543"/>
    <mergeCell ref="AR543:AS543"/>
    <mergeCell ref="AT543:AU543"/>
    <mergeCell ref="AV543:AW543"/>
    <mergeCell ref="R543:S543"/>
    <mergeCell ref="T543:U543"/>
    <mergeCell ref="V543:W543"/>
    <mergeCell ref="X543:AA543"/>
    <mergeCell ref="AB543:AE543"/>
    <mergeCell ref="AF543:AG543"/>
    <mergeCell ref="AH543:AI543"/>
    <mergeCell ref="V544:W544"/>
    <mergeCell ref="X544:AA544"/>
    <mergeCell ref="AB544:AE544"/>
    <mergeCell ref="AF544:AG544"/>
    <mergeCell ref="AH544:AI544"/>
    <mergeCell ref="AJ544:AK544"/>
    <mergeCell ref="AL544:AM544"/>
    <mergeCell ref="BD544:BE544"/>
    <mergeCell ref="BF544:BI544"/>
    <mergeCell ref="BJ544:BM544"/>
    <mergeCell ref="BN544:BV544"/>
    <mergeCell ref="AN544:AO544"/>
    <mergeCell ref="AP544:AQ544"/>
    <mergeCell ref="AR544:AS544"/>
    <mergeCell ref="AT544:AU544"/>
    <mergeCell ref="AV544:AW544"/>
    <mergeCell ref="AX544:AZ544"/>
    <mergeCell ref="BA544:BB544"/>
    <mergeCell ref="L541:M541"/>
    <mergeCell ref="P541:Q541"/>
    <mergeCell ref="AX541:AZ541"/>
    <mergeCell ref="BA541:BB541"/>
    <mergeCell ref="BD541:BE541"/>
    <mergeCell ref="BF541:BI541"/>
    <mergeCell ref="BJ541:BM541"/>
    <mergeCell ref="BN541:BV541"/>
    <mergeCell ref="BD542:BE542"/>
    <mergeCell ref="BF542:BI542"/>
    <mergeCell ref="BJ542:BM542"/>
    <mergeCell ref="BN542:BV542"/>
    <mergeCell ref="AN542:AO542"/>
    <mergeCell ref="AP542:AQ542"/>
    <mergeCell ref="AR542:AS542"/>
    <mergeCell ref="AT542:AU542"/>
    <mergeCell ref="AV542:AW542"/>
    <mergeCell ref="AX542:AZ542"/>
    <mergeCell ref="BA542:BB542"/>
    <mergeCell ref="T550:U550"/>
    <mergeCell ref="B547:C547"/>
    <mergeCell ref="D547:E547"/>
    <mergeCell ref="F547:G547"/>
    <mergeCell ref="H547:I547"/>
    <mergeCell ref="J547:K547"/>
    <mergeCell ref="L547:M547"/>
    <mergeCell ref="P547:Q547"/>
    <mergeCell ref="AX547:AZ547"/>
    <mergeCell ref="BA547:BB547"/>
    <mergeCell ref="BD547:BE547"/>
    <mergeCell ref="BF547:BI547"/>
    <mergeCell ref="BJ547:BM547"/>
    <mergeCell ref="BN547:BV547"/>
    <mergeCell ref="AJ545:AK545"/>
    <mergeCell ref="AL545:AM545"/>
    <mergeCell ref="AN547:AO547"/>
    <mergeCell ref="AP547:AQ547"/>
    <mergeCell ref="AR547:AS547"/>
    <mergeCell ref="AT547:AU547"/>
    <mergeCell ref="AV547:AW547"/>
    <mergeCell ref="R547:S547"/>
    <mergeCell ref="T547:U547"/>
    <mergeCell ref="V547:W547"/>
    <mergeCell ref="X547:AA547"/>
    <mergeCell ref="AB547:AE547"/>
    <mergeCell ref="AF547:AG547"/>
    <mergeCell ref="AH547:AI547"/>
    <mergeCell ref="V548:W548"/>
    <mergeCell ref="X548:AA548"/>
    <mergeCell ref="AB548:AE548"/>
    <mergeCell ref="AF548:AG548"/>
    <mergeCell ref="L545:M545"/>
    <mergeCell ref="P545:Q545"/>
    <mergeCell ref="AX545:AZ545"/>
    <mergeCell ref="BA545:BB545"/>
    <mergeCell ref="BD545:BE545"/>
    <mergeCell ref="BF545:BI545"/>
    <mergeCell ref="BJ545:BM545"/>
    <mergeCell ref="BN545:BV545"/>
    <mergeCell ref="AN545:AO545"/>
    <mergeCell ref="AP545:AQ545"/>
    <mergeCell ref="AR545:AS545"/>
    <mergeCell ref="AT545:AU545"/>
    <mergeCell ref="AV545:AW545"/>
    <mergeCell ref="R545:S545"/>
    <mergeCell ref="T545:U545"/>
    <mergeCell ref="V545:W545"/>
    <mergeCell ref="X545:AA545"/>
    <mergeCell ref="AB545:AE545"/>
    <mergeCell ref="AF545:AG545"/>
    <mergeCell ref="AH545:AI545"/>
    <mergeCell ref="AN543:AO543"/>
    <mergeCell ref="P546:Q546"/>
    <mergeCell ref="R546:S546"/>
    <mergeCell ref="T546:U546"/>
    <mergeCell ref="V546:W546"/>
    <mergeCell ref="X546:AA546"/>
    <mergeCell ref="AB546:AE546"/>
    <mergeCell ref="AF546:AG546"/>
    <mergeCell ref="AH546:AI546"/>
    <mergeCell ref="AJ546:AK546"/>
    <mergeCell ref="B548:C548"/>
    <mergeCell ref="D548:E548"/>
    <mergeCell ref="F548:G548"/>
    <mergeCell ref="H548:I548"/>
    <mergeCell ref="P548:Q548"/>
    <mergeCell ref="R548:S548"/>
    <mergeCell ref="T548:U548"/>
    <mergeCell ref="B544:C544"/>
    <mergeCell ref="D544:E544"/>
    <mergeCell ref="F544:G544"/>
    <mergeCell ref="H544:I544"/>
    <mergeCell ref="P544:Q544"/>
    <mergeCell ref="R544:S544"/>
    <mergeCell ref="T544:U544"/>
    <mergeCell ref="B541:C541"/>
    <mergeCell ref="D541:E541"/>
    <mergeCell ref="F541:G541"/>
    <mergeCell ref="H541:I541"/>
    <mergeCell ref="J541:K541"/>
    <mergeCell ref="AJ543:AK543"/>
    <mergeCell ref="AL543:AM543"/>
    <mergeCell ref="V542:W542"/>
    <mergeCell ref="X542:AA542"/>
    <mergeCell ref="AB542:AE542"/>
    <mergeCell ref="AF542:AG542"/>
    <mergeCell ref="AH542:AI542"/>
    <mergeCell ref="AJ542:AK542"/>
    <mergeCell ref="AL542:AM542"/>
    <mergeCell ref="AJ541:AK541"/>
    <mergeCell ref="AL541:AM541"/>
    <mergeCell ref="B545:C545"/>
    <mergeCell ref="D545:E545"/>
    <mergeCell ref="F545:G545"/>
    <mergeCell ref="H545:I545"/>
    <mergeCell ref="J545:K545"/>
    <mergeCell ref="L549:M549"/>
    <mergeCell ref="P549:Q549"/>
    <mergeCell ref="AX549:AZ549"/>
    <mergeCell ref="BA549:BB549"/>
    <mergeCell ref="BD549:BE549"/>
    <mergeCell ref="BF549:BI549"/>
    <mergeCell ref="BJ549:BM549"/>
    <mergeCell ref="BN549:BV549"/>
    <mergeCell ref="AJ547:AK547"/>
    <mergeCell ref="AL547:AM547"/>
    <mergeCell ref="AN549:AO549"/>
    <mergeCell ref="AP549:AQ549"/>
    <mergeCell ref="AR549:AS549"/>
    <mergeCell ref="AT549:AU549"/>
    <mergeCell ref="AV549:AW549"/>
    <mergeCell ref="R549:S549"/>
    <mergeCell ref="T549:U549"/>
    <mergeCell ref="V549:W549"/>
    <mergeCell ref="X549:AA549"/>
    <mergeCell ref="AB549:AE549"/>
    <mergeCell ref="AF549:AG549"/>
    <mergeCell ref="AH549:AI549"/>
    <mergeCell ref="AJ549:AK549"/>
    <mergeCell ref="AL549:AM549"/>
    <mergeCell ref="AL546:AM546"/>
    <mergeCell ref="BD546:BE546"/>
    <mergeCell ref="BF546:BI546"/>
    <mergeCell ref="BJ546:BM546"/>
    <mergeCell ref="BN546:BV546"/>
    <mergeCell ref="AN546:AO546"/>
    <mergeCell ref="AP546:AQ546"/>
    <mergeCell ref="AR546:AS546"/>
    <mergeCell ref="AT546:AU546"/>
    <mergeCell ref="AV546:AW546"/>
    <mergeCell ref="AX546:AZ546"/>
    <mergeCell ref="BA546:BB546"/>
    <mergeCell ref="B549:C549"/>
    <mergeCell ref="D549:E549"/>
    <mergeCell ref="F549:G549"/>
    <mergeCell ref="H549:I549"/>
    <mergeCell ref="J549:K549"/>
    <mergeCell ref="AH548:AI548"/>
    <mergeCell ref="AJ548:AK548"/>
    <mergeCell ref="AL548:AM548"/>
    <mergeCell ref="BD548:BE548"/>
    <mergeCell ref="BF548:BI548"/>
    <mergeCell ref="BJ548:BM548"/>
    <mergeCell ref="BN548:BV548"/>
    <mergeCell ref="AN548:AO548"/>
    <mergeCell ref="AP548:AQ548"/>
    <mergeCell ref="AR548:AS548"/>
    <mergeCell ref="AT548:AU548"/>
    <mergeCell ref="AV548:AW548"/>
    <mergeCell ref="AX548:AZ548"/>
    <mergeCell ref="BA548:BB548"/>
    <mergeCell ref="B546:C546"/>
    <mergeCell ref="D546:E546"/>
    <mergeCell ref="F546:G546"/>
    <mergeCell ref="H546:I546"/>
    <mergeCell ref="AF552:AG552"/>
    <mergeCell ref="AH552:AI552"/>
    <mergeCell ref="AJ552:AK552"/>
    <mergeCell ref="AL552:AM552"/>
    <mergeCell ref="BD552:BE552"/>
    <mergeCell ref="BF552:BI552"/>
    <mergeCell ref="BJ552:BM552"/>
    <mergeCell ref="BN552:BV552"/>
    <mergeCell ref="AN552:AO552"/>
    <mergeCell ref="AP552:AQ552"/>
    <mergeCell ref="AR552:AS552"/>
    <mergeCell ref="AT552:AU552"/>
    <mergeCell ref="AV552:AW552"/>
    <mergeCell ref="AX552:AZ552"/>
    <mergeCell ref="BA552:BB552"/>
    <mergeCell ref="B552:C552"/>
    <mergeCell ref="D552:E552"/>
    <mergeCell ref="F552:G552"/>
    <mergeCell ref="H552:I552"/>
    <mergeCell ref="P552:Q552"/>
    <mergeCell ref="R552:S552"/>
    <mergeCell ref="T552:U552"/>
    <mergeCell ref="L553:M553"/>
    <mergeCell ref="P553:Q553"/>
    <mergeCell ref="AX553:AZ553"/>
    <mergeCell ref="BA553:BB553"/>
    <mergeCell ref="BD553:BE553"/>
    <mergeCell ref="BF553:BI553"/>
    <mergeCell ref="BJ553:BM553"/>
    <mergeCell ref="BN553:BV553"/>
    <mergeCell ref="AJ551:AK551"/>
    <mergeCell ref="AL551:AM551"/>
    <mergeCell ref="AN553:AO553"/>
    <mergeCell ref="AP553:AQ553"/>
    <mergeCell ref="AR553:AS553"/>
    <mergeCell ref="B554:C554"/>
    <mergeCell ref="D554:E554"/>
    <mergeCell ref="F554:G554"/>
    <mergeCell ref="H554:I554"/>
    <mergeCell ref="P554:Q554"/>
    <mergeCell ref="R554:S554"/>
    <mergeCell ref="V550:W550"/>
    <mergeCell ref="X550:AA550"/>
    <mergeCell ref="AB550:AE550"/>
    <mergeCell ref="AF550:AG550"/>
    <mergeCell ref="AH550:AI550"/>
    <mergeCell ref="AJ550:AK550"/>
    <mergeCell ref="AL550:AM550"/>
    <mergeCell ref="BD550:BE550"/>
    <mergeCell ref="BF550:BI550"/>
    <mergeCell ref="BJ550:BM550"/>
    <mergeCell ref="BN550:BV550"/>
    <mergeCell ref="AN550:AO550"/>
    <mergeCell ref="AP550:AQ550"/>
    <mergeCell ref="AR550:AS550"/>
    <mergeCell ref="AT550:AU550"/>
    <mergeCell ref="AV550:AW550"/>
    <mergeCell ref="AX550:AZ550"/>
    <mergeCell ref="BA550:BB550"/>
    <mergeCell ref="B550:C550"/>
    <mergeCell ref="D550:E550"/>
    <mergeCell ref="F550:G550"/>
    <mergeCell ref="H550:I550"/>
    <mergeCell ref="P550:Q550"/>
    <mergeCell ref="R550:S550"/>
    <mergeCell ref="B553:C553"/>
    <mergeCell ref="D553:E553"/>
    <mergeCell ref="F553:G553"/>
    <mergeCell ref="H553:I553"/>
    <mergeCell ref="J553:K553"/>
    <mergeCell ref="T554:U554"/>
    <mergeCell ref="B551:C551"/>
    <mergeCell ref="D551:E551"/>
    <mergeCell ref="F551:G551"/>
    <mergeCell ref="H551:I551"/>
    <mergeCell ref="J551:K551"/>
    <mergeCell ref="L551:M551"/>
    <mergeCell ref="P551:Q551"/>
    <mergeCell ref="AX551:AZ551"/>
    <mergeCell ref="BA551:BB551"/>
    <mergeCell ref="BD551:BE551"/>
    <mergeCell ref="BF551:BI551"/>
    <mergeCell ref="BJ551:BM551"/>
    <mergeCell ref="BN551:BV551"/>
    <mergeCell ref="AN551:AO551"/>
    <mergeCell ref="AP551:AQ551"/>
    <mergeCell ref="AR551:AS551"/>
    <mergeCell ref="AT551:AU551"/>
    <mergeCell ref="AV551:AW551"/>
    <mergeCell ref="R551:S551"/>
    <mergeCell ref="T551:U551"/>
    <mergeCell ref="V551:W551"/>
    <mergeCell ref="X551:AA551"/>
    <mergeCell ref="AB551:AE551"/>
    <mergeCell ref="AF551:AG551"/>
    <mergeCell ref="AH551:AI551"/>
    <mergeCell ref="V552:W552"/>
    <mergeCell ref="X552:AA552"/>
    <mergeCell ref="AB552:AE552"/>
    <mergeCell ref="AJ555:AK555"/>
    <mergeCell ref="AL555:AM555"/>
    <mergeCell ref="AN557:AO557"/>
    <mergeCell ref="AP557:AQ557"/>
    <mergeCell ref="AR557:AS557"/>
    <mergeCell ref="AT553:AU553"/>
    <mergeCell ref="AV553:AW553"/>
    <mergeCell ref="R553:S553"/>
    <mergeCell ref="T553:U553"/>
    <mergeCell ref="V553:W553"/>
    <mergeCell ref="X553:AA553"/>
    <mergeCell ref="AB553:AE553"/>
    <mergeCell ref="AF553:AG553"/>
    <mergeCell ref="AH553:AI553"/>
    <mergeCell ref="AJ553:AK553"/>
    <mergeCell ref="AL553:AM553"/>
    <mergeCell ref="V554:W554"/>
    <mergeCell ref="X554:AA554"/>
    <mergeCell ref="AB554:AE554"/>
    <mergeCell ref="AF554:AG554"/>
    <mergeCell ref="AH554:AI554"/>
    <mergeCell ref="AJ554:AK554"/>
    <mergeCell ref="AL554:AM554"/>
    <mergeCell ref="BD554:BE554"/>
    <mergeCell ref="BF554:BI554"/>
    <mergeCell ref="BJ554:BM554"/>
    <mergeCell ref="BN554:BV554"/>
    <mergeCell ref="AN554:AO554"/>
    <mergeCell ref="AP554:AQ554"/>
    <mergeCell ref="AR554:AS554"/>
    <mergeCell ref="AT554:AU554"/>
    <mergeCell ref="AV554:AW554"/>
    <mergeCell ref="AX554:AZ554"/>
    <mergeCell ref="BA554:BB554"/>
    <mergeCell ref="B558:C558"/>
    <mergeCell ref="D558:E558"/>
    <mergeCell ref="F558:G558"/>
    <mergeCell ref="H558:I558"/>
    <mergeCell ref="P558:Q558"/>
    <mergeCell ref="R558:S558"/>
    <mergeCell ref="B557:C557"/>
    <mergeCell ref="D557:E557"/>
    <mergeCell ref="F557:G557"/>
    <mergeCell ref="H557:I557"/>
    <mergeCell ref="J557:K557"/>
    <mergeCell ref="T558:U558"/>
    <mergeCell ref="B555:C555"/>
    <mergeCell ref="D555:E555"/>
    <mergeCell ref="F555:G555"/>
    <mergeCell ref="H555:I555"/>
    <mergeCell ref="J555:K555"/>
    <mergeCell ref="L555:M555"/>
    <mergeCell ref="P555:Q555"/>
    <mergeCell ref="AX555:AZ555"/>
    <mergeCell ref="BA555:BB555"/>
    <mergeCell ref="BD555:BE555"/>
    <mergeCell ref="BF555:BI555"/>
    <mergeCell ref="BJ555:BM555"/>
    <mergeCell ref="BN555:BV555"/>
    <mergeCell ref="AN555:AO555"/>
    <mergeCell ref="AP555:AQ555"/>
    <mergeCell ref="AR555:AS555"/>
    <mergeCell ref="AT555:AU555"/>
    <mergeCell ref="AV555:AW555"/>
    <mergeCell ref="R555:S555"/>
    <mergeCell ref="T555:U555"/>
    <mergeCell ref="V555:W555"/>
    <mergeCell ref="X555:AA555"/>
    <mergeCell ref="AB555:AE555"/>
    <mergeCell ref="AF555:AG555"/>
    <mergeCell ref="AH555:AI555"/>
    <mergeCell ref="V556:W556"/>
    <mergeCell ref="X556:AA556"/>
    <mergeCell ref="AB556:AE556"/>
    <mergeCell ref="AF556:AG556"/>
    <mergeCell ref="AH556:AI556"/>
    <mergeCell ref="AJ556:AK556"/>
    <mergeCell ref="AL556:AM556"/>
    <mergeCell ref="BD556:BE556"/>
    <mergeCell ref="BF556:BI556"/>
    <mergeCell ref="BJ556:BM556"/>
    <mergeCell ref="BN556:BV556"/>
    <mergeCell ref="AN556:AO556"/>
    <mergeCell ref="AP556:AQ556"/>
    <mergeCell ref="AR556:AS556"/>
    <mergeCell ref="AT556:AU556"/>
    <mergeCell ref="AV556:AW556"/>
    <mergeCell ref="AX556:AZ556"/>
    <mergeCell ref="BA556:BB556"/>
    <mergeCell ref="B556:C556"/>
    <mergeCell ref="D556:E556"/>
    <mergeCell ref="F556:G556"/>
    <mergeCell ref="H556:I556"/>
    <mergeCell ref="P556:Q556"/>
    <mergeCell ref="R556:S556"/>
    <mergeCell ref="T556:U556"/>
    <mergeCell ref="L557:M557"/>
    <mergeCell ref="P557:Q557"/>
    <mergeCell ref="AJ559:AK559"/>
    <mergeCell ref="AL559:AM559"/>
    <mergeCell ref="AN561:AO561"/>
    <mergeCell ref="AP561:AQ561"/>
    <mergeCell ref="AR561:AS561"/>
    <mergeCell ref="AT557:AU557"/>
    <mergeCell ref="AV557:AW557"/>
    <mergeCell ref="R557:S557"/>
    <mergeCell ref="T557:U557"/>
    <mergeCell ref="V557:W557"/>
    <mergeCell ref="X557:AA557"/>
    <mergeCell ref="AB557:AE557"/>
    <mergeCell ref="AF557:AG557"/>
    <mergeCell ref="AH557:AI557"/>
    <mergeCell ref="AJ557:AK557"/>
    <mergeCell ref="AL557:AM557"/>
    <mergeCell ref="V558:W558"/>
    <mergeCell ref="X558:AA558"/>
    <mergeCell ref="AB558:AE558"/>
    <mergeCell ref="AF558:AG558"/>
    <mergeCell ref="AH558:AI558"/>
    <mergeCell ref="AJ558:AK558"/>
    <mergeCell ref="AL558:AM558"/>
    <mergeCell ref="BD558:BE558"/>
    <mergeCell ref="BF558:BI558"/>
    <mergeCell ref="BJ558:BM558"/>
    <mergeCell ref="BN558:BV558"/>
    <mergeCell ref="AN558:AO558"/>
    <mergeCell ref="AP558:AQ558"/>
    <mergeCell ref="AR558:AS558"/>
    <mergeCell ref="AT558:AU558"/>
    <mergeCell ref="AV558:AW558"/>
    <mergeCell ref="AX558:AZ558"/>
    <mergeCell ref="BA558:BB558"/>
    <mergeCell ref="AX557:AZ557"/>
    <mergeCell ref="BA557:BB557"/>
    <mergeCell ref="BD557:BE557"/>
    <mergeCell ref="BF557:BI557"/>
    <mergeCell ref="BJ557:BM557"/>
    <mergeCell ref="BN557:BV557"/>
    <mergeCell ref="B562:C562"/>
    <mergeCell ref="D562:E562"/>
    <mergeCell ref="F562:G562"/>
    <mergeCell ref="H562:I562"/>
    <mergeCell ref="P562:Q562"/>
    <mergeCell ref="R562:S562"/>
    <mergeCell ref="B561:C561"/>
    <mergeCell ref="D561:E561"/>
    <mergeCell ref="F561:G561"/>
    <mergeCell ref="H561:I561"/>
    <mergeCell ref="J561:K561"/>
    <mergeCell ref="T562:U562"/>
    <mergeCell ref="B559:C559"/>
    <mergeCell ref="D559:E559"/>
    <mergeCell ref="F559:G559"/>
    <mergeCell ref="H559:I559"/>
    <mergeCell ref="J559:K559"/>
    <mergeCell ref="L559:M559"/>
    <mergeCell ref="P559:Q559"/>
    <mergeCell ref="AX559:AZ559"/>
    <mergeCell ref="BA559:BB559"/>
    <mergeCell ref="BD559:BE559"/>
    <mergeCell ref="BF559:BI559"/>
    <mergeCell ref="BJ559:BM559"/>
    <mergeCell ref="BN559:BV559"/>
    <mergeCell ref="AN559:AO559"/>
    <mergeCell ref="AP559:AQ559"/>
    <mergeCell ref="AR559:AS559"/>
    <mergeCell ref="AT559:AU559"/>
    <mergeCell ref="AV559:AW559"/>
    <mergeCell ref="R559:S559"/>
    <mergeCell ref="T559:U559"/>
    <mergeCell ref="V559:W559"/>
    <mergeCell ref="X559:AA559"/>
    <mergeCell ref="AB559:AE559"/>
    <mergeCell ref="AF559:AG559"/>
    <mergeCell ref="AH559:AI559"/>
    <mergeCell ref="V560:W560"/>
    <mergeCell ref="X560:AA560"/>
    <mergeCell ref="AB560:AE560"/>
    <mergeCell ref="AF560:AG560"/>
    <mergeCell ref="AH560:AI560"/>
    <mergeCell ref="AJ560:AK560"/>
    <mergeCell ref="AL560:AM560"/>
    <mergeCell ref="BD560:BE560"/>
    <mergeCell ref="BF560:BI560"/>
    <mergeCell ref="BJ560:BM560"/>
    <mergeCell ref="BN560:BV560"/>
    <mergeCell ref="AN560:AO560"/>
    <mergeCell ref="AP560:AQ560"/>
    <mergeCell ref="AR560:AS560"/>
    <mergeCell ref="AT560:AU560"/>
    <mergeCell ref="AV560:AW560"/>
    <mergeCell ref="AX560:AZ560"/>
    <mergeCell ref="BA560:BB560"/>
    <mergeCell ref="B560:C560"/>
    <mergeCell ref="D560:E560"/>
    <mergeCell ref="F560:G560"/>
    <mergeCell ref="H560:I560"/>
    <mergeCell ref="P560:Q560"/>
    <mergeCell ref="R560:S560"/>
    <mergeCell ref="T560:U560"/>
    <mergeCell ref="L561:M561"/>
    <mergeCell ref="P561:Q561"/>
    <mergeCell ref="AJ563:AK563"/>
    <mergeCell ref="AL563:AM563"/>
    <mergeCell ref="AN565:AO565"/>
    <mergeCell ref="AP565:AQ565"/>
    <mergeCell ref="AR565:AS565"/>
    <mergeCell ref="AT561:AU561"/>
    <mergeCell ref="AV561:AW561"/>
    <mergeCell ref="R561:S561"/>
    <mergeCell ref="T561:U561"/>
    <mergeCell ref="V561:W561"/>
    <mergeCell ref="X561:AA561"/>
    <mergeCell ref="AB561:AE561"/>
    <mergeCell ref="AF561:AG561"/>
    <mergeCell ref="AH561:AI561"/>
    <mergeCell ref="AJ561:AK561"/>
    <mergeCell ref="AL561:AM561"/>
    <mergeCell ref="V562:W562"/>
    <mergeCell ref="X562:AA562"/>
    <mergeCell ref="AB562:AE562"/>
    <mergeCell ref="AF562:AG562"/>
    <mergeCell ref="AH562:AI562"/>
    <mergeCell ref="AJ562:AK562"/>
    <mergeCell ref="AL562:AM562"/>
    <mergeCell ref="BD562:BE562"/>
    <mergeCell ref="BF562:BI562"/>
    <mergeCell ref="BJ562:BM562"/>
    <mergeCell ref="BN562:BV562"/>
    <mergeCell ref="AN562:AO562"/>
    <mergeCell ref="AP562:AQ562"/>
    <mergeCell ref="AR562:AS562"/>
    <mergeCell ref="AT562:AU562"/>
    <mergeCell ref="AV562:AW562"/>
    <mergeCell ref="AX562:AZ562"/>
    <mergeCell ref="BA562:BB562"/>
    <mergeCell ref="AX561:AZ561"/>
    <mergeCell ref="BA561:BB561"/>
    <mergeCell ref="BD561:BE561"/>
    <mergeCell ref="BF561:BI561"/>
    <mergeCell ref="BJ561:BM561"/>
    <mergeCell ref="BN561:BV561"/>
    <mergeCell ref="B566:C566"/>
    <mergeCell ref="D566:E566"/>
    <mergeCell ref="F566:G566"/>
    <mergeCell ref="H566:I566"/>
    <mergeCell ref="P566:Q566"/>
    <mergeCell ref="R566:S566"/>
    <mergeCell ref="B565:C565"/>
    <mergeCell ref="D565:E565"/>
    <mergeCell ref="F565:G565"/>
    <mergeCell ref="H565:I565"/>
    <mergeCell ref="J565:K565"/>
    <mergeCell ref="T566:U566"/>
    <mergeCell ref="B563:C563"/>
    <mergeCell ref="D563:E563"/>
    <mergeCell ref="F563:G563"/>
    <mergeCell ref="H563:I563"/>
    <mergeCell ref="J563:K563"/>
    <mergeCell ref="L563:M563"/>
    <mergeCell ref="P563:Q563"/>
    <mergeCell ref="AX563:AZ563"/>
    <mergeCell ref="BA563:BB563"/>
    <mergeCell ref="BD563:BE563"/>
    <mergeCell ref="BF563:BI563"/>
    <mergeCell ref="BJ563:BM563"/>
    <mergeCell ref="BN563:BV563"/>
    <mergeCell ref="AN563:AO563"/>
    <mergeCell ref="AP563:AQ563"/>
    <mergeCell ref="AR563:AS563"/>
    <mergeCell ref="AT563:AU563"/>
    <mergeCell ref="AV563:AW563"/>
    <mergeCell ref="R563:S563"/>
    <mergeCell ref="T563:U563"/>
    <mergeCell ref="V563:W563"/>
    <mergeCell ref="X563:AA563"/>
    <mergeCell ref="AB563:AE563"/>
    <mergeCell ref="AF563:AG563"/>
    <mergeCell ref="AH563:AI563"/>
    <mergeCell ref="V564:W564"/>
    <mergeCell ref="X564:AA564"/>
    <mergeCell ref="AB564:AE564"/>
    <mergeCell ref="AF564:AG564"/>
    <mergeCell ref="AH564:AI564"/>
    <mergeCell ref="AJ564:AK564"/>
    <mergeCell ref="AL564:AM564"/>
    <mergeCell ref="BD564:BE564"/>
    <mergeCell ref="BF564:BI564"/>
    <mergeCell ref="BJ564:BM564"/>
    <mergeCell ref="BN564:BV564"/>
    <mergeCell ref="AN564:AO564"/>
    <mergeCell ref="AP564:AQ564"/>
    <mergeCell ref="AR564:AS564"/>
    <mergeCell ref="AT564:AU564"/>
    <mergeCell ref="AV564:AW564"/>
    <mergeCell ref="AX564:AZ564"/>
    <mergeCell ref="BA564:BB564"/>
    <mergeCell ref="B564:C564"/>
    <mergeCell ref="D564:E564"/>
    <mergeCell ref="F564:G564"/>
    <mergeCell ref="H564:I564"/>
    <mergeCell ref="P564:Q564"/>
    <mergeCell ref="R564:S564"/>
    <mergeCell ref="T564:U564"/>
    <mergeCell ref="L565:M565"/>
    <mergeCell ref="P565:Q565"/>
    <mergeCell ref="AJ567:AK567"/>
    <mergeCell ref="AL567:AM567"/>
    <mergeCell ref="AN569:AO569"/>
    <mergeCell ref="AP569:AQ569"/>
    <mergeCell ref="AR569:AS569"/>
    <mergeCell ref="AT565:AU565"/>
    <mergeCell ref="AV565:AW565"/>
    <mergeCell ref="R565:S565"/>
    <mergeCell ref="T565:U565"/>
    <mergeCell ref="V565:W565"/>
    <mergeCell ref="X565:AA565"/>
    <mergeCell ref="AB565:AE565"/>
    <mergeCell ref="AF565:AG565"/>
    <mergeCell ref="AH565:AI565"/>
    <mergeCell ref="AJ565:AK565"/>
    <mergeCell ref="AL565:AM565"/>
    <mergeCell ref="V566:W566"/>
    <mergeCell ref="X566:AA566"/>
    <mergeCell ref="AB566:AE566"/>
    <mergeCell ref="AF566:AG566"/>
    <mergeCell ref="AH566:AI566"/>
    <mergeCell ref="AJ566:AK566"/>
    <mergeCell ref="AL566:AM566"/>
    <mergeCell ref="BD566:BE566"/>
    <mergeCell ref="BF566:BI566"/>
    <mergeCell ref="BJ566:BM566"/>
    <mergeCell ref="BN566:BV566"/>
    <mergeCell ref="AN566:AO566"/>
    <mergeCell ref="AP566:AQ566"/>
    <mergeCell ref="AR566:AS566"/>
    <mergeCell ref="AT566:AU566"/>
    <mergeCell ref="AV566:AW566"/>
    <mergeCell ref="AX566:AZ566"/>
    <mergeCell ref="BA566:BB566"/>
    <mergeCell ref="AX565:AZ565"/>
    <mergeCell ref="BA565:BB565"/>
    <mergeCell ref="BD565:BE565"/>
    <mergeCell ref="BF565:BI565"/>
    <mergeCell ref="BJ565:BM565"/>
    <mergeCell ref="BN565:BV565"/>
    <mergeCell ref="B570:C570"/>
    <mergeCell ref="D570:E570"/>
    <mergeCell ref="F570:G570"/>
    <mergeCell ref="H570:I570"/>
    <mergeCell ref="P570:Q570"/>
    <mergeCell ref="R570:S570"/>
    <mergeCell ref="B569:C569"/>
    <mergeCell ref="D569:E569"/>
    <mergeCell ref="F569:G569"/>
    <mergeCell ref="H569:I569"/>
    <mergeCell ref="J569:K569"/>
    <mergeCell ref="T570:U570"/>
    <mergeCell ref="B567:C567"/>
    <mergeCell ref="D567:E567"/>
    <mergeCell ref="F567:G567"/>
    <mergeCell ref="H567:I567"/>
    <mergeCell ref="J567:K567"/>
    <mergeCell ref="L567:M567"/>
    <mergeCell ref="P567:Q567"/>
    <mergeCell ref="AX567:AZ567"/>
    <mergeCell ref="BA567:BB567"/>
    <mergeCell ref="BD567:BE567"/>
    <mergeCell ref="BF567:BI567"/>
    <mergeCell ref="BJ567:BM567"/>
    <mergeCell ref="BN567:BV567"/>
    <mergeCell ref="AN567:AO567"/>
    <mergeCell ref="AP567:AQ567"/>
    <mergeCell ref="AR567:AS567"/>
    <mergeCell ref="AT567:AU567"/>
    <mergeCell ref="AV567:AW567"/>
    <mergeCell ref="R567:S567"/>
    <mergeCell ref="T567:U567"/>
    <mergeCell ref="V567:W567"/>
    <mergeCell ref="X567:AA567"/>
    <mergeCell ref="AB567:AE567"/>
    <mergeCell ref="AF567:AG567"/>
    <mergeCell ref="AH567:AI567"/>
    <mergeCell ref="V568:W568"/>
    <mergeCell ref="X568:AA568"/>
    <mergeCell ref="AB568:AE568"/>
    <mergeCell ref="AF568:AG568"/>
    <mergeCell ref="AH568:AI568"/>
    <mergeCell ref="AJ568:AK568"/>
    <mergeCell ref="AL568:AM568"/>
    <mergeCell ref="BD568:BE568"/>
    <mergeCell ref="BF568:BI568"/>
    <mergeCell ref="BJ568:BM568"/>
    <mergeCell ref="BN568:BV568"/>
    <mergeCell ref="AN568:AO568"/>
    <mergeCell ref="AP568:AQ568"/>
    <mergeCell ref="AR568:AS568"/>
    <mergeCell ref="AT568:AU568"/>
    <mergeCell ref="AV568:AW568"/>
    <mergeCell ref="AX568:AZ568"/>
    <mergeCell ref="BA568:BB568"/>
    <mergeCell ref="B568:C568"/>
    <mergeCell ref="D568:E568"/>
    <mergeCell ref="F568:G568"/>
    <mergeCell ref="H568:I568"/>
    <mergeCell ref="P568:Q568"/>
    <mergeCell ref="R568:S568"/>
    <mergeCell ref="T568:U568"/>
    <mergeCell ref="L569:M569"/>
    <mergeCell ref="P569:Q569"/>
    <mergeCell ref="BA573:BB573"/>
    <mergeCell ref="BD573:BE573"/>
    <mergeCell ref="BF573:BI573"/>
    <mergeCell ref="BJ573:BM573"/>
    <mergeCell ref="BN573:BV573"/>
    <mergeCell ref="AJ571:AK571"/>
    <mergeCell ref="AL571:AM571"/>
    <mergeCell ref="AN573:AO573"/>
    <mergeCell ref="AP573:AQ573"/>
    <mergeCell ref="AR573:AS573"/>
    <mergeCell ref="AT569:AU569"/>
    <mergeCell ref="AV569:AW569"/>
    <mergeCell ref="R569:S569"/>
    <mergeCell ref="T569:U569"/>
    <mergeCell ref="V569:W569"/>
    <mergeCell ref="X569:AA569"/>
    <mergeCell ref="AB569:AE569"/>
    <mergeCell ref="AF569:AG569"/>
    <mergeCell ref="AH569:AI569"/>
    <mergeCell ref="AJ569:AK569"/>
    <mergeCell ref="AL569:AM569"/>
    <mergeCell ref="V570:W570"/>
    <mergeCell ref="X570:AA570"/>
    <mergeCell ref="AB570:AE570"/>
    <mergeCell ref="AF570:AG570"/>
    <mergeCell ref="AH570:AI570"/>
    <mergeCell ref="AJ570:AK570"/>
    <mergeCell ref="AL570:AM570"/>
    <mergeCell ref="BD570:BE570"/>
    <mergeCell ref="BF570:BI570"/>
    <mergeCell ref="BJ570:BM570"/>
    <mergeCell ref="BN570:BV570"/>
    <mergeCell ref="AN570:AO570"/>
    <mergeCell ref="AP570:AQ570"/>
    <mergeCell ref="AR570:AS570"/>
    <mergeCell ref="AT570:AU570"/>
    <mergeCell ref="AV570:AW570"/>
    <mergeCell ref="AX570:AZ570"/>
    <mergeCell ref="BA570:BB570"/>
    <mergeCell ref="AX569:AZ569"/>
    <mergeCell ref="BA569:BB569"/>
    <mergeCell ref="BD569:BE569"/>
    <mergeCell ref="BF569:BI569"/>
    <mergeCell ref="BJ569:BM569"/>
    <mergeCell ref="BN569:BV569"/>
    <mergeCell ref="B571:C571"/>
    <mergeCell ref="D571:E571"/>
    <mergeCell ref="F571:G571"/>
    <mergeCell ref="H571:I571"/>
    <mergeCell ref="J571:K571"/>
    <mergeCell ref="L571:M571"/>
    <mergeCell ref="P571:Q571"/>
    <mergeCell ref="AX571:AZ571"/>
    <mergeCell ref="BA571:BB571"/>
    <mergeCell ref="BD571:BE571"/>
    <mergeCell ref="BF571:BI571"/>
    <mergeCell ref="BJ571:BM571"/>
    <mergeCell ref="BN571:BV571"/>
    <mergeCell ref="AN571:AO571"/>
    <mergeCell ref="AP571:AQ571"/>
    <mergeCell ref="AR571:AS571"/>
    <mergeCell ref="AT571:AU571"/>
    <mergeCell ref="AV571:AW571"/>
    <mergeCell ref="R571:S571"/>
    <mergeCell ref="T571:U571"/>
    <mergeCell ref="V571:W571"/>
    <mergeCell ref="X571:AA571"/>
    <mergeCell ref="AB571:AE571"/>
    <mergeCell ref="AF571:AG571"/>
    <mergeCell ref="AH571:AI571"/>
    <mergeCell ref="V572:W572"/>
    <mergeCell ref="X572:AA572"/>
    <mergeCell ref="AB572:AE572"/>
    <mergeCell ref="AF572:AG572"/>
    <mergeCell ref="AH572:AI572"/>
    <mergeCell ref="AJ572:AK572"/>
    <mergeCell ref="AL572:AM572"/>
    <mergeCell ref="BD572:BE572"/>
    <mergeCell ref="BF572:BI572"/>
    <mergeCell ref="BJ572:BM572"/>
    <mergeCell ref="BN572:BV572"/>
    <mergeCell ref="AN572:AO572"/>
    <mergeCell ref="AP572:AQ572"/>
    <mergeCell ref="AR572:AS572"/>
    <mergeCell ref="AT572:AU572"/>
    <mergeCell ref="AV572:AW572"/>
    <mergeCell ref="AX572:AZ572"/>
    <mergeCell ref="BA572:BB572"/>
    <mergeCell ref="B572:C572"/>
    <mergeCell ref="D572:E572"/>
    <mergeCell ref="F572:G572"/>
    <mergeCell ref="H572:I572"/>
    <mergeCell ref="P572:Q572"/>
    <mergeCell ref="R572:S572"/>
    <mergeCell ref="T572:U572"/>
    <mergeCell ref="B576:C576"/>
    <mergeCell ref="D576:E576"/>
    <mergeCell ref="F576:G576"/>
    <mergeCell ref="H576:I576"/>
    <mergeCell ref="P576:Q576"/>
    <mergeCell ref="R576:S576"/>
    <mergeCell ref="T576:U576"/>
    <mergeCell ref="L577:M577"/>
    <mergeCell ref="P577:Q577"/>
    <mergeCell ref="AX577:AZ577"/>
    <mergeCell ref="BA577:BB577"/>
    <mergeCell ref="BD577:BE577"/>
    <mergeCell ref="BF577:BI577"/>
    <mergeCell ref="BJ577:BM577"/>
    <mergeCell ref="BN577:BV577"/>
    <mergeCell ref="AJ575:AK575"/>
    <mergeCell ref="AL575:AM575"/>
    <mergeCell ref="AN577:AO577"/>
    <mergeCell ref="AP577:AQ577"/>
    <mergeCell ref="AR577:AS577"/>
    <mergeCell ref="AT573:AU573"/>
    <mergeCell ref="AV573:AW573"/>
    <mergeCell ref="R573:S573"/>
    <mergeCell ref="T573:U573"/>
    <mergeCell ref="V573:W573"/>
    <mergeCell ref="X573:AA573"/>
    <mergeCell ref="AB573:AE573"/>
    <mergeCell ref="AF573:AG573"/>
    <mergeCell ref="AH573:AI573"/>
    <mergeCell ref="AJ573:AK573"/>
    <mergeCell ref="AL573:AM573"/>
    <mergeCell ref="V574:W574"/>
    <mergeCell ref="X574:AA574"/>
    <mergeCell ref="AB574:AE574"/>
    <mergeCell ref="AF574:AG574"/>
    <mergeCell ref="AH574:AI574"/>
    <mergeCell ref="AJ574:AK574"/>
    <mergeCell ref="AL574:AM574"/>
    <mergeCell ref="BD574:BE574"/>
    <mergeCell ref="BF574:BI574"/>
    <mergeCell ref="BJ574:BM574"/>
    <mergeCell ref="BN574:BV574"/>
    <mergeCell ref="AN574:AO574"/>
    <mergeCell ref="AP574:AQ574"/>
    <mergeCell ref="AR574:AS574"/>
    <mergeCell ref="AT574:AU574"/>
    <mergeCell ref="AV574:AW574"/>
    <mergeCell ref="AX574:AZ574"/>
    <mergeCell ref="BA574:BB574"/>
    <mergeCell ref="B574:C574"/>
    <mergeCell ref="D574:E574"/>
    <mergeCell ref="F574:G574"/>
    <mergeCell ref="H574:I574"/>
    <mergeCell ref="P574:Q574"/>
    <mergeCell ref="R574:S574"/>
    <mergeCell ref="B573:C573"/>
    <mergeCell ref="D573:E573"/>
    <mergeCell ref="F573:G573"/>
    <mergeCell ref="H573:I573"/>
    <mergeCell ref="J573:K573"/>
    <mergeCell ref="T574:U574"/>
    <mergeCell ref="L573:M573"/>
    <mergeCell ref="P573:Q573"/>
    <mergeCell ref="AX573:AZ573"/>
    <mergeCell ref="B577:C577"/>
    <mergeCell ref="D577:E577"/>
    <mergeCell ref="F577:G577"/>
    <mergeCell ref="H577:I577"/>
    <mergeCell ref="J577:K577"/>
    <mergeCell ref="T578:U578"/>
    <mergeCell ref="B575:C575"/>
    <mergeCell ref="D575:E575"/>
    <mergeCell ref="F575:G575"/>
    <mergeCell ref="H575:I575"/>
    <mergeCell ref="J575:K575"/>
    <mergeCell ref="L575:M575"/>
    <mergeCell ref="P575:Q575"/>
    <mergeCell ref="AX575:AZ575"/>
    <mergeCell ref="BA575:BB575"/>
    <mergeCell ref="BD575:BE575"/>
    <mergeCell ref="BF575:BI575"/>
    <mergeCell ref="BJ575:BM575"/>
    <mergeCell ref="BN575:BV575"/>
    <mergeCell ref="AN575:AO575"/>
    <mergeCell ref="AP575:AQ575"/>
    <mergeCell ref="AR575:AS575"/>
    <mergeCell ref="AT575:AU575"/>
    <mergeCell ref="AV575:AW575"/>
    <mergeCell ref="R575:S575"/>
    <mergeCell ref="T575:U575"/>
    <mergeCell ref="V575:W575"/>
    <mergeCell ref="X575:AA575"/>
    <mergeCell ref="AB575:AE575"/>
    <mergeCell ref="AF575:AG575"/>
    <mergeCell ref="AH575:AI575"/>
    <mergeCell ref="V576:W576"/>
    <mergeCell ref="X576:AA576"/>
    <mergeCell ref="AB576:AE576"/>
    <mergeCell ref="AF576:AG576"/>
    <mergeCell ref="AH576:AI576"/>
    <mergeCell ref="AJ576:AK576"/>
    <mergeCell ref="AL576:AM576"/>
    <mergeCell ref="BD576:BE576"/>
    <mergeCell ref="BF576:BI576"/>
    <mergeCell ref="BJ578:BM578"/>
    <mergeCell ref="BN578:BV578"/>
    <mergeCell ref="AN578:AO578"/>
    <mergeCell ref="AP578:AQ578"/>
    <mergeCell ref="AR578:AS578"/>
    <mergeCell ref="AT578:AU578"/>
    <mergeCell ref="AV578:AW578"/>
    <mergeCell ref="AX578:AZ578"/>
    <mergeCell ref="BA578:BB578"/>
    <mergeCell ref="B578:C578"/>
    <mergeCell ref="D578:E578"/>
    <mergeCell ref="F578:G578"/>
    <mergeCell ref="H578:I578"/>
    <mergeCell ref="P578:Q578"/>
    <mergeCell ref="R578:S578"/>
    <mergeCell ref="BJ576:BM576"/>
    <mergeCell ref="BN576:BV576"/>
    <mergeCell ref="AN576:AO576"/>
    <mergeCell ref="AP576:AQ576"/>
    <mergeCell ref="AR576:AS576"/>
    <mergeCell ref="AT576:AU576"/>
    <mergeCell ref="AV576:AW576"/>
    <mergeCell ref="AX576:AZ576"/>
    <mergeCell ref="BA576:BB576"/>
    <mergeCell ref="AT577:AU577"/>
    <mergeCell ref="AV577:AW577"/>
    <mergeCell ref="R577:S577"/>
    <mergeCell ref="T577:U577"/>
    <mergeCell ref="V577:W577"/>
    <mergeCell ref="X577:AA577"/>
    <mergeCell ref="AB577:AE577"/>
    <mergeCell ref="AF577:AG577"/>
    <mergeCell ref="AH577:AI577"/>
    <mergeCell ref="AJ577:AK577"/>
    <mergeCell ref="AL577:AM577"/>
    <mergeCell ref="AP581:AQ581"/>
    <mergeCell ref="AR581:AS581"/>
    <mergeCell ref="AT581:AU581"/>
    <mergeCell ref="AV581:AW581"/>
    <mergeCell ref="R581:S581"/>
    <mergeCell ref="T581:U581"/>
    <mergeCell ref="V581:W581"/>
    <mergeCell ref="X581:AA581"/>
    <mergeCell ref="AB581:AE581"/>
    <mergeCell ref="AF581:AG581"/>
    <mergeCell ref="AH581:AI581"/>
    <mergeCell ref="AJ581:AK581"/>
    <mergeCell ref="AL581:AM581"/>
    <mergeCell ref="V578:W578"/>
    <mergeCell ref="X578:AA578"/>
    <mergeCell ref="AB578:AE578"/>
    <mergeCell ref="AF578:AG578"/>
    <mergeCell ref="AH578:AI578"/>
    <mergeCell ref="AJ578:AK578"/>
    <mergeCell ref="AL578:AM578"/>
    <mergeCell ref="BD578:BE578"/>
    <mergeCell ref="BF578:BI578"/>
    <mergeCell ref="B582:C582"/>
    <mergeCell ref="D582:E582"/>
    <mergeCell ref="F582:G582"/>
    <mergeCell ref="H582:I582"/>
    <mergeCell ref="P582:Q582"/>
    <mergeCell ref="R582:S582"/>
    <mergeCell ref="T582:U582"/>
    <mergeCell ref="B579:C579"/>
    <mergeCell ref="D579:E579"/>
    <mergeCell ref="F579:G579"/>
    <mergeCell ref="H579:I579"/>
    <mergeCell ref="J579:K579"/>
    <mergeCell ref="L579:M579"/>
    <mergeCell ref="P579:Q579"/>
    <mergeCell ref="AX579:AZ579"/>
    <mergeCell ref="BA579:BB579"/>
    <mergeCell ref="BD579:BE579"/>
    <mergeCell ref="BF579:BI579"/>
    <mergeCell ref="BJ579:BM579"/>
    <mergeCell ref="BN579:BV579"/>
    <mergeCell ref="AN579:AO579"/>
    <mergeCell ref="AP579:AQ579"/>
    <mergeCell ref="AR579:AS579"/>
    <mergeCell ref="AT579:AU579"/>
    <mergeCell ref="AV579:AW579"/>
    <mergeCell ref="R579:S579"/>
    <mergeCell ref="T579:U579"/>
    <mergeCell ref="V579:W579"/>
    <mergeCell ref="X579:AA579"/>
    <mergeCell ref="AB579:AE579"/>
    <mergeCell ref="AF579:AG579"/>
    <mergeCell ref="AH579:AI579"/>
    <mergeCell ref="V580:W580"/>
    <mergeCell ref="X580:AA580"/>
    <mergeCell ref="AB580:AE580"/>
    <mergeCell ref="AF580:AG580"/>
    <mergeCell ref="AH580:AI580"/>
    <mergeCell ref="AJ580:AK580"/>
    <mergeCell ref="AL580:AM580"/>
    <mergeCell ref="BD580:BE580"/>
    <mergeCell ref="BF580:BI580"/>
    <mergeCell ref="BJ580:BM580"/>
    <mergeCell ref="BN580:BV580"/>
    <mergeCell ref="AN580:AO580"/>
    <mergeCell ref="AP580:AQ580"/>
    <mergeCell ref="AR580:AS580"/>
    <mergeCell ref="AT580:AU580"/>
    <mergeCell ref="AV580:AW580"/>
    <mergeCell ref="AX580:AZ580"/>
    <mergeCell ref="BA580:BB580"/>
    <mergeCell ref="B580:C580"/>
    <mergeCell ref="D580:E580"/>
    <mergeCell ref="F580:G580"/>
    <mergeCell ref="H580:I580"/>
    <mergeCell ref="P580:Q580"/>
    <mergeCell ref="R580:S580"/>
    <mergeCell ref="T580:U580"/>
    <mergeCell ref="L581:M581"/>
    <mergeCell ref="P581:Q581"/>
    <mergeCell ref="AX581:AZ581"/>
    <mergeCell ref="BA581:BB581"/>
    <mergeCell ref="BD581:BE581"/>
    <mergeCell ref="BF581:BI581"/>
    <mergeCell ref="BJ581:BM581"/>
    <mergeCell ref="P583:Q583"/>
    <mergeCell ref="AX583:AZ583"/>
    <mergeCell ref="BA583:BB583"/>
    <mergeCell ref="BD583:BE583"/>
    <mergeCell ref="BF583:BI583"/>
    <mergeCell ref="BJ583:BM583"/>
    <mergeCell ref="BN583:BV583"/>
    <mergeCell ref="AN583:AO583"/>
    <mergeCell ref="AP583:AQ583"/>
    <mergeCell ref="AR583:AS583"/>
    <mergeCell ref="AT583:AU583"/>
    <mergeCell ref="AV583:AW583"/>
    <mergeCell ref="R583:S583"/>
    <mergeCell ref="T583:U583"/>
    <mergeCell ref="V583:W583"/>
    <mergeCell ref="X583:AA583"/>
    <mergeCell ref="AB583:AE583"/>
    <mergeCell ref="AF583:AG583"/>
    <mergeCell ref="AH583:AI583"/>
    <mergeCell ref="V584:W584"/>
    <mergeCell ref="X584:AA584"/>
    <mergeCell ref="AB584:AE584"/>
    <mergeCell ref="AF584:AG584"/>
    <mergeCell ref="AH584:AI584"/>
    <mergeCell ref="AJ584:AK584"/>
    <mergeCell ref="AL584:AM584"/>
    <mergeCell ref="BD584:BE584"/>
    <mergeCell ref="BF584:BI584"/>
    <mergeCell ref="BJ584:BM584"/>
    <mergeCell ref="BN584:BV584"/>
    <mergeCell ref="AN584:AO584"/>
    <mergeCell ref="AP584:AQ584"/>
    <mergeCell ref="AR584:AS584"/>
    <mergeCell ref="AT584:AU584"/>
    <mergeCell ref="AV584:AW584"/>
    <mergeCell ref="AX584:AZ584"/>
    <mergeCell ref="BA584:BB584"/>
    <mergeCell ref="B584:C584"/>
    <mergeCell ref="D584:E584"/>
    <mergeCell ref="F584:G584"/>
    <mergeCell ref="H584:I584"/>
    <mergeCell ref="P584:Q584"/>
    <mergeCell ref="R584:S584"/>
    <mergeCell ref="T584:U584"/>
    <mergeCell ref="B581:C581"/>
    <mergeCell ref="D581:E581"/>
    <mergeCell ref="F581:G581"/>
    <mergeCell ref="H581:I581"/>
    <mergeCell ref="J581:K581"/>
    <mergeCell ref="B583:C583"/>
    <mergeCell ref="D583:E583"/>
    <mergeCell ref="F583:G583"/>
    <mergeCell ref="H583:I583"/>
    <mergeCell ref="J583:K583"/>
    <mergeCell ref="BN581:BV581"/>
    <mergeCell ref="AJ579:AK579"/>
    <mergeCell ref="AL579:AM579"/>
    <mergeCell ref="AN581:AO581"/>
    <mergeCell ref="L585:M585"/>
    <mergeCell ref="P585:Q585"/>
    <mergeCell ref="AX585:AZ585"/>
    <mergeCell ref="BA585:BB585"/>
    <mergeCell ref="BD585:BE585"/>
    <mergeCell ref="BF585:BI585"/>
    <mergeCell ref="BJ585:BM585"/>
    <mergeCell ref="BN585:BV585"/>
    <mergeCell ref="AJ583:AK583"/>
    <mergeCell ref="AL583:AM583"/>
    <mergeCell ref="AN585:AO585"/>
    <mergeCell ref="AP585:AQ585"/>
    <mergeCell ref="AR585:AS585"/>
    <mergeCell ref="AT585:AU585"/>
    <mergeCell ref="AV585:AW585"/>
    <mergeCell ref="R585:S585"/>
    <mergeCell ref="T585:U585"/>
    <mergeCell ref="V585:W585"/>
    <mergeCell ref="X585:AA585"/>
    <mergeCell ref="AB585:AE585"/>
    <mergeCell ref="AF585:AG585"/>
    <mergeCell ref="AH585:AI585"/>
    <mergeCell ref="AJ585:AK585"/>
    <mergeCell ref="AL585:AM585"/>
    <mergeCell ref="V582:W582"/>
    <mergeCell ref="X582:AA582"/>
    <mergeCell ref="AB582:AE582"/>
    <mergeCell ref="AF582:AG582"/>
    <mergeCell ref="AH582:AI582"/>
    <mergeCell ref="AJ582:AK582"/>
    <mergeCell ref="AL582:AM582"/>
    <mergeCell ref="BD582:BE582"/>
    <mergeCell ref="BF582:BI582"/>
    <mergeCell ref="BJ582:BM582"/>
    <mergeCell ref="BN582:BV582"/>
    <mergeCell ref="AN582:AO582"/>
    <mergeCell ref="AP582:AQ582"/>
    <mergeCell ref="AR582:AS582"/>
    <mergeCell ref="AT582:AU582"/>
    <mergeCell ref="AV582:AW582"/>
    <mergeCell ref="AX582:AZ582"/>
    <mergeCell ref="BA582:BB582"/>
    <mergeCell ref="L583:M583"/>
    <mergeCell ref="AR586:AS586"/>
    <mergeCell ref="AT586:AU586"/>
    <mergeCell ref="AV586:AW586"/>
    <mergeCell ref="AX586:AZ586"/>
    <mergeCell ref="BA586:BB586"/>
    <mergeCell ref="B590:C590"/>
    <mergeCell ref="D590:E590"/>
    <mergeCell ref="F590:G590"/>
    <mergeCell ref="H590:I590"/>
    <mergeCell ref="P590:Q590"/>
    <mergeCell ref="R590:S590"/>
    <mergeCell ref="T590:U590"/>
    <mergeCell ref="B587:C587"/>
    <mergeCell ref="D587:E587"/>
    <mergeCell ref="F587:G587"/>
    <mergeCell ref="H587:I587"/>
    <mergeCell ref="J587:K587"/>
    <mergeCell ref="L587:M587"/>
    <mergeCell ref="P587:Q587"/>
    <mergeCell ref="AX587:AZ587"/>
    <mergeCell ref="BA587:BB587"/>
    <mergeCell ref="BD587:BE587"/>
    <mergeCell ref="BF587:BI587"/>
    <mergeCell ref="BJ587:BM587"/>
    <mergeCell ref="BN587:BV587"/>
    <mergeCell ref="AN587:AO587"/>
    <mergeCell ref="AP587:AQ587"/>
    <mergeCell ref="AR587:AS587"/>
    <mergeCell ref="AT587:AU587"/>
    <mergeCell ref="AV587:AW587"/>
    <mergeCell ref="R587:S587"/>
    <mergeCell ref="T587:U587"/>
    <mergeCell ref="V587:W587"/>
    <mergeCell ref="X587:AA587"/>
    <mergeCell ref="AB587:AE587"/>
    <mergeCell ref="AF587:AG587"/>
    <mergeCell ref="AH587:AI587"/>
    <mergeCell ref="V588:W588"/>
    <mergeCell ref="X588:AA588"/>
    <mergeCell ref="AB588:AE588"/>
    <mergeCell ref="AF588:AG588"/>
    <mergeCell ref="AH588:AI588"/>
    <mergeCell ref="AJ588:AK588"/>
    <mergeCell ref="AL588:AM588"/>
    <mergeCell ref="BD588:BE588"/>
    <mergeCell ref="BF588:BI588"/>
    <mergeCell ref="BJ588:BM588"/>
    <mergeCell ref="BN588:BV588"/>
    <mergeCell ref="AN588:AO588"/>
    <mergeCell ref="AP588:AQ588"/>
    <mergeCell ref="AR588:AS588"/>
    <mergeCell ref="B586:C586"/>
    <mergeCell ref="D586:E586"/>
    <mergeCell ref="F586:G586"/>
    <mergeCell ref="H586:I586"/>
    <mergeCell ref="P586:Q586"/>
    <mergeCell ref="R586:S586"/>
    <mergeCell ref="T586:U586"/>
    <mergeCell ref="BD591:BE591"/>
    <mergeCell ref="BF591:BI591"/>
    <mergeCell ref="BJ591:BM591"/>
    <mergeCell ref="BN591:BV591"/>
    <mergeCell ref="AJ589:AK589"/>
    <mergeCell ref="AL589:AM589"/>
    <mergeCell ref="AN591:AO591"/>
    <mergeCell ref="AP591:AQ591"/>
    <mergeCell ref="AR591:AS591"/>
    <mergeCell ref="AT591:AU591"/>
    <mergeCell ref="AV591:AW591"/>
    <mergeCell ref="R591:S591"/>
    <mergeCell ref="T591:U591"/>
    <mergeCell ref="V591:W591"/>
    <mergeCell ref="X591:AA591"/>
    <mergeCell ref="AB591:AE591"/>
    <mergeCell ref="AF591:AG591"/>
    <mergeCell ref="AH591:AI591"/>
    <mergeCell ref="AT588:AU588"/>
    <mergeCell ref="AV588:AW588"/>
    <mergeCell ref="AX588:AZ588"/>
    <mergeCell ref="BA588:BB588"/>
    <mergeCell ref="B588:C588"/>
    <mergeCell ref="D588:E588"/>
    <mergeCell ref="F588:G588"/>
    <mergeCell ref="H588:I588"/>
    <mergeCell ref="P588:Q588"/>
    <mergeCell ref="R588:S588"/>
    <mergeCell ref="T588:U588"/>
    <mergeCell ref="B585:C585"/>
    <mergeCell ref="D585:E585"/>
    <mergeCell ref="F585:G585"/>
    <mergeCell ref="H585:I585"/>
    <mergeCell ref="J585:K585"/>
    <mergeCell ref="BF589:BI589"/>
    <mergeCell ref="BJ589:BM589"/>
    <mergeCell ref="BN589:BV589"/>
    <mergeCell ref="AJ587:AK587"/>
    <mergeCell ref="AL587:AM587"/>
    <mergeCell ref="AN589:AO589"/>
    <mergeCell ref="AP589:AQ589"/>
    <mergeCell ref="AR589:AS589"/>
    <mergeCell ref="AT589:AU589"/>
    <mergeCell ref="AV589:AW589"/>
    <mergeCell ref="R589:S589"/>
    <mergeCell ref="T589:U589"/>
    <mergeCell ref="V589:W589"/>
    <mergeCell ref="X589:AA589"/>
    <mergeCell ref="AB589:AE589"/>
    <mergeCell ref="AF589:AG589"/>
    <mergeCell ref="AH589:AI589"/>
    <mergeCell ref="V586:W586"/>
    <mergeCell ref="X586:AA586"/>
    <mergeCell ref="AB586:AE586"/>
    <mergeCell ref="AF586:AG586"/>
    <mergeCell ref="AH586:AI586"/>
    <mergeCell ref="AJ586:AK586"/>
    <mergeCell ref="AL586:AM586"/>
    <mergeCell ref="BD586:BE586"/>
    <mergeCell ref="BF586:BI586"/>
    <mergeCell ref="BJ586:BM586"/>
    <mergeCell ref="BN586:BV586"/>
    <mergeCell ref="AN586:AO586"/>
    <mergeCell ref="AP586:AQ586"/>
    <mergeCell ref="V592:W592"/>
    <mergeCell ref="X592:AA592"/>
    <mergeCell ref="AB592:AE592"/>
    <mergeCell ref="AF592:AG592"/>
    <mergeCell ref="AH592:AI592"/>
    <mergeCell ref="AJ592:AK592"/>
    <mergeCell ref="AL592:AM592"/>
    <mergeCell ref="BD592:BE592"/>
    <mergeCell ref="BF592:BI592"/>
    <mergeCell ref="BJ592:BM592"/>
    <mergeCell ref="BN592:BV592"/>
    <mergeCell ref="AN592:AO592"/>
    <mergeCell ref="AP592:AQ592"/>
    <mergeCell ref="AR592:AS592"/>
    <mergeCell ref="AT592:AU592"/>
    <mergeCell ref="AV592:AW592"/>
    <mergeCell ref="AX592:AZ592"/>
    <mergeCell ref="BA592:BB592"/>
    <mergeCell ref="B592:C592"/>
    <mergeCell ref="D592:E592"/>
    <mergeCell ref="F592:G592"/>
    <mergeCell ref="H592:I592"/>
    <mergeCell ref="P592:Q592"/>
    <mergeCell ref="R592:S592"/>
    <mergeCell ref="T592:U592"/>
    <mergeCell ref="AJ591:AK591"/>
    <mergeCell ref="AL591:AM591"/>
    <mergeCell ref="B589:C589"/>
    <mergeCell ref="D589:E589"/>
    <mergeCell ref="F589:G589"/>
    <mergeCell ref="H589:I589"/>
    <mergeCell ref="J589:K589"/>
    <mergeCell ref="L589:M589"/>
    <mergeCell ref="P589:Q589"/>
    <mergeCell ref="AX589:AZ589"/>
    <mergeCell ref="BA589:BB589"/>
    <mergeCell ref="BD589:BE589"/>
    <mergeCell ref="V590:W590"/>
    <mergeCell ref="X590:AA590"/>
    <mergeCell ref="AB590:AE590"/>
    <mergeCell ref="AF590:AG590"/>
    <mergeCell ref="AH590:AI590"/>
    <mergeCell ref="AJ590:AK590"/>
    <mergeCell ref="AL590:AM590"/>
    <mergeCell ref="BD590:BE590"/>
    <mergeCell ref="BF590:BI590"/>
    <mergeCell ref="BJ590:BM590"/>
    <mergeCell ref="BN590:BV590"/>
    <mergeCell ref="AN590:AO590"/>
    <mergeCell ref="AP590:AQ590"/>
    <mergeCell ref="AR590:AS590"/>
    <mergeCell ref="AT590:AU590"/>
    <mergeCell ref="AV590:AW590"/>
    <mergeCell ref="AX590:AZ590"/>
    <mergeCell ref="BA590:BB590"/>
    <mergeCell ref="B591:C591"/>
    <mergeCell ref="D591:E591"/>
    <mergeCell ref="F591:G591"/>
    <mergeCell ref="H591:I591"/>
    <mergeCell ref="J591:K591"/>
    <mergeCell ref="L591:M591"/>
    <mergeCell ref="P591:Q591"/>
    <mergeCell ref="AX591:AZ591"/>
    <mergeCell ref="BA591:BB591"/>
    <mergeCell ref="H623:I623"/>
    <mergeCell ref="J623:K623"/>
    <mergeCell ref="L623:M623"/>
    <mergeCell ref="P623:Q623"/>
    <mergeCell ref="B624:C624"/>
    <mergeCell ref="D624:E624"/>
    <mergeCell ref="F624:G624"/>
    <mergeCell ref="H624:I624"/>
    <mergeCell ref="J624:K624"/>
    <mergeCell ref="L624:M624"/>
    <mergeCell ref="P624:Q624"/>
    <mergeCell ref="AJ623:AK623"/>
    <mergeCell ref="AL623:AM623"/>
    <mergeCell ref="AN623:AO623"/>
    <mergeCell ref="AP623:AQ623"/>
    <mergeCell ref="AR623:AS623"/>
    <mergeCell ref="AT623:AU623"/>
    <mergeCell ref="AV623:AW623"/>
    <mergeCell ref="B625:C625"/>
    <mergeCell ref="D625:E625"/>
    <mergeCell ref="F625:G625"/>
    <mergeCell ref="H625:I625"/>
    <mergeCell ref="J625:K625"/>
    <mergeCell ref="L625:M625"/>
    <mergeCell ref="P625:Q625"/>
    <mergeCell ref="B626:C626"/>
    <mergeCell ref="D626:E626"/>
    <mergeCell ref="F626:G626"/>
    <mergeCell ref="H626:I626"/>
    <mergeCell ref="J626:K626"/>
    <mergeCell ref="L626:M626"/>
    <mergeCell ref="P626:Q626"/>
    <mergeCell ref="AJ625:AK625"/>
    <mergeCell ref="R623:S623"/>
    <mergeCell ref="T623:U623"/>
    <mergeCell ref="V623:W623"/>
    <mergeCell ref="X623:AA623"/>
    <mergeCell ref="AB623:AE623"/>
    <mergeCell ref="AF623:AG623"/>
    <mergeCell ref="AH623:AI623"/>
    <mergeCell ref="R618:S618"/>
    <mergeCell ref="T618:U618"/>
    <mergeCell ref="V618:W618"/>
    <mergeCell ref="X618:AA618"/>
    <mergeCell ref="AB618:AE618"/>
    <mergeCell ref="AF618:AG618"/>
    <mergeCell ref="AH618:AI618"/>
    <mergeCell ref="AX618:AZ618"/>
    <mergeCell ref="BA618:BB618"/>
    <mergeCell ref="BD618:BE618"/>
    <mergeCell ref="BF618:BI618"/>
    <mergeCell ref="BD622:BE622"/>
    <mergeCell ref="BF622:BI622"/>
    <mergeCell ref="AN622:AO622"/>
    <mergeCell ref="AP622:AQ622"/>
    <mergeCell ref="AR622:AS622"/>
    <mergeCell ref="AT622:AU622"/>
    <mergeCell ref="AV622:AW622"/>
    <mergeCell ref="AX622:AZ622"/>
    <mergeCell ref="BA622:BB622"/>
    <mergeCell ref="AX621:AZ621"/>
    <mergeCell ref="BA621:BB621"/>
    <mergeCell ref="BD621:BE621"/>
    <mergeCell ref="BF621:BI621"/>
    <mergeCell ref="AJ619:AK619"/>
    <mergeCell ref="AL619:AM619"/>
    <mergeCell ref="H620:I620"/>
    <mergeCell ref="J620:K620"/>
    <mergeCell ref="L620:M620"/>
    <mergeCell ref="P620:Q620"/>
    <mergeCell ref="AJ622:AK622"/>
    <mergeCell ref="AL622:AM622"/>
    <mergeCell ref="R622:S622"/>
    <mergeCell ref="T622:U622"/>
    <mergeCell ref="V622:W622"/>
    <mergeCell ref="X622:AA622"/>
    <mergeCell ref="AB622:AE622"/>
    <mergeCell ref="AF622:AG622"/>
    <mergeCell ref="AH622:AI622"/>
    <mergeCell ref="AR619:AS619"/>
    <mergeCell ref="AT619:AU619"/>
    <mergeCell ref="AV619:AW619"/>
    <mergeCell ref="AX619:AZ619"/>
    <mergeCell ref="BA619:BB619"/>
    <mergeCell ref="BD619:BE619"/>
    <mergeCell ref="BF619:BI619"/>
    <mergeCell ref="AN619:AO619"/>
    <mergeCell ref="AP619:AQ619"/>
    <mergeCell ref="BD626:BE626"/>
    <mergeCell ref="BF626:BI626"/>
    <mergeCell ref="AN626:AO626"/>
    <mergeCell ref="AP626:AQ626"/>
    <mergeCell ref="AR626:AS626"/>
    <mergeCell ref="AT626:AU626"/>
    <mergeCell ref="AV626:AW626"/>
    <mergeCell ref="AX626:AZ626"/>
    <mergeCell ref="BA626:BB626"/>
    <mergeCell ref="AJ624:AK624"/>
    <mergeCell ref="AL624:AM624"/>
    <mergeCell ref="R624:S624"/>
    <mergeCell ref="T624:U624"/>
    <mergeCell ref="V624:W624"/>
    <mergeCell ref="X624:AA624"/>
    <mergeCell ref="AB624:AE624"/>
    <mergeCell ref="AF624:AG624"/>
    <mergeCell ref="AH624:AI624"/>
    <mergeCell ref="R625:S625"/>
    <mergeCell ref="T625:U625"/>
    <mergeCell ref="V625:W625"/>
    <mergeCell ref="X625:AA625"/>
    <mergeCell ref="AB625:AE625"/>
    <mergeCell ref="AF625:AG625"/>
    <mergeCell ref="AH625:AI625"/>
    <mergeCell ref="AX625:AZ625"/>
    <mergeCell ref="BA625:BB625"/>
    <mergeCell ref="BD625:BE625"/>
    <mergeCell ref="BF625:BI625"/>
    <mergeCell ref="AJ626:AK626"/>
    <mergeCell ref="AL626:AM626"/>
    <mergeCell ref="R626:S626"/>
    <mergeCell ref="T626:U626"/>
    <mergeCell ref="V626:W626"/>
    <mergeCell ref="X626:AA626"/>
    <mergeCell ref="AB626:AE626"/>
    <mergeCell ref="AF626:AG626"/>
    <mergeCell ref="AH626:AI626"/>
    <mergeCell ref="AX623:AZ623"/>
    <mergeCell ref="BA623:BB623"/>
    <mergeCell ref="BD623:BE623"/>
    <mergeCell ref="BF623:BI623"/>
    <mergeCell ref="BJ618:BM618"/>
    <mergeCell ref="BN618:BV618"/>
    <mergeCell ref="B618:C618"/>
    <mergeCell ref="D618:E618"/>
    <mergeCell ref="F618:G618"/>
    <mergeCell ref="H618:I618"/>
    <mergeCell ref="J618:K618"/>
    <mergeCell ref="L618:M618"/>
    <mergeCell ref="P618:Q618"/>
    <mergeCell ref="AJ618:AK618"/>
    <mergeCell ref="AL618:AM618"/>
    <mergeCell ref="AN618:AO618"/>
    <mergeCell ref="AP618:AQ618"/>
    <mergeCell ref="AR618:AS618"/>
    <mergeCell ref="AT618:AU618"/>
    <mergeCell ref="AV618:AW618"/>
    <mergeCell ref="B619:C619"/>
    <mergeCell ref="D619:E619"/>
    <mergeCell ref="F619:G619"/>
    <mergeCell ref="H619:I619"/>
    <mergeCell ref="J619:K619"/>
    <mergeCell ref="L619:M619"/>
    <mergeCell ref="P619:Q619"/>
    <mergeCell ref="R621:S621"/>
    <mergeCell ref="T621:U621"/>
    <mergeCell ref="V621:W621"/>
    <mergeCell ref="X621:AA621"/>
    <mergeCell ref="AB621:AE621"/>
    <mergeCell ref="AF621:AG621"/>
    <mergeCell ref="AH621:AI621"/>
    <mergeCell ref="B621:C621"/>
    <mergeCell ref="D621:E621"/>
    <mergeCell ref="F621:G621"/>
    <mergeCell ref="H621:I621"/>
    <mergeCell ref="J621:K621"/>
    <mergeCell ref="L621:M621"/>
    <mergeCell ref="P621:Q621"/>
    <mergeCell ref="R620:S620"/>
    <mergeCell ref="T620:U620"/>
    <mergeCell ref="V620:W620"/>
    <mergeCell ref="X620:AA620"/>
    <mergeCell ref="AB620:AE620"/>
    <mergeCell ref="AF620:AG620"/>
    <mergeCell ref="AH620:AI620"/>
    <mergeCell ref="AX620:AZ620"/>
    <mergeCell ref="BA620:BB620"/>
    <mergeCell ref="BD620:BE620"/>
    <mergeCell ref="BF620:BI620"/>
    <mergeCell ref="BJ620:BM620"/>
    <mergeCell ref="BN620:BV620"/>
    <mergeCell ref="AJ620:AK620"/>
    <mergeCell ref="AL620:AM620"/>
    <mergeCell ref="AN620:AO620"/>
    <mergeCell ref="AP620:AQ620"/>
    <mergeCell ref="AR620:AS620"/>
    <mergeCell ref="AT620:AU620"/>
    <mergeCell ref="AV620:AW620"/>
    <mergeCell ref="B620:C620"/>
    <mergeCell ref="D620:E620"/>
    <mergeCell ref="F620:G620"/>
    <mergeCell ref="BJ621:BM621"/>
    <mergeCell ref="BN621:BV621"/>
    <mergeCell ref="BJ622:BM622"/>
    <mergeCell ref="BN622:BV622"/>
    <mergeCell ref="B622:C622"/>
    <mergeCell ref="D622:E622"/>
    <mergeCell ref="F622:G622"/>
    <mergeCell ref="H622:I622"/>
    <mergeCell ref="J622:K622"/>
    <mergeCell ref="L622:M622"/>
    <mergeCell ref="P622:Q622"/>
    <mergeCell ref="AJ621:AK621"/>
    <mergeCell ref="AL621:AM621"/>
    <mergeCell ref="AN621:AO621"/>
    <mergeCell ref="AP621:AQ621"/>
    <mergeCell ref="AR621:AS621"/>
    <mergeCell ref="AT621:AU621"/>
    <mergeCell ref="AV621:AW621"/>
    <mergeCell ref="BD624:BE624"/>
    <mergeCell ref="BF624:BI624"/>
    <mergeCell ref="AN624:AO624"/>
    <mergeCell ref="AP624:AQ624"/>
    <mergeCell ref="AR624:AS624"/>
    <mergeCell ref="AT624:AU624"/>
    <mergeCell ref="AV624:AW624"/>
    <mergeCell ref="AX624:AZ624"/>
    <mergeCell ref="BA624:BB624"/>
    <mergeCell ref="AJ628:AK628"/>
    <mergeCell ref="AL628:AM628"/>
    <mergeCell ref="BJ628:BM628"/>
    <mergeCell ref="BN628:BV628"/>
    <mergeCell ref="R628:S628"/>
    <mergeCell ref="T628:U628"/>
    <mergeCell ref="V628:W628"/>
    <mergeCell ref="X628:AA628"/>
    <mergeCell ref="AB628:AE628"/>
    <mergeCell ref="AF628:AG628"/>
    <mergeCell ref="AH628:AI628"/>
    <mergeCell ref="BJ627:BM627"/>
    <mergeCell ref="BN627:BV627"/>
    <mergeCell ref="B628:C628"/>
    <mergeCell ref="D628:E628"/>
    <mergeCell ref="F628:G628"/>
    <mergeCell ref="H628:I628"/>
    <mergeCell ref="J628:K628"/>
    <mergeCell ref="L628:M628"/>
    <mergeCell ref="P628:Q628"/>
    <mergeCell ref="AL625:AM625"/>
    <mergeCell ref="AN625:AO625"/>
    <mergeCell ref="AP625:AQ625"/>
    <mergeCell ref="AR625:AS625"/>
    <mergeCell ref="AT625:AU625"/>
    <mergeCell ref="AV625:AW625"/>
    <mergeCell ref="BJ625:BM625"/>
    <mergeCell ref="BN625:BV625"/>
    <mergeCell ref="BJ626:BM626"/>
    <mergeCell ref="BN626:BV626"/>
    <mergeCell ref="BJ623:BM623"/>
    <mergeCell ref="BN623:BV623"/>
    <mergeCell ref="BJ624:BM624"/>
    <mergeCell ref="BN624:BV624"/>
    <mergeCell ref="B623:C623"/>
    <mergeCell ref="D623:E623"/>
    <mergeCell ref="F623:G623"/>
    <mergeCell ref="BJ634:BM634"/>
    <mergeCell ref="BN634:BV634"/>
    <mergeCell ref="BJ635:BM635"/>
    <mergeCell ref="BN635:BV635"/>
    <mergeCell ref="BD633:BE633"/>
    <mergeCell ref="BF633:BI633"/>
    <mergeCell ref="AN633:AO633"/>
    <mergeCell ref="AP633:AQ633"/>
    <mergeCell ref="AR633:AS633"/>
    <mergeCell ref="AT633:AU633"/>
    <mergeCell ref="AV633:AW633"/>
    <mergeCell ref="AX633:AZ633"/>
    <mergeCell ref="BA633:BB633"/>
    <mergeCell ref="AJ631:AK631"/>
    <mergeCell ref="AL631:AM631"/>
    <mergeCell ref="R631:S631"/>
    <mergeCell ref="T631:U631"/>
    <mergeCell ref="V631:W631"/>
    <mergeCell ref="X631:AA631"/>
    <mergeCell ref="AB631:AE631"/>
    <mergeCell ref="AF631:AG631"/>
    <mergeCell ref="AH631:AI631"/>
    <mergeCell ref="R632:S632"/>
    <mergeCell ref="T632:U632"/>
    <mergeCell ref="V632:W632"/>
    <mergeCell ref="X632:AA632"/>
    <mergeCell ref="AB632:AE632"/>
    <mergeCell ref="AF632:AG632"/>
    <mergeCell ref="AH632:AI632"/>
    <mergeCell ref="AX632:AZ632"/>
    <mergeCell ref="BA632:BB632"/>
    <mergeCell ref="BD632:BE632"/>
    <mergeCell ref="BF632:BI632"/>
    <mergeCell ref="BJ632:BM632"/>
    <mergeCell ref="BN632:BV632"/>
    <mergeCell ref="BJ633:BM633"/>
    <mergeCell ref="BN633:BV633"/>
    <mergeCell ref="AH635:AI635"/>
    <mergeCell ref="AJ632:AK632"/>
    <mergeCell ref="AL632:AM632"/>
    <mergeCell ref="AN632:AO632"/>
    <mergeCell ref="AP632:AQ632"/>
    <mergeCell ref="AR632:AS632"/>
    <mergeCell ref="AT632:AU632"/>
    <mergeCell ref="AV632:AW632"/>
    <mergeCell ref="AF634:AG634"/>
    <mergeCell ref="AH634:AI634"/>
    <mergeCell ref="AX634:AZ634"/>
    <mergeCell ref="AJ635:AK635"/>
    <mergeCell ref="AL635:AM635"/>
    <mergeCell ref="R635:S635"/>
    <mergeCell ref="T635:U635"/>
    <mergeCell ref="V635:W635"/>
    <mergeCell ref="X635:AA635"/>
    <mergeCell ref="AB635:AE635"/>
    <mergeCell ref="AF635:AG635"/>
    <mergeCell ref="BA634:BB634"/>
    <mergeCell ref="BD634:BE634"/>
    <mergeCell ref="BF634:BI634"/>
    <mergeCell ref="R634:S634"/>
    <mergeCell ref="T634:U634"/>
    <mergeCell ref="V634:W634"/>
    <mergeCell ref="X634:AA634"/>
    <mergeCell ref="AB634:AE634"/>
    <mergeCell ref="R627:S627"/>
    <mergeCell ref="T627:U627"/>
    <mergeCell ref="V627:W627"/>
    <mergeCell ref="X627:AA627"/>
    <mergeCell ref="AB627:AE627"/>
    <mergeCell ref="AF627:AG627"/>
    <mergeCell ref="AH627:AI627"/>
    <mergeCell ref="AX627:AZ627"/>
    <mergeCell ref="BA627:BB627"/>
    <mergeCell ref="BD627:BE627"/>
    <mergeCell ref="BF627:BI627"/>
    <mergeCell ref="B627:C627"/>
    <mergeCell ref="D627:E627"/>
    <mergeCell ref="F627:G627"/>
    <mergeCell ref="H627:I627"/>
    <mergeCell ref="J627:K627"/>
    <mergeCell ref="L627:M627"/>
    <mergeCell ref="P627:Q627"/>
    <mergeCell ref="AJ627:AK627"/>
    <mergeCell ref="AL627:AM627"/>
    <mergeCell ref="AN627:AO627"/>
    <mergeCell ref="AP627:AQ627"/>
    <mergeCell ref="AR627:AS627"/>
    <mergeCell ref="AT627:AU627"/>
    <mergeCell ref="AV627:AW627"/>
    <mergeCell ref="X629:AA629"/>
    <mergeCell ref="AB629:AE629"/>
    <mergeCell ref="AF629:AG629"/>
    <mergeCell ref="AH629:AI629"/>
    <mergeCell ref="AX629:AZ629"/>
    <mergeCell ref="BA629:BB629"/>
    <mergeCell ref="BD629:BE629"/>
    <mergeCell ref="BF629:BI629"/>
    <mergeCell ref="BD628:BE628"/>
    <mergeCell ref="BF628:BI628"/>
    <mergeCell ref="AN628:AO628"/>
    <mergeCell ref="AP628:AQ628"/>
    <mergeCell ref="AR628:AS628"/>
    <mergeCell ref="AT628:AU628"/>
    <mergeCell ref="AV628:AW628"/>
    <mergeCell ref="AX628:AZ628"/>
    <mergeCell ref="BA628:BB628"/>
    <mergeCell ref="B632:C632"/>
    <mergeCell ref="D632:E632"/>
    <mergeCell ref="F632:G632"/>
    <mergeCell ref="H632:I632"/>
    <mergeCell ref="J632:K632"/>
    <mergeCell ref="L632:M632"/>
    <mergeCell ref="P632:Q632"/>
    <mergeCell ref="B633:C633"/>
    <mergeCell ref="D633:E633"/>
    <mergeCell ref="F633:G633"/>
    <mergeCell ref="H633:I633"/>
    <mergeCell ref="J633:K633"/>
    <mergeCell ref="L633:M633"/>
    <mergeCell ref="P633:Q633"/>
    <mergeCell ref="BF631:BI631"/>
    <mergeCell ref="AN631:AO631"/>
    <mergeCell ref="AP631:AQ631"/>
    <mergeCell ref="AR631:AS631"/>
    <mergeCell ref="AT631:AU631"/>
    <mergeCell ref="AV631:AW631"/>
    <mergeCell ref="AX631:AZ631"/>
    <mergeCell ref="BA631:BB631"/>
    <mergeCell ref="R629:S629"/>
    <mergeCell ref="T629:U629"/>
    <mergeCell ref="V629:W629"/>
    <mergeCell ref="B634:C634"/>
    <mergeCell ref="D634:E634"/>
    <mergeCell ref="F634:G634"/>
    <mergeCell ref="H634:I634"/>
    <mergeCell ref="J634:K634"/>
    <mergeCell ref="L634:M634"/>
    <mergeCell ref="P634:Q634"/>
    <mergeCell ref="B635:C635"/>
    <mergeCell ref="D635:E635"/>
    <mergeCell ref="F635:G635"/>
    <mergeCell ref="H635:I635"/>
    <mergeCell ref="J635:K635"/>
    <mergeCell ref="L635:M635"/>
    <mergeCell ref="P635:Q635"/>
    <mergeCell ref="AJ634:AK634"/>
    <mergeCell ref="AL634:AM634"/>
    <mergeCell ref="AN634:AO634"/>
    <mergeCell ref="AP634:AQ634"/>
    <mergeCell ref="AR634:AS634"/>
    <mergeCell ref="AT634:AU634"/>
    <mergeCell ref="AV634:AW634"/>
    <mergeCell ref="BD635:BE635"/>
    <mergeCell ref="BF635:BI635"/>
    <mergeCell ref="AN635:AO635"/>
    <mergeCell ref="AP635:AQ635"/>
    <mergeCell ref="AR635:AS635"/>
    <mergeCell ref="AT635:AU635"/>
    <mergeCell ref="AV635:AW635"/>
    <mergeCell ref="AX635:AZ635"/>
    <mergeCell ref="BA635:BB635"/>
    <mergeCell ref="AJ633:AK633"/>
    <mergeCell ref="AL633:AM633"/>
    <mergeCell ref="R633:S633"/>
    <mergeCell ref="T633:U633"/>
    <mergeCell ref="V633:W633"/>
    <mergeCell ref="X633:AA633"/>
    <mergeCell ref="AB633:AE633"/>
    <mergeCell ref="AF633:AG633"/>
    <mergeCell ref="AH633:AI633"/>
    <mergeCell ref="BD638:BE638"/>
    <mergeCell ref="BF638:BI638"/>
    <mergeCell ref="BJ638:BM638"/>
    <mergeCell ref="BN638:BV638"/>
    <mergeCell ref="AJ638:AK638"/>
    <mergeCell ref="AL638:AM638"/>
    <mergeCell ref="AN638:AO638"/>
    <mergeCell ref="AP638:AQ638"/>
    <mergeCell ref="AR638:AS638"/>
    <mergeCell ref="AT638:AU638"/>
    <mergeCell ref="AV638:AW638"/>
    <mergeCell ref="BJ629:BM629"/>
    <mergeCell ref="BN629:BV629"/>
    <mergeCell ref="AJ629:AK629"/>
    <mergeCell ref="AL629:AM629"/>
    <mergeCell ref="AN629:AO629"/>
    <mergeCell ref="AP629:AQ629"/>
    <mergeCell ref="AR629:AS629"/>
    <mergeCell ref="AT629:AU629"/>
    <mergeCell ref="AV629:AW629"/>
    <mergeCell ref="B629:C629"/>
    <mergeCell ref="D629:E629"/>
    <mergeCell ref="F629:G629"/>
    <mergeCell ref="H629:I629"/>
    <mergeCell ref="J629:K629"/>
    <mergeCell ref="L629:M629"/>
    <mergeCell ref="P629:Q629"/>
    <mergeCell ref="AX630:AZ630"/>
    <mergeCell ref="BA630:BB630"/>
    <mergeCell ref="BD630:BE630"/>
    <mergeCell ref="BF630:BI630"/>
    <mergeCell ref="BJ630:BM630"/>
    <mergeCell ref="BN630:BV630"/>
    <mergeCell ref="BJ631:BM631"/>
    <mergeCell ref="BN631:BV631"/>
    <mergeCell ref="B631:C631"/>
    <mergeCell ref="D631:E631"/>
    <mergeCell ref="F631:G631"/>
    <mergeCell ref="H631:I631"/>
    <mergeCell ref="J631:K631"/>
    <mergeCell ref="L631:M631"/>
    <mergeCell ref="P631:Q631"/>
    <mergeCell ref="AJ630:AK630"/>
    <mergeCell ref="AL630:AM630"/>
    <mergeCell ref="AN630:AO630"/>
    <mergeCell ref="AP630:AQ630"/>
    <mergeCell ref="AR630:AS630"/>
    <mergeCell ref="AT630:AU630"/>
    <mergeCell ref="AV630:AW630"/>
    <mergeCell ref="R630:S630"/>
    <mergeCell ref="T630:U630"/>
    <mergeCell ref="V630:W630"/>
    <mergeCell ref="X630:AA630"/>
    <mergeCell ref="AB630:AE630"/>
    <mergeCell ref="AF630:AG630"/>
    <mergeCell ref="AH630:AI630"/>
    <mergeCell ref="B630:C630"/>
    <mergeCell ref="D630:E630"/>
    <mergeCell ref="F630:G630"/>
    <mergeCell ref="H630:I630"/>
    <mergeCell ref="J630:K630"/>
    <mergeCell ref="L630:M630"/>
    <mergeCell ref="P630:Q630"/>
    <mergeCell ref="BD631:BE631"/>
    <mergeCell ref="BJ643:BM643"/>
    <mergeCell ref="BN643:BV643"/>
    <mergeCell ref="BJ644:BM644"/>
    <mergeCell ref="BN644:BV644"/>
    <mergeCell ref="B643:C643"/>
    <mergeCell ref="D643:E643"/>
    <mergeCell ref="F643:G643"/>
    <mergeCell ref="H643:I643"/>
    <mergeCell ref="J643:K643"/>
    <mergeCell ref="L643:M643"/>
    <mergeCell ref="P643:Q643"/>
    <mergeCell ref="B644:C644"/>
    <mergeCell ref="BJ637:BM637"/>
    <mergeCell ref="BN637:BV637"/>
    <mergeCell ref="R637:S637"/>
    <mergeCell ref="T637:U637"/>
    <mergeCell ref="V637:W637"/>
    <mergeCell ref="X637:AA637"/>
    <mergeCell ref="AB637:AE637"/>
    <mergeCell ref="AF637:AG637"/>
    <mergeCell ref="AH637:AI637"/>
    <mergeCell ref="AJ640:AK640"/>
    <mergeCell ref="AL640:AM640"/>
    <mergeCell ref="R640:S640"/>
    <mergeCell ref="T640:U640"/>
    <mergeCell ref="V640:W640"/>
    <mergeCell ref="X640:AA640"/>
    <mergeCell ref="AB640:AE640"/>
    <mergeCell ref="AF640:AG640"/>
    <mergeCell ref="AH640:AI640"/>
    <mergeCell ref="R641:S641"/>
    <mergeCell ref="T641:U641"/>
    <mergeCell ref="V641:W641"/>
    <mergeCell ref="X641:AA641"/>
    <mergeCell ref="AB641:AE641"/>
    <mergeCell ref="AF641:AG641"/>
    <mergeCell ref="AH641:AI641"/>
    <mergeCell ref="AX641:AZ641"/>
    <mergeCell ref="BA641:BB641"/>
    <mergeCell ref="BD641:BE641"/>
    <mergeCell ref="BF641:BI641"/>
    <mergeCell ref="BJ641:BM641"/>
    <mergeCell ref="BN641:BV641"/>
    <mergeCell ref="BJ639:BM639"/>
    <mergeCell ref="BN639:BV639"/>
    <mergeCell ref="BJ640:BM640"/>
    <mergeCell ref="BN640:BV640"/>
    <mergeCell ref="BD637:BE637"/>
    <mergeCell ref="BF637:BI637"/>
    <mergeCell ref="AN637:AO637"/>
    <mergeCell ref="AP637:AQ637"/>
    <mergeCell ref="AR637:AS637"/>
    <mergeCell ref="AT637:AU637"/>
    <mergeCell ref="AV637:AW637"/>
    <mergeCell ref="AX637:AZ637"/>
    <mergeCell ref="BA637:BB637"/>
    <mergeCell ref="T638:U638"/>
    <mergeCell ref="V638:W638"/>
    <mergeCell ref="X638:AA638"/>
    <mergeCell ref="AB638:AE638"/>
    <mergeCell ref="AF638:AG638"/>
    <mergeCell ref="AH638:AI638"/>
    <mergeCell ref="AX638:AZ638"/>
    <mergeCell ref="BA638:BB638"/>
    <mergeCell ref="B641:C641"/>
    <mergeCell ref="D641:E641"/>
    <mergeCell ref="F641:G641"/>
    <mergeCell ref="H641:I641"/>
    <mergeCell ref="J641:K641"/>
    <mergeCell ref="L641:M641"/>
    <mergeCell ref="P641:Q641"/>
    <mergeCell ref="B642:C642"/>
    <mergeCell ref="D642:E642"/>
    <mergeCell ref="F642:G642"/>
    <mergeCell ref="H642:I642"/>
    <mergeCell ref="J642:K642"/>
    <mergeCell ref="L642:M642"/>
    <mergeCell ref="P642:Q642"/>
    <mergeCell ref="AJ641:AK641"/>
    <mergeCell ref="AL641:AM641"/>
    <mergeCell ref="AN641:AO641"/>
    <mergeCell ref="AP641:AQ641"/>
    <mergeCell ref="AR641:AS641"/>
    <mergeCell ref="AT641:AU641"/>
    <mergeCell ref="AV641:AW641"/>
    <mergeCell ref="BD644:BE644"/>
    <mergeCell ref="BF644:BI644"/>
    <mergeCell ref="AN644:AO644"/>
    <mergeCell ref="AP644:AQ644"/>
    <mergeCell ref="AR644:AS644"/>
    <mergeCell ref="AT644:AU644"/>
    <mergeCell ref="AV644:AW644"/>
    <mergeCell ref="AX644:AZ644"/>
    <mergeCell ref="BA644:BB644"/>
    <mergeCell ref="AJ642:AK642"/>
    <mergeCell ref="AL642:AM642"/>
    <mergeCell ref="R642:S642"/>
    <mergeCell ref="T642:U642"/>
    <mergeCell ref="V642:W642"/>
    <mergeCell ref="X642:AA642"/>
    <mergeCell ref="AB642:AE642"/>
    <mergeCell ref="AF642:AG642"/>
    <mergeCell ref="AH642:AI642"/>
    <mergeCell ref="R643:S643"/>
    <mergeCell ref="T643:U643"/>
    <mergeCell ref="V643:W643"/>
    <mergeCell ref="X643:AA643"/>
    <mergeCell ref="AB643:AE643"/>
    <mergeCell ref="AF643:AG643"/>
    <mergeCell ref="AH643:AI643"/>
    <mergeCell ref="AX643:AZ643"/>
    <mergeCell ref="BA643:BB643"/>
    <mergeCell ref="BD643:BE643"/>
    <mergeCell ref="BF643:BI643"/>
    <mergeCell ref="R636:S636"/>
    <mergeCell ref="T636:U636"/>
    <mergeCell ref="V636:W636"/>
    <mergeCell ref="X636:AA636"/>
    <mergeCell ref="AB636:AE636"/>
    <mergeCell ref="AF636:AG636"/>
    <mergeCell ref="AH636:AI636"/>
    <mergeCell ref="AX636:AZ636"/>
    <mergeCell ref="BA636:BB636"/>
    <mergeCell ref="BD636:BE636"/>
    <mergeCell ref="BF636:BI636"/>
    <mergeCell ref="BD640:BE640"/>
    <mergeCell ref="BF640:BI640"/>
    <mergeCell ref="AN640:AO640"/>
    <mergeCell ref="AP640:AQ640"/>
    <mergeCell ref="AR640:AS640"/>
    <mergeCell ref="AT640:AU640"/>
    <mergeCell ref="AV640:AW640"/>
    <mergeCell ref="AX640:AZ640"/>
    <mergeCell ref="BA640:BB640"/>
    <mergeCell ref="AX639:AZ639"/>
    <mergeCell ref="BA639:BB639"/>
    <mergeCell ref="BD639:BE639"/>
    <mergeCell ref="BF639:BI639"/>
    <mergeCell ref="AJ637:AK637"/>
    <mergeCell ref="AL637:AM637"/>
    <mergeCell ref="BJ636:BM636"/>
    <mergeCell ref="BN636:BV636"/>
    <mergeCell ref="B636:C636"/>
    <mergeCell ref="D636:E636"/>
    <mergeCell ref="F636:G636"/>
    <mergeCell ref="H636:I636"/>
    <mergeCell ref="J636:K636"/>
    <mergeCell ref="L636:M636"/>
    <mergeCell ref="P636:Q636"/>
    <mergeCell ref="AJ636:AK636"/>
    <mergeCell ref="AL636:AM636"/>
    <mergeCell ref="AN636:AO636"/>
    <mergeCell ref="AP636:AQ636"/>
    <mergeCell ref="AR636:AS636"/>
    <mergeCell ref="AT636:AU636"/>
    <mergeCell ref="AV636:AW636"/>
    <mergeCell ref="B637:C637"/>
    <mergeCell ref="D637:E637"/>
    <mergeCell ref="F637:G637"/>
    <mergeCell ref="H637:I637"/>
    <mergeCell ref="J637:K637"/>
    <mergeCell ref="L637:M637"/>
    <mergeCell ref="P637:Q637"/>
    <mergeCell ref="R639:S639"/>
    <mergeCell ref="T639:U639"/>
    <mergeCell ref="V639:W639"/>
    <mergeCell ref="X639:AA639"/>
    <mergeCell ref="AB639:AE639"/>
    <mergeCell ref="AF639:AG639"/>
    <mergeCell ref="AH639:AI639"/>
    <mergeCell ref="B639:C639"/>
    <mergeCell ref="D639:E639"/>
    <mergeCell ref="F639:G639"/>
    <mergeCell ref="H639:I639"/>
    <mergeCell ref="J639:K639"/>
    <mergeCell ref="L639:M639"/>
    <mergeCell ref="P639:Q639"/>
    <mergeCell ref="R638:S638"/>
    <mergeCell ref="B638:C638"/>
    <mergeCell ref="D638:E638"/>
    <mergeCell ref="F638:G638"/>
    <mergeCell ref="H638:I638"/>
    <mergeCell ref="J638:K638"/>
    <mergeCell ref="L638:M638"/>
    <mergeCell ref="P638:Q638"/>
    <mergeCell ref="BJ646:BM646"/>
    <mergeCell ref="BN646:BV646"/>
    <mergeCell ref="R646:S646"/>
    <mergeCell ref="T646:U646"/>
    <mergeCell ref="V646:W646"/>
    <mergeCell ref="X646:AA646"/>
    <mergeCell ref="AB646:AE646"/>
    <mergeCell ref="AF646:AG646"/>
    <mergeCell ref="AH646:AI646"/>
    <mergeCell ref="BD646:BE646"/>
    <mergeCell ref="BF646:BI646"/>
    <mergeCell ref="AN646:AO646"/>
    <mergeCell ref="AP646:AQ646"/>
    <mergeCell ref="AR646:AS646"/>
    <mergeCell ref="AT646:AU646"/>
    <mergeCell ref="AV646:AW646"/>
    <mergeCell ref="AX646:AZ646"/>
    <mergeCell ref="BA646:BB646"/>
    <mergeCell ref="AJ644:AK644"/>
    <mergeCell ref="AL644:AM644"/>
    <mergeCell ref="R644:S644"/>
    <mergeCell ref="T644:U644"/>
    <mergeCell ref="V644:W644"/>
    <mergeCell ref="X644:AA644"/>
    <mergeCell ref="AB644:AE644"/>
    <mergeCell ref="AF644:AG644"/>
    <mergeCell ref="AH644:AI644"/>
    <mergeCell ref="R645:S645"/>
    <mergeCell ref="T645:U645"/>
    <mergeCell ref="V645:W645"/>
    <mergeCell ref="X645:AA645"/>
    <mergeCell ref="AB645:AE645"/>
    <mergeCell ref="AF645:AG645"/>
    <mergeCell ref="AH645:AI645"/>
    <mergeCell ref="AX645:AZ645"/>
    <mergeCell ref="BA645:BB645"/>
    <mergeCell ref="BD645:BE645"/>
    <mergeCell ref="BF645:BI645"/>
    <mergeCell ref="BJ645:BM645"/>
    <mergeCell ref="BN645:BV645"/>
    <mergeCell ref="P645:Q645"/>
    <mergeCell ref="AJ645:AK645"/>
    <mergeCell ref="AL645:AM645"/>
    <mergeCell ref="AN645:AO645"/>
    <mergeCell ref="AP645:AQ645"/>
    <mergeCell ref="AR645:AS645"/>
    <mergeCell ref="AT645:AU645"/>
    <mergeCell ref="AV645:AW645"/>
    <mergeCell ref="B646:C646"/>
    <mergeCell ref="D646:E646"/>
    <mergeCell ref="F646:G646"/>
    <mergeCell ref="H646:I646"/>
    <mergeCell ref="J646:K646"/>
    <mergeCell ref="L646:M646"/>
    <mergeCell ref="P646:Q646"/>
    <mergeCell ref="BJ642:BM642"/>
    <mergeCell ref="BN642:BV642"/>
    <mergeCell ref="H651:I651"/>
    <mergeCell ref="J651:K651"/>
    <mergeCell ref="L651:M651"/>
    <mergeCell ref="P651:Q651"/>
    <mergeCell ref="AJ650:AK650"/>
    <mergeCell ref="AL650:AM650"/>
    <mergeCell ref="AN650:AO650"/>
    <mergeCell ref="AP650:AQ650"/>
    <mergeCell ref="AR650:AS650"/>
    <mergeCell ref="AT650:AU650"/>
    <mergeCell ref="AV650:AW650"/>
    <mergeCell ref="BD649:BE649"/>
    <mergeCell ref="BF649:BI649"/>
    <mergeCell ref="AN649:AO649"/>
    <mergeCell ref="AP649:AQ649"/>
    <mergeCell ref="AR649:AS649"/>
    <mergeCell ref="AT649:AU649"/>
    <mergeCell ref="AV649:AW649"/>
    <mergeCell ref="AX649:AZ649"/>
    <mergeCell ref="BA649:BB649"/>
    <mergeCell ref="B640:C640"/>
    <mergeCell ref="D640:E640"/>
    <mergeCell ref="F640:G640"/>
    <mergeCell ref="H640:I640"/>
    <mergeCell ref="J640:K640"/>
    <mergeCell ref="L640:M640"/>
    <mergeCell ref="P640:Q640"/>
    <mergeCell ref="AJ639:AK639"/>
    <mergeCell ref="AL639:AM639"/>
    <mergeCell ref="AN639:AO639"/>
    <mergeCell ref="AP639:AQ639"/>
    <mergeCell ref="AR639:AS639"/>
    <mergeCell ref="AT639:AU639"/>
    <mergeCell ref="AV639:AW639"/>
    <mergeCell ref="BD642:BE642"/>
    <mergeCell ref="BF642:BI642"/>
    <mergeCell ref="AN642:AO642"/>
    <mergeCell ref="AP642:AQ642"/>
    <mergeCell ref="AR642:AS642"/>
    <mergeCell ref="AT642:AU642"/>
    <mergeCell ref="AV642:AW642"/>
    <mergeCell ref="AX642:AZ642"/>
    <mergeCell ref="BA642:BB642"/>
    <mergeCell ref="AJ646:AK646"/>
    <mergeCell ref="AL646:AM646"/>
    <mergeCell ref="D644:E644"/>
    <mergeCell ref="F644:G644"/>
    <mergeCell ref="H644:I644"/>
    <mergeCell ref="J644:K644"/>
    <mergeCell ref="L644:M644"/>
    <mergeCell ref="P644:Q644"/>
    <mergeCell ref="AJ643:AK643"/>
    <mergeCell ref="AL643:AM643"/>
    <mergeCell ref="AN643:AO643"/>
    <mergeCell ref="AP643:AQ643"/>
    <mergeCell ref="AR643:AS643"/>
    <mergeCell ref="AT643:AU643"/>
    <mergeCell ref="AV643:AW643"/>
    <mergeCell ref="B645:C645"/>
    <mergeCell ref="D645:E645"/>
    <mergeCell ref="F645:G645"/>
    <mergeCell ref="H645:I645"/>
    <mergeCell ref="J645:K645"/>
    <mergeCell ref="L645:M645"/>
    <mergeCell ref="AH652:AI652"/>
    <mergeCell ref="AX652:AZ652"/>
    <mergeCell ref="BA652:BB652"/>
    <mergeCell ref="BD652:BE652"/>
    <mergeCell ref="BF652:BI652"/>
    <mergeCell ref="BJ652:BM652"/>
    <mergeCell ref="BN652:BV652"/>
    <mergeCell ref="BJ653:BM653"/>
    <mergeCell ref="BN653:BV653"/>
    <mergeCell ref="B652:C652"/>
    <mergeCell ref="D652:E652"/>
    <mergeCell ref="F652:G652"/>
    <mergeCell ref="H652:I652"/>
    <mergeCell ref="J652:K652"/>
    <mergeCell ref="L652:M652"/>
    <mergeCell ref="P652:Q652"/>
    <mergeCell ref="B653:C653"/>
    <mergeCell ref="D653:E653"/>
    <mergeCell ref="F653:G653"/>
    <mergeCell ref="H653:I653"/>
    <mergeCell ref="J653:K653"/>
    <mergeCell ref="L653:M653"/>
    <mergeCell ref="P653:Q653"/>
    <mergeCell ref="AJ652:AK652"/>
    <mergeCell ref="AL652:AM652"/>
    <mergeCell ref="AN652:AO652"/>
    <mergeCell ref="AP652:AQ652"/>
    <mergeCell ref="AR652:AS652"/>
    <mergeCell ref="AT652:AU652"/>
    <mergeCell ref="AV652:AW652"/>
    <mergeCell ref="AJ649:AK649"/>
    <mergeCell ref="AL649:AM649"/>
    <mergeCell ref="R649:S649"/>
    <mergeCell ref="T649:U649"/>
    <mergeCell ref="V649:W649"/>
    <mergeCell ref="X649:AA649"/>
    <mergeCell ref="AB649:AE649"/>
    <mergeCell ref="AF649:AG649"/>
    <mergeCell ref="AH649:AI649"/>
    <mergeCell ref="R650:S650"/>
    <mergeCell ref="T650:U650"/>
    <mergeCell ref="V650:W650"/>
    <mergeCell ref="X650:AA650"/>
    <mergeCell ref="AB650:AE650"/>
    <mergeCell ref="AF650:AG650"/>
    <mergeCell ref="AH650:AI650"/>
    <mergeCell ref="AX650:AZ650"/>
    <mergeCell ref="BA650:BB650"/>
    <mergeCell ref="BD650:BE650"/>
    <mergeCell ref="BF650:BI650"/>
    <mergeCell ref="BJ650:BM650"/>
    <mergeCell ref="BN650:BV650"/>
    <mergeCell ref="BJ651:BM651"/>
    <mergeCell ref="BN651:BV651"/>
    <mergeCell ref="B650:C650"/>
    <mergeCell ref="D650:E650"/>
    <mergeCell ref="F650:G650"/>
    <mergeCell ref="H650:I650"/>
    <mergeCell ref="J650:K650"/>
    <mergeCell ref="L650:M650"/>
    <mergeCell ref="P650:Q650"/>
    <mergeCell ref="B651:C651"/>
    <mergeCell ref="D651:E651"/>
    <mergeCell ref="F651:G651"/>
    <mergeCell ref="AF648:AG648"/>
    <mergeCell ref="AH648:AI648"/>
    <mergeCell ref="B648:C648"/>
    <mergeCell ref="D648:E648"/>
    <mergeCell ref="F648:G648"/>
    <mergeCell ref="H648:I648"/>
    <mergeCell ref="J648:K648"/>
    <mergeCell ref="L648:M648"/>
    <mergeCell ref="P648:Q648"/>
    <mergeCell ref="R647:S647"/>
    <mergeCell ref="T647:U647"/>
    <mergeCell ref="V647:W647"/>
    <mergeCell ref="X647:AA647"/>
    <mergeCell ref="AB647:AE647"/>
    <mergeCell ref="AF647:AG647"/>
    <mergeCell ref="AH647:AI647"/>
    <mergeCell ref="AX647:AZ647"/>
    <mergeCell ref="BA647:BB647"/>
    <mergeCell ref="BD647:BE647"/>
    <mergeCell ref="BF647:BI647"/>
    <mergeCell ref="BJ647:BM647"/>
    <mergeCell ref="BN647:BV647"/>
    <mergeCell ref="AJ647:AK647"/>
    <mergeCell ref="AL647:AM647"/>
    <mergeCell ref="AN647:AO647"/>
    <mergeCell ref="AP647:AQ647"/>
    <mergeCell ref="AR647:AS647"/>
    <mergeCell ref="AT647:AU647"/>
    <mergeCell ref="AV647:AW647"/>
    <mergeCell ref="B647:C647"/>
    <mergeCell ref="D647:E647"/>
    <mergeCell ref="F647:G647"/>
    <mergeCell ref="H647:I647"/>
    <mergeCell ref="J647:K647"/>
    <mergeCell ref="L647:M647"/>
    <mergeCell ref="P647:Q647"/>
    <mergeCell ref="AX648:AZ648"/>
    <mergeCell ref="BA648:BB648"/>
    <mergeCell ref="BD648:BE648"/>
    <mergeCell ref="BF648:BI648"/>
    <mergeCell ref="BJ648:BM648"/>
    <mergeCell ref="BN648:BV648"/>
    <mergeCell ref="BJ649:BM649"/>
    <mergeCell ref="BN649:BV649"/>
    <mergeCell ref="B649:C649"/>
    <mergeCell ref="D649:E649"/>
    <mergeCell ref="F649:G649"/>
    <mergeCell ref="H649:I649"/>
    <mergeCell ref="J649:K649"/>
    <mergeCell ref="L649:M649"/>
    <mergeCell ref="P649:Q649"/>
    <mergeCell ref="AJ648:AK648"/>
    <mergeCell ref="AL648:AM648"/>
    <mergeCell ref="AN648:AO648"/>
    <mergeCell ref="AP648:AQ648"/>
    <mergeCell ref="AR648:AS648"/>
    <mergeCell ref="AT648:AU648"/>
    <mergeCell ref="AV648:AW648"/>
    <mergeCell ref="BD651:BE651"/>
    <mergeCell ref="BF651:BI651"/>
    <mergeCell ref="AN651:AO651"/>
    <mergeCell ref="AP651:AQ651"/>
    <mergeCell ref="AR651:AS651"/>
    <mergeCell ref="AT651:AU651"/>
    <mergeCell ref="AV651:AW651"/>
    <mergeCell ref="AX651:AZ651"/>
    <mergeCell ref="BA651:BB651"/>
    <mergeCell ref="AJ655:AK655"/>
    <mergeCell ref="AL655:AM655"/>
    <mergeCell ref="BJ655:BM655"/>
    <mergeCell ref="BN655:BV655"/>
    <mergeCell ref="R655:S655"/>
    <mergeCell ref="T655:U655"/>
    <mergeCell ref="V655:W655"/>
    <mergeCell ref="X655:AA655"/>
    <mergeCell ref="AB655:AE655"/>
    <mergeCell ref="AF655:AG655"/>
    <mergeCell ref="AH655:AI655"/>
    <mergeCell ref="BF653:BI653"/>
    <mergeCell ref="AN653:AO653"/>
    <mergeCell ref="AP653:AQ653"/>
    <mergeCell ref="AR653:AS653"/>
    <mergeCell ref="AT653:AU653"/>
    <mergeCell ref="AV653:AW653"/>
    <mergeCell ref="AX653:AZ653"/>
    <mergeCell ref="BA653:BB653"/>
    <mergeCell ref="AJ651:AK651"/>
    <mergeCell ref="AL651:AM651"/>
    <mergeCell ref="R651:S651"/>
    <mergeCell ref="T651:U651"/>
    <mergeCell ref="V651:W651"/>
    <mergeCell ref="X651:AA651"/>
    <mergeCell ref="AB651:AE651"/>
    <mergeCell ref="AF651:AG651"/>
    <mergeCell ref="AH651:AI651"/>
    <mergeCell ref="R652:S652"/>
    <mergeCell ref="T652:U652"/>
    <mergeCell ref="V652:W652"/>
    <mergeCell ref="X652:AA652"/>
    <mergeCell ref="AB652:AE652"/>
    <mergeCell ref="AF652:AG652"/>
    <mergeCell ref="R648:S648"/>
    <mergeCell ref="T648:U648"/>
    <mergeCell ref="V648:W648"/>
    <mergeCell ref="X648:AA648"/>
    <mergeCell ref="AB648:AE648"/>
    <mergeCell ref="V826:W826"/>
    <mergeCell ref="X826:AA826"/>
    <mergeCell ref="AB826:AE826"/>
    <mergeCell ref="AF826:AG826"/>
    <mergeCell ref="AH826:AI826"/>
    <mergeCell ref="AJ826:AK826"/>
    <mergeCell ref="AL826:AM826"/>
    <mergeCell ref="BD826:BE826"/>
    <mergeCell ref="BF826:BI826"/>
    <mergeCell ref="BJ826:BM826"/>
    <mergeCell ref="BN826:BV826"/>
    <mergeCell ref="AN826:AO826"/>
    <mergeCell ref="AP826:AQ826"/>
    <mergeCell ref="AR826:AS826"/>
    <mergeCell ref="AT826:AU826"/>
    <mergeCell ref="AV826:AW826"/>
    <mergeCell ref="AX826:AZ826"/>
    <mergeCell ref="BA826:BB826"/>
    <mergeCell ref="B826:C826"/>
    <mergeCell ref="D826:E826"/>
    <mergeCell ref="F826:G826"/>
    <mergeCell ref="H826:I826"/>
    <mergeCell ref="P826:Q826"/>
    <mergeCell ref="R826:S826"/>
    <mergeCell ref="T826:U826"/>
    <mergeCell ref="B827:C827"/>
    <mergeCell ref="D827:E827"/>
    <mergeCell ref="F827:G827"/>
    <mergeCell ref="H827:I827"/>
    <mergeCell ref="J827:K827"/>
    <mergeCell ref="L827:M827"/>
    <mergeCell ref="P827:Q827"/>
    <mergeCell ref="AX827:AZ827"/>
    <mergeCell ref="BA827:BB827"/>
    <mergeCell ref="BD827:BE827"/>
    <mergeCell ref="BF827:BI827"/>
    <mergeCell ref="BJ827:BM827"/>
    <mergeCell ref="BN827:BV827"/>
    <mergeCell ref="AN827:AO827"/>
    <mergeCell ref="AP827:AQ827"/>
    <mergeCell ref="AR827:AS827"/>
    <mergeCell ref="AT827:AU827"/>
    <mergeCell ref="AV827:AW827"/>
    <mergeCell ref="R827:S827"/>
    <mergeCell ref="T827:U827"/>
    <mergeCell ref="V827:W827"/>
    <mergeCell ref="X827:AA827"/>
    <mergeCell ref="AB827:AE827"/>
    <mergeCell ref="AF827:AG827"/>
    <mergeCell ref="AH827:AI827"/>
    <mergeCell ref="AJ827:AK827"/>
    <mergeCell ref="AL827:AM827"/>
    <mergeCell ref="V828:W828"/>
    <mergeCell ref="X828:AA828"/>
    <mergeCell ref="AB828:AE828"/>
    <mergeCell ref="AF828:AG828"/>
    <mergeCell ref="AH828:AI828"/>
    <mergeCell ref="AJ828:AK828"/>
    <mergeCell ref="AL828:AM828"/>
    <mergeCell ref="BD828:BE828"/>
    <mergeCell ref="BF828:BI828"/>
    <mergeCell ref="BJ828:BM828"/>
    <mergeCell ref="BN828:BV828"/>
    <mergeCell ref="AN828:AO828"/>
    <mergeCell ref="AP828:AQ828"/>
    <mergeCell ref="AR828:AS828"/>
    <mergeCell ref="AT828:AU828"/>
    <mergeCell ref="AV828:AW828"/>
    <mergeCell ref="AX828:AZ828"/>
    <mergeCell ref="BA828:BB828"/>
    <mergeCell ref="B828:C828"/>
    <mergeCell ref="D828:E828"/>
    <mergeCell ref="F828:G828"/>
    <mergeCell ref="H828:I828"/>
    <mergeCell ref="P828:Q828"/>
    <mergeCell ref="R828:S828"/>
    <mergeCell ref="T828:U828"/>
    <mergeCell ref="B829:C829"/>
    <mergeCell ref="D829:E829"/>
    <mergeCell ref="F829:G829"/>
    <mergeCell ref="H829:I829"/>
    <mergeCell ref="J829:K829"/>
    <mergeCell ref="L829:M829"/>
    <mergeCell ref="P829:Q829"/>
    <mergeCell ref="AX829:AZ829"/>
    <mergeCell ref="BA829:BB829"/>
    <mergeCell ref="BD829:BE829"/>
    <mergeCell ref="BF829:BI829"/>
    <mergeCell ref="BJ829:BM829"/>
    <mergeCell ref="BN829:BV829"/>
    <mergeCell ref="AN829:AO829"/>
    <mergeCell ref="AP829:AQ829"/>
    <mergeCell ref="AR829:AS829"/>
    <mergeCell ref="AT829:AU829"/>
    <mergeCell ref="AV829:AW829"/>
    <mergeCell ref="R829:S829"/>
    <mergeCell ref="T829:U829"/>
    <mergeCell ref="V829:W829"/>
    <mergeCell ref="X829:AA829"/>
    <mergeCell ref="AB829:AE829"/>
    <mergeCell ref="AF829:AG829"/>
    <mergeCell ref="AH829:AI829"/>
    <mergeCell ref="AJ829:AK829"/>
    <mergeCell ref="AL829:AM829"/>
    <mergeCell ref="V830:W830"/>
    <mergeCell ref="X830:AA830"/>
    <mergeCell ref="AB830:AE830"/>
    <mergeCell ref="AF830:AG830"/>
    <mergeCell ref="AH830:AI830"/>
    <mergeCell ref="AJ830:AK830"/>
    <mergeCell ref="AL830:AM830"/>
    <mergeCell ref="BD830:BE830"/>
    <mergeCell ref="BF830:BI830"/>
    <mergeCell ref="BJ830:BM830"/>
    <mergeCell ref="BN830:BV830"/>
    <mergeCell ref="AN830:AO830"/>
    <mergeCell ref="AP830:AQ830"/>
    <mergeCell ref="AR830:AS830"/>
    <mergeCell ref="AT830:AU830"/>
    <mergeCell ref="AV830:AW830"/>
    <mergeCell ref="AX830:AZ830"/>
    <mergeCell ref="BA830:BB830"/>
    <mergeCell ref="B830:C830"/>
    <mergeCell ref="D830:E830"/>
    <mergeCell ref="F830:G830"/>
    <mergeCell ref="H830:I830"/>
    <mergeCell ref="P830:Q830"/>
    <mergeCell ref="R830:S830"/>
    <mergeCell ref="T830:U830"/>
    <mergeCell ref="B831:C831"/>
    <mergeCell ref="D831:E831"/>
    <mergeCell ref="F831:G831"/>
    <mergeCell ref="H831:I831"/>
    <mergeCell ref="J831:K831"/>
    <mergeCell ref="L831:M831"/>
    <mergeCell ref="P831:Q831"/>
    <mergeCell ref="AX831:AZ831"/>
    <mergeCell ref="BA831:BB831"/>
    <mergeCell ref="BD831:BE831"/>
    <mergeCell ref="BF831:BI831"/>
    <mergeCell ref="BJ831:BM831"/>
    <mergeCell ref="BN831:BV831"/>
    <mergeCell ref="AN831:AO831"/>
    <mergeCell ref="AP831:AQ831"/>
    <mergeCell ref="AR831:AS831"/>
    <mergeCell ref="AT831:AU831"/>
    <mergeCell ref="AV831:AW831"/>
    <mergeCell ref="R831:S831"/>
    <mergeCell ref="T831:U831"/>
    <mergeCell ref="V831:W831"/>
    <mergeCell ref="X831:AA831"/>
    <mergeCell ref="AB831:AE831"/>
    <mergeCell ref="AF831:AG831"/>
    <mergeCell ref="AH831:AI831"/>
    <mergeCell ref="AJ831:AK831"/>
    <mergeCell ref="AL831:AM831"/>
    <mergeCell ref="V832:W832"/>
    <mergeCell ref="X832:AA832"/>
    <mergeCell ref="AB832:AE832"/>
    <mergeCell ref="AF832:AG832"/>
    <mergeCell ref="AH832:AI832"/>
    <mergeCell ref="AJ832:AK832"/>
    <mergeCell ref="AL832:AM832"/>
    <mergeCell ref="BD832:BE832"/>
    <mergeCell ref="BF832:BI832"/>
    <mergeCell ref="BJ832:BM832"/>
    <mergeCell ref="BN832:BV832"/>
    <mergeCell ref="AN832:AO832"/>
    <mergeCell ref="AP832:AQ832"/>
    <mergeCell ref="AR832:AS832"/>
    <mergeCell ref="AT832:AU832"/>
    <mergeCell ref="AV832:AW832"/>
    <mergeCell ref="AX832:AZ832"/>
    <mergeCell ref="BA832:BB832"/>
    <mergeCell ref="B832:C832"/>
    <mergeCell ref="D832:E832"/>
    <mergeCell ref="F832:G832"/>
    <mergeCell ref="H832:I832"/>
    <mergeCell ref="P832:Q832"/>
    <mergeCell ref="R832:S832"/>
    <mergeCell ref="T832:U832"/>
    <mergeCell ref="B833:C833"/>
    <mergeCell ref="D833:E833"/>
    <mergeCell ref="F833:G833"/>
    <mergeCell ref="H833:I833"/>
    <mergeCell ref="J833:K833"/>
    <mergeCell ref="L833:M833"/>
    <mergeCell ref="P833:Q833"/>
    <mergeCell ref="AX833:AZ833"/>
    <mergeCell ref="BA833:BB833"/>
    <mergeCell ref="BD833:BE833"/>
    <mergeCell ref="BF833:BI833"/>
    <mergeCell ref="BJ833:BM833"/>
    <mergeCell ref="BN833:BV833"/>
    <mergeCell ref="AN833:AO833"/>
    <mergeCell ref="AP833:AQ833"/>
    <mergeCell ref="AR833:AS833"/>
    <mergeCell ref="AT833:AU833"/>
    <mergeCell ref="AV833:AW833"/>
    <mergeCell ref="R833:S833"/>
    <mergeCell ref="T833:U833"/>
    <mergeCell ref="V833:W833"/>
    <mergeCell ref="X833:AA833"/>
    <mergeCell ref="AB833:AE833"/>
    <mergeCell ref="AF833:AG833"/>
    <mergeCell ref="AH833:AI833"/>
    <mergeCell ref="AJ833:AK833"/>
    <mergeCell ref="AL833:AM833"/>
    <mergeCell ref="V834:W834"/>
    <mergeCell ref="X834:AA834"/>
    <mergeCell ref="AB834:AE834"/>
    <mergeCell ref="AF834:AG834"/>
    <mergeCell ref="AH834:AI834"/>
    <mergeCell ref="AJ834:AK834"/>
    <mergeCell ref="AL834:AM834"/>
    <mergeCell ref="BD834:BE834"/>
    <mergeCell ref="BF834:BI834"/>
    <mergeCell ref="BJ834:BM834"/>
    <mergeCell ref="BN834:BV834"/>
    <mergeCell ref="AN834:AO834"/>
    <mergeCell ref="AP834:AQ834"/>
    <mergeCell ref="AR834:AS834"/>
    <mergeCell ref="AT834:AU834"/>
    <mergeCell ref="AV834:AW834"/>
    <mergeCell ref="AX834:AZ834"/>
    <mergeCell ref="BA834:BB834"/>
    <mergeCell ref="B834:C834"/>
    <mergeCell ref="D834:E834"/>
    <mergeCell ref="F834:G834"/>
    <mergeCell ref="H834:I834"/>
    <mergeCell ref="P834:Q834"/>
    <mergeCell ref="R834:S834"/>
    <mergeCell ref="T834:U834"/>
    <mergeCell ref="B835:C835"/>
    <mergeCell ref="D835:E835"/>
    <mergeCell ref="F835:G835"/>
    <mergeCell ref="H835:I835"/>
    <mergeCell ref="J835:K835"/>
    <mergeCell ref="L835:M835"/>
    <mergeCell ref="P835:Q835"/>
    <mergeCell ref="AX835:AZ835"/>
    <mergeCell ref="BA835:BB835"/>
    <mergeCell ref="BD835:BE835"/>
    <mergeCell ref="BF835:BI835"/>
    <mergeCell ref="BJ835:BM835"/>
    <mergeCell ref="BN835:BV835"/>
    <mergeCell ref="AN835:AO835"/>
    <mergeCell ref="AP835:AQ835"/>
    <mergeCell ref="AR835:AS835"/>
    <mergeCell ref="AT835:AU835"/>
    <mergeCell ref="AV835:AW835"/>
    <mergeCell ref="R835:S835"/>
    <mergeCell ref="T835:U835"/>
    <mergeCell ref="V835:W835"/>
    <mergeCell ref="X835:AA835"/>
    <mergeCell ref="AB835:AE835"/>
    <mergeCell ref="AF835:AG835"/>
    <mergeCell ref="AH835:AI835"/>
    <mergeCell ref="AJ835:AK835"/>
    <mergeCell ref="AL835:AM835"/>
    <mergeCell ref="V836:W836"/>
    <mergeCell ref="X836:AA836"/>
    <mergeCell ref="AB836:AE836"/>
    <mergeCell ref="AF836:AG836"/>
    <mergeCell ref="AH836:AI836"/>
    <mergeCell ref="AJ836:AK836"/>
    <mergeCell ref="AL836:AM836"/>
    <mergeCell ref="BD836:BE836"/>
    <mergeCell ref="BF836:BI836"/>
    <mergeCell ref="BJ836:BM836"/>
    <mergeCell ref="BN836:BV836"/>
    <mergeCell ref="AN836:AO836"/>
    <mergeCell ref="AP836:AQ836"/>
    <mergeCell ref="AR836:AS836"/>
    <mergeCell ref="AT836:AU836"/>
    <mergeCell ref="AV836:AW836"/>
    <mergeCell ref="AX836:AZ836"/>
    <mergeCell ref="BA836:BB836"/>
    <mergeCell ref="B836:C836"/>
    <mergeCell ref="D836:E836"/>
    <mergeCell ref="F836:G836"/>
    <mergeCell ref="H836:I836"/>
    <mergeCell ref="P836:Q836"/>
    <mergeCell ref="R836:S836"/>
    <mergeCell ref="T836:U836"/>
    <mergeCell ref="B837:C837"/>
    <mergeCell ref="D837:E837"/>
    <mergeCell ref="F837:G837"/>
    <mergeCell ref="H837:I837"/>
    <mergeCell ref="J837:K837"/>
    <mergeCell ref="L837:M837"/>
    <mergeCell ref="P837:Q837"/>
    <mergeCell ref="AX837:AZ837"/>
    <mergeCell ref="BA837:BB837"/>
    <mergeCell ref="BD837:BE837"/>
    <mergeCell ref="BF837:BI837"/>
    <mergeCell ref="BJ837:BM837"/>
    <mergeCell ref="BN837:BV837"/>
    <mergeCell ref="AN837:AO837"/>
    <mergeCell ref="AP837:AQ837"/>
    <mergeCell ref="AR837:AS837"/>
    <mergeCell ref="AT837:AU837"/>
    <mergeCell ref="AV837:AW837"/>
    <mergeCell ref="R837:S837"/>
    <mergeCell ref="T837:U837"/>
    <mergeCell ref="V837:W837"/>
    <mergeCell ref="X837:AA837"/>
    <mergeCell ref="AB837:AE837"/>
    <mergeCell ref="AF837:AG837"/>
    <mergeCell ref="AH837:AI837"/>
    <mergeCell ref="AJ837:AK837"/>
    <mergeCell ref="AL837:AM837"/>
    <mergeCell ref="V838:W838"/>
    <mergeCell ref="X838:AA838"/>
    <mergeCell ref="AB838:AE838"/>
    <mergeCell ref="AF838:AG838"/>
    <mergeCell ref="AH838:AI838"/>
    <mergeCell ref="AJ838:AK838"/>
    <mergeCell ref="AL838:AM838"/>
    <mergeCell ref="BD838:BE838"/>
    <mergeCell ref="BF838:BI838"/>
    <mergeCell ref="BJ838:BM838"/>
    <mergeCell ref="BN838:BV838"/>
    <mergeCell ref="AN838:AO838"/>
    <mergeCell ref="AP838:AQ838"/>
    <mergeCell ref="AR838:AS838"/>
    <mergeCell ref="AT838:AU838"/>
    <mergeCell ref="AV838:AW838"/>
    <mergeCell ref="AX838:AZ838"/>
    <mergeCell ref="BA838:BB838"/>
    <mergeCell ref="B838:C838"/>
    <mergeCell ref="D838:E838"/>
    <mergeCell ref="F838:G838"/>
    <mergeCell ref="H838:I838"/>
    <mergeCell ref="P838:Q838"/>
    <mergeCell ref="R838:S838"/>
    <mergeCell ref="T838:U838"/>
    <mergeCell ref="B839:C839"/>
    <mergeCell ref="D839:E839"/>
    <mergeCell ref="F839:G839"/>
    <mergeCell ref="H839:I839"/>
    <mergeCell ref="J839:K839"/>
    <mergeCell ref="L839:M839"/>
    <mergeCell ref="P839:Q839"/>
    <mergeCell ref="AX839:AZ839"/>
    <mergeCell ref="BA839:BB839"/>
    <mergeCell ref="BD839:BE839"/>
    <mergeCell ref="BF839:BI839"/>
    <mergeCell ref="BJ839:BM839"/>
    <mergeCell ref="BN839:BV839"/>
    <mergeCell ref="AN839:AO839"/>
    <mergeCell ref="AP839:AQ839"/>
    <mergeCell ref="AR839:AS839"/>
    <mergeCell ref="AT839:AU839"/>
    <mergeCell ref="AV839:AW839"/>
    <mergeCell ref="R839:S839"/>
    <mergeCell ref="T839:U839"/>
    <mergeCell ref="V839:W839"/>
    <mergeCell ref="X839:AA839"/>
    <mergeCell ref="AB839:AE839"/>
    <mergeCell ref="AF839:AG839"/>
    <mergeCell ref="AH839:AI839"/>
    <mergeCell ref="AJ839:AK839"/>
    <mergeCell ref="AL839:AM839"/>
    <mergeCell ref="V840:W840"/>
    <mergeCell ref="X840:AA840"/>
    <mergeCell ref="AB840:AE840"/>
    <mergeCell ref="AF840:AG840"/>
    <mergeCell ref="AH840:AI840"/>
    <mergeCell ref="AJ840:AK840"/>
    <mergeCell ref="AL840:AM840"/>
    <mergeCell ref="BD840:BE840"/>
    <mergeCell ref="BF840:BI840"/>
    <mergeCell ref="BJ840:BM840"/>
    <mergeCell ref="BN840:BV840"/>
    <mergeCell ref="AN840:AO840"/>
    <mergeCell ref="AP840:AQ840"/>
    <mergeCell ref="AR840:AS840"/>
    <mergeCell ref="AT840:AU840"/>
    <mergeCell ref="AV840:AW840"/>
    <mergeCell ref="AX840:AZ840"/>
    <mergeCell ref="BA840:BB840"/>
    <mergeCell ref="B840:C840"/>
    <mergeCell ref="D840:E840"/>
    <mergeCell ref="F840:G840"/>
    <mergeCell ref="H840:I840"/>
    <mergeCell ref="P840:Q840"/>
    <mergeCell ref="R840:S840"/>
    <mergeCell ref="T840:U840"/>
    <mergeCell ref="B841:C841"/>
    <mergeCell ref="D841:E841"/>
    <mergeCell ref="F841:G841"/>
    <mergeCell ref="H841:I841"/>
    <mergeCell ref="J841:K841"/>
    <mergeCell ref="L841:M841"/>
    <mergeCell ref="P841:Q841"/>
    <mergeCell ref="AX841:AZ841"/>
    <mergeCell ref="BA841:BB841"/>
    <mergeCell ref="BD841:BE841"/>
    <mergeCell ref="BF841:BI841"/>
    <mergeCell ref="BJ841:BM841"/>
    <mergeCell ref="BN841:BV841"/>
    <mergeCell ref="AN841:AO841"/>
    <mergeCell ref="AP841:AQ841"/>
    <mergeCell ref="AR841:AS841"/>
    <mergeCell ref="AT841:AU841"/>
    <mergeCell ref="AV841:AW841"/>
    <mergeCell ref="R841:S841"/>
    <mergeCell ref="T841:U841"/>
    <mergeCell ref="V841:W841"/>
    <mergeCell ref="X841:AA841"/>
    <mergeCell ref="AB841:AE841"/>
    <mergeCell ref="AF841:AG841"/>
    <mergeCell ref="AH841:AI841"/>
    <mergeCell ref="AJ841:AK841"/>
    <mergeCell ref="AL841:AM841"/>
    <mergeCell ref="V842:W842"/>
    <mergeCell ref="X842:AA842"/>
    <mergeCell ref="AB842:AE842"/>
    <mergeCell ref="AF842:AG842"/>
    <mergeCell ref="AH842:AI842"/>
    <mergeCell ref="AJ842:AK842"/>
    <mergeCell ref="AL842:AM842"/>
    <mergeCell ref="BD842:BE842"/>
    <mergeCell ref="BF842:BI842"/>
    <mergeCell ref="BJ842:BM842"/>
    <mergeCell ref="BN842:BV842"/>
    <mergeCell ref="AN842:AO842"/>
    <mergeCell ref="AP842:AQ842"/>
    <mergeCell ref="AR842:AS842"/>
    <mergeCell ref="AT842:AU842"/>
    <mergeCell ref="AV842:AW842"/>
    <mergeCell ref="AX842:AZ842"/>
    <mergeCell ref="BA842:BB842"/>
    <mergeCell ref="B842:C842"/>
    <mergeCell ref="D842:E842"/>
    <mergeCell ref="F842:G842"/>
    <mergeCell ref="H842:I842"/>
    <mergeCell ref="P842:Q842"/>
    <mergeCell ref="R842:S842"/>
    <mergeCell ref="T842:U842"/>
    <mergeCell ref="B843:C843"/>
    <mergeCell ref="D843:E843"/>
    <mergeCell ref="F843:G843"/>
    <mergeCell ref="H843:I843"/>
    <mergeCell ref="J843:K843"/>
    <mergeCell ref="L843:M843"/>
    <mergeCell ref="P843:Q843"/>
    <mergeCell ref="AX843:AZ843"/>
    <mergeCell ref="BA843:BB843"/>
    <mergeCell ref="BD843:BE843"/>
    <mergeCell ref="BF843:BI843"/>
    <mergeCell ref="BJ843:BM843"/>
    <mergeCell ref="BN843:BV843"/>
    <mergeCell ref="AN843:AO843"/>
    <mergeCell ref="AP843:AQ843"/>
    <mergeCell ref="AR843:AS843"/>
    <mergeCell ref="AT843:AU843"/>
    <mergeCell ref="AV843:AW843"/>
    <mergeCell ref="R843:S843"/>
    <mergeCell ref="T843:U843"/>
    <mergeCell ref="V843:W843"/>
    <mergeCell ref="X843:AA843"/>
    <mergeCell ref="AB843:AE843"/>
    <mergeCell ref="AF843:AG843"/>
    <mergeCell ref="AH843:AI843"/>
    <mergeCell ref="AJ843:AK843"/>
    <mergeCell ref="AL843:AM843"/>
    <mergeCell ref="V844:W844"/>
    <mergeCell ref="X844:AA844"/>
    <mergeCell ref="AB844:AE844"/>
    <mergeCell ref="AF844:AG844"/>
    <mergeCell ref="AH844:AI844"/>
    <mergeCell ref="AJ844:AK844"/>
    <mergeCell ref="AL844:AM844"/>
    <mergeCell ref="BD844:BE844"/>
    <mergeCell ref="BF844:BI844"/>
    <mergeCell ref="BJ844:BM844"/>
    <mergeCell ref="BN844:BV844"/>
    <mergeCell ref="AN844:AO844"/>
    <mergeCell ref="AP844:AQ844"/>
    <mergeCell ref="AR844:AS844"/>
    <mergeCell ref="AT844:AU844"/>
    <mergeCell ref="AV844:AW844"/>
    <mergeCell ref="AX844:AZ844"/>
    <mergeCell ref="BA844:BB844"/>
    <mergeCell ref="B844:C844"/>
    <mergeCell ref="D844:E844"/>
    <mergeCell ref="F844:G844"/>
    <mergeCell ref="H844:I844"/>
    <mergeCell ref="P844:Q844"/>
    <mergeCell ref="R844:S844"/>
    <mergeCell ref="T844:U844"/>
    <mergeCell ref="B845:C845"/>
    <mergeCell ref="D845:E845"/>
    <mergeCell ref="F845:G845"/>
    <mergeCell ref="H845:I845"/>
    <mergeCell ref="J845:K845"/>
    <mergeCell ref="L845:M845"/>
    <mergeCell ref="P845:Q845"/>
    <mergeCell ref="AX845:AZ845"/>
    <mergeCell ref="BA845:BB845"/>
    <mergeCell ref="BD845:BE845"/>
    <mergeCell ref="BF845:BI845"/>
    <mergeCell ref="BJ845:BM845"/>
    <mergeCell ref="BN845:BV845"/>
    <mergeCell ref="AN845:AO845"/>
    <mergeCell ref="AP845:AQ845"/>
    <mergeCell ref="AR845:AS845"/>
    <mergeCell ref="AT845:AU845"/>
    <mergeCell ref="AV845:AW845"/>
    <mergeCell ref="R845:S845"/>
    <mergeCell ref="T845:U845"/>
    <mergeCell ref="V845:W845"/>
    <mergeCell ref="X845:AA845"/>
    <mergeCell ref="AB845:AE845"/>
    <mergeCell ref="AF845:AG845"/>
    <mergeCell ref="AH845:AI845"/>
    <mergeCell ref="AJ845:AK845"/>
    <mergeCell ref="AL845:AM845"/>
    <mergeCell ref="V846:W846"/>
    <mergeCell ref="X846:AA846"/>
    <mergeCell ref="AB846:AE846"/>
    <mergeCell ref="AF846:AG846"/>
    <mergeCell ref="AH846:AI846"/>
    <mergeCell ref="AJ846:AK846"/>
    <mergeCell ref="AL846:AM846"/>
    <mergeCell ref="BD846:BE846"/>
    <mergeCell ref="BF846:BI846"/>
    <mergeCell ref="BJ846:BM846"/>
    <mergeCell ref="BN846:BV846"/>
    <mergeCell ref="AN846:AO846"/>
    <mergeCell ref="AP846:AQ846"/>
    <mergeCell ref="AR846:AS846"/>
    <mergeCell ref="AT846:AU846"/>
    <mergeCell ref="AV846:AW846"/>
    <mergeCell ref="AX846:AZ846"/>
    <mergeCell ref="BA846:BB846"/>
    <mergeCell ref="B846:C846"/>
    <mergeCell ref="D846:E846"/>
    <mergeCell ref="F846:G846"/>
    <mergeCell ref="H846:I846"/>
    <mergeCell ref="P846:Q846"/>
    <mergeCell ref="R846:S846"/>
    <mergeCell ref="T846:U846"/>
    <mergeCell ref="B847:C847"/>
    <mergeCell ref="D847:E847"/>
    <mergeCell ref="F847:G847"/>
    <mergeCell ref="H847:I847"/>
    <mergeCell ref="J847:K847"/>
    <mergeCell ref="L847:M847"/>
    <mergeCell ref="P847:Q847"/>
    <mergeCell ref="AX847:AZ847"/>
    <mergeCell ref="BA847:BB847"/>
    <mergeCell ref="BD847:BE847"/>
    <mergeCell ref="BF847:BI847"/>
    <mergeCell ref="BJ847:BM847"/>
    <mergeCell ref="BN847:BV847"/>
    <mergeCell ref="AN847:AO847"/>
    <mergeCell ref="AP847:AQ847"/>
    <mergeCell ref="AR847:AS847"/>
    <mergeCell ref="AT847:AU847"/>
    <mergeCell ref="AV847:AW847"/>
    <mergeCell ref="R847:S847"/>
    <mergeCell ref="T847:U847"/>
    <mergeCell ref="V847:W847"/>
    <mergeCell ref="X847:AA847"/>
    <mergeCell ref="AB847:AE847"/>
    <mergeCell ref="AF847:AG847"/>
    <mergeCell ref="AH847:AI847"/>
    <mergeCell ref="AJ847:AK847"/>
    <mergeCell ref="AL847:AM847"/>
    <mergeCell ref="V848:W848"/>
    <mergeCell ref="X848:AA848"/>
    <mergeCell ref="AB848:AE848"/>
    <mergeCell ref="AF848:AG848"/>
    <mergeCell ref="AH848:AI848"/>
    <mergeCell ref="AJ848:AK848"/>
    <mergeCell ref="AL848:AM848"/>
    <mergeCell ref="BD848:BE848"/>
    <mergeCell ref="BF848:BI848"/>
    <mergeCell ref="BJ848:BM848"/>
    <mergeCell ref="BN848:BV848"/>
    <mergeCell ref="AN848:AO848"/>
    <mergeCell ref="AP848:AQ848"/>
    <mergeCell ref="AR848:AS848"/>
    <mergeCell ref="AT848:AU848"/>
    <mergeCell ref="AV848:AW848"/>
    <mergeCell ref="AX848:AZ848"/>
    <mergeCell ref="BA848:BB848"/>
    <mergeCell ref="B848:C848"/>
    <mergeCell ref="D848:E848"/>
    <mergeCell ref="F848:G848"/>
    <mergeCell ref="H848:I848"/>
    <mergeCell ref="P848:Q848"/>
    <mergeCell ref="R848:S848"/>
    <mergeCell ref="T848:U848"/>
    <mergeCell ref="B849:C849"/>
    <mergeCell ref="D849:E849"/>
    <mergeCell ref="F849:G849"/>
    <mergeCell ref="H849:I849"/>
    <mergeCell ref="J849:K849"/>
    <mergeCell ref="L849:M849"/>
    <mergeCell ref="P849:Q849"/>
    <mergeCell ref="AX849:AZ849"/>
    <mergeCell ref="BA849:BB849"/>
    <mergeCell ref="BD849:BE849"/>
    <mergeCell ref="BF849:BI849"/>
    <mergeCell ref="BJ849:BM849"/>
    <mergeCell ref="BN849:BV849"/>
    <mergeCell ref="AN849:AO849"/>
    <mergeCell ref="AP849:AQ849"/>
    <mergeCell ref="AR849:AS849"/>
    <mergeCell ref="AT849:AU849"/>
    <mergeCell ref="AV849:AW849"/>
    <mergeCell ref="R849:S849"/>
    <mergeCell ref="T849:U849"/>
    <mergeCell ref="V849:W849"/>
    <mergeCell ref="X849:AA849"/>
    <mergeCell ref="AB849:AE849"/>
    <mergeCell ref="AF849:AG849"/>
    <mergeCell ref="AH849:AI849"/>
    <mergeCell ref="AJ849:AK849"/>
    <mergeCell ref="AL849:AM849"/>
    <mergeCell ref="V850:W850"/>
    <mergeCell ref="X850:AA850"/>
    <mergeCell ref="AB850:AE850"/>
    <mergeCell ref="AF850:AG850"/>
    <mergeCell ref="AH850:AI850"/>
    <mergeCell ref="AJ850:AK850"/>
    <mergeCell ref="AL850:AM850"/>
    <mergeCell ref="BD850:BE850"/>
    <mergeCell ref="BF850:BI850"/>
    <mergeCell ref="BJ850:BM850"/>
    <mergeCell ref="BN850:BV850"/>
    <mergeCell ref="AN850:AO850"/>
    <mergeCell ref="AP850:AQ850"/>
    <mergeCell ref="AR850:AS850"/>
    <mergeCell ref="AT850:AU850"/>
    <mergeCell ref="AV850:AW850"/>
    <mergeCell ref="AX850:AZ850"/>
    <mergeCell ref="BA850:BB850"/>
    <mergeCell ref="B850:C850"/>
    <mergeCell ref="D850:E850"/>
    <mergeCell ref="F850:G850"/>
    <mergeCell ref="H850:I850"/>
    <mergeCell ref="P850:Q850"/>
    <mergeCell ref="R850:S850"/>
    <mergeCell ref="T850:U850"/>
    <mergeCell ref="B851:C851"/>
    <mergeCell ref="D851:E851"/>
    <mergeCell ref="F851:G851"/>
    <mergeCell ref="H851:I851"/>
    <mergeCell ref="J851:K851"/>
    <mergeCell ref="L851:M851"/>
    <mergeCell ref="P851:Q851"/>
    <mergeCell ref="AX851:AZ851"/>
    <mergeCell ref="BA851:BB851"/>
    <mergeCell ref="BD851:BE851"/>
    <mergeCell ref="BF851:BI851"/>
    <mergeCell ref="BJ851:BM851"/>
    <mergeCell ref="BN851:BV851"/>
    <mergeCell ref="AN851:AO851"/>
    <mergeCell ref="AP851:AQ851"/>
    <mergeCell ref="AR851:AS851"/>
    <mergeCell ref="AT851:AU851"/>
    <mergeCell ref="AV851:AW851"/>
    <mergeCell ref="R851:S851"/>
    <mergeCell ref="T851:U851"/>
    <mergeCell ref="V851:W851"/>
    <mergeCell ref="X851:AA851"/>
    <mergeCell ref="AB851:AE851"/>
    <mergeCell ref="AF851:AG851"/>
    <mergeCell ref="AH851:AI851"/>
    <mergeCell ref="AJ851:AK851"/>
    <mergeCell ref="AL851:AM851"/>
    <mergeCell ref="V852:W852"/>
    <mergeCell ref="X852:AA852"/>
    <mergeCell ref="AB852:AE852"/>
    <mergeCell ref="AF852:AG852"/>
    <mergeCell ref="AH852:AI852"/>
    <mergeCell ref="AJ852:AK852"/>
    <mergeCell ref="AL852:AM852"/>
    <mergeCell ref="BD852:BE852"/>
    <mergeCell ref="BF852:BI852"/>
    <mergeCell ref="BJ852:BM852"/>
    <mergeCell ref="BN852:BV852"/>
    <mergeCell ref="AN852:AO852"/>
    <mergeCell ref="AP852:AQ852"/>
    <mergeCell ref="AR852:AS852"/>
    <mergeCell ref="AT852:AU852"/>
    <mergeCell ref="AV852:AW852"/>
    <mergeCell ref="AX852:AZ852"/>
    <mergeCell ref="BA852:BB852"/>
    <mergeCell ref="B852:C852"/>
    <mergeCell ref="D852:E852"/>
    <mergeCell ref="F852:G852"/>
    <mergeCell ref="H852:I852"/>
    <mergeCell ref="P852:Q852"/>
    <mergeCell ref="R852:S852"/>
    <mergeCell ref="T852:U852"/>
    <mergeCell ref="B853:C853"/>
    <mergeCell ref="D853:E853"/>
    <mergeCell ref="F853:G853"/>
    <mergeCell ref="H853:I853"/>
    <mergeCell ref="J853:K853"/>
    <mergeCell ref="L853:M853"/>
    <mergeCell ref="P853:Q853"/>
    <mergeCell ref="AX853:AZ853"/>
    <mergeCell ref="BA853:BB853"/>
    <mergeCell ref="BD853:BE853"/>
    <mergeCell ref="BF853:BI853"/>
    <mergeCell ref="BJ853:BM853"/>
    <mergeCell ref="BN853:BV853"/>
    <mergeCell ref="AN853:AO853"/>
    <mergeCell ref="AP853:AQ853"/>
    <mergeCell ref="AR853:AS853"/>
    <mergeCell ref="AT853:AU853"/>
    <mergeCell ref="AV853:AW853"/>
    <mergeCell ref="AJ959:AK959"/>
    <mergeCell ref="AL959:AM959"/>
    <mergeCell ref="R959:S959"/>
    <mergeCell ref="T959:U959"/>
    <mergeCell ref="V959:W959"/>
    <mergeCell ref="X959:AA959"/>
    <mergeCell ref="AB959:AE959"/>
    <mergeCell ref="AF959:AG959"/>
    <mergeCell ref="AH959:AI959"/>
    <mergeCell ref="R960:S960"/>
    <mergeCell ref="T960:U960"/>
    <mergeCell ref="V960:W960"/>
    <mergeCell ref="X960:AA960"/>
    <mergeCell ref="AB960:AE960"/>
    <mergeCell ref="AF960:AG960"/>
    <mergeCell ref="AH960:AI960"/>
    <mergeCell ref="AX960:AZ960"/>
    <mergeCell ref="BA960:BB960"/>
    <mergeCell ref="BD960:BE960"/>
    <mergeCell ref="BF960:BI960"/>
    <mergeCell ref="BJ960:BM960"/>
    <mergeCell ref="BN960:BV960"/>
    <mergeCell ref="BJ961:BM961"/>
    <mergeCell ref="BN961:BV961"/>
    <mergeCell ref="B960:C960"/>
    <mergeCell ref="D960:E960"/>
    <mergeCell ref="F960:G960"/>
    <mergeCell ref="H960:I960"/>
    <mergeCell ref="J960:K960"/>
    <mergeCell ref="L960:M960"/>
    <mergeCell ref="P960:Q960"/>
    <mergeCell ref="B961:C961"/>
    <mergeCell ref="D961:E961"/>
    <mergeCell ref="F961:G961"/>
    <mergeCell ref="H961:I961"/>
    <mergeCell ref="J961:K961"/>
    <mergeCell ref="L961:M961"/>
    <mergeCell ref="P961:Q961"/>
    <mergeCell ref="AJ960:AK960"/>
    <mergeCell ref="AL960:AM960"/>
    <mergeCell ref="AN960:AO960"/>
    <mergeCell ref="AP960:AQ960"/>
    <mergeCell ref="AR960:AS960"/>
    <mergeCell ref="AT960:AU960"/>
    <mergeCell ref="AV960:AW960"/>
    <mergeCell ref="AJ961:AK961"/>
    <mergeCell ref="AL961:AM961"/>
    <mergeCell ref="R961:S961"/>
    <mergeCell ref="T961:U961"/>
    <mergeCell ref="V961:W961"/>
    <mergeCell ref="X961:AA961"/>
    <mergeCell ref="AB961:AE961"/>
    <mergeCell ref="AF961:AG961"/>
    <mergeCell ref="AH961:AI961"/>
    <mergeCell ref="BD959:BE959"/>
    <mergeCell ref="BF959:BI959"/>
    <mergeCell ref="AN959:AO959"/>
    <mergeCell ref="AP959:AQ959"/>
    <mergeCell ref="AR959:AS959"/>
    <mergeCell ref="AT959:AU959"/>
    <mergeCell ref="AV959:AW959"/>
    <mergeCell ref="AX959:AZ959"/>
    <mergeCell ref="BA959:BB959"/>
    <mergeCell ref="R962:S962"/>
    <mergeCell ref="T962:U962"/>
    <mergeCell ref="V962:W962"/>
    <mergeCell ref="X962:AA962"/>
    <mergeCell ref="AB962:AE962"/>
    <mergeCell ref="AF962:AG962"/>
    <mergeCell ref="AH962:AI962"/>
    <mergeCell ref="AX962:AZ962"/>
    <mergeCell ref="BA962:BB962"/>
    <mergeCell ref="BD962:BE962"/>
    <mergeCell ref="BF962:BI962"/>
    <mergeCell ref="BJ962:BM962"/>
    <mergeCell ref="BN962:BV962"/>
    <mergeCell ref="BJ963:BM963"/>
    <mergeCell ref="BN963:BV963"/>
    <mergeCell ref="B962:C962"/>
    <mergeCell ref="D962:E962"/>
    <mergeCell ref="F962:G962"/>
    <mergeCell ref="H962:I962"/>
    <mergeCell ref="J962:K962"/>
    <mergeCell ref="L962:M962"/>
    <mergeCell ref="P962:Q962"/>
    <mergeCell ref="B963:C963"/>
    <mergeCell ref="D963:E963"/>
    <mergeCell ref="F963:G963"/>
    <mergeCell ref="H963:I963"/>
    <mergeCell ref="J963:K963"/>
    <mergeCell ref="L963:M963"/>
    <mergeCell ref="P963:Q963"/>
    <mergeCell ref="AJ962:AK962"/>
    <mergeCell ref="AL962:AM962"/>
    <mergeCell ref="AN962:AO962"/>
    <mergeCell ref="AP962:AQ962"/>
    <mergeCell ref="AR962:AS962"/>
    <mergeCell ref="AT962:AU962"/>
    <mergeCell ref="AV962:AW962"/>
    <mergeCell ref="BN955:BV955"/>
    <mergeCell ref="B955:C955"/>
    <mergeCell ref="D955:E955"/>
    <mergeCell ref="F955:G955"/>
    <mergeCell ref="H955:I955"/>
    <mergeCell ref="J955:K955"/>
    <mergeCell ref="L955:M955"/>
    <mergeCell ref="P955:Q955"/>
    <mergeCell ref="AJ955:AK955"/>
    <mergeCell ref="AL955:AM955"/>
    <mergeCell ref="AN955:AO955"/>
    <mergeCell ref="AP955:AQ955"/>
    <mergeCell ref="AR955:AS955"/>
    <mergeCell ref="AT955:AU955"/>
    <mergeCell ref="AV955:AW955"/>
    <mergeCell ref="B956:C956"/>
    <mergeCell ref="D956:E956"/>
    <mergeCell ref="F956:G956"/>
    <mergeCell ref="H956:I956"/>
    <mergeCell ref="J956:K956"/>
    <mergeCell ref="L956:M956"/>
    <mergeCell ref="P956:Q956"/>
    <mergeCell ref="R958:S958"/>
    <mergeCell ref="T958:U958"/>
    <mergeCell ref="V958:W958"/>
    <mergeCell ref="X958:AA958"/>
    <mergeCell ref="AB958:AE958"/>
    <mergeCell ref="AF958:AG958"/>
    <mergeCell ref="AH958:AI958"/>
    <mergeCell ref="B958:C958"/>
    <mergeCell ref="D958:E958"/>
    <mergeCell ref="F958:G958"/>
    <mergeCell ref="H958:I958"/>
    <mergeCell ref="J958:K958"/>
    <mergeCell ref="L958:M958"/>
    <mergeCell ref="P958:Q958"/>
    <mergeCell ref="R957:S957"/>
    <mergeCell ref="T957:U957"/>
    <mergeCell ref="V957:W957"/>
    <mergeCell ref="X957:AA957"/>
    <mergeCell ref="AB957:AE957"/>
    <mergeCell ref="AF957:AG957"/>
    <mergeCell ref="AH957:AI957"/>
    <mergeCell ref="AX957:AZ957"/>
    <mergeCell ref="BA957:BB957"/>
    <mergeCell ref="BD957:BE957"/>
    <mergeCell ref="BF957:BI957"/>
    <mergeCell ref="BJ957:BM957"/>
    <mergeCell ref="BN957:BV957"/>
    <mergeCell ref="AJ957:AK957"/>
    <mergeCell ref="AL957:AM957"/>
    <mergeCell ref="AN957:AO957"/>
    <mergeCell ref="AP957:AQ957"/>
    <mergeCell ref="AR957:AS957"/>
    <mergeCell ref="AT957:AU957"/>
    <mergeCell ref="AV957:AW957"/>
    <mergeCell ref="B957:C957"/>
    <mergeCell ref="D957:E957"/>
    <mergeCell ref="F957:G957"/>
    <mergeCell ref="H957:I957"/>
    <mergeCell ref="J957:K957"/>
    <mergeCell ref="L957:M957"/>
    <mergeCell ref="P957:Q957"/>
    <mergeCell ref="AX958:AZ958"/>
    <mergeCell ref="BA958:BB958"/>
    <mergeCell ref="BD958:BE958"/>
    <mergeCell ref="BF958:BI958"/>
    <mergeCell ref="BJ958:BM958"/>
    <mergeCell ref="BN958:BV958"/>
    <mergeCell ref="BJ959:BM959"/>
    <mergeCell ref="BN959:BV959"/>
    <mergeCell ref="B959:C959"/>
    <mergeCell ref="D959:E959"/>
    <mergeCell ref="F959:G959"/>
    <mergeCell ref="H959:I959"/>
    <mergeCell ref="J959:K959"/>
    <mergeCell ref="L959:M959"/>
    <mergeCell ref="P959:Q959"/>
    <mergeCell ref="AJ958:AK958"/>
    <mergeCell ref="AL958:AM958"/>
    <mergeCell ref="AN958:AO958"/>
    <mergeCell ref="AP958:AQ958"/>
    <mergeCell ref="AR958:AS958"/>
    <mergeCell ref="AT958:AU958"/>
    <mergeCell ref="AV958:AW958"/>
    <mergeCell ref="BD961:BE961"/>
    <mergeCell ref="BF961:BI961"/>
    <mergeCell ref="AN961:AO961"/>
    <mergeCell ref="AP961:AQ961"/>
    <mergeCell ref="AR961:AS961"/>
    <mergeCell ref="AT961:AU961"/>
    <mergeCell ref="AV961:AW961"/>
    <mergeCell ref="AX961:AZ961"/>
    <mergeCell ref="BA961:BB961"/>
    <mergeCell ref="AJ979:AK979"/>
    <mergeCell ref="AL979:AM979"/>
    <mergeCell ref="BJ979:BM979"/>
    <mergeCell ref="BN979:BV979"/>
    <mergeCell ref="R979:S979"/>
    <mergeCell ref="T979:U979"/>
    <mergeCell ref="V979:W979"/>
    <mergeCell ref="X979:AA979"/>
    <mergeCell ref="AB979:AE979"/>
    <mergeCell ref="AF979:AG979"/>
    <mergeCell ref="AH979:AI979"/>
    <mergeCell ref="BD967:BE967"/>
    <mergeCell ref="BF967:BI967"/>
    <mergeCell ref="AN967:AO967"/>
    <mergeCell ref="AP967:AQ967"/>
    <mergeCell ref="AR967:AS967"/>
    <mergeCell ref="AT967:AU967"/>
    <mergeCell ref="AV967:AW967"/>
    <mergeCell ref="AX967:AZ967"/>
    <mergeCell ref="BA967:BB967"/>
    <mergeCell ref="AJ965:AK965"/>
    <mergeCell ref="AL965:AM965"/>
    <mergeCell ref="R965:S965"/>
    <mergeCell ref="T965:U965"/>
    <mergeCell ref="V965:W965"/>
    <mergeCell ref="X965:AA965"/>
    <mergeCell ref="AB965:AE965"/>
    <mergeCell ref="AF965:AG965"/>
    <mergeCell ref="AH965:AI965"/>
    <mergeCell ref="R966:S966"/>
    <mergeCell ref="T966:U966"/>
    <mergeCell ref="V966:W966"/>
    <mergeCell ref="X966:AA966"/>
    <mergeCell ref="AB966:AE966"/>
    <mergeCell ref="AF966:AG966"/>
    <mergeCell ref="AH966:AI966"/>
    <mergeCell ref="AX966:AZ966"/>
    <mergeCell ref="BA966:BB966"/>
    <mergeCell ref="BD966:BE966"/>
    <mergeCell ref="BF966:BI966"/>
    <mergeCell ref="BJ966:BM966"/>
    <mergeCell ref="BN966:BV966"/>
    <mergeCell ref="BJ967:BM967"/>
    <mergeCell ref="BN967:BV967"/>
    <mergeCell ref="B966:C966"/>
    <mergeCell ref="D966:E966"/>
    <mergeCell ref="F966:G966"/>
    <mergeCell ref="H966:I966"/>
    <mergeCell ref="J966:K966"/>
    <mergeCell ref="L966:M966"/>
    <mergeCell ref="P966:Q966"/>
    <mergeCell ref="B967:C967"/>
    <mergeCell ref="D967:E967"/>
    <mergeCell ref="F967:G967"/>
    <mergeCell ref="H967:I967"/>
    <mergeCell ref="J967:K967"/>
    <mergeCell ref="L967:M967"/>
    <mergeCell ref="P967:Q967"/>
    <mergeCell ref="AJ966:AK966"/>
    <mergeCell ref="AL966:AM966"/>
    <mergeCell ref="AN966:AO966"/>
    <mergeCell ref="AP966:AQ966"/>
    <mergeCell ref="AR966:AS966"/>
    <mergeCell ref="AT966:AU966"/>
    <mergeCell ref="AV966:AW966"/>
    <mergeCell ref="BD969:BE969"/>
    <mergeCell ref="BF969:BI969"/>
    <mergeCell ref="AN969:AO969"/>
    <mergeCell ref="AP969:AQ969"/>
    <mergeCell ref="AR969:AS969"/>
    <mergeCell ref="AT969:AU969"/>
    <mergeCell ref="AV969:AW969"/>
    <mergeCell ref="AX969:AZ969"/>
    <mergeCell ref="BA969:BB969"/>
    <mergeCell ref="AJ967:AK967"/>
    <mergeCell ref="AL967:AM967"/>
    <mergeCell ref="R967:S967"/>
    <mergeCell ref="T967:U967"/>
    <mergeCell ref="V967:W967"/>
    <mergeCell ref="X967:AA967"/>
    <mergeCell ref="AB967:AE967"/>
    <mergeCell ref="AF967:AG967"/>
    <mergeCell ref="AH967:AI967"/>
    <mergeCell ref="R968:S968"/>
    <mergeCell ref="T968:U968"/>
    <mergeCell ref="V968:W968"/>
    <mergeCell ref="X968:AA968"/>
    <mergeCell ref="AB968:AE968"/>
    <mergeCell ref="AF968:AG968"/>
    <mergeCell ref="AH968:AI968"/>
    <mergeCell ref="AX968:AZ968"/>
    <mergeCell ref="BA968:BB968"/>
    <mergeCell ref="BD968:BE968"/>
    <mergeCell ref="BF968:BI968"/>
    <mergeCell ref="BJ968:BM968"/>
    <mergeCell ref="BN968:BV968"/>
    <mergeCell ref="BJ969:BM969"/>
    <mergeCell ref="BN969:BV969"/>
    <mergeCell ref="F972:G972"/>
    <mergeCell ref="H972:I972"/>
    <mergeCell ref="J972:K972"/>
    <mergeCell ref="L972:M972"/>
    <mergeCell ref="B968:C968"/>
    <mergeCell ref="D968:E968"/>
    <mergeCell ref="F968:G968"/>
    <mergeCell ref="H968:I968"/>
    <mergeCell ref="J968:K968"/>
    <mergeCell ref="L968:M968"/>
    <mergeCell ref="P968:Q968"/>
    <mergeCell ref="B969:C969"/>
    <mergeCell ref="D969:E969"/>
    <mergeCell ref="F969:G969"/>
    <mergeCell ref="H969:I969"/>
    <mergeCell ref="J969:K969"/>
    <mergeCell ref="L969:M969"/>
    <mergeCell ref="P969:Q969"/>
    <mergeCell ref="AJ968:AK968"/>
    <mergeCell ref="AL968:AM968"/>
    <mergeCell ref="AN968:AO968"/>
    <mergeCell ref="AP968:AQ968"/>
    <mergeCell ref="AR968:AS968"/>
    <mergeCell ref="AT968:AU968"/>
    <mergeCell ref="AV968:AW968"/>
    <mergeCell ref="BD971:BE971"/>
    <mergeCell ref="BF971:BI971"/>
    <mergeCell ref="AN971:AO971"/>
    <mergeCell ref="AP971:AQ971"/>
    <mergeCell ref="AR971:AS971"/>
    <mergeCell ref="AT971:AU971"/>
    <mergeCell ref="AV971:AW971"/>
    <mergeCell ref="AX971:AZ971"/>
    <mergeCell ref="BA971:BB971"/>
    <mergeCell ref="AJ969:AK969"/>
    <mergeCell ref="AL969:AM969"/>
    <mergeCell ref="R969:S969"/>
    <mergeCell ref="T969:U969"/>
    <mergeCell ref="V969:W969"/>
    <mergeCell ref="X969:AA969"/>
    <mergeCell ref="AB969:AE969"/>
    <mergeCell ref="AF969:AG969"/>
    <mergeCell ref="AH969:AI969"/>
    <mergeCell ref="R970:S970"/>
    <mergeCell ref="T970:U970"/>
    <mergeCell ref="V970:W970"/>
    <mergeCell ref="X970:AA970"/>
    <mergeCell ref="AB970:AE970"/>
    <mergeCell ref="AF970:AG970"/>
    <mergeCell ref="AH970:AI970"/>
    <mergeCell ref="AX970:AZ970"/>
    <mergeCell ref="BA970:BB970"/>
    <mergeCell ref="BD970:BE970"/>
    <mergeCell ref="BF970:BI970"/>
    <mergeCell ref="AX974:AZ974"/>
    <mergeCell ref="BA974:BB974"/>
    <mergeCell ref="BD974:BE974"/>
    <mergeCell ref="BF974:BI974"/>
    <mergeCell ref="BJ970:BM970"/>
    <mergeCell ref="BN970:BV970"/>
    <mergeCell ref="BJ971:BM971"/>
    <mergeCell ref="BN971:BV971"/>
    <mergeCell ref="B970:C970"/>
    <mergeCell ref="D970:E970"/>
    <mergeCell ref="F970:G970"/>
    <mergeCell ref="H970:I970"/>
    <mergeCell ref="J970:K970"/>
    <mergeCell ref="L970:M970"/>
    <mergeCell ref="P970:Q970"/>
    <mergeCell ref="B971:C971"/>
    <mergeCell ref="D971:E971"/>
    <mergeCell ref="F971:G971"/>
    <mergeCell ref="H971:I971"/>
    <mergeCell ref="J971:K971"/>
    <mergeCell ref="L971:M971"/>
    <mergeCell ref="P971:Q971"/>
    <mergeCell ref="AJ970:AK970"/>
    <mergeCell ref="AL970:AM970"/>
    <mergeCell ref="AN970:AO970"/>
    <mergeCell ref="AP970:AQ970"/>
    <mergeCell ref="AR970:AS970"/>
    <mergeCell ref="AT970:AU970"/>
    <mergeCell ref="AV970:AW970"/>
    <mergeCell ref="BD973:BE973"/>
    <mergeCell ref="BF973:BI973"/>
    <mergeCell ref="AN973:AO973"/>
    <mergeCell ref="AP973:AQ973"/>
    <mergeCell ref="AR973:AS973"/>
    <mergeCell ref="AT973:AU973"/>
    <mergeCell ref="AV973:AW973"/>
    <mergeCell ref="AX973:AZ973"/>
    <mergeCell ref="BA973:BB973"/>
    <mergeCell ref="AJ971:AK971"/>
    <mergeCell ref="AL971:AM971"/>
    <mergeCell ref="R971:S971"/>
    <mergeCell ref="T971:U971"/>
    <mergeCell ref="V971:W971"/>
    <mergeCell ref="X971:AA971"/>
    <mergeCell ref="AB971:AE971"/>
    <mergeCell ref="AF971:AG971"/>
    <mergeCell ref="AH971:AI971"/>
    <mergeCell ref="R972:S972"/>
    <mergeCell ref="T972:U972"/>
    <mergeCell ref="V972:W972"/>
    <mergeCell ref="X972:AA972"/>
    <mergeCell ref="AB972:AE972"/>
    <mergeCell ref="AF972:AG972"/>
    <mergeCell ref="AH972:AI972"/>
    <mergeCell ref="AX972:AZ972"/>
    <mergeCell ref="BA972:BB972"/>
    <mergeCell ref="BD972:BE972"/>
    <mergeCell ref="BF972:BI972"/>
    <mergeCell ref="BJ972:BM972"/>
    <mergeCell ref="BN972:BV972"/>
    <mergeCell ref="BJ973:BM973"/>
    <mergeCell ref="BN973:BV973"/>
    <mergeCell ref="B972:C972"/>
    <mergeCell ref="D972:E972"/>
    <mergeCell ref="AB975:AE975"/>
    <mergeCell ref="AF975:AG975"/>
    <mergeCell ref="AH975:AI975"/>
    <mergeCell ref="R976:S976"/>
    <mergeCell ref="T976:U976"/>
    <mergeCell ref="V976:W976"/>
    <mergeCell ref="X976:AA976"/>
    <mergeCell ref="AB976:AE976"/>
    <mergeCell ref="AF976:AG976"/>
    <mergeCell ref="AH976:AI976"/>
    <mergeCell ref="AX976:AZ976"/>
    <mergeCell ref="BA976:BB976"/>
    <mergeCell ref="BD976:BE976"/>
    <mergeCell ref="BF976:BI976"/>
    <mergeCell ref="BJ976:BM976"/>
    <mergeCell ref="BN976:BV976"/>
    <mergeCell ref="BJ977:BM977"/>
    <mergeCell ref="BN977:BV977"/>
    <mergeCell ref="B976:C976"/>
    <mergeCell ref="D976:E976"/>
    <mergeCell ref="F976:G976"/>
    <mergeCell ref="H976:I976"/>
    <mergeCell ref="J976:K976"/>
    <mergeCell ref="L976:M976"/>
    <mergeCell ref="P972:Q972"/>
    <mergeCell ref="B973:C973"/>
    <mergeCell ref="D973:E973"/>
    <mergeCell ref="F973:G973"/>
    <mergeCell ref="H973:I973"/>
    <mergeCell ref="J973:K973"/>
    <mergeCell ref="L973:M973"/>
    <mergeCell ref="P973:Q973"/>
    <mergeCell ref="AJ972:AK972"/>
    <mergeCell ref="AL972:AM972"/>
    <mergeCell ref="AN972:AO972"/>
    <mergeCell ref="AP972:AQ972"/>
    <mergeCell ref="AR972:AS972"/>
    <mergeCell ref="AT972:AU972"/>
    <mergeCell ref="AV972:AW972"/>
    <mergeCell ref="BD975:BE975"/>
    <mergeCell ref="BF975:BI975"/>
    <mergeCell ref="AN975:AO975"/>
    <mergeCell ref="AP975:AQ975"/>
    <mergeCell ref="AR975:AS975"/>
    <mergeCell ref="AT975:AU975"/>
    <mergeCell ref="AV975:AW975"/>
    <mergeCell ref="AX975:AZ975"/>
    <mergeCell ref="BA975:BB975"/>
    <mergeCell ref="AJ973:AK973"/>
    <mergeCell ref="AL973:AM973"/>
    <mergeCell ref="R973:S973"/>
    <mergeCell ref="T973:U973"/>
    <mergeCell ref="V973:W973"/>
    <mergeCell ref="X973:AA973"/>
    <mergeCell ref="AB973:AE973"/>
    <mergeCell ref="AF973:AG973"/>
    <mergeCell ref="AH973:AI973"/>
    <mergeCell ref="R974:S974"/>
    <mergeCell ref="T974:U974"/>
    <mergeCell ref="V974:W974"/>
    <mergeCell ref="X974:AA974"/>
    <mergeCell ref="AB974:AE974"/>
    <mergeCell ref="AF974:AG974"/>
    <mergeCell ref="AH974:AI974"/>
    <mergeCell ref="AV983:AW983"/>
    <mergeCell ref="BD986:BE986"/>
    <mergeCell ref="BF986:BI986"/>
    <mergeCell ref="AN986:AO986"/>
    <mergeCell ref="AP986:AQ986"/>
    <mergeCell ref="AR986:AS986"/>
    <mergeCell ref="AT986:AU986"/>
    <mergeCell ref="AV986:AW986"/>
    <mergeCell ref="AX986:AZ986"/>
    <mergeCell ref="BA986:BB986"/>
    <mergeCell ref="AJ984:AK984"/>
    <mergeCell ref="AL984:AM984"/>
    <mergeCell ref="R984:S984"/>
    <mergeCell ref="T984:U984"/>
    <mergeCell ref="V984:W984"/>
    <mergeCell ref="BD982:BE982"/>
    <mergeCell ref="BF982:BI982"/>
    <mergeCell ref="AN982:AO982"/>
    <mergeCell ref="AP982:AQ982"/>
    <mergeCell ref="AR982:AS982"/>
    <mergeCell ref="AT982:AU982"/>
    <mergeCell ref="AV982:AW982"/>
    <mergeCell ref="AX982:AZ982"/>
    <mergeCell ref="BA982:BB982"/>
    <mergeCell ref="BJ974:BM974"/>
    <mergeCell ref="BN974:BV974"/>
    <mergeCell ref="BJ975:BM975"/>
    <mergeCell ref="BN975:BV975"/>
    <mergeCell ref="B974:C974"/>
    <mergeCell ref="D974:E974"/>
    <mergeCell ref="F974:G974"/>
    <mergeCell ref="H974:I974"/>
    <mergeCell ref="J974:K974"/>
    <mergeCell ref="L974:M974"/>
    <mergeCell ref="P974:Q974"/>
    <mergeCell ref="B975:C975"/>
    <mergeCell ref="D975:E975"/>
    <mergeCell ref="F975:G975"/>
    <mergeCell ref="H975:I975"/>
    <mergeCell ref="J975:K975"/>
    <mergeCell ref="L975:M975"/>
    <mergeCell ref="P975:Q975"/>
    <mergeCell ref="AJ974:AK974"/>
    <mergeCell ref="AL974:AM974"/>
    <mergeCell ref="AN974:AO974"/>
    <mergeCell ref="AP974:AQ974"/>
    <mergeCell ref="AR974:AS974"/>
    <mergeCell ref="AT974:AU974"/>
    <mergeCell ref="AV974:AW974"/>
    <mergeCell ref="BD977:BE977"/>
    <mergeCell ref="BF977:BI977"/>
    <mergeCell ref="AN977:AO977"/>
    <mergeCell ref="AP977:AQ977"/>
    <mergeCell ref="AR977:AS977"/>
    <mergeCell ref="AT977:AU977"/>
    <mergeCell ref="AV977:AW977"/>
    <mergeCell ref="AX977:AZ977"/>
    <mergeCell ref="BA977:BB977"/>
    <mergeCell ref="AJ975:AK975"/>
    <mergeCell ref="AL975:AM975"/>
    <mergeCell ref="R975:S975"/>
    <mergeCell ref="T975:U975"/>
    <mergeCell ref="V975:W975"/>
    <mergeCell ref="X975:AA975"/>
    <mergeCell ref="F982:G982"/>
    <mergeCell ref="H982:I982"/>
    <mergeCell ref="J982:K982"/>
    <mergeCell ref="L982:M982"/>
    <mergeCell ref="P982:Q982"/>
    <mergeCell ref="P976:Q976"/>
    <mergeCell ref="B977:C977"/>
    <mergeCell ref="D977:E977"/>
    <mergeCell ref="F977:G977"/>
    <mergeCell ref="H977:I977"/>
    <mergeCell ref="J977:K977"/>
    <mergeCell ref="L977:M977"/>
    <mergeCell ref="P977:Q977"/>
    <mergeCell ref="AJ976:AK976"/>
    <mergeCell ref="AL976:AM976"/>
    <mergeCell ref="B980:C980"/>
    <mergeCell ref="D980:E980"/>
    <mergeCell ref="F980:G980"/>
    <mergeCell ref="H980:I980"/>
    <mergeCell ref="J980:K980"/>
    <mergeCell ref="L980:M980"/>
    <mergeCell ref="P980:Q980"/>
    <mergeCell ref="R980:S980"/>
    <mergeCell ref="T980:U980"/>
    <mergeCell ref="V980:W980"/>
    <mergeCell ref="AN976:AO976"/>
    <mergeCell ref="AP976:AQ976"/>
    <mergeCell ref="AR976:AS976"/>
    <mergeCell ref="AT976:AU976"/>
    <mergeCell ref="AV976:AW976"/>
    <mergeCell ref="BD988:BE988"/>
    <mergeCell ref="BF988:BI988"/>
    <mergeCell ref="AN988:AO988"/>
    <mergeCell ref="AP988:AQ988"/>
    <mergeCell ref="AR988:AS988"/>
    <mergeCell ref="AT988:AU988"/>
    <mergeCell ref="AV988:AW988"/>
    <mergeCell ref="AX988:AZ988"/>
    <mergeCell ref="BA988:BB988"/>
    <mergeCell ref="AJ986:AK986"/>
    <mergeCell ref="AL986:AM986"/>
    <mergeCell ref="R986:S986"/>
    <mergeCell ref="T986:U986"/>
    <mergeCell ref="V986:W986"/>
    <mergeCell ref="X986:AA986"/>
    <mergeCell ref="AB986:AE986"/>
    <mergeCell ref="AF986:AG986"/>
    <mergeCell ref="AH986:AI986"/>
    <mergeCell ref="R987:S987"/>
    <mergeCell ref="T987:U987"/>
    <mergeCell ref="V987:W987"/>
    <mergeCell ref="X987:AA987"/>
    <mergeCell ref="AB987:AE987"/>
    <mergeCell ref="AF987:AG987"/>
    <mergeCell ref="AH987:AI987"/>
    <mergeCell ref="AX987:AZ987"/>
    <mergeCell ref="BA987:BB987"/>
    <mergeCell ref="BD987:BE987"/>
    <mergeCell ref="BF987:BI987"/>
    <mergeCell ref="AL983:AM983"/>
    <mergeCell ref="AN983:AO983"/>
    <mergeCell ref="AP983:AQ983"/>
    <mergeCell ref="AR983:AS983"/>
    <mergeCell ref="AT983:AU983"/>
    <mergeCell ref="BJ986:BM986"/>
    <mergeCell ref="BN986:BV986"/>
    <mergeCell ref="B985:C985"/>
    <mergeCell ref="D985:E985"/>
    <mergeCell ref="F985:G985"/>
    <mergeCell ref="H985:I985"/>
    <mergeCell ref="J985:K985"/>
    <mergeCell ref="L985:M985"/>
    <mergeCell ref="P985:Q985"/>
    <mergeCell ref="B986:C986"/>
    <mergeCell ref="D986:E986"/>
    <mergeCell ref="F986:G986"/>
    <mergeCell ref="H986:I986"/>
    <mergeCell ref="J986:K986"/>
    <mergeCell ref="L986:M986"/>
    <mergeCell ref="P986:Q986"/>
    <mergeCell ref="AJ985:AK985"/>
    <mergeCell ref="AL985:AM985"/>
    <mergeCell ref="AN985:AO985"/>
    <mergeCell ref="AP985:AQ985"/>
    <mergeCell ref="AR985:AS985"/>
    <mergeCell ref="AT985:AU985"/>
    <mergeCell ref="AV985:AW985"/>
    <mergeCell ref="BD984:BE984"/>
    <mergeCell ref="BF984:BI984"/>
    <mergeCell ref="AN984:AO984"/>
    <mergeCell ref="AP984:AQ984"/>
    <mergeCell ref="AR984:AS984"/>
    <mergeCell ref="AT984:AU984"/>
    <mergeCell ref="AV984:AW984"/>
    <mergeCell ref="AX984:AZ984"/>
    <mergeCell ref="BA984:BB984"/>
    <mergeCell ref="BJ987:BM987"/>
    <mergeCell ref="BN987:BV987"/>
    <mergeCell ref="B987:C987"/>
    <mergeCell ref="D987:E987"/>
    <mergeCell ref="F987:G987"/>
    <mergeCell ref="H987:I987"/>
    <mergeCell ref="J987:K987"/>
    <mergeCell ref="L987:M987"/>
    <mergeCell ref="P987:Q987"/>
    <mergeCell ref="BJ984:BM984"/>
    <mergeCell ref="BN984:BV984"/>
    <mergeCell ref="X984:AA984"/>
    <mergeCell ref="AB984:AE984"/>
    <mergeCell ref="AF984:AG984"/>
    <mergeCell ref="AH984:AI984"/>
    <mergeCell ref="R985:S985"/>
    <mergeCell ref="T985:U985"/>
    <mergeCell ref="V985:W985"/>
    <mergeCell ref="X985:AA985"/>
    <mergeCell ref="AB985:AE985"/>
    <mergeCell ref="AF985:AG985"/>
    <mergeCell ref="AH985:AI985"/>
    <mergeCell ref="AX985:AZ985"/>
    <mergeCell ref="BA985:BB985"/>
    <mergeCell ref="BD985:BE985"/>
    <mergeCell ref="BF985:BI985"/>
    <mergeCell ref="BJ985:BM985"/>
    <mergeCell ref="BN985:BV985"/>
    <mergeCell ref="AJ987:AK987"/>
    <mergeCell ref="AL987:AM987"/>
    <mergeCell ref="AN987:AO987"/>
    <mergeCell ref="AP987:AQ987"/>
    <mergeCell ref="BJ983:BM983"/>
    <mergeCell ref="BN983:BV983"/>
    <mergeCell ref="X980:AA980"/>
    <mergeCell ref="AB980:AE980"/>
    <mergeCell ref="AF980:AG980"/>
    <mergeCell ref="AH980:AI980"/>
    <mergeCell ref="AX980:AZ980"/>
    <mergeCell ref="BA980:BB980"/>
    <mergeCell ref="BD980:BE980"/>
    <mergeCell ref="BF980:BI980"/>
    <mergeCell ref="BD979:BE979"/>
    <mergeCell ref="BF979:BI979"/>
    <mergeCell ref="AN979:AO979"/>
    <mergeCell ref="AP979:AQ979"/>
    <mergeCell ref="AR979:AS979"/>
    <mergeCell ref="AT979:AU979"/>
    <mergeCell ref="AV979:AW979"/>
    <mergeCell ref="AX979:AZ979"/>
    <mergeCell ref="BA979:BB979"/>
    <mergeCell ref="AX981:AZ981"/>
    <mergeCell ref="BA981:BB981"/>
    <mergeCell ref="BD981:BE981"/>
    <mergeCell ref="BF981:BI981"/>
    <mergeCell ref="AJ977:AK977"/>
    <mergeCell ref="AL977:AM977"/>
    <mergeCell ref="R977:S977"/>
    <mergeCell ref="T977:U977"/>
    <mergeCell ref="V977:W977"/>
    <mergeCell ref="X977:AA977"/>
    <mergeCell ref="AB977:AE977"/>
    <mergeCell ref="AF977:AG977"/>
    <mergeCell ref="AH977:AI977"/>
    <mergeCell ref="R978:S978"/>
    <mergeCell ref="T978:U978"/>
    <mergeCell ref="V978:W978"/>
    <mergeCell ref="X978:AA978"/>
    <mergeCell ref="AB978:AE978"/>
    <mergeCell ref="AF978:AG978"/>
    <mergeCell ref="AH978:AI978"/>
    <mergeCell ref="AX978:AZ978"/>
    <mergeCell ref="BA978:BB978"/>
    <mergeCell ref="BD978:BE978"/>
    <mergeCell ref="BF978:BI978"/>
    <mergeCell ref="BJ980:BM980"/>
    <mergeCell ref="BN980:BV980"/>
    <mergeCell ref="AJ980:AK980"/>
    <mergeCell ref="AL980:AM980"/>
    <mergeCell ref="AN980:AO980"/>
    <mergeCell ref="AP980:AQ980"/>
    <mergeCell ref="AR980:AS980"/>
    <mergeCell ref="AT980:AU980"/>
    <mergeCell ref="AV980:AW980"/>
    <mergeCell ref="BJ981:BM981"/>
    <mergeCell ref="BN981:BV981"/>
    <mergeCell ref="BJ982:BM982"/>
    <mergeCell ref="BN982:BV982"/>
    <mergeCell ref="AJ981:AK981"/>
    <mergeCell ref="AL981:AM981"/>
    <mergeCell ref="AN981:AO981"/>
    <mergeCell ref="AP981:AQ981"/>
    <mergeCell ref="AR981:AS981"/>
    <mergeCell ref="AT981:AU981"/>
    <mergeCell ref="AV981:AW981"/>
    <mergeCell ref="AJ982:AK982"/>
    <mergeCell ref="BJ978:BM978"/>
    <mergeCell ref="BN978:BV978"/>
    <mergeCell ref="B978:C978"/>
    <mergeCell ref="D978:E978"/>
    <mergeCell ref="F978:G978"/>
    <mergeCell ref="H978:I978"/>
    <mergeCell ref="J978:K978"/>
    <mergeCell ref="L978:M978"/>
    <mergeCell ref="P978:Q978"/>
    <mergeCell ref="AJ978:AK978"/>
    <mergeCell ref="AL978:AM978"/>
    <mergeCell ref="AN978:AO978"/>
    <mergeCell ref="AP978:AQ978"/>
    <mergeCell ref="AR978:AS978"/>
    <mergeCell ref="AT978:AU978"/>
    <mergeCell ref="AV978:AW978"/>
    <mergeCell ref="B979:C979"/>
    <mergeCell ref="D979:E979"/>
    <mergeCell ref="F979:G979"/>
    <mergeCell ref="H979:I979"/>
    <mergeCell ref="J979:K979"/>
    <mergeCell ref="L979:M979"/>
    <mergeCell ref="P979:Q979"/>
    <mergeCell ref="R981:S981"/>
    <mergeCell ref="T981:U981"/>
    <mergeCell ref="V981:W981"/>
    <mergeCell ref="X981:AA981"/>
    <mergeCell ref="AB981:AE981"/>
    <mergeCell ref="AF981:AG981"/>
    <mergeCell ref="AH981:AI981"/>
    <mergeCell ref="B981:C981"/>
    <mergeCell ref="D981:E981"/>
    <mergeCell ref="F981:G981"/>
    <mergeCell ref="H981:I981"/>
    <mergeCell ref="J981:K981"/>
    <mergeCell ref="L981:M981"/>
    <mergeCell ref="P981:Q981"/>
    <mergeCell ref="V989:W989"/>
    <mergeCell ref="X989:AA989"/>
    <mergeCell ref="AB989:AE989"/>
    <mergeCell ref="AF989:AG989"/>
    <mergeCell ref="AH989:AI989"/>
    <mergeCell ref="AX989:AZ989"/>
    <mergeCell ref="BA989:BB989"/>
    <mergeCell ref="BD989:BE989"/>
    <mergeCell ref="BF989:BI989"/>
    <mergeCell ref="BF983:BI983"/>
    <mergeCell ref="B988:C988"/>
    <mergeCell ref="D988:E988"/>
    <mergeCell ref="F988:G988"/>
    <mergeCell ref="H988:I988"/>
    <mergeCell ref="J988:K988"/>
    <mergeCell ref="L988:M988"/>
    <mergeCell ref="P988:Q988"/>
    <mergeCell ref="AR987:AS987"/>
    <mergeCell ref="AT987:AU987"/>
    <mergeCell ref="AV987:AW987"/>
    <mergeCell ref="AL982:AM982"/>
    <mergeCell ref="R982:S982"/>
    <mergeCell ref="T982:U982"/>
    <mergeCell ref="V982:W982"/>
    <mergeCell ref="X982:AA982"/>
    <mergeCell ref="AB982:AE982"/>
    <mergeCell ref="AF982:AG982"/>
    <mergeCell ref="AH982:AI982"/>
    <mergeCell ref="R983:S983"/>
    <mergeCell ref="T983:U983"/>
    <mergeCell ref="V983:W983"/>
    <mergeCell ref="X983:AA983"/>
    <mergeCell ref="AB983:AE983"/>
    <mergeCell ref="AF983:AG983"/>
    <mergeCell ref="AH983:AI983"/>
    <mergeCell ref="AX983:AZ983"/>
    <mergeCell ref="BA983:BB983"/>
    <mergeCell ref="BD983:BE983"/>
    <mergeCell ref="B983:C983"/>
    <mergeCell ref="D983:E983"/>
    <mergeCell ref="F983:G983"/>
    <mergeCell ref="H983:I983"/>
    <mergeCell ref="J983:K983"/>
    <mergeCell ref="L983:M983"/>
    <mergeCell ref="P983:Q983"/>
    <mergeCell ref="B984:C984"/>
    <mergeCell ref="D984:E984"/>
    <mergeCell ref="F984:G984"/>
    <mergeCell ref="H984:I984"/>
    <mergeCell ref="J984:K984"/>
    <mergeCell ref="L984:M984"/>
    <mergeCell ref="P984:Q984"/>
    <mergeCell ref="AJ983:AK983"/>
    <mergeCell ref="AJ988:AK988"/>
    <mergeCell ref="AL988:AM988"/>
    <mergeCell ref="R988:S988"/>
    <mergeCell ref="T988:U988"/>
    <mergeCell ref="V988:W988"/>
    <mergeCell ref="X988:AA988"/>
    <mergeCell ref="AB988:AE988"/>
    <mergeCell ref="AF988:AG988"/>
    <mergeCell ref="AH988:AI988"/>
    <mergeCell ref="B982:C982"/>
    <mergeCell ref="D982:E982"/>
    <mergeCell ref="BD990:BE990"/>
    <mergeCell ref="BJ989:BM989"/>
    <mergeCell ref="BN989:BV989"/>
    <mergeCell ref="BJ990:BM990"/>
    <mergeCell ref="BN990:BV990"/>
    <mergeCell ref="BJ991:BM991"/>
    <mergeCell ref="BN991:BV991"/>
    <mergeCell ref="BJ992:BM992"/>
    <mergeCell ref="BN992:BV992"/>
    <mergeCell ref="AJ991:AK991"/>
    <mergeCell ref="AL991:AM991"/>
    <mergeCell ref="AN991:AO991"/>
    <mergeCell ref="AP991:AQ991"/>
    <mergeCell ref="AR991:AS991"/>
    <mergeCell ref="AT991:AU991"/>
    <mergeCell ref="AV991:AW991"/>
    <mergeCell ref="BJ988:BM988"/>
    <mergeCell ref="BN988:BV988"/>
    <mergeCell ref="AX991:AZ991"/>
    <mergeCell ref="BA991:BB991"/>
    <mergeCell ref="BD991:BE991"/>
    <mergeCell ref="BF991:BI991"/>
    <mergeCell ref="B991:C991"/>
    <mergeCell ref="D991:E991"/>
    <mergeCell ref="F991:G991"/>
    <mergeCell ref="H991:I991"/>
    <mergeCell ref="J991:K991"/>
    <mergeCell ref="L991:M991"/>
    <mergeCell ref="P991:Q991"/>
    <mergeCell ref="B992:C992"/>
    <mergeCell ref="D992:E992"/>
    <mergeCell ref="F992:G992"/>
    <mergeCell ref="H992:I992"/>
    <mergeCell ref="J992:K992"/>
    <mergeCell ref="L992:M992"/>
    <mergeCell ref="P992:Q992"/>
    <mergeCell ref="B989:C989"/>
    <mergeCell ref="D989:E989"/>
    <mergeCell ref="F989:G989"/>
    <mergeCell ref="H989:I989"/>
    <mergeCell ref="J989:K989"/>
    <mergeCell ref="L989:M989"/>
    <mergeCell ref="P989:Q989"/>
    <mergeCell ref="AJ989:AK989"/>
    <mergeCell ref="AL989:AM989"/>
    <mergeCell ref="AN989:AO989"/>
    <mergeCell ref="AP989:AQ989"/>
    <mergeCell ref="AR989:AS989"/>
    <mergeCell ref="AT989:AU989"/>
    <mergeCell ref="AV989:AW989"/>
    <mergeCell ref="R990:S990"/>
    <mergeCell ref="T990:U990"/>
    <mergeCell ref="V990:W990"/>
    <mergeCell ref="X990:AA990"/>
    <mergeCell ref="AN990:AO990"/>
    <mergeCell ref="AP990:AQ990"/>
    <mergeCell ref="AR990:AS990"/>
    <mergeCell ref="AT990:AU990"/>
    <mergeCell ref="AV990:AW990"/>
    <mergeCell ref="AX990:AZ990"/>
    <mergeCell ref="BA990:BB990"/>
    <mergeCell ref="BF990:BI990"/>
    <mergeCell ref="R989:S989"/>
    <mergeCell ref="T989:U989"/>
    <mergeCell ref="B993:C993"/>
    <mergeCell ref="D993:E993"/>
    <mergeCell ref="F993:G993"/>
    <mergeCell ref="H993:I993"/>
    <mergeCell ref="J993:K993"/>
    <mergeCell ref="L993:M993"/>
    <mergeCell ref="P993:Q993"/>
    <mergeCell ref="B994:C994"/>
    <mergeCell ref="D994:E994"/>
    <mergeCell ref="F994:G994"/>
    <mergeCell ref="H994:I994"/>
    <mergeCell ref="J994:K994"/>
    <mergeCell ref="L994:M994"/>
    <mergeCell ref="P994:Q994"/>
    <mergeCell ref="AJ993:AK993"/>
    <mergeCell ref="AL993:AM993"/>
    <mergeCell ref="AN993:AO993"/>
    <mergeCell ref="AP993:AQ993"/>
    <mergeCell ref="AR993:AS993"/>
    <mergeCell ref="AT993:AU993"/>
    <mergeCell ref="AV993:AW993"/>
    <mergeCell ref="B990:C990"/>
    <mergeCell ref="D990:E990"/>
    <mergeCell ref="F990:G990"/>
    <mergeCell ref="H990:I990"/>
    <mergeCell ref="J990:K990"/>
    <mergeCell ref="L990:M990"/>
    <mergeCell ref="P990:Q990"/>
    <mergeCell ref="AN992:AO992"/>
    <mergeCell ref="AP992:AQ992"/>
    <mergeCell ref="AR992:AS992"/>
    <mergeCell ref="AT992:AU992"/>
    <mergeCell ref="AV992:AW992"/>
    <mergeCell ref="AJ990:AK990"/>
    <mergeCell ref="AL990:AM990"/>
    <mergeCell ref="AB990:AE990"/>
    <mergeCell ref="AF990:AG990"/>
    <mergeCell ref="AH990:AI990"/>
    <mergeCell ref="R991:S991"/>
    <mergeCell ref="T991:U991"/>
    <mergeCell ref="V991:W991"/>
    <mergeCell ref="X991:AA991"/>
    <mergeCell ref="AB991:AE991"/>
    <mergeCell ref="AF991:AG991"/>
    <mergeCell ref="AH991:AI991"/>
    <mergeCell ref="AJ994:AK994"/>
    <mergeCell ref="AL994:AM994"/>
    <mergeCell ref="R994:S994"/>
    <mergeCell ref="T994:U994"/>
    <mergeCell ref="V994:W994"/>
    <mergeCell ref="X994:AA994"/>
    <mergeCell ref="AB994:AE994"/>
    <mergeCell ref="AF994:AG994"/>
    <mergeCell ref="AH994:AI994"/>
    <mergeCell ref="AF995:AG995"/>
    <mergeCell ref="AH995:AI995"/>
    <mergeCell ref="AX995:AZ995"/>
    <mergeCell ref="BA995:BB995"/>
    <mergeCell ref="BD995:BE995"/>
    <mergeCell ref="BF995:BI995"/>
    <mergeCell ref="BJ995:BM995"/>
    <mergeCell ref="BN995:BV995"/>
    <mergeCell ref="BJ996:BM996"/>
    <mergeCell ref="BN996:BV996"/>
    <mergeCell ref="AJ992:AK992"/>
    <mergeCell ref="AL992:AM992"/>
    <mergeCell ref="R992:S992"/>
    <mergeCell ref="T992:U992"/>
    <mergeCell ref="V992:W992"/>
    <mergeCell ref="X992:AA992"/>
    <mergeCell ref="AB992:AE992"/>
    <mergeCell ref="AF992:AG992"/>
    <mergeCell ref="AH992:AI992"/>
    <mergeCell ref="R993:S993"/>
    <mergeCell ref="T993:U993"/>
    <mergeCell ref="V993:W993"/>
    <mergeCell ref="X993:AA993"/>
    <mergeCell ref="AB993:AE993"/>
    <mergeCell ref="AF993:AG993"/>
    <mergeCell ref="AH993:AI993"/>
    <mergeCell ref="AX993:AZ993"/>
    <mergeCell ref="BA993:BB993"/>
    <mergeCell ref="BD993:BE993"/>
    <mergeCell ref="BF993:BI993"/>
    <mergeCell ref="BJ993:BM993"/>
    <mergeCell ref="BN993:BV993"/>
    <mergeCell ref="BJ994:BM994"/>
    <mergeCell ref="BN994:BV994"/>
    <mergeCell ref="BD992:BE992"/>
    <mergeCell ref="BF992:BI992"/>
    <mergeCell ref="AX992:AZ992"/>
    <mergeCell ref="BA992:BB992"/>
    <mergeCell ref="BD994:BE994"/>
    <mergeCell ref="BF994:BI994"/>
    <mergeCell ref="AN994:AO994"/>
    <mergeCell ref="AP994:AQ994"/>
    <mergeCell ref="AR994:AS994"/>
    <mergeCell ref="AT994:AU994"/>
    <mergeCell ref="AV994:AW994"/>
    <mergeCell ref="AX994:AZ994"/>
    <mergeCell ref="BA994:BB994"/>
    <mergeCell ref="B995:C995"/>
    <mergeCell ref="D995:E995"/>
    <mergeCell ref="F995:G995"/>
    <mergeCell ref="H995:I995"/>
    <mergeCell ref="J995:K995"/>
    <mergeCell ref="L995:M995"/>
    <mergeCell ref="P995:Q995"/>
    <mergeCell ref="B996:C996"/>
    <mergeCell ref="D996:E996"/>
    <mergeCell ref="F996:G996"/>
    <mergeCell ref="H996:I996"/>
    <mergeCell ref="J996:K996"/>
    <mergeCell ref="L996:M996"/>
    <mergeCell ref="P996:Q996"/>
    <mergeCell ref="AJ995:AK995"/>
    <mergeCell ref="AL995:AM995"/>
    <mergeCell ref="AN995:AO995"/>
    <mergeCell ref="AP995:AQ995"/>
    <mergeCell ref="AR995:AS995"/>
    <mergeCell ref="AT995:AU995"/>
    <mergeCell ref="AV995:AW995"/>
    <mergeCell ref="BD998:BE998"/>
    <mergeCell ref="BF998:BI998"/>
    <mergeCell ref="AN998:AO998"/>
    <mergeCell ref="AP998:AQ998"/>
    <mergeCell ref="AR998:AS998"/>
    <mergeCell ref="AT998:AU998"/>
    <mergeCell ref="AV998:AW998"/>
    <mergeCell ref="AX998:AZ998"/>
    <mergeCell ref="BA998:BB998"/>
    <mergeCell ref="AJ996:AK996"/>
    <mergeCell ref="AL996:AM996"/>
    <mergeCell ref="R996:S996"/>
    <mergeCell ref="T996:U996"/>
    <mergeCell ref="V996:W996"/>
    <mergeCell ref="X996:AA996"/>
    <mergeCell ref="AB996:AE996"/>
    <mergeCell ref="AF996:AG996"/>
    <mergeCell ref="AH996:AI996"/>
    <mergeCell ref="R997:S997"/>
    <mergeCell ref="T997:U997"/>
    <mergeCell ref="V997:W997"/>
    <mergeCell ref="X997:AA997"/>
    <mergeCell ref="AB997:AE997"/>
    <mergeCell ref="AF997:AG997"/>
    <mergeCell ref="AH997:AI997"/>
    <mergeCell ref="AX997:AZ997"/>
    <mergeCell ref="BA997:BB997"/>
    <mergeCell ref="BD997:BE997"/>
    <mergeCell ref="BF997:BI997"/>
    <mergeCell ref="BD996:BE996"/>
    <mergeCell ref="BF996:BI996"/>
    <mergeCell ref="AN996:AO996"/>
    <mergeCell ref="AP996:AQ996"/>
    <mergeCell ref="AR996:AS996"/>
    <mergeCell ref="AT996:AU996"/>
    <mergeCell ref="AV996:AW996"/>
    <mergeCell ref="AX996:AZ996"/>
    <mergeCell ref="BA996:BB996"/>
    <mergeCell ref="R995:S995"/>
    <mergeCell ref="T995:U995"/>
    <mergeCell ref="V995:W995"/>
    <mergeCell ref="X995:AA995"/>
    <mergeCell ref="AB995:AE995"/>
    <mergeCell ref="BJ997:BM997"/>
    <mergeCell ref="BN997:BV997"/>
    <mergeCell ref="BJ998:BM998"/>
    <mergeCell ref="BN998:BV998"/>
    <mergeCell ref="B997:C997"/>
    <mergeCell ref="D997:E997"/>
    <mergeCell ref="F997:G997"/>
    <mergeCell ref="H997:I997"/>
    <mergeCell ref="J997:K997"/>
    <mergeCell ref="L997:M997"/>
    <mergeCell ref="P997:Q997"/>
    <mergeCell ref="B998:C998"/>
    <mergeCell ref="D998:E998"/>
    <mergeCell ref="F998:G998"/>
    <mergeCell ref="H998:I998"/>
    <mergeCell ref="J998:K998"/>
    <mergeCell ref="L998:M998"/>
    <mergeCell ref="P998:Q998"/>
    <mergeCell ref="AJ997:AK997"/>
    <mergeCell ref="AL997:AM997"/>
    <mergeCell ref="AN997:AO997"/>
    <mergeCell ref="AP997:AQ997"/>
    <mergeCell ref="AR997:AS997"/>
    <mergeCell ref="AT997:AU997"/>
    <mergeCell ref="AV997:AW997"/>
    <mergeCell ref="BD1000:BE1000"/>
    <mergeCell ref="BF1000:BI1000"/>
    <mergeCell ref="AN1000:AO1000"/>
    <mergeCell ref="AP1000:AQ1000"/>
    <mergeCell ref="AR1000:AS1000"/>
    <mergeCell ref="AT1000:AU1000"/>
    <mergeCell ref="AV1000:AW1000"/>
    <mergeCell ref="AX1000:AZ1000"/>
    <mergeCell ref="BA1000:BB1000"/>
    <mergeCell ref="AJ998:AK998"/>
    <mergeCell ref="AL998:AM998"/>
    <mergeCell ref="R998:S998"/>
    <mergeCell ref="T998:U998"/>
    <mergeCell ref="V998:W998"/>
    <mergeCell ref="X998:AA998"/>
    <mergeCell ref="AB998:AE998"/>
    <mergeCell ref="AF998:AG998"/>
    <mergeCell ref="AH998:AI998"/>
    <mergeCell ref="R999:S999"/>
    <mergeCell ref="T999:U999"/>
    <mergeCell ref="V999:W999"/>
    <mergeCell ref="X999:AA999"/>
    <mergeCell ref="AB999:AE999"/>
    <mergeCell ref="AF999:AG999"/>
    <mergeCell ref="AH999:AI999"/>
    <mergeCell ref="AX999:AZ999"/>
    <mergeCell ref="BA999:BB999"/>
    <mergeCell ref="BD999:BE999"/>
    <mergeCell ref="BF999:BI999"/>
    <mergeCell ref="BJ999:BM999"/>
    <mergeCell ref="BN999:BV999"/>
    <mergeCell ref="BJ1000:BM1000"/>
    <mergeCell ref="BN1000:BV1000"/>
    <mergeCell ref="B999:C999"/>
    <mergeCell ref="D999:E999"/>
    <mergeCell ref="F999:G999"/>
    <mergeCell ref="H999:I999"/>
    <mergeCell ref="J999:K999"/>
    <mergeCell ref="L999:M999"/>
    <mergeCell ref="B1005:C1005"/>
    <mergeCell ref="D1005:E1005"/>
    <mergeCell ref="F1005:G1005"/>
    <mergeCell ref="H1005:I1005"/>
    <mergeCell ref="J1005:K1005"/>
    <mergeCell ref="L1005:M1005"/>
    <mergeCell ref="P1005:Q1005"/>
    <mergeCell ref="P999:Q999"/>
    <mergeCell ref="B1000:C1000"/>
    <mergeCell ref="D1000:E1000"/>
    <mergeCell ref="F1000:G1000"/>
    <mergeCell ref="H1000:I1000"/>
    <mergeCell ref="J1000:K1000"/>
    <mergeCell ref="L1000:M1000"/>
    <mergeCell ref="P1000:Q1000"/>
    <mergeCell ref="AJ999:AK999"/>
    <mergeCell ref="AL999:AM999"/>
    <mergeCell ref="AN999:AO999"/>
    <mergeCell ref="AP999:AQ999"/>
    <mergeCell ref="AR999:AS999"/>
    <mergeCell ref="AT999:AU999"/>
    <mergeCell ref="AV999:AW999"/>
    <mergeCell ref="BD1011:BE1011"/>
    <mergeCell ref="BF1011:BI1011"/>
    <mergeCell ref="AN1011:AO1011"/>
    <mergeCell ref="AP1011:AQ1011"/>
    <mergeCell ref="AR1011:AS1011"/>
    <mergeCell ref="AT1011:AU1011"/>
    <mergeCell ref="AV1011:AW1011"/>
    <mergeCell ref="AX1011:AZ1011"/>
    <mergeCell ref="BA1011:BB1011"/>
    <mergeCell ref="AJ1009:AK1009"/>
    <mergeCell ref="AL1009:AM1009"/>
    <mergeCell ref="R1009:S1009"/>
    <mergeCell ref="T1009:U1009"/>
    <mergeCell ref="V1009:W1009"/>
    <mergeCell ref="X1009:AA1009"/>
    <mergeCell ref="AB1009:AE1009"/>
    <mergeCell ref="AF1009:AG1009"/>
    <mergeCell ref="AH1009:AI1009"/>
    <mergeCell ref="R1010:S1010"/>
    <mergeCell ref="T1010:U1010"/>
    <mergeCell ref="V1010:W1010"/>
    <mergeCell ref="X1010:AA1010"/>
    <mergeCell ref="AB1010:AE1010"/>
    <mergeCell ref="AF1010:AG1010"/>
    <mergeCell ref="AH1010:AI1010"/>
    <mergeCell ref="AX1010:AZ1010"/>
    <mergeCell ref="BA1010:BB1010"/>
    <mergeCell ref="BD1010:BE1010"/>
    <mergeCell ref="BF1010:BI1010"/>
    <mergeCell ref="AL1006:AM1006"/>
    <mergeCell ref="AN1006:AO1006"/>
    <mergeCell ref="AP1006:AQ1006"/>
    <mergeCell ref="AR1006:AS1006"/>
    <mergeCell ref="AT1006:AU1006"/>
    <mergeCell ref="AV1006:AW1006"/>
    <mergeCell ref="BD1009:BE1009"/>
    <mergeCell ref="BF1009:BI1009"/>
    <mergeCell ref="AN1009:AO1009"/>
    <mergeCell ref="AP1009:AQ1009"/>
    <mergeCell ref="AR1009:AS1009"/>
    <mergeCell ref="AT1009:AU1009"/>
    <mergeCell ref="AV1009:AW1009"/>
    <mergeCell ref="R1006:S1006"/>
    <mergeCell ref="T1006:U1006"/>
    <mergeCell ref="V1006:W1006"/>
    <mergeCell ref="X1006:AA1006"/>
    <mergeCell ref="AB1006:AE1006"/>
    <mergeCell ref="AF1006:AG1006"/>
    <mergeCell ref="AH1006:AI1006"/>
    <mergeCell ref="AX1006:AZ1006"/>
    <mergeCell ref="BA1006:BB1006"/>
    <mergeCell ref="BD1006:BE1006"/>
    <mergeCell ref="B1006:C1006"/>
    <mergeCell ref="D1006:E1006"/>
    <mergeCell ref="F1006:G1006"/>
    <mergeCell ref="H1006:I1006"/>
    <mergeCell ref="J1006:K1006"/>
    <mergeCell ref="L1006:M1006"/>
    <mergeCell ref="P1006:Q1006"/>
    <mergeCell ref="B1007:C1007"/>
    <mergeCell ref="D1007:E1007"/>
    <mergeCell ref="F1007:G1007"/>
    <mergeCell ref="H1007:I1007"/>
    <mergeCell ref="J1007:K1007"/>
    <mergeCell ref="L1007:M1007"/>
    <mergeCell ref="P1007:Q1007"/>
    <mergeCell ref="AJ1006:AK1006"/>
    <mergeCell ref="AJ1011:AK1011"/>
    <mergeCell ref="AL1011:AM1011"/>
    <mergeCell ref="R1011:S1011"/>
    <mergeCell ref="T1011:U1011"/>
    <mergeCell ref="V1011:W1011"/>
    <mergeCell ref="X1011:AA1011"/>
    <mergeCell ref="AB1011:AE1011"/>
    <mergeCell ref="AF1011:AG1011"/>
    <mergeCell ref="AH1011:AI1011"/>
    <mergeCell ref="AX1009:AZ1009"/>
    <mergeCell ref="BA1009:BB1009"/>
    <mergeCell ref="AJ1007:AK1007"/>
    <mergeCell ref="AL1007:AM1007"/>
    <mergeCell ref="R1007:S1007"/>
    <mergeCell ref="T1007:U1007"/>
    <mergeCell ref="V1007:W1007"/>
    <mergeCell ref="AT1007:AU1007"/>
    <mergeCell ref="AV1007:AW1007"/>
    <mergeCell ref="AX1007:AZ1007"/>
    <mergeCell ref="BA1007:BB1007"/>
    <mergeCell ref="BJ1010:BM1010"/>
    <mergeCell ref="BN1010:BV1010"/>
    <mergeCell ref="B1010:C1010"/>
    <mergeCell ref="D1010:E1010"/>
    <mergeCell ref="F1010:G1010"/>
    <mergeCell ref="H1010:I1010"/>
    <mergeCell ref="J1010:K1010"/>
    <mergeCell ref="L1010:M1010"/>
    <mergeCell ref="P1010:Q1010"/>
    <mergeCell ref="BJ1007:BM1007"/>
    <mergeCell ref="BN1007:BV1007"/>
    <mergeCell ref="X1007:AA1007"/>
    <mergeCell ref="AB1007:AE1007"/>
    <mergeCell ref="AF1007:AG1007"/>
    <mergeCell ref="AH1007:AI1007"/>
    <mergeCell ref="R1008:S1008"/>
    <mergeCell ref="T1008:U1008"/>
    <mergeCell ref="V1008:W1008"/>
    <mergeCell ref="X1008:AA1008"/>
    <mergeCell ref="AB1008:AE1008"/>
    <mergeCell ref="AF1008:AG1008"/>
    <mergeCell ref="AH1008:AI1008"/>
    <mergeCell ref="AX1008:AZ1008"/>
    <mergeCell ref="BA1008:BB1008"/>
    <mergeCell ref="BD1008:BE1008"/>
    <mergeCell ref="BF1008:BI1008"/>
    <mergeCell ref="BJ1008:BM1008"/>
    <mergeCell ref="BN1008:BV1008"/>
    <mergeCell ref="B1011:C1011"/>
    <mergeCell ref="D1011:E1011"/>
    <mergeCell ref="F1011:G1011"/>
    <mergeCell ref="H1011:I1011"/>
    <mergeCell ref="J1011:K1011"/>
    <mergeCell ref="L1011:M1011"/>
    <mergeCell ref="P1011:Q1011"/>
    <mergeCell ref="AJ1010:AK1010"/>
    <mergeCell ref="AL1010:AM1010"/>
    <mergeCell ref="AN1010:AO1010"/>
    <mergeCell ref="AP1010:AQ1010"/>
    <mergeCell ref="AR1010:AS1010"/>
    <mergeCell ref="AT1010:AU1010"/>
    <mergeCell ref="AV1010:AW1010"/>
    <mergeCell ref="AF1003:AG1003"/>
    <mergeCell ref="AH1003:AI1003"/>
    <mergeCell ref="AX1003:AZ1003"/>
    <mergeCell ref="BA1003:BB1003"/>
    <mergeCell ref="BD1003:BE1003"/>
    <mergeCell ref="BF1003:BI1003"/>
    <mergeCell ref="BD1002:BE1002"/>
    <mergeCell ref="BF1002:BI1002"/>
    <mergeCell ref="AN1002:AO1002"/>
    <mergeCell ref="AP1002:AQ1002"/>
    <mergeCell ref="AR1002:AS1002"/>
    <mergeCell ref="AT1002:AU1002"/>
    <mergeCell ref="AV1002:AW1002"/>
    <mergeCell ref="AX1002:AZ1002"/>
    <mergeCell ref="BA1002:BB1002"/>
    <mergeCell ref="AX1004:AZ1004"/>
    <mergeCell ref="BA1004:BB1004"/>
    <mergeCell ref="BD1004:BE1004"/>
    <mergeCell ref="BF1004:BI1004"/>
    <mergeCell ref="AJ1002:AK1002"/>
    <mergeCell ref="AL1002:AM1002"/>
    <mergeCell ref="BJ1002:BM1002"/>
    <mergeCell ref="BN1002:BV1002"/>
    <mergeCell ref="R1002:S1002"/>
    <mergeCell ref="T1002:U1002"/>
    <mergeCell ref="V1002:W1002"/>
    <mergeCell ref="X1002:AA1002"/>
    <mergeCell ref="AB1002:AE1002"/>
    <mergeCell ref="AF1002:AG1002"/>
    <mergeCell ref="AH1002:AI1002"/>
    <mergeCell ref="BJ1004:BM1004"/>
    <mergeCell ref="BN1004:BV1004"/>
    <mergeCell ref="BJ1005:BM1005"/>
    <mergeCell ref="BN1005:BV1005"/>
    <mergeCell ref="AJ1004:AK1004"/>
    <mergeCell ref="AL1004:AM1004"/>
    <mergeCell ref="AN1004:AO1004"/>
    <mergeCell ref="AP1004:AQ1004"/>
    <mergeCell ref="AR1004:AS1004"/>
    <mergeCell ref="AT1004:AU1004"/>
    <mergeCell ref="AV1004:AW1004"/>
    <mergeCell ref="R1004:S1004"/>
    <mergeCell ref="T1004:U1004"/>
    <mergeCell ref="V1004:W1004"/>
    <mergeCell ref="X1004:AA1004"/>
    <mergeCell ref="AB1004:AE1004"/>
    <mergeCell ref="AF1004:AG1004"/>
    <mergeCell ref="AH1004:AI1004"/>
    <mergeCell ref="AJ1005:AK1005"/>
    <mergeCell ref="AL1005:AM1005"/>
    <mergeCell ref="R1005:S1005"/>
    <mergeCell ref="T1005:U1005"/>
    <mergeCell ref="V1005:W1005"/>
    <mergeCell ref="X1005:AA1005"/>
    <mergeCell ref="AB1005:AE1005"/>
    <mergeCell ref="AF1005:AG1005"/>
    <mergeCell ref="AH1005:AI1005"/>
    <mergeCell ref="AJ1000:AK1000"/>
    <mergeCell ref="AL1000:AM1000"/>
    <mergeCell ref="R1000:S1000"/>
    <mergeCell ref="T1000:U1000"/>
    <mergeCell ref="V1000:W1000"/>
    <mergeCell ref="X1000:AA1000"/>
    <mergeCell ref="AB1000:AE1000"/>
    <mergeCell ref="AF1000:AG1000"/>
    <mergeCell ref="AH1000:AI1000"/>
    <mergeCell ref="R1001:S1001"/>
    <mergeCell ref="T1001:U1001"/>
    <mergeCell ref="V1001:W1001"/>
    <mergeCell ref="X1001:AA1001"/>
    <mergeCell ref="AB1001:AE1001"/>
    <mergeCell ref="AF1001:AG1001"/>
    <mergeCell ref="AH1001:AI1001"/>
    <mergeCell ref="AX1001:AZ1001"/>
    <mergeCell ref="BA1001:BB1001"/>
    <mergeCell ref="BD1001:BE1001"/>
    <mergeCell ref="BF1001:BI1001"/>
    <mergeCell ref="BJ1003:BM1003"/>
    <mergeCell ref="BN1003:BV1003"/>
    <mergeCell ref="AJ1003:AK1003"/>
    <mergeCell ref="AL1003:AM1003"/>
    <mergeCell ref="AN1003:AO1003"/>
    <mergeCell ref="AP1003:AQ1003"/>
    <mergeCell ref="AR1003:AS1003"/>
    <mergeCell ref="AT1003:AU1003"/>
    <mergeCell ref="AV1003:AW1003"/>
    <mergeCell ref="B1003:C1003"/>
    <mergeCell ref="D1003:E1003"/>
    <mergeCell ref="F1003:G1003"/>
    <mergeCell ref="H1003:I1003"/>
    <mergeCell ref="J1003:K1003"/>
    <mergeCell ref="L1003:M1003"/>
    <mergeCell ref="P1003:Q1003"/>
    <mergeCell ref="R1003:S1003"/>
    <mergeCell ref="T1003:U1003"/>
    <mergeCell ref="V1003:W1003"/>
    <mergeCell ref="BJ1001:BM1001"/>
    <mergeCell ref="BN1001:BV1001"/>
    <mergeCell ref="B1001:C1001"/>
    <mergeCell ref="D1001:E1001"/>
    <mergeCell ref="F1001:G1001"/>
    <mergeCell ref="H1001:I1001"/>
    <mergeCell ref="J1001:K1001"/>
    <mergeCell ref="L1001:M1001"/>
    <mergeCell ref="P1001:Q1001"/>
    <mergeCell ref="AJ1001:AK1001"/>
    <mergeCell ref="AL1001:AM1001"/>
    <mergeCell ref="AN1001:AO1001"/>
    <mergeCell ref="AP1001:AQ1001"/>
    <mergeCell ref="AR1001:AS1001"/>
    <mergeCell ref="AT1001:AU1001"/>
    <mergeCell ref="AV1001:AW1001"/>
    <mergeCell ref="B1002:C1002"/>
    <mergeCell ref="D1002:E1002"/>
    <mergeCell ref="F1002:G1002"/>
    <mergeCell ref="H1002:I1002"/>
    <mergeCell ref="J1002:K1002"/>
    <mergeCell ref="L1002:M1002"/>
    <mergeCell ref="P1002:Q1002"/>
    <mergeCell ref="X1003:AA1003"/>
    <mergeCell ref="AB1003:AE1003"/>
    <mergeCell ref="B1004:C1004"/>
    <mergeCell ref="D1004:E1004"/>
    <mergeCell ref="F1004:G1004"/>
    <mergeCell ref="H1004:I1004"/>
    <mergeCell ref="J1004:K1004"/>
    <mergeCell ref="L1004:M1004"/>
    <mergeCell ref="P1004:Q1004"/>
    <mergeCell ref="BD1005:BE1005"/>
    <mergeCell ref="BF1005:BI1005"/>
    <mergeCell ref="AN1005:AO1005"/>
    <mergeCell ref="AP1005:AQ1005"/>
    <mergeCell ref="AR1005:AS1005"/>
    <mergeCell ref="AT1005:AU1005"/>
    <mergeCell ref="AV1005:AW1005"/>
    <mergeCell ref="AX1005:AZ1005"/>
    <mergeCell ref="BA1005:BB1005"/>
    <mergeCell ref="R1012:S1012"/>
    <mergeCell ref="T1012:U1012"/>
    <mergeCell ref="V1012:W1012"/>
    <mergeCell ref="X1012:AA1012"/>
    <mergeCell ref="AB1012:AE1012"/>
    <mergeCell ref="AF1012:AG1012"/>
    <mergeCell ref="AH1012:AI1012"/>
    <mergeCell ref="AX1012:AZ1012"/>
    <mergeCell ref="BA1012:BB1012"/>
    <mergeCell ref="BD1012:BE1012"/>
    <mergeCell ref="BF1012:BI1012"/>
    <mergeCell ref="BJ1012:BM1012"/>
    <mergeCell ref="BN1012:BV1012"/>
    <mergeCell ref="BJ1013:BM1013"/>
    <mergeCell ref="BN1013:BV1013"/>
    <mergeCell ref="BJ1014:BM1014"/>
    <mergeCell ref="BN1014:BV1014"/>
    <mergeCell ref="BF1006:BI1006"/>
    <mergeCell ref="BJ1006:BM1006"/>
    <mergeCell ref="BN1006:BV1006"/>
    <mergeCell ref="BJ1009:BM1009"/>
    <mergeCell ref="BN1009:BV1009"/>
    <mergeCell ref="B1008:C1008"/>
    <mergeCell ref="D1008:E1008"/>
    <mergeCell ref="F1008:G1008"/>
    <mergeCell ref="H1008:I1008"/>
    <mergeCell ref="J1008:K1008"/>
    <mergeCell ref="L1008:M1008"/>
    <mergeCell ref="P1008:Q1008"/>
    <mergeCell ref="B1009:C1009"/>
    <mergeCell ref="D1009:E1009"/>
    <mergeCell ref="F1009:G1009"/>
    <mergeCell ref="H1009:I1009"/>
    <mergeCell ref="J1009:K1009"/>
    <mergeCell ref="L1009:M1009"/>
    <mergeCell ref="P1009:Q1009"/>
    <mergeCell ref="AJ1008:AK1008"/>
    <mergeCell ref="AL1008:AM1008"/>
    <mergeCell ref="AN1008:AO1008"/>
    <mergeCell ref="AP1008:AQ1008"/>
    <mergeCell ref="AR1008:AS1008"/>
    <mergeCell ref="AT1008:AU1008"/>
    <mergeCell ref="AV1008:AW1008"/>
    <mergeCell ref="BD1007:BE1007"/>
    <mergeCell ref="BF1007:BI1007"/>
    <mergeCell ref="AN1007:AO1007"/>
    <mergeCell ref="AP1007:AQ1007"/>
    <mergeCell ref="AR1007:AS1007"/>
    <mergeCell ref="BD1013:BE1013"/>
    <mergeCell ref="BJ1015:BM1015"/>
    <mergeCell ref="BN1015:BV1015"/>
    <mergeCell ref="AJ1014:AK1014"/>
    <mergeCell ref="AL1014:AM1014"/>
    <mergeCell ref="AN1014:AO1014"/>
    <mergeCell ref="AP1014:AQ1014"/>
    <mergeCell ref="AR1014:AS1014"/>
    <mergeCell ref="AT1014:AU1014"/>
    <mergeCell ref="AV1014:AW1014"/>
    <mergeCell ref="BJ1011:BM1011"/>
    <mergeCell ref="BN1011:BV1011"/>
    <mergeCell ref="AX1014:AZ1014"/>
    <mergeCell ref="BA1014:BB1014"/>
    <mergeCell ref="BD1014:BE1014"/>
    <mergeCell ref="BF1014:BI1014"/>
    <mergeCell ref="B1014:C1014"/>
    <mergeCell ref="D1014:E1014"/>
    <mergeCell ref="F1014:G1014"/>
    <mergeCell ref="H1014:I1014"/>
    <mergeCell ref="J1014:K1014"/>
    <mergeCell ref="L1014:M1014"/>
    <mergeCell ref="P1014:Q1014"/>
    <mergeCell ref="B1015:C1015"/>
    <mergeCell ref="D1015:E1015"/>
    <mergeCell ref="F1015:G1015"/>
    <mergeCell ref="H1015:I1015"/>
    <mergeCell ref="J1015:K1015"/>
    <mergeCell ref="L1015:M1015"/>
    <mergeCell ref="P1015:Q1015"/>
    <mergeCell ref="B1012:C1012"/>
    <mergeCell ref="D1012:E1012"/>
    <mergeCell ref="F1012:G1012"/>
    <mergeCell ref="H1012:I1012"/>
    <mergeCell ref="J1012:K1012"/>
    <mergeCell ref="L1012:M1012"/>
    <mergeCell ref="P1012:Q1012"/>
    <mergeCell ref="AJ1012:AK1012"/>
    <mergeCell ref="AL1012:AM1012"/>
    <mergeCell ref="AN1012:AO1012"/>
    <mergeCell ref="AP1012:AQ1012"/>
    <mergeCell ref="AR1012:AS1012"/>
    <mergeCell ref="AT1012:AU1012"/>
    <mergeCell ref="AV1012:AW1012"/>
    <mergeCell ref="R1013:S1013"/>
    <mergeCell ref="T1013:U1013"/>
    <mergeCell ref="V1013:W1013"/>
    <mergeCell ref="X1013:AA1013"/>
    <mergeCell ref="AN1013:AO1013"/>
    <mergeCell ref="AP1013:AQ1013"/>
    <mergeCell ref="AR1013:AS1013"/>
    <mergeCell ref="AT1013:AU1013"/>
    <mergeCell ref="AV1013:AW1013"/>
    <mergeCell ref="AX1013:AZ1013"/>
    <mergeCell ref="BA1013:BB1013"/>
    <mergeCell ref="BF1013:BI1013"/>
    <mergeCell ref="B1016:C1016"/>
    <mergeCell ref="D1016:E1016"/>
    <mergeCell ref="F1016:G1016"/>
    <mergeCell ref="H1016:I1016"/>
    <mergeCell ref="J1016:K1016"/>
    <mergeCell ref="L1016:M1016"/>
    <mergeCell ref="P1016:Q1016"/>
    <mergeCell ref="B1017:C1017"/>
    <mergeCell ref="D1017:E1017"/>
    <mergeCell ref="F1017:G1017"/>
    <mergeCell ref="H1017:I1017"/>
    <mergeCell ref="J1017:K1017"/>
    <mergeCell ref="L1017:M1017"/>
    <mergeCell ref="P1017:Q1017"/>
    <mergeCell ref="AJ1016:AK1016"/>
    <mergeCell ref="AL1016:AM1016"/>
    <mergeCell ref="AN1016:AO1016"/>
    <mergeCell ref="AP1016:AQ1016"/>
    <mergeCell ref="AR1016:AS1016"/>
    <mergeCell ref="AT1016:AU1016"/>
    <mergeCell ref="AV1016:AW1016"/>
    <mergeCell ref="B1013:C1013"/>
    <mergeCell ref="D1013:E1013"/>
    <mergeCell ref="F1013:G1013"/>
    <mergeCell ref="H1013:I1013"/>
    <mergeCell ref="J1013:K1013"/>
    <mergeCell ref="L1013:M1013"/>
    <mergeCell ref="P1013:Q1013"/>
    <mergeCell ref="AN1015:AO1015"/>
    <mergeCell ref="AP1015:AQ1015"/>
    <mergeCell ref="AR1015:AS1015"/>
    <mergeCell ref="AT1015:AU1015"/>
    <mergeCell ref="AV1015:AW1015"/>
    <mergeCell ref="AJ1013:AK1013"/>
    <mergeCell ref="AL1013:AM1013"/>
    <mergeCell ref="AB1013:AE1013"/>
    <mergeCell ref="AF1013:AG1013"/>
    <mergeCell ref="AH1013:AI1013"/>
    <mergeCell ref="R1014:S1014"/>
    <mergeCell ref="T1014:U1014"/>
    <mergeCell ref="V1014:W1014"/>
    <mergeCell ref="X1014:AA1014"/>
    <mergeCell ref="AB1014:AE1014"/>
    <mergeCell ref="AF1014:AG1014"/>
    <mergeCell ref="AH1014:AI1014"/>
    <mergeCell ref="AJ1017:AK1017"/>
    <mergeCell ref="AL1017:AM1017"/>
    <mergeCell ref="R1017:S1017"/>
    <mergeCell ref="T1017:U1017"/>
    <mergeCell ref="V1017:W1017"/>
    <mergeCell ref="X1017:AA1017"/>
    <mergeCell ref="AB1017:AE1017"/>
    <mergeCell ref="AF1017:AG1017"/>
    <mergeCell ref="AH1017:AI1017"/>
    <mergeCell ref="AF1018:AG1018"/>
    <mergeCell ref="AH1018:AI1018"/>
    <mergeCell ref="AX1018:AZ1018"/>
    <mergeCell ref="BA1018:BB1018"/>
    <mergeCell ref="BD1018:BE1018"/>
    <mergeCell ref="BF1018:BI1018"/>
    <mergeCell ref="BJ1018:BM1018"/>
    <mergeCell ref="BN1018:BV1018"/>
    <mergeCell ref="BJ1019:BM1019"/>
    <mergeCell ref="BN1019:BV1019"/>
    <mergeCell ref="AJ1015:AK1015"/>
    <mergeCell ref="AL1015:AM1015"/>
    <mergeCell ref="R1015:S1015"/>
    <mergeCell ref="T1015:U1015"/>
    <mergeCell ref="V1015:W1015"/>
    <mergeCell ref="X1015:AA1015"/>
    <mergeCell ref="AB1015:AE1015"/>
    <mergeCell ref="AF1015:AG1015"/>
    <mergeCell ref="AH1015:AI1015"/>
    <mergeCell ref="R1016:S1016"/>
    <mergeCell ref="T1016:U1016"/>
    <mergeCell ref="V1016:W1016"/>
    <mergeCell ref="X1016:AA1016"/>
    <mergeCell ref="AB1016:AE1016"/>
    <mergeCell ref="AF1016:AG1016"/>
    <mergeCell ref="AH1016:AI1016"/>
    <mergeCell ref="AX1016:AZ1016"/>
    <mergeCell ref="BA1016:BB1016"/>
    <mergeCell ref="BD1016:BE1016"/>
    <mergeCell ref="BF1016:BI1016"/>
    <mergeCell ref="BJ1016:BM1016"/>
    <mergeCell ref="BN1016:BV1016"/>
    <mergeCell ref="BJ1017:BM1017"/>
    <mergeCell ref="BN1017:BV1017"/>
    <mergeCell ref="BD1015:BE1015"/>
    <mergeCell ref="BF1015:BI1015"/>
    <mergeCell ref="AX1015:AZ1015"/>
    <mergeCell ref="BA1015:BB1015"/>
    <mergeCell ref="BD1017:BE1017"/>
    <mergeCell ref="BF1017:BI1017"/>
    <mergeCell ref="AN1017:AO1017"/>
    <mergeCell ref="AP1017:AQ1017"/>
    <mergeCell ref="AR1017:AS1017"/>
    <mergeCell ref="AT1017:AU1017"/>
    <mergeCell ref="AV1017:AW1017"/>
    <mergeCell ref="AX1017:AZ1017"/>
    <mergeCell ref="BA1017:BB1017"/>
    <mergeCell ref="B1018:C1018"/>
    <mergeCell ref="D1018:E1018"/>
    <mergeCell ref="F1018:G1018"/>
    <mergeCell ref="H1018:I1018"/>
    <mergeCell ref="J1018:K1018"/>
    <mergeCell ref="L1018:M1018"/>
    <mergeCell ref="P1018:Q1018"/>
    <mergeCell ref="B1019:C1019"/>
    <mergeCell ref="D1019:E1019"/>
    <mergeCell ref="F1019:G1019"/>
    <mergeCell ref="H1019:I1019"/>
    <mergeCell ref="J1019:K1019"/>
    <mergeCell ref="L1019:M1019"/>
    <mergeCell ref="P1019:Q1019"/>
    <mergeCell ref="AJ1018:AK1018"/>
    <mergeCell ref="AL1018:AM1018"/>
    <mergeCell ref="AN1018:AO1018"/>
    <mergeCell ref="AP1018:AQ1018"/>
    <mergeCell ref="AR1018:AS1018"/>
    <mergeCell ref="AT1018:AU1018"/>
    <mergeCell ref="AV1018:AW1018"/>
    <mergeCell ref="BD1021:BE1021"/>
    <mergeCell ref="BF1021:BI1021"/>
    <mergeCell ref="AN1021:AO1021"/>
    <mergeCell ref="AP1021:AQ1021"/>
    <mergeCell ref="AR1021:AS1021"/>
    <mergeCell ref="AT1021:AU1021"/>
    <mergeCell ref="AV1021:AW1021"/>
    <mergeCell ref="AX1021:AZ1021"/>
    <mergeCell ref="BA1021:BB1021"/>
    <mergeCell ref="AJ1019:AK1019"/>
    <mergeCell ref="AL1019:AM1019"/>
    <mergeCell ref="R1019:S1019"/>
    <mergeCell ref="T1019:U1019"/>
    <mergeCell ref="V1019:W1019"/>
    <mergeCell ref="X1019:AA1019"/>
    <mergeCell ref="AB1019:AE1019"/>
    <mergeCell ref="AF1019:AG1019"/>
    <mergeCell ref="AH1019:AI1019"/>
    <mergeCell ref="R1020:S1020"/>
    <mergeCell ref="T1020:U1020"/>
    <mergeCell ref="V1020:W1020"/>
    <mergeCell ref="X1020:AA1020"/>
    <mergeCell ref="AB1020:AE1020"/>
    <mergeCell ref="AF1020:AG1020"/>
    <mergeCell ref="AH1020:AI1020"/>
    <mergeCell ref="AX1020:AZ1020"/>
    <mergeCell ref="BA1020:BB1020"/>
    <mergeCell ref="BD1020:BE1020"/>
    <mergeCell ref="BF1020:BI1020"/>
    <mergeCell ref="BD1019:BE1019"/>
    <mergeCell ref="BF1019:BI1019"/>
    <mergeCell ref="AN1019:AO1019"/>
    <mergeCell ref="AP1019:AQ1019"/>
    <mergeCell ref="AR1019:AS1019"/>
    <mergeCell ref="AT1019:AU1019"/>
    <mergeCell ref="AV1019:AW1019"/>
    <mergeCell ref="AX1019:AZ1019"/>
    <mergeCell ref="BA1019:BB1019"/>
    <mergeCell ref="R1018:S1018"/>
    <mergeCell ref="T1018:U1018"/>
    <mergeCell ref="V1018:W1018"/>
    <mergeCell ref="X1018:AA1018"/>
    <mergeCell ref="AB1018:AE1018"/>
    <mergeCell ref="BJ1020:BM1020"/>
    <mergeCell ref="BN1020:BV1020"/>
    <mergeCell ref="BJ1021:BM1021"/>
    <mergeCell ref="BN1021:BV1021"/>
    <mergeCell ref="B1020:C1020"/>
    <mergeCell ref="D1020:E1020"/>
    <mergeCell ref="F1020:G1020"/>
    <mergeCell ref="H1020:I1020"/>
    <mergeCell ref="J1020:K1020"/>
    <mergeCell ref="L1020:M1020"/>
    <mergeCell ref="P1020:Q1020"/>
    <mergeCell ref="B1021:C1021"/>
    <mergeCell ref="D1021:E1021"/>
    <mergeCell ref="F1021:G1021"/>
    <mergeCell ref="H1021:I1021"/>
    <mergeCell ref="J1021:K1021"/>
    <mergeCell ref="L1021:M1021"/>
    <mergeCell ref="P1021:Q1021"/>
    <mergeCell ref="AJ1020:AK1020"/>
    <mergeCell ref="AL1020:AM1020"/>
    <mergeCell ref="AN1020:AO1020"/>
    <mergeCell ref="AP1020:AQ1020"/>
    <mergeCell ref="AR1020:AS1020"/>
    <mergeCell ref="AT1020:AU1020"/>
    <mergeCell ref="AV1020:AW1020"/>
    <mergeCell ref="BD1023:BE1023"/>
    <mergeCell ref="BF1023:BI1023"/>
    <mergeCell ref="AN1023:AO1023"/>
    <mergeCell ref="AP1023:AQ1023"/>
    <mergeCell ref="AR1023:AS1023"/>
    <mergeCell ref="AT1023:AU1023"/>
    <mergeCell ref="AV1023:AW1023"/>
    <mergeCell ref="AX1023:AZ1023"/>
    <mergeCell ref="BA1023:BB1023"/>
    <mergeCell ref="AJ1021:AK1021"/>
    <mergeCell ref="AL1021:AM1021"/>
    <mergeCell ref="R1021:S1021"/>
    <mergeCell ref="T1021:U1021"/>
    <mergeCell ref="V1021:W1021"/>
    <mergeCell ref="X1021:AA1021"/>
    <mergeCell ref="AB1021:AE1021"/>
    <mergeCell ref="AF1021:AG1021"/>
    <mergeCell ref="AH1021:AI1021"/>
    <mergeCell ref="R1022:S1022"/>
    <mergeCell ref="T1022:U1022"/>
    <mergeCell ref="V1022:W1022"/>
    <mergeCell ref="X1022:AA1022"/>
    <mergeCell ref="AB1022:AE1022"/>
    <mergeCell ref="AF1022:AG1022"/>
    <mergeCell ref="AH1022:AI1022"/>
    <mergeCell ref="AX1022:AZ1022"/>
    <mergeCell ref="BA1022:BB1022"/>
    <mergeCell ref="BD1022:BE1022"/>
    <mergeCell ref="BF1022:BI1022"/>
    <mergeCell ref="BJ1022:BM1022"/>
    <mergeCell ref="BN1022:BV1022"/>
    <mergeCell ref="BJ1023:BM1023"/>
    <mergeCell ref="BN1023:BV1023"/>
    <mergeCell ref="B1022:C1022"/>
    <mergeCell ref="D1022:E1022"/>
    <mergeCell ref="F1022:G1022"/>
    <mergeCell ref="H1022:I1022"/>
    <mergeCell ref="J1022:K1022"/>
    <mergeCell ref="L1022:M1022"/>
    <mergeCell ref="B1028:C1028"/>
    <mergeCell ref="D1028:E1028"/>
    <mergeCell ref="F1028:G1028"/>
    <mergeCell ref="H1028:I1028"/>
    <mergeCell ref="J1028:K1028"/>
    <mergeCell ref="L1028:M1028"/>
    <mergeCell ref="P1028:Q1028"/>
    <mergeCell ref="P1022:Q1022"/>
    <mergeCell ref="B1023:C1023"/>
    <mergeCell ref="D1023:E1023"/>
    <mergeCell ref="F1023:G1023"/>
    <mergeCell ref="H1023:I1023"/>
    <mergeCell ref="J1023:K1023"/>
    <mergeCell ref="L1023:M1023"/>
    <mergeCell ref="P1023:Q1023"/>
    <mergeCell ref="AJ1022:AK1022"/>
    <mergeCell ref="AL1022:AM1022"/>
    <mergeCell ref="AN1022:AO1022"/>
    <mergeCell ref="AP1022:AQ1022"/>
    <mergeCell ref="AR1022:AS1022"/>
    <mergeCell ref="AT1022:AU1022"/>
    <mergeCell ref="AV1022:AW1022"/>
    <mergeCell ref="BD1034:BE1034"/>
    <mergeCell ref="BF1034:BI1034"/>
    <mergeCell ref="AN1034:AO1034"/>
    <mergeCell ref="AP1034:AQ1034"/>
    <mergeCell ref="AR1034:AS1034"/>
    <mergeCell ref="AT1034:AU1034"/>
    <mergeCell ref="AV1034:AW1034"/>
    <mergeCell ref="AX1034:AZ1034"/>
    <mergeCell ref="BA1034:BB1034"/>
    <mergeCell ref="AJ1032:AK1032"/>
    <mergeCell ref="AL1032:AM1032"/>
    <mergeCell ref="R1032:S1032"/>
    <mergeCell ref="T1032:U1032"/>
    <mergeCell ref="V1032:W1032"/>
    <mergeCell ref="X1032:AA1032"/>
    <mergeCell ref="AB1032:AE1032"/>
    <mergeCell ref="AF1032:AG1032"/>
    <mergeCell ref="AH1032:AI1032"/>
    <mergeCell ref="R1033:S1033"/>
    <mergeCell ref="T1033:U1033"/>
    <mergeCell ref="V1033:W1033"/>
    <mergeCell ref="X1033:AA1033"/>
    <mergeCell ref="AB1033:AE1033"/>
    <mergeCell ref="AF1033:AG1033"/>
    <mergeCell ref="AH1033:AI1033"/>
    <mergeCell ref="AX1033:AZ1033"/>
    <mergeCell ref="BA1033:BB1033"/>
    <mergeCell ref="BD1033:BE1033"/>
    <mergeCell ref="BF1033:BI1033"/>
    <mergeCell ref="AL1029:AM1029"/>
    <mergeCell ref="AN1029:AO1029"/>
    <mergeCell ref="AP1029:AQ1029"/>
    <mergeCell ref="AR1029:AS1029"/>
    <mergeCell ref="AT1029:AU1029"/>
    <mergeCell ref="AV1029:AW1029"/>
    <mergeCell ref="BD1032:BE1032"/>
    <mergeCell ref="BF1032:BI1032"/>
    <mergeCell ref="AN1032:AO1032"/>
    <mergeCell ref="AP1032:AQ1032"/>
    <mergeCell ref="AR1032:AS1032"/>
    <mergeCell ref="AT1032:AU1032"/>
    <mergeCell ref="AV1032:AW1032"/>
    <mergeCell ref="R1029:S1029"/>
    <mergeCell ref="T1029:U1029"/>
    <mergeCell ref="V1029:W1029"/>
    <mergeCell ref="X1029:AA1029"/>
    <mergeCell ref="AB1029:AE1029"/>
    <mergeCell ref="AF1029:AG1029"/>
    <mergeCell ref="AH1029:AI1029"/>
    <mergeCell ref="AX1029:AZ1029"/>
    <mergeCell ref="BA1029:BB1029"/>
    <mergeCell ref="BD1029:BE1029"/>
    <mergeCell ref="B1029:C1029"/>
    <mergeCell ref="D1029:E1029"/>
    <mergeCell ref="F1029:G1029"/>
    <mergeCell ref="H1029:I1029"/>
    <mergeCell ref="J1029:K1029"/>
    <mergeCell ref="L1029:M1029"/>
    <mergeCell ref="P1029:Q1029"/>
    <mergeCell ref="B1030:C1030"/>
    <mergeCell ref="D1030:E1030"/>
    <mergeCell ref="F1030:G1030"/>
    <mergeCell ref="H1030:I1030"/>
    <mergeCell ref="J1030:K1030"/>
    <mergeCell ref="L1030:M1030"/>
    <mergeCell ref="P1030:Q1030"/>
    <mergeCell ref="AJ1029:AK1029"/>
    <mergeCell ref="AJ1034:AK1034"/>
    <mergeCell ref="AL1034:AM1034"/>
    <mergeCell ref="R1034:S1034"/>
    <mergeCell ref="T1034:U1034"/>
    <mergeCell ref="V1034:W1034"/>
    <mergeCell ref="X1034:AA1034"/>
    <mergeCell ref="AB1034:AE1034"/>
    <mergeCell ref="AF1034:AG1034"/>
    <mergeCell ref="AH1034:AI1034"/>
    <mergeCell ref="AX1032:AZ1032"/>
    <mergeCell ref="BA1032:BB1032"/>
    <mergeCell ref="AJ1030:AK1030"/>
    <mergeCell ref="AL1030:AM1030"/>
    <mergeCell ref="R1030:S1030"/>
    <mergeCell ref="T1030:U1030"/>
    <mergeCell ref="V1030:W1030"/>
    <mergeCell ref="AT1030:AU1030"/>
    <mergeCell ref="AV1030:AW1030"/>
    <mergeCell ref="AX1030:AZ1030"/>
    <mergeCell ref="BA1030:BB1030"/>
    <mergeCell ref="BJ1033:BM1033"/>
    <mergeCell ref="BN1033:BV1033"/>
    <mergeCell ref="B1033:C1033"/>
    <mergeCell ref="D1033:E1033"/>
    <mergeCell ref="F1033:G1033"/>
    <mergeCell ref="H1033:I1033"/>
    <mergeCell ref="J1033:K1033"/>
    <mergeCell ref="L1033:M1033"/>
    <mergeCell ref="P1033:Q1033"/>
    <mergeCell ref="BJ1030:BM1030"/>
    <mergeCell ref="BN1030:BV1030"/>
    <mergeCell ref="X1030:AA1030"/>
    <mergeCell ref="AB1030:AE1030"/>
    <mergeCell ref="AF1030:AG1030"/>
    <mergeCell ref="AH1030:AI1030"/>
    <mergeCell ref="R1031:S1031"/>
    <mergeCell ref="T1031:U1031"/>
    <mergeCell ref="V1031:W1031"/>
    <mergeCell ref="X1031:AA1031"/>
    <mergeCell ref="AB1031:AE1031"/>
    <mergeCell ref="AF1031:AG1031"/>
    <mergeCell ref="AH1031:AI1031"/>
    <mergeCell ref="AX1031:AZ1031"/>
    <mergeCell ref="BA1031:BB1031"/>
    <mergeCell ref="BD1031:BE1031"/>
    <mergeCell ref="BF1031:BI1031"/>
    <mergeCell ref="BJ1031:BM1031"/>
    <mergeCell ref="BN1031:BV1031"/>
    <mergeCell ref="B1034:C1034"/>
    <mergeCell ref="D1034:E1034"/>
    <mergeCell ref="F1034:G1034"/>
    <mergeCell ref="H1034:I1034"/>
    <mergeCell ref="J1034:K1034"/>
    <mergeCell ref="L1034:M1034"/>
    <mergeCell ref="P1034:Q1034"/>
    <mergeCell ref="AJ1033:AK1033"/>
    <mergeCell ref="AL1033:AM1033"/>
    <mergeCell ref="AN1033:AO1033"/>
    <mergeCell ref="AP1033:AQ1033"/>
    <mergeCell ref="AR1033:AS1033"/>
    <mergeCell ref="AT1033:AU1033"/>
    <mergeCell ref="AV1033:AW1033"/>
    <mergeCell ref="AF1026:AG1026"/>
    <mergeCell ref="AH1026:AI1026"/>
    <mergeCell ref="AX1026:AZ1026"/>
    <mergeCell ref="BA1026:BB1026"/>
    <mergeCell ref="BD1026:BE1026"/>
    <mergeCell ref="BF1026:BI1026"/>
    <mergeCell ref="BD1025:BE1025"/>
    <mergeCell ref="BF1025:BI1025"/>
    <mergeCell ref="AN1025:AO1025"/>
    <mergeCell ref="AP1025:AQ1025"/>
    <mergeCell ref="AR1025:AS1025"/>
    <mergeCell ref="AT1025:AU1025"/>
    <mergeCell ref="AV1025:AW1025"/>
    <mergeCell ref="AX1025:AZ1025"/>
    <mergeCell ref="BA1025:BB1025"/>
    <mergeCell ref="AX1027:AZ1027"/>
    <mergeCell ref="BA1027:BB1027"/>
    <mergeCell ref="BD1027:BE1027"/>
    <mergeCell ref="BF1027:BI1027"/>
    <mergeCell ref="AJ1025:AK1025"/>
    <mergeCell ref="AL1025:AM1025"/>
    <mergeCell ref="BJ1025:BM1025"/>
    <mergeCell ref="BN1025:BV1025"/>
    <mergeCell ref="R1025:S1025"/>
    <mergeCell ref="T1025:U1025"/>
    <mergeCell ref="V1025:W1025"/>
    <mergeCell ref="X1025:AA1025"/>
    <mergeCell ref="AB1025:AE1025"/>
    <mergeCell ref="AF1025:AG1025"/>
    <mergeCell ref="AH1025:AI1025"/>
    <mergeCell ref="BJ1027:BM1027"/>
    <mergeCell ref="BN1027:BV1027"/>
    <mergeCell ref="BJ1028:BM1028"/>
    <mergeCell ref="BN1028:BV1028"/>
    <mergeCell ref="AJ1027:AK1027"/>
    <mergeCell ref="AL1027:AM1027"/>
    <mergeCell ref="AN1027:AO1027"/>
    <mergeCell ref="AP1027:AQ1027"/>
    <mergeCell ref="AR1027:AS1027"/>
    <mergeCell ref="AT1027:AU1027"/>
    <mergeCell ref="AV1027:AW1027"/>
    <mergeCell ref="R1027:S1027"/>
    <mergeCell ref="T1027:U1027"/>
    <mergeCell ref="V1027:W1027"/>
    <mergeCell ref="X1027:AA1027"/>
    <mergeCell ref="AB1027:AE1027"/>
    <mergeCell ref="AF1027:AG1027"/>
    <mergeCell ref="AH1027:AI1027"/>
    <mergeCell ref="AJ1028:AK1028"/>
    <mergeCell ref="AL1028:AM1028"/>
    <mergeCell ref="R1028:S1028"/>
    <mergeCell ref="T1028:U1028"/>
    <mergeCell ref="V1028:W1028"/>
    <mergeCell ref="X1028:AA1028"/>
    <mergeCell ref="AB1028:AE1028"/>
    <mergeCell ref="AF1028:AG1028"/>
    <mergeCell ref="AH1028:AI1028"/>
    <mergeCell ref="AJ1023:AK1023"/>
    <mergeCell ref="AL1023:AM1023"/>
    <mergeCell ref="R1023:S1023"/>
    <mergeCell ref="T1023:U1023"/>
    <mergeCell ref="V1023:W1023"/>
    <mergeCell ref="X1023:AA1023"/>
    <mergeCell ref="AB1023:AE1023"/>
    <mergeCell ref="AF1023:AG1023"/>
    <mergeCell ref="AH1023:AI1023"/>
    <mergeCell ref="R1024:S1024"/>
    <mergeCell ref="T1024:U1024"/>
    <mergeCell ref="V1024:W1024"/>
    <mergeCell ref="X1024:AA1024"/>
    <mergeCell ref="AB1024:AE1024"/>
    <mergeCell ref="AF1024:AG1024"/>
    <mergeCell ref="AH1024:AI1024"/>
    <mergeCell ref="AX1024:AZ1024"/>
    <mergeCell ref="BA1024:BB1024"/>
    <mergeCell ref="BD1024:BE1024"/>
    <mergeCell ref="BF1024:BI1024"/>
    <mergeCell ref="BJ1026:BM1026"/>
    <mergeCell ref="BN1026:BV1026"/>
    <mergeCell ref="AJ1026:AK1026"/>
    <mergeCell ref="AL1026:AM1026"/>
    <mergeCell ref="AN1026:AO1026"/>
    <mergeCell ref="AP1026:AQ1026"/>
    <mergeCell ref="AR1026:AS1026"/>
    <mergeCell ref="AT1026:AU1026"/>
    <mergeCell ref="AV1026:AW1026"/>
    <mergeCell ref="B1026:C1026"/>
    <mergeCell ref="D1026:E1026"/>
    <mergeCell ref="F1026:G1026"/>
    <mergeCell ref="H1026:I1026"/>
    <mergeCell ref="J1026:K1026"/>
    <mergeCell ref="L1026:M1026"/>
    <mergeCell ref="P1026:Q1026"/>
    <mergeCell ref="R1026:S1026"/>
    <mergeCell ref="T1026:U1026"/>
    <mergeCell ref="V1026:W1026"/>
    <mergeCell ref="BJ1024:BM1024"/>
    <mergeCell ref="BN1024:BV1024"/>
    <mergeCell ref="B1024:C1024"/>
    <mergeCell ref="D1024:E1024"/>
    <mergeCell ref="F1024:G1024"/>
    <mergeCell ref="H1024:I1024"/>
    <mergeCell ref="J1024:K1024"/>
    <mergeCell ref="L1024:M1024"/>
    <mergeCell ref="P1024:Q1024"/>
    <mergeCell ref="AJ1024:AK1024"/>
    <mergeCell ref="AL1024:AM1024"/>
    <mergeCell ref="AN1024:AO1024"/>
    <mergeCell ref="AP1024:AQ1024"/>
    <mergeCell ref="AR1024:AS1024"/>
    <mergeCell ref="AT1024:AU1024"/>
    <mergeCell ref="AV1024:AW1024"/>
    <mergeCell ref="B1025:C1025"/>
    <mergeCell ref="D1025:E1025"/>
    <mergeCell ref="F1025:G1025"/>
    <mergeCell ref="H1025:I1025"/>
    <mergeCell ref="J1025:K1025"/>
    <mergeCell ref="L1025:M1025"/>
    <mergeCell ref="P1025:Q1025"/>
    <mergeCell ref="X1026:AA1026"/>
    <mergeCell ref="AB1026:AE1026"/>
    <mergeCell ref="B1027:C1027"/>
    <mergeCell ref="D1027:E1027"/>
    <mergeCell ref="F1027:G1027"/>
    <mergeCell ref="H1027:I1027"/>
    <mergeCell ref="J1027:K1027"/>
    <mergeCell ref="L1027:M1027"/>
    <mergeCell ref="P1027:Q1027"/>
    <mergeCell ref="BD1028:BE1028"/>
    <mergeCell ref="BF1028:BI1028"/>
    <mergeCell ref="AN1028:AO1028"/>
    <mergeCell ref="AP1028:AQ1028"/>
    <mergeCell ref="AR1028:AS1028"/>
    <mergeCell ref="AT1028:AU1028"/>
    <mergeCell ref="AV1028:AW1028"/>
    <mergeCell ref="AX1028:AZ1028"/>
    <mergeCell ref="BA1028:BB1028"/>
    <mergeCell ref="R1035:S1035"/>
    <mergeCell ref="T1035:U1035"/>
    <mergeCell ref="V1035:W1035"/>
    <mergeCell ref="X1035:AA1035"/>
    <mergeCell ref="AB1035:AE1035"/>
    <mergeCell ref="AF1035:AG1035"/>
    <mergeCell ref="AH1035:AI1035"/>
    <mergeCell ref="AX1035:AZ1035"/>
    <mergeCell ref="BA1035:BB1035"/>
    <mergeCell ref="BD1035:BE1035"/>
    <mergeCell ref="BF1035:BI1035"/>
    <mergeCell ref="BJ1035:BM1035"/>
    <mergeCell ref="BN1035:BV1035"/>
    <mergeCell ref="BJ1036:BM1036"/>
    <mergeCell ref="BN1036:BV1036"/>
    <mergeCell ref="BJ1037:BM1037"/>
    <mergeCell ref="BN1037:BV1037"/>
    <mergeCell ref="BF1029:BI1029"/>
    <mergeCell ref="BJ1029:BM1029"/>
    <mergeCell ref="BN1029:BV1029"/>
    <mergeCell ref="BJ1032:BM1032"/>
    <mergeCell ref="BN1032:BV1032"/>
    <mergeCell ref="B1031:C1031"/>
    <mergeCell ref="D1031:E1031"/>
    <mergeCell ref="F1031:G1031"/>
    <mergeCell ref="H1031:I1031"/>
    <mergeCell ref="J1031:K1031"/>
    <mergeCell ref="L1031:M1031"/>
    <mergeCell ref="P1031:Q1031"/>
    <mergeCell ref="B1032:C1032"/>
    <mergeCell ref="D1032:E1032"/>
    <mergeCell ref="F1032:G1032"/>
    <mergeCell ref="H1032:I1032"/>
    <mergeCell ref="J1032:K1032"/>
    <mergeCell ref="L1032:M1032"/>
    <mergeCell ref="P1032:Q1032"/>
    <mergeCell ref="AJ1031:AK1031"/>
    <mergeCell ref="AL1031:AM1031"/>
    <mergeCell ref="AN1031:AO1031"/>
    <mergeCell ref="AP1031:AQ1031"/>
    <mergeCell ref="AR1031:AS1031"/>
    <mergeCell ref="AT1031:AU1031"/>
    <mergeCell ref="AV1031:AW1031"/>
    <mergeCell ref="BD1030:BE1030"/>
    <mergeCell ref="BF1030:BI1030"/>
    <mergeCell ref="AN1030:AO1030"/>
    <mergeCell ref="AP1030:AQ1030"/>
    <mergeCell ref="AR1030:AS1030"/>
    <mergeCell ref="BJ1034:BM1034"/>
    <mergeCell ref="BN1034:BV1034"/>
    <mergeCell ref="AX1037:AZ1037"/>
    <mergeCell ref="BA1037:BB1037"/>
    <mergeCell ref="BD1037:BE1037"/>
    <mergeCell ref="BF1037:BI1037"/>
    <mergeCell ref="B1037:C1037"/>
    <mergeCell ref="D1037:E1037"/>
    <mergeCell ref="F1037:G1037"/>
    <mergeCell ref="H1037:I1037"/>
    <mergeCell ref="J1037:K1037"/>
    <mergeCell ref="L1037:M1037"/>
    <mergeCell ref="P1037:Q1037"/>
    <mergeCell ref="B1038:C1038"/>
    <mergeCell ref="D1038:E1038"/>
    <mergeCell ref="F1038:G1038"/>
    <mergeCell ref="H1038:I1038"/>
    <mergeCell ref="J1038:K1038"/>
    <mergeCell ref="L1038:M1038"/>
    <mergeCell ref="P1038:Q1038"/>
    <mergeCell ref="B1035:C1035"/>
    <mergeCell ref="D1035:E1035"/>
    <mergeCell ref="F1035:G1035"/>
    <mergeCell ref="H1035:I1035"/>
    <mergeCell ref="J1035:K1035"/>
    <mergeCell ref="L1035:M1035"/>
    <mergeCell ref="P1035:Q1035"/>
    <mergeCell ref="AJ1035:AK1035"/>
    <mergeCell ref="AL1035:AM1035"/>
    <mergeCell ref="AN1035:AO1035"/>
    <mergeCell ref="AP1035:AQ1035"/>
    <mergeCell ref="AR1035:AS1035"/>
    <mergeCell ref="AT1035:AU1035"/>
    <mergeCell ref="AV1035:AW1035"/>
    <mergeCell ref="R1036:S1036"/>
    <mergeCell ref="T1036:U1036"/>
    <mergeCell ref="V1036:W1036"/>
    <mergeCell ref="X1036:AA1036"/>
    <mergeCell ref="BD1036:BE1036"/>
    <mergeCell ref="BF1036:BI1036"/>
    <mergeCell ref="AN1036:AO1036"/>
    <mergeCell ref="AP1036:AQ1036"/>
    <mergeCell ref="AR1036:AS1036"/>
    <mergeCell ref="AT1036:AU1036"/>
    <mergeCell ref="AV1036:AW1036"/>
    <mergeCell ref="AX1036:AZ1036"/>
    <mergeCell ref="BA1036:BB1036"/>
    <mergeCell ref="B1039:C1039"/>
    <mergeCell ref="D1039:E1039"/>
    <mergeCell ref="F1039:G1039"/>
    <mergeCell ref="H1039:I1039"/>
    <mergeCell ref="J1039:K1039"/>
    <mergeCell ref="L1039:M1039"/>
    <mergeCell ref="P1039:Q1039"/>
    <mergeCell ref="B1040:C1040"/>
    <mergeCell ref="D1040:E1040"/>
    <mergeCell ref="F1040:G1040"/>
    <mergeCell ref="H1040:I1040"/>
    <mergeCell ref="J1040:K1040"/>
    <mergeCell ref="L1040:M1040"/>
    <mergeCell ref="P1040:Q1040"/>
    <mergeCell ref="AJ1039:AK1039"/>
    <mergeCell ref="AL1039:AM1039"/>
    <mergeCell ref="AN1039:AO1039"/>
    <mergeCell ref="AP1039:AQ1039"/>
    <mergeCell ref="AR1039:AS1039"/>
    <mergeCell ref="AT1039:AU1039"/>
    <mergeCell ref="AV1039:AW1039"/>
    <mergeCell ref="B1036:C1036"/>
    <mergeCell ref="D1036:E1036"/>
    <mergeCell ref="F1036:G1036"/>
    <mergeCell ref="H1036:I1036"/>
    <mergeCell ref="J1036:K1036"/>
    <mergeCell ref="L1036:M1036"/>
    <mergeCell ref="P1036:Q1036"/>
    <mergeCell ref="AN1038:AO1038"/>
    <mergeCell ref="AP1038:AQ1038"/>
    <mergeCell ref="AR1038:AS1038"/>
    <mergeCell ref="AT1038:AU1038"/>
    <mergeCell ref="AV1038:AW1038"/>
    <mergeCell ref="AJ1036:AK1036"/>
    <mergeCell ref="AL1036:AM1036"/>
    <mergeCell ref="AB1036:AE1036"/>
    <mergeCell ref="AF1036:AG1036"/>
    <mergeCell ref="AH1036:AI1036"/>
    <mergeCell ref="R1037:S1037"/>
    <mergeCell ref="T1037:U1037"/>
    <mergeCell ref="V1037:W1037"/>
    <mergeCell ref="X1037:AA1037"/>
    <mergeCell ref="AB1037:AE1037"/>
    <mergeCell ref="AF1037:AG1037"/>
    <mergeCell ref="AH1037:AI1037"/>
    <mergeCell ref="AJ1037:AK1037"/>
    <mergeCell ref="AJ1040:AK1040"/>
    <mergeCell ref="AL1040:AM1040"/>
    <mergeCell ref="R1040:S1040"/>
    <mergeCell ref="T1040:U1040"/>
    <mergeCell ref="V1040:W1040"/>
    <mergeCell ref="X1040:AA1040"/>
    <mergeCell ref="AB1040:AE1040"/>
    <mergeCell ref="AF1040:AG1040"/>
    <mergeCell ref="AH1040:AI1040"/>
    <mergeCell ref="AL1037:AM1037"/>
    <mergeCell ref="AN1037:AO1037"/>
    <mergeCell ref="AP1037:AQ1037"/>
    <mergeCell ref="AR1037:AS1037"/>
    <mergeCell ref="AT1037:AU1037"/>
    <mergeCell ref="AV1037:AW1037"/>
    <mergeCell ref="AF1041:AG1041"/>
    <mergeCell ref="AH1041:AI1041"/>
    <mergeCell ref="AX1041:AZ1041"/>
    <mergeCell ref="BA1041:BB1041"/>
    <mergeCell ref="BD1041:BE1041"/>
    <mergeCell ref="BF1041:BI1041"/>
    <mergeCell ref="BJ1041:BM1041"/>
    <mergeCell ref="BN1041:BV1041"/>
    <mergeCell ref="BJ1042:BM1042"/>
    <mergeCell ref="BN1042:BV1042"/>
    <mergeCell ref="AJ1038:AK1038"/>
    <mergeCell ref="AL1038:AM1038"/>
    <mergeCell ref="R1038:S1038"/>
    <mergeCell ref="T1038:U1038"/>
    <mergeCell ref="V1038:W1038"/>
    <mergeCell ref="X1038:AA1038"/>
    <mergeCell ref="AB1038:AE1038"/>
    <mergeCell ref="AF1038:AG1038"/>
    <mergeCell ref="AH1038:AI1038"/>
    <mergeCell ref="R1039:S1039"/>
    <mergeCell ref="T1039:U1039"/>
    <mergeCell ref="V1039:W1039"/>
    <mergeCell ref="X1039:AA1039"/>
    <mergeCell ref="AB1039:AE1039"/>
    <mergeCell ref="AF1039:AG1039"/>
    <mergeCell ref="AH1039:AI1039"/>
    <mergeCell ref="AX1039:AZ1039"/>
    <mergeCell ref="BA1039:BB1039"/>
    <mergeCell ref="BD1039:BE1039"/>
    <mergeCell ref="BF1039:BI1039"/>
    <mergeCell ref="BJ1039:BM1039"/>
    <mergeCell ref="BN1039:BV1039"/>
    <mergeCell ref="BJ1040:BM1040"/>
    <mergeCell ref="BN1040:BV1040"/>
    <mergeCell ref="BD1038:BE1038"/>
    <mergeCell ref="BF1038:BI1038"/>
    <mergeCell ref="AX1038:AZ1038"/>
    <mergeCell ref="BA1038:BB1038"/>
    <mergeCell ref="BJ1038:BM1038"/>
    <mergeCell ref="BN1038:BV1038"/>
    <mergeCell ref="BD1040:BE1040"/>
    <mergeCell ref="BF1040:BI1040"/>
    <mergeCell ref="AN1040:AO1040"/>
    <mergeCell ref="AP1040:AQ1040"/>
    <mergeCell ref="AR1040:AS1040"/>
    <mergeCell ref="AT1040:AU1040"/>
    <mergeCell ref="AV1040:AW1040"/>
    <mergeCell ref="AX1040:AZ1040"/>
    <mergeCell ref="BA1040:BB1040"/>
    <mergeCell ref="B1041:C1041"/>
    <mergeCell ref="D1041:E1041"/>
    <mergeCell ref="F1041:G1041"/>
    <mergeCell ref="H1041:I1041"/>
    <mergeCell ref="J1041:K1041"/>
    <mergeCell ref="L1041:M1041"/>
    <mergeCell ref="P1041:Q1041"/>
    <mergeCell ref="B1042:C1042"/>
    <mergeCell ref="D1042:E1042"/>
    <mergeCell ref="F1042:G1042"/>
    <mergeCell ref="H1042:I1042"/>
    <mergeCell ref="J1042:K1042"/>
    <mergeCell ref="L1042:M1042"/>
    <mergeCell ref="P1042:Q1042"/>
    <mergeCell ref="AJ1041:AK1041"/>
    <mergeCell ref="AL1041:AM1041"/>
    <mergeCell ref="AN1041:AO1041"/>
    <mergeCell ref="AP1041:AQ1041"/>
    <mergeCell ref="AR1041:AS1041"/>
    <mergeCell ref="AT1041:AU1041"/>
    <mergeCell ref="AV1041:AW1041"/>
    <mergeCell ref="BD1044:BE1044"/>
    <mergeCell ref="BF1044:BI1044"/>
    <mergeCell ref="AN1044:AO1044"/>
    <mergeCell ref="AP1044:AQ1044"/>
    <mergeCell ref="AR1044:AS1044"/>
    <mergeCell ref="AT1044:AU1044"/>
    <mergeCell ref="AV1044:AW1044"/>
    <mergeCell ref="AX1044:AZ1044"/>
    <mergeCell ref="BA1044:BB1044"/>
    <mergeCell ref="AJ1042:AK1042"/>
    <mergeCell ref="AL1042:AM1042"/>
    <mergeCell ref="R1042:S1042"/>
    <mergeCell ref="T1042:U1042"/>
    <mergeCell ref="V1042:W1042"/>
    <mergeCell ref="X1042:AA1042"/>
    <mergeCell ref="AB1042:AE1042"/>
    <mergeCell ref="AF1042:AG1042"/>
    <mergeCell ref="AH1042:AI1042"/>
    <mergeCell ref="R1043:S1043"/>
    <mergeCell ref="T1043:U1043"/>
    <mergeCell ref="V1043:W1043"/>
    <mergeCell ref="X1043:AA1043"/>
    <mergeCell ref="AB1043:AE1043"/>
    <mergeCell ref="AF1043:AG1043"/>
    <mergeCell ref="AH1043:AI1043"/>
    <mergeCell ref="AX1043:AZ1043"/>
    <mergeCell ref="BA1043:BB1043"/>
    <mergeCell ref="BD1043:BE1043"/>
    <mergeCell ref="BF1043:BI1043"/>
    <mergeCell ref="BD1042:BE1042"/>
    <mergeCell ref="BF1042:BI1042"/>
    <mergeCell ref="AN1042:AO1042"/>
    <mergeCell ref="AP1042:AQ1042"/>
    <mergeCell ref="AR1042:AS1042"/>
    <mergeCell ref="AT1042:AU1042"/>
    <mergeCell ref="AV1042:AW1042"/>
    <mergeCell ref="AX1042:AZ1042"/>
    <mergeCell ref="BA1042:BB1042"/>
    <mergeCell ref="R1041:S1041"/>
    <mergeCell ref="T1041:U1041"/>
    <mergeCell ref="V1041:W1041"/>
    <mergeCell ref="X1041:AA1041"/>
    <mergeCell ref="AB1041:AE1041"/>
    <mergeCell ref="BJ1043:BM1043"/>
    <mergeCell ref="BN1043:BV1043"/>
    <mergeCell ref="BJ1044:BM1044"/>
    <mergeCell ref="BN1044:BV1044"/>
    <mergeCell ref="B1043:C1043"/>
    <mergeCell ref="D1043:E1043"/>
    <mergeCell ref="F1043:G1043"/>
    <mergeCell ref="H1043:I1043"/>
    <mergeCell ref="J1043:K1043"/>
    <mergeCell ref="L1043:M1043"/>
    <mergeCell ref="P1043:Q1043"/>
    <mergeCell ref="B1044:C1044"/>
    <mergeCell ref="D1044:E1044"/>
    <mergeCell ref="F1044:G1044"/>
    <mergeCell ref="H1044:I1044"/>
    <mergeCell ref="J1044:K1044"/>
    <mergeCell ref="L1044:M1044"/>
    <mergeCell ref="P1044:Q1044"/>
    <mergeCell ref="AJ1043:AK1043"/>
    <mergeCell ref="AL1043:AM1043"/>
    <mergeCell ref="AN1043:AO1043"/>
    <mergeCell ref="AP1043:AQ1043"/>
    <mergeCell ref="AR1043:AS1043"/>
    <mergeCell ref="AT1043:AU1043"/>
    <mergeCell ref="AV1043:AW1043"/>
    <mergeCell ref="BD1046:BE1046"/>
    <mergeCell ref="BF1046:BI1046"/>
    <mergeCell ref="AN1046:AO1046"/>
    <mergeCell ref="AP1046:AQ1046"/>
    <mergeCell ref="AR1046:AS1046"/>
    <mergeCell ref="AT1046:AU1046"/>
    <mergeCell ref="AV1046:AW1046"/>
    <mergeCell ref="AX1046:AZ1046"/>
    <mergeCell ref="BA1046:BB1046"/>
    <mergeCell ref="AJ1044:AK1044"/>
    <mergeCell ref="AL1044:AM1044"/>
    <mergeCell ref="R1044:S1044"/>
    <mergeCell ref="T1044:U1044"/>
    <mergeCell ref="V1044:W1044"/>
    <mergeCell ref="X1044:AA1044"/>
    <mergeCell ref="AB1044:AE1044"/>
    <mergeCell ref="AF1044:AG1044"/>
    <mergeCell ref="AH1044:AI1044"/>
    <mergeCell ref="R1045:S1045"/>
    <mergeCell ref="T1045:U1045"/>
    <mergeCell ref="V1045:W1045"/>
    <mergeCell ref="X1045:AA1045"/>
    <mergeCell ref="AB1045:AE1045"/>
    <mergeCell ref="AF1045:AG1045"/>
    <mergeCell ref="AH1045:AI1045"/>
    <mergeCell ref="AX1045:AZ1045"/>
    <mergeCell ref="BA1045:BB1045"/>
    <mergeCell ref="BD1045:BE1045"/>
    <mergeCell ref="BF1045:BI1045"/>
    <mergeCell ref="BJ1045:BM1045"/>
    <mergeCell ref="BN1045:BV1045"/>
    <mergeCell ref="BJ1046:BM1046"/>
    <mergeCell ref="BN1046:BV1046"/>
    <mergeCell ref="B1045:C1045"/>
    <mergeCell ref="D1045:E1045"/>
    <mergeCell ref="F1045:G1045"/>
    <mergeCell ref="H1045:I1045"/>
    <mergeCell ref="J1045:K1045"/>
    <mergeCell ref="L1045:M1045"/>
    <mergeCell ref="P1045:Q1045"/>
    <mergeCell ref="B1046:C1046"/>
    <mergeCell ref="D1046:E1046"/>
    <mergeCell ref="F1046:G1046"/>
    <mergeCell ref="H1046:I1046"/>
    <mergeCell ref="J1046:K1046"/>
    <mergeCell ref="L1046:M1046"/>
    <mergeCell ref="P1046:Q1046"/>
    <mergeCell ref="AJ1045:AK1045"/>
    <mergeCell ref="AL1045:AM1045"/>
    <mergeCell ref="AN1045:AO1045"/>
    <mergeCell ref="AP1045:AQ1045"/>
    <mergeCell ref="AR1045:AS1045"/>
    <mergeCell ref="AT1045:AU1045"/>
    <mergeCell ref="AV1045:AW1045"/>
    <mergeCell ref="BD1057:BE1057"/>
    <mergeCell ref="BF1057:BI1057"/>
    <mergeCell ref="AN1057:AO1057"/>
    <mergeCell ref="AP1057:AQ1057"/>
    <mergeCell ref="AR1057:AS1057"/>
    <mergeCell ref="AT1057:AU1057"/>
    <mergeCell ref="AV1057:AW1057"/>
    <mergeCell ref="AX1057:AZ1057"/>
    <mergeCell ref="BA1057:BB1057"/>
    <mergeCell ref="AJ1055:AK1055"/>
    <mergeCell ref="AL1055:AM1055"/>
    <mergeCell ref="R1055:S1055"/>
    <mergeCell ref="T1055:U1055"/>
    <mergeCell ref="V1055:W1055"/>
    <mergeCell ref="X1055:AA1055"/>
    <mergeCell ref="AB1055:AE1055"/>
    <mergeCell ref="AF1055:AG1055"/>
    <mergeCell ref="AH1055:AI1055"/>
    <mergeCell ref="R1056:S1056"/>
    <mergeCell ref="T1056:U1056"/>
    <mergeCell ref="V1056:W1056"/>
    <mergeCell ref="X1056:AA1056"/>
    <mergeCell ref="AB1056:AE1056"/>
    <mergeCell ref="AF1056:AG1056"/>
    <mergeCell ref="AH1056:AI1056"/>
    <mergeCell ref="AX1056:AZ1056"/>
    <mergeCell ref="BA1056:BB1056"/>
    <mergeCell ref="BD1056:BE1056"/>
    <mergeCell ref="BF1056:BI1056"/>
    <mergeCell ref="AL1052:AM1052"/>
    <mergeCell ref="AN1052:AO1052"/>
    <mergeCell ref="AP1052:AQ1052"/>
    <mergeCell ref="AR1052:AS1052"/>
    <mergeCell ref="AT1052:AU1052"/>
    <mergeCell ref="AV1052:AW1052"/>
    <mergeCell ref="BD1055:BE1055"/>
    <mergeCell ref="BF1055:BI1055"/>
    <mergeCell ref="AN1055:AO1055"/>
    <mergeCell ref="AP1055:AQ1055"/>
    <mergeCell ref="AR1055:AS1055"/>
    <mergeCell ref="AT1055:AU1055"/>
    <mergeCell ref="AV1055:AW1055"/>
    <mergeCell ref="AX1055:AZ1055"/>
    <mergeCell ref="BA1055:BB1055"/>
    <mergeCell ref="AJ1053:AK1053"/>
    <mergeCell ref="AL1053:AM1053"/>
    <mergeCell ref="R1053:S1053"/>
    <mergeCell ref="T1053:U1053"/>
    <mergeCell ref="V1053:W1053"/>
    <mergeCell ref="BJ1057:BM1057"/>
    <mergeCell ref="BN1057:BV1057"/>
    <mergeCell ref="B1056:C1056"/>
    <mergeCell ref="D1056:E1056"/>
    <mergeCell ref="F1056:G1056"/>
    <mergeCell ref="H1056:I1056"/>
    <mergeCell ref="J1056:K1056"/>
    <mergeCell ref="L1056:M1056"/>
    <mergeCell ref="P1056:Q1056"/>
    <mergeCell ref="B1057:C1057"/>
    <mergeCell ref="D1057:E1057"/>
    <mergeCell ref="F1057:G1057"/>
    <mergeCell ref="H1057:I1057"/>
    <mergeCell ref="J1057:K1057"/>
    <mergeCell ref="L1057:M1057"/>
    <mergeCell ref="P1057:Q1057"/>
    <mergeCell ref="AJ1056:AK1056"/>
    <mergeCell ref="AL1056:AM1056"/>
    <mergeCell ref="AN1056:AO1056"/>
    <mergeCell ref="AP1056:AQ1056"/>
    <mergeCell ref="AR1056:AS1056"/>
    <mergeCell ref="AT1056:AU1056"/>
    <mergeCell ref="AV1056:AW1056"/>
    <mergeCell ref="AJ1051:AK1051"/>
    <mergeCell ref="AL1051:AM1051"/>
    <mergeCell ref="R1051:S1051"/>
    <mergeCell ref="T1051:U1051"/>
    <mergeCell ref="V1051:W1051"/>
    <mergeCell ref="X1051:AA1051"/>
    <mergeCell ref="AB1051:AE1051"/>
    <mergeCell ref="AF1051:AG1051"/>
    <mergeCell ref="AH1051:AI1051"/>
    <mergeCell ref="R1052:S1052"/>
    <mergeCell ref="T1052:U1052"/>
    <mergeCell ref="V1052:W1052"/>
    <mergeCell ref="X1052:AA1052"/>
    <mergeCell ref="AB1052:AE1052"/>
    <mergeCell ref="AF1052:AG1052"/>
    <mergeCell ref="AH1052:AI1052"/>
    <mergeCell ref="AX1052:AZ1052"/>
    <mergeCell ref="BA1052:BB1052"/>
    <mergeCell ref="BD1052:BE1052"/>
    <mergeCell ref="BF1052:BI1052"/>
    <mergeCell ref="BJ1052:BM1052"/>
    <mergeCell ref="BN1052:BV1052"/>
    <mergeCell ref="BJ1053:BM1053"/>
    <mergeCell ref="BN1053:BV1053"/>
    <mergeCell ref="B1052:C1052"/>
    <mergeCell ref="D1052:E1052"/>
    <mergeCell ref="F1052:G1052"/>
    <mergeCell ref="H1052:I1052"/>
    <mergeCell ref="J1052:K1052"/>
    <mergeCell ref="L1052:M1052"/>
    <mergeCell ref="P1052:Q1052"/>
    <mergeCell ref="B1053:C1053"/>
    <mergeCell ref="D1053:E1053"/>
    <mergeCell ref="F1053:G1053"/>
    <mergeCell ref="H1053:I1053"/>
    <mergeCell ref="J1053:K1053"/>
    <mergeCell ref="L1053:M1053"/>
    <mergeCell ref="P1053:Q1053"/>
    <mergeCell ref="AJ1052:AK1052"/>
    <mergeCell ref="BJ1055:BM1055"/>
    <mergeCell ref="BN1055:BV1055"/>
    <mergeCell ref="B1054:C1054"/>
    <mergeCell ref="D1054:E1054"/>
    <mergeCell ref="F1054:G1054"/>
    <mergeCell ref="H1054:I1054"/>
    <mergeCell ref="J1054:K1054"/>
    <mergeCell ref="L1054:M1054"/>
    <mergeCell ref="P1054:Q1054"/>
    <mergeCell ref="B1055:C1055"/>
    <mergeCell ref="D1055:E1055"/>
    <mergeCell ref="F1055:G1055"/>
    <mergeCell ref="H1055:I1055"/>
    <mergeCell ref="J1055:K1055"/>
    <mergeCell ref="L1055:M1055"/>
    <mergeCell ref="P1055:Q1055"/>
    <mergeCell ref="AJ1054:AK1054"/>
    <mergeCell ref="AL1054:AM1054"/>
    <mergeCell ref="AN1054:AO1054"/>
    <mergeCell ref="AP1054:AQ1054"/>
    <mergeCell ref="AR1054:AS1054"/>
    <mergeCell ref="AT1054:AU1054"/>
    <mergeCell ref="AV1054:AW1054"/>
    <mergeCell ref="BD1053:BE1053"/>
    <mergeCell ref="BF1053:BI1053"/>
    <mergeCell ref="AN1053:AO1053"/>
    <mergeCell ref="AP1053:AQ1053"/>
    <mergeCell ref="AR1053:AS1053"/>
    <mergeCell ref="AT1053:AU1053"/>
    <mergeCell ref="AV1053:AW1053"/>
    <mergeCell ref="AX1053:AZ1053"/>
    <mergeCell ref="BA1053:BB1053"/>
    <mergeCell ref="BJ1056:BM1056"/>
    <mergeCell ref="BN1056:BV1056"/>
    <mergeCell ref="BJ1047:BM1047"/>
    <mergeCell ref="BN1047:BV1047"/>
    <mergeCell ref="B1047:C1047"/>
    <mergeCell ref="D1047:E1047"/>
    <mergeCell ref="F1047:G1047"/>
    <mergeCell ref="H1047:I1047"/>
    <mergeCell ref="J1047:K1047"/>
    <mergeCell ref="L1047:M1047"/>
    <mergeCell ref="P1047:Q1047"/>
    <mergeCell ref="AJ1047:AK1047"/>
    <mergeCell ref="AL1047:AM1047"/>
    <mergeCell ref="AN1047:AO1047"/>
    <mergeCell ref="AP1047:AQ1047"/>
    <mergeCell ref="AR1047:AS1047"/>
    <mergeCell ref="AT1047:AU1047"/>
    <mergeCell ref="AV1047:AW1047"/>
    <mergeCell ref="B1048:C1048"/>
    <mergeCell ref="D1048:E1048"/>
    <mergeCell ref="F1048:G1048"/>
    <mergeCell ref="H1048:I1048"/>
    <mergeCell ref="J1048:K1048"/>
    <mergeCell ref="L1048:M1048"/>
    <mergeCell ref="P1048:Q1048"/>
    <mergeCell ref="X1053:AA1053"/>
    <mergeCell ref="AB1053:AE1053"/>
    <mergeCell ref="AF1053:AG1053"/>
    <mergeCell ref="AH1053:AI1053"/>
    <mergeCell ref="R1054:S1054"/>
    <mergeCell ref="T1054:U1054"/>
    <mergeCell ref="V1054:W1054"/>
    <mergeCell ref="X1054:AA1054"/>
    <mergeCell ref="AB1054:AE1054"/>
    <mergeCell ref="BN1054:BV1054"/>
    <mergeCell ref="X1049:AA1049"/>
    <mergeCell ref="AB1049:AE1049"/>
    <mergeCell ref="AF1049:AG1049"/>
    <mergeCell ref="AH1049:AI1049"/>
    <mergeCell ref="AX1049:AZ1049"/>
    <mergeCell ref="BA1049:BB1049"/>
    <mergeCell ref="BD1049:BE1049"/>
    <mergeCell ref="BF1049:BI1049"/>
    <mergeCell ref="BD1048:BE1048"/>
    <mergeCell ref="BF1048:BI1048"/>
    <mergeCell ref="AN1048:AO1048"/>
    <mergeCell ref="AP1048:AQ1048"/>
    <mergeCell ref="AR1048:AS1048"/>
    <mergeCell ref="AT1048:AU1048"/>
    <mergeCell ref="AV1048:AW1048"/>
    <mergeCell ref="AX1048:AZ1048"/>
    <mergeCell ref="BA1048:BB1048"/>
    <mergeCell ref="AJ1046:AK1046"/>
    <mergeCell ref="AL1046:AM1046"/>
    <mergeCell ref="R1046:S1046"/>
    <mergeCell ref="T1046:U1046"/>
    <mergeCell ref="V1046:W1046"/>
    <mergeCell ref="X1046:AA1046"/>
    <mergeCell ref="AB1046:AE1046"/>
    <mergeCell ref="AF1046:AG1046"/>
    <mergeCell ref="AH1046:AI1046"/>
    <mergeCell ref="R1047:S1047"/>
    <mergeCell ref="T1047:U1047"/>
    <mergeCell ref="V1047:W1047"/>
    <mergeCell ref="X1047:AA1047"/>
    <mergeCell ref="AB1047:AE1047"/>
    <mergeCell ref="AF1047:AG1047"/>
    <mergeCell ref="AH1047:AI1047"/>
    <mergeCell ref="AX1047:AZ1047"/>
    <mergeCell ref="BA1047:BB1047"/>
    <mergeCell ref="BD1047:BE1047"/>
    <mergeCell ref="BF1047:BI1047"/>
    <mergeCell ref="BJ1049:BM1049"/>
    <mergeCell ref="BN1049:BV1049"/>
    <mergeCell ref="AJ1049:AK1049"/>
    <mergeCell ref="AL1049:AM1049"/>
    <mergeCell ref="AN1049:AO1049"/>
    <mergeCell ref="AP1049:AQ1049"/>
    <mergeCell ref="AR1049:AS1049"/>
    <mergeCell ref="AT1049:AU1049"/>
    <mergeCell ref="AV1049:AW1049"/>
    <mergeCell ref="AJ1048:AK1048"/>
    <mergeCell ref="AL1048:AM1048"/>
    <mergeCell ref="BJ1048:BM1048"/>
    <mergeCell ref="BN1048:BV1048"/>
    <mergeCell ref="R1048:S1048"/>
    <mergeCell ref="T1048:U1048"/>
    <mergeCell ref="V1048:W1048"/>
    <mergeCell ref="X1048:AA1048"/>
    <mergeCell ref="AB1048:AE1048"/>
    <mergeCell ref="AF1048:AG1048"/>
    <mergeCell ref="AH1048:AI1048"/>
    <mergeCell ref="AF1080:AG1080"/>
    <mergeCell ref="AH1080:AI1080"/>
    <mergeCell ref="B1049:C1049"/>
    <mergeCell ref="D1049:E1049"/>
    <mergeCell ref="F1049:G1049"/>
    <mergeCell ref="H1049:I1049"/>
    <mergeCell ref="J1049:K1049"/>
    <mergeCell ref="L1049:M1049"/>
    <mergeCell ref="P1049:Q1049"/>
    <mergeCell ref="AX1050:AZ1050"/>
    <mergeCell ref="BA1050:BB1050"/>
    <mergeCell ref="BD1050:BE1050"/>
    <mergeCell ref="BF1050:BI1050"/>
    <mergeCell ref="BJ1050:BM1050"/>
    <mergeCell ref="BN1050:BV1050"/>
    <mergeCell ref="BJ1051:BM1051"/>
    <mergeCell ref="BN1051:BV1051"/>
    <mergeCell ref="B1051:C1051"/>
    <mergeCell ref="D1051:E1051"/>
    <mergeCell ref="F1051:G1051"/>
    <mergeCell ref="H1051:I1051"/>
    <mergeCell ref="J1051:K1051"/>
    <mergeCell ref="L1051:M1051"/>
    <mergeCell ref="P1051:Q1051"/>
    <mergeCell ref="AJ1050:AK1050"/>
    <mergeCell ref="AL1050:AM1050"/>
    <mergeCell ref="AN1050:AO1050"/>
    <mergeCell ref="AP1050:AQ1050"/>
    <mergeCell ref="AR1050:AS1050"/>
    <mergeCell ref="AT1050:AU1050"/>
    <mergeCell ref="AV1050:AW1050"/>
    <mergeCell ref="R1050:S1050"/>
    <mergeCell ref="T1050:U1050"/>
    <mergeCell ref="V1050:W1050"/>
    <mergeCell ref="X1050:AA1050"/>
    <mergeCell ref="AB1050:AE1050"/>
    <mergeCell ref="AF1050:AG1050"/>
    <mergeCell ref="AH1050:AI1050"/>
    <mergeCell ref="B1050:C1050"/>
    <mergeCell ref="D1050:E1050"/>
    <mergeCell ref="F1050:G1050"/>
    <mergeCell ref="H1050:I1050"/>
    <mergeCell ref="J1050:K1050"/>
    <mergeCell ref="L1050:M1050"/>
    <mergeCell ref="P1050:Q1050"/>
    <mergeCell ref="BD1051:BE1051"/>
    <mergeCell ref="BF1051:BI1051"/>
    <mergeCell ref="AN1051:AO1051"/>
    <mergeCell ref="AP1051:AQ1051"/>
    <mergeCell ref="AR1051:AS1051"/>
    <mergeCell ref="AT1051:AU1051"/>
    <mergeCell ref="AV1051:AW1051"/>
    <mergeCell ref="AX1051:AZ1051"/>
    <mergeCell ref="BA1051:BB1051"/>
    <mergeCell ref="R1049:S1049"/>
    <mergeCell ref="T1049:U1049"/>
    <mergeCell ref="V1049:W1049"/>
    <mergeCell ref="AF1054:AG1054"/>
    <mergeCell ref="AH1054:AI1054"/>
    <mergeCell ref="AX1054:AZ1054"/>
    <mergeCell ref="BA1054:BB1054"/>
    <mergeCell ref="BD1054:BE1054"/>
    <mergeCell ref="BF1054:BI1054"/>
    <mergeCell ref="BJ1054:BM1054"/>
    <mergeCell ref="R1084:S1084"/>
    <mergeCell ref="T1084:U1084"/>
    <mergeCell ref="V1084:W1084"/>
    <mergeCell ref="X1084:AA1084"/>
    <mergeCell ref="AB1084:AE1084"/>
    <mergeCell ref="AF1084:AG1084"/>
    <mergeCell ref="AH1084:AI1084"/>
    <mergeCell ref="AX1084:AZ1084"/>
    <mergeCell ref="BA1084:BB1084"/>
    <mergeCell ref="BD1084:BE1084"/>
    <mergeCell ref="BF1084:BI1084"/>
    <mergeCell ref="BJ1084:BM1084"/>
    <mergeCell ref="BN1084:BV1084"/>
    <mergeCell ref="BJ1085:BM1085"/>
    <mergeCell ref="BN1085:BV1085"/>
    <mergeCell ref="AJ1078:AK1078"/>
    <mergeCell ref="AL1078:AM1078"/>
    <mergeCell ref="R1078:S1078"/>
    <mergeCell ref="T1078:U1078"/>
    <mergeCell ref="V1078:W1078"/>
    <mergeCell ref="X1078:AA1078"/>
    <mergeCell ref="AB1078:AE1078"/>
    <mergeCell ref="AF1078:AG1078"/>
    <mergeCell ref="AH1078:AI1078"/>
    <mergeCell ref="R1079:S1079"/>
    <mergeCell ref="T1079:U1079"/>
    <mergeCell ref="V1079:W1079"/>
    <mergeCell ref="X1079:AA1079"/>
    <mergeCell ref="AB1079:AE1079"/>
    <mergeCell ref="AF1079:AG1079"/>
    <mergeCell ref="AH1079:AI1079"/>
    <mergeCell ref="AX1079:AZ1079"/>
    <mergeCell ref="BA1079:BB1079"/>
    <mergeCell ref="BD1079:BE1079"/>
    <mergeCell ref="BF1079:BI1079"/>
    <mergeCell ref="BJ1079:BM1079"/>
    <mergeCell ref="BN1079:BV1079"/>
    <mergeCell ref="AJ1079:AK1079"/>
    <mergeCell ref="AL1079:AM1079"/>
    <mergeCell ref="AN1079:AO1079"/>
    <mergeCell ref="AP1079:AQ1079"/>
    <mergeCell ref="AR1079:AS1079"/>
    <mergeCell ref="AT1079:AU1079"/>
    <mergeCell ref="AV1079:AW1079"/>
    <mergeCell ref="R1081:S1081"/>
    <mergeCell ref="BD1080:BE1080"/>
    <mergeCell ref="BF1080:BI1080"/>
    <mergeCell ref="AN1080:AO1080"/>
    <mergeCell ref="AP1080:AQ1080"/>
    <mergeCell ref="AR1080:AS1080"/>
    <mergeCell ref="AT1080:AU1080"/>
    <mergeCell ref="AV1080:AW1080"/>
    <mergeCell ref="AX1080:AZ1080"/>
    <mergeCell ref="BA1080:BB1080"/>
    <mergeCell ref="BJ1082:BM1082"/>
    <mergeCell ref="AJ1080:AK1080"/>
    <mergeCell ref="AL1080:AM1080"/>
    <mergeCell ref="BJ1080:BM1080"/>
    <mergeCell ref="BN1080:BV1080"/>
    <mergeCell ref="R1080:S1080"/>
    <mergeCell ref="T1080:U1080"/>
    <mergeCell ref="V1080:W1080"/>
    <mergeCell ref="X1080:AA1080"/>
    <mergeCell ref="AB1080:AE1080"/>
    <mergeCell ref="B1080:C1080"/>
    <mergeCell ref="D1080:E1080"/>
    <mergeCell ref="F1080:G1080"/>
    <mergeCell ref="H1080:I1080"/>
    <mergeCell ref="J1080:K1080"/>
    <mergeCell ref="L1080:M1080"/>
    <mergeCell ref="P1080:Q1080"/>
    <mergeCell ref="R1082:S1082"/>
    <mergeCell ref="T1082:U1082"/>
    <mergeCell ref="V1082:W1082"/>
    <mergeCell ref="X1082:AA1082"/>
    <mergeCell ref="AB1082:AE1082"/>
    <mergeCell ref="AF1082:AG1082"/>
    <mergeCell ref="AH1082:AI1082"/>
    <mergeCell ref="B1082:C1082"/>
    <mergeCell ref="D1082:E1082"/>
    <mergeCell ref="F1082:G1082"/>
    <mergeCell ref="H1082:I1082"/>
    <mergeCell ref="J1082:K1082"/>
    <mergeCell ref="L1082:M1082"/>
    <mergeCell ref="P1082:Q1082"/>
    <mergeCell ref="BD1083:BE1083"/>
    <mergeCell ref="BF1083:BI1083"/>
    <mergeCell ref="AN1083:AO1083"/>
    <mergeCell ref="AP1083:AQ1083"/>
    <mergeCell ref="AR1083:AS1083"/>
    <mergeCell ref="AT1083:AU1083"/>
    <mergeCell ref="AV1083:AW1083"/>
    <mergeCell ref="AX1083:AZ1083"/>
    <mergeCell ref="BA1083:BB1083"/>
    <mergeCell ref="B1081:C1081"/>
    <mergeCell ref="D1081:E1081"/>
    <mergeCell ref="F1081:G1081"/>
    <mergeCell ref="H1081:I1081"/>
    <mergeCell ref="J1081:K1081"/>
    <mergeCell ref="L1081:M1081"/>
    <mergeCell ref="P1081:Q1081"/>
    <mergeCell ref="AX1082:AZ1082"/>
    <mergeCell ref="BA1082:BB1082"/>
    <mergeCell ref="BD1082:BE1082"/>
    <mergeCell ref="BF1082:BI1082"/>
    <mergeCell ref="B1083:C1083"/>
    <mergeCell ref="D1083:E1083"/>
    <mergeCell ref="F1083:G1083"/>
    <mergeCell ref="H1083:I1083"/>
    <mergeCell ref="J1083:K1083"/>
    <mergeCell ref="L1083:M1083"/>
    <mergeCell ref="P1083:Q1083"/>
    <mergeCell ref="AJ1082:AK1082"/>
    <mergeCell ref="AL1082:AM1082"/>
    <mergeCell ref="AN1082:AO1082"/>
    <mergeCell ref="AP1082:AQ1082"/>
    <mergeCell ref="AR1082:AS1082"/>
    <mergeCell ref="AT1082:AU1082"/>
    <mergeCell ref="AV1082:AW1082"/>
    <mergeCell ref="AJ1083:AK1083"/>
    <mergeCell ref="AL1083:AM1083"/>
    <mergeCell ref="R1083:S1083"/>
    <mergeCell ref="T1083:U1083"/>
    <mergeCell ref="V1083:W1083"/>
    <mergeCell ref="X1083:AA1083"/>
    <mergeCell ref="AB1083:AE1083"/>
    <mergeCell ref="AF1083:AG1083"/>
    <mergeCell ref="AH1083:AI1083"/>
    <mergeCell ref="BJ1086:BM1086"/>
    <mergeCell ref="BN1086:BV1086"/>
    <mergeCell ref="BJ1087:BM1087"/>
    <mergeCell ref="BN1087:BV1087"/>
    <mergeCell ref="B1086:C1086"/>
    <mergeCell ref="D1086:E1086"/>
    <mergeCell ref="F1086:G1086"/>
    <mergeCell ref="H1086:I1086"/>
    <mergeCell ref="J1086:K1086"/>
    <mergeCell ref="L1086:M1086"/>
    <mergeCell ref="P1086:Q1086"/>
    <mergeCell ref="B1087:C1087"/>
    <mergeCell ref="D1087:E1087"/>
    <mergeCell ref="F1087:G1087"/>
    <mergeCell ref="H1087:I1087"/>
    <mergeCell ref="J1087:K1087"/>
    <mergeCell ref="L1087:M1087"/>
    <mergeCell ref="P1087:Q1087"/>
    <mergeCell ref="AJ1086:AK1086"/>
    <mergeCell ref="AL1086:AM1086"/>
    <mergeCell ref="AN1086:AO1086"/>
    <mergeCell ref="AP1086:AQ1086"/>
    <mergeCell ref="AR1086:AS1086"/>
    <mergeCell ref="AT1086:AU1086"/>
    <mergeCell ref="AV1086:AW1086"/>
    <mergeCell ref="B1084:C1084"/>
    <mergeCell ref="D1084:E1084"/>
    <mergeCell ref="F1084:G1084"/>
    <mergeCell ref="H1084:I1084"/>
    <mergeCell ref="J1084:K1084"/>
    <mergeCell ref="L1084:M1084"/>
    <mergeCell ref="P1084:Q1084"/>
    <mergeCell ref="B1085:C1085"/>
    <mergeCell ref="D1085:E1085"/>
    <mergeCell ref="F1085:G1085"/>
    <mergeCell ref="H1085:I1085"/>
    <mergeCell ref="J1085:K1085"/>
    <mergeCell ref="L1085:M1085"/>
    <mergeCell ref="P1085:Q1085"/>
    <mergeCell ref="AJ1084:AK1084"/>
    <mergeCell ref="AL1084:AM1084"/>
    <mergeCell ref="AN1084:AO1084"/>
    <mergeCell ref="AP1084:AQ1084"/>
    <mergeCell ref="AR1084:AS1084"/>
    <mergeCell ref="AT1084:AU1084"/>
    <mergeCell ref="AV1084:AW1084"/>
    <mergeCell ref="BD1087:BE1087"/>
    <mergeCell ref="BF1087:BI1087"/>
    <mergeCell ref="AN1087:AO1087"/>
    <mergeCell ref="AP1087:AQ1087"/>
    <mergeCell ref="AH1086:AI1086"/>
    <mergeCell ref="AX1086:AZ1086"/>
    <mergeCell ref="BA1086:BB1086"/>
    <mergeCell ref="BD1086:BE1086"/>
    <mergeCell ref="BF1086:BI1086"/>
    <mergeCell ref="BD1085:BE1085"/>
    <mergeCell ref="BF1085:BI1085"/>
    <mergeCell ref="AN1085:AO1085"/>
    <mergeCell ref="AP1085:AQ1085"/>
    <mergeCell ref="AR1085:AS1085"/>
    <mergeCell ref="AT1085:AU1085"/>
    <mergeCell ref="AV1085:AW1085"/>
    <mergeCell ref="AX1085:AZ1085"/>
    <mergeCell ref="BA1085:BB1085"/>
    <mergeCell ref="V1092:W1092"/>
    <mergeCell ref="X1092:AA1092"/>
    <mergeCell ref="AB1092:AE1092"/>
    <mergeCell ref="AF1092:AG1092"/>
    <mergeCell ref="AH1092:AI1092"/>
    <mergeCell ref="R1093:S1093"/>
    <mergeCell ref="T1093:U1093"/>
    <mergeCell ref="V1093:W1093"/>
    <mergeCell ref="X1093:AA1093"/>
    <mergeCell ref="AB1093:AE1093"/>
    <mergeCell ref="AF1093:AG1093"/>
    <mergeCell ref="AH1093:AI1093"/>
    <mergeCell ref="AX1093:AZ1093"/>
    <mergeCell ref="BA1093:BB1093"/>
    <mergeCell ref="BD1093:BE1093"/>
    <mergeCell ref="BF1093:BI1093"/>
    <mergeCell ref="BJ1093:BM1093"/>
    <mergeCell ref="BN1093:BV1093"/>
    <mergeCell ref="BJ1091:BM1091"/>
    <mergeCell ref="BN1091:BV1091"/>
    <mergeCell ref="BJ1092:BM1092"/>
    <mergeCell ref="BN1092:BV1092"/>
    <mergeCell ref="T1081:U1081"/>
    <mergeCell ref="V1081:W1081"/>
    <mergeCell ref="X1081:AA1081"/>
    <mergeCell ref="AB1081:AE1081"/>
    <mergeCell ref="AF1081:AG1081"/>
    <mergeCell ref="AH1081:AI1081"/>
    <mergeCell ref="AX1081:AZ1081"/>
    <mergeCell ref="BA1081:BB1081"/>
    <mergeCell ref="BD1081:BE1081"/>
    <mergeCell ref="BF1081:BI1081"/>
    <mergeCell ref="BJ1081:BM1081"/>
    <mergeCell ref="BN1081:BV1081"/>
    <mergeCell ref="AJ1081:AK1081"/>
    <mergeCell ref="AL1081:AM1081"/>
    <mergeCell ref="AN1081:AO1081"/>
    <mergeCell ref="AP1081:AQ1081"/>
    <mergeCell ref="AR1081:AS1081"/>
    <mergeCell ref="AT1081:AU1081"/>
    <mergeCell ref="AV1081:AW1081"/>
    <mergeCell ref="BN1082:BV1082"/>
    <mergeCell ref="BJ1083:BM1083"/>
    <mergeCell ref="BN1083:BV1083"/>
    <mergeCell ref="AR1087:AS1087"/>
    <mergeCell ref="AT1087:AU1087"/>
    <mergeCell ref="AV1087:AW1087"/>
    <mergeCell ref="AX1087:AZ1087"/>
    <mergeCell ref="BA1087:BB1087"/>
    <mergeCell ref="AJ1085:AK1085"/>
    <mergeCell ref="AL1085:AM1085"/>
    <mergeCell ref="R1085:S1085"/>
    <mergeCell ref="T1085:U1085"/>
    <mergeCell ref="V1085:W1085"/>
    <mergeCell ref="X1085:AA1085"/>
    <mergeCell ref="AB1085:AE1085"/>
    <mergeCell ref="AF1085:AG1085"/>
    <mergeCell ref="AH1085:AI1085"/>
    <mergeCell ref="R1086:S1086"/>
    <mergeCell ref="T1086:U1086"/>
    <mergeCell ref="V1086:W1086"/>
    <mergeCell ref="X1086:AA1086"/>
    <mergeCell ref="AB1086:AE1086"/>
    <mergeCell ref="AF1086:AG1086"/>
    <mergeCell ref="BJ1094:BM1094"/>
    <mergeCell ref="BN1094:BV1094"/>
    <mergeCell ref="B1093:C1093"/>
    <mergeCell ref="D1093:E1093"/>
    <mergeCell ref="F1093:G1093"/>
    <mergeCell ref="H1093:I1093"/>
    <mergeCell ref="J1093:K1093"/>
    <mergeCell ref="L1093:M1093"/>
    <mergeCell ref="P1093:Q1093"/>
    <mergeCell ref="B1094:C1094"/>
    <mergeCell ref="D1094:E1094"/>
    <mergeCell ref="F1094:G1094"/>
    <mergeCell ref="H1094:I1094"/>
    <mergeCell ref="J1094:K1094"/>
    <mergeCell ref="L1094:M1094"/>
    <mergeCell ref="P1094:Q1094"/>
    <mergeCell ref="AJ1093:AK1093"/>
    <mergeCell ref="AL1093:AM1093"/>
    <mergeCell ref="AN1093:AO1093"/>
    <mergeCell ref="AP1093:AQ1093"/>
    <mergeCell ref="AR1093:AS1093"/>
    <mergeCell ref="AT1093:AU1093"/>
    <mergeCell ref="AV1093:AW1093"/>
    <mergeCell ref="BD1096:BE1096"/>
    <mergeCell ref="BF1096:BI1096"/>
    <mergeCell ref="AN1096:AO1096"/>
    <mergeCell ref="AP1096:AQ1096"/>
    <mergeCell ref="AR1096:AS1096"/>
    <mergeCell ref="AT1096:AU1096"/>
    <mergeCell ref="AV1096:AW1096"/>
    <mergeCell ref="AX1096:AZ1096"/>
    <mergeCell ref="BA1096:BB1096"/>
    <mergeCell ref="AJ1094:AK1094"/>
    <mergeCell ref="AL1094:AM1094"/>
    <mergeCell ref="R1094:S1094"/>
    <mergeCell ref="T1094:U1094"/>
    <mergeCell ref="V1094:W1094"/>
    <mergeCell ref="X1094:AA1094"/>
    <mergeCell ref="AB1094:AE1094"/>
    <mergeCell ref="AF1094:AG1094"/>
    <mergeCell ref="AH1094:AI1094"/>
    <mergeCell ref="R1095:S1095"/>
    <mergeCell ref="T1095:U1095"/>
    <mergeCell ref="V1095:W1095"/>
    <mergeCell ref="X1095:AA1095"/>
    <mergeCell ref="AB1095:AE1095"/>
    <mergeCell ref="AF1095:AG1095"/>
    <mergeCell ref="AH1095:AI1095"/>
    <mergeCell ref="AX1095:AZ1095"/>
    <mergeCell ref="BA1095:BB1095"/>
    <mergeCell ref="BD1095:BE1095"/>
    <mergeCell ref="BF1095:BI1095"/>
    <mergeCell ref="BJ1095:BM1095"/>
    <mergeCell ref="BN1095:BV1095"/>
    <mergeCell ref="BJ1096:BM1096"/>
    <mergeCell ref="BN1096:BV1096"/>
    <mergeCell ref="B1095:C1095"/>
    <mergeCell ref="D1095:E1095"/>
    <mergeCell ref="F1095:G1095"/>
    <mergeCell ref="H1095:I1095"/>
    <mergeCell ref="J1095:K1095"/>
    <mergeCell ref="L1095:M1095"/>
    <mergeCell ref="P1095:Q1095"/>
    <mergeCell ref="B1096:C1096"/>
    <mergeCell ref="D1096:E1096"/>
    <mergeCell ref="F1096:G1096"/>
    <mergeCell ref="H1096:I1096"/>
    <mergeCell ref="J1096:K1096"/>
    <mergeCell ref="L1096:M1096"/>
    <mergeCell ref="P1096:Q1096"/>
    <mergeCell ref="AJ1095:AK1095"/>
    <mergeCell ref="AL1095:AM1095"/>
    <mergeCell ref="AN1095:AO1095"/>
    <mergeCell ref="AP1095:AQ1095"/>
    <mergeCell ref="AR1095:AS1095"/>
    <mergeCell ref="AT1095:AU1095"/>
    <mergeCell ref="AV1095:AW1095"/>
    <mergeCell ref="BD1089:BE1089"/>
    <mergeCell ref="BF1089:BI1089"/>
    <mergeCell ref="AN1089:AO1089"/>
    <mergeCell ref="AP1089:AQ1089"/>
    <mergeCell ref="AR1089:AS1089"/>
    <mergeCell ref="AT1089:AU1089"/>
    <mergeCell ref="AV1089:AW1089"/>
    <mergeCell ref="AX1089:AZ1089"/>
    <mergeCell ref="BA1089:BB1089"/>
    <mergeCell ref="AJ1087:AK1087"/>
    <mergeCell ref="AL1087:AM1087"/>
    <mergeCell ref="R1087:S1087"/>
    <mergeCell ref="T1087:U1087"/>
    <mergeCell ref="V1087:W1087"/>
    <mergeCell ref="X1087:AA1087"/>
    <mergeCell ref="AB1087:AE1087"/>
    <mergeCell ref="AF1087:AG1087"/>
    <mergeCell ref="AH1087:AI1087"/>
    <mergeCell ref="R1088:S1088"/>
    <mergeCell ref="T1088:U1088"/>
    <mergeCell ref="V1088:W1088"/>
    <mergeCell ref="X1088:AA1088"/>
    <mergeCell ref="AB1088:AE1088"/>
    <mergeCell ref="AF1088:AG1088"/>
    <mergeCell ref="AH1088:AI1088"/>
    <mergeCell ref="AX1088:AZ1088"/>
    <mergeCell ref="BA1088:BB1088"/>
    <mergeCell ref="BD1088:BE1088"/>
    <mergeCell ref="BF1088:BI1088"/>
    <mergeCell ref="BD1092:BE1092"/>
    <mergeCell ref="BF1092:BI1092"/>
    <mergeCell ref="AN1092:AO1092"/>
    <mergeCell ref="AP1092:AQ1092"/>
    <mergeCell ref="AR1092:AS1092"/>
    <mergeCell ref="AT1092:AU1092"/>
    <mergeCell ref="AV1092:AW1092"/>
    <mergeCell ref="AX1092:AZ1092"/>
    <mergeCell ref="BA1092:BB1092"/>
    <mergeCell ref="AX1091:AZ1091"/>
    <mergeCell ref="BA1091:BB1091"/>
    <mergeCell ref="BD1091:BE1091"/>
    <mergeCell ref="BF1091:BI1091"/>
    <mergeCell ref="AJ1089:AK1089"/>
    <mergeCell ref="AL1089:AM1089"/>
    <mergeCell ref="R1089:S1089"/>
    <mergeCell ref="T1089:U1089"/>
    <mergeCell ref="V1089:W1089"/>
    <mergeCell ref="X1089:AA1089"/>
    <mergeCell ref="AB1089:AE1089"/>
    <mergeCell ref="AF1089:AG1089"/>
    <mergeCell ref="AH1089:AI1089"/>
    <mergeCell ref="BD1094:BE1094"/>
    <mergeCell ref="BF1094:BI1094"/>
    <mergeCell ref="AN1094:AO1094"/>
    <mergeCell ref="AP1094:AQ1094"/>
    <mergeCell ref="AR1094:AS1094"/>
    <mergeCell ref="AT1094:AU1094"/>
    <mergeCell ref="AV1094:AW1094"/>
    <mergeCell ref="AX1094:AZ1094"/>
    <mergeCell ref="BA1094:BB1094"/>
    <mergeCell ref="AJ1098:AK1098"/>
    <mergeCell ref="AL1098:AM1098"/>
    <mergeCell ref="BJ1098:BM1098"/>
    <mergeCell ref="BN1098:BV1098"/>
    <mergeCell ref="R1098:S1098"/>
    <mergeCell ref="T1098:U1098"/>
    <mergeCell ref="V1098:W1098"/>
    <mergeCell ref="X1098:AA1098"/>
    <mergeCell ref="AB1098:AE1098"/>
    <mergeCell ref="AF1098:AG1098"/>
    <mergeCell ref="AH1098:AI1098"/>
    <mergeCell ref="BJ1088:BM1088"/>
    <mergeCell ref="BN1088:BV1088"/>
    <mergeCell ref="B1088:C1088"/>
    <mergeCell ref="D1088:E1088"/>
    <mergeCell ref="F1088:G1088"/>
    <mergeCell ref="H1088:I1088"/>
    <mergeCell ref="J1088:K1088"/>
    <mergeCell ref="L1088:M1088"/>
    <mergeCell ref="P1088:Q1088"/>
    <mergeCell ref="AJ1088:AK1088"/>
    <mergeCell ref="AL1088:AM1088"/>
    <mergeCell ref="AN1088:AO1088"/>
    <mergeCell ref="AP1088:AQ1088"/>
    <mergeCell ref="AR1088:AS1088"/>
    <mergeCell ref="AT1088:AU1088"/>
    <mergeCell ref="AV1088:AW1088"/>
    <mergeCell ref="B1089:C1089"/>
    <mergeCell ref="D1089:E1089"/>
    <mergeCell ref="F1089:G1089"/>
    <mergeCell ref="H1089:I1089"/>
    <mergeCell ref="J1089:K1089"/>
    <mergeCell ref="L1089:M1089"/>
    <mergeCell ref="P1089:Q1089"/>
    <mergeCell ref="R1091:S1091"/>
    <mergeCell ref="T1091:U1091"/>
    <mergeCell ref="V1091:W1091"/>
    <mergeCell ref="X1091:AA1091"/>
    <mergeCell ref="AB1091:AE1091"/>
    <mergeCell ref="AF1091:AG1091"/>
    <mergeCell ref="AH1091:AI1091"/>
    <mergeCell ref="B1091:C1091"/>
    <mergeCell ref="D1091:E1091"/>
    <mergeCell ref="F1091:G1091"/>
    <mergeCell ref="H1091:I1091"/>
    <mergeCell ref="J1091:K1091"/>
    <mergeCell ref="L1091:M1091"/>
    <mergeCell ref="P1091:Q1091"/>
    <mergeCell ref="R1090:S1090"/>
    <mergeCell ref="T1090:U1090"/>
    <mergeCell ref="V1090:W1090"/>
    <mergeCell ref="X1090:AA1090"/>
    <mergeCell ref="AB1090:AE1090"/>
    <mergeCell ref="AF1090:AG1090"/>
    <mergeCell ref="AH1090:AI1090"/>
    <mergeCell ref="AJ1057:AK1057"/>
    <mergeCell ref="AL1057:AM1057"/>
    <mergeCell ref="R1057:S1057"/>
    <mergeCell ref="T1057:U1057"/>
    <mergeCell ref="V1057:W1057"/>
    <mergeCell ref="X1057:AA1057"/>
    <mergeCell ref="AB1057:AE1057"/>
    <mergeCell ref="AF1057:AG1057"/>
    <mergeCell ref="AH1057:AI1057"/>
    <mergeCell ref="R1058:S1058"/>
    <mergeCell ref="T1058:U1058"/>
    <mergeCell ref="V1058:W1058"/>
    <mergeCell ref="X1058:AA1058"/>
    <mergeCell ref="AB1058:AE1058"/>
    <mergeCell ref="AF1058:AG1058"/>
    <mergeCell ref="AH1058:AI1058"/>
    <mergeCell ref="AX1058:AZ1058"/>
    <mergeCell ref="BA1058:BB1058"/>
    <mergeCell ref="BD1058:BE1058"/>
    <mergeCell ref="BF1058:BI1058"/>
    <mergeCell ref="BJ1058:BM1058"/>
    <mergeCell ref="BN1058:BV1058"/>
    <mergeCell ref="BJ1059:BM1059"/>
    <mergeCell ref="BN1059:BV1059"/>
    <mergeCell ref="B1092:C1092"/>
    <mergeCell ref="D1092:E1092"/>
    <mergeCell ref="F1092:G1092"/>
    <mergeCell ref="H1092:I1092"/>
    <mergeCell ref="J1092:K1092"/>
    <mergeCell ref="L1092:M1092"/>
    <mergeCell ref="P1092:Q1092"/>
    <mergeCell ref="AJ1091:AK1091"/>
    <mergeCell ref="AL1091:AM1091"/>
    <mergeCell ref="AN1091:AO1091"/>
    <mergeCell ref="AP1091:AQ1091"/>
    <mergeCell ref="AR1091:AS1091"/>
    <mergeCell ref="AT1091:AU1091"/>
    <mergeCell ref="AV1091:AW1091"/>
    <mergeCell ref="AX1090:AZ1090"/>
    <mergeCell ref="BA1090:BB1090"/>
    <mergeCell ref="BD1090:BE1090"/>
    <mergeCell ref="BF1090:BI1090"/>
    <mergeCell ref="BJ1090:BM1090"/>
    <mergeCell ref="BN1090:BV1090"/>
    <mergeCell ref="AJ1090:AK1090"/>
    <mergeCell ref="AL1090:AM1090"/>
    <mergeCell ref="AN1090:AO1090"/>
    <mergeCell ref="AP1090:AQ1090"/>
    <mergeCell ref="AR1090:AS1090"/>
    <mergeCell ref="AT1090:AU1090"/>
    <mergeCell ref="AV1090:AW1090"/>
    <mergeCell ref="B1090:C1090"/>
    <mergeCell ref="D1090:E1090"/>
    <mergeCell ref="F1090:G1090"/>
    <mergeCell ref="H1090:I1090"/>
    <mergeCell ref="J1090:K1090"/>
    <mergeCell ref="L1090:M1090"/>
    <mergeCell ref="P1090:Q1090"/>
    <mergeCell ref="BJ1089:BM1089"/>
    <mergeCell ref="BN1089:BV1089"/>
    <mergeCell ref="AJ1092:AK1092"/>
    <mergeCell ref="AL1092:AM1092"/>
    <mergeCell ref="R1092:S1092"/>
    <mergeCell ref="T1092:U1092"/>
    <mergeCell ref="B1058:C1058"/>
    <mergeCell ref="D1058:E1058"/>
    <mergeCell ref="F1058:G1058"/>
    <mergeCell ref="H1058:I1058"/>
    <mergeCell ref="J1058:K1058"/>
    <mergeCell ref="L1058:M1058"/>
    <mergeCell ref="P1058:Q1058"/>
    <mergeCell ref="B1059:C1059"/>
    <mergeCell ref="D1059:E1059"/>
    <mergeCell ref="F1059:G1059"/>
    <mergeCell ref="H1059:I1059"/>
    <mergeCell ref="J1059:K1059"/>
    <mergeCell ref="L1059:M1059"/>
    <mergeCell ref="P1059:Q1059"/>
    <mergeCell ref="AJ1058:AK1058"/>
    <mergeCell ref="AL1058:AM1058"/>
    <mergeCell ref="AN1058:AO1058"/>
    <mergeCell ref="AP1058:AQ1058"/>
    <mergeCell ref="AR1058:AS1058"/>
    <mergeCell ref="AT1058:AU1058"/>
    <mergeCell ref="AV1058:AW1058"/>
    <mergeCell ref="BD1061:BE1061"/>
    <mergeCell ref="BF1061:BI1061"/>
    <mergeCell ref="AN1061:AO1061"/>
    <mergeCell ref="AP1061:AQ1061"/>
    <mergeCell ref="AR1061:AS1061"/>
    <mergeCell ref="AT1061:AU1061"/>
    <mergeCell ref="AV1061:AW1061"/>
    <mergeCell ref="AX1061:AZ1061"/>
    <mergeCell ref="BA1061:BB1061"/>
    <mergeCell ref="AJ1059:AK1059"/>
    <mergeCell ref="AL1059:AM1059"/>
    <mergeCell ref="R1059:S1059"/>
    <mergeCell ref="T1059:U1059"/>
    <mergeCell ref="V1059:W1059"/>
    <mergeCell ref="X1059:AA1059"/>
    <mergeCell ref="AB1059:AE1059"/>
    <mergeCell ref="AF1059:AG1059"/>
    <mergeCell ref="AH1059:AI1059"/>
    <mergeCell ref="R1060:S1060"/>
    <mergeCell ref="T1060:U1060"/>
    <mergeCell ref="V1060:W1060"/>
    <mergeCell ref="X1060:AA1060"/>
    <mergeCell ref="AB1060:AE1060"/>
    <mergeCell ref="AF1060:AG1060"/>
    <mergeCell ref="AH1060:AI1060"/>
    <mergeCell ref="AX1060:AZ1060"/>
    <mergeCell ref="BA1060:BB1060"/>
    <mergeCell ref="BD1060:BE1060"/>
    <mergeCell ref="BF1060:BI1060"/>
    <mergeCell ref="BD1059:BE1059"/>
    <mergeCell ref="BF1059:BI1059"/>
    <mergeCell ref="AN1059:AO1059"/>
    <mergeCell ref="AP1059:AQ1059"/>
    <mergeCell ref="AR1059:AS1059"/>
    <mergeCell ref="AT1059:AU1059"/>
    <mergeCell ref="AV1059:AW1059"/>
    <mergeCell ref="AX1059:AZ1059"/>
    <mergeCell ref="BA1059:BB1059"/>
    <mergeCell ref="BJ1060:BM1060"/>
    <mergeCell ref="BN1060:BV1060"/>
    <mergeCell ref="BJ1061:BM1061"/>
    <mergeCell ref="BN1061:BV1061"/>
    <mergeCell ref="B1060:C1060"/>
    <mergeCell ref="D1060:E1060"/>
    <mergeCell ref="F1060:G1060"/>
    <mergeCell ref="H1060:I1060"/>
    <mergeCell ref="J1060:K1060"/>
    <mergeCell ref="L1060:M1060"/>
    <mergeCell ref="P1060:Q1060"/>
    <mergeCell ref="B1061:C1061"/>
    <mergeCell ref="D1061:E1061"/>
    <mergeCell ref="F1061:G1061"/>
    <mergeCell ref="H1061:I1061"/>
    <mergeCell ref="J1061:K1061"/>
    <mergeCell ref="L1061:M1061"/>
    <mergeCell ref="P1061:Q1061"/>
    <mergeCell ref="AJ1060:AK1060"/>
    <mergeCell ref="AL1060:AM1060"/>
    <mergeCell ref="AN1060:AO1060"/>
    <mergeCell ref="AP1060:AQ1060"/>
    <mergeCell ref="AR1060:AS1060"/>
    <mergeCell ref="AT1060:AU1060"/>
    <mergeCell ref="AV1060:AW1060"/>
    <mergeCell ref="BD1063:BE1063"/>
    <mergeCell ref="BF1063:BI1063"/>
    <mergeCell ref="AN1063:AO1063"/>
    <mergeCell ref="AP1063:AQ1063"/>
    <mergeCell ref="AR1063:AS1063"/>
    <mergeCell ref="AT1063:AU1063"/>
    <mergeCell ref="AV1063:AW1063"/>
    <mergeCell ref="AX1063:AZ1063"/>
    <mergeCell ref="BA1063:BB1063"/>
    <mergeCell ref="AJ1061:AK1061"/>
    <mergeCell ref="AL1061:AM1061"/>
    <mergeCell ref="R1061:S1061"/>
    <mergeCell ref="T1061:U1061"/>
    <mergeCell ref="V1061:W1061"/>
    <mergeCell ref="X1061:AA1061"/>
    <mergeCell ref="AB1061:AE1061"/>
    <mergeCell ref="AF1061:AG1061"/>
    <mergeCell ref="AH1061:AI1061"/>
    <mergeCell ref="R1062:S1062"/>
    <mergeCell ref="T1062:U1062"/>
    <mergeCell ref="V1062:W1062"/>
    <mergeCell ref="X1062:AA1062"/>
    <mergeCell ref="AB1062:AE1062"/>
    <mergeCell ref="AF1062:AG1062"/>
    <mergeCell ref="AH1062:AI1062"/>
    <mergeCell ref="AX1062:AZ1062"/>
    <mergeCell ref="BA1062:BB1062"/>
    <mergeCell ref="BD1062:BE1062"/>
    <mergeCell ref="BF1062:BI1062"/>
    <mergeCell ref="BJ1062:BM1062"/>
    <mergeCell ref="BN1062:BV1062"/>
    <mergeCell ref="BJ1063:BM1063"/>
    <mergeCell ref="BN1063:BV1063"/>
    <mergeCell ref="B1062:C1062"/>
    <mergeCell ref="D1062:E1062"/>
    <mergeCell ref="F1062:G1062"/>
    <mergeCell ref="H1062:I1062"/>
    <mergeCell ref="J1062:K1062"/>
    <mergeCell ref="L1062:M1062"/>
    <mergeCell ref="P1062:Q1062"/>
    <mergeCell ref="B1063:C1063"/>
    <mergeCell ref="D1063:E1063"/>
    <mergeCell ref="F1063:G1063"/>
    <mergeCell ref="H1063:I1063"/>
    <mergeCell ref="J1063:K1063"/>
    <mergeCell ref="L1063:M1063"/>
    <mergeCell ref="P1063:Q1063"/>
    <mergeCell ref="AJ1062:AK1062"/>
    <mergeCell ref="AL1062:AM1062"/>
    <mergeCell ref="AN1062:AO1062"/>
    <mergeCell ref="AP1062:AQ1062"/>
    <mergeCell ref="AR1062:AS1062"/>
    <mergeCell ref="AT1062:AU1062"/>
    <mergeCell ref="AV1062:AW1062"/>
    <mergeCell ref="BD1065:BE1065"/>
    <mergeCell ref="BF1065:BI1065"/>
    <mergeCell ref="AN1065:AO1065"/>
    <mergeCell ref="AP1065:AQ1065"/>
    <mergeCell ref="AR1065:AS1065"/>
    <mergeCell ref="AT1065:AU1065"/>
    <mergeCell ref="AV1065:AW1065"/>
    <mergeCell ref="AX1065:AZ1065"/>
    <mergeCell ref="BA1065:BB1065"/>
    <mergeCell ref="AJ1063:AK1063"/>
    <mergeCell ref="AL1063:AM1063"/>
    <mergeCell ref="R1063:S1063"/>
    <mergeCell ref="T1063:U1063"/>
    <mergeCell ref="V1063:W1063"/>
    <mergeCell ref="X1063:AA1063"/>
    <mergeCell ref="AB1063:AE1063"/>
    <mergeCell ref="AF1063:AG1063"/>
    <mergeCell ref="AH1063:AI1063"/>
    <mergeCell ref="R1064:S1064"/>
    <mergeCell ref="T1064:U1064"/>
    <mergeCell ref="V1064:W1064"/>
    <mergeCell ref="X1064:AA1064"/>
    <mergeCell ref="AB1064:AE1064"/>
    <mergeCell ref="AF1064:AG1064"/>
    <mergeCell ref="AH1064:AI1064"/>
    <mergeCell ref="AX1064:AZ1064"/>
    <mergeCell ref="BA1064:BB1064"/>
    <mergeCell ref="BD1064:BE1064"/>
    <mergeCell ref="BF1064:BI1064"/>
    <mergeCell ref="BJ1064:BM1064"/>
    <mergeCell ref="BN1064:BV1064"/>
    <mergeCell ref="BJ1065:BM1065"/>
    <mergeCell ref="BN1065:BV1065"/>
    <mergeCell ref="B1064:C1064"/>
    <mergeCell ref="D1064:E1064"/>
    <mergeCell ref="F1064:G1064"/>
    <mergeCell ref="H1064:I1064"/>
    <mergeCell ref="J1064:K1064"/>
    <mergeCell ref="L1064:M1064"/>
    <mergeCell ref="P1064:Q1064"/>
    <mergeCell ref="B1065:C1065"/>
    <mergeCell ref="D1065:E1065"/>
    <mergeCell ref="F1065:G1065"/>
    <mergeCell ref="H1065:I1065"/>
    <mergeCell ref="J1065:K1065"/>
    <mergeCell ref="L1065:M1065"/>
    <mergeCell ref="P1065:Q1065"/>
    <mergeCell ref="AJ1064:AK1064"/>
    <mergeCell ref="AL1064:AM1064"/>
    <mergeCell ref="AN1064:AO1064"/>
    <mergeCell ref="AP1064:AQ1064"/>
    <mergeCell ref="AR1064:AS1064"/>
    <mergeCell ref="AT1064:AU1064"/>
    <mergeCell ref="AV1064:AW1064"/>
    <mergeCell ref="BD1067:BE1067"/>
    <mergeCell ref="BF1067:BI1067"/>
    <mergeCell ref="AN1067:AO1067"/>
    <mergeCell ref="AP1067:AQ1067"/>
    <mergeCell ref="AR1067:AS1067"/>
    <mergeCell ref="AT1067:AU1067"/>
    <mergeCell ref="AV1067:AW1067"/>
    <mergeCell ref="AX1067:AZ1067"/>
    <mergeCell ref="BA1067:BB1067"/>
    <mergeCell ref="AJ1065:AK1065"/>
    <mergeCell ref="AL1065:AM1065"/>
    <mergeCell ref="R1065:S1065"/>
    <mergeCell ref="T1065:U1065"/>
    <mergeCell ref="V1065:W1065"/>
    <mergeCell ref="X1065:AA1065"/>
    <mergeCell ref="AB1065:AE1065"/>
    <mergeCell ref="AF1065:AG1065"/>
    <mergeCell ref="AH1065:AI1065"/>
    <mergeCell ref="R1066:S1066"/>
    <mergeCell ref="T1066:U1066"/>
    <mergeCell ref="V1066:W1066"/>
    <mergeCell ref="X1066:AA1066"/>
    <mergeCell ref="AB1066:AE1066"/>
    <mergeCell ref="AF1066:AG1066"/>
    <mergeCell ref="AH1066:AI1066"/>
    <mergeCell ref="AX1066:AZ1066"/>
    <mergeCell ref="BA1066:BB1066"/>
    <mergeCell ref="BD1066:BE1066"/>
    <mergeCell ref="BF1066:BI1066"/>
    <mergeCell ref="BJ1066:BM1066"/>
    <mergeCell ref="BN1066:BV1066"/>
    <mergeCell ref="BJ1067:BM1067"/>
    <mergeCell ref="BN1067:BV1067"/>
    <mergeCell ref="B1066:C1066"/>
    <mergeCell ref="D1066:E1066"/>
    <mergeCell ref="F1066:G1066"/>
    <mergeCell ref="H1066:I1066"/>
    <mergeCell ref="J1066:K1066"/>
    <mergeCell ref="L1066:M1066"/>
    <mergeCell ref="P1066:Q1066"/>
    <mergeCell ref="B1067:C1067"/>
    <mergeCell ref="D1067:E1067"/>
    <mergeCell ref="F1067:G1067"/>
    <mergeCell ref="H1067:I1067"/>
    <mergeCell ref="J1067:K1067"/>
    <mergeCell ref="L1067:M1067"/>
    <mergeCell ref="P1067:Q1067"/>
    <mergeCell ref="AJ1066:AK1066"/>
    <mergeCell ref="AL1066:AM1066"/>
    <mergeCell ref="AN1066:AO1066"/>
    <mergeCell ref="AP1066:AQ1066"/>
    <mergeCell ref="AR1066:AS1066"/>
    <mergeCell ref="AT1066:AU1066"/>
    <mergeCell ref="AV1066:AW1066"/>
    <mergeCell ref="BD1069:BE1069"/>
    <mergeCell ref="BF1069:BI1069"/>
    <mergeCell ref="AN1069:AO1069"/>
    <mergeCell ref="AP1069:AQ1069"/>
    <mergeCell ref="AR1069:AS1069"/>
    <mergeCell ref="AT1069:AU1069"/>
    <mergeCell ref="AV1069:AW1069"/>
    <mergeCell ref="AX1069:AZ1069"/>
    <mergeCell ref="BA1069:BB1069"/>
    <mergeCell ref="AJ1067:AK1067"/>
    <mergeCell ref="AL1067:AM1067"/>
    <mergeCell ref="R1067:S1067"/>
    <mergeCell ref="T1067:U1067"/>
    <mergeCell ref="V1067:W1067"/>
    <mergeCell ref="X1067:AA1067"/>
    <mergeCell ref="AB1067:AE1067"/>
    <mergeCell ref="AF1067:AG1067"/>
    <mergeCell ref="AH1067:AI1067"/>
    <mergeCell ref="R1068:S1068"/>
    <mergeCell ref="T1068:U1068"/>
    <mergeCell ref="V1068:W1068"/>
    <mergeCell ref="X1068:AA1068"/>
    <mergeCell ref="AB1068:AE1068"/>
    <mergeCell ref="AF1068:AG1068"/>
    <mergeCell ref="AH1068:AI1068"/>
    <mergeCell ref="AX1068:AZ1068"/>
    <mergeCell ref="BA1068:BB1068"/>
    <mergeCell ref="BD1068:BE1068"/>
    <mergeCell ref="BF1068:BI1068"/>
    <mergeCell ref="AJ1069:AK1069"/>
    <mergeCell ref="AL1069:AM1069"/>
    <mergeCell ref="R1069:S1069"/>
    <mergeCell ref="T1069:U1069"/>
    <mergeCell ref="V1069:W1069"/>
    <mergeCell ref="X1069:AA1069"/>
    <mergeCell ref="AB1069:AE1069"/>
    <mergeCell ref="AF1069:AG1069"/>
    <mergeCell ref="AH1069:AI1069"/>
    <mergeCell ref="BJ1068:BM1068"/>
    <mergeCell ref="BN1068:BV1068"/>
    <mergeCell ref="BJ1069:BM1069"/>
    <mergeCell ref="BN1069:BV1069"/>
    <mergeCell ref="B1068:C1068"/>
    <mergeCell ref="D1068:E1068"/>
    <mergeCell ref="F1068:G1068"/>
    <mergeCell ref="H1068:I1068"/>
    <mergeCell ref="J1068:K1068"/>
    <mergeCell ref="L1068:M1068"/>
    <mergeCell ref="P1068:Q1068"/>
    <mergeCell ref="B1069:C1069"/>
    <mergeCell ref="D1069:E1069"/>
    <mergeCell ref="F1069:G1069"/>
    <mergeCell ref="H1069:I1069"/>
    <mergeCell ref="J1069:K1069"/>
    <mergeCell ref="L1069:M1069"/>
    <mergeCell ref="P1069:Q1069"/>
    <mergeCell ref="AJ1068:AK1068"/>
    <mergeCell ref="AL1068:AM1068"/>
    <mergeCell ref="AN1068:AO1068"/>
    <mergeCell ref="AP1068:AQ1068"/>
    <mergeCell ref="AR1068:AS1068"/>
    <mergeCell ref="AT1068:AU1068"/>
    <mergeCell ref="AV1068:AW1068"/>
    <mergeCell ref="AJ1101:AK1101"/>
    <mergeCell ref="AL1101:AM1101"/>
    <mergeCell ref="R1101:S1101"/>
    <mergeCell ref="T1101:U1101"/>
    <mergeCell ref="V1101:W1101"/>
    <mergeCell ref="X1101:AA1101"/>
    <mergeCell ref="AB1101:AE1101"/>
    <mergeCell ref="AF1101:AG1101"/>
    <mergeCell ref="AH1101:AI1101"/>
    <mergeCell ref="BJ1097:BM1097"/>
    <mergeCell ref="BN1097:BV1097"/>
    <mergeCell ref="B1098:C1098"/>
    <mergeCell ref="D1098:E1098"/>
    <mergeCell ref="F1098:G1098"/>
    <mergeCell ref="H1098:I1098"/>
    <mergeCell ref="J1098:K1098"/>
    <mergeCell ref="L1098:M1098"/>
    <mergeCell ref="P1098:Q1098"/>
    <mergeCell ref="R1100:S1100"/>
    <mergeCell ref="T1100:U1100"/>
    <mergeCell ref="V1100:W1100"/>
    <mergeCell ref="X1100:AA1100"/>
    <mergeCell ref="AB1100:AE1100"/>
    <mergeCell ref="AF1100:AG1100"/>
    <mergeCell ref="AH1100:AI1100"/>
    <mergeCell ref="B1100:C1100"/>
    <mergeCell ref="D1100:E1100"/>
    <mergeCell ref="F1100:G1100"/>
    <mergeCell ref="H1100:I1100"/>
    <mergeCell ref="J1100:K1100"/>
    <mergeCell ref="L1100:M1100"/>
    <mergeCell ref="P1100:Q1100"/>
    <mergeCell ref="BD1101:BE1101"/>
    <mergeCell ref="BF1101:BI1101"/>
    <mergeCell ref="AN1101:AO1101"/>
    <mergeCell ref="AP1101:AQ1101"/>
    <mergeCell ref="AR1101:AS1101"/>
    <mergeCell ref="AT1101:AU1101"/>
    <mergeCell ref="AV1101:AW1101"/>
    <mergeCell ref="R1102:S1102"/>
    <mergeCell ref="T1102:U1102"/>
    <mergeCell ref="V1102:W1102"/>
    <mergeCell ref="X1102:AA1102"/>
    <mergeCell ref="AB1102:AE1102"/>
    <mergeCell ref="AF1102:AG1102"/>
    <mergeCell ref="AH1102:AI1102"/>
    <mergeCell ref="AX1102:AZ1102"/>
    <mergeCell ref="BA1102:BB1102"/>
    <mergeCell ref="BD1102:BE1102"/>
    <mergeCell ref="BF1102:BI1102"/>
    <mergeCell ref="BJ1102:BM1102"/>
    <mergeCell ref="BN1102:BV1102"/>
    <mergeCell ref="BJ1103:BM1103"/>
    <mergeCell ref="BN1103:BV1103"/>
    <mergeCell ref="B1102:C1102"/>
    <mergeCell ref="D1102:E1102"/>
    <mergeCell ref="F1102:G1102"/>
    <mergeCell ref="H1102:I1102"/>
    <mergeCell ref="J1102:K1102"/>
    <mergeCell ref="L1102:M1102"/>
    <mergeCell ref="P1102:Q1102"/>
    <mergeCell ref="B1103:C1103"/>
    <mergeCell ref="D1103:E1103"/>
    <mergeCell ref="F1103:G1103"/>
    <mergeCell ref="H1103:I1103"/>
    <mergeCell ref="J1103:K1103"/>
    <mergeCell ref="L1103:M1103"/>
    <mergeCell ref="P1103:Q1103"/>
    <mergeCell ref="AJ1102:AK1102"/>
    <mergeCell ref="AL1102:AM1102"/>
    <mergeCell ref="AN1102:AO1102"/>
    <mergeCell ref="AP1102:AQ1102"/>
    <mergeCell ref="AR1102:AS1102"/>
    <mergeCell ref="AT1102:AU1102"/>
    <mergeCell ref="AV1102:AW1102"/>
    <mergeCell ref="R1103:S1103"/>
    <mergeCell ref="T1103:U1103"/>
    <mergeCell ref="V1103:W1103"/>
    <mergeCell ref="X1103:AA1103"/>
    <mergeCell ref="AB1103:AE1103"/>
    <mergeCell ref="AF1103:AG1103"/>
    <mergeCell ref="AH1103:AI1103"/>
    <mergeCell ref="AJ1103:AK1103"/>
    <mergeCell ref="AL1103:AM1103"/>
    <mergeCell ref="BD1103:BE1103"/>
    <mergeCell ref="BF1103:BI1103"/>
    <mergeCell ref="AN1103:AO1103"/>
    <mergeCell ref="AP1103:AQ1103"/>
    <mergeCell ref="AR1103:AS1103"/>
    <mergeCell ref="AT1103:AU1103"/>
    <mergeCell ref="AV1103:AW1103"/>
    <mergeCell ref="AX1103:AZ1103"/>
    <mergeCell ref="BA1103:BB1103"/>
    <mergeCell ref="V1104:W1104"/>
    <mergeCell ref="X1104:AA1104"/>
    <mergeCell ref="AB1104:AE1104"/>
    <mergeCell ref="AF1104:AG1104"/>
    <mergeCell ref="AH1104:AI1104"/>
    <mergeCell ref="AJ1104:AK1104"/>
    <mergeCell ref="AL1104:AM1104"/>
    <mergeCell ref="BD1104:BE1104"/>
    <mergeCell ref="BF1104:BI1104"/>
    <mergeCell ref="BJ1104:BM1104"/>
    <mergeCell ref="BN1104:BV1104"/>
    <mergeCell ref="AN1104:AO1104"/>
    <mergeCell ref="AP1104:AQ1104"/>
    <mergeCell ref="AR1104:AS1104"/>
    <mergeCell ref="AT1104:AU1104"/>
    <mergeCell ref="AV1104:AW1104"/>
    <mergeCell ref="AX1104:AZ1104"/>
    <mergeCell ref="BA1104:BB1104"/>
    <mergeCell ref="B1104:C1104"/>
    <mergeCell ref="D1104:E1104"/>
    <mergeCell ref="F1104:G1104"/>
    <mergeCell ref="H1104:I1104"/>
    <mergeCell ref="P1104:Q1104"/>
    <mergeCell ref="R1104:S1104"/>
    <mergeCell ref="T1104:U1104"/>
    <mergeCell ref="B1105:C1105"/>
    <mergeCell ref="D1105:E1105"/>
    <mergeCell ref="F1105:G1105"/>
    <mergeCell ref="H1105:I1105"/>
    <mergeCell ref="J1105:K1105"/>
    <mergeCell ref="L1105:M1105"/>
    <mergeCell ref="P1105:Q1105"/>
    <mergeCell ref="AX1105:AZ1105"/>
    <mergeCell ref="BA1105:BB1105"/>
    <mergeCell ref="BD1105:BE1105"/>
    <mergeCell ref="BF1105:BI1105"/>
    <mergeCell ref="BJ1105:BM1105"/>
    <mergeCell ref="BN1105:BV1105"/>
    <mergeCell ref="AN1105:AO1105"/>
    <mergeCell ref="AP1105:AQ1105"/>
    <mergeCell ref="AR1105:AS1105"/>
    <mergeCell ref="AT1105:AU1105"/>
    <mergeCell ref="AV1105:AW1105"/>
    <mergeCell ref="R1105:S1105"/>
    <mergeCell ref="T1105:U1105"/>
    <mergeCell ref="V1105:W1105"/>
    <mergeCell ref="X1105:AA1105"/>
    <mergeCell ref="AB1105:AE1105"/>
    <mergeCell ref="AF1105:AG1105"/>
    <mergeCell ref="AH1105:AI1105"/>
    <mergeCell ref="AJ1105:AK1105"/>
    <mergeCell ref="AL1105:AM1105"/>
    <mergeCell ref="V1106:W1106"/>
    <mergeCell ref="X1106:AA1106"/>
    <mergeCell ref="AB1106:AE1106"/>
    <mergeCell ref="AF1106:AG1106"/>
    <mergeCell ref="AH1106:AI1106"/>
    <mergeCell ref="AJ1106:AK1106"/>
    <mergeCell ref="AL1106:AM1106"/>
    <mergeCell ref="BD1106:BE1106"/>
    <mergeCell ref="BF1106:BI1106"/>
    <mergeCell ref="BJ1106:BM1106"/>
    <mergeCell ref="BN1106:BV1106"/>
    <mergeCell ref="AN1106:AO1106"/>
    <mergeCell ref="AP1106:AQ1106"/>
    <mergeCell ref="AR1106:AS1106"/>
    <mergeCell ref="AT1106:AU1106"/>
    <mergeCell ref="AV1106:AW1106"/>
    <mergeCell ref="AX1106:AZ1106"/>
    <mergeCell ref="BA1106:BB1106"/>
    <mergeCell ref="B1106:C1106"/>
    <mergeCell ref="D1106:E1106"/>
    <mergeCell ref="F1106:G1106"/>
    <mergeCell ref="H1106:I1106"/>
    <mergeCell ref="P1106:Q1106"/>
    <mergeCell ref="R1106:S1106"/>
    <mergeCell ref="T1106:U1106"/>
    <mergeCell ref="B1107:C1107"/>
    <mergeCell ref="D1107:E1107"/>
    <mergeCell ref="F1107:G1107"/>
    <mergeCell ref="H1107:I1107"/>
    <mergeCell ref="J1107:K1107"/>
    <mergeCell ref="L1107:M1107"/>
    <mergeCell ref="P1107:Q1107"/>
    <mergeCell ref="AX1107:AZ1107"/>
    <mergeCell ref="BA1107:BB1107"/>
    <mergeCell ref="BD1107:BE1107"/>
    <mergeCell ref="BF1107:BI1107"/>
    <mergeCell ref="BJ1107:BM1107"/>
    <mergeCell ref="BN1107:BV1107"/>
    <mergeCell ref="AN1107:AO1107"/>
    <mergeCell ref="AP1107:AQ1107"/>
    <mergeCell ref="AR1107:AS1107"/>
    <mergeCell ref="AT1107:AU1107"/>
    <mergeCell ref="AV1107:AW1107"/>
    <mergeCell ref="R1107:S1107"/>
    <mergeCell ref="T1107:U1107"/>
    <mergeCell ref="V1107:W1107"/>
    <mergeCell ref="X1107:AA1107"/>
    <mergeCell ref="AB1107:AE1107"/>
    <mergeCell ref="AF1107:AG1107"/>
    <mergeCell ref="AH1107:AI1107"/>
    <mergeCell ref="AJ1107:AK1107"/>
    <mergeCell ref="AL1107:AM1107"/>
    <mergeCell ref="V1108:W1108"/>
    <mergeCell ref="X1108:AA1108"/>
    <mergeCell ref="AB1108:AE1108"/>
    <mergeCell ref="AF1108:AG1108"/>
    <mergeCell ref="AH1108:AI1108"/>
    <mergeCell ref="AJ1108:AK1108"/>
    <mergeCell ref="AL1108:AM1108"/>
    <mergeCell ref="BD1108:BE1108"/>
    <mergeCell ref="BF1108:BI1108"/>
    <mergeCell ref="BJ1108:BM1108"/>
    <mergeCell ref="BN1108:BV1108"/>
    <mergeCell ref="AN1108:AO1108"/>
    <mergeCell ref="AP1108:AQ1108"/>
    <mergeCell ref="AR1108:AS1108"/>
    <mergeCell ref="AT1108:AU1108"/>
    <mergeCell ref="AV1108:AW1108"/>
    <mergeCell ref="AX1108:AZ1108"/>
    <mergeCell ref="BA1108:BB1108"/>
    <mergeCell ref="B1108:C1108"/>
    <mergeCell ref="D1108:E1108"/>
    <mergeCell ref="F1108:G1108"/>
    <mergeCell ref="H1108:I1108"/>
    <mergeCell ref="P1108:Q1108"/>
    <mergeCell ref="R1108:S1108"/>
    <mergeCell ref="T1108:U1108"/>
    <mergeCell ref="B1109:C1109"/>
    <mergeCell ref="D1109:E1109"/>
    <mergeCell ref="F1109:G1109"/>
    <mergeCell ref="H1109:I1109"/>
    <mergeCell ref="J1109:K1109"/>
    <mergeCell ref="L1109:M1109"/>
    <mergeCell ref="P1109:Q1109"/>
    <mergeCell ref="AX1109:AZ1109"/>
    <mergeCell ref="BA1109:BB1109"/>
    <mergeCell ref="BD1109:BE1109"/>
    <mergeCell ref="BF1109:BI1109"/>
    <mergeCell ref="BJ1109:BM1109"/>
    <mergeCell ref="BN1109:BV1109"/>
    <mergeCell ref="AN1109:AO1109"/>
    <mergeCell ref="AP1109:AQ1109"/>
    <mergeCell ref="AR1109:AS1109"/>
    <mergeCell ref="AT1109:AU1109"/>
    <mergeCell ref="AV1109:AW1109"/>
    <mergeCell ref="R1109:S1109"/>
    <mergeCell ref="T1109:U1109"/>
    <mergeCell ref="V1109:W1109"/>
    <mergeCell ref="X1109:AA1109"/>
    <mergeCell ref="AB1109:AE1109"/>
    <mergeCell ref="AF1109:AG1109"/>
    <mergeCell ref="AH1109:AI1109"/>
    <mergeCell ref="AJ1109:AK1109"/>
    <mergeCell ref="AL1109:AM1109"/>
    <mergeCell ref="V1110:W1110"/>
    <mergeCell ref="X1110:AA1110"/>
    <mergeCell ref="AB1110:AE1110"/>
    <mergeCell ref="AF1110:AG1110"/>
    <mergeCell ref="AH1110:AI1110"/>
    <mergeCell ref="AJ1110:AK1110"/>
    <mergeCell ref="AL1110:AM1110"/>
    <mergeCell ref="BD1110:BE1110"/>
    <mergeCell ref="BF1110:BI1110"/>
    <mergeCell ref="BJ1110:BM1110"/>
    <mergeCell ref="BN1110:BV1110"/>
    <mergeCell ref="AN1110:AO1110"/>
    <mergeCell ref="AP1110:AQ1110"/>
    <mergeCell ref="AR1110:AS1110"/>
    <mergeCell ref="AT1110:AU1110"/>
    <mergeCell ref="AV1110:AW1110"/>
    <mergeCell ref="AX1110:AZ1110"/>
    <mergeCell ref="BA1110:BB1110"/>
    <mergeCell ref="B1110:C1110"/>
    <mergeCell ref="D1110:E1110"/>
    <mergeCell ref="F1110:G1110"/>
    <mergeCell ref="H1110:I1110"/>
    <mergeCell ref="P1110:Q1110"/>
    <mergeCell ref="R1110:S1110"/>
    <mergeCell ref="T1110:U1110"/>
    <mergeCell ref="B1111:C1111"/>
    <mergeCell ref="D1111:E1111"/>
    <mergeCell ref="F1111:G1111"/>
    <mergeCell ref="H1111:I1111"/>
    <mergeCell ref="J1111:K1111"/>
    <mergeCell ref="L1111:M1111"/>
    <mergeCell ref="P1111:Q1111"/>
    <mergeCell ref="AX1111:AZ1111"/>
    <mergeCell ref="BA1111:BB1111"/>
    <mergeCell ref="BD1111:BE1111"/>
    <mergeCell ref="BF1111:BI1111"/>
    <mergeCell ref="BJ1111:BM1111"/>
    <mergeCell ref="BN1111:BV1111"/>
    <mergeCell ref="AN1111:AO1111"/>
    <mergeCell ref="AP1111:AQ1111"/>
    <mergeCell ref="AR1111:AS1111"/>
    <mergeCell ref="AT1111:AU1111"/>
    <mergeCell ref="AV1111:AW1111"/>
    <mergeCell ref="R1111:S1111"/>
    <mergeCell ref="T1111:U1111"/>
    <mergeCell ref="V1111:W1111"/>
    <mergeCell ref="X1111:AA1111"/>
    <mergeCell ref="AB1111:AE1111"/>
    <mergeCell ref="AF1111:AG1111"/>
    <mergeCell ref="AH1111:AI1111"/>
    <mergeCell ref="AJ1111:AK1111"/>
    <mergeCell ref="AL1111:AM1111"/>
    <mergeCell ref="V1112:W1112"/>
    <mergeCell ref="X1112:AA1112"/>
    <mergeCell ref="AB1112:AE1112"/>
    <mergeCell ref="AF1112:AG1112"/>
    <mergeCell ref="AH1112:AI1112"/>
    <mergeCell ref="AJ1112:AK1112"/>
    <mergeCell ref="AL1112:AM1112"/>
    <mergeCell ref="BD1112:BE1112"/>
    <mergeCell ref="BF1112:BI1112"/>
    <mergeCell ref="BJ1112:BM1112"/>
    <mergeCell ref="BN1112:BV1112"/>
    <mergeCell ref="AN1112:AO1112"/>
    <mergeCell ref="AP1112:AQ1112"/>
    <mergeCell ref="AR1112:AS1112"/>
    <mergeCell ref="AT1112:AU1112"/>
    <mergeCell ref="AV1112:AW1112"/>
    <mergeCell ref="AX1112:AZ1112"/>
    <mergeCell ref="BA1112:BB1112"/>
    <mergeCell ref="B1112:C1112"/>
    <mergeCell ref="D1112:E1112"/>
    <mergeCell ref="F1112:G1112"/>
    <mergeCell ref="H1112:I1112"/>
    <mergeCell ref="P1112:Q1112"/>
    <mergeCell ref="R1112:S1112"/>
    <mergeCell ref="T1112:U1112"/>
    <mergeCell ref="B1113:C1113"/>
    <mergeCell ref="D1113:E1113"/>
    <mergeCell ref="F1113:G1113"/>
    <mergeCell ref="H1113:I1113"/>
    <mergeCell ref="J1113:K1113"/>
    <mergeCell ref="L1113:M1113"/>
    <mergeCell ref="P1113:Q1113"/>
    <mergeCell ref="AX1113:AZ1113"/>
    <mergeCell ref="BA1113:BB1113"/>
    <mergeCell ref="BD1113:BE1113"/>
    <mergeCell ref="BF1113:BI1113"/>
    <mergeCell ref="BJ1113:BM1113"/>
    <mergeCell ref="BN1113:BV1113"/>
    <mergeCell ref="AN1113:AO1113"/>
    <mergeCell ref="AP1113:AQ1113"/>
    <mergeCell ref="AR1113:AS1113"/>
    <mergeCell ref="AT1113:AU1113"/>
    <mergeCell ref="AV1113:AW1113"/>
    <mergeCell ref="R1113:S1113"/>
    <mergeCell ref="T1113:U1113"/>
    <mergeCell ref="V1113:W1113"/>
    <mergeCell ref="X1113:AA1113"/>
    <mergeCell ref="AB1113:AE1113"/>
    <mergeCell ref="AF1113:AG1113"/>
    <mergeCell ref="AH1113:AI1113"/>
    <mergeCell ref="AJ1113:AK1113"/>
    <mergeCell ref="AL1113:AM1113"/>
    <mergeCell ref="V1114:W1114"/>
    <mergeCell ref="X1114:AA1114"/>
    <mergeCell ref="AB1114:AE1114"/>
    <mergeCell ref="AF1114:AG1114"/>
    <mergeCell ref="AH1114:AI1114"/>
    <mergeCell ref="AJ1114:AK1114"/>
    <mergeCell ref="AL1114:AM1114"/>
    <mergeCell ref="BD1114:BE1114"/>
    <mergeCell ref="BF1114:BI1114"/>
    <mergeCell ref="BJ1114:BM1114"/>
    <mergeCell ref="BN1114:BV1114"/>
    <mergeCell ref="AN1114:AO1114"/>
    <mergeCell ref="AP1114:AQ1114"/>
    <mergeCell ref="AR1114:AS1114"/>
    <mergeCell ref="AT1114:AU1114"/>
    <mergeCell ref="AV1114:AW1114"/>
    <mergeCell ref="AX1114:AZ1114"/>
    <mergeCell ref="BA1114:BB1114"/>
    <mergeCell ref="B1114:C1114"/>
    <mergeCell ref="D1114:E1114"/>
    <mergeCell ref="F1114:G1114"/>
    <mergeCell ref="H1114:I1114"/>
    <mergeCell ref="P1114:Q1114"/>
    <mergeCell ref="R1114:S1114"/>
    <mergeCell ref="T1114:U1114"/>
    <mergeCell ref="B1115:C1115"/>
    <mergeCell ref="D1115:E1115"/>
    <mergeCell ref="F1115:G1115"/>
    <mergeCell ref="H1115:I1115"/>
    <mergeCell ref="J1115:K1115"/>
    <mergeCell ref="L1115:M1115"/>
    <mergeCell ref="P1115:Q1115"/>
    <mergeCell ref="AX1115:AZ1115"/>
    <mergeCell ref="BA1115:BB1115"/>
    <mergeCell ref="BD1115:BE1115"/>
    <mergeCell ref="BF1115:BI1115"/>
    <mergeCell ref="BJ1115:BM1115"/>
    <mergeCell ref="BN1115:BV1115"/>
    <mergeCell ref="AN1115:AO1115"/>
    <mergeCell ref="AP1115:AQ1115"/>
    <mergeCell ref="AR1115:AS1115"/>
    <mergeCell ref="AT1115:AU1115"/>
    <mergeCell ref="AV1115:AW1115"/>
    <mergeCell ref="R1115:S1115"/>
    <mergeCell ref="T1115:U1115"/>
    <mergeCell ref="V1115:W1115"/>
    <mergeCell ref="X1115:AA1115"/>
    <mergeCell ref="AB1115:AE1115"/>
    <mergeCell ref="AF1115:AG1115"/>
    <mergeCell ref="AH1115:AI1115"/>
    <mergeCell ref="AJ1115:AK1115"/>
    <mergeCell ref="AL1115:AM1115"/>
    <mergeCell ref="V1116:W1116"/>
    <mergeCell ref="X1116:AA1116"/>
    <mergeCell ref="AB1116:AE1116"/>
    <mergeCell ref="AF1116:AG1116"/>
    <mergeCell ref="AH1116:AI1116"/>
    <mergeCell ref="AJ1116:AK1116"/>
    <mergeCell ref="AL1116:AM1116"/>
    <mergeCell ref="BD1116:BE1116"/>
    <mergeCell ref="BF1116:BI1116"/>
    <mergeCell ref="BJ1116:BM1116"/>
    <mergeCell ref="BN1116:BV1116"/>
    <mergeCell ref="AN1116:AO1116"/>
    <mergeCell ref="AP1116:AQ1116"/>
    <mergeCell ref="AR1116:AS1116"/>
    <mergeCell ref="AT1116:AU1116"/>
    <mergeCell ref="AV1116:AW1116"/>
    <mergeCell ref="AX1116:AZ1116"/>
    <mergeCell ref="BA1116:BB1116"/>
    <mergeCell ref="B1116:C1116"/>
    <mergeCell ref="D1116:E1116"/>
    <mergeCell ref="F1116:G1116"/>
    <mergeCell ref="H1116:I1116"/>
    <mergeCell ref="P1116:Q1116"/>
    <mergeCell ref="R1116:S1116"/>
    <mergeCell ref="T1116:U1116"/>
    <mergeCell ref="B1117:C1117"/>
    <mergeCell ref="D1117:E1117"/>
    <mergeCell ref="F1117:G1117"/>
    <mergeCell ref="H1117:I1117"/>
    <mergeCell ref="J1117:K1117"/>
    <mergeCell ref="L1117:M1117"/>
    <mergeCell ref="P1117:Q1117"/>
    <mergeCell ref="AX1117:AZ1117"/>
    <mergeCell ref="BA1117:BB1117"/>
    <mergeCell ref="BD1117:BE1117"/>
    <mergeCell ref="BF1117:BI1117"/>
    <mergeCell ref="BJ1117:BM1117"/>
    <mergeCell ref="BN1117:BV1117"/>
    <mergeCell ref="AN1117:AO1117"/>
    <mergeCell ref="AP1117:AQ1117"/>
    <mergeCell ref="AR1117:AS1117"/>
    <mergeCell ref="AT1117:AU1117"/>
    <mergeCell ref="AV1117:AW1117"/>
    <mergeCell ref="R1117:S1117"/>
    <mergeCell ref="T1117:U1117"/>
    <mergeCell ref="V1117:W1117"/>
    <mergeCell ref="X1117:AA1117"/>
    <mergeCell ref="AB1117:AE1117"/>
    <mergeCell ref="AF1117:AG1117"/>
    <mergeCell ref="AH1117:AI1117"/>
    <mergeCell ref="AJ1117:AK1117"/>
    <mergeCell ref="AL1117:AM1117"/>
    <mergeCell ref="V1118:W1118"/>
    <mergeCell ref="X1118:AA1118"/>
    <mergeCell ref="AB1118:AE1118"/>
    <mergeCell ref="AF1118:AG1118"/>
    <mergeCell ref="AH1118:AI1118"/>
    <mergeCell ref="AJ1118:AK1118"/>
    <mergeCell ref="AL1118:AM1118"/>
    <mergeCell ref="BD1118:BE1118"/>
    <mergeCell ref="BF1118:BI1118"/>
    <mergeCell ref="BJ1118:BM1118"/>
    <mergeCell ref="BN1118:BV1118"/>
    <mergeCell ref="AN1118:AO1118"/>
    <mergeCell ref="AP1118:AQ1118"/>
    <mergeCell ref="AR1118:AS1118"/>
    <mergeCell ref="AT1118:AU1118"/>
    <mergeCell ref="AV1118:AW1118"/>
    <mergeCell ref="AX1118:AZ1118"/>
    <mergeCell ref="BA1118:BB1118"/>
    <mergeCell ref="B1118:C1118"/>
    <mergeCell ref="D1118:E1118"/>
    <mergeCell ref="F1118:G1118"/>
    <mergeCell ref="H1118:I1118"/>
    <mergeCell ref="P1118:Q1118"/>
    <mergeCell ref="R1118:S1118"/>
    <mergeCell ref="T1118:U1118"/>
    <mergeCell ref="B1119:C1119"/>
    <mergeCell ref="D1119:E1119"/>
    <mergeCell ref="F1119:G1119"/>
    <mergeCell ref="H1119:I1119"/>
    <mergeCell ref="J1119:K1119"/>
    <mergeCell ref="L1119:M1119"/>
    <mergeCell ref="P1119:Q1119"/>
    <mergeCell ref="AX1119:AZ1119"/>
    <mergeCell ref="BA1119:BB1119"/>
    <mergeCell ref="BD1119:BE1119"/>
    <mergeCell ref="BF1119:BI1119"/>
    <mergeCell ref="BJ1119:BM1119"/>
    <mergeCell ref="BN1119:BV1119"/>
    <mergeCell ref="AN1119:AO1119"/>
    <mergeCell ref="AP1119:AQ1119"/>
    <mergeCell ref="AR1119:AS1119"/>
    <mergeCell ref="AT1119:AU1119"/>
    <mergeCell ref="AV1119:AW1119"/>
    <mergeCell ref="R1119:S1119"/>
    <mergeCell ref="T1119:U1119"/>
    <mergeCell ref="V1119:W1119"/>
    <mergeCell ref="X1119:AA1119"/>
    <mergeCell ref="AB1119:AE1119"/>
    <mergeCell ref="AF1119:AG1119"/>
    <mergeCell ref="AH1119:AI1119"/>
    <mergeCell ref="AJ1119:AK1119"/>
    <mergeCell ref="AL1119:AM1119"/>
    <mergeCell ref="V1120:W1120"/>
    <mergeCell ref="X1120:AA1120"/>
    <mergeCell ref="AB1120:AE1120"/>
    <mergeCell ref="AF1120:AG1120"/>
    <mergeCell ref="AH1120:AI1120"/>
    <mergeCell ref="AJ1120:AK1120"/>
    <mergeCell ref="AL1120:AM1120"/>
    <mergeCell ref="BD1120:BE1120"/>
    <mergeCell ref="BF1120:BI1120"/>
    <mergeCell ref="BJ1120:BM1120"/>
    <mergeCell ref="BN1120:BV1120"/>
    <mergeCell ref="AN1120:AO1120"/>
    <mergeCell ref="AP1120:AQ1120"/>
    <mergeCell ref="AR1120:AS1120"/>
    <mergeCell ref="AT1120:AU1120"/>
    <mergeCell ref="AV1120:AW1120"/>
    <mergeCell ref="AX1120:AZ1120"/>
    <mergeCell ref="BA1120:BB1120"/>
    <mergeCell ref="B1120:C1120"/>
    <mergeCell ref="D1120:E1120"/>
    <mergeCell ref="F1120:G1120"/>
    <mergeCell ref="H1120:I1120"/>
    <mergeCell ref="P1120:Q1120"/>
    <mergeCell ref="R1120:S1120"/>
    <mergeCell ref="T1120:U1120"/>
    <mergeCell ref="B1121:C1121"/>
    <mergeCell ref="D1121:E1121"/>
    <mergeCell ref="F1121:G1121"/>
    <mergeCell ref="H1121:I1121"/>
    <mergeCell ref="J1121:K1121"/>
    <mergeCell ref="L1121:M1121"/>
    <mergeCell ref="P1121:Q1121"/>
    <mergeCell ref="AX1121:AZ1121"/>
    <mergeCell ref="BA1121:BB1121"/>
    <mergeCell ref="BD1121:BE1121"/>
    <mergeCell ref="BF1121:BI1121"/>
    <mergeCell ref="BJ1121:BM1121"/>
    <mergeCell ref="BN1121:BV1121"/>
    <mergeCell ref="AN1121:AO1121"/>
    <mergeCell ref="AP1121:AQ1121"/>
    <mergeCell ref="AR1121:AS1121"/>
    <mergeCell ref="AT1121:AU1121"/>
    <mergeCell ref="AV1121:AW1121"/>
    <mergeCell ref="R1121:S1121"/>
    <mergeCell ref="T1121:U1121"/>
    <mergeCell ref="V1121:W1121"/>
    <mergeCell ref="X1121:AA1121"/>
    <mergeCell ref="AB1121:AE1121"/>
    <mergeCell ref="AF1121:AG1121"/>
    <mergeCell ref="AH1121:AI1121"/>
    <mergeCell ref="AJ1121:AK1121"/>
    <mergeCell ref="AL1121:AM1121"/>
    <mergeCell ref="V1122:W1122"/>
    <mergeCell ref="X1122:AA1122"/>
    <mergeCell ref="AB1122:AE1122"/>
    <mergeCell ref="AF1122:AG1122"/>
    <mergeCell ref="AH1122:AI1122"/>
    <mergeCell ref="AJ1122:AK1122"/>
    <mergeCell ref="AL1122:AM1122"/>
    <mergeCell ref="BD1122:BE1122"/>
    <mergeCell ref="BF1122:BI1122"/>
    <mergeCell ref="BJ1122:BM1122"/>
    <mergeCell ref="BN1122:BV1122"/>
    <mergeCell ref="AN1122:AO1122"/>
    <mergeCell ref="AP1122:AQ1122"/>
    <mergeCell ref="AR1122:AS1122"/>
    <mergeCell ref="AT1122:AU1122"/>
    <mergeCell ref="AV1122:AW1122"/>
    <mergeCell ref="AX1122:AZ1122"/>
    <mergeCell ref="BA1122:BB1122"/>
    <mergeCell ref="B1122:C1122"/>
    <mergeCell ref="D1122:E1122"/>
    <mergeCell ref="F1122:G1122"/>
    <mergeCell ref="H1122:I1122"/>
    <mergeCell ref="P1122:Q1122"/>
    <mergeCell ref="R1122:S1122"/>
    <mergeCell ref="T1122:U1122"/>
    <mergeCell ref="B1123:C1123"/>
    <mergeCell ref="D1123:E1123"/>
    <mergeCell ref="F1123:G1123"/>
    <mergeCell ref="H1123:I1123"/>
    <mergeCell ref="J1123:K1123"/>
    <mergeCell ref="L1123:M1123"/>
    <mergeCell ref="P1123:Q1123"/>
    <mergeCell ref="AX1123:AZ1123"/>
    <mergeCell ref="BA1123:BB1123"/>
    <mergeCell ref="BD1123:BE1123"/>
    <mergeCell ref="BF1123:BI1123"/>
    <mergeCell ref="BJ1123:BM1123"/>
    <mergeCell ref="BN1123:BV1123"/>
    <mergeCell ref="AN1123:AO1123"/>
    <mergeCell ref="AP1123:AQ1123"/>
    <mergeCell ref="AR1123:AS1123"/>
    <mergeCell ref="AT1123:AU1123"/>
    <mergeCell ref="AV1123:AW1123"/>
    <mergeCell ref="R1123:S1123"/>
    <mergeCell ref="T1123:U1123"/>
    <mergeCell ref="V1123:W1123"/>
    <mergeCell ref="X1123:AA1123"/>
    <mergeCell ref="AB1123:AE1123"/>
    <mergeCell ref="AF1123:AG1123"/>
    <mergeCell ref="AH1123:AI1123"/>
    <mergeCell ref="AJ1123:AK1123"/>
    <mergeCell ref="AL1123:AM1123"/>
    <mergeCell ref="V1124:W1124"/>
    <mergeCell ref="X1124:AA1124"/>
    <mergeCell ref="AB1124:AE1124"/>
    <mergeCell ref="AF1124:AG1124"/>
    <mergeCell ref="AH1124:AI1124"/>
    <mergeCell ref="AJ1124:AK1124"/>
    <mergeCell ref="AL1124:AM1124"/>
    <mergeCell ref="BD1124:BE1124"/>
    <mergeCell ref="BF1124:BI1124"/>
    <mergeCell ref="BJ1124:BM1124"/>
    <mergeCell ref="BN1124:BV1124"/>
    <mergeCell ref="AN1124:AO1124"/>
    <mergeCell ref="AP1124:AQ1124"/>
    <mergeCell ref="AR1124:AS1124"/>
    <mergeCell ref="AT1124:AU1124"/>
    <mergeCell ref="AV1124:AW1124"/>
    <mergeCell ref="AX1124:AZ1124"/>
    <mergeCell ref="BA1124:BB1124"/>
    <mergeCell ref="B1124:C1124"/>
    <mergeCell ref="D1124:E1124"/>
    <mergeCell ref="F1124:G1124"/>
    <mergeCell ref="H1124:I1124"/>
    <mergeCell ref="P1124:Q1124"/>
    <mergeCell ref="R1124:S1124"/>
    <mergeCell ref="T1124:U1124"/>
    <mergeCell ref="B1125:C1125"/>
    <mergeCell ref="D1125:E1125"/>
    <mergeCell ref="F1125:G1125"/>
    <mergeCell ref="H1125:I1125"/>
    <mergeCell ref="J1125:K1125"/>
    <mergeCell ref="L1125:M1125"/>
    <mergeCell ref="P1125:Q1125"/>
    <mergeCell ref="AX1125:AZ1125"/>
    <mergeCell ref="BA1125:BB1125"/>
    <mergeCell ref="BD1125:BE1125"/>
    <mergeCell ref="BF1125:BI1125"/>
    <mergeCell ref="BJ1125:BM1125"/>
    <mergeCell ref="BN1125:BV1125"/>
    <mergeCell ref="AN1125:AO1125"/>
    <mergeCell ref="AP1125:AQ1125"/>
    <mergeCell ref="AR1125:AS1125"/>
    <mergeCell ref="AT1125:AU1125"/>
    <mergeCell ref="AV1125:AW1125"/>
    <mergeCell ref="R1125:S1125"/>
    <mergeCell ref="T1125:U1125"/>
    <mergeCell ref="V1125:W1125"/>
    <mergeCell ref="X1125:AA1125"/>
    <mergeCell ref="AB1125:AE1125"/>
    <mergeCell ref="AF1125:AG1125"/>
    <mergeCell ref="AH1125:AI1125"/>
    <mergeCell ref="AJ1125:AK1125"/>
    <mergeCell ref="AL1125:AM1125"/>
    <mergeCell ref="V1126:W1126"/>
    <mergeCell ref="X1126:AA1126"/>
    <mergeCell ref="AB1126:AE1126"/>
    <mergeCell ref="AF1126:AG1126"/>
    <mergeCell ref="AH1126:AI1126"/>
    <mergeCell ref="AJ1126:AK1126"/>
    <mergeCell ref="AL1126:AM1126"/>
    <mergeCell ref="BD1126:BE1126"/>
    <mergeCell ref="BF1126:BI1126"/>
    <mergeCell ref="BJ1126:BM1126"/>
    <mergeCell ref="BN1126:BV1126"/>
    <mergeCell ref="AN1126:AO1126"/>
    <mergeCell ref="AP1126:AQ1126"/>
    <mergeCell ref="AR1126:AS1126"/>
    <mergeCell ref="AT1126:AU1126"/>
    <mergeCell ref="AV1126:AW1126"/>
    <mergeCell ref="AX1126:AZ1126"/>
    <mergeCell ref="BA1126:BB1126"/>
    <mergeCell ref="B1126:C1126"/>
    <mergeCell ref="D1126:E1126"/>
    <mergeCell ref="F1126:G1126"/>
    <mergeCell ref="H1126:I1126"/>
    <mergeCell ref="P1126:Q1126"/>
    <mergeCell ref="R1126:S1126"/>
    <mergeCell ref="T1126:U1126"/>
    <mergeCell ref="B1127:C1127"/>
    <mergeCell ref="D1127:E1127"/>
    <mergeCell ref="F1127:G1127"/>
    <mergeCell ref="H1127:I1127"/>
    <mergeCell ref="J1127:K1127"/>
    <mergeCell ref="L1127:M1127"/>
    <mergeCell ref="P1127:Q1127"/>
    <mergeCell ref="AX1127:AZ1127"/>
    <mergeCell ref="BA1127:BB1127"/>
    <mergeCell ref="BD1127:BE1127"/>
    <mergeCell ref="BF1127:BI1127"/>
    <mergeCell ref="BJ1127:BM1127"/>
    <mergeCell ref="BN1127:BV1127"/>
    <mergeCell ref="AN1127:AO1127"/>
    <mergeCell ref="AP1127:AQ1127"/>
    <mergeCell ref="AR1127:AS1127"/>
    <mergeCell ref="AT1127:AU1127"/>
    <mergeCell ref="AV1127:AW1127"/>
    <mergeCell ref="R1127:S1127"/>
    <mergeCell ref="T1127:U1127"/>
    <mergeCell ref="V1127:W1127"/>
    <mergeCell ref="X1127:AA1127"/>
    <mergeCell ref="AB1127:AE1127"/>
    <mergeCell ref="AF1127:AG1127"/>
    <mergeCell ref="AH1127:AI1127"/>
    <mergeCell ref="AJ1127:AK1127"/>
    <mergeCell ref="AL1127:AM1127"/>
    <mergeCell ref="V1128:W1128"/>
    <mergeCell ref="X1128:AA1128"/>
    <mergeCell ref="AB1128:AE1128"/>
    <mergeCell ref="AF1128:AG1128"/>
    <mergeCell ref="AH1128:AI1128"/>
    <mergeCell ref="AJ1128:AK1128"/>
    <mergeCell ref="AL1128:AM1128"/>
    <mergeCell ref="BD1128:BE1128"/>
    <mergeCell ref="BF1128:BI1128"/>
    <mergeCell ref="BJ1128:BM1128"/>
    <mergeCell ref="BN1128:BV1128"/>
    <mergeCell ref="AN1128:AO1128"/>
    <mergeCell ref="AP1128:AQ1128"/>
    <mergeCell ref="AR1128:AS1128"/>
    <mergeCell ref="AT1128:AU1128"/>
    <mergeCell ref="AV1128:AW1128"/>
    <mergeCell ref="AX1128:AZ1128"/>
    <mergeCell ref="BA1128:BB1128"/>
    <mergeCell ref="B1128:C1128"/>
    <mergeCell ref="D1128:E1128"/>
    <mergeCell ref="F1128:G1128"/>
    <mergeCell ref="H1128:I1128"/>
    <mergeCell ref="P1128:Q1128"/>
    <mergeCell ref="R1128:S1128"/>
    <mergeCell ref="T1128:U1128"/>
    <mergeCell ref="B1129:C1129"/>
    <mergeCell ref="D1129:E1129"/>
    <mergeCell ref="F1129:G1129"/>
    <mergeCell ref="H1129:I1129"/>
    <mergeCell ref="J1129:K1129"/>
    <mergeCell ref="L1129:M1129"/>
    <mergeCell ref="P1129:Q1129"/>
    <mergeCell ref="AX1129:AZ1129"/>
    <mergeCell ref="BA1129:BB1129"/>
    <mergeCell ref="BD1129:BE1129"/>
    <mergeCell ref="BF1129:BI1129"/>
    <mergeCell ref="BJ1129:BM1129"/>
    <mergeCell ref="BN1129:BV1129"/>
    <mergeCell ref="AN1129:AO1129"/>
    <mergeCell ref="AP1129:AQ1129"/>
    <mergeCell ref="AR1129:AS1129"/>
    <mergeCell ref="AT1129:AU1129"/>
    <mergeCell ref="AV1129:AW1129"/>
    <mergeCell ref="R1129:S1129"/>
    <mergeCell ref="T1129:U1129"/>
    <mergeCell ref="V1129:W1129"/>
    <mergeCell ref="X1129:AA1129"/>
    <mergeCell ref="AB1129:AE1129"/>
    <mergeCell ref="AF1129:AG1129"/>
    <mergeCell ref="AH1129:AI1129"/>
    <mergeCell ref="AJ1129:AK1129"/>
    <mergeCell ref="AL1129:AM1129"/>
    <mergeCell ref="V1130:W1130"/>
    <mergeCell ref="X1130:AA1130"/>
    <mergeCell ref="AB1130:AE1130"/>
    <mergeCell ref="AF1130:AG1130"/>
    <mergeCell ref="AH1130:AI1130"/>
    <mergeCell ref="AJ1130:AK1130"/>
    <mergeCell ref="AL1130:AM1130"/>
    <mergeCell ref="BD1130:BE1130"/>
    <mergeCell ref="BF1130:BI1130"/>
    <mergeCell ref="BJ1130:BM1130"/>
    <mergeCell ref="BN1130:BV1130"/>
    <mergeCell ref="AN1130:AO1130"/>
    <mergeCell ref="AP1130:AQ1130"/>
    <mergeCell ref="AR1130:AS1130"/>
    <mergeCell ref="AT1130:AU1130"/>
    <mergeCell ref="AV1130:AW1130"/>
    <mergeCell ref="AX1130:AZ1130"/>
    <mergeCell ref="BA1130:BB1130"/>
    <mergeCell ref="B1130:C1130"/>
    <mergeCell ref="D1130:E1130"/>
    <mergeCell ref="F1130:G1130"/>
    <mergeCell ref="H1130:I1130"/>
    <mergeCell ref="P1130:Q1130"/>
    <mergeCell ref="R1130:S1130"/>
    <mergeCell ref="T1130:U1130"/>
    <mergeCell ref="B1131:C1131"/>
    <mergeCell ref="D1131:E1131"/>
    <mergeCell ref="F1131:G1131"/>
    <mergeCell ref="H1131:I1131"/>
    <mergeCell ref="J1131:K1131"/>
    <mergeCell ref="L1131:M1131"/>
    <mergeCell ref="P1131:Q1131"/>
    <mergeCell ref="AX1131:AZ1131"/>
    <mergeCell ref="BA1131:BB1131"/>
    <mergeCell ref="BD1131:BE1131"/>
    <mergeCell ref="BF1131:BI1131"/>
    <mergeCell ref="BJ1131:BM1131"/>
    <mergeCell ref="BN1131:BV1131"/>
    <mergeCell ref="AN1131:AO1131"/>
    <mergeCell ref="AP1131:AQ1131"/>
    <mergeCell ref="AR1131:AS1131"/>
    <mergeCell ref="AT1131:AU1131"/>
    <mergeCell ref="AV1131:AW1131"/>
    <mergeCell ref="R1131:S1131"/>
    <mergeCell ref="T1131:U1131"/>
    <mergeCell ref="V1131:W1131"/>
    <mergeCell ref="X1131:AA1131"/>
    <mergeCell ref="AB1131:AE1131"/>
    <mergeCell ref="AF1131:AG1131"/>
    <mergeCell ref="AH1131:AI1131"/>
    <mergeCell ref="AJ1131:AK1131"/>
    <mergeCell ref="AL1131:AM1131"/>
    <mergeCell ref="V1132:W1132"/>
    <mergeCell ref="X1132:AA1132"/>
    <mergeCell ref="AB1132:AE1132"/>
    <mergeCell ref="AF1132:AG1132"/>
    <mergeCell ref="AH1132:AI1132"/>
    <mergeCell ref="AJ1132:AK1132"/>
    <mergeCell ref="AL1132:AM1132"/>
    <mergeCell ref="BD1132:BE1132"/>
    <mergeCell ref="BF1132:BI1132"/>
    <mergeCell ref="BJ1132:BM1132"/>
    <mergeCell ref="BN1132:BV1132"/>
    <mergeCell ref="AN1132:AO1132"/>
    <mergeCell ref="AP1132:AQ1132"/>
    <mergeCell ref="AR1132:AS1132"/>
    <mergeCell ref="AT1132:AU1132"/>
    <mergeCell ref="AV1132:AW1132"/>
    <mergeCell ref="AX1132:AZ1132"/>
    <mergeCell ref="BA1132:BB1132"/>
    <mergeCell ref="B1132:C1132"/>
    <mergeCell ref="D1132:E1132"/>
    <mergeCell ref="F1132:G1132"/>
    <mergeCell ref="H1132:I1132"/>
    <mergeCell ref="P1132:Q1132"/>
    <mergeCell ref="R1132:S1132"/>
    <mergeCell ref="T1132:U1132"/>
    <mergeCell ref="B1133:C1133"/>
    <mergeCell ref="D1133:E1133"/>
    <mergeCell ref="F1133:G1133"/>
    <mergeCell ref="H1133:I1133"/>
    <mergeCell ref="J1133:K1133"/>
    <mergeCell ref="L1133:M1133"/>
    <mergeCell ref="P1133:Q1133"/>
    <mergeCell ref="AX1133:AZ1133"/>
    <mergeCell ref="BA1133:BB1133"/>
    <mergeCell ref="BD1133:BE1133"/>
    <mergeCell ref="BF1133:BI1133"/>
    <mergeCell ref="BJ1133:BM1133"/>
    <mergeCell ref="BN1133:BV1133"/>
    <mergeCell ref="AN1133:AO1133"/>
    <mergeCell ref="AP1133:AQ1133"/>
    <mergeCell ref="AR1133:AS1133"/>
    <mergeCell ref="AT1133:AU1133"/>
    <mergeCell ref="AV1133:AW1133"/>
    <mergeCell ref="R1133:S1133"/>
    <mergeCell ref="T1133:U1133"/>
    <mergeCell ref="V1133:W1133"/>
    <mergeCell ref="X1133:AA1133"/>
    <mergeCell ref="AB1133:AE1133"/>
    <mergeCell ref="AF1133:AG1133"/>
    <mergeCell ref="AH1133:AI1133"/>
    <mergeCell ref="AJ1133:AK1133"/>
    <mergeCell ref="AL1133:AM1133"/>
    <mergeCell ref="V1134:W1134"/>
    <mergeCell ref="X1134:AA1134"/>
    <mergeCell ref="AB1134:AE1134"/>
    <mergeCell ref="AF1134:AG1134"/>
    <mergeCell ref="AH1134:AI1134"/>
    <mergeCell ref="AJ1134:AK1134"/>
    <mergeCell ref="AL1134:AM1134"/>
    <mergeCell ref="BD1134:BE1134"/>
    <mergeCell ref="BF1134:BI1134"/>
    <mergeCell ref="BJ1134:BM1134"/>
    <mergeCell ref="BN1134:BV1134"/>
    <mergeCell ref="AN1134:AO1134"/>
    <mergeCell ref="AP1134:AQ1134"/>
    <mergeCell ref="AR1134:AS1134"/>
    <mergeCell ref="AT1134:AU1134"/>
    <mergeCell ref="AV1134:AW1134"/>
    <mergeCell ref="AX1134:AZ1134"/>
    <mergeCell ref="BA1134:BB1134"/>
    <mergeCell ref="B1134:C1134"/>
    <mergeCell ref="D1134:E1134"/>
    <mergeCell ref="F1134:G1134"/>
    <mergeCell ref="H1134:I1134"/>
    <mergeCell ref="P1134:Q1134"/>
    <mergeCell ref="R1134:S1134"/>
    <mergeCell ref="T1134:U1134"/>
    <mergeCell ref="B1135:C1135"/>
    <mergeCell ref="D1135:E1135"/>
    <mergeCell ref="F1135:G1135"/>
    <mergeCell ref="H1135:I1135"/>
    <mergeCell ref="J1135:K1135"/>
    <mergeCell ref="L1135:M1135"/>
    <mergeCell ref="P1135:Q1135"/>
    <mergeCell ref="AX1135:AZ1135"/>
    <mergeCell ref="BA1135:BB1135"/>
    <mergeCell ref="BD1135:BE1135"/>
    <mergeCell ref="BF1135:BI1135"/>
    <mergeCell ref="BJ1135:BM1135"/>
    <mergeCell ref="BN1135:BV1135"/>
    <mergeCell ref="AN1135:AO1135"/>
    <mergeCell ref="AP1135:AQ1135"/>
    <mergeCell ref="AR1135:AS1135"/>
    <mergeCell ref="AT1135:AU1135"/>
    <mergeCell ref="AV1135:AW1135"/>
    <mergeCell ref="R1135:S1135"/>
    <mergeCell ref="T1135:U1135"/>
    <mergeCell ref="V1135:W1135"/>
    <mergeCell ref="X1135:AA1135"/>
    <mergeCell ref="AB1135:AE1135"/>
    <mergeCell ref="AF1135:AG1135"/>
    <mergeCell ref="AH1135:AI1135"/>
    <mergeCell ref="AJ1135:AK1135"/>
    <mergeCell ref="AL1135:AM1135"/>
    <mergeCell ref="V1136:W1136"/>
    <mergeCell ref="X1136:AA1136"/>
    <mergeCell ref="AB1136:AE1136"/>
    <mergeCell ref="AF1136:AG1136"/>
    <mergeCell ref="AH1136:AI1136"/>
    <mergeCell ref="AJ1136:AK1136"/>
    <mergeCell ref="AL1136:AM1136"/>
    <mergeCell ref="BD1136:BE1136"/>
    <mergeCell ref="BF1136:BI1136"/>
    <mergeCell ref="BJ1136:BM1136"/>
    <mergeCell ref="BN1136:BV1136"/>
    <mergeCell ref="AN1136:AO1136"/>
    <mergeCell ref="AP1136:AQ1136"/>
    <mergeCell ref="AR1136:AS1136"/>
    <mergeCell ref="AT1136:AU1136"/>
    <mergeCell ref="AV1136:AW1136"/>
    <mergeCell ref="AX1136:AZ1136"/>
    <mergeCell ref="BA1136:BB1136"/>
    <mergeCell ref="B1136:C1136"/>
    <mergeCell ref="D1136:E1136"/>
    <mergeCell ref="F1136:G1136"/>
    <mergeCell ref="H1136:I1136"/>
    <mergeCell ref="P1136:Q1136"/>
    <mergeCell ref="R1136:S1136"/>
    <mergeCell ref="T1136:U1136"/>
    <mergeCell ref="B1137:C1137"/>
    <mergeCell ref="D1137:E1137"/>
    <mergeCell ref="F1137:G1137"/>
    <mergeCell ref="H1137:I1137"/>
    <mergeCell ref="J1137:K1137"/>
    <mergeCell ref="L1137:M1137"/>
    <mergeCell ref="P1137:Q1137"/>
    <mergeCell ref="AX1137:AZ1137"/>
    <mergeCell ref="BA1137:BB1137"/>
    <mergeCell ref="BD1137:BE1137"/>
    <mergeCell ref="BF1137:BI1137"/>
    <mergeCell ref="BJ1137:BM1137"/>
    <mergeCell ref="BN1137:BV1137"/>
    <mergeCell ref="AN1137:AO1137"/>
    <mergeCell ref="AP1137:AQ1137"/>
    <mergeCell ref="AR1137:AS1137"/>
    <mergeCell ref="AT1137:AU1137"/>
    <mergeCell ref="AV1137:AW1137"/>
    <mergeCell ref="R1137:S1137"/>
    <mergeCell ref="T1137:U1137"/>
    <mergeCell ref="V1137:W1137"/>
    <mergeCell ref="X1137:AA1137"/>
    <mergeCell ref="AB1137:AE1137"/>
    <mergeCell ref="AF1137:AG1137"/>
    <mergeCell ref="AH1137:AI1137"/>
    <mergeCell ref="AJ1137:AK1137"/>
    <mergeCell ref="AL1137:AM1137"/>
    <mergeCell ref="V1138:W1138"/>
    <mergeCell ref="X1138:AA1138"/>
    <mergeCell ref="AB1138:AE1138"/>
    <mergeCell ref="AF1138:AG1138"/>
    <mergeCell ref="AH1138:AI1138"/>
    <mergeCell ref="AJ1138:AK1138"/>
    <mergeCell ref="AL1138:AM1138"/>
    <mergeCell ref="BD1138:BE1138"/>
    <mergeCell ref="BF1138:BI1138"/>
    <mergeCell ref="BJ1138:BM1138"/>
    <mergeCell ref="BN1138:BV1138"/>
    <mergeCell ref="AN1138:AO1138"/>
    <mergeCell ref="AP1138:AQ1138"/>
    <mergeCell ref="AR1138:AS1138"/>
    <mergeCell ref="AT1138:AU1138"/>
    <mergeCell ref="AV1138:AW1138"/>
    <mergeCell ref="AX1138:AZ1138"/>
    <mergeCell ref="BA1138:BB1138"/>
    <mergeCell ref="B1138:C1138"/>
    <mergeCell ref="D1138:E1138"/>
    <mergeCell ref="F1138:G1138"/>
    <mergeCell ref="H1138:I1138"/>
    <mergeCell ref="P1138:Q1138"/>
    <mergeCell ref="R1138:S1138"/>
    <mergeCell ref="T1138:U1138"/>
    <mergeCell ref="B1139:C1139"/>
    <mergeCell ref="D1139:E1139"/>
    <mergeCell ref="F1139:G1139"/>
    <mergeCell ref="H1139:I1139"/>
    <mergeCell ref="J1139:K1139"/>
    <mergeCell ref="L1139:M1139"/>
    <mergeCell ref="P1139:Q1139"/>
    <mergeCell ref="AX1139:AZ1139"/>
    <mergeCell ref="BA1139:BB1139"/>
    <mergeCell ref="BD1139:BE1139"/>
    <mergeCell ref="BF1139:BI1139"/>
    <mergeCell ref="BJ1139:BM1139"/>
    <mergeCell ref="BN1139:BV1139"/>
    <mergeCell ref="AN1139:AO1139"/>
    <mergeCell ref="AP1139:AQ1139"/>
    <mergeCell ref="AR1139:AS1139"/>
    <mergeCell ref="AT1139:AU1139"/>
    <mergeCell ref="AV1139:AW1139"/>
    <mergeCell ref="R1139:S1139"/>
    <mergeCell ref="T1139:U1139"/>
    <mergeCell ref="V1139:W1139"/>
    <mergeCell ref="X1139:AA1139"/>
    <mergeCell ref="AB1139:AE1139"/>
    <mergeCell ref="AF1139:AG1139"/>
    <mergeCell ref="AH1139:AI1139"/>
    <mergeCell ref="AJ1139:AK1139"/>
    <mergeCell ref="AL1139:AM1139"/>
    <mergeCell ref="V1140:W1140"/>
    <mergeCell ref="X1140:AA1140"/>
    <mergeCell ref="AB1140:AE1140"/>
    <mergeCell ref="AF1140:AG1140"/>
    <mergeCell ref="AH1140:AI1140"/>
    <mergeCell ref="AJ1140:AK1140"/>
    <mergeCell ref="AL1140:AM1140"/>
    <mergeCell ref="BD1140:BE1140"/>
    <mergeCell ref="BF1140:BI1140"/>
    <mergeCell ref="BJ1140:BM1140"/>
    <mergeCell ref="BN1140:BV1140"/>
    <mergeCell ref="AN1140:AO1140"/>
    <mergeCell ref="AP1140:AQ1140"/>
    <mergeCell ref="AR1140:AS1140"/>
    <mergeCell ref="AT1140:AU1140"/>
    <mergeCell ref="AV1140:AW1140"/>
    <mergeCell ref="AX1140:AZ1140"/>
    <mergeCell ref="BA1140:BB1140"/>
    <mergeCell ref="B1140:C1140"/>
    <mergeCell ref="D1140:E1140"/>
    <mergeCell ref="F1140:G1140"/>
    <mergeCell ref="H1140:I1140"/>
    <mergeCell ref="P1140:Q1140"/>
    <mergeCell ref="R1140:S1140"/>
    <mergeCell ref="T1140:U1140"/>
    <mergeCell ref="B1141:C1141"/>
    <mergeCell ref="D1141:E1141"/>
    <mergeCell ref="F1141:G1141"/>
    <mergeCell ref="H1141:I1141"/>
    <mergeCell ref="J1141:K1141"/>
    <mergeCell ref="L1141:M1141"/>
    <mergeCell ref="P1141:Q1141"/>
    <mergeCell ref="AX1141:AZ1141"/>
    <mergeCell ref="BA1141:BB1141"/>
    <mergeCell ref="BD1141:BE1141"/>
    <mergeCell ref="BF1141:BI1141"/>
    <mergeCell ref="BJ1141:BM1141"/>
    <mergeCell ref="BN1141:BV1141"/>
    <mergeCell ref="AN1141:AO1141"/>
    <mergeCell ref="AP1141:AQ1141"/>
    <mergeCell ref="AR1141:AS1141"/>
    <mergeCell ref="AT1141:AU1141"/>
    <mergeCell ref="AV1141:AW1141"/>
    <mergeCell ref="R1141:S1141"/>
    <mergeCell ref="T1141:U1141"/>
    <mergeCell ref="V1141:W1141"/>
    <mergeCell ref="X1141:AA1141"/>
    <mergeCell ref="AB1141:AE1141"/>
    <mergeCell ref="AF1141:AG1141"/>
    <mergeCell ref="AH1141:AI1141"/>
    <mergeCell ref="AJ1141:AK1141"/>
    <mergeCell ref="AL1141:AM1141"/>
    <mergeCell ref="V1142:W1142"/>
    <mergeCell ref="X1142:AA1142"/>
    <mergeCell ref="AB1142:AE1142"/>
    <mergeCell ref="AF1142:AG1142"/>
    <mergeCell ref="AH1142:AI1142"/>
    <mergeCell ref="AJ1142:AK1142"/>
    <mergeCell ref="AL1142:AM1142"/>
    <mergeCell ref="BD1142:BE1142"/>
    <mergeCell ref="BF1142:BI1142"/>
    <mergeCell ref="BJ1142:BM1142"/>
    <mergeCell ref="BN1142:BV1142"/>
    <mergeCell ref="AN1142:AO1142"/>
    <mergeCell ref="AP1142:AQ1142"/>
    <mergeCell ref="AR1142:AS1142"/>
    <mergeCell ref="AT1142:AU1142"/>
    <mergeCell ref="AV1142:AW1142"/>
    <mergeCell ref="AX1142:AZ1142"/>
    <mergeCell ref="BA1142:BB1142"/>
    <mergeCell ref="B1142:C1142"/>
    <mergeCell ref="D1142:E1142"/>
    <mergeCell ref="F1142:G1142"/>
    <mergeCell ref="H1142:I1142"/>
    <mergeCell ref="P1142:Q1142"/>
    <mergeCell ref="R1142:S1142"/>
    <mergeCell ref="T1142:U1142"/>
    <mergeCell ref="B1143:C1143"/>
    <mergeCell ref="D1143:E1143"/>
    <mergeCell ref="F1143:G1143"/>
    <mergeCell ref="H1143:I1143"/>
    <mergeCell ref="J1143:K1143"/>
    <mergeCell ref="L1143:M1143"/>
    <mergeCell ref="P1143:Q1143"/>
    <mergeCell ref="AX1143:AZ1143"/>
    <mergeCell ref="BA1143:BB1143"/>
    <mergeCell ref="BD1143:BE1143"/>
    <mergeCell ref="BF1143:BI1143"/>
    <mergeCell ref="BJ1143:BM1143"/>
    <mergeCell ref="BN1143:BV1143"/>
    <mergeCell ref="AN1143:AO1143"/>
    <mergeCell ref="AP1143:AQ1143"/>
    <mergeCell ref="AR1143:AS1143"/>
    <mergeCell ref="AT1143:AU1143"/>
    <mergeCell ref="AV1143:AW1143"/>
    <mergeCell ref="R1143:S1143"/>
    <mergeCell ref="T1143:U1143"/>
    <mergeCell ref="V1143:W1143"/>
    <mergeCell ref="X1143:AA1143"/>
    <mergeCell ref="AB1143:AE1143"/>
    <mergeCell ref="AF1143:AG1143"/>
    <mergeCell ref="AH1143:AI1143"/>
    <mergeCell ref="AJ1143:AK1143"/>
    <mergeCell ref="AL1143:AM1143"/>
    <mergeCell ref="V1144:W1144"/>
    <mergeCell ref="X1144:AA1144"/>
    <mergeCell ref="AB1144:AE1144"/>
    <mergeCell ref="AF1144:AG1144"/>
    <mergeCell ref="AH1144:AI1144"/>
    <mergeCell ref="AJ1144:AK1144"/>
    <mergeCell ref="AL1144:AM1144"/>
    <mergeCell ref="BD1144:BE1144"/>
    <mergeCell ref="BF1144:BI1144"/>
    <mergeCell ref="BJ1144:BM1144"/>
    <mergeCell ref="BN1144:BV1144"/>
    <mergeCell ref="AN1144:AO1144"/>
    <mergeCell ref="AP1144:AQ1144"/>
    <mergeCell ref="AR1144:AS1144"/>
    <mergeCell ref="AT1144:AU1144"/>
    <mergeCell ref="AV1144:AW1144"/>
    <mergeCell ref="AX1144:AZ1144"/>
    <mergeCell ref="BA1144:BB1144"/>
    <mergeCell ref="B1144:C1144"/>
    <mergeCell ref="D1144:E1144"/>
    <mergeCell ref="F1144:G1144"/>
    <mergeCell ref="H1144:I1144"/>
    <mergeCell ref="P1144:Q1144"/>
    <mergeCell ref="R1144:S1144"/>
    <mergeCell ref="T1144:U1144"/>
    <mergeCell ref="B1145:C1145"/>
    <mergeCell ref="D1145:E1145"/>
    <mergeCell ref="F1145:G1145"/>
    <mergeCell ref="H1145:I1145"/>
    <mergeCell ref="J1145:K1145"/>
    <mergeCell ref="L1145:M1145"/>
    <mergeCell ref="P1145:Q1145"/>
    <mergeCell ref="AX1145:AZ1145"/>
    <mergeCell ref="BA1145:BB1145"/>
    <mergeCell ref="BD1145:BE1145"/>
    <mergeCell ref="BF1145:BI1145"/>
    <mergeCell ref="BJ1145:BM1145"/>
    <mergeCell ref="BN1145:BV1145"/>
    <mergeCell ref="AN1145:AO1145"/>
    <mergeCell ref="AP1145:AQ1145"/>
    <mergeCell ref="AR1145:AS1145"/>
    <mergeCell ref="AT1145:AU1145"/>
    <mergeCell ref="AV1145:AW1145"/>
    <mergeCell ref="R1145:S1145"/>
    <mergeCell ref="T1145:U1145"/>
    <mergeCell ref="V1145:W1145"/>
    <mergeCell ref="X1145:AA1145"/>
    <mergeCell ref="AB1145:AE1145"/>
    <mergeCell ref="AF1145:AG1145"/>
    <mergeCell ref="AH1145:AI1145"/>
    <mergeCell ref="AJ1145:AK1145"/>
    <mergeCell ref="AL1145:AM1145"/>
    <mergeCell ref="V1146:W1146"/>
    <mergeCell ref="X1146:AA1146"/>
    <mergeCell ref="AB1146:AE1146"/>
    <mergeCell ref="AF1146:AG1146"/>
    <mergeCell ref="AH1146:AI1146"/>
    <mergeCell ref="AJ1146:AK1146"/>
    <mergeCell ref="AL1146:AM1146"/>
    <mergeCell ref="BD1146:BE1146"/>
    <mergeCell ref="BF1146:BI1146"/>
    <mergeCell ref="BJ1146:BM1146"/>
    <mergeCell ref="BN1146:BV1146"/>
    <mergeCell ref="AN1146:AO1146"/>
    <mergeCell ref="AP1146:AQ1146"/>
    <mergeCell ref="AR1146:AS1146"/>
    <mergeCell ref="AT1146:AU1146"/>
    <mergeCell ref="AV1146:AW1146"/>
    <mergeCell ref="AX1146:AZ1146"/>
    <mergeCell ref="BA1146:BB1146"/>
    <mergeCell ref="B1146:C1146"/>
    <mergeCell ref="D1146:E1146"/>
    <mergeCell ref="F1146:G1146"/>
    <mergeCell ref="H1146:I1146"/>
    <mergeCell ref="P1146:Q1146"/>
    <mergeCell ref="R1146:S1146"/>
    <mergeCell ref="T1146:U1146"/>
    <mergeCell ref="B1147:C1147"/>
    <mergeCell ref="D1147:E1147"/>
    <mergeCell ref="F1147:G1147"/>
    <mergeCell ref="H1147:I1147"/>
    <mergeCell ref="J1147:K1147"/>
    <mergeCell ref="L1147:M1147"/>
    <mergeCell ref="P1147:Q1147"/>
    <mergeCell ref="AX1147:AZ1147"/>
    <mergeCell ref="BA1147:BB1147"/>
    <mergeCell ref="BD1147:BE1147"/>
    <mergeCell ref="BF1147:BI1147"/>
    <mergeCell ref="BJ1147:BM1147"/>
    <mergeCell ref="BN1147:BV1147"/>
    <mergeCell ref="AN1147:AO1147"/>
    <mergeCell ref="AP1147:AQ1147"/>
    <mergeCell ref="AR1147:AS1147"/>
    <mergeCell ref="AT1147:AU1147"/>
    <mergeCell ref="AV1147:AW1147"/>
    <mergeCell ref="R1147:S1147"/>
    <mergeCell ref="T1147:U1147"/>
    <mergeCell ref="V1147:W1147"/>
    <mergeCell ref="X1147:AA1147"/>
    <mergeCell ref="AB1147:AE1147"/>
    <mergeCell ref="AF1147:AG1147"/>
    <mergeCell ref="AH1147:AI1147"/>
    <mergeCell ref="AJ1147:AK1147"/>
    <mergeCell ref="AL1147:AM1147"/>
    <mergeCell ref="V1148:W1148"/>
    <mergeCell ref="X1148:AA1148"/>
    <mergeCell ref="AB1148:AE1148"/>
    <mergeCell ref="AF1148:AG1148"/>
    <mergeCell ref="AH1148:AI1148"/>
    <mergeCell ref="AJ1148:AK1148"/>
    <mergeCell ref="AL1148:AM1148"/>
    <mergeCell ref="BD1148:BE1148"/>
    <mergeCell ref="BF1148:BI1148"/>
    <mergeCell ref="BJ1148:BM1148"/>
    <mergeCell ref="BN1148:BV1148"/>
    <mergeCell ref="AN1148:AO1148"/>
    <mergeCell ref="AP1148:AQ1148"/>
    <mergeCell ref="AR1148:AS1148"/>
    <mergeCell ref="AT1148:AU1148"/>
    <mergeCell ref="AV1148:AW1148"/>
    <mergeCell ref="AX1148:AZ1148"/>
    <mergeCell ref="BA1148:BB1148"/>
    <mergeCell ref="B1148:C1148"/>
    <mergeCell ref="D1148:E1148"/>
    <mergeCell ref="F1148:G1148"/>
    <mergeCell ref="H1148:I1148"/>
    <mergeCell ref="P1148:Q1148"/>
    <mergeCell ref="R1148:S1148"/>
    <mergeCell ref="T1148:U1148"/>
    <mergeCell ref="B1149:C1149"/>
    <mergeCell ref="D1149:E1149"/>
    <mergeCell ref="F1149:G1149"/>
    <mergeCell ref="H1149:I1149"/>
    <mergeCell ref="J1149:K1149"/>
    <mergeCell ref="L1149:M1149"/>
    <mergeCell ref="P1149:Q1149"/>
    <mergeCell ref="AX1149:AZ1149"/>
    <mergeCell ref="BA1149:BB1149"/>
    <mergeCell ref="BD1149:BE1149"/>
    <mergeCell ref="BF1149:BI1149"/>
    <mergeCell ref="BJ1149:BM1149"/>
    <mergeCell ref="BN1149:BV1149"/>
    <mergeCell ref="AN1149:AO1149"/>
    <mergeCell ref="AP1149:AQ1149"/>
    <mergeCell ref="AR1149:AS1149"/>
    <mergeCell ref="AT1149:AU1149"/>
    <mergeCell ref="AV1149:AW1149"/>
    <mergeCell ref="R1149:S1149"/>
    <mergeCell ref="T1149:U1149"/>
    <mergeCell ref="V1149:W1149"/>
    <mergeCell ref="X1149:AA1149"/>
    <mergeCell ref="AB1149:AE1149"/>
    <mergeCell ref="AF1149:AG1149"/>
    <mergeCell ref="AH1149:AI1149"/>
    <mergeCell ref="AJ1149:AK1149"/>
    <mergeCell ref="AL1149:AM1149"/>
    <mergeCell ref="V1150:W1150"/>
    <mergeCell ref="X1150:AA1150"/>
    <mergeCell ref="AB1150:AE1150"/>
    <mergeCell ref="AF1150:AG1150"/>
    <mergeCell ref="AH1150:AI1150"/>
    <mergeCell ref="AJ1150:AK1150"/>
    <mergeCell ref="AL1150:AM1150"/>
    <mergeCell ref="BD1150:BE1150"/>
    <mergeCell ref="BF1150:BI1150"/>
    <mergeCell ref="BJ1150:BM1150"/>
    <mergeCell ref="BN1150:BV1150"/>
    <mergeCell ref="AN1150:AO1150"/>
    <mergeCell ref="AP1150:AQ1150"/>
    <mergeCell ref="AR1150:AS1150"/>
    <mergeCell ref="AT1150:AU1150"/>
    <mergeCell ref="AV1150:AW1150"/>
    <mergeCell ref="AX1150:AZ1150"/>
    <mergeCell ref="BA1150:BB1150"/>
    <mergeCell ref="B1150:C1150"/>
    <mergeCell ref="D1150:E1150"/>
    <mergeCell ref="F1150:G1150"/>
    <mergeCell ref="H1150:I1150"/>
    <mergeCell ref="P1150:Q1150"/>
    <mergeCell ref="R1150:S1150"/>
    <mergeCell ref="T1150:U1150"/>
    <mergeCell ref="B1151:C1151"/>
    <mergeCell ref="D1151:E1151"/>
    <mergeCell ref="F1151:G1151"/>
    <mergeCell ref="H1151:I1151"/>
    <mergeCell ref="J1151:K1151"/>
    <mergeCell ref="L1151:M1151"/>
    <mergeCell ref="P1151:Q1151"/>
    <mergeCell ref="AX1151:AZ1151"/>
    <mergeCell ref="BA1151:BB1151"/>
    <mergeCell ref="BD1151:BE1151"/>
    <mergeCell ref="BF1151:BI1151"/>
    <mergeCell ref="BJ1151:BM1151"/>
    <mergeCell ref="BN1151:BV1151"/>
    <mergeCell ref="AN1151:AO1151"/>
    <mergeCell ref="AP1151:AQ1151"/>
    <mergeCell ref="AR1151:AS1151"/>
    <mergeCell ref="AT1151:AU1151"/>
    <mergeCell ref="AV1151:AW1151"/>
    <mergeCell ref="R1151:S1151"/>
    <mergeCell ref="T1151:U1151"/>
    <mergeCell ref="V1151:W1151"/>
    <mergeCell ref="X1151:AA1151"/>
    <mergeCell ref="AB1151:AE1151"/>
    <mergeCell ref="AF1151:AG1151"/>
    <mergeCell ref="AH1151:AI1151"/>
    <mergeCell ref="AJ1151:AK1151"/>
    <mergeCell ref="AL1151:AM1151"/>
    <mergeCell ref="V1152:W1152"/>
    <mergeCell ref="X1152:AA1152"/>
    <mergeCell ref="AB1152:AE1152"/>
    <mergeCell ref="AF1152:AG1152"/>
    <mergeCell ref="AH1152:AI1152"/>
    <mergeCell ref="AJ1152:AK1152"/>
    <mergeCell ref="AL1152:AM1152"/>
    <mergeCell ref="BD1152:BE1152"/>
    <mergeCell ref="BF1152:BI1152"/>
    <mergeCell ref="BJ1152:BM1152"/>
    <mergeCell ref="BN1152:BV1152"/>
    <mergeCell ref="AN1152:AO1152"/>
    <mergeCell ref="AP1152:AQ1152"/>
    <mergeCell ref="AR1152:AS1152"/>
    <mergeCell ref="AT1152:AU1152"/>
    <mergeCell ref="AV1152:AW1152"/>
    <mergeCell ref="AX1152:AZ1152"/>
    <mergeCell ref="BA1152:BB1152"/>
    <mergeCell ref="B1152:C1152"/>
    <mergeCell ref="D1152:E1152"/>
    <mergeCell ref="F1152:G1152"/>
    <mergeCell ref="H1152:I1152"/>
    <mergeCell ref="P1152:Q1152"/>
    <mergeCell ref="R1152:S1152"/>
    <mergeCell ref="T1152:U1152"/>
    <mergeCell ref="B1153:C1153"/>
    <mergeCell ref="D1153:E1153"/>
    <mergeCell ref="F1153:G1153"/>
    <mergeCell ref="H1153:I1153"/>
    <mergeCell ref="J1153:K1153"/>
    <mergeCell ref="L1153:M1153"/>
    <mergeCell ref="P1153:Q1153"/>
    <mergeCell ref="AX1153:AZ1153"/>
    <mergeCell ref="BA1153:BB1153"/>
    <mergeCell ref="BD1153:BE1153"/>
    <mergeCell ref="BF1153:BI1153"/>
    <mergeCell ref="BJ1153:BM1153"/>
    <mergeCell ref="BN1153:BV1153"/>
    <mergeCell ref="AN1153:AO1153"/>
    <mergeCell ref="AP1153:AQ1153"/>
    <mergeCell ref="AR1153:AS1153"/>
    <mergeCell ref="AT1153:AU1153"/>
    <mergeCell ref="AV1153:AW1153"/>
    <mergeCell ref="R1153:S1153"/>
    <mergeCell ref="T1153:U1153"/>
    <mergeCell ref="V1153:W1153"/>
    <mergeCell ref="X1153:AA1153"/>
    <mergeCell ref="AB1153:AE1153"/>
    <mergeCell ref="AF1153:AG1153"/>
    <mergeCell ref="AH1153:AI1153"/>
    <mergeCell ref="AJ1153:AK1153"/>
    <mergeCell ref="AL1153:AM1153"/>
    <mergeCell ref="V1154:W1154"/>
    <mergeCell ref="X1154:AA1154"/>
    <mergeCell ref="AB1154:AE1154"/>
    <mergeCell ref="AF1154:AG1154"/>
    <mergeCell ref="AH1154:AI1154"/>
    <mergeCell ref="AJ1154:AK1154"/>
    <mergeCell ref="AL1154:AM1154"/>
    <mergeCell ref="BD1154:BE1154"/>
    <mergeCell ref="BF1154:BI1154"/>
    <mergeCell ref="BJ1154:BM1154"/>
    <mergeCell ref="BN1154:BV1154"/>
    <mergeCell ref="AN1154:AO1154"/>
    <mergeCell ref="AP1154:AQ1154"/>
    <mergeCell ref="AR1154:AS1154"/>
    <mergeCell ref="AT1154:AU1154"/>
    <mergeCell ref="AV1154:AW1154"/>
    <mergeCell ref="AX1154:AZ1154"/>
    <mergeCell ref="BA1154:BB1154"/>
    <mergeCell ref="B1154:C1154"/>
    <mergeCell ref="D1154:E1154"/>
    <mergeCell ref="F1154:G1154"/>
    <mergeCell ref="H1154:I1154"/>
    <mergeCell ref="P1154:Q1154"/>
    <mergeCell ref="R1154:S1154"/>
    <mergeCell ref="T1154:U1154"/>
    <mergeCell ref="B1155:C1155"/>
    <mergeCell ref="D1155:E1155"/>
    <mergeCell ref="F1155:G1155"/>
    <mergeCell ref="H1155:I1155"/>
    <mergeCell ref="J1155:K1155"/>
    <mergeCell ref="L1155:M1155"/>
    <mergeCell ref="P1155:Q1155"/>
    <mergeCell ref="AX1155:AZ1155"/>
    <mergeCell ref="BA1155:BB1155"/>
    <mergeCell ref="BD1155:BE1155"/>
    <mergeCell ref="BF1155:BI1155"/>
    <mergeCell ref="BJ1155:BM1155"/>
    <mergeCell ref="BN1155:BV1155"/>
    <mergeCell ref="AN1155:AO1155"/>
    <mergeCell ref="AP1155:AQ1155"/>
    <mergeCell ref="AR1155:AS1155"/>
    <mergeCell ref="AT1155:AU1155"/>
    <mergeCell ref="AV1155:AW1155"/>
    <mergeCell ref="R1155:S1155"/>
    <mergeCell ref="T1155:U1155"/>
    <mergeCell ref="V1155:W1155"/>
    <mergeCell ref="X1155:AA1155"/>
    <mergeCell ref="AB1155:AE1155"/>
    <mergeCell ref="AF1155:AG1155"/>
    <mergeCell ref="AH1155:AI1155"/>
    <mergeCell ref="AJ1155:AK1155"/>
    <mergeCell ref="AL1155:AM1155"/>
    <mergeCell ref="V1156:W1156"/>
    <mergeCell ref="X1156:AA1156"/>
    <mergeCell ref="AB1156:AE1156"/>
    <mergeCell ref="AF1156:AG1156"/>
    <mergeCell ref="AH1156:AI1156"/>
    <mergeCell ref="AJ1156:AK1156"/>
    <mergeCell ref="AL1156:AM1156"/>
    <mergeCell ref="BD1156:BE1156"/>
    <mergeCell ref="BF1156:BI1156"/>
    <mergeCell ref="BJ1156:BM1156"/>
    <mergeCell ref="BN1156:BV1156"/>
    <mergeCell ref="AN1156:AO1156"/>
    <mergeCell ref="AP1156:AQ1156"/>
    <mergeCell ref="AR1156:AS1156"/>
    <mergeCell ref="AT1156:AU1156"/>
    <mergeCell ref="AV1156:AW1156"/>
    <mergeCell ref="AX1156:AZ1156"/>
    <mergeCell ref="BA1156:BB1156"/>
    <mergeCell ref="B1156:C1156"/>
    <mergeCell ref="D1156:E1156"/>
    <mergeCell ref="F1156:G1156"/>
    <mergeCell ref="H1156:I1156"/>
    <mergeCell ref="P1156:Q1156"/>
    <mergeCell ref="R1156:S1156"/>
    <mergeCell ref="T1156:U1156"/>
    <mergeCell ref="B1157:C1157"/>
    <mergeCell ref="D1157:E1157"/>
    <mergeCell ref="F1157:G1157"/>
    <mergeCell ref="H1157:I1157"/>
    <mergeCell ref="J1157:K1157"/>
    <mergeCell ref="L1157:M1157"/>
    <mergeCell ref="P1157:Q1157"/>
    <mergeCell ref="AX1157:AZ1157"/>
    <mergeCell ref="BA1157:BB1157"/>
    <mergeCell ref="BD1157:BE1157"/>
    <mergeCell ref="BF1157:BI1157"/>
    <mergeCell ref="BJ1157:BM1157"/>
    <mergeCell ref="BN1157:BV1157"/>
    <mergeCell ref="AN1157:AO1157"/>
    <mergeCell ref="AP1157:AQ1157"/>
    <mergeCell ref="AR1157:AS1157"/>
    <mergeCell ref="AT1157:AU1157"/>
    <mergeCell ref="AV1157:AW1157"/>
    <mergeCell ref="R1157:S1157"/>
    <mergeCell ref="T1157:U1157"/>
    <mergeCell ref="V1157:W1157"/>
    <mergeCell ref="X1157:AA1157"/>
    <mergeCell ref="AB1157:AE1157"/>
    <mergeCell ref="AF1157:AG1157"/>
    <mergeCell ref="AH1157:AI1157"/>
    <mergeCell ref="AJ1157:AK1157"/>
    <mergeCell ref="AL1157:AM1157"/>
    <mergeCell ref="V1158:W1158"/>
    <mergeCell ref="X1158:AA1158"/>
    <mergeCell ref="AB1158:AE1158"/>
    <mergeCell ref="AF1158:AG1158"/>
    <mergeCell ref="AH1158:AI1158"/>
    <mergeCell ref="AJ1158:AK1158"/>
    <mergeCell ref="AL1158:AM1158"/>
    <mergeCell ref="BD1158:BE1158"/>
    <mergeCell ref="BF1158:BI1158"/>
    <mergeCell ref="BJ1158:BM1158"/>
    <mergeCell ref="BN1158:BV1158"/>
    <mergeCell ref="AN1158:AO1158"/>
    <mergeCell ref="AP1158:AQ1158"/>
    <mergeCell ref="AR1158:AS1158"/>
    <mergeCell ref="AT1158:AU1158"/>
    <mergeCell ref="AV1158:AW1158"/>
    <mergeCell ref="AX1158:AZ1158"/>
    <mergeCell ref="BA1158:BB1158"/>
    <mergeCell ref="B1158:C1158"/>
    <mergeCell ref="D1158:E1158"/>
    <mergeCell ref="F1158:G1158"/>
    <mergeCell ref="H1158:I1158"/>
    <mergeCell ref="P1158:Q1158"/>
    <mergeCell ref="R1158:S1158"/>
    <mergeCell ref="T1158:U1158"/>
    <mergeCell ref="B1159:C1159"/>
    <mergeCell ref="D1159:E1159"/>
    <mergeCell ref="F1159:G1159"/>
    <mergeCell ref="H1159:I1159"/>
    <mergeCell ref="J1159:K1159"/>
    <mergeCell ref="L1159:M1159"/>
    <mergeCell ref="P1159:Q1159"/>
    <mergeCell ref="AX1159:AZ1159"/>
    <mergeCell ref="BA1159:BB1159"/>
    <mergeCell ref="BD1159:BE1159"/>
    <mergeCell ref="BF1159:BI1159"/>
    <mergeCell ref="BJ1159:BM1159"/>
    <mergeCell ref="BN1159:BV1159"/>
    <mergeCell ref="AN1159:AO1159"/>
    <mergeCell ref="AP1159:AQ1159"/>
    <mergeCell ref="AR1159:AS1159"/>
    <mergeCell ref="AT1159:AU1159"/>
    <mergeCell ref="AV1159:AW1159"/>
    <mergeCell ref="R1159:S1159"/>
    <mergeCell ref="T1159:U1159"/>
    <mergeCell ref="V1159:W1159"/>
    <mergeCell ref="X1159:AA1159"/>
    <mergeCell ref="AB1159:AE1159"/>
    <mergeCell ref="AF1159:AG1159"/>
    <mergeCell ref="AH1159:AI1159"/>
    <mergeCell ref="AJ1159:AK1159"/>
    <mergeCell ref="AL1159:AM1159"/>
    <mergeCell ref="V1160:W1160"/>
    <mergeCell ref="X1160:AA1160"/>
    <mergeCell ref="AB1160:AE1160"/>
    <mergeCell ref="AF1160:AG1160"/>
    <mergeCell ref="AH1160:AI1160"/>
    <mergeCell ref="AJ1160:AK1160"/>
    <mergeCell ref="AL1160:AM1160"/>
    <mergeCell ref="BD1160:BE1160"/>
    <mergeCell ref="BF1160:BI1160"/>
    <mergeCell ref="BJ1160:BM1160"/>
    <mergeCell ref="BN1160:BV1160"/>
    <mergeCell ref="AN1160:AO1160"/>
    <mergeCell ref="AP1160:AQ1160"/>
    <mergeCell ref="AR1160:AS1160"/>
    <mergeCell ref="AT1160:AU1160"/>
    <mergeCell ref="AV1160:AW1160"/>
    <mergeCell ref="AX1160:AZ1160"/>
    <mergeCell ref="BA1160:BB1160"/>
    <mergeCell ref="B1160:C1160"/>
    <mergeCell ref="D1160:E1160"/>
    <mergeCell ref="F1160:G1160"/>
    <mergeCell ref="H1160:I1160"/>
    <mergeCell ref="P1160:Q1160"/>
    <mergeCell ref="R1160:S1160"/>
    <mergeCell ref="T1160:U1160"/>
    <mergeCell ref="B1161:C1161"/>
    <mergeCell ref="D1161:E1161"/>
    <mergeCell ref="F1161:G1161"/>
    <mergeCell ref="H1161:I1161"/>
    <mergeCell ref="J1161:K1161"/>
    <mergeCell ref="L1161:M1161"/>
    <mergeCell ref="P1161:Q1161"/>
    <mergeCell ref="AX1161:AZ1161"/>
    <mergeCell ref="BA1161:BB1161"/>
    <mergeCell ref="BD1161:BE1161"/>
    <mergeCell ref="BF1161:BI1161"/>
    <mergeCell ref="BJ1161:BM1161"/>
    <mergeCell ref="BN1161:BV1161"/>
    <mergeCell ref="AN1161:AO1161"/>
    <mergeCell ref="AP1161:AQ1161"/>
    <mergeCell ref="AR1161:AS1161"/>
    <mergeCell ref="AT1161:AU1161"/>
    <mergeCell ref="AV1161:AW1161"/>
    <mergeCell ref="R1161:S1161"/>
    <mergeCell ref="T1161:U1161"/>
    <mergeCell ref="V1161:W1161"/>
    <mergeCell ref="X1161:AA1161"/>
    <mergeCell ref="AB1161:AE1161"/>
    <mergeCell ref="AF1161:AG1161"/>
    <mergeCell ref="AH1161:AI1161"/>
    <mergeCell ref="AJ1161:AK1161"/>
    <mergeCell ref="AL1161:AM1161"/>
    <mergeCell ref="V1162:W1162"/>
    <mergeCell ref="X1162:AA1162"/>
    <mergeCell ref="AB1162:AE1162"/>
    <mergeCell ref="AF1162:AG1162"/>
    <mergeCell ref="AH1162:AI1162"/>
    <mergeCell ref="AJ1162:AK1162"/>
    <mergeCell ref="AL1162:AM1162"/>
    <mergeCell ref="BD1162:BE1162"/>
    <mergeCell ref="BF1162:BI1162"/>
    <mergeCell ref="BJ1162:BM1162"/>
    <mergeCell ref="BN1162:BV1162"/>
    <mergeCell ref="AN1162:AO1162"/>
    <mergeCell ref="AP1162:AQ1162"/>
    <mergeCell ref="AR1162:AS1162"/>
    <mergeCell ref="AT1162:AU1162"/>
    <mergeCell ref="AV1162:AW1162"/>
    <mergeCell ref="AX1162:AZ1162"/>
    <mergeCell ref="BA1162:BB1162"/>
    <mergeCell ref="B1162:C1162"/>
    <mergeCell ref="D1162:E1162"/>
    <mergeCell ref="F1162:G1162"/>
    <mergeCell ref="H1162:I1162"/>
    <mergeCell ref="P1162:Q1162"/>
    <mergeCell ref="R1162:S1162"/>
    <mergeCell ref="T1162:U1162"/>
    <mergeCell ref="B1163:C1163"/>
    <mergeCell ref="D1163:E1163"/>
    <mergeCell ref="F1163:G1163"/>
    <mergeCell ref="H1163:I1163"/>
    <mergeCell ref="J1163:K1163"/>
    <mergeCell ref="L1163:M1163"/>
    <mergeCell ref="P1163:Q1163"/>
    <mergeCell ref="AX1163:AZ1163"/>
    <mergeCell ref="BA1163:BB1163"/>
    <mergeCell ref="BD1163:BE1163"/>
    <mergeCell ref="BF1163:BI1163"/>
    <mergeCell ref="BJ1163:BM1163"/>
    <mergeCell ref="BN1163:BV1163"/>
    <mergeCell ref="AN1163:AO1163"/>
    <mergeCell ref="AP1163:AQ1163"/>
    <mergeCell ref="AR1163:AS1163"/>
    <mergeCell ref="AT1163:AU1163"/>
    <mergeCell ref="AV1163:AW1163"/>
    <mergeCell ref="R1163:S1163"/>
    <mergeCell ref="T1163:U1163"/>
    <mergeCell ref="V1163:W1163"/>
    <mergeCell ref="X1163:AA1163"/>
    <mergeCell ref="AB1163:AE1163"/>
    <mergeCell ref="AF1163:AG1163"/>
    <mergeCell ref="AH1163:AI1163"/>
    <mergeCell ref="AJ1163:AK1163"/>
    <mergeCell ref="AL1163:AM1163"/>
    <mergeCell ref="V1164:W1164"/>
    <mergeCell ref="X1164:AA1164"/>
    <mergeCell ref="AB1164:AE1164"/>
    <mergeCell ref="AF1164:AG1164"/>
    <mergeCell ref="AH1164:AI1164"/>
    <mergeCell ref="AJ1164:AK1164"/>
    <mergeCell ref="AL1164:AM1164"/>
    <mergeCell ref="BD1164:BE1164"/>
    <mergeCell ref="BF1164:BI1164"/>
    <mergeCell ref="BJ1164:BM1164"/>
    <mergeCell ref="BN1164:BV1164"/>
    <mergeCell ref="AN1164:AO1164"/>
    <mergeCell ref="AP1164:AQ1164"/>
    <mergeCell ref="AR1164:AS1164"/>
    <mergeCell ref="AT1164:AU1164"/>
    <mergeCell ref="AV1164:AW1164"/>
    <mergeCell ref="AX1164:AZ1164"/>
    <mergeCell ref="BA1164:BB1164"/>
    <mergeCell ref="B1164:C1164"/>
    <mergeCell ref="D1164:E1164"/>
    <mergeCell ref="F1164:G1164"/>
    <mergeCell ref="H1164:I1164"/>
    <mergeCell ref="P1164:Q1164"/>
    <mergeCell ref="R1164:S1164"/>
    <mergeCell ref="T1164:U1164"/>
    <mergeCell ref="B1165:C1165"/>
    <mergeCell ref="D1165:E1165"/>
    <mergeCell ref="F1165:G1165"/>
    <mergeCell ref="H1165:I1165"/>
    <mergeCell ref="J1165:K1165"/>
    <mergeCell ref="L1165:M1165"/>
    <mergeCell ref="P1165:Q1165"/>
    <mergeCell ref="AX1165:AZ1165"/>
    <mergeCell ref="BA1165:BB1165"/>
    <mergeCell ref="BD1165:BE1165"/>
    <mergeCell ref="BF1165:BI1165"/>
    <mergeCell ref="BJ1165:BM1165"/>
    <mergeCell ref="BN1165:BV1165"/>
    <mergeCell ref="AN1165:AO1165"/>
    <mergeCell ref="AP1165:AQ1165"/>
    <mergeCell ref="AR1165:AS1165"/>
    <mergeCell ref="AT1165:AU1165"/>
    <mergeCell ref="AV1165:AW1165"/>
    <mergeCell ref="R1165:S1165"/>
    <mergeCell ref="T1165:U1165"/>
    <mergeCell ref="V1165:W1165"/>
    <mergeCell ref="X1165:AA1165"/>
    <mergeCell ref="AB1165:AE1165"/>
    <mergeCell ref="AF1165:AG1165"/>
    <mergeCell ref="AH1165:AI1165"/>
    <mergeCell ref="AJ1165:AK1165"/>
    <mergeCell ref="AL1165:AM1165"/>
    <mergeCell ref="V1166:W1166"/>
    <mergeCell ref="X1166:AA1166"/>
    <mergeCell ref="AB1166:AE1166"/>
    <mergeCell ref="AF1166:AG1166"/>
    <mergeCell ref="AH1166:AI1166"/>
    <mergeCell ref="AJ1166:AK1166"/>
    <mergeCell ref="AL1166:AM1166"/>
    <mergeCell ref="BD1166:BE1166"/>
    <mergeCell ref="BF1166:BI1166"/>
    <mergeCell ref="BJ1166:BM1166"/>
    <mergeCell ref="BN1166:BV1166"/>
    <mergeCell ref="AN1166:AO1166"/>
    <mergeCell ref="AP1166:AQ1166"/>
    <mergeCell ref="AR1166:AS1166"/>
    <mergeCell ref="AT1166:AU1166"/>
    <mergeCell ref="AV1166:AW1166"/>
    <mergeCell ref="AX1166:AZ1166"/>
    <mergeCell ref="BA1166:BB1166"/>
    <mergeCell ref="B1166:C1166"/>
    <mergeCell ref="D1166:E1166"/>
    <mergeCell ref="F1166:G1166"/>
    <mergeCell ref="H1166:I1166"/>
    <mergeCell ref="P1166:Q1166"/>
    <mergeCell ref="R1166:S1166"/>
    <mergeCell ref="T1166:U1166"/>
    <mergeCell ref="B1167:C1167"/>
    <mergeCell ref="D1167:E1167"/>
    <mergeCell ref="F1167:G1167"/>
    <mergeCell ref="H1167:I1167"/>
    <mergeCell ref="J1167:K1167"/>
    <mergeCell ref="L1167:M1167"/>
    <mergeCell ref="P1167:Q1167"/>
    <mergeCell ref="AX1167:AZ1167"/>
    <mergeCell ref="BA1167:BB1167"/>
    <mergeCell ref="BD1167:BE1167"/>
    <mergeCell ref="BF1167:BI1167"/>
    <mergeCell ref="BJ1167:BM1167"/>
    <mergeCell ref="BN1167:BV1167"/>
    <mergeCell ref="AN1167:AO1167"/>
    <mergeCell ref="AP1167:AQ1167"/>
    <mergeCell ref="AR1167:AS1167"/>
    <mergeCell ref="AT1167:AU1167"/>
    <mergeCell ref="AV1167:AW1167"/>
    <mergeCell ref="R1167:S1167"/>
    <mergeCell ref="T1167:U1167"/>
    <mergeCell ref="V1167:W1167"/>
    <mergeCell ref="X1167:AA1167"/>
    <mergeCell ref="AB1167:AE1167"/>
    <mergeCell ref="AF1167:AG1167"/>
    <mergeCell ref="AH1167:AI1167"/>
    <mergeCell ref="AJ1167:AK1167"/>
    <mergeCell ref="AL1167:AM1167"/>
    <mergeCell ref="V1168:W1168"/>
    <mergeCell ref="X1168:AA1168"/>
    <mergeCell ref="AB1168:AE1168"/>
    <mergeCell ref="AF1168:AG1168"/>
    <mergeCell ref="AH1168:AI1168"/>
    <mergeCell ref="AJ1168:AK1168"/>
    <mergeCell ref="AL1168:AM1168"/>
    <mergeCell ref="BD1168:BE1168"/>
    <mergeCell ref="BF1168:BI1168"/>
    <mergeCell ref="BJ1168:BM1168"/>
    <mergeCell ref="BN1168:BV1168"/>
    <mergeCell ref="AN1168:AO1168"/>
    <mergeCell ref="AP1168:AQ1168"/>
    <mergeCell ref="AR1168:AS1168"/>
    <mergeCell ref="AT1168:AU1168"/>
    <mergeCell ref="AV1168:AW1168"/>
    <mergeCell ref="AX1168:AZ1168"/>
    <mergeCell ref="BA1168:BB1168"/>
    <mergeCell ref="B1168:C1168"/>
    <mergeCell ref="D1168:E1168"/>
    <mergeCell ref="F1168:G1168"/>
    <mergeCell ref="H1168:I1168"/>
    <mergeCell ref="P1168:Q1168"/>
    <mergeCell ref="R1168:S1168"/>
    <mergeCell ref="T1168:U1168"/>
    <mergeCell ref="B1169:C1169"/>
    <mergeCell ref="D1169:E1169"/>
    <mergeCell ref="F1169:G1169"/>
    <mergeCell ref="H1169:I1169"/>
    <mergeCell ref="J1169:K1169"/>
    <mergeCell ref="L1169:M1169"/>
    <mergeCell ref="P1169:Q1169"/>
    <mergeCell ref="AX1169:AZ1169"/>
    <mergeCell ref="BA1169:BB1169"/>
    <mergeCell ref="BD1169:BE1169"/>
    <mergeCell ref="BF1169:BI1169"/>
    <mergeCell ref="BJ1169:BM1169"/>
    <mergeCell ref="BN1169:BV1169"/>
    <mergeCell ref="AN1169:AO1169"/>
    <mergeCell ref="AP1169:AQ1169"/>
    <mergeCell ref="AR1169:AS1169"/>
    <mergeCell ref="AT1169:AU1169"/>
    <mergeCell ref="AV1169:AW1169"/>
    <mergeCell ref="R1169:S1169"/>
    <mergeCell ref="T1169:U1169"/>
    <mergeCell ref="V1169:W1169"/>
    <mergeCell ref="X1169:AA1169"/>
    <mergeCell ref="AB1169:AE1169"/>
    <mergeCell ref="AF1169:AG1169"/>
    <mergeCell ref="AH1169:AI1169"/>
    <mergeCell ref="AJ1169:AK1169"/>
    <mergeCell ref="AL1169:AM1169"/>
    <mergeCell ref="V1170:W1170"/>
    <mergeCell ref="X1170:AA1170"/>
    <mergeCell ref="AB1170:AE1170"/>
    <mergeCell ref="AF1170:AG1170"/>
    <mergeCell ref="AH1170:AI1170"/>
    <mergeCell ref="AJ1170:AK1170"/>
    <mergeCell ref="AL1170:AM1170"/>
    <mergeCell ref="BD1170:BE1170"/>
    <mergeCell ref="BF1170:BI1170"/>
    <mergeCell ref="BJ1170:BM1170"/>
    <mergeCell ref="BN1170:BV1170"/>
    <mergeCell ref="AN1170:AO1170"/>
    <mergeCell ref="AP1170:AQ1170"/>
    <mergeCell ref="AR1170:AS1170"/>
    <mergeCell ref="AT1170:AU1170"/>
    <mergeCell ref="AV1170:AW1170"/>
    <mergeCell ref="AX1170:AZ1170"/>
    <mergeCell ref="BA1170:BB1170"/>
    <mergeCell ref="B1170:C1170"/>
    <mergeCell ref="D1170:E1170"/>
    <mergeCell ref="F1170:G1170"/>
    <mergeCell ref="H1170:I1170"/>
    <mergeCell ref="P1170:Q1170"/>
    <mergeCell ref="R1170:S1170"/>
    <mergeCell ref="T1170:U1170"/>
    <mergeCell ref="B1171:C1171"/>
    <mergeCell ref="D1171:E1171"/>
    <mergeCell ref="F1171:G1171"/>
    <mergeCell ref="H1171:I1171"/>
    <mergeCell ref="J1171:K1171"/>
    <mergeCell ref="L1171:M1171"/>
    <mergeCell ref="P1171:Q1171"/>
    <mergeCell ref="AX1171:AZ1171"/>
    <mergeCell ref="BA1171:BB1171"/>
    <mergeCell ref="BD1171:BE1171"/>
    <mergeCell ref="BF1171:BI1171"/>
    <mergeCell ref="BJ1171:BM1171"/>
    <mergeCell ref="BN1171:BV1171"/>
    <mergeCell ref="AN1171:AO1171"/>
    <mergeCell ref="AP1171:AQ1171"/>
    <mergeCell ref="AR1171:AS1171"/>
    <mergeCell ref="AT1171:AU1171"/>
    <mergeCell ref="AV1171:AW1171"/>
    <mergeCell ref="R1171:S1171"/>
    <mergeCell ref="T1171:U1171"/>
    <mergeCell ref="V1171:W1171"/>
    <mergeCell ref="X1171:AA1171"/>
    <mergeCell ref="AB1171:AE1171"/>
    <mergeCell ref="AF1171:AG1171"/>
    <mergeCell ref="AH1171:AI1171"/>
    <mergeCell ref="AJ1171:AK1171"/>
    <mergeCell ref="AL1171:AM1171"/>
    <mergeCell ref="V1172:W1172"/>
    <mergeCell ref="X1172:AA1172"/>
    <mergeCell ref="AB1172:AE1172"/>
    <mergeCell ref="AF1172:AG1172"/>
    <mergeCell ref="AH1172:AI1172"/>
    <mergeCell ref="AJ1172:AK1172"/>
    <mergeCell ref="AL1172:AM1172"/>
    <mergeCell ref="BD1172:BE1172"/>
    <mergeCell ref="BF1172:BI1172"/>
    <mergeCell ref="BJ1172:BM1172"/>
    <mergeCell ref="BN1172:BV1172"/>
    <mergeCell ref="AN1172:AO1172"/>
    <mergeCell ref="AP1172:AQ1172"/>
    <mergeCell ref="AR1172:AS1172"/>
    <mergeCell ref="AT1172:AU1172"/>
    <mergeCell ref="AV1172:AW1172"/>
    <mergeCell ref="AX1172:AZ1172"/>
    <mergeCell ref="BA1172:BB1172"/>
    <mergeCell ref="B1172:C1172"/>
    <mergeCell ref="D1172:E1172"/>
    <mergeCell ref="F1172:G1172"/>
    <mergeCell ref="H1172:I1172"/>
    <mergeCell ref="P1172:Q1172"/>
    <mergeCell ref="R1172:S1172"/>
    <mergeCell ref="T1172:U1172"/>
    <mergeCell ref="B1173:C1173"/>
    <mergeCell ref="D1173:E1173"/>
    <mergeCell ref="F1173:G1173"/>
    <mergeCell ref="H1173:I1173"/>
    <mergeCell ref="J1173:K1173"/>
    <mergeCell ref="L1173:M1173"/>
    <mergeCell ref="P1173:Q1173"/>
    <mergeCell ref="AX1173:AZ1173"/>
    <mergeCell ref="BA1173:BB1173"/>
    <mergeCell ref="BD1173:BE1173"/>
    <mergeCell ref="BF1173:BI1173"/>
    <mergeCell ref="BJ1173:BM1173"/>
    <mergeCell ref="BN1173:BV1173"/>
    <mergeCell ref="AN1173:AO1173"/>
    <mergeCell ref="AP1173:AQ1173"/>
    <mergeCell ref="AR1173:AS1173"/>
    <mergeCell ref="AT1173:AU1173"/>
    <mergeCell ref="AV1173:AW1173"/>
    <mergeCell ref="R1173:S1173"/>
    <mergeCell ref="T1173:U1173"/>
    <mergeCell ref="V1173:W1173"/>
    <mergeCell ref="X1173:AA1173"/>
    <mergeCell ref="AB1173:AE1173"/>
    <mergeCell ref="AF1173:AG1173"/>
    <mergeCell ref="AH1173:AI1173"/>
    <mergeCell ref="AJ1173:AK1173"/>
    <mergeCell ref="AL1173:AM1173"/>
    <mergeCell ref="V1174:W1174"/>
    <mergeCell ref="X1174:AA1174"/>
    <mergeCell ref="AB1174:AE1174"/>
    <mergeCell ref="AF1174:AG1174"/>
    <mergeCell ref="AH1174:AI1174"/>
    <mergeCell ref="AJ1174:AK1174"/>
    <mergeCell ref="AL1174:AM1174"/>
    <mergeCell ref="BD1174:BE1174"/>
    <mergeCell ref="BF1174:BI1174"/>
    <mergeCell ref="BJ1174:BM1174"/>
    <mergeCell ref="BN1174:BV1174"/>
    <mergeCell ref="AN1174:AO1174"/>
    <mergeCell ref="AP1174:AQ1174"/>
    <mergeCell ref="AR1174:AS1174"/>
    <mergeCell ref="AT1174:AU1174"/>
    <mergeCell ref="AV1174:AW1174"/>
    <mergeCell ref="AX1174:AZ1174"/>
    <mergeCell ref="BA1174:BB1174"/>
    <mergeCell ref="B1174:C1174"/>
    <mergeCell ref="D1174:E1174"/>
    <mergeCell ref="F1174:G1174"/>
    <mergeCell ref="H1174:I1174"/>
    <mergeCell ref="P1174:Q1174"/>
    <mergeCell ref="R1174:S1174"/>
    <mergeCell ref="T1174:U1174"/>
    <mergeCell ref="B1175:C1175"/>
    <mergeCell ref="D1175:E1175"/>
    <mergeCell ref="F1175:G1175"/>
    <mergeCell ref="H1175:I1175"/>
    <mergeCell ref="J1175:K1175"/>
    <mergeCell ref="L1175:M1175"/>
    <mergeCell ref="P1175:Q1175"/>
    <mergeCell ref="AX1175:AZ1175"/>
    <mergeCell ref="BA1175:BB1175"/>
    <mergeCell ref="BD1175:BE1175"/>
    <mergeCell ref="BF1175:BI1175"/>
    <mergeCell ref="BJ1175:BM1175"/>
    <mergeCell ref="BN1175:BV1175"/>
    <mergeCell ref="AN1175:AO1175"/>
    <mergeCell ref="AP1175:AQ1175"/>
    <mergeCell ref="AR1175:AS1175"/>
    <mergeCell ref="AT1175:AU1175"/>
    <mergeCell ref="AV1175:AW1175"/>
    <mergeCell ref="R1175:S1175"/>
    <mergeCell ref="T1175:U1175"/>
    <mergeCell ref="V1175:W1175"/>
    <mergeCell ref="X1175:AA1175"/>
    <mergeCell ref="AB1175:AE1175"/>
    <mergeCell ref="AF1175:AG1175"/>
    <mergeCell ref="AH1175:AI1175"/>
    <mergeCell ref="AJ1175:AK1175"/>
    <mergeCell ref="AL1175:AM1175"/>
    <mergeCell ref="V1176:W1176"/>
    <mergeCell ref="X1176:AA1176"/>
    <mergeCell ref="AB1176:AE1176"/>
    <mergeCell ref="AF1176:AG1176"/>
    <mergeCell ref="AH1176:AI1176"/>
    <mergeCell ref="AJ1176:AK1176"/>
    <mergeCell ref="AL1176:AM1176"/>
    <mergeCell ref="BD1176:BE1176"/>
    <mergeCell ref="BF1176:BI1176"/>
    <mergeCell ref="BJ1176:BM1176"/>
    <mergeCell ref="BN1176:BV1176"/>
    <mergeCell ref="AN1176:AO1176"/>
    <mergeCell ref="AP1176:AQ1176"/>
    <mergeCell ref="AR1176:AS1176"/>
    <mergeCell ref="AT1176:AU1176"/>
    <mergeCell ref="AV1176:AW1176"/>
    <mergeCell ref="AX1176:AZ1176"/>
    <mergeCell ref="BA1176:BB1176"/>
    <mergeCell ref="B1176:C1176"/>
    <mergeCell ref="D1176:E1176"/>
    <mergeCell ref="F1176:G1176"/>
    <mergeCell ref="H1176:I1176"/>
    <mergeCell ref="P1176:Q1176"/>
    <mergeCell ref="R1176:S1176"/>
    <mergeCell ref="T1176:U1176"/>
    <mergeCell ref="B1177:C1177"/>
    <mergeCell ref="D1177:E1177"/>
    <mergeCell ref="F1177:G1177"/>
    <mergeCell ref="H1177:I1177"/>
    <mergeCell ref="J1177:K1177"/>
    <mergeCell ref="L1177:M1177"/>
    <mergeCell ref="P1177:Q1177"/>
    <mergeCell ref="AX1177:AZ1177"/>
    <mergeCell ref="BA1177:BB1177"/>
    <mergeCell ref="BD1177:BE1177"/>
    <mergeCell ref="BF1177:BI1177"/>
    <mergeCell ref="BJ1177:BM1177"/>
    <mergeCell ref="BN1177:BV1177"/>
    <mergeCell ref="AN1177:AO1177"/>
    <mergeCell ref="AP1177:AQ1177"/>
    <mergeCell ref="AR1177:AS1177"/>
    <mergeCell ref="AT1177:AU1177"/>
    <mergeCell ref="AV1177:AW1177"/>
    <mergeCell ref="R1177:S1177"/>
    <mergeCell ref="T1177:U1177"/>
    <mergeCell ref="V1177:W1177"/>
    <mergeCell ref="X1177:AA1177"/>
    <mergeCell ref="AB1177:AE1177"/>
    <mergeCell ref="AF1177:AG1177"/>
    <mergeCell ref="AH1177:AI1177"/>
    <mergeCell ref="AJ1177:AK1177"/>
    <mergeCell ref="AL1177:AM1177"/>
    <mergeCell ref="V1178:W1178"/>
    <mergeCell ref="X1178:AA1178"/>
    <mergeCell ref="AB1178:AE1178"/>
    <mergeCell ref="AF1178:AG1178"/>
    <mergeCell ref="AH1178:AI1178"/>
    <mergeCell ref="AJ1178:AK1178"/>
    <mergeCell ref="AL1178:AM1178"/>
    <mergeCell ref="BD1178:BE1178"/>
    <mergeCell ref="BF1178:BI1178"/>
    <mergeCell ref="BJ1178:BM1178"/>
    <mergeCell ref="BN1178:BV1178"/>
    <mergeCell ref="AN1178:AO1178"/>
    <mergeCell ref="AP1178:AQ1178"/>
    <mergeCell ref="AR1178:AS1178"/>
    <mergeCell ref="AT1178:AU1178"/>
    <mergeCell ref="AV1178:AW1178"/>
    <mergeCell ref="AX1178:AZ1178"/>
    <mergeCell ref="BA1178:BB1178"/>
    <mergeCell ref="B1178:C1178"/>
    <mergeCell ref="D1178:E1178"/>
    <mergeCell ref="F1178:G1178"/>
    <mergeCell ref="H1178:I1178"/>
    <mergeCell ref="P1178:Q1178"/>
    <mergeCell ref="R1178:S1178"/>
    <mergeCell ref="T1178:U1178"/>
    <mergeCell ref="B1179:C1179"/>
    <mergeCell ref="D1179:E1179"/>
    <mergeCell ref="F1179:G1179"/>
    <mergeCell ref="H1179:I1179"/>
    <mergeCell ref="J1179:K1179"/>
    <mergeCell ref="L1179:M1179"/>
    <mergeCell ref="P1179:Q1179"/>
    <mergeCell ref="AX1179:AZ1179"/>
    <mergeCell ref="BA1179:BB1179"/>
    <mergeCell ref="BD1179:BE1179"/>
    <mergeCell ref="BF1179:BI1179"/>
    <mergeCell ref="BJ1179:BM1179"/>
    <mergeCell ref="BN1179:BV1179"/>
    <mergeCell ref="AN1179:AO1179"/>
    <mergeCell ref="AP1179:AQ1179"/>
    <mergeCell ref="AR1179:AS1179"/>
    <mergeCell ref="AT1179:AU1179"/>
    <mergeCell ref="AV1179:AW1179"/>
    <mergeCell ref="R1179:S1179"/>
    <mergeCell ref="T1179:U1179"/>
    <mergeCell ref="V1179:W1179"/>
    <mergeCell ref="X1179:AA1179"/>
    <mergeCell ref="AB1179:AE1179"/>
    <mergeCell ref="AF1179:AG1179"/>
    <mergeCell ref="AH1179:AI1179"/>
    <mergeCell ref="AJ1179:AK1179"/>
    <mergeCell ref="AL1179:AM1179"/>
    <mergeCell ref="V1180:W1180"/>
    <mergeCell ref="X1180:AA1180"/>
    <mergeCell ref="AB1180:AE1180"/>
    <mergeCell ref="AF1180:AG1180"/>
    <mergeCell ref="AH1180:AI1180"/>
    <mergeCell ref="AJ1180:AK1180"/>
    <mergeCell ref="AL1180:AM1180"/>
    <mergeCell ref="BD1180:BE1180"/>
    <mergeCell ref="BF1180:BI1180"/>
    <mergeCell ref="BJ1180:BM1180"/>
    <mergeCell ref="BN1180:BV1180"/>
    <mergeCell ref="AN1180:AO1180"/>
    <mergeCell ref="AP1180:AQ1180"/>
    <mergeCell ref="AR1180:AS1180"/>
    <mergeCell ref="AT1180:AU1180"/>
    <mergeCell ref="AV1180:AW1180"/>
    <mergeCell ref="AX1180:AZ1180"/>
    <mergeCell ref="BA1180:BB1180"/>
    <mergeCell ref="B1180:C1180"/>
    <mergeCell ref="D1180:E1180"/>
    <mergeCell ref="F1180:G1180"/>
    <mergeCell ref="H1180:I1180"/>
    <mergeCell ref="P1180:Q1180"/>
    <mergeCell ref="R1180:S1180"/>
    <mergeCell ref="T1180:U1180"/>
    <mergeCell ref="B1181:C1181"/>
    <mergeCell ref="D1181:E1181"/>
    <mergeCell ref="F1181:G1181"/>
    <mergeCell ref="H1181:I1181"/>
    <mergeCell ref="J1181:K1181"/>
    <mergeCell ref="L1181:M1181"/>
    <mergeCell ref="P1181:Q1181"/>
    <mergeCell ref="AX1181:AZ1181"/>
    <mergeCell ref="BA1181:BB1181"/>
    <mergeCell ref="BD1181:BE1181"/>
    <mergeCell ref="BF1181:BI1181"/>
    <mergeCell ref="BJ1181:BM1181"/>
    <mergeCell ref="BN1181:BV1181"/>
    <mergeCell ref="AN1181:AO1181"/>
    <mergeCell ref="AP1181:AQ1181"/>
    <mergeCell ref="AR1181:AS1181"/>
    <mergeCell ref="AT1181:AU1181"/>
    <mergeCell ref="AV1181:AW1181"/>
    <mergeCell ref="R1181:S1181"/>
    <mergeCell ref="T1181:U1181"/>
    <mergeCell ref="V1181:W1181"/>
    <mergeCell ref="X1181:AA1181"/>
    <mergeCell ref="AB1181:AE1181"/>
    <mergeCell ref="AF1181:AG1181"/>
    <mergeCell ref="AH1181:AI1181"/>
    <mergeCell ref="AJ1181:AK1181"/>
    <mergeCell ref="AL1181:AM1181"/>
    <mergeCell ref="V1182:W1182"/>
    <mergeCell ref="X1182:AA1182"/>
    <mergeCell ref="AB1182:AE1182"/>
    <mergeCell ref="AF1182:AG1182"/>
    <mergeCell ref="AH1182:AI1182"/>
    <mergeCell ref="AJ1182:AK1182"/>
    <mergeCell ref="AL1182:AM1182"/>
    <mergeCell ref="BD1182:BE1182"/>
    <mergeCell ref="BF1182:BI1182"/>
    <mergeCell ref="BJ1182:BM1182"/>
    <mergeCell ref="BN1182:BV1182"/>
    <mergeCell ref="AN1182:AO1182"/>
    <mergeCell ref="AP1182:AQ1182"/>
    <mergeCell ref="AR1182:AS1182"/>
    <mergeCell ref="AT1182:AU1182"/>
    <mergeCell ref="AV1182:AW1182"/>
    <mergeCell ref="AX1182:AZ1182"/>
    <mergeCell ref="BA1182:BB1182"/>
    <mergeCell ref="B1182:C1182"/>
    <mergeCell ref="D1182:E1182"/>
    <mergeCell ref="F1182:G1182"/>
    <mergeCell ref="H1182:I1182"/>
    <mergeCell ref="P1182:Q1182"/>
    <mergeCell ref="R1182:S1182"/>
    <mergeCell ref="T1182:U1182"/>
    <mergeCell ref="B1183:C1183"/>
    <mergeCell ref="D1183:E1183"/>
    <mergeCell ref="F1183:G1183"/>
    <mergeCell ref="H1183:I1183"/>
    <mergeCell ref="J1183:K1183"/>
    <mergeCell ref="L1183:M1183"/>
    <mergeCell ref="P1183:Q1183"/>
    <mergeCell ref="AX1183:AZ1183"/>
    <mergeCell ref="BA1183:BB1183"/>
    <mergeCell ref="BD1183:BE1183"/>
    <mergeCell ref="BF1183:BI1183"/>
    <mergeCell ref="BJ1183:BM1183"/>
    <mergeCell ref="BN1183:BV1183"/>
    <mergeCell ref="AN1183:AO1183"/>
    <mergeCell ref="AP1183:AQ1183"/>
    <mergeCell ref="AR1183:AS1183"/>
    <mergeCell ref="AT1183:AU1183"/>
    <mergeCell ref="AV1183:AW1183"/>
    <mergeCell ref="R1183:S1183"/>
    <mergeCell ref="T1183:U1183"/>
    <mergeCell ref="V1183:W1183"/>
    <mergeCell ref="X1183:AA1183"/>
    <mergeCell ref="AB1183:AE1183"/>
    <mergeCell ref="AF1183:AG1183"/>
    <mergeCell ref="AH1183:AI1183"/>
    <mergeCell ref="AJ1183:AK1183"/>
    <mergeCell ref="AL1183:AM1183"/>
    <mergeCell ref="V1184:W1184"/>
    <mergeCell ref="X1184:AA1184"/>
    <mergeCell ref="AB1184:AE1184"/>
    <mergeCell ref="AF1184:AG1184"/>
    <mergeCell ref="AH1184:AI1184"/>
    <mergeCell ref="AJ1184:AK1184"/>
    <mergeCell ref="AL1184:AM1184"/>
    <mergeCell ref="BD1184:BE1184"/>
    <mergeCell ref="BF1184:BI1184"/>
    <mergeCell ref="BJ1184:BM1184"/>
    <mergeCell ref="BN1184:BV1184"/>
    <mergeCell ref="AN1184:AO1184"/>
    <mergeCell ref="AP1184:AQ1184"/>
    <mergeCell ref="AR1184:AS1184"/>
    <mergeCell ref="AT1184:AU1184"/>
    <mergeCell ref="AV1184:AW1184"/>
    <mergeCell ref="AX1184:AZ1184"/>
    <mergeCell ref="BA1184:BB1184"/>
    <mergeCell ref="B1184:C1184"/>
    <mergeCell ref="D1184:E1184"/>
    <mergeCell ref="F1184:G1184"/>
    <mergeCell ref="H1184:I1184"/>
    <mergeCell ref="P1184:Q1184"/>
    <mergeCell ref="R1184:S1184"/>
    <mergeCell ref="T1184:U1184"/>
    <mergeCell ref="B1185:C1185"/>
    <mergeCell ref="D1185:E1185"/>
    <mergeCell ref="F1185:G1185"/>
    <mergeCell ref="H1185:I1185"/>
    <mergeCell ref="J1185:K1185"/>
    <mergeCell ref="L1185:M1185"/>
    <mergeCell ref="P1185:Q1185"/>
    <mergeCell ref="AX1185:AZ1185"/>
    <mergeCell ref="BA1185:BB1185"/>
    <mergeCell ref="BD1185:BE1185"/>
    <mergeCell ref="BF1185:BI1185"/>
    <mergeCell ref="BJ1185:BM1185"/>
    <mergeCell ref="BN1185:BV1185"/>
    <mergeCell ref="AN1185:AO1185"/>
    <mergeCell ref="AP1185:AQ1185"/>
    <mergeCell ref="AR1185:AS1185"/>
    <mergeCell ref="AT1185:AU1185"/>
    <mergeCell ref="AV1185:AW1185"/>
    <mergeCell ref="R1185:S1185"/>
    <mergeCell ref="T1185:U1185"/>
    <mergeCell ref="V1185:W1185"/>
    <mergeCell ref="X1185:AA1185"/>
    <mergeCell ref="AB1185:AE1185"/>
    <mergeCell ref="AF1185:AG1185"/>
    <mergeCell ref="AH1185:AI1185"/>
    <mergeCell ref="AJ1185:AK1185"/>
    <mergeCell ref="AL1185:AM1185"/>
    <mergeCell ref="V1186:W1186"/>
    <mergeCell ref="X1186:AA1186"/>
    <mergeCell ref="AB1186:AE1186"/>
    <mergeCell ref="AF1186:AG1186"/>
    <mergeCell ref="AH1186:AI1186"/>
    <mergeCell ref="AJ1186:AK1186"/>
    <mergeCell ref="AL1186:AM1186"/>
    <mergeCell ref="BD1186:BE1186"/>
    <mergeCell ref="BF1186:BI1186"/>
    <mergeCell ref="BJ1186:BM1186"/>
    <mergeCell ref="BN1186:BV1186"/>
    <mergeCell ref="AN1186:AO1186"/>
    <mergeCell ref="AP1186:AQ1186"/>
    <mergeCell ref="AR1186:AS1186"/>
    <mergeCell ref="AT1186:AU1186"/>
    <mergeCell ref="AV1186:AW1186"/>
    <mergeCell ref="AX1186:AZ1186"/>
    <mergeCell ref="BA1186:BB1186"/>
    <mergeCell ref="B1186:C1186"/>
    <mergeCell ref="D1186:E1186"/>
    <mergeCell ref="F1186:G1186"/>
    <mergeCell ref="H1186:I1186"/>
    <mergeCell ref="P1186:Q1186"/>
    <mergeCell ref="R1186:S1186"/>
    <mergeCell ref="T1186:U1186"/>
    <mergeCell ref="B1187:C1187"/>
    <mergeCell ref="D1187:E1187"/>
    <mergeCell ref="F1187:G1187"/>
    <mergeCell ref="H1187:I1187"/>
    <mergeCell ref="J1187:K1187"/>
    <mergeCell ref="L1187:M1187"/>
    <mergeCell ref="P1187:Q1187"/>
    <mergeCell ref="AX1187:AZ1187"/>
    <mergeCell ref="BA1187:BB1187"/>
    <mergeCell ref="BD1187:BE1187"/>
    <mergeCell ref="BF1187:BI1187"/>
    <mergeCell ref="BJ1187:BM1187"/>
    <mergeCell ref="BN1187:BV1187"/>
    <mergeCell ref="AN1187:AO1187"/>
    <mergeCell ref="AP1187:AQ1187"/>
    <mergeCell ref="AR1187:AS1187"/>
    <mergeCell ref="AT1187:AU1187"/>
    <mergeCell ref="AV1187:AW1187"/>
    <mergeCell ref="R1187:S1187"/>
    <mergeCell ref="T1187:U1187"/>
    <mergeCell ref="V1187:W1187"/>
    <mergeCell ref="X1187:AA1187"/>
    <mergeCell ref="AB1187:AE1187"/>
    <mergeCell ref="AF1187:AG1187"/>
    <mergeCell ref="AH1187:AI1187"/>
    <mergeCell ref="AJ1187:AK1187"/>
    <mergeCell ref="AL1187:AM1187"/>
    <mergeCell ref="V1188:W1188"/>
    <mergeCell ref="X1188:AA1188"/>
    <mergeCell ref="AB1188:AE1188"/>
    <mergeCell ref="AF1188:AG1188"/>
    <mergeCell ref="AH1188:AI1188"/>
    <mergeCell ref="AJ1188:AK1188"/>
    <mergeCell ref="AL1188:AM1188"/>
    <mergeCell ref="BD1188:BE1188"/>
    <mergeCell ref="BF1188:BI1188"/>
    <mergeCell ref="BJ1188:BM1188"/>
    <mergeCell ref="BN1188:BV1188"/>
    <mergeCell ref="AN1188:AO1188"/>
    <mergeCell ref="AP1188:AQ1188"/>
    <mergeCell ref="AR1188:AS1188"/>
    <mergeCell ref="AT1188:AU1188"/>
    <mergeCell ref="AV1188:AW1188"/>
    <mergeCell ref="AX1188:AZ1188"/>
    <mergeCell ref="BA1188:BB1188"/>
    <mergeCell ref="B1188:C1188"/>
    <mergeCell ref="D1188:E1188"/>
    <mergeCell ref="F1188:G1188"/>
    <mergeCell ref="H1188:I1188"/>
    <mergeCell ref="P1188:Q1188"/>
    <mergeCell ref="R1188:S1188"/>
    <mergeCell ref="T1188:U1188"/>
    <mergeCell ref="B1189:C1189"/>
    <mergeCell ref="D1189:E1189"/>
    <mergeCell ref="F1189:G1189"/>
    <mergeCell ref="H1189:I1189"/>
    <mergeCell ref="J1189:K1189"/>
    <mergeCell ref="L1189:M1189"/>
    <mergeCell ref="P1189:Q1189"/>
    <mergeCell ref="AX1189:AZ1189"/>
    <mergeCell ref="BA1189:BB1189"/>
    <mergeCell ref="BD1189:BE1189"/>
    <mergeCell ref="BF1189:BI1189"/>
    <mergeCell ref="BJ1189:BM1189"/>
    <mergeCell ref="BN1189:BV1189"/>
    <mergeCell ref="AN1189:AO1189"/>
    <mergeCell ref="AP1189:AQ1189"/>
    <mergeCell ref="AR1189:AS1189"/>
    <mergeCell ref="AT1189:AU1189"/>
    <mergeCell ref="AV1189:AW1189"/>
    <mergeCell ref="B1505:C1505"/>
    <mergeCell ref="D1505:E1505"/>
    <mergeCell ref="F1505:G1505"/>
    <mergeCell ref="H1505:I1505"/>
    <mergeCell ref="J1505:K1505"/>
    <mergeCell ref="L1505:M1505"/>
    <mergeCell ref="P1505:Q1505"/>
    <mergeCell ref="AX1505:AZ1505"/>
    <mergeCell ref="BA1505:BB1505"/>
    <mergeCell ref="BD1505:BE1505"/>
    <mergeCell ref="BF1505:BI1505"/>
    <mergeCell ref="BJ1505:BM1505"/>
    <mergeCell ref="BN1505:BV1505"/>
    <mergeCell ref="AN1505:AO1505"/>
    <mergeCell ref="AP1505:AQ1505"/>
    <mergeCell ref="AR1505:AS1505"/>
    <mergeCell ref="AT1505:AU1505"/>
    <mergeCell ref="AV1505:AW1505"/>
    <mergeCell ref="R1501:S1501"/>
    <mergeCell ref="T1501:U1501"/>
    <mergeCell ref="V1501:W1501"/>
    <mergeCell ref="X1501:AA1501"/>
    <mergeCell ref="AB1501:AE1501"/>
    <mergeCell ref="AF1501:AG1501"/>
    <mergeCell ref="AH1501:AI1501"/>
    <mergeCell ref="V1502:W1502"/>
    <mergeCell ref="X1502:AA1502"/>
    <mergeCell ref="AB1502:AE1502"/>
    <mergeCell ref="AF1502:AG1502"/>
    <mergeCell ref="AH1502:AI1502"/>
    <mergeCell ref="AJ1502:AK1502"/>
    <mergeCell ref="AL1502:AM1502"/>
    <mergeCell ref="BD1502:BE1502"/>
    <mergeCell ref="BF1502:BI1502"/>
    <mergeCell ref="BJ1502:BM1502"/>
    <mergeCell ref="BN1502:BV1502"/>
    <mergeCell ref="AN1502:AO1502"/>
    <mergeCell ref="AP1502:AQ1502"/>
    <mergeCell ref="AR1502:AS1502"/>
    <mergeCell ref="AT1502:AU1502"/>
    <mergeCell ref="AV1502:AW1502"/>
    <mergeCell ref="AX1502:AZ1502"/>
    <mergeCell ref="BA1502:BB1502"/>
    <mergeCell ref="B1502:C1502"/>
    <mergeCell ref="D1502:E1502"/>
    <mergeCell ref="F1502:G1502"/>
    <mergeCell ref="H1502:I1502"/>
    <mergeCell ref="P1502:Q1502"/>
    <mergeCell ref="R1502:S1502"/>
    <mergeCell ref="T1502:U1502"/>
    <mergeCell ref="B1503:C1503"/>
    <mergeCell ref="D1503:E1503"/>
    <mergeCell ref="F1503:G1503"/>
    <mergeCell ref="H1503:I1503"/>
    <mergeCell ref="J1503:K1503"/>
    <mergeCell ref="L1503:M1503"/>
    <mergeCell ref="P1503:Q1503"/>
    <mergeCell ref="AX1503:AZ1503"/>
    <mergeCell ref="BA1503:BB1503"/>
    <mergeCell ref="BD1503:BE1503"/>
    <mergeCell ref="BF1503:BI1503"/>
    <mergeCell ref="BJ1503:BM1503"/>
    <mergeCell ref="BN1503:BV1503"/>
    <mergeCell ref="AJ1501:AK1501"/>
    <mergeCell ref="B1383:C1383"/>
    <mergeCell ref="D1383:E1383"/>
    <mergeCell ref="F1383:G1383"/>
    <mergeCell ref="H1383:I1383"/>
    <mergeCell ref="J1383:K1383"/>
    <mergeCell ref="L1383:M1383"/>
    <mergeCell ref="P1383:Q1383"/>
    <mergeCell ref="AJ1383:AK1383"/>
    <mergeCell ref="AL1383:AM1383"/>
    <mergeCell ref="AN1383:AO1383"/>
    <mergeCell ref="AP1383:AQ1383"/>
    <mergeCell ref="AR1383:AS1383"/>
    <mergeCell ref="AT1383:AU1383"/>
    <mergeCell ref="AV1383:AW1383"/>
    <mergeCell ref="B1384:C1384"/>
    <mergeCell ref="D1384:E1384"/>
    <mergeCell ref="F1384:G1384"/>
    <mergeCell ref="H1384:I1384"/>
    <mergeCell ref="J1384:K1384"/>
    <mergeCell ref="L1384:M1384"/>
    <mergeCell ref="P1384:Q1384"/>
    <mergeCell ref="V1504:W1504"/>
    <mergeCell ref="X1504:AA1504"/>
    <mergeCell ref="AB1504:AE1504"/>
    <mergeCell ref="AF1504:AG1504"/>
    <mergeCell ref="AH1504:AI1504"/>
    <mergeCell ref="AJ1504:AK1504"/>
    <mergeCell ref="AL1504:AM1504"/>
    <mergeCell ref="BD1504:BE1504"/>
    <mergeCell ref="BF1504:BI1504"/>
    <mergeCell ref="BJ1504:BM1504"/>
    <mergeCell ref="BN1504:BV1504"/>
    <mergeCell ref="AN1504:AO1504"/>
    <mergeCell ref="AP1504:AQ1504"/>
    <mergeCell ref="AR1504:AS1504"/>
    <mergeCell ref="AT1504:AU1504"/>
    <mergeCell ref="AV1504:AW1504"/>
    <mergeCell ref="AX1504:AZ1504"/>
    <mergeCell ref="BA1504:BB1504"/>
    <mergeCell ref="B1504:C1504"/>
    <mergeCell ref="D1504:E1504"/>
    <mergeCell ref="F1504:G1504"/>
    <mergeCell ref="H1504:I1504"/>
    <mergeCell ref="P1504:Q1504"/>
    <mergeCell ref="R1504:S1504"/>
    <mergeCell ref="T1504:U1504"/>
    <mergeCell ref="AL1501:AM1501"/>
    <mergeCell ref="AN1503:AO1503"/>
    <mergeCell ref="AP1503:AQ1503"/>
    <mergeCell ref="AR1503:AS1503"/>
    <mergeCell ref="AT1503:AU1503"/>
    <mergeCell ref="AV1503:AW1503"/>
    <mergeCell ref="R1503:S1503"/>
    <mergeCell ref="T1503:U1503"/>
    <mergeCell ref="V1503:W1503"/>
    <mergeCell ref="X1503:AA1503"/>
    <mergeCell ref="AB1503:AE1503"/>
    <mergeCell ref="AF1503:AG1503"/>
    <mergeCell ref="AH1503:AI1503"/>
    <mergeCell ref="AJ1503:AK1503"/>
    <mergeCell ref="AL1503:AM1503"/>
    <mergeCell ref="AP1387:AQ1387"/>
    <mergeCell ref="AR1387:AS1387"/>
    <mergeCell ref="AT1387:AU1387"/>
    <mergeCell ref="AV1387:AW1387"/>
    <mergeCell ref="AX1387:AZ1387"/>
    <mergeCell ref="BA1387:BB1387"/>
    <mergeCell ref="R1385:S1385"/>
    <mergeCell ref="T1385:U1385"/>
    <mergeCell ref="V1385:W1385"/>
    <mergeCell ref="X1385:AA1385"/>
    <mergeCell ref="AB1385:AE1385"/>
    <mergeCell ref="AF1385:AG1385"/>
    <mergeCell ref="AH1385:AI1385"/>
    <mergeCell ref="AX1385:AZ1385"/>
    <mergeCell ref="BA1385:BB1385"/>
    <mergeCell ref="BD1385:BE1385"/>
    <mergeCell ref="BF1385:BI1385"/>
    <mergeCell ref="BD1384:BE1384"/>
    <mergeCell ref="BF1384:BI1384"/>
    <mergeCell ref="AN1384:AO1384"/>
    <mergeCell ref="AP1384:AQ1384"/>
    <mergeCell ref="AR1384:AS1384"/>
    <mergeCell ref="AT1384:AU1384"/>
    <mergeCell ref="AV1384:AW1384"/>
    <mergeCell ref="AX1384:AZ1384"/>
    <mergeCell ref="BA1384:BB1384"/>
    <mergeCell ref="AJ1382:AK1382"/>
    <mergeCell ref="AL1382:AM1382"/>
    <mergeCell ref="R1382:S1382"/>
    <mergeCell ref="T1382:U1382"/>
    <mergeCell ref="V1382:W1382"/>
    <mergeCell ref="X1382:AA1382"/>
    <mergeCell ref="AB1382:AE1382"/>
    <mergeCell ref="AF1382:AG1382"/>
    <mergeCell ref="AH1382:AI1382"/>
    <mergeCell ref="R1383:S1383"/>
    <mergeCell ref="T1383:U1383"/>
    <mergeCell ref="V1383:W1383"/>
    <mergeCell ref="X1383:AA1383"/>
    <mergeCell ref="AB1383:AE1383"/>
    <mergeCell ref="AF1383:AG1383"/>
    <mergeCell ref="AH1383:AI1383"/>
    <mergeCell ref="AX1383:AZ1383"/>
    <mergeCell ref="BA1383:BB1383"/>
    <mergeCell ref="BD1383:BE1383"/>
    <mergeCell ref="BF1383:BI1383"/>
    <mergeCell ref="AJ1384:AK1384"/>
    <mergeCell ref="AL1384:AM1384"/>
    <mergeCell ref="BJ1385:BM1385"/>
    <mergeCell ref="BN1385:BV1385"/>
    <mergeCell ref="AJ1385:AK1385"/>
    <mergeCell ref="AL1385:AM1385"/>
    <mergeCell ref="AN1385:AO1385"/>
    <mergeCell ref="AP1385:AQ1385"/>
    <mergeCell ref="AR1385:AS1385"/>
    <mergeCell ref="AT1385:AU1385"/>
    <mergeCell ref="AV1385:AW1385"/>
    <mergeCell ref="B1385:C1385"/>
    <mergeCell ref="D1385:E1385"/>
    <mergeCell ref="F1385:G1385"/>
    <mergeCell ref="H1385:I1385"/>
    <mergeCell ref="J1385:K1385"/>
    <mergeCell ref="L1385:M1385"/>
    <mergeCell ref="P1385:Q1385"/>
    <mergeCell ref="AX1386:AZ1386"/>
    <mergeCell ref="BA1386:BB1386"/>
    <mergeCell ref="BD1386:BE1386"/>
    <mergeCell ref="BF1386:BI1386"/>
    <mergeCell ref="BJ1386:BM1386"/>
    <mergeCell ref="BN1386:BV1386"/>
    <mergeCell ref="BJ1387:BM1387"/>
    <mergeCell ref="BN1387:BV1387"/>
    <mergeCell ref="B1387:C1387"/>
    <mergeCell ref="D1387:E1387"/>
    <mergeCell ref="F1387:G1387"/>
    <mergeCell ref="H1387:I1387"/>
    <mergeCell ref="J1387:K1387"/>
    <mergeCell ref="L1387:M1387"/>
    <mergeCell ref="P1387:Q1387"/>
    <mergeCell ref="AJ1386:AK1386"/>
    <mergeCell ref="AL1386:AM1386"/>
    <mergeCell ref="AN1386:AO1386"/>
    <mergeCell ref="AP1386:AQ1386"/>
    <mergeCell ref="AR1386:AS1386"/>
    <mergeCell ref="AT1386:AU1386"/>
    <mergeCell ref="AV1386:AW1386"/>
    <mergeCell ref="AJ1387:AK1387"/>
    <mergeCell ref="AL1387:AM1387"/>
    <mergeCell ref="R1387:S1387"/>
    <mergeCell ref="T1387:U1387"/>
    <mergeCell ref="V1387:W1387"/>
    <mergeCell ref="X1387:AA1387"/>
    <mergeCell ref="AB1387:AE1387"/>
    <mergeCell ref="AF1387:AG1387"/>
    <mergeCell ref="AH1387:AI1387"/>
    <mergeCell ref="R1386:S1386"/>
    <mergeCell ref="T1386:U1386"/>
    <mergeCell ref="V1386:W1386"/>
    <mergeCell ref="X1386:AA1386"/>
    <mergeCell ref="AB1386:AE1386"/>
    <mergeCell ref="AF1386:AG1386"/>
    <mergeCell ref="AH1386:AI1386"/>
    <mergeCell ref="B1386:C1386"/>
    <mergeCell ref="D1386:E1386"/>
    <mergeCell ref="F1386:G1386"/>
    <mergeCell ref="H1386:I1386"/>
    <mergeCell ref="J1386:K1386"/>
    <mergeCell ref="L1386:M1386"/>
    <mergeCell ref="P1386:Q1386"/>
    <mergeCell ref="BD1387:BE1387"/>
    <mergeCell ref="BF1387:BI1387"/>
    <mergeCell ref="AN1387:AO1387"/>
    <mergeCell ref="BJ1515:BM1515"/>
    <mergeCell ref="BN1515:BV1515"/>
    <mergeCell ref="R1515:S1515"/>
    <mergeCell ref="T1515:U1515"/>
    <mergeCell ref="V1515:W1515"/>
    <mergeCell ref="X1515:AA1515"/>
    <mergeCell ref="AB1515:AE1515"/>
    <mergeCell ref="AF1515:AG1515"/>
    <mergeCell ref="AH1515:AI1515"/>
    <mergeCell ref="R1493:S1493"/>
    <mergeCell ref="T1493:U1493"/>
    <mergeCell ref="V1493:W1493"/>
    <mergeCell ref="X1493:AA1493"/>
    <mergeCell ref="AB1493:AE1493"/>
    <mergeCell ref="AF1493:AG1493"/>
    <mergeCell ref="AH1493:AI1493"/>
    <mergeCell ref="V1494:W1494"/>
    <mergeCell ref="X1494:AA1494"/>
    <mergeCell ref="AB1494:AE1494"/>
    <mergeCell ref="AF1494:AG1494"/>
    <mergeCell ref="AH1494:AI1494"/>
    <mergeCell ref="AJ1494:AK1494"/>
    <mergeCell ref="AL1494:AM1494"/>
    <mergeCell ref="BD1494:BE1494"/>
    <mergeCell ref="BF1494:BI1494"/>
    <mergeCell ref="BJ1494:BM1494"/>
    <mergeCell ref="BN1494:BV1494"/>
    <mergeCell ref="AN1494:AO1494"/>
    <mergeCell ref="AP1494:AQ1494"/>
    <mergeCell ref="AR1494:AS1494"/>
    <mergeCell ref="AT1494:AU1494"/>
    <mergeCell ref="AV1494:AW1494"/>
    <mergeCell ref="AX1494:AZ1494"/>
    <mergeCell ref="BA1494:BB1494"/>
    <mergeCell ref="V1496:W1496"/>
    <mergeCell ref="X1496:AA1496"/>
    <mergeCell ref="AB1496:AE1496"/>
    <mergeCell ref="AF1496:AG1496"/>
    <mergeCell ref="AH1496:AI1496"/>
    <mergeCell ref="AJ1496:AK1496"/>
    <mergeCell ref="AL1496:AM1496"/>
    <mergeCell ref="BD1496:BE1496"/>
    <mergeCell ref="BF1496:BI1496"/>
    <mergeCell ref="BJ1496:BM1496"/>
    <mergeCell ref="BN1496:BV1496"/>
    <mergeCell ref="AN1496:AO1496"/>
    <mergeCell ref="AP1496:AQ1496"/>
    <mergeCell ref="AR1496:AS1496"/>
    <mergeCell ref="AT1496:AU1496"/>
    <mergeCell ref="AV1496:AW1496"/>
    <mergeCell ref="AX1496:AZ1496"/>
    <mergeCell ref="BA1496:BB1496"/>
    <mergeCell ref="V1498:W1498"/>
    <mergeCell ref="AR1499:AS1499"/>
    <mergeCell ref="AT1499:AU1499"/>
    <mergeCell ref="AV1499:AW1499"/>
    <mergeCell ref="R1499:S1499"/>
    <mergeCell ref="T1499:U1499"/>
    <mergeCell ref="V1499:W1499"/>
    <mergeCell ref="X1499:AA1499"/>
    <mergeCell ref="AB1499:AE1499"/>
    <mergeCell ref="AF1499:AG1499"/>
    <mergeCell ref="AH1499:AI1499"/>
    <mergeCell ref="AJ1499:AK1499"/>
    <mergeCell ref="B1494:C1494"/>
    <mergeCell ref="D1494:E1494"/>
    <mergeCell ref="F1494:G1494"/>
    <mergeCell ref="H1494:I1494"/>
    <mergeCell ref="P1494:Q1494"/>
    <mergeCell ref="R1494:S1494"/>
    <mergeCell ref="T1494:U1494"/>
    <mergeCell ref="B1495:C1495"/>
    <mergeCell ref="D1495:E1495"/>
    <mergeCell ref="F1495:G1495"/>
    <mergeCell ref="H1495:I1495"/>
    <mergeCell ref="J1495:K1495"/>
    <mergeCell ref="L1495:M1495"/>
    <mergeCell ref="P1495:Q1495"/>
    <mergeCell ref="AX1495:AZ1495"/>
    <mergeCell ref="BA1495:BB1495"/>
    <mergeCell ref="BD1495:BE1495"/>
    <mergeCell ref="BF1495:BI1495"/>
    <mergeCell ref="BJ1495:BM1495"/>
    <mergeCell ref="BN1495:BV1495"/>
    <mergeCell ref="AJ1493:AK1493"/>
    <mergeCell ref="AL1493:AM1493"/>
    <mergeCell ref="AN1495:AO1495"/>
    <mergeCell ref="AP1495:AQ1495"/>
    <mergeCell ref="AR1495:AS1495"/>
    <mergeCell ref="AT1495:AU1495"/>
    <mergeCell ref="AV1495:AW1495"/>
    <mergeCell ref="R1495:S1495"/>
    <mergeCell ref="T1495:U1495"/>
    <mergeCell ref="V1495:W1495"/>
    <mergeCell ref="X1495:AA1495"/>
    <mergeCell ref="AB1495:AE1495"/>
    <mergeCell ref="AF1495:AG1495"/>
    <mergeCell ref="AH1495:AI1495"/>
    <mergeCell ref="B1493:C1493"/>
    <mergeCell ref="D1493:E1493"/>
    <mergeCell ref="F1493:G1493"/>
    <mergeCell ref="H1493:I1493"/>
    <mergeCell ref="J1493:K1493"/>
    <mergeCell ref="L1493:M1493"/>
    <mergeCell ref="P1493:Q1493"/>
    <mergeCell ref="AX1493:AZ1493"/>
    <mergeCell ref="BA1493:BB1493"/>
    <mergeCell ref="BD1493:BE1493"/>
    <mergeCell ref="BF1493:BI1493"/>
    <mergeCell ref="BJ1493:BM1493"/>
    <mergeCell ref="BN1493:BV1493"/>
    <mergeCell ref="AN1493:AO1493"/>
    <mergeCell ref="AP1493:AQ1493"/>
    <mergeCell ref="AR1493:AS1493"/>
    <mergeCell ref="AT1493:AU1493"/>
    <mergeCell ref="AV1493:AW1493"/>
    <mergeCell ref="AL1499:AM1499"/>
    <mergeCell ref="B1496:C1496"/>
    <mergeCell ref="D1496:E1496"/>
    <mergeCell ref="F1496:G1496"/>
    <mergeCell ref="H1496:I1496"/>
    <mergeCell ref="P1496:Q1496"/>
    <mergeCell ref="R1496:S1496"/>
    <mergeCell ref="T1496:U1496"/>
    <mergeCell ref="B1497:C1497"/>
    <mergeCell ref="D1497:E1497"/>
    <mergeCell ref="F1497:G1497"/>
    <mergeCell ref="H1497:I1497"/>
    <mergeCell ref="J1497:K1497"/>
    <mergeCell ref="L1497:M1497"/>
    <mergeCell ref="P1497:Q1497"/>
    <mergeCell ref="AX1497:AZ1497"/>
    <mergeCell ref="BA1497:BB1497"/>
    <mergeCell ref="BD1497:BE1497"/>
    <mergeCell ref="BF1497:BI1497"/>
    <mergeCell ref="BJ1497:BM1497"/>
    <mergeCell ref="BN1497:BV1497"/>
    <mergeCell ref="AJ1495:AK1495"/>
    <mergeCell ref="AL1495:AM1495"/>
    <mergeCell ref="AN1497:AO1497"/>
    <mergeCell ref="AP1497:AQ1497"/>
    <mergeCell ref="AR1497:AS1497"/>
    <mergeCell ref="AT1497:AU1497"/>
    <mergeCell ref="AV1497:AW1497"/>
    <mergeCell ref="R1497:S1497"/>
    <mergeCell ref="T1497:U1497"/>
    <mergeCell ref="V1497:W1497"/>
    <mergeCell ref="X1497:AA1497"/>
    <mergeCell ref="AB1497:AE1497"/>
    <mergeCell ref="AF1497:AG1497"/>
    <mergeCell ref="AH1497:AI1497"/>
    <mergeCell ref="AJ1497:AK1497"/>
    <mergeCell ref="AL1497:AM1497"/>
    <mergeCell ref="B1500:C1500"/>
    <mergeCell ref="D1500:E1500"/>
    <mergeCell ref="F1500:G1500"/>
    <mergeCell ref="H1500:I1500"/>
    <mergeCell ref="P1500:Q1500"/>
    <mergeCell ref="R1500:S1500"/>
    <mergeCell ref="T1500:U1500"/>
    <mergeCell ref="B1501:C1501"/>
    <mergeCell ref="D1501:E1501"/>
    <mergeCell ref="F1501:G1501"/>
    <mergeCell ref="H1501:I1501"/>
    <mergeCell ref="J1501:K1501"/>
    <mergeCell ref="L1501:M1501"/>
    <mergeCell ref="P1501:Q1501"/>
    <mergeCell ref="AX1501:AZ1501"/>
    <mergeCell ref="BA1501:BB1501"/>
    <mergeCell ref="BD1501:BE1501"/>
    <mergeCell ref="BF1501:BI1501"/>
    <mergeCell ref="BJ1501:BM1501"/>
    <mergeCell ref="BN1501:BV1501"/>
    <mergeCell ref="AN1501:AO1501"/>
    <mergeCell ref="AP1501:AQ1501"/>
    <mergeCell ref="AR1501:AS1501"/>
    <mergeCell ref="AT1501:AU1501"/>
    <mergeCell ref="AV1501:AW1501"/>
    <mergeCell ref="X1498:AA1498"/>
    <mergeCell ref="AB1498:AE1498"/>
    <mergeCell ref="AF1498:AG1498"/>
    <mergeCell ref="AH1498:AI1498"/>
    <mergeCell ref="AJ1498:AK1498"/>
    <mergeCell ref="AL1498:AM1498"/>
    <mergeCell ref="BD1498:BE1498"/>
    <mergeCell ref="BF1498:BI1498"/>
    <mergeCell ref="BJ1498:BM1498"/>
    <mergeCell ref="BN1498:BV1498"/>
    <mergeCell ref="AN1498:AO1498"/>
    <mergeCell ref="AP1498:AQ1498"/>
    <mergeCell ref="AR1498:AS1498"/>
    <mergeCell ref="AT1498:AU1498"/>
    <mergeCell ref="AV1498:AW1498"/>
    <mergeCell ref="AX1498:AZ1498"/>
    <mergeCell ref="BA1498:BB1498"/>
    <mergeCell ref="B1498:C1498"/>
    <mergeCell ref="D1498:E1498"/>
    <mergeCell ref="F1498:G1498"/>
    <mergeCell ref="H1498:I1498"/>
    <mergeCell ref="P1498:Q1498"/>
    <mergeCell ref="R1498:S1498"/>
    <mergeCell ref="T1498:U1498"/>
    <mergeCell ref="B1499:C1499"/>
    <mergeCell ref="D1499:E1499"/>
    <mergeCell ref="F1499:G1499"/>
    <mergeCell ref="H1499:I1499"/>
    <mergeCell ref="J1499:K1499"/>
    <mergeCell ref="L1499:M1499"/>
    <mergeCell ref="P1499:Q1499"/>
    <mergeCell ref="AX1499:AZ1499"/>
    <mergeCell ref="BA1499:BB1499"/>
    <mergeCell ref="BD1499:BE1499"/>
    <mergeCell ref="BF1499:BI1499"/>
    <mergeCell ref="BJ1499:BM1499"/>
    <mergeCell ref="BN1499:BV1499"/>
    <mergeCell ref="AN1499:AO1499"/>
    <mergeCell ref="AP1499:AQ1499"/>
    <mergeCell ref="AJ1505:AK1505"/>
    <mergeCell ref="AL1505:AM1505"/>
    <mergeCell ref="R1505:S1505"/>
    <mergeCell ref="T1505:U1505"/>
    <mergeCell ref="V1505:W1505"/>
    <mergeCell ref="X1505:AA1505"/>
    <mergeCell ref="AB1505:AE1505"/>
    <mergeCell ref="AF1505:AG1505"/>
    <mergeCell ref="AH1505:AI1505"/>
    <mergeCell ref="R1506:S1506"/>
    <mergeCell ref="T1506:U1506"/>
    <mergeCell ref="V1506:W1506"/>
    <mergeCell ref="X1506:AA1506"/>
    <mergeCell ref="AB1506:AE1506"/>
    <mergeCell ref="AF1506:AG1506"/>
    <mergeCell ref="AH1506:AI1506"/>
    <mergeCell ref="AX1506:AZ1506"/>
    <mergeCell ref="BA1506:BB1506"/>
    <mergeCell ref="BD1506:BE1506"/>
    <mergeCell ref="BF1506:BI1506"/>
    <mergeCell ref="BJ1506:BM1506"/>
    <mergeCell ref="BN1506:BV1506"/>
    <mergeCell ref="BJ1507:BM1507"/>
    <mergeCell ref="BN1507:BV1507"/>
    <mergeCell ref="V1500:W1500"/>
    <mergeCell ref="X1500:AA1500"/>
    <mergeCell ref="AB1500:AE1500"/>
    <mergeCell ref="AF1500:AG1500"/>
    <mergeCell ref="AH1500:AI1500"/>
    <mergeCell ref="AJ1500:AK1500"/>
    <mergeCell ref="AL1500:AM1500"/>
    <mergeCell ref="BD1500:BE1500"/>
    <mergeCell ref="BF1500:BI1500"/>
    <mergeCell ref="BJ1500:BM1500"/>
    <mergeCell ref="BN1500:BV1500"/>
    <mergeCell ref="AN1500:AO1500"/>
    <mergeCell ref="AP1500:AQ1500"/>
    <mergeCell ref="AR1500:AS1500"/>
    <mergeCell ref="AT1500:AU1500"/>
    <mergeCell ref="AV1500:AW1500"/>
    <mergeCell ref="AX1500:AZ1500"/>
    <mergeCell ref="BA1500:BB1500"/>
    <mergeCell ref="B1506:C1506"/>
    <mergeCell ref="D1506:E1506"/>
    <mergeCell ref="F1506:G1506"/>
    <mergeCell ref="H1506:I1506"/>
    <mergeCell ref="J1506:K1506"/>
    <mergeCell ref="L1506:M1506"/>
    <mergeCell ref="P1506:Q1506"/>
    <mergeCell ref="B1507:C1507"/>
    <mergeCell ref="D1507:E1507"/>
    <mergeCell ref="F1507:G1507"/>
    <mergeCell ref="H1507:I1507"/>
    <mergeCell ref="J1507:K1507"/>
    <mergeCell ref="L1507:M1507"/>
    <mergeCell ref="P1507:Q1507"/>
    <mergeCell ref="AJ1506:AK1506"/>
    <mergeCell ref="AL1506:AM1506"/>
    <mergeCell ref="AN1506:AO1506"/>
    <mergeCell ref="AP1506:AQ1506"/>
    <mergeCell ref="AR1506:AS1506"/>
    <mergeCell ref="AT1506:AU1506"/>
    <mergeCell ref="AV1506:AW1506"/>
    <mergeCell ref="BD1509:BE1509"/>
    <mergeCell ref="BF1509:BI1509"/>
    <mergeCell ref="AN1509:AO1509"/>
    <mergeCell ref="AP1509:AQ1509"/>
    <mergeCell ref="AR1509:AS1509"/>
    <mergeCell ref="AT1509:AU1509"/>
    <mergeCell ref="AV1509:AW1509"/>
    <mergeCell ref="AX1509:AZ1509"/>
    <mergeCell ref="BA1509:BB1509"/>
    <mergeCell ref="AJ1507:AK1507"/>
    <mergeCell ref="AL1507:AM1507"/>
    <mergeCell ref="R1507:S1507"/>
    <mergeCell ref="T1507:U1507"/>
    <mergeCell ref="V1507:W1507"/>
    <mergeCell ref="X1507:AA1507"/>
    <mergeCell ref="AB1507:AE1507"/>
    <mergeCell ref="AF1507:AG1507"/>
    <mergeCell ref="AH1507:AI1507"/>
    <mergeCell ref="R1508:S1508"/>
    <mergeCell ref="T1508:U1508"/>
    <mergeCell ref="V1508:W1508"/>
    <mergeCell ref="X1508:AA1508"/>
    <mergeCell ref="AB1508:AE1508"/>
    <mergeCell ref="AF1508:AG1508"/>
    <mergeCell ref="AH1508:AI1508"/>
    <mergeCell ref="AX1508:AZ1508"/>
    <mergeCell ref="BA1508:BB1508"/>
    <mergeCell ref="BD1508:BE1508"/>
    <mergeCell ref="BF1508:BI1508"/>
    <mergeCell ref="BD1507:BE1507"/>
    <mergeCell ref="BF1507:BI1507"/>
    <mergeCell ref="AN1507:AO1507"/>
    <mergeCell ref="AP1507:AQ1507"/>
    <mergeCell ref="AR1507:AS1507"/>
    <mergeCell ref="AT1507:AU1507"/>
    <mergeCell ref="AV1507:AW1507"/>
    <mergeCell ref="AX1507:AZ1507"/>
    <mergeCell ref="BA1507:BB1507"/>
    <mergeCell ref="BJ1508:BM1508"/>
    <mergeCell ref="BN1508:BV1508"/>
    <mergeCell ref="BJ1509:BM1509"/>
    <mergeCell ref="BN1509:BV1509"/>
    <mergeCell ref="B1508:C1508"/>
    <mergeCell ref="D1508:E1508"/>
    <mergeCell ref="F1508:G1508"/>
    <mergeCell ref="H1508:I1508"/>
    <mergeCell ref="J1508:K1508"/>
    <mergeCell ref="L1508:M1508"/>
    <mergeCell ref="P1508:Q1508"/>
    <mergeCell ref="B1509:C1509"/>
    <mergeCell ref="D1509:E1509"/>
    <mergeCell ref="F1509:G1509"/>
    <mergeCell ref="H1509:I1509"/>
    <mergeCell ref="J1509:K1509"/>
    <mergeCell ref="L1509:M1509"/>
    <mergeCell ref="P1509:Q1509"/>
    <mergeCell ref="AJ1508:AK1508"/>
    <mergeCell ref="AL1508:AM1508"/>
    <mergeCell ref="AN1508:AO1508"/>
    <mergeCell ref="AP1508:AQ1508"/>
    <mergeCell ref="AR1508:AS1508"/>
    <mergeCell ref="AT1508:AU1508"/>
    <mergeCell ref="AV1508:AW1508"/>
    <mergeCell ref="BD1511:BE1511"/>
    <mergeCell ref="BF1511:BI1511"/>
    <mergeCell ref="AN1511:AO1511"/>
    <mergeCell ref="AP1511:AQ1511"/>
    <mergeCell ref="AR1511:AS1511"/>
    <mergeCell ref="AT1511:AU1511"/>
    <mergeCell ref="AV1511:AW1511"/>
    <mergeCell ref="AX1511:AZ1511"/>
    <mergeCell ref="BA1511:BB1511"/>
    <mergeCell ref="AJ1509:AK1509"/>
    <mergeCell ref="AL1509:AM1509"/>
    <mergeCell ref="R1509:S1509"/>
    <mergeCell ref="T1509:U1509"/>
    <mergeCell ref="V1509:W1509"/>
    <mergeCell ref="X1509:AA1509"/>
    <mergeCell ref="AB1509:AE1509"/>
    <mergeCell ref="AF1509:AG1509"/>
    <mergeCell ref="AH1509:AI1509"/>
    <mergeCell ref="R1510:S1510"/>
    <mergeCell ref="T1510:U1510"/>
    <mergeCell ref="V1510:W1510"/>
    <mergeCell ref="X1510:AA1510"/>
    <mergeCell ref="AB1510:AE1510"/>
    <mergeCell ref="AF1510:AG1510"/>
    <mergeCell ref="AH1510:AI1510"/>
    <mergeCell ref="AX1510:AZ1510"/>
    <mergeCell ref="BA1510:BB1510"/>
    <mergeCell ref="BD1510:BE1510"/>
    <mergeCell ref="BF1510:BI1510"/>
    <mergeCell ref="BJ1510:BM1510"/>
    <mergeCell ref="BN1510:BV1510"/>
    <mergeCell ref="BJ1511:BM1511"/>
    <mergeCell ref="BN1511:BV1511"/>
    <mergeCell ref="B1510:C1510"/>
    <mergeCell ref="D1510:E1510"/>
    <mergeCell ref="F1510:G1510"/>
    <mergeCell ref="H1510:I1510"/>
    <mergeCell ref="J1510:K1510"/>
    <mergeCell ref="L1510:M1510"/>
    <mergeCell ref="P1510:Q1510"/>
    <mergeCell ref="B1511:C1511"/>
    <mergeCell ref="D1511:E1511"/>
    <mergeCell ref="F1511:G1511"/>
    <mergeCell ref="H1511:I1511"/>
    <mergeCell ref="J1511:K1511"/>
    <mergeCell ref="L1511:M1511"/>
    <mergeCell ref="P1511:Q1511"/>
    <mergeCell ref="AJ1510:AK1510"/>
    <mergeCell ref="AL1510:AM1510"/>
    <mergeCell ref="AN1510:AO1510"/>
    <mergeCell ref="AP1510:AQ1510"/>
    <mergeCell ref="AR1510:AS1510"/>
    <mergeCell ref="AT1510:AU1510"/>
    <mergeCell ref="AV1510:AW1510"/>
    <mergeCell ref="BD1513:BE1513"/>
    <mergeCell ref="BF1513:BI1513"/>
    <mergeCell ref="AN1513:AO1513"/>
    <mergeCell ref="AP1513:AQ1513"/>
    <mergeCell ref="AR1513:AS1513"/>
    <mergeCell ref="AT1513:AU1513"/>
    <mergeCell ref="AV1513:AW1513"/>
    <mergeCell ref="AX1513:AZ1513"/>
    <mergeCell ref="BA1513:BB1513"/>
    <mergeCell ref="AJ1511:AK1511"/>
    <mergeCell ref="AL1511:AM1511"/>
    <mergeCell ref="R1511:S1511"/>
    <mergeCell ref="T1511:U1511"/>
    <mergeCell ref="V1511:W1511"/>
    <mergeCell ref="X1511:AA1511"/>
    <mergeCell ref="AB1511:AE1511"/>
    <mergeCell ref="AF1511:AG1511"/>
    <mergeCell ref="AH1511:AI1511"/>
    <mergeCell ref="R1512:S1512"/>
    <mergeCell ref="T1512:U1512"/>
    <mergeCell ref="V1512:W1512"/>
    <mergeCell ref="X1512:AA1512"/>
    <mergeCell ref="AB1512:AE1512"/>
    <mergeCell ref="AF1512:AG1512"/>
    <mergeCell ref="AH1512:AI1512"/>
    <mergeCell ref="AX1512:AZ1512"/>
    <mergeCell ref="BA1512:BB1512"/>
    <mergeCell ref="BD1512:BE1512"/>
    <mergeCell ref="BF1512:BI1512"/>
    <mergeCell ref="AJ1513:AK1513"/>
    <mergeCell ref="AL1513:AM1513"/>
    <mergeCell ref="R1513:S1513"/>
    <mergeCell ref="T1513:U1513"/>
    <mergeCell ref="V1513:W1513"/>
    <mergeCell ref="X1513:AA1513"/>
    <mergeCell ref="AB1513:AE1513"/>
    <mergeCell ref="AF1513:AG1513"/>
    <mergeCell ref="AH1513:AI1513"/>
    <mergeCell ref="BJ1512:BM1512"/>
    <mergeCell ref="BN1512:BV1512"/>
    <mergeCell ref="BJ1513:BM1513"/>
    <mergeCell ref="BN1513:BV1513"/>
    <mergeCell ref="B1512:C1512"/>
    <mergeCell ref="D1512:E1512"/>
    <mergeCell ref="F1512:G1512"/>
    <mergeCell ref="H1512:I1512"/>
    <mergeCell ref="J1512:K1512"/>
    <mergeCell ref="L1512:M1512"/>
    <mergeCell ref="P1512:Q1512"/>
    <mergeCell ref="B1513:C1513"/>
    <mergeCell ref="D1513:E1513"/>
    <mergeCell ref="F1513:G1513"/>
    <mergeCell ref="H1513:I1513"/>
    <mergeCell ref="J1513:K1513"/>
    <mergeCell ref="L1513:M1513"/>
    <mergeCell ref="P1513:Q1513"/>
    <mergeCell ref="AJ1512:AK1512"/>
    <mergeCell ref="AL1512:AM1512"/>
    <mergeCell ref="AN1512:AO1512"/>
    <mergeCell ref="AP1512:AQ1512"/>
    <mergeCell ref="AR1512:AS1512"/>
    <mergeCell ref="AT1512:AU1512"/>
    <mergeCell ref="AV1512:AW1512"/>
    <mergeCell ref="BD1551:BE1551"/>
    <mergeCell ref="BF1551:BI1551"/>
    <mergeCell ref="AN1551:AO1551"/>
    <mergeCell ref="AP1551:AQ1551"/>
    <mergeCell ref="AR1551:AS1551"/>
    <mergeCell ref="AT1551:AU1551"/>
    <mergeCell ref="AV1551:AW1551"/>
    <mergeCell ref="AX1551:AZ1551"/>
    <mergeCell ref="BA1551:BB1551"/>
    <mergeCell ref="AJ1549:AK1549"/>
    <mergeCell ref="AL1549:AM1549"/>
    <mergeCell ref="R1549:S1549"/>
    <mergeCell ref="T1549:U1549"/>
    <mergeCell ref="V1549:W1549"/>
    <mergeCell ref="X1549:AA1549"/>
    <mergeCell ref="AB1549:AE1549"/>
    <mergeCell ref="AF1549:AG1549"/>
    <mergeCell ref="AH1549:AI1549"/>
    <mergeCell ref="R1550:S1550"/>
    <mergeCell ref="T1550:U1550"/>
    <mergeCell ref="V1550:W1550"/>
    <mergeCell ref="X1550:AA1550"/>
    <mergeCell ref="AB1550:AE1550"/>
    <mergeCell ref="AF1550:AG1550"/>
    <mergeCell ref="AH1550:AI1550"/>
    <mergeCell ref="AX1550:AZ1550"/>
    <mergeCell ref="BA1550:BB1550"/>
    <mergeCell ref="BD1550:BE1550"/>
    <mergeCell ref="BF1550:BI1550"/>
    <mergeCell ref="BJ1550:BM1550"/>
    <mergeCell ref="BN1550:BV1550"/>
    <mergeCell ref="BJ1551:BM1551"/>
    <mergeCell ref="BN1551:BV1551"/>
    <mergeCell ref="B1550:C1550"/>
    <mergeCell ref="D1550:E1550"/>
    <mergeCell ref="F1550:G1550"/>
    <mergeCell ref="H1550:I1550"/>
    <mergeCell ref="J1550:K1550"/>
    <mergeCell ref="L1550:M1550"/>
    <mergeCell ref="B1548:C1548"/>
    <mergeCell ref="D1548:E1548"/>
    <mergeCell ref="F1548:G1548"/>
    <mergeCell ref="H1548:I1548"/>
    <mergeCell ref="B1549:C1549"/>
    <mergeCell ref="D1551:E1551"/>
    <mergeCell ref="F1551:G1551"/>
    <mergeCell ref="H1551:I1551"/>
    <mergeCell ref="J1551:K1551"/>
    <mergeCell ref="L1551:M1551"/>
    <mergeCell ref="P1551:Q1551"/>
    <mergeCell ref="AJ1550:AK1550"/>
    <mergeCell ref="AL1550:AM1550"/>
    <mergeCell ref="AN1550:AO1550"/>
    <mergeCell ref="AP1550:AQ1550"/>
    <mergeCell ref="AR1550:AS1550"/>
    <mergeCell ref="AT1550:AU1550"/>
    <mergeCell ref="AV1550:AW1550"/>
    <mergeCell ref="AJ1545:AK1545"/>
    <mergeCell ref="AL1545:AM1545"/>
    <mergeCell ref="R1545:S1545"/>
    <mergeCell ref="T1545:U1545"/>
    <mergeCell ref="V1545:W1545"/>
    <mergeCell ref="X1545:AA1545"/>
    <mergeCell ref="AB1545:AE1545"/>
    <mergeCell ref="AF1545:AG1545"/>
    <mergeCell ref="AH1545:AI1545"/>
    <mergeCell ref="R1546:S1546"/>
    <mergeCell ref="T1546:U1546"/>
    <mergeCell ref="V1546:W1546"/>
    <mergeCell ref="X1546:AA1546"/>
    <mergeCell ref="AB1546:AE1546"/>
    <mergeCell ref="AF1546:AG1546"/>
    <mergeCell ref="AH1546:AI1546"/>
    <mergeCell ref="J1548:K1548"/>
    <mergeCell ref="L1548:M1548"/>
    <mergeCell ref="P1548:Q1548"/>
    <mergeCell ref="D1549:E1549"/>
    <mergeCell ref="F1549:G1549"/>
    <mergeCell ref="H1549:I1549"/>
    <mergeCell ref="J1549:K1549"/>
    <mergeCell ref="L1549:M1549"/>
    <mergeCell ref="P1549:Q1549"/>
    <mergeCell ref="AJ1548:AK1548"/>
    <mergeCell ref="AL1548:AM1548"/>
    <mergeCell ref="AN1548:AO1548"/>
    <mergeCell ref="AP1548:AQ1548"/>
    <mergeCell ref="AR1548:AS1548"/>
    <mergeCell ref="AT1548:AU1548"/>
    <mergeCell ref="AV1548:AW1548"/>
    <mergeCell ref="AJ1546:AK1546"/>
    <mergeCell ref="AL1546:AM1546"/>
    <mergeCell ref="AN1546:AO1546"/>
    <mergeCell ref="AP1546:AQ1546"/>
    <mergeCell ref="AR1546:AS1546"/>
    <mergeCell ref="AT1546:AU1546"/>
    <mergeCell ref="AV1546:AW1546"/>
    <mergeCell ref="BJ1541:BM1541"/>
    <mergeCell ref="BN1541:BV1541"/>
    <mergeCell ref="B1541:C1541"/>
    <mergeCell ref="D1541:E1541"/>
    <mergeCell ref="F1541:G1541"/>
    <mergeCell ref="H1541:I1541"/>
    <mergeCell ref="J1541:K1541"/>
    <mergeCell ref="L1541:M1541"/>
    <mergeCell ref="P1541:Q1541"/>
    <mergeCell ref="AJ1541:AK1541"/>
    <mergeCell ref="AL1541:AM1541"/>
    <mergeCell ref="AN1541:AO1541"/>
    <mergeCell ref="AP1541:AQ1541"/>
    <mergeCell ref="AR1541:AS1541"/>
    <mergeCell ref="AT1541:AU1541"/>
    <mergeCell ref="AV1541:AW1541"/>
    <mergeCell ref="B1542:C1542"/>
    <mergeCell ref="D1542:E1542"/>
    <mergeCell ref="F1542:G1542"/>
    <mergeCell ref="H1542:I1542"/>
    <mergeCell ref="J1542:K1542"/>
    <mergeCell ref="L1542:M1542"/>
    <mergeCell ref="P1542:Q1542"/>
    <mergeCell ref="L1546:M1546"/>
    <mergeCell ref="P1546:Q1546"/>
    <mergeCell ref="B1547:C1547"/>
    <mergeCell ref="D1547:E1547"/>
    <mergeCell ref="F1547:G1547"/>
    <mergeCell ref="H1547:I1547"/>
    <mergeCell ref="J1547:K1547"/>
    <mergeCell ref="BJ1542:BM1542"/>
    <mergeCell ref="BN1542:BV1542"/>
    <mergeCell ref="R1542:S1542"/>
    <mergeCell ref="T1542:U1542"/>
    <mergeCell ref="V1542:W1542"/>
    <mergeCell ref="X1542:AA1542"/>
    <mergeCell ref="AX1546:AZ1546"/>
    <mergeCell ref="BA1546:BB1546"/>
    <mergeCell ref="D1540:E1540"/>
    <mergeCell ref="F1540:G1540"/>
    <mergeCell ref="H1540:I1540"/>
    <mergeCell ref="J1540:K1540"/>
    <mergeCell ref="L1540:M1540"/>
    <mergeCell ref="P1540:Q1540"/>
    <mergeCell ref="BD1546:BE1546"/>
    <mergeCell ref="BF1546:BI1546"/>
    <mergeCell ref="BJ1546:BM1546"/>
    <mergeCell ref="BN1546:BV1546"/>
    <mergeCell ref="J1544:K1544"/>
    <mergeCell ref="L1544:M1544"/>
    <mergeCell ref="P1544:Q1544"/>
    <mergeCell ref="BD1545:BE1545"/>
    <mergeCell ref="BF1545:BI1545"/>
    <mergeCell ref="AN1545:AO1545"/>
    <mergeCell ref="AP1545:AQ1545"/>
    <mergeCell ref="AR1545:AS1545"/>
    <mergeCell ref="AT1545:AU1545"/>
    <mergeCell ref="AV1545:AW1545"/>
    <mergeCell ref="AX1545:AZ1545"/>
    <mergeCell ref="BA1545:BB1545"/>
    <mergeCell ref="R1543:S1543"/>
    <mergeCell ref="T1543:U1543"/>
    <mergeCell ref="V1543:W1543"/>
    <mergeCell ref="X1543:AA1543"/>
    <mergeCell ref="AB1543:AE1543"/>
    <mergeCell ref="AF1543:AG1543"/>
    <mergeCell ref="AH1543:AI1543"/>
    <mergeCell ref="AX1543:AZ1543"/>
    <mergeCell ref="BA1543:BB1543"/>
    <mergeCell ref="BD1543:BE1543"/>
    <mergeCell ref="BF1543:BI1543"/>
    <mergeCell ref="BD1542:BE1542"/>
    <mergeCell ref="BF1542:BI1542"/>
    <mergeCell ref="AN1542:AO1542"/>
    <mergeCell ref="AP1542:AQ1542"/>
    <mergeCell ref="AR1542:AS1542"/>
    <mergeCell ref="AT1542:AU1542"/>
    <mergeCell ref="AV1542:AW1542"/>
    <mergeCell ref="AX1542:AZ1542"/>
    <mergeCell ref="BA1542:BB1542"/>
    <mergeCell ref="AJ1540:AK1540"/>
    <mergeCell ref="AL1540:AM1540"/>
    <mergeCell ref="R1540:S1540"/>
    <mergeCell ref="T1540:U1540"/>
    <mergeCell ref="V1540:W1540"/>
    <mergeCell ref="X1540:AA1540"/>
    <mergeCell ref="AB1540:AE1540"/>
    <mergeCell ref="AF1540:AG1540"/>
    <mergeCell ref="AH1540:AI1540"/>
    <mergeCell ref="R1541:S1541"/>
    <mergeCell ref="T1541:U1541"/>
    <mergeCell ref="V1541:W1541"/>
    <mergeCell ref="X1541:AA1541"/>
    <mergeCell ref="AB1541:AE1541"/>
    <mergeCell ref="AF1541:AG1541"/>
    <mergeCell ref="AH1541:AI1541"/>
    <mergeCell ref="AX1541:AZ1541"/>
    <mergeCell ref="BA1541:BB1541"/>
    <mergeCell ref="BD1541:BE1541"/>
    <mergeCell ref="BF1541:BI1541"/>
    <mergeCell ref="BD1540:BE1540"/>
    <mergeCell ref="BF1540:BI1540"/>
    <mergeCell ref="BJ1552:BM1552"/>
    <mergeCell ref="BN1552:BV1552"/>
    <mergeCell ref="BJ1553:BM1553"/>
    <mergeCell ref="BN1553:BV1553"/>
    <mergeCell ref="BJ1554:BM1554"/>
    <mergeCell ref="BN1554:BV1554"/>
    <mergeCell ref="BJ1555:BM1555"/>
    <mergeCell ref="BN1555:BV1555"/>
    <mergeCell ref="AJ1554:AK1554"/>
    <mergeCell ref="AL1554:AM1554"/>
    <mergeCell ref="AN1554:AO1554"/>
    <mergeCell ref="AP1554:AQ1554"/>
    <mergeCell ref="AR1554:AS1554"/>
    <mergeCell ref="AT1554:AU1554"/>
    <mergeCell ref="AV1554:AW1554"/>
    <mergeCell ref="BJ1543:BM1543"/>
    <mergeCell ref="BN1543:BV1543"/>
    <mergeCell ref="AJ1543:AK1543"/>
    <mergeCell ref="AL1543:AM1543"/>
    <mergeCell ref="AN1543:AO1543"/>
    <mergeCell ref="AP1543:AQ1543"/>
    <mergeCell ref="AR1543:AS1543"/>
    <mergeCell ref="AT1543:AU1543"/>
    <mergeCell ref="AV1543:AW1543"/>
    <mergeCell ref="T1554:U1554"/>
    <mergeCell ref="V1554:W1554"/>
    <mergeCell ref="X1554:AA1554"/>
    <mergeCell ref="AB1554:AE1554"/>
    <mergeCell ref="AF1554:AG1554"/>
    <mergeCell ref="AH1554:AI1554"/>
    <mergeCell ref="AX1554:AZ1554"/>
    <mergeCell ref="BA1554:BB1554"/>
    <mergeCell ref="BD1554:BE1554"/>
    <mergeCell ref="BF1554:BI1554"/>
    <mergeCell ref="BF1549:BI1549"/>
    <mergeCell ref="AN1549:AO1549"/>
    <mergeCell ref="AP1549:AQ1549"/>
    <mergeCell ref="AR1549:AS1549"/>
    <mergeCell ref="AT1549:AU1549"/>
    <mergeCell ref="AV1549:AW1549"/>
    <mergeCell ref="AX1549:AZ1549"/>
    <mergeCell ref="BA1549:BB1549"/>
    <mergeCell ref="AJ1547:AK1547"/>
    <mergeCell ref="AL1547:AM1547"/>
    <mergeCell ref="T1547:U1547"/>
    <mergeCell ref="V1547:W1547"/>
    <mergeCell ref="X1547:AA1547"/>
    <mergeCell ref="AB1547:AE1547"/>
    <mergeCell ref="AF1547:AG1547"/>
    <mergeCell ref="AH1547:AI1547"/>
    <mergeCell ref="T1548:U1548"/>
    <mergeCell ref="V1548:W1548"/>
    <mergeCell ref="X1548:AA1548"/>
    <mergeCell ref="AB1548:AE1548"/>
    <mergeCell ref="AF1548:AG1548"/>
    <mergeCell ref="AH1548:AI1548"/>
    <mergeCell ref="AX1548:AZ1548"/>
    <mergeCell ref="BA1548:BB1548"/>
    <mergeCell ref="BD1548:BE1548"/>
    <mergeCell ref="BF1548:BI1548"/>
    <mergeCell ref="BJ1548:BM1548"/>
    <mergeCell ref="BN1548:BV1548"/>
    <mergeCell ref="BJ1549:BM1549"/>
    <mergeCell ref="BN1549:BV1549"/>
    <mergeCell ref="AN1540:AO1540"/>
    <mergeCell ref="AP1540:AQ1540"/>
    <mergeCell ref="AR1540:AS1540"/>
    <mergeCell ref="AT1540:AU1540"/>
    <mergeCell ref="AV1540:AW1540"/>
    <mergeCell ref="AX1540:AZ1540"/>
    <mergeCell ref="BA1540:BB1540"/>
    <mergeCell ref="B1551:C1551"/>
    <mergeCell ref="AJ1555:AK1555"/>
    <mergeCell ref="AL1555:AM1555"/>
    <mergeCell ref="R1555:S1555"/>
    <mergeCell ref="T1555:U1555"/>
    <mergeCell ref="V1555:W1555"/>
    <mergeCell ref="X1555:AA1555"/>
    <mergeCell ref="AB1555:AE1555"/>
    <mergeCell ref="AF1555:AG1555"/>
    <mergeCell ref="AH1555:AI1555"/>
    <mergeCell ref="B1543:C1543"/>
    <mergeCell ref="D1543:E1543"/>
    <mergeCell ref="F1543:G1543"/>
    <mergeCell ref="H1543:I1543"/>
    <mergeCell ref="J1543:K1543"/>
    <mergeCell ref="L1543:M1543"/>
    <mergeCell ref="P1543:Q1543"/>
    <mergeCell ref="AX1544:AZ1544"/>
    <mergeCell ref="BA1544:BB1544"/>
    <mergeCell ref="BD1544:BE1544"/>
    <mergeCell ref="BF1544:BI1544"/>
    <mergeCell ref="BJ1544:BM1544"/>
    <mergeCell ref="BN1544:BV1544"/>
    <mergeCell ref="BJ1545:BM1545"/>
    <mergeCell ref="BN1545:BV1545"/>
    <mergeCell ref="B1545:C1545"/>
    <mergeCell ref="D1545:E1545"/>
    <mergeCell ref="F1545:G1545"/>
    <mergeCell ref="H1545:I1545"/>
    <mergeCell ref="J1545:K1545"/>
    <mergeCell ref="L1545:M1545"/>
    <mergeCell ref="P1545:Q1545"/>
    <mergeCell ref="AJ1544:AK1544"/>
    <mergeCell ref="AL1544:AM1544"/>
    <mergeCell ref="AN1544:AO1544"/>
    <mergeCell ref="AP1544:AQ1544"/>
    <mergeCell ref="AR1544:AS1544"/>
    <mergeCell ref="AT1544:AU1544"/>
    <mergeCell ref="AV1544:AW1544"/>
    <mergeCell ref="R1544:S1544"/>
    <mergeCell ref="T1544:U1544"/>
    <mergeCell ref="V1544:W1544"/>
    <mergeCell ref="X1544:AA1544"/>
    <mergeCell ref="AB1544:AE1544"/>
    <mergeCell ref="AF1544:AG1544"/>
    <mergeCell ref="AH1544:AI1544"/>
    <mergeCell ref="B1544:C1544"/>
    <mergeCell ref="D1544:E1544"/>
    <mergeCell ref="F1544:G1544"/>
    <mergeCell ref="H1544:I1544"/>
    <mergeCell ref="BJ1547:BM1547"/>
    <mergeCell ref="BN1547:BV1547"/>
    <mergeCell ref="B1546:C1546"/>
    <mergeCell ref="D1546:E1546"/>
    <mergeCell ref="F1546:G1546"/>
    <mergeCell ref="H1546:I1546"/>
    <mergeCell ref="J1546:K1546"/>
    <mergeCell ref="J1555:K1555"/>
    <mergeCell ref="L1555:M1555"/>
    <mergeCell ref="P1555:Q1555"/>
    <mergeCell ref="BD1547:BE1547"/>
    <mergeCell ref="BF1547:BI1547"/>
    <mergeCell ref="AN1547:AO1547"/>
    <mergeCell ref="AP1547:AQ1547"/>
    <mergeCell ref="AR1547:AS1547"/>
    <mergeCell ref="AT1547:AU1547"/>
    <mergeCell ref="AV1547:AW1547"/>
    <mergeCell ref="AX1547:AZ1547"/>
    <mergeCell ref="BA1547:BB1547"/>
    <mergeCell ref="BD1553:BE1553"/>
    <mergeCell ref="BF1553:BI1553"/>
    <mergeCell ref="AN1553:AO1553"/>
    <mergeCell ref="AP1553:AQ1553"/>
    <mergeCell ref="AR1553:AS1553"/>
    <mergeCell ref="AT1553:AU1553"/>
    <mergeCell ref="AV1553:AW1553"/>
    <mergeCell ref="AX1553:AZ1553"/>
    <mergeCell ref="BA1553:BB1553"/>
    <mergeCell ref="AJ1551:AK1551"/>
    <mergeCell ref="AL1551:AM1551"/>
    <mergeCell ref="R1551:S1551"/>
    <mergeCell ref="T1551:U1551"/>
    <mergeCell ref="V1551:W1551"/>
    <mergeCell ref="X1551:AA1551"/>
    <mergeCell ref="AB1551:AE1551"/>
    <mergeCell ref="AF1551:AG1551"/>
    <mergeCell ref="AH1551:AI1551"/>
    <mergeCell ref="R1552:S1552"/>
    <mergeCell ref="T1552:U1552"/>
    <mergeCell ref="V1552:W1552"/>
    <mergeCell ref="X1552:AA1552"/>
    <mergeCell ref="AB1552:AE1552"/>
    <mergeCell ref="AF1552:AG1552"/>
    <mergeCell ref="AH1552:AI1552"/>
    <mergeCell ref="AX1552:AZ1552"/>
    <mergeCell ref="BA1552:BB1552"/>
    <mergeCell ref="BD1552:BE1552"/>
    <mergeCell ref="BF1552:BI1552"/>
    <mergeCell ref="P1550:Q1550"/>
    <mergeCell ref="L1547:M1547"/>
    <mergeCell ref="P1547:Q1547"/>
    <mergeCell ref="R1547:S1547"/>
    <mergeCell ref="R1548:S1548"/>
    <mergeCell ref="BD1549:BE1549"/>
    <mergeCell ref="BJ1556:BM1556"/>
    <mergeCell ref="BN1556:BV1556"/>
    <mergeCell ref="BJ1557:BM1557"/>
    <mergeCell ref="BN1557:BV1557"/>
    <mergeCell ref="B1552:C1552"/>
    <mergeCell ref="D1552:E1552"/>
    <mergeCell ref="F1552:G1552"/>
    <mergeCell ref="H1552:I1552"/>
    <mergeCell ref="J1552:K1552"/>
    <mergeCell ref="L1552:M1552"/>
    <mergeCell ref="P1552:Q1552"/>
    <mergeCell ref="B1553:C1553"/>
    <mergeCell ref="D1553:E1553"/>
    <mergeCell ref="F1553:G1553"/>
    <mergeCell ref="H1553:I1553"/>
    <mergeCell ref="J1553:K1553"/>
    <mergeCell ref="L1553:M1553"/>
    <mergeCell ref="P1553:Q1553"/>
    <mergeCell ref="AJ1552:AK1552"/>
    <mergeCell ref="AL1552:AM1552"/>
    <mergeCell ref="AN1552:AO1552"/>
    <mergeCell ref="AP1552:AQ1552"/>
    <mergeCell ref="AR1552:AS1552"/>
    <mergeCell ref="AT1552:AU1552"/>
    <mergeCell ref="AV1552:AW1552"/>
    <mergeCell ref="BD1555:BE1555"/>
    <mergeCell ref="BF1555:BI1555"/>
    <mergeCell ref="AN1555:AO1555"/>
    <mergeCell ref="AP1555:AQ1555"/>
    <mergeCell ref="AR1555:AS1555"/>
    <mergeCell ref="AT1555:AU1555"/>
    <mergeCell ref="AV1555:AW1555"/>
    <mergeCell ref="AX1555:AZ1555"/>
    <mergeCell ref="BA1555:BB1555"/>
    <mergeCell ref="AJ1553:AK1553"/>
    <mergeCell ref="AL1553:AM1553"/>
    <mergeCell ref="R1553:S1553"/>
    <mergeCell ref="T1553:U1553"/>
    <mergeCell ref="V1553:W1553"/>
    <mergeCell ref="X1553:AA1553"/>
    <mergeCell ref="AB1553:AE1553"/>
    <mergeCell ref="AF1553:AG1553"/>
    <mergeCell ref="AH1553:AI1553"/>
    <mergeCell ref="R1554:S1554"/>
    <mergeCell ref="B1556:C1556"/>
    <mergeCell ref="D1556:E1556"/>
    <mergeCell ref="F1556:G1556"/>
    <mergeCell ref="H1556:I1556"/>
    <mergeCell ref="J1556:K1556"/>
    <mergeCell ref="L1556:M1556"/>
    <mergeCell ref="P1556:Q1556"/>
    <mergeCell ref="B1557:C1557"/>
    <mergeCell ref="D1557:E1557"/>
    <mergeCell ref="B1554:C1554"/>
    <mergeCell ref="D1554:E1554"/>
    <mergeCell ref="F1554:G1554"/>
    <mergeCell ref="H1554:I1554"/>
    <mergeCell ref="J1554:K1554"/>
    <mergeCell ref="L1554:M1554"/>
    <mergeCell ref="P1554:Q1554"/>
    <mergeCell ref="B1555:C1555"/>
    <mergeCell ref="D1555:E1555"/>
    <mergeCell ref="F1555:G1555"/>
    <mergeCell ref="H1555:I1555"/>
    <mergeCell ref="F1557:G1557"/>
    <mergeCell ref="H1557:I1557"/>
    <mergeCell ref="J1557:K1557"/>
    <mergeCell ref="L1557:M1557"/>
    <mergeCell ref="P1557:Q1557"/>
    <mergeCell ref="AJ1556:AK1556"/>
    <mergeCell ref="AL1556:AM1556"/>
    <mergeCell ref="AN1556:AO1556"/>
    <mergeCell ref="AP1556:AQ1556"/>
    <mergeCell ref="AR1556:AS1556"/>
    <mergeCell ref="AT1556:AU1556"/>
    <mergeCell ref="AV1556:AW1556"/>
    <mergeCell ref="BD1559:BE1559"/>
    <mergeCell ref="BF1559:BI1559"/>
    <mergeCell ref="AN1559:AO1559"/>
    <mergeCell ref="AP1559:AQ1559"/>
    <mergeCell ref="AR1559:AS1559"/>
    <mergeCell ref="AT1559:AU1559"/>
    <mergeCell ref="AV1559:AW1559"/>
    <mergeCell ref="AX1559:AZ1559"/>
    <mergeCell ref="BA1559:BB1559"/>
    <mergeCell ref="AJ1557:AK1557"/>
    <mergeCell ref="AL1557:AM1557"/>
    <mergeCell ref="R1557:S1557"/>
    <mergeCell ref="T1557:U1557"/>
    <mergeCell ref="V1557:W1557"/>
    <mergeCell ref="X1557:AA1557"/>
    <mergeCell ref="AB1557:AE1557"/>
    <mergeCell ref="AF1557:AG1557"/>
    <mergeCell ref="AH1557:AI1557"/>
    <mergeCell ref="R1558:S1558"/>
    <mergeCell ref="T1558:U1558"/>
    <mergeCell ref="V1558:W1558"/>
    <mergeCell ref="X1558:AA1558"/>
    <mergeCell ref="AB1558:AE1558"/>
    <mergeCell ref="AF1558:AG1558"/>
    <mergeCell ref="AH1558:AI1558"/>
    <mergeCell ref="AX1558:AZ1558"/>
    <mergeCell ref="BA1558:BB1558"/>
    <mergeCell ref="BD1558:BE1558"/>
    <mergeCell ref="BF1558:BI1558"/>
    <mergeCell ref="BD1557:BE1557"/>
    <mergeCell ref="BF1557:BI1557"/>
    <mergeCell ref="AN1557:AO1557"/>
    <mergeCell ref="AP1557:AQ1557"/>
    <mergeCell ref="AR1557:AS1557"/>
    <mergeCell ref="AT1557:AU1557"/>
    <mergeCell ref="AV1557:AW1557"/>
    <mergeCell ref="AX1557:AZ1557"/>
    <mergeCell ref="BA1557:BB1557"/>
    <mergeCell ref="R1556:S1556"/>
    <mergeCell ref="T1556:U1556"/>
    <mergeCell ref="V1556:W1556"/>
    <mergeCell ref="X1556:AA1556"/>
    <mergeCell ref="AB1556:AE1556"/>
    <mergeCell ref="AF1556:AG1556"/>
    <mergeCell ref="AH1556:AI1556"/>
    <mergeCell ref="AX1556:AZ1556"/>
    <mergeCell ref="BA1556:BB1556"/>
    <mergeCell ref="BD1556:BE1556"/>
    <mergeCell ref="BF1556:BI1556"/>
    <mergeCell ref="BJ1558:BM1558"/>
    <mergeCell ref="BN1558:BV1558"/>
    <mergeCell ref="BJ1559:BM1559"/>
    <mergeCell ref="BN1559:BV1559"/>
    <mergeCell ref="B1558:C1558"/>
    <mergeCell ref="D1558:E1558"/>
    <mergeCell ref="F1558:G1558"/>
    <mergeCell ref="H1558:I1558"/>
    <mergeCell ref="J1558:K1558"/>
    <mergeCell ref="L1558:M1558"/>
    <mergeCell ref="P1558:Q1558"/>
    <mergeCell ref="B1559:C1559"/>
    <mergeCell ref="D1559:E1559"/>
    <mergeCell ref="F1559:G1559"/>
    <mergeCell ref="H1559:I1559"/>
    <mergeCell ref="J1559:K1559"/>
    <mergeCell ref="L1559:M1559"/>
    <mergeCell ref="P1559:Q1559"/>
    <mergeCell ref="AJ1558:AK1558"/>
    <mergeCell ref="AL1558:AM1558"/>
    <mergeCell ref="AN1558:AO1558"/>
    <mergeCell ref="AP1558:AQ1558"/>
    <mergeCell ref="AR1558:AS1558"/>
    <mergeCell ref="AT1558:AU1558"/>
    <mergeCell ref="AV1558:AW1558"/>
    <mergeCell ref="BD1561:BE1561"/>
    <mergeCell ref="BF1561:BI1561"/>
    <mergeCell ref="AN1561:AO1561"/>
    <mergeCell ref="AP1561:AQ1561"/>
    <mergeCell ref="AR1561:AS1561"/>
    <mergeCell ref="AT1561:AU1561"/>
    <mergeCell ref="AV1561:AW1561"/>
    <mergeCell ref="AX1561:AZ1561"/>
    <mergeCell ref="BA1561:BB1561"/>
    <mergeCell ref="AJ1559:AK1559"/>
    <mergeCell ref="AL1559:AM1559"/>
    <mergeCell ref="R1559:S1559"/>
    <mergeCell ref="T1559:U1559"/>
    <mergeCell ref="V1559:W1559"/>
    <mergeCell ref="X1559:AA1559"/>
    <mergeCell ref="AB1559:AE1559"/>
    <mergeCell ref="AF1559:AG1559"/>
    <mergeCell ref="AH1559:AI1559"/>
    <mergeCell ref="R1560:S1560"/>
    <mergeCell ref="T1560:U1560"/>
    <mergeCell ref="V1560:W1560"/>
    <mergeCell ref="X1560:AA1560"/>
    <mergeCell ref="AB1560:AE1560"/>
    <mergeCell ref="AF1560:AG1560"/>
    <mergeCell ref="AH1560:AI1560"/>
    <mergeCell ref="AX1560:AZ1560"/>
    <mergeCell ref="BA1560:BB1560"/>
    <mergeCell ref="BD1560:BE1560"/>
    <mergeCell ref="BF1560:BI1560"/>
    <mergeCell ref="BJ1560:BM1560"/>
    <mergeCell ref="BN1560:BV1560"/>
    <mergeCell ref="BJ1561:BM1561"/>
    <mergeCell ref="BN1561:BV1561"/>
    <mergeCell ref="B1560:C1560"/>
    <mergeCell ref="D1560:E1560"/>
    <mergeCell ref="F1560:G1560"/>
    <mergeCell ref="H1560:I1560"/>
    <mergeCell ref="J1560:K1560"/>
    <mergeCell ref="L1560:M1560"/>
    <mergeCell ref="P1560:Q1560"/>
    <mergeCell ref="B1561:C1561"/>
    <mergeCell ref="D1561:E1561"/>
    <mergeCell ref="F1561:G1561"/>
    <mergeCell ref="H1561:I1561"/>
    <mergeCell ref="J1561:K1561"/>
    <mergeCell ref="L1561:M1561"/>
    <mergeCell ref="P1561:Q1561"/>
    <mergeCell ref="AJ1560:AK1560"/>
    <mergeCell ref="AL1560:AM1560"/>
    <mergeCell ref="AN1560:AO1560"/>
    <mergeCell ref="AP1560:AQ1560"/>
    <mergeCell ref="AR1560:AS1560"/>
    <mergeCell ref="AT1560:AU1560"/>
    <mergeCell ref="AV1560:AW1560"/>
    <mergeCell ref="BD1563:BE1563"/>
    <mergeCell ref="BF1563:BI1563"/>
    <mergeCell ref="AN1563:AO1563"/>
    <mergeCell ref="AP1563:AQ1563"/>
    <mergeCell ref="AR1563:AS1563"/>
    <mergeCell ref="AT1563:AU1563"/>
    <mergeCell ref="AV1563:AW1563"/>
    <mergeCell ref="AX1563:AZ1563"/>
    <mergeCell ref="BA1563:BB1563"/>
    <mergeCell ref="AJ1561:AK1561"/>
    <mergeCell ref="AL1561:AM1561"/>
    <mergeCell ref="R1561:S1561"/>
    <mergeCell ref="T1561:U1561"/>
    <mergeCell ref="V1561:W1561"/>
    <mergeCell ref="X1561:AA1561"/>
    <mergeCell ref="AB1561:AE1561"/>
    <mergeCell ref="AF1561:AG1561"/>
    <mergeCell ref="AH1561:AI1561"/>
    <mergeCell ref="R1562:S1562"/>
    <mergeCell ref="T1562:U1562"/>
    <mergeCell ref="V1562:W1562"/>
    <mergeCell ref="X1562:AA1562"/>
    <mergeCell ref="AB1562:AE1562"/>
    <mergeCell ref="AF1562:AG1562"/>
    <mergeCell ref="AH1562:AI1562"/>
    <mergeCell ref="AX1562:AZ1562"/>
    <mergeCell ref="BA1562:BB1562"/>
    <mergeCell ref="BD1562:BE1562"/>
    <mergeCell ref="BF1562:BI1562"/>
    <mergeCell ref="BJ1562:BM1562"/>
    <mergeCell ref="BN1562:BV1562"/>
    <mergeCell ref="BJ1563:BM1563"/>
    <mergeCell ref="BN1563:BV1563"/>
    <mergeCell ref="B1562:C1562"/>
    <mergeCell ref="D1562:E1562"/>
    <mergeCell ref="F1562:G1562"/>
    <mergeCell ref="H1562:I1562"/>
    <mergeCell ref="J1562:K1562"/>
    <mergeCell ref="L1562:M1562"/>
    <mergeCell ref="P1562:Q1562"/>
    <mergeCell ref="B1563:C1563"/>
    <mergeCell ref="D1563:E1563"/>
    <mergeCell ref="F1563:G1563"/>
    <mergeCell ref="H1563:I1563"/>
    <mergeCell ref="J1563:K1563"/>
    <mergeCell ref="L1563:M1563"/>
    <mergeCell ref="P1563:Q1563"/>
    <mergeCell ref="AJ1562:AK1562"/>
    <mergeCell ref="AL1562:AM1562"/>
    <mergeCell ref="AN1562:AO1562"/>
    <mergeCell ref="AP1562:AQ1562"/>
    <mergeCell ref="AR1562:AS1562"/>
    <mergeCell ref="AT1562:AU1562"/>
    <mergeCell ref="AV1562:AW1562"/>
    <mergeCell ref="BD1574:BE1574"/>
    <mergeCell ref="BF1574:BI1574"/>
    <mergeCell ref="AN1574:AO1574"/>
    <mergeCell ref="AP1574:AQ1574"/>
    <mergeCell ref="AR1574:AS1574"/>
    <mergeCell ref="AT1574:AU1574"/>
    <mergeCell ref="AV1574:AW1574"/>
    <mergeCell ref="AX1574:AZ1574"/>
    <mergeCell ref="BA1574:BB1574"/>
    <mergeCell ref="AJ1572:AK1572"/>
    <mergeCell ref="AL1572:AM1572"/>
    <mergeCell ref="R1572:S1572"/>
    <mergeCell ref="T1572:U1572"/>
    <mergeCell ref="V1572:W1572"/>
    <mergeCell ref="X1572:AA1572"/>
    <mergeCell ref="AB1572:AE1572"/>
    <mergeCell ref="AF1572:AG1572"/>
    <mergeCell ref="AH1572:AI1572"/>
    <mergeCell ref="R1573:S1573"/>
    <mergeCell ref="T1573:U1573"/>
    <mergeCell ref="V1573:W1573"/>
    <mergeCell ref="X1573:AA1573"/>
    <mergeCell ref="AB1573:AE1573"/>
    <mergeCell ref="AF1573:AG1573"/>
    <mergeCell ref="AH1573:AI1573"/>
    <mergeCell ref="AX1573:AZ1573"/>
    <mergeCell ref="BA1573:BB1573"/>
    <mergeCell ref="BD1573:BE1573"/>
    <mergeCell ref="BF1573:BI1573"/>
    <mergeCell ref="BJ1573:BM1573"/>
    <mergeCell ref="BN1573:BV1573"/>
    <mergeCell ref="BJ1574:BM1574"/>
    <mergeCell ref="BN1574:BV1574"/>
    <mergeCell ref="B1573:C1573"/>
    <mergeCell ref="D1573:E1573"/>
    <mergeCell ref="F1573:G1573"/>
    <mergeCell ref="H1573:I1573"/>
    <mergeCell ref="J1573:K1573"/>
    <mergeCell ref="L1573:M1573"/>
    <mergeCell ref="BJ1571:BM1571"/>
    <mergeCell ref="BN1571:BV1571"/>
    <mergeCell ref="BJ1572:BM1572"/>
    <mergeCell ref="BN1572:BV1572"/>
    <mergeCell ref="B1571:C1571"/>
    <mergeCell ref="D1571:E1571"/>
    <mergeCell ref="F1571:G1571"/>
    <mergeCell ref="H1571:I1571"/>
    <mergeCell ref="P1573:Q1573"/>
    <mergeCell ref="B1574:C1574"/>
    <mergeCell ref="D1574:E1574"/>
    <mergeCell ref="F1574:G1574"/>
    <mergeCell ref="H1574:I1574"/>
    <mergeCell ref="J1574:K1574"/>
    <mergeCell ref="L1574:M1574"/>
    <mergeCell ref="P1574:Q1574"/>
    <mergeCell ref="AJ1573:AK1573"/>
    <mergeCell ref="AL1573:AM1573"/>
    <mergeCell ref="AN1573:AO1573"/>
    <mergeCell ref="AP1573:AQ1573"/>
    <mergeCell ref="AR1573:AS1573"/>
    <mergeCell ref="AT1573:AU1573"/>
    <mergeCell ref="AV1573:AW1573"/>
    <mergeCell ref="AJ1568:AK1568"/>
    <mergeCell ref="AL1568:AM1568"/>
    <mergeCell ref="R1568:S1568"/>
    <mergeCell ref="T1568:U1568"/>
    <mergeCell ref="V1568:W1568"/>
    <mergeCell ref="X1568:AA1568"/>
    <mergeCell ref="AB1568:AE1568"/>
    <mergeCell ref="AF1568:AG1568"/>
    <mergeCell ref="AH1568:AI1568"/>
    <mergeCell ref="R1569:S1569"/>
    <mergeCell ref="T1569:U1569"/>
    <mergeCell ref="V1569:W1569"/>
    <mergeCell ref="X1569:AA1569"/>
    <mergeCell ref="AB1569:AE1569"/>
    <mergeCell ref="AF1569:AG1569"/>
    <mergeCell ref="AH1569:AI1569"/>
    <mergeCell ref="AX1569:AZ1569"/>
    <mergeCell ref="BA1569:BB1569"/>
    <mergeCell ref="J1571:K1571"/>
    <mergeCell ref="L1571:M1571"/>
    <mergeCell ref="P1571:Q1571"/>
    <mergeCell ref="B1572:C1572"/>
    <mergeCell ref="D1572:E1572"/>
    <mergeCell ref="F1572:G1572"/>
    <mergeCell ref="H1572:I1572"/>
    <mergeCell ref="J1572:K1572"/>
    <mergeCell ref="L1572:M1572"/>
    <mergeCell ref="P1572:Q1572"/>
    <mergeCell ref="AJ1571:AK1571"/>
    <mergeCell ref="AL1571:AM1571"/>
    <mergeCell ref="AN1571:AO1571"/>
    <mergeCell ref="AP1571:AQ1571"/>
    <mergeCell ref="AR1571:AS1571"/>
    <mergeCell ref="AT1571:AU1571"/>
    <mergeCell ref="AV1571:AW1571"/>
    <mergeCell ref="BJ1564:BM1564"/>
    <mergeCell ref="BN1564:BV1564"/>
    <mergeCell ref="B1564:C1564"/>
    <mergeCell ref="D1564:E1564"/>
    <mergeCell ref="F1564:G1564"/>
    <mergeCell ref="H1564:I1564"/>
    <mergeCell ref="J1564:K1564"/>
    <mergeCell ref="L1564:M1564"/>
    <mergeCell ref="P1564:Q1564"/>
    <mergeCell ref="AJ1564:AK1564"/>
    <mergeCell ref="AL1564:AM1564"/>
    <mergeCell ref="AN1564:AO1564"/>
    <mergeCell ref="AP1564:AQ1564"/>
    <mergeCell ref="AR1564:AS1564"/>
    <mergeCell ref="AT1564:AU1564"/>
    <mergeCell ref="AV1564:AW1564"/>
    <mergeCell ref="B1565:C1565"/>
    <mergeCell ref="D1565:E1565"/>
    <mergeCell ref="F1565:G1565"/>
    <mergeCell ref="H1565:I1565"/>
    <mergeCell ref="J1565:K1565"/>
    <mergeCell ref="L1565:M1565"/>
    <mergeCell ref="P1565:Q1565"/>
    <mergeCell ref="BD1569:BE1569"/>
    <mergeCell ref="BF1569:BI1569"/>
    <mergeCell ref="BJ1569:BM1569"/>
    <mergeCell ref="BN1569:BV1569"/>
    <mergeCell ref="BJ1570:BM1570"/>
    <mergeCell ref="BN1570:BV1570"/>
    <mergeCell ref="B1569:C1569"/>
    <mergeCell ref="D1569:E1569"/>
    <mergeCell ref="F1569:G1569"/>
    <mergeCell ref="H1569:I1569"/>
    <mergeCell ref="J1569:K1569"/>
    <mergeCell ref="L1569:M1569"/>
    <mergeCell ref="P1569:Q1569"/>
    <mergeCell ref="B1570:C1570"/>
    <mergeCell ref="D1570:E1570"/>
    <mergeCell ref="F1570:G1570"/>
    <mergeCell ref="H1570:I1570"/>
    <mergeCell ref="J1570:K1570"/>
    <mergeCell ref="L1570:M1570"/>
    <mergeCell ref="P1570:Q1570"/>
    <mergeCell ref="AJ1569:AK1569"/>
    <mergeCell ref="AL1569:AM1569"/>
    <mergeCell ref="AN1569:AO1569"/>
    <mergeCell ref="AP1569:AQ1569"/>
    <mergeCell ref="AR1569:AS1569"/>
    <mergeCell ref="AT1569:AU1569"/>
    <mergeCell ref="AV1569:AW1569"/>
    <mergeCell ref="AJ1570:AK1570"/>
    <mergeCell ref="AL1570:AM1570"/>
    <mergeCell ref="R1570:S1570"/>
    <mergeCell ref="T1570:U1570"/>
    <mergeCell ref="V1570:W1570"/>
    <mergeCell ref="X1570:AA1570"/>
    <mergeCell ref="AB1570:AE1570"/>
    <mergeCell ref="AF1570:AG1570"/>
    <mergeCell ref="AH1570:AI1570"/>
    <mergeCell ref="AJ1565:AK1565"/>
    <mergeCell ref="AL1565:AM1565"/>
    <mergeCell ref="BJ1565:BM1565"/>
    <mergeCell ref="BN1565:BV1565"/>
    <mergeCell ref="R1565:S1565"/>
    <mergeCell ref="X1566:AA1566"/>
    <mergeCell ref="AB1566:AE1566"/>
    <mergeCell ref="AF1566:AG1566"/>
    <mergeCell ref="AH1566:AI1566"/>
    <mergeCell ref="AX1566:AZ1566"/>
    <mergeCell ref="BA1566:BB1566"/>
    <mergeCell ref="BD1566:BE1566"/>
    <mergeCell ref="BF1566:BI1566"/>
    <mergeCell ref="BD1565:BE1565"/>
    <mergeCell ref="BF1565:BI1565"/>
    <mergeCell ref="AN1565:AO1565"/>
    <mergeCell ref="AP1565:AQ1565"/>
    <mergeCell ref="AR1565:AS1565"/>
    <mergeCell ref="AT1565:AU1565"/>
    <mergeCell ref="AV1565:AW1565"/>
    <mergeCell ref="AX1565:AZ1565"/>
    <mergeCell ref="BA1565:BB1565"/>
    <mergeCell ref="AJ1563:AK1563"/>
    <mergeCell ref="AL1563:AM1563"/>
    <mergeCell ref="R1563:S1563"/>
    <mergeCell ref="T1563:U1563"/>
    <mergeCell ref="V1563:W1563"/>
    <mergeCell ref="X1563:AA1563"/>
    <mergeCell ref="AB1563:AE1563"/>
    <mergeCell ref="AF1563:AG1563"/>
    <mergeCell ref="AH1563:AI1563"/>
    <mergeCell ref="R1564:S1564"/>
    <mergeCell ref="T1564:U1564"/>
    <mergeCell ref="V1564:W1564"/>
    <mergeCell ref="X1564:AA1564"/>
    <mergeCell ref="AB1564:AE1564"/>
    <mergeCell ref="AF1564:AG1564"/>
    <mergeCell ref="AH1564:AI1564"/>
    <mergeCell ref="AX1564:AZ1564"/>
    <mergeCell ref="BA1564:BB1564"/>
    <mergeCell ref="BD1564:BE1564"/>
    <mergeCell ref="BF1564:BI1564"/>
    <mergeCell ref="T1565:U1565"/>
    <mergeCell ref="V1565:W1565"/>
    <mergeCell ref="X1565:AA1565"/>
    <mergeCell ref="AB1565:AE1565"/>
    <mergeCell ref="AF1565:AG1565"/>
    <mergeCell ref="AH1565:AI1565"/>
    <mergeCell ref="BJ1566:BM1566"/>
    <mergeCell ref="BN1566:BV1566"/>
    <mergeCell ref="AJ1566:AK1566"/>
    <mergeCell ref="AL1566:AM1566"/>
    <mergeCell ref="AN1566:AO1566"/>
    <mergeCell ref="AP1566:AQ1566"/>
    <mergeCell ref="AR1566:AS1566"/>
    <mergeCell ref="AT1566:AU1566"/>
    <mergeCell ref="AV1566:AW1566"/>
    <mergeCell ref="B1566:C1566"/>
    <mergeCell ref="D1566:E1566"/>
    <mergeCell ref="F1566:G1566"/>
    <mergeCell ref="H1566:I1566"/>
    <mergeCell ref="J1566:K1566"/>
    <mergeCell ref="L1566:M1566"/>
    <mergeCell ref="P1566:Q1566"/>
    <mergeCell ref="AX1567:AZ1567"/>
    <mergeCell ref="BA1567:BB1567"/>
    <mergeCell ref="BD1567:BE1567"/>
    <mergeCell ref="BF1567:BI1567"/>
    <mergeCell ref="BJ1567:BM1567"/>
    <mergeCell ref="BN1567:BV1567"/>
    <mergeCell ref="BJ1568:BM1568"/>
    <mergeCell ref="BN1568:BV1568"/>
    <mergeCell ref="B1568:C1568"/>
    <mergeCell ref="D1568:E1568"/>
    <mergeCell ref="F1568:G1568"/>
    <mergeCell ref="H1568:I1568"/>
    <mergeCell ref="J1568:K1568"/>
    <mergeCell ref="L1568:M1568"/>
    <mergeCell ref="P1568:Q1568"/>
    <mergeCell ref="AJ1567:AK1567"/>
    <mergeCell ref="AL1567:AM1567"/>
    <mergeCell ref="AN1567:AO1567"/>
    <mergeCell ref="AP1567:AQ1567"/>
    <mergeCell ref="AR1567:AS1567"/>
    <mergeCell ref="AT1567:AU1567"/>
    <mergeCell ref="AV1567:AW1567"/>
    <mergeCell ref="R1567:S1567"/>
    <mergeCell ref="T1567:U1567"/>
    <mergeCell ref="V1567:W1567"/>
    <mergeCell ref="X1567:AA1567"/>
    <mergeCell ref="AB1567:AE1567"/>
    <mergeCell ref="AF1567:AG1567"/>
    <mergeCell ref="AH1567:AI1567"/>
    <mergeCell ref="B1567:C1567"/>
    <mergeCell ref="D1567:E1567"/>
    <mergeCell ref="F1567:G1567"/>
    <mergeCell ref="H1567:I1567"/>
    <mergeCell ref="J1567:K1567"/>
    <mergeCell ref="L1567:M1567"/>
    <mergeCell ref="P1567:Q1567"/>
    <mergeCell ref="BD1568:BE1568"/>
    <mergeCell ref="BF1568:BI1568"/>
    <mergeCell ref="AN1568:AO1568"/>
    <mergeCell ref="AP1568:AQ1568"/>
    <mergeCell ref="AR1568:AS1568"/>
    <mergeCell ref="AT1568:AU1568"/>
    <mergeCell ref="AV1568:AW1568"/>
    <mergeCell ref="AX1568:AZ1568"/>
    <mergeCell ref="BA1568:BB1568"/>
    <mergeCell ref="R1566:S1566"/>
    <mergeCell ref="T1566:U1566"/>
    <mergeCell ref="V1566:W1566"/>
    <mergeCell ref="BJ1588:BM1588"/>
    <mergeCell ref="BN1588:BV1588"/>
    <mergeCell ref="R1588:S1588"/>
    <mergeCell ref="T1588:U1588"/>
    <mergeCell ref="V1588:W1588"/>
    <mergeCell ref="X1588:AA1588"/>
    <mergeCell ref="AB1588:AE1588"/>
    <mergeCell ref="AF1588:AG1588"/>
    <mergeCell ref="AH1588:AI1588"/>
    <mergeCell ref="BD1576:BE1576"/>
    <mergeCell ref="BF1576:BI1576"/>
    <mergeCell ref="AN1576:AO1576"/>
    <mergeCell ref="AP1576:AQ1576"/>
    <mergeCell ref="AR1576:AS1576"/>
    <mergeCell ref="AT1576:AU1576"/>
    <mergeCell ref="AV1576:AW1576"/>
    <mergeCell ref="AX1576:AZ1576"/>
    <mergeCell ref="BA1576:BB1576"/>
    <mergeCell ref="AJ1574:AK1574"/>
    <mergeCell ref="AL1574:AM1574"/>
    <mergeCell ref="R1574:S1574"/>
    <mergeCell ref="T1574:U1574"/>
    <mergeCell ref="V1574:W1574"/>
    <mergeCell ref="X1574:AA1574"/>
    <mergeCell ref="AB1574:AE1574"/>
    <mergeCell ref="AF1574:AG1574"/>
    <mergeCell ref="AH1574:AI1574"/>
    <mergeCell ref="R1575:S1575"/>
    <mergeCell ref="T1575:U1575"/>
    <mergeCell ref="V1575:W1575"/>
    <mergeCell ref="X1575:AA1575"/>
    <mergeCell ref="AB1575:AE1575"/>
    <mergeCell ref="AF1575:AG1575"/>
    <mergeCell ref="AH1575:AI1575"/>
    <mergeCell ref="AX1575:AZ1575"/>
    <mergeCell ref="BA1575:BB1575"/>
    <mergeCell ref="BD1575:BE1575"/>
    <mergeCell ref="BF1575:BI1575"/>
    <mergeCell ref="BJ1575:BM1575"/>
    <mergeCell ref="BN1575:BV1575"/>
    <mergeCell ref="BJ1576:BM1576"/>
    <mergeCell ref="BN1576:BV1576"/>
    <mergeCell ref="BJ1577:BM1577"/>
    <mergeCell ref="BN1577:BV1577"/>
    <mergeCell ref="BJ1578:BM1578"/>
    <mergeCell ref="BN1578:BV1578"/>
    <mergeCell ref="AJ1577:AK1577"/>
    <mergeCell ref="AL1577:AM1577"/>
    <mergeCell ref="AN1577:AO1577"/>
    <mergeCell ref="AP1577:AQ1577"/>
    <mergeCell ref="AR1577:AS1577"/>
    <mergeCell ref="AT1577:AU1577"/>
    <mergeCell ref="AV1577:AW1577"/>
    <mergeCell ref="R1577:S1577"/>
    <mergeCell ref="T1577:U1577"/>
    <mergeCell ref="V1577:W1577"/>
    <mergeCell ref="X1577:AA1577"/>
    <mergeCell ref="AB1577:AE1577"/>
    <mergeCell ref="AF1577:AG1577"/>
    <mergeCell ref="AH1577:AI1577"/>
    <mergeCell ref="AX1577:AZ1577"/>
    <mergeCell ref="BA1577:BB1577"/>
    <mergeCell ref="BD1577:BE1577"/>
    <mergeCell ref="BF1577:BI1577"/>
    <mergeCell ref="B1577:C1577"/>
    <mergeCell ref="D1577:E1577"/>
    <mergeCell ref="F1577:G1577"/>
    <mergeCell ref="H1577:I1577"/>
    <mergeCell ref="J1577:K1577"/>
    <mergeCell ref="L1577:M1577"/>
    <mergeCell ref="P1577:Q1577"/>
    <mergeCell ref="B1578:C1578"/>
    <mergeCell ref="D1578:E1578"/>
    <mergeCell ref="F1578:G1578"/>
    <mergeCell ref="H1578:I1578"/>
    <mergeCell ref="J1578:K1578"/>
    <mergeCell ref="L1578:M1578"/>
    <mergeCell ref="P1578:Q1578"/>
    <mergeCell ref="BD1570:BE1570"/>
    <mergeCell ref="BF1570:BI1570"/>
    <mergeCell ref="AN1570:AO1570"/>
    <mergeCell ref="AP1570:AQ1570"/>
    <mergeCell ref="AR1570:AS1570"/>
    <mergeCell ref="AT1570:AU1570"/>
    <mergeCell ref="AV1570:AW1570"/>
    <mergeCell ref="AX1570:AZ1570"/>
    <mergeCell ref="BA1570:BB1570"/>
    <mergeCell ref="BD1572:BE1572"/>
    <mergeCell ref="BF1572:BI1572"/>
    <mergeCell ref="AN1572:AO1572"/>
    <mergeCell ref="AP1572:AQ1572"/>
    <mergeCell ref="AR1572:AS1572"/>
    <mergeCell ref="AT1572:AU1572"/>
    <mergeCell ref="AV1572:AW1572"/>
    <mergeCell ref="AX1572:AZ1572"/>
    <mergeCell ref="BA1572:BB1572"/>
    <mergeCell ref="R1571:S1571"/>
    <mergeCell ref="T1571:U1571"/>
    <mergeCell ref="V1571:W1571"/>
    <mergeCell ref="X1571:AA1571"/>
    <mergeCell ref="AB1571:AE1571"/>
    <mergeCell ref="AF1571:AG1571"/>
    <mergeCell ref="AH1571:AI1571"/>
    <mergeCell ref="AX1571:AZ1571"/>
    <mergeCell ref="BA1571:BB1571"/>
    <mergeCell ref="BD1571:BE1571"/>
    <mergeCell ref="BF1571:BI1571"/>
    <mergeCell ref="BA1580:BB1580"/>
    <mergeCell ref="AJ1578:AK1578"/>
    <mergeCell ref="AL1578:AM1578"/>
    <mergeCell ref="R1578:S1578"/>
    <mergeCell ref="T1578:U1578"/>
    <mergeCell ref="V1578:W1578"/>
    <mergeCell ref="X1578:AA1578"/>
    <mergeCell ref="AB1578:AE1578"/>
    <mergeCell ref="AF1578:AG1578"/>
    <mergeCell ref="AH1578:AI1578"/>
    <mergeCell ref="R1579:S1579"/>
    <mergeCell ref="T1579:U1579"/>
    <mergeCell ref="V1579:W1579"/>
    <mergeCell ref="X1579:AA1579"/>
    <mergeCell ref="AB1579:AE1579"/>
    <mergeCell ref="AF1579:AG1579"/>
    <mergeCell ref="AH1579:AI1579"/>
    <mergeCell ref="AX1579:AZ1579"/>
    <mergeCell ref="BA1579:BB1579"/>
    <mergeCell ref="BD1579:BE1579"/>
    <mergeCell ref="BF1579:BI1579"/>
    <mergeCell ref="BJ1579:BM1579"/>
    <mergeCell ref="BN1579:BV1579"/>
    <mergeCell ref="BJ1580:BM1580"/>
    <mergeCell ref="BN1580:BV1580"/>
    <mergeCell ref="B1575:C1575"/>
    <mergeCell ref="D1575:E1575"/>
    <mergeCell ref="F1575:G1575"/>
    <mergeCell ref="H1575:I1575"/>
    <mergeCell ref="J1575:K1575"/>
    <mergeCell ref="L1575:M1575"/>
    <mergeCell ref="P1575:Q1575"/>
    <mergeCell ref="B1576:C1576"/>
    <mergeCell ref="D1576:E1576"/>
    <mergeCell ref="F1576:G1576"/>
    <mergeCell ref="H1576:I1576"/>
    <mergeCell ref="J1576:K1576"/>
    <mergeCell ref="L1576:M1576"/>
    <mergeCell ref="P1576:Q1576"/>
    <mergeCell ref="AJ1575:AK1575"/>
    <mergeCell ref="AL1575:AM1575"/>
    <mergeCell ref="AN1575:AO1575"/>
    <mergeCell ref="AP1575:AQ1575"/>
    <mergeCell ref="AR1575:AS1575"/>
    <mergeCell ref="AT1575:AU1575"/>
    <mergeCell ref="AV1575:AW1575"/>
    <mergeCell ref="BD1578:BE1578"/>
    <mergeCell ref="BF1578:BI1578"/>
    <mergeCell ref="AN1578:AO1578"/>
    <mergeCell ref="AP1578:AQ1578"/>
    <mergeCell ref="AR1578:AS1578"/>
    <mergeCell ref="AT1578:AU1578"/>
    <mergeCell ref="AV1578:AW1578"/>
    <mergeCell ref="AX1578:AZ1578"/>
    <mergeCell ref="BA1578:BB1578"/>
    <mergeCell ref="AJ1576:AK1576"/>
    <mergeCell ref="AL1576:AM1576"/>
    <mergeCell ref="R1576:S1576"/>
    <mergeCell ref="T1576:U1576"/>
    <mergeCell ref="V1576:W1576"/>
    <mergeCell ref="X1576:AA1576"/>
    <mergeCell ref="AB1576:AE1576"/>
    <mergeCell ref="AF1576:AG1576"/>
    <mergeCell ref="AH1576:AI1576"/>
    <mergeCell ref="B1583:C1583"/>
    <mergeCell ref="D1583:E1583"/>
    <mergeCell ref="F1583:G1583"/>
    <mergeCell ref="H1583:I1583"/>
    <mergeCell ref="J1583:K1583"/>
    <mergeCell ref="L1583:M1583"/>
    <mergeCell ref="B1579:C1579"/>
    <mergeCell ref="D1579:E1579"/>
    <mergeCell ref="F1579:G1579"/>
    <mergeCell ref="H1579:I1579"/>
    <mergeCell ref="J1579:K1579"/>
    <mergeCell ref="L1579:M1579"/>
    <mergeCell ref="P1579:Q1579"/>
    <mergeCell ref="B1580:C1580"/>
    <mergeCell ref="D1580:E1580"/>
    <mergeCell ref="F1580:G1580"/>
    <mergeCell ref="H1580:I1580"/>
    <mergeCell ref="J1580:K1580"/>
    <mergeCell ref="L1580:M1580"/>
    <mergeCell ref="P1580:Q1580"/>
    <mergeCell ref="AJ1579:AK1579"/>
    <mergeCell ref="AL1579:AM1579"/>
    <mergeCell ref="AN1579:AO1579"/>
    <mergeCell ref="AP1579:AQ1579"/>
    <mergeCell ref="AR1579:AS1579"/>
    <mergeCell ref="AT1579:AU1579"/>
    <mergeCell ref="AV1579:AW1579"/>
    <mergeCell ref="BD1582:BE1582"/>
    <mergeCell ref="BF1582:BI1582"/>
    <mergeCell ref="AN1582:AO1582"/>
    <mergeCell ref="AP1582:AQ1582"/>
    <mergeCell ref="AR1582:AS1582"/>
    <mergeCell ref="AT1582:AU1582"/>
    <mergeCell ref="AV1582:AW1582"/>
    <mergeCell ref="AX1582:AZ1582"/>
    <mergeCell ref="BA1582:BB1582"/>
    <mergeCell ref="AJ1580:AK1580"/>
    <mergeCell ref="AL1580:AM1580"/>
    <mergeCell ref="R1580:S1580"/>
    <mergeCell ref="T1580:U1580"/>
    <mergeCell ref="V1580:W1580"/>
    <mergeCell ref="X1580:AA1580"/>
    <mergeCell ref="AB1580:AE1580"/>
    <mergeCell ref="AF1580:AG1580"/>
    <mergeCell ref="AH1580:AI1580"/>
    <mergeCell ref="R1581:S1581"/>
    <mergeCell ref="T1581:U1581"/>
    <mergeCell ref="V1581:W1581"/>
    <mergeCell ref="X1581:AA1581"/>
    <mergeCell ref="AB1581:AE1581"/>
    <mergeCell ref="AF1581:AG1581"/>
    <mergeCell ref="AH1581:AI1581"/>
    <mergeCell ref="AX1581:AZ1581"/>
    <mergeCell ref="BA1581:BB1581"/>
    <mergeCell ref="BD1581:BE1581"/>
    <mergeCell ref="BF1581:BI1581"/>
    <mergeCell ref="BD1580:BE1580"/>
    <mergeCell ref="BF1580:BI1580"/>
    <mergeCell ref="AN1580:AO1580"/>
    <mergeCell ref="AP1580:AQ1580"/>
    <mergeCell ref="AR1580:AS1580"/>
    <mergeCell ref="AT1580:AU1580"/>
    <mergeCell ref="AV1580:AW1580"/>
    <mergeCell ref="AX1580:AZ1580"/>
    <mergeCell ref="AJ1584:AK1584"/>
    <mergeCell ref="AL1584:AM1584"/>
    <mergeCell ref="R1584:S1584"/>
    <mergeCell ref="T1584:U1584"/>
    <mergeCell ref="V1584:W1584"/>
    <mergeCell ref="X1584:AA1584"/>
    <mergeCell ref="AB1584:AE1584"/>
    <mergeCell ref="AF1584:AG1584"/>
    <mergeCell ref="AH1584:AI1584"/>
    <mergeCell ref="R1585:S1585"/>
    <mergeCell ref="T1585:U1585"/>
    <mergeCell ref="V1585:W1585"/>
    <mergeCell ref="X1585:AA1585"/>
    <mergeCell ref="AB1585:AE1585"/>
    <mergeCell ref="AF1585:AG1585"/>
    <mergeCell ref="AH1585:AI1585"/>
    <mergeCell ref="AX1585:AZ1585"/>
    <mergeCell ref="BA1585:BB1585"/>
    <mergeCell ref="BD1585:BE1585"/>
    <mergeCell ref="BF1585:BI1585"/>
    <mergeCell ref="BJ1581:BM1581"/>
    <mergeCell ref="BN1581:BV1581"/>
    <mergeCell ref="BJ1582:BM1582"/>
    <mergeCell ref="BN1582:BV1582"/>
    <mergeCell ref="BJ1583:BM1583"/>
    <mergeCell ref="BN1583:BV1583"/>
    <mergeCell ref="BJ1584:BM1584"/>
    <mergeCell ref="BN1584:BV1584"/>
    <mergeCell ref="BJ1585:BM1585"/>
    <mergeCell ref="BN1585:BV1585"/>
    <mergeCell ref="BJ1586:BM1586"/>
    <mergeCell ref="BN1586:BV1586"/>
    <mergeCell ref="AJ1581:AK1581"/>
    <mergeCell ref="AL1581:AM1581"/>
    <mergeCell ref="AN1581:AO1581"/>
    <mergeCell ref="AP1581:AQ1581"/>
    <mergeCell ref="AR1581:AS1581"/>
    <mergeCell ref="AT1581:AU1581"/>
    <mergeCell ref="AV1581:AW1581"/>
    <mergeCell ref="BD1584:BE1584"/>
    <mergeCell ref="BF1584:BI1584"/>
    <mergeCell ref="AN1584:AO1584"/>
    <mergeCell ref="AP1584:AQ1584"/>
    <mergeCell ref="AR1584:AS1584"/>
    <mergeCell ref="AT1584:AU1584"/>
    <mergeCell ref="AV1584:AW1584"/>
    <mergeCell ref="AX1584:AZ1584"/>
    <mergeCell ref="BA1584:BB1584"/>
    <mergeCell ref="AJ1582:AK1582"/>
    <mergeCell ref="AL1582:AM1582"/>
    <mergeCell ref="R1582:S1582"/>
    <mergeCell ref="T1582:U1582"/>
    <mergeCell ref="V1582:W1582"/>
    <mergeCell ref="X1582:AA1582"/>
    <mergeCell ref="AB1582:AE1582"/>
    <mergeCell ref="AB1583:AE1583"/>
    <mergeCell ref="AF1583:AG1583"/>
    <mergeCell ref="AH1583:AI1583"/>
    <mergeCell ref="AX1583:AZ1583"/>
    <mergeCell ref="BA1583:BB1583"/>
    <mergeCell ref="BD1583:BE1583"/>
    <mergeCell ref="BF1583:BI1583"/>
    <mergeCell ref="R1596:S1596"/>
    <mergeCell ref="T1596:U1596"/>
    <mergeCell ref="V1596:W1596"/>
    <mergeCell ref="X1596:AA1596"/>
    <mergeCell ref="AB1596:AE1596"/>
    <mergeCell ref="AF1596:AG1596"/>
    <mergeCell ref="AH1596:AI1596"/>
    <mergeCell ref="AX1596:AZ1596"/>
    <mergeCell ref="BA1596:BB1596"/>
    <mergeCell ref="BD1596:BE1596"/>
    <mergeCell ref="BF1596:BI1596"/>
    <mergeCell ref="B1592:C1592"/>
    <mergeCell ref="D1592:E1592"/>
    <mergeCell ref="F1592:G1592"/>
    <mergeCell ref="H1592:I1592"/>
    <mergeCell ref="J1592:K1592"/>
    <mergeCell ref="L1592:M1592"/>
    <mergeCell ref="P1592:Q1592"/>
    <mergeCell ref="B1593:C1593"/>
    <mergeCell ref="D1593:E1593"/>
    <mergeCell ref="F1593:G1593"/>
    <mergeCell ref="H1593:I1593"/>
    <mergeCell ref="J1593:K1593"/>
    <mergeCell ref="L1593:M1593"/>
    <mergeCell ref="P1593:Q1593"/>
    <mergeCell ref="BF1595:BI1595"/>
    <mergeCell ref="AN1595:AO1595"/>
    <mergeCell ref="AP1595:AQ1595"/>
    <mergeCell ref="AR1595:AS1595"/>
    <mergeCell ref="AT1595:AU1595"/>
    <mergeCell ref="AV1595:AW1595"/>
    <mergeCell ref="AX1595:AZ1595"/>
    <mergeCell ref="BA1595:BB1595"/>
    <mergeCell ref="AJ1593:AK1593"/>
    <mergeCell ref="AL1593:AM1593"/>
    <mergeCell ref="R1593:S1593"/>
    <mergeCell ref="T1593:U1593"/>
    <mergeCell ref="V1593:W1593"/>
    <mergeCell ref="X1593:AA1593"/>
    <mergeCell ref="AB1593:AE1593"/>
    <mergeCell ref="AF1593:AG1593"/>
    <mergeCell ref="AH1593:AI1593"/>
    <mergeCell ref="R1594:S1594"/>
    <mergeCell ref="T1594:U1594"/>
    <mergeCell ref="V1594:W1594"/>
    <mergeCell ref="X1594:AA1594"/>
    <mergeCell ref="AB1594:AE1594"/>
    <mergeCell ref="AF1594:AG1594"/>
    <mergeCell ref="AH1594:AI1594"/>
    <mergeCell ref="AX1594:AZ1594"/>
    <mergeCell ref="BA1594:BB1594"/>
    <mergeCell ref="BD1594:BE1594"/>
    <mergeCell ref="BF1594:BI1594"/>
    <mergeCell ref="B1594:C1594"/>
    <mergeCell ref="D1594:E1594"/>
    <mergeCell ref="F1594:G1594"/>
    <mergeCell ref="H1594:I1594"/>
    <mergeCell ref="J1594:K1594"/>
    <mergeCell ref="L1594:M1594"/>
    <mergeCell ref="P1594:Q1594"/>
    <mergeCell ref="B1595:C1595"/>
    <mergeCell ref="D1595:E1595"/>
    <mergeCell ref="F1595:G1595"/>
    <mergeCell ref="H1595:I1595"/>
    <mergeCell ref="V1409:W1409"/>
    <mergeCell ref="X1409:AA1409"/>
    <mergeCell ref="AB1409:AE1409"/>
    <mergeCell ref="AF1409:AG1409"/>
    <mergeCell ref="AH1409:AI1409"/>
    <mergeCell ref="V1410:W1410"/>
    <mergeCell ref="X1410:AA1410"/>
    <mergeCell ref="AB1410:AE1410"/>
    <mergeCell ref="AF1410:AG1410"/>
    <mergeCell ref="AH1410:AI1410"/>
    <mergeCell ref="AJ1410:AK1410"/>
    <mergeCell ref="AL1410:AM1410"/>
    <mergeCell ref="BD1410:BE1410"/>
    <mergeCell ref="BF1410:BI1410"/>
    <mergeCell ref="BJ1410:BM1410"/>
    <mergeCell ref="BN1410:BV1410"/>
    <mergeCell ref="AN1410:AO1410"/>
    <mergeCell ref="AP1410:AQ1410"/>
    <mergeCell ref="AR1410:AS1410"/>
    <mergeCell ref="AT1410:AU1410"/>
    <mergeCell ref="AV1410:AW1410"/>
    <mergeCell ref="AX1410:AZ1410"/>
    <mergeCell ref="BA1410:BB1410"/>
    <mergeCell ref="B1410:C1410"/>
    <mergeCell ref="D1410:E1410"/>
    <mergeCell ref="F1410:G1410"/>
    <mergeCell ref="H1410:I1410"/>
    <mergeCell ref="P1410:Q1410"/>
    <mergeCell ref="R1410:S1410"/>
    <mergeCell ref="T1410:U1410"/>
    <mergeCell ref="B1411:C1411"/>
    <mergeCell ref="D1411:E1411"/>
    <mergeCell ref="F1411:G1411"/>
    <mergeCell ref="H1411:I1411"/>
    <mergeCell ref="J1411:K1411"/>
    <mergeCell ref="L1411:M1411"/>
    <mergeCell ref="P1411:Q1411"/>
    <mergeCell ref="B1409:C1409"/>
    <mergeCell ref="D1409:E1409"/>
    <mergeCell ref="F1409:G1409"/>
    <mergeCell ref="H1409:I1409"/>
    <mergeCell ref="J1409:K1409"/>
    <mergeCell ref="L1409:M1409"/>
    <mergeCell ref="P1409:Q1409"/>
    <mergeCell ref="AX1409:AZ1409"/>
    <mergeCell ref="BA1409:BB1409"/>
    <mergeCell ref="BD1409:BE1409"/>
    <mergeCell ref="BF1409:BI1409"/>
    <mergeCell ref="BJ1409:BM1409"/>
    <mergeCell ref="BN1409:BV1409"/>
    <mergeCell ref="AN1409:AO1409"/>
    <mergeCell ref="AP1409:AQ1409"/>
    <mergeCell ref="AR1409:AS1409"/>
    <mergeCell ref="AT1409:AU1409"/>
    <mergeCell ref="AV1409:AW1409"/>
    <mergeCell ref="AX1411:AZ1411"/>
    <mergeCell ref="BA1411:BB1411"/>
    <mergeCell ref="BD1411:BE1411"/>
    <mergeCell ref="BF1411:BI1411"/>
    <mergeCell ref="BJ1411:BM1411"/>
    <mergeCell ref="BN1411:BV1411"/>
    <mergeCell ref="AJ1409:AK1409"/>
    <mergeCell ref="BJ1596:BM1596"/>
    <mergeCell ref="BN1596:BV1596"/>
    <mergeCell ref="BJ1597:BM1597"/>
    <mergeCell ref="BN1597:BV1597"/>
    <mergeCell ref="B1596:C1596"/>
    <mergeCell ref="D1596:E1596"/>
    <mergeCell ref="F1596:G1596"/>
    <mergeCell ref="H1596:I1596"/>
    <mergeCell ref="J1596:K1596"/>
    <mergeCell ref="L1596:M1596"/>
    <mergeCell ref="P1596:Q1596"/>
    <mergeCell ref="B1597:C1597"/>
    <mergeCell ref="D1597:E1597"/>
    <mergeCell ref="F1597:G1597"/>
    <mergeCell ref="H1597:I1597"/>
    <mergeCell ref="J1597:K1597"/>
    <mergeCell ref="L1597:M1597"/>
    <mergeCell ref="P1597:Q1597"/>
    <mergeCell ref="AJ1596:AK1596"/>
    <mergeCell ref="AL1596:AM1596"/>
    <mergeCell ref="AN1596:AO1596"/>
    <mergeCell ref="AP1596:AQ1596"/>
    <mergeCell ref="AR1596:AS1596"/>
    <mergeCell ref="AT1596:AU1596"/>
    <mergeCell ref="AV1596:AW1596"/>
    <mergeCell ref="B1585:C1585"/>
    <mergeCell ref="D1585:E1585"/>
    <mergeCell ref="F1585:G1585"/>
    <mergeCell ref="H1585:I1585"/>
    <mergeCell ref="J1585:K1585"/>
    <mergeCell ref="L1585:M1585"/>
    <mergeCell ref="P1585:Q1585"/>
    <mergeCell ref="B1586:C1586"/>
    <mergeCell ref="D1586:E1586"/>
    <mergeCell ref="F1586:G1586"/>
    <mergeCell ref="H1586:I1586"/>
    <mergeCell ref="J1586:K1586"/>
    <mergeCell ref="L1586:M1586"/>
    <mergeCell ref="P1586:Q1586"/>
    <mergeCell ref="AJ1585:AK1585"/>
    <mergeCell ref="AL1585:AM1585"/>
    <mergeCell ref="AN1585:AO1585"/>
    <mergeCell ref="AP1585:AQ1585"/>
    <mergeCell ref="AR1585:AS1585"/>
    <mergeCell ref="AT1585:AU1585"/>
    <mergeCell ref="AV1585:AW1585"/>
    <mergeCell ref="BD1597:BE1597"/>
    <mergeCell ref="BF1597:BI1597"/>
    <mergeCell ref="AN1597:AO1597"/>
    <mergeCell ref="AP1597:AQ1597"/>
    <mergeCell ref="AR1597:AS1597"/>
    <mergeCell ref="AT1597:AU1597"/>
    <mergeCell ref="AV1597:AW1597"/>
    <mergeCell ref="AX1597:AZ1597"/>
    <mergeCell ref="BA1597:BB1597"/>
    <mergeCell ref="AJ1595:AK1595"/>
    <mergeCell ref="AL1595:AM1595"/>
    <mergeCell ref="R1595:S1595"/>
    <mergeCell ref="T1595:U1595"/>
    <mergeCell ref="V1595:W1595"/>
    <mergeCell ref="X1595:AA1595"/>
    <mergeCell ref="AB1595:AE1595"/>
    <mergeCell ref="AF1595:AG1595"/>
    <mergeCell ref="AH1595:AI1595"/>
    <mergeCell ref="AL1409:AM1409"/>
    <mergeCell ref="AN1411:AO1411"/>
    <mergeCell ref="AP1411:AQ1411"/>
    <mergeCell ref="B1414:C1414"/>
    <mergeCell ref="D1414:E1414"/>
    <mergeCell ref="F1414:G1414"/>
    <mergeCell ref="H1414:I1414"/>
    <mergeCell ref="P1414:Q1414"/>
    <mergeCell ref="R1414:S1414"/>
    <mergeCell ref="T1414:U1414"/>
    <mergeCell ref="AR1411:AS1411"/>
    <mergeCell ref="AT1411:AU1411"/>
    <mergeCell ref="AV1411:AW1411"/>
    <mergeCell ref="R1411:S1411"/>
    <mergeCell ref="T1411:U1411"/>
    <mergeCell ref="V1411:W1411"/>
    <mergeCell ref="X1411:AA1411"/>
    <mergeCell ref="AB1411:AE1411"/>
    <mergeCell ref="AF1411:AG1411"/>
    <mergeCell ref="AH1411:AI1411"/>
    <mergeCell ref="V1412:W1412"/>
    <mergeCell ref="X1412:AA1412"/>
    <mergeCell ref="AB1412:AE1412"/>
    <mergeCell ref="AF1412:AG1412"/>
    <mergeCell ref="AH1412:AI1412"/>
    <mergeCell ref="AJ1412:AK1412"/>
    <mergeCell ref="AL1412:AM1412"/>
    <mergeCell ref="BD1412:BE1412"/>
    <mergeCell ref="BF1412:BI1412"/>
    <mergeCell ref="BJ1412:BM1412"/>
    <mergeCell ref="BN1412:BV1412"/>
    <mergeCell ref="AN1412:AO1412"/>
    <mergeCell ref="AP1412:AQ1412"/>
    <mergeCell ref="AR1412:AS1412"/>
    <mergeCell ref="AT1412:AU1412"/>
    <mergeCell ref="AV1412:AW1412"/>
    <mergeCell ref="AX1412:AZ1412"/>
    <mergeCell ref="BA1412:BB1412"/>
    <mergeCell ref="B1412:C1412"/>
    <mergeCell ref="D1412:E1412"/>
    <mergeCell ref="F1412:G1412"/>
    <mergeCell ref="H1412:I1412"/>
    <mergeCell ref="P1412:Q1412"/>
    <mergeCell ref="R1412:S1412"/>
    <mergeCell ref="T1412:U1412"/>
    <mergeCell ref="L1413:M1413"/>
    <mergeCell ref="P1413:Q1413"/>
    <mergeCell ref="AX1413:AZ1413"/>
    <mergeCell ref="BA1413:BB1413"/>
    <mergeCell ref="BD1413:BE1413"/>
    <mergeCell ref="BF1413:BI1413"/>
    <mergeCell ref="BJ1413:BM1413"/>
    <mergeCell ref="BN1413:BV1413"/>
    <mergeCell ref="AJ1411:AK1411"/>
    <mergeCell ref="AL1411:AM1411"/>
    <mergeCell ref="AN1413:AO1413"/>
    <mergeCell ref="AP1413:AQ1413"/>
    <mergeCell ref="B1413:C1413"/>
    <mergeCell ref="D1413:E1413"/>
    <mergeCell ref="F1413:G1413"/>
    <mergeCell ref="H1413:I1413"/>
    <mergeCell ref="J1413:K1413"/>
    <mergeCell ref="R1409:S1409"/>
    <mergeCell ref="T1409:U1409"/>
    <mergeCell ref="B1418:C1418"/>
    <mergeCell ref="D1418:E1418"/>
    <mergeCell ref="F1418:G1418"/>
    <mergeCell ref="H1418:I1418"/>
    <mergeCell ref="P1418:Q1418"/>
    <mergeCell ref="R1418:S1418"/>
    <mergeCell ref="T1418:U1418"/>
    <mergeCell ref="B1415:C1415"/>
    <mergeCell ref="D1415:E1415"/>
    <mergeCell ref="F1415:G1415"/>
    <mergeCell ref="H1415:I1415"/>
    <mergeCell ref="J1415:K1415"/>
    <mergeCell ref="L1415:M1415"/>
    <mergeCell ref="P1415:Q1415"/>
    <mergeCell ref="AX1415:AZ1415"/>
    <mergeCell ref="BA1415:BB1415"/>
    <mergeCell ref="BD1415:BE1415"/>
    <mergeCell ref="BF1415:BI1415"/>
    <mergeCell ref="BJ1415:BM1415"/>
    <mergeCell ref="BN1415:BV1415"/>
    <mergeCell ref="AB1416:AE1416"/>
    <mergeCell ref="AF1416:AG1416"/>
    <mergeCell ref="AH1416:AI1416"/>
    <mergeCell ref="AJ1416:AK1416"/>
    <mergeCell ref="AL1416:AM1416"/>
    <mergeCell ref="BD1416:BE1416"/>
    <mergeCell ref="BF1416:BI1416"/>
    <mergeCell ref="BJ1416:BM1416"/>
    <mergeCell ref="BN1416:BV1416"/>
    <mergeCell ref="AN1416:AO1416"/>
    <mergeCell ref="AP1416:AQ1416"/>
    <mergeCell ref="AR1416:AS1416"/>
    <mergeCell ref="AT1416:AU1416"/>
    <mergeCell ref="AV1416:AW1416"/>
    <mergeCell ref="AX1416:AZ1416"/>
    <mergeCell ref="BA1416:BB1416"/>
    <mergeCell ref="B1416:C1416"/>
    <mergeCell ref="D1416:E1416"/>
    <mergeCell ref="F1416:G1416"/>
    <mergeCell ref="H1416:I1416"/>
    <mergeCell ref="P1416:Q1416"/>
    <mergeCell ref="R1416:S1416"/>
    <mergeCell ref="T1416:U1416"/>
    <mergeCell ref="AN1415:AO1415"/>
    <mergeCell ref="AP1415:AQ1415"/>
    <mergeCell ref="AR1415:AS1415"/>
    <mergeCell ref="AT1415:AU1415"/>
    <mergeCell ref="AV1415:AW1415"/>
    <mergeCell ref="R1415:S1415"/>
    <mergeCell ref="T1415:U1415"/>
    <mergeCell ref="V1415:W1415"/>
    <mergeCell ref="X1415:AA1415"/>
    <mergeCell ref="AB1415:AE1415"/>
    <mergeCell ref="AF1415:AG1415"/>
    <mergeCell ref="AH1415:AI1415"/>
    <mergeCell ref="V1416:W1416"/>
    <mergeCell ref="X1416:AA1416"/>
    <mergeCell ref="L1417:M1417"/>
    <mergeCell ref="P1417:Q1417"/>
    <mergeCell ref="AX1417:AZ1417"/>
    <mergeCell ref="BA1417:BB1417"/>
    <mergeCell ref="BD1417:BE1417"/>
    <mergeCell ref="BF1417:BI1417"/>
    <mergeCell ref="BJ1417:BM1417"/>
    <mergeCell ref="BN1417:BV1417"/>
    <mergeCell ref="AJ1415:AK1415"/>
    <mergeCell ref="AL1415:AM1415"/>
    <mergeCell ref="AN1417:AO1417"/>
    <mergeCell ref="AP1417:AQ1417"/>
    <mergeCell ref="AR1417:AS1417"/>
    <mergeCell ref="AT1417:AU1417"/>
    <mergeCell ref="AV1417:AW1417"/>
    <mergeCell ref="R1417:S1417"/>
    <mergeCell ref="T1417:U1417"/>
    <mergeCell ref="V1417:W1417"/>
    <mergeCell ref="X1417:AA1417"/>
    <mergeCell ref="AB1417:AE1417"/>
    <mergeCell ref="AF1417:AG1417"/>
    <mergeCell ref="AH1417:AI1417"/>
    <mergeCell ref="AJ1417:AK1417"/>
    <mergeCell ref="AL1417:AM1417"/>
    <mergeCell ref="AR1413:AS1413"/>
    <mergeCell ref="AT1413:AU1413"/>
    <mergeCell ref="AV1413:AW1413"/>
    <mergeCell ref="R1413:S1413"/>
    <mergeCell ref="T1413:U1413"/>
    <mergeCell ref="V1413:W1413"/>
    <mergeCell ref="X1413:AA1413"/>
    <mergeCell ref="AB1413:AE1413"/>
    <mergeCell ref="AF1413:AG1413"/>
    <mergeCell ref="AH1413:AI1413"/>
    <mergeCell ref="V1414:W1414"/>
    <mergeCell ref="X1414:AA1414"/>
    <mergeCell ref="B1417:C1417"/>
    <mergeCell ref="D1417:E1417"/>
    <mergeCell ref="F1417:G1417"/>
    <mergeCell ref="H1417:I1417"/>
    <mergeCell ref="J1417:K1417"/>
    <mergeCell ref="AB1414:AE1414"/>
    <mergeCell ref="AF1414:AG1414"/>
    <mergeCell ref="AH1414:AI1414"/>
    <mergeCell ref="AJ1414:AK1414"/>
    <mergeCell ref="AL1414:AM1414"/>
    <mergeCell ref="BD1414:BE1414"/>
    <mergeCell ref="BF1414:BI1414"/>
    <mergeCell ref="BJ1414:BM1414"/>
    <mergeCell ref="BN1414:BV1414"/>
    <mergeCell ref="AN1414:AO1414"/>
    <mergeCell ref="AP1414:AQ1414"/>
    <mergeCell ref="AR1414:AS1414"/>
    <mergeCell ref="AT1414:AU1414"/>
    <mergeCell ref="AV1414:AW1414"/>
    <mergeCell ref="AX1414:AZ1414"/>
    <mergeCell ref="BA1414:BB1414"/>
    <mergeCell ref="AJ1413:AK1413"/>
    <mergeCell ref="AL1413:AM1413"/>
    <mergeCell ref="T1422:U1422"/>
    <mergeCell ref="B1419:C1419"/>
    <mergeCell ref="D1419:E1419"/>
    <mergeCell ref="F1419:G1419"/>
    <mergeCell ref="H1419:I1419"/>
    <mergeCell ref="J1419:K1419"/>
    <mergeCell ref="L1419:M1419"/>
    <mergeCell ref="P1419:Q1419"/>
    <mergeCell ref="AX1419:AZ1419"/>
    <mergeCell ref="BA1419:BB1419"/>
    <mergeCell ref="BD1419:BE1419"/>
    <mergeCell ref="BF1419:BI1419"/>
    <mergeCell ref="BJ1419:BM1419"/>
    <mergeCell ref="BN1419:BV1419"/>
    <mergeCell ref="AN1419:AO1419"/>
    <mergeCell ref="AP1419:AQ1419"/>
    <mergeCell ref="AR1419:AS1419"/>
    <mergeCell ref="AT1419:AU1419"/>
    <mergeCell ref="AV1419:AW1419"/>
    <mergeCell ref="R1419:S1419"/>
    <mergeCell ref="T1419:U1419"/>
    <mergeCell ref="V1419:W1419"/>
    <mergeCell ref="X1419:AA1419"/>
    <mergeCell ref="AB1419:AE1419"/>
    <mergeCell ref="AF1419:AG1419"/>
    <mergeCell ref="AH1419:AI1419"/>
    <mergeCell ref="V1420:W1420"/>
    <mergeCell ref="X1420:AA1420"/>
    <mergeCell ref="AB1420:AE1420"/>
    <mergeCell ref="AF1420:AG1420"/>
    <mergeCell ref="AH1420:AI1420"/>
    <mergeCell ref="AJ1420:AK1420"/>
    <mergeCell ref="AL1420:AM1420"/>
    <mergeCell ref="BD1420:BE1420"/>
    <mergeCell ref="BF1420:BI1420"/>
    <mergeCell ref="BJ1420:BM1420"/>
    <mergeCell ref="BN1420:BV1420"/>
    <mergeCell ref="AN1420:AO1420"/>
    <mergeCell ref="AP1420:AQ1420"/>
    <mergeCell ref="AR1420:AS1420"/>
    <mergeCell ref="AT1420:AU1420"/>
    <mergeCell ref="AV1420:AW1420"/>
    <mergeCell ref="AX1420:AZ1420"/>
    <mergeCell ref="BA1420:BB1420"/>
    <mergeCell ref="B1420:C1420"/>
    <mergeCell ref="D1420:E1420"/>
    <mergeCell ref="F1420:G1420"/>
    <mergeCell ref="H1420:I1420"/>
    <mergeCell ref="P1420:Q1420"/>
    <mergeCell ref="R1420:S1420"/>
    <mergeCell ref="T1420:U1420"/>
    <mergeCell ref="L1421:M1421"/>
    <mergeCell ref="P1421:Q1421"/>
    <mergeCell ref="AX1421:AZ1421"/>
    <mergeCell ref="BA1421:BB1421"/>
    <mergeCell ref="BD1421:BE1421"/>
    <mergeCell ref="BF1421:BI1421"/>
    <mergeCell ref="BJ1421:BM1421"/>
    <mergeCell ref="BN1421:BV1421"/>
    <mergeCell ref="AJ1419:AK1419"/>
    <mergeCell ref="AL1419:AM1419"/>
    <mergeCell ref="AN1421:AO1421"/>
    <mergeCell ref="AP1421:AQ1421"/>
    <mergeCell ref="AR1421:AS1421"/>
    <mergeCell ref="AT1421:AU1421"/>
    <mergeCell ref="AV1421:AW1421"/>
    <mergeCell ref="R1421:S1421"/>
    <mergeCell ref="T1421:U1421"/>
    <mergeCell ref="V1421:W1421"/>
    <mergeCell ref="X1421:AA1421"/>
    <mergeCell ref="AB1421:AE1421"/>
    <mergeCell ref="AF1421:AG1421"/>
    <mergeCell ref="AH1421:AI1421"/>
    <mergeCell ref="AJ1421:AK1421"/>
    <mergeCell ref="AL1421:AM1421"/>
    <mergeCell ref="V1418:W1418"/>
    <mergeCell ref="X1418:AA1418"/>
    <mergeCell ref="AB1418:AE1418"/>
    <mergeCell ref="AF1418:AG1418"/>
    <mergeCell ref="AH1418:AI1418"/>
    <mergeCell ref="AJ1418:AK1418"/>
    <mergeCell ref="AL1418:AM1418"/>
    <mergeCell ref="BD1418:BE1418"/>
    <mergeCell ref="BF1418:BI1418"/>
    <mergeCell ref="BJ1418:BM1418"/>
    <mergeCell ref="BN1418:BV1418"/>
    <mergeCell ref="AN1418:AO1418"/>
    <mergeCell ref="AP1418:AQ1418"/>
    <mergeCell ref="AR1418:AS1418"/>
    <mergeCell ref="AT1418:AU1418"/>
    <mergeCell ref="AV1418:AW1418"/>
    <mergeCell ref="AX1418:AZ1418"/>
    <mergeCell ref="BA1418:BB1418"/>
    <mergeCell ref="T1426:U1426"/>
    <mergeCell ref="B1423:C1423"/>
    <mergeCell ref="D1423:E1423"/>
    <mergeCell ref="F1423:G1423"/>
    <mergeCell ref="H1423:I1423"/>
    <mergeCell ref="J1423:K1423"/>
    <mergeCell ref="L1423:M1423"/>
    <mergeCell ref="P1423:Q1423"/>
    <mergeCell ref="AX1423:AZ1423"/>
    <mergeCell ref="BA1423:BB1423"/>
    <mergeCell ref="BD1423:BE1423"/>
    <mergeCell ref="BF1423:BI1423"/>
    <mergeCell ref="BJ1423:BM1423"/>
    <mergeCell ref="BN1423:BV1423"/>
    <mergeCell ref="AN1423:AO1423"/>
    <mergeCell ref="AP1423:AQ1423"/>
    <mergeCell ref="AR1423:AS1423"/>
    <mergeCell ref="AT1423:AU1423"/>
    <mergeCell ref="AV1423:AW1423"/>
    <mergeCell ref="R1423:S1423"/>
    <mergeCell ref="T1423:U1423"/>
    <mergeCell ref="V1423:W1423"/>
    <mergeCell ref="X1423:AA1423"/>
    <mergeCell ref="AB1423:AE1423"/>
    <mergeCell ref="AF1423:AG1423"/>
    <mergeCell ref="AH1423:AI1423"/>
    <mergeCell ref="V1424:W1424"/>
    <mergeCell ref="X1424:AA1424"/>
    <mergeCell ref="AB1424:AE1424"/>
    <mergeCell ref="AF1424:AG1424"/>
    <mergeCell ref="AH1424:AI1424"/>
    <mergeCell ref="AJ1424:AK1424"/>
    <mergeCell ref="AL1424:AM1424"/>
    <mergeCell ref="BD1424:BE1424"/>
    <mergeCell ref="BF1424:BI1424"/>
    <mergeCell ref="BJ1424:BM1424"/>
    <mergeCell ref="BN1424:BV1424"/>
    <mergeCell ref="AN1424:AO1424"/>
    <mergeCell ref="AP1424:AQ1424"/>
    <mergeCell ref="AR1424:AS1424"/>
    <mergeCell ref="AT1424:AU1424"/>
    <mergeCell ref="AV1424:AW1424"/>
    <mergeCell ref="AX1424:AZ1424"/>
    <mergeCell ref="BA1424:BB1424"/>
    <mergeCell ref="B1424:C1424"/>
    <mergeCell ref="D1424:E1424"/>
    <mergeCell ref="F1424:G1424"/>
    <mergeCell ref="H1424:I1424"/>
    <mergeCell ref="P1424:Q1424"/>
    <mergeCell ref="R1424:S1424"/>
    <mergeCell ref="T1424:U1424"/>
    <mergeCell ref="B1421:C1421"/>
    <mergeCell ref="D1421:E1421"/>
    <mergeCell ref="F1421:G1421"/>
    <mergeCell ref="H1421:I1421"/>
    <mergeCell ref="J1421:K1421"/>
    <mergeCell ref="L1425:M1425"/>
    <mergeCell ref="P1425:Q1425"/>
    <mergeCell ref="AX1425:AZ1425"/>
    <mergeCell ref="BA1425:BB1425"/>
    <mergeCell ref="BD1425:BE1425"/>
    <mergeCell ref="BF1425:BI1425"/>
    <mergeCell ref="BJ1425:BM1425"/>
    <mergeCell ref="BN1425:BV1425"/>
    <mergeCell ref="AJ1423:AK1423"/>
    <mergeCell ref="AL1423:AM1423"/>
    <mergeCell ref="AN1425:AO1425"/>
    <mergeCell ref="AP1425:AQ1425"/>
    <mergeCell ref="AR1425:AS1425"/>
    <mergeCell ref="AT1425:AU1425"/>
    <mergeCell ref="AV1425:AW1425"/>
    <mergeCell ref="R1425:S1425"/>
    <mergeCell ref="T1425:U1425"/>
    <mergeCell ref="V1425:W1425"/>
    <mergeCell ref="X1425:AA1425"/>
    <mergeCell ref="AB1425:AE1425"/>
    <mergeCell ref="AF1425:AG1425"/>
    <mergeCell ref="AH1425:AI1425"/>
    <mergeCell ref="AJ1425:AK1425"/>
    <mergeCell ref="AL1425:AM1425"/>
    <mergeCell ref="V1422:W1422"/>
    <mergeCell ref="X1422:AA1422"/>
    <mergeCell ref="AB1422:AE1422"/>
    <mergeCell ref="AF1422:AG1422"/>
    <mergeCell ref="AH1422:AI1422"/>
    <mergeCell ref="AJ1422:AK1422"/>
    <mergeCell ref="AL1422:AM1422"/>
    <mergeCell ref="BD1422:BE1422"/>
    <mergeCell ref="BF1422:BI1422"/>
    <mergeCell ref="BJ1422:BM1422"/>
    <mergeCell ref="BN1422:BV1422"/>
    <mergeCell ref="AN1422:AO1422"/>
    <mergeCell ref="AP1422:AQ1422"/>
    <mergeCell ref="AR1422:AS1422"/>
    <mergeCell ref="AT1422:AU1422"/>
    <mergeCell ref="AV1422:AW1422"/>
    <mergeCell ref="AX1422:AZ1422"/>
    <mergeCell ref="BA1422:BB1422"/>
    <mergeCell ref="B1422:C1422"/>
    <mergeCell ref="D1422:E1422"/>
    <mergeCell ref="F1422:G1422"/>
    <mergeCell ref="H1422:I1422"/>
    <mergeCell ref="P1422:Q1422"/>
    <mergeCell ref="R1422:S1422"/>
    <mergeCell ref="T1430:U1430"/>
    <mergeCell ref="B1427:C1427"/>
    <mergeCell ref="D1427:E1427"/>
    <mergeCell ref="F1427:G1427"/>
    <mergeCell ref="H1427:I1427"/>
    <mergeCell ref="J1427:K1427"/>
    <mergeCell ref="L1427:M1427"/>
    <mergeCell ref="P1427:Q1427"/>
    <mergeCell ref="AX1427:AZ1427"/>
    <mergeCell ref="BA1427:BB1427"/>
    <mergeCell ref="BD1427:BE1427"/>
    <mergeCell ref="BF1427:BI1427"/>
    <mergeCell ref="BJ1427:BM1427"/>
    <mergeCell ref="BN1427:BV1427"/>
    <mergeCell ref="AN1427:AO1427"/>
    <mergeCell ref="AP1427:AQ1427"/>
    <mergeCell ref="AR1427:AS1427"/>
    <mergeCell ref="AT1427:AU1427"/>
    <mergeCell ref="AV1427:AW1427"/>
    <mergeCell ref="R1427:S1427"/>
    <mergeCell ref="T1427:U1427"/>
    <mergeCell ref="V1427:W1427"/>
    <mergeCell ref="X1427:AA1427"/>
    <mergeCell ref="AB1427:AE1427"/>
    <mergeCell ref="AF1427:AG1427"/>
    <mergeCell ref="AH1427:AI1427"/>
    <mergeCell ref="V1428:W1428"/>
    <mergeCell ref="X1428:AA1428"/>
    <mergeCell ref="AB1428:AE1428"/>
    <mergeCell ref="AF1428:AG1428"/>
    <mergeCell ref="AH1428:AI1428"/>
    <mergeCell ref="AJ1428:AK1428"/>
    <mergeCell ref="AL1428:AM1428"/>
    <mergeCell ref="BD1428:BE1428"/>
    <mergeCell ref="BF1428:BI1428"/>
    <mergeCell ref="BJ1428:BM1428"/>
    <mergeCell ref="BN1428:BV1428"/>
    <mergeCell ref="AN1428:AO1428"/>
    <mergeCell ref="AP1428:AQ1428"/>
    <mergeCell ref="AR1428:AS1428"/>
    <mergeCell ref="AT1428:AU1428"/>
    <mergeCell ref="AV1428:AW1428"/>
    <mergeCell ref="AX1428:AZ1428"/>
    <mergeCell ref="BA1428:BB1428"/>
    <mergeCell ref="B1428:C1428"/>
    <mergeCell ref="D1428:E1428"/>
    <mergeCell ref="F1428:G1428"/>
    <mergeCell ref="H1428:I1428"/>
    <mergeCell ref="P1428:Q1428"/>
    <mergeCell ref="R1428:S1428"/>
    <mergeCell ref="T1428:U1428"/>
    <mergeCell ref="B1425:C1425"/>
    <mergeCell ref="D1425:E1425"/>
    <mergeCell ref="F1425:G1425"/>
    <mergeCell ref="H1425:I1425"/>
    <mergeCell ref="J1425:K1425"/>
    <mergeCell ref="L1429:M1429"/>
    <mergeCell ref="P1429:Q1429"/>
    <mergeCell ref="AX1429:AZ1429"/>
    <mergeCell ref="BA1429:BB1429"/>
    <mergeCell ref="BD1429:BE1429"/>
    <mergeCell ref="BF1429:BI1429"/>
    <mergeCell ref="BJ1429:BM1429"/>
    <mergeCell ref="BN1429:BV1429"/>
    <mergeCell ref="AJ1427:AK1427"/>
    <mergeCell ref="AL1427:AM1427"/>
    <mergeCell ref="AN1429:AO1429"/>
    <mergeCell ref="AP1429:AQ1429"/>
    <mergeCell ref="AR1429:AS1429"/>
    <mergeCell ref="AT1429:AU1429"/>
    <mergeCell ref="AV1429:AW1429"/>
    <mergeCell ref="R1429:S1429"/>
    <mergeCell ref="T1429:U1429"/>
    <mergeCell ref="V1429:W1429"/>
    <mergeCell ref="X1429:AA1429"/>
    <mergeCell ref="AB1429:AE1429"/>
    <mergeCell ref="AF1429:AG1429"/>
    <mergeCell ref="AH1429:AI1429"/>
    <mergeCell ref="AJ1429:AK1429"/>
    <mergeCell ref="AL1429:AM1429"/>
    <mergeCell ref="V1426:W1426"/>
    <mergeCell ref="X1426:AA1426"/>
    <mergeCell ref="AB1426:AE1426"/>
    <mergeCell ref="AF1426:AG1426"/>
    <mergeCell ref="AH1426:AI1426"/>
    <mergeCell ref="AJ1426:AK1426"/>
    <mergeCell ref="AL1426:AM1426"/>
    <mergeCell ref="BD1426:BE1426"/>
    <mergeCell ref="BF1426:BI1426"/>
    <mergeCell ref="BJ1426:BM1426"/>
    <mergeCell ref="BN1426:BV1426"/>
    <mergeCell ref="AN1426:AO1426"/>
    <mergeCell ref="AP1426:AQ1426"/>
    <mergeCell ref="AR1426:AS1426"/>
    <mergeCell ref="AT1426:AU1426"/>
    <mergeCell ref="AV1426:AW1426"/>
    <mergeCell ref="AX1426:AZ1426"/>
    <mergeCell ref="BA1426:BB1426"/>
    <mergeCell ref="B1426:C1426"/>
    <mergeCell ref="D1426:E1426"/>
    <mergeCell ref="F1426:G1426"/>
    <mergeCell ref="H1426:I1426"/>
    <mergeCell ref="P1426:Q1426"/>
    <mergeCell ref="R1426:S1426"/>
    <mergeCell ref="T1434:U1434"/>
    <mergeCell ref="B1431:C1431"/>
    <mergeCell ref="D1431:E1431"/>
    <mergeCell ref="F1431:G1431"/>
    <mergeCell ref="H1431:I1431"/>
    <mergeCell ref="J1431:K1431"/>
    <mergeCell ref="L1431:M1431"/>
    <mergeCell ref="P1431:Q1431"/>
    <mergeCell ref="AX1431:AZ1431"/>
    <mergeCell ref="BA1431:BB1431"/>
    <mergeCell ref="BD1431:BE1431"/>
    <mergeCell ref="BF1431:BI1431"/>
    <mergeCell ref="BJ1431:BM1431"/>
    <mergeCell ref="BN1431:BV1431"/>
    <mergeCell ref="AN1431:AO1431"/>
    <mergeCell ref="AP1431:AQ1431"/>
    <mergeCell ref="AR1431:AS1431"/>
    <mergeCell ref="AT1431:AU1431"/>
    <mergeCell ref="AV1431:AW1431"/>
    <mergeCell ref="R1431:S1431"/>
    <mergeCell ref="T1431:U1431"/>
    <mergeCell ref="V1431:W1431"/>
    <mergeCell ref="X1431:AA1431"/>
    <mergeCell ref="AB1431:AE1431"/>
    <mergeCell ref="AF1431:AG1431"/>
    <mergeCell ref="AH1431:AI1431"/>
    <mergeCell ref="V1432:W1432"/>
    <mergeCell ref="X1432:AA1432"/>
    <mergeCell ref="AB1432:AE1432"/>
    <mergeCell ref="AF1432:AG1432"/>
    <mergeCell ref="AH1432:AI1432"/>
    <mergeCell ref="AJ1432:AK1432"/>
    <mergeCell ref="AL1432:AM1432"/>
    <mergeCell ref="BD1432:BE1432"/>
    <mergeCell ref="BF1432:BI1432"/>
    <mergeCell ref="BJ1432:BM1432"/>
    <mergeCell ref="BN1432:BV1432"/>
    <mergeCell ref="AN1432:AO1432"/>
    <mergeCell ref="AP1432:AQ1432"/>
    <mergeCell ref="AR1432:AS1432"/>
    <mergeCell ref="AT1432:AU1432"/>
    <mergeCell ref="AV1432:AW1432"/>
    <mergeCell ref="AX1432:AZ1432"/>
    <mergeCell ref="BA1432:BB1432"/>
    <mergeCell ref="B1432:C1432"/>
    <mergeCell ref="D1432:E1432"/>
    <mergeCell ref="F1432:G1432"/>
    <mergeCell ref="H1432:I1432"/>
    <mergeCell ref="P1432:Q1432"/>
    <mergeCell ref="R1432:S1432"/>
    <mergeCell ref="T1432:U1432"/>
    <mergeCell ref="B1429:C1429"/>
    <mergeCell ref="D1429:E1429"/>
    <mergeCell ref="F1429:G1429"/>
    <mergeCell ref="H1429:I1429"/>
    <mergeCell ref="J1429:K1429"/>
    <mergeCell ref="L1433:M1433"/>
    <mergeCell ref="P1433:Q1433"/>
    <mergeCell ref="AX1433:AZ1433"/>
    <mergeCell ref="BA1433:BB1433"/>
    <mergeCell ref="BD1433:BE1433"/>
    <mergeCell ref="BF1433:BI1433"/>
    <mergeCell ref="BJ1433:BM1433"/>
    <mergeCell ref="BN1433:BV1433"/>
    <mergeCell ref="AJ1431:AK1431"/>
    <mergeCell ref="AL1431:AM1431"/>
    <mergeCell ref="AN1433:AO1433"/>
    <mergeCell ref="AP1433:AQ1433"/>
    <mergeCell ref="AR1433:AS1433"/>
    <mergeCell ref="AT1433:AU1433"/>
    <mergeCell ref="AV1433:AW1433"/>
    <mergeCell ref="R1433:S1433"/>
    <mergeCell ref="T1433:U1433"/>
    <mergeCell ref="V1433:W1433"/>
    <mergeCell ref="X1433:AA1433"/>
    <mergeCell ref="AB1433:AE1433"/>
    <mergeCell ref="AF1433:AG1433"/>
    <mergeCell ref="AH1433:AI1433"/>
    <mergeCell ref="AJ1433:AK1433"/>
    <mergeCell ref="AL1433:AM1433"/>
    <mergeCell ref="V1430:W1430"/>
    <mergeCell ref="X1430:AA1430"/>
    <mergeCell ref="AB1430:AE1430"/>
    <mergeCell ref="AF1430:AG1430"/>
    <mergeCell ref="AH1430:AI1430"/>
    <mergeCell ref="AJ1430:AK1430"/>
    <mergeCell ref="AL1430:AM1430"/>
    <mergeCell ref="BD1430:BE1430"/>
    <mergeCell ref="BF1430:BI1430"/>
    <mergeCell ref="BJ1430:BM1430"/>
    <mergeCell ref="BN1430:BV1430"/>
    <mergeCell ref="AN1430:AO1430"/>
    <mergeCell ref="AP1430:AQ1430"/>
    <mergeCell ref="AR1430:AS1430"/>
    <mergeCell ref="AT1430:AU1430"/>
    <mergeCell ref="AV1430:AW1430"/>
    <mergeCell ref="AX1430:AZ1430"/>
    <mergeCell ref="BA1430:BB1430"/>
    <mergeCell ref="B1430:C1430"/>
    <mergeCell ref="D1430:E1430"/>
    <mergeCell ref="F1430:G1430"/>
    <mergeCell ref="H1430:I1430"/>
    <mergeCell ref="P1430:Q1430"/>
    <mergeCell ref="R1430:S1430"/>
    <mergeCell ref="T1438:U1438"/>
    <mergeCell ref="B1435:C1435"/>
    <mergeCell ref="D1435:E1435"/>
    <mergeCell ref="F1435:G1435"/>
    <mergeCell ref="H1435:I1435"/>
    <mergeCell ref="J1435:K1435"/>
    <mergeCell ref="L1435:M1435"/>
    <mergeCell ref="P1435:Q1435"/>
    <mergeCell ref="AX1435:AZ1435"/>
    <mergeCell ref="BA1435:BB1435"/>
    <mergeCell ref="BD1435:BE1435"/>
    <mergeCell ref="BF1435:BI1435"/>
    <mergeCell ref="BJ1435:BM1435"/>
    <mergeCell ref="BN1435:BV1435"/>
    <mergeCell ref="AN1435:AO1435"/>
    <mergeCell ref="AP1435:AQ1435"/>
    <mergeCell ref="AR1435:AS1435"/>
    <mergeCell ref="AT1435:AU1435"/>
    <mergeCell ref="AV1435:AW1435"/>
    <mergeCell ref="R1435:S1435"/>
    <mergeCell ref="T1435:U1435"/>
    <mergeCell ref="V1435:W1435"/>
    <mergeCell ref="X1435:AA1435"/>
    <mergeCell ref="AB1435:AE1435"/>
    <mergeCell ref="AF1435:AG1435"/>
    <mergeCell ref="AH1435:AI1435"/>
    <mergeCell ref="V1436:W1436"/>
    <mergeCell ref="X1436:AA1436"/>
    <mergeCell ref="AB1436:AE1436"/>
    <mergeCell ref="AF1436:AG1436"/>
    <mergeCell ref="AH1436:AI1436"/>
    <mergeCell ref="AJ1436:AK1436"/>
    <mergeCell ref="AL1436:AM1436"/>
    <mergeCell ref="BD1436:BE1436"/>
    <mergeCell ref="BF1436:BI1436"/>
    <mergeCell ref="BJ1436:BM1436"/>
    <mergeCell ref="BN1436:BV1436"/>
    <mergeCell ref="AN1436:AO1436"/>
    <mergeCell ref="AP1436:AQ1436"/>
    <mergeCell ref="AR1436:AS1436"/>
    <mergeCell ref="AT1436:AU1436"/>
    <mergeCell ref="AV1436:AW1436"/>
    <mergeCell ref="AX1436:AZ1436"/>
    <mergeCell ref="BA1436:BB1436"/>
    <mergeCell ref="B1436:C1436"/>
    <mergeCell ref="D1436:E1436"/>
    <mergeCell ref="F1436:G1436"/>
    <mergeCell ref="H1436:I1436"/>
    <mergeCell ref="P1436:Q1436"/>
    <mergeCell ref="R1436:S1436"/>
    <mergeCell ref="T1436:U1436"/>
    <mergeCell ref="B1433:C1433"/>
    <mergeCell ref="D1433:E1433"/>
    <mergeCell ref="F1433:G1433"/>
    <mergeCell ref="H1433:I1433"/>
    <mergeCell ref="J1433:K1433"/>
    <mergeCell ref="L1437:M1437"/>
    <mergeCell ref="P1437:Q1437"/>
    <mergeCell ref="AX1437:AZ1437"/>
    <mergeCell ref="BA1437:BB1437"/>
    <mergeCell ref="BD1437:BE1437"/>
    <mergeCell ref="BF1437:BI1437"/>
    <mergeCell ref="BJ1437:BM1437"/>
    <mergeCell ref="BN1437:BV1437"/>
    <mergeCell ref="AJ1435:AK1435"/>
    <mergeCell ref="AL1435:AM1435"/>
    <mergeCell ref="AN1437:AO1437"/>
    <mergeCell ref="AP1437:AQ1437"/>
    <mergeCell ref="AR1437:AS1437"/>
    <mergeCell ref="AT1437:AU1437"/>
    <mergeCell ref="AV1437:AW1437"/>
    <mergeCell ref="R1437:S1437"/>
    <mergeCell ref="T1437:U1437"/>
    <mergeCell ref="V1437:W1437"/>
    <mergeCell ref="X1437:AA1437"/>
    <mergeCell ref="AB1437:AE1437"/>
    <mergeCell ref="AF1437:AG1437"/>
    <mergeCell ref="AH1437:AI1437"/>
    <mergeCell ref="AJ1437:AK1437"/>
    <mergeCell ref="AL1437:AM1437"/>
    <mergeCell ref="V1434:W1434"/>
    <mergeCell ref="X1434:AA1434"/>
    <mergeCell ref="AB1434:AE1434"/>
    <mergeCell ref="AF1434:AG1434"/>
    <mergeCell ref="AH1434:AI1434"/>
    <mergeCell ref="AJ1434:AK1434"/>
    <mergeCell ref="AL1434:AM1434"/>
    <mergeCell ref="BD1434:BE1434"/>
    <mergeCell ref="BF1434:BI1434"/>
    <mergeCell ref="BJ1434:BM1434"/>
    <mergeCell ref="BN1434:BV1434"/>
    <mergeCell ref="AN1434:AO1434"/>
    <mergeCell ref="AP1434:AQ1434"/>
    <mergeCell ref="AR1434:AS1434"/>
    <mergeCell ref="AT1434:AU1434"/>
    <mergeCell ref="AV1434:AW1434"/>
    <mergeCell ref="AX1434:AZ1434"/>
    <mergeCell ref="BA1434:BB1434"/>
    <mergeCell ref="B1434:C1434"/>
    <mergeCell ref="D1434:E1434"/>
    <mergeCell ref="F1434:G1434"/>
    <mergeCell ref="H1434:I1434"/>
    <mergeCell ref="P1434:Q1434"/>
    <mergeCell ref="R1434:S1434"/>
    <mergeCell ref="T1442:U1442"/>
    <mergeCell ref="B1439:C1439"/>
    <mergeCell ref="D1439:E1439"/>
    <mergeCell ref="F1439:G1439"/>
    <mergeCell ref="H1439:I1439"/>
    <mergeCell ref="J1439:K1439"/>
    <mergeCell ref="L1439:M1439"/>
    <mergeCell ref="P1439:Q1439"/>
    <mergeCell ref="AX1439:AZ1439"/>
    <mergeCell ref="BA1439:BB1439"/>
    <mergeCell ref="BD1439:BE1439"/>
    <mergeCell ref="BF1439:BI1439"/>
    <mergeCell ref="BJ1439:BM1439"/>
    <mergeCell ref="BN1439:BV1439"/>
    <mergeCell ref="AN1439:AO1439"/>
    <mergeCell ref="AP1439:AQ1439"/>
    <mergeCell ref="AR1439:AS1439"/>
    <mergeCell ref="AT1439:AU1439"/>
    <mergeCell ref="AV1439:AW1439"/>
    <mergeCell ref="R1439:S1439"/>
    <mergeCell ref="T1439:U1439"/>
    <mergeCell ref="V1439:W1439"/>
    <mergeCell ref="X1439:AA1439"/>
    <mergeCell ref="AB1439:AE1439"/>
    <mergeCell ref="AF1439:AG1439"/>
    <mergeCell ref="AH1439:AI1439"/>
    <mergeCell ref="V1440:W1440"/>
    <mergeCell ref="X1440:AA1440"/>
    <mergeCell ref="AB1440:AE1440"/>
    <mergeCell ref="AF1440:AG1440"/>
    <mergeCell ref="AH1440:AI1440"/>
    <mergeCell ref="AJ1440:AK1440"/>
    <mergeCell ref="AL1440:AM1440"/>
    <mergeCell ref="BD1440:BE1440"/>
    <mergeCell ref="BF1440:BI1440"/>
    <mergeCell ref="BJ1440:BM1440"/>
    <mergeCell ref="BN1440:BV1440"/>
    <mergeCell ref="AN1440:AO1440"/>
    <mergeCell ref="AP1440:AQ1440"/>
    <mergeCell ref="AR1440:AS1440"/>
    <mergeCell ref="AT1440:AU1440"/>
    <mergeCell ref="AV1440:AW1440"/>
    <mergeCell ref="AX1440:AZ1440"/>
    <mergeCell ref="BA1440:BB1440"/>
    <mergeCell ref="B1440:C1440"/>
    <mergeCell ref="D1440:E1440"/>
    <mergeCell ref="F1440:G1440"/>
    <mergeCell ref="H1440:I1440"/>
    <mergeCell ref="P1440:Q1440"/>
    <mergeCell ref="R1440:S1440"/>
    <mergeCell ref="T1440:U1440"/>
    <mergeCell ref="B1437:C1437"/>
    <mergeCell ref="D1437:E1437"/>
    <mergeCell ref="F1437:G1437"/>
    <mergeCell ref="H1437:I1437"/>
    <mergeCell ref="J1437:K1437"/>
    <mergeCell ref="L1441:M1441"/>
    <mergeCell ref="P1441:Q1441"/>
    <mergeCell ref="AX1441:AZ1441"/>
    <mergeCell ref="BA1441:BB1441"/>
    <mergeCell ref="BD1441:BE1441"/>
    <mergeCell ref="BF1441:BI1441"/>
    <mergeCell ref="BJ1441:BM1441"/>
    <mergeCell ref="BN1441:BV1441"/>
    <mergeCell ref="AJ1439:AK1439"/>
    <mergeCell ref="AL1439:AM1439"/>
    <mergeCell ref="AN1441:AO1441"/>
    <mergeCell ref="AP1441:AQ1441"/>
    <mergeCell ref="AR1441:AS1441"/>
    <mergeCell ref="AT1441:AU1441"/>
    <mergeCell ref="AV1441:AW1441"/>
    <mergeCell ref="R1441:S1441"/>
    <mergeCell ref="T1441:U1441"/>
    <mergeCell ref="V1441:W1441"/>
    <mergeCell ref="X1441:AA1441"/>
    <mergeCell ref="AB1441:AE1441"/>
    <mergeCell ref="AF1441:AG1441"/>
    <mergeCell ref="AH1441:AI1441"/>
    <mergeCell ref="AJ1441:AK1441"/>
    <mergeCell ref="AL1441:AM1441"/>
    <mergeCell ref="V1438:W1438"/>
    <mergeCell ref="X1438:AA1438"/>
    <mergeCell ref="AB1438:AE1438"/>
    <mergeCell ref="AF1438:AG1438"/>
    <mergeCell ref="AH1438:AI1438"/>
    <mergeCell ref="AJ1438:AK1438"/>
    <mergeCell ref="AL1438:AM1438"/>
    <mergeCell ref="BD1438:BE1438"/>
    <mergeCell ref="BF1438:BI1438"/>
    <mergeCell ref="BJ1438:BM1438"/>
    <mergeCell ref="BN1438:BV1438"/>
    <mergeCell ref="AN1438:AO1438"/>
    <mergeCell ref="AP1438:AQ1438"/>
    <mergeCell ref="AR1438:AS1438"/>
    <mergeCell ref="AT1438:AU1438"/>
    <mergeCell ref="AV1438:AW1438"/>
    <mergeCell ref="AX1438:AZ1438"/>
    <mergeCell ref="BA1438:BB1438"/>
    <mergeCell ref="B1438:C1438"/>
    <mergeCell ref="D1438:E1438"/>
    <mergeCell ref="F1438:G1438"/>
    <mergeCell ref="H1438:I1438"/>
    <mergeCell ref="P1438:Q1438"/>
    <mergeCell ref="R1438:S1438"/>
    <mergeCell ref="T1446:U1446"/>
    <mergeCell ref="B1443:C1443"/>
    <mergeCell ref="D1443:E1443"/>
    <mergeCell ref="F1443:G1443"/>
    <mergeCell ref="H1443:I1443"/>
    <mergeCell ref="J1443:K1443"/>
    <mergeCell ref="L1443:M1443"/>
    <mergeCell ref="P1443:Q1443"/>
    <mergeCell ref="AX1443:AZ1443"/>
    <mergeCell ref="BA1443:BB1443"/>
    <mergeCell ref="BD1443:BE1443"/>
    <mergeCell ref="BF1443:BI1443"/>
    <mergeCell ref="BJ1443:BM1443"/>
    <mergeCell ref="BN1443:BV1443"/>
    <mergeCell ref="AN1443:AO1443"/>
    <mergeCell ref="AP1443:AQ1443"/>
    <mergeCell ref="AR1443:AS1443"/>
    <mergeCell ref="AT1443:AU1443"/>
    <mergeCell ref="AV1443:AW1443"/>
    <mergeCell ref="R1443:S1443"/>
    <mergeCell ref="T1443:U1443"/>
    <mergeCell ref="V1443:W1443"/>
    <mergeCell ref="X1443:AA1443"/>
    <mergeCell ref="AB1443:AE1443"/>
    <mergeCell ref="AF1443:AG1443"/>
    <mergeCell ref="AH1443:AI1443"/>
    <mergeCell ref="V1444:W1444"/>
    <mergeCell ref="X1444:AA1444"/>
    <mergeCell ref="AB1444:AE1444"/>
    <mergeCell ref="AF1444:AG1444"/>
    <mergeCell ref="AH1444:AI1444"/>
    <mergeCell ref="AJ1444:AK1444"/>
    <mergeCell ref="AL1444:AM1444"/>
    <mergeCell ref="BD1444:BE1444"/>
    <mergeCell ref="BF1444:BI1444"/>
    <mergeCell ref="BJ1444:BM1444"/>
    <mergeCell ref="BN1444:BV1444"/>
    <mergeCell ref="AN1444:AO1444"/>
    <mergeCell ref="AP1444:AQ1444"/>
    <mergeCell ref="AR1444:AS1444"/>
    <mergeCell ref="AT1444:AU1444"/>
    <mergeCell ref="AV1444:AW1444"/>
    <mergeCell ref="AX1444:AZ1444"/>
    <mergeCell ref="BA1444:BB1444"/>
    <mergeCell ref="B1444:C1444"/>
    <mergeCell ref="D1444:E1444"/>
    <mergeCell ref="F1444:G1444"/>
    <mergeCell ref="H1444:I1444"/>
    <mergeCell ref="P1444:Q1444"/>
    <mergeCell ref="R1444:S1444"/>
    <mergeCell ref="T1444:U1444"/>
    <mergeCell ref="B1441:C1441"/>
    <mergeCell ref="D1441:E1441"/>
    <mergeCell ref="F1441:G1441"/>
    <mergeCell ref="H1441:I1441"/>
    <mergeCell ref="J1441:K1441"/>
    <mergeCell ref="L1445:M1445"/>
    <mergeCell ref="P1445:Q1445"/>
    <mergeCell ref="AX1445:AZ1445"/>
    <mergeCell ref="BA1445:BB1445"/>
    <mergeCell ref="BD1445:BE1445"/>
    <mergeCell ref="BF1445:BI1445"/>
    <mergeCell ref="BJ1445:BM1445"/>
    <mergeCell ref="BN1445:BV1445"/>
    <mergeCell ref="AJ1443:AK1443"/>
    <mergeCell ref="AL1443:AM1443"/>
    <mergeCell ref="AN1445:AO1445"/>
    <mergeCell ref="AP1445:AQ1445"/>
    <mergeCell ref="AR1445:AS1445"/>
    <mergeCell ref="AT1445:AU1445"/>
    <mergeCell ref="AV1445:AW1445"/>
    <mergeCell ref="R1445:S1445"/>
    <mergeCell ref="T1445:U1445"/>
    <mergeCell ref="V1445:W1445"/>
    <mergeCell ref="X1445:AA1445"/>
    <mergeCell ref="AB1445:AE1445"/>
    <mergeCell ref="AF1445:AG1445"/>
    <mergeCell ref="AH1445:AI1445"/>
    <mergeCell ref="AJ1445:AK1445"/>
    <mergeCell ref="AL1445:AM1445"/>
    <mergeCell ref="V1442:W1442"/>
    <mergeCell ref="X1442:AA1442"/>
    <mergeCell ref="AB1442:AE1442"/>
    <mergeCell ref="AF1442:AG1442"/>
    <mergeCell ref="AH1442:AI1442"/>
    <mergeCell ref="AJ1442:AK1442"/>
    <mergeCell ref="AL1442:AM1442"/>
    <mergeCell ref="BD1442:BE1442"/>
    <mergeCell ref="BF1442:BI1442"/>
    <mergeCell ref="BJ1442:BM1442"/>
    <mergeCell ref="BN1442:BV1442"/>
    <mergeCell ref="AN1442:AO1442"/>
    <mergeCell ref="AP1442:AQ1442"/>
    <mergeCell ref="AR1442:AS1442"/>
    <mergeCell ref="AT1442:AU1442"/>
    <mergeCell ref="AV1442:AW1442"/>
    <mergeCell ref="AX1442:AZ1442"/>
    <mergeCell ref="BA1442:BB1442"/>
    <mergeCell ref="B1442:C1442"/>
    <mergeCell ref="D1442:E1442"/>
    <mergeCell ref="F1442:G1442"/>
    <mergeCell ref="H1442:I1442"/>
    <mergeCell ref="P1442:Q1442"/>
    <mergeCell ref="R1442:S1442"/>
    <mergeCell ref="T1450:U1450"/>
    <mergeCell ref="B1447:C1447"/>
    <mergeCell ref="D1447:E1447"/>
    <mergeCell ref="F1447:G1447"/>
    <mergeCell ref="H1447:I1447"/>
    <mergeCell ref="J1447:K1447"/>
    <mergeCell ref="L1447:M1447"/>
    <mergeCell ref="P1447:Q1447"/>
    <mergeCell ref="AX1447:AZ1447"/>
    <mergeCell ref="BA1447:BB1447"/>
    <mergeCell ref="BD1447:BE1447"/>
    <mergeCell ref="BF1447:BI1447"/>
    <mergeCell ref="BJ1447:BM1447"/>
    <mergeCell ref="BN1447:BV1447"/>
    <mergeCell ref="AN1447:AO1447"/>
    <mergeCell ref="AP1447:AQ1447"/>
    <mergeCell ref="AR1447:AS1447"/>
    <mergeCell ref="AT1447:AU1447"/>
    <mergeCell ref="AV1447:AW1447"/>
    <mergeCell ref="R1447:S1447"/>
    <mergeCell ref="T1447:U1447"/>
    <mergeCell ref="V1447:W1447"/>
    <mergeCell ref="X1447:AA1447"/>
    <mergeCell ref="AB1447:AE1447"/>
    <mergeCell ref="AF1447:AG1447"/>
    <mergeCell ref="AH1447:AI1447"/>
    <mergeCell ref="V1448:W1448"/>
    <mergeCell ref="X1448:AA1448"/>
    <mergeCell ref="AB1448:AE1448"/>
    <mergeCell ref="AF1448:AG1448"/>
    <mergeCell ref="AH1448:AI1448"/>
    <mergeCell ref="AJ1448:AK1448"/>
    <mergeCell ref="AL1448:AM1448"/>
    <mergeCell ref="BD1448:BE1448"/>
    <mergeCell ref="BF1448:BI1448"/>
    <mergeCell ref="BJ1448:BM1448"/>
    <mergeCell ref="BN1448:BV1448"/>
    <mergeCell ref="AN1448:AO1448"/>
    <mergeCell ref="AP1448:AQ1448"/>
    <mergeCell ref="AR1448:AS1448"/>
    <mergeCell ref="AT1448:AU1448"/>
    <mergeCell ref="AV1448:AW1448"/>
    <mergeCell ref="AX1448:AZ1448"/>
    <mergeCell ref="BA1448:BB1448"/>
    <mergeCell ref="B1448:C1448"/>
    <mergeCell ref="D1448:E1448"/>
    <mergeCell ref="F1448:G1448"/>
    <mergeCell ref="H1448:I1448"/>
    <mergeCell ref="P1448:Q1448"/>
    <mergeCell ref="R1448:S1448"/>
    <mergeCell ref="T1448:U1448"/>
    <mergeCell ref="B1445:C1445"/>
    <mergeCell ref="D1445:E1445"/>
    <mergeCell ref="F1445:G1445"/>
    <mergeCell ref="H1445:I1445"/>
    <mergeCell ref="J1445:K1445"/>
    <mergeCell ref="L1449:M1449"/>
    <mergeCell ref="P1449:Q1449"/>
    <mergeCell ref="AX1449:AZ1449"/>
    <mergeCell ref="BA1449:BB1449"/>
    <mergeCell ref="BD1449:BE1449"/>
    <mergeCell ref="BF1449:BI1449"/>
    <mergeCell ref="BJ1449:BM1449"/>
    <mergeCell ref="BN1449:BV1449"/>
    <mergeCell ref="AJ1447:AK1447"/>
    <mergeCell ref="AL1447:AM1447"/>
    <mergeCell ref="AN1449:AO1449"/>
    <mergeCell ref="AP1449:AQ1449"/>
    <mergeCell ref="AR1449:AS1449"/>
    <mergeCell ref="AT1449:AU1449"/>
    <mergeCell ref="AV1449:AW1449"/>
    <mergeCell ref="R1449:S1449"/>
    <mergeCell ref="T1449:U1449"/>
    <mergeCell ref="V1449:W1449"/>
    <mergeCell ref="X1449:AA1449"/>
    <mergeCell ref="AB1449:AE1449"/>
    <mergeCell ref="AF1449:AG1449"/>
    <mergeCell ref="AH1449:AI1449"/>
    <mergeCell ref="AJ1449:AK1449"/>
    <mergeCell ref="AL1449:AM1449"/>
    <mergeCell ref="V1446:W1446"/>
    <mergeCell ref="X1446:AA1446"/>
    <mergeCell ref="AB1446:AE1446"/>
    <mergeCell ref="AF1446:AG1446"/>
    <mergeCell ref="AH1446:AI1446"/>
    <mergeCell ref="AJ1446:AK1446"/>
    <mergeCell ref="AL1446:AM1446"/>
    <mergeCell ref="BD1446:BE1446"/>
    <mergeCell ref="BF1446:BI1446"/>
    <mergeCell ref="BJ1446:BM1446"/>
    <mergeCell ref="BN1446:BV1446"/>
    <mergeCell ref="AN1446:AO1446"/>
    <mergeCell ref="AP1446:AQ1446"/>
    <mergeCell ref="AR1446:AS1446"/>
    <mergeCell ref="AT1446:AU1446"/>
    <mergeCell ref="AV1446:AW1446"/>
    <mergeCell ref="AX1446:AZ1446"/>
    <mergeCell ref="BA1446:BB1446"/>
    <mergeCell ref="B1446:C1446"/>
    <mergeCell ref="D1446:E1446"/>
    <mergeCell ref="F1446:G1446"/>
    <mergeCell ref="H1446:I1446"/>
    <mergeCell ref="P1446:Q1446"/>
    <mergeCell ref="R1446:S1446"/>
    <mergeCell ref="T1454:U1454"/>
    <mergeCell ref="B1451:C1451"/>
    <mergeCell ref="D1451:E1451"/>
    <mergeCell ref="F1451:G1451"/>
    <mergeCell ref="H1451:I1451"/>
    <mergeCell ref="J1451:K1451"/>
    <mergeCell ref="L1451:M1451"/>
    <mergeCell ref="P1451:Q1451"/>
    <mergeCell ref="AX1451:AZ1451"/>
    <mergeCell ref="BA1451:BB1451"/>
    <mergeCell ref="BD1451:BE1451"/>
    <mergeCell ref="BF1451:BI1451"/>
    <mergeCell ref="BJ1451:BM1451"/>
    <mergeCell ref="BN1451:BV1451"/>
    <mergeCell ref="AN1451:AO1451"/>
    <mergeCell ref="AP1451:AQ1451"/>
    <mergeCell ref="AR1451:AS1451"/>
    <mergeCell ref="AT1451:AU1451"/>
    <mergeCell ref="AV1451:AW1451"/>
    <mergeCell ref="R1451:S1451"/>
    <mergeCell ref="T1451:U1451"/>
    <mergeCell ref="V1451:W1451"/>
    <mergeCell ref="X1451:AA1451"/>
    <mergeCell ref="AB1451:AE1451"/>
    <mergeCell ref="AF1451:AG1451"/>
    <mergeCell ref="AH1451:AI1451"/>
    <mergeCell ref="V1452:W1452"/>
    <mergeCell ref="X1452:AA1452"/>
    <mergeCell ref="AB1452:AE1452"/>
    <mergeCell ref="AF1452:AG1452"/>
    <mergeCell ref="AH1452:AI1452"/>
    <mergeCell ref="AJ1452:AK1452"/>
    <mergeCell ref="AL1452:AM1452"/>
    <mergeCell ref="BD1452:BE1452"/>
    <mergeCell ref="BF1452:BI1452"/>
    <mergeCell ref="BJ1452:BM1452"/>
    <mergeCell ref="BN1452:BV1452"/>
    <mergeCell ref="AN1452:AO1452"/>
    <mergeCell ref="AP1452:AQ1452"/>
    <mergeCell ref="AR1452:AS1452"/>
    <mergeCell ref="AT1452:AU1452"/>
    <mergeCell ref="AV1452:AW1452"/>
    <mergeCell ref="AX1452:AZ1452"/>
    <mergeCell ref="BA1452:BB1452"/>
    <mergeCell ref="B1452:C1452"/>
    <mergeCell ref="D1452:E1452"/>
    <mergeCell ref="F1452:G1452"/>
    <mergeCell ref="H1452:I1452"/>
    <mergeCell ref="P1452:Q1452"/>
    <mergeCell ref="R1452:S1452"/>
    <mergeCell ref="T1452:U1452"/>
    <mergeCell ref="B1449:C1449"/>
    <mergeCell ref="D1449:E1449"/>
    <mergeCell ref="F1449:G1449"/>
    <mergeCell ref="H1449:I1449"/>
    <mergeCell ref="J1449:K1449"/>
    <mergeCell ref="L1453:M1453"/>
    <mergeCell ref="P1453:Q1453"/>
    <mergeCell ref="AX1453:AZ1453"/>
    <mergeCell ref="BA1453:BB1453"/>
    <mergeCell ref="BD1453:BE1453"/>
    <mergeCell ref="BF1453:BI1453"/>
    <mergeCell ref="BJ1453:BM1453"/>
    <mergeCell ref="BN1453:BV1453"/>
    <mergeCell ref="AJ1451:AK1451"/>
    <mergeCell ref="AL1451:AM1451"/>
    <mergeCell ref="AN1453:AO1453"/>
    <mergeCell ref="AP1453:AQ1453"/>
    <mergeCell ref="AR1453:AS1453"/>
    <mergeCell ref="AT1453:AU1453"/>
    <mergeCell ref="AV1453:AW1453"/>
    <mergeCell ref="R1453:S1453"/>
    <mergeCell ref="T1453:U1453"/>
    <mergeCell ref="V1453:W1453"/>
    <mergeCell ref="X1453:AA1453"/>
    <mergeCell ref="AB1453:AE1453"/>
    <mergeCell ref="AF1453:AG1453"/>
    <mergeCell ref="AH1453:AI1453"/>
    <mergeCell ref="AJ1453:AK1453"/>
    <mergeCell ref="AL1453:AM1453"/>
    <mergeCell ref="V1450:W1450"/>
    <mergeCell ref="X1450:AA1450"/>
    <mergeCell ref="AB1450:AE1450"/>
    <mergeCell ref="AF1450:AG1450"/>
    <mergeCell ref="AH1450:AI1450"/>
    <mergeCell ref="AJ1450:AK1450"/>
    <mergeCell ref="AL1450:AM1450"/>
    <mergeCell ref="BD1450:BE1450"/>
    <mergeCell ref="BF1450:BI1450"/>
    <mergeCell ref="BJ1450:BM1450"/>
    <mergeCell ref="BN1450:BV1450"/>
    <mergeCell ref="AN1450:AO1450"/>
    <mergeCell ref="AP1450:AQ1450"/>
    <mergeCell ref="AR1450:AS1450"/>
    <mergeCell ref="AT1450:AU1450"/>
    <mergeCell ref="AV1450:AW1450"/>
    <mergeCell ref="AX1450:AZ1450"/>
    <mergeCell ref="BA1450:BB1450"/>
    <mergeCell ref="B1450:C1450"/>
    <mergeCell ref="D1450:E1450"/>
    <mergeCell ref="F1450:G1450"/>
    <mergeCell ref="H1450:I1450"/>
    <mergeCell ref="P1450:Q1450"/>
    <mergeCell ref="R1450:S1450"/>
    <mergeCell ref="T1458:U1458"/>
    <mergeCell ref="B1455:C1455"/>
    <mergeCell ref="D1455:E1455"/>
    <mergeCell ref="F1455:G1455"/>
    <mergeCell ref="H1455:I1455"/>
    <mergeCell ref="J1455:K1455"/>
    <mergeCell ref="L1455:M1455"/>
    <mergeCell ref="P1455:Q1455"/>
    <mergeCell ref="AX1455:AZ1455"/>
    <mergeCell ref="BA1455:BB1455"/>
    <mergeCell ref="BD1455:BE1455"/>
    <mergeCell ref="BF1455:BI1455"/>
    <mergeCell ref="BJ1455:BM1455"/>
    <mergeCell ref="BN1455:BV1455"/>
    <mergeCell ref="AN1455:AO1455"/>
    <mergeCell ref="AP1455:AQ1455"/>
    <mergeCell ref="AR1455:AS1455"/>
    <mergeCell ref="AT1455:AU1455"/>
    <mergeCell ref="AV1455:AW1455"/>
    <mergeCell ref="R1455:S1455"/>
    <mergeCell ref="T1455:U1455"/>
    <mergeCell ref="V1455:W1455"/>
    <mergeCell ref="X1455:AA1455"/>
    <mergeCell ref="AB1455:AE1455"/>
    <mergeCell ref="AF1455:AG1455"/>
    <mergeCell ref="AH1455:AI1455"/>
    <mergeCell ref="V1456:W1456"/>
    <mergeCell ref="X1456:AA1456"/>
    <mergeCell ref="AB1456:AE1456"/>
    <mergeCell ref="AF1456:AG1456"/>
    <mergeCell ref="AH1456:AI1456"/>
    <mergeCell ref="AJ1456:AK1456"/>
    <mergeCell ref="AL1456:AM1456"/>
    <mergeCell ref="BD1456:BE1456"/>
    <mergeCell ref="BF1456:BI1456"/>
    <mergeCell ref="BJ1456:BM1456"/>
    <mergeCell ref="BN1456:BV1456"/>
    <mergeCell ref="AN1456:AO1456"/>
    <mergeCell ref="AP1456:AQ1456"/>
    <mergeCell ref="AR1456:AS1456"/>
    <mergeCell ref="AT1456:AU1456"/>
    <mergeCell ref="AV1456:AW1456"/>
    <mergeCell ref="AX1456:AZ1456"/>
    <mergeCell ref="BA1456:BB1456"/>
    <mergeCell ref="B1456:C1456"/>
    <mergeCell ref="D1456:E1456"/>
    <mergeCell ref="F1456:G1456"/>
    <mergeCell ref="H1456:I1456"/>
    <mergeCell ref="P1456:Q1456"/>
    <mergeCell ref="R1456:S1456"/>
    <mergeCell ref="T1456:U1456"/>
    <mergeCell ref="B1453:C1453"/>
    <mergeCell ref="D1453:E1453"/>
    <mergeCell ref="F1453:G1453"/>
    <mergeCell ref="H1453:I1453"/>
    <mergeCell ref="J1453:K1453"/>
    <mergeCell ref="L1457:M1457"/>
    <mergeCell ref="P1457:Q1457"/>
    <mergeCell ref="AX1457:AZ1457"/>
    <mergeCell ref="BA1457:BB1457"/>
    <mergeCell ref="BD1457:BE1457"/>
    <mergeCell ref="BF1457:BI1457"/>
    <mergeCell ref="BJ1457:BM1457"/>
    <mergeCell ref="BN1457:BV1457"/>
    <mergeCell ref="AJ1455:AK1455"/>
    <mergeCell ref="AL1455:AM1455"/>
    <mergeCell ref="AN1457:AO1457"/>
    <mergeCell ref="AP1457:AQ1457"/>
    <mergeCell ref="AR1457:AS1457"/>
    <mergeCell ref="AT1457:AU1457"/>
    <mergeCell ref="AV1457:AW1457"/>
    <mergeCell ref="R1457:S1457"/>
    <mergeCell ref="T1457:U1457"/>
    <mergeCell ref="V1457:W1457"/>
    <mergeCell ref="X1457:AA1457"/>
    <mergeCell ref="AB1457:AE1457"/>
    <mergeCell ref="AF1457:AG1457"/>
    <mergeCell ref="AH1457:AI1457"/>
    <mergeCell ref="AJ1457:AK1457"/>
    <mergeCell ref="AL1457:AM1457"/>
    <mergeCell ref="V1454:W1454"/>
    <mergeCell ref="X1454:AA1454"/>
    <mergeCell ref="AB1454:AE1454"/>
    <mergeCell ref="AF1454:AG1454"/>
    <mergeCell ref="AH1454:AI1454"/>
    <mergeCell ref="AJ1454:AK1454"/>
    <mergeCell ref="AL1454:AM1454"/>
    <mergeCell ref="BD1454:BE1454"/>
    <mergeCell ref="BF1454:BI1454"/>
    <mergeCell ref="BJ1454:BM1454"/>
    <mergeCell ref="BN1454:BV1454"/>
    <mergeCell ref="AN1454:AO1454"/>
    <mergeCell ref="AP1454:AQ1454"/>
    <mergeCell ref="AR1454:AS1454"/>
    <mergeCell ref="AT1454:AU1454"/>
    <mergeCell ref="AV1454:AW1454"/>
    <mergeCell ref="AX1454:AZ1454"/>
    <mergeCell ref="BA1454:BB1454"/>
    <mergeCell ref="B1454:C1454"/>
    <mergeCell ref="D1454:E1454"/>
    <mergeCell ref="F1454:G1454"/>
    <mergeCell ref="H1454:I1454"/>
    <mergeCell ref="P1454:Q1454"/>
    <mergeCell ref="R1454:S1454"/>
    <mergeCell ref="T1462:U1462"/>
    <mergeCell ref="B1459:C1459"/>
    <mergeCell ref="D1459:E1459"/>
    <mergeCell ref="F1459:G1459"/>
    <mergeCell ref="H1459:I1459"/>
    <mergeCell ref="J1459:K1459"/>
    <mergeCell ref="L1459:M1459"/>
    <mergeCell ref="P1459:Q1459"/>
    <mergeCell ref="AX1459:AZ1459"/>
    <mergeCell ref="BA1459:BB1459"/>
    <mergeCell ref="BD1459:BE1459"/>
    <mergeCell ref="BF1459:BI1459"/>
    <mergeCell ref="BJ1459:BM1459"/>
    <mergeCell ref="BN1459:BV1459"/>
    <mergeCell ref="AN1459:AO1459"/>
    <mergeCell ref="AP1459:AQ1459"/>
    <mergeCell ref="AR1459:AS1459"/>
    <mergeCell ref="AT1459:AU1459"/>
    <mergeCell ref="AV1459:AW1459"/>
    <mergeCell ref="R1459:S1459"/>
    <mergeCell ref="T1459:U1459"/>
    <mergeCell ref="V1459:W1459"/>
    <mergeCell ref="X1459:AA1459"/>
    <mergeCell ref="AB1459:AE1459"/>
    <mergeCell ref="AF1459:AG1459"/>
    <mergeCell ref="AH1459:AI1459"/>
    <mergeCell ref="V1460:W1460"/>
    <mergeCell ref="X1460:AA1460"/>
    <mergeCell ref="AB1460:AE1460"/>
    <mergeCell ref="AF1460:AG1460"/>
    <mergeCell ref="AH1460:AI1460"/>
    <mergeCell ref="AJ1460:AK1460"/>
    <mergeCell ref="AL1460:AM1460"/>
    <mergeCell ref="BD1460:BE1460"/>
    <mergeCell ref="BF1460:BI1460"/>
    <mergeCell ref="BJ1460:BM1460"/>
    <mergeCell ref="BN1460:BV1460"/>
    <mergeCell ref="AN1460:AO1460"/>
    <mergeCell ref="AP1460:AQ1460"/>
    <mergeCell ref="AR1460:AS1460"/>
    <mergeCell ref="AT1460:AU1460"/>
    <mergeCell ref="AV1460:AW1460"/>
    <mergeCell ref="AX1460:AZ1460"/>
    <mergeCell ref="BA1460:BB1460"/>
    <mergeCell ref="B1460:C1460"/>
    <mergeCell ref="D1460:E1460"/>
    <mergeCell ref="F1460:G1460"/>
    <mergeCell ref="H1460:I1460"/>
    <mergeCell ref="P1460:Q1460"/>
    <mergeCell ref="R1460:S1460"/>
    <mergeCell ref="T1460:U1460"/>
    <mergeCell ref="B1457:C1457"/>
    <mergeCell ref="D1457:E1457"/>
    <mergeCell ref="F1457:G1457"/>
    <mergeCell ref="H1457:I1457"/>
    <mergeCell ref="J1457:K1457"/>
    <mergeCell ref="L1461:M1461"/>
    <mergeCell ref="P1461:Q1461"/>
    <mergeCell ref="AX1461:AZ1461"/>
    <mergeCell ref="BA1461:BB1461"/>
    <mergeCell ref="BD1461:BE1461"/>
    <mergeCell ref="BF1461:BI1461"/>
    <mergeCell ref="BJ1461:BM1461"/>
    <mergeCell ref="BN1461:BV1461"/>
    <mergeCell ref="AJ1459:AK1459"/>
    <mergeCell ref="AL1459:AM1459"/>
    <mergeCell ref="AN1461:AO1461"/>
    <mergeCell ref="AP1461:AQ1461"/>
    <mergeCell ref="AR1461:AS1461"/>
    <mergeCell ref="AT1461:AU1461"/>
    <mergeCell ref="AV1461:AW1461"/>
    <mergeCell ref="R1461:S1461"/>
    <mergeCell ref="T1461:U1461"/>
    <mergeCell ref="V1461:W1461"/>
    <mergeCell ref="X1461:AA1461"/>
    <mergeCell ref="AB1461:AE1461"/>
    <mergeCell ref="AF1461:AG1461"/>
    <mergeCell ref="AH1461:AI1461"/>
    <mergeCell ref="AJ1461:AK1461"/>
    <mergeCell ref="AL1461:AM1461"/>
    <mergeCell ref="V1458:W1458"/>
    <mergeCell ref="X1458:AA1458"/>
    <mergeCell ref="AB1458:AE1458"/>
    <mergeCell ref="AF1458:AG1458"/>
    <mergeCell ref="AH1458:AI1458"/>
    <mergeCell ref="AJ1458:AK1458"/>
    <mergeCell ref="AL1458:AM1458"/>
    <mergeCell ref="BD1458:BE1458"/>
    <mergeCell ref="BF1458:BI1458"/>
    <mergeCell ref="BJ1458:BM1458"/>
    <mergeCell ref="BN1458:BV1458"/>
    <mergeCell ref="AN1458:AO1458"/>
    <mergeCell ref="AP1458:AQ1458"/>
    <mergeCell ref="AR1458:AS1458"/>
    <mergeCell ref="AT1458:AU1458"/>
    <mergeCell ref="AV1458:AW1458"/>
    <mergeCell ref="AX1458:AZ1458"/>
    <mergeCell ref="BA1458:BB1458"/>
    <mergeCell ref="B1458:C1458"/>
    <mergeCell ref="D1458:E1458"/>
    <mergeCell ref="F1458:G1458"/>
    <mergeCell ref="H1458:I1458"/>
    <mergeCell ref="P1458:Q1458"/>
    <mergeCell ref="R1458:S1458"/>
    <mergeCell ref="T1466:U1466"/>
    <mergeCell ref="B1463:C1463"/>
    <mergeCell ref="D1463:E1463"/>
    <mergeCell ref="F1463:G1463"/>
    <mergeCell ref="H1463:I1463"/>
    <mergeCell ref="J1463:K1463"/>
    <mergeCell ref="L1463:M1463"/>
    <mergeCell ref="P1463:Q1463"/>
    <mergeCell ref="AX1463:AZ1463"/>
    <mergeCell ref="BA1463:BB1463"/>
    <mergeCell ref="BD1463:BE1463"/>
    <mergeCell ref="BF1463:BI1463"/>
    <mergeCell ref="BJ1463:BM1463"/>
    <mergeCell ref="BN1463:BV1463"/>
    <mergeCell ref="AN1463:AO1463"/>
    <mergeCell ref="AP1463:AQ1463"/>
    <mergeCell ref="AR1463:AS1463"/>
    <mergeCell ref="AT1463:AU1463"/>
    <mergeCell ref="AV1463:AW1463"/>
    <mergeCell ref="R1463:S1463"/>
    <mergeCell ref="T1463:U1463"/>
    <mergeCell ref="V1463:W1463"/>
    <mergeCell ref="X1463:AA1463"/>
    <mergeCell ref="AB1463:AE1463"/>
    <mergeCell ref="AF1463:AG1463"/>
    <mergeCell ref="AH1463:AI1463"/>
    <mergeCell ref="V1464:W1464"/>
    <mergeCell ref="X1464:AA1464"/>
    <mergeCell ref="AB1464:AE1464"/>
    <mergeCell ref="AF1464:AG1464"/>
    <mergeCell ref="AH1464:AI1464"/>
    <mergeCell ref="AJ1464:AK1464"/>
    <mergeCell ref="AL1464:AM1464"/>
    <mergeCell ref="BD1464:BE1464"/>
    <mergeCell ref="BF1464:BI1464"/>
    <mergeCell ref="BJ1464:BM1464"/>
    <mergeCell ref="BN1464:BV1464"/>
    <mergeCell ref="AN1464:AO1464"/>
    <mergeCell ref="AP1464:AQ1464"/>
    <mergeCell ref="AR1464:AS1464"/>
    <mergeCell ref="AT1464:AU1464"/>
    <mergeCell ref="AV1464:AW1464"/>
    <mergeCell ref="AX1464:AZ1464"/>
    <mergeCell ref="BA1464:BB1464"/>
    <mergeCell ref="B1464:C1464"/>
    <mergeCell ref="D1464:E1464"/>
    <mergeCell ref="F1464:G1464"/>
    <mergeCell ref="H1464:I1464"/>
    <mergeCell ref="P1464:Q1464"/>
    <mergeCell ref="R1464:S1464"/>
    <mergeCell ref="T1464:U1464"/>
    <mergeCell ref="B1461:C1461"/>
    <mergeCell ref="D1461:E1461"/>
    <mergeCell ref="F1461:G1461"/>
    <mergeCell ref="H1461:I1461"/>
    <mergeCell ref="J1461:K1461"/>
    <mergeCell ref="L1465:M1465"/>
    <mergeCell ref="P1465:Q1465"/>
    <mergeCell ref="AX1465:AZ1465"/>
    <mergeCell ref="BA1465:BB1465"/>
    <mergeCell ref="BD1465:BE1465"/>
    <mergeCell ref="BF1465:BI1465"/>
    <mergeCell ref="BJ1465:BM1465"/>
    <mergeCell ref="BN1465:BV1465"/>
    <mergeCell ref="AJ1463:AK1463"/>
    <mergeCell ref="AL1463:AM1463"/>
    <mergeCell ref="AN1465:AO1465"/>
    <mergeCell ref="AP1465:AQ1465"/>
    <mergeCell ref="AR1465:AS1465"/>
    <mergeCell ref="AT1465:AU1465"/>
    <mergeCell ref="AV1465:AW1465"/>
    <mergeCell ref="R1465:S1465"/>
    <mergeCell ref="T1465:U1465"/>
    <mergeCell ref="V1465:W1465"/>
    <mergeCell ref="X1465:AA1465"/>
    <mergeCell ref="AB1465:AE1465"/>
    <mergeCell ref="AF1465:AG1465"/>
    <mergeCell ref="AH1465:AI1465"/>
    <mergeCell ref="AJ1465:AK1465"/>
    <mergeCell ref="AL1465:AM1465"/>
    <mergeCell ref="V1462:W1462"/>
    <mergeCell ref="X1462:AA1462"/>
    <mergeCell ref="AB1462:AE1462"/>
    <mergeCell ref="AF1462:AG1462"/>
    <mergeCell ref="AH1462:AI1462"/>
    <mergeCell ref="AJ1462:AK1462"/>
    <mergeCell ref="AL1462:AM1462"/>
    <mergeCell ref="BD1462:BE1462"/>
    <mergeCell ref="BF1462:BI1462"/>
    <mergeCell ref="BJ1462:BM1462"/>
    <mergeCell ref="BN1462:BV1462"/>
    <mergeCell ref="AN1462:AO1462"/>
    <mergeCell ref="AP1462:AQ1462"/>
    <mergeCell ref="AR1462:AS1462"/>
    <mergeCell ref="AT1462:AU1462"/>
    <mergeCell ref="AV1462:AW1462"/>
    <mergeCell ref="AX1462:AZ1462"/>
    <mergeCell ref="BA1462:BB1462"/>
    <mergeCell ref="B1462:C1462"/>
    <mergeCell ref="D1462:E1462"/>
    <mergeCell ref="F1462:G1462"/>
    <mergeCell ref="H1462:I1462"/>
    <mergeCell ref="P1462:Q1462"/>
    <mergeCell ref="R1462:S1462"/>
    <mergeCell ref="T1470:U1470"/>
    <mergeCell ref="B1467:C1467"/>
    <mergeCell ref="D1467:E1467"/>
    <mergeCell ref="F1467:G1467"/>
    <mergeCell ref="H1467:I1467"/>
    <mergeCell ref="J1467:K1467"/>
    <mergeCell ref="L1467:M1467"/>
    <mergeCell ref="P1467:Q1467"/>
    <mergeCell ref="AX1467:AZ1467"/>
    <mergeCell ref="BA1467:BB1467"/>
    <mergeCell ref="BD1467:BE1467"/>
    <mergeCell ref="BF1467:BI1467"/>
    <mergeCell ref="BJ1467:BM1467"/>
    <mergeCell ref="BN1467:BV1467"/>
    <mergeCell ref="AN1467:AO1467"/>
    <mergeCell ref="AP1467:AQ1467"/>
    <mergeCell ref="AR1467:AS1467"/>
    <mergeCell ref="AT1467:AU1467"/>
    <mergeCell ref="AV1467:AW1467"/>
    <mergeCell ref="R1467:S1467"/>
    <mergeCell ref="T1467:U1467"/>
    <mergeCell ref="V1467:W1467"/>
    <mergeCell ref="X1467:AA1467"/>
    <mergeCell ref="AB1467:AE1467"/>
    <mergeCell ref="AF1467:AG1467"/>
    <mergeCell ref="AH1467:AI1467"/>
    <mergeCell ref="V1468:W1468"/>
    <mergeCell ref="X1468:AA1468"/>
    <mergeCell ref="AB1468:AE1468"/>
    <mergeCell ref="AF1468:AG1468"/>
    <mergeCell ref="AH1468:AI1468"/>
    <mergeCell ref="AJ1468:AK1468"/>
    <mergeCell ref="AL1468:AM1468"/>
    <mergeCell ref="BD1468:BE1468"/>
    <mergeCell ref="BF1468:BI1468"/>
    <mergeCell ref="BJ1468:BM1468"/>
    <mergeCell ref="BN1468:BV1468"/>
    <mergeCell ref="AN1468:AO1468"/>
    <mergeCell ref="AP1468:AQ1468"/>
    <mergeCell ref="AR1468:AS1468"/>
    <mergeCell ref="AT1468:AU1468"/>
    <mergeCell ref="AV1468:AW1468"/>
    <mergeCell ref="AX1468:AZ1468"/>
    <mergeCell ref="BA1468:BB1468"/>
    <mergeCell ref="B1468:C1468"/>
    <mergeCell ref="D1468:E1468"/>
    <mergeCell ref="F1468:G1468"/>
    <mergeCell ref="H1468:I1468"/>
    <mergeCell ref="P1468:Q1468"/>
    <mergeCell ref="R1468:S1468"/>
    <mergeCell ref="T1468:U1468"/>
    <mergeCell ref="B1465:C1465"/>
    <mergeCell ref="D1465:E1465"/>
    <mergeCell ref="F1465:G1465"/>
    <mergeCell ref="H1465:I1465"/>
    <mergeCell ref="J1465:K1465"/>
    <mergeCell ref="L1469:M1469"/>
    <mergeCell ref="P1469:Q1469"/>
    <mergeCell ref="AX1469:AZ1469"/>
    <mergeCell ref="BA1469:BB1469"/>
    <mergeCell ref="BD1469:BE1469"/>
    <mergeCell ref="BF1469:BI1469"/>
    <mergeCell ref="BJ1469:BM1469"/>
    <mergeCell ref="BN1469:BV1469"/>
    <mergeCell ref="AJ1467:AK1467"/>
    <mergeCell ref="AL1467:AM1467"/>
    <mergeCell ref="AN1469:AO1469"/>
    <mergeCell ref="AP1469:AQ1469"/>
    <mergeCell ref="AR1469:AS1469"/>
    <mergeCell ref="AT1469:AU1469"/>
    <mergeCell ref="AV1469:AW1469"/>
    <mergeCell ref="R1469:S1469"/>
    <mergeCell ref="T1469:U1469"/>
    <mergeCell ref="V1469:W1469"/>
    <mergeCell ref="X1469:AA1469"/>
    <mergeCell ref="AB1469:AE1469"/>
    <mergeCell ref="AF1469:AG1469"/>
    <mergeCell ref="AH1469:AI1469"/>
    <mergeCell ref="AJ1469:AK1469"/>
    <mergeCell ref="AL1469:AM1469"/>
    <mergeCell ref="V1466:W1466"/>
    <mergeCell ref="X1466:AA1466"/>
    <mergeCell ref="AB1466:AE1466"/>
    <mergeCell ref="AF1466:AG1466"/>
    <mergeCell ref="AH1466:AI1466"/>
    <mergeCell ref="AJ1466:AK1466"/>
    <mergeCell ref="AL1466:AM1466"/>
    <mergeCell ref="BD1466:BE1466"/>
    <mergeCell ref="BF1466:BI1466"/>
    <mergeCell ref="BJ1466:BM1466"/>
    <mergeCell ref="BN1466:BV1466"/>
    <mergeCell ref="AN1466:AO1466"/>
    <mergeCell ref="AP1466:AQ1466"/>
    <mergeCell ref="AR1466:AS1466"/>
    <mergeCell ref="AT1466:AU1466"/>
    <mergeCell ref="AV1466:AW1466"/>
    <mergeCell ref="AX1466:AZ1466"/>
    <mergeCell ref="BA1466:BB1466"/>
    <mergeCell ref="B1466:C1466"/>
    <mergeCell ref="D1466:E1466"/>
    <mergeCell ref="F1466:G1466"/>
    <mergeCell ref="H1466:I1466"/>
    <mergeCell ref="P1466:Q1466"/>
    <mergeCell ref="R1466:S1466"/>
    <mergeCell ref="T1474:U1474"/>
    <mergeCell ref="B1471:C1471"/>
    <mergeCell ref="D1471:E1471"/>
    <mergeCell ref="F1471:G1471"/>
    <mergeCell ref="H1471:I1471"/>
    <mergeCell ref="J1471:K1471"/>
    <mergeCell ref="L1471:M1471"/>
    <mergeCell ref="P1471:Q1471"/>
    <mergeCell ref="AX1471:AZ1471"/>
    <mergeCell ref="BA1471:BB1471"/>
    <mergeCell ref="BD1471:BE1471"/>
    <mergeCell ref="BF1471:BI1471"/>
    <mergeCell ref="BJ1471:BM1471"/>
    <mergeCell ref="BN1471:BV1471"/>
    <mergeCell ref="AN1471:AO1471"/>
    <mergeCell ref="AP1471:AQ1471"/>
    <mergeCell ref="AR1471:AS1471"/>
    <mergeCell ref="AT1471:AU1471"/>
    <mergeCell ref="AV1471:AW1471"/>
    <mergeCell ref="R1471:S1471"/>
    <mergeCell ref="T1471:U1471"/>
    <mergeCell ref="V1471:W1471"/>
    <mergeCell ref="X1471:AA1471"/>
    <mergeCell ref="AB1471:AE1471"/>
    <mergeCell ref="AF1471:AG1471"/>
    <mergeCell ref="AH1471:AI1471"/>
    <mergeCell ref="V1472:W1472"/>
    <mergeCell ref="X1472:AA1472"/>
    <mergeCell ref="AB1472:AE1472"/>
    <mergeCell ref="AF1472:AG1472"/>
    <mergeCell ref="AH1472:AI1472"/>
    <mergeCell ref="AJ1472:AK1472"/>
    <mergeCell ref="AL1472:AM1472"/>
    <mergeCell ref="BD1472:BE1472"/>
    <mergeCell ref="BF1472:BI1472"/>
    <mergeCell ref="BJ1472:BM1472"/>
    <mergeCell ref="BN1472:BV1472"/>
    <mergeCell ref="AN1472:AO1472"/>
    <mergeCell ref="AP1472:AQ1472"/>
    <mergeCell ref="AR1472:AS1472"/>
    <mergeCell ref="AT1472:AU1472"/>
    <mergeCell ref="AV1472:AW1472"/>
    <mergeCell ref="AX1472:AZ1472"/>
    <mergeCell ref="BA1472:BB1472"/>
    <mergeCell ref="B1472:C1472"/>
    <mergeCell ref="D1472:E1472"/>
    <mergeCell ref="F1472:G1472"/>
    <mergeCell ref="H1472:I1472"/>
    <mergeCell ref="P1472:Q1472"/>
    <mergeCell ref="R1472:S1472"/>
    <mergeCell ref="T1472:U1472"/>
    <mergeCell ref="B1469:C1469"/>
    <mergeCell ref="D1469:E1469"/>
    <mergeCell ref="F1469:G1469"/>
    <mergeCell ref="H1469:I1469"/>
    <mergeCell ref="J1469:K1469"/>
    <mergeCell ref="L1473:M1473"/>
    <mergeCell ref="P1473:Q1473"/>
    <mergeCell ref="AX1473:AZ1473"/>
    <mergeCell ref="BA1473:BB1473"/>
    <mergeCell ref="BD1473:BE1473"/>
    <mergeCell ref="BF1473:BI1473"/>
    <mergeCell ref="BJ1473:BM1473"/>
    <mergeCell ref="BN1473:BV1473"/>
    <mergeCell ref="AJ1471:AK1471"/>
    <mergeCell ref="AL1471:AM1471"/>
    <mergeCell ref="AN1473:AO1473"/>
    <mergeCell ref="AP1473:AQ1473"/>
    <mergeCell ref="AR1473:AS1473"/>
    <mergeCell ref="AT1473:AU1473"/>
    <mergeCell ref="AV1473:AW1473"/>
    <mergeCell ref="R1473:S1473"/>
    <mergeCell ref="T1473:U1473"/>
    <mergeCell ref="V1473:W1473"/>
    <mergeCell ref="X1473:AA1473"/>
    <mergeCell ref="AB1473:AE1473"/>
    <mergeCell ref="AF1473:AG1473"/>
    <mergeCell ref="AH1473:AI1473"/>
    <mergeCell ref="AJ1473:AK1473"/>
    <mergeCell ref="AL1473:AM1473"/>
    <mergeCell ref="V1470:W1470"/>
    <mergeCell ref="X1470:AA1470"/>
    <mergeCell ref="AB1470:AE1470"/>
    <mergeCell ref="AF1470:AG1470"/>
    <mergeCell ref="AH1470:AI1470"/>
    <mergeCell ref="AJ1470:AK1470"/>
    <mergeCell ref="AL1470:AM1470"/>
    <mergeCell ref="BD1470:BE1470"/>
    <mergeCell ref="BF1470:BI1470"/>
    <mergeCell ref="BJ1470:BM1470"/>
    <mergeCell ref="BN1470:BV1470"/>
    <mergeCell ref="AN1470:AO1470"/>
    <mergeCell ref="AP1470:AQ1470"/>
    <mergeCell ref="AR1470:AS1470"/>
    <mergeCell ref="AT1470:AU1470"/>
    <mergeCell ref="AV1470:AW1470"/>
    <mergeCell ref="AX1470:AZ1470"/>
    <mergeCell ref="BA1470:BB1470"/>
    <mergeCell ref="B1470:C1470"/>
    <mergeCell ref="D1470:E1470"/>
    <mergeCell ref="F1470:G1470"/>
    <mergeCell ref="H1470:I1470"/>
    <mergeCell ref="P1470:Q1470"/>
    <mergeCell ref="R1470:S1470"/>
    <mergeCell ref="T1478:U1478"/>
    <mergeCell ref="B1475:C1475"/>
    <mergeCell ref="D1475:E1475"/>
    <mergeCell ref="F1475:G1475"/>
    <mergeCell ref="H1475:I1475"/>
    <mergeCell ref="J1475:K1475"/>
    <mergeCell ref="L1475:M1475"/>
    <mergeCell ref="P1475:Q1475"/>
    <mergeCell ref="AX1475:AZ1475"/>
    <mergeCell ref="BA1475:BB1475"/>
    <mergeCell ref="BD1475:BE1475"/>
    <mergeCell ref="BF1475:BI1475"/>
    <mergeCell ref="BJ1475:BM1475"/>
    <mergeCell ref="BN1475:BV1475"/>
    <mergeCell ref="AN1475:AO1475"/>
    <mergeCell ref="AP1475:AQ1475"/>
    <mergeCell ref="AR1475:AS1475"/>
    <mergeCell ref="AT1475:AU1475"/>
    <mergeCell ref="AV1475:AW1475"/>
    <mergeCell ref="R1475:S1475"/>
    <mergeCell ref="T1475:U1475"/>
    <mergeCell ref="V1475:W1475"/>
    <mergeCell ref="X1475:AA1475"/>
    <mergeCell ref="AB1475:AE1475"/>
    <mergeCell ref="AF1475:AG1475"/>
    <mergeCell ref="AH1475:AI1475"/>
    <mergeCell ref="V1476:W1476"/>
    <mergeCell ref="X1476:AA1476"/>
    <mergeCell ref="AB1476:AE1476"/>
    <mergeCell ref="AF1476:AG1476"/>
    <mergeCell ref="AH1476:AI1476"/>
    <mergeCell ref="AJ1476:AK1476"/>
    <mergeCell ref="AL1476:AM1476"/>
    <mergeCell ref="BD1476:BE1476"/>
    <mergeCell ref="BF1476:BI1476"/>
    <mergeCell ref="BJ1476:BM1476"/>
    <mergeCell ref="BN1476:BV1476"/>
    <mergeCell ref="AN1476:AO1476"/>
    <mergeCell ref="AP1476:AQ1476"/>
    <mergeCell ref="AR1476:AS1476"/>
    <mergeCell ref="AT1476:AU1476"/>
    <mergeCell ref="AV1476:AW1476"/>
    <mergeCell ref="AX1476:AZ1476"/>
    <mergeCell ref="BA1476:BB1476"/>
    <mergeCell ref="B1476:C1476"/>
    <mergeCell ref="D1476:E1476"/>
    <mergeCell ref="F1476:G1476"/>
    <mergeCell ref="H1476:I1476"/>
    <mergeCell ref="P1476:Q1476"/>
    <mergeCell ref="R1476:S1476"/>
    <mergeCell ref="T1476:U1476"/>
    <mergeCell ref="B1473:C1473"/>
    <mergeCell ref="D1473:E1473"/>
    <mergeCell ref="F1473:G1473"/>
    <mergeCell ref="H1473:I1473"/>
    <mergeCell ref="J1473:K1473"/>
    <mergeCell ref="L1477:M1477"/>
    <mergeCell ref="P1477:Q1477"/>
    <mergeCell ref="AJ1475:AK1475"/>
    <mergeCell ref="AL1475:AM1475"/>
    <mergeCell ref="AN1477:AO1477"/>
    <mergeCell ref="AP1477:AQ1477"/>
    <mergeCell ref="AR1477:AS1477"/>
    <mergeCell ref="AT1477:AU1477"/>
    <mergeCell ref="AV1477:AW1477"/>
    <mergeCell ref="R1477:S1477"/>
    <mergeCell ref="T1477:U1477"/>
    <mergeCell ref="V1477:W1477"/>
    <mergeCell ref="X1477:AA1477"/>
    <mergeCell ref="AB1477:AE1477"/>
    <mergeCell ref="AF1477:AG1477"/>
    <mergeCell ref="AH1477:AI1477"/>
    <mergeCell ref="AJ1477:AK1477"/>
    <mergeCell ref="AL1477:AM1477"/>
    <mergeCell ref="V1474:W1474"/>
    <mergeCell ref="X1474:AA1474"/>
    <mergeCell ref="AB1474:AE1474"/>
    <mergeCell ref="AF1474:AG1474"/>
    <mergeCell ref="AH1474:AI1474"/>
    <mergeCell ref="AJ1474:AK1474"/>
    <mergeCell ref="AL1474:AM1474"/>
    <mergeCell ref="BD1474:BE1474"/>
    <mergeCell ref="BF1474:BI1474"/>
    <mergeCell ref="BJ1474:BM1474"/>
    <mergeCell ref="BN1474:BV1474"/>
    <mergeCell ref="AN1474:AO1474"/>
    <mergeCell ref="AP1474:AQ1474"/>
    <mergeCell ref="AR1474:AS1474"/>
    <mergeCell ref="AT1474:AU1474"/>
    <mergeCell ref="AV1474:AW1474"/>
    <mergeCell ref="AX1474:AZ1474"/>
    <mergeCell ref="BA1474:BB1474"/>
    <mergeCell ref="B1474:C1474"/>
    <mergeCell ref="D1474:E1474"/>
    <mergeCell ref="F1474:G1474"/>
    <mergeCell ref="H1474:I1474"/>
    <mergeCell ref="P1474:Q1474"/>
    <mergeCell ref="R1474:S1474"/>
    <mergeCell ref="B1482:C1482"/>
    <mergeCell ref="D1482:E1482"/>
    <mergeCell ref="F1482:G1482"/>
    <mergeCell ref="H1482:I1482"/>
    <mergeCell ref="P1482:Q1482"/>
    <mergeCell ref="R1482:S1482"/>
    <mergeCell ref="T1482:U1482"/>
    <mergeCell ref="B1479:C1479"/>
    <mergeCell ref="D1479:E1479"/>
    <mergeCell ref="F1479:G1479"/>
    <mergeCell ref="H1479:I1479"/>
    <mergeCell ref="J1479:K1479"/>
    <mergeCell ref="L1479:M1479"/>
    <mergeCell ref="P1479:Q1479"/>
    <mergeCell ref="AX1479:AZ1479"/>
    <mergeCell ref="BA1479:BB1479"/>
    <mergeCell ref="BD1479:BE1479"/>
    <mergeCell ref="BF1479:BI1479"/>
    <mergeCell ref="BJ1479:BM1479"/>
    <mergeCell ref="BN1479:BV1479"/>
    <mergeCell ref="AN1479:AO1479"/>
    <mergeCell ref="AP1479:AQ1479"/>
    <mergeCell ref="AR1479:AS1479"/>
    <mergeCell ref="AT1479:AU1479"/>
    <mergeCell ref="AV1479:AW1479"/>
    <mergeCell ref="R1479:S1479"/>
    <mergeCell ref="T1479:U1479"/>
    <mergeCell ref="V1479:W1479"/>
    <mergeCell ref="X1479:AA1479"/>
    <mergeCell ref="AB1479:AE1479"/>
    <mergeCell ref="AF1479:AG1479"/>
    <mergeCell ref="AH1479:AI1479"/>
    <mergeCell ref="V1480:W1480"/>
    <mergeCell ref="X1480:AA1480"/>
    <mergeCell ref="AB1480:AE1480"/>
    <mergeCell ref="AF1480:AG1480"/>
    <mergeCell ref="AH1480:AI1480"/>
    <mergeCell ref="AJ1480:AK1480"/>
    <mergeCell ref="AL1480:AM1480"/>
    <mergeCell ref="BD1480:BE1480"/>
    <mergeCell ref="BF1480:BI1480"/>
    <mergeCell ref="BJ1480:BM1480"/>
    <mergeCell ref="BN1480:BV1480"/>
    <mergeCell ref="AN1480:AO1480"/>
    <mergeCell ref="AP1480:AQ1480"/>
    <mergeCell ref="AR1480:AS1480"/>
    <mergeCell ref="AT1480:AU1480"/>
    <mergeCell ref="AV1480:AW1480"/>
    <mergeCell ref="AX1480:AZ1480"/>
    <mergeCell ref="BA1480:BB1480"/>
    <mergeCell ref="B1480:C1480"/>
    <mergeCell ref="D1480:E1480"/>
    <mergeCell ref="F1480:G1480"/>
    <mergeCell ref="H1480:I1480"/>
    <mergeCell ref="P1480:Q1480"/>
    <mergeCell ref="R1480:S1480"/>
    <mergeCell ref="T1480:U1480"/>
    <mergeCell ref="B1477:C1477"/>
    <mergeCell ref="D1477:E1477"/>
    <mergeCell ref="F1477:G1477"/>
    <mergeCell ref="H1477:I1477"/>
    <mergeCell ref="J1477:K1477"/>
    <mergeCell ref="L1481:M1481"/>
    <mergeCell ref="P1481:Q1481"/>
    <mergeCell ref="AX1481:AZ1481"/>
    <mergeCell ref="BA1481:BB1481"/>
    <mergeCell ref="BD1481:BE1481"/>
    <mergeCell ref="BF1481:BI1481"/>
    <mergeCell ref="BJ1481:BM1481"/>
    <mergeCell ref="BN1481:BV1481"/>
    <mergeCell ref="AJ1479:AK1479"/>
    <mergeCell ref="AL1479:AM1479"/>
    <mergeCell ref="AN1481:AO1481"/>
    <mergeCell ref="AP1481:AQ1481"/>
    <mergeCell ref="AR1481:AS1481"/>
    <mergeCell ref="AT1481:AU1481"/>
    <mergeCell ref="AV1481:AW1481"/>
    <mergeCell ref="R1481:S1481"/>
    <mergeCell ref="T1481:U1481"/>
    <mergeCell ref="V1481:W1481"/>
    <mergeCell ref="X1481:AA1481"/>
    <mergeCell ref="AB1481:AE1481"/>
    <mergeCell ref="AF1481:AG1481"/>
    <mergeCell ref="AH1481:AI1481"/>
    <mergeCell ref="AJ1481:AK1481"/>
    <mergeCell ref="AL1481:AM1481"/>
    <mergeCell ref="V1478:W1478"/>
    <mergeCell ref="X1478:AA1478"/>
    <mergeCell ref="AB1478:AE1478"/>
    <mergeCell ref="AF1478:AG1478"/>
    <mergeCell ref="AH1478:AI1478"/>
    <mergeCell ref="AJ1478:AK1478"/>
    <mergeCell ref="AL1478:AM1478"/>
    <mergeCell ref="BD1478:BE1478"/>
    <mergeCell ref="BF1478:BI1478"/>
    <mergeCell ref="BJ1478:BM1478"/>
    <mergeCell ref="BN1478:BV1478"/>
    <mergeCell ref="AN1478:AO1478"/>
    <mergeCell ref="AP1478:AQ1478"/>
    <mergeCell ref="AR1478:AS1478"/>
    <mergeCell ref="AT1478:AU1478"/>
    <mergeCell ref="AV1478:AW1478"/>
    <mergeCell ref="AX1478:AZ1478"/>
    <mergeCell ref="BA1478:BB1478"/>
    <mergeCell ref="AX1477:AZ1477"/>
    <mergeCell ref="BA1477:BB1477"/>
    <mergeCell ref="BD1477:BE1477"/>
    <mergeCell ref="BF1477:BI1477"/>
    <mergeCell ref="BJ1477:BM1477"/>
    <mergeCell ref="BN1477:BV1477"/>
    <mergeCell ref="B1478:C1478"/>
    <mergeCell ref="D1478:E1478"/>
    <mergeCell ref="F1478:G1478"/>
    <mergeCell ref="H1478:I1478"/>
    <mergeCell ref="P1478:Q1478"/>
    <mergeCell ref="R1478:S1478"/>
    <mergeCell ref="P1483:Q1483"/>
    <mergeCell ref="AX1483:AZ1483"/>
    <mergeCell ref="BA1483:BB1483"/>
    <mergeCell ref="BD1483:BE1483"/>
    <mergeCell ref="BF1483:BI1483"/>
    <mergeCell ref="BJ1483:BM1483"/>
    <mergeCell ref="BN1483:BV1483"/>
    <mergeCell ref="AN1483:AO1483"/>
    <mergeCell ref="AP1483:AQ1483"/>
    <mergeCell ref="AR1483:AS1483"/>
    <mergeCell ref="AT1483:AU1483"/>
    <mergeCell ref="AV1483:AW1483"/>
    <mergeCell ref="R1483:S1483"/>
    <mergeCell ref="T1483:U1483"/>
    <mergeCell ref="V1483:W1483"/>
    <mergeCell ref="X1483:AA1483"/>
    <mergeCell ref="AB1483:AE1483"/>
    <mergeCell ref="AF1483:AG1483"/>
    <mergeCell ref="AH1483:AI1483"/>
    <mergeCell ref="V1484:W1484"/>
    <mergeCell ref="X1484:AA1484"/>
    <mergeCell ref="AB1484:AE1484"/>
    <mergeCell ref="AF1484:AG1484"/>
    <mergeCell ref="AH1484:AI1484"/>
    <mergeCell ref="AJ1484:AK1484"/>
    <mergeCell ref="AL1484:AM1484"/>
    <mergeCell ref="BD1484:BE1484"/>
    <mergeCell ref="BF1484:BI1484"/>
    <mergeCell ref="BJ1484:BM1484"/>
    <mergeCell ref="BN1484:BV1484"/>
    <mergeCell ref="AN1484:AO1484"/>
    <mergeCell ref="AP1484:AQ1484"/>
    <mergeCell ref="AR1484:AS1484"/>
    <mergeCell ref="AT1484:AU1484"/>
    <mergeCell ref="AV1484:AW1484"/>
    <mergeCell ref="AX1484:AZ1484"/>
    <mergeCell ref="BA1484:BB1484"/>
    <mergeCell ref="B1484:C1484"/>
    <mergeCell ref="D1484:E1484"/>
    <mergeCell ref="F1484:G1484"/>
    <mergeCell ref="H1484:I1484"/>
    <mergeCell ref="P1484:Q1484"/>
    <mergeCell ref="R1484:S1484"/>
    <mergeCell ref="T1484:U1484"/>
    <mergeCell ref="B1481:C1481"/>
    <mergeCell ref="D1481:E1481"/>
    <mergeCell ref="F1481:G1481"/>
    <mergeCell ref="H1481:I1481"/>
    <mergeCell ref="J1481:K1481"/>
    <mergeCell ref="B1483:C1483"/>
    <mergeCell ref="D1483:E1483"/>
    <mergeCell ref="F1483:G1483"/>
    <mergeCell ref="H1483:I1483"/>
    <mergeCell ref="J1483:K1483"/>
    <mergeCell ref="L1485:M1485"/>
    <mergeCell ref="P1485:Q1485"/>
    <mergeCell ref="AX1485:AZ1485"/>
    <mergeCell ref="BA1485:BB1485"/>
    <mergeCell ref="BD1485:BE1485"/>
    <mergeCell ref="BF1485:BI1485"/>
    <mergeCell ref="BJ1485:BM1485"/>
    <mergeCell ref="BN1485:BV1485"/>
    <mergeCell ref="AJ1483:AK1483"/>
    <mergeCell ref="AL1483:AM1483"/>
    <mergeCell ref="AN1485:AO1485"/>
    <mergeCell ref="AP1485:AQ1485"/>
    <mergeCell ref="AR1485:AS1485"/>
    <mergeCell ref="AT1485:AU1485"/>
    <mergeCell ref="AV1485:AW1485"/>
    <mergeCell ref="R1485:S1485"/>
    <mergeCell ref="T1485:U1485"/>
    <mergeCell ref="V1485:W1485"/>
    <mergeCell ref="X1485:AA1485"/>
    <mergeCell ref="AB1485:AE1485"/>
    <mergeCell ref="AF1485:AG1485"/>
    <mergeCell ref="AH1485:AI1485"/>
    <mergeCell ref="AJ1485:AK1485"/>
    <mergeCell ref="AL1485:AM1485"/>
    <mergeCell ref="V1482:W1482"/>
    <mergeCell ref="X1482:AA1482"/>
    <mergeCell ref="AB1482:AE1482"/>
    <mergeCell ref="AF1482:AG1482"/>
    <mergeCell ref="AH1482:AI1482"/>
    <mergeCell ref="AJ1482:AK1482"/>
    <mergeCell ref="AL1482:AM1482"/>
    <mergeCell ref="BD1482:BE1482"/>
    <mergeCell ref="BF1482:BI1482"/>
    <mergeCell ref="BJ1482:BM1482"/>
    <mergeCell ref="BN1482:BV1482"/>
    <mergeCell ref="AN1482:AO1482"/>
    <mergeCell ref="AP1482:AQ1482"/>
    <mergeCell ref="AR1482:AS1482"/>
    <mergeCell ref="AT1482:AU1482"/>
    <mergeCell ref="AV1482:AW1482"/>
    <mergeCell ref="AX1482:AZ1482"/>
    <mergeCell ref="BA1482:BB1482"/>
    <mergeCell ref="L1483:M1483"/>
    <mergeCell ref="AR1486:AS1486"/>
    <mergeCell ref="AT1486:AU1486"/>
    <mergeCell ref="AV1486:AW1486"/>
    <mergeCell ref="AX1486:AZ1486"/>
    <mergeCell ref="BA1486:BB1486"/>
    <mergeCell ref="B1490:C1490"/>
    <mergeCell ref="D1490:E1490"/>
    <mergeCell ref="F1490:G1490"/>
    <mergeCell ref="H1490:I1490"/>
    <mergeCell ref="P1490:Q1490"/>
    <mergeCell ref="R1490:S1490"/>
    <mergeCell ref="T1490:U1490"/>
    <mergeCell ref="B1487:C1487"/>
    <mergeCell ref="D1487:E1487"/>
    <mergeCell ref="F1487:G1487"/>
    <mergeCell ref="H1487:I1487"/>
    <mergeCell ref="J1487:K1487"/>
    <mergeCell ref="L1487:M1487"/>
    <mergeCell ref="P1487:Q1487"/>
    <mergeCell ref="AX1487:AZ1487"/>
    <mergeCell ref="BA1487:BB1487"/>
    <mergeCell ref="BD1487:BE1487"/>
    <mergeCell ref="BF1487:BI1487"/>
    <mergeCell ref="BJ1487:BM1487"/>
    <mergeCell ref="BN1487:BV1487"/>
    <mergeCell ref="AN1487:AO1487"/>
    <mergeCell ref="AP1487:AQ1487"/>
    <mergeCell ref="AR1487:AS1487"/>
    <mergeCell ref="AT1487:AU1487"/>
    <mergeCell ref="AV1487:AW1487"/>
    <mergeCell ref="R1487:S1487"/>
    <mergeCell ref="T1487:U1487"/>
    <mergeCell ref="V1487:W1487"/>
    <mergeCell ref="X1487:AA1487"/>
    <mergeCell ref="AB1487:AE1487"/>
    <mergeCell ref="AF1487:AG1487"/>
    <mergeCell ref="AH1487:AI1487"/>
    <mergeCell ref="V1488:W1488"/>
    <mergeCell ref="X1488:AA1488"/>
    <mergeCell ref="AB1488:AE1488"/>
    <mergeCell ref="AF1488:AG1488"/>
    <mergeCell ref="AH1488:AI1488"/>
    <mergeCell ref="AJ1488:AK1488"/>
    <mergeCell ref="AL1488:AM1488"/>
    <mergeCell ref="BD1488:BE1488"/>
    <mergeCell ref="BF1488:BI1488"/>
    <mergeCell ref="BJ1488:BM1488"/>
    <mergeCell ref="BN1488:BV1488"/>
    <mergeCell ref="AN1488:AO1488"/>
    <mergeCell ref="AP1488:AQ1488"/>
    <mergeCell ref="AR1488:AS1488"/>
    <mergeCell ref="B1486:C1486"/>
    <mergeCell ref="D1486:E1486"/>
    <mergeCell ref="F1486:G1486"/>
    <mergeCell ref="H1486:I1486"/>
    <mergeCell ref="P1486:Q1486"/>
    <mergeCell ref="R1486:S1486"/>
    <mergeCell ref="T1486:U1486"/>
    <mergeCell ref="BD1491:BE1491"/>
    <mergeCell ref="BF1491:BI1491"/>
    <mergeCell ref="BJ1491:BM1491"/>
    <mergeCell ref="BN1491:BV1491"/>
    <mergeCell ref="AJ1489:AK1489"/>
    <mergeCell ref="AL1489:AM1489"/>
    <mergeCell ref="AN1491:AO1491"/>
    <mergeCell ref="AP1491:AQ1491"/>
    <mergeCell ref="AR1491:AS1491"/>
    <mergeCell ref="AT1491:AU1491"/>
    <mergeCell ref="AV1491:AW1491"/>
    <mergeCell ref="R1491:S1491"/>
    <mergeCell ref="T1491:U1491"/>
    <mergeCell ref="V1491:W1491"/>
    <mergeCell ref="X1491:AA1491"/>
    <mergeCell ref="AB1491:AE1491"/>
    <mergeCell ref="AF1491:AG1491"/>
    <mergeCell ref="AH1491:AI1491"/>
    <mergeCell ref="AT1488:AU1488"/>
    <mergeCell ref="AV1488:AW1488"/>
    <mergeCell ref="AX1488:AZ1488"/>
    <mergeCell ref="BA1488:BB1488"/>
    <mergeCell ref="B1488:C1488"/>
    <mergeCell ref="D1488:E1488"/>
    <mergeCell ref="F1488:G1488"/>
    <mergeCell ref="H1488:I1488"/>
    <mergeCell ref="P1488:Q1488"/>
    <mergeCell ref="R1488:S1488"/>
    <mergeCell ref="T1488:U1488"/>
    <mergeCell ref="B1485:C1485"/>
    <mergeCell ref="D1485:E1485"/>
    <mergeCell ref="F1485:G1485"/>
    <mergeCell ref="H1485:I1485"/>
    <mergeCell ref="J1485:K1485"/>
    <mergeCell ref="BF1489:BI1489"/>
    <mergeCell ref="BJ1489:BM1489"/>
    <mergeCell ref="BN1489:BV1489"/>
    <mergeCell ref="AJ1487:AK1487"/>
    <mergeCell ref="AL1487:AM1487"/>
    <mergeCell ref="AN1489:AO1489"/>
    <mergeCell ref="AP1489:AQ1489"/>
    <mergeCell ref="AR1489:AS1489"/>
    <mergeCell ref="AT1489:AU1489"/>
    <mergeCell ref="AV1489:AW1489"/>
    <mergeCell ref="R1489:S1489"/>
    <mergeCell ref="T1489:U1489"/>
    <mergeCell ref="V1489:W1489"/>
    <mergeCell ref="X1489:AA1489"/>
    <mergeCell ref="AB1489:AE1489"/>
    <mergeCell ref="AF1489:AG1489"/>
    <mergeCell ref="AH1489:AI1489"/>
    <mergeCell ref="V1486:W1486"/>
    <mergeCell ref="X1486:AA1486"/>
    <mergeCell ref="AB1486:AE1486"/>
    <mergeCell ref="AF1486:AG1486"/>
    <mergeCell ref="AH1486:AI1486"/>
    <mergeCell ref="AJ1486:AK1486"/>
    <mergeCell ref="AL1486:AM1486"/>
    <mergeCell ref="BD1486:BE1486"/>
    <mergeCell ref="BF1486:BI1486"/>
    <mergeCell ref="BJ1486:BM1486"/>
    <mergeCell ref="BN1486:BV1486"/>
    <mergeCell ref="AN1486:AO1486"/>
    <mergeCell ref="AP1486:AQ1486"/>
    <mergeCell ref="V1492:W1492"/>
    <mergeCell ref="X1492:AA1492"/>
    <mergeCell ref="AB1492:AE1492"/>
    <mergeCell ref="AF1492:AG1492"/>
    <mergeCell ref="AH1492:AI1492"/>
    <mergeCell ref="AJ1492:AK1492"/>
    <mergeCell ref="AL1492:AM1492"/>
    <mergeCell ref="BD1492:BE1492"/>
    <mergeCell ref="BF1492:BI1492"/>
    <mergeCell ref="BJ1492:BM1492"/>
    <mergeCell ref="BN1492:BV1492"/>
    <mergeCell ref="AN1492:AO1492"/>
    <mergeCell ref="AP1492:AQ1492"/>
    <mergeCell ref="AR1492:AS1492"/>
    <mergeCell ref="AT1492:AU1492"/>
    <mergeCell ref="AV1492:AW1492"/>
    <mergeCell ref="AX1492:AZ1492"/>
    <mergeCell ref="BA1492:BB1492"/>
    <mergeCell ref="B1492:C1492"/>
    <mergeCell ref="D1492:E1492"/>
    <mergeCell ref="F1492:G1492"/>
    <mergeCell ref="H1492:I1492"/>
    <mergeCell ref="P1492:Q1492"/>
    <mergeCell ref="R1492:S1492"/>
    <mergeCell ref="T1492:U1492"/>
    <mergeCell ref="AJ1491:AK1491"/>
    <mergeCell ref="AL1491:AM1491"/>
    <mergeCell ref="B1489:C1489"/>
    <mergeCell ref="D1489:E1489"/>
    <mergeCell ref="F1489:G1489"/>
    <mergeCell ref="H1489:I1489"/>
    <mergeCell ref="J1489:K1489"/>
    <mergeCell ref="L1489:M1489"/>
    <mergeCell ref="P1489:Q1489"/>
    <mergeCell ref="AX1489:AZ1489"/>
    <mergeCell ref="BA1489:BB1489"/>
    <mergeCell ref="BD1489:BE1489"/>
    <mergeCell ref="V1490:W1490"/>
    <mergeCell ref="X1490:AA1490"/>
    <mergeCell ref="AB1490:AE1490"/>
    <mergeCell ref="AF1490:AG1490"/>
    <mergeCell ref="AH1490:AI1490"/>
    <mergeCell ref="AJ1490:AK1490"/>
    <mergeCell ref="AL1490:AM1490"/>
    <mergeCell ref="BD1490:BE1490"/>
    <mergeCell ref="BF1490:BI1490"/>
    <mergeCell ref="BJ1490:BM1490"/>
    <mergeCell ref="BN1490:BV1490"/>
    <mergeCell ref="AN1490:AO1490"/>
    <mergeCell ref="AP1490:AQ1490"/>
    <mergeCell ref="AR1490:AS1490"/>
    <mergeCell ref="AT1490:AU1490"/>
    <mergeCell ref="AV1490:AW1490"/>
    <mergeCell ref="AX1490:AZ1490"/>
    <mergeCell ref="BA1490:BB1490"/>
    <mergeCell ref="B1491:C1491"/>
    <mergeCell ref="D1491:E1491"/>
    <mergeCell ref="F1491:G1491"/>
    <mergeCell ref="H1491:I1491"/>
    <mergeCell ref="J1491:K1491"/>
    <mergeCell ref="L1491:M1491"/>
    <mergeCell ref="P1491:Q1491"/>
    <mergeCell ref="AX1491:AZ1491"/>
    <mergeCell ref="BA1491:BB1491"/>
    <mergeCell ref="BJ1521:BM1521"/>
    <mergeCell ref="BN1521:BV1521"/>
    <mergeCell ref="BJ1522:BM1522"/>
    <mergeCell ref="BN1522:BV1522"/>
    <mergeCell ref="AJ1518:AK1518"/>
    <mergeCell ref="AL1518:AM1518"/>
    <mergeCell ref="R1518:S1518"/>
    <mergeCell ref="T1518:U1518"/>
    <mergeCell ref="V1518:W1518"/>
    <mergeCell ref="X1518:AA1518"/>
    <mergeCell ref="AB1518:AE1518"/>
    <mergeCell ref="AF1518:AG1518"/>
    <mergeCell ref="AH1518:AI1518"/>
    <mergeCell ref="R1519:S1519"/>
    <mergeCell ref="T1519:U1519"/>
    <mergeCell ref="V1519:W1519"/>
    <mergeCell ref="X1519:AA1519"/>
    <mergeCell ref="AB1519:AE1519"/>
    <mergeCell ref="AF1519:AG1519"/>
    <mergeCell ref="AH1519:AI1519"/>
    <mergeCell ref="AX1519:AZ1519"/>
    <mergeCell ref="BA1519:BB1519"/>
    <mergeCell ref="BD1519:BE1519"/>
    <mergeCell ref="BF1519:BI1519"/>
    <mergeCell ref="BJ1519:BM1519"/>
    <mergeCell ref="BN1519:BV1519"/>
    <mergeCell ref="BJ1520:BM1520"/>
    <mergeCell ref="BN1520:BV1520"/>
    <mergeCell ref="B1519:C1519"/>
    <mergeCell ref="D1519:E1519"/>
    <mergeCell ref="F1519:G1519"/>
    <mergeCell ref="H1519:I1519"/>
    <mergeCell ref="J1519:K1519"/>
    <mergeCell ref="L1519:M1519"/>
    <mergeCell ref="P1519:Q1519"/>
    <mergeCell ref="B1520:C1520"/>
    <mergeCell ref="D1520:E1520"/>
    <mergeCell ref="F1520:G1520"/>
    <mergeCell ref="H1520:I1520"/>
    <mergeCell ref="J1520:K1520"/>
    <mergeCell ref="L1520:M1520"/>
    <mergeCell ref="P1520:Q1520"/>
    <mergeCell ref="AJ1519:AK1519"/>
    <mergeCell ref="AL1519:AM1519"/>
    <mergeCell ref="AN1519:AO1519"/>
    <mergeCell ref="AP1519:AQ1519"/>
    <mergeCell ref="AR1519:AS1519"/>
    <mergeCell ref="AT1519:AU1519"/>
    <mergeCell ref="AV1519:AW1519"/>
    <mergeCell ref="B1522:C1522"/>
    <mergeCell ref="D1522:E1522"/>
    <mergeCell ref="F1522:G1522"/>
    <mergeCell ref="H1522:I1522"/>
    <mergeCell ref="J1522:K1522"/>
    <mergeCell ref="L1522:M1522"/>
    <mergeCell ref="P1522:Q1522"/>
    <mergeCell ref="BD1522:BE1522"/>
    <mergeCell ref="BF1522:BI1522"/>
    <mergeCell ref="AN1522:AO1522"/>
    <mergeCell ref="AP1522:AQ1522"/>
    <mergeCell ref="AR1522:AS1522"/>
    <mergeCell ref="AT1522:AU1522"/>
    <mergeCell ref="AV1522:AW1522"/>
    <mergeCell ref="AX1522:AZ1522"/>
    <mergeCell ref="T1514:U1514"/>
    <mergeCell ref="V1514:W1514"/>
    <mergeCell ref="X1514:AA1514"/>
    <mergeCell ref="AB1514:AE1514"/>
    <mergeCell ref="AF1514:AG1514"/>
    <mergeCell ref="AH1514:AI1514"/>
    <mergeCell ref="AX1514:AZ1514"/>
    <mergeCell ref="BA1514:BB1514"/>
    <mergeCell ref="BD1514:BE1514"/>
    <mergeCell ref="BF1514:BI1514"/>
    <mergeCell ref="BD1518:BE1518"/>
    <mergeCell ref="BF1518:BI1518"/>
    <mergeCell ref="AN1518:AO1518"/>
    <mergeCell ref="AP1518:AQ1518"/>
    <mergeCell ref="AR1518:AS1518"/>
    <mergeCell ref="AT1518:AU1518"/>
    <mergeCell ref="AV1518:AW1518"/>
    <mergeCell ref="AX1518:AZ1518"/>
    <mergeCell ref="BA1518:BB1518"/>
    <mergeCell ref="AX1517:AZ1517"/>
    <mergeCell ref="BA1517:BB1517"/>
    <mergeCell ref="BD1517:BE1517"/>
    <mergeCell ref="BF1517:BI1517"/>
    <mergeCell ref="AJ1515:AK1515"/>
    <mergeCell ref="AL1515:AM1515"/>
    <mergeCell ref="H1516:I1516"/>
    <mergeCell ref="J1516:K1516"/>
    <mergeCell ref="L1516:M1516"/>
    <mergeCell ref="P1516:Q1516"/>
    <mergeCell ref="B1521:C1521"/>
    <mergeCell ref="D1521:E1521"/>
    <mergeCell ref="F1521:G1521"/>
    <mergeCell ref="H1521:I1521"/>
    <mergeCell ref="J1521:K1521"/>
    <mergeCell ref="L1521:M1521"/>
    <mergeCell ref="P1521:Q1521"/>
    <mergeCell ref="AJ1521:AK1521"/>
    <mergeCell ref="AL1521:AM1521"/>
    <mergeCell ref="AN1521:AO1521"/>
    <mergeCell ref="AP1521:AQ1521"/>
    <mergeCell ref="AR1521:AS1521"/>
    <mergeCell ref="AT1521:AU1521"/>
    <mergeCell ref="AV1521:AW1521"/>
    <mergeCell ref="BD1515:BE1515"/>
    <mergeCell ref="BF1515:BI1515"/>
    <mergeCell ref="AN1515:AO1515"/>
    <mergeCell ref="AP1515:AQ1515"/>
    <mergeCell ref="AR1515:AS1515"/>
    <mergeCell ref="AT1515:AU1515"/>
    <mergeCell ref="AV1515:AW1515"/>
    <mergeCell ref="AX1515:AZ1515"/>
    <mergeCell ref="BA1515:BB1515"/>
    <mergeCell ref="V1516:W1516"/>
    <mergeCell ref="X1516:AA1516"/>
    <mergeCell ref="AB1516:AE1516"/>
    <mergeCell ref="AF1516:AG1516"/>
    <mergeCell ref="AH1516:AI1516"/>
    <mergeCell ref="AX1516:AZ1516"/>
    <mergeCell ref="BA1516:BB1516"/>
    <mergeCell ref="BD1516:BE1516"/>
    <mergeCell ref="BF1516:BI1516"/>
    <mergeCell ref="AJ1520:AK1520"/>
    <mergeCell ref="AL1520:AM1520"/>
    <mergeCell ref="R1520:S1520"/>
    <mergeCell ref="T1520:U1520"/>
    <mergeCell ref="V1520:W1520"/>
    <mergeCell ref="X1520:AA1520"/>
    <mergeCell ref="AB1520:AE1520"/>
    <mergeCell ref="AF1520:AG1520"/>
    <mergeCell ref="AH1520:AI1520"/>
    <mergeCell ref="R1521:S1521"/>
    <mergeCell ref="T1521:U1521"/>
    <mergeCell ref="V1521:W1521"/>
    <mergeCell ref="X1521:AA1521"/>
    <mergeCell ref="AB1521:AE1521"/>
    <mergeCell ref="AF1521:AG1521"/>
    <mergeCell ref="AH1521:AI1521"/>
    <mergeCell ref="AX1521:AZ1521"/>
    <mergeCell ref="BA1521:BB1521"/>
    <mergeCell ref="BD1521:BE1521"/>
    <mergeCell ref="BF1521:BI1521"/>
    <mergeCell ref="H1524:I1524"/>
    <mergeCell ref="J1524:K1524"/>
    <mergeCell ref="L1524:M1524"/>
    <mergeCell ref="P1524:Q1524"/>
    <mergeCell ref="BJ1514:BM1514"/>
    <mergeCell ref="BN1514:BV1514"/>
    <mergeCell ref="B1514:C1514"/>
    <mergeCell ref="D1514:E1514"/>
    <mergeCell ref="F1514:G1514"/>
    <mergeCell ref="H1514:I1514"/>
    <mergeCell ref="J1514:K1514"/>
    <mergeCell ref="L1514:M1514"/>
    <mergeCell ref="P1514:Q1514"/>
    <mergeCell ref="AJ1514:AK1514"/>
    <mergeCell ref="AL1514:AM1514"/>
    <mergeCell ref="AN1514:AO1514"/>
    <mergeCell ref="AP1514:AQ1514"/>
    <mergeCell ref="AR1514:AS1514"/>
    <mergeCell ref="AT1514:AU1514"/>
    <mergeCell ref="AV1514:AW1514"/>
    <mergeCell ref="B1515:C1515"/>
    <mergeCell ref="D1515:E1515"/>
    <mergeCell ref="F1515:G1515"/>
    <mergeCell ref="H1515:I1515"/>
    <mergeCell ref="J1515:K1515"/>
    <mergeCell ref="L1515:M1515"/>
    <mergeCell ref="P1515:Q1515"/>
    <mergeCell ref="R1517:S1517"/>
    <mergeCell ref="T1517:U1517"/>
    <mergeCell ref="V1517:W1517"/>
    <mergeCell ref="X1517:AA1517"/>
    <mergeCell ref="AB1517:AE1517"/>
    <mergeCell ref="AF1517:AG1517"/>
    <mergeCell ref="AH1517:AI1517"/>
    <mergeCell ref="B1517:C1517"/>
    <mergeCell ref="D1517:E1517"/>
    <mergeCell ref="F1517:G1517"/>
    <mergeCell ref="H1517:I1517"/>
    <mergeCell ref="J1517:K1517"/>
    <mergeCell ref="L1517:M1517"/>
    <mergeCell ref="P1517:Q1517"/>
    <mergeCell ref="R1516:S1516"/>
    <mergeCell ref="T1516:U1516"/>
    <mergeCell ref="R1514:S1514"/>
    <mergeCell ref="BJ1516:BM1516"/>
    <mergeCell ref="BN1516:BV1516"/>
    <mergeCell ref="AJ1516:AK1516"/>
    <mergeCell ref="AL1516:AM1516"/>
    <mergeCell ref="AN1516:AO1516"/>
    <mergeCell ref="AP1516:AQ1516"/>
    <mergeCell ref="AR1516:AS1516"/>
    <mergeCell ref="AT1516:AU1516"/>
    <mergeCell ref="AV1516:AW1516"/>
    <mergeCell ref="B1516:C1516"/>
    <mergeCell ref="D1516:E1516"/>
    <mergeCell ref="F1516:G1516"/>
    <mergeCell ref="B1528:C1528"/>
    <mergeCell ref="D1528:E1528"/>
    <mergeCell ref="F1528:G1528"/>
    <mergeCell ref="H1528:I1528"/>
    <mergeCell ref="J1528:K1528"/>
    <mergeCell ref="L1528:M1528"/>
    <mergeCell ref="P1528:Q1528"/>
    <mergeCell ref="B1529:C1529"/>
    <mergeCell ref="D1529:E1529"/>
    <mergeCell ref="F1529:G1529"/>
    <mergeCell ref="H1529:I1529"/>
    <mergeCell ref="J1529:K1529"/>
    <mergeCell ref="L1529:M1529"/>
    <mergeCell ref="P1529:Q1529"/>
    <mergeCell ref="AJ1528:AK1528"/>
    <mergeCell ref="AL1528:AM1528"/>
    <mergeCell ref="AN1528:AO1528"/>
    <mergeCell ref="AP1528:AQ1528"/>
    <mergeCell ref="AR1528:AS1528"/>
    <mergeCell ref="AT1528:AU1528"/>
    <mergeCell ref="AV1528:AW1528"/>
    <mergeCell ref="BJ1517:BM1517"/>
    <mergeCell ref="BN1517:BV1517"/>
    <mergeCell ref="BJ1518:BM1518"/>
    <mergeCell ref="BN1518:BV1518"/>
    <mergeCell ref="B1518:C1518"/>
    <mergeCell ref="D1518:E1518"/>
    <mergeCell ref="F1518:G1518"/>
    <mergeCell ref="H1518:I1518"/>
    <mergeCell ref="J1518:K1518"/>
    <mergeCell ref="L1518:M1518"/>
    <mergeCell ref="P1518:Q1518"/>
    <mergeCell ref="AJ1517:AK1517"/>
    <mergeCell ref="AL1517:AM1517"/>
    <mergeCell ref="AN1517:AO1517"/>
    <mergeCell ref="AP1517:AQ1517"/>
    <mergeCell ref="AR1517:AS1517"/>
    <mergeCell ref="AT1517:AU1517"/>
    <mergeCell ref="AV1517:AW1517"/>
    <mergeCell ref="BD1520:BE1520"/>
    <mergeCell ref="BF1520:BI1520"/>
    <mergeCell ref="AN1520:AO1520"/>
    <mergeCell ref="AP1520:AQ1520"/>
    <mergeCell ref="AR1520:AS1520"/>
    <mergeCell ref="AT1520:AU1520"/>
    <mergeCell ref="AV1520:AW1520"/>
    <mergeCell ref="AX1520:AZ1520"/>
    <mergeCell ref="BA1520:BB1520"/>
    <mergeCell ref="AJ1524:AK1524"/>
    <mergeCell ref="AL1524:AM1524"/>
    <mergeCell ref="BJ1524:BM1524"/>
    <mergeCell ref="BN1524:BV1524"/>
    <mergeCell ref="BJ1523:BM1523"/>
    <mergeCell ref="BN1523:BV1523"/>
    <mergeCell ref="B1524:C1524"/>
    <mergeCell ref="D1524:E1524"/>
    <mergeCell ref="F1524:G1524"/>
    <mergeCell ref="BA1530:BB1530"/>
    <mergeCell ref="BD1530:BE1530"/>
    <mergeCell ref="BF1530:BI1530"/>
    <mergeCell ref="BJ1530:BM1530"/>
    <mergeCell ref="BN1530:BV1530"/>
    <mergeCell ref="BJ1531:BM1531"/>
    <mergeCell ref="BN1531:BV1531"/>
    <mergeCell ref="BD1529:BE1529"/>
    <mergeCell ref="BF1529:BI1529"/>
    <mergeCell ref="AN1529:AO1529"/>
    <mergeCell ref="AP1529:AQ1529"/>
    <mergeCell ref="AR1529:AS1529"/>
    <mergeCell ref="AT1529:AU1529"/>
    <mergeCell ref="AV1529:AW1529"/>
    <mergeCell ref="AX1529:AZ1529"/>
    <mergeCell ref="BA1529:BB1529"/>
    <mergeCell ref="AJ1527:AK1527"/>
    <mergeCell ref="AL1527:AM1527"/>
    <mergeCell ref="R1527:S1527"/>
    <mergeCell ref="T1527:U1527"/>
    <mergeCell ref="V1527:W1527"/>
    <mergeCell ref="X1527:AA1527"/>
    <mergeCell ref="AB1527:AE1527"/>
    <mergeCell ref="AF1527:AG1527"/>
    <mergeCell ref="AH1527:AI1527"/>
    <mergeCell ref="R1528:S1528"/>
    <mergeCell ref="T1528:U1528"/>
    <mergeCell ref="V1528:W1528"/>
    <mergeCell ref="X1528:AA1528"/>
    <mergeCell ref="AB1528:AE1528"/>
    <mergeCell ref="AF1528:AG1528"/>
    <mergeCell ref="AH1528:AI1528"/>
    <mergeCell ref="AX1528:AZ1528"/>
    <mergeCell ref="BA1528:BB1528"/>
    <mergeCell ref="BD1528:BE1528"/>
    <mergeCell ref="BF1528:BI1528"/>
    <mergeCell ref="BJ1528:BM1528"/>
    <mergeCell ref="BN1528:BV1528"/>
    <mergeCell ref="BJ1529:BM1529"/>
    <mergeCell ref="BN1529:BV1529"/>
    <mergeCell ref="X1525:AA1525"/>
    <mergeCell ref="AB1525:AE1525"/>
    <mergeCell ref="AF1525:AG1525"/>
    <mergeCell ref="AH1525:AI1525"/>
    <mergeCell ref="AX1525:AZ1525"/>
    <mergeCell ref="BA1525:BB1525"/>
    <mergeCell ref="BD1525:BE1525"/>
    <mergeCell ref="BF1525:BI1525"/>
    <mergeCell ref="BD1531:BE1531"/>
    <mergeCell ref="BF1531:BI1531"/>
    <mergeCell ref="AN1531:AO1531"/>
    <mergeCell ref="AP1531:AQ1531"/>
    <mergeCell ref="AR1531:AS1531"/>
    <mergeCell ref="AT1531:AU1531"/>
    <mergeCell ref="AV1531:AW1531"/>
    <mergeCell ref="AX1531:AZ1531"/>
    <mergeCell ref="BA1531:BB1531"/>
    <mergeCell ref="AX1530:AZ1530"/>
    <mergeCell ref="R1524:S1524"/>
    <mergeCell ref="T1524:U1524"/>
    <mergeCell ref="V1524:W1524"/>
    <mergeCell ref="X1524:AA1524"/>
    <mergeCell ref="AJ1522:AK1522"/>
    <mergeCell ref="AL1522:AM1522"/>
    <mergeCell ref="R1522:S1522"/>
    <mergeCell ref="T1522:U1522"/>
    <mergeCell ref="V1522:W1522"/>
    <mergeCell ref="X1522:AA1522"/>
    <mergeCell ref="AB1522:AE1522"/>
    <mergeCell ref="AF1522:AG1522"/>
    <mergeCell ref="AH1522:AI1522"/>
    <mergeCell ref="R1523:S1523"/>
    <mergeCell ref="T1523:U1523"/>
    <mergeCell ref="V1523:W1523"/>
    <mergeCell ref="X1523:AA1523"/>
    <mergeCell ref="AB1523:AE1523"/>
    <mergeCell ref="AF1523:AG1523"/>
    <mergeCell ref="AH1523:AI1523"/>
    <mergeCell ref="AX1523:AZ1523"/>
    <mergeCell ref="BA1523:BB1523"/>
    <mergeCell ref="BD1523:BE1523"/>
    <mergeCell ref="BF1523:BI1523"/>
    <mergeCell ref="B1523:C1523"/>
    <mergeCell ref="D1523:E1523"/>
    <mergeCell ref="F1523:G1523"/>
    <mergeCell ref="H1523:I1523"/>
    <mergeCell ref="J1523:K1523"/>
    <mergeCell ref="L1523:M1523"/>
    <mergeCell ref="P1523:Q1523"/>
    <mergeCell ref="AJ1523:AK1523"/>
    <mergeCell ref="AL1523:AM1523"/>
    <mergeCell ref="AN1523:AO1523"/>
    <mergeCell ref="AP1523:AQ1523"/>
    <mergeCell ref="AR1523:AS1523"/>
    <mergeCell ref="AT1523:AU1523"/>
    <mergeCell ref="AV1523:AW1523"/>
    <mergeCell ref="BA1522:BB1522"/>
    <mergeCell ref="AB1524:AE1524"/>
    <mergeCell ref="AF1524:AG1524"/>
    <mergeCell ref="AH1524:AI1524"/>
    <mergeCell ref="D1526:E1526"/>
    <mergeCell ref="F1526:G1526"/>
    <mergeCell ref="H1526:I1526"/>
    <mergeCell ref="J1526:K1526"/>
    <mergeCell ref="L1526:M1526"/>
    <mergeCell ref="P1526:Q1526"/>
    <mergeCell ref="BD1527:BE1527"/>
    <mergeCell ref="BF1527:BI1527"/>
    <mergeCell ref="AN1527:AO1527"/>
    <mergeCell ref="AP1527:AQ1527"/>
    <mergeCell ref="AR1527:AS1527"/>
    <mergeCell ref="AT1527:AU1527"/>
    <mergeCell ref="AV1527:AW1527"/>
    <mergeCell ref="AX1527:AZ1527"/>
    <mergeCell ref="BA1527:BB1527"/>
    <mergeCell ref="R1525:S1525"/>
    <mergeCell ref="T1525:U1525"/>
    <mergeCell ref="V1525:W1525"/>
    <mergeCell ref="J1530:K1530"/>
    <mergeCell ref="L1530:M1530"/>
    <mergeCell ref="P1530:Q1530"/>
    <mergeCell ref="B1531:C1531"/>
    <mergeCell ref="D1531:E1531"/>
    <mergeCell ref="F1531:G1531"/>
    <mergeCell ref="H1531:I1531"/>
    <mergeCell ref="J1531:K1531"/>
    <mergeCell ref="L1531:M1531"/>
    <mergeCell ref="P1531:Q1531"/>
    <mergeCell ref="AJ1530:AK1530"/>
    <mergeCell ref="AL1530:AM1530"/>
    <mergeCell ref="AN1530:AO1530"/>
    <mergeCell ref="AP1530:AQ1530"/>
    <mergeCell ref="AR1530:AS1530"/>
    <mergeCell ref="AT1530:AU1530"/>
    <mergeCell ref="AV1530:AW1530"/>
    <mergeCell ref="B1530:C1530"/>
    <mergeCell ref="D1530:E1530"/>
    <mergeCell ref="F1530:G1530"/>
    <mergeCell ref="H1530:I1530"/>
    <mergeCell ref="BD1524:BE1524"/>
    <mergeCell ref="BF1524:BI1524"/>
    <mergeCell ref="AN1524:AO1524"/>
    <mergeCell ref="AP1524:AQ1524"/>
    <mergeCell ref="AR1524:AS1524"/>
    <mergeCell ref="AT1524:AU1524"/>
    <mergeCell ref="AV1524:AW1524"/>
    <mergeCell ref="AX1524:AZ1524"/>
    <mergeCell ref="BA1524:BB1524"/>
    <mergeCell ref="AJ1529:AK1529"/>
    <mergeCell ref="AL1529:AM1529"/>
    <mergeCell ref="R1529:S1529"/>
    <mergeCell ref="T1529:U1529"/>
    <mergeCell ref="V1529:W1529"/>
    <mergeCell ref="X1529:AA1529"/>
    <mergeCell ref="AB1529:AE1529"/>
    <mergeCell ref="AF1529:AG1529"/>
    <mergeCell ref="AH1529:AI1529"/>
    <mergeCell ref="R1530:S1530"/>
    <mergeCell ref="T1530:U1530"/>
    <mergeCell ref="V1530:W1530"/>
    <mergeCell ref="X1530:AA1530"/>
    <mergeCell ref="B1525:C1525"/>
    <mergeCell ref="D1525:E1525"/>
    <mergeCell ref="F1525:G1525"/>
    <mergeCell ref="H1525:I1525"/>
    <mergeCell ref="J1525:K1525"/>
    <mergeCell ref="L1525:M1525"/>
    <mergeCell ref="P1525:Q1525"/>
    <mergeCell ref="AX1526:AZ1526"/>
    <mergeCell ref="BA1526:BB1526"/>
    <mergeCell ref="BD1526:BE1526"/>
    <mergeCell ref="BF1526:BI1526"/>
    <mergeCell ref="BJ1526:BM1526"/>
    <mergeCell ref="BN1526:BV1526"/>
    <mergeCell ref="BJ1527:BM1527"/>
    <mergeCell ref="BN1527:BV1527"/>
    <mergeCell ref="B1527:C1527"/>
    <mergeCell ref="D1527:E1527"/>
    <mergeCell ref="F1527:G1527"/>
    <mergeCell ref="H1527:I1527"/>
    <mergeCell ref="J1527:K1527"/>
    <mergeCell ref="L1527:M1527"/>
    <mergeCell ref="P1527:Q1527"/>
    <mergeCell ref="AJ1526:AK1526"/>
    <mergeCell ref="AL1526:AM1526"/>
    <mergeCell ref="AN1526:AO1526"/>
    <mergeCell ref="AP1526:AQ1526"/>
    <mergeCell ref="AR1526:AS1526"/>
    <mergeCell ref="AT1526:AU1526"/>
    <mergeCell ref="AV1526:AW1526"/>
    <mergeCell ref="R1526:S1526"/>
    <mergeCell ref="T1526:U1526"/>
    <mergeCell ref="V1526:W1526"/>
    <mergeCell ref="X1526:AA1526"/>
    <mergeCell ref="AB1526:AE1526"/>
    <mergeCell ref="AF1526:AG1526"/>
    <mergeCell ref="AH1526:AI1526"/>
    <mergeCell ref="B1526:C1526"/>
    <mergeCell ref="R1536:S1536"/>
    <mergeCell ref="T1536:U1536"/>
    <mergeCell ref="V1536:W1536"/>
    <mergeCell ref="X1536:AA1536"/>
    <mergeCell ref="AB1536:AE1536"/>
    <mergeCell ref="AF1536:AG1536"/>
    <mergeCell ref="AH1536:AI1536"/>
    <mergeCell ref="AX1537:AZ1537"/>
    <mergeCell ref="BA1537:BB1537"/>
    <mergeCell ref="BD1537:BE1537"/>
    <mergeCell ref="BF1537:BI1537"/>
    <mergeCell ref="BJ1537:BM1537"/>
    <mergeCell ref="BN1537:BV1537"/>
    <mergeCell ref="BJ1535:BM1535"/>
    <mergeCell ref="BN1535:BV1535"/>
    <mergeCell ref="BJ1536:BM1536"/>
    <mergeCell ref="BN1536:BV1536"/>
    <mergeCell ref="BN1534:BV1534"/>
    <mergeCell ref="AJ1534:AK1534"/>
    <mergeCell ref="AL1534:AM1534"/>
    <mergeCell ref="AN1534:AO1534"/>
    <mergeCell ref="AP1534:AQ1534"/>
    <mergeCell ref="AR1534:AS1534"/>
    <mergeCell ref="AT1534:AU1534"/>
    <mergeCell ref="AV1534:AW1534"/>
    <mergeCell ref="BJ1525:BM1525"/>
    <mergeCell ref="BN1525:BV1525"/>
    <mergeCell ref="AJ1525:AK1525"/>
    <mergeCell ref="AL1525:AM1525"/>
    <mergeCell ref="AN1525:AO1525"/>
    <mergeCell ref="AP1525:AQ1525"/>
    <mergeCell ref="AR1525:AS1525"/>
    <mergeCell ref="AT1525:AU1525"/>
    <mergeCell ref="AV1525:AW1525"/>
    <mergeCell ref="AB1530:AE1530"/>
    <mergeCell ref="AF1530:AG1530"/>
    <mergeCell ref="AH1530:AI1530"/>
    <mergeCell ref="BJ1532:BM1532"/>
    <mergeCell ref="BN1532:BV1532"/>
    <mergeCell ref="V1539:W1539"/>
    <mergeCell ref="X1539:AA1539"/>
    <mergeCell ref="AB1539:AE1539"/>
    <mergeCell ref="AF1539:AG1539"/>
    <mergeCell ref="AH1539:AI1539"/>
    <mergeCell ref="AX1539:AZ1539"/>
    <mergeCell ref="BA1539:BB1539"/>
    <mergeCell ref="BD1539:BE1539"/>
    <mergeCell ref="BF1539:BI1539"/>
    <mergeCell ref="BJ1539:BM1539"/>
    <mergeCell ref="BN1539:BV1539"/>
    <mergeCell ref="BJ1540:BM1540"/>
    <mergeCell ref="BN1540:BV1540"/>
    <mergeCell ref="AJ1531:AK1531"/>
    <mergeCell ref="AL1531:AM1531"/>
    <mergeCell ref="R1531:S1531"/>
    <mergeCell ref="T1531:U1531"/>
    <mergeCell ref="V1531:W1531"/>
    <mergeCell ref="X1531:AA1531"/>
    <mergeCell ref="AB1531:AE1531"/>
    <mergeCell ref="AF1531:AG1531"/>
    <mergeCell ref="AH1531:AI1531"/>
    <mergeCell ref="R1532:S1532"/>
    <mergeCell ref="T1532:U1532"/>
    <mergeCell ref="V1532:W1532"/>
    <mergeCell ref="X1532:AA1532"/>
    <mergeCell ref="AB1532:AE1532"/>
    <mergeCell ref="AF1532:AG1532"/>
    <mergeCell ref="AH1532:AI1532"/>
    <mergeCell ref="AX1532:AZ1532"/>
    <mergeCell ref="BA1532:BB1532"/>
    <mergeCell ref="BD1532:BE1532"/>
    <mergeCell ref="BF1532:BI1532"/>
    <mergeCell ref="BD1536:BE1536"/>
    <mergeCell ref="BF1536:BI1536"/>
    <mergeCell ref="AN1536:AO1536"/>
    <mergeCell ref="AP1536:AQ1536"/>
    <mergeCell ref="AR1536:AS1536"/>
    <mergeCell ref="AT1536:AU1536"/>
    <mergeCell ref="AV1536:AW1536"/>
    <mergeCell ref="AX1536:AZ1536"/>
    <mergeCell ref="BA1536:BB1536"/>
    <mergeCell ref="AX1535:AZ1535"/>
    <mergeCell ref="BA1535:BB1535"/>
    <mergeCell ref="BD1535:BE1535"/>
    <mergeCell ref="BF1535:BI1535"/>
    <mergeCell ref="AJ1533:AK1533"/>
    <mergeCell ref="AL1533:AM1533"/>
    <mergeCell ref="AX1534:AZ1534"/>
    <mergeCell ref="BA1534:BB1534"/>
    <mergeCell ref="BD1534:BE1534"/>
    <mergeCell ref="BF1534:BI1534"/>
    <mergeCell ref="BJ1534:BM1534"/>
    <mergeCell ref="BJ1533:BM1533"/>
    <mergeCell ref="BN1533:BV1533"/>
    <mergeCell ref="R1533:S1533"/>
    <mergeCell ref="T1533:U1533"/>
    <mergeCell ref="V1533:W1533"/>
    <mergeCell ref="X1533:AA1533"/>
    <mergeCell ref="AB1533:AE1533"/>
    <mergeCell ref="AF1533:AG1533"/>
    <mergeCell ref="AH1533:AI1533"/>
    <mergeCell ref="AJ1536:AK1536"/>
    <mergeCell ref="AL1536:AM1536"/>
    <mergeCell ref="AP1539:AQ1539"/>
    <mergeCell ref="B1536:C1536"/>
    <mergeCell ref="D1536:E1536"/>
    <mergeCell ref="F1536:G1536"/>
    <mergeCell ref="H1536:I1536"/>
    <mergeCell ref="J1536:K1536"/>
    <mergeCell ref="L1536:M1536"/>
    <mergeCell ref="BD1533:BE1533"/>
    <mergeCell ref="BF1533:BI1533"/>
    <mergeCell ref="AN1533:AO1533"/>
    <mergeCell ref="AP1533:AQ1533"/>
    <mergeCell ref="AR1533:AS1533"/>
    <mergeCell ref="AT1533:AU1533"/>
    <mergeCell ref="AV1533:AW1533"/>
    <mergeCell ref="AX1533:AZ1533"/>
    <mergeCell ref="BA1533:BB1533"/>
    <mergeCell ref="BJ1538:BM1538"/>
    <mergeCell ref="BN1538:BV1538"/>
    <mergeCell ref="B1537:C1537"/>
    <mergeCell ref="D1537:E1537"/>
    <mergeCell ref="F1537:G1537"/>
    <mergeCell ref="H1537:I1537"/>
    <mergeCell ref="J1537:K1537"/>
    <mergeCell ref="L1537:M1537"/>
    <mergeCell ref="P1537:Q1537"/>
    <mergeCell ref="B1538:C1538"/>
    <mergeCell ref="D1538:E1538"/>
    <mergeCell ref="F1538:G1538"/>
    <mergeCell ref="H1538:I1538"/>
    <mergeCell ref="J1538:K1538"/>
    <mergeCell ref="L1538:M1538"/>
    <mergeCell ref="P1538:Q1538"/>
    <mergeCell ref="AJ1537:AK1537"/>
    <mergeCell ref="AL1537:AM1537"/>
    <mergeCell ref="AN1537:AO1537"/>
    <mergeCell ref="AP1537:AQ1537"/>
    <mergeCell ref="AR1537:AS1537"/>
    <mergeCell ref="AT1537:AU1537"/>
    <mergeCell ref="AV1537:AW1537"/>
    <mergeCell ref="B1539:C1539"/>
    <mergeCell ref="D1539:E1539"/>
    <mergeCell ref="F1539:G1539"/>
    <mergeCell ref="H1539:I1539"/>
    <mergeCell ref="J1539:K1539"/>
    <mergeCell ref="BD1538:BE1538"/>
    <mergeCell ref="BF1538:BI1538"/>
    <mergeCell ref="AN1538:AO1538"/>
    <mergeCell ref="AP1538:AQ1538"/>
    <mergeCell ref="AR1538:AS1538"/>
    <mergeCell ref="AT1538:AU1538"/>
    <mergeCell ref="AV1538:AW1538"/>
    <mergeCell ref="AX1538:AZ1538"/>
    <mergeCell ref="BA1538:BB1538"/>
    <mergeCell ref="AJ1538:AK1538"/>
    <mergeCell ref="AL1538:AM1538"/>
    <mergeCell ref="R1538:S1538"/>
    <mergeCell ref="T1538:U1538"/>
    <mergeCell ref="V1538:W1538"/>
    <mergeCell ref="X1538:AA1538"/>
    <mergeCell ref="AB1538:AE1538"/>
    <mergeCell ref="AF1538:AG1538"/>
    <mergeCell ref="AH1538:AI1538"/>
    <mergeCell ref="R1539:S1539"/>
    <mergeCell ref="T1539:U1539"/>
    <mergeCell ref="B1532:C1532"/>
    <mergeCell ref="D1532:E1532"/>
    <mergeCell ref="F1532:G1532"/>
    <mergeCell ref="H1532:I1532"/>
    <mergeCell ref="J1532:K1532"/>
    <mergeCell ref="L1532:M1532"/>
    <mergeCell ref="P1532:Q1532"/>
    <mergeCell ref="AJ1532:AK1532"/>
    <mergeCell ref="AL1532:AM1532"/>
    <mergeCell ref="AN1532:AO1532"/>
    <mergeCell ref="AP1532:AQ1532"/>
    <mergeCell ref="AR1532:AS1532"/>
    <mergeCell ref="AT1532:AU1532"/>
    <mergeCell ref="AV1532:AW1532"/>
    <mergeCell ref="B1533:C1533"/>
    <mergeCell ref="D1533:E1533"/>
    <mergeCell ref="F1533:G1533"/>
    <mergeCell ref="H1533:I1533"/>
    <mergeCell ref="J1533:K1533"/>
    <mergeCell ref="L1533:M1533"/>
    <mergeCell ref="P1533:Q1533"/>
    <mergeCell ref="R1535:S1535"/>
    <mergeCell ref="T1535:U1535"/>
    <mergeCell ref="V1535:W1535"/>
    <mergeCell ref="X1535:AA1535"/>
    <mergeCell ref="AB1535:AE1535"/>
    <mergeCell ref="AF1535:AG1535"/>
    <mergeCell ref="AH1535:AI1535"/>
    <mergeCell ref="B1535:C1535"/>
    <mergeCell ref="D1535:E1535"/>
    <mergeCell ref="F1535:G1535"/>
    <mergeCell ref="H1535:I1535"/>
    <mergeCell ref="J1535:K1535"/>
    <mergeCell ref="L1535:M1535"/>
    <mergeCell ref="P1535:Q1535"/>
    <mergeCell ref="R1534:S1534"/>
    <mergeCell ref="T1534:U1534"/>
    <mergeCell ref="V1534:W1534"/>
    <mergeCell ref="X1534:AA1534"/>
    <mergeCell ref="AB1534:AE1534"/>
    <mergeCell ref="AF1534:AG1534"/>
    <mergeCell ref="AH1534:AI1534"/>
    <mergeCell ref="B1534:C1534"/>
    <mergeCell ref="D1534:E1534"/>
    <mergeCell ref="F1534:G1534"/>
    <mergeCell ref="H1534:I1534"/>
    <mergeCell ref="J1534:K1534"/>
    <mergeCell ref="L1534:M1534"/>
    <mergeCell ref="P1534:Q1534"/>
    <mergeCell ref="P1536:Q1536"/>
    <mergeCell ref="AJ1535:AK1535"/>
    <mergeCell ref="AL1535:AM1535"/>
    <mergeCell ref="AN1535:AO1535"/>
    <mergeCell ref="AP1535:AQ1535"/>
    <mergeCell ref="AR1535:AS1535"/>
    <mergeCell ref="AT1535:AU1535"/>
    <mergeCell ref="AV1535:AW1535"/>
    <mergeCell ref="L1539:M1539"/>
    <mergeCell ref="P1539:Q1539"/>
    <mergeCell ref="B1540:C1540"/>
    <mergeCell ref="P1583:Q1583"/>
    <mergeCell ref="B1584:C1584"/>
    <mergeCell ref="D1584:E1584"/>
    <mergeCell ref="F1584:G1584"/>
    <mergeCell ref="H1584:I1584"/>
    <mergeCell ref="J1584:K1584"/>
    <mergeCell ref="L1584:M1584"/>
    <mergeCell ref="P1584:Q1584"/>
    <mergeCell ref="AJ1583:AK1583"/>
    <mergeCell ref="AL1583:AM1583"/>
    <mergeCell ref="AN1583:AO1583"/>
    <mergeCell ref="AP1583:AQ1583"/>
    <mergeCell ref="AR1583:AS1583"/>
    <mergeCell ref="AT1583:AU1583"/>
    <mergeCell ref="AV1583:AW1583"/>
    <mergeCell ref="B1581:C1581"/>
    <mergeCell ref="D1581:E1581"/>
    <mergeCell ref="F1581:G1581"/>
    <mergeCell ref="H1581:I1581"/>
    <mergeCell ref="J1581:K1581"/>
    <mergeCell ref="L1581:M1581"/>
    <mergeCell ref="P1581:Q1581"/>
    <mergeCell ref="B1582:C1582"/>
    <mergeCell ref="D1582:E1582"/>
    <mergeCell ref="F1582:G1582"/>
    <mergeCell ref="H1582:I1582"/>
    <mergeCell ref="AJ1542:AK1542"/>
    <mergeCell ref="AL1542:AM1542"/>
    <mergeCell ref="AR1539:AS1539"/>
    <mergeCell ref="AT1539:AU1539"/>
    <mergeCell ref="AV1539:AW1539"/>
    <mergeCell ref="R1537:S1537"/>
    <mergeCell ref="T1537:U1537"/>
    <mergeCell ref="V1537:W1537"/>
    <mergeCell ref="X1537:AA1537"/>
    <mergeCell ref="AB1537:AE1537"/>
    <mergeCell ref="AF1537:AG1537"/>
    <mergeCell ref="AH1537:AI1537"/>
    <mergeCell ref="J1582:K1582"/>
    <mergeCell ref="L1582:M1582"/>
    <mergeCell ref="P1582:Q1582"/>
    <mergeCell ref="AF1582:AG1582"/>
    <mergeCell ref="AH1582:AI1582"/>
    <mergeCell ref="R1583:S1583"/>
    <mergeCell ref="T1583:U1583"/>
    <mergeCell ref="V1583:W1583"/>
    <mergeCell ref="X1583:AA1583"/>
    <mergeCell ref="AB1542:AE1542"/>
    <mergeCell ref="AF1542:AG1542"/>
    <mergeCell ref="AH1542:AI1542"/>
    <mergeCell ref="AJ1539:AK1539"/>
    <mergeCell ref="AL1539:AM1539"/>
    <mergeCell ref="AN1539:AO1539"/>
    <mergeCell ref="BJ1594:BM1594"/>
    <mergeCell ref="BN1594:BV1594"/>
    <mergeCell ref="BJ1595:BM1595"/>
    <mergeCell ref="BN1595:BV1595"/>
    <mergeCell ref="AJ1591:AK1591"/>
    <mergeCell ref="AL1591:AM1591"/>
    <mergeCell ref="R1591:S1591"/>
    <mergeCell ref="T1591:U1591"/>
    <mergeCell ref="V1591:W1591"/>
    <mergeCell ref="X1591:AA1591"/>
    <mergeCell ref="AB1591:AE1591"/>
    <mergeCell ref="AF1591:AG1591"/>
    <mergeCell ref="AH1591:AI1591"/>
    <mergeCell ref="R1592:S1592"/>
    <mergeCell ref="T1592:U1592"/>
    <mergeCell ref="V1592:W1592"/>
    <mergeCell ref="X1592:AA1592"/>
    <mergeCell ref="AB1592:AE1592"/>
    <mergeCell ref="AF1592:AG1592"/>
    <mergeCell ref="AH1592:AI1592"/>
    <mergeCell ref="AX1592:AZ1592"/>
    <mergeCell ref="BA1592:BB1592"/>
    <mergeCell ref="BD1592:BE1592"/>
    <mergeCell ref="BF1592:BI1592"/>
    <mergeCell ref="BJ1592:BM1592"/>
    <mergeCell ref="BN1592:BV1592"/>
    <mergeCell ref="BJ1593:BM1593"/>
    <mergeCell ref="BN1593:BV1593"/>
    <mergeCell ref="AJ1592:AK1592"/>
    <mergeCell ref="AL1592:AM1592"/>
    <mergeCell ref="AN1592:AO1592"/>
    <mergeCell ref="AP1592:AQ1592"/>
    <mergeCell ref="AR1592:AS1592"/>
    <mergeCell ref="AT1592:AU1592"/>
    <mergeCell ref="AV1592:AW1592"/>
    <mergeCell ref="J1595:K1595"/>
    <mergeCell ref="L1595:M1595"/>
    <mergeCell ref="P1595:Q1595"/>
    <mergeCell ref="AJ1594:AK1594"/>
    <mergeCell ref="AL1594:AM1594"/>
    <mergeCell ref="AN1594:AO1594"/>
    <mergeCell ref="AP1594:AQ1594"/>
    <mergeCell ref="AR1594:AS1594"/>
    <mergeCell ref="AT1594:AU1594"/>
    <mergeCell ref="AV1594:AW1594"/>
    <mergeCell ref="BD1588:BE1588"/>
    <mergeCell ref="BF1588:BI1588"/>
    <mergeCell ref="AN1588:AO1588"/>
    <mergeCell ref="AP1588:AQ1588"/>
    <mergeCell ref="AR1588:AS1588"/>
    <mergeCell ref="AT1588:AU1588"/>
    <mergeCell ref="AV1588:AW1588"/>
    <mergeCell ref="AX1588:AZ1588"/>
    <mergeCell ref="BA1588:BB1588"/>
    <mergeCell ref="AJ1586:AK1586"/>
    <mergeCell ref="AL1586:AM1586"/>
    <mergeCell ref="R1586:S1586"/>
    <mergeCell ref="T1586:U1586"/>
    <mergeCell ref="V1586:W1586"/>
    <mergeCell ref="X1586:AA1586"/>
    <mergeCell ref="AB1586:AE1586"/>
    <mergeCell ref="AF1586:AG1586"/>
    <mergeCell ref="AH1586:AI1586"/>
    <mergeCell ref="R1587:S1587"/>
    <mergeCell ref="T1587:U1587"/>
    <mergeCell ref="V1587:W1587"/>
    <mergeCell ref="X1587:AA1587"/>
    <mergeCell ref="AB1587:AE1587"/>
    <mergeCell ref="AF1587:AG1587"/>
    <mergeCell ref="AH1587:AI1587"/>
    <mergeCell ref="AX1587:AZ1587"/>
    <mergeCell ref="BA1587:BB1587"/>
    <mergeCell ref="BD1587:BE1587"/>
    <mergeCell ref="BF1587:BI1587"/>
    <mergeCell ref="BD1591:BE1591"/>
    <mergeCell ref="BF1591:BI1591"/>
    <mergeCell ref="AN1591:AO1591"/>
    <mergeCell ref="AP1591:AQ1591"/>
    <mergeCell ref="AR1591:AS1591"/>
    <mergeCell ref="AT1591:AU1591"/>
    <mergeCell ref="AV1591:AW1591"/>
    <mergeCell ref="AX1591:AZ1591"/>
    <mergeCell ref="BA1591:BB1591"/>
    <mergeCell ref="AX1590:AZ1590"/>
    <mergeCell ref="BA1590:BB1590"/>
    <mergeCell ref="BD1590:BE1590"/>
    <mergeCell ref="BF1590:BI1590"/>
    <mergeCell ref="BD1595:BE1595"/>
    <mergeCell ref="BD1586:BE1586"/>
    <mergeCell ref="BF1586:BI1586"/>
    <mergeCell ref="AN1586:AO1586"/>
    <mergeCell ref="AP1586:AQ1586"/>
    <mergeCell ref="AR1586:AS1586"/>
    <mergeCell ref="AT1586:AU1586"/>
    <mergeCell ref="AV1586:AW1586"/>
    <mergeCell ref="AX1586:AZ1586"/>
    <mergeCell ref="BA1586:BB1586"/>
    <mergeCell ref="AJ1588:AK1588"/>
    <mergeCell ref="AL1588:AM1588"/>
    <mergeCell ref="BJ1587:BM1587"/>
    <mergeCell ref="BN1587:BV1587"/>
    <mergeCell ref="B1587:C1587"/>
    <mergeCell ref="D1587:E1587"/>
    <mergeCell ref="F1587:G1587"/>
    <mergeCell ref="H1587:I1587"/>
    <mergeCell ref="J1587:K1587"/>
    <mergeCell ref="L1587:M1587"/>
    <mergeCell ref="P1587:Q1587"/>
    <mergeCell ref="AJ1587:AK1587"/>
    <mergeCell ref="AL1587:AM1587"/>
    <mergeCell ref="AN1587:AO1587"/>
    <mergeCell ref="AP1587:AQ1587"/>
    <mergeCell ref="AR1587:AS1587"/>
    <mergeCell ref="AT1587:AU1587"/>
    <mergeCell ref="AV1587:AW1587"/>
    <mergeCell ref="B1588:C1588"/>
    <mergeCell ref="D1588:E1588"/>
    <mergeCell ref="F1588:G1588"/>
    <mergeCell ref="H1588:I1588"/>
    <mergeCell ref="J1588:K1588"/>
    <mergeCell ref="L1588:M1588"/>
    <mergeCell ref="P1588:Q1588"/>
    <mergeCell ref="R1590:S1590"/>
    <mergeCell ref="T1590:U1590"/>
    <mergeCell ref="V1590:W1590"/>
    <mergeCell ref="X1590:AA1590"/>
    <mergeCell ref="AB1590:AE1590"/>
    <mergeCell ref="AF1590:AG1590"/>
    <mergeCell ref="AH1590:AI1590"/>
    <mergeCell ref="B1590:C1590"/>
    <mergeCell ref="D1590:E1590"/>
    <mergeCell ref="F1590:G1590"/>
    <mergeCell ref="H1590:I1590"/>
    <mergeCell ref="J1590:K1590"/>
    <mergeCell ref="L1590:M1590"/>
    <mergeCell ref="P1590:Q1590"/>
    <mergeCell ref="R1589:S1589"/>
    <mergeCell ref="T1589:U1589"/>
    <mergeCell ref="V1589:W1589"/>
    <mergeCell ref="X1589:AA1589"/>
    <mergeCell ref="AB1589:AE1589"/>
    <mergeCell ref="AF1589:AG1589"/>
    <mergeCell ref="AH1589:AI1589"/>
    <mergeCell ref="AX1589:AZ1589"/>
    <mergeCell ref="BA1589:BB1589"/>
    <mergeCell ref="BD1589:BE1589"/>
    <mergeCell ref="BF1589:BI1589"/>
    <mergeCell ref="BJ1589:BM1589"/>
    <mergeCell ref="BN1589:BV1589"/>
    <mergeCell ref="AJ1589:AK1589"/>
    <mergeCell ref="AL1589:AM1589"/>
    <mergeCell ref="AN1589:AO1589"/>
    <mergeCell ref="AP1589:AQ1589"/>
    <mergeCell ref="AR1589:AS1589"/>
    <mergeCell ref="AT1589:AU1589"/>
    <mergeCell ref="AV1589:AW1589"/>
    <mergeCell ref="B1589:C1589"/>
    <mergeCell ref="D1589:E1589"/>
    <mergeCell ref="F1589:G1589"/>
    <mergeCell ref="H1589:I1589"/>
    <mergeCell ref="J1589:K1589"/>
    <mergeCell ref="L1589:M1589"/>
    <mergeCell ref="P1589:Q1589"/>
    <mergeCell ref="BJ1590:BM1590"/>
    <mergeCell ref="BN1590:BV1590"/>
    <mergeCell ref="BJ1591:BM1591"/>
    <mergeCell ref="BN1591:BV1591"/>
    <mergeCell ref="B1591:C1591"/>
    <mergeCell ref="D1591:E1591"/>
    <mergeCell ref="F1591:G1591"/>
    <mergeCell ref="H1591:I1591"/>
    <mergeCell ref="J1591:K1591"/>
    <mergeCell ref="L1591:M1591"/>
    <mergeCell ref="P1591:Q1591"/>
    <mergeCell ref="AJ1590:AK1590"/>
    <mergeCell ref="AL1590:AM1590"/>
    <mergeCell ref="AN1590:AO1590"/>
    <mergeCell ref="AP1590:AQ1590"/>
    <mergeCell ref="AR1590:AS1590"/>
    <mergeCell ref="AT1590:AU1590"/>
    <mergeCell ref="AV1590:AW1590"/>
    <mergeCell ref="BD1593:BE1593"/>
    <mergeCell ref="BF1593:BI1593"/>
    <mergeCell ref="AN1593:AO1593"/>
    <mergeCell ref="AP1593:AQ1593"/>
    <mergeCell ref="AR1593:AS1593"/>
    <mergeCell ref="AT1593:AU1593"/>
    <mergeCell ref="AV1593:AW1593"/>
    <mergeCell ref="AX1593:AZ1593"/>
    <mergeCell ref="BA1593:BB1593"/>
    <mergeCell ref="AJ1611:AK1611"/>
    <mergeCell ref="AL1611:AM1611"/>
    <mergeCell ref="BJ1611:BM1611"/>
    <mergeCell ref="BN1611:BV1611"/>
    <mergeCell ref="R1611:S1611"/>
    <mergeCell ref="T1611:U1611"/>
    <mergeCell ref="V1611:W1611"/>
    <mergeCell ref="X1611:AA1611"/>
    <mergeCell ref="AB1611:AE1611"/>
    <mergeCell ref="AF1611:AG1611"/>
    <mergeCell ref="AH1611:AI1611"/>
    <mergeCell ref="BD1599:BE1599"/>
    <mergeCell ref="BF1599:BI1599"/>
    <mergeCell ref="AN1599:AO1599"/>
    <mergeCell ref="AP1599:AQ1599"/>
    <mergeCell ref="AR1599:AS1599"/>
    <mergeCell ref="AT1599:AU1599"/>
    <mergeCell ref="AV1599:AW1599"/>
    <mergeCell ref="AX1599:AZ1599"/>
    <mergeCell ref="BA1599:BB1599"/>
    <mergeCell ref="AJ1597:AK1597"/>
    <mergeCell ref="AL1597:AM1597"/>
    <mergeCell ref="R1597:S1597"/>
    <mergeCell ref="T1597:U1597"/>
    <mergeCell ref="V1597:W1597"/>
    <mergeCell ref="X1597:AA1597"/>
    <mergeCell ref="AB1597:AE1597"/>
    <mergeCell ref="AF1597:AG1597"/>
    <mergeCell ref="AH1597:AI1597"/>
    <mergeCell ref="R1598:S1598"/>
    <mergeCell ref="T1598:U1598"/>
    <mergeCell ref="V1598:W1598"/>
    <mergeCell ref="X1598:AA1598"/>
    <mergeCell ref="AB1598:AE1598"/>
    <mergeCell ref="AF1598:AG1598"/>
    <mergeCell ref="AH1598:AI1598"/>
    <mergeCell ref="AX1598:AZ1598"/>
    <mergeCell ref="BA1598:BB1598"/>
    <mergeCell ref="BD1598:BE1598"/>
    <mergeCell ref="BF1598:BI1598"/>
    <mergeCell ref="BJ1598:BM1598"/>
    <mergeCell ref="BN1598:BV1598"/>
    <mergeCell ref="BJ1599:BM1599"/>
    <mergeCell ref="BN1599:BV1599"/>
    <mergeCell ref="B1598:C1598"/>
    <mergeCell ref="D1598:E1598"/>
    <mergeCell ref="F1598:G1598"/>
    <mergeCell ref="H1598:I1598"/>
    <mergeCell ref="J1598:K1598"/>
    <mergeCell ref="L1598:M1598"/>
    <mergeCell ref="P1598:Q1598"/>
    <mergeCell ref="B1599:C1599"/>
    <mergeCell ref="D1599:E1599"/>
    <mergeCell ref="F1599:G1599"/>
    <mergeCell ref="H1599:I1599"/>
    <mergeCell ref="J1599:K1599"/>
    <mergeCell ref="L1599:M1599"/>
    <mergeCell ref="P1599:Q1599"/>
    <mergeCell ref="AJ1598:AK1598"/>
    <mergeCell ref="AL1598:AM1598"/>
    <mergeCell ref="AN1598:AO1598"/>
    <mergeCell ref="AP1598:AQ1598"/>
    <mergeCell ref="AR1598:AS1598"/>
    <mergeCell ref="AT1598:AU1598"/>
    <mergeCell ref="AV1598:AW1598"/>
    <mergeCell ref="BD1601:BE1601"/>
    <mergeCell ref="BF1601:BI1601"/>
    <mergeCell ref="AN1601:AO1601"/>
    <mergeCell ref="AP1601:AQ1601"/>
    <mergeCell ref="AR1601:AS1601"/>
    <mergeCell ref="AT1601:AU1601"/>
    <mergeCell ref="AV1601:AW1601"/>
    <mergeCell ref="AX1601:AZ1601"/>
    <mergeCell ref="BA1601:BB1601"/>
    <mergeCell ref="AJ1599:AK1599"/>
    <mergeCell ref="AL1599:AM1599"/>
    <mergeCell ref="R1599:S1599"/>
    <mergeCell ref="T1599:U1599"/>
    <mergeCell ref="V1599:W1599"/>
    <mergeCell ref="X1599:AA1599"/>
    <mergeCell ref="AB1599:AE1599"/>
    <mergeCell ref="AF1599:AG1599"/>
    <mergeCell ref="AH1599:AI1599"/>
    <mergeCell ref="R1600:S1600"/>
    <mergeCell ref="T1600:U1600"/>
    <mergeCell ref="V1600:W1600"/>
    <mergeCell ref="X1600:AA1600"/>
    <mergeCell ref="AB1600:AE1600"/>
    <mergeCell ref="AF1600:AG1600"/>
    <mergeCell ref="AH1600:AI1600"/>
    <mergeCell ref="AX1600:AZ1600"/>
    <mergeCell ref="BA1600:BB1600"/>
    <mergeCell ref="BD1600:BE1600"/>
    <mergeCell ref="BF1600:BI1600"/>
    <mergeCell ref="BJ1600:BM1600"/>
    <mergeCell ref="BN1600:BV1600"/>
    <mergeCell ref="BJ1601:BM1601"/>
    <mergeCell ref="BN1601:BV1601"/>
    <mergeCell ref="B1600:C1600"/>
    <mergeCell ref="D1600:E1600"/>
    <mergeCell ref="F1600:G1600"/>
    <mergeCell ref="H1600:I1600"/>
    <mergeCell ref="J1600:K1600"/>
    <mergeCell ref="L1600:M1600"/>
    <mergeCell ref="P1600:Q1600"/>
    <mergeCell ref="B1601:C1601"/>
    <mergeCell ref="D1601:E1601"/>
    <mergeCell ref="F1601:G1601"/>
    <mergeCell ref="H1601:I1601"/>
    <mergeCell ref="J1601:K1601"/>
    <mergeCell ref="L1601:M1601"/>
    <mergeCell ref="P1601:Q1601"/>
    <mergeCell ref="AJ1600:AK1600"/>
    <mergeCell ref="AL1600:AM1600"/>
    <mergeCell ref="AN1600:AO1600"/>
    <mergeCell ref="AP1600:AQ1600"/>
    <mergeCell ref="AR1600:AS1600"/>
    <mergeCell ref="AT1600:AU1600"/>
    <mergeCell ref="AV1600:AW1600"/>
    <mergeCell ref="BD1603:BE1603"/>
    <mergeCell ref="BF1603:BI1603"/>
    <mergeCell ref="AN1603:AO1603"/>
    <mergeCell ref="AP1603:AQ1603"/>
    <mergeCell ref="AR1603:AS1603"/>
    <mergeCell ref="AT1603:AU1603"/>
    <mergeCell ref="AV1603:AW1603"/>
    <mergeCell ref="AX1603:AZ1603"/>
    <mergeCell ref="BA1603:BB1603"/>
    <mergeCell ref="AJ1601:AK1601"/>
    <mergeCell ref="AL1601:AM1601"/>
    <mergeCell ref="R1601:S1601"/>
    <mergeCell ref="T1601:U1601"/>
    <mergeCell ref="V1601:W1601"/>
    <mergeCell ref="X1601:AA1601"/>
    <mergeCell ref="AB1601:AE1601"/>
    <mergeCell ref="AF1601:AG1601"/>
    <mergeCell ref="AH1601:AI1601"/>
    <mergeCell ref="R1602:S1602"/>
    <mergeCell ref="T1602:U1602"/>
    <mergeCell ref="V1602:W1602"/>
    <mergeCell ref="X1602:AA1602"/>
    <mergeCell ref="AB1602:AE1602"/>
    <mergeCell ref="AF1602:AG1602"/>
    <mergeCell ref="AH1602:AI1602"/>
    <mergeCell ref="AX1602:AZ1602"/>
    <mergeCell ref="BA1602:BB1602"/>
    <mergeCell ref="BD1602:BE1602"/>
    <mergeCell ref="BF1602:BI1602"/>
    <mergeCell ref="BJ1602:BM1602"/>
    <mergeCell ref="BN1602:BV1602"/>
    <mergeCell ref="BJ1603:BM1603"/>
    <mergeCell ref="BN1603:BV1603"/>
    <mergeCell ref="B1602:C1602"/>
    <mergeCell ref="D1602:E1602"/>
    <mergeCell ref="F1602:G1602"/>
    <mergeCell ref="H1602:I1602"/>
    <mergeCell ref="J1602:K1602"/>
    <mergeCell ref="L1602:M1602"/>
    <mergeCell ref="P1602:Q1602"/>
    <mergeCell ref="B1603:C1603"/>
    <mergeCell ref="D1603:E1603"/>
    <mergeCell ref="F1603:G1603"/>
    <mergeCell ref="H1603:I1603"/>
    <mergeCell ref="J1603:K1603"/>
    <mergeCell ref="L1603:M1603"/>
    <mergeCell ref="P1603:Q1603"/>
    <mergeCell ref="AJ1602:AK1602"/>
    <mergeCell ref="AL1602:AM1602"/>
    <mergeCell ref="AN1602:AO1602"/>
    <mergeCell ref="AP1602:AQ1602"/>
    <mergeCell ref="AR1602:AS1602"/>
    <mergeCell ref="AT1602:AU1602"/>
    <mergeCell ref="AV1602:AW1602"/>
    <mergeCell ref="BD1605:BE1605"/>
    <mergeCell ref="BF1605:BI1605"/>
    <mergeCell ref="AN1605:AO1605"/>
    <mergeCell ref="AP1605:AQ1605"/>
    <mergeCell ref="AR1605:AS1605"/>
    <mergeCell ref="AT1605:AU1605"/>
    <mergeCell ref="AV1605:AW1605"/>
    <mergeCell ref="AX1605:AZ1605"/>
    <mergeCell ref="BA1605:BB1605"/>
    <mergeCell ref="AJ1603:AK1603"/>
    <mergeCell ref="AL1603:AM1603"/>
    <mergeCell ref="R1603:S1603"/>
    <mergeCell ref="T1603:U1603"/>
    <mergeCell ref="V1603:W1603"/>
    <mergeCell ref="X1603:AA1603"/>
    <mergeCell ref="AB1603:AE1603"/>
    <mergeCell ref="AF1603:AG1603"/>
    <mergeCell ref="AH1603:AI1603"/>
    <mergeCell ref="R1604:S1604"/>
    <mergeCell ref="T1604:U1604"/>
    <mergeCell ref="V1604:W1604"/>
    <mergeCell ref="X1604:AA1604"/>
    <mergeCell ref="AB1604:AE1604"/>
    <mergeCell ref="AF1604:AG1604"/>
    <mergeCell ref="AH1604:AI1604"/>
    <mergeCell ref="AX1604:AZ1604"/>
    <mergeCell ref="BA1604:BB1604"/>
    <mergeCell ref="BD1604:BE1604"/>
    <mergeCell ref="BF1604:BI1604"/>
    <mergeCell ref="BJ1604:BM1604"/>
    <mergeCell ref="BN1604:BV1604"/>
    <mergeCell ref="BJ1605:BM1605"/>
    <mergeCell ref="BN1605:BV1605"/>
    <mergeCell ref="B1604:C1604"/>
    <mergeCell ref="D1604:E1604"/>
    <mergeCell ref="F1604:G1604"/>
    <mergeCell ref="H1604:I1604"/>
    <mergeCell ref="J1604:K1604"/>
    <mergeCell ref="L1604:M1604"/>
    <mergeCell ref="P1604:Q1604"/>
    <mergeCell ref="B1605:C1605"/>
    <mergeCell ref="D1605:E1605"/>
    <mergeCell ref="F1605:G1605"/>
    <mergeCell ref="H1605:I1605"/>
    <mergeCell ref="J1605:K1605"/>
    <mergeCell ref="L1605:M1605"/>
    <mergeCell ref="P1605:Q1605"/>
    <mergeCell ref="AJ1604:AK1604"/>
    <mergeCell ref="AL1604:AM1604"/>
    <mergeCell ref="AN1604:AO1604"/>
    <mergeCell ref="AP1604:AQ1604"/>
    <mergeCell ref="AR1604:AS1604"/>
    <mergeCell ref="AT1604:AU1604"/>
    <mergeCell ref="AV1604:AW1604"/>
    <mergeCell ref="BD1607:BE1607"/>
    <mergeCell ref="BF1607:BI1607"/>
    <mergeCell ref="AN1607:AO1607"/>
    <mergeCell ref="AP1607:AQ1607"/>
    <mergeCell ref="AR1607:AS1607"/>
    <mergeCell ref="AT1607:AU1607"/>
    <mergeCell ref="AV1607:AW1607"/>
    <mergeCell ref="AX1607:AZ1607"/>
    <mergeCell ref="BA1607:BB1607"/>
    <mergeCell ref="AJ1605:AK1605"/>
    <mergeCell ref="AL1605:AM1605"/>
    <mergeCell ref="R1605:S1605"/>
    <mergeCell ref="T1605:U1605"/>
    <mergeCell ref="V1605:W1605"/>
    <mergeCell ref="X1605:AA1605"/>
    <mergeCell ref="AB1605:AE1605"/>
    <mergeCell ref="AF1605:AG1605"/>
    <mergeCell ref="AH1605:AI1605"/>
    <mergeCell ref="R1606:S1606"/>
    <mergeCell ref="T1606:U1606"/>
    <mergeCell ref="V1606:W1606"/>
    <mergeCell ref="X1606:AA1606"/>
    <mergeCell ref="AB1606:AE1606"/>
    <mergeCell ref="AF1606:AG1606"/>
    <mergeCell ref="AH1606:AI1606"/>
    <mergeCell ref="AX1606:AZ1606"/>
    <mergeCell ref="BA1606:BB1606"/>
    <mergeCell ref="BD1606:BE1606"/>
    <mergeCell ref="BF1606:BI1606"/>
    <mergeCell ref="BJ1607:BM1607"/>
    <mergeCell ref="BN1607:BV1607"/>
    <mergeCell ref="B1606:C1606"/>
    <mergeCell ref="D1606:E1606"/>
    <mergeCell ref="F1606:G1606"/>
    <mergeCell ref="H1606:I1606"/>
    <mergeCell ref="J1606:K1606"/>
    <mergeCell ref="L1606:M1606"/>
    <mergeCell ref="P1606:Q1606"/>
    <mergeCell ref="B1607:C1607"/>
    <mergeCell ref="D1607:E1607"/>
    <mergeCell ref="F1607:G1607"/>
    <mergeCell ref="H1607:I1607"/>
    <mergeCell ref="J1607:K1607"/>
    <mergeCell ref="L1607:M1607"/>
    <mergeCell ref="P1607:Q1607"/>
    <mergeCell ref="AJ1606:AK1606"/>
    <mergeCell ref="AL1606:AM1606"/>
    <mergeCell ref="AN1606:AO1606"/>
    <mergeCell ref="AP1606:AQ1606"/>
    <mergeCell ref="AR1606:AS1606"/>
    <mergeCell ref="AT1606:AU1606"/>
    <mergeCell ref="AV1606:AW1606"/>
    <mergeCell ref="BD1609:BE1609"/>
    <mergeCell ref="BF1609:BI1609"/>
    <mergeCell ref="AN1609:AO1609"/>
    <mergeCell ref="AP1609:AQ1609"/>
    <mergeCell ref="AR1609:AS1609"/>
    <mergeCell ref="AT1609:AU1609"/>
    <mergeCell ref="AV1609:AW1609"/>
    <mergeCell ref="AX1609:AZ1609"/>
    <mergeCell ref="BA1609:BB1609"/>
    <mergeCell ref="AJ1607:AK1607"/>
    <mergeCell ref="AL1607:AM1607"/>
    <mergeCell ref="R1607:S1607"/>
    <mergeCell ref="T1607:U1607"/>
    <mergeCell ref="V1607:W1607"/>
    <mergeCell ref="X1607:AA1607"/>
    <mergeCell ref="AB1607:AE1607"/>
    <mergeCell ref="AF1607:AG1607"/>
    <mergeCell ref="AH1607:AI1607"/>
    <mergeCell ref="R1608:S1608"/>
    <mergeCell ref="T1608:U1608"/>
    <mergeCell ref="V1608:W1608"/>
    <mergeCell ref="X1608:AA1608"/>
    <mergeCell ref="AB1608:AE1608"/>
    <mergeCell ref="AF1608:AG1608"/>
    <mergeCell ref="AH1608:AI1608"/>
    <mergeCell ref="AX1608:AZ1608"/>
    <mergeCell ref="BA1608:BB1608"/>
    <mergeCell ref="BD1608:BE1608"/>
    <mergeCell ref="BF1608:BI1608"/>
    <mergeCell ref="BJ1608:BM1608"/>
    <mergeCell ref="BN1608:BV1608"/>
    <mergeCell ref="BJ1609:BM1609"/>
    <mergeCell ref="BN1609:BV1609"/>
    <mergeCell ref="B1608:C1608"/>
    <mergeCell ref="D1608:E1608"/>
    <mergeCell ref="F1608:G1608"/>
    <mergeCell ref="H1608:I1608"/>
    <mergeCell ref="J1608:K1608"/>
    <mergeCell ref="L1608:M1608"/>
    <mergeCell ref="B1609:C1609"/>
    <mergeCell ref="D1609:E1609"/>
    <mergeCell ref="F1609:G1609"/>
    <mergeCell ref="H1609:I1609"/>
    <mergeCell ref="J1609:K1609"/>
    <mergeCell ref="L1609:M1609"/>
    <mergeCell ref="P1609:Q1609"/>
    <mergeCell ref="AJ1608:AK1608"/>
    <mergeCell ref="AL1608:AM1608"/>
    <mergeCell ref="AN1608:AO1608"/>
    <mergeCell ref="AP1608:AQ1608"/>
    <mergeCell ref="AR1608:AS1608"/>
    <mergeCell ref="AT1608:AU1608"/>
    <mergeCell ref="AV1608:AW1608"/>
    <mergeCell ref="BD1611:BE1611"/>
    <mergeCell ref="BF1611:BI1611"/>
    <mergeCell ref="AN1611:AO1611"/>
    <mergeCell ref="AP1611:AQ1611"/>
    <mergeCell ref="AR1611:AS1611"/>
    <mergeCell ref="AT1611:AU1611"/>
    <mergeCell ref="AV1611:AW1611"/>
    <mergeCell ref="AX1611:AZ1611"/>
    <mergeCell ref="BA1611:BB1611"/>
    <mergeCell ref="AJ1609:AK1609"/>
    <mergeCell ref="AL1609:AM1609"/>
    <mergeCell ref="R1609:S1609"/>
    <mergeCell ref="T1609:U1609"/>
    <mergeCell ref="V1609:W1609"/>
    <mergeCell ref="X1609:AA1609"/>
    <mergeCell ref="AB1609:AE1609"/>
    <mergeCell ref="AF1609:AG1609"/>
    <mergeCell ref="AH1609:AI1609"/>
    <mergeCell ref="R1610:S1610"/>
    <mergeCell ref="T1610:U1610"/>
    <mergeCell ref="V1610:W1610"/>
    <mergeCell ref="X1610:AA1610"/>
    <mergeCell ref="AB1610:AE1610"/>
    <mergeCell ref="AF1610:AG1610"/>
    <mergeCell ref="AH1610:AI1610"/>
    <mergeCell ref="AX1610:AZ1610"/>
    <mergeCell ref="BA1610:BB1610"/>
    <mergeCell ref="BD1610:BE1610"/>
    <mergeCell ref="BF1610:BI1610"/>
    <mergeCell ref="B1610:C1610"/>
    <mergeCell ref="D1610:E1610"/>
    <mergeCell ref="F1610:G1610"/>
    <mergeCell ref="H1610:I1610"/>
    <mergeCell ref="J1610:K1610"/>
    <mergeCell ref="L1610:M1610"/>
    <mergeCell ref="P1610:Q1610"/>
    <mergeCell ref="AJ1610:AK1610"/>
    <mergeCell ref="AL1610:AM1610"/>
    <mergeCell ref="AN1610:AO1610"/>
    <mergeCell ref="AP1610:AQ1610"/>
    <mergeCell ref="AR1610:AS1610"/>
    <mergeCell ref="AT1610:AU1610"/>
    <mergeCell ref="AV1610:AW1610"/>
    <mergeCell ref="B1611:C1611"/>
    <mergeCell ref="D1611:E1611"/>
    <mergeCell ref="F1611:G1611"/>
    <mergeCell ref="H1611:I1611"/>
    <mergeCell ref="J1611:K1611"/>
    <mergeCell ref="L1611:M1611"/>
    <mergeCell ref="P1611:Q1611"/>
    <mergeCell ref="R1613:S1613"/>
    <mergeCell ref="T1613:U1613"/>
    <mergeCell ref="V1613:W1613"/>
    <mergeCell ref="X1613:AA1613"/>
    <mergeCell ref="AB1613:AE1613"/>
    <mergeCell ref="AF1613:AG1613"/>
    <mergeCell ref="AH1613:AI1613"/>
    <mergeCell ref="B1613:C1613"/>
    <mergeCell ref="D1613:E1613"/>
    <mergeCell ref="F1613:G1613"/>
    <mergeCell ref="H1613:I1613"/>
    <mergeCell ref="J1613:K1613"/>
    <mergeCell ref="L1613:M1613"/>
    <mergeCell ref="P1613:Q1613"/>
    <mergeCell ref="B1612:C1612"/>
    <mergeCell ref="D1612:E1612"/>
    <mergeCell ref="F1612:G1612"/>
    <mergeCell ref="H1612:I1612"/>
    <mergeCell ref="J1612:K1612"/>
    <mergeCell ref="L1612:M1612"/>
    <mergeCell ref="P1612:Q1612"/>
    <mergeCell ref="L1207:M1207"/>
    <mergeCell ref="P1207:Q1207"/>
    <mergeCell ref="AX1207:AZ1207"/>
    <mergeCell ref="BA1207:BB1207"/>
    <mergeCell ref="BD1207:BE1207"/>
    <mergeCell ref="BF1207:BI1207"/>
    <mergeCell ref="BJ1207:BM1207"/>
    <mergeCell ref="BN1207:BV1207"/>
    <mergeCell ref="AJ1205:AK1205"/>
    <mergeCell ref="AL1205:AM1205"/>
    <mergeCell ref="AN1207:AO1207"/>
    <mergeCell ref="AP1207:AQ1207"/>
    <mergeCell ref="AR1207:AS1207"/>
    <mergeCell ref="AJ1614:AK1614"/>
    <mergeCell ref="AL1614:AM1614"/>
    <mergeCell ref="R1614:S1614"/>
    <mergeCell ref="T1614:U1614"/>
    <mergeCell ref="V1614:W1614"/>
    <mergeCell ref="X1614:AA1614"/>
    <mergeCell ref="AB1614:AE1614"/>
    <mergeCell ref="AF1614:AG1614"/>
    <mergeCell ref="AH1614:AI1614"/>
    <mergeCell ref="BD1614:BE1614"/>
    <mergeCell ref="BF1614:BI1614"/>
    <mergeCell ref="AN1614:AO1614"/>
    <mergeCell ref="AP1614:AQ1614"/>
    <mergeCell ref="AR1614:AS1614"/>
    <mergeCell ref="AT1614:AU1614"/>
    <mergeCell ref="AV1614:AW1614"/>
    <mergeCell ref="AX1614:AZ1614"/>
    <mergeCell ref="BA1614:BB1614"/>
    <mergeCell ref="R1612:S1612"/>
    <mergeCell ref="T1612:U1612"/>
    <mergeCell ref="V1612:W1612"/>
    <mergeCell ref="X1612:AA1612"/>
    <mergeCell ref="AB1612:AE1612"/>
    <mergeCell ref="AF1612:AG1612"/>
    <mergeCell ref="AH1612:AI1612"/>
    <mergeCell ref="AX1612:AZ1612"/>
    <mergeCell ref="BA1612:BB1612"/>
    <mergeCell ref="BD1612:BE1612"/>
    <mergeCell ref="BF1612:BI1612"/>
    <mergeCell ref="BJ1612:BM1612"/>
    <mergeCell ref="BN1612:BV1612"/>
    <mergeCell ref="AJ1612:AK1612"/>
    <mergeCell ref="AL1612:AM1612"/>
    <mergeCell ref="AN1612:AO1612"/>
    <mergeCell ref="AP1612:AQ1612"/>
    <mergeCell ref="AR1612:AS1612"/>
    <mergeCell ref="AT1612:AU1612"/>
    <mergeCell ref="AV1612:AW1612"/>
    <mergeCell ref="AX1613:AZ1613"/>
    <mergeCell ref="BA1613:BB1613"/>
    <mergeCell ref="BD1613:BE1613"/>
    <mergeCell ref="BF1613:BI1613"/>
    <mergeCell ref="BJ1613:BM1613"/>
    <mergeCell ref="BN1613:BV1613"/>
    <mergeCell ref="BJ1614:BM1614"/>
    <mergeCell ref="BN1614:BV1614"/>
    <mergeCell ref="BJ1610:BM1610"/>
    <mergeCell ref="BN1610:BV1610"/>
    <mergeCell ref="P1608:Q1608"/>
    <mergeCell ref="BJ1606:BM1606"/>
    <mergeCell ref="BN1606:BV1606"/>
    <mergeCell ref="V1208:W1208"/>
    <mergeCell ref="X1208:AA1208"/>
    <mergeCell ref="AB1208:AE1208"/>
    <mergeCell ref="AF1208:AG1208"/>
    <mergeCell ref="AH1208:AI1208"/>
    <mergeCell ref="AX1208:AZ1208"/>
    <mergeCell ref="BA1208:BB1208"/>
    <mergeCell ref="BD1208:BE1208"/>
    <mergeCell ref="BF1208:BI1208"/>
    <mergeCell ref="BJ1208:BM1208"/>
    <mergeCell ref="BN1208:BV1208"/>
    <mergeCell ref="BJ1209:BM1209"/>
    <mergeCell ref="BN1209:BV1209"/>
    <mergeCell ref="B1614:C1614"/>
    <mergeCell ref="D1614:E1614"/>
    <mergeCell ref="F1614:G1614"/>
    <mergeCell ref="H1614:I1614"/>
    <mergeCell ref="J1614:K1614"/>
    <mergeCell ref="L1614:M1614"/>
    <mergeCell ref="P1614:Q1614"/>
    <mergeCell ref="AJ1613:AK1613"/>
    <mergeCell ref="AL1613:AM1613"/>
    <mergeCell ref="AN1613:AO1613"/>
    <mergeCell ref="AP1613:AQ1613"/>
    <mergeCell ref="AR1613:AS1613"/>
    <mergeCell ref="AT1613:AU1613"/>
    <mergeCell ref="AV1613:AW1613"/>
    <mergeCell ref="R1205:S1205"/>
    <mergeCell ref="T1205:U1205"/>
    <mergeCell ref="V1205:W1205"/>
    <mergeCell ref="X1205:AA1205"/>
    <mergeCell ref="AB1205:AE1205"/>
    <mergeCell ref="AF1205:AG1205"/>
    <mergeCell ref="AH1205:AI1205"/>
    <mergeCell ref="V1206:W1206"/>
    <mergeCell ref="X1206:AA1206"/>
    <mergeCell ref="AB1206:AE1206"/>
    <mergeCell ref="AF1206:AG1206"/>
    <mergeCell ref="AH1206:AI1206"/>
    <mergeCell ref="AJ1206:AK1206"/>
    <mergeCell ref="AL1206:AM1206"/>
    <mergeCell ref="BD1206:BE1206"/>
    <mergeCell ref="BF1206:BI1206"/>
    <mergeCell ref="BJ1206:BM1206"/>
    <mergeCell ref="BN1206:BV1206"/>
    <mergeCell ref="AN1206:AO1206"/>
    <mergeCell ref="AP1206:AQ1206"/>
    <mergeCell ref="AR1206:AS1206"/>
    <mergeCell ref="AT1206:AU1206"/>
    <mergeCell ref="AV1206:AW1206"/>
    <mergeCell ref="AX1206:AZ1206"/>
    <mergeCell ref="BA1206:BB1206"/>
    <mergeCell ref="B1206:C1206"/>
    <mergeCell ref="D1206:E1206"/>
    <mergeCell ref="F1206:G1206"/>
    <mergeCell ref="H1206:I1206"/>
    <mergeCell ref="P1206:Q1206"/>
    <mergeCell ref="R1206:S1206"/>
    <mergeCell ref="T1206:U1206"/>
    <mergeCell ref="B1207:C1207"/>
    <mergeCell ref="D1207:E1207"/>
    <mergeCell ref="F1207:G1207"/>
    <mergeCell ref="H1207:I1207"/>
    <mergeCell ref="J1207:K1207"/>
    <mergeCell ref="B1208:C1208"/>
    <mergeCell ref="D1208:E1208"/>
    <mergeCell ref="F1208:G1208"/>
    <mergeCell ref="H1208:I1208"/>
    <mergeCell ref="J1208:K1208"/>
    <mergeCell ref="L1208:M1208"/>
    <mergeCell ref="P1208:Q1208"/>
    <mergeCell ref="B1209:C1209"/>
    <mergeCell ref="D1209:E1209"/>
    <mergeCell ref="F1209:G1209"/>
    <mergeCell ref="H1209:I1209"/>
    <mergeCell ref="J1209:K1209"/>
    <mergeCell ref="L1209:M1209"/>
    <mergeCell ref="P1209:Q1209"/>
    <mergeCell ref="AJ1208:AK1208"/>
    <mergeCell ref="AL1208:AM1208"/>
    <mergeCell ref="AN1208:AO1208"/>
    <mergeCell ref="AP1208:AQ1208"/>
    <mergeCell ref="AR1208:AS1208"/>
    <mergeCell ref="AT1208:AU1208"/>
    <mergeCell ref="AV1208:AW1208"/>
    <mergeCell ref="BD1098:BE1098"/>
    <mergeCell ref="BF1098:BI1098"/>
    <mergeCell ref="AN1098:AO1098"/>
    <mergeCell ref="AP1098:AQ1098"/>
    <mergeCell ref="AR1098:AS1098"/>
    <mergeCell ref="AT1098:AU1098"/>
    <mergeCell ref="AV1098:AW1098"/>
    <mergeCell ref="AX1098:AZ1098"/>
    <mergeCell ref="BA1098:BB1098"/>
    <mergeCell ref="AJ1096:AK1096"/>
    <mergeCell ref="AL1096:AM1096"/>
    <mergeCell ref="R1096:S1096"/>
    <mergeCell ref="T1096:U1096"/>
    <mergeCell ref="V1096:W1096"/>
    <mergeCell ref="X1096:AA1096"/>
    <mergeCell ref="AB1096:AE1096"/>
    <mergeCell ref="AF1096:AG1096"/>
    <mergeCell ref="AH1096:AI1096"/>
    <mergeCell ref="R1097:S1097"/>
    <mergeCell ref="T1097:U1097"/>
    <mergeCell ref="V1097:W1097"/>
    <mergeCell ref="X1097:AA1097"/>
    <mergeCell ref="AB1097:AE1097"/>
    <mergeCell ref="AF1097:AG1097"/>
    <mergeCell ref="AH1097:AI1097"/>
    <mergeCell ref="AX1097:AZ1097"/>
    <mergeCell ref="BA1097:BB1097"/>
    <mergeCell ref="BD1097:BE1097"/>
    <mergeCell ref="BF1097:BI1097"/>
    <mergeCell ref="B1097:C1097"/>
    <mergeCell ref="D1097:E1097"/>
    <mergeCell ref="F1097:G1097"/>
    <mergeCell ref="H1097:I1097"/>
    <mergeCell ref="J1097:K1097"/>
    <mergeCell ref="L1097:M1097"/>
    <mergeCell ref="P1097:Q1097"/>
    <mergeCell ref="AJ1097:AK1097"/>
    <mergeCell ref="AL1097:AM1097"/>
    <mergeCell ref="AN1097:AO1097"/>
    <mergeCell ref="AP1097:AQ1097"/>
    <mergeCell ref="AR1097:AS1097"/>
    <mergeCell ref="AT1097:AU1097"/>
    <mergeCell ref="AV1097:AW1097"/>
    <mergeCell ref="AX1101:AZ1101"/>
    <mergeCell ref="BA1101:BB1101"/>
    <mergeCell ref="R1099:S1099"/>
    <mergeCell ref="T1099:U1099"/>
    <mergeCell ref="V1099:W1099"/>
    <mergeCell ref="X1099:AA1099"/>
    <mergeCell ref="AB1099:AE1099"/>
    <mergeCell ref="AF1099:AG1099"/>
    <mergeCell ref="AH1099:AI1099"/>
    <mergeCell ref="AX1099:AZ1099"/>
    <mergeCell ref="BA1099:BB1099"/>
    <mergeCell ref="BD1099:BE1099"/>
    <mergeCell ref="BF1099:BI1099"/>
    <mergeCell ref="BJ1099:BM1099"/>
    <mergeCell ref="BN1099:BV1099"/>
    <mergeCell ref="AJ1099:AK1099"/>
    <mergeCell ref="AL1099:AM1099"/>
    <mergeCell ref="AN1099:AO1099"/>
    <mergeCell ref="AP1099:AQ1099"/>
    <mergeCell ref="AR1099:AS1099"/>
    <mergeCell ref="AT1099:AU1099"/>
    <mergeCell ref="AV1099:AW1099"/>
    <mergeCell ref="B1099:C1099"/>
    <mergeCell ref="D1099:E1099"/>
    <mergeCell ref="F1099:G1099"/>
    <mergeCell ref="H1099:I1099"/>
    <mergeCell ref="J1099:K1099"/>
    <mergeCell ref="L1099:M1099"/>
    <mergeCell ref="P1099:Q1099"/>
    <mergeCell ref="AX1100:AZ1100"/>
    <mergeCell ref="BA1100:BB1100"/>
    <mergeCell ref="BD1100:BE1100"/>
    <mergeCell ref="BF1100:BI1100"/>
    <mergeCell ref="BJ1100:BM1100"/>
    <mergeCell ref="BN1100:BV1100"/>
    <mergeCell ref="BJ1101:BM1101"/>
    <mergeCell ref="BN1101:BV1101"/>
    <mergeCell ref="B1101:C1101"/>
    <mergeCell ref="D1101:E1101"/>
    <mergeCell ref="F1101:G1101"/>
    <mergeCell ref="H1101:I1101"/>
    <mergeCell ref="J1101:K1101"/>
    <mergeCell ref="L1101:M1101"/>
    <mergeCell ref="P1101:Q1101"/>
    <mergeCell ref="AJ1100:AK1100"/>
    <mergeCell ref="AL1100:AM1100"/>
    <mergeCell ref="AN1100:AO1100"/>
    <mergeCell ref="AP1100:AQ1100"/>
    <mergeCell ref="AR1100:AS1100"/>
    <mergeCell ref="AT1100:AU1100"/>
    <mergeCell ref="AV1100:AW1100"/>
    <mergeCell ref="B1190:C1190"/>
    <mergeCell ref="D1190:E1190"/>
    <mergeCell ref="F1190:G1190"/>
    <mergeCell ref="H1190:I1190"/>
    <mergeCell ref="P1190:Q1190"/>
    <mergeCell ref="R1190:S1190"/>
    <mergeCell ref="T1190:U1190"/>
    <mergeCell ref="B1191:C1191"/>
    <mergeCell ref="D1191:E1191"/>
    <mergeCell ref="F1191:G1191"/>
    <mergeCell ref="H1191:I1191"/>
    <mergeCell ref="J1191:K1191"/>
    <mergeCell ref="L1191:M1191"/>
    <mergeCell ref="P1191:Q1191"/>
    <mergeCell ref="AX1191:AZ1191"/>
    <mergeCell ref="BA1191:BB1191"/>
    <mergeCell ref="BD1191:BE1191"/>
    <mergeCell ref="BF1191:BI1191"/>
    <mergeCell ref="BJ1191:BM1191"/>
    <mergeCell ref="BN1191:BV1191"/>
    <mergeCell ref="AJ1189:AK1189"/>
    <mergeCell ref="AL1189:AM1189"/>
    <mergeCell ref="AN1191:AO1191"/>
    <mergeCell ref="AP1191:AQ1191"/>
    <mergeCell ref="AR1191:AS1191"/>
    <mergeCell ref="AT1191:AU1191"/>
    <mergeCell ref="AV1191:AW1191"/>
    <mergeCell ref="R1191:S1191"/>
    <mergeCell ref="T1191:U1191"/>
    <mergeCell ref="V1191:W1191"/>
    <mergeCell ref="X1191:AA1191"/>
    <mergeCell ref="AB1191:AE1191"/>
    <mergeCell ref="AF1191:AG1191"/>
    <mergeCell ref="AH1191:AI1191"/>
    <mergeCell ref="R1189:S1189"/>
    <mergeCell ref="T1189:U1189"/>
    <mergeCell ref="V1189:W1189"/>
    <mergeCell ref="X1189:AA1189"/>
    <mergeCell ref="AB1189:AE1189"/>
    <mergeCell ref="AF1189:AG1189"/>
    <mergeCell ref="AH1189:AI1189"/>
    <mergeCell ref="V1190:W1190"/>
    <mergeCell ref="X1190:AA1190"/>
    <mergeCell ref="AB1190:AE1190"/>
    <mergeCell ref="AF1190:AG1190"/>
    <mergeCell ref="AH1190:AI1190"/>
    <mergeCell ref="AJ1190:AK1190"/>
    <mergeCell ref="AL1190:AM1190"/>
    <mergeCell ref="BD1190:BE1190"/>
    <mergeCell ref="BF1190:BI1190"/>
    <mergeCell ref="BJ1190:BM1190"/>
    <mergeCell ref="BN1190:BV1190"/>
    <mergeCell ref="AN1190:AO1190"/>
    <mergeCell ref="AP1190:AQ1190"/>
    <mergeCell ref="AR1190:AS1190"/>
    <mergeCell ref="AT1190:AU1190"/>
    <mergeCell ref="AV1190:AW1190"/>
    <mergeCell ref="AX1190:AZ1190"/>
    <mergeCell ref="BA1190:BB1190"/>
    <mergeCell ref="B1192:C1192"/>
    <mergeCell ref="D1192:E1192"/>
    <mergeCell ref="F1192:G1192"/>
    <mergeCell ref="H1192:I1192"/>
    <mergeCell ref="P1192:Q1192"/>
    <mergeCell ref="R1192:S1192"/>
    <mergeCell ref="T1192:U1192"/>
    <mergeCell ref="B1193:C1193"/>
    <mergeCell ref="D1193:E1193"/>
    <mergeCell ref="F1193:G1193"/>
    <mergeCell ref="H1193:I1193"/>
    <mergeCell ref="J1193:K1193"/>
    <mergeCell ref="L1193:M1193"/>
    <mergeCell ref="P1193:Q1193"/>
    <mergeCell ref="AX1193:AZ1193"/>
    <mergeCell ref="BA1193:BB1193"/>
    <mergeCell ref="BD1193:BE1193"/>
    <mergeCell ref="BF1193:BI1193"/>
    <mergeCell ref="BJ1193:BM1193"/>
    <mergeCell ref="BN1193:BV1193"/>
    <mergeCell ref="AJ1191:AK1191"/>
    <mergeCell ref="AL1191:AM1191"/>
    <mergeCell ref="AN1193:AO1193"/>
    <mergeCell ref="AP1193:AQ1193"/>
    <mergeCell ref="AR1193:AS1193"/>
    <mergeCell ref="AT1193:AU1193"/>
    <mergeCell ref="AV1193:AW1193"/>
    <mergeCell ref="R1193:S1193"/>
    <mergeCell ref="T1193:U1193"/>
    <mergeCell ref="V1193:W1193"/>
    <mergeCell ref="X1193:AA1193"/>
    <mergeCell ref="AB1193:AE1193"/>
    <mergeCell ref="AF1193:AG1193"/>
    <mergeCell ref="AH1193:AI1193"/>
    <mergeCell ref="V1192:W1192"/>
    <mergeCell ref="X1192:AA1192"/>
    <mergeCell ref="AB1192:AE1192"/>
    <mergeCell ref="AF1192:AG1192"/>
    <mergeCell ref="AH1192:AI1192"/>
    <mergeCell ref="AJ1192:AK1192"/>
    <mergeCell ref="AL1192:AM1192"/>
    <mergeCell ref="BD1192:BE1192"/>
    <mergeCell ref="BF1192:BI1192"/>
    <mergeCell ref="BJ1192:BM1192"/>
    <mergeCell ref="BN1192:BV1192"/>
    <mergeCell ref="AN1192:AO1192"/>
    <mergeCell ref="AP1192:AQ1192"/>
    <mergeCell ref="AR1192:AS1192"/>
    <mergeCell ref="AT1192:AU1192"/>
    <mergeCell ref="AV1192:AW1192"/>
    <mergeCell ref="AX1192:AZ1192"/>
    <mergeCell ref="BA1192:BB1192"/>
    <mergeCell ref="BN1194:BV1194"/>
    <mergeCell ref="AN1194:AO1194"/>
    <mergeCell ref="AP1194:AQ1194"/>
    <mergeCell ref="AR1194:AS1194"/>
    <mergeCell ref="AT1194:AU1194"/>
    <mergeCell ref="AV1194:AW1194"/>
    <mergeCell ref="AX1194:AZ1194"/>
    <mergeCell ref="BA1194:BB1194"/>
    <mergeCell ref="B1194:C1194"/>
    <mergeCell ref="D1194:E1194"/>
    <mergeCell ref="F1194:G1194"/>
    <mergeCell ref="H1194:I1194"/>
    <mergeCell ref="P1194:Q1194"/>
    <mergeCell ref="R1194:S1194"/>
    <mergeCell ref="T1194:U1194"/>
    <mergeCell ref="B1195:C1195"/>
    <mergeCell ref="D1195:E1195"/>
    <mergeCell ref="F1195:G1195"/>
    <mergeCell ref="H1195:I1195"/>
    <mergeCell ref="J1195:K1195"/>
    <mergeCell ref="L1195:M1195"/>
    <mergeCell ref="P1195:Q1195"/>
    <mergeCell ref="AX1195:AZ1195"/>
    <mergeCell ref="BA1195:BB1195"/>
    <mergeCell ref="BD1195:BE1195"/>
    <mergeCell ref="BF1195:BI1195"/>
    <mergeCell ref="BJ1195:BM1195"/>
    <mergeCell ref="BN1195:BV1195"/>
    <mergeCell ref="AJ1193:AK1193"/>
    <mergeCell ref="AL1193:AM1193"/>
    <mergeCell ref="AN1195:AO1195"/>
    <mergeCell ref="AP1195:AQ1195"/>
    <mergeCell ref="AR1195:AS1195"/>
    <mergeCell ref="AT1195:AU1195"/>
    <mergeCell ref="AV1195:AW1195"/>
    <mergeCell ref="R1195:S1195"/>
    <mergeCell ref="T1195:U1195"/>
    <mergeCell ref="V1195:W1195"/>
    <mergeCell ref="X1195:AA1195"/>
    <mergeCell ref="AB1195:AE1195"/>
    <mergeCell ref="AF1195:AG1195"/>
    <mergeCell ref="AH1195:AI1195"/>
    <mergeCell ref="AJ1195:AK1195"/>
    <mergeCell ref="AL1195:AM1195"/>
    <mergeCell ref="V1194:W1194"/>
    <mergeCell ref="X1194:AA1194"/>
    <mergeCell ref="AB1194:AE1194"/>
    <mergeCell ref="AF1194:AG1194"/>
    <mergeCell ref="AH1194:AI1194"/>
    <mergeCell ref="AJ1194:AK1194"/>
    <mergeCell ref="AL1194:AM1194"/>
    <mergeCell ref="BD1194:BE1194"/>
    <mergeCell ref="BF1194:BI1194"/>
    <mergeCell ref="BJ1194:BM1194"/>
    <mergeCell ref="V1196:W1196"/>
    <mergeCell ref="X1196:AA1196"/>
    <mergeCell ref="AB1196:AE1196"/>
    <mergeCell ref="AF1196:AG1196"/>
    <mergeCell ref="AH1196:AI1196"/>
    <mergeCell ref="AJ1196:AK1196"/>
    <mergeCell ref="AL1196:AM1196"/>
    <mergeCell ref="BD1196:BE1196"/>
    <mergeCell ref="BF1196:BI1196"/>
    <mergeCell ref="BJ1196:BM1196"/>
    <mergeCell ref="BN1196:BV1196"/>
    <mergeCell ref="AN1196:AO1196"/>
    <mergeCell ref="AP1196:AQ1196"/>
    <mergeCell ref="AR1196:AS1196"/>
    <mergeCell ref="AT1196:AU1196"/>
    <mergeCell ref="AV1196:AW1196"/>
    <mergeCell ref="AX1196:AZ1196"/>
    <mergeCell ref="BA1196:BB1196"/>
    <mergeCell ref="B1196:C1196"/>
    <mergeCell ref="D1196:E1196"/>
    <mergeCell ref="F1196:G1196"/>
    <mergeCell ref="H1196:I1196"/>
    <mergeCell ref="P1196:Q1196"/>
    <mergeCell ref="R1196:S1196"/>
    <mergeCell ref="T1196:U1196"/>
    <mergeCell ref="B1197:C1197"/>
    <mergeCell ref="D1197:E1197"/>
    <mergeCell ref="F1197:G1197"/>
    <mergeCell ref="H1197:I1197"/>
    <mergeCell ref="J1197:K1197"/>
    <mergeCell ref="L1197:M1197"/>
    <mergeCell ref="P1197:Q1197"/>
    <mergeCell ref="AX1197:AZ1197"/>
    <mergeCell ref="BA1197:BB1197"/>
    <mergeCell ref="BD1197:BE1197"/>
    <mergeCell ref="BF1197:BI1197"/>
    <mergeCell ref="BJ1197:BM1197"/>
    <mergeCell ref="BN1197:BV1197"/>
    <mergeCell ref="AN1197:AO1197"/>
    <mergeCell ref="AP1197:AQ1197"/>
    <mergeCell ref="AR1197:AS1197"/>
    <mergeCell ref="AT1197:AU1197"/>
    <mergeCell ref="AV1197:AW1197"/>
    <mergeCell ref="R1197:S1197"/>
    <mergeCell ref="T1197:U1197"/>
    <mergeCell ref="V1197:W1197"/>
    <mergeCell ref="X1197:AA1197"/>
    <mergeCell ref="AB1197:AE1197"/>
    <mergeCell ref="AF1197:AG1197"/>
    <mergeCell ref="AH1197:AI1197"/>
    <mergeCell ref="AJ1197:AK1197"/>
    <mergeCell ref="AL1197:AM1197"/>
    <mergeCell ref="AL1201:AM1201"/>
    <mergeCell ref="V1198:W1198"/>
    <mergeCell ref="X1198:AA1198"/>
    <mergeCell ref="AB1198:AE1198"/>
    <mergeCell ref="AF1198:AG1198"/>
    <mergeCell ref="AH1198:AI1198"/>
    <mergeCell ref="AJ1198:AK1198"/>
    <mergeCell ref="AL1198:AM1198"/>
    <mergeCell ref="BD1198:BE1198"/>
    <mergeCell ref="BF1198:BI1198"/>
    <mergeCell ref="BJ1198:BM1198"/>
    <mergeCell ref="BN1198:BV1198"/>
    <mergeCell ref="AN1198:AO1198"/>
    <mergeCell ref="AP1198:AQ1198"/>
    <mergeCell ref="AR1198:AS1198"/>
    <mergeCell ref="AT1198:AU1198"/>
    <mergeCell ref="AV1198:AW1198"/>
    <mergeCell ref="AX1198:AZ1198"/>
    <mergeCell ref="BA1198:BB1198"/>
    <mergeCell ref="B1198:C1198"/>
    <mergeCell ref="D1198:E1198"/>
    <mergeCell ref="F1198:G1198"/>
    <mergeCell ref="H1198:I1198"/>
    <mergeCell ref="P1198:Q1198"/>
    <mergeCell ref="R1198:S1198"/>
    <mergeCell ref="T1198:U1198"/>
    <mergeCell ref="B1199:C1199"/>
    <mergeCell ref="D1199:E1199"/>
    <mergeCell ref="F1199:G1199"/>
    <mergeCell ref="H1199:I1199"/>
    <mergeCell ref="J1199:K1199"/>
    <mergeCell ref="L1199:M1199"/>
    <mergeCell ref="P1199:Q1199"/>
    <mergeCell ref="AX1199:AZ1199"/>
    <mergeCell ref="BA1199:BB1199"/>
    <mergeCell ref="BD1199:BE1199"/>
    <mergeCell ref="BF1199:BI1199"/>
    <mergeCell ref="BJ1199:BM1199"/>
    <mergeCell ref="BN1199:BV1199"/>
    <mergeCell ref="AN1199:AO1199"/>
    <mergeCell ref="AP1199:AQ1199"/>
    <mergeCell ref="AR1199:AS1199"/>
    <mergeCell ref="AT1199:AU1199"/>
    <mergeCell ref="AV1199:AW1199"/>
    <mergeCell ref="R1199:S1199"/>
    <mergeCell ref="T1199:U1199"/>
    <mergeCell ref="V1199:W1199"/>
    <mergeCell ref="X1199:AA1199"/>
    <mergeCell ref="AB1199:AE1199"/>
    <mergeCell ref="AF1199:AG1199"/>
    <mergeCell ref="AH1199:AI1199"/>
    <mergeCell ref="AJ1199:AK1199"/>
    <mergeCell ref="AL1199:AM1199"/>
    <mergeCell ref="AP1203:AQ1203"/>
    <mergeCell ref="AR1203:AS1203"/>
    <mergeCell ref="AT1203:AU1203"/>
    <mergeCell ref="AV1203:AW1203"/>
    <mergeCell ref="R1203:S1203"/>
    <mergeCell ref="T1203:U1203"/>
    <mergeCell ref="V1203:W1203"/>
    <mergeCell ref="X1203:AA1203"/>
    <mergeCell ref="AB1203:AE1203"/>
    <mergeCell ref="AF1203:AG1203"/>
    <mergeCell ref="AH1203:AI1203"/>
    <mergeCell ref="AJ1203:AK1203"/>
    <mergeCell ref="AL1203:AM1203"/>
    <mergeCell ref="V1200:W1200"/>
    <mergeCell ref="X1200:AA1200"/>
    <mergeCell ref="AB1200:AE1200"/>
    <mergeCell ref="AF1200:AG1200"/>
    <mergeCell ref="AH1200:AI1200"/>
    <mergeCell ref="AJ1200:AK1200"/>
    <mergeCell ref="AL1200:AM1200"/>
    <mergeCell ref="BD1200:BE1200"/>
    <mergeCell ref="BF1200:BI1200"/>
    <mergeCell ref="BJ1200:BM1200"/>
    <mergeCell ref="BN1200:BV1200"/>
    <mergeCell ref="AN1200:AO1200"/>
    <mergeCell ref="AP1200:AQ1200"/>
    <mergeCell ref="AR1200:AS1200"/>
    <mergeCell ref="AT1200:AU1200"/>
    <mergeCell ref="AV1200:AW1200"/>
    <mergeCell ref="AX1200:AZ1200"/>
    <mergeCell ref="BA1200:BB1200"/>
    <mergeCell ref="B1200:C1200"/>
    <mergeCell ref="D1200:E1200"/>
    <mergeCell ref="F1200:G1200"/>
    <mergeCell ref="H1200:I1200"/>
    <mergeCell ref="P1200:Q1200"/>
    <mergeCell ref="R1200:S1200"/>
    <mergeCell ref="T1200:U1200"/>
    <mergeCell ref="B1201:C1201"/>
    <mergeCell ref="D1201:E1201"/>
    <mergeCell ref="F1201:G1201"/>
    <mergeCell ref="H1201:I1201"/>
    <mergeCell ref="J1201:K1201"/>
    <mergeCell ref="L1201:M1201"/>
    <mergeCell ref="P1201:Q1201"/>
    <mergeCell ref="AX1201:AZ1201"/>
    <mergeCell ref="BA1201:BB1201"/>
    <mergeCell ref="BD1201:BE1201"/>
    <mergeCell ref="BF1201:BI1201"/>
    <mergeCell ref="BJ1201:BM1201"/>
    <mergeCell ref="BN1201:BV1201"/>
    <mergeCell ref="AN1201:AO1201"/>
    <mergeCell ref="AP1201:AQ1201"/>
    <mergeCell ref="AR1201:AS1201"/>
    <mergeCell ref="AT1201:AU1201"/>
    <mergeCell ref="AV1201:AW1201"/>
    <mergeCell ref="R1201:S1201"/>
    <mergeCell ref="T1201:U1201"/>
    <mergeCell ref="V1201:W1201"/>
    <mergeCell ref="X1201:AA1201"/>
    <mergeCell ref="AB1201:AE1201"/>
    <mergeCell ref="AF1201:AG1201"/>
    <mergeCell ref="AH1201:AI1201"/>
    <mergeCell ref="AJ1201:AK1201"/>
    <mergeCell ref="B1204:C1204"/>
    <mergeCell ref="D1204:E1204"/>
    <mergeCell ref="F1204:G1204"/>
    <mergeCell ref="H1204:I1204"/>
    <mergeCell ref="P1204:Q1204"/>
    <mergeCell ref="R1204:S1204"/>
    <mergeCell ref="T1204:U1204"/>
    <mergeCell ref="B1205:C1205"/>
    <mergeCell ref="D1205:E1205"/>
    <mergeCell ref="F1205:G1205"/>
    <mergeCell ref="H1205:I1205"/>
    <mergeCell ref="J1205:K1205"/>
    <mergeCell ref="L1205:M1205"/>
    <mergeCell ref="P1205:Q1205"/>
    <mergeCell ref="AX1205:AZ1205"/>
    <mergeCell ref="BA1205:BB1205"/>
    <mergeCell ref="BD1205:BE1205"/>
    <mergeCell ref="BF1205:BI1205"/>
    <mergeCell ref="BJ1205:BM1205"/>
    <mergeCell ref="BN1205:BV1205"/>
    <mergeCell ref="AN1205:AO1205"/>
    <mergeCell ref="AP1205:AQ1205"/>
    <mergeCell ref="AR1205:AS1205"/>
    <mergeCell ref="AT1205:AU1205"/>
    <mergeCell ref="AV1205:AW1205"/>
    <mergeCell ref="V1202:W1202"/>
    <mergeCell ref="X1202:AA1202"/>
    <mergeCell ref="AB1202:AE1202"/>
    <mergeCell ref="AF1202:AG1202"/>
    <mergeCell ref="AH1202:AI1202"/>
    <mergeCell ref="AJ1202:AK1202"/>
    <mergeCell ref="AL1202:AM1202"/>
    <mergeCell ref="BD1202:BE1202"/>
    <mergeCell ref="BF1202:BI1202"/>
    <mergeCell ref="BJ1202:BM1202"/>
    <mergeCell ref="BN1202:BV1202"/>
    <mergeCell ref="AN1202:AO1202"/>
    <mergeCell ref="AP1202:AQ1202"/>
    <mergeCell ref="AR1202:AS1202"/>
    <mergeCell ref="AT1202:AU1202"/>
    <mergeCell ref="AV1202:AW1202"/>
    <mergeCell ref="AX1202:AZ1202"/>
    <mergeCell ref="BA1202:BB1202"/>
    <mergeCell ref="B1202:C1202"/>
    <mergeCell ref="D1202:E1202"/>
    <mergeCell ref="F1202:G1202"/>
    <mergeCell ref="H1202:I1202"/>
    <mergeCell ref="P1202:Q1202"/>
    <mergeCell ref="R1202:S1202"/>
    <mergeCell ref="T1202:U1202"/>
    <mergeCell ref="B1203:C1203"/>
    <mergeCell ref="D1203:E1203"/>
    <mergeCell ref="F1203:G1203"/>
    <mergeCell ref="H1203:I1203"/>
    <mergeCell ref="J1203:K1203"/>
    <mergeCell ref="L1203:M1203"/>
    <mergeCell ref="P1203:Q1203"/>
    <mergeCell ref="AX1203:AZ1203"/>
    <mergeCell ref="BA1203:BB1203"/>
    <mergeCell ref="BD1203:BE1203"/>
    <mergeCell ref="BF1203:BI1203"/>
    <mergeCell ref="BJ1203:BM1203"/>
    <mergeCell ref="BN1203:BV1203"/>
    <mergeCell ref="AN1203:AO1203"/>
    <mergeCell ref="AJ1209:AK1209"/>
    <mergeCell ref="AL1209:AM1209"/>
    <mergeCell ref="R1209:S1209"/>
    <mergeCell ref="T1209:U1209"/>
    <mergeCell ref="V1209:W1209"/>
    <mergeCell ref="X1209:AA1209"/>
    <mergeCell ref="AB1209:AE1209"/>
    <mergeCell ref="AF1209:AG1209"/>
    <mergeCell ref="AH1209:AI1209"/>
    <mergeCell ref="R1210:S1210"/>
    <mergeCell ref="T1210:U1210"/>
    <mergeCell ref="V1210:W1210"/>
    <mergeCell ref="X1210:AA1210"/>
    <mergeCell ref="AB1210:AE1210"/>
    <mergeCell ref="AF1210:AG1210"/>
    <mergeCell ref="AH1210:AI1210"/>
    <mergeCell ref="AX1210:AZ1210"/>
    <mergeCell ref="BA1210:BB1210"/>
    <mergeCell ref="BD1210:BE1210"/>
    <mergeCell ref="BF1210:BI1210"/>
    <mergeCell ref="BJ1210:BM1210"/>
    <mergeCell ref="BN1210:BV1210"/>
    <mergeCell ref="BJ1211:BM1211"/>
    <mergeCell ref="BN1211:BV1211"/>
    <mergeCell ref="V1204:W1204"/>
    <mergeCell ref="X1204:AA1204"/>
    <mergeCell ref="AB1204:AE1204"/>
    <mergeCell ref="AF1204:AG1204"/>
    <mergeCell ref="AH1204:AI1204"/>
    <mergeCell ref="AJ1204:AK1204"/>
    <mergeCell ref="AL1204:AM1204"/>
    <mergeCell ref="BD1204:BE1204"/>
    <mergeCell ref="BF1204:BI1204"/>
    <mergeCell ref="BJ1204:BM1204"/>
    <mergeCell ref="BN1204:BV1204"/>
    <mergeCell ref="AN1204:AO1204"/>
    <mergeCell ref="AP1204:AQ1204"/>
    <mergeCell ref="AR1204:AS1204"/>
    <mergeCell ref="AT1204:AU1204"/>
    <mergeCell ref="AV1204:AW1204"/>
    <mergeCell ref="AX1204:AZ1204"/>
    <mergeCell ref="BA1204:BB1204"/>
    <mergeCell ref="AT1207:AU1207"/>
    <mergeCell ref="AV1207:AW1207"/>
    <mergeCell ref="BD1209:BE1209"/>
    <mergeCell ref="BF1209:BI1209"/>
    <mergeCell ref="AN1209:AO1209"/>
    <mergeCell ref="AP1209:AQ1209"/>
    <mergeCell ref="AR1209:AS1209"/>
    <mergeCell ref="AT1209:AU1209"/>
    <mergeCell ref="AV1209:AW1209"/>
    <mergeCell ref="AX1209:AZ1209"/>
    <mergeCell ref="BA1209:BB1209"/>
    <mergeCell ref="AJ1207:AK1207"/>
    <mergeCell ref="AL1207:AM1207"/>
    <mergeCell ref="R1207:S1207"/>
    <mergeCell ref="T1207:U1207"/>
    <mergeCell ref="V1207:W1207"/>
    <mergeCell ref="X1207:AA1207"/>
    <mergeCell ref="AB1207:AE1207"/>
    <mergeCell ref="AF1207:AG1207"/>
    <mergeCell ref="AH1207:AI1207"/>
    <mergeCell ref="R1208:S1208"/>
    <mergeCell ref="T1208:U1208"/>
    <mergeCell ref="B1210:C1210"/>
    <mergeCell ref="D1210:E1210"/>
    <mergeCell ref="F1210:G1210"/>
    <mergeCell ref="H1210:I1210"/>
    <mergeCell ref="J1210:K1210"/>
    <mergeCell ref="L1210:M1210"/>
    <mergeCell ref="P1210:Q1210"/>
    <mergeCell ref="B1211:C1211"/>
    <mergeCell ref="D1211:E1211"/>
    <mergeCell ref="F1211:G1211"/>
    <mergeCell ref="H1211:I1211"/>
    <mergeCell ref="J1211:K1211"/>
    <mergeCell ref="L1211:M1211"/>
    <mergeCell ref="P1211:Q1211"/>
    <mergeCell ref="AJ1210:AK1210"/>
    <mergeCell ref="AL1210:AM1210"/>
    <mergeCell ref="AN1210:AO1210"/>
    <mergeCell ref="AP1210:AQ1210"/>
    <mergeCell ref="AR1210:AS1210"/>
    <mergeCell ref="AT1210:AU1210"/>
    <mergeCell ref="AV1210:AW1210"/>
    <mergeCell ref="BD1213:BE1213"/>
    <mergeCell ref="BF1213:BI1213"/>
    <mergeCell ref="AN1213:AO1213"/>
    <mergeCell ref="AP1213:AQ1213"/>
    <mergeCell ref="AR1213:AS1213"/>
    <mergeCell ref="AT1213:AU1213"/>
    <mergeCell ref="AV1213:AW1213"/>
    <mergeCell ref="AX1213:AZ1213"/>
    <mergeCell ref="BA1213:BB1213"/>
    <mergeCell ref="AJ1211:AK1211"/>
    <mergeCell ref="AL1211:AM1211"/>
    <mergeCell ref="R1211:S1211"/>
    <mergeCell ref="T1211:U1211"/>
    <mergeCell ref="V1211:W1211"/>
    <mergeCell ref="X1211:AA1211"/>
    <mergeCell ref="AB1211:AE1211"/>
    <mergeCell ref="AF1211:AG1211"/>
    <mergeCell ref="AH1211:AI1211"/>
    <mergeCell ref="R1212:S1212"/>
    <mergeCell ref="T1212:U1212"/>
    <mergeCell ref="V1212:W1212"/>
    <mergeCell ref="X1212:AA1212"/>
    <mergeCell ref="AB1212:AE1212"/>
    <mergeCell ref="AF1212:AG1212"/>
    <mergeCell ref="AH1212:AI1212"/>
    <mergeCell ref="AX1212:AZ1212"/>
    <mergeCell ref="BA1212:BB1212"/>
    <mergeCell ref="BD1212:BE1212"/>
    <mergeCell ref="BF1212:BI1212"/>
    <mergeCell ref="BD1211:BE1211"/>
    <mergeCell ref="BF1211:BI1211"/>
    <mergeCell ref="AN1211:AO1211"/>
    <mergeCell ref="AP1211:AQ1211"/>
    <mergeCell ref="AR1211:AS1211"/>
    <mergeCell ref="AT1211:AU1211"/>
    <mergeCell ref="AV1211:AW1211"/>
    <mergeCell ref="AX1211:AZ1211"/>
    <mergeCell ref="BA1211:BB1211"/>
    <mergeCell ref="BJ1212:BM1212"/>
    <mergeCell ref="BN1212:BV1212"/>
    <mergeCell ref="BJ1213:BM1213"/>
    <mergeCell ref="BN1213:BV1213"/>
    <mergeCell ref="B1212:C1212"/>
    <mergeCell ref="D1212:E1212"/>
    <mergeCell ref="F1212:G1212"/>
    <mergeCell ref="H1212:I1212"/>
    <mergeCell ref="J1212:K1212"/>
    <mergeCell ref="L1212:M1212"/>
    <mergeCell ref="P1212:Q1212"/>
    <mergeCell ref="B1213:C1213"/>
    <mergeCell ref="D1213:E1213"/>
    <mergeCell ref="F1213:G1213"/>
    <mergeCell ref="H1213:I1213"/>
    <mergeCell ref="J1213:K1213"/>
    <mergeCell ref="L1213:M1213"/>
    <mergeCell ref="P1213:Q1213"/>
    <mergeCell ref="AJ1212:AK1212"/>
    <mergeCell ref="AL1212:AM1212"/>
    <mergeCell ref="AN1212:AO1212"/>
    <mergeCell ref="AP1212:AQ1212"/>
    <mergeCell ref="AR1212:AS1212"/>
    <mergeCell ref="AT1212:AU1212"/>
    <mergeCell ref="AV1212:AW1212"/>
    <mergeCell ref="BD1278:BE1278"/>
    <mergeCell ref="BF1278:BI1278"/>
    <mergeCell ref="AN1278:AO1278"/>
    <mergeCell ref="AP1278:AQ1278"/>
    <mergeCell ref="AR1278:AS1278"/>
    <mergeCell ref="AT1278:AU1278"/>
    <mergeCell ref="AV1278:AW1278"/>
    <mergeCell ref="AX1278:AZ1278"/>
    <mergeCell ref="BA1278:BB1278"/>
    <mergeCell ref="AJ1276:AK1276"/>
    <mergeCell ref="AL1276:AM1276"/>
    <mergeCell ref="R1276:S1276"/>
    <mergeCell ref="T1276:U1276"/>
    <mergeCell ref="V1276:W1276"/>
    <mergeCell ref="X1276:AA1276"/>
    <mergeCell ref="AB1276:AE1276"/>
    <mergeCell ref="AF1276:AG1276"/>
    <mergeCell ref="AH1276:AI1276"/>
    <mergeCell ref="R1277:S1277"/>
    <mergeCell ref="T1277:U1277"/>
    <mergeCell ref="V1277:W1277"/>
    <mergeCell ref="X1277:AA1277"/>
    <mergeCell ref="AB1277:AE1277"/>
    <mergeCell ref="AF1277:AG1277"/>
    <mergeCell ref="AH1277:AI1277"/>
    <mergeCell ref="AX1277:AZ1277"/>
    <mergeCell ref="BA1277:BB1277"/>
    <mergeCell ref="BD1277:BE1277"/>
    <mergeCell ref="BF1277:BI1277"/>
    <mergeCell ref="BJ1277:BM1277"/>
    <mergeCell ref="BN1277:BV1277"/>
    <mergeCell ref="BJ1278:BM1278"/>
    <mergeCell ref="BN1278:BV1278"/>
    <mergeCell ref="B1277:C1277"/>
    <mergeCell ref="D1277:E1277"/>
    <mergeCell ref="F1277:G1277"/>
    <mergeCell ref="H1277:I1277"/>
    <mergeCell ref="J1277:K1277"/>
    <mergeCell ref="L1277:M1277"/>
    <mergeCell ref="D1278:E1278"/>
    <mergeCell ref="F1278:G1278"/>
    <mergeCell ref="H1278:I1278"/>
    <mergeCell ref="J1278:K1278"/>
    <mergeCell ref="L1278:M1278"/>
    <mergeCell ref="P1278:Q1278"/>
    <mergeCell ref="AJ1277:AK1277"/>
    <mergeCell ref="AL1277:AM1277"/>
    <mergeCell ref="AN1277:AO1277"/>
    <mergeCell ref="AP1277:AQ1277"/>
    <mergeCell ref="AR1277:AS1277"/>
    <mergeCell ref="AT1277:AU1277"/>
    <mergeCell ref="AV1277:AW1277"/>
    <mergeCell ref="AJ1272:AK1272"/>
    <mergeCell ref="AL1272:AM1272"/>
    <mergeCell ref="R1272:S1272"/>
    <mergeCell ref="T1272:U1272"/>
    <mergeCell ref="V1272:W1272"/>
    <mergeCell ref="X1272:AA1272"/>
    <mergeCell ref="AB1272:AE1272"/>
    <mergeCell ref="AF1272:AG1272"/>
    <mergeCell ref="AH1272:AI1272"/>
    <mergeCell ref="R1273:S1273"/>
    <mergeCell ref="T1273:U1273"/>
    <mergeCell ref="V1273:W1273"/>
    <mergeCell ref="X1273:AA1273"/>
    <mergeCell ref="AB1273:AE1273"/>
    <mergeCell ref="AF1273:AG1273"/>
    <mergeCell ref="AH1273:AI1273"/>
    <mergeCell ref="AX1273:AZ1273"/>
    <mergeCell ref="BA1273:BB1273"/>
    <mergeCell ref="J1275:K1275"/>
    <mergeCell ref="L1275:M1275"/>
    <mergeCell ref="P1275:Q1275"/>
    <mergeCell ref="D1276:E1276"/>
    <mergeCell ref="F1276:G1276"/>
    <mergeCell ref="H1276:I1276"/>
    <mergeCell ref="J1276:K1276"/>
    <mergeCell ref="L1276:M1276"/>
    <mergeCell ref="P1276:Q1276"/>
    <mergeCell ref="AJ1275:AK1275"/>
    <mergeCell ref="AL1275:AM1275"/>
    <mergeCell ref="AN1275:AO1275"/>
    <mergeCell ref="AP1275:AQ1275"/>
    <mergeCell ref="AR1275:AS1275"/>
    <mergeCell ref="AT1275:AU1275"/>
    <mergeCell ref="AV1275:AW1275"/>
    <mergeCell ref="AR1273:AS1273"/>
    <mergeCell ref="AT1273:AU1273"/>
    <mergeCell ref="AV1273:AW1273"/>
    <mergeCell ref="AN1276:AO1276"/>
    <mergeCell ref="AP1276:AQ1276"/>
    <mergeCell ref="AR1276:AS1276"/>
    <mergeCell ref="AT1276:AU1276"/>
    <mergeCell ref="P1277:Q1277"/>
    <mergeCell ref="R1274:S1274"/>
    <mergeCell ref="R1275:S1275"/>
    <mergeCell ref="B1268:C1268"/>
    <mergeCell ref="D1268:E1268"/>
    <mergeCell ref="F1268:G1268"/>
    <mergeCell ref="H1268:I1268"/>
    <mergeCell ref="J1268:K1268"/>
    <mergeCell ref="L1268:M1268"/>
    <mergeCell ref="P1268:Q1268"/>
    <mergeCell ref="AJ1268:AK1268"/>
    <mergeCell ref="AL1268:AM1268"/>
    <mergeCell ref="AN1268:AO1268"/>
    <mergeCell ref="AP1268:AQ1268"/>
    <mergeCell ref="AR1268:AS1268"/>
    <mergeCell ref="AT1268:AU1268"/>
    <mergeCell ref="AV1268:AW1268"/>
    <mergeCell ref="B1269:C1269"/>
    <mergeCell ref="D1269:E1269"/>
    <mergeCell ref="F1269:G1269"/>
    <mergeCell ref="H1269:I1269"/>
    <mergeCell ref="J1269:K1269"/>
    <mergeCell ref="L1269:M1269"/>
    <mergeCell ref="P1269:Q1269"/>
    <mergeCell ref="B1273:C1273"/>
    <mergeCell ref="D1273:E1273"/>
    <mergeCell ref="F1273:G1273"/>
    <mergeCell ref="BJ1268:BM1268"/>
    <mergeCell ref="L1274:M1274"/>
    <mergeCell ref="P1274:Q1274"/>
    <mergeCell ref="BN1275:BV1275"/>
    <mergeCell ref="BJ1276:BM1276"/>
    <mergeCell ref="BN1276:BV1276"/>
    <mergeCell ref="B1275:C1275"/>
    <mergeCell ref="D1275:E1275"/>
    <mergeCell ref="F1275:G1275"/>
    <mergeCell ref="H1275:I1275"/>
    <mergeCell ref="B1276:C1276"/>
    <mergeCell ref="BD1276:BE1276"/>
    <mergeCell ref="BF1276:BI1276"/>
    <mergeCell ref="J1271:K1271"/>
    <mergeCell ref="L1271:M1271"/>
    <mergeCell ref="P1271:Q1271"/>
    <mergeCell ref="BD1272:BE1272"/>
    <mergeCell ref="BF1272:BI1272"/>
    <mergeCell ref="AN1272:AO1272"/>
    <mergeCell ref="AP1272:AQ1272"/>
    <mergeCell ref="AR1272:AS1272"/>
    <mergeCell ref="AT1272:AU1272"/>
    <mergeCell ref="AV1272:AW1272"/>
    <mergeCell ref="AX1272:AZ1272"/>
    <mergeCell ref="BA1272:BB1272"/>
    <mergeCell ref="R1270:S1270"/>
    <mergeCell ref="T1270:U1270"/>
    <mergeCell ref="V1270:W1270"/>
    <mergeCell ref="X1270:AA1270"/>
    <mergeCell ref="AB1270:AE1270"/>
    <mergeCell ref="AF1270:AG1270"/>
    <mergeCell ref="AH1270:AI1270"/>
    <mergeCell ref="AX1270:AZ1270"/>
    <mergeCell ref="BA1270:BB1270"/>
    <mergeCell ref="BD1270:BE1270"/>
    <mergeCell ref="BF1270:BI1270"/>
    <mergeCell ref="BD1269:BE1269"/>
    <mergeCell ref="BF1269:BI1269"/>
    <mergeCell ref="AN1269:AO1269"/>
    <mergeCell ref="AP1269:AQ1269"/>
    <mergeCell ref="AR1269:AS1269"/>
    <mergeCell ref="AT1269:AU1269"/>
    <mergeCell ref="AV1269:AW1269"/>
    <mergeCell ref="AX1269:AZ1269"/>
    <mergeCell ref="BA1269:BB1269"/>
    <mergeCell ref="AJ1267:AK1267"/>
    <mergeCell ref="AL1267:AM1267"/>
    <mergeCell ref="R1267:S1267"/>
    <mergeCell ref="T1267:U1267"/>
    <mergeCell ref="V1267:W1267"/>
    <mergeCell ref="X1267:AA1267"/>
    <mergeCell ref="AB1267:AE1267"/>
    <mergeCell ref="AF1267:AG1267"/>
    <mergeCell ref="AH1267:AI1267"/>
    <mergeCell ref="R1268:S1268"/>
    <mergeCell ref="T1268:U1268"/>
    <mergeCell ref="V1268:W1268"/>
    <mergeCell ref="X1268:AA1268"/>
    <mergeCell ref="AB1268:AE1268"/>
    <mergeCell ref="AF1268:AG1268"/>
    <mergeCell ref="AH1268:AI1268"/>
    <mergeCell ref="AX1268:AZ1268"/>
    <mergeCell ref="BA1268:BB1268"/>
    <mergeCell ref="BD1268:BE1268"/>
    <mergeCell ref="BF1268:BI1268"/>
    <mergeCell ref="BJ1279:BM1279"/>
    <mergeCell ref="BN1279:BV1279"/>
    <mergeCell ref="BJ1280:BM1280"/>
    <mergeCell ref="BN1280:BV1280"/>
    <mergeCell ref="BJ1281:BM1281"/>
    <mergeCell ref="BN1281:BV1281"/>
    <mergeCell ref="BJ1282:BM1282"/>
    <mergeCell ref="BN1282:BV1282"/>
    <mergeCell ref="AJ1281:AK1281"/>
    <mergeCell ref="AL1281:AM1281"/>
    <mergeCell ref="AN1281:AO1281"/>
    <mergeCell ref="AP1281:AQ1281"/>
    <mergeCell ref="AR1281:AS1281"/>
    <mergeCell ref="AT1281:AU1281"/>
    <mergeCell ref="AV1281:AW1281"/>
    <mergeCell ref="BJ1270:BM1270"/>
    <mergeCell ref="BN1270:BV1270"/>
    <mergeCell ref="AJ1270:AK1270"/>
    <mergeCell ref="AL1270:AM1270"/>
    <mergeCell ref="AN1270:AO1270"/>
    <mergeCell ref="AP1270:AQ1270"/>
    <mergeCell ref="AR1270:AS1270"/>
    <mergeCell ref="AT1270:AU1270"/>
    <mergeCell ref="AV1270:AW1270"/>
    <mergeCell ref="T1281:U1281"/>
    <mergeCell ref="V1281:W1281"/>
    <mergeCell ref="X1281:AA1281"/>
    <mergeCell ref="AB1281:AE1281"/>
    <mergeCell ref="AF1281:AG1281"/>
    <mergeCell ref="AH1281:AI1281"/>
    <mergeCell ref="AX1281:AZ1281"/>
    <mergeCell ref="BA1281:BB1281"/>
    <mergeCell ref="BD1281:BE1281"/>
    <mergeCell ref="BF1281:BI1281"/>
    <mergeCell ref="AL1273:AM1273"/>
    <mergeCell ref="AN1273:AO1273"/>
    <mergeCell ref="AP1273:AQ1273"/>
    <mergeCell ref="BD1273:BE1273"/>
    <mergeCell ref="BF1273:BI1273"/>
    <mergeCell ref="BJ1273:BM1273"/>
    <mergeCell ref="AV1276:AW1276"/>
    <mergeCell ref="AX1276:AZ1276"/>
    <mergeCell ref="BA1276:BB1276"/>
    <mergeCell ref="AJ1274:AK1274"/>
    <mergeCell ref="AL1274:AM1274"/>
    <mergeCell ref="T1274:U1274"/>
    <mergeCell ref="V1274:W1274"/>
    <mergeCell ref="X1274:AA1274"/>
    <mergeCell ref="AB1274:AE1274"/>
    <mergeCell ref="AF1274:AG1274"/>
    <mergeCell ref="AH1274:AI1274"/>
    <mergeCell ref="T1275:U1275"/>
    <mergeCell ref="V1275:W1275"/>
    <mergeCell ref="X1275:AA1275"/>
    <mergeCell ref="AB1275:AE1275"/>
    <mergeCell ref="AF1275:AG1275"/>
    <mergeCell ref="AH1275:AI1275"/>
    <mergeCell ref="AX1275:AZ1275"/>
    <mergeCell ref="BA1275:BB1275"/>
    <mergeCell ref="BD1275:BE1275"/>
    <mergeCell ref="BF1275:BI1275"/>
    <mergeCell ref="BJ1275:BM1275"/>
    <mergeCell ref="BN1268:BV1268"/>
    <mergeCell ref="BN1273:BV1273"/>
    <mergeCell ref="BJ1274:BM1274"/>
    <mergeCell ref="BN1274:BV1274"/>
    <mergeCell ref="AJ1273:AK1273"/>
    <mergeCell ref="B1278:C1278"/>
    <mergeCell ref="AJ1282:AK1282"/>
    <mergeCell ref="AL1282:AM1282"/>
    <mergeCell ref="R1282:S1282"/>
    <mergeCell ref="T1282:U1282"/>
    <mergeCell ref="V1282:W1282"/>
    <mergeCell ref="X1282:AA1282"/>
    <mergeCell ref="AB1282:AE1282"/>
    <mergeCell ref="AF1282:AG1282"/>
    <mergeCell ref="AH1282:AI1282"/>
    <mergeCell ref="B1270:C1270"/>
    <mergeCell ref="D1270:E1270"/>
    <mergeCell ref="F1270:G1270"/>
    <mergeCell ref="H1270:I1270"/>
    <mergeCell ref="J1270:K1270"/>
    <mergeCell ref="L1270:M1270"/>
    <mergeCell ref="P1270:Q1270"/>
    <mergeCell ref="AX1271:AZ1271"/>
    <mergeCell ref="BA1271:BB1271"/>
    <mergeCell ref="BD1271:BE1271"/>
    <mergeCell ref="BF1271:BI1271"/>
    <mergeCell ref="BJ1271:BM1271"/>
    <mergeCell ref="BN1271:BV1271"/>
    <mergeCell ref="BJ1272:BM1272"/>
    <mergeCell ref="BN1272:BV1272"/>
    <mergeCell ref="B1272:C1272"/>
    <mergeCell ref="D1272:E1272"/>
    <mergeCell ref="F1272:G1272"/>
    <mergeCell ref="H1272:I1272"/>
    <mergeCell ref="J1272:K1272"/>
    <mergeCell ref="L1272:M1272"/>
    <mergeCell ref="P1272:Q1272"/>
    <mergeCell ref="AJ1271:AK1271"/>
    <mergeCell ref="AL1271:AM1271"/>
    <mergeCell ref="AN1271:AO1271"/>
    <mergeCell ref="AP1271:AQ1271"/>
    <mergeCell ref="AR1271:AS1271"/>
    <mergeCell ref="AT1271:AU1271"/>
    <mergeCell ref="AV1271:AW1271"/>
    <mergeCell ref="R1271:S1271"/>
    <mergeCell ref="T1271:U1271"/>
    <mergeCell ref="V1271:W1271"/>
    <mergeCell ref="X1271:AA1271"/>
    <mergeCell ref="AB1271:AE1271"/>
    <mergeCell ref="AF1271:AG1271"/>
    <mergeCell ref="AH1271:AI1271"/>
    <mergeCell ref="B1271:C1271"/>
    <mergeCell ref="D1271:E1271"/>
    <mergeCell ref="F1271:G1271"/>
    <mergeCell ref="H1271:I1271"/>
    <mergeCell ref="H1273:I1273"/>
    <mergeCell ref="J1273:K1273"/>
    <mergeCell ref="L1273:M1273"/>
    <mergeCell ref="P1273:Q1273"/>
    <mergeCell ref="B1274:C1274"/>
    <mergeCell ref="D1274:E1274"/>
    <mergeCell ref="F1274:G1274"/>
    <mergeCell ref="H1274:I1274"/>
    <mergeCell ref="J1274:K1274"/>
    <mergeCell ref="J1282:K1282"/>
    <mergeCell ref="L1282:M1282"/>
    <mergeCell ref="P1282:Q1282"/>
    <mergeCell ref="BD1274:BE1274"/>
    <mergeCell ref="BF1274:BI1274"/>
    <mergeCell ref="AN1274:AO1274"/>
    <mergeCell ref="AP1274:AQ1274"/>
    <mergeCell ref="AR1274:AS1274"/>
    <mergeCell ref="AT1274:AU1274"/>
    <mergeCell ref="AV1274:AW1274"/>
    <mergeCell ref="AX1274:AZ1274"/>
    <mergeCell ref="BA1274:BB1274"/>
    <mergeCell ref="BD1280:BE1280"/>
    <mergeCell ref="BF1280:BI1280"/>
    <mergeCell ref="AN1280:AO1280"/>
    <mergeCell ref="AP1280:AQ1280"/>
    <mergeCell ref="AR1280:AS1280"/>
    <mergeCell ref="AT1280:AU1280"/>
    <mergeCell ref="AV1280:AW1280"/>
    <mergeCell ref="AX1280:AZ1280"/>
    <mergeCell ref="BA1280:BB1280"/>
    <mergeCell ref="AJ1278:AK1278"/>
    <mergeCell ref="AL1278:AM1278"/>
    <mergeCell ref="R1278:S1278"/>
    <mergeCell ref="T1278:U1278"/>
    <mergeCell ref="V1278:W1278"/>
    <mergeCell ref="X1278:AA1278"/>
    <mergeCell ref="AB1278:AE1278"/>
    <mergeCell ref="AF1278:AG1278"/>
    <mergeCell ref="AH1278:AI1278"/>
    <mergeCell ref="R1279:S1279"/>
    <mergeCell ref="T1279:U1279"/>
    <mergeCell ref="V1279:W1279"/>
    <mergeCell ref="X1279:AA1279"/>
    <mergeCell ref="AB1279:AE1279"/>
    <mergeCell ref="AF1279:AG1279"/>
    <mergeCell ref="AH1279:AI1279"/>
    <mergeCell ref="AX1279:AZ1279"/>
    <mergeCell ref="BA1279:BB1279"/>
    <mergeCell ref="BD1279:BE1279"/>
    <mergeCell ref="BF1279:BI1279"/>
    <mergeCell ref="BJ1283:BM1283"/>
    <mergeCell ref="BN1283:BV1283"/>
    <mergeCell ref="BJ1284:BM1284"/>
    <mergeCell ref="BN1284:BV1284"/>
    <mergeCell ref="B1279:C1279"/>
    <mergeCell ref="D1279:E1279"/>
    <mergeCell ref="F1279:G1279"/>
    <mergeCell ref="H1279:I1279"/>
    <mergeCell ref="J1279:K1279"/>
    <mergeCell ref="L1279:M1279"/>
    <mergeCell ref="P1279:Q1279"/>
    <mergeCell ref="B1280:C1280"/>
    <mergeCell ref="D1280:E1280"/>
    <mergeCell ref="F1280:G1280"/>
    <mergeCell ref="H1280:I1280"/>
    <mergeCell ref="J1280:K1280"/>
    <mergeCell ref="L1280:M1280"/>
    <mergeCell ref="P1280:Q1280"/>
    <mergeCell ref="AJ1279:AK1279"/>
    <mergeCell ref="AL1279:AM1279"/>
    <mergeCell ref="AN1279:AO1279"/>
    <mergeCell ref="AP1279:AQ1279"/>
    <mergeCell ref="AR1279:AS1279"/>
    <mergeCell ref="AT1279:AU1279"/>
    <mergeCell ref="AV1279:AW1279"/>
    <mergeCell ref="BD1282:BE1282"/>
    <mergeCell ref="BF1282:BI1282"/>
    <mergeCell ref="AN1282:AO1282"/>
    <mergeCell ref="AP1282:AQ1282"/>
    <mergeCell ref="AR1282:AS1282"/>
    <mergeCell ref="AT1282:AU1282"/>
    <mergeCell ref="AV1282:AW1282"/>
    <mergeCell ref="AX1282:AZ1282"/>
    <mergeCell ref="BA1282:BB1282"/>
    <mergeCell ref="AJ1280:AK1280"/>
    <mergeCell ref="AL1280:AM1280"/>
    <mergeCell ref="R1280:S1280"/>
    <mergeCell ref="T1280:U1280"/>
    <mergeCell ref="V1280:W1280"/>
    <mergeCell ref="X1280:AA1280"/>
    <mergeCell ref="AB1280:AE1280"/>
    <mergeCell ref="AF1280:AG1280"/>
    <mergeCell ref="AH1280:AI1280"/>
    <mergeCell ref="R1281:S1281"/>
    <mergeCell ref="B1283:C1283"/>
    <mergeCell ref="D1283:E1283"/>
    <mergeCell ref="F1283:G1283"/>
    <mergeCell ref="H1283:I1283"/>
    <mergeCell ref="J1283:K1283"/>
    <mergeCell ref="L1283:M1283"/>
    <mergeCell ref="P1283:Q1283"/>
    <mergeCell ref="B1284:C1284"/>
    <mergeCell ref="D1284:E1284"/>
    <mergeCell ref="B1281:C1281"/>
    <mergeCell ref="D1281:E1281"/>
    <mergeCell ref="F1281:G1281"/>
    <mergeCell ref="H1281:I1281"/>
    <mergeCell ref="J1281:K1281"/>
    <mergeCell ref="L1281:M1281"/>
    <mergeCell ref="P1281:Q1281"/>
    <mergeCell ref="B1282:C1282"/>
    <mergeCell ref="D1282:E1282"/>
    <mergeCell ref="F1282:G1282"/>
    <mergeCell ref="H1282:I1282"/>
    <mergeCell ref="F1284:G1284"/>
    <mergeCell ref="H1284:I1284"/>
    <mergeCell ref="J1284:K1284"/>
    <mergeCell ref="L1284:M1284"/>
    <mergeCell ref="P1284:Q1284"/>
    <mergeCell ref="AJ1283:AK1283"/>
    <mergeCell ref="AL1283:AM1283"/>
    <mergeCell ref="AN1283:AO1283"/>
    <mergeCell ref="AP1283:AQ1283"/>
    <mergeCell ref="AR1283:AS1283"/>
    <mergeCell ref="AT1283:AU1283"/>
    <mergeCell ref="AV1283:AW1283"/>
    <mergeCell ref="BD1286:BE1286"/>
    <mergeCell ref="BF1286:BI1286"/>
    <mergeCell ref="AN1286:AO1286"/>
    <mergeCell ref="AP1286:AQ1286"/>
    <mergeCell ref="AR1286:AS1286"/>
    <mergeCell ref="AT1286:AU1286"/>
    <mergeCell ref="AV1286:AW1286"/>
    <mergeCell ref="AX1286:AZ1286"/>
    <mergeCell ref="BA1286:BB1286"/>
    <mergeCell ref="AJ1284:AK1284"/>
    <mergeCell ref="AL1284:AM1284"/>
    <mergeCell ref="R1284:S1284"/>
    <mergeCell ref="T1284:U1284"/>
    <mergeCell ref="V1284:W1284"/>
    <mergeCell ref="X1284:AA1284"/>
    <mergeCell ref="AB1284:AE1284"/>
    <mergeCell ref="AF1284:AG1284"/>
    <mergeCell ref="AH1284:AI1284"/>
    <mergeCell ref="R1285:S1285"/>
    <mergeCell ref="T1285:U1285"/>
    <mergeCell ref="V1285:W1285"/>
    <mergeCell ref="X1285:AA1285"/>
    <mergeCell ref="AB1285:AE1285"/>
    <mergeCell ref="AF1285:AG1285"/>
    <mergeCell ref="AH1285:AI1285"/>
    <mergeCell ref="AX1285:AZ1285"/>
    <mergeCell ref="BA1285:BB1285"/>
    <mergeCell ref="BD1285:BE1285"/>
    <mergeCell ref="BF1285:BI1285"/>
    <mergeCell ref="BD1284:BE1284"/>
    <mergeCell ref="BF1284:BI1284"/>
    <mergeCell ref="AN1284:AO1284"/>
    <mergeCell ref="AP1284:AQ1284"/>
    <mergeCell ref="AR1284:AS1284"/>
    <mergeCell ref="AT1284:AU1284"/>
    <mergeCell ref="AV1284:AW1284"/>
    <mergeCell ref="AX1284:AZ1284"/>
    <mergeCell ref="BA1284:BB1284"/>
    <mergeCell ref="R1283:S1283"/>
    <mergeCell ref="T1283:U1283"/>
    <mergeCell ref="V1283:W1283"/>
    <mergeCell ref="X1283:AA1283"/>
    <mergeCell ref="AB1283:AE1283"/>
    <mergeCell ref="AF1283:AG1283"/>
    <mergeCell ref="AH1283:AI1283"/>
    <mergeCell ref="AX1283:AZ1283"/>
    <mergeCell ref="BA1283:BB1283"/>
    <mergeCell ref="BD1283:BE1283"/>
    <mergeCell ref="BF1283:BI1283"/>
    <mergeCell ref="BJ1285:BM1285"/>
    <mergeCell ref="BN1285:BV1285"/>
    <mergeCell ref="BJ1286:BM1286"/>
    <mergeCell ref="BN1286:BV1286"/>
    <mergeCell ref="B1285:C1285"/>
    <mergeCell ref="D1285:E1285"/>
    <mergeCell ref="F1285:G1285"/>
    <mergeCell ref="H1285:I1285"/>
    <mergeCell ref="J1285:K1285"/>
    <mergeCell ref="L1285:M1285"/>
    <mergeCell ref="P1285:Q1285"/>
    <mergeCell ref="B1286:C1286"/>
    <mergeCell ref="D1286:E1286"/>
    <mergeCell ref="F1286:G1286"/>
    <mergeCell ref="H1286:I1286"/>
    <mergeCell ref="J1286:K1286"/>
    <mergeCell ref="L1286:M1286"/>
    <mergeCell ref="P1286:Q1286"/>
    <mergeCell ref="AJ1285:AK1285"/>
    <mergeCell ref="AL1285:AM1285"/>
    <mergeCell ref="AN1285:AO1285"/>
    <mergeCell ref="AP1285:AQ1285"/>
    <mergeCell ref="AR1285:AS1285"/>
    <mergeCell ref="AT1285:AU1285"/>
    <mergeCell ref="AV1285:AW1285"/>
    <mergeCell ref="BD1288:BE1288"/>
    <mergeCell ref="BF1288:BI1288"/>
    <mergeCell ref="AN1288:AO1288"/>
    <mergeCell ref="AP1288:AQ1288"/>
    <mergeCell ref="AR1288:AS1288"/>
    <mergeCell ref="AT1288:AU1288"/>
    <mergeCell ref="AV1288:AW1288"/>
    <mergeCell ref="AX1288:AZ1288"/>
    <mergeCell ref="BA1288:BB1288"/>
    <mergeCell ref="AJ1286:AK1286"/>
    <mergeCell ref="AL1286:AM1286"/>
    <mergeCell ref="R1286:S1286"/>
    <mergeCell ref="T1286:U1286"/>
    <mergeCell ref="V1286:W1286"/>
    <mergeCell ref="X1286:AA1286"/>
    <mergeCell ref="AB1286:AE1286"/>
    <mergeCell ref="AF1286:AG1286"/>
    <mergeCell ref="AH1286:AI1286"/>
    <mergeCell ref="R1287:S1287"/>
    <mergeCell ref="T1287:U1287"/>
    <mergeCell ref="V1287:W1287"/>
    <mergeCell ref="X1287:AA1287"/>
    <mergeCell ref="AB1287:AE1287"/>
    <mergeCell ref="AF1287:AG1287"/>
    <mergeCell ref="AH1287:AI1287"/>
    <mergeCell ref="AX1287:AZ1287"/>
    <mergeCell ref="BA1287:BB1287"/>
    <mergeCell ref="BD1287:BE1287"/>
    <mergeCell ref="BF1287:BI1287"/>
    <mergeCell ref="BJ1287:BM1287"/>
    <mergeCell ref="BN1287:BV1287"/>
    <mergeCell ref="BJ1288:BM1288"/>
    <mergeCell ref="BN1288:BV1288"/>
    <mergeCell ref="B1287:C1287"/>
    <mergeCell ref="D1287:E1287"/>
    <mergeCell ref="F1287:G1287"/>
    <mergeCell ref="H1287:I1287"/>
    <mergeCell ref="J1287:K1287"/>
    <mergeCell ref="L1287:M1287"/>
    <mergeCell ref="P1287:Q1287"/>
    <mergeCell ref="B1288:C1288"/>
    <mergeCell ref="D1288:E1288"/>
    <mergeCell ref="F1288:G1288"/>
    <mergeCell ref="H1288:I1288"/>
    <mergeCell ref="J1288:K1288"/>
    <mergeCell ref="L1288:M1288"/>
    <mergeCell ref="P1288:Q1288"/>
    <mergeCell ref="AJ1287:AK1287"/>
    <mergeCell ref="AL1287:AM1287"/>
    <mergeCell ref="AN1287:AO1287"/>
    <mergeCell ref="AP1287:AQ1287"/>
    <mergeCell ref="AR1287:AS1287"/>
    <mergeCell ref="AT1287:AU1287"/>
    <mergeCell ref="AV1287:AW1287"/>
    <mergeCell ref="BD1290:BE1290"/>
    <mergeCell ref="BF1290:BI1290"/>
    <mergeCell ref="AN1290:AO1290"/>
    <mergeCell ref="AP1290:AQ1290"/>
    <mergeCell ref="AR1290:AS1290"/>
    <mergeCell ref="AT1290:AU1290"/>
    <mergeCell ref="AV1290:AW1290"/>
    <mergeCell ref="AX1290:AZ1290"/>
    <mergeCell ref="BA1290:BB1290"/>
    <mergeCell ref="AJ1288:AK1288"/>
    <mergeCell ref="AL1288:AM1288"/>
    <mergeCell ref="R1288:S1288"/>
    <mergeCell ref="T1288:U1288"/>
    <mergeCell ref="V1288:W1288"/>
    <mergeCell ref="X1288:AA1288"/>
    <mergeCell ref="AB1288:AE1288"/>
    <mergeCell ref="AF1288:AG1288"/>
    <mergeCell ref="AH1288:AI1288"/>
    <mergeCell ref="R1289:S1289"/>
    <mergeCell ref="T1289:U1289"/>
    <mergeCell ref="V1289:W1289"/>
    <mergeCell ref="X1289:AA1289"/>
    <mergeCell ref="AB1289:AE1289"/>
    <mergeCell ref="AF1289:AG1289"/>
    <mergeCell ref="AH1289:AI1289"/>
    <mergeCell ref="AX1289:AZ1289"/>
    <mergeCell ref="BA1289:BB1289"/>
    <mergeCell ref="BD1289:BE1289"/>
    <mergeCell ref="BF1289:BI1289"/>
    <mergeCell ref="AJ1290:AK1290"/>
    <mergeCell ref="AL1290:AM1290"/>
    <mergeCell ref="R1290:S1290"/>
    <mergeCell ref="T1290:U1290"/>
    <mergeCell ref="V1290:W1290"/>
    <mergeCell ref="X1290:AA1290"/>
    <mergeCell ref="AB1290:AE1290"/>
    <mergeCell ref="AF1290:AG1290"/>
    <mergeCell ref="AH1290:AI1290"/>
    <mergeCell ref="BJ1289:BM1289"/>
    <mergeCell ref="BN1289:BV1289"/>
    <mergeCell ref="BJ1290:BM1290"/>
    <mergeCell ref="BN1290:BV1290"/>
    <mergeCell ref="B1289:C1289"/>
    <mergeCell ref="D1289:E1289"/>
    <mergeCell ref="F1289:G1289"/>
    <mergeCell ref="H1289:I1289"/>
    <mergeCell ref="J1289:K1289"/>
    <mergeCell ref="L1289:M1289"/>
    <mergeCell ref="P1289:Q1289"/>
    <mergeCell ref="B1290:C1290"/>
    <mergeCell ref="D1290:E1290"/>
    <mergeCell ref="F1290:G1290"/>
    <mergeCell ref="H1290:I1290"/>
    <mergeCell ref="J1290:K1290"/>
    <mergeCell ref="L1290:M1290"/>
    <mergeCell ref="P1290:Q1290"/>
    <mergeCell ref="AJ1289:AK1289"/>
    <mergeCell ref="AL1289:AM1289"/>
    <mergeCell ref="AN1289:AO1289"/>
    <mergeCell ref="AP1289:AQ1289"/>
    <mergeCell ref="AR1289:AS1289"/>
    <mergeCell ref="AT1289:AU1289"/>
    <mergeCell ref="AV1289:AW1289"/>
    <mergeCell ref="BD1301:BE1301"/>
    <mergeCell ref="BF1301:BI1301"/>
    <mergeCell ref="AN1301:AO1301"/>
    <mergeCell ref="AP1301:AQ1301"/>
    <mergeCell ref="AR1301:AS1301"/>
    <mergeCell ref="AT1301:AU1301"/>
    <mergeCell ref="AV1301:AW1301"/>
    <mergeCell ref="AX1301:AZ1301"/>
    <mergeCell ref="BA1301:BB1301"/>
    <mergeCell ref="AJ1299:AK1299"/>
    <mergeCell ref="AL1299:AM1299"/>
    <mergeCell ref="R1299:S1299"/>
    <mergeCell ref="T1299:U1299"/>
    <mergeCell ref="V1299:W1299"/>
    <mergeCell ref="X1299:AA1299"/>
    <mergeCell ref="AB1299:AE1299"/>
    <mergeCell ref="AF1299:AG1299"/>
    <mergeCell ref="AH1299:AI1299"/>
    <mergeCell ref="R1300:S1300"/>
    <mergeCell ref="T1300:U1300"/>
    <mergeCell ref="V1300:W1300"/>
    <mergeCell ref="X1300:AA1300"/>
    <mergeCell ref="AB1300:AE1300"/>
    <mergeCell ref="AF1300:AG1300"/>
    <mergeCell ref="AH1300:AI1300"/>
    <mergeCell ref="AX1300:AZ1300"/>
    <mergeCell ref="BA1300:BB1300"/>
    <mergeCell ref="BD1300:BE1300"/>
    <mergeCell ref="BF1300:BI1300"/>
    <mergeCell ref="BJ1300:BM1300"/>
    <mergeCell ref="BN1300:BV1300"/>
    <mergeCell ref="BJ1301:BM1301"/>
    <mergeCell ref="BN1301:BV1301"/>
    <mergeCell ref="B1300:C1300"/>
    <mergeCell ref="D1300:E1300"/>
    <mergeCell ref="F1300:G1300"/>
    <mergeCell ref="H1300:I1300"/>
    <mergeCell ref="J1300:K1300"/>
    <mergeCell ref="L1300:M1300"/>
    <mergeCell ref="AX1296:AZ1296"/>
    <mergeCell ref="B1299:C1299"/>
    <mergeCell ref="D1299:E1299"/>
    <mergeCell ref="F1299:G1299"/>
    <mergeCell ref="H1299:I1299"/>
    <mergeCell ref="J1299:K1299"/>
    <mergeCell ref="L1299:M1299"/>
    <mergeCell ref="P1299:Q1299"/>
    <mergeCell ref="AJ1298:AK1298"/>
    <mergeCell ref="AL1298:AM1298"/>
    <mergeCell ref="AN1298:AO1298"/>
    <mergeCell ref="AP1298:AQ1298"/>
    <mergeCell ref="AR1298:AS1298"/>
    <mergeCell ref="AT1298:AU1298"/>
    <mergeCell ref="AV1298:AW1298"/>
    <mergeCell ref="AN1299:AO1299"/>
    <mergeCell ref="AP1299:AQ1299"/>
    <mergeCell ref="AR1299:AS1299"/>
    <mergeCell ref="AT1299:AU1299"/>
    <mergeCell ref="AV1299:AW1299"/>
    <mergeCell ref="AX1299:AZ1299"/>
    <mergeCell ref="BA1299:BB1299"/>
    <mergeCell ref="AJ1297:AK1297"/>
    <mergeCell ref="AL1297:AM1297"/>
    <mergeCell ref="R1297:S1297"/>
    <mergeCell ref="T1297:U1297"/>
    <mergeCell ref="V1297:W1297"/>
    <mergeCell ref="X1297:AA1297"/>
    <mergeCell ref="AB1297:AE1297"/>
    <mergeCell ref="L1296:M1296"/>
    <mergeCell ref="P1296:Q1296"/>
    <mergeCell ref="B1297:C1297"/>
    <mergeCell ref="D1297:E1297"/>
    <mergeCell ref="F1297:G1297"/>
    <mergeCell ref="H1297:I1297"/>
    <mergeCell ref="J1297:K1297"/>
    <mergeCell ref="L1297:M1297"/>
    <mergeCell ref="P1297:Q1297"/>
    <mergeCell ref="B1298:C1298"/>
    <mergeCell ref="D1298:E1298"/>
    <mergeCell ref="F1298:G1298"/>
    <mergeCell ref="H1298:I1298"/>
    <mergeCell ref="J1298:K1298"/>
    <mergeCell ref="L1298:M1298"/>
    <mergeCell ref="P1298:Q1298"/>
    <mergeCell ref="AH1294:AI1294"/>
    <mergeCell ref="B1301:C1301"/>
    <mergeCell ref="D1301:E1301"/>
    <mergeCell ref="F1301:G1301"/>
    <mergeCell ref="H1301:I1301"/>
    <mergeCell ref="J1301:K1301"/>
    <mergeCell ref="L1301:M1301"/>
    <mergeCell ref="P1301:Q1301"/>
    <mergeCell ref="AJ1300:AK1300"/>
    <mergeCell ref="AL1300:AM1300"/>
    <mergeCell ref="AN1300:AO1300"/>
    <mergeCell ref="AP1300:AQ1300"/>
    <mergeCell ref="AR1300:AS1300"/>
    <mergeCell ref="AT1300:AU1300"/>
    <mergeCell ref="AV1300:AW1300"/>
    <mergeCell ref="AJ1295:AK1295"/>
    <mergeCell ref="AL1295:AM1295"/>
    <mergeCell ref="R1295:S1295"/>
    <mergeCell ref="T1295:U1295"/>
    <mergeCell ref="V1295:W1295"/>
    <mergeCell ref="X1295:AA1295"/>
    <mergeCell ref="AB1295:AE1295"/>
    <mergeCell ref="AF1295:AG1295"/>
    <mergeCell ref="AH1295:AI1295"/>
    <mergeCell ref="R1296:S1296"/>
    <mergeCell ref="T1296:U1296"/>
    <mergeCell ref="V1296:W1296"/>
    <mergeCell ref="X1296:AA1296"/>
    <mergeCell ref="AB1296:AE1296"/>
    <mergeCell ref="AF1296:AG1296"/>
    <mergeCell ref="AH1296:AI1296"/>
    <mergeCell ref="BD1292:BE1292"/>
    <mergeCell ref="BF1292:BI1292"/>
    <mergeCell ref="AN1292:AO1292"/>
    <mergeCell ref="AP1292:AQ1292"/>
    <mergeCell ref="AR1292:AS1292"/>
    <mergeCell ref="AT1292:AU1292"/>
    <mergeCell ref="AV1292:AW1292"/>
    <mergeCell ref="AX1292:AZ1292"/>
    <mergeCell ref="BA1292:BB1292"/>
    <mergeCell ref="AF1297:AG1297"/>
    <mergeCell ref="AH1297:AI1297"/>
    <mergeCell ref="R1298:S1298"/>
    <mergeCell ref="T1298:U1298"/>
    <mergeCell ref="V1298:W1298"/>
    <mergeCell ref="X1298:AA1298"/>
    <mergeCell ref="AB1298:AE1298"/>
    <mergeCell ref="AF1298:AG1298"/>
    <mergeCell ref="AH1298:AI1298"/>
    <mergeCell ref="AX1298:AZ1298"/>
    <mergeCell ref="BA1298:BB1298"/>
    <mergeCell ref="BD1298:BE1298"/>
    <mergeCell ref="BF1298:BI1298"/>
    <mergeCell ref="B1293:C1293"/>
    <mergeCell ref="D1293:E1293"/>
    <mergeCell ref="F1293:G1293"/>
    <mergeCell ref="H1293:I1293"/>
    <mergeCell ref="J1293:K1293"/>
    <mergeCell ref="L1293:M1293"/>
    <mergeCell ref="P1293:Q1293"/>
    <mergeCell ref="B1295:C1295"/>
    <mergeCell ref="D1295:E1295"/>
    <mergeCell ref="F1295:G1295"/>
    <mergeCell ref="H1295:I1295"/>
    <mergeCell ref="X1294:AA1294"/>
    <mergeCell ref="BJ1291:BM1291"/>
    <mergeCell ref="BN1291:BV1291"/>
    <mergeCell ref="B1291:C1291"/>
    <mergeCell ref="D1291:E1291"/>
    <mergeCell ref="F1291:G1291"/>
    <mergeCell ref="H1291:I1291"/>
    <mergeCell ref="J1291:K1291"/>
    <mergeCell ref="L1291:M1291"/>
    <mergeCell ref="P1291:Q1291"/>
    <mergeCell ref="AJ1291:AK1291"/>
    <mergeCell ref="AL1291:AM1291"/>
    <mergeCell ref="AN1291:AO1291"/>
    <mergeCell ref="AP1291:AQ1291"/>
    <mergeCell ref="AR1291:AS1291"/>
    <mergeCell ref="AT1291:AU1291"/>
    <mergeCell ref="AV1291:AW1291"/>
    <mergeCell ref="B1292:C1292"/>
    <mergeCell ref="D1292:E1292"/>
    <mergeCell ref="F1292:G1292"/>
    <mergeCell ref="H1292:I1292"/>
    <mergeCell ref="J1292:K1292"/>
    <mergeCell ref="L1292:M1292"/>
    <mergeCell ref="P1292:Q1292"/>
    <mergeCell ref="BD1296:BE1296"/>
    <mergeCell ref="BF1296:BI1296"/>
    <mergeCell ref="BJ1296:BM1296"/>
    <mergeCell ref="BN1296:BV1296"/>
    <mergeCell ref="BJ1297:BM1297"/>
    <mergeCell ref="BN1297:BV1297"/>
    <mergeCell ref="B1296:C1296"/>
    <mergeCell ref="D1296:E1296"/>
    <mergeCell ref="F1296:G1296"/>
    <mergeCell ref="H1296:I1296"/>
    <mergeCell ref="J1296:K1296"/>
    <mergeCell ref="R1291:S1291"/>
    <mergeCell ref="T1291:U1291"/>
    <mergeCell ref="V1291:W1291"/>
    <mergeCell ref="X1291:AA1291"/>
    <mergeCell ref="AB1291:AE1291"/>
    <mergeCell ref="AF1291:AG1291"/>
    <mergeCell ref="AH1291:AI1291"/>
    <mergeCell ref="AX1291:AZ1291"/>
    <mergeCell ref="BA1291:BB1291"/>
    <mergeCell ref="BD1291:BE1291"/>
    <mergeCell ref="BF1291:BI1291"/>
    <mergeCell ref="AJ1292:AK1292"/>
    <mergeCell ref="AL1292:AM1292"/>
    <mergeCell ref="BJ1292:BM1292"/>
    <mergeCell ref="BN1292:BV1292"/>
    <mergeCell ref="R1292:S1292"/>
    <mergeCell ref="T1292:U1292"/>
    <mergeCell ref="V1292:W1292"/>
    <mergeCell ref="X1292:AA1292"/>
    <mergeCell ref="AB1292:AE1292"/>
    <mergeCell ref="AF1292:AG1292"/>
    <mergeCell ref="AH1292:AI1292"/>
    <mergeCell ref="BA1296:BB1296"/>
    <mergeCell ref="J1295:K1295"/>
    <mergeCell ref="L1295:M1295"/>
    <mergeCell ref="P1295:Q1295"/>
    <mergeCell ref="R1294:S1294"/>
    <mergeCell ref="AB1294:AE1294"/>
    <mergeCell ref="AF1294:AG1294"/>
    <mergeCell ref="AX1302:AZ1302"/>
    <mergeCell ref="BJ1302:BM1302"/>
    <mergeCell ref="BN1302:BV1302"/>
    <mergeCell ref="BJ1303:BM1303"/>
    <mergeCell ref="BN1303:BV1303"/>
    <mergeCell ref="BJ1304:BM1304"/>
    <mergeCell ref="BN1304:BV1304"/>
    <mergeCell ref="BJ1305:BM1305"/>
    <mergeCell ref="BN1305:BV1305"/>
    <mergeCell ref="AJ1304:AK1304"/>
    <mergeCell ref="AL1304:AM1304"/>
    <mergeCell ref="AN1304:AO1304"/>
    <mergeCell ref="AP1304:AQ1304"/>
    <mergeCell ref="AR1304:AS1304"/>
    <mergeCell ref="AT1304:AU1304"/>
    <mergeCell ref="AV1304:AW1304"/>
    <mergeCell ref="BJ1293:BM1293"/>
    <mergeCell ref="BN1293:BV1293"/>
    <mergeCell ref="AJ1293:AK1293"/>
    <mergeCell ref="AL1293:AM1293"/>
    <mergeCell ref="AN1293:AO1293"/>
    <mergeCell ref="AP1293:AQ1293"/>
    <mergeCell ref="AR1293:AS1293"/>
    <mergeCell ref="AT1293:AU1293"/>
    <mergeCell ref="AV1293:AW1293"/>
    <mergeCell ref="T1304:U1304"/>
    <mergeCell ref="V1304:W1304"/>
    <mergeCell ref="X1304:AA1304"/>
    <mergeCell ref="AB1304:AE1304"/>
    <mergeCell ref="AF1304:AG1304"/>
    <mergeCell ref="AH1304:AI1304"/>
    <mergeCell ref="AX1304:AZ1304"/>
    <mergeCell ref="BA1304:BB1304"/>
    <mergeCell ref="BD1304:BE1304"/>
    <mergeCell ref="BF1304:BI1304"/>
    <mergeCell ref="AJ1296:AK1296"/>
    <mergeCell ref="AL1296:AM1296"/>
    <mergeCell ref="AN1296:AO1296"/>
    <mergeCell ref="AP1296:AQ1296"/>
    <mergeCell ref="AR1296:AS1296"/>
    <mergeCell ref="AT1296:AU1296"/>
    <mergeCell ref="AV1296:AW1296"/>
    <mergeCell ref="BD1295:BE1295"/>
    <mergeCell ref="AX1294:AZ1294"/>
    <mergeCell ref="BA1294:BB1294"/>
    <mergeCell ref="BD1294:BE1294"/>
    <mergeCell ref="BF1294:BI1294"/>
    <mergeCell ref="BJ1294:BM1294"/>
    <mergeCell ref="BN1294:BV1294"/>
    <mergeCell ref="BJ1295:BM1295"/>
    <mergeCell ref="BN1295:BV1295"/>
    <mergeCell ref="BJ1298:BM1298"/>
    <mergeCell ref="BN1298:BV1298"/>
    <mergeCell ref="BJ1299:BM1299"/>
    <mergeCell ref="BN1299:BV1299"/>
    <mergeCell ref="AJ1294:AK1294"/>
    <mergeCell ref="AL1294:AM1294"/>
    <mergeCell ref="AN1294:AO1294"/>
    <mergeCell ref="AP1294:AQ1294"/>
    <mergeCell ref="AR1294:AS1294"/>
    <mergeCell ref="AT1294:AU1294"/>
    <mergeCell ref="AV1294:AW1294"/>
    <mergeCell ref="T1294:U1294"/>
    <mergeCell ref="V1294:W1294"/>
    <mergeCell ref="J1306:K1306"/>
    <mergeCell ref="B1294:C1294"/>
    <mergeCell ref="D1294:E1294"/>
    <mergeCell ref="F1294:G1294"/>
    <mergeCell ref="H1294:I1294"/>
    <mergeCell ref="J1294:K1294"/>
    <mergeCell ref="L1294:M1294"/>
    <mergeCell ref="P1294:Q1294"/>
    <mergeCell ref="BF1295:BI1295"/>
    <mergeCell ref="AN1295:AO1295"/>
    <mergeCell ref="AP1295:AQ1295"/>
    <mergeCell ref="AR1295:AS1295"/>
    <mergeCell ref="AT1295:AU1295"/>
    <mergeCell ref="AV1295:AW1295"/>
    <mergeCell ref="AX1295:AZ1295"/>
    <mergeCell ref="BA1295:BB1295"/>
    <mergeCell ref="R1293:S1293"/>
    <mergeCell ref="T1293:U1293"/>
    <mergeCell ref="V1293:W1293"/>
    <mergeCell ref="X1293:AA1293"/>
    <mergeCell ref="AB1293:AE1293"/>
    <mergeCell ref="AF1293:AG1293"/>
    <mergeCell ref="AH1293:AI1293"/>
    <mergeCell ref="AX1293:AZ1293"/>
    <mergeCell ref="BA1293:BB1293"/>
    <mergeCell ref="BD1293:BE1293"/>
    <mergeCell ref="BF1293:BI1293"/>
    <mergeCell ref="J1305:K1305"/>
    <mergeCell ref="L1305:M1305"/>
    <mergeCell ref="P1305:Q1305"/>
    <mergeCell ref="BD1297:BE1297"/>
    <mergeCell ref="BF1297:BI1297"/>
    <mergeCell ref="AN1297:AO1297"/>
    <mergeCell ref="AP1297:AQ1297"/>
    <mergeCell ref="AR1297:AS1297"/>
    <mergeCell ref="AT1297:AU1297"/>
    <mergeCell ref="AV1297:AW1297"/>
    <mergeCell ref="AX1297:AZ1297"/>
    <mergeCell ref="BA1297:BB1297"/>
    <mergeCell ref="BD1303:BE1303"/>
    <mergeCell ref="BF1303:BI1303"/>
    <mergeCell ref="AN1303:AO1303"/>
    <mergeCell ref="AP1303:AQ1303"/>
    <mergeCell ref="AR1303:AS1303"/>
    <mergeCell ref="AT1303:AU1303"/>
    <mergeCell ref="AV1303:AW1303"/>
    <mergeCell ref="AX1303:AZ1303"/>
    <mergeCell ref="BA1303:BB1303"/>
    <mergeCell ref="AJ1301:AK1301"/>
    <mergeCell ref="AL1301:AM1301"/>
    <mergeCell ref="R1301:S1301"/>
    <mergeCell ref="T1301:U1301"/>
    <mergeCell ref="V1301:W1301"/>
    <mergeCell ref="X1301:AA1301"/>
    <mergeCell ref="AB1301:AE1301"/>
    <mergeCell ref="AF1301:AG1301"/>
    <mergeCell ref="AH1301:AI1301"/>
    <mergeCell ref="R1302:S1302"/>
    <mergeCell ref="T1302:U1302"/>
    <mergeCell ref="V1302:W1302"/>
    <mergeCell ref="X1302:AA1302"/>
    <mergeCell ref="AB1302:AE1302"/>
    <mergeCell ref="AF1302:AG1302"/>
    <mergeCell ref="AH1302:AI1302"/>
    <mergeCell ref="AX1307:AZ1307"/>
    <mergeCell ref="BA1302:BB1302"/>
    <mergeCell ref="BD1302:BE1302"/>
    <mergeCell ref="BF1302:BI1302"/>
    <mergeCell ref="BD1299:BE1299"/>
    <mergeCell ref="BF1299:BI1299"/>
    <mergeCell ref="AJ1305:AK1305"/>
    <mergeCell ref="AL1305:AM1305"/>
    <mergeCell ref="R1305:S1305"/>
    <mergeCell ref="T1305:U1305"/>
    <mergeCell ref="V1305:W1305"/>
    <mergeCell ref="X1305:AA1305"/>
    <mergeCell ref="AB1305:AE1305"/>
    <mergeCell ref="AF1305:AG1305"/>
    <mergeCell ref="AH1305:AI1305"/>
    <mergeCell ref="P1300:Q1300"/>
    <mergeCell ref="BJ1306:BM1306"/>
    <mergeCell ref="BN1306:BV1306"/>
    <mergeCell ref="BJ1307:BM1307"/>
    <mergeCell ref="BN1307:BV1307"/>
    <mergeCell ref="B1302:C1302"/>
    <mergeCell ref="D1302:E1302"/>
    <mergeCell ref="F1302:G1302"/>
    <mergeCell ref="H1302:I1302"/>
    <mergeCell ref="J1302:K1302"/>
    <mergeCell ref="L1302:M1302"/>
    <mergeCell ref="P1302:Q1302"/>
    <mergeCell ref="B1303:C1303"/>
    <mergeCell ref="D1303:E1303"/>
    <mergeCell ref="F1303:G1303"/>
    <mergeCell ref="H1303:I1303"/>
    <mergeCell ref="J1303:K1303"/>
    <mergeCell ref="L1303:M1303"/>
    <mergeCell ref="P1303:Q1303"/>
    <mergeCell ref="AJ1302:AK1302"/>
    <mergeCell ref="AL1302:AM1302"/>
    <mergeCell ref="AN1302:AO1302"/>
    <mergeCell ref="AP1302:AQ1302"/>
    <mergeCell ref="AR1302:AS1302"/>
    <mergeCell ref="AT1302:AU1302"/>
    <mergeCell ref="AV1302:AW1302"/>
    <mergeCell ref="BD1305:BE1305"/>
    <mergeCell ref="BF1305:BI1305"/>
    <mergeCell ref="AN1305:AO1305"/>
    <mergeCell ref="AP1305:AQ1305"/>
    <mergeCell ref="AR1305:AS1305"/>
    <mergeCell ref="AT1305:AU1305"/>
    <mergeCell ref="AV1305:AW1305"/>
    <mergeCell ref="AX1305:AZ1305"/>
    <mergeCell ref="BA1305:BB1305"/>
    <mergeCell ref="AJ1303:AK1303"/>
    <mergeCell ref="AL1303:AM1303"/>
    <mergeCell ref="R1303:S1303"/>
    <mergeCell ref="T1303:U1303"/>
    <mergeCell ref="V1303:W1303"/>
    <mergeCell ref="X1303:AA1303"/>
    <mergeCell ref="AB1303:AE1303"/>
    <mergeCell ref="AF1303:AG1303"/>
    <mergeCell ref="AH1303:AI1303"/>
    <mergeCell ref="R1304:S1304"/>
    <mergeCell ref="B1306:C1306"/>
    <mergeCell ref="D1306:E1306"/>
    <mergeCell ref="F1306:G1306"/>
    <mergeCell ref="H1306:I1306"/>
    <mergeCell ref="B1308:C1308"/>
    <mergeCell ref="D1308:E1308"/>
    <mergeCell ref="F1308:G1308"/>
    <mergeCell ref="H1308:I1308"/>
    <mergeCell ref="J1308:K1308"/>
    <mergeCell ref="L1308:M1308"/>
    <mergeCell ref="P1308:Q1308"/>
    <mergeCell ref="B1309:C1309"/>
    <mergeCell ref="D1309:E1309"/>
    <mergeCell ref="F1309:G1309"/>
    <mergeCell ref="H1309:I1309"/>
    <mergeCell ref="J1309:K1309"/>
    <mergeCell ref="L1309:M1309"/>
    <mergeCell ref="P1309:Q1309"/>
    <mergeCell ref="AJ1308:AK1308"/>
    <mergeCell ref="AL1308:AM1308"/>
    <mergeCell ref="AN1308:AO1308"/>
    <mergeCell ref="AP1308:AQ1308"/>
    <mergeCell ref="AR1308:AS1308"/>
    <mergeCell ref="AT1308:AU1308"/>
    <mergeCell ref="AV1308:AW1308"/>
    <mergeCell ref="L1306:M1306"/>
    <mergeCell ref="P1306:Q1306"/>
    <mergeCell ref="B1307:C1307"/>
    <mergeCell ref="D1307:E1307"/>
    <mergeCell ref="B1304:C1304"/>
    <mergeCell ref="D1304:E1304"/>
    <mergeCell ref="F1304:G1304"/>
    <mergeCell ref="H1304:I1304"/>
    <mergeCell ref="J1304:K1304"/>
    <mergeCell ref="L1304:M1304"/>
    <mergeCell ref="P1304:Q1304"/>
    <mergeCell ref="B1305:C1305"/>
    <mergeCell ref="D1305:E1305"/>
    <mergeCell ref="F1305:G1305"/>
    <mergeCell ref="H1305:I1305"/>
    <mergeCell ref="F1307:G1307"/>
    <mergeCell ref="H1307:I1307"/>
    <mergeCell ref="J1307:K1307"/>
    <mergeCell ref="L1307:M1307"/>
    <mergeCell ref="P1307:Q1307"/>
    <mergeCell ref="AJ1306:AK1306"/>
    <mergeCell ref="AL1306:AM1306"/>
    <mergeCell ref="AN1306:AO1306"/>
    <mergeCell ref="AP1306:AQ1306"/>
    <mergeCell ref="AR1306:AS1306"/>
    <mergeCell ref="AT1306:AU1306"/>
    <mergeCell ref="AV1306:AW1306"/>
    <mergeCell ref="AN1309:AO1309"/>
    <mergeCell ref="AP1309:AQ1309"/>
    <mergeCell ref="AR1309:AS1309"/>
    <mergeCell ref="AT1309:AU1309"/>
    <mergeCell ref="AV1309:AW1309"/>
    <mergeCell ref="AJ1307:AK1307"/>
    <mergeCell ref="AL1307:AM1307"/>
    <mergeCell ref="R1307:S1307"/>
    <mergeCell ref="T1307:U1307"/>
    <mergeCell ref="V1307:W1307"/>
    <mergeCell ref="X1307:AA1307"/>
    <mergeCell ref="AB1307:AE1307"/>
    <mergeCell ref="AF1307:AG1307"/>
    <mergeCell ref="AH1307:AI1307"/>
    <mergeCell ref="R1308:S1308"/>
    <mergeCell ref="T1308:U1308"/>
    <mergeCell ref="AT1311:AU1311"/>
    <mergeCell ref="AV1311:AW1311"/>
    <mergeCell ref="AX1311:AZ1311"/>
    <mergeCell ref="BA1311:BB1311"/>
    <mergeCell ref="AJ1309:AK1309"/>
    <mergeCell ref="AL1309:AM1309"/>
    <mergeCell ref="R1309:S1309"/>
    <mergeCell ref="T1309:U1309"/>
    <mergeCell ref="V1309:W1309"/>
    <mergeCell ref="X1309:AA1309"/>
    <mergeCell ref="AB1309:AE1309"/>
    <mergeCell ref="AF1309:AG1309"/>
    <mergeCell ref="AH1309:AI1309"/>
    <mergeCell ref="R1310:S1310"/>
    <mergeCell ref="T1310:U1310"/>
    <mergeCell ref="V1310:W1310"/>
    <mergeCell ref="X1310:AA1310"/>
    <mergeCell ref="AB1310:AE1310"/>
    <mergeCell ref="AF1310:AG1310"/>
    <mergeCell ref="AH1310:AI1310"/>
    <mergeCell ref="AX1310:AZ1310"/>
    <mergeCell ref="BA1310:BB1310"/>
    <mergeCell ref="BD1310:BE1310"/>
    <mergeCell ref="BF1310:BI1310"/>
    <mergeCell ref="BJ1310:BM1310"/>
    <mergeCell ref="BN1310:BV1310"/>
    <mergeCell ref="BJ1311:BM1311"/>
    <mergeCell ref="BN1311:BV1311"/>
    <mergeCell ref="BA1307:BB1307"/>
    <mergeCell ref="R1306:S1306"/>
    <mergeCell ref="T1306:U1306"/>
    <mergeCell ref="V1306:W1306"/>
    <mergeCell ref="X1306:AA1306"/>
    <mergeCell ref="AB1306:AE1306"/>
    <mergeCell ref="AF1306:AG1306"/>
    <mergeCell ref="AH1306:AI1306"/>
    <mergeCell ref="AX1306:AZ1306"/>
    <mergeCell ref="BA1306:BB1306"/>
    <mergeCell ref="BD1306:BE1306"/>
    <mergeCell ref="BF1306:BI1306"/>
    <mergeCell ref="BJ1308:BM1308"/>
    <mergeCell ref="BN1308:BV1308"/>
    <mergeCell ref="BJ1309:BM1309"/>
    <mergeCell ref="BN1309:BV1309"/>
    <mergeCell ref="BD1309:BE1309"/>
    <mergeCell ref="BF1309:BI1309"/>
    <mergeCell ref="AX1309:AZ1309"/>
    <mergeCell ref="BA1309:BB1309"/>
    <mergeCell ref="V1308:W1308"/>
    <mergeCell ref="X1308:AA1308"/>
    <mergeCell ref="AB1308:AE1308"/>
    <mergeCell ref="AF1308:AG1308"/>
    <mergeCell ref="AH1308:AI1308"/>
    <mergeCell ref="AX1308:AZ1308"/>
    <mergeCell ref="BA1308:BB1308"/>
    <mergeCell ref="BD1308:BE1308"/>
    <mergeCell ref="BF1308:BI1308"/>
    <mergeCell ref="BD1307:BE1307"/>
    <mergeCell ref="BF1307:BI1307"/>
    <mergeCell ref="AN1307:AO1307"/>
    <mergeCell ref="AP1307:AQ1307"/>
    <mergeCell ref="AR1307:AS1307"/>
    <mergeCell ref="AT1307:AU1307"/>
    <mergeCell ref="AV1307:AW1307"/>
    <mergeCell ref="B1310:C1310"/>
    <mergeCell ref="D1310:E1310"/>
    <mergeCell ref="F1310:G1310"/>
    <mergeCell ref="H1310:I1310"/>
    <mergeCell ref="J1310:K1310"/>
    <mergeCell ref="L1310:M1310"/>
    <mergeCell ref="P1310:Q1310"/>
    <mergeCell ref="B1311:C1311"/>
    <mergeCell ref="D1311:E1311"/>
    <mergeCell ref="F1311:G1311"/>
    <mergeCell ref="H1311:I1311"/>
    <mergeCell ref="J1311:K1311"/>
    <mergeCell ref="L1311:M1311"/>
    <mergeCell ref="P1311:Q1311"/>
    <mergeCell ref="AJ1310:AK1310"/>
    <mergeCell ref="AL1310:AM1310"/>
    <mergeCell ref="AN1310:AO1310"/>
    <mergeCell ref="AP1310:AQ1310"/>
    <mergeCell ref="AR1310:AS1310"/>
    <mergeCell ref="AT1310:AU1310"/>
    <mergeCell ref="AV1310:AW1310"/>
    <mergeCell ref="BD1313:BE1313"/>
    <mergeCell ref="BF1313:BI1313"/>
    <mergeCell ref="AN1313:AO1313"/>
    <mergeCell ref="AP1313:AQ1313"/>
    <mergeCell ref="AR1313:AS1313"/>
    <mergeCell ref="AT1313:AU1313"/>
    <mergeCell ref="AV1313:AW1313"/>
    <mergeCell ref="AX1313:AZ1313"/>
    <mergeCell ref="BA1313:BB1313"/>
    <mergeCell ref="AJ1311:AK1311"/>
    <mergeCell ref="AL1311:AM1311"/>
    <mergeCell ref="R1311:S1311"/>
    <mergeCell ref="T1311:U1311"/>
    <mergeCell ref="V1311:W1311"/>
    <mergeCell ref="X1311:AA1311"/>
    <mergeCell ref="AB1311:AE1311"/>
    <mergeCell ref="AF1311:AG1311"/>
    <mergeCell ref="AH1311:AI1311"/>
    <mergeCell ref="R1312:S1312"/>
    <mergeCell ref="T1312:U1312"/>
    <mergeCell ref="V1312:W1312"/>
    <mergeCell ref="X1312:AA1312"/>
    <mergeCell ref="AB1312:AE1312"/>
    <mergeCell ref="AF1312:AG1312"/>
    <mergeCell ref="AH1312:AI1312"/>
    <mergeCell ref="AX1312:AZ1312"/>
    <mergeCell ref="BA1312:BB1312"/>
    <mergeCell ref="BD1312:BE1312"/>
    <mergeCell ref="BF1312:BI1312"/>
    <mergeCell ref="AJ1313:AK1313"/>
    <mergeCell ref="AL1313:AM1313"/>
    <mergeCell ref="R1313:S1313"/>
    <mergeCell ref="T1313:U1313"/>
    <mergeCell ref="V1313:W1313"/>
    <mergeCell ref="X1313:AA1313"/>
    <mergeCell ref="AB1313:AE1313"/>
    <mergeCell ref="AF1313:AG1313"/>
    <mergeCell ref="AH1313:AI1313"/>
    <mergeCell ref="BD1311:BE1311"/>
    <mergeCell ref="BF1311:BI1311"/>
    <mergeCell ref="AN1311:AO1311"/>
    <mergeCell ref="AP1311:AQ1311"/>
    <mergeCell ref="AR1311:AS1311"/>
    <mergeCell ref="BJ1312:BM1312"/>
    <mergeCell ref="BN1312:BV1312"/>
    <mergeCell ref="BJ1313:BM1313"/>
    <mergeCell ref="BN1313:BV1313"/>
    <mergeCell ref="B1312:C1312"/>
    <mergeCell ref="D1312:E1312"/>
    <mergeCell ref="F1312:G1312"/>
    <mergeCell ref="H1312:I1312"/>
    <mergeCell ref="J1312:K1312"/>
    <mergeCell ref="L1312:M1312"/>
    <mergeCell ref="P1312:Q1312"/>
    <mergeCell ref="B1313:C1313"/>
    <mergeCell ref="D1313:E1313"/>
    <mergeCell ref="F1313:G1313"/>
    <mergeCell ref="H1313:I1313"/>
    <mergeCell ref="J1313:K1313"/>
    <mergeCell ref="L1313:M1313"/>
    <mergeCell ref="P1313:Q1313"/>
    <mergeCell ref="AJ1312:AK1312"/>
    <mergeCell ref="AL1312:AM1312"/>
    <mergeCell ref="AN1312:AO1312"/>
    <mergeCell ref="AP1312:AQ1312"/>
    <mergeCell ref="AR1312:AS1312"/>
    <mergeCell ref="AT1312:AU1312"/>
    <mergeCell ref="AV1312:AW1312"/>
    <mergeCell ref="BD1324:BE1324"/>
    <mergeCell ref="BF1324:BI1324"/>
    <mergeCell ref="AN1324:AO1324"/>
    <mergeCell ref="AP1324:AQ1324"/>
    <mergeCell ref="AR1324:AS1324"/>
    <mergeCell ref="AT1324:AU1324"/>
    <mergeCell ref="AV1324:AW1324"/>
    <mergeCell ref="AX1324:AZ1324"/>
    <mergeCell ref="BA1324:BB1324"/>
    <mergeCell ref="AJ1322:AK1322"/>
    <mergeCell ref="AL1322:AM1322"/>
    <mergeCell ref="R1322:S1322"/>
    <mergeCell ref="T1322:U1322"/>
    <mergeCell ref="V1322:W1322"/>
    <mergeCell ref="X1322:AA1322"/>
    <mergeCell ref="AB1322:AE1322"/>
    <mergeCell ref="AF1322:AG1322"/>
    <mergeCell ref="AH1322:AI1322"/>
    <mergeCell ref="R1323:S1323"/>
    <mergeCell ref="T1323:U1323"/>
    <mergeCell ref="V1323:W1323"/>
    <mergeCell ref="X1323:AA1323"/>
    <mergeCell ref="AB1323:AE1323"/>
    <mergeCell ref="AF1323:AG1323"/>
    <mergeCell ref="AH1323:AI1323"/>
    <mergeCell ref="AX1323:AZ1323"/>
    <mergeCell ref="BA1323:BB1323"/>
    <mergeCell ref="BD1323:BE1323"/>
    <mergeCell ref="BF1323:BI1323"/>
    <mergeCell ref="BJ1323:BM1323"/>
    <mergeCell ref="BN1323:BV1323"/>
    <mergeCell ref="BJ1324:BM1324"/>
    <mergeCell ref="BN1324:BV1324"/>
    <mergeCell ref="B1323:C1323"/>
    <mergeCell ref="D1323:E1323"/>
    <mergeCell ref="F1323:G1323"/>
    <mergeCell ref="H1323:I1323"/>
    <mergeCell ref="J1323:K1323"/>
    <mergeCell ref="L1323:M1323"/>
    <mergeCell ref="AX1319:AZ1319"/>
    <mergeCell ref="B1322:C1322"/>
    <mergeCell ref="D1322:E1322"/>
    <mergeCell ref="F1322:G1322"/>
    <mergeCell ref="H1322:I1322"/>
    <mergeCell ref="J1322:K1322"/>
    <mergeCell ref="L1322:M1322"/>
    <mergeCell ref="P1322:Q1322"/>
    <mergeCell ref="AJ1321:AK1321"/>
    <mergeCell ref="AL1321:AM1321"/>
    <mergeCell ref="AN1321:AO1321"/>
    <mergeCell ref="AP1321:AQ1321"/>
    <mergeCell ref="AR1321:AS1321"/>
    <mergeCell ref="AT1321:AU1321"/>
    <mergeCell ref="AV1321:AW1321"/>
    <mergeCell ref="AN1322:AO1322"/>
    <mergeCell ref="AP1322:AQ1322"/>
    <mergeCell ref="AR1322:AS1322"/>
    <mergeCell ref="AT1322:AU1322"/>
    <mergeCell ref="AV1322:AW1322"/>
    <mergeCell ref="AX1322:AZ1322"/>
    <mergeCell ref="BA1322:BB1322"/>
    <mergeCell ref="AJ1320:AK1320"/>
    <mergeCell ref="AL1320:AM1320"/>
    <mergeCell ref="R1320:S1320"/>
    <mergeCell ref="T1320:U1320"/>
    <mergeCell ref="V1320:W1320"/>
    <mergeCell ref="X1320:AA1320"/>
    <mergeCell ref="AB1320:AE1320"/>
    <mergeCell ref="L1319:M1319"/>
    <mergeCell ref="P1319:Q1319"/>
    <mergeCell ref="B1320:C1320"/>
    <mergeCell ref="D1320:E1320"/>
    <mergeCell ref="F1320:G1320"/>
    <mergeCell ref="H1320:I1320"/>
    <mergeCell ref="J1320:K1320"/>
    <mergeCell ref="L1320:M1320"/>
    <mergeCell ref="P1320:Q1320"/>
    <mergeCell ref="B1321:C1321"/>
    <mergeCell ref="D1321:E1321"/>
    <mergeCell ref="F1321:G1321"/>
    <mergeCell ref="H1321:I1321"/>
    <mergeCell ref="J1321:K1321"/>
    <mergeCell ref="L1321:M1321"/>
    <mergeCell ref="P1321:Q1321"/>
    <mergeCell ref="AH1317:AI1317"/>
    <mergeCell ref="B1324:C1324"/>
    <mergeCell ref="D1324:E1324"/>
    <mergeCell ref="F1324:G1324"/>
    <mergeCell ref="H1324:I1324"/>
    <mergeCell ref="J1324:K1324"/>
    <mergeCell ref="L1324:M1324"/>
    <mergeCell ref="P1324:Q1324"/>
    <mergeCell ref="AJ1323:AK1323"/>
    <mergeCell ref="AL1323:AM1323"/>
    <mergeCell ref="AN1323:AO1323"/>
    <mergeCell ref="AP1323:AQ1323"/>
    <mergeCell ref="AR1323:AS1323"/>
    <mergeCell ref="AT1323:AU1323"/>
    <mergeCell ref="AV1323:AW1323"/>
    <mergeCell ref="AJ1318:AK1318"/>
    <mergeCell ref="AL1318:AM1318"/>
    <mergeCell ref="R1318:S1318"/>
    <mergeCell ref="T1318:U1318"/>
    <mergeCell ref="V1318:W1318"/>
    <mergeCell ref="X1318:AA1318"/>
    <mergeCell ref="AB1318:AE1318"/>
    <mergeCell ref="AF1318:AG1318"/>
    <mergeCell ref="AH1318:AI1318"/>
    <mergeCell ref="R1319:S1319"/>
    <mergeCell ref="T1319:U1319"/>
    <mergeCell ref="V1319:W1319"/>
    <mergeCell ref="X1319:AA1319"/>
    <mergeCell ref="AB1319:AE1319"/>
    <mergeCell ref="AF1319:AG1319"/>
    <mergeCell ref="AH1319:AI1319"/>
    <mergeCell ref="BD1315:BE1315"/>
    <mergeCell ref="BF1315:BI1315"/>
    <mergeCell ref="AN1315:AO1315"/>
    <mergeCell ref="AP1315:AQ1315"/>
    <mergeCell ref="AR1315:AS1315"/>
    <mergeCell ref="AT1315:AU1315"/>
    <mergeCell ref="AV1315:AW1315"/>
    <mergeCell ref="AX1315:AZ1315"/>
    <mergeCell ref="BA1315:BB1315"/>
    <mergeCell ref="AF1320:AG1320"/>
    <mergeCell ref="AH1320:AI1320"/>
    <mergeCell ref="R1321:S1321"/>
    <mergeCell ref="T1321:U1321"/>
    <mergeCell ref="V1321:W1321"/>
    <mergeCell ref="X1321:AA1321"/>
    <mergeCell ref="AB1321:AE1321"/>
    <mergeCell ref="AF1321:AG1321"/>
    <mergeCell ref="AH1321:AI1321"/>
    <mergeCell ref="AX1321:AZ1321"/>
    <mergeCell ref="BA1321:BB1321"/>
    <mergeCell ref="BD1321:BE1321"/>
    <mergeCell ref="BF1321:BI1321"/>
    <mergeCell ref="B1316:C1316"/>
    <mergeCell ref="D1316:E1316"/>
    <mergeCell ref="F1316:G1316"/>
    <mergeCell ref="H1316:I1316"/>
    <mergeCell ref="J1316:K1316"/>
    <mergeCell ref="L1316:M1316"/>
    <mergeCell ref="P1316:Q1316"/>
    <mergeCell ref="B1318:C1318"/>
    <mergeCell ref="D1318:E1318"/>
    <mergeCell ref="F1318:G1318"/>
    <mergeCell ref="H1318:I1318"/>
    <mergeCell ref="X1317:AA1317"/>
    <mergeCell ref="BJ1314:BM1314"/>
    <mergeCell ref="BN1314:BV1314"/>
    <mergeCell ref="B1314:C1314"/>
    <mergeCell ref="D1314:E1314"/>
    <mergeCell ref="F1314:G1314"/>
    <mergeCell ref="H1314:I1314"/>
    <mergeCell ref="J1314:K1314"/>
    <mergeCell ref="L1314:M1314"/>
    <mergeCell ref="P1314:Q1314"/>
    <mergeCell ref="AJ1314:AK1314"/>
    <mergeCell ref="AL1314:AM1314"/>
    <mergeCell ref="AN1314:AO1314"/>
    <mergeCell ref="AP1314:AQ1314"/>
    <mergeCell ref="AR1314:AS1314"/>
    <mergeCell ref="AT1314:AU1314"/>
    <mergeCell ref="AV1314:AW1314"/>
    <mergeCell ref="B1315:C1315"/>
    <mergeCell ref="D1315:E1315"/>
    <mergeCell ref="F1315:G1315"/>
    <mergeCell ref="H1315:I1315"/>
    <mergeCell ref="J1315:K1315"/>
    <mergeCell ref="L1315:M1315"/>
    <mergeCell ref="P1315:Q1315"/>
    <mergeCell ref="BD1319:BE1319"/>
    <mergeCell ref="BF1319:BI1319"/>
    <mergeCell ref="BJ1319:BM1319"/>
    <mergeCell ref="BN1319:BV1319"/>
    <mergeCell ref="BJ1320:BM1320"/>
    <mergeCell ref="BN1320:BV1320"/>
    <mergeCell ref="B1319:C1319"/>
    <mergeCell ref="D1319:E1319"/>
    <mergeCell ref="F1319:G1319"/>
    <mergeCell ref="H1319:I1319"/>
    <mergeCell ref="J1319:K1319"/>
    <mergeCell ref="R1314:S1314"/>
    <mergeCell ref="T1314:U1314"/>
    <mergeCell ref="V1314:W1314"/>
    <mergeCell ref="X1314:AA1314"/>
    <mergeCell ref="AB1314:AE1314"/>
    <mergeCell ref="AF1314:AG1314"/>
    <mergeCell ref="AH1314:AI1314"/>
    <mergeCell ref="AX1314:AZ1314"/>
    <mergeCell ref="BA1314:BB1314"/>
    <mergeCell ref="BD1314:BE1314"/>
    <mergeCell ref="BF1314:BI1314"/>
    <mergeCell ref="AJ1315:AK1315"/>
    <mergeCell ref="AL1315:AM1315"/>
    <mergeCell ref="BJ1315:BM1315"/>
    <mergeCell ref="BN1315:BV1315"/>
    <mergeCell ref="R1315:S1315"/>
    <mergeCell ref="T1315:U1315"/>
    <mergeCell ref="V1315:W1315"/>
    <mergeCell ref="X1315:AA1315"/>
    <mergeCell ref="AB1315:AE1315"/>
    <mergeCell ref="AF1315:AG1315"/>
    <mergeCell ref="AH1315:AI1315"/>
    <mergeCell ref="BA1319:BB1319"/>
    <mergeCell ref="J1318:K1318"/>
    <mergeCell ref="L1318:M1318"/>
    <mergeCell ref="P1318:Q1318"/>
    <mergeCell ref="R1317:S1317"/>
    <mergeCell ref="AB1317:AE1317"/>
    <mergeCell ref="AF1317:AG1317"/>
    <mergeCell ref="AX1325:AZ1325"/>
    <mergeCell ref="BJ1325:BM1325"/>
    <mergeCell ref="BN1325:BV1325"/>
    <mergeCell ref="BJ1326:BM1326"/>
    <mergeCell ref="BN1326:BV1326"/>
    <mergeCell ref="BJ1327:BM1327"/>
    <mergeCell ref="BN1327:BV1327"/>
    <mergeCell ref="BJ1328:BM1328"/>
    <mergeCell ref="BN1328:BV1328"/>
    <mergeCell ref="AJ1327:AK1327"/>
    <mergeCell ref="AL1327:AM1327"/>
    <mergeCell ref="AN1327:AO1327"/>
    <mergeCell ref="AP1327:AQ1327"/>
    <mergeCell ref="AR1327:AS1327"/>
    <mergeCell ref="AT1327:AU1327"/>
    <mergeCell ref="AV1327:AW1327"/>
    <mergeCell ref="BJ1316:BM1316"/>
    <mergeCell ref="BN1316:BV1316"/>
    <mergeCell ref="AJ1316:AK1316"/>
    <mergeCell ref="AL1316:AM1316"/>
    <mergeCell ref="AN1316:AO1316"/>
    <mergeCell ref="AP1316:AQ1316"/>
    <mergeCell ref="AR1316:AS1316"/>
    <mergeCell ref="AT1316:AU1316"/>
    <mergeCell ref="AV1316:AW1316"/>
    <mergeCell ref="T1327:U1327"/>
    <mergeCell ref="V1327:W1327"/>
    <mergeCell ref="X1327:AA1327"/>
    <mergeCell ref="AB1327:AE1327"/>
    <mergeCell ref="AF1327:AG1327"/>
    <mergeCell ref="AH1327:AI1327"/>
    <mergeCell ref="AX1327:AZ1327"/>
    <mergeCell ref="BA1327:BB1327"/>
    <mergeCell ref="BD1327:BE1327"/>
    <mergeCell ref="BF1327:BI1327"/>
    <mergeCell ref="AJ1319:AK1319"/>
    <mergeCell ref="AL1319:AM1319"/>
    <mergeCell ref="AN1319:AO1319"/>
    <mergeCell ref="AP1319:AQ1319"/>
    <mergeCell ref="AR1319:AS1319"/>
    <mergeCell ref="AT1319:AU1319"/>
    <mergeCell ref="AV1319:AW1319"/>
    <mergeCell ref="BD1318:BE1318"/>
    <mergeCell ref="AX1317:AZ1317"/>
    <mergeCell ref="BA1317:BB1317"/>
    <mergeCell ref="BD1317:BE1317"/>
    <mergeCell ref="BF1317:BI1317"/>
    <mergeCell ref="BJ1317:BM1317"/>
    <mergeCell ref="BN1317:BV1317"/>
    <mergeCell ref="BJ1318:BM1318"/>
    <mergeCell ref="BN1318:BV1318"/>
    <mergeCell ref="BJ1321:BM1321"/>
    <mergeCell ref="BN1321:BV1321"/>
    <mergeCell ref="BJ1322:BM1322"/>
    <mergeCell ref="BN1322:BV1322"/>
    <mergeCell ref="AJ1317:AK1317"/>
    <mergeCell ref="AL1317:AM1317"/>
    <mergeCell ref="AN1317:AO1317"/>
    <mergeCell ref="AP1317:AQ1317"/>
    <mergeCell ref="AR1317:AS1317"/>
    <mergeCell ref="AT1317:AU1317"/>
    <mergeCell ref="AV1317:AW1317"/>
    <mergeCell ref="T1317:U1317"/>
    <mergeCell ref="V1317:W1317"/>
    <mergeCell ref="J1329:K1329"/>
    <mergeCell ref="B1317:C1317"/>
    <mergeCell ref="D1317:E1317"/>
    <mergeCell ref="F1317:G1317"/>
    <mergeCell ref="H1317:I1317"/>
    <mergeCell ref="J1317:K1317"/>
    <mergeCell ref="L1317:M1317"/>
    <mergeCell ref="P1317:Q1317"/>
    <mergeCell ref="BF1318:BI1318"/>
    <mergeCell ref="AN1318:AO1318"/>
    <mergeCell ref="AP1318:AQ1318"/>
    <mergeCell ref="AR1318:AS1318"/>
    <mergeCell ref="AT1318:AU1318"/>
    <mergeCell ref="AV1318:AW1318"/>
    <mergeCell ref="AX1318:AZ1318"/>
    <mergeCell ref="BA1318:BB1318"/>
    <mergeCell ref="R1316:S1316"/>
    <mergeCell ref="T1316:U1316"/>
    <mergeCell ref="V1316:W1316"/>
    <mergeCell ref="X1316:AA1316"/>
    <mergeCell ref="AB1316:AE1316"/>
    <mergeCell ref="AF1316:AG1316"/>
    <mergeCell ref="AH1316:AI1316"/>
    <mergeCell ref="AX1316:AZ1316"/>
    <mergeCell ref="BA1316:BB1316"/>
    <mergeCell ref="BD1316:BE1316"/>
    <mergeCell ref="BF1316:BI1316"/>
    <mergeCell ref="J1328:K1328"/>
    <mergeCell ref="L1328:M1328"/>
    <mergeCell ref="P1328:Q1328"/>
    <mergeCell ref="BD1320:BE1320"/>
    <mergeCell ref="BF1320:BI1320"/>
    <mergeCell ref="AN1320:AO1320"/>
    <mergeCell ref="AP1320:AQ1320"/>
    <mergeCell ref="AR1320:AS1320"/>
    <mergeCell ref="AT1320:AU1320"/>
    <mergeCell ref="AV1320:AW1320"/>
    <mergeCell ref="AX1320:AZ1320"/>
    <mergeCell ref="BA1320:BB1320"/>
    <mergeCell ref="BD1326:BE1326"/>
    <mergeCell ref="BF1326:BI1326"/>
    <mergeCell ref="AN1326:AO1326"/>
    <mergeCell ref="AP1326:AQ1326"/>
    <mergeCell ref="AR1326:AS1326"/>
    <mergeCell ref="AT1326:AU1326"/>
    <mergeCell ref="AV1326:AW1326"/>
    <mergeCell ref="AX1326:AZ1326"/>
    <mergeCell ref="BA1326:BB1326"/>
    <mergeCell ref="AJ1324:AK1324"/>
    <mergeCell ref="AL1324:AM1324"/>
    <mergeCell ref="R1324:S1324"/>
    <mergeCell ref="T1324:U1324"/>
    <mergeCell ref="V1324:W1324"/>
    <mergeCell ref="X1324:AA1324"/>
    <mergeCell ref="AB1324:AE1324"/>
    <mergeCell ref="AF1324:AG1324"/>
    <mergeCell ref="AH1324:AI1324"/>
    <mergeCell ref="R1325:S1325"/>
    <mergeCell ref="T1325:U1325"/>
    <mergeCell ref="V1325:W1325"/>
    <mergeCell ref="X1325:AA1325"/>
    <mergeCell ref="AB1325:AE1325"/>
    <mergeCell ref="AF1325:AG1325"/>
    <mergeCell ref="AH1325:AI1325"/>
    <mergeCell ref="AX1330:AZ1330"/>
    <mergeCell ref="BA1325:BB1325"/>
    <mergeCell ref="BD1325:BE1325"/>
    <mergeCell ref="BF1325:BI1325"/>
    <mergeCell ref="BD1322:BE1322"/>
    <mergeCell ref="BF1322:BI1322"/>
    <mergeCell ref="AJ1328:AK1328"/>
    <mergeCell ref="AL1328:AM1328"/>
    <mergeCell ref="R1328:S1328"/>
    <mergeCell ref="T1328:U1328"/>
    <mergeCell ref="V1328:W1328"/>
    <mergeCell ref="X1328:AA1328"/>
    <mergeCell ref="AB1328:AE1328"/>
    <mergeCell ref="AF1328:AG1328"/>
    <mergeCell ref="AH1328:AI1328"/>
    <mergeCell ref="P1323:Q1323"/>
    <mergeCell ref="BJ1329:BM1329"/>
    <mergeCell ref="BN1329:BV1329"/>
    <mergeCell ref="BJ1330:BM1330"/>
    <mergeCell ref="BN1330:BV1330"/>
    <mergeCell ref="B1325:C1325"/>
    <mergeCell ref="D1325:E1325"/>
    <mergeCell ref="F1325:G1325"/>
    <mergeCell ref="H1325:I1325"/>
    <mergeCell ref="J1325:K1325"/>
    <mergeCell ref="L1325:M1325"/>
    <mergeCell ref="P1325:Q1325"/>
    <mergeCell ref="B1326:C1326"/>
    <mergeCell ref="D1326:E1326"/>
    <mergeCell ref="F1326:G1326"/>
    <mergeCell ref="H1326:I1326"/>
    <mergeCell ref="J1326:K1326"/>
    <mergeCell ref="L1326:M1326"/>
    <mergeCell ref="P1326:Q1326"/>
    <mergeCell ref="AJ1325:AK1325"/>
    <mergeCell ref="AL1325:AM1325"/>
    <mergeCell ref="AN1325:AO1325"/>
    <mergeCell ref="AP1325:AQ1325"/>
    <mergeCell ref="AR1325:AS1325"/>
    <mergeCell ref="AT1325:AU1325"/>
    <mergeCell ref="AV1325:AW1325"/>
    <mergeCell ref="BD1328:BE1328"/>
    <mergeCell ref="BF1328:BI1328"/>
    <mergeCell ref="AN1328:AO1328"/>
    <mergeCell ref="AP1328:AQ1328"/>
    <mergeCell ref="AR1328:AS1328"/>
    <mergeCell ref="AT1328:AU1328"/>
    <mergeCell ref="AV1328:AW1328"/>
    <mergeCell ref="AX1328:AZ1328"/>
    <mergeCell ref="BA1328:BB1328"/>
    <mergeCell ref="AJ1326:AK1326"/>
    <mergeCell ref="AL1326:AM1326"/>
    <mergeCell ref="R1326:S1326"/>
    <mergeCell ref="T1326:U1326"/>
    <mergeCell ref="V1326:W1326"/>
    <mergeCell ref="X1326:AA1326"/>
    <mergeCell ref="AB1326:AE1326"/>
    <mergeCell ref="AF1326:AG1326"/>
    <mergeCell ref="AH1326:AI1326"/>
    <mergeCell ref="R1327:S1327"/>
    <mergeCell ref="B1329:C1329"/>
    <mergeCell ref="D1329:E1329"/>
    <mergeCell ref="F1329:G1329"/>
    <mergeCell ref="H1329:I1329"/>
    <mergeCell ref="B1331:C1331"/>
    <mergeCell ref="D1331:E1331"/>
    <mergeCell ref="F1331:G1331"/>
    <mergeCell ref="H1331:I1331"/>
    <mergeCell ref="J1331:K1331"/>
    <mergeCell ref="L1331:M1331"/>
    <mergeCell ref="P1331:Q1331"/>
    <mergeCell ref="B1332:C1332"/>
    <mergeCell ref="D1332:E1332"/>
    <mergeCell ref="F1332:G1332"/>
    <mergeCell ref="H1332:I1332"/>
    <mergeCell ref="J1332:K1332"/>
    <mergeCell ref="L1332:M1332"/>
    <mergeCell ref="P1332:Q1332"/>
    <mergeCell ref="AJ1331:AK1331"/>
    <mergeCell ref="AL1331:AM1331"/>
    <mergeCell ref="AN1331:AO1331"/>
    <mergeCell ref="AP1331:AQ1331"/>
    <mergeCell ref="AR1331:AS1331"/>
    <mergeCell ref="AT1331:AU1331"/>
    <mergeCell ref="AV1331:AW1331"/>
    <mergeCell ref="L1329:M1329"/>
    <mergeCell ref="P1329:Q1329"/>
    <mergeCell ref="B1330:C1330"/>
    <mergeCell ref="D1330:E1330"/>
    <mergeCell ref="B1327:C1327"/>
    <mergeCell ref="D1327:E1327"/>
    <mergeCell ref="F1327:G1327"/>
    <mergeCell ref="H1327:I1327"/>
    <mergeCell ref="J1327:K1327"/>
    <mergeCell ref="L1327:M1327"/>
    <mergeCell ref="P1327:Q1327"/>
    <mergeCell ref="B1328:C1328"/>
    <mergeCell ref="D1328:E1328"/>
    <mergeCell ref="F1328:G1328"/>
    <mergeCell ref="H1328:I1328"/>
    <mergeCell ref="F1330:G1330"/>
    <mergeCell ref="H1330:I1330"/>
    <mergeCell ref="J1330:K1330"/>
    <mergeCell ref="L1330:M1330"/>
    <mergeCell ref="P1330:Q1330"/>
    <mergeCell ref="AJ1329:AK1329"/>
    <mergeCell ref="AL1329:AM1329"/>
    <mergeCell ref="AN1329:AO1329"/>
    <mergeCell ref="AP1329:AQ1329"/>
    <mergeCell ref="AR1329:AS1329"/>
    <mergeCell ref="AT1329:AU1329"/>
    <mergeCell ref="AV1329:AW1329"/>
    <mergeCell ref="AN1332:AO1332"/>
    <mergeCell ref="AP1332:AQ1332"/>
    <mergeCell ref="AR1332:AS1332"/>
    <mergeCell ref="AT1332:AU1332"/>
    <mergeCell ref="AV1332:AW1332"/>
    <mergeCell ref="AJ1330:AK1330"/>
    <mergeCell ref="AL1330:AM1330"/>
    <mergeCell ref="R1330:S1330"/>
    <mergeCell ref="T1330:U1330"/>
    <mergeCell ref="V1330:W1330"/>
    <mergeCell ref="X1330:AA1330"/>
    <mergeCell ref="AB1330:AE1330"/>
    <mergeCell ref="AF1330:AG1330"/>
    <mergeCell ref="AH1330:AI1330"/>
    <mergeCell ref="R1331:S1331"/>
    <mergeCell ref="T1331:U1331"/>
    <mergeCell ref="AT1334:AU1334"/>
    <mergeCell ref="AV1334:AW1334"/>
    <mergeCell ref="AX1334:AZ1334"/>
    <mergeCell ref="BA1334:BB1334"/>
    <mergeCell ref="AJ1332:AK1332"/>
    <mergeCell ref="AL1332:AM1332"/>
    <mergeCell ref="R1332:S1332"/>
    <mergeCell ref="T1332:U1332"/>
    <mergeCell ref="V1332:W1332"/>
    <mergeCell ref="X1332:AA1332"/>
    <mergeCell ref="AB1332:AE1332"/>
    <mergeCell ref="AF1332:AG1332"/>
    <mergeCell ref="AH1332:AI1332"/>
    <mergeCell ref="R1333:S1333"/>
    <mergeCell ref="T1333:U1333"/>
    <mergeCell ref="V1333:W1333"/>
    <mergeCell ref="X1333:AA1333"/>
    <mergeCell ref="AB1333:AE1333"/>
    <mergeCell ref="AF1333:AG1333"/>
    <mergeCell ref="AH1333:AI1333"/>
    <mergeCell ref="AX1333:AZ1333"/>
    <mergeCell ref="BA1333:BB1333"/>
    <mergeCell ref="BD1333:BE1333"/>
    <mergeCell ref="BF1333:BI1333"/>
    <mergeCell ref="BJ1333:BM1333"/>
    <mergeCell ref="BN1333:BV1333"/>
    <mergeCell ref="BJ1334:BM1334"/>
    <mergeCell ref="BN1334:BV1334"/>
    <mergeCell ref="BA1330:BB1330"/>
    <mergeCell ref="R1329:S1329"/>
    <mergeCell ref="T1329:U1329"/>
    <mergeCell ref="V1329:W1329"/>
    <mergeCell ref="X1329:AA1329"/>
    <mergeCell ref="AB1329:AE1329"/>
    <mergeCell ref="AF1329:AG1329"/>
    <mergeCell ref="AH1329:AI1329"/>
    <mergeCell ref="AX1329:AZ1329"/>
    <mergeCell ref="BA1329:BB1329"/>
    <mergeCell ref="BD1329:BE1329"/>
    <mergeCell ref="BF1329:BI1329"/>
    <mergeCell ref="BJ1331:BM1331"/>
    <mergeCell ref="BN1331:BV1331"/>
    <mergeCell ref="BJ1332:BM1332"/>
    <mergeCell ref="BN1332:BV1332"/>
    <mergeCell ref="BD1332:BE1332"/>
    <mergeCell ref="BF1332:BI1332"/>
    <mergeCell ref="AX1332:AZ1332"/>
    <mergeCell ref="BA1332:BB1332"/>
    <mergeCell ref="V1331:W1331"/>
    <mergeCell ref="X1331:AA1331"/>
    <mergeCell ref="AB1331:AE1331"/>
    <mergeCell ref="AF1331:AG1331"/>
    <mergeCell ref="AH1331:AI1331"/>
    <mergeCell ref="AX1331:AZ1331"/>
    <mergeCell ref="BA1331:BB1331"/>
    <mergeCell ref="BD1331:BE1331"/>
    <mergeCell ref="BF1331:BI1331"/>
    <mergeCell ref="BD1330:BE1330"/>
    <mergeCell ref="BF1330:BI1330"/>
    <mergeCell ref="AN1330:AO1330"/>
    <mergeCell ref="AP1330:AQ1330"/>
    <mergeCell ref="AR1330:AS1330"/>
    <mergeCell ref="AT1330:AU1330"/>
    <mergeCell ref="AV1330:AW1330"/>
    <mergeCell ref="B1333:C1333"/>
    <mergeCell ref="D1333:E1333"/>
    <mergeCell ref="F1333:G1333"/>
    <mergeCell ref="H1333:I1333"/>
    <mergeCell ref="J1333:K1333"/>
    <mergeCell ref="L1333:M1333"/>
    <mergeCell ref="P1333:Q1333"/>
    <mergeCell ref="B1334:C1334"/>
    <mergeCell ref="D1334:E1334"/>
    <mergeCell ref="F1334:G1334"/>
    <mergeCell ref="H1334:I1334"/>
    <mergeCell ref="J1334:K1334"/>
    <mergeCell ref="L1334:M1334"/>
    <mergeCell ref="P1334:Q1334"/>
    <mergeCell ref="AJ1333:AK1333"/>
    <mergeCell ref="AL1333:AM1333"/>
    <mergeCell ref="AN1333:AO1333"/>
    <mergeCell ref="AP1333:AQ1333"/>
    <mergeCell ref="AR1333:AS1333"/>
    <mergeCell ref="AT1333:AU1333"/>
    <mergeCell ref="AV1333:AW1333"/>
    <mergeCell ref="BD1336:BE1336"/>
    <mergeCell ref="BF1336:BI1336"/>
    <mergeCell ref="AN1336:AO1336"/>
    <mergeCell ref="AP1336:AQ1336"/>
    <mergeCell ref="AR1336:AS1336"/>
    <mergeCell ref="AT1336:AU1336"/>
    <mergeCell ref="AV1336:AW1336"/>
    <mergeCell ref="AX1336:AZ1336"/>
    <mergeCell ref="BA1336:BB1336"/>
    <mergeCell ref="AJ1334:AK1334"/>
    <mergeCell ref="AL1334:AM1334"/>
    <mergeCell ref="R1334:S1334"/>
    <mergeCell ref="T1334:U1334"/>
    <mergeCell ref="V1334:W1334"/>
    <mergeCell ref="X1334:AA1334"/>
    <mergeCell ref="AB1334:AE1334"/>
    <mergeCell ref="AF1334:AG1334"/>
    <mergeCell ref="AH1334:AI1334"/>
    <mergeCell ref="R1335:S1335"/>
    <mergeCell ref="T1335:U1335"/>
    <mergeCell ref="V1335:W1335"/>
    <mergeCell ref="X1335:AA1335"/>
    <mergeCell ref="AB1335:AE1335"/>
    <mergeCell ref="AF1335:AG1335"/>
    <mergeCell ref="AH1335:AI1335"/>
    <mergeCell ref="AX1335:AZ1335"/>
    <mergeCell ref="BA1335:BB1335"/>
    <mergeCell ref="BD1335:BE1335"/>
    <mergeCell ref="BF1335:BI1335"/>
    <mergeCell ref="AJ1336:AK1336"/>
    <mergeCell ref="AL1336:AM1336"/>
    <mergeCell ref="R1336:S1336"/>
    <mergeCell ref="T1336:U1336"/>
    <mergeCell ref="V1336:W1336"/>
    <mergeCell ref="X1336:AA1336"/>
    <mergeCell ref="AB1336:AE1336"/>
    <mergeCell ref="AF1336:AG1336"/>
    <mergeCell ref="AH1336:AI1336"/>
    <mergeCell ref="BD1334:BE1334"/>
    <mergeCell ref="BF1334:BI1334"/>
    <mergeCell ref="AN1334:AO1334"/>
    <mergeCell ref="AP1334:AQ1334"/>
    <mergeCell ref="AR1334:AS1334"/>
    <mergeCell ref="BJ1335:BM1335"/>
    <mergeCell ref="BN1335:BV1335"/>
    <mergeCell ref="BJ1336:BM1336"/>
    <mergeCell ref="BN1336:BV1336"/>
    <mergeCell ref="B1335:C1335"/>
    <mergeCell ref="D1335:E1335"/>
    <mergeCell ref="F1335:G1335"/>
    <mergeCell ref="H1335:I1335"/>
    <mergeCell ref="J1335:K1335"/>
    <mergeCell ref="L1335:M1335"/>
    <mergeCell ref="P1335:Q1335"/>
    <mergeCell ref="B1336:C1336"/>
    <mergeCell ref="D1336:E1336"/>
    <mergeCell ref="F1336:G1336"/>
    <mergeCell ref="H1336:I1336"/>
    <mergeCell ref="J1336:K1336"/>
    <mergeCell ref="L1336:M1336"/>
    <mergeCell ref="P1336:Q1336"/>
    <mergeCell ref="AJ1335:AK1335"/>
    <mergeCell ref="AL1335:AM1335"/>
    <mergeCell ref="AN1335:AO1335"/>
    <mergeCell ref="AP1335:AQ1335"/>
    <mergeCell ref="AR1335:AS1335"/>
    <mergeCell ref="AT1335:AU1335"/>
    <mergeCell ref="AV1335:AW1335"/>
    <mergeCell ref="BD1347:BE1347"/>
    <mergeCell ref="BF1347:BI1347"/>
    <mergeCell ref="AN1347:AO1347"/>
    <mergeCell ref="AP1347:AQ1347"/>
    <mergeCell ref="AR1347:AS1347"/>
    <mergeCell ref="AT1347:AU1347"/>
    <mergeCell ref="AV1347:AW1347"/>
    <mergeCell ref="AX1347:AZ1347"/>
    <mergeCell ref="BA1347:BB1347"/>
    <mergeCell ref="AJ1345:AK1345"/>
    <mergeCell ref="AL1345:AM1345"/>
    <mergeCell ref="R1345:S1345"/>
    <mergeCell ref="T1345:U1345"/>
    <mergeCell ref="V1345:W1345"/>
    <mergeCell ref="X1345:AA1345"/>
    <mergeCell ref="AB1345:AE1345"/>
    <mergeCell ref="AF1345:AG1345"/>
    <mergeCell ref="AH1345:AI1345"/>
    <mergeCell ref="R1346:S1346"/>
    <mergeCell ref="T1346:U1346"/>
    <mergeCell ref="V1346:W1346"/>
    <mergeCell ref="X1346:AA1346"/>
    <mergeCell ref="AB1346:AE1346"/>
    <mergeCell ref="AF1346:AG1346"/>
    <mergeCell ref="AH1346:AI1346"/>
    <mergeCell ref="AX1346:AZ1346"/>
    <mergeCell ref="BA1346:BB1346"/>
    <mergeCell ref="BD1346:BE1346"/>
    <mergeCell ref="BF1346:BI1346"/>
    <mergeCell ref="BJ1346:BM1346"/>
    <mergeCell ref="BN1346:BV1346"/>
    <mergeCell ref="BJ1347:BM1347"/>
    <mergeCell ref="BN1347:BV1347"/>
    <mergeCell ref="B1346:C1346"/>
    <mergeCell ref="D1346:E1346"/>
    <mergeCell ref="F1346:G1346"/>
    <mergeCell ref="H1346:I1346"/>
    <mergeCell ref="J1346:K1346"/>
    <mergeCell ref="L1346:M1346"/>
    <mergeCell ref="B1345:C1345"/>
    <mergeCell ref="D1345:E1345"/>
    <mergeCell ref="F1345:G1345"/>
    <mergeCell ref="H1345:I1345"/>
    <mergeCell ref="J1345:K1345"/>
    <mergeCell ref="L1345:M1345"/>
    <mergeCell ref="P1345:Q1345"/>
    <mergeCell ref="AJ1344:AK1344"/>
    <mergeCell ref="AL1344:AM1344"/>
    <mergeCell ref="AN1344:AO1344"/>
    <mergeCell ref="AP1344:AQ1344"/>
    <mergeCell ref="AR1344:AS1344"/>
    <mergeCell ref="AT1344:AU1344"/>
    <mergeCell ref="AV1344:AW1344"/>
    <mergeCell ref="AN1345:AO1345"/>
    <mergeCell ref="AP1345:AQ1345"/>
    <mergeCell ref="AR1345:AS1345"/>
    <mergeCell ref="AT1345:AU1345"/>
    <mergeCell ref="AV1345:AW1345"/>
    <mergeCell ref="AX1345:AZ1345"/>
    <mergeCell ref="BA1345:BB1345"/>
    <mergeCell ref="AJ1343:AK1343"/>
    <mergeCell ref="AL1343:AM1343"/>
    <mergeCell ref="R1343:S1343"/>
    <mergeCell ref="T1343:U1343"/>
    <mergeCell ref="V1343:W1343"/>
    <mergeCell ref="X1343:AA1343"/>
    <mergeCell ref="AB1343:AE1343"/>
    <mergeCell ref="L1342:M1342"/>
    <mergeCell ref="P1342:Q1342"/>
    <mergeCell ref="B1343:C1343"/>
    <mergeCell ref="D1343:E1343"/>
    <mergeCell ref="F1343:G1343"/>
    <mergeCell ref="H1343:I1343"/>
    <mergeCell ref="J1343:K1343"/>
    <mergeCell ref="L1343:M1343"/>
    <mergeCell ref="P1343:Q1343"/>
    <mergeCell ref="B1344:C1344"/>
    <mergeCell ref="D1344:E1344"/>
    <mergeCell ref="F1344:G1344"/>
    <mergeCell ref="H1344:I1344"/>
    <mergeCell ref="J1344:K1344"/>
    <mergeCell ref="L1344:M1344"/>
    <mergeCell ref="P1344:Q1344"/>
    <mergeCell ref="B1347:C1347"/>
    <mergeCell ref="D1347:E1347"/>
    <mergeCell ref="F1347:G1347"/>
    <mergeCell ref="H1347:I1347"/>
    <mergeCell ref="J1347:K1347"/>
    <mergeCell ref="L1347:M1347"/>
    <mergeCell ref="P1347:Q1347"/>
    <mergeCell ref="AJ1346:AK1346"/>
    <mergeCell ref="AL1346:AM1346"/>
    <mergeCell ref="AN1346:AO1346"/>
    <mergeCell ref="AP1346:AQ1346"/>
    <mergeCell ref="AR1346:AS1346"/>
    <mergeCell ref="AT1346:AU1346"/>
    <mergeCell ref="AV1346:AW1346"/>
    <mergeCell ref="AJ1341:AK1341"/>
    <mergeCell ref="AL1341:AM1341"/>
    <mergeCell ref="R1341:S1341"/>
    <mergeCell ref="T1341:U1341"/>
    <mergeCell ref="V1341:W1341"/>
    <mergeCell ref="X1341:AA1341"/>
    <mergeCell ref="AB1341:AE1341"/>
    <mergeCell ref="AF1341:AG1341"/>
    <mergeCell ref="AH1341:AI1341"/>
    <mergeCell ref="R1342:S1342"/>
    <mergeCell ref="T1342:U1342"/>
    <mergeCell ref="V1342:W1342"/>
    <mergeCell ref="X1342:AA1342"/>
    <mergeCell ref="AB1342:AE1342"/>
    <mergeCell ref="AF1342:AG1342"/>
    <mergeCell ref="AH1342:AI1342"/>
    <mergeCell ref="BD1338:BE1338"/>
    <mergeCell ref="BF1338:BI1338"/>
    <mergeCell ref="AN1338:AO1338"/>
    <mergeCell ref="AP1338:AQ1338"/>
    <mergeCell ref="AR1338:AS1338"/>
    <mergeCell ref="AT1338:AU1338"/>
    <mergeCell ref="AV1338:AW1338"/>
    <mergeCell ref="AX1338:AZ1338"/>
    <mergeCell ref="BA1338:BB1338"/>
    <mergeCell ref="AF1343:AG1343"/>
    <mergeCell ref="AH1343:AI1343"/>
    <mergeCell ref="R1344:S1344"/>
    <mergeCell ref="T1344:U1344"/>
    <mergeCell ref="V1344:W1344"/>
    <mergeCell ref="X1344:AA1344"/>
    <mergeCell ref="AB1344:AE1344"/>
    <mergeCell ref="AF1344:AG1344"/>
    <mergeCell ref="AH1344:AI1344"/>
    <mergeCell ref="AX1344:AZ1344"/>
    <mergeCell ref="BA1344:BB1344"/>
    <mergeCell ref="BD1344:BE1344"/>
    <mergeCell ref="BF1344:BI1344"/>
    <mergeCell ref="B1339:C1339"/>
    <mergeCell ref="D1339:E1339"/>
    <mergeCell ref="F1339:G1339"/>
    <mergeCell ref="H1339:I1339"/>
    <mergeCell ref="J1339:K1339"/>
    <mergeCell ref="L1339:M1339"/>
    <mergeCell ref="P1339:Q1339"/>
    <mergeCell ref="B1341:C1341"/>
    <mergeCell ref="D1341:E1341"/>
    <mergeCell ref="F1341:G1341"/>
    <mergeCell ref="H1341:I1341"/>
    <mergeCell ref="AX1342:AZ1342"/>
    <mergeCell ref="BJ1337:BM1337"/>
    <mergeCell ref="BN1337:BV1337"/>
    <mergeCell ref="B1337:C1337"/>
    <mergeCell ref="D1337:E1337"/>
    <mergeCell ref="F1337:G1337"/>
    <mergeCell ref="H1337:I1337"/>
    <mergeCell ref="J1337:K1337"/>
    <mergeCell ref="L1337:M1337"/>
    <mergeCell ref="P1337:Q1337"/>
    <mergeCell ref="AJ1337:AK1337"/>
    <mergeCell ref="AL1337:AM1337"/>
    <mergeCell ref="AN1337:AO1337"/>
    <mergeCell ref="AP1337:AQ1337"/>
    <mergeCell ref="AR1337:AS1337"/>
    <mergeCell ref="AT1337:AU1337"/>
    <mergeCell ref="AV1337:AW1337"/>
    <mergeCell ref="B1338:C1338"/>
    <mergeCell ref="D1338:E1338"/>
    <mergeCell ref="F1338:G1338"/>
    <mergeCell ref="H1338:I1338"/>
    <mergeCell ref="J1338:K1338"/>
    <mergeCell ref="L1338:M1338"/>
    <mergeCell ref="P1338:Q1338"/>
    <mergeCell ref="BD1342:BE1342"/>
    <mergeCell ref="BF1342:BI1342"/>
    <mergeCell ref="BJ1342:BM1342"/>
    <mergeCell ref="BN1342:BV1342"/>
    <mergeCell ref="BJ1343:BM1343"/>
    <mergeCell ref="BN1343:BV1343"/>
    <mergeCell ref="B1342:C1342"/>
    <mergeCell ref="D1342:E1342"/>
    <mergeCell ref="F1342:G1342"/>
    <mergeCell ref="H1342:I1342"/>
    <mergeCell ref="J1342:K1342"/>
    <mergeCell ref="R1337:S1337"/>
    <mergeCell ref="T1337:U1337"/>
    <mergeCell ref="V1337:W1337"/>
    <mergeCell ref="X1337:AA1337"/>
    <mergeCell ref="AB1337:AE1337"/>
    <mergeCell ref="AF1337:AG1337"/>
    <mergeCell ref="AH1337:AI1337"/>
    <mergeCell ref="AX1337:AZ1337"/>
    <mergeCell ref="BA1337:BB1337"/>
    <mergeCell ref="BD1337:BE1337"/>
    <mergeCell ref="BF1337:BI1337"/>
    <mergeCell ref="AJ1338:AK1338"/>
    <mergeCell ref="AL1338:AM1338"/>
    <mergeCell ref="BJ1338:BM1338"/>
    <mergeCell ref="BN1338:BV1338"/>
    <mergeCell ref="R1338:S1338"/>
    <mergeCell ref="T1338:U1338"/>
    <mergeCell ref="V1338:W1338"/>
    <mergeCell ref="X1338:AA1338"/>
    <mergeCell ref="AB1338:AE1338"/>
    <mergeCell ref="AF1338:AG1338"/>
    <mergeCell ref="AH1338:AI1338"/>
    <mergeCell ref="BA1342:BB1342"/>
    <mergeCell ref="J1341:K1341"/>
    <mergeCell ref="L1341:M1341"/>
    <mergeCell ref="P1341:Q1341"/>
    <mergeCell ref="R1340:S1340"/>
    <mergeCell ref="AB1340:AE1340"/>
    <mergeCell ref="AF1340:AG1340"/>
    <mergeCell ref="AH1340:AI1340"/>
    <mergeCell ref="BJ1348:BM1348"/>
    <mergeCell ref="BN1348:BV1348"/>
    <mergeCell ref="BJ1349:BM1349"/>
    <mergeCell ref="BN1349:BV1349"/>
    <mergeCell ref="BJ1350:BM1350"/>
    <mergeCell ref="BN1350:BV1350"/>
    <mergeCell ref="BJ1351:BM1351"/>
    <mergeCell ref="BN1351:BV1351"/>
    <mergeCell ref="AJ1350:AK1350"/>
    <mergeCell ref="AL1350:AM1350"/>
    <mergeCell ref="AN1350:AO1350"/>
    <mergeCell ref="AP1350:AQ1350"/>
    <mergeCell ref="AR1350:AS1350"/>
    <mergeCell ref="AT1350:AU1350"/>
    <mergeCell ref="AV1350:AW1350"/>
    <mergeCell ref="BJ1339:BM1339"/>
    <mergeCell ref="BN1339:BV1339"/>
    <mergeCell ref="AJ1339:AK1339"/>
    <mergeCell ref="AL1339:AM1339"/>
    <mergeCell ref="AN1339:AO1339"/>
    <mergeCell ref="AP1339:AQ1339"/>
    <mergeCell ref="AR1339:AS1339"/>
    <mergeCell ref="AT1339:AU1339"/>
    <mergeCell ref="AV1339:AW1339"/>
    <mergeCell ref="T1350:U1350"/>
    <mergeCell ref="V1350:W1350"/>
    <mergeCell ref="X1350:AA1350"/>
    <mergeCell ref="AB1350:AE1350"/>
    <mergeCell ref="AF1350:AG1350"/>
    <mergeCell ref="AH1350:AI1350"/>
    <mergeCell ref="AX1350:AZ1350"/>
    <mergeCell ref="BA1350:BB1350"/>
    <mergeCell ref="BD1350:BE1350"/>
    <mergeCell ref="BF1350:BI1350"/>
    <mergeCell ref="AJ1342:AK1342"/>
    <mergeCell ref="AL1342:AM1342"/>
    <mergeCell ref="AN1342:AO1342"/>
    <mergeCell ref="AP1342:AQ1342"/>
    <mergeCell ref="AR1342:AS1342"/>
    <mergeCell ref="AT1342:AU1342"/>
    <mergeCell ref="AV1342:AW1342"/>
    <mergeCell ref="BD1341:BE1341"/>
    <mergeCell ref="AX1340:AZ1340"/>
    <mergeCell ref="BA1340:BB1340"/>
    <mergeCell ref="BD1340:BE1340"/>
    <mergeCell ref="BF1340:BI1340"/>
    <mergeCell ref="BJ1340:BM1340"/>
    <mergeCell ref="BN1340:BV1340"/>
    <mergeCell ref="BJ1341:BM1341"/>
    <mergeCell ref="BN1341:BV1341"/>
    <mergeCell ref="BJ1344:BM1344"/>
    <mergeCell ref="BN1344:BV1344"/>
    <mergeCell ref="BJ1345:BM1345"/>
    <mergeCell ref="BN1345:BV1345"/>
    <mergeCell ref="AJ1340:AK1340"/>
    <mergeCell ref="AL1340:AM1340"/>
    <mergeCell ref="AN1340:AO1340"/>
    <mergeCell ref="AP1340:AQ1340"/>
    <mergeCell ref="AR1340:AS1340"/>
    <mergeCell ref="AT1340:AU1340"/>
    <mergeCell ref="AV1340:AW1340"/>
    <mergeCell ref="T1340:U1340"/>
    <mergeCell ref="V1340:W1340"/>
    <mergeCell ref="X1340:AA1340"/>
    <mergeCell ref="B1340:C1340"/>
    <mergeCell ref="D1340:E1340"/>
    <mergeCell ref="F1340:G1340"/>
    <mergeCell ref="H1340:I1340"/>
    <mergeCell ref="J1340:K1340"/>
    <mergeCell ref="L1340:M1340"/>
    <mergeCell ref="P1340:Q1340"/>
    <mergeCell ref="BF1341:BI1341"/>
    <mergeCell ref="AN1341:AO1341"/>
    <mergeCell ref="AP1341:AQ1341"/>
    <mergeCell ref="AR1341:AS1341"/>
    <mergeCell ref="AT1341:AU1341"/>
    <mergeCell ref="AV1341:AW1341"/>
    <mergeCell ref="AX1341:AZ1341"/>
    <mergeCell ref="BA1341:BB1341"/>
    <mergeCell ref="R1339:S1339"/>
    <mergeCell ref="T1339:U1339"/>
    <mergeCell ref="V1339:W1339"/>
    <mergeCell ref="X1339:AA1339"/>
    <mergeCell ref="AB1339:AE1339"/>
    <mergeCell ref="AF1339:AG1339"/>
    <mergeCell ref="AH1339:AI1339"/>
    <mergeCell ref="AX1339:AZ1339"/>
    <mergeCell ref="BA1339:BB1339"/>
    <mergeCell ref="BD1339:BE1339"/>
    <mergeCell ref="BF1339:BI1339"/>
    <mergeCell ref="J1351:K1351"/>
    <mergeCell ref="L1351:M1351"/>
    <mergeCell ref="P1351:Q1351"/>
    <mergeCell ref="BD1343:BE1343"/>
    <mergeCell ref="BF1343:BI1343"/>
    <mergeCell ref="AN1343:AO1343"/>
    <mergeCell ref="AP1343:AQ1343"/>
    <mergeCell ref="AR1343:AS1343"/>
    <mergeCell ref="AT1343:AU1343"/>
    <mergeCell ref="AV1343:AW1343"/>
    <mergeCell ref="AX1343:AZ1343"/>
    <mergeCell ref="BA1343:BB1343"/>
    <mergeCell ref="BD1349:BE1349"/>
    <mergeCell ref="BF1349:BI1349"/>
    <mergeCell ref="AN1349:AO1349"/>
    <mergeCell ref="AP1349:AQ1349"/>
    <mergeCell ref="AR1349:AS1349"/>
    <mergeCell ref="AT1349:AU1349"/>
    <mergeCell ref="AV1349:AW1349"/>
    <mergeCell ref="AX1349:AZ1349"/>
    <mergeCell ref="BA1349:BB1349"/>
    <mergeCell ref="AJ1347:AK1347"/>
    <mergeCell ref="AL1347:AM1347"/>
    <mergeCell ref="R1347:S1347"/>
    <mergeCell ref="T1347:U1347"/>
    <mergeCell ref="V1347:W1347"/>
    <mergeCell ref="X1347:AA1347"/>
    <mergeCell ref="AB1347:AE1347"/>
    <mergeCell ref="AF1347:AG1347"/>
    <mergeCell ref="AH1347:AI1347"/>
    <mergeCell ref="R1348:S1348"/>
    <mergeCell ref="T1348:U1348"/>
    <mergeCell ref="V1348:W1348"/>
    <mergeCell ref="X1348:AA1348"/>
    <mergeCell ref="AB1348:AE1348"/>
    <mergeCell ref="AF1348:AG1348"/>
    <mergeCell ref="AH1348:AI1348"/>
    <mergeCell ref="AX1348:AZ1348"/>
    <mergeCell ref="BA1348:BB1348"/>
    <mergeCell ref="BD1348:BE1348"/>
    <mergeCell ref="BF1348:BI1348"/>
    <mergeCell ref="BD1345:BE1345"/>
    <mergeCell ref="BF1345:BI1345"/>
    <mergeCell ref="AJ1351:AK1351"/>
    <mergeCell ref="AL1351:AM1351"/>
    <mergeCell ref="R1351:S1351"/>
    <mergeCell ref="T1351:U1351"/>
    <mergeCell ref="V1351:W1351"/>
    <mergeCell ref="X1351:AA1351"/>
    <mergeCell ref="AB1351:AE1351"/>
    <mergeCell ref="AF1351:AG1351"/>
    <mergeCell ref="AH1351:AI1351"/>
    <mergeCell ref="P1346:Q1346"/>
    <mergeCell ref="BJ1352:BM1352"/>
    <mergeCell ref="BN1352:BV1352"/>
    <mergeCell ref="BJ1353:BM1353"/>
    <mergeCell ref="BN1353:BV1353"/>
    <mergeCell ref="B1348:C1348"/>
    <mergeCell ref="D1348:E1348"/>
    <mergeCell ref="F1348:G1348"/>
    <mergeCell ref="H1348:I1348"/>
    <mergeCell ref="J1348:K1348"/>
    <mergeCell ref="L1348:M1348"/>
    <mergeCell ref="P1348:Q1348"/>
    <mergeCell ref="B1349:C1349"/>
    <mergeCell ref="D1349:E1349"/>
    <mergeCell ref="F1349:G1349"/>
    <mergeCell ref="H1349:I1349"/>
    <mergeCell ref="J1349:K1349"/>
    <mergeCell ref="L1349:M1349"/>
    <mergeCell ref="P1349:Q1349"/>
    <mergeCell ref="AJ1348:AK1348"/>
    <mergeCell ref="AL1348:AM1348"/>
    <mergeCell ref="AN1348:AO1348"/>
    <mergeCell ref="AP1348:AQ1348"/>
    <mergeCell ref="AR1348:AS1348"/>
    <mergeCell ref="AT1348:AU1348"/>
    <mergeCell ref="AV1348:AW1348"/>
    <mergeCell ref="BD1351:BE1351"/>
    <mergeCell ref="BF1351:BI1351"/>
    <mergeCell ref="AN1351:AO1351"/>
    <mergeCell ref="AP1351:AQ1351"/>
    <mergeCell ref="AR1351:AS1351"/>
    <mergeCell ref="AT1351:AU1351"/>
    <mergeCell ref="AV1351:AW1351"/>
    <mergeCell ref="AX1351:AZ1351"/>
    <mergeCell ref="BA1351:BB1351"/>
    <mergeCell ref="AJ1349:AK1349"/>
    <mergeCell ref="AL1349:AM1349"/>
    <mergeCell ref="R1349:S1349"/>
    <mergeCell ref="T1349:U1349"/>
    <mergeCell ref="V1349:W1349"/>
    <mergeCell ref="X1349:AA1349"/>
    <mergeCell ref="AB1349:AE1349"/>
    <mergeCell ref="AF1349:AG1349"/>
    <mergeCell ref="AH1349:AI1349"/>
    <mergeCell ref="R1350:S1350"/>
    <mergeCell ref="B1352:C1352"/>
    <mergeCell ref="D1352:E1352"/>
    <mergeCell ref="F1352:G1352"/>
    <mergeCell ref="H1352:I1352"/>
    <mergeCell ref="J1352:K1352"/>
    <mergeCell ref="B1354:C1354"/>
    <mergeCell ref="D1354:E1354"/>
    <mergeCell ref="F1354:G1354"/>
    <mergeCell ref="H1354:I1354"/>
    <mergeCell ref="J1354:K1354"/>
    <mergeCell ref="L1354:M1354"/>
    <mergeCell ref="P1354:Q1354"/>
    <mergeCell ref="B1355:C1355"/>
    <mergeCell ref="D1355:E1355"/>
    <mergeCell ref="F1355:G1355"/>
    <mergeCell ref="H1355:I1355"/>
    <mergeCell ref="J1355:K1355"/>
    <mergeCell ref="L1355:M1355"/>
    <mergeCell ref="P1355:Q1355"/>
    <mergeCell ref="AJ1354:AK1354"/>
    <mergeCell ref="AL1354:AM1354"/>
    <mergeCell ref="AN1354:AO1354"/>
    <mergeCell ref="AP1354:AQ1354"/>
    <mergeCell ref="AR1354:AS1354"/>
    <mergeCell ref="AT1354:AU1354"/>
    <mergeCell ref="AV1354:AW1354"/>
    <mergeCell ref="L1352:M1352"/>
    <mergeCell ref="P1352:Q1352"/>
    <mergeCell ref="B1353:C1353"/>
    <mergeCell ref="D1353:E1353"/>
    <mergeCell ref="B1350:C1350"/>
    <mergeCell ref="D1350:E1350"/>
    <mergeCell ref="F1350:G1350"/>
    <mergeCell ref="H1350:I1350"/>
    <mergeCell ref="J1350:K1350"/>
    <mergeCell ref="L1350:M1350"/>
    <mergeCell ref="P1350:Q1350"/>
    <mergeCell ref="B1351:C1351"/>
    <mergeCell ref="D1351:E1351"/>
    <mergeCell ref="F1351:G1351"/>
    <mergeCell ref="H1351:I1351"/>
    <mergeCell ref="F1353:G1353"/>
    <mergeCell ref="H1353:I1353"/>
    <mergeCell ref="J1353:K1353"/>
    <mergeCell ref="L1353:M1353"/>
    <mergeCell ref="P1353:Q1353"/>
    <mergeCell ref="AJ1352:AK1352"/>
    <mergeCell ref="AL1352:AM1352"/>
    <mergeCell ref="AN1352:AO1352"/>
    <mergeCell ref="AP1352:AQ1352"/>
    <mergeCell ref="AR1352:AS1352"/>
    <mergeCell ref="AT1352:AU1352"/>
    <mergeCell ref="AV1352:AW1352"/>
    <mergeCell ref="AN1355:AO1355"/>
    <mergeCell ref="AP1355:AQ1355"/>
    <mergeCell ref="AR1355:AS1355"/>
    <mergeCell ref="AT1355:AU1355"/>
    <mergeCell ref="AV1355:AW1355"/>
    <mergeCell ref="AJ1353:AK1353"/>
    <mergeCell ref="AL1353:AM1353"/>
    <mergeCell ref="R1353:S1353"/>
    <mergeCell ref="T1353:U1353"/>
    <mergeCell ref="V1353:W1353"/>
    <mergeCell ref="X1353:AA1353"/>
    <mergeCell ref="AB1353:AE1353"/>
    <mergeCell ref="AF1353:AG1353"/>
    <mergeCell ref="AH1353:AI1353"/>
    <mergeCell ref="R1354:S1354"/>
    <mergeCell ref="T1354:U1354"/>
    <mergeCell ref="AJ1355:AK1355"/>
    <mergeCell ref="AL1355:AM1355"/>
    <mergeCell ref="R1355:S1355"/>
    <mergeCell ref="T1355:U1355"/>
    <mergeCell ref="V1355:W1355"/>
    <mergeCell ref="X1355:AA1355"/>
    <mergeCell ref="AB1355:AE1355"/>
    <mergeCell ref="AF1355:AG1355"/>
    <mergeCell ref="AH1355:AI1355"/>
    <mergeCell ref="R1356:S1356"/>
    <mergeCell ref="T1356:U1356"/>
    <mergeCell ref="V1356:W1356"/>
    <mergeCell ref="X1356:AA1356"/>
    <mergeCell ref="AB1356:AE1356"/>
    <mergeCell ref="AF1356:AG1356"/>
    <mergeCell ref="AH1356:AI1356"/>
    <mergeCell ref="AX1356:AZ1356"/>
    <mergeCell ref="BA1356:BB1356"/>
    <mergeCell ref="BD1356:BE1356"/>
    <mergeCell ref="BF1356:BI1356"/>
    <mergeCell ref="BJ1356:BM1356"/>
    <mergeCell ref="BN1356:BV1356"/>
    <mergeCell ref="BJ1357:BM1357"/>
    <mergeCell ref="BN1357:BV1357"/>
    <mergeCell ref="BA1353:BB1353"/>
    <mergeCell ref="R1352:S1352"/>
    <mergeCell ref="T1352:U1352"/>
    <mergeCell ref="V1352:W1352"/>
    <mergeCell ref="X1352:AA1352"/>
    <mergeCell ref="AB1352:AE1352"/>
    <mergeCell ref="AF1352:AG1352"/>
    <mergeCell ref="AH1352:AI1352"/>
    <mergeCell ref="AX1352:AZ1352"/>
    <mergeCell ref="BA1352:BB1352"/>
    <mergeCell ref="BD1352:BE1352"/>
    <mergeCell ref="BF1352:BI1352"/>
    <mergeCell ref="BJ1354:BM1354"/>
    <mergeCell ref="BN1354:BV1354"/>
    <mergeCell ref="BJ1355:BM1355"/>
    <mergeCell ref="BN1355:BV1355"/>
    <mergeCell ref="BD1355:BE1355"/>
    <mergeCell ref="BF1355:BI1355"/>
    <mergeCell ref="AX1355:AZ1355"/>
    <mergeCell ref="BA1355:BB1355"/>
    <mergeCell ref="V1354:W1354"/>
    <mergeCell ref="X1354:AA1354"/>
    <mergeCell ref="AB1354:AE1354"/>
    <mergeCell ref="AF1354:AG1354"/>
    <mergeCell ref="AH1354:AI1354"/>
    <mergeCell ref="AX1354:AZ1354"/>
    <mergeCell ref="BA1354:BB1354"/>
    <mergeCell ref="BD1354:BE1354"/>
    <mergeCell ref="BF1354:BI1354"/>
    <mergeCell ref="BD1353:BE1353"/>
    <mergeCell ref="BF1353:BI1353"/>
    <mergeCell ref="AN1353:AO1353"/>
    <mergeCell ref="AP1353:AQ1353"/>
    <mergeCell ref="AR1353:AS1353"/>
    <mergeCell ref="AT1353:AU1353"/>
    <mergeCell ref="AV1353:AW1353"/>
    <mergeCell ref="AX1353:AZ1353"/>
    <mergeCell ref="B1356:C1356"/>
    <mergeCell ref="D1356:E1356"/>
    <mergeCell ref="F1356:G1356"/>
    <mergeCell ref="H1356:I1356"/>
    <mergeCell ref="J1356:K1356"/>
    <mergeCell ref="L1356:M1356"/>
    <mergeCell ref="P1356:Q1356"/>
    <mergeCell ref="B1357:C1357"/>
    <mergeCell ref="D1357:E1357"/>
    <mergeCell ref="F1357:G1357"/>
    <mergeCell ref="H1357:I1357"/>
    <mergeCell ref="J1357:K1357"/>
    <mergeCell ref="L1357:M1357"/>
    <mergeCell ref="P1357:Q1357"/>
    <mergeCell ref="AJ1356:AK1356"/>
    <mergeCell ref="AL1356:AM1356"/>
    <mergeCell ref="AN1356:AO1356"/>
    <mergeCell ref="AP1356:AQ1356"/>
    <mergeCell ref="AR1356:AS1356"/>
    <mergeCell ref="AT1356:AU1356"/>
    <mergeCell ref="AV1356:AW1356"/>
    <mergeCell ref="BD1359:BE1359"/>
    <mergeCell ref="BF1359:BI1359"/>
    <mergeCell ref="AN1359:AO1359"/>
    <mergeCell ref="AP1359:AQ1359"/>
    <mergeCell ref="AR1359:AS1359"/>
    <mergeCell ref="AT1359:AU1359"/>
    <mergeCell ref="AV1359:AW1359"/>
    <mergeCell ref="AX1359:AZ1359"/>
    <mergeCell ref="BA1359:BB1359"/>
    <mergeCell ref="AJ1357:AK1357"/>
    <mergeCell ref="AL1357:AM1357"/>
    <mergeCell ref="R1357:S1357"/>
    <mergeCell ref="T1357:U1357"/>
    <mergeCell ref="V1357:W1357"/>
    <mergeCell ref="X1357:AA1357"/>
    <mergeCell ref="AB1357:AE1357"/>
    <mergeCell ref="AF1357:AG1357"/>
    <mergeCell ref="AH1357:AI1357"/>
    <mergeCell ref="R1358:S1358"/>
    <mergeCell ref="T1358:U1358"/>
    <mergeCell ref="V1358:W1358"/>
    <mergeCell ref="X1358:AA1358"/>
    <mergeCell ref="AB1358:AE1358"/>
    <mergeCell ref="AF1358:AG1358"/>
    <mergeCell ref="AH1358:AI1358"/>
    <mergeCell ref="AX1358:AZ1358"/>
    <mergeCell ref="BA1358:BB1358"/>
    <mergeCell ref="BD1358:BE1358"/>
    <mergeCell ref="BF1358:BI1358"/>
    <mergeCell ref="BD1357:BE1357"/>
    <mergeCell ref="BF1357:BI1357"/>
    <mergeCell ref="AN1357:AO1357"/>
    <mergeCell ref="AP1357:AQ1357"/>
    <mergeCell ref="AR1357:AS1357"/>
    <mergeCell ref="AT1357:AU1357"/>
    <mergeCell ref="AV1357:AW1357"/>
    <mergeCell ref="AX1357:AZ1357"/>
    <mergeCell ref="BA1357:BB1357"/>
    <mergeCell ref="BJ1358:BM1358"/>
    <mergeCell ref="BN1358:BV1358"/>
    <mergeCell ref="BJ1359:BM1359"/>
    <mergeCell ref="BN1359:BV1359"/>
    <mergeCell ref="B1358:C1358"/>
    <mergeCell ref="D1358:E1358"/>
    <mergeCell ref="F1358:G1358"/>
    <mergeCell ref="H1358:I1358"/>
    <mergeCell ref="J1358:K1358"/>
    <mergeCell ref="L1358:M1358"/>
    <mergeCell ref="P1358:Q1358"/>
    <mergeCell ref="B1359:C1359"/>
    <mergeCell ref="D1359:E1359"/>
    <mergeCell ref="F1359:G1359"/>
    <mergeCell ref="H1359:I1359"/>
    <mergeCell ref="J1359:K1359"/>
    <mergeCell ref="L1359:M1359"/>
    <mergeCell ref="P1359:Q1359"/>
    <mergeCell ref="AJ1358:AK1358"/>
    <mergeCell ref="AL1358:AM1358"/>
    <mergeCell ref="AN1358:AO1358"/>
    <mergeCell ref="AP1358:AQ1358"/>
    <mergeCell ref="AR1358:AS1358"/>
    <mergeCell ref="AT1358:AU1358"/>
    <mergeCell ref="AV1358:AW1358"/>
    <mergeCell ref="BD1370:BE1370"/>
    <mergeCell ref="BF1370:BI1370"/>
    <mergeCell ref="AN1370:AO1370"/>
    <mergeCell ref="AP1370:AQ1370"/>
    <mergeCell ref="AR1370:AS1370"/>
    <mergeCell ref="AT1370:AU1370"/>
    <mergeCell ref="AV1370:AW1370"/>
    <mergeCell ref="AX1370:AZ1370"/>
    <mergeCell ref="BA1370:BB1370"/>
    <mergeCell ref="AJ1368:AK1368"/>
    <mergeCell ref="AL1368:AM1368"/>
    <mergeCell ref="R1368:S1368"/>
    <mergeCell ref="T1368:U1368"/>
    <mergeCell ref="V1368:W1368"/>
    <mergeCell ref="X1368:AA1368"/>
    <mergeCell ref="AB1368:AE1368"/>
    <mergeCell ref="AF1368:AG1368"/>
    <mergeCell ref="AH1368:AI1368"/>
    <mergeCell ref="R1369:S1369"/>
    <mergeCell ref="T1369:U1369"/>
    <mergeCell ref="V1369:W1369"/>
    <mergeCell ref="X1369:AA1369"/>
    <mergeCell ref="AB1369:AE1369"/>
    <mergeCell ref="AF1369:AG1369"/>
    <mergeCell ref="AH1369:AI1369"/>
    <mergeCell ref="AX1369:AZ1369"/>
    <mergeCell ref="BA1369:BB1369"/>
    <mergeCell ref="BD1369:BE1369"/>
    <mergeCell ref="BF1369:BI1369"/>
    <mergeCell ref="BJ1369:BM1369"/>
    <mergeCell ref="BN1369:BV1369"/>
    <mergeCell ref="BJ1370:BM1370"/>
    <mergeCell ref="BN1370:BV1370"/>
    <mergeCell ref="B1369:C1369"/>
    <mergeCell ref="D1369:E1369"/>
    <mergeCell ref="F1369:G1369"/>
    <mergeCell ref="H1369:I1369"/>
    <mergeCell ref="J1369:K1369"/>
    <mergeCell ref="L1369:M1369"/>
    <mergeCell ref="BJ1367:BM1367"/>
    <mergeCell ref="BN1367:BV1367"/>
    <mergeCell ref="BJ1368:BM1368"/>
    <mergeCell ref="BN1368:BV1368"/>
    <mergeCell ref="B1367:C1367"/>
    <mergeCell ref="D1367:E1367"/>
    <mergeCell ref="F1367:G1367"/>
    <mergeCell ref="H1367:I1367"/>
    <mergeCell ref="P1369:Q1369"/>
    <mergeCell ref="B1370:C1370"/>
    <mergeCell ref="D1370:E1370"/>
    <mergeCell ref="F1370:G1370"/>
    <mergeCell ref="H1370:I1370"/>
    <mergeCell ref="J1370:K1370"/>
    <mergeCell ref="L1370:M1370"/>
    <mergeCell ref="P1370:Q1370"/>
    <mergeCell ref="AJ1369:AK1369"/>
    <mergeCell ref="AL1369:AM1369"/>
    <mergeCell ref="AN1369:AO1369"/>
    <mergeCell ref="AP1369:AQ1369"/>
    <mergeCell ref="AR1369:AS1369"/>
    <mergeCell ref="AT1369:AU1369"/>
    <mergeCell ref="AV1369:AW1369"/>
    <mergeCell ref="AJ1364:AK1364"/>
    <mergeCell ref="AL1364:AM1364"/>
    <mergeCell ref="R1364:S1364"/>
    <mergeCell ref="T1364:U1364"/>
    <mergeCell ref="V1364:W1364"/>
    <mergeCell ref="X1364:AA1364"/>
    <mergeCell ref="AB1364:AE1364"/>
    <mergeCell ref="AF1364:AG1364"/>
    <mergeCell ref="AH1364:AI1364"/>
    <mergeCell ref="R1365:S1365"/>
    <mergeCell ref="T1365:U1365"/>
    <mergeCell ref="V1365:W1365"/>
    <mergeCell ref="X1365:AA1365"/>
    <mergeCell ref="AB1365:AE1365"/>
    <mergeCell ref="AF1365:AG1365"/>
    <mergeCell ref="AH1365:AI1365"/>
    <mergeCell ref="AX1365:AZ1365"/>
    <mergeCell ref="BA1365:BB1365"/>
    <mergeCell ref="J1367:K1367"/>
    <mergeCell ref="L1367:M1367"/>
    <mergeCell ref="P1367:Q1367"/>
    <mergeCell ref="B1368:C1368"/>
    <mergeCell ref="D1368:E1368"/>
    <mergeCell ref="F1368:G1368"/>
    <mergeCell ref="H1368:I1368"/>
    <mergeCell ref="J1368:K1368"/>
    <mergeCell ref="L1368:M1368"/>
    <mergeCell ref="P1368:Q1368"/>
    <mergeCell ref="AJ1367:AK1367"/>
    <mergeCell ref="AL1367:AM1367"/>
    <mergeCell ref="AN1367:AO1367"/>
    <mergeCell ref="AP1367:AQ1367"/>
    <mergeCell ref="AR1367:AS1367"/>
    <mergeCell ref="AT1367:AU1367"/>
    <mergeCell ref="AV1367:AW1367"/>
    <mergeCell ref="BJ1360:BM1360"/>
    <mergeCell ref="BN1360:BV1360"/>
    <mergeCell ref="B1360:C1360"/>
    <mergeCell ref="D1360:E1360"/>
    <mergeCell ref="F1360:G1360"/>
    <mergeCell ref="H1360:I1360"/>
    <mergeCell ref="J1360:K1360"/>
    <mergeCell ref="L1360:M1360"/>
    <mergeCell ref="P1360:Q1360"/>
    <mergeCell ref="AJ1360:AK1360"/>
    <mergeCell ref="AL1360:AM1360"/>
    <mergeCell ref="AN1360:AO1360"/>
    <mergeCell ref="AP1360:AQ1360"/>
    <mergeCell ref="AR1360:AS1360"/>
    <mergeCell ref="AT1360:AU1360"/>
    <mergeCell ref="AV1360:AW1360"/>
    <mergeCell ref="B1361:C1361"/>
    <mergeCell ref="D1361:E1361"/>
    <mergeCell ref="F1361:G1361"/>
    <mergeCell ref="H1361:I1361"/>
    <mergeCell ref="J1361:K1361"/>
    <mergeCell ref="L1361:M1361"/>
    <mergeCell ref="P1361:Q1361"/>
    <mergeCell ref="BD1365:BE1365"/>
    <mergeCell ref="BF1365:BI1365"/>
    <mergeCell ref="BJ1365:BM1365"/>
    <mergeCell ref="BN1365:BV1365"/>
    <mergeCell ref="BJ1366:BM1366"/>
    <mergeCell ref="BN1366:BV1366"/>
    <mergeCell ref="B1365:C1365"/>
    <mergeCell ref="D1365:E1365"/>
    <mergeCell ref="F1365:G1365"/>
    <mergeCell ref="H1365:I1365"/>
    <mergeCell ref="J1365:K1365"/>
    <mergeCell ref="L1365:M1365"/>
    <mergeCell ref="P1365:Q1365"/>
    <mergeCell ref="B1366:C1366"/>
    <mergeCell ref="D1366:E1366"/>
    <mergeCell ref="F1366:G1366"/>
    <mergeCell ref="H1366:I1366"/>
    <mergeCell ref="J1366:K1366"/>
    <mergeCell ref="L1366:M1366"/>
    <mergeCell ref="P1366:Q1366"/>
    <mergeCell ref="AJ1365:AK1365"/>
    <mergeCell ref="AL1365:AM1365"/>
    <mergeCell ref="AN1365:AO1365"/>
    <mergeCell ref="AP1365:AQ1365"/>
    <mergeCell ref="AR1365:AS1365"/>
    <mergeCell ref="AT1365:AU1365"/>
    <mergeCell ref="AV1365:AW1365"/>
    <mergeCell ref="AJ1366:AK1366"/>
    <mergeCell ref="AL1366:AM1366"/>
    <mergeCell ref="R1366:S1366"/>
    <mergeCell ref="T1366:U1366"/>
    <mergeCell ref="V1366:W1366"/>
    <mergeCell ref="X1366:AA1366"/>
    <mergeCell ref="AB1366:AE1366"/>
    <mergeCell ref="AF1366:AG1366"/>
    <mergeCell ref="AH1366:AI1366"/>
    <mergeCell ref="AJ1361:AK1361"/>
    <mergeCell ref="AL1361:AM1361"/>
    <mergeCell ref="BJ1361:BM1361"/>
    <mergeCell ref="BN1361:BV1361"/>
    <mergeCell ref="R1361:S1361"/>
    <mergeCell ref="X1362:AA1362"/>
    <mergeCell ref="AB1362:AE1362"/>
    <mergeCell ref="AF1362:AG1362"/>
    <mergeCell ref="AH1362:AI1362"/>
    <mergeCell ref="AX1362:AZ1362"/>
    <mergeCell ref="BA1362:BB1362"/>
    <mergeCell ref="BD1362:BE1362"/>
    <mergeCell ref="BF1362:BI1362"/>
    <mergeCell ref="BD1361:BE1361"/>
    <mergeCell ref="BF1361:BI1361"/>
    <mergeCell ref="AN1361:AO1361"/>
    <mergeCell ref="AP1361:AQ1361"/>
    <mergeCell ref="AR1361:AS1361"/>
    <mergeCell ref="AT1361:AU1361"/>
    <mergeCell ref="AV1361:AW1361"/>
    <mergeCell ref="AX1361:AZ1361"/>
    <mergeCell ref="BA1361:BB1361"/>
    <mergeCell ref="AJ1359:AK1359"/>
    <mergeCell ref="AL1359:AM1359"/>
    <mergeCell ref="R1359:S1359"/>
    <mergeCell ref="T1359:U1359"/>
    <mergeCell ref="V1359:W1359"/>
    <mergeCell ref="X1359:AA1359"/>
    <mergeCell ref="AB1359:AE1359"/>
    <mergeCell ref="AF1359:AG1359"/>
    <mergeCell ref="AH1359:AI1359"/>
    <mergeCell ref="R1360:S1360"/>
    <mergeCell ref="T1360:U1360"/>
    <mergeCell ref="V1360:W1360"/>
    <mergeCell ref="X1360:AA1360"/>
    <mergeCell ref="AB1360:AE1360"/>
    <mergeCell ref="AF1360:AG1360"/>
    <mergeCell ref="AH1360:AI1360"/>
    <mergeCell ref="AX1360:AZ1360"/>
    <mergeCell ref="BA1360:BB1360"/>
    <mergeCell ref="BD1360:BE1360"/>
    <mergeCell ref="BF1360:BI1360"/>
    <mergeCell ref="T1361:U1361"/>
    <mergeCell ref="V1361:W1361"/>
    <mergeCell ref="X1361:AA1361"/>
    <mergeCell ref="AB1361:AE1361"/>
    <mergeCell ref="AF1361:AG1361"/>
    <mergeCell ref="AH1361:AI1361"/>
    <mergeCell ref="BJ1362:BM1362"/>
    <mergeCell ref="BN1362:BV1362"/>
    <mergeCell ref="AJ1362:AK1362"/>
    <mergeCell ref="AL1362:AM1362"/>
    <mergeCell ref="AN1362:AO1362"/>
    <mergeCell ref="AP1362:AQ1362"/>
    <mergeCell ref="AR1362:AS1362"/>
    <mergeCell ref="AT1362:AU1362"/>
    <mergeCell ref="AV1362:AW1362"/>
    <mergeCell ref="B1362:C1362"/>
    <mergeCell ref="D1362:E1362"/>
    <mergeCell ref="F1362:G1362"/>
    <mergeCell ref="H1362:I1362"/>
    <mergeCell ref="J1362:K1362"/>
    <mergeCell ref="L1362:M1362"/>
    <mergeCell ref="P1362:Q1362"/>
    <mergeCell ref="AX1363:AZ1363"/>
    <mergeCell ref="BA1363:BB1363"/>
    <mergeCell ref="BD1363:BE1363"/>
    <mergeCell ref="BF1363:BI1363"/>
    <mergeCell ref="BJ1363:BM1363"/>
    <mergeCell ref="BN1363:BV1363"/>
    <mergeCell ref="BJ1364:BM1364"/>
    <mergeCell ref="BN1364:BV1364"/>
    <mergeCell ref="B1364:C1364"/>
    <mergeCell ref="D1364:E1364"/>
    <mergeCell ref="F1364:G1364"/>
    <mergeCell ref="H1364:I1364"/>
    <mergeCell ref="J1364:K1364"/>
    <mergeCell ref="L1364:M1364"/>
    <mergeCell ref="P1364:Q1364"/>
    <mergeCell ref="AJ1363:AK1363"/>
    <mergeCell ref="AL1363:AM1363"/>
    <mergeCell ref="AN1363:AO1363"/>
    <mergeCell ref="AP1363:AQ1363"/>
    <mergeCell ref="AR1363:AS1363"/>
    <mergeCell ref="AT1363:AU1363"/>
    <mergeCell ref="AV1363:AW1363"/>
    <mergeCell ref="R1363:S1363"/>
    <mergeCell ref="T1363:U1363"/>
    <mergeCell ref="V1363:W1363"/>
    <mergeCell ref="X1363:AA1363"/>
    <mergeCell ref="AB1363:AE1363"/>
    <mergeCell ref="AF1363:AG1363"/>
    <mergeCell ref="AH1363:AI1363"/>
    <mergeCell ref="B1363:C1363"/>
    <mergeCell ref="D1363:E1363"/>
    <mergeCell ref="F1363:G1363"/>
    <mergeCell ref="H1363:I1363"/>
    <mergeCell ref="J1363:K1363"/>
    <mergeCell ref="L1363:M1363"/>
    <mergeCell ref="P1363:Q1363"/>
    <mergeCell ref="BD1364:BE1364"/>
    <mergeCell ref="BF1364:BI1364"/>
    <mergeCell ref="AN1364:AO1364"/>
    <mergeCell ref="AP1364:AQ1364"/>
    <mergeCell ref="AR1364:AS1364"/>
    <mergeCell ref="AT1364:AU1364"/>
    <mergeCell ref="AV1364:AW1364"/>
    <mergeCell ref="AX1364:AZ1364"/>
    <mergeCell ref="BA1364:BB1364"/>
    <mergeCell ref="R1362:S1362"/>
    <mergeCell ref="T1362:U1362"/>
    <mergeCell ref="V1362:W1362"/>
    <mergeCell ref="BJ1384:BM1384"/>
    <mergeCell ref="BN1384:BV1384"/>
    <mergeCell ref="R1384:S1384"/>
    <mergeCell ref="T1384:U1384"/>
    <mergeCell ref="V1384:W1384"/>
    <mergeCell ref="X1384:AA1384"/>
    <mergeCell ref="AB1384:AE1384"/>
    <mergeCell ref="AF1384:AG1384"/>
    <mergeCell ref="AH1384:AI1384"/>
    <mergeCell ref="BD1372:BE1372"/>
    <mergeCell ref="BF1372:BI1372"/>
    <mergeCell ref="AN1372:AO1372"/>
    <mergeCell ref="AP1372:AQ1372"/>
    <mergeCell ref="AR1372:AS1372"/>
    <mergeCell ref="AT1372:AU1372"/>
    <mergeCell ref="AV1372:AW1372"/>
    <mergeCell ref="AX1372:AZ1372"/>
    <mergeCell ref="BA1372:BB1372"/>
    <mergeCell ref="AJ1370:AK1370"/>
    <mergeCell ref="AL1370:AM1370"/>
    <mergeCell ref="R1370:S1370"/>
    <mergeCell ref="T1370:U1370"/>
    <mergeCell ref="V1370:W1370"/>
    <mergeCell ref="X1370:AA1370"/>
    <mergeCell ref="AB1370:AE1370"/>
    <mergeCell ref="AF1370:AG1370"/>
    <mergeCell ref="AH1370:AI1370"/>
    <mergeCell ref="R1371:S1371"/>
    <mergeCell ref="T1371:U1371"/>
    <mergeCell ref="V1371:W1371"/>
    <mergeCell ref="X1371:AA1371"/>
    <mergeCell ref="AB1371:AE1371"/>
    <mergeCell ref="AF1371:AG1371"/>
    <mergeCell ref="AH1371:AI1371"/>
    <mergeCell ref="AX1371:AZ1371"/>
    <mergeCell ref="BA1371:BB1371"/>
    <mergeCell ref="BD1371:BE1371"/>
    <mergeCell ref="BF1371:BI1371"/>
    <mergeCell ref="BJ1371:BM1371"/>
    <mergeCell ref="BN1371:BV1371"/>
    <mergeCell ref="BJ1372:BM1372"/>
    <mergeCell ref="BN1372:BV1372"/>
    <mergeCell ref="BJ1373:BM1373"/>
    <mergeCell ref="BN1373:BV1373"/>
    <mergeCell ref="BJ1374:BM1374"/>
    <mergeCell ref="BN1374:BV1374"/>
    <mergeCell ref="AJ1373:AK1373"/>
    <mergeCell ref="AL1373:AM1373"/>
    <mergeCell ref="AN1373:AO1373"/>
    <mergeCell ref="AP1373:AQ1373"/>
    <mergeCell ref="AR1373:AS1373"/>
    <mergeCell ref="AT1373:AU1373"/>
    <mergeCell ref="AV1373:AW1373"/>
    <mergeCell ref="BJ1383:BM1383"/>
    <mergeCell ref="BN1383:BV1383"/>
    <mergeCell ref="T1373:U1373"/>
    <mergeCell ref="V1373:W1373"/>
    <mergeCell ref="X1373:AA1373"/>
    <mergeCell ref="AB1373:AE1373"/>
    <mergeCell ref="AF1373:AG1373"/>
    <mergeCell ref="AH1373:AI1373"/>
    <mergeCell ref="AX1373:AZ1373"/>
    <mergeCell ref="BA1373:BB1373"/>
    <mergeCell ref="BD1373:BE1373"/>
    <mergeCell ref="H1374:I1374"/>
    <mergeCell ref="J1374:K1374"/>
    <mergeCell ref="L1374:M1374"/>
    <mergeCell ref="P1374:Q1374"/>
    <mergeCell ref="BD1366:BE1366"/>
    <mergeCell ref="BF1366:BI1366"/>
    <mergeCell ref="AN1366:AO1366"/>
    <mergeCell ref="AP1366:AQ1366"/>
    <mergeCell ref="AR1366:AS1366"/>
    <mergeCell ref="AT1366:AU1366"/>
    <mergeCell ref="AV1366:AW1366"/>
    <mergeCell ref="AX1366:AZ1366"/>
    <mergeCell ref="BA1366:BB1366"/>
    <mergeCell ref="BD1368:BE1368"/>
    <mergeCell ref="BF1368:BI1368"/>
    <mergeCell ref="AN1368:AO1368"/>
    <mergeCell ref="AP1368:AQ1368"/>
    <mergeCell ref="AR1368:AS1368"/>
    <mergeCell ref="AT1368:AU1368"/>
    <mergeCell ref="AV1368:AW1368"/>
    <mergeCell ref="AX1368:AZ1368"/>
    <mergeCell ref="BA1368:BB1368"/>
    <mergeCell ref="R1367:S1367"/>
    <mergeCell ref="T1367:U1367"/>
    <mergeCell ref="V1367:W1367"/>
    <mergeCell ref="X1367:AA1367"/>
    <mergeCell ref="AB1367:AE1367"/>
    <mergeCell ref="AF1367:AG1367"/>
    <mergeCell ref="AH1367:AI1367"/>
    <mergeCell ref="AX1367:AZ1367"/>
    <mergeCell ref="BA1367:BB1367"/>
    <mergeCell ref="BD1367:BE1367"/>
    <mergeCell ref="BF1367:BI1367"/>
    <mergeCell ref="AJ1374:AK1374"/>
    <mergeCell ref="AL1374:AM1374"/>
    <mergeCell ref="R1374:S1374"/>
    <mergeCell ref="T1374:U1374"/>
    <mergeCell ref="V1374:W1374"/>
    <mergeCell ref="X1374:AA1374"/>
    <mergeCell ref="AB1374:AE1374"/>
    <mergeCell ref="AF1374:AG1374"/>
    <mergeCell ref="AH1374:AI1374"/>
    <mergeCell ref="BJ1375:BM1375"/>
    <mergeCell ref="BN1375:BV1375"/>
    <mergeCell ref="BJ1376:BM1376"/>
    <mergeCell ref="BN1376:BV1376"/>
    <mergeCell ref="B1371:C1371"/>
    <mergeCell ref="D1371:E1371"/>
    <mergeCell ref="F1371:G1371"/>
    <mergeCell ref="H1371:I1371"/>
    <mergeCell ref="J1371:K1371"/>
    <mergeCell ref="L1371:M1371"/>
    <mergeCell ref="P1371:Q1371"/>
    <mergeCell ref="B1372:C1372"/>
    <mergeCell ref="D1372:E1372"/>
    <mergeCell ref="F1372:G1372"/>
    <mergeCell ref="H1372:I1372"/>
    <mergeCell ref="J1372:K1372"/>
    <mergeCell ref="L1372:M1372"/>
    <mergeCell ref="P1372:Q1372"/>
    <mergeCell ref="AJ1371:AK1371"/>
    <mergeCell ref="AL1371:AM1371"/>
    <mergeCell ref="AN1371:AO1371"/>
    <mergeCell ref="AP1371:AQ1371"/>
    <mergeCell ref="AR1371:AS1371"/>
    <mergeCell ref="AT1371:AU1371"/>
    <mergeCell ref="AV1371:AW1371"/>
    <mergeCell ref="BD1374:BE1374"/>
    <mergeCell ref="BF1374:BI1374"/>
    <mergeCell ref="AN1374:AO1374"/>
    <mergeCell ref="AP1374:AQ1374"/>
    <mergeCell ref="AR1374:AS1374"/>
    <mergeCell ref="AT1374:AU1374"/>
    <mergeCell ref="AV1374:AW1374"/>
    <mergeCell ref="AX1374:AZ1374"/>
    <mergeCell ref="BA1374:BB1374"/>
    <mergeCell ref="AJ1372:AK1372"/>
    <mergeCell ref="AL1372:AM1372"/>
    <mergeCell ref="R1372:S1372"/>
    <mergeCell ref="T1372:U1372"/>
    <mergeCell ref="V1372:W1372"/>
    <mergeCell ref="X1372:AA1372"/>
    <mergeCell ref="AB1372:AE1372"/>
    <mergeCell ref="AF1372:AG1372"/>
    <mergeCell ref="AH1372:AI1372"/>
    <mergeCell ref="R1373:S1373"/>
    <mergeCell ref="B1375:C1375"/>
    <mergeCell ref="D1375:E1375"/>
    <mergeCell ref="F1375:G1375"/>
    <mergeCell ref="H1375:I1375"/>
    <mergeCell ref="J1375:K1375"/>
    <mergeCell ref="L1375:M1375"/>
    <mergeCell ref="P1375:Q1375"/>
    <mergeCell ref="B1376:C1376"/>
    <mergeCell ref="D1376:E1376"/>
    <mergeCell ref="BF1373:BI1373"/>
    <mergeCell ref="B1373:C1373"/>
    <mergeCell ref="D1373:E1373"/>
    <mergeCell ref="F1373:G1373"/>
    <mergeCell ref="H1373:I1373"/>
    <mergeCell ref="J1373:K1373"/>
    <mergeCell ref="L1373:M1373"/>
    <mergeCell ref="P1373:Q1373"/>
    <mergeCell ref="B1374:C1374"/>
    <mergeCell ref="D1374:E1374"/>
    <mergeCell ref="F1374:G1374"/>
    <mergeCell ref="F1376:G1376"/>
    <mergeCell ref="H1376:I1376"/>
    <mergeCell ref="J1376:K1376"/>
    <mergeCell ref="L1376:M1376"/>
    <mergeCell ref="P1376:Q1376"/>
    <mergeCell ref="AJ1375:AK1375"/>
    <mergeCell ref="AL1375:AM1375"/>
    <mergeCell ref="AN1375:AO1375"/>
    <mergeCell ref="AP1375:AQ1375"/>
    <mergeCell ref="AR1375:AS1375"/>
    <mergeCell ref="AT1375:AU1375"/>
    <mergeCell ref="AV1375:AW1375"/>
    <mergeCell ref="BD1378:BE1378"/>
    <mergeCell ref="BF1378:BI1378"/>
    <mergeCell ref="AN1378:AO1378"/>
    <mergeCell ref="AP1378:AQ1378"/>
    <mergeCell ref="AR1378:AS1378"/>
    <mergeCell ref="AT1378:AU1378"/>
    <mergeCell ref="AV1378:AW1378"/>
    <mergeCell ref="AX1378:AZ1378"/>
    <mergeCell ref="BA1378:BB1378"/>
    <mergeCell ref="AJ1376:AK1376"/>
    <mergeCell ref="AL1376:AM1376"/>
    <mergeCell ref="R1376:S1376"/>
    <mergeCell ref="T1376:U1376"/>
    <mergeCell ref="V1376:W1376"/>
    <mergeCell ref="X1376:AA1376"/>
    <mergeCell ref="AB1376:AE1376"/>
    <mergeCell ref="AF1376:AG1376"/>
    <mergeCell ref="AH1376:AI1376"/>
    <mergeCell ref="R1377:S1377"/>
    <mergeCell ref="T1377:U1377"/>
    <mergeCell ref="V1377:W1377"/>
    <mergeCell ref="X1377:AA1377"/>
    <mergeCell ref="AB1377:AE1377"/>
    <mergeCell ref="AF1377:AG1377"/>
    <mergeCell ref="AH1377:AI1377"/>
    <mergeCell ref="AX1377:AZ1377"/>
    <mergeCell ref="BA1377:BB1377"/>
    <mergeCell ref="BD1377:BE1377"/>
    <mergeCell ref="BF1377:BI1377"/>
    <mergeCell ref="BD1376:BE1376"/>
    <mergeCell ref="BF1376:BI1376"/>
    <mergeCell ref="AN1376:AO1376"/>
    <mergeCell ref="AP1376:AQ1376"/>
    <mergeCell ref="AR1376:AS1376"/>
    <mergeCell ref="AT1376:AU1376"/>
    <mergeCell ref="AV1376:AW1376"/>
    <mergeCell ref="AX1376:AZ1376"/>
    <mergeCell ref="BA1376:BB1376"/>
    <mergeCell ref="R1375:S1375"/>
    <mergeCell ref="T1375:U1375"/>
    <mergeCell ref="V1375:W1375"/>
    <mergeCell ref="X1375:AA1375"/>
    <mergeCell ref="AB1375:AE1375"/>
    <mergeCell ref="AF1375:AG1375"/>
    <mergeCell ref="AH1375:AI1375"/>
    <mergeCell ref="AX1375:AZ1375"/>
    <mergeCell ref="BA1375:BB1375"/>
    <mergeCell ref="BD1375:BE1375"/>
    <mergeCell ref="BF1375:BI1375"/>
    <mergeCell ref="BJ1377:BM1377"/>
    <mergeCell ref="BN1377:BV1377"/>
    <mergeCell ref="BJ1378:BM1378"/>
    <mergeCell ref="BN1378:BV1378"/>
    <mergeCell ref="B1377:C1377"/>
    <mergeCell ref="D1377:E1377"/>
    <mergeCell ref="F1377:G1377"/>
    <mergeCell ref="H1377:I1377"/>
    <mergeCell ref="J1377:K1377"/>
    <mergeCell ref="L1377:M1377"/>
    <mergeCell ref="P1377:Q1377"/>
    <mergeCell ref="B1378:C1378"/>
    <mergeCell ref="D1378:E1378"/>
    <mergeCell ref="F1378:G1378"/>
    <mergeCell ref="H1378:I1378"/>
    <mergeCell ref="J1378:K1378"/>
    <mergeCell ref="L1378:M1378"/>
    <mergeCell ref="P1378:Q1378"/>
    <mergeCell ref="AJ1377:AK1377"/>
    <mergeCell ref="AL1377:AM1377"/>
    <mergeCell ref="AN1377:AO1377"/>
    <mergeCell ref="AP1377:AQ1377"/>
    <mergeCell ref="AR1377:AS1377"/>
    <mergeCell ref="AT1377:AU1377"/>
    <mergeCell ref="AV1377:AW1377"/>
    <mergeCell ref="BD1380:BE1380"/>
    <mergeCell ref="BF1380:BI1380"/>
    <mergeCell ref="AN1380:AO1380"/>
    <mergeCell ref="AP1380:AQ1380"/>
    <mergeCell ref="AR1380:AS1380"/>
    <mergeCell ref="AT1380:AU1380"/>
    <mergeCell ref="AV1380:AW1380"/>
    <mergeCell ref="AX1380:AZ1380"/>
    <mergeCell ref="BA1380:BB1380"/>
    <mergeCell ref="AJ1378:AK1378"/>
    <mergeCell ref="AL1378:AM1378"/>
    <mergeCell ref="R1378:S1378"/>
    <mergeCell ref="T1378:U1378"/>
    <mergeCell ref="V1378:W1378"/>
    <mergeCell ref="X1378:AA1378"/>
    <mergeCell ref="AB1378:AE1378"/>
    <mergeCell ref="AF1378:AG1378"/>
    <mergeCell ref="AH1378:AI1378"/>
    <mergeCell ref="R1379:S1379"/>
    <mergeCell ref="T1379:U1379"/>
    <mergeCell ref="V1379:W1379"/>
    <mergeCell ref="X1379:AA1379"/>
    <mergeCell ref="AB1379:AE1379"/>
    <mergeCell ref="AF1379:AG1379"/>
    <mergeCell ref="AH1379:AI1379"/>
    <mergeCell ref="AX1379:AZ1379"/>
    <mergeCell ref="BA1379:BB1379"/>
    <mergeCell ref="BD1379:BE1379"/>
    <mergeCell ref="BF1379:BI1379"/>
    <mergeCell ref="BJ1379:BM1379"/>
    <mergeCell ref="BN1379:BV1379"/>
    <mergeCell ref="BJ1380:BM1380"/>
    <mergeCell ref="BN1380:BV1380"/>
    <mergeCell ref="B1379:C1379"/>
    <mergeCell ref="D1379:E1379"/>
    <mergeCell ref="F1379:G1379"/>
    <mergeCell ref="H1379:I1379"/>
    <mergeCell ref="J1379:K1379"/>
    <mergeCell ref="L1379:M1379"/>
    <mergeCell ref="P1379:Q1379"/>
    <mergeCell ref="B1380:C1380"/>
    <mergeCell ref="D1380:E1380"/>
    <mergeCell ref="F1380:G1380"/>
    <mergeCell ref="H1380:I1380"/>
    <mergeCell ref="J1380:K1380"/>
    <mergeCell ref="L1380:M1380"/>
    <mergeCell ref="P1380:Q1380"/>
    <mergeCell ref="AJ1379:AK1379"/>
    <mergeCell ref="AL1379:AM1379"/>
    <mergeCell ref="AN1379:AO1379"/>
    <mergeCell ref="AP1379:AQ1379"/>
    <mergeCell ref="AR1379:AS1379"/>
    <mergeCell ref="AT1379:AU1379"/>
    <mergeCell ref="AV1379:AW1379"/>
    <mergeCell ref="BD1382:BE1382"/>
    <mergeCell ref="BF1382:BI1382"/>
    <mergeCell ref="AN1382:AO1382"/>
    <mergeCell ref="AP1382:AQ1382"/>
    <mergeCell ref="AR1382:AS1382"/>
    <mergeCell ref="AT1382:AU1382"/>
    <mergeCell ref="AV1382:AW1382"/>
    <mergeCell ref="AX1382:AZ1382"/>
    <mergeCell ref="BA1382:BB1382"/>
    <mergeCell ref="AJ1380:AK1380"/>
    <mergeCell ref="AL1380:AM1380"/>
    <mergeCell ref="R1380:S1380"/>
    <mergeCell ref="T1380:U1380"/>
    <mergeCell ref="V1380:W1380"/>
    <mergeCell ref="X1380:AA1380"/>
    <mergeCell ref="AB1380:AE1380"/>
    <mergeCell ref="AF1380:AG1380"/>
    <mergeCell ref="AH1380:AI1380"/>
    <mergeCell ref="R1381:S1381"/>
    <mergeCell ref="T1381:U1381"/>
    <mergeCell ref="V1381:W1381"/>
    <mergeCell ref="X1381:AA1381"/>
    <mergeCell ref="AB1381:AE1381"/>
    <mergeCell ref="AF1381:AG1381"/>
    <mergeCell ref="AH1381:AI1381"/>
    <mergeCell ref="AX1381:AZ1381"/>
    <mergeCell ref="BA1381:BB1381"/>
    <mergeCell ref="BD1381:BE1381"/>
    <mergeCell ref="BF1381:BI1381"/>
    <mergeCell ref="BJ1381:BM1381"/>
    <mergeCell ref="BN1381:BV1381"/>
    <mergeCell ref="BJ1382:BM1382"/>
    <mergeCell ref="BN1382:BV1382"/>
    <mergeCell ref="B1381:C1381"/>
    <mergeCell ref="D1381:E1381"/>
    <mergeCell ref="F1381:G1381"/>
    <mergeCell ref="H1381:I1381"/>
    <mergeCell ref="J1381:K1381"/>
    <mergeCell ref="L1381:M1381"/>
    <mergeCell ref="P1381:Q1381"/>
    <mergeCell ref="B1382:C1382"/>
    <mergeCell ref="D1382:E1382"/>
    <mergeCell ref="F1382:G1382"/>
    <mergeCell ref="H1382:I1382"/>
    <mergeCell ref="J1382:K1382"/>
    <mergeCell ref="L1382:M1382"/>
    <mergeCell ref="P1382:Q1382"/>
    <mergeCell ref="AJ1381:AK1381"/>
    <mergeCell ref="AL1381:AM1381"/>
    <mergeCell ref="AN1381:AO1381"/>
    <mergeCell ref="AP1381:AQ1381"/>
    <mergeCell ref="AR1381:AS1381"/>
    <mergeCell ref="AT1381:AU1381"/>
    <mergeCell ref="AV1381:AW1381"/>
    <mergeCell ref="BD1393:BE1393"/>
    <mergeCell ref="BF1393:BI1393"/>
    <mergeCell ref="AN1393:AO1393"/>
    <mergeCell ref="AP1393:AQ1393"/>
    <mergeCell ref="AR1393:AS1393"/>
    <mergeCell ref="AT1393:AU1393"/>
    <mergeCell ref="AV1393:AW1393"/>
    <mergeCell ref="AX1393:AZ1393"/>
    <mergeCell ref="BA1393:BB1393"/>
    <mergeCell ref="AJ1391:AK1391"/>
    <mergeCell ref="AL1391:AM1391"/>
    <mergeCell ref="R1391:S1391"/>
    <mergeCell ref="T1391:U1391"/>
    <mergeCell ref="V1391:W1391"/>
    <mergeCell ref="X1391:AA1391"/>
    <mergeCell ref="AB1391:AE1391"/>
    <mergeCell ref="AF1391:AG1391"/>
    <mergeCell ref="AH1391:AI1391"/>
    <mergeCell ref="R1392:S1392"/>
    <mergeCell ref="T1392:U1392"/>
    <mergeCell ref="V1392:W1392"/>
    <mergeCell ref="X1392:AA1392"/>
    <mergeCell ref="AB1392:AE1392"/>
    <mergeCell ref="AF1392:AG1392"/>
    <mergeCell ref="AH1392:AI1392"/>
    <mergeCell ref="AX1392:AZ1392"/>
    <mergeCell ref="BA1392:BB1392"/>
    <mergeCell ref="BD1392:BE1392"/>
    <mergeCell ref="BF1392:BI1392"/>
    <mergeCell ref="BJ1392:BM1392"/>
    <mergeCell ref="BN1392:BV1392"/>
    <mergeCell ref="BJ1393:BM1393"/>
    <mergeCell ref="BN1393:BV1393"/>
    <mergeCell ref="B1392:C1392"/>
    <mergeCell ref="D1392:E1392"/>
    <mergeCell ref="F1392:G1392"/>
    <mergeCell ref="H1392:I1392"/>
    <mergeCell ref="J1392:K1392"/>
    <mergeCell ref="L1392:M1392"/>
    <mergeCell ref="B1221:C1221"/>
    <mergeCell ref="D1221:E1221"/>
    <mergeCell ref="F1221:G1221"/>
    <mergeCell ref="H1221:I1221"/>
    <mergeCell ref="P1392:Q1392"/>
    <mergeCell ref="B1393:C1393"/>
    <mergeCell ref="D1393:E1393"/>
    <mergeCell ref="F1393:G1393"/>
    <mergeCell ref="H1393:I1393"/>
    <mergeCell ref="J1393:K1393"/>
    <mergeCell ref="L1393:M1393"/>
    <mergeCell ref="P1393:Q1393"/>
    <mergeCell ref="AJ1392:AK1392"/>
    <mergeCell ref="AL1392:AM1392"/>
    <mergeCell ref="AN1392:AO1392"/>
    <mergeCell ref="AP1392:AQ1392"/>
    <mergeCell ref="AR1392:AS1392"/>
    <mergeCell ref="AT1392:AU1392"/>
    <mergeCell ref="AV1392:AW1392"/>
    <mergeCell ref="AJ1218:AK1218"/>
    <mergeCell ref="AL1218:AM1218"/>
    <mergeCell ref="R1218:S1218"/>
    <mergeCell ref="T1218:U1218"/>
    <mergeCell ref="V1218:W1218"/>
    <mergeCell ref="X1218:AA1218"/>
    <mergeCell ref="AB1218:AE1218"/>
    <mergeCell ref="AF1218:AG1218"/>
    <mergeCell ref="AH1218:AI1218"/>
    <mergeCell ref="R1219:S1219"/>
    <mergeCell ref="T1219:U1219"/>
    <mergeCell ref="V1219:W1219"/>
    <mergeCell ref="X1219:AA1219"/>
    <mergeCell ref="AB1219:AE1219"/>
    <mergeCell ref="AF1219:AG1219"/>
    <mergeCell ref="AH1219:AI1219"/>
    <mergeCell ref="J1221:K1221"/>
    <mergeCell ref="L1221:M1221"/>
    <mergeCell ref="P1221:Q1221"/>
    <mergeCell ref="B1222:C1222"/>
    <mergeCell ref="D1222:E1222"/>
    <mergeCell ref="F1222:G1222"/>
    <mergeCell ref="H1222:I1222"/>
    <mergeCell ref="J1222:K1222"/>
    <mergeCell ref="L1222:M1222"/>
    <mergeCell ref="P1222:Q1222"/>
    <mergeCell ref="AJ1221:AK1221"/>
    <mergeCell ref="AL1221:AM1221"/>
    <mergeCell ref="AN1221:AO1221"/>
    <mergeCell ref="AP1221:AQ1221"/>
    <mergeCell ref="AR1221:AS1221"/>
    <mergeCell ref="AT1221:AU1221"/>
    <mergeCell ref="AV1221:AW1221"/>
    <mergeCell ref="D1231:E1231"/>
    <mergeCell ref="F1231:G1231"/>
    <mergeCell ref="H1231:I1231"/>
    <mergeCell ref="J1231:K1231"/>
    <mergeCell ref="L1231:M1231"/>
    <mergeCell ref="P1231:Q1231"/>
    <mergeCell ref="AJ1230:AK1230"/>
    <mergeCell ref="AL1230:AM1230"/>
    <mergeCell ref="AN1230:AO1230"/>
    <mergeCell ref="AP1230:AQ1230"/>
    <mergeCell ref="AR1230:AS1230"/>
    <mergeCell ref="AT1230:AU1230"/>
    <mergeCell ref="BD1222:BE1222"/>
    <mergeCell ref="BF1222:BI1222"/>
    <mergeCell ref="AN1222:AO1222"/>
    <mergeCell ref="AP1222:AQ1222"/>
    <mergeCell ref="AR1222:AS1222"/>
    <mergeCell ref="AT1222:AU1222"/>
    <mergeCell ref="AV1222:AW1222"/>
    <mergeCell ref="AX1222:AZ1222"/>
    <mergeCell ref="BA1222:BB1222"/>
    <mergeCell ref="AJ1220:AK1220"/>
    <mergeCell ref="AL1220:AM1220"/>
    <mergeCell ref="R1220:S1220"/>
    <mergeCell ref="T1220:U1220"/>
    <mergeCell ref="V1220:W1220"/>
    <mergeCell ref="X1220:AA1220"/>
    <mergeCell ref="AB1220:AE1220"/>
    <mergeCell ref="AF1220:AG1220"/>
    <mergeCell ref="AH1220:AI1220"/>
    <mergeCell ref="R1221:S1221"/>
    <mergeCell ref="T1221:U1221"/>
    <mergeCell ref="V1221:W1221"/>
    <mergeCell ref="X1221:AA1221"/>
    <mergeCell ref="AB1221:AE1221"/>
    <mergeCell ref="AF1221:AG1221"/>
    <mergeCell ref="AH1221:AI1221"/>
    <mergeCell ref="AX1221:AZ1221"/>
    <mergeCell ref="BA1221:BB1221"/>
    <mergeCell ref="BD1221:BE1221"/>
    <mergeCell ref="BF1221:BI1221"/>
    <mergeCell ref="BJ1221:BM1221"/>
    <mergeCell ref="BN1221:BV1221"/>
    <mergeCell ref="BJ1222:BM1222"/>
    <mergeCell ref="BN1222:BV1222"/>
    <mergeCell ref="BD1220:BE1220"/>
    <mergeCell ref="BF1220:BI1220"/>
    <mergeCell ref="AN1220:AO1220"/>
    <mergeCell ref="AP1220:AQ1220"/>
    <mergeCell ref="AR1220:AS1220"/>
    <mergeCell ref="AT1220:AU1220"/>
    <mergeCell ref="AV1220:AW1220"/>
    <mergeCell ref="AX1220:AZ1220"/>
    <mergeCell ref="BA1220:BB1220"/>
    <mergeCell ref="AJ1222:AK1222"/>
    <mergeCell ref="AL1222:AM1222"/>
    <mergeCell ref="R1222:S1222"/>
    <mergeCell ref="T1222:U1222"/>
    <mergeCell ref="V1222:W1222"/>
    <mergeCell ref="X1222:AA1222"/>
    <mergeCell ref="AB1222:AE1222"/>
    <mergeCell ref="AF1222:AG1222"/>
    <mergeCell ref="AH1222:AI1222"/>
    <mergeCell ref="BJ1214:BM1214"/>
    <mergeCell ref="BN1214:BV1214"/>
    <mergeCell ref="B1214:C1214"/>
    <mergeCell ref="D1214:E1214"/>
    <mergeCell ref="F1214:G1214"/>
    <mergeCell ref="H1214:I1214"/>
    <mergeCell ref="J1214:K1214"/>
    <mergeCell ref="L1214:M1214"/>
    <mergeCell ref="P1214:Q1214"/>
    <mergeCell ref="AJ1214:AK1214"/>
    <mergeCell ref="AL1214:AM1214"/>
    <mergeCell ref="AN1214:AO1214"/>
    <mergeCell ref="AP1214:AQ1214"/>
    <mergeCell ref="AR1214:AS1214"/>
    <mergeCell ref="AT1214:AU1214"/>
    <mergeCell ref="AV1214:AW1214"/>
    <mergeCell ref="B1215:C1215"/>
    <mergeCell ref="D1215:E1215"/>
    <mergeCell ref="F1215:G1215"/>
    <mergeCell ref="H1215:I1215"/>
    <mergeCell ref="J1215:K1215"/>
    <mergeCell ref="L1215:M1215"/>
    <mergeCell ref="P1215:Q1215"/>
    <mergeCell ref="BD1219:BE1219"/>
    <mergeCell ref="BF1219:BI1219"/>
    <mergeCell ref="BJ1219:BM1219"/>
    <mergeCell ref="BN1219:BV1219"/>
    <mergeCell ref="BJ1220:BM1220"/>
    <mergeCell ref="BN1220:BV1220"/>
    <mergeCell ref="B1219:C1219"/>
    <mergeCell ref="D1219:E1219"/>
    <mergeCell ref="F1219:G1219"/>
    <mergeCell ref="H1219:I1219"/>
    <mergeCell ref="J1219:K1219"/>
    <mergeCell ref="L1219:M1219"/>
    <mergeCell ref="P1219:Q1219"/>
    <mergeCell ref="B1220:C1220"/>
    <mergeCell ref="D1220:E1220"/>
    <mergeCell ref="F1220:G1220"/>
    <mergeCell ref="H1220:I1220"/>
    <mergeCell ref="J1220:K1220"/>
    <mergeCell ref="L1220:M1220"/>
    <mergeCell ref="P1220:Q1220"/>
    <mergeCell ref="AJ1219:AK1219"/>
    <mergeCell ref="AL1219:AM1219"/>
    <mergeCell ref="AN1219:AO1219"/>
    <mergeCell ref="AP1219:AQ1219"/>
    <mergeCell ref="AR1219:AS1219"/>
    <mergeCell ref="AT1219:AU1219"/>
    <mergeCell ref="AV1219:AW1219"/>
    <mergeCell ref="AX1219:AZ1219"/>
    <mergeCell ref="BA1219:BB1219"/>
    <mergeCell ref="AJ1215:AK1215"/>
    <mergeCell ref="AL1215:AM1215"/>
    <mergeCell ref="BJ1215:BM1215"/>
    <mergeCell ref="BN1215:BV1215"/>
    <mergeCell ref="R1215:S1215"/>
    <mergeCell ref="T1215:U1215"/>
    <mergeCell ref="V1215:W1215"/>
    <mergeCell ref="X1215:AA1215"/>
    <mergeCell ref="AB1215:AE1215"/>
    <mergeCell ref="AF1215:AG1215"/>
    <mergeCell ref="AH1215:AI1215"/>
    <mergeCell ref="X1216:AA1216"/>
    <mergeCell ref="AB1216:AE1216"/>
    <mergeCell ref="AF1216:AG1216"/>
    <mergeCell ref="AH1216:AI1216"/>
    <mergeCell ref="AX1216:AZ1216"/>
    <mergeCell ref="BA1216:BB1216"/>
    <mergeCell ref="BD1216:BE1216"/>
    <mergeCell ref="BF1216:BI1216"/>
    <mergeCell ref="BD1215:BE1215"/>
    <mergeCell ref="BF1215:BI1215"/>
    <mergeCell ref="AN1215:AO1215"/>
    <mergeCell ref="AP1215:AQ1215"/>
    <mergeCell ref="AR1215:AS1215"/>
    <mergeCell ref="AT1215:AU1215"/>
    <mergeCell ref="AV1215:AW1215"/>
    <mergeCell ref="AX1215:AZ1215"/>
    <mergeCell ref="BA1215:BB1215"/>
    <mergeCell ref="AJ1213:AK1213"/>
    <mergeCell ref="AL1213:AM1213"/>
    <mergeCell ref="R1213:S1213"/>
    <mergeCell ref="T1213:U1213"/>
    <mergeCell ref="V1213:W1213"/>
    <mergeCell ref="X1213:AA1213"/>
    <mergeCell ref="AB1213:AE1213"/>
    <mergeCell ref="AF1213:AG1213"/>
    <mergeCell ref="AH1213:AI1213"/>
    <mergeCell ref="R1214:S1214"/>
    <mergeCell ref="T1214:U1214"/>
    <mergeCell ref="V1214:W1214"/>
    <mergeCell ref="X1214:AA1214"/>
    <mergeCell ref="AB1214:AE1214"/>
    <mergeCell ref="AF1214:AG1214"/>
    <mergeCell ref="AH1214:AI1214"/>
    <mergeCell ref="AX1214:AZ1214"/>
    <mergeCell ref="BA1214:BB1214"/>
    <mergeCell ref="BD1214:BE1214"/>
    <mergeCell ref="BF1214:BI1214"/>
    <mergeCell ref="BJ1216:BM1216"/>
    <mergeCell ref="BN1216:BV1216"/>
    <mergeCell ref="AJ1216:AK1216"/>
    <mergeCell ref="AL1216:AM1216"/>
    <mergeCell ref="AN1216:AO1216"/>
    <mergeCell ref="AP1216:AQ1216"/>
    <mergeCell ref="AR1216:AS1216"/>
    <mergeCell ref="AT1216:AU1216"/>
    <mergeCell ref="AV1216:AW1216"/>
    <mergeCell ref="B1216:C1216"/>
    <mergeCell ref="D1216:E1216"/>
    <mergeCell ref="F1216:G1216"/>
    <mergeCell ref="H1216:I1216"/>
    <mergeCell ref="J1216:K1216"/>
    <mergeCell ref="L1216:M1216"/>
    <mergeCell ref="P1216:Q1216"/>
    <mergeCell ref="AX1217:AZ1217"/>
    <mergeCell ref="BA1217:BB1217"/>
    <mergeCell ref="BD1217:BE1217"/>
    <mergeCell ref="BF1217:BI1217"/>
    <mergeCell ref="BJ1217:BM1217"/>
    <mergeCell ref="BN1217:BV1217"/>
    <mergeCell ref="BJ1218:BM1218"/>
    <mergeCell ref="BN1218:BV1218"/>
    <mergeCell ref="B1218:C1218"/>
    <mergeCell ref="D1218:E1218"/>
    <mergeCell ref="F1218:G1218"/>
    <mergeCell ref="H1218:I1218"/>
    <mergeCell ref="J1218:K1218"/>
    <mergeCell ref="L1218:M1218"/>
    <mergeCell ref="P1218:Q1218"/>
    <mergeCell ref="AJ1217:AK1217"/>
    <mergeCell ref="AL1217:AM1217"/>
    <mergeCell ref="AN1217:AO1217"/>
    <mergeCell ref="AP1217:AQ1217"/>
    <mergeCell ref="AR1217:AS1217"/>
    <mergeCell ref="AT1217:AU1217"/>
    <mergeCell ref="AV1217:AW1217"/>
    <mergeCell ref="R1217:S1217"/>
    <mergeCell ref="T1217:U1217"/>
    <mergeCell ref="V1217:W1217"/>
    <mergeCell ref="X1217:AA1217"/>
    <mergeCell ref="AB1217:AE1217"/>
    <mergeCell ref="AF1217:AG1217"/>
    <mergeCell ref="AH1217:AI1217"/>
    <mergeCell ref="B1217:C1217"/>
    <mergeCell ref="D1217:E1217"/>
    <mergeCell ref="F1217:G1217"/>
    <mergeCell ref="H1217:I1217"/>
    <mergeCell ref="J1217:K1217"/>
    <mergeCell ref="L1217:M1217"/>
    <mergeCell ref="P1217:Q1217"/>
    <mergeCell ref="BD1218:BE1218"/>
    <mergeCell ref="BF1218:BI1218"/>
    <mergeCell ref="AN1218:AO1218"/>
    <mergeCell ref="AP1218:AQ1218"/>
    <mergeCell ref="AR1218:AS1218"/>
    <mergeCell ref="AT1218:AU1218"/>
    <mergeCell ref="AV1218:AW1218"/>
    <mergeCell ref="AX1218:AZ1218"/>
    <mergeCell ref="BA1218:BB1218"/>
    <mergeCell ref="R1216:S1216"/>
    <mergeCell ref="T1216:U1216"/>
    <mergeCell ref="V1216:W1216"/>
    <mergeCell ref="AJ1224:AK1224"/>
    <mergeCell ref="AL1224:AM1224"/>
    <mergeCell ref="BJ1224:BM1224"/>
    <mergeCell ref="BN1224:BV1224"/>
    <mergeCell ref="R1224:S1224"/>
    <mergeCell ref="T1224:U1224"/>
    <mergeCell ref="V1224:W1224"/>
    <mergeCell ref="X1224:AA1224"/>
    <mergeCell ref="AB1224:AE1224"/>
    <mergeCell ref="AF1224:AG1224"/>
    <mergeCell ref="AH1224:AI1224"/>
    <mergeCell ref="AJ1227:AK1227"/>
    <mergeCell ref="AL1227:AM1227"/>
    <mergeCell ref="R1227:S1227"/>
    <mergeCell ref="T1227:U1227"/>
    <mergeCell ref="V1227:W1227"/>
    <mergeCell ref="X1227:AA1227"/>
    <mergeCell ref="AB1227:AE1227"/>
    <mergeCell ref="AF1227:AG1227"/>
    <mergeCell ref="AH1227:AI1227"/>
    <mergeCell ref="R1228:S1228"/>
    <mergeCell ref="T1228:U1228"/>
    <mergeCell ref="V1228:W1228"/>
    <mergeCell ref="X1228:AA1228"/>
    <mergeCell ref="AB1228:AE1228"/>
    <mergeCell ref="AF1228:AG1228"/>
    <mergeCell ref="AH1228:AI1228"/>
    <mergeCell ref="AX1228:AZ1228"/>
    <mergeCell ref="BA1228:BB1228"/>
    <mergeCell ref="BD1228:BE1228"/>
    <mergeCell ref="BF1228:BI1228"/>
    <mergeCell ref="BJ1228:BM1228"/>
    <mergeCell ref="BN1228:BV1228"/>
    <mergeCell ref="BD1224:BE1224"/>
    <mergeCell ref="BF1224:BI1224"/>
    <mergeCell ref="AN1224:AO1224"/>
    <mergeCell ref="AP1224:AQ1224"/>
    <mergeCell ref="AR1224:AS1224"/>
    <mergeCell ref="AT1224:AU1224"/>
    <mergeCell ref="AV1224:AW1224"/>
    <mergeCell ref="AX1224:AZ1224"/>
    <mergeCell ref="BA1224:BB1224"/>
    <mergeCell ref="BD1227:BE1227"/>
    <mergeCell ref="BF1227:BI1227"/>
    <mergeCell ref="AN1227:AO1227"/>
    <mergeCell ref="AP1227:AQ1227"/>
    <mergeCell ref="AR1227:AS1227"/>
    <mergeCell ref="AT1227:AU1227"/>
    <mergeCell ref="AV1227:AW1227"/>
    <mergeCell ref="AX1227:AZ1227"/>
    <mergeCell ref="BA1227:BB1227"/>
    <mergeCell ref="R1223:S1223"/>
    <mergeCell ref="T1223:U1223"/>
    <mergeCell ref="V1223:W1223"/>
    <mergeCell ref="X1223:AA1223"/>
    <mergeCell ref="B1228:C1228"/>
    <mergeCell ref="D1228:E1228"/>
    <mergeCell ref="F1228:G1228"/>
    <mergeCell ref="H1228:I1228"/>
    <mergeCell ref="J1228:K1228"/>
    <mergeCell ref="L1228:M1228"/>
    <mergeCell ref="P1228:Q1228"/>
    <mergeCell ref="B1229:C1229"/>
    <mergeCell ref="D1229:E1229"/>
    <mergeCell ref="F1229:G1229"/>
    <mergeCell ref="H1229:I1229"/>
    <mergeCell ref="J1229:K1229"/>
    <mergeCell ref="L1229:M1229"/>
    <mergeCell ref="P1229:Q1229"/>
    <mergeCell ref="AJ1228:AK1228"/>
    <mergeCell ref="AL1228:AM1228"/>
    <mergeCell ref="AN1228:AO1228"/>
    <mergeCell ref="AP1228:AQ1228"/>
    <mergeCell ref="AR1228:AS1228"/>
    <mergeCell ref="AT1228:AU1228"/>
    <mergeCell ref="AV1228:AW1228"/>
    <mergeCell ref="BD1231:BE1231"/>
    <mergeCell ref="BF1231:BI1231"/>
    <mergeCell ref="AN1231:AO1231"/>
    <mergeCell ref="AP1231:AQ1231"/>
    <mergeCell ref="AR1231:AS1231"/>
    <mergeCell ref="AT1231:AU1231"/>
    <mergeCell ref="AV1231:AW1231"/>
    <mergeCell ref="AX1231:AZ1231"/>
    <mergeCell ref="BA1231:BB1231"/>
    <mergeCell ref="AJ1229:AK1229"/>
    <mergeCell ref="AL1229:AM1229"/>
    <mergeCell ref="R1229:S1229"/>
    <mergeCell ref="T1229:U1229"/>
    <mergeCell ref="V1229:W1229"/>
    <mergeCell ref="X1229:AA1229"/>
    <mergeCell ref="AB1229:AE1229"/>
    <mergeCell ref="AF1229:AG1229"/>
    <mergeCell ref="AH1229:AI1229"/>
    <mergeCell ref="R1230:S1230"/>
    <mergeCell ref="T1230:U1230"/>
    <mergeCell ref="V1230:W1230"/>
    <mergeCell ref="X1230:AA1230"/>
    <mergeCell ref="AB1230:AE1230"/>
    <mergeCell ref="AF1230:AG1230"/>
    <mergeCell ref="AH1230:AI1230"/>
    <mergeCell ref="AX1230:AZ1230"/>
    <mergeCell ref="BA1230:BB1230"/>
    <mergeCell ref="BD1230:BE1230"/>
    <mergeCell ref="BF1230:BI1230"/>
    <mergeCell ref="B1230:C1230"/>
    <mergeCell ref="D1230:E1230"/>
    <mergeCell ref="F1230:G1230"/>
    <mergeCell ref="H1230:I1230"/>
    <mergeCell ref="J1230:K1230"/>
    <mergeCell ref="L1230:M1230"/>
    <mergeCell ref="P1230:Q1230"/>
    <mergeCell ref="B1231:C1231"/>
    <mergeCell ref="AV1230:AW1230"/>
    <mergeCell ref="AF1223:AG1223"/>
    <mergeCell ref="AH1223:AI1223"/>
    <mergeCell ref="AX1223:AZ1223"/>
    <mergeCell ref="BA1223:BB1223"/>
    <mergeCell ref="BD1223:BE1223"/>
    <mergeCell ref="BF1223:BI1223"/>
    <mergeCell ref="BJ1223:BM1223"/>
    <mergeCell ref="BN1223:BV1223"/>
    <mergeCell ref="B1223:C1223"/>
    <mergeCell ref="D1223:E1223"/>
    <mergeCell ref="F1223:G1223"/>
    <mergeCell ref="H1223:I1223"/>
    <mergeCell ref="J1223:K1223"/>
    <mergeCell ref="L1223:M1223"/>
    <mergeCell ref="P1223:Q1223"/>
    <mergeCell ref="AJ1223:AK1223"/>
    <mergeCell ref="AL1223:AM1223"/>
    <mergeCell ref="AN1223:AO1223"/>
    <mergeCell ref="AP1223:AQ1223"/>
    <mergeCell ref="AR1223:AS1223"/>
    <mergeCell ref="AT1223:AU1223"/>
    <mergeCell ref="AV1223:AW1223"/>
    <mergeCell ref="B1224:C1224"/>
    <mergeCell ref="D1224:E1224"/>
    <mergeCell ref="F1224:G1224"/>
    <mergeCell ref="H1224:I1224"/>
    <mergeCell ref="J1224:K1224"/>
    <mergeCell ref="L1224:M1224"/>
    <mergeCell ref="P1224:Q1224"/>
    <mergeCell ref="R1226:S1226"/>
    <mergeCell ref="T1226:U1226"/>
    <mergeCell ref="V1226:W1226"/>
    <mergeCell ref="X1226:AA1226"/>
    <mergeCell ref="AB1226:AE1226"/>
    <mergeCell ref="AF1226:AG1226"/>
    <mergeCell ref="AH1226:AI1226"/>
    <mergeCell ref="B1226:C1226"/>
    <mergeCell ref="D1226:E1226"/>
    <mergeCell ref="F1226:G1226"/>
    <mergeCell ref="H1226:I1226"/>
    <mergeCell ref="J1226:K1226"/>
    <mergeCell ref="L1226:M1226"/>
    <mergeCell ref="P1226:Q1226"/>
    <mergeCell ref="AB1223:AE1223"/>
    <mergeCell ref="R1225:S1225"/>
    <mergeCell ref="T1225:U1225"/>
    <mergeCell ref="V1225:W1225"/>
    <mergeCell ref="X1225:AA1225"/>
    <mergeCell ref="AB1225:AE1225"/>
    <mergeCell ref="AF1225:AG1225"/>
    <mergeCell ref="AH1225:AI1225"/>
    <mergeCell ref="AX1225:AZ1225"/>
    <mergeCell ref="BA1225:BB1225"/>
    <mergeCell ref="BD1225:BE1225"/>
    <mergeCell ref="BF1225:BI1225"/>
    <mergeCell ref="BJ1225:BM1225"/>
    <mergeCell ref="BN1225:BV1225"/>
    <mergeCell ref="AJ1225:AK1225"/>
    <mergeCell ref="AL1225:AM1225"/>
    <mergeCell ref="AN1225:AO1225"/>
    <mergeCell ref="AP1225:AQ1225"/>
    <mergeCell ref="AR1225:AS1225"/>
    <mergeCell ref="AT1225:AU1225"/>
    <mergeCell ref="AV1225:AW1225"/>
    <mergeCell ref="B1225:C1225"/>
    <mergeCell ref="AX1237:AZ1237"/>
    <mergeCell ref="BA1237:BB1237"/>
    <mergeCell ref="BD1237:BE1237"/>
    <mergeCell ref="BF1237:BI1237"/>
    <mergeCell ref="BJ1237:BM1237"/>
    <mergeCell ref="BN1237:BV1237"/>
    <mergeCell ref="D1225:E1225"/>
    <mergeCell ref="F1225:G1225"/>
    <mergeCell ref="H1225:I1225"/>
    <mergeCell ref="J1225:K1225"/>
    <mergeCell ref="L1225:M1225"/>
    <mergeCell ref="P1225:Q1225"/>
    <mergeCell ref="AX1226:AZ1226"/>
    <mergeCell ref="BA1226:BB1226"/>
    <mergeCell ref="BD1226:BE1226"/>
    <mergeCell ref="BF1226:BI1226"/>
    <mergeCell ref="BJ1226:BM1226"/>
    <mergeCell ref="BN1226:BV1226"/>
    <mergeCell ref="BJ1227:BM1227"/>
    <mergeCell ref="BN1227:BV1227"/>
    <mergeCell ref="B1227:C1227"/>
    <mergeCell ref="D1227:E1227"/>
    <mergeCell ref="F1227:G1227"/>
    <mergeCell ref="H1227:I1227"/>
    <mergeCell ref="J1227:K1227"/>
    <mergeCell ref="L1227:M1227"/>
    <mergeCell ref="P1227:Q1227"/>
    <mergeCell ref="AJ1226:AK1226"/>
    <mergeCell ref="AL1226:AM1226"/>
    <mergeCell ref="AN1226:AO1226"/>
    <mergeCell ref="AP1226:AQ1226"/>
    <mergeCell ref="AR1226:AS1226"/>
    <mergeCell ref="AT1226:AU1226"/>
    <mergeCell ref="AV1226:AW1226"/>
    <mergeCell ref="BD1229:BE1229"/>
    <mergeCell ref="BF1229:BI1229"/>
    <mergeCell ref="AN1229:AO1229"/>
    <mergeCell ref="AP1229:AQ1229"/>
    <mergeCell ref="AR1229:AS1229"/>
    <mergeCell ref="AT1229:AU1229"/>
    <mergeCell ref="AV1229:AW1229"/>
    <mergeCell ref="AX1229:AZ1229"/>
    <mergeCell ref="BA1229:BB1229"/>
    <mergeCell ref="BD1233:BE1233"/>
    <mergeCell ref="BF1233:BI1233"/>
    <mergeCell ref="AN1233:AO1233"/>
    <mergeCell ref="AP1233:AQ1233"/>
    <mergeCell ref="AR1233:AS1233"/>
    <mergeCell ref="AT1233:AU1233"/>
    <mergeCell ref="AV1233:AW1233"/>
    <mergeCell ref="AX1233:AZ1233"/>
    <mergeCell ref="BA1233:BB1233"/>
    <mergeCell ref="AJ1231:AK1231"/>
    <mergeCell ref="AL1231:AM1231"/>
    <mergeCell ref="R1231:S1231"/>
    <mergeCell ref="T1231:U1231"/>
    <mergeCell ref="V1231:W1231"/>
    <mergeCell ref="X1231:AA1231"/>
    <mergeCell ref="AB1231:AE1231"/>
    <mergeCell ref="AF1231:AG1231"/>
    <mergeCell ref="AH1231:AI1231"/>
    <mergeCell ref="R1232:S1232"/>
    <mergeCell ref="T1232:U1232"/>
    <mergeCell ref="V1232:W1232"/>
    <mergeCell ref="BN1239:BV1239"/>
    <mergeCell ref="BJ1240:BM1240"/>
    <mergeCell ref="BN1240:BV1240"/>
    <mergeCell ref="BJ1232:BM1232"/>
    <mergeCell ref="BN1232:BV1232"/>
    <mergeCell ref="BJ1234:BM1234"/>
    <mergeCell ref="BN1234:BV1234"/>
    <mergeCell ref="BJ1235:BM1235"/>
    <mergeCell ref="BN1235:BV1235"/>
    <mergeCell ref="BJ1236:BM1236"/>
    <mergeCell ref="BN1236:BV1236"/>
    <mergeCell ref="BJ1229:BM1229"/>
    <mergeCell ref="BN1229:BV1229"/>
    <mergeCell ref="BJ1230:BM1230"/>
    <mergeCell ref="BN1230:BV1230"/>
    <mergeCell ref="BJ1231:BM1231"/>
    <mergeCell ref="BN1231:BV1231"/>
    <mergeCell ref="BJ1238:BM1238"/>
    <mergeCell ref="BN1238:BV1238"/>
    <mergeCell ref="B1237:C1237"/>
    <mergeCell ref="D1237:E1237"/>
    <mergeCell ref="F1237:G1237"/>
    <mergeCell ref="H1237:I1237"/>
    <mergeCell ref="J1237:K1237"/>
    <mergeCell ref="L1237:M1237"/>
    <mergeCell ref="P1237:Q1237"/>
    <mergeCell ref="B1238:C1238"/>
    <mergeCell ref="D1238:E1238"/>
    <mergeCell ref="F1238:G1238"/>
    <mergeCell ref="H1238:I1238"/>
    <mergeCell ref="J1238:K1238"/>
    <mergeCell ref="L1238:M1238"/>
    <mergeCell ref="P1238:Q1238"/>
    <mergeCell ref="AJ1237:AK1237"/>
    <mergeCell ref="AL1237:AM1237"/>
    <mergeCell ref="AN1237:AO1237"/>
    <mergeCell ref="AP1237:AQ1237"/>
    <mergeCell ref="AR1237:AS1237"/>
    <mergeCell ref="AT1237:AU1237"/>
    <mergeCell ref="AV1237:AW1237"/>
    <mergeCell ref="AP1234:AQ1234"/>
    <mergeCell ref="AR1234:AS1234"/>
    <mergeCell ref="AT1234:AU1234"/>
    <mergeCell ref="AV1234:AW1234"/>
    <mergeCell ref="B1234:C1234"/>
    <mergeCell ref="D1234:E1234"/>
    <mergeCell ref="F1234:G1234"/>
    <mergeCell ref="H1234:I1234"/>
    <mergeCell ref="J1234:K1234"/>
    <mergeCell ref="L1234:M1234"/>
    <mergeCell ref="P1234:Q1234"/>
    <mergeCell ref="AJ1233:AK1233"/>
    <mergeCell ref="AL1233:AM1233"/>
    <mergeCell ref="BJ1233:BM1233"/>
    <mergeCell ref="BN1233:BV1233"/>
    <mergeCell ref="R1233:S1233"/>
    <mergeCell ref="T1233:U1233"/>
    <mergeCell ref="V1233:W1233"/>
    <mergeCell ref="X1233:AA1233"/>
    <mergeCell ref="AB1233:AE1233"/>
    <mergeCell ref="AF1233:AG1233"/>
    <mergeCell ref="AH1233:AI1233"/>
    <mergeCell ref="AJ1236:AK1236"/>
    <mergeCell ref="AL1236:AM1236"/>
    <mergeCell ref="AB1232:AE1232"/>
    <mergeCell ref="AF1232:AG1232"/>
    <mergeCell ref="AH1232:AI1232"/>
    <mergeCell ref="AX1232:AZ1232"/>
    <mergeCell ref="BA1232:BB1232"/>
    <mergeCell ref="BD1232:BE1232"/>
    <mergeCell ref="BF1232:BI1232"/>
    <mergeCell ref="BD1236:BE1236"/>
    <mergeCell ref="BF1236:BI1236"/>
    <mergeCell ref="AN1236:AO1236"/>
    <mergeCell ref="AP1236:AQ1236"/>
    <mergeCell ref="AR1236:AS1236"/>
    <mergeCell ref="AT1236:AU1236"/>
    <mergeCell ref="AV1236:AW1236"/>
    <mergeCell ref="AX1236:AZ1236"/>
    <mergeCell ref="BA1236:BB1236"/>
    <mergeCell ref="AX1234:AZ1234"/>
    <mergeCell ref="BA1234:BB1234"/>
    <mergeCell ref="BD1234:BE1234"/>
    <mergeCell ref="BF1234:BI1234"/>
    <mergeCell ref="AX1235:AZ1235"/>
    <mergeCell ref="BA1235:BB1235"/>
    <mergeCell ref="BD1235:BE1235"/>
    <mergeCell ref="BF1235:BI1235"/>
    <mergeCell ref="R1234:S1234"/>
    <mergeCell ref="T1234:U1234"/>
    <mergeCell ref="V1234:W1234"/>
    <mergeCell ref="X1234:AA1234"/>
    <mergeCell ref="AB1234:AE1234"/>
    <mergeCell ref="AF1234:AG1234"/>
    <mergeCell ref="AH1234:AI1234"/>
    <mergeCell ref="AJ1234:AK1234"/>
    <mergeCell ref="AL1234:AM1234"/>
    <mergeCell ref="AN1234:AO1234"/>
    <mergeCell ref="R1236:S1236"/>
    <mergeCell ref="T1236:U1236"/>
    <mergeCell ref="V1236:W1236"/>
    <mergeCell ref="X1236:AA1236"/>
    <mergeCell ref="AB1236:AE1236"/>
    <mergeCell ref="AF1236:AG1236"/>
    <mergeCell ref="AH1236:AI1236"/>
    <mergeCell ref="BD1238:BE1238"/>
    <mergeCell ref="BF1238:BI1238"/>
    <mergeCell ref="AN1238:AO1238"/>
    <mergeCell ref="AP1238:AQ1238"/>
    <mergeCell ref="AR1238:AS1238"/>
    <mergeCell ref="AT1238:AU1238"/>
    <mergeCell ref="AV1238:AW1238"/>
    <mergeCell ref="AX1238:AZ1238"/>
    <mergeCell ref="BA1238:BB1238"/>
    <mergeCell ref="AJ1242:AK1242"/>
    <mergeCell ref="AL1242:AM1242"/>
    <mergeCell ref="BJ1242:BM1242"/>
    <mergeCell ref="BN1242:BV1242"/>
    <mergeCell ref="R1242:S1242"/>
    <mergeCell ref="T1242:U1242"/>
    <mergeCell ref="V1242:W1242"/>
    <mergeCell ref="X1242:AA1242"/>
    <mergeCell ref="AB1242:AE1242"/>
    <mergeCell ref="AF1242:AG1242"/>
    <mergeCell ref="AH1242:AI1242"/>
    <mergeCell ref="BJ1241:BM1241"/>
    <mergeCell ref="BN1241:BV1241"/>
    <mergeCell ref="AX1241:AZ1241"/>
    <mergeCell ref="BA1241:BB1241"/>
    <mergeCell ref="BD1241:BE1241"/>
    <mergeCell ref="BF1241:BI1241"/>
    <mergeCell ref="B1239:C1239"/>
    <mergeCell ref="D1239:E1239"/>
    <mergeCell ref="F1239:G1239"/>
    <mergeCell ref="H1239:I1239"/>
    <mergeCell ref="J1239:K1239"/>
    <mergeCell ref="L1239:M1239"/>
    <mergeCell ref="P1239:Q1239"/>
    <mergeCell ref="B1240:C1240"/>
    <mergeCell ref="BD1240:BE1240"/>
    <mergeCell ref="BF1240:BI1240"/>
    <mergeCell ref="AN1240:AO1240"/>
    <mergeCell ref="AP1240:AQ1240"/>
    <mergeCell ref="AR1240:AS1240"/>
    <mergeCell ref="AT1240:AU1240"/>
    <mergeCell ref="AV1240:AW1240"/>
    <mergeCell ref="AX1240:AZ1240"/>
    <mergeCell ref="BA1240:BB1240"/>
    <mergeCell ref="AJ1238:AK1238"/>
    <mergeCell ref="AL1238:AM1238"/>
    <mergeCell ref="R1238:S1238"/>
    <mergeCell ref="T1238:U1238"/>
    <mergeCell ref="V1238:W1238"/>
    <mergeCell ref="X1238:AA1238"/>
    <mergeCell ref="AB1238:AE1238"/>
    <mergeCell ref="AF1238:AG1238"/>
    <mergeCell ref="AH1238:AI1238"/>
    <mergeCell ref="R1239:S1239"/>
    <mergeCell ref="T1239:U1239"/>
    <mergeCell ref="V1239:W1239"/>
    <mergeCell ref="X1239:AA1239"/>
    <mergeCell ref="AB1239:AE1239"/>
    <mergeCell ref="AF1239:AG1239"/>
    <mergeCell ref="AH1239:AI1239"/>
    <mergeCell ref="AX1239:AZ1239"/>
    <mergeCell ref="BA1239:BB1239"/>
    <mergeCell ref="BD1239:BE1239"/>
    <mergeCell ref="BF1239:BI1239"/>
    <mergeCell ref="BJ1239:BM1239"/>
    <mergeCell ref="B1242:C1242"/>
    <mergeCell ref="D1242:E1242"/>
    <mergeCell ref="F1242:G1242"/>
    <mergeCell ref="H1242:I1242"/>
    <mergeCell ref="J1242:K1242"/>
    <mergeCell ref="L1242:M1242"/>
    <mergeCell ref="P1242:Q1242"/>
    <mergeCell ref="B1232:C1232"/>
    <mergeCell ref="D1232:E1232"/>
    <mergeCell ref="F1232:G1232"/>
    <mergeCell ref="H1232:I1232"/>
    <mergeCell ref="J1232:K1232"/>
    <mergeCell ref="L1232:M1232"/>
    <mergeCell ref="P1232:Q1232"/>
    <mergeCell ref="AJ1232:AK1232"/>
    <mergeCell ref="AL1232:AM1232"/>
    <mergeCell ref="AN1232:AO1232"/>
    <mergeCell ref="AP1232:AQ1232"/>
    <mergeCell ref="AR1232:AS1232"/>
    <mergeCell ref="AT1232:AU1232"/>
    <mergeCell ref="AV1232:AW1232"/>
    <mergeCell ref="B1233:C1233"/>
    <mergeCell ref="D1233:E1233"/>
    <mergeCell ref="F1233:G1233"/>
    <mergeCell ref="H1233:I1233"/>
    <mergeCell ref="J1233:K1233"/>
    <mergeCell ref="L1233:M1233"/>
    <mergeCell ref="P1233:Q1233"/>
    <mergeCell ref="R1235:S1235"/>
    <mergeCell ref="T1235:U1235"/>
    <mergeCell ref="V1235:W1235"/>
    <mergeCell ref="X1235:AA1235"/>
    <mergeCell ref="AB1235:AE1235"/>
    <mergeCell ref="AF1235:AG1235"/>
    <mergeCell ref="AH1235:AI1235"/>
    <mergeCell ref="B1235:C1235"/>
    <mergeCell ref="D1235:E1235"/>
    <mergeCell ref="F1235:G1235"/>
    <mergeCell ref="H1235:I1235"/>
    <mergeCell ref="J1235:K1235"/>
    <mergeCell ref="L1235:M1235"/>
    <mergeCell ref="P1235:Q1235"/>
    <mergeCell ref="AV1241:AW1241"/>
    <mergeCell ref="D1240:E1240"/>
    <mergeCell ref="F1240:G1240"/>
    <mergeCell ref="H1240:I1240"/>
    <mergeCell ref="J1240:K1240"/>
    <mergeCell ref="L1240:M1240"/>
    <mergeCell ref="P1240:Q1240"/>
    <mergeCell ref="AJ1239:AK1239"/>
    <mergeCell ref="AL1239:AM1239"/>
    <mergeCell ref="AN1239:AO1239"/>
    <mergeCell ref="AP1239:AQ1239"/>
    <mergeCell ref="AR1239:AS1239"/>
    <mergeCell ref="AT1239:AU1239"/>
    <mergeCell ref="AV1239:AW1239"/>
    <mergeCell ref="R1237:S1237"/>
    <mergeCell ref="T1237:U1237"/>
    <mergeCell ref="V1237:W1237"/>
    <mergeCell ref="X1237:AA1237"/>
    <mergeCell ref="AB1237:AE1237"/>
    <mergeCell ref="AF1237:AG1237"/>
    <mergeCell ref="AH1237:AI1237"/>
    <mergeCell ref="X1232:AA1232"/>
    <mergeCell ref="B1246:C1246"/>
    <mergeCell ref="D1246:E1246"/>
    <mergeCell ref="F1246:G1246"/>
    <mergeCell ref="H1246:I1246"/>
    <mergeCell ref="J1246:K1246"/>
    <mergeCell ref="L1246:M1246"/>
    <mergeCell ref="P1246:Q1246"/>
    <mergeCell ref="B1247:C1247"/>
    <mergeCell ref="D1247:E1247"/>
    <mergeCell ref="F1247:G1247"/>
    <mergeCell ref="H1247:I1247"/>
    <mergeCell ref="J1247:K1247"/>
    <mergeCell ref="L1247:M1247"/>
    <mergeCell ref="P1247:Q1247"/>
    <mergeCell ref="AJ1246:AK1246"/>
    <mergeCell ref="AL1246:AM1246"/>
    <mergeCell ref="AN1246:AO1246"/>
    <mergeCell ref="AP1246:AQ1246"/>
    <mergeCell ref="AR1246:AS1246"/>
    <mergeCell ref="AT1246:AU1246"/>
    <mergeCell ref="AV1246:AW1246"/>
    <mergeCell ref="B1236:C1236"/>
    <mergeCell ref="D1236:E1236"/>
    <mergeCell ref="F1236:G1236"/>
    <mergeCell ref="H1236:I1236"/>
    <mergeCell ref="J1236:K1236"/>
    <mergeCell ref="L1236:M1236"/>
    <mergeCell ref="P1236:Q1236"/>
    <mergeCell ref="AJ1235:AK1235"/>
    <mergeCell ref="AL1235:AM1235"/>
    <mergeCell ref="AN1235:AO1235"/>
    <mergeCell ref="AP1235:AQ1235"/>
    <mergeCell ref="AR1235:AS1235"/>
    <mergeCell ref="AT1235:AU1235"/>
    <mergeCell ref="AV1235:AW1235"/>
    <mergeCell ref="AJ1240:AK1240"/>
    <mergeCell ref="AL1240:AM1240"/>
    <mergeCell ref="R1240:S1240"/>
    <mergeCell ref="T1240:U1240"/>
    <mergeCell ref="V1240:W1240"/>
    <mergeCell ref="X1240:AA1240"/>
    <mergeCell ref="AB1240:AE1240"/>
    <mergeCell ref="AF1240:AG1240"/>
    <mergeCell ref="AH1240:AI1240"/>
    <mergeCell ref="R1241:S1241"/>
    <mergeCell ref="T1241:U1241"/>
    <mergeCell ref="V1241:W1241"/>
    <mergeCell ref="X1241:AA1241"/>
    <mergeCell ref="AB1241:AE1241"/>
    <mergeCell ref="AF1241:AG1241"/>
    <mergeCell ref="AH1241:AI1241"/>
    <mergeCell ref="B1241:C1241"/>
    <mergeCell ref="D1241:E1241"/>
    <mergeCell ref="F1241:G1241"/>
    <mergeCell ref="H1241:I1241"/>
    <mergeCell ref="J1241:K1241"/>
    <mergeCell ref="L1241:M1241"/>
    <mergeCell ref="P1241:Q1241"/>
    <mergeCell ref="AJ1241:AK1241"/>
    <mergeCell ref="AL1241:AM1241"/>
    <mergeCell ref="AN1241:AO1241"/>
    <mergeCell ref="AP1241:AQ1241"/>
    <mergeCell ref="AR1241:AS1241"/>
    <mergeCell ref="AT1241:AU1241"/>
    <mergeCell ref="BA1248:BB1248"/>
    <mergeCell ref="BD1248:BE1248"/>
    <mergeCell ref="BF1248:BI1248"/>
    <mergeCell ref="BJ1248:BM1248"/>
    <mergeCell ref="BN1248:BV1248"/>
    <mergeCell ref="BJ1249:BM1249"/>
    <mergeCell ref="BN1249:BV1249"/>
    <mergeCell ref="BD1247:BE1247"/>
    <mergeCell ref="BF1247:BI1247"/>
    <mergeCell ref="AN1247:AO1247"/>
    <mergeCell ref="AP1247:AQ1247"/>
    <mergeCell ref="AR1247:AS1247"/>
    <mergeCell ref="AT1247:AU1247"/>
    <mergeCell ref="AV1247:AW1247"/>
    <mergeCell ref="AX1247:AZ1247"/>
    <mergeCell ref="BA1247:BB1247"/>
    <mergeCell ref="AJ1245:AK1245"/>
    <mergeCell ref="AL1245:AM1245"/>
    <mergeCell ref="R1245:S1245"/>
    <mergeCell ref="T1245:U1245"/>
    <mergeCell ref="V1245:W1245"/>
    <mergeCell ref="X1245:AA1245"/>
    <mergeCell ref="AB1245:AE1245"/>
    <mergeCell ref="AF1245:AG1245"/>
    <mergeCell ref="AH1245:AI1245"/>
    <mergeCell ref="R1246:S1246"/>
    <mergeCell ref="T1246:U1246"/>
    <mergeCell ref="V1246:W1246"/>
    <mergeCell ref="X1246:AA1246"/>
    <mergeCell ref="AB1246:AE1246"/>
    <mergeCell ref="AF1246:AG1246"/>
    <mergeCell ref="AH1246:AI1246"/>
    <mergeCell ref="AX1246:AZ1246"/>
    <mergeCell ref="BA1246:BB1246"/>
    <mergeCell ref="BD1246:BE1246"/>
    <mergeCell ref="BF1246:BI1246"/>
    <mergeCell ref="BJ1246:BM1246"/>
    <mergeCell ref="BN1246:BV1246"/>
    <mergeCell ref="BJ1247:BM1247"/>
    <mergeCell ref="BN1247:BV1247"/>
    <mergeCell ref="X1243:AA1243"/>
    <mergeCell ref="AB1243:AE1243"/>
    <mergeCell ref="AF1243:AG1243"/>
    <mergeCell ref="AH1243:AI1243"/>
    <mergeCell ref="AX1243:AZ1243"/>
    <mergeCell ref="BA1243:BB1243"/>
    <mergeCell ref="BD1243:BE1243"/>
    <mergeCell ref="BF1243:BI1243"/>
    <mergeCell ref="B1248:C1248"/>
    <mergeCell ref="D1248:E1248"/>
    <mergeCell ref="F1248:G1248"/>
    <mergeCell ref="H1248:I1248"/>
    <mergeCell ref="J1248:K1248"/>
    <mergeCell ref="L1248:M1248"/>
    <mergeCell ref="P1248:Q1248"/>
    <mergeCell ref="B1249:C1249"/>
    <mergeCell ref="D1249:E1249"/>
    <mergeCell ref="F1249:G1249"/>
    <mergeCell ref="H1249:I1249"/>
    <mergeCell ref="J1249:K1249"/>
    <mergeCell ref="L1249:M1249"/>
    <mergeCell ref="P1249:Q1249"/>
    <mergeCell ref="AJ1248:AK1248"/>
    <mergeCell ref="AL1248:AM1248"/>
    <mergeCell ref="AN1248:AO1248"/>
    <mergeCell ref="AP1248:AQ1248"/>
    <mergeCell ref="AR1248:AS1248"/>
    <mergeCell ref="AT1248:AU1248"/>
    <mergeCell ref="AV1248:AW1248"/>
    <mergeCell ref="BD1242:BE1242"/>
    <mergeCell ref="BF1242:BI1242"/>
    <mergeCell ref="AN1242:AO1242"/>
    <mergeCell ref="AP1242:AQ1242"/>
    <mergeCell ref="AR1242:AS1242"/>
    <mergeCell ref="AT1242:AU1242"/>
    <mergeCell ref="AV1242:AW1242"/>
    <mergeCell ref="AX1242:AZ1242"/>
    <mergeCell ref="BA1242:BB1242"/>
    <mergeCell ref="BD1249:BE1249"/>
    <mergeCell ref="BF1249:BI1249"/>
    <mergeCell ref="AN1249:AO1249"/>
    <mergeCell ref="AP1249:AQ1249"/>
    <mergeCell ref="AR1249:AS1249"/>
    <mergeCell ref="AT1249:AU1249"/>
    <mergeCell ref="AV1249:AW1249"/>
    <mergeCell ref="AX1249:AZ1249"/>
    <mergeCell ref="BA1249:BB1249"/>
    <mergeCell ref="AJ1247:AK1247"/>
    <mergeCell ref="AL1247:AM1247"/>
    <mergeCell ref="R1247:S1247"/>
    <mergeCell ref="T1247:U1247"/>
    <mergeCell ref="V1247:W1247"/>
    <mergeCell ref="X1247:AA1247"/>
    <mergeCell ref="AB1247:AE1247"/>
    <mergeCell ref="AF1247:AG1247"/>
    <mergeCell ref="AH1247:AI1247"/>
    <mergeCell ref="R1248:S1248"/>
    <mergeCell ref="T1248:U1248"/>
    <mergeCell ref="V1248:W1248"/>
    <mergeCell ref="X1248:AA1248"/>
    <mergeCell ref="AB1248:AE1248"/>
    <mergeCell ref="AF1248:AG1248"/>
    <mergeCell ref="AH1248:AI1248"/>
    <mergeCell ref="AX1248:AZ1248"/>
    <mergeCell ref="BJ1243:BM1243"/>
    <mergeCell ref="BN1243:BV1243"/>
    <mergeCell ref="AJ1243:AK1243"/>
    <mergeCell ref="AL1243:AM1243"/>
    <mergeCell ref="AN1243:AO1243"/>
    <mergeCell ref="AP1243:AQ1243"/>
    <mergeCell ref="AR1243:AS1243"/>
    <mergeCell ref="AT1243:AU1243"/>
    <mergeCell ref="AV1243:AW1243"/>
    <mergeCell ref="B1243:C1243"/>
    <mergeCell ref="D1243:E1243"/>
    <mergeCell ref="F1243:G1243"/>
    <mergeCell ref="H1243:I1243"/>
    <mergeCell ref="J1243:K1243"/>
    <mergeCell ref="L1243:M1243"/>
    <mergeCell ref="P1243:Q1243"/>
    <mergeCell ref="AX1244:AZ1244"/>
    <mergeCell ref="BA1244:BB1244"/>
    <mergeCell ref="BD1244:BE1244"/>
    <mergeCell ref="BF1244:BI1244"/>
    <mergeCell ref="BJ1244:BM1244"/>
    <mergeCell ref="BN1244:BV1244"/>
    <mergeCell ref="BJ1245:BM1245"/>
    <mergeCell ref="BN1245:BV1245"/>
    <mergeCell ref="B1245:C1245"/>
    <mergeCell ref="D1245:E1245"/>
    <mergeCell ref="F1245:G1245"/>
    <mergeCell ref="H1245:I1245"/>
    <mergeCell ref="J1245:K1245"/>
    <mergeCell ref="L1245:M1245"/>
    <mergeCell ref="P1245:Q1245"/>
    <mergeCell ref="AJ1244:AK1244"/>
    <mergeCell ref="AL1244:AM1244"/>
    <mergeCell ref="AN1244:AO1244"/>
    <mergeCell ref="AP1244:AQ1244"/>
    <mergeCell ref="AR1244:AS1244"/>
    <mergeCell ref="AT1244:AU1244"/>
    <mergeCell ref="AV1244:AW1244"/>
    <mergeCell ref="R1244:S1244"/>
    <mergeCell ref="T1244:U1244"/>
    <mergeCell ref="V1244:W1244"/>
    <mergeCell ref="X1244:AA1244"/>
    <mergeCell ref="AB1244:AE1244"/>
    <mergeCell ref="AF1244:AG1244"/>
    <mergeCell ref="AH1244:AI1244"/>
    <mergeCell ref="B1244:C1244"/>
    <mergeCell ref="D1244:E1244"/>
    <mergeCell ref="F1244:G1244"/>
    <mergeCell ref="H1244:I1244"/>
    <mergeCell ref="J1244:K1244"/>
    <mergeCell ref="L1244:M1244"/>
    <mergeCell ref="P1244:Q1244"/>
    <mergeCell ref="BD1245:BE1245"/>
    <mergeCell ref="BF1245:BI1245"/>
    <mergeCell ref="AN1245:AO1245"/>
    <mergeCell ref="AP1245:AQ1245"/>
    <mergeCell ref="AR1245:AS1245"/>
    <mergeCell ref="AT1245:AU1245"/>
    <mergeCell ref="AV1245:AW1245"/>
    <mergeCell ref="AX1245:AZ1245"/>
    <mergeCell ref="BA1245:BB1245"/>
    <mergeCell ref="R1243:S1243"/>
    <mergeCell ref="T1243:U1243"/>
    <mergeCell ref="V1243:W1243"/>
    <mergeCell ref="BJ1251:BM1251"/>
    <mergeCell ref="BN1251:BV1251"/>
    <mergeCell ref="R1251:S1251"/>
    <mergeCell ref="T1251:U1251"/>
    <mergeCell ref="V1251:W1251"/>
    <mergeCell ref="X1251:AA1251"/>
    <mergeCell ref="AB1251:AE1251"/>
    <mergeCell ref="AF1251:AG1251"/>
    <mergeCell ref="AH1251:AI1251"/>
    <mergeCell ref="AJ1254:AK1254"/>
    <mergeCell ref="AL1254:AM1254"/>
    <mergeCell ref="R1254:S1254"/>
    <mergeCell ref="T1254:U1254"/>
    <mergeCell ref="V1254:W1254"/>
    <mergeCell ref="X1254:AA1254"/>
    <mergeCell ref="AB1254:AE1254"/>
    <mergeCell ref="AF1254:AG1254"/>
    <mergeCell ref="AH1254:AI1254"/>
    <mergeCell ref="R1255:S1255"/>
    <mergeCell ref="T1255:U1255"/>
    <mergeCell ref="V1255:W1255"/>
    <mergeCell ref="X1255:AA1255"/>
    <mergeCell ref="AB1255:AE1255"/>
    <mergeCell ref="AF1255:AG1255"/>
    <mergeCell ref="AH1255:AI1255"/>
    <mergeCell ref="AX1255:AZ1255"/>
    <mergeCell ref="BA1255:BB1255"/>
    <mergeCell ref="BD1255:BE1255"/>
    <mergeCell ref="BF1255:BI1255"/>
    <mergeCell ref="BJ1255:BM1255"/>
    <mergeCell ref="BN1255:BV1255"/>
    <mergeCell ref="BJ1253:BM1253"/>
    <mergeCell ref="BN1253:BV1253"/>
    <mergeCell ref="BJ1254:BM1254"/>
    <mergeCell ref="BN1254:BV1254"/>
    <mergeCell ref="BJ1256:BM1256"/>
    <mergeCell ref="BN1256:BV1256"/>
    <mergeCell ref="B1255:C1255"/>
    <mergeCell ref="D1255:E1255"/>
    <mergeCell ref="F1255:G1255"/>
    <mergeCell ref="H1255:I1255"/>
    <mergeCell ref="J1255:K1255"/>
    <mergeCell ref="L1255:M1255"/>
    <mergeCell ref="P1255:Q1255"/>
    <mergeCell ref="B1256:C1256"/>
    <mergeCell ref="D1256:E1256"/>
    <mergeCell ref="F1256:G1256"/>
    <mergeCell ref="H1256:I1256"/>
    <mergeCell ref="J1256:K1256"/>
    <mergeCell ref="L1256:M1256"/>
    <mergeCell ref="P1256:Q1256"/>
    <mergeCell ref="AJ1255:AK1255"/>
    <mergeCell ref="AL1255:AM1255"/>
    <mergeCell ref="AN1255:AO1255"/>
    <mergeCell ref="AP1255:AQ1255"/>
    <mergeCell ref="AR1255:AS1255"/>
    <mergeCell ref="AT1255:AU1255"/>
    <mergeCell ref="AV1255:AW1255"/>
    <mergeCell ref="BD1258:BE1258"/>
    <mergeCell ref="BF1258:BI1258"/>
    <mergeCell ref="AN1258:AO1258"/>
    <mergeCell ref="AP1258:AQ1258"/>
    <mergeCell ref="AR1258:AS1258"/>
    <mergeCell ref="AT1258:AU1258"/>
    <mergeCell ref="AV1258:AW1258"/>
    <mergeCell ref="AX1258:AZ1258"/>
    <mergeCell ref="BA1258:BB1258"/>
    <mergeCell ref="AJ1256:AK1256"/>
    <mergeCell ref="AL1256:AM1256"/>
    <mergeCell ref="R1256:S1256"/>
    <mergeCell ref="T1256:U1256"/>
    <mergeCell ref="V1256:W1256"/>
    <mergeCell ref="X1256:AA1256"/>
    <mergeCell ref="AB1256:AE1256"/>
    <mergeCell ref="AF1256:AG1256"/>
    <mergeCell ref="AH1256:AI1256"/>
    <mergeCell ref="R1257:S1257"/>
    <mergeCell ref="T1257:U1257"/>
    <mergeCell ref="V1257:W1257"/>
    <mergeCell ref="X1257:AA1257"/>
    <mergeCell ref="AB1257:AE1257"/>
    <mergeCell ref="AF1257:AG1257"/>
    <mergeCell ref="AH1257:AI1257"/>
    <mergeCell ref="AX1257:AZ1257"/>
    <mergeCell ref="BA1257:BB1257"/>
    <mergeCell ref="BD1257:BE1257"/>
    <mergeCell ref="BF1257:BI1257"/>
    <mergeCell ref="BJ1257:BM1257"/>
    <mergeCell ref="BN1257:BV1257"/>
    <mergeCell ref="BJ1258:BM1258"/>
    <mergeCell ref="BN1258:BV1258"/>
    <mergeCell ref="B1257:C1257"/>
    <mergeCell ref="D1257:E1257"/>
    <mergeCell ref="F1257:G1257"/>
    <mergeCell ref="H1257:I1257"/>
    <mergeCell ref="J1257:K1257"/>
    <mergeCell ref="L1257:M1257"/>
    <mergeCell ref="P1257:Q1257"/>
    <mergeCell ref="B1258:C1258"/>
    <mergeCell ref="D1258:E1258"/>
    <mergeCell ref="F1258:G1258"/>
    <mergeCell ref="H1258:I1258"/>
    <mergeCell ref="J1258:K1258"/>
    <mergeCell ref="L1258:M1258"/>
    <mergeCell ref="P1258:Q1258"/>
    <mergeCell ref="AJ1257:AK1257"/>
    <mergeCell ref="AL1257:AM1257"/>
    <mergeCell ref="AN1257:AO1257"/>
    <mergeCell ref="AP1257:AQ1257"/>
    <mergeCell ref="AR1257:AS1257"/>
    <mergeCell ref="AT1257:AU1257"/>
    <mergeCell ref="AV1257:AW1257"/>
    <mergeCell ref="BD1251:BE1251"/>
    <mergeCell ref="BF1251:BI1251"/>
    <mergeCell ref="AN1251:AO1251"/>
    <mergeCell ref="AP1251:AQ1251"/>
    <mergeCell ref="AR1251:AS1251"/>
    <mergeCell ref="AT1251:AU1251"/>
    <mergeCell ref="AV1251:AW1251"/>
    <mergeCell ref="AX1251:AZ1251"/>
    <mergeCell ref="BA1251:BB1251"/>
    <mergeCell ref="AJ1249:AK1249"/>
    <mergeCell ref="AL1249:AM1249"/>
    <mergeCell ref="R1249:S1249"/>
    <mergeCell ref="T1249:U1249"/>
    <mergeCell ref="V1249:W1249"/>
    <mergeCell ref="X1249:AA1249"/>
    <mergeCell ref="AB1249:AE1249"/>
    <mergeCell ref="AF1249:AG1249"/>
    <mergeCell ref="AH1249:AI1249"/>
    <mergeCell ref="R1250:S1250"/>
    <mergeCell ref="T1250:U1250"/>
    <mergeCell ref="V1250:W1250"/>
    <mergeCell ref="X1250:AA1250"/>
    <mergeCell ref="AB1250:AE1250"/>
    <mergeCell ref="AF1250:AG1250"/>
    <mergeCell ref="AH1250:AI1250"/>
    <mergeCell ref="AX1250:AZ1250"/>
    <mergeCell ref="BA1250:BB1250"/>
    <mergeCell ref="BD1250:BE1250"/>
    <mergeCell ref="BF1250:BI1250"/>
    <mergeCell ref="BD1254:BE1254"/>
    <mergeCell ref="BF1254:BI1254"/>
    <mergeCell ref="AN1254:AO1254"/>
    <mergeCell ref="AP1254:AQ1254"/>
    <mergeCell ref="AR1254:AS1254"/>
    <mergeCell ref="AT1254:AU1254"/>
    <mergeCell ref="AV1254:AW1254"/>
    <mergeCell ref="AX1254:AZ1254"/>
    <mergeCell ref="BA1254:BB1254"/>
    <mergeCell ref="AX1253:AZ1253"/>
    <mergeCell ref="BA1253:BB1253"/>
    <mergeCell ref="BD1253:BE1253"/>
    <mergeCell ref="BF1253:BI1253"/>
    <mergeCell ref="AJ1251:AK1251"/>
    <mergeCell ref="AL1251:AM1251"/>
    <mergeCell ref="BJ1250:BM1250"/>
    <mergeCell ref="BN1250:BV1250"/>
    <mergeCell ref="B1250:C1250"/>
    <mergeCell ref="D1250:E1250"/>
    <mergeCell ref="F1250:G1250"/>
    <mergeCell ref="H1250:I1250"/>
    <mergeCell ref="J1250:K1250"/>
    <mergeCell ref="L1250:M1250"/>
    <mergeCell ref="P1250:Q1250"/>
    <mergeCell ref="AJ1250:AK1250"/>
    <mergeCell ref="AL1250:AM1250"/>
    <mergeCell ref="AN1250:AO1250"/>
    <mergeCell ref="AP1250:AQ1250"/>
    <mergeCell ref="AR1250:AS1250"/>
    <mergeCell ref="AT1250:AU1250"/>
    <mergeCell ref="AV1250:AW1250"/>
    <mergeCell ref="B1251:C1251"/>
    <mergeCell ref="D1251:E1251"/>
    <mergeCell ref="F1251:G1251"/>
    <mergeCell ref="H1251:I1251"/>
    <mergeCell ref="J1251:K1251"/>
    <mergeCell ref="L1251:M1251"/>
    <mergeCell ref="P1251:Q1251"/>
    <mergeCell ref="R1253:S1253"/>
    <mergeCell ref="T1253:U1253"/>
    <mergeCell ref="V1253:W1253"/>
    <mergeCell ref="X1253:AA1253"/>
    <mergeCell ref="AB1253:AE1253"/>
    <mergeCell ref="AF1253:AG1253"/>
    <mergeCell ref="AH1253:AI1253"/>
    <mergeCell ref="B1253:C1253"/>
    <mergeCell ref="D1253:E1253"/>
    <mergeCell ref="F1253:G1253"/>
    <mergeCell ref="H1253:I1253"/>
    <mergeCell ref="J1253:K1253"/>
    <mergeCell ref="L1253:M1253"/>
    <mergeCell ref="P1253:Q1253"/>
    <mergeCell ref="R1252:S1252"/>
    <mergeCell ref="T1252:U1252"/>
    <mergeCell ref="V1252:W1252"/>
    <mergeCell ref="X1252:AA1252"/>
    <mergeCell ref="AB1252:AE1252"/>
    <mergeCell ref="AF1252:AG1252"/>
    <mergeCell ref="AH1252:AI1252"/>
    <mergeCell ref="AX1252:AZ1252"/>
    <mergeCell ref="BA1252:BB1252"/>
    <mergeCell ref="BD1252:BE1252"/>
    <mergeCell ref="BF1252:BI1252"/>
    <mergeCell ref="BJ1252:BM1252"/>
    <mergeCell ref="BN1252:BV1252"/>
    <mergeCell ref="AJ1252:AK1252"/>
    <mergeCell ref="AL1252:AM1252"/>
    <mergeCell ref="AN1252:AO1252"/>
    <mergeCell ref="AP1252:AQ1252"/>
    <mergeCell ref="AR1252:AS1252"/>
    <mergeCell ref="AT1252:AU1252"/>
    <mergeCell ref="AV1252:AW1252"/>
    <mergeCell ref="B1252:C1252"/>
    <mergeCell ref="D1252:E1252"/>
    <mergeCell ref="F1252:G1252"/>
    <mergeCell ref="H1252:I1252"/>
    <mergeCell ref="J1252:K1252"/>
    <mergeCell ref="L1252:M1252"/>
    <mergeCell ref="P1252:Q1252"/>
    <mergeCell ref="B1254:C1254"/>
    <mergeCell ref="D1254:E1254"/>
    <mergeCell ref="F1254:G1254"/>
    <mergeCell ref="H1254:I1254"/>
    <mergeCell ref="J1254:K1254"/>
    <mergeCell ref="L1254:M1254"/>
    <mergeCell ref="P1254:Q1254"/>
    <mergeCell ref="AJ1253:AK1253"/>
    <mergeCell ref="AL1253:AM1253"/>
    <mergeCell ref="AN1253:AO1253"/>
    <mergeCell ref="AP1253:AQ1253"/>
    <mergeCell ref="AR1253:AS1253"/>
    <mergeCell ref="AT1253:AU1253"/>
    <mergeCell ref="AV1253:AW1253"/>
    <mergeCell ref="BD1256:BE1256"/>
    <mergeCell ref="BF1256:BI1256"/>
    <mergeCell ref="AN1256:AO1256"/>
    <mergeCell ref="AP1256:AQ1256"/>
    <mergeCell ref="AR1256:AS1256"/>
    <mergeCell ref="AT1256:AU1256"/>
    <mergeCell ref="AV1256:AW1256"/>
    <mergeCell ref="AX1256:AZ1256"/>
    <mergeCell ref="BA1256:BB1256"/>
    <mergeCell ref="AJ1260:AK1260"/>
    <mergeCell ref="AL1260:AM1260"/>
    <mergeCell ref="BJ1260:BM1260"/>
    <mergeCell ref="BN1260:BV1260"/>
    <mergeCell ref="R1260:S1260"/>
    <mergeCell ref="T1260:U1260"/>
    <mergeCell ref="V1260:W1260"/>
    <mergeCell ref="X1260:AA1260"/>
    <mergeCell ref="AB1260:AE1260"/>
    <mergeCell ref="AF1260:AG1260"/>
    <mergeCell ref="AH1260:AI1260"/>
    <mergeCell ref="BD1260:BE1260"/>
    <mergeCell ref="BF1260:BI1260"/>
    <mergeCell ref="AN1260:AO1260"/>
    <mergeCell ref="AP1260:AQ1260"/>
    <mergeCell ref="AR1260:AS1260"/>
    <mergeCell ref="AT1260:AU1260"/>
    <mergeCell ref="AV1260:AW1260"/>
    <mergeCell ref="AX1260:AZ1260"/>
    <mergeCell ref="BA1260:BB1260"/>
    <mergeCell ref="AJ1258:AK1258"/>
    <mergeCell ref="AL1258:AM1258"/>
    <mergeCell ref="R1258:S1258"/>
    <mergeCell ref="T1258:U1258"/>
    <mergeCell ref="V1258:W1258"/>
    <mergeCell ref="X1258:AA1258"/>
    <mergeCell ref="AB1258:AE1258"/>
    <mergeCell ref="AF1258:AG1258"/>
    <mergeCell ref="AH1258:AI1258"/>
    <mergeCell ref="R1259:S1259"/>
    <mergeCell ref="T1259:U1259"/>
    <mergeCell ref="V1259:W1259"/>
    <mergeCell ref="X1259:AA1259"/>
    <mergeCell ref="AB1259:AE1259"/>
    <mergeCell ref="AF1259:AG1259"/>
    <mergeCell ref="AH1259:AI1259"/>
    <mergeCell ref="AX1259:AZ1259"/>
    <mergeCell ref="BA1259:BB1259"/>
    <mergeCell ref="BD1259:BE1259"/>
    <mergeCell ref="BF1259:BI1259"/>
    <mergeCell ref="BJ1259:BM1259"/>
    <mergeCell ref="AJ1263:AK1263"/>
    <mergeCell ref="AL1263:AM1263"/>
    <mergeCell ref="R1263:S1263"/>
    <mergeCell ref="T1263:U1263"/>
    <mergeCell ref="V1263:W1263"/>
    <mergeCell ref="X1263:AA1263"/>
    <mergeCell ref="AB1263:AE1263"/>
    <mergeCell ref="AF1263:AG1263"/>
    <mergeCell ref="AH1263:AI1263"/>
    <mergeCell ref="R1264:S1264"/>
    <mergeCell ref="T1264:U1264"/>
    <mergeCell ref="V1264:W1264"/>
    <mergeCell ref="X1264:AA1264"/>
    <mergeCell ref="AB1264:AE1264"/>
    <mergeCell ref="AF1264:AG1264"/>
    <mergeCell ref="AH1264:AI1264"/>
    <mergeCell ref="AX1264:AZ1264"/>
    <mergeCell ref="BA1264:BB1264"/>
    <mergeCell ref="BD1264:BE1264"/>
    <mergeCell ref="BF1264:BI1264"/>
    <mergeCell ref="BJ1264:BM1264"/>
    <mergeCell ref="BN1264:BV1264"/>
    <mergeCell ref="BJ1265:BM1265"/>
    <mergeCell ref="BN1265:BV1265"/>
    <mergeCell ref="B1264:C1264"/>
    <mergeCell ref="D1264:E1264"/>
    <mergeCell ref="F1264:G1264"/>
    <mergeCell ref="H1264:I1264"/>
    <mergeCell ref="J1264:K1264"/>
    <mergeCell ref="L1264:M1264"/>
    <mergeCell ref="P1264:Q1264"/>
    <mergeCell ref="B1265:C1265"/>
    <mergeCell ref="D1265:E1265"/>
    <mergeCell ref="F1265:G1265"/>
    <mergeCell ref="H1265:I1265"/>
    <mergeCell ref="J1265:K1265"/>
    <mergeCell ref="L1265:M1265"/>
    <mergeCell ref="P1265:Q1265"/>
    <mergeCell ref="AJ1264:AK1264"/>
    <mergeCell ref="AL1264:AM1264"/>
    <mergeCell ref="AN1264:AO1264"/>
    <mergeCell ref="AP1264:AQ1264"/>
    <mergeCell ref="AR1264:AS1264"/>
    <mergeCell ref="AT1264:AU1264"/>
    <mergeCell ref="AV1264:AW1264"/>
    <mergeCell ref="AJ1265:AK1265"/>
    <mergeCell ref="AL1265:AM1265"/>
    <mergeCell ref="R1265:S1265"/>
    <mergeCell ref="T1265:U1265"/>
    <mergeCell ref="V1265:W1265"/>
    <mergeCell ref="X1265:AA1265"/>
    <mergeCell ref="AB1265:AE1265"/>
    <mergeCell ref="AF1265:AG1265"/>
    <mergeCell ref="AH1265:AI1265"/>
    <mergeCell ref="BD1263:BE1263"/>
    <mergeCell ref="BF1263:BI1263"/>
    <mergeCell ref="AN1263:AO1263"/>
    <mergeCell ref="AP1263:AQ1263"/>
    <mergeCell ref="AR1263:AS1263"/>
    <mergeCell ref="AT1263:AU1263"/>
    <mergeCell ref="AV1263:AW1263"/>
    <mergeCell ref="AX1263:AZ1263"/>
    <mergeCell ref="BA1263:BB1263"/>
    <mergeCell ref="V1266:W1266"/>
    <mergeCell ref="X1266:AA1266"/>
    <mergeCell ref="AB1266:AE1266"/>
    <mergeCell ref="AF1266:AG1266"/>
    <mergeCell ref="AH1266:AI1266"/>
    <mergeCell ref="AX1266:AZ1266"/>
    <mergeCell ref="BA1266:BB1266"/>
    <mergeCell ref="BD1266:BE1266"/>
    <mergeCell ref="BF1266:BI1266"/>
    <mergeCell ref="BJ1266:BM1266"/>
    <mergeCell ref="BN1266:BV1266"/>
    <mergeCell ref="BJ1267:BM1267"/>
    <mergeCell ref="BN1267:BV1267"/>
    <mergeCell ref="B1266:C1266"/>
    <mergeCell ref="D1266:E1266"/>
    <mergeCell ref="F1266:G1266"/>
    <mergeCell ref="H1266:I1266"/>
    <mergeCell ref="J1266:K1266"/>
    <mergeCell ref="L1266:M1266"/>
    <mergeCell ref="P1266:Q1266"/>
    <mergeCell ref="B1267:C1267"/>
    <mergeCell ref="D1267:E1267"/>
    <mergeCell ref="F1267:G1267"/>
    <mergeCell ref="H1267:I1267"/>
    <mergeCell ref="J1267:K1267"/>
    <mergeCell ref="L1267:M1267"/>
    <mergeCell ref="P1267:Q1267"/>
    <mergeCell ref="AJ1266:AK1266"/>
    <mergeCell ref="AL1266:AM1266"/>
    <mergeCell ref="AN1266:AO1266"/>
    <mergeCell ref="AP1266:AQ1266"/>
    <mergeCell ref="AR1266:AS1266"/>
    <mergeCell ref="AT1266:AU1266"/>
    <mergeCell ref="AV1266:AW1266"/>
    <mergeCell ref="BD1267:BE1267"/>
    <mergeCell ref="BF1267:BI1267"/>
    <mergeCell ref="AN1267:AO1267"/>
    <mergeCell ref="AP1267:AQ1267"/>
    <mergeCell ref="AR1267:AS1267"/>
    <mergeCell ref="AT1267:AU1267"/>
    <mergeCell ref="AV1267:AW1267"/>
    <mergeCell ref="AX1267:AZ1267"/>
    <mergeCell ref="BA1267:BB1267"/>
    <mergeCell ref="BN1259:BV1259"/>
    <mergeCell ref="B1259:C1259"/>
    <mergeCell ref="D1259:E1259"/>
    <mergeCell ref="F1259:G1259"/>
    <mergeCell ref="H1259:I1259"/>
    <mergeCell ref="J1259:K1259"/>
    <mergeCell ref="L1259:M1259"/>
    <mergeCell ref="P1259:Q1259"/>
    <mergeCell ref="AJ1259:AK1259"/>
    <mergeCell ref="AL1259:AM1259"/>
    <mergeCell ref="AN1259:AO1259"/>
    <mergeCell ref="AP1259:AQ1259"/>
    <mergeCell ref="AR1259:AS1259"/>
    <mergeCell ref="AT1259:AU1259"/>
    <mergeCell ref="AV1259:AW1259"/>
    <mergeCell ref="B1260:C1260"/>
    <mergeCell ref="D1260:E1260"/>
    <mergeCell ref="F1260:G1260"/>
    <mergeCell ref="H1260:I1260"/>
    <mergeCell ref="J1260:K1260"/>
    <mergeCell ref="L1260:M1260"/>
    <mergeCell ref="P1260:Q1260"/>
    <mergeCell ref="R1262:S1262"/>
    <mergeCell ref="T1262:U1262"/>
    <mergeCell ref="V1262:W1262"/>
    <mergeCell ref="X1262:AA1262"/>
    <mergeCell ref="AB1262:AE1262"/>
    <mergeCell ref="AF1262:AG1262"/>
    <mergeCell ref="AH1262:AI1262"/>
    <mergeCell ref="B1262:C1262"/>
    <mergeCell ref="D1262:E1262"/>
    <mergeCell ref="F1262:G1262"/>
    <mergeCell ref="H1262:I1262"/>
    <mergeCell ref="J1262:K1262"/>
    <mergeCell ref="L1262:M1262"/>
    <mergeCell ref="P1262:Q1262"/>
    <mergeCell ref="R1261:S1261"/>
    <mergeCell ref="T1261:U1261"/>
    <mergeCell ref="V1261:W1261"/>
    <mergeCell ref="X1261:AA1261"/>
    <mergeCell ref="AB1261:AE1261"/>
    <mergeCell ref="AF1261:AG1261"/>
    <mergeCell ref="AH1261:AI1261"/>
    <mergeCell ref="AX1261:AZ1261"/>
    <mergeCell ref="BA1261:BB1261"/>
    <mergeCell ref="BD1261:BE1261"/>
    <mergeCell ref="BF1261:BI1261"/>
    <mergeCell ref="BJ1261:BM1261"/>
    <mergeCell ref="BN1261:BV1261"/>
    <mergeCell ref="AJ1261:AK1261"/>
    <mergeCell ref="AL1261:AM1261"/>
    <mergeCell ref="AN1261:AO1261"/>
    <mergeCell ref="AP1261:AQ1261"/>
    <mergeCell ref="AR1261:AS1261"/>
    <mergeCell ref="AT1261:AU1261"/>
    <mergeCell ref="AV1261:AW1261"/>
    <mergeCell ref="B1261:C1261"/>
    <mergeCell ref="D1261:E1261"/>
    <mergeCell ref="F1261:G1261"/>
    <mergeCell ref="H1261:I1261"/>
    <mergeCell ref="J1261:K1261"/>
    <mergeCell ref="L1261:M1261"/>
    <mergeCell ref="P1261:Q1261"/>
    <mergeCell ref="AX1262:AZ1262"/>
    <mergeCell ref="B1388:C1388"/>
    <mergeCell ref="D1388:E1388"/>
    <mergeCell ref="F1388:G1388"/>
    <mergeCell ref="H1388:I1388"/>
    <mergeCell ref="J1388:K1388"/>
    <mergeCell ref="L1388:M1388"/>
    <mergeCell ref="P1388:Q1388"/>
    <mergeCell ref="B1389:C1389"/>
    <mergeCell ref="D1389:E1389"/>
    <mergeCell ref="F1389:G1389"/>
    <mergeCell ref="H1389:I1389"/>
    <mergeCell ref="J1389:K1389"/>
    <mergeCell ref="L1389:M1389"/>
    <mergeCell ref="P1389:Q1389"/>
    <mergeCell ref="AJ1388:AK1388"/>
    <mergeCell ref="AL1388:AM1388"/>
    <mergeCell ref="AN1388:AO1388"/>
    <mergeCell ref="AP1388:AQ1388"/>
    <mergeCell ref="AR1388:AS1388"/>
    <mergeCell ref="AT1388:AU1388"/>
    <mergeCell ref="AV1388:AW1388"/>
    <mergeCell ref="BA1262:BB1262"/>
    <mergeCell ref="BD1262:BE1262"/>
    <mergeCell ref="BF1262:BI1262"/>
    <mergeCell ref="BJ1262:BM1262"/>
    <mergeCell ref="BN1262:BV1262"/>
    <mergeCell ref="BJ1263:BM1263"/>
    <mergeCell ref="BN1263:BV1263"/>
    <mergeCell ref="B1263:C1263"/>
    <mergeCell ref="D1263:E1263"/>
    <mergeCell ref="F1263:G1263"/>
    <mergeCell ref="H1263:I1263"/>
    <mergeCell ref="J1263:K1263"/>
    <mergeCell ref="L1263:M1263"/>
    <mergeCell ref="P1263:Q1263"/>
    <mergeCell ref="AJ1262:AK1262"/>
    <mergeCell ref="AL1262:AM1262"/>
    <mergeCell ref="AN1262:AO1262"/>
    <mergeCell ref="AP1262:AQ1262"/>
    <mergeCell ref="AR1262:AS1262"/>
    <mergeCell ref="AT1262:AU1262"/>
    <mergeCell ref="AV1262:AW1262"/>
    <mergeCell ref="BD1265:BE1265"/>
    <mergeCell ref="BF1265:BI1265"/>
    <mergeCell ref="AN1265:AO1265"/>
    <mergeCell ref="AP1265:AQ1265"/>
    <mergeCell ref="AR1265:AS1265"/>
    <mergeCell ref="AT1265:AU1265"/>
    <mergeCell ref="AV1265:AW1265"/>
    <mergeCell ref="AX1265:AZ1265"/>
    <mergeCell ref="BA1265:BB1265"/>
    <mergeCell ref="AJ1269:AK1269"/>
    <mergeCell ref="AL1269:AM1269"/>
    <mergeCell ref="BJ1269:BM1269"/>
    <mergeCell ref="BN1269:BV1269"/>
    <mergeCell ref="R1269:S1269"/>
    <mergeCell ref="T1269:U1269"/>
    <mergeCell ref="V1269:W1269"/>
    <mergeCell ref="X1269:AA1269"/>
    <mergeCell ref="AB1269:AE1269"/>
    <mergeCell ref="AF1269:AG1269"/>
    <mergeCell ref="AH1269:AI1269"/>
    <mergeCell ref="R1266:S1266"/>
    <mergeCell ref="T1266:U1266"/>
    <mergeCell ref="AJ1389:AK1389"/>
    <mergeCell ref="AL1389:AM1389"/>
    <mergeCell ref="R1389:S1389"/>
    <mergeCell ref="T1389:U1389"/>
    <mergeCell ref="V1389:W1389"/>
    <mergeCell ref="X1389:AA1389"/>
    <mergeCell ref="AB1389:AE1389"/>
    <mergeCell ref="AF1389:AG1389"/>
    <mergeCell ref="AH1389:AI1389"/>
    <mergeCell ref="R1390:S1390"/>
    <mergeCell ref="T1390:U1390"/>
    <mergeCell ref="V1390:W1390"/>
    <mergeCell ref="X1390:AA1390"/>
    <mergeCell ref="AB1390:AE1390"/>
    <mergeCell ref="AF1390:AG1390"/>
    <mergeCell ref="AH1390:AI1390"/>
    <mergeCell ref="AX1390:AZ1390"/>
    <mergeCell ref="BA1390:BB1390"/>
    <mergeCell ref="BD1390:BE1390"/>
    <mergeCell ref="BF1390:BI1390"/>
    <mergeCell ref="BJ1390:BM1390"/>
    <mergeCell ref="BN1390:BV1390"/>
    <mergeCell ref="BJ1391:BM1391"/>
    <mergeCell ref="BN1391:BV1391"/>
    <mergeCell ref="R1388:S1388"/>
    <mergeCell ref="T1388:U1388"/>
    <mergeCell ref="V1388:W1388"/>
    <mergeCell ref="X1388:AA1388"/>
    <mergeCell ref="AB1388:AE1388"/>
    <mergeCell ref="AF1388:AG1388"/>
    <mergeCell ref="AH1388:AI1388"/>
    <mergeCell ref="AX1388:AZ1388"/>
    <mergeCell ref="BA1388:BB1388"/>
    <mergeCell ref="BD1388:BE1388"/>
    <mergeCell ref="BF1388:BI1388"/>
    <mergeCell ref="BJ1388:BM1388"/>
    <mergeCell ref="BN1388:BV1388"/>
    <mergeCell ref="BJ1389:BM1389"/>
    <mergeCell ref="BN1389:BV1389"/>
    <mergeCell ref="BD1389:BE1389"/>
    <mergeCell ref="BF1389:BI1389"/>
    <mergeCell ref="AN1389:AO1389"/>
    <mergeCell ref="AP1389:AQ1389"/>
    <mergeCell ref="AR1389:AS1389"/>
    <mergeCell ref="AT1389:AU1389"/>
    <mergeCell ref="AV1389:AW1389"/>
    <mergeCell ref="AX1389:AZ1389"/>
    <mergeCell ref="BA1389:BB1389"/>
    <mergeCell ref="B1390:C1390"/>
    <mergeCell ref="D1390:E1390"/>
    <mergeCell ref="F1390:G1390"/>
    <mergeCell ref="H1390:I1390"/>
    <mergeCell ref="J1390:K1390"/>
    <mergeCell ref="L1390:M1390"/>
    <mergeCell ref="P1390:Q1390"/>
    <mergeCell ref="B1391:C1391"/>
    <mergeCell ref="D1391:E1391"/>
    <mergeCell ref="F1391:G1391"/>
    <mergeCell ref="H1391:I1391"/>
    <mergeCell ref="J1391:K1391"/>
    <mergeCell ref="L1391:M1391"/>
    <mergeCell ref="P1391:Q1391"/>
    <mergeCell ref="AJ1390:AK1390"/>
    <mergeCell ref="AL1390:AM1390"/>
    <mergeCell ref="AN1390:AO1390"/>
    <mergeCell ref="AP1390:AQ1390"/>
    <mergeCell ref="AR1390:AS1390"/>
    <mergeCell ref="AT1390:AU1390"/>
    <mergeCell ref="AV1390:AW1390"/>
    <mergeCell ref="BD1395:BE1395"/>
    <mergeCell ref="BF1395:BI1395"/>
    <mergeCell ref="AN1395:AO1395"/>
    <mergeCell ref="AP1395:AQ1395"/>
    <mergeCell ref="AR1395:AS1395"/>
    <mergeCell ref="AT1395:AU1395"/>
    <mergeCell ref="AV1395:AW1395"/>
    <mergeCell ref="AX1395:AZ1395"/>
    <mergeCell ref="BA1395:BB1395"/>
    <mergeCell ref="AJ1393:AK1393"/>
    <mergeCell ref="AL1393:AM1393"/>
    <mergeCell ref="R1393:S1393"/>
    <mergeCell ref="T1393:U1393"/>
    <mergeCell ref="V1393:W1393"/>
    <mergeCell ref="X1393:AA1393"/>
    <mergeCell ref="AB1393:AE1393"/>
    <mergeCell ref="AF1393:AG1393"/>
    <mergeCell ref="AH1393:AI1393"/>
    <mergeCell ref="R1394:S1394"/>
    <mergeCell ref="T1394:U1394"/>
    <mergeCell ref="V1394:W1394"/>
    <mergeCell ref="X1394:AA1394"/>
    <mergeCell ref="AB1394:AE1394"/>
    <mergeCell ref="AF1394:AG1394"/>
    <mergeCell ref="AH1394:AI1394"/>
    <mergeCell ref="AX1394:AZ1394"/>
    <mergeCell ref="BA1394:BB1394"/>
    <mergeCell ref="BD1394:BE1394"/>
    <mergeCell ref="BF1394:BI1394"/>
    <mergeCell ref="BD1391:BE1391"/>
    <mergeCell ref="BF1391:BI1391"/>
    <mergeCell ref="AN1391:AO1391"/>
    <mergeCell ref="AP1391:AQ1391"/>
    <mergeCell ref="AR1391:AS1391"/>
    <mergeCell ref="AT1391:AU1391"/>
    <mergeCell ref="AV1391:AW1391"/>
    <mergeCell ref="AX1391:AZ1391"/>
    <mergeCell ref="BA1391:BB1391"/>
    <mergeCell ref="BJ1394:BM1394"/>
    <mergeCell ref="BN1394:BV1394"/>
    <mergeCell ref="BJ1395:BM1395"/>
    <mergeCell ref="BN1395:BV1395"/>
    <mergeCell ref="B1394:C1394"/>
    <mergeCell ref="D1394:E1394"/>
    <mergeCell ref="F1394:G1394"/>
    <mergeCell ref="H1394:I1394"/>
    <mergeCell ref="J1394:K1394"/>
    <mergeCell ref="L1394:M1394"/>
    <mergeCell ref="P1394:Q1394"/>
    <mergeCell ref="B1395:C1395"/>
    <mergeCell ref="D1395:E1395"/>
    <mergeCell ref="F1395:G1395"/>
    <mergeCell ref="H1395:I1395"/>
    <mergeCell ref="J1395:K1395"/>
    <mergeCell ref="L1395:M1395"/>
    <mergeCell ref="P1395:Q1395"/>
    <mergeCell ref="AJ1394:AK1394"/>
    <mergeCell ref="AL1394:AM1394"/>
    <mergeCell ref="AN1394:AO1394"/>
    <mergeCell ref="AP1394:AQ1394"/>
    <mergeCell ref="AR1394:AS1394"/>
    <mergeCell ref="AT1394:AU1394"/>
    <mergeCell ref="AV1394:AW1394"/>
    <mergeCell ref="BD1397:BE1397"/>
    <mergeCell ref="BF1397:BI1397"/>
    <mergeCell ref="AN1397:AO1397"/>
    <mergeCell ref="AP1397:AQ1397"/>
    <mergeCell ref="AR1397:AS1397"/>
    <mergeCell ref="AT1397:AU1397"/>
    <mergeCell ref="AV1397:AW1397"/>
    <mergeCell ref="AX1397:AZ1397"/>
    <mergeCell ref="BA1397:BB1397"/>
    <mergeCell ref="AJ1395:AK1395"/>
    <mergeCell ref="AL1395:AM1395"/>
    <mergeCell ref="R1395:S1395"/>
    <mergeCell ref="T1395:U1395"/>
    <mergeCell ref="V1395:W1395"/>
    <mergeCell ref="X1395:AA1395"/>
    <mergeCell ref="AB1395:AE1395"/>
    <mergeCell ref="AF1395:AG1395"/>
    <mergeCell ref="AH1395:AI1395"/>
    <mergeCell ref="R1396:S1396"/>
    <mergeCell ref="T1396:U1396"/>
    <mergeCell ref="V1396:W1396"/>
    <mergeCell ref="X1396:AA1396"/>
    <mergeCell ref="AB1396:AE1396"/>
    <mergeCell ref="AF1396:AG1396"/>
    <mergeCell ref="AH1396:AI1396"/>
    <mergeCell ref="AX1396:AZ1396"/>
    <mergeCell ref="BA1396:BB1396"/>
    <mergeCell ref="BD1396:BE1396"/>
    <mergeCell ref="BF1396:BI1396"/>
    <mergeCell ref="BJ1396:BM1396"/>
    <mergeCell ref="BN1396:BV1396"/>
    <mergeCell ref="BJ1397:BM1397"/>
    <mergeCell ref="BN1397:BV1397"/>
    <mergeCell ref="B1396:C1396"/>
    <mergeCell ref="D1396:E1396"/>
    <mergeCell ref="F1396:G1396"/>
    <mergeCell ref="H1396:I1396"/>
    <mergeCell ref="J1396:K1396"/>
    <mergeCell ref="L1396:M1396"/>
    <mergeCell ref="P1396:Q1396"/>
    <mergeCell ref="B1397:C1397"/>
    <mergeCell ref="D1397:E1397"/>
    <mergeCell ref="F1397:G1397"/>
    <mergeCell ref="H1397:I1397"/>
    <mergeCell ref="J1397:K1397"/>
    <mergeCell ref="L1397:M1397"/>
    <mergeCell ref="P1397:Q1397"/>
    <mergeCell ref="AJ1396:AK1396"/>
    <mergeCell ref="AL1396:AM1396"/>
    <mergeCell ref="AN1396:AO1396"/>
    <mergeCell ref="AP1396:AQ1396"/>
    <mergeCell ref="AR1396:AS1396"/>
    <mergeCell ref="AT1396:AU1396"/>
    <mergeCell ref="AV1396:AW1396"/>
    <mergeCell ref="BD1399:BE1399"/>
    <mergeCell ref="BF1399:BI1399"/>
    <mergeCell ref="AN1399:AO1399"/>
    <mergeCell ref="AP1399:AQ1399"/>
    <mergeCell ref="AR1399:AS1399"/>
    <mergeCell ref="AT1399:AU1399"/>
    <mergeCell ref="AV1399:AW1399"/>
    <mergeCell ref="AX1399:AZ1399"/>
    <mergeCell ref="BA1399:BB1399"/>
    <mergeCell ref="AJ1397:AK1397"/>
    <mergeCell ref="AL1397:AM1397"/>
    <mergeCell ref="R1397:S1397"/>
    <mergeCell ref="T1397:U1397"/>
    <mergeCell ref="V1397:W1397"/>
    <mergeCell ref="X1397:AA1397"/>
    <mergeCell ref="AB1397:AE1397"/>
    <mergeCell ref="AF1397:AG1397"/>
    <mergeCell ref="AH1397:AI1397"/>
    <mergeCell ref="R1398:S1398"/>
    <mergeCell ref="T1398:U1398"/>
    <mergeCell ref="V1398:W1398"/>
    <mergeCell ref="X1398:AA1398"/>
    <mergeCell ref="AB1398:AE1398"/>
    <mergeCell ref="AF1398:AG1398"/>
    <mergeCell ref="AH1398:AI1398"/>
    <mergeCell ref="AX1398:AZ1398"/>
    <mergeCell ref="BA1398:BB1398"/>
    <mergeCell ref="BD1398:BE1398"/>
    <mergeCell ref="BF1398:BI1398"/>
    <mergeCell ref="BJ1398:BM1398"/>
    <mergeCell ref="BN1398:BV1398"/>
    <mergeCell ref="BJ1399:BM1399"/>
    <mergeCell ref="BN1399:BV1399"/>
    <mergeCell ref="B1398:C1398"/>
    <mergeCell ref="D1398:E1398"/>
    <mergeCell ref="F1398:G1398"/>
    <mergeCell ref="H1398:I1398"/>
    <mergeCell ref="J1398:K1398"/>
    <mergeCell ref="L1398:M1398"/>
    <mergeCell ref="P1398:Q1398"/>
    <mergeCell ref="B1399:C1399"/>
    <mergeCell ref="D1399:E1399"/>
    <mergeCell ref="F1399:G1399"/>
    <mergeCell ref="H1399:I1399"/>
    <mergeCell ref="J1399:K1399"/>
    <mergeCell ref="L1399:M1399"/>
    <mergeCell ref="P1399:Q1399"/>
    <mergeCell ref="AJ1398:AK1398"/>
    <mergeCell ref="AL1398:AM1398"/>
    <mergeCell ref="AN1398:AO1398"/>
    <mergeCell ref="AP1398:AQ1398"/>
    <mergeCell ref="AR1398:AS1398"/>
    <mergeCell ref="AT1398:AU1398"/>
    <mergeCell ref="AV1398:AW1398"/>
    <mergeCell ref="BD1401:BE1401"/>
    <mergeCell ref="BF1401:BI1401"/>
    <mergeCell ref="AN1401:AO1401"/>
    <mergeCell ref="AP1401:AQ1401"/>
    <mergeCell ref="AR1401:AS1401"/>
    <mergeCell ref="AT1401:AU1401"/>
    <mergeCell ref="AV1401:AW1401"/>
    <mergeCell ref="AX1401:AZ1401"/>
    <mergeCell ref="BA1401:BB1401"/>
    <mergeCell ref="AJ1399:AK1399"/>
    <mergeCell ref="AL1399:AM1399"/>
    <mergeCell ref="R1399:S1399"/>
    <mergeCell ref="T1399:U1399"/>
    <mergeCell ref="V1399:W1399"/>
    <mergeCell ref="X1399:AA1399"/>
    <mergeCell ref="AB1399:AE1399"/>
    <mergeCell ref="AF1399:AG1399"/>
    <mergeCell ref="AH1399:AI1399"/>
    <mergeCell ref="R1400:S1400"/>
    <mergeCell ref="T1400:U1400"/>
    <mergeCell ref="V1400:W1400"/>
    <mergeCell ref="X1400:AA1400"/>
    <mergeCell ref="AB1400:AE1400"/>
    <mergeCell ref="AF1400:AG1400"/>
    <mergeCell ref="AH1400:AI1400"/>
    <mergeCell ref="AX1400:AZ1400"/>
    <mergeCell ref="BA1400:BB1400"/>
    <mergeCell ref="BD1400:BE1400"/>
    <mergeCell ref="BF1400:BI1400"/>
    <mergeCell ref="BJ1400:BM1400"/>
    <mergeCell ref="BN1400:BV1400"/>
    <mergeCell ref="BJ1401:BM1401"/>
    <mergeCell ref="BN1401:BV1401"/>
    <mergeCell ref="B1400:C1400"/>
    <mergeCell ref="D1400:E1400"/>
    <mergeCell ref="F1400:G1400"/>
    <mergeCell ref="H1400:I1400"/>
    <mergeCell ref="J1400:K1400"/>
    <mergeCell ref="L1400:M1400"/>
    <mergeCell ref="P1400:Q1400"/>
    <mergeCell ref="B1401:C1401"/>
    <mergeCell ref="D1401:E1401"/>
    <mergeCell ref="F1401:G1401"/>
    <mergeCell ref="H1401:I1401"/>
    <mergeCell ref="J1401:K1401"/>
    <mergeCell ref="L1401:M1401"/>
    <mergeCell ref="P1401:Q1401"/>
    <mergeCell ref="AJ1400:AK1400"/>
    <mergeCell ref="AL1400:AM1400"/>
    <mergeCell ref="AN1400:AO1400"/>
    <mergeCell ref="AP1400:AQ1400"/>
    <mergeCell ref="AR1400:AS1400"/>
    <mergeCell ref="AT1400:AU1400"/>
    <mergeCell ref="AV1400:AW1400"/>
    <mergeCell ref="R1401:S1401"/>
    <mergeCell ref="T1401:U1401"/>
    <mergeCell ref="V1401:W1401"/>
    <mergeCell ref="X1401:AA1401"/>
    <mergeCell ref="AB1401:AE1401"/>
    <mergeCell ref="AF1401:AG1401"/>
    <mergeCell ref="AH1401:AI1401"/>
    <mergeCell ref="V1402:W1402"/>
    <mergeCell ref="X1402:AA1402"/>
    <mergeCell ref="AB1402:AE1402"/>
    <mergeCell ref="AF1402:AG1402"/>
    <mergeCell ref="AH1402:AI1402"/>
    <mergeCell ref="AJ1402:AK1402"/>
    <mergeCell ref="AL1402:AM1402"/>
    <mergeCell ref="BD1402:BE1402"/>
    <mergeCell ref="BF1402:BI1402"/>
    <mergeCell ref="BJ1402:BM1402"/>
    <mergeCell ref="BN1402:BV1402"/>
    <mergeCell ref="AN1402:AO1402"/>
    <mergeCell ref="AP1402:AQ1402"/>
    <mergeCell ref="AR1402:AS1402"/>
    <mergeCell ref="AT1402:AU1402"/>
    <mergeCell ref="AV1402:AW1402"/>
    <mergeCell ref="AX1402:AZ1402"/>
    <mergeCell ref="BA1402:BB1402"/>
    <mergeCell ref="B1402:C1402"/>
    <mergeCell ref="D1402:E1402"/>
    <mergeCell ref="F1402:G1402"/>
    <mergeCell ref="H1402:I1402"/>
    <mergeCell ref="P1402:Q1402"/>
    <mergeCell ref="R1402:S1402"/>
    <mergeCell ref="T1402:U1402"/>
    <mergeCell ref="AJ1401:AK1401"/>
    <mergeCell ref="AL1401:AM1401"/>
    <mergeCell ref="AN1403:AO1403"/>
    <mergeCell ref="AP1403:AQ1403"/>
    <mergeCell ref="AR1403:AS1403"/>
    <mergeCell ref="AT1403:AU1403"/>
    <mergeCell ref="AV1403:AW1403"/>
    <mergeCell ref="R1403:S1403"/>
    <mergeCell ref="T1403:U1403"/>
    <mergeCell ref="V1403:W1403"/>
    <mergeCell ref="X1403:AA1403"/>
    <mergeCell ref="AB1403:AE1403"/>
    <mergeCell ref="AF1403:AG1403"/>
    <mergeCell ref="AH1403:AI1403"/>
    <mergeCell ref="V1404:W1404"/>
    <mergeCell ref="X1404:AA1404"/>
    <mergeCell ref="AB1404:AE1404"/>
    <mergeCell ref="AF1404:AG1404"/>
    <mergeCell ref="AH1404:AI1404"/>
    <mergeCell ref="AJ1404:AK1404"/>
    <mergeCell ref="AL1404:AM1404"/>
    <mergeCell ref="BD1404:BE1404"/>
    <mergeCell ref="BF1404:BI1404"/>
    <mergeCell ref="BJ1404:BM1404"/>
    <mergeCell ref="BN1404:BV1404"/>
    <mergeCell ref="AN1404:AO1404"/>
    <mergeCell ref="AP1404:AQ1404"/>
    <mergeCell ref="AR1404:AS1404"/>
    <mergeCell ref="AT1404:AU1404"/>
    <mergeCell ref="AV1404:AW1404"/>
    <mergeCell ref="AX1404:AZ1404"/>
    <mergeCell ref="BA1404:BB1404"/>
    <mergeCell ref="B1404:C1404"/>
    <mergeCell ref="D1404:E1404"/>
    <mergeCell ref="F1404:G1404"/>
    <mergeCell ref="H1404:I1404"/>
    <mergeCell ref="P1404:Q1404"/>
    <mergeCell ref="R1404:S1404"/>
    <mergeCell ref="T1404:U1404"/>
    <mergeCell ref="AJ1403:AK1403"/>
    <mergeCell ref="AL1403:AM1403"/>
    <mergeCell ref="B1403:C1403"/>
    <mergeCell ref="D1403:E1403"/>
    <mergeCell ref="F1403:G1403"/>
    <mergeCell ref="H1403:I1403"/>
    <mergeCell ref="J1403:K1403"/>
    <mergeCell ref="L1403:M1403"/>
    <mergeCell ref="P1403:Q1403"/>
    <mergeCell ref="AX1403:AZ1403"/>
    <mergeCell ref="BA1403:BB1403"/>
    <mergeCell ref="BD1403:BE1403"/>
    <mergeCell ref="BF1403:BI1403"/>
    <mergeCell ref="BJ1403:BM1403"/>
    <mergeCell ref="BN1403:BV1403"/>
    <mergeCell ref="AN1405:AO1405"/>
    <mergeCell ref="AP1405:AQ1405"/>
    <mergeCell ref="AR1405:AS1405"/>
    <mergeCell ref="AT1405:AU1405"/>
    <mergeCell ref="AV1405:AW1405"/>
    <mergeCell ref="R1405:S1405"/>
    <mergeCell ref="T1405:U1405"/>
    <mergeCell ref="V1405:W1405"/>
    <mergeCell ref="X1405:AA1405"/>
    <mergeCell ref="AB1405:AE1405"/>
    <mergeCell ref="AF1405:AG1405"/>
    <mergeCell ref="AH1405:AI1405"/>
    <mergeCell ref="V1406:W1406"/>
    <mergeCell ref="X1406:AA1406"/>
    <mergeCell ref="AB1406:AE1406"/>
    <mergeCell ref="AF1406:AG1406"/>
    <mergeCell ref="AH1406:AI1406"/>
    <mergeCell ref="AJ1406:AK1406"/>
    <mergeCell ref="AL1406:AM1406"/>
    <mergeCell ref="BD1406:BE1406"/>
    <mergeCell ref="BF1406:BI1406"/>
    <mergeCell ref="BJ1406:BM1406"/>
    <mergeCell ref="BN1406:BV1406"/>
    <mergeCell ref="AN1406:AO1406"/>
    <mergeCell ref="AP1406:AQ1406"/>
    <mergeCell ref="AR1406:AS1406"/>
    <mergeCell ref="AT1406:AU1406"/>
    <mergeCell ref="AV1406:AW1406"/>
    <mergeCell ref="AX1406:AZ1406"/>
    <mergeCell ref="BA1406:BB1406"/>
    <mergeCell ref="AJ1407:AK1407"/>
    <mergeCell ref="AL1407:AM1407"/>
    <mergeCell ref="B1406:C1406"/>
    <mergeCell ref="D1406:E1406"/>
    <mergeCell ref="F1406:G1406"/>
    <mergeCell ref="H1406:I1406"/>
    <mergeCell ref="P1406:Q1406"/>
    <mergeCell ref="R1406:S1406"/>
    <mergeCell ref="T1406:U1406"/>
    <mergeCell ref="AJ1405:AK1405"/>
    <mergeCell ref="AL1405:AM1405"/>
    <mergeCell ref="B1405:C1405"/>
    <mergeCell ref="D1405:E1405"/>
    <mergeCell ref="F1405:G1405"/>
    <mergeCell ref="H1405:I1405"/>
    <mergeCell ref="J1405:K1405"/>
    <mergeCell ref="L1405:M1405"/>
    <mergeCell ref="P1405:Q1405"/>
    <mergeCell ref="AX1405:AZ1405"/>
    <mergeCell ref="BA1405:BB1405"/>
    <mergeCell ref="BD1405:BE1405"/>
    <mergeCell ref="BF1405:BI1405"/>
    <mergeCell ref="BJ1405:BM1405"/>
    <mergeCell ref="BN1405:BV1405"/>
    <mergeCell ref="B1407:C1407"/>
    <mergeCell ref="D1407:E1407"/>
    <mergeCell ref="F1407:G1407"/>
    <mergeCell ref="H1407:I1407"/>
    <mergeCell ref="J1407:K1407"/>
    <mergeCell ref="L1407:M1407"/>
    <mergeCell ref="P1407:Q1407"/>
    <mergeCell ref="AX1407:AZ1407"/>
    <mergeCell ref="BA1407:BB1407"/>
    <mergeCell ref="BD1407:BE1407"/>
    <mergeCell ref="B1408:C1408"/>
    <mergeCell ref="D1408:E1408"/>
    <mergeCell ref="F1408:G1408"/>
    <mergeCell ref="H1408:I1408"/>
    <mergeCell ref="P1408:Q1408"/>
    <mergeCell ref="R1408:S1408"/>
    <mergeCell ref="T1408:U1408"/>
    <mergeCell ref="BF1407:BI1407"/>
    <mergeCell ref="BJ1407:BM1407"/>
    <mergeCell ref="BN1407:BV1407"/>
    <mergeCell ref="AN1407:AO1407"/>
    <mergeCell ref="AP1407:AQ1407"/>
    <mergeCell ref="AR1407:AS1407"/>
    <mergeCell ref="AT1407:AU1407"/>
    <mergeCell ref="AV1407:AW1407"/>
    <mergeCell ref="R1407:S1407"/>
    <mergeCell ref="T1407:U1407"/>
    <mergeCell ref="V1407:W1407"/>
    <mergeCell ref="X1407:AA1407"/>
    <mergeCell ref="AB1407:AE1407"/>
    <mergeCell ref="AF1407:AG1407"/>
    <mergeCell ref="AH1407:AI1407"/>
    <mergeCell ref="V1408:W1408"/>
    <mergeCell ref="X1408:AA1408"/>
    <mergeCell ref="AB1408:AE1408"/>
    <mergeCell ref="AF1408:AG1408"/>
    <mergeCell ref="AH1408:AI1408"/>
    <mergeCell ref="AJ1408:AK1408"/>
    <mergeCell ref="AL1408:AM1408"/>
    <mergeCell ref="BD1408:BE1408"/>
    <mergeCell ref="BF1408:BI1408"/>
    <mergeCell ref="BJ1408:BM1408"/>
    <mergeCell ref="BN1408:BV1408"/>
    <mergeCell ref="AN1408:AO1408"/>
    <mergeCell ref="AP1408:AQ1408"/>
    <mergeCell ref="AR1408:AS1408"/>
    <mergeCell ref="AT1408:AU1408"/>
    <mergeCell ref="AV1408:AW1408"/>
    <mergeCell ref="AX1408:AZ1408"/>
    <mergeCell ref="BA1408:BB1408"/>
  </mergeCells>
  <conditionalFormatting sqref="A15:E15 B16:E114 B115:F207 B211:F312 B313:E406 B410:E606 B610:E806 B810:E1006 B1010:E1206 B1210:E1406 B1410:E1504 B1505:F1606 F208:F312 F1505:F1609 H15:I34 H1505:I1609 L15:AF16 L29:M207 L210:M211 L1505:AF1609 N17:N24 N615:N621 N624:N633 N676:AF676 N683:AF811 N812:N821 N824:N833 N876:AF876 N883:AF1011 N1012:N1021 N1024:N1033 N1076:AF1076 N1083:AF1211 N1212:N1221 N1224:N1233 N1276:AF1276 N1283:AF1411 N1412:N1421 N1424:N1433 N1476:AF1476 N1483:AF1504 O67 O130 O193 O256 O319 O382 O445 O508 O519:O524 O525:Q534 O535:U564 O565:AF611 P625:Q625 P633:Q633 P825:Q825 P833:Q833 P1025:Q1025 P1033:Q1033 P1225:Q1225 P1233:Q1233 P1425:Q1425 P1433:Q1433 R17:S18 V612:AF675 V677:AF682 V812:AF875 V877:AF882 V1012:AF1075 V1077:AF1082 V1212:AF1275 V1277:AF1282 V1412:AF1475 V1477:AF1482 X17:AE564 AJ15:AU16 AJ810:AU810 AJ1010:AU1010 AJ1210:AU1210 AJ1410:AU1410 AL17:AO112 AL113:AQ114 AL115:AO614 AL615:AU809 AL811:AU1009 AL1011:AU1209 AL1211:AU1409 AL1411:AU1609 AP213:AQ214 AP313:AQ314 AP413:AQ414 AP513:AQ514 AP613:AQ614 AR17:AS18 AV15:BV1609">
    <cfRule type="expression" dxfId="4910" priority="1">
      <formula>$BC15="YES"</formula>
    </cfRule>
  </conditionalFormatting>
  <conditionalFormatting sqref="B208:F210">
    <cfRule type="expression" dxfId="4909" priority="2">
      <formula>$BC208="YES"</formula>
    </cfRule>
  </conditionalFormatting>
  <conditionalFormatting sqref="P17:Q18">
    <cfRule type="expression" dxfId="4908" priority="3">
      <formula>$BC17="YES"</formula>
    </cfRule>
  </conditionalFormatting>
  <conditionalFormatting sqref="P19:Q20">
    <cfRule type="expression" dxfId="4907" priority="4">
      <formula>$BC19="YES"</formula>
    </cfRule>
  </conditionalFormatting>
  <conditionalFormatting sqref="P21:Q22">
    <cfRule type="expression" dxfId="4906" priority="5">
      <formula>$BC21="YES"</formula>
    </cfRule>
  </conditionalFormatting>
  <conditionalFormatting sqref="R31:S34">
    <cfRule type="expression" dxfId="4905" priority="6">
      <formula>$BC31="YES"</formula>
    </cfRule>
  </conditionalFormatting>
  <conditionalFormatting sqref="B407:E409">
    <cfRule type="expression" dxfId="4904" priority="7">
      <formula>$BC407="YES"</formula>
    </cfRule>
  </conditionalFormatting>
  <conditionalFormatting sqref="B607:E609">
    <cfRule type="expression" dxfId="4903" priority="8">
      <formula>$BC607="YES"</formula>
    </cfRule>
  </conditionalFormatting>
  <conditionalFormatting sqref="R612:S613">
    <cfRule type="expression" dxfId="4902" priority="9">
      <formula>$BC612="YES"</formula>
    </cfRule>
  </conditionalFormatting>
  <conditionalFormatting sqref="B807:E809">
    <cfRule type="expression" dxfId="4901" priority="10">
      <formula>$BC807="YES"</formula>
    </cfRule>
  </conditionalFormatting>
  <conditionalFormatting sqref="P612:Q613">
    <cfRule type="expression" dxfId="4900" priority="11">
      <formula>$BC612="YES"</formula>
    </cfRule>
  </conditionalFormatting>
  <conditionalFormatting sqref="P614:Q615">
    <cfRule type="expression" dxfId="4899" priority="12">
      <formula>$BC614="YES"</formula>
    </cfRule>
  </conditionalFormatting>
  <conditionalFormatting sqref="P616:Q617">
    <cfRule type="expression" dxfId="4898" priority="13">
      <formula>$BC616="YES"</formula>
    </cfRule>
  </conditionalFormatting>
  <conditionalFormatting sqref="O612:O613">
    <cfRule type="expression" dxfId="4897" priority="14">
      <formula>$BC612="YES"</formula>
    </cfRule>
  </conditionalFormatting>
  <conditionalFormatting sqref="O614:O615">
    <cfRule type="expression" dxfId="4896" priority="15">
      <formula>$BC614="YES"</formula>
    </cfRule>
  </conditionalFormatting>
  <conditionalFormatting sqref="O616:O617">
    <cfRule type="expression" dxfId="4895" priority="16">
      <formula>$BC616="YES"</formula>
    </cfRule>
  </conditionalFormatting>
  <conditionalFormatting sqref="O618:O619">
    <cfRule type="expression" dxfId="4894" priority="17">
      <formula>$BC618="YES"</formula>
    </cfRule>
  </conditionalFormatting>
  <conditionalFormatting sqref="O620:O621">
    <cfRule type="expression" dxfId="4893" priority="18">
      <formula>$BC620="YES"</formula>
    </cfRule>
  </conditionalFormatting>
  <conditionalFormatting sqref="N622:O623">
    <cfRule type="expression" dxfId="4892" priority="19">
      <formula>$BC622="YES"</formula>
    </cfRule>
  </conditionalFormatting>
  <conditionalFormatting sqref="O624:O625">
    <cfRule type="expression" dxfId="4891" priority="20">
      <formula>$BC624="YES"</formula>
    </cfRule>
  </conditionalFormatting>
  <conditionalFormatting sqref="O626:O627">
    <cfRule type="expression" dxfId="4890" priority="21">
      <formula>$BC626="YES"</formula>
    </cfRule>
  </conditionalFormatting>
  <conditionalFormatting sqref="O628:O629">
    <cfRule type="expression" dxfId="4889" priority="22">
      <formula>$BC628="YES"</formula>
    </cfRule>
  </conditionalFormatting>
  <conditionalFormatting sqref="O630:O631">
    <cfRule type="expression" dxfId="4888" priority="23">
      <formula>$BC630="YES"</formula>
    </cfRule>
  </conditionalFormatting>
  <conditionalFormatting sqref="O632:O633">
    <cfRule type="expression" dxfId="4887" priority="24">
      <formula>$BC632="YES"</formula>
    </cfRule>
  </conditionalFormatting>
  <conditionalFormatting sqref="P618:Q619">
    <cfRule type="expression" dxfId="4886" priority="25">
      <formula>$BC618="YES"</formula>
    </cfRule>
  </conditionalFormatting>
  <conditionalFormatting sqref="P620:Q621">
    <cfRule type="expression" dxfId="4885" priority="26">
      <formula>$BC620="YES"</formula>
    </cfRule>
  </conditionalFormatting>
  <conditionalFormatting sqref="P622:Q623">
    <cfRule type="expression" dxfId="4884" priority="27">
      <formula>$BC622="YES"</formula>
    </cfRule>
  </conditionalFormatting>
  <conditionalFormatting sqref="P624:Q624">
    <cfRule type="expression" dxfId="4883" priority="28">
      <formula>$BC624="YES"</formula>
    </cfRule>
  </conditionalFormatting>
  <conditionalFormatting sqref="P626:Q627">
    <cfRule type="expression" dxfId="4882" priority="29">
      <formula>$BC626="YES"</formula>
    </cfRule>
  </conditionalFormatting>
  <conditionalFormatting sqref="P628:Q629">
    <cfRule type="expression" dxfId="4881" priority="30">
      <formula>$BC628="YES"</formula>
    </cfRule>
  </conditionalFormatting>
  <conditionalFormatting sqref="P630:Q631">
    <cfRule type="expression" dxfId="4880" priority="31">
      <formula>$BC630="YES"</formula>
    </cfRule>
  </conditionalFormatting>
  <conditionalFormatting sqref="P632:Q632">
    <cfRule type="expression" dxfId="4879" priority="32">
      <formula>$BC632="YES"</formula>
    </cfRule>
  </conditionalFormatting>
  <conditionalFormatting sqref="R614:S617">
    <cfRule type="expression" dxfId="4878" priority="33">
      <formula>$BC614="YES"</formula>
    </cfRule>
  </conditionalFormatting>
  <conditionalFormatting sqref="R618:S621">
    <cfRule type="expression" dxfId="4877" priority="34">
      <formula>$BC618="YES"</formula>
    </cfRule>
  </conditionalFormatting>
  <conditionalFormatting sqref="R622:S625">
    <cfRule type="expression" dxfId="4876" priority="35">
      <formula>$BC622="YES"</formula>
    </cfRule>
  </conditionalFormatting>
  <conditionalFormatting sqref="R626:S629">
    <cfRule type="expression" dxfId="4875" priority="36">
      <formula>$BC626="YES"</formula>
    </cfRule>
  </conditionalFormatting>
  <conditionalFormatting sqref="R630:S633">
    <cfRule type="expression" dxfId="4874" priority="37">
      <formula>$BC630="YES"</formula>
    </cfRule>
  </conditionalFormatting>
  <conditionalFormatting sqref="T612:U613">
    <cfRule type="expression" dxfId="4873" priority="38">
      <formula>$BC612="YES"</formula>
    </cfRule>
  </conditionalFormatting>
  <conditionalFormatting sqref="T614:U615">
    <cfRule type="expression" dxfId="4872" priority="39">
      <formula>$BC614="YES"</formula>
    </cfRule>
  </conditionalFormatting>
  <conditionalFormatting sqref="T616:U617">
    <cfRule type="expression" dxfId="4871" priority="40">
      <formula>$BC616="YES"</formula>
    </cfRule>
  </conditionalFormatting>
  <conditionalFormatting sqref="T618:U619">
    <cfRule type="expression" dxfId="4870" priority="41">
      <formula>$BC618="YES"</formula>
    </cfRule>
  </conditionalFormatting>
  <conditionalFormatting sqref="T620:U621">
    <cfRule type="expression" dxfId="4869" priority="42">
      <formula>$BC620="YES"</formula>
    </cfRule>
  </conditionalFormatting>
  <conditionalFormatting sqref="T622:U623">
    <cfRule type="expression" dxfId="4868" priority="43">
      <formula>$BC622="YES"</formula>
    </cfRule>
  </conditionalFormatting>
  <conditionalFormatting sqref="T624:U625">
    <cfRule type="expression" dxfId="4867" priority="44">
      <formula>$BC624="YES"</formula>
    </cfRule>
  </conditionalFormatting>
  <conditionalFormatting sqref="T626:U627">
    <cfRule type="expression" dxfId="4866" priority="45">
      <formula>$BC626="YES"</formula>
    </cfRule>
  </conditionalFormatting>
  <conditionalFormatting sqref="T628:U629">
    <cfRule type="expression" dxfId="4865" priority="46">
      <formula>$BC628="YES"</formula>
    </cfRule>
  </conditionalFormatting>
  <conditionalFormatting sqref="T630:U631">
    <cfRule type="expression" dxfId="4864" priority="47">
      <formula>$BC630="YES"</formula>
    </cfRule>
  </conditionalFormatting>
  <conditionalFormatting sqref="T632:U633">
    <cfRule type="expression" dxfId="4863" priority="48">
      <formula>$BC632="YES"</formula>
    </cfRule>
  </conditionalFormatting>
  <conditionalFormatting sqref="P635:Q635">
    <cfRule type="expression" dxfId="4862" priority="49">
      <formula>$BC635="YES"</formula>
    </cfRule>
  </conditionalFormatting>
  <conditionalFormatting sqref="N634:N637">
    <cfRule type="expression" dxfId="4861" priority="50">
      <formula>$BC634="YES"</formula>
    </cfRule>
  </conditionalFormatting>
  <conditionalFormatting sqref="O634:O635">
    <cfRule type="expression" dxfId="4860" priority="51">
      <formula>$BC634="YES"</formula>
    </cfRule>
  </conditionalFormatting>
  <conditionalFormatting sqref="O636:O637">
    <cfRule type="expression" dxfId="4859" priority="52">
      <formula>$BC636="YES"</formula>
    </cfRule>
  </conditionalFormatting>
  <conditionalFormatting sqref="P634:Q634">
    <cfRule type="expression" dxfId="4858" priority="53">
      <formula>$BC634="YES"</formula>
    </cfRule>
  </conditionalFormatting>
  <conditionalFormatting sqref="P636:Q637">
    <cfRule type="expression" dxfId="4857" priority="54">
      <formula>$BC636="YES"</formula>
    </cfRule>
  </conditionalFormatting>
  <conditionalFormatting sqref="R634:S635">
    <cfRule type="expression" dxfId="4856" priority="55">
      <formula>$BC634="YES"</formula>
    </cfRule>
  </conditionalFormatting>
  <conditionalFormatting sqref="R636:S637">
    <cfRule type="expression" dxfId="4855" priority="56">
      <formula>$BC636="YES"</formula>
    </cfRule>
  </conditionalFormatting>
  <conditionalFormatting sqref="T634:U635">
    <cfRule type="expression" dxfId="4854" priority="57">
      <formula>$BC634="YES"</formula>
    </cfRule>
  </conditionalFormatting>
  <conditionalFormatting sqref="T636:U637">
    <cfRule type="expression" dxfId="4853" priority="58">
      <formula>$BC636="YES"</formula>
    </cfRule>
  </conditionalFormatting>
  <conditionalFormatting sqref="P639:Q639">
    <cfRule type="expression" dxfId="4852" priority="59">
      <formula>$BC639="YES"</formula>
    </cfRule>
  </conditionalFormatting>
  <conditionalFormatting sqref="N638:N641">
    <cfRule type="expression" dxfId="4851" priority="60">
      <formula>$BC638="YES"</formula>
    </cfRule>
  </conditionalFormatting>
  <conditionalFormatting sqref="O638:O639">
    <cfRule type="expression" dxfId="4850" priority="61">
      <formula>$BC638="YES"</formula>
    </cfRule>
  </conditionalFormatting>
  <conditionalFormatting sqref="O640:O641">
    <cfRule type="expression" dxfId="4849" priority="62">
      <formula>$BC640="YES"</formula>
    </cfRule>
  </conditionalFormatting>
  <conditionalFormatting sqref="P638:Q638">
    <cfRule type="expression" dxfId="4848" priority="63">
      <formula>$BC638="YES"</formula>
    </cfRule>
  </conditionalFormatting>
  <conditionalFormatting sqref="P640:Q641">
    <cfRule type="expression" dxfId="4847" priority="64">
      <formula>$BC640="YES"</formula>
    </cfRule>
  </conditionalFormatting>
  <conditionalFormatting sqref="R638:S639">
    <cfRule type="expression" dxfId="4846" priority="65">
      <formula>$BC638="YES"</formula>
    </cfRule>
  </conditionalFormatting>
  <conditionalFormatting sqref="R640:S641">
    <cfRule type="expression" dxfId="4845" priority="66">
      <formula>$BC640="YES"</formula>
    </cfRule>
  </conditionalFormatting>
  <conditionalFormatting sqref="T638:U639">
    <cfRule type="expression" dxfId="4844" priority="67">
      <formula>$BC638="YES"</formula>
    </cfRule>
  </conditionalFormatting>
  <conditionalFormatting sqref="T640:U641">
    <cfRule type="expression" dxfId="4843" priority="68">
      <formula>$BC640="YES"</formula>
    </cfRule>
  </conditionalFormatting>
  <conditionalFormatting sqref="P643:Q643">
    <cfRule type="expression" dxfId="4842" priority="69">
      <formula>$BC643="YES"</formula>
    </cfRule>
  </conditionalFormatting>
  <conditionalFormatting sqref="N642:N645">
    <cfRule type="expression" dxfId="4841" priority="70">
      <formula>$BC642="YES"</formula>
    </cfRule>
  </conditionalFormatting>
  <conditionalFormatting sqref="O642:O643">
    <cfRule type="expression" dxfId="4840" priority="71">
      <formula>$BC642="YES"</formula>
    </cfRule>
  </conditionalFormatting>
  <conditionalFormatting sqref="O644:O645">
    <cfRule type="expression" dxfId="4839" priority="72">
      <formula>$BC644="YES"</formula>
    </cfRule>
  </conditionalFormatting>
  <conditionalFormatting sqref="P642:Q642">
    <cfRule type="expression" dxfId="4838" priority="73">
      <formula>$BC642="YES"</formula>
    </cfRule>
  </conditionalFormatting>
  <conditionalFormatting sqref="P644:Q645">
    <cfRule type="expression" dxfId="4837" priority="74">
      <formula>$BC644="YES"</formula>
    </cfRule>
  </conditionalFormatting>
  <conditionalFormatting sqref="R642:S643">
    <cfRule type="expression" dxfId="4836" priority="75">
      <formula>$BC642="YES"</formula>
    </cfRule>
  </conditionalFormatting>
  <conditionalFormatting sqref="R644:S645">
    <cfRule type="expression" dxfId="4835" priority="76">
      <formula>$BC644="YES"</formula>
    </cfRule>
  </conditionalFormatting>
  <conditionalFormatting sqref="T642:U643">
    <cfRule type="expression" dxfId="4834" priority="77">
      <formula>$BC642="YES"</formula>
    </cfRule>
  </conditionalFormatting>
  <conditionalFormatting sqref="T644:U645">
    <cfRule type="expression" dxfId="4833" priority="78">
      <formula>$BC644="YES"</formula>
    </cfRule>
  </conditionalFormatting>
  <conditionalFormatting sqref="P647:Q647">
    <cfRule type="expression" dxfId="4832" priority="79">
      <formula>$BC647="YES"</formula>
    </cfRule>
  </conditionalFormatting>
  <conditionalFormatting sqref="N646:N649">
    <cfRule type="expression" dxfId="4831" priority="80">
      <formula>$BC646="YES"</formula>
    </cfRule>
  </conditionalFormatting>
  <conditionalFormatting sqref="O646:O647">
    <cfRule type="expression" dxfId="4830" priority="81">
      <formula>$BC646="YES"</formula>
    </cfRule>
  </conditionalFormatting>
  <conditionalFormatting sqref="O648:O649">
    <cfRule type="expression" dxfId="4829" priority="82">
      <formula>$BC648="YES"</formula>
    </cfRule>
  </conditionalFormatting>
  <conditionalFormatting sqref="P646:Q646">
    <cfRule type="expression" dxfId="4828" priority="83">
      <formula>$BC646="YES"</formula>
    </cfRule>
  </conditionalFormatting>
  <conditionalFormatting sqref="P648:Q649">
    <cfRule type="expression" dxfId="4827" priority="84">
      <formula>$BC648="YES"</formula>
    </cfRule>
  </conditionalFormatting>
  <conditionalFormatting sqref="R646:S647">
    <cfRule type="expression" dxfId="4826" priority="85">
      <formula>$BC646="YES"</formula>
    </cfRule>
  </conditionalFormatting>
  <conditionalFormatting sqref="R648:S649">
    <cfRule type="expression" dxfId="4825" priority="86">
      <formula>$BC648="YES"</formula>
    </cfRule>
  </conditionalFormatting>
  <conditionalFormatting sqref="T646:U647">
    <cfRule type="expression" dxfId="4824" priority="87">
      <formula>$BC646="YES"</formula>
    </cfRule>
  </conditionalFormatting>
  <conditionalFormatting sqref="T648:U649">
    <cfRule type="expression" dxfId="4823" priority="88">
      <formula>$BC648="YES"</formula>
    </cfRule>
  </conditionalFormatting>
  <conditionalFormatting sqref="P651:Q651">
    <cfRule type="expression" dxfId="4822" priority="89">
      <formula>$BC651="YES"</formula>
    </cfRule>
  </conditionalFormatting>
  <conditionalFormatting sqref="N650:N653">
    <cfRule type="expression" dxfId="4821" priority="90">
      <formula>$BC650="YES"</formula>
    </cfRule>
  </conditionalFormatting>
  <conditionalFormatting sqref="O650:O651">
    <cfRule type="expression" dxfId="4820" priority="91">
      <formula>$BC650="YES"</formula>
    </cfRule>
  </conditionalFormatting>
  <conditionalFormatting sqref="O652:O653">
    <cfRule type="expression" dxfId="4819" priority="92">
      <formula>$BC652="YES"</formula>
    </cfRule>
  </conditionalFormatting>
  <conditionalFormatting sqref="P650:Q650">
    <cfRule type="expression" dxfId="4818" priority="93">
      <formula>$BC650="YES"</formula>
    </cfRule>
  </conditionalFormatting>
  <conditionalFormatting sqref="P652:Q653">
    <cfRule type="expression" dxfId="4817" priority="94">
      <formula>$BC652="YES"</formula>
    </cfRule>
  </conditionalFormatting>
  <conditionalFormatting sqref="R650:S651">
    <cfRule type="expression" dxfId="4816" priority="95">
      <formula>$BC650="YES"</formula>
    </cfRule>
  </conditionalFormatting>
  <conditionalFormatting sqref="R652:S653">
    <cfRule type="expression" dxfId="4815" priority="96">
      <formula>$BC652="YES"</formula>
    </cfRule>
  </conditionalFormatting>
  <conditionalFormatting sqref="T650:U651">
    <cfRule type="expression" dxfId="4814" priority="97">
      <formula>$BC650="YES"</formula>
    </cfRule>
  </conditionalFormatting>
  <conditionalFormatting sqref="T652:U653">
    <cfRule type="expression" dxfId="4813" priority="98">
      <formula>$BC652="YES"</formula>
    </cfRule>
  </conditionalFormatting>
  <conditionalFormatting sqref="P655:Q655">
    <cfRule type="expression" dxfId="4812" priority="99">
      <formula>$BC655="YES"</formula>
    </cfRule>
  </conditionalFormatting>
  <conditionalFormatting sqref="N654:N657">
    <cfRule type="expression" dxfId="4811" priority="100">
      <formula>$BC654="YES"</formula>
    </cfRule>
  </conditionalFormatting>
  <conditionalFormatting sqref="O654:O655">
    <cfRule type="expression" dxfId="4810" priority="101">
      <formula>$BC654="YES"</formula>
    </cfRule>
  </conditionalFormatting>
  <conditionalFormatting sqref="O656:O657">
    <cfRule type="expression" dxfId="4809" priority="102">
      <formula>$BC656="YES"</formula>
    </cfRule>
  </conditionalFormatting>
  <conditionalFormatting sqref="P654:Q654">
    <cfRule type="expression" dxfId="4808" priority="103">
      <formula>$BC654="YES"</formula>
    </cfRule>
  </conditionalFormatting>
  <conditionalFormatting sqref="P656:Q657">
    <cfRule type="expression" dxfId="4807" priority="104">
      <formula>$BC656="YES"</formula>
    </cfRule>
  </conditionalFormatting>
  <conditionalFormatting sqref="R654:S655">
    <cfRule type="expression" dxfId="4806" priority="105">
      <formula>$BC654="YES"</formula>
    </cfRule>
  </conditionalFormatting>
  <conditionalFormatting sqref="R656:S657">
    <cfRule type="expression" dxfId="4805" priority="106">
      <formula>$BC656="YES"</formula>
    </cfRule>
  </conditionalFormatting>
  <conditionalFormatting sqref="T654:U655">
    <cfRule type="expression" dxfId="4804" priority="107">
      <formula>$BC654="YES"</formula>
    </cfRule>
  </conditionalFormatting>
  <conditionalFormatting sqref="T656:U657">
    <cfRule type="expression" dxfId="4803" priority="108">
      <formula>$BC656="YES"</formula>
    </cfRule>
  </conditionalFormatting>
  <conditionalFormatting sqref="P659:Q659">
    <cfRule type="expression" dxfId="4802" priority="109">
      <formula>$BC659="YES"</formula>
    </cfRule>
  </conditionalFormatting>
  <conditionalFormatting sqref="N658:N661">
    <cfRule type="expression" dxfId="4801" priority="110">
      <formula>$BC658="YES"</formula>
    </cfRule>
  </conditionalFormatting>
  <conditionalFormatting sqref="O658:O659">
    <cfRule type="expression" dxfId="4800" priority="111">
      <formula>$BC658="YES"</formula>
    </cfRule>
  </conditionalFormatting>
  <conditionalFormatting sqref="O660:O661">
    <cfRule type="expression" dxfId="4799" priority="112">
      <formula>$BC660="YES"</formula>
    </cfRule>
  </conditionalFormatting>
  <conditionalFormatting sqref="P658:Q658">
    <cfRule type="expression" dxfId="4798" priority="113">
      <formula>$BC658="YES"</formula>
    </cfRule>
  </conditionalFormatting>
  <conditionalFormatting sqref="P660:Q661">
    <cfRule type="expression" dxfId="4797" priority="114">
      <formula>$BC660="YES"</formula>
    </cfRule>
  </conditionalFormatting>
  <conditionalFormatting sqref="R658:S659">
    <cfRule type="expression" dxfId="4796" priority="115">
      <formula>$BC658="YES"</formula>
    </cfRule>
  </conditionalFormatting>
  <conditionalFormatting sqref="R660:S661">
    <cfRule type="expression" dxfId="4795" priority="116">
      <formula>$BC660="YES"</formula>
    </cfRule>
  </conditionalFormatting>
  <conditionalFormatting sqref="T658:U659">
    <cfRule type="expression" dxfId="4794" priority="117">
      <formula>$BC658="YES"</formula>
    </cfRule>
  </conditionalFormatting>
  <conditionalFormatting sqref="T660:U661">
    <cfRule type="expression" dxfId="4793" priority="118">
      <formula>$BC660="YES"</formula>
    </cfRule>
  </conditionalFormatting>
  <conditionalFormatting sqref="P662:Q662">
    <cfRule type="expression" dxfId="4792" priority="119">
      <formula>$BC662="YES"</formula>
    </cfRule>
  </conditionalFormatting>
  <conditionalFormatting sqref="N662:N663">
    <cfRule type="expression" dxfId="4791" priority="120">
      <formula>$BC662="YES"</formula>
    </cfRule>
  </conditionalFormatting>
  <conditionalFormatting sqref="O662">
    <cfRule type="expression" dxfId="4790" priority="121">
      <formula>$BC662="YES"</formula>
    </cfRule>
  </conditionalFormatting>
  <conditionalFormatting sqref="O663">
    <cfRule type="expression" dxfId="4789" priority="122">
      <formula>$BC663="YES"</formula>
    </cfRule>
  </conditionalFormatting>
  <conditionalFormatting sqref="P663:Q663">
    <cfRule type="expression" dxfId="4788" priority="123">
      <formula>$BC663="YES"</formula>
    </cfRule>
  </conditionalFormatting>
  <conditionalFormatting sqref="R662:S662">
    <cfRule type="expression" dxfId="4787" priority="124">
      <formula>$BC662="YES"</formula>
    </cfRule>
  </conditionalFormatting>
  <conditionalFormatting sqref="R663:S663">
    <cfRule type="expression" dxfId="4786" priority="125">
      <formula>$BC663="YES"</formula>
    </cfRule>
  </conditionalFormatting>
  <conditionalFormatting sqref="T662:U662">
    <cfRule type="expression" dxfId="4785" priority="126">
      <formula>$BC662="YES"</formula>
    </cfRule>
  </conditionalFormatting>
  <conditionalFormatting sqref="T663:U663">
    <cfRule type="expression" dxfId="4784" priority="127">
      <formula>$BC663="YES"</formula>
    </cfRule>
  </conditionalFormatting>
  <conditionalFormatting sqref="P664:Q664">
    <cfRule type="expression" dxfId="4783" priority="128">
      <formula>$BC664="YES"</formula>
    </cfRule>
  </conditionalFormatting>
  <conditionalFormatting sqref="N664:N665">
    <cfRule type="expression" dxfId="4782" priority="129">
      <formula>$BC664="YES"</formula>
    </cfRule>
  </conditionalFormatting>
  <conditionalFormatting sqref="O664">
    <cfRule type="expression" dxfId="4781" priority="130">
      <formula>$BC664="YES"</formula>
    </cfRule>
  </conditionalFormatting>
  <conditionalFormatting sqref="O665">
    <cfRule type="expression" dxfId="4780" priority="131">
      <formula>$BC665="YES"</formula>
    </cfRule>
  </conditionalFormatting>
  <conditionalFormatting sqref="P665:Q665">
    <cfRule type="expression" dxfId="4779" priority="132">
      <formula>$BC665="YES"</formula>
    </cfRule>
  </conditionalFormatting>
  <conditionalFormatting sqref="R664:S664">
    <cfRule type="expression" dxfId="4778" priority="133">
      <formula>$BC664="YES"</formula>
    </cfRule>
  </conditionalFormatting>
  <conditionalFormatting sqref="R665:S665">
    <cfRule type="expression" dxfId="4777" priority="134">
      <formula>$BC665="YES"</formula>
    </cfRule>
  </conditionalFormatting>
  <conditionalFormatting sqref="T664:U664">
    <cfRule type="expression" dxfId="4776" priority="135">
      <formula>$BC664="YES"</formula>
    </cfRule>
  </conditionalFormatting>
  <conditionalFormatting sqref="T665:U665">
    <cfRule type="expression" dxfId="4775" priority="136">
      <formula>$BC665="YES"</formula>
    </cfRule>
  </conditionalFormatting>
  <conditionalFormatting sqref="P666:Q666">
    <cfRule type="expression" dxfId="4774" priority="137">
      <formula>$BC666="YES"</formula>
    </cfRule>
  </conditionalFormatting>
  <conditionalFormatting sqref="N666:N667">
    <cfRule type="expression" dxfId="4773" priority="138">
      <formula>$BC666="YES"</formula>
    </cfRule>
  </conditionalFormatting>
  <conditionalFormatting sqref="O666">
    <cfRule type="expression" dxfId="4772" priority="139">
      <formula>$BC666="YES"</formula>
    </cfRule>
  </conditionalFormatting>
  <conditionalFormatting sqref="O667">
    <cfRule type="expression" dxfId="4771" priority="140">
      <formula>$BC667="YES"</formula>
    </cfRule>
  </conditionalFormatting>
  <conditionalFormatting sqref="P667:Q667">
    <cfRule type="expression" dxfId="4770" priority="141">
      <formula>$BC667="YES"</formula>
    </cfRule>
  </conditionalFormatting>
  <conditionalFormatting sqref="R666:S666">
    <cfRule type="expression" dxfId="4769" priority="142">
      <formula>$BC666="YES"</formula>
    </cfRule>
  </conditionalFormatting>
  <conditionalFormatting sqref="R667:S667">
    <cfRule type="expression" dxfId="4768" priority="143">
      <formula>$BC667="YES"</formula>
    </cfRule>
  </conditionalFormatting>
  <conditionalFormatting sqref="T666:U666">
    <cfRule type="expression" dxfId="4767" priority="144">
      <formula>$BC666="YES"</formula>
    </cfRule>
  </conditionalFormatting>
  <conditionalFormatting sqref="T667:U667">
    <cfRule type="expression" dxfId="4766" priority="145">
      <formula>$BC667="YES"</formula>
    </cfRule>
  </conditionalFormatting>
  <conditionalFormatting sqref="P668:Q668">
    <cfRule type="expression" dxfId="4765" priority="146">
      <formula>$BC668="YES"</formula>
    </cfRule>
  </conditionalFormatting>
  <conditionalFormatting sqref="N668:N669">
    <cfRule type="expression" dxfId="4764" priority="147">
      <formula>$BC668="YES"</formula>
    </cfRule>
  </conditionalFormatting>
  <conditionalFormatting sqref="O668">
    <cfRule type="expression" dxfId="4763" priority="148">
      <formula>$BC668="YES"</formula>
    </cfRule>
  </conditionalFormatting>
  <conditionalFormatting sqref="O669">
    <cfRule type="expression" dxfId="4762" priority="149">
      <formula>$BC669="YES"</formula>
    </cfRule>
  </conditionalFormatting>
  <conditionalFormatting sqref="P669:Q669">
    <cfRule type="expression" dxfId="4761" priority="150">
      <formula>$BC669="YES"</formula>
    </cfRule>
  </conditionalFormatting>
  <conditionalFormatting sqref="R668:S668">
    <cfRule type="expression" dxfId="4760" priority="151">
      <formula>$BC668="YES"</formula>
    </cfRule>
  </conditionalFormatting>
  <conditionalFormatting sqref="R669:S669">
    <cfRule type="expression" dxfId="4759" priority="152">
      <formula>$BC669="YES"</formula>
    </cfRule>
  </conditionalFormatting>
  <conditionalFormatting sqref="T668:U668">
    <cfRule type="expression" dxfId="4758" priority="153">
      <formula>$BC668="YES"</formula>
    </cfRule>
  </conditionalFormatting>
  <conditionalFormatting sqref="T669:U669">
    <cfRule type="expression" dxfId="4757" priority="154">
      <formula>$BC669="YES"</formula>
    </cfRule>
  </conditionalFormatting>
  <conditionalFormatting sqref="P670:Q670">
    <cfRule type="expression" dxfId="4756" priority="155">
      <formula>$BC670="YES"</formula>
    </cfRule>
  </conditionalFormatting>
  <conditionalFormatting sqref="N670:N671">
    <cfRule type="expression" dxfId="4755" priority="156">
      <formula>$BC670="YES"</formula>
    </cfRule>
  </conditionalFormatting>
  <conditionalFormatting sqref="O670">
    <cfRule type="expression" dxfId="4754" priority="157">
      <formula>$BC670="YES"</formula>
    </cfRule>
  </conditionalFormatting>
  <conditionalFormatting sqref="O671">
    <cfRule type="expression" dxfId="4753" priority="158">
      <formula>$BC671="YES"</formula>
    </cfRule>
  </conditionalFormatting>
  <conditionalFormatting sqref="P671:Q671">
    <cfRule type="expression" dxfId="4752" priority="159">
      <formula>$BC671="YES"</formula>
    </cfRule>
  </conditionalFormatting>
  <conditionalFormatting sqref="R670:S670">
    <cfRule type="expression" dxfId="4751" priority="160">
      <formula>$BC670="YES"</formula>
    </cfRule>
  </conditionalFormatting>
  <conditionalFormatting sqref="R671:S671">
    <cfRule type="expression" dxfId="4750" priority="161">
      <formula>$BC671="YES"</formula>
    </cfRule>
  </conditionalFormatting>
  <conditionalFormatting sqref="T670:U670">
    <cfRule type="expression" dxfId="4749" priority="162">
      <formula>$BC670="YES"</formula>
    </cfRule>
  </conditionalFormatting>
  <conditionalFormatting sqref="T671:U671">
    <cfRule type="expression" dxfId="4748" priority="163">
      <formula>$BC671="YES"</formula>
    </cfRule>
  </conditionalFormatting>
  <conditionalFormatting sqref="P672:Q672">
    <cfRule type="expression" dxfId="4747" priority="164">
      <formula>$BC672="YES"</formula>
    </cfRule>
  </conditionalFormatting>
  <conditionalFormatting sqref="N672:N673">
    <cfRule type="expression" dxfId="4746" priority="165">
      <formula>$BC672="YES"</formula>
    </cfRule>
  </conditionalFormatting>
  <conditionalFormatting sqref="O672">
    <cfRule type="expression" dxfId="4745" priority="166">
      <formula>$BC672="YES"</formula>
    </cfRule>
  </conditionalFormatting>
  <conditionalFormatting sqref="O673">
    <cfRule type="expression" dxfId="4744" priority="167">
      <formula>$BC673="YES"</formula>
    </cfRule>
  </conditionalFormatting>
  <conditionalFormatting sqref="P673:Q673">
    <cfRule type="expression" dxfId="4743" priority="168">
      <formula>$BC673="YES"</formula>
    </cfRule>
  </conditionalFormatting>
  <conditionalFormatting sqref="R672:S672">
    <cfRule type="expression" dxfId="4742" priority="169">
      <formula>$BC672="YES"</formula>
    </cfRule>
  </conditionalFormatting>
  <conditionalFormatting sqref="R673:S673">
    <cfRule type="expression" dxfId="4741" priority="170">
      <formula>$BC673="YES"</formula>
    </cfRule>
  </conditionalFormatting>
  <conditionalFormatting sqref="T672:U672">
    <cfRule type="expression" dxfId="4740" priority="171">
      <formula>$BC672="YES"</formula>
    </cfRule>
  </conditionalFormatting>
  <conditionalFormatting sqref="T673:U673">
    <cfRule type="expression" dxfId="4739" priority="172">
      <formula>$BC673="YES"</formula>
    </cfRule>
  </conditionalFormatting>
  <conditionalFormatting sqref="P674:Q674">
    <cfRule type="expression" dxfId="4738" priority="173">
      <formula>$BC674="YES"</formula>
    </cfRule>
  </conditionalFormatting>
  <conditionalFormatting sqref="N674:N675">
    <cfRule type="expression" dxfId="4737" priority="174">
      <formula>$BC674="YES"</formula>
    </cfRule>
  </conditionalFormatting>
  <conditionalFormatting sqref="O674">
    <cfRule type="expression" dxfId="4736" priority="175">
      <formula>$BC674="YES"</formula>
    </cfRule>
  </conditionalFormatting>
  <conditionalFormatting sqref="O675">
    <cfRule type="expression" dxfId="4735" priority="176">
      <formula>$BC675="YES"</formula>
    </cfRule>
  </conditionalFormatting>
  <conditionalFormatting sqref="P675:Q675">
    <cfRule type="expression" dxfId="4734" priority="177">
      <formula>$BC675="YES"</formula>
    </cfRule>
  </conditionalFormatting>
  <conditionalFormatting sqref="R674:S674">
    <cfRule type="expression" dxfId="4733" priority="178">
      <formula>$BC674="YES"</formula>
    </cfRule>
  </conditionalFormatting>
  <conditionalFormatting sqref="R675:S675">
    <cfRule type="expression" dxfId="4732" priority="179">
      <formula>$BC675="YES"</formula>
    </cfRule>
  </conditionalFormatting>
  <conditionalFormatting sqref="T674:U674">
    <cfRule type="expression" dxfId="4731" priority="180">
      <formula>$BC674="YES"</formula>
    </cfRule>
  </conditionalFormatting>
  <conditionalFormatting sqref="T675:U675">
    <cfRule type="expression" dxfId="4730" priority="181">
      <formula>$BC675="YES"</formula>
    </cfRule>
  </conditionalFormatting>
  <conditionalFormatting sqref="P677:Q677">
    <cfRule type="expression" dxfId="4729" priority="182">
      <formula>$BC677="YES"</formula>
    </cfRule>
  </conditionalFormatting>
  <conditionalFormatting sqref="N677:N678">
    <cfRule type="expression" dxfId="4728" priority="183">
      <formula>$BC677="YES"</formula>
    </cfRule>
  </conditionalFormatting>
  <conditionalFormatting sqref="O677">
    <cfRule type="expression" dxfId="4727" priority="184">
      <formula>$BC677="YES"</formula>
    </cfRule>
  </conditionalFormatting>
  <conditionalFormatting sqref="O678">
    <cfRule type="expression" dxfId="4726" priority="185">
      <formula>$BC678="YES"</formula>
    </cfRule>
  </conditionalFormatting>
  <conditionalFormatting sqref="P678:Q678">
    <cfRule type="expression" dxfId="4725" priority="186">
      <formula>$BC678="YES"</formula>
    </cfRule>
  </conditionalFormatting>
  <conditionalFormatting sqref="R677:S677">
    <cfRule type="expression" dxfId="4724" priority="187">
      <formula>$BC677="YES"</formula>
    </cfRule>
  </conditionalFormatting>
  <conditionalFormatting sqref="R678:S678">
    <cfRule type="expression" dxfId="4723" priority="188">
      <formula>$BC678="YES"</formula>
    </cfRule>
  </conditionalFormatting>
  <conditionalFormatting sqref="T677:U677">
    <cfRule type="expression" dxfId="4722" priority="189">
      <formula>$BC677="YES"</formula>
    </cfRule>
  </conditionalFormatting>
  <conditionalFormatting sqref="T678:U678">
    <cfRule type="expression" dxfId="4721" priority="190">
      <formula>$BC678="YES"</formula>
    </cfRule>
  </conditionalFormatting>
  <conditionalFormatting sqref="P679:Q679">
    <cfRule type="expression" dxfId="4720" priority="191">
      <formula>$BC679="YES"</formula>
    </cfRule>
  </conditionalFormatting>
  <conditionalFormatting sqref="N679:N680">
    <cfRule type="expression" dxfId="4719" priority="192">
      <formula>$BC679="YES"</formula>
    </cfRule>
  </conditionalFormatting>
  <conditionalFormatting sqref="O679">
    <cfRule type="expression" dxfId="4718" priority="193">
      <formula>$BC679="YES"</formula>
    </cfRule>
  </conditionalFormatting>
  <conditionalFormatting sqref="O680">
    <cfRule type="expression" dxfId="4717" priority="194">
      <formula>$BC680="YES"</formula>
    </cfRule>
  </conditionalFormatting>
  <conditionalFormatting sqref="P680:Q680">
    <cfRule type="expression" dxfId="4716" priority="195">
      <formula>$BC680="YES"</formula>
    </cfRule>
  </conditionalFormatting>
  <conditionalFormatting sqref="R679:S679">
    <cfRule type="expression" dxfId="4715" priority="196">
      <formula>$BC679="YES"</formula>
    </cfRule>
  </conditionalFormatting>
  <conditionalFormatting sqref="R680:S680">
    <cfRule type="expression" dxfId="4714" priority="197">
      <formula>$BC680="YES"</formula>
    </cfRule>
  </conditionalFormatting>
  <conditionalFormatting sqref="T679:U679">
    <cfRule type="expression" dxfId="4713" priority="198">
      <formula>$BC679="YES"</formula>
    </cfRule>
  </conditionalFormatting>
  <conditionalFormatting sqref="T680:U680">
    <cfRule type="expression" dxfId="4712" priority="199">
      <formula>$BC680="YES"</formula>
    </cfRule>
  </conditionalFormatting>
  <conditionalFormatting sqref="P681:Q681">
    <cfRule type="expression" dxfId="4711" priority="200">
      <formula>$BC681="YES"</formula>
    </cfRule>
  </conditionalFormatting>
  <conditionalFormatting sqref="N681:N682">
    <cfRule type="expression" dxfId="4710" priority="201">
      <formula>$BC681="YES"</formula>
    </cfRule>
  </conditionalFormatting>
  <conditionalFormatting sqref="O681">
    <cfRule type="expression" dxfId="4709" priority="202">
      <formula>$BC681="YES"</formula>
    </cfRule>
  </conditionalFormatting>
  <conditionalFormatting sqref="O682">
    <cfRule type="expression" dxfId="4708" priority="203">
      <formula>$BC682="YES"</formula>
    </cfRule>
  </conditionalFormatting>
  <conditionalFormatting sqref="P682:Q682">
    <cfRule type="expression" dxfId="4707" priority="204">
      <formula>$BC682="YES"</formula>
    </cfRule>
  </conditionalFormatting>
  <conditionalFormatting sqref="R681:S681">
    <cfRule type="expression" dxfId="4706" priority="205">
      <formula>$BC681="YES"</formula>
    </cfRule>
  </conditionalFormatting>
  <conditionalFormatting sqref="R682:S682">
    <cfRule type="expression" dxfId="4705" priority="206">
      <formula>$BC682="YES"</formula>
    </cfRule>
  </conditionalFormatting>
  <conditionalFormatting sqref="T681:U681">
    <cfRule type="expression" dxfId="4704" priority="207">
      <formula>$BC681="YES"</formula>
    </cfRule>
  </conditionalFormatting>
  <conditionalFormatting sqref="T682:U682">
    <cfRule type="expression" dxfId="4703" priority="208">
      <formula>$BC682="YES"</formula>
    </cfRule>
  </conditionalFormatting>
  <conditionalFormatting sqref="AJ615:AK809">
    <cfRule type="expression" dxfId="4702" priority="209">
      <formula>$BC615="YES"</formula>
    </cfRule>
  </conditionalFormatting>
  <conditionalFormatting sqref="R812:S813">
    <cfRule type="expression" dxfId="4701" priority="210">
      <formula>$BC812="YES"</formula>
    </cfRule>
  </conditionalFormatting>
  <conditionalFormatting sqref="B1007:E1009">
    <cfRule type="expression" dxfId="4700" priority="211">
      <formula>$BC1007="YES"</formula>
    </cfRule>
  </conditionalFormatting>
  <conditionalFormatting sqref="P812:Q813">
    <cfRule type="expression" dxfId="4699" priority="212">
      <formula>$BC812="YES"</formula>
    </cfRule>
  </conditionalFormatting>
  <conditionalFormatting sqref="P814:Q815">
    <cfRule type="expression" dxfId="4698" priority="213">
      <formula>$BC814="YES"</formula>
    </cfRule>
  </conditionalFormatting>
  <conditionalFormatting sqref="P816:Q817">
    <cfRule type="expression" dxfId="4697" priority="214">
      <formula>$BC816="YES"</formula>
    </cfRule>
  </conditionalFormatting>
  <conditionalFormatting sqref="O812:O813">
    <cfRule type="expression" dxfId="4696" priority="215">
      <formula>$BC812="YES"</formula>
    </cfRule>
  </conditionalFormatting>
  <conditionalFormatting sqref="O814:O815">
    <cfRule type="expression" dxfId="4695" priority="216">
      <formula>$BC814="YES"</formula>
    </cfRule>
  </conditionalFormatting>
  <conditionalFormatting sqref="O816:O817">
    <cfRule type="expression" dxfId="4694" priority="217">
      <formula>$BC816="YES"</formula>
    </cfRule>
  </conditionalFormatting>
  <conditionalFormatting sqref="O818:O819">
    <cfRule type="expression" dxfId="4693" priority="218">
      <formula>$BC818="YES"</formula>
    </cfRule>
  </conditionalFormatting>
  <conditionalFormatting sqref="O820:O821">
    <cfRule type="expression" dxfId="4692" priority="219">
      <formula>$BC820="YES"</formula>
    </cfRule>
  </conditionalFormatting>
  <conditionalFormatting sqref="N822:O823">
    <cfRule type="expression" dxfId="4691" priority="220">
      <formula>$BC822="YES"</formula>
    </cfRule>
  </conditionalFormatting>
  <conditionalFormatting sqref="O824:O825">
    <cfRule type="expression" dxfId="4690" priority="221">
      <formula>$BC824="YES"</formula>
    </cfRule>
  </conditionalFormatting>
  <conditionalFormatting sqref="O826:O827">
    <cfRule type="expression" dxfId="4689" priority="222">
      <formula>$BC826="YES"</formula>
    </cfRule>
  </conditionalFormatting>
  <conditionalFormatting sqref="O828:O829">
    <cfRule type="expression" dxfId="4688" priority="223">
      <formula>$BC828="YES"</formula>
    </cfRule>
  </conditionalFormatting>
  <conditionalFormatting sqref="O830:O831">
    <cfRule type="expression" dxfId="4687" priority="224">
      <formula>$BC830="YES"</formula>
    </cfRule>
  </conditionalFormatting>
  <conditionalFormatting sqref="O832:O833">
    <cfRule type="expression" dxfId="4686" priority="225">
      <formula>$BC832="YES"</formula>
    </cfRule>
  </conditionalFormatting>
  <conditionalFormatting sqref="P818:Q819">
    <cfRule type="expression" dxfId="4685" priority="226">
      <formula>$BC818="YES"</formula>
    </cfRule>
  </conditionalFormatting>
  <conditionalFormatting sqref="P820:Q821">
    <cfRule type="expression" dxfId="4684" priority="227">
      <formula>$BC820="YES"</formula>
    </cfRule>
  </conditionalFormatting>
  <conditionalFormatting sqref="P822:Q823">
    <cfRule type="expression" dxfId="4683" priority="228">
      <formula>$BC822="YES"</formula>
    </cfRule>
  </conditionalFormatting>
  <conditionalFormatting sqref="P824:Q824">
    <cfRule type="expression" dxfId="4682" priority="229">
      <formula>$BC824="YES"</formula>
    </cfRule>
  </conditionalFormatting>
  <conditionalFormatting sqref="P826:Q827">
    <cfRule type="expression" dxfId="4681" priority="230">
      <formula>$BC826="YES"</formula>
    </cfRule>
  </conditionalFormatting>
  <conditionalFormatting sqref="P828:Q829">
    <cfRule type="expression" dxfId="4680" priority="231">
      <formula>$BC828="YES"</formula>
    </cfRule>
  </conditionalFormatting>
  <conditionalFormatting sqref="P830:Q831">
    <cfRule type="expression" dxfId="4679" priority="232">
      <formula>$BC830="YES"</formula>
    </cfRule>
  </conditionalFormatting>
  <conditionalFormatting sqref="P832:Q832">
    <cfRule type="expression" dxfId="4678" priority="233">
      <formula>$BC832="YES"</formula>
    </cfRule>
  </conditionalFormatting>
  <conditionalFormatting sqref="R814:S817">
    <cfRule type="expression" dxfId="4677" priority="234">
      <formula>$BC814="YES"</formula>
    </cfRule>
  </conditionalFormatting>
  <conditionalFormatting sqref="R818:S821">
    <cfRule type="expression" dxfId="4676" priority="235">
      <formula>$BC818="YES"</formula>
    </cfRule>
  </conditionalFormatting>
  <conditionalFormatting sqref="R822:S825">
    <cfRule type="expression" dxfId="4675" priority="236">
      <formula>$BC822="YES"</formula>
    </cfRule>
  </conditionalFormatting>
  <conditionalFormatting sqref="R826:S829">
    <cfRule type="expression" dxfId="4674" priority="237">
      <formula>$BC826="YES"</formula>
    </cfRule>
  </conditionalFormatting>
  <conditionalFormatting sqref="R830:S833">
    <cfRule type="expression" dxfId="4673" priority="238">
      <formula>$BC830="YES"</formula>
    </cfRule>
  </conditionalFormatting>
  <conditionalFormatting sqref="T812:U813">
    <cfRule type="expression" dxfId="4672" priority="239">
      <formula>$BC812="YES"</formula>
    </cfRule>
  </conditionalFormatting>
  <conditionalFormatting sqref="T814:U815">
    <cfRule type="expression" dxfId="4671" priority="240">
      <formula>$BC814="YES"</formula>
    </cfRule>
  </conditionalFormatting>
  <conditionalFormatting sqref="T816:U817">
    <cfRule type="expression" dxfId="4670" priority="241">
      <formula>$BC816="YES"</formula>
    </cfRule>
  </conditionalFormatting>
  <conditionalFormatting sqref="T818:U819">
    <cfRule type="expression" dxfId="4669" priority="242">
      <formula>$BC818="YES"</formula>
    </cfRule>
  </conditionalFormatting>
  <conditionalFormatting sqref="T820:U821">
    <cfRule type="expression" dxfId="4668" priority="243">
      <formula>$BC820="YES"</formula>
    </cfRule>
  </conditionalFormatting>
  <conditionalFormatting sqref="T822:U823">
    <cfRule type="expression" dxfId="4667" priority="244">
      <formula>$BC822="YES"</formula>
    </cfRule>
  </conditionalFormatting>
  <conditionalFormatting sqref="T824:U825">
    <cfRule type="expression" dxfId="4666" priority="245">
      <formula>$BC824="YES"</formula>
    </cfRule>
  </conditionalFormatting>
  <conditionalFormatting sqref="T826:U827">
    <cfRule type="expression" dxfId="4665" priority="246">
      <formula>$BC826="YES"</formula>
    </cfRule>
  </conditionalFormatting>
  <conditionalFormatting sqref="T828:U829">
    <cfRule type="expression" dxfId="4664" priority="247">
      <formula>$BC828="YES"</formula>
    </cfRule>
  </conditionalFormatting>
  <conditionalFormatting sqref="T830:U831">
    <cfRule type="expression" dxfId="4663" priority="248">
      <formula>$BC830="YES"</formula>
    </cfRule>
  </conditionalFormatting>
  <conditionalFormatting sqref="T832:U833">
    <cfRule type="expression" dxfId="4662" priority="249">
      <formula>$BC832="YES"</formula>
    </cfRule>
  </conditionalFormatting>
  <conditionalFormatting sqref="P835:Q835">
    <cfRule type="expression" dxfId="4661" priority="250">
      <formula>$BC835="YES"</formula>
    </cfRule>
  </conditionalFormatting>
  <conditionalFormatting sqref="N834:N837">
    <cfRule type="expression" dxfId="4660" priority="251">
      <formula>$BC834="YES"</formula>
    </cfRule>
  </conditionalFormatting>
  <conditionalFormatting sqref="O834:O835">
    <cfRule type="expression" dxfId="4659" priority="252">
      <formula>$BC834="YES"</formula>
    </cfRule>
  </conditionalFormatting>
  <conditionalFormatting sqref="O836:O837">
    <cfRule type="expression" dxfId="4658" priority="253">
      <formula>$BC836="YES"</formula>
    </cfRule>
  </conditionalFormatting>
  <conditionalFormatting sqref="P834:Q834">
    <cfRule type="expression" dxfId="4657" priority="254">
      <formula>$BC834="YES"</formula>
    </cfRule>
  </conditionalFormatting>
  <conditionalFormatting sqref="P836:Q837">
    <cfRule type="expression" dxfId="4656" priority="255">
      <formula>$BC836="YES"</formula>
    </cfRule>
  </conditionalFormatting>
  <conditionalFormatting sqref="R834:S835">
    <cfRule type="expression" dxfId="4655" priority="256">
      <formula>$BC834="YES"</formula>
    </cfRule>
  </conditionalFormatting>
  <conditionalFormatting sqref="R836:S837">
    <cfRule type="expression" dxfId="4654" priority="257">
      <formula>$BC836="YES"</formula>
    </cfRule>
  </conditionalFormatting>
  <conditionalFormatting sqref="T834:U835">
    <cfRule type="expression" dxfId="4653" priority="258">
      <formula>$BC834="YES"</formula>
    </cfRule>
  </conditionalFormatting>
  <conditionalFormatting sqref="T836:U837">
    <cfRule type="expression" dxfId="4652" priority="259">
      <formula>$BC836="YES"</formula>
    </cfRule>
  </conditionalFormatting>
  <conditionalFormatting sqref="P839:Q839">
    <cfRule type="expression" dxfId="4651" priority="260">
      <formula>$BC839="YES"</formula>
    </cfRule>
  </conditionalFormatting>
  <conditionalFormatting sqref="N838:N841">
    <cfRule type="expression" dxfId="4650" priority="261">
      <formula>$BC838="YES"</formula>
    </cfRule>
  </conditionalFormatting>
  <conditionalFormatting sqref="O838:O839">
    <cfRule type="expression" dxfId="4649" priority="262">
      <formula>$BC838="YES"</formula>
    </cfRule>
  </conditionalFormatting>
  <conditionalFormatting sqref="O840:O841">
    <cfRule type="expression" dxfId="4648" priority="263">
      <formula>$BC840="YES"</formula>
    </cfRule>
  </conditionalFormatting>
  <conditionalFormatting sqref="P838:Q838">
    <cfRule type="expression" dxfId="4647" priority="264">
      <formula>$BC838="YES"</formula>
    </cfRule>
  </conditionalFormatting>
  <conditionalFormatting sqref="P840:Q841">
    <cfRule type="expression" dxfId="4646" priority="265">
      <formula>$BC840="YES"</formula>
    </cfRule>
  </conditionalFormatting>
  <conditionalFormatting sqref="R838:S839">
    <cfRule type="expression" dxfId="4645" priority="266">
      <formula>$BC838="YES"</formula>
    </cfRule>
  </conditionalFormatting>
  <conditionalFormatting sqref="R840:S841">
    <cfRule type="expression" dxfId="4644" priority="267">
      <formula>$BC840="YES"</formula>
    </cfRule>
  </conditionalFormatting>
  <conditionalFormatting sqref="T838:U839">
    <cfRule type="expression" dxfId="4643" priority="268">
      <formula>$BC838="YES"</formula>
    </cfRule>
  </conditionalFormatting>
  <conditionalFormatting sqref="T840:U841">
    <cfRule type="expression" dxfId="4642" priority="269">
      <formula>$BC840="YES"</formula>
    </cfRule>
  </conditionalFormatting>
  <conditionalFormatting sqref="P843:Q843">
    <cfRule type="expression" dxfId="4641" priority="270">
      <formula>$BC843="YES"</formula>
    </cfRule>
  </conditionalFormatting>
  <conditionalFormatting sqref="N842:N845">
    <cfRule type="expression" dxfId="4640" priority="271">
      <formula>$BC842="YES"</formula>
    </cfRule>
  </conditionalFormatting>
  <conditionalFormatting sqref="O842:O843">
    <cfRule type="expression" dxfId="4639" priority="272">
      <formula>$BC842="YES"</formula>
    </cfRule>
  </conditionalFormatting>
  <conditionalFormatting sqref="O844:O845">
    <cfRule type="expression" dxfId="4638" priority="273">
      <formula>$BC844="YES"</formula>
    </cfRule>
  </conditionalFormatting>
  <conditionalFormatting sqref="P842:Q842">
    <cfRule type="expression" dxfId="4637" priority="274">
      <formula>$BC842="YES"</formula>
    </cfRule>
  </conditionalFormatting>
  <conditionalFormatting sqref="P844:Q845">
    <cfRule type="expression" dxfId="4636" priority="275">
      <formula>$BC844="YES"</formula>
    </cfRule>
  </conditionalFormatting>
  <conditionalFormatting sqref="R842:S843">
    <cfRule type="expression" dxfId="4635" priority="276">
      <formula>$BC842="YES"</formula>
    </cfRule>
  </conditionalFormatting>
  <conditionalFormatting sqref="R844:S845">
    <cfRule type="expression" dxfId="4634" priority="277">
      <formula>$BC844="YES"</formula>
    </cfRule>
  </conditionalFormatting>
  <conditionalFormatting sqref="T842:U843">
    <cfRule type="expression" dxfId="4633" priority="278">
      <formula>$BC842="YES"</formula>
    </cfRule>
  </conditionalFormatting>
  <conditionalFormatting sqref="T844:U845">
    <cfRule type="expression" dxfId="4632" priority="279">
      <formula>$BC844="YES"</formula>
    </cfRule>
  </conditionalFormatting>
  <conditionalFormatting sqref="P847:Q847">
    <cfRule type="expression" dxfId="4631" priority="280">
      <formula>$BC847="YES"</formula>
    </cfRule>
  </conditionalFormatting>
  <conditionalFormatting sqref="N846:N849">
    <cfRule type="expression" dxfId="4630" priority="281">
      <formula>$BC846="YES"</formula>
    </cfRule>
  </conditionalFormatting>
  <conditionalFormatting sqref="O846:O847">
    <cfRule type="expression" dxfId="4629" priority="282">
      <formula>$BC846="YES"</formula>
    </cfRule>
  </conditionalFormatting>
  <conditionalFormatting sqref="O848:O849">
    <cfRule type="expression" dxfId="4628" priority="283">
      <formula>$BC848="YES"</formula>
    </cfRule>
  </conditionalFormatting>
  <conditionalFormatting sqref="P846:Q846">
    <cfRule type="expression" dxfId="4627" priority="284">
      <formula>$BC846="YES"</formula>
    </cfRule>
  </conditionalFormatting>
  <conditionalFormatting sqref="P848:Q849">
    <cfRule type="expression" dxfId="4626" priority="285">
      <formula>$BC848="YES"</formula>
    </cfRule>
  </conditionalFormatting>
  <conditionalFormatting sqref="R846:S847">
    <cfRule type="expression" dxfId="4625" priority="286">
      <formula>$BC846="YES"</formula>
    </cfRule>
  </conditionalFormatting>
  <conditionalFormatting sqref="R848:S849">
    <cfRule type="expression" dxfId="4624" priority="287">
      <formula>$BC848="YES"</formula>
    </cfRule>
  </conditionalFormatting>
  <conditionalFormatting sqref="T846:U847">
    <cfRule type="expression" dxfId="4623" priority="288">
      <formula>$BC846="YES"</formula>
    </cfRule>
  </conditionalFormatting>
  <conditionalFormatting sqref="T848:U849">
    <cfRule type="expression" dxfId="4622" priority="289">
      <formula>$BC848="YES"</formula>
    </cfRule>
  </conditionalFormatting>
  <conditionalFormatting sqref="P851:Q851">
    <cfRule type="expression" dxfId="4621" priority="290">
      <formula>$BC851="YES"</formula>
    </cfRule>
  </conditionalFormatting>
  <conditionalFormatting sqref="N850:N853">
    <cfRule type="expression" dxfId="4620" priority="291">
      <formula>$BC850="YES"</formula>
    </cfRule>
  </conditionalFormatting>
  <conditionalFormatting sqref="O850:O851">
    <cfRule type="expression" dxfId="4619" priority="292">
      <formula>$BC850="YES"</formula>
    </cfRule>
  </conditionalFormatting>
  <conditionalFormatting sqref="O852:O853">
    <cfRule type="expression" dxfId="4618" priority="293">
      <formula>$BC852="YES"</formula>
    </cfRule>
  </conditionalFormatting>
  <conditionalFormatting sqref="P850:Q850">
    <cfRule type="expression" dxfId="4617" priority="294">
      <formula>$BC850="YES"</formula>
    </cfRule>
  </conditionalFormatting>
  <conditionalFormatting sqref="P852:Q853">
    <cfRule type="expression" dxfId="4616" priority="295">
      <formula>$BC852="YES"</formula>
    </cfRule>
  </conditionalFormatting>
  <conditionalFormatting sqref="R850:S851">
    <cfRule type="expression" dxfId="4615" priority="296">
      <formula>$BC850="YES"</formula>
    </cfRule>
  </conditionalFormatting>
  <conditionalFormatting sqref="R852:S853">
    <cfRule type="expression" dxfId="4614" priority="297">
      <formula>$BC852="YES"</formula>
    </cfRule>
  </conditionalFormatting>
  <conditionalFormatting sqref="T850:U851">
    <cfRule type="expression" dxfId="4613" priority="298">
      <formula>$BC850="YES"</formula>
    </cfRule>
  </conditionalFormatting>
  <conditionalFormatting sqref="T852:U853">
    <cfRule type="expression" dxfId="4612" priority="299">
      <formula>$BC852="YES"</formula>
    </cfRule>
  </conditionalFormatting>
  <conditionalFormatting sqref="P855:Q855">
    <cfRule type="expression" dxfId="4611" priority="300">
      <formula>$BC855="YES"</formula>
    </cfRule>
  </conditionalFormatting>
  <conditionalFormatting sqref="N854:N857">
    <cfRule type="expression" dxfId="4610" priority="301">
      <formula>$BC854="YES"</formula>
    </cfRule>
  </conditionalFormatting>
  <conditionalFormatting sqref="O854:O855">
    <cfRule type="expression" dxfId="4609" priority="302">
      <formula>$BC854="YES"</formula>
    </cfRule>
  </conditionalFormatting>
  <conditionalFormatting sqref="O856:O857">
    <cfRule type="expression" dxfId="4608" priority="303">
      <formula>$BC856="YES"</formula>
    </cfRule>
  </conditionalFormatting>
  <conditionalFormatting sqref="P854:Q854">
    <cfRule type="expression" dxfId="4607" priority="304">
      <formula>$BC854="YES"</formula>
    </cfRule>
  </conditionalFormatting>
  <conditionalFormatting sqref="P856:Q857">
    <cfRule type="expression" dxfId="4606" priority="305">
      <formula>$BC856="YES"</formula>
    </cfRule>
  </conditionalFormatting>
  <conditionalFormatting sqref="R854:S855">
    <cfRule type="expression" dxfId="4605" priority="306">
      <formula>$BC854="YES"</formula>
    </cfRule>
  </conditionalFormatting>
  <conditionalFormatting sqref="R856:S857">
    <cfRule type="expression" dxfId="4604" priority="307">
      <formula>$BC856="YES"</formula>
    </cfRule>
  </conditionalFormatting>
  <conditionalFormatting sqref="T854:U855">
    <cfRule type="expression" dxfId="4603" priority="308">
      <formula>$BC854="YES"</formula>
    </cfRule>
  </conditionalFormatting>
  <conditionalFormatting sqref="T856:U857">
    <cfRule type="expression" dxfId="4602" priority="309">
      <formula>$BC856="YES"</formula>
    </cfRule>
  </conditionalFormatting>
  <conditionalFormatting sqref="P859:Q859">
    <cfRule type="expression" dxfId="4601" priority="310">
      <formula>$BC859="YES"</formula>
    </cfRule>
  </conditionalFormatting>
  <conditionalFormatting sqref="N858:N861">
    <cfRule type="expression" dxfId="4600" priority="311">
      <formula>$BC858="YES"</formula>
    </cfRule>
  </conditionalFormatting>
  <conditionalFormatting sqref="O858:O859">
    <cfRule type="expression" dxfId="4599" priority="312">
      <formula>$BC858="YES"</formula>
    </cfRule>
  </conditionalFormatting>
  <conditionalFormatting sqref="O860:O861">
    <cfRule type="expression" dxfId="4598" priority="313">
      <formula>$BC860="YES"</formula>
    </cfRule>
  </conditionalFormatting>
  <conditionalFormatting sqref="P858:Q858">
    <cfRule type="expression" dxfId="4597" priority="314">
      <formula>$BC858="YES"</formula>
    </cfRule>
  </conditionalFormatting>
  <conditionalFormatting sqref="P860:Q861">
    <cfRule type="expression" dxfId="4596" priority="315">
      <formula>$BC860="YES"</formula>
    </cfRule>
  </conditionalFormatting>
  <conditionalFormatting sqref="R858:S859">
    <cfRule type="expression" dxfId="4595" priority="316">
      <formula>$BC858="YES"</formula>
    </cfRule>
  </conditionalFormatting>
  <conditionalFormatting sqref="R860:S861">
    <cfRule type="expression" dxfId="4594" priority="317">
      <formula>$BC860="YES"</formula>
    </cfRule>
  </conditionalFormatting>
  <conditionalFormatting sqref="T858:U859">
    <cfRule type="expression" dxfId="4593" priority="318">
      <formula>$BC858="YES"</formula>
    </cfRule>
  </conditionalFormatting>
  <conditionalFormatting sqref="T860:U861">
    <cfRule type="expression" dxfId="4592" priority="319">
      <formula>$BC860="YES"</formula>
    </cfRule>
  </conditionalFormatting>
  <conditionalFormatting sqref="P862:Q862">
    <cfRule type="expression" dxfId="4591" priority="320">
      <formula>$BC862="YES"</formula>
    </cfRule>
  </conditionalFormatting>
  <conditionalFormatting sqref="N862:N863">
    <cfRule type="expression" dxfId="4590" priority="321">
      <formula>$BC862="YES"</formula>
    </cfRule>
  </conditionalFormatting>
  <conditionalFormatting sqref="O862">
    <cfRule type="expression" dxfId="4589" priority="322">
      <formula>$BC862="YES"</formula>
    </cfRule>
  </conditionalFormatting>
  <conditionalFormatting sqref="O863">
    <cfRule type="expression" dxfId="4588" priority="323">
      <formula>$BC863="YES"</formula>
    </cfRule>
  </conditionalFormatting>
  <conditionalFormatting sqref="P863:Q863">
    <cfRule type="expression" dxfId="4587" priority="324">
      <formula>$BC863="YES"</formula>
    </cfRule>
  </conditionalFormatting>
  <conditionalFormatting sqref="R862:S862">
    <cfRule type="expression" dxfId="4586" priority="325">
      <formula>$BC862="YES"</formula>
    </cfRule>
  </conditionalFormatting>
  <conditionalFormatting sqref="R863:S863">
    <cfRule type="expression" dxfId="4585" priority="326">
      <formula>$BC863="YES"</formula>
    </cfRule>
  </conditionalFormatting>
  <conditionalFormatting sqref="T862:U862">
    <cfRule type="expression" dxfId="4584" priority="327">
      <formula>$BC862="YES"</formula>
    </cfRule>
  </conditionalFormatting>
  <conditionalFormatting sqref="T863:U863">
    <cfRule type="expression" dxfId="4583" priority="328">
      <formula>$BC863="YES"</formula>
    </cfRule>
  </conditionalFormatting>
  <conditionalFormatting sqref="P864:Q864">
    <cfRule type="expression" dxfId="4582" priority="329">
      <formula>$BC864="YES"</formula>
    </cfRule>
  </conditionalFormatting>
  <conditionalFormatting sqref="N864:N865">
    <cfRule type="expression" dxfId="4581" priority="330">
      <formula>$BC864="YES"</formula>
    </cfRule>
  </conditionalFormatting>
  <conditionalFormatting sqref="O864">
    <cfRule type="expression" dxfId="4580" priority="331">
      <formula>$BC864="YES"</formula>
    </cfRule>
  </conditionalFormatting>
  <conditionalFormatting sqref="O865">
    <cfRule type="expression" dxfId="4579" priority="332">
      <formula>$BC865="YES"</formula>
    </cfRule>
  </conditionalFormatting>
  <conditionalFormatting sqref="P865:Q865">
    <cfRule type="expression" dxfId="4578" priority="333">
      <formula>$BC865="YES"</formula>
    </cfRule>
  </conditionalFormatting>
  <conditionalFormatting sqref="R864:S864">
    <cfRule type="expression" dxfId="4577" priority="334">
      <formula>$BC864="YES"</formula>
    </cfRule>
  </conditionalFormatting>
  <conditionalFormatting sqref="R865:S865">
    <cfRule type="expression" dxfId="4576" priority="335">
      <formula>$BC865="YES"</formula>
    </cfRule>
  </conditionalFormatting>
  <conditionalFormatting sqref="T864:U864">
    <cfRule type="expression" dxfId="4575" priority="336">
      <formula>$BC864="YES"</formula>
    </cfRule>
  </conditionalFormatting>
  <conditionalFormatting sqref="T865:U865">
    <cfRule type="expression" dxfId="4574" priority="337">
      <formula>$BC865="YES"</formula>
    </cfRule>
  </conditionalFormatting>
  <conditionalFormatting sqref="P866:Q866">
    <cfRule type="expression" dxfId="4573" priority="338">
      <formula>$BC866="YES"</formula>
    </cfRule>
  </conditionalFormatting>
  <conditionalFormatting sqref="N866:N867">
    <cfRule type="expression" dxfId="4572" priority="339">
      <formula>$BC866="YES"</formula>
    </cfRule>
  </conditionalFormatting>
  <conditionalFormatting sqref="O866">
    <cfRule type="expression" dxfId="4571" priority="340">
      <formula>$BC866="YES"</formula>
    </cfRule>
  </conditionalFormatting>
  <conditionalFormatting sqref="O867">
    <cfRule type="expression" dxfId="4570" priority="341">
      <formula>$BC867="YES"</formula>
    </cfRule>
  </conditionalFormatting>
  <conditionalFormatting sqref="P867:Q867">
    <cfRule type="expression" dxfId="4569" priority="342">
      <formula>$BC867="YES"</formula>
    </cfRule>
  </conditionalFormatting>
  <conditionalFormatting sqref="R866:S866">
    <cfRule type="expression" dxfId="4568" priority="343">
      <formula>$BC866="YES"</formula>
    </cfRule>
  </conditionalFormatting>
  <conditionalFormatting sqref="R867:S867">
    <cfRule type="expression" dxfId="4567" priority="344">
      <formula>$BC867="YES"</formula>
    </cfRule>
  </conditionalFormatting>
  <conditionalFormatting sqref="T866:U866">
    <cfRule type="expression" dxfId="4566" priority="345">
      <formula>$BC866="YES"</formula>
    </cfRule>
  </conditionalFormatting>
  <conditionalFormatting sqref="T867:U867">
    <cfRule type="expression" dxfId="4565" priority="346">
      <formula>$BC867="YES"</formula>
    </cfRule>
  </conditionalFormatting>
  <conditionalFormatting sqref="P868:Q868">
    <cfRule type="expression" dxfId="4564" priority="347">
      <formula>$BC868="YES"</formula>
    </cfRule>
  </conditionalFormatting>
  <conditionalFormatting sqref="N868:N869">
    <cfRule type="expression" dxfId="4563" priority="348">
      <formula>$BC868="YES"</formula>
    </cfRule>
  </conditionalFormatting>
  <conditionalFormatting sqref="O868">
    <cfRule type="expression" dxfId="4562" priority="349">
      <formula>$BC868="YES"</formula>
    </cfRule>
  </conditionalFormatting>
  <conditionalFormatting sqref="O869">
    <cfRule type="expression" dxfId="4561" priority="350">
      <formula>$BC869="YES"</formula>
    </cfRule>
  </conditionalFormatting>
  <conditionalFormatting sqref="P869:Q869">
    <cfRule type="expression" dxfId="4560" priority="351">
      <formula>$BC869="YES"</formula>
    </cfRule>
  </conditionalFormatting>
  <conditionalFormatting sqref="R868:S868">
    <cfRule type="expression" dxfId="4559" priority="352">
      <formula>$BC868="YES"</formula>
    </cfRule>
  </conditionalFormatting>
  <conditionalFormatting sqref="R869:S869">
    <cfRule type="expression" dxfId="4558" priority="353">
      <formula>$BC869="YES"</formula>
    </cfRule>
  </conditionalFormatting>
  <conditionalFormatting sqref="T868:U868">
    <cfRule type="expression" dxfId="4557" priority="354">
      <formula>$BC868="YES"</formula>
    </cfRule>
  </conditionalFormatting>
  <conditionalFormatting sqref="T869:U869">
    <cfRule type="expression" dxfId="4556" priority="355">
      <formula>$BC869="YES"</formula>
    </cfRule>
  </conditionalFormatting>
  <conditionalFormatting sqref="P870:Q870">
    <cfRule type="expression" dxfId="4555" priority="356">
      <formula>$BC870="YES"</formula>
    </cfRule>
  </conditionalFormatting>
  <conditionalFormatting sqref="N870:N871">
    <cfRule type="expression" dxfId="4554" priority="357">
      <formula>$BC870="YES"</formula>
    </cfRule>
  </conditionalFormatting>
  <conditionalFormatting sqref="O870">
    <cfRule type="expression" dxfId="4553" priority="358">
      <formula>$BC870="YES"</formula>
    </cfRule>
  </conditionalFormatting>
  <conditionalFormatting sqref="O871">
    <cfRule type="expression" dxfId="4552" priority="359">
      <formula>$BC871="YES"</formula>
    </cfRule>
  </conditionalFormatting>
  <conditionalFormatting sqref="P871:Q871">
    <cfRule type="expression" dxfId="4551" priority="360">
      <formula>$BC871="YES"</formula>
    </cfRule>
  </conditionalFormatting>
  <conditionalFormatting sqref="R870:S870">
    <cfRule type="expression" dxfId="4550" priority="361">
      <formula>$BC870="YES"</formula>
    </cfRule>
  </conditionalFormatting>
  <conditionalFormatting sqref="R871:S871">
    <cfRule type="expression" dxfId="4549" priority="362">
      <formula>$BC871="YES"</formula>
    </cfRule>
  </conditionalFormatting>
  <conditionalFormatting sqref="T870:U870">
    <cfRule type="expression" dxfId="4548" priority="363">
      <formula>$BC870="YES"</formula>
    </cfRule>
  </conditionalFormatting>
  <conditionalFormatting sqref="T871:U871">
    <cfRule type="expression" dxfId="4547" priority="364">
      <formula>$BC871="YES"</formula>
    </cfRule>
  </conditionalFormatting>
  <conditionalFormatting sqref="P872:Q872">
    <cfRule type="expression" dxfId="4546" priority="365">
      <formula>$BC872="YES"</formula>
    </cfRule>
  </conditionalFormatting>
  <conditionalFormatting sqref="N872:N873">
    <cfRule type="expression" dxfId="4545" priority="366">
      <formula>$BC872="YES"</formula>
    </cfRule>
  </conditionalFormatting>
  <conditionalFormatting sqref="O872">
    <cfRule type="expression" dxfId="4544" priority="367">
      <formula>$BC872="YES"</formula>
    </cfRule>
  </conditionalFormatting>
  <conditionalFormatting sqref="O873">
    <cfRule type="expression" dxfId="4543" priority="368">
      <formula>$BC873="YES"</formula>
    </cfRule>
  </conditionalFormatting>
  <conditionalFormatting sqref="P873:Q873">
    <cfRule type="expression" dxfId="4542" priority="369">
      <formula>$BC873="YES"</formula>
    </cfRule>
  </conditionalFormatting>
  <conditionalFormatting sqref="R872:S872">
    <cfRule type="expression" dxfId="4541" priority="370">
      <formula>$BC872="YES"</formula>
    </cfRule>
  </conditionalFormatting>
  <conditionalFormatting sqref="R873:S873">
    <cfRule type="expression" dxfId="4540" priority="371">
      <formula>$BC873="YES"</formula>
    </cfRule>
  </conditionalFormatting>
  <conditionalFormatting sqref="T872:U872">
    <cfRule type="expression" dxfId="4539" priority="372">
      <formula>$BC872="YES"</formula>
    </cfRule>
  </conditionalFormatting>
  <conditionalFormatting sqref="T873:U873">
    <cfRule type="expression" dxfId="4538" priority="373">
      <formula>$BC873="YES"</formula>
    </cfRule>
  </conditionalFormatting>
  <conditionalFormatting sqref="P874:Q874">
    <cfRule type="expression" dxfId="4537" priority="374">
      <formula>$BC874="YES"</formula>
    </cfRule>
  </conditionalFormatting>
  <conditionalFormatting sqref="N874:N875">
    <cfRule type="expression" dxfId="4536" priority="375">
      <formula>$BC874="YES"</formula>
    </cfRule>
  </conditionalFormatting>
  <conditionalFormatting sqref="O874">
    <cfRule type="expression" dxfId="4535" priority="376">
      <formula>$BC874="YES"</formula>
    </cfRule>
  </conditionalFormatting>
  <conditionalFormatting sqref="O875">
    <cfRule type="expression" dxfId="4534" priority="377">
      <formula>$BC875="YES"</formula>
    </cfRule>
  </conditionalFormatting>
  <conditionalFormatting sqref="P875:Q875">
    <cfRule type="expression" dxfId="4533" priority="378">
      <formula>$BC875="YES"</formula>
    </cfRule>
  </conditionalFormatting>
  <conditionalFormatting sqref="R874:S874">
    <cfRule type="expression" dxfId="4532" priority="379">
      <formula>$BC874="YES"</formula>
    </cfRule>
  </conditionalFormatting>
  <conditionalFormatting sqref="R875:S875">
    <cfRule type="expression" dxfId="4531" priority="380">
      <formula>$BC875="YES"</formula>
    </cfRule>
  </conditionalFormatting>
  <conditionalFormatting sqref="T874:U874">
    <cfRule type="expression" dxfId="4530" priority="381">
      <formula>$BC874="YES"</formula>
    </cfRule>
  </conditionalFormatting>
  <conditionalFormatting sqref="T875:U875">
    <cfRule type="expression" dxfId="4529" priority="382">
      <formula>$BC875="YES"</formula>
    </cfRule>
  </conditionalFormatting>
  <conditionalFormatting sqref="P877:Q877">
    <cfRule type="expression" dxfId="4528" priority="383">
      <formula>$BC877="YES"</formula>
    </cfRule>
  </conditionalFormatting>
  <conditionalFormatting sqref="N877:N878">
    <cfRule type="expression" dxfId="4527" priority="384">
      <formula>$BC877="YES"</formula>
    </cfRule>
  </conditionalFormatting>
  <conditionalFormatting sqref="O877">
    <cfRule type="expression" dxfId="4526" priority="385">
      <formula>$BC877="YES"</formula>
    </cfRule>
  </conditionalFormatting>
  <conditionalFormatting sqref="O878">
    <cfRule type="expression" dxfId="4525" priority="386">
      <formula>$BC878="YES"</formula>
    </cfRule>
  </conditionalFormatting>
  <conditionalFormatting sqref="P878:Q878">
    <cfRule type="expression" dxfId="4524" priority="387">
      <formula>$BC878="YES"</formula>
    </cfRule>
  </conditionalFormatting>
  <conditionalFormatting sqref="R877:S877">
    <cfRule type="expression" dxfId="4523" priority="388">
      <formula>$BC877="YES"</formula>
    </cfRule>
  </conditionalFormatting>
  <conditionalFormatting sqref="R878:S878">
    <cfRule type="expression" dxfId="4522" priority="389">
      <formula>$BC878="YES"</formula>
    </cfRule>
  </conditionalFormatting>
  <conditionalFormatting sqref="T877:U877">
    <cfRule type="expression" dxfId="4521" priority="390">
      <formula>$BC877="YES"</formula>
    </cfRule>
  </conditionalFormatting>
  <conditionalFormatting sqref="T878:U878">
    <cfRule type="expression" dxfId="4520" priority="391">
      <formula>$BC878="YES"</formula>
    </cfRule>
  </conditionalFormatting>
  <conditionalFormatting sqref="P879:Q879">
    <cfRule type="expression" dxfId="4519" priority="392">
      <formula>$BC879="YES"</formula>
    </cfRule>
  </conditionalFormatting>
  <conditionalFormatting sqref="N879:N880">
    <cfRule type="expression" dxfId="4518" priority="393">
      <formula>$BC879="YES"</formula>
    </cfRule>
  </conditionalFormatting>
  <conditionalFormatting sqref="O879">
    <cfRule type="expression" dxfId="4517" priority="394">
      <formula>$BC879="YES"</formula>
    </cfRule>
  </conditionalFormatting>
  <conditionalFormatting sqref="O880">
    <cfRule type="expression" dxfId="4516" priority="395">
      <formula>$BC880="YES"</formula>
    </cfRule>
  </conditionalFormatting>
  <conditionalFormatting sqref="P880:Q880">
    <cfRule type="expression" dxfId="4515" priority="396">
      <formula>$BC880="YES"</formula>
    </cfRule>
  </conditionalFormatting>
  <conditionalFormatting sqref="R879:S879">
    <cfRule type="expression" dxfId="4514" priority="397">
      <formula>$BC879="YES"</formula>
    </cfRule>
  </conditionalFormatting>
  <conditionalFormatting sqref="R880:S880">
    <cfRule type="expression" dxfId="4513" priority="398">
      <formula>$BC880="YES"</formula>
    </cfRule>
  </conditionalFormatting>
  <conditionalFormatting sqref="T879:U879">
    <cfRule type="expression" dxfId="4512" priority="399">
      <formula>$BC879="YES"</formula>
    </cfRule>
  </conditionalFormatting>
  <conditionalFormatting sqref="T880:U880">
    <cfRule type="expression" dxfId="4511" priority="400">
      <formula>$BC880="YES"</formula>
    </cfRule>
  </conditionalFormatting>
  <conditionalFormatting sqref="P881:Q881">
    <cfRule type="expression" dxfId="4510" priority="401">
      <formula>$BC881="YES"</formula>
    </cfRule>
  </conditionalFormatting>
  <conditionalFormatting sqref="N881:N882">
    <cfRule type="expression" dxfId="4509" priority="402">
      <formula>$BC881="YES"</formula>
    </cfRule>
  </conditionalFormatting>
  <conditionalFormatting sqref="O881">
    <cfRule type="expression" dxfId="4508" priority="403">
      <formula>$BC881="YES"</formula>
    </cfRule>
  </conditionalFormatting>
  <conditionalFormatting sqref="O882">
    <cfRule type="expression" dxfId="4507" priority="404">
      <formula>$BC882="YES"</formula>
    </cfRule>
  </conditionalFormatting>
  <conditionalFormatting sqref="P882:Q882">
    <cfRule type="expression" dxfId="4506" priority="405">
      <formula>$BC882="YES"</formula>
    </cfRule>
  </conditionalFormatting>
  <conditionalFormatting sqref="R881:S881">
    <cfRule type="expression" dxfId="4505" priority="406">
      <formula>$BC881="YES"</formula>
    </cfRule>
  </conditionalFormatting>
  <conditionalFormatting sqref="R882:S882">
    <cfRule type="expression" dxfId="4504" priority="407">
      <formula>$BC882="YES"</formula>
    </cfRule>
  </conditionalFormatting>
  <conditionalFormatting sqref="T881:U881">
    <cfRule type="expression" dxfId="4503" priority="408">
      <formula>$BC881="YES"</formula>
    </cfRule>
  </conditionalFormatting>
  <conditionalFormatting sqref="T882:U882">
    <cfRule type="expression" dxfId="4502" priority="409">
      <formula>$BC882="YES"</formula>
    </cfRule>
  </conditionalFormatting>
  <conditionalFormatting sqref="AJ811:AK1009">
    <cfRule type="expression" dxfId="4501" priority="410">
      <formula>$BC811="YES"</formula>
    </cfRule>
  </conditionalFormatting>
  <conditionalFormatting sqref="R1012:S1013">
    <cfRule type="expression" dxfId="4500" priority="411">
      <formula>$BC1012="YES"</formula>
    </cfRule>
  </conditionalFormatting>
  <conditionalFormatting sqref="B1207:E1209">
    <cfRule type="expression" dxfId="4499" priority="412">
      <formula>$BC1207="YES"</formula>
    </cfRule>
  </conditionalFormatting>
  <conditionalFormatting sqref="P1012:Q1013">
    <cfRule type="expression" dxfId="4498" priority="413">
      <formula>$BC1012="YES"</formula>
    </cfRule>
  </conditionalFormatting>
  <conditionalFormatting sqref="P1014:Q1015">
    <cfRule type="expression" dxfId="4497" priority="414">
      <formula>$BC1014="YES"</formula>
    </cfRule>
  </conditionalFormatting>
  <conditionalFormatting sqref="P1016:Q1017">
    <cfRule type="expression" dxfId="4496" priority="415">
      <formula>$BC1016="YES"</formula>
    </cfRule>
  </conditionalFormatting>
  <conditionalFormatting sqref="O1012:O1013">
    <cfRule type="expression" dxfId="4495" priority="416">
      <formula>$BC1012="YES"</formula>
    </cfRule>
  </conditionalFormatting>
  <conditionalFormatting sqref="O1014:O1015">
    <cfRule type="expression" dxfId="4494" priority="417">
      <formula>$BC1014="YES"</formula>
    </cfRule>
  </conditionalFormatting>
  <conditionalFormatting sqref="O1016:O1017">
    <cfRule type="expression" dxfId="4493" priority="418">
      <formula>$BC1016="YES"</formula>
    </cfRule>
  </conditionalFormatting>
  <conditionalFormatting sqref="O1018:O1019">
    <cfRule type="expression" dxfId="4492" priority="419">
      <formula>$BC1018="YES"</formula>
    </cfRule>
  </conditionalFormatting>
  <conditionalFormatting sqref="O1020:O1021">
    <cfRule type="expression" dxfId="4491" priority="420">
      <formula>$BC1020="YES"</formula>
    </cfRule>
  </conditionalFormatting>
  <conditionalFormatting sqref="N1022:O1023">
    <cfRule type="expression" dxfId="4490" priority="421">
      <formula>$BC1022="YES"</formula>
    </cfRule>
  </conditionalFormatting>
  <conditionalFormatting sqref="O1024:O1025">
    <cfRule type="expression" dxfId="4489" priority="422">
      <formula>$BC1024="YES"</formula>
    </cfRule>
  </conditionalFormatting>
  <conditionalFormatting sqref="O1026:O1027">
    <cfRule type="expression" dxfId="4488" priority="423">
      <formula>$BC1026="YES"</formula>
    </cfRule>
  </conditionalFormatting>
  <conditionalFormatting sqref="O1028:O1029">
    <cfRule type="expression" dxfId="4487" priority="424">
      <formula>$BC1028="YES"</formula>
    </cfRule>
  </conditionalFormatting>
  <conditionalFormatting sqref="O1030:O1031">
    <cfRule type="expression" dxfId="4486" priority="425">
      <formula>$BC1030="YES"</formula>
    </cfRule>
  </conditionalFormatting>
  <conditionalFormatting sqref="O1032:O1033">
    <cfRule type="expression" dxfId="4485" priority="426">
      <formula>$BC1032="YES"</formula>
    </cfRule>
  </conditionalFormatting>
  <conditionalFormatting sqref="P1018:Q1019">
    <cfRule type="expression" dxfId="4484" priority="427">
      <formula>$BC1018="YES"</formula>
    </cfRule>
  </conditionalFormatting>
  <conditionalFormatting sqref="P1020:Q1021">
    <cfRule type="expression" dxfId="4483" priority="428">
      <formula>$BC1020="YES"</formula>
    </cfRule>
  </conditionalFormatting>
  <conditionalFormatting sqref="P1022:Q1023">
    <cfRule type="expression" dxfId="4482" priority="429">
      <formula>$BC1022="YES"</formula>
    </cfRule>
  </conditionalFormatting>
  <conditionalFormatting sqref="P1024:Q1024">
    <cfRule type="expression" dxfId="4481" priority="430">
      <formula>$BC1024="YES"</formula>
    </cfRule>
  </conditionalFormatting>
  <conditionalFormatting sqref="P1026:Q1027">
    <cfRule type="expression" dxfId="4480" priority="431">
      <formula>$BC1026="YES"</formula>
    </cfRule>
  </conditionalFormatting>
  <conditionalFormatting sqref="P1028:Q1029">
    <cfRule type="expression" dxfId="4479" priority="432">
      <formula>$BC1028="YES"</formula>
    </cfRule>
  </conditionalFormatting>
  <conditionalFormatting sqref="P1030:Q1031">
    <cfRule type="expression" dxfId="4478" priority="433">
      <formula>$BC1030="YES"</formula>
    </cfRule>
  </conditionalFormatting>
  <conditionalFormatting sqref="P1032:Q1032">
    <cfRule type="expression" dxfId="4477" priority="434">
      <formula>$BC1032="YES"</formula>
    </cfRule>
  </conditionalFormatting>
  <conditionalFormatting sqref="R1014:S1017">
    <cfRule type="expression" dxfId="4476" priority="435">
      <formula>$BC1014="YES"</formula>
    </cfRule>
  </conditionalFormatting>
  <conditionalFormatting sqref="R1018:S1021">
    <cfRule type="expression" dxfId="4475" priority="436">
      <formula>$BC1018="YES"</formula>
    </cfRule>
  </conditionalFormatting>
  <conditionalFormatting sqref="R1022:S1025">
    <cfRule type="expression" dxfId="4474" priority="437">
      <formula>$BC1022="YES"</formula>
    </cfRule>
  </conditionalFormatting>
  <conditionalFormatting sqref="R1026:S1029">
    <cfRule type="expression" dxfId="4473" priority="438">
      <formula>$BC1026="YES"</formula>
    </cfRule>
  </conditionalFormatting>
  <conditionalFormatting sqref="R1030:S1033">
    <cfRule type="expression" dxfId="4472" priority="439">
      <formula>$BC1030="YES"</formula>
    </cfRule>
  </conditionalFormatting>
  <conditionalFormatting sqref="T1012:U1013">
    <cfRule type="expression" dxfId="4471" priority="440">
      <formula>$BC1012="YES"</formula>
    </cfRule>
  </conditionalFormatting>
  <conditionalFormatting sqref="T1014:U1015">
    <cfRule type="expression" dxfId="4470" priority="441">
      <formula>$BC1014="YES"</formula>
    </cfRule>
  </conditionalFormatting>
  <conditionalFormatting sqref="T1016:U1017">
    <cfRule type="expression" dxfId="4469" priority="442">
      <formula>$BC1016="YES"</formula>
    </cfRule>
  </conditionalFormatting>
  <conditionalFormatting sqref="T1018:U1019">
    <cfRule type="expression" dxfId="4468" priority="443">
      <formula>$BC1018="YES"</formula>
    </cfRule>
  </conditionalFormatting>
  <conditionalFormatting sqref="T1020:U1021">
    <cfRule type="expression" dxfId="4467" priority="444">
      <formula>$BC1020="YES"</formula>
    </cfRule>
  </conditionalFormatting>
  <conditionalFormatting sqref="T1022:U1023">
    <cfRule type="expression" dxfId="4466" priority="445">
      <formula>$BC1022="YES"</formula>
    </cfRule>
  </conditionalFormatting>
  <conditionalFormatting sqref="T1024:U1025">
    <cfRule type="expression" dxfId="4465" priority="446">
      <formula>$BC1024="YES"</formula>
    </cfRule>
  </conditionalFormatting>
  <conditionalFormatting sqref="T1026:U1027">
    <cfRule type="expression" dxfId="4464" priority="447">
      <formula>$BC1026="YES"</formula>
    </cfRule>
  </conditionalFormatting>
  <conditionalFormatting sqref="T1028:U1029">
    <cfRule type="expression" dxfId="4463" priority="448">
      <formula>$BC1028="YES"</formula>
    </cfRule>
  </conditionalFormatting>
  <conditionalFormatting sqref="T1030:U1031">
    <cfRule type="expression" dxfId="4462" priority="449">
      <formula>$BC1030="YES"</formula>
    </cfRule>
  </conditionalFormatting>
  <conditionalFormatting sqref="T1032:U1033">
    <cfRule type="expression" dxfId="4461" priority="450">
      <formula>$BC1032="YES"</formula>
    </cfRule>
  </conditionalFormatting>
  <conditionalFormatting sqref="P1035:Q1035">
    <cfRule type="expression" dxfId="4460" priority="451">
      <formula>$BC1035="YES"</formula>
    </cfRule>
  </conditionalFormatting>
  <conditionalFormatting sqref="N1034:N1037">
    <cfRule type="expression" dxfId="4459" priority="452">
      <formula>$BC1034="YES"</formula>
    </cfRule>
  </conditionalFormatting>
  <conditionalFormatting sqref="O1034:O1035">
    <cfRule type="expression" dxfId="4458" priority="453">
      <formula>$BC1034="YES"</formula>
    </cfRule>
  </conditionalFormatting>
  <conditionalFormatting sqref="O1036:O1037">
    <cfRule type="expression" dxfId="4457" priority="454">
      <formula>$BC1036="YES"</formula>
    </cfRule>
  </conditionalFormatting>
  <conditionalFormatting sqref="P1034:Q1034">
    <cfRule type="expression" dxfId="4456" priority="455">
      <formula>$BC1034="YES"</formula>
    </cfRule>
  </conditionalFormatting>
  <conditionalFormatting sqref="P1036:Q1037">
    <cfRule type="expression" dxfId="4455" priority="456">
      <formula>$BC1036="YES"</formula>
    </cfRule>
  </conditionalFormatting>
  <conditionalFormatting sqref="R1034:S1035">
    <cfRule type="expression" dxfId="4454" priority="457">
      <formula>$BC1034="YES"</formula>
    </cfRule>
  </conditionalFormatting>
  <conditionalFormatting sqref="R1036:S1037">
    <cfRule type="expression" dxfId="4453" priority="458">
      <formula>$BC1036="YES"</formula>
    </cfRule>
  </conditionalFormatting>
  <conditionalFormatting sqref="T1034:U1035">
    <cfRule type="expression" dxfId="4452" priority="459">
      <formula>$BC1034="YES"</formula>
    </cfRule>
  </conditionalFormatting>
  <conditionalFormatting sqref="T1036:U1037">
    <cfRule type="expression" dxfId="4451" priority="460">
      <formula>$BC1036="YES"</formula>
    </cfRule>
  </conditionalFormatting>
  <conditionalFormatting sqref="P1039:Q1039">
    <cfRule type="expression" dxfId="4450" priority="461">
      <formula>$BC1039="YES"</formula>
    </cfRule>
  </conditionalFormatting>
  <conditionalFormatting sqref="N1038:N1041">
    <cfRule type="expression" dxfId="4449" priority="462">
      <formula>$BC1038="YES"</formula>
    </cfRule>
  </conditionalFormatting>
  <conditionalFormatting sqref="O1038:O1039">
    <cfRule type="expression" dxfId="4448" priority="463">
      <formula>$BC1038="YES"</formula>
    </cfRule>
  </conditionalFormatting>
  <conditionalFormatting sqref="O1040:O1041">
    <cfRule type="expression" dxfId="4447" priority="464">
      <formula>$BC1040="YES"</formula>
    </cfRule>
  </conditionalFormatting>
  <conditionalFormatting sqref="P1038:Q1038">
    <cfRule type="expression" dxfId="4446" priority="465">
      <formula>$BC1038="YES"</formula>
    </cfRule>
  </conditionalFormatting>
  <conditionalFormatting sqref="P1040:Q1041">
    <cfRule type="expression" dxfId="4445" priority="466">
      <formula>$BC1040="YES"</formula>
    </cfRule>
  </conditionalFormatting>
  <conditionalFormatting sqref="R1038:S1039">
    <cfRule type="expression" dxfId="4444" priority="467">
      <formula>$BC1038="YES"</formula>
    </cfRule>
  </conditionalFormatting>
  <conditionalFormatting sqref="R1040:S1041">
    <cfRule type="expression" dxfId="4443" priority="468">
      <formula>$BC1040="YES"</formula>
    </cfRule>
  </conditionalFormatting>
  <conditionalFormatting sqref="T1038:U1039">
    <cfRule type="expression" dxfId="4442" priority="469">
      <formula>$BC1038="YES"</formula>
    </cfRule>
  </conditionalFormatting>
  <conditionalFormatting sqref="T1040:U1041">
    <cfRule type="expression" dxfId="4441" priority="470">
      <formula>$BC1040="YES"</formula>
    </cfRule>
  </conditionalFormatting>
  <conditionalFormatting sqref="P1043:Q1043">
    <cfRule type="expression" dxfId="4440" priority="471">
      <formula>$BC1043="YES"</formula>
    </cfRule>
  </conditionalFormatting>
  <conditionalFormatting sqref="N1042:N1045">
    <cfRule type="expression" dxfId="4439" priority="472">
      <formula>$BC1042="YES"</formula>
    </cfRule>
  </conditionalFormatting>
  <conditionalFormatting sqref="O1042:O1043">
    <cfRule type="expression" dxfId="4438" priority="473">
      <formula>$BC1042="YES"</formula>
    </cfRule>
  </conditionalFormatting>
  <conditionalFormatting sqref="O1044:O1045">
    <cfRule type="expression" dxfId="4437" priority="474">
      <formula>$BC1044="YES"</formula>
    </cfRule>
  </conditionalFormatting>
  <conditionalFormatting sqref="P1042:Q1042">
    <cfRule type="expression" dxfId="4436" priority="475">
      <formula>$BC1042="YES"</formula>
    </cfRule>
  </conditionalFormatting>
  <conditionalFormatting sqref="P1044:Q1045">
    <cfRule type="expression" dxfId="4435" priority="476">
      <formula>$BC1044="YES"</formula>
    </cfRule>
  </conditionalFormatting>
  <conditionalFormatting sqref="R1042:S1043">
    <cfRule type="expression" dxfId="4434" priority="477">
      <formula>$BC1042="YES"</formula>
    </cfRule>
  </conditionalFormatting>
  <conditionalFormatting sqref="R1044:S1045">
    <cfRule type="expression" dxfId="4433" priority="478">
      <formula>$BC1044="YES"</formula>
    </cfRule>
  </conditionalFormatting>
  <conditionalFormatting sqref="T1042:U1043">
    <cfRule type="expression" dxfId="4432" priority="479">
      <formula>$BC1042="YES"</formula>
    </cfRule>
  </conditionalFormatting>
  <conditionalFormatting sqref="T1044:U1045">
    <cfRule type="expression" dxfId="4431" priority="480">
      <formula>$BC1044="YES"</formula>
    </cfRule>
  </conditionalFormatting>
  <conditionalFormatting sqref="P1047:Q1047">
    <cfRule type="expression" dxfId="4430" priority="481">
      <formula>$BC1047="YES"</formula>
    </cfRule>
  </conditionalFormatting>
  <conditionalFormatting sqref="N1046:N1049">
    <cfRule type="expression" dxfId="4429" priority="482">
      <formula>$BC1046="YES"</formula>
    </cfRule>
  </conditionalFormatting>
  <conditionalFormatting sqref="O1046:O1047">
    <cfRule type="expression" dxfId="4428" priority="483">
      <formula>$BC1046="YES"</formula>
    </cfRule>
  </conditionalFormatting>
  <conditionalFormatting sqref="O1048:O1049">
    <cfRule type="expression" dxfId="4427" priority="484">
      <formula>$BC1048="YES"</formula>
    </cfRule>
  </conditionalFormatting>
  <conditionalFormatting sqref="P1046:Q1046">
    <cfRule type="expression" dxfId="4426" priority="485">
      <formula>$BC1046="YES"</formula>
    </cfRule>
  </conditionalFormatting>
  <conditionalFormatting sqref="P1048:Q1049">
    <cfRule type="expression" dxfId="4425" priority="486">
      <formula>$BC1048="YES"</formula>
    </cfRule>
  </conditionalFormatting>
  <conditionalFormatting sqref="R1046:S1047">
    <cfRule type="expression" dxfId="4424" priority="487">
      <formula>$BC1046="YES"</formula>
    </cfRule>
  </conditionalFormatting>
  <conditionalFormatting sqref="R1048:S1049">
    <cfRule type="expression" dxfId="4423" priority="488">
      <formula>$BC1048="YES"</formula>
    </cfRule>
  </conditionalFormatting>
  <conditionalFormatting sqref="T1046:U1047">
    <cfRule type="expression" dxfId="4422" priority="489">
      <formula>$BC1046="YES"</formula>
    </cfRule>
  </conditionalFormatting>
  <conditionalFormatting sqref="T1048:U1049">
    <cfRule type="expression" dxfId="4421" priority="490">
      <formula>$BC1048="YES"</formula>
    </cfRule>
  </conditionalFormatting>
  <conditionalFormatting sqref="P1051:Q1051">
    <cfRule type="expression" dxfId="4420" priority="491">
      <formula>$BC1051="YES"</formula>
    </cfRule>
  </conditionalFormatting>
  <conditionalFormatting sqref="N1050:N1053">
    <cfRule type="expression" dxfId="4419" priority="492">
      <formula>$BC1050="YES"</formula>
    </cfRule>
  </conditionalFormatting>
  <conditionalFormatting sqref="O1050:O1051">
    <cfRule type="expression" dxfId="4418" priority="493">
      <formula>$BC1050="YES"</formula>
    </cfRule>
  </conditionalFormatting>
  <conditionalFormatting sqref="O1052:O1053">
    <cfRule type="expression" dxfId="4417" priority="494">
      <formula>$BC1052="YES"</formula>
    </cfRule>
  </conditionalFormatting>
  <conditionalFormatting sqref="P1050:Q1050">
    <cfRule type="expression" dxfId="4416" priority="495">
      <formula>$BC1050="YES"</formula>
    </cfRule>
  </conditionalFormatting>
  <conditionalFormatting sqref="P1052:Q1053">
    <cfRule type="expression" dxfId="4415" priority="496">
      <formula>$BC1052="YES"</formula>
    </cfRule>
  </conditionalFormatting>
  <conditionalFormatting sqref="R1050:S1051">
    <cfRule type="expression" dxfId="4414" priority="497">
      <formula>$BC1050="YES"</formula>
    </cfRule>
  </conditionalFormatting>
  <conditionalFormatting sqref="R1052:S1053">
    <cfRule type="expression" dxfId="4413" priority="498">
      <formula>$BC1052="YES"</formula>
    </cfRule>
  </conditionalFormatting>
  <conditionalFormatting sqref="T1050:U1051">
    <cfRule type="expression" dxfId="4412" priority="499">
      <formula>$BC1050="YES"</formula>
    </cfRule>
  </conditionalFormatting>
  <conditionalFormatting sqref="T1052:U1053">
    <cfRule type="expression" dxfId="4411" priority="500">
      <formula>$BC1052="YES"</formula>
    </cfRule>
  </conditionalFormatting>
  <conditionalFormatting sqref="P1055:Q1055">
    <cfRule type="expression" dxfId="4410" priority="501">
      <formula>$BC1055="YES"</formula>
    </cfRule>
  </conditionalFormatting>
  <conditionalFormatting sqref="N1054:N1057">
    <cfRule type="expression" dxfId="4409" priority="502">
      <formula>$BC1054="YES"</formula>
    </cfRule>
  </conditionalFormatting>
  <conditionalFormatting sqref="O1054:O1055">
    <cfRule type="expression" dxfId="4408" priority="503">
      <formula>$BC1054="YES"</formula>
    </cfRule>
  </conditionalFormatting>
  <conditionalFormatting sqref="O1056:O1057">
    <cfRule type="expression" dxfId="4407" priority="504">
      <formula>$BC1056="YES"</formula>
    </cfRule>
  </conditionalFormatting>
  <conditionalFormatting sqref="P1054:Q1054">
    <cfRule type="expression" dxfId="4406" priority="505">
      <formula>$BC1054="YES"</formula>
    </cfRule>
  </conditionalFormatting>
  <conditionalFormatting sqref="P1056:Q1057">
    <cfRule type="expression" dxfId="4405" priority="506">
      <formula>$BC1056="YES"</formula>
    </cfRule>
  </conditionalFormatting>
  <conditionalFormatting sqref="R1054:S1055">
    <cfRule type="expression" dxfId="4404" priority="507">
      <formula>$BC1054="YES"</formula>
    </cfRule>
  </conditionalFormatting>
  <conditionalFormatting sqref="R1056:S1057">
    <cfRule type="expression" dxfId="4403" priority="508">
      <formula>$BC1056="YES"</formula>
    </cfRule>
  </conditionalFormatting>
  <conditionalFormatting sqref="T1054:U1055">
    <cfRule type="expression" dxfId="4402" priority="509">
      <formula>$BC1054="YES"</formula>
    </cfRule>
  </conditionalFormatting>
  <conditionalFormatting sqref="T1056:U1057">
    <cfRule type="expression" dxfId="4401" priority="510">
      <formula>$BC1056="YES"</formula>
    </cfRule>
  </conditionalFormatting>
  <conditionalFormatting sqref="P1059:Q1059">
    <cfRule type="expression" dxfId="4400" priority="511">
      <formula>$BC1059="YES"</formula>
    </cfRule>
  </conditionalFormatting>
  <conditionalFormatting sqref="N1058:N1061">
    <cfRule type="expression" dxfId="4399" priority="512">
      <formula>$BC1058="YES"</formula>
    </cfRule>
  </conditionalFormatting>
  <conditionalFormatting sqref="O1058:O1059">
    <cfRule type="expression" dxfId="4398" priority="513">
      <formula>$BC1058="YES"</formula>
    </cfRule>
  </conditionalFormatting>
  <conditionalFormatting sqref="O1060:O1061">
    <cfRule type="expression" dxfId="4397" priority="514">
      <formula>$BC1060="YES"</formula>
    </cfRule>
  </conditionalFormatting>
  <conditionalFormatting sqref="P1058:Q1058">
    <cfRule type="expression" dxfId="4396" priority="515">
      <formula>$BC1058="YES"</formula>
    </cfRule>
  </conditionalFormatting>
  <conditionalFormatting sqref="P1060:Q1061">
    <cfRule type="expression" dxfId="4395" priority="516">
      <formula>$BC1060="YES"</formula>
    </cfRule>
  </conditionalFormatting>
  <conditionalFormatting sqref="R1058:S1059">
    <cfRule type="expression" dxfId="4394" priority="517">
      <formula>$BC1058="YES"</formula>
    </cfRule>
  </conditionalFormatting>
  <conditionalFormatting sqref="R1060:S1061">
    <cfRule type="expression" dxfId="4393" priority="518">
      <formula>$BC1060="YES"</formula>
    </cfRule>
  </conditionalFormatting>
  <conditionalFormatting sqref="T1058:U1059">
    <cfRule type="expression" dxfId="4392" priority="519">
      <formula>$BC1058="YES"</formula>
    </cfRule>
  </conditionalFormatting>
  <conditionalFormatting sqref="T1060:U1061">
    <cfRule type="expression" dxfId="4391" priority="520">
      <formula>$BC1060="YES"</formula>
    </cfRule>
  </conditionalFormatting>
  <conditionalFormatting sqref="P1062:Q1062">
    <cfRule type="expression" dxfId="4390" priority="521">
      <formula>$BC1062="YES"</formula>
    </cfRule>
  </conditionalFormatting>
  <conditionalFormatting sqref="N1062:N1063">
    <cfRule type="expression" dxfId="4389" priority="522">
      <formula>$BC1062="YES"</formula>
    </cfRule>
  </conditionalFormatting>
  <conditionalFormatting sqref="O1062">
    <cfRule type="expression" dxfId="4388" priority="523">
      <formula>$BC1062="YES"</formula>
    </cfRule>
  </conditionalFormatting>
  <conditionalFormatting sqref="O1063">
    <cfRule type="expression" dxfId="4387" priority="524">
      <formula>$BC1063="YES"</formula>
    </cfRule>
  </conditionalFormatting>
  <conditionalFormatting sqref="P1063:Q1063">
    <cfRule type="expression" dxfId="4386" priority="525">
      <formula>$BC1063="YES"</formula>
    </cfRule>
  </conditionalFormatting>
  <conditionalFormatting sqref="R1062:S1062">
    <cfRule type="expression" dxfId="4385" priority="526">
      <formula>$BC1062="YES"</formula>
    </cfRule>
  </conditionalFormatting>
  <conditionalFormatting sqref="R1063:S1063">
    <cfRule type="expression" dxfId="4384" priority="527">
      <formula>$BC1063="YES"</formula>
    </cfRule>
  </conditionalFormatting>
  <conditionalFormatting sqref="T1062:U1062">
    <cfRule type="expression" dxfId="4383" priority="528">
      <formula>$BC1062="YES"</formula>
    </cfRule>
  </conditionalFormatting>
  <conditionalFormatting sqref="T1063:U1063">
    <cfRule type="expression" dxfId="4382" priority="529">
      <formula>$BC1063="YES"</formula>
    </cfRule>
  </conditionalFormatting>
  <conditionalFormatting sqref="P1064:Q1064">
    <cfRule type="expression" dxfId="4381" priority="530">
      <formula>$BC1064="YES"</formula>
    </cfRule>
  </conditionalFormatting>
  <conditionalFormatting sqref="N1064:N1065">
    <cfRule type="expression" dxfId="4380" priority="531">
      <formula>$BC1064="YES"</formula>
    </cfRule>
  </conditionalFormatting>
  <conditionalFormatting sqref="O1064">
    <cfRule type="expression" dxfId="4379" priority="532">
      <formula>$BC1064="YES"</formula>
    </cfRule>
  </conditionalFormatting>
  <conditionalFormatting sqref="O1065">
    <cfRule type="expression" dxfId="4378" priority="533">
      <formula>$BC1065="YES"</formula>
    </cfRule>
  </conditionalFormatting>
  <conditionalFormatting sqref="P1065:Q1065">
    <cfRule type="expression" dxfId="4377" priority="534">
      <formula>$BC1065="YES"</formula>
    </cfRule>
  </conditionalFormatting>
  <conditionalFormatting sqref="R1064:S1064">
    <cfRule type="expression" dxfId="4376" priority="535">
      <formula>$BC1064="YES"</formula>
    </cfRule>
  </conditionalFormatting>
  <conditionalFormatting sqref="R1065:S1065">
    <cfRule type="expression" dxfId="4375" priority="536">
      <formula>$BC1065="YES"</formula>
    </cfRule>
  </conditionalFormatting>
  <conditionalFormatting sqref="T1064:U1064">
    <cfRule type="expression" dxfId="4374" priority="537">
      <formula>$BC1064="YES"</formula>
    </cfRule>
  </conditionalFormatting>
  <conditionalFormatting sqref="T1065:U1065">
    <cfRule type="expression" dxfId="4373" priority="538">
      <formula>$BC1065="YES"</formula>
    </cfRule>
  </conditionalFormatting>
  <conditionalFormatting sqref="P1066:Q1066">
    <cfRule type="expression" dxfId="4372" priority="539">
      <formula>$BC1066="YES"</formula>
    </cfRule>
  </conditionalFormatting>
  <conditionalFormatting sqref="N1066:N1067">
    <cfRule type="expression" dxfId="4371" priority="540">
      <formula>$BC1066="YES"</formula>
    </cfRule>
  </conditionalFormatting>
  <conditionalFormatting sqref="O1066">
    <cfRule type="expression" dxfId="4370" priority="541">
      <formula>$BC1066="YES"</formula>
    </cfRule>
  </conditionalFormatting>
  <conditionalFormatting sqref="O1067">
    <cfRule type="expression" dxfId="4369" priority="542">
      <formula>$BC1067="YES"</formula>
    </cfRule>
  </conditionalFormatting>
  <conditionalFormatting sqref="P1067:Q1067">
    <cfRule type="expression" dxfId="4368" priority="543">
      <formula>$BC1067="YES"</formula>
    </cfRule>
  </conditionalFormatting>
  <conditionalFormatting sqref="R1066:S1066">
    <cfRule type="expression" dxfId="4367" priority="544">
      <formula>$BC1066="YES"</formula>
    </cfRule>
  </conditionalFormatting>
  <conditionalFormatting sqref="R1067:S1067">
    <cfRule type="expression" dxfId="4366" priority="545">
      <formula>$BC1067="YES"</formula>
    </cfRule>
  </conditionalFormatting>
  <conditionalFormatting sqref="T1066:U1066">
    <cfRule type="expression" dxfId="4365" priority="546">
      <formula>$BC1066="YES"</formula>
    </cfRule>
  </conditionalFormatting>
  <conditionalFormatting sqref="T1067:U1067">
    <cfRule type="expression" dxfId="4364" priority="547">
      <formula>$BC1067="YES"</formula>
    </cfRule>
  </conditionalFormatting>
  <conditionalFormatting sqref="P1068:Q1068">
    <cfRule type="expression" dxfId="4363" priority="548">
      <formula>$BC1068="YES"</formula>
    </cfRule>
  </conditionalFormatting>
  <conditionalFormatting sqref="N1068:N1069">
    <cfRule type="expression" dxfId="4362" priority="549">
      <formula>$BC1068="YES"</formula>
    </cfRule>
  </conditionalFormatting>
  <conditionalFormatting sqref="O1068">
    <cfRule type="expression" dxfId="4361" priority="550">
      <formula>$BC1068="YES"</formula>
    </cfRule>
  </conditionalFormatting>
  <conditionalFormatting sqref="O1069">
    <cfRule type="expression" dxfId="4360" priority="551">
      <formula>$BC1069="YES"</formula>
    </cfRule>
  </conditionalFormatting>
  <conditionalFormatting sqref="P1069:Q1069">
    <cfRule type="expression" dxfId="4359" priority="552">
      <formula>$BC1069="YES"</formula>
    </cfRule>
  </conditionalFormatting>
  <conditionalFormatting sqref="R1068:S1068">
    <cfRule type="expression" dxfId="4358" priority="553">
      <formula>$BC1068="YES"</formula>
    </cfRule>
  </conditionalFormatting>
  <conditionalFormatting sqref="R1069:S1069">
    <cfRule type="expression" dxfId="4357" priority="554">
      <formula>$BC1069="YES"</formula>
    </cfRule>
  </conditionalFormatting>
  <conditionalFormatting sqref="T1068:U1068">
    <cfRule type="expression" dxfId="4356" priority="555">
      <formula>$BC1068="YES"</formula>
    </cfRule>
  </conditionalFormatting>
  <conditionalFormatting sqref="T1069:U1069">
    <cfRule type="expression" dxfId="4355" priority="556">
      <formula>$BC1069="YES"</formula>
    </cfRule>
  </conditionalFormatting>
  <conditionalFormatting sqref="P1070:Q1070">
    <cfRule type="expression" dxfId="4354" priority="557">
      <formula>$BC1070="YES"</formula>
    </cfRule>
  </conditionalFormatting>
  <conditionalFormatting sqref="N1070:N1071">
    <cfRule type="expression" dxfId="4353" priority="558">
      <formula>$BC1070="YES"</formula>
    </cfRule>
  </conditionalFormatting>
  <conditionalFormatting sqref="O1070">
    <cfRule type="expression" dxfId="4352" priority="559">
      <formula>$BC1070="YES"</formula>
    </cfRule>
  </conditionalFormatting>
  <conditionalFormatting sqref="O1071">
    <cfRule type="expression" dxfId="4351" priority="560">
      <formula>$BC1071="YES"</formula>
    </cfRule>
  </conditionalFormatting>
  <conditionalFormatting sqref="P1071:Q1071">
    <cfRule type="expression" dxfId="4350" priority="561">
      <formula>$BC1071="YES"</formula>
    </cfRule>
  </conditionalFormatting>
  <conditionalFormatting sqref="R1070:S1070">
    <cfRule type="expression" dxfId="4349" priority="562">
      <formula>$BC1070="YES"</formula>
    </cfRule>
  </conditionalFormatting>
  <conditionalFormatting sqref="R1071:S1071">
    <cfRule type="expression" dxfId="4348" priority="563">
      <formula>$BC1071="YES"</formula>
    </cfRule>
  </conditionalFormatting>
  <conditionalFormatting sqref="T1070:U1070">
    <cfRule type="expression" dxfId="4347" priority="564">
      <formula>$BC1070="YES"</formula>
    </cfRule>
  </conditionalFormatting>
  <conditionalFormatting sqref="T1071:U1071">
    <cfRule type="expression" dxfId="4346" priority="565">
      <formula>$BC1071="YES"</formula>
    </cfRule>
  </conditionalFormatting>
  <conditionalFormatting sqref="P1072:Q1072">
    <cfRule type="expression" dxfId="4345" priority="566">
      <formula>$BC1072="YES"</formula>
    </cfRule>
  </conditionalFormatting>
  <conditionalFormatting sqref="N1072:N1073">
    <cfRule type="expression" dxfId="4344" priority="567">
      <formula>$BC1072="YES"</formula>
    </cfRule>
  </conditionalFormatting>
  <conditionalFormatting sqref="O1072">
    <cfRule type="expression" dxfId="4343" priority="568">
      <formula>$BC1072="YES"</formula>
    </cfRule>
  </conditionalFormatting>
  <conditionalFormatting sqref="O1073">
    <cfRule type="expression" dxfId="4342" priority="569">
      <formula>$BC1073="YES"</formula>
    </cfRule>
  </conditionalFormatting>
  <conditionalFormatting sqref="P1073:Q1073">
    <cfRule type="expression" dxfId="4341" priority="570">
      <formula>$BC1073="YES"</formula>
    </cfRule>
  </conditionalFormatting>
  <conditionalFormatting sqref="R1072:S1072">
    <cfRule type="expression" dxfId="4340" priority="571">
      <formula>$BC1072="YES"</formula>
    </cfRule>
  </conditionalFormatting>
  <conditionalFormatting sqref="R1073:S1073">
    <cfRule type="expression" dxfId="4339" priority="572">
      <formula>$BC1073="YES"</formula>
    </cfRule>
  </conditionalFormatting>
  <conditionalFormatting sqref="T1072:U1072">
    <cfRule type="expression" dxfId="4338" priority="573">
      <formula>$BC1072="YES"</formula>
    </cfRule>
  </conditionalFormatting>
  <conditionalFormatting sqref="T1073:U1073">
    <cfRule type="expression" dxfId="4337" priority="574">
      <formula>$BC1073="YES"</formula>
    </cfRule>
  </conditionalFormatting>
  <conditionalFormatting sqref="P1074:Q1074">
    <cfRule type="expression" dxfId="4336" priority="575">
      <formula>$BC1074="YES"</formula>
    </cfRule>
  </conditionalFormatting>
  <conditionalFormatting sqref="N1074:N1075">
    <cfRule type="expression" dxfId="4335" priority="576">
      <formula>$BC1074="YES"</formula>
    </cfRule>
  </conditionalFormatting>
  <conditionalFormatting sqref="O1074">
    <cfRule type="expression" dxfId="4334" priority="577">
      <formula>$BC1074="YES"</formula>
    </cfRule>
  </conditionalFormatting>
  <conditionalFormatting sqref="O1075">
    <cfRule type="expression" dxfId="4333" priority="578">
      <formula>$BC1075="YES"</formula>
    </cfRule>
  </conditionalFormatting>
  <conditionalFormatting sqref="P1075:Q1075">
    <cfRule type="expression" dxfId="4332" priority="579">
      <formula>$BC1075="YES"</formula>
    </cfRule>
  </conditionalFormatting>
  <conditionalFormatting sqref="R1074:S1074">
    <cfRule type="expression" dxfId="4331" priority="580">
      <formula>$BC1074="YES"</formula>
    </cfRule>
  </conditionalFormatting>
  <conditionalFormatting sqref="R1075:S1075">
    <cfRule type="expression" dxfId="4330" priority="581">
      <formula>$BC1075="YES"</formula>
    </cfRule>
  </conditionalFormatting>
  <conditionalFormatting sqref="T1074:U1074">
    <cfRule type="expression" dxfId="4329" priority="582">
      <formula>$BC1074="YES"</formula>
    </cfRule>
  </conditionalFormatting>
  <conditionalFormatting sqref="T1075:U1075">
    <cfRule type="expression" dxfId="4328" priority="583">
      <formula>$BC1075="YES"</formula>
    </cfRule>
  </conditionalFormatting>
  <conditionalFormatting sqref="P1077:Q1077">
    <cfRule type="expression" dxfId="4327" priority="584">
      <formula>$BC1077="YES"</formula>
    </cfRule>
  </conditionalFormatting>
  <conditionalFormatting sqref="N1077:N1078">
    <cfRule type="expression" dxfId="4326" priority="585">
      <formula>$BC1077="YES"</formula>
    </cfRule>
  </conditionalFormatting>
  <conditionalFormatting sqref="O1077">
    <cfRule type="expression" dxfId="4325" priority="586">
      <formula>$BC1077="YES"</formula>
    </cfRule>
  </conditionalFormatting>
  <conditionalFormatting sqref="O1078">
    <cfRule type="expression" dxfId="4324" priority="587">
      <formula>$BC1078="YES"</formula>
    </cfRule>
  </conditionalFormatting>
  <conditionalFormatting sqref="P1078:Q1078">
    <cfRule type="expression" dxfId="4323" priority="588">
      <formula>$BC1078="YES"</formula>
    </cfRule>
  </conditionalFormatting>
  <conditionalFormatting sqref="R1077:S1077">
    <cfRule type="expression" dxfId="4322" priority="589">
      <formula>$BC1077="YES"</formula>
    </cfRule>
  </conditionalFormatting>
  <conditionalFormatting sqref="R1078:S1078">
    <cfRule type="expression" dxfId="4321" priority="590">
      <formula>$BC1078="YES"</formula>
    </cfRule>
  </conditionalFormatting>
  <conditionalFormatting sqref="T1077:U1077">
    <cfRule type="expression" dxfId="4320" priority="591">
      <formula>$BC1077="YES"</formula>
    </cfRule>
  </conditionalFormatting>
  <conditionalFormatting sqref="T1078:U1078">
    <cfRule type="expression" dxfId="4319" priority="592">
      <formula>$BC1078="YES"</formula>
    </cfRule>
  </conditionalFormatting>
  <conditionalFormatting sqref="P1079:Q1079">
    <cfRule type="expression" dxfId="4318" priority="593">
      <formula>$BC1079="YES"</formula>
    </cfRule>
  </conditionalFormatting>
  <conditionalFormatting sqref="N1079:N1080">
    <cfRule type="expression" dxfId="4317" priority="594">
      <formula>$BC1079="YES"</formula>
    </cfRule>
  </conditionalFormatting>
  <conditionalFormatting sqref="O1079">
    <cfRule type="expression" dxfId="4316" priority="595">
      <formula>$BC1079="YES"</formula>
    </cfRule>
  </conditionalFormatting>
  <conditionalFormatting sqref="O1080">
    <cfRule type="expression" dxfId="4315" priority="596">
      <formula>$BC1080="YES"</formula>
    </cfRule>
  </conditionalFormatting>
  <conditionalFormatting sqref="P1080:Q1080">
    <cfRule type="expression" dxfId="4314" priority="597">
      <formula>$BC1080="YES"</formula>
    </cfRule>
  </conditionalFormatting>
  <conditionalFormatting sqref="R1079:S1079">
    <cfRule type="expression" dxfId="4313" priority="598">
      <formula>$BC1079="YES"</formula>
    </cfRule>
  </conditionalFormatting>
  <conditionalFormatting sqref="R1080:S1080">
    <cfRule type="expression" dxfId="4312" priority="599">
      <formula>$BC1080="YES"</formula>
    </cfRule>
  </conditionalFormatting>
  <conditionalFormatting sqref="T1079:U1079">
    <cfRule type="expression" dxfId="4311" priority="600">
      <formula>$BC1079="YES"</formula>
    </cfRule>
  </conditionalFormatting>
  <conditionalFormatting sqref="T1080:U1080">
    <cfRule type="expression" dxfId="4310" priority="601">
      <formula>$BC1080="YES"</formula>
    </cfRule>
  </conditionalFormatting>
  <conditionalFormatting sqref="P1081:Q1081">
    <cfRule type="expression" dxfId="4309" priority="602">
      <formula>$BC1081="YES"</formula>
    </cfRule>
  </conditionalFormatting>
  <conditionalFormatting sqref="N1081:N1082">
    <cfRule type="expression" dxfId="4308" priority="603">
      <formula>$BC1081="YES"</formula>
    </cfRule>
  </conditionalFormatting>
  <conditionalFormatting sqref="O1081">
    <cfRule type="expression" dxfId="4307" priority="604">
      <formula>$BC1081="YES"</formula>
    </cfRule>
  </conditionalFormatting>
  <conditionalFormatting sqref="O1082">
    <cfRule type="expression" dxfId="4306" priority="605">
      <formula>$BC1082="YES"</formula>
    </cfRule>
  </conditionalFormatting>
  <conditionalFormatting sqref="P1082:Q1082">
    <cfRule type="expression" dxfId="4305" priority="606">
      <formula>$BC1082="YES"</formula>
    </cfRule>
  </conditionalFormatting>
  <conditionalFormatting sqref="R1081:S1081">
    <cfRule type="expression" dxfId="4304" priority="607">
      <formula>$BC1081="YES"</formula>
    </cfRule>
  </conditionalFormatting>
  <conditionalFormatting sqref="R1082:S1082">
    <cfRule type="expression" dxfId="4303" priority="608">
      <formula>$BC1082="YES"</formula>
    </cfRule>
  </conditionalFormatting>
  <conditionalFormatting sqref="T1081:U1081">
    <cfRule type="expression" dxfId="4302" priority="609">
      <formula>$BC1081="YES"</formula>
    </cfRule>
  </conditionalFormatting>
  <conditionalFormatting sqref="T1082:U1082">
    <cfRule type="expression" dxfId="4301" priority="610">
      <formula>$BC1082="YES"</formula>
    </cfRule>
  </conditionalFormatting>
  <conditionalFormatting sqref="AJ1011:AK1209">
    <cfRule type="expression" dxfId="4300" priority="611">
      <formula>$BC1011="YES"</formula>
    </cfRule>
  </conditionalFormatting>
  <conditionalFormatting sqref="R1212:S1213">
    <cfRule type="expression" dxfId="4299" priority="612">
      <formula>$BC1212="YES"</formula>
    </cfRule>
  </conditionalFormatting>
  <conditionalFormatting sqref="B1407:E1409">
    <cfRule type="expression" dxfId="4298" priority="613">
      <formula>$BC1407="YES"</formula>
    </cfRule>
  </conditionalFormatting>
  <conditionalFormatting sqref="P1212:Q1213">
    <cfRule type="expression" dxfId="4297" priority="614">
      <formula>$BC1212="YES"</formula>
    </cfRule>
  </conditionalFormatting>
  <conditionalFormatting sqref="P1214:Q1215">
    <cfRule type="expression" dxfId="4296" priority="615">
      <formula>$BC1214="YES"</formula>
    </cfRule>
  </conditionalFormatting>
  <conditionalFormatting sqref="P1216:Q1217">
    <cfRule type="expression" dxfId="4295" priority="616">
      <formula>$BC1216="YES"</formula>
    </cfRule>
  </conditionalFormatting>
  <conditionalFormatting sqref="O1212:O1213">
    <cfRule type="expression" dxfId="4294" priority="617">
      <formula>$BC1212="YES"</formula>
    </cfRule>
  </conditionalFormatting>
  <conditionalFormatting sqref="O1214:O1215">
    <cfRule type="expression" dxfId="4293" priority="618">
      <formula>$BC1214="YES"</formula>
    </cfRule>
  </conditionalFormatting>
  <conditionalFormatting sqref="O1216:O1217">
    <cfRule type="expression" dxfId="4292" priority="619">
      <formula>$BC1216="YES"</formula>
    </cfRule>
  </conditionalFormatting>
  <conditionalFormatting sqref="O1218:O1219">
    <cfRule type="expression" dxfId="4291" priority="620">
      <formula>$BC1218="YES"</formula>
    </cfRule>
  </conditionalFormatting>
  <conditionalFormatting sqref="O1220:O1221">
    <cfRule type="expression" dxfId="4290" priority="621">
      <formula>$BC1220="YES"</formula>
    </cfRule>
  </conditionalFormatting>
  <conditionalFormatting sqref="N1222:O1223">
    <cfRule type="expression" dxfId="4289" priority="622">
      <formula>$BC1222="YES"</formula>
    </cfRule>
  </conditionalFormatting>
  <conditionalFormatting sqref="O1224:O1225">
    <cfRule type="expression" dxfId="4288" priority="623">
      <formula>$BC1224="YES"</formula>
    </cfRule>
  </conditionalFormatting>
  <conditionalFormatting sqref="O1226:O1227">
    <cfRule type="expression" dxfId="4287" priority="624">
      <formula>$BC1226="YES"</formula>
    </cfRule>
  </conditionalFormatting>
  <conditionalFormatting sqref="O1228:O1229">
    <cfRule type="expression" dxfId="4286" priority="625">
      <formula>$BC1228="YES"</formula>
    </cfRule>
  </conditionalFormatting>
  <conditionalFormatting sqref="O1230:O1231">
    <cfRule type="expression" dxfId="4285" priority="626">
      <formula>$BC1230="YES"</formula>
    </cfRule>
  </conditionalFormatting>
  <conditionalFormatting sqref="O1232:O1233">
    <cfRule type="expression" dxfId="4284" priority="627">
      <formula>$BC1232="YES"</formula>
    </cfRule>
  </conditionalFormatting>
  <conditionalFormatting sqref="P1218:Q1219">
    <cfRule type="expression" dxfId="4283" priority="628">
      <formula>$BC1218="YES"</formula>
    </cfRule>
  </conditionalFormatting>
  <conditionalFormatting sqref="P1220:Q1221">
    <cfRule type="expression" dxfId="4282" priority="629">
      <formula>$BC1220="YES"</formula>
    </cfRule>
  </conditionalFormatting>
  <conditionalFormatting sqref="P1222:Q1223">
    <cfRule type="expression" dxfId="4281" priority="630">
      <formula>$BC1222="YES"</formula>
    </cfRule>
  </conditionalFormatting>
  <conditionalFormatting sqref="P1224:Q1224">
    <cfRule type="expression" dxfId="4280" priority="631">
      <formula>$BC1224="YES"</formula>
    </cfRule>
  </conditionalFormatting>
  <conditionalFormatting sqref="P1226:Q1227">
    <cfRule type="expression" dxfId="4279" priority="632">
      <formula>$BC1226="YES"</formula>
    </cfRule>
  </conditionalFormatting>
  <conditionalFormatting sqref="P1228:Q1229">
    <cfRule type="expression" dxfId="4278" priority="633">
      <formula>$BC1228="YES"</formula>
    </cfRule>
  </conditionalFormatting>
  <conditionalFormatting sqref="P1230:Q1231">
    <cfRule type="expression" dxfId="4277" priority="634">
      <formula>$BC1230="YES"</formula>
    </cfRule>
  </conditionalFormatting>
  <conditionalFormatting sqref="P1232:Q1232">
    <cfRule type="expression" dxfId="4276" priority="635">
      <formula>$BC1232="YES"</formula>
    </cfRule>
  </conditionalFormatting>
  <conditionalFormatting sqref="R1214:S1217">
    <cfRule type="expression" dxfId="4275" priority="636">
      <formula>$BC1214="YES"</formula>
    </cfRule>
  </conditionalFormatting>
  <conditionalFormatting sqref="R1218:S1221">
    <cfRule type="expression" dxfId="4274" priority="637">
      <formula>$BC1218="YES"</formula>
    </cfRule>
  </conditionalFormatting>
  <conditionalFormatting sqref="R1222:S1225">
    <cfRule type="expression" dxfId="4273" priority="638">
      <formula>$BC1222="YES"</formula>
    </cfRule>
  </conditionalFormatting>
  <conditionalFormatting sqref="R1226:S1229">
    <cfRule type="expression" dxfId="4272" priority="639">
      <formula>$BC1226="YES"</formula>
    </cfRule>
  </conditionalFormatting>
  <conditionalFormatting sqref="R1230:S1233">
    <cfRule type="expression" dxfId="4271" priority="640">
      <formula>$BC1230="YES"</formula>
    </cfRule>
  </conditionalFormatting>
  <conditionalFormatting sqref="T1212:U1213">
    <cfRule type="expression" dxfId="4270" priority="641">
      <formula>$BC1212="YES"</formula>
    </cfRule>
  </conditionalFormatting>
  <conditionalFormatting sqref="T1214:U1215">
    <cfRule type="expression" dxfId="4269" priority="642">
      <formula>$BC1214="YES"</formula>
    </cfRule>
  </conditionalFormatting>
  <conditionalFormatting sqref="T1216:U1217">
    <cfRule type="expression" dxfId="4268" priority="643">
      <formula>$BC1216="YES"</formula>
    </cfRule>
  </conditionalFormatting>
  <conditionalFormatting sqref="T1218:U1219">
    <cfRule type="expression" dxfId="4267" priority="644">
      <formula>$BC1218="YES"</formula>
    </cfRule>
  </conditionalFormatting>
  <conditionalFormatting sqref="T1220:U1221">
    <cfRule type="expression" dxfId="4266" priority="645">
      <formula>$BC1220="YES"</formula>
    </cfRule>
  </conditionalFormatting>
  <conditionalFormatting sqref="T1222:U1223">
    <cfRule type="expression" dxfId="4265" priority="646">
      <formula>$BC1222="YES"</formula>
    </cfRule>
  </conditionalFormatting>
  <conditionalFormatting sqref="T1224:U1225">
    <cfRule type="expression" dxfId="4264" priority="647">
      <formula>$BC1224="YES"</formula>
    </cfRule>
  </conditionalFormatting>
  <conditionalFormatting sqref="T1226:U1227">
    <cfRule type="expression" dxfId="4263" priority="648">
      <formula>$BC1226="YES"</formula>
    </cfRule>
  </conditionalFormatting>
  <conditionalFormatting sqref="T1228:U1229">
    <cfRule type="expression" dxfId="4262" priority="649">
      <formula>$BC1228="YES"</formula>
    </cfRule>
  </conditionalFormatting>
  <conditionalFormatting sqref="T1230:U1231">
    <cfRule type="expression" dxfId="4261" priority="650">
      <formula>$BC1230="YES"</formula>
    </cfRule>
  </conditionalFormatting>
  <conditionalFormatting sqref="T1232:U1233">
    <cfRule type="expression" dxfId="4260" priority="651">
      <formula>$BC1232="YES"</formula>
    </cfRule>
  </conditionalFormatting>
  <conditionalFormatting sqref="P1235:Q1235">
    <cfRule type="expression" dxfId="4259" priority="652">
      <formula>$BC1235="YES"</formula>
    </cfRule>
  </conditionalFormatting>
  <conditionalFormatting sqref="N1234:N1237">
    <cfRule type="expression" dxfId="4258" priority="653">
      <formula>$BC1234="YES"</formula>
    </cfRule>
  </conditionalFormatting>
  <conditionalFormatting sqref="O1234:O1235">
    <cfRule type="expression" dxfId="4257" priority="654">
      <formula>$BC1234="YES"</formula>
    </cfRule>
  </conditionalFormatting>
  <conditionalFormatting sqref="O1236:O1237">
    <cfRule type="expression" dxfId="4256" priority="655">
      <formula>$BC1236="YES"</formula>
    </cfRule>
  </conditionalFormatting>
  <conditionalFormatting sqref="P1234:Q1234">
    <cfRule type="expression" dxfId="4255" priority="656">
      <formula>$BC1234="YES"</formula>
    </cfRule>
  </conditionalFormatting>
  <conditionalFormatting sqref="P1236:Q1237">
    <cfRule type="expression" dxfId="4254" priority="657">
      <formula>$BC1236="YES"</formula>
    </cfRule>
  </conditionalFormatting>
  <conditionalFormatting sqref="R1234:S1235">
    <cfRule type="expression" dxfId="4253" priority="658">
      <formula>$BC1234="YES"</formula>
    </cfRule>
  </conditionalFormatting>
  <conditionalFormatting sqref="R1236:S1237">
    <cfRule type="expression" dxfId="4252" priority="659">
      <formula>$BC1236="YES"</formula>
    </cfRule>
  </conditionalFormatting>
  <conditionalFormatting sqref="T1234:U1235">
    <cfRule type="expression" dxfId="4251" priority="660">
      <formula>$BC1234="YES"</formula>
    </cfRule>
  </conditionalFormatting>
  <conditionalFormatting sqref="T1236:U1237">
    <cfRule type="expression" dxfId="4250" priority="661">
      <formula>$BC1236="YES"</formula>
    </cfRule>
  </conditionalFormatting>
  <conditionalFormatting sqref="P1239:Q1239">
    <cfRule type="expression" dxfId="4249" priority="662">
      <formula>$BC1239="YES"</formula>
    </cfRule>
  </conditionalFormatting>
  <conditionalFormatting sqref="N1238:N1241">
    <cfRule type="expression" dxfId="4248" priority="663">
      <formula>$BC1238="YES"</formula>
    </cfRule>
  </conditionalFormatting>
  <conditionalFormatting sqref="O1238:O1239">
    <cfRule type="expression" dxfId="4247" priority="664">
      <formula>$BC1238="YES"</formula>
    </cfRule>
  </conditionalFormatting>
  <conditionalFormatting sqref="O1240:O1241">
    <cfRule type="expression" dxfId="4246" priority="665">
      <formula>$BC1240="YES"</formula>
    </cfRule>
  </conditionalFormatting>
  <conditionalFormatting sqref="P1238:Q1238">
    <cfRule type="expression" dxfId="4245" priority="666">
      <formula>$BC1238="YES"</formula>
    </cfRule>
  </conditionalFormatting>
  <conditionalFormatting sqref="P1240:Q1241">
    <cfRule type="expression" dxfId="4244" priority="667">
      <formula>$BC1240="YES"</formula>
    </cfRule>
  </conditionalFormatting>
  <conditionalFormatting sqref="R1238:S1239">
    <cfRule type="expression" dxfId="4243" priority="668">
      <formula>$BC1238="YES"</formula>
    </cfRule>
  </conditionalFormatting>
  <conditionalFormatting sqref="R1240:S1241">
    <cfRule type="expression" dxfId="4242" priority="669">
      <formula>$BC1240="YES"</formula>
    </cfRule>
  </conditionalFormatting>
  <conditionalFormatting sqref="T1238:U1239">
    <cfRule type="expression" dxfId="4241" priority="670">
      <formula>$BC1238="YES"</formula>
    </cfRule>
  </conditionalFormatting>
  <conditionalFormatting sqref="T1240:U1241">
    <cfRule type="expression" dxfId="4240" priority="671">
      <formula>$BC1240="YES"</formula>
    </cfRule>
  </conditionalFormatting>
  <conditionalFormatting sqref="P1243:Q1243">
    <cfRule type="expression" dxfId="4239" priority="672">
      <formula>$BC1243="YES"</formula>
    </cfRule>
  </conditionalFormatting>
  <conditionalFormatting sqref="N1242:N1245">
    <cfRule type="expression" dxfId="4238" priority="673">
      <formula>$BC1242="YES"</formula>
    </cfRule>
  </conditionalFormatting>
  <conditionalFormatting sqref="O1242:O1243">
    <cfRule type="expression" dxfId="4237" priority="674">
      <formula>$BC1242="YES"</formula>
    </cfRule>
  </conditionalFormatting>
  <conditionalFormatting sqref="O1244:O1245">
    <cfRule type="expression" dxfId="4236" priority="675">
      <formula>$BC1244="YES"</formula>
    </cfRule>
  </conditionalFormatting>
  <conditionalFormatting sqref="P1242:Q1242">
    <cfRule type="expression" dxfId="4235" priority="676">
      <formula>$BC1242="YES"</formula>
    </cfRule>
  </conditionalFormatting>
  <conditionalFormatting sqref="P1244:Q1245">
    <cfRule type="expression" dxfId="4234" priority="677">
      <formula>$BC1244="YES"</formula>
    </cfRule>
  </conditionalFormatting>
  <conditionalFormatting sqref="R1242:S1243">
    <cfRule type="expression" dxfId="4233" priority="678">
      <formula>$BC1242="YES"</formula>
    </cfRule>
  </conditionalFormatting>
  <conditionalFormatting sqref="R1244:S1245">
    <cfRule type="expression" dxfId="4232" priority="679">
      <formula>$BC1244="YES"</formula>
    </cfRule>
  </conditionalFormatting>
  <conditionalFormatting sqref="T1242:U1243">
    <cfRule type="expression" dxfId="4231" priority="680">
      <formula>$BC1242="YES"</formula>
    </cfRule>
  </conditionalFormatting>
  <conditionalFormatting sqref="T1244:U1245">
    <cfRule type="expression" dxfId="4230" priority="681">
      <formula>$BC1244="YES"</formula>
    </cfRule>
  </conditionalFormatting>
  <conditionalFormatting sqref="P1247:Q1247">
    <cfRule type="expression" dxfId="4229" priority="682">
      <formula>$BC1247="YES"</formula>
    </cfRule>
  </conditionalFormatting>
  <conditionalFormatting sqref="N1246:N1249">
    <cfRule type="expression" dxfId="4228" priority="683">
      <formula>$BC1246="YES"</formula>
    </cfRule>
  </conditionalFormatting>
  <conditionalFormatting sqref="O1246:O1247">
    <cfRule type="expression" dxfId="4227" priority="684">
      <formula>$BC1246="YES"</formula>
    </cfRule>
  </conditionalFormatting>
  <conditionalFormatting sqref="O1248:O1249">
    <cfRule type="expression" dxfId="4226" priority="685">
      <formula>$BC1248="YES"</formula>
    </cfRule>
  </conditionalFormatting>
  <conditionalFormatting sqref="P1246:Q1246">
    <cfRule type="expression" dxfId="4225" priority="686">
      <formula>$BC1246="YES"</formula>
    </cfRule>
  </conditionalFormatting>
  <conditionalFormatting sqref="P1248:Q1249">
    <cfRule type="expression" dxfId="4224" priority="687">
      <formula>$BC1248="YES"</formula>
    </cfRule>
  </conditionalFormatting>
  <conditionalFormatting sqref="R1246:S1247">
    <cfRule type="expression" dxfId="4223" priority="688">
      <formula>$BC1246="YES"</formula>
    </cfRule>
  </conditionalFormatting>
  <conditionalFormatting sqref="R1248:S1249">
    <cfRule type="expression" dxfId="4222" priority="689">
      <formula>$BC1248="YES"</formula>
    </cfRule>
  </conditionalFormatting>
  <conditionalFormatting sqref="T1246:U1247">
    <cfRule type="expression" dxfId="4221" priority="690">
      <formula>$BC1246="YES"</formula>
    </cfRule>
  </conditionalFormatting>
  <conditionalFormatting sqref="T1248:U1249">
    <cfRule type="expression" dxfId="4220" priority="691">
      <formula>$BC1248="YES"</formula>
    </cfRule>
  </conditionalFormatting>
  <conditionalFormatting sqref="P1251:Q1251">
    <cfRule type="expression" dxfId="4219" priority="692">
      <formula>$BC1251="YES"</formula>
    </cfRule>
  </conditionalFormatting>
  <conditionalFormatting sqref="N1250:N1253">
    <cfRule type="expression" dxfId="4218" priority="693">
      <formula>$BC1250="YES"</formula>
    </cfRule>
  </conditionalFormatting>
  <conditionalFormatting sqref="O1250:O1251">
    <cfRule type="expression" dxfId="4217" priority="694">
      <formula>$BC1250="YES"</formula>
    </cfRule>
  </conditionalFormatting>
  <conditionalFormatting sqref="O1252:O1253">
    <cfRule type="expression" dxfId="4216" priority="695">
      <formula>$BC1252="YES"</formula>
    </cfRule>
  </conditionalFormatting>
  <conditionalFormatting sqref="P1250:Q1250">
    <cfRule type="expression" dxfId="4215" priority="696">
      <formula>$BC1250="YES"</formula>
    </cfRule>
  </conditionalFormatting>
  <conditionalFormatting sqref="P1252:Q1253">
    <cfRule type="expression" dxfId="4214" priority="697">
      <formula>$BC1252="YES"</formula>
    </cfRule>
  </conditionalFormatting>
  <conditionalFormatting sqref="R1250:S1251">
    <cfRule type="expression" dxfId="4213" priority="698">
      <formula>$BC1250="YES"</formula>
    </cfRule>
  </conditionalFormatting>
  <conditionalFormatting sqref="R1252:S1253">
    <cfRule type="expression" dxfId="4212" priority="699">
      <formula>$BC1252="YES"</formula>
    </cfRule>
  </conditionalFormatting>
  <conditionalFormatting sqref="T1250:U1251">
    <cfRule type="expression" dxfId="4211" priority="700">
      <formula>$BC1250="YES"</formula>
    </cfRule>
  </conditionalFormatting>
  <conditionalFormatting sqref="T1252:U1253">
    <cfRule type="expression" dxfId="4210" priority="701">
      <formula>$BC1252="YES"</formula>
    </cfRule>
  </conditionalFormatting>
  <conditionalFormatting sqref="P1255:Q1255">
    <cfRule type="expression" dxfId="4209" priority="702">
      <formula>$BC1255="YES"</formula>
    </cfRule>
  </conditionalFormatting>
  <conditionalFormatting sqref="N1254:N1257">
    <cfRule type="expression" dxfId="4208" priority="703">
      <formula>$BC1254="YES"</formula>
    </cfRule>
  </conditionalFormatting>
  <conditionalFormatting sqref="O1254:O1255">
    <cfRule type="expression" dxfId="4207" priority="704">
      <formula>$BC1254="YES"</formula>
    </cfRule>
  </conditionalFormatting>
  <conditionalFormatting sqref="O1256:O1257">
    <cfRule type="expression" dxfId="4206" priority="705">
      <formula>$BC1256="YES"</formula>
    </cfRule>
  </conditionalFormatting>
  <conditionalFormatting sqref="P1254:Q1254">
    <cfRule type="expression" dxfId="4205" priority="706">
      <formula>$BC1254="YES"</formula>
    </cfRule>
  </conditionalFormatting>
  <conditionalFormatting sqref="P1256:Q1257">
    <cfRule type="expression" dxfId="4204" priority="707">
      <formula>$BC1256="YES"</formula>
    </cfRule>
  </conditionalFormatting>
  <conditionalFormatting sqref="R1254:S1255">
    <cfRule type="expression" dxfId="4203" priority="708">
      <formula>$BC1254="YES"</formula>
    </cfRule>
  </conditionalFormatting>
  <conditionalFormatting sqref="R1256:S1257">
    <cfRule type="expression" dxfId="4202" priority="709">
      <formula>$BC1256="YES"</formula>
    </cfRule>
  </conditionalFormatting>
  <conditionalFormatting sqref="T1254:U1255">
    <cfRule type="expression" dxfId="4201" priority="710">
      <formula>$BC1254="YES"</formula>
    </cfRule>
  </conditionalFormatting>
  <conditionalFormatting sqref="T1256:U1257">
    <cfRule type="expression" dxfId="4200" priority="711">
      <formula>$BC1256="YES"</formula>
    </cfRule>
  </conditionalFormatting>
  <conditionalFormatting sqref="P1259:Q1259">
    <cfRule type="expression" dxfId="4199" priority="712">
      <formula>$BC1259="YES"</formula>
    </cfRule>
  </conditionalFormatting>
  <conditionalFormatting sqref="N1258:N1261">
    <cfRule type="expression" dxfId="4198" priority="713">
      <formula>$BC1258="YES"</formula>
    </cfRule>
  </conditionalFormatting>
  <conditionalFormatting sqref="O1258:O1259">
    <cfRule type="expression" dxfId="4197" priority="714">
      <formula>$BC1258="YES"</formula>
    </cfRule>
  </conditionalFormatting>
  <conditionalFormatting sqref="O1260:O1261">
    <cfRule type="expression" dxfId="4196" priority="715">
      <formula>$BC1260="YES"</formula>
    </cfRule>
  </conditionalFormatting>
  <conditionalFormatting sqref="P1258:Q1258">
    <cfRule type="expression" dxfId="4195" priority="716">
      <formula>$BC1258="YES"</formula>
    </cfRule>
  </conditionalFormatting>
  <conditionalFormatting sqref="P1260:Q1261">
    <cfRule type="expression" dxfId="4194" priority="717">
      <formula>$BC1260="YES"</formula>
    </cfRule>
  </conditionalFormatting>
  <conditionalFormatting sqref="R1258:S1259">
    <cfRule type="expression" dxfId="4193" priority="718">
      <formula>$BC1258="YES"</formula>
    </cfRule>
  </conditionalFormatting>
  <conditionalFormatting sqref="R1260:S1261">
    <cfRule type="expression" dxfId="4192" priority="719">
      <formula>$BC1260="YES"</formula>
    </cfRule>
  </conditionalFormatting>
  <conditionalFormatting sqref="T1258:U1259">
    <cfRule type="expression" dxfId="4191" priority="720">
      <formula>$BC1258="YES"</formula>
    </cfRule>
  </conditionalFormatting>
  <conditionalFormatting sqref="T1260:U1261">
    <cfRule type="expression" dxfId="4190" priority="721">
      <formula>$BC1260="YES"</formula>
    </cfRule>
  </conditionalFormatting>
  <conditionalFormatting sqref="P1262:Q1262">
    <cfRule type="expression" dxfId="4189" priority="722">
      <formula>$BC1262="YES"</formula>
    </cfRule>
  </conditionalFormatting>
  <conditionalFormatting sqref="N1262:N1263">
    <cfRule type="expression" dxfId="4188" priority="723">
      <formula>$BC1262="YES"</formula>
    </cfRule>
  </conditionalFormatting>
  <conditionalFormatting sqref="O1262">
    <cfRule type="expression" dxfId="4187" priority="724">
      <formula>$BC1262="YES"</formula>
    </cfRule>
  </conditionalFormatting>
  <conditionalFormatting sqref="O1263">
    <cfRule type="expression" dxfId="4186" priority="725">
      <formula>$BC1263="YES"</formula>
    </cfRule>
  </conditionalFormatting>
  <conditionalFormatting sqref="P1263:Q1263">
    <cfRule type="expression" dxfId="4185" priority="726">
      <formula>$BC1263="YES"</formula>
    </cfRule>
  </conditionalFormatting>
  <conditionalFormatting sqref="R1262:S1262">
    <cfRule type="expression" dxfId="4184" priority="727">
      <formula>$BC1262="YES"</formula>
    </cfRule>
  </conditionalFormatting>
  <conditionalFormatting sqref="R1263:S1263">
    <cfRule type="expression" dxfId="4183" priority="728">
      <formula>$BC1263="YES"</formula>
    </cfRule>
  </conditionalFormatting>
  <conditionalFormatting sqref="T1262:U1262">
    <cfRule type="expression" dxfId="4182" priority="729">
      <formula>$BC1262="YES"</formula>
    </cfRule>
  </conditionalFormatting>
  <conditionalFormatting sqref="T1263:U1263">
    <cfRule type="expression" dxfId="4181" priority="730">
      <formula>$BC1263="YES"</formula>
    </cfRule>
  </conditionalFormatting>
  <conditionalFormatting sqref="P1264:Q1264">
    <cfRule type="expression" dxfId="4180" priority="731">
      <formula>$BC1264="YES"</formula>
    </cfRule>
  </conditionalFormatting>
  <conditionalFormatting sqref="N1264:N1265">
    <cfRule type="expression" dxfId="4179" priority="732">
      <formula>$BC1264="YES"</formula>
    </cfRule>
  </conditionalFormatting>
  <conditionalFormatting sqref="O1264">
    <cfRule type="expression" dxfId="4178" priority="733">
      <formula>$BC1264="YES"</formula>
    </cfRule>
  </conditionalFormatting>
  <conditionalFormatting sqref="O1265">
    <cfRule type="expression" dxfId="4177" priority="734">
      <formula>$BC1265="YES"</formula>
    </cfRule>
  </conditionalFormatting>
  <conditionalFormatting sqref="P1265:Q1265">
    <cfRule type="expression" dxfId="4176" priority="735">
      <formula>$BC1265="YES"</formula>
    </cfRule>
  </conditionalFormatting>
  <conditionalFormatting sqref="R1264:S1264">
    <cfRule type="expression" dxfId="4175" priority="736">
      <formula>$BC1264="YES"</formula>
    </cfRule>
  </conditionalFormatting>
  <conditionalFormatting sqref="R1265:S1265">
    <cfRule type="expression" dxfId="4174" priority="737">
      <formula>$BC1265="YES"</formula>
    </cfRule>
  </conditionalFormatting>
  <conditionalFormatting sqref="T1264:U1264">
    <cfRule type="expression" dxfId="4173" priority="738">
      <formula>$BC1264="YES"</formula>
    </cfRule>
  </conditionalFormatting>
  <conditionalFormatting sqref="T1265:U1265">
    <cfRule type="expression" dxfId="4172" priority="739">
      <formula>$BC1265="YES"</formula>
    </cfRule>
  </conditionalFormatting>
  <conditionalFormatting sqref="P1266:Q1266">
    <cfRule type="expression" dxfId="4171" priority="740">
      <formula>$BC1266="YES"</formula>
    </cfRule>
  </conditionalFormatting>
  <conditionalFormatting sqref="N1266:N1267">
    <cfRule type="expression" dxfId="4170" priority="741">
      <formula>$BC1266="YES"</formula>
    </cfRule>
  </conditionalFormatting>
  <conditionalFormatting sqref="O1266">
    <cfRule type="expression" dxfId="4169" priority="742">
      <formula>$BC1266="YES"</formula>
    </cfRule>
  </conditionalFormatting>
  <conditionalFormatting sqref="O1267">
    <cfRule type="expression" dxfId="4168" priority="743">
      <formula>$BC1267="YES"</formula>
    </cfRule>
  </conditionalFormatting>
  <conditionalFormatting sqref="P1267:Q1267">
    <cfRule type="expression" dxfId="4167" priority="744">
      <formula>$BC1267="YES"</formula>
    </cfRule>
  </conditionalFormatting>
  <conditionalFormatting sqref="R1266:S1266">
    <cfRule type="expression" dxfId="4166" priority="745">
      <formula>$BC1266="YES"</formula>
    </cfRule>
  </conditionalFormatting>
  <conditionalFormatting sqref="R1267:S1267">
    <cfRule type="expression" dxfId="4165" priority="746">
      <formula>$BC1267="YES"</formula>
    </cfRule>
  </conditionalFormatting>
  <conditionalFormatting sqref="T1266:U1266">
    <cfRule type="expression" dxfId="4164" priority="747">
      <formula>$BC1266="YES"</formula>
    </cfRule>
  </conditionalFormatting>
  <conditionalFormatting sqref="T1267:U1267">
    <cfRule type="expression" dxfId="4163" priority="748">
      <formula>$BC1267="YES"</formula>
    </cfRule>
  </conditionalFormatting>
  <conditionalFormatting sqref="P1268:Q1268">
    <cfRule type="expression" dxfId="4162" priority="749">
      <formula>$BC1268="YES"</formula>
    </cfRule>
  </conditionalFormatting>
  <conditionalFormatting sqref="N1268:N1269">
    <cfRule type="expression" dxfId="4161" priority="750">
      <formula>$BC1268="YES"</formula>
    </cfRule>
  </conditionalFormatting>
  <conditionalFormatting sqref="O1268">
    <cfRule type="expression" dxfId="4160" priority="751">
      <formula>$BC1268="YES"</formula>
    </cfRule>
  </conditionalFormatting>
  <conditionalFormatting sqref="O1269">
    <cfRule type="expression" dxfId="4159" priority="752">
      <formula>$BC1269="YES"</formula>
    </cfRule>
  </conditionalFormatting>
  <conditionalFormatting sqref="P1269:Q1269">
    <cfRule type="expression" dxfId="4158" priority="753">
      <formula>$BC1269="YES"</formula>
    </cfRule>
  </conditionalFormatting>
  <conditionalFormatting sqref="R1268:S1268">
    <cfRule type="expression" dxfId="4157" priority="754">
      <formula>$BC1268="YES"</formula>
    </cfRule>
  </conditionalFormatting>
  <conditionalFormatting sqref="R1269:S1269">
    <cfRule type="expression" dxfId="4156" priority="755">
      <formula>$BC1269="YES"</formula>
    </cfRule>
  </conditionalFormatting>
  <conditionalFormatting sqref="T1268:U1268">
    <cfRule type="expression" dxfId="4155" priority="756">
      <formula>$BC1268="YES"</formula>
    </cfRule>
  </conditionalFormatting>
  <conditionalFormatting sqref="T1269:U1269">
    <cfRule type="expression" dxfId="4154" priority="757">
      <formula>$BC1269="YES"</formula>
    </cfRule>
  </conditionalFormatting>
  <conditionalFormatting sqref="P1270:Q1270">
    <cfRule type="expression" dxfId="4153" priority="758">
      <formula>$BC1270="YES"</formula>
    </cfRule>
  </conditionalFormatting>
  <conditionalFormatting sqref="N1270:N1271">
    <cfRule type="expression" dxfId="4152" priority="759">
      <formula>$BC1270="YES"</formula>
    </cfRule>
  </conditionalFormatting>
  <conditionalFormatting sqref="O1270">
    <cfRule type="expression" dxfId="4151" priority="760">
      <formula>$BC1270="YES"</formula>
    </cfRule>
  </conditionalFormatting>
  <conditionalFormatting sqref="O1271">
    <cfRule type="expression" dxfId="4150" priority="761">
      <formula>$BC1271="YES"</formula>
    </cfRule>
  </conditionalFormatting>
  <conditionalFormatting sqref="P1271:Q1271">
    <cfRule type="expression" dxfId="4149" priority="762">
      <formula>$BC1271="YES"</formula>
    </cfRule>
  </conditionalFormatting>
  <conditionalFormatting sqref="R1270:S1270">
    <cfRule type="expression" dxfId="4148" priority="763">
      <formula>$BC1270="YES"</formula>
    </cfRule>
  </conditionalFormatting>
  <conditionalFormatting sqref="R1271:S1271">
    <cfRule type="expression" dxfId="4147" priority="764">
      <formula>$BC1271="YES"</formula>
    </cfRule>
  </conditionalFormatting>
  <conditionalFormatting sqref="T1270:U1270">
    <cfRule type="expression" dxfId="4146" priority="765">
      <formula>$BC1270="YES"</formula>
    </cfRule>
  </conditionalFormatting>
  <conditionalFormatting sqref="T1271:U1271">
    <cfRule type="expression" dxfId="4145" priority="766">
      <formula>$BC1271="YES"</formula>
    </cfRule>
  </conditionalFormatting>
  <conditionalFormatting sqref="P1272:Q1272">
    <cfRule type="expression" dxfId="4144" priority="767">
      <formula>$BC1272="YES"</formula>
    </cfRule>
  </conditionalFormatting>
  <conditionalFormatting sqref="N1272:N1273">
    <cfRule type="expression" dxfId="4143" priority="768">
      <formula>$BC1272="YES"</formula>
    </cfRule>
  </conditionalFormatting>
  <conditionalFormatting sqref="O1272">
    <cfRule type="expression" dxfId="4142" priority="769">
      <formula>$BC1272="YES"</formula>
    </cfRule>
  </conditionalFormatting>
  <conditionalFormatting sqref="O1273">
    <cfRule type="expression" dxfId="4141" priority="770">
      <formula>$BC1273="YES"</formula>
    </cfRule>
  </conditionalFormatting>
  <conditionalFormatting sqref="P1273:Q1273">
    <cfRule type="expression" dxfId="4140" priority="771">
      <formula>$BC1273="YES"</formula>
    </cfRule>
  </conditionalFormatting>
  <conditionalFormatting sqref="R1272:S1272">
    <cfRule type="expression" dxfId="4139" priority="772">
      <formula>$BC1272="YES"</formula>
    </cfRule>
  </conditionalFormatting>
  <conditionalFormatting sqref="R1273:S1273">
    <cfRule type="expression" dxfId="4138" priority="773">
      <formula>$BC1273="YES"</formula>
    </cfRule>
  </conditionalFormatting>
  <conditionalFormatting sqref="T1272:U1272">
    <cfRule type="expression" dxfId="4137" priority="774">
      <formula>$BC1272="YES"</formula>
    </cfRule>
  </conditionalFormatting>
  <conditionalFormatting sqref="T1273:U1273">
    <cfRule type="expression" dxfId="4136" priority="775">
      <formula>$BC1273="YES"</formula>
    </cfRule>
  </conditionalFormatting>
  <conditionalFormatting sqref="P1274:Q1274">
    <cfRule type="expression" dxfId="4135" priority="776">
      <formula>$BC1274="YES"</formula>
    </cfRule>
  </conditionalFormatting>
  <conditionalFormatting sqref="N1274:N1275">
    <cfRule type="expression" dxfId="4134" priority="777">
      <formula>$BC1274="YES"</formula>
    </cfRule>
  </conditionalFormatting>
  <conditionalFormatting sqref="O1274">
    <cfRule type="expression" dxfId="4133" priority="778">
      <formula>$BC1274="YES"</formula>
    </cfRule>
  </conditionalFormatting>
  <conditionalFormatting sqref="O1275">
    <cfRule type="expression" dxfId="4132" priority="779">
      <formula>$BC1275="YES"</formula>
    </cfRule>
  </conditionalFormatting>
  <conditionalFormatting sqref="P1275:Q1275">
    <cfRule type="expression" dxfId="4131" priority="780">
      <formula>$BC1275="YES"</formula>
    </cfRule>
  </conditionalFormatting>
  <conditionalFormatting sqref="R1274:S1274">
    <cfRule type="expression" dxfId="4130" priority="781">
      <formula>$BC1274="YES"</formula>
    </cfRule>
  </conditionalFormatting>
  <conditionalFormatting sqref="R1275:S1275">
    <cfRule type="expression" dxfId="4129" priority="782">
      <formula>$BC1275="YES"</formula>
    </cfRule>
  </conditionalFormatting>
  <conditionalFormatting sqref="T1274:U1274">
    <cfRule type="expression" dxfId="4128" priority="783">
      <formula>$BC1274="YES"</formula>
    </cfRule>
  </conditionalFormatting>
  <conditionalFormatting sqref="T1275:U1275">
    <cfRule type="expression" dxfId="4127" priority="784">
      <formula>$BC1275="YES"</formula>
    </cfRule>
  </conditionalFormatting>
  <conditionalFormatting sqref="P1277:Q1277">
    <cfRule type="expression" dxfId="4126" priority="785">
      <formula>$BC1277="YES"</formula>
    </cfRule>
  </conditionalFormatting>
  <conditionalFormatting sqref="N1277:N1278">
    <cfRule type="expression" dxfId="4125" priority="786">
      <formula>$BC1277="YES"</formula>
    </cfRule>
  </conditionalFormatting>
  <conditionalFormatting sqref="O1277">
    <cfRule type="expression" dxfId="4124" priority="787">
      <formula>$BC1277="YES"</formula>
    </cfRule>
  </conditionalFormatting>
  <conditionalFormatting sqref="O1278">
    <cfRule type="expression" dxfId="4123" priority="788">
      <formula>$BC1278="YES"</formula>
    </cfRule>
  </conditionalFormatting>
  <conditionalFormatting sqref="P1278:Q1278">
    <cfRule type="expression" dxfId="4122" priority="789">
      <formula>$BC1278="YES"</formula>
    </cfRule>
  </conditionalFormatting>
  <conditionalFormatting sqref="R1277:S1277">
    <cfRule type="expression" dxfId="4121" priority="790">
      <formula>$BC1277="YES"</formula>
    </cfRule>
  </conditionalFormatting>
  <conditionalFormatting sqref="R1278:S1278">
    <cfRule type="expression" dxfId="4120" priority="791">
      <formula>$BC1278="YES"</formula>
    </cfRule>
  </conditionalFormatting>
  <conditionalFormatting sqref="T1277:U1277">
    <cfRule type="expression" dxfId="4119" priority="792">
      <formula>$BC1277="YES"</formula>
    </cfRule>
  </conditionalFormatting>
  <conditionalFormatting sqref="T1278:U1278">
    <cfRule type="expression" dxfId="4118" priority="793">
      <formula>$BC1278="YES"</formula>
    </cfRule>
  </conditionalFormatting>
  <conditionalFormatting sqref="P1279:Q1279">
    <cfRule type="expression" dxfId="4117" priority="794">
      <formula>$BC1279="YES"</formula>
    </cfRule>
  </conditionalFormatting>
  <conditionalFormatting sqref="N1279:N1280">
    <cfRule type="expression" dxfId="4116" priority="795">
      <formula>$BC1279="YES"</formula>
    </cfRule>
  </conditionalFormatting>
  <conditionalFormatting sqref="O1279">
    <cfRule type="expression" dxfId="4115" priority="796">
      <formula>$BC1279="YES"</formula>
    </cfRule>
  </conditionalFormatting>
  <conditionalFormatting sqref="O1280">
    <cfRule type="expression" dxfId="4114" priority="797">
      <formula>$BC1280="YES"</formula>
    </cfRule>
  </conditionalFormatting>
  <conditionalFormatting sqref="P1280:Q1280">
    <cfRule type="expression" dxfId="4113" priority="798">
      <formula>$BC1280="YES"</formula>
    </cfRule>
  </conditionalFormatting>
  <conditionalFormatting sqref="R1279:S1279">
    <cfRule type="expression" dxfId="4112" priority="799">
      <formula>$BC1279="YES"</formula>
    </cfRule>
  </conditionalFormatting>
  <conditionalFormatting sqref="R1280:S1280">
    <cfRule type="expression" dxfId="4111" priority="800">
      <formula>$BC1280="YES"</formula>
    </cfRule>
  </conditionalFormatting>
  <conditionalFormatting sqref="T1279:U1279">
    <cfRule type="expression" dxfId="4110" priority="801">
      <formula>$BC1279="YES"</formula>
    </cfRule>
  </conditionalFormatting>
  <conditionalFormatting sqref="T1280:U1280">
    <cfRule type="expression" dxfId="4109" priority="802">
      <formula>$BC1280="YES"</formula>
    </cfRule>
  </conditionalFormatting>
  <conditionalFormatting sqref="P1281:Q1281">
    <cfRule type="expression" dxfId="4108" priority="803">
      <formula>$BC1281="YES"</formula>
    </cfRule>
  </conditionalFormatting>
  <conditionalFormatting sqref="N1281:N1282">
    <cfRule type="expression" dxfId="4107" priority="804">
      <formula>$BC1281="YES"</formula>
    </cfRule>
  </conditionalFormatting>
  <conditionalFormatting sqref="O1281">
    <cfRule type="expression" dxfId="4106" priority="805">
      <formula>$BC1281="YES"</formula>
    </cfRule>
  </conditionalFormatting>
  <conditionalFormatting sqref="O1282">
    <cfRule type="expression" dxfId="4105" priority="806">
      <formula>$BC1282="YES"</formula>
    </cfRule>
  </conditionalFormatting>
  <conditionalFormatting sqref="P1282:Q1282">
    <cfRule type="expression" dxfId="4104" priority="807">
      <formula>$BC1282="YES"</formula>
    </cfRule>
  </conditionalFormatting>
  <conditionalFormatting sqref="R1281:S1281">
    <cfRule type="expression" dxfId="4103" priority="808">
      <formula>$BC1281="YES"</formula>
    </cfRule>
  </conditionalFormatting>
  <conditionalFormatting sqref="R1282:S1282">
    <cfRule type="expression" dxfId="4102" priority="809">
      <formula>$BC1282="YES"</formula>
    </cfRule>
  </conditionalFormatting>
  <conditionalFormatting sqref="T1281:U1281">
    <cfRule type="expression" dxfId="4101" priority="810">
      <formula>$BC1281="YES"</formula>
    </cfRule>
  </conditionalFormatting>
  <conditionalFormatting sqref="T1282:U1282">
    <cfRule type="expression" dxfId="4100" priority="811">
      <formula>$BC1282="YES"</formula>
    </cfRule>
  </conditionalFormatting>
  <conditionalFormatting sqref="AJ1211:AK1409">
    <cfRule type="expression" dxfId="4099" priority="812">
      <formula>$BC1211="YES"</formula>
    </cfRule>
  </conditionalFormatting>
  <conditionalFormatting sqref="R1412:S1413">
    <cfRule type="expression" dxfId="4098" priority="813">
      <formula>$BC1412="YES"</formula>
    </cfRule>
  </conditionalFormatting>
  <conditionalFormatting sqref="B1607:F1609">
    <cfRule type="expression" dxfId="4097" priority="814">
      <formula>$BC1607="YES"</formula>
    </cfRule>
  </conditionalFormatting>
  <conditionalFormatting sqref="P1412:Q1413">
    <cfRule type="expression" dxfId="4096" priority="815">
      <formula>$BC1412="YES"</formula>
    </cfRule>
  </conditionalFormatting>
  <conditionalFormatting sqref="P1414:Q1415">
    <cfRule type="expression" dxfId="4095" priority="816">
      <formula>$BC1414="YES"</formula>
    </cfRule>
  </conditionalFormatting>
  <conditionalFormatting sqref="P1416:Q1417">
    <cfRule type="expression" dxfId="4094" priority="817">
      <formula>$BC1416="YES"</formula>
    </cfRule>
  </conditionalFormatting>
  <conditionalFormatting sqref="O1412:O1413">
    <cfRule type="expression" dxfId="4093" priority="818">
      <formula>$BC1412="YES"</formula>
    </cfRule>
  </conditionalFormatting>
  <conditionalFormatting sqref="O1414:O1415">
    <cfRule type="expression" dxfId="4092" priority="819">
      <formula>$BC1414="YES"</formula>
    </cfRule>
  </conditionalFormatting>
  <conditionalFormatting sqref="O1416:O1417">
    <cfRule type="expression" dxfId="4091" priority="820">
      <formula>$BC1416="YES"</formula>
    </cfRule>
  </conditionalFormatting>
  <conditionalFormatting sqref="O1418:O1419">
    <cfRule type="expression" dxfId="4090" priority="821">
      <formula>$BC1418="YES"</formula>
    </cfRule>
  </conditionalFormatting>
  <conditionalFormatting sqref="O1420:O1421">
    <cfRule type="expression" dxfId="4089" priority="822">
      <formula>$BC1420="YES"</formula>
    </cfRule>
  </conditionalFormatting>
  <conditionalFormatting sqref="N1422:O1423">
    <cfRule type="expression" dxfId="4088" priority="823">
      <formula>$BC1422="YES"</formula>
    </cfRule>
  </conditionalFormatting>
  <conditionalFormatting sqref="O1424:O1425">
    <cfRule type="expression" dxfId="4087" priority="824">
      <formula>$BC1424="YES"</formula>
    </cfRule>
  </conditionalFormatting>
  <conditionalFormatting sqref="O1426:O1427">
    <cfRule type="expression" dxfId="4086" priority="825">
      <formula>$BC1426="YES"</formula>
    </cfRule>
  </conditionalFormatting>
  <conditionalFormatting sqref="O1428:O1429">
    <cfRule type="expression" dxfId="4085" priority="826">
      <formula>$BC1428="YES"</formula>
    </cfRule>
  </conditionalFormatting>
  <conditionalFormatting sqref="O1430:O1431">
    <cfRule type="expression" dxfId="4084" priority="827">
      <formula>$BC1430="YES"</formula>
    </cfRule>
  </conditionalFormatting>
  <conditionalFormatting sqref="O1432:O1433">
    <cfRule type="expression" dxfId="4083" priority="828">
      <formula>$BC1432="YES"</formula>
    </cfRule>
  </conditionalFormatting>
  <conditionalFormatting sqref="P1418:Q1419">
    <cfRule type="expression" dxfId="4082" priority="829">
      <formula>$BC1418="YES"</formula>
    </cfRule>
  </conditionalFormatting>
  <conditionalFormatting sqref="P1420:Q1421">
    <cfRule type="expression" dxfId="4081" priority="830">
      <formula>$BC1420="YES"</formula>
    </cfRule>
  </conditionalFormatting>
  <conditionalFormatting sqref="P1422:Q1423">
    <cfRule type="expression" dxfId="4080" priority="831">
      <formula>$BC1422="YES"</formula>
    </cfRule>
  </conditionalFormatting>
  <conditionalFormatting sqref="P1424:Q1424">
    <cfRule type="expression" dxfId="4079" priority="832">
      <formula>$BC1424="YES"</formula>
    </cfRule>
  </conditionalFormatting>
  <conditionalFormatting sqref="P1426:Q1427">
    <cfRule type="expression" dxfId="4078" priority="833">
      <formula>$BC1426="YES"</formula>
    </cfRule>
  </conditionalFormatting>
  <conditionalFormatting sqref="P1428:Q1429">
    <cfRule type="expression" dxfId="4077" priority="834">
      <formula>$BC1428="YES"</formula>
    </cfRule>
  </conditionalFormatting>
  <conditionalFormatting sqref="P1430:Q1431">
    <cfRule type="expression" dxfId="4076" priority="835">
      <formula>$BC1430="YES"</formula>
    </cfRule>
  </conditionalFormatting>
  <conditionalFormatting sqref="P1432:Q1432">
    <cfRule type="expression" dxfId="4075" priority="836">
      <formula>$BC1432="YES"</formula>
    </cfRule>
  </conditionalFormatting>
  <conditionalFormatting sqref="R1414:S1417">
    <cfRule type="expression" dxfId="4074" priority="837">
      <formula>$BC1414="YES"</formula>
    </cfRule>
  </conditionalFormatting>
  <conditionalFormatting sqref="R1418:S1421">
    <cfRule type="expression" dxfId="4073" priority="838">
      <formula>$BC1418="YES"</formula>
    </cfRule>
  </conditionalFormatting>
  <conditionalFormatting sqref="R1422:S1425">
    <cfRule type="expression" dxfId="4072" priority="839">
      <formula>$BC1422="YES"</formula>
    </cfRule>
  </conditionalFormatting>
  <conditionalFormatting sqref="R1426:S1429">
    <cfRule type="expression" dxfId="4071" priority="840">
      <formula>$BC1426="YES"</formula>
    </cfRule>
  </conditionalFormatting>
  <conditionalFormatting sqref="R1430:S1433">
    <cfRule type="expression" dxfId="4070" priority="841">
      <formula>$BC1430="YES"</formula>
    </cfRule>
  </conditionalFormatting>
  <conditionalFormatting sqref="T1412:U1413">
    <cfRule type="expression" dxfId="4069" priority="842">
      <formula>$BC1412="YES"</formula>
    </cfRule>
  </conditionalFormatting>
  <conditionalFormatting sqref="T1414:U1415">
    <cfRule type="expression" dxfId="4068" priority="843">
      <formula>$BC1414="YES"</formula>
    </cfRule>
  </conditionalFormatting>
  <conditionalFormatting sqref="T1416:U1417">
    <cfRule type="expression" dxfId="4067" priority="844">
      <formula>$BC1416="YES"</formula>
    </cfRule>
  </conditionalFormatting>
  <conditionalFormatting sqref="T1418:U1419">
    <cfRule type="expression" dxfId="4066" priority="845">
      <formula>$BC1418="YES"</formula>
    </cfRule>
  </conditionalFormatting>
  <conditionalFormatting sqref="T1420:U1421">
    <cfRule type="expression" dxfId="4065" priority="846">
      <formula>$BC1420="YES"</formula>
    </cfRule>
  </conditionalFormatting>
  <conditionalFormatting sqref="T1422:U1423">
    <cfRule type="expression" dxfId="4064" priority="847">
      <formula>$BC1422="YES"</formula>
    </cfRule>
  </conditionalFormatting>
  <conditionalFormatting sqref="T1424:U1425">
    <cfRule type="expression" dxfId="4063" priority="848">
      <formula>$BC1424="YES"</formula>
    </cfRule>
  </conditionalFormatting>
  <conditionalFormatting sqref="T1426:U1427">
    <cfRule type="expression" dxfId="4062" priority="849">
      <formula>$BC1426="YES"</formula>
    </cfRule>
  </conditionalFormatting>
  <conditionalFormatting sqref="T1428:U1429">
    <cfRule type="expression" dxfId="4061" priority="850">
      <formula>$BC1428="YES"</formula>
    </cfRule>
  </conditionalFormatting>
  <conditionalFormatting sqref="T1430:U1431">
    <cfRule type="expression" dxfId="4060" priority="851">
      <formula>$BC1430="YES"</formula>
    </cfRule>
  </conditionalFormatting>
  <conditionalFormatting sqref="T1432:U1433">
    <cfRule type="expression" dxfId="4059" priority="852">
      <formula>$BC1432="YES"</formula>
    </cfRule>
  </conditionalFormatting>
  <conditionalFormatting sqref="P1435:Q1435">
    <cfRule type="expression" dxfId="4058" priority="853">
      <formula>$BC1435="YES"</formula>
    </cfRule>
  </conditionalFormatting>
  <conditionalFormatting sqref="N1434:N1437">
    <cfRule type="expression" dxfId="4057" priority="854">
      <formula>$BC1434="YES"</formula>
    </cfRule>
  </conditionalFormatting>
  <conditionalFormatting sqref="O1434:O1435">
    <cfRule type="expression" dxfId="4056" priority="855">
      <formula>$BC1434="YES"</formula>
    </cfRule>
  </conditionalFormatting>
  <conditionalFormatting sqref="O1436:O1437">
    <cfRule type="expression" dxfId="4055" priority="856">
      <formula>$BC1436="YES"</formula>
    </cfRule>
  </conditionalFormatting>
  <conditionalFormatting sqref="P1434:Q1434">
    <cfRule type="expression" dxfId="4054" priority="857">
      <formula>$BC1434="YES"</formula>
    </cfRule>
  </conditionalFormatting>
  <conditionalFormatting sqref="P1436:Q1437">
    <cfRule type="expression" dxfId="4053" priority="858">
      <formula>$BC1436="YES"</formula>
    </cfRule>
  </conditionalFormatting>
  <conditionalFormatting sqref="R1434:S1435">
    <cfRule type="expression" dxfId="4052" priority="859">
      <formula>$BC1434="YES"</formula>
    </cfRule>
  </conditionalFormatting>
  <conditionalFormatting sqref="R1436:S1437">
    <cfRule type="expression" dxfId="4051" priority="860">
      <formula>$BC1436="YES"</formula>
    </cfRule>
  </conditionalFormatting>
  <conditionalFormatting sqref="T1434:U1435">
    <cfRule type="expression" dxfId="4050" priority="861">
      <formula>$BC1434="YES"</formula>
    </cfRule>
  </conditionalFormatting>
  <conditionalFormatting sqref="T1436:U1437">
    <cfRule type="expression" dxfId="4049" priority="862">
      <formula>$BC1436="YES"</formula>
    </cfRule>
  </conditionalFormatting>
  <conditionalFormatting sqref="P1439:Q1439">
    <cfRule type="expression" dxfId="4048" priority="863">
      <formula>$BC1439="YES"</formula>
    </cfRule>
  </conditionalFormatting>
  <conditionalFormatting sqref="N1438:N1441">
    <cfRule type="expression" dxfId="4047" priority="864">
      <formula>$BC1438="YES"</formula>
    </cfRule>
  </conditionalFormatting>
  <conditionalFormatting sqref="O1438:O1439">
    <cfRule type="expression" dxfId="4046" priority="865">
      <formula>$BC1438="YES"</formula>
    </cfRule>
  </conditionalFormatting>
  <conditionalFormatting sqref="O1440:O1441">
    <cfRule type="expression" dxfId="4045" priority="866">
      <formula>$BC1440="YES"</formula>
    </cfRule>
  </conditionalFormatting>
  <conditionalFormatting sqref="P1438:Q1438">
    <cfRule type="expression" dxfId="4044" priority="867">
      <formula>$BC1438="YES"</formula>
    </cfRule>
  </conditionalFormatting>
  <conditionalFormatting sqref="P1440:Q1441">
    <cfRule type="expression" dxfId="4043" priority="868">
      <formula>$BC1440="YES"</formula>
    </cfRule>
  </conditionalFormatting>
  <conditionalFormatting sqref="R1438:S1439">
    <cfRule type="expression" dxfId="4042" priority="869">
      <formula>$BC1438="YES"</formula>
    </cfRule>
  </conditionalFormatting>
  <conditionalFormatting sqref="R1440:S1441">
    <cfRule type="expression" dxfId="4041" priority="870">
      <formula>$BC1440="YES"</formula>
    </cfRule>
  </conditionalFormatting>
  <conditionalFormatting sqref="T1438:U1439">
    <cfRule type="expression" dxfId="4040" priority="871">
      <formula>$BC1438="YES"</formula>
    </cfRule>
  </conditionalFormatting>
  <conditionalFormatting sqref="T1440:U1441">
    <cfRule type="expression" dxfId="4039" priority="872">
      <formula>$BC1440="YES"</formula>
    </cfRule>
  </conditionalFormatting>
  <conditionalFormatting sqref="P1443:Q1443">
    <cfRule type="expression" dxfId="4038" priority="873">
      <formula>$BC1443="YES"</formula>
    </cfRule>
  </conditionalFormatting>
  <conditionalFormatting sqref="N1442:N1445">
    <cfRule type="expression" dxfId="4037" priority="874">
      <formula>$BC1442="YES"</formula>
    </cfRule>
  </conditionalFormatting>
  <conditionalFormatting sqref="O1442:O1443">
    <cfRule type="expression" dxfId="4036" priority="875">
      <formula>$BC1442="YES"</formula>
    </cfRule>
  </conditionalFormatting>
  <conditionalFormatting sqref="O1444:O1445">
    <cfRule type="expression" dxfId="4035" priority="876">
      <formula>$BC1444="YES"</formula>
    </cfRule>
  </conditionalFormatting>
  <conditionalFormatting sqref="P1442:Q1442">
    <cfRule type="expression" dxfId="4034" priority="877">
      <formula>$BC1442="YES"</formula>
    </cfRule>
  </conditionalFormatting>
  <conditionalFormatting sqref="P1444:Q1445">
    <cfRule type="expression" dxfId="4033" priority="878">
      <formula>$BC1444="YES"</formula>
    </cfRule>
  </conditionalFormatting>
  <conditionalFormatting sqref="R1442:S1443">
    <cfRule type="expression" dxfId="4032" priority="879">
      <formula>$BC1442="YES"</formula>
    </cfRule>
  </conditionalFormatting>
  <conditionalFormatting sqref="R1444:S1445">
    <cfRule type="expression" dxfId="4031" priority="880">
      <formula>$BC1444="YES"</formula>
    </cfRule>
  </conditionalFormatting>
  <conditionalFormatting sqref="T1442:U1443">
    <cfRule type="expression" dxfId="4030" priority="881">
      <formula>$BC1442="YES"</formula>
    </cfRule>
  </conditionalFormatting>
  <conditionalFormatting sqref="T1444:U1445">
    <cfRule type="expression" dxfId="4029" priority="882">
      <formula>$BC1444="YES"</formula>
    </cfRule>
  </conditionalFormatting>
  <conditionalFormatting sqref="P1447:Q1447">
    <cfRule type="expression" dxfId="4028" priority="883">
      <formula>$BC1447="YES"</formula>
    </cfRule>
  </conditionalFormatting>
  <conditionalFormatting sqref="N1446:N1449">
    <cfRule type="expression" dxfId="4027" priority="884">
      <formula>$BC1446="YES"</formula>
    </cfRule>
  </conditionalFormatting>
  <conditionalFormatting sqref="O1446:O1447">
    <cfRule type="expression" dxfId="4026" priority="885">
      <formula>$BC1446="YES"</formula>
    </cfRule>
  </conditionalFormatting>
  <conditionalFormatting sqref="O1448:O1449">
    <cfRule type="expression" dxfId="4025" priority="886">
      <formula>$BC1448="YES"</formula>
    </cfRule>
  </conditionalFormatting>
  <conditionalFormatting sqref="P1446:Q1446">
    <cfRule type="expression" dxfId="4024" priority="887">
      <formula>$BC1446="YES"</formula>
    </cfRule>
  </conditionalFormatting>
  <conditionalFormatting sqref="P1448:Q1449">
    <cfRule type="expression" dxfId="4023" priority="888">
      <formula>$BC1448="YES"</formula>
    </cfRule>
  </conditionalFormatting>
  <conditionalFormatting sqref="R1446:S1447">
    <cfRule type="expression" dxfId="4022" priority="889">
      <formula>$BC1446="YES"</formula>
    </cfRule>
  </conditionalFormatting>
  <conditionalFormatting sqref="R1448:S1449">
    <cfRule type="expression" dxfId="4021" priority="890">
      <formula>$BC1448="YES"</formula>
    </cfRule>
  </conditionalFormatting>
  <conditionalFormatting sqref="T1446:U1447">
    <cfRule type="expression" dxfId="4020" priority="891">
      <formula>$BC1446="YES"</formula>
    </cfRule>
  </conditionalFormatting>
  <conditionalFormatting sqref="T1448:U1449">
    <cfRule type="expression" dxfId="4019" priority="892">
      <formula>$BC1448="YES"</formula>
    </cfRule>
  </conditionalFormatting>
  <conditionalFormatting sqref="P1451:Q1451">
    <cfRule type="expression" dxfId="4018" priority="893">
      <formula>$BC1451="YES"</formula>
    </cfRule>
  </conditionalFormatting>
  <conditionalFormatting sqref="N1450:N1453">
    <cfRule type="expression" dxfId="4017" priority="894">
      <formula>$BC1450="YES"</formula>
    </cfRule>
  </conditionalFormatting>
  <conditionalFormatting sqref="O1450:O1451">
    <cfRule type="expression" dxfId="4016" priority="895">
      <formula>$BC1450="YES"</formula>
    </cfRule>
  </conditionalFormatting>
  <conditionalFormatting sqref="O1452:O1453">
    <cfRule type="expression" dxfId="4015" priority="896">
      <formula>$BC1452="YES"</formula>
    </cfRule>
  </conditionalFormatting>
  <conditionalFormatting sqref="P1450:Q1450">
    <cfRule type="expression" dxfId="4014" priority="897">
      <formula>$BC1450="YES"</formula>
    </cfRule>
  </conditionalFormatting>
  <conditionalFormatting sqref="P1452:Q1453">
    <cfRule type="expression" dxfId="4013" priority="898">
      <formula>$BC1452="YES"</formula>
    </cfRule>
  </conditionalFormatting>
  <conditionalFormatting sqref="R1450:S1451">
    <cfRule type="expression" dxfId="4012" priority="899">
      <formula>$BC1450="YES"</formula>
    </cfRule>
  </conditionalFormatting>
  <conditionalFormatting sqref="R1452:S1453">
    <cfRule type="expression" dxfId="4011" priority="900">
      <formula>$BC1452="YES"</formula>
    </cfRule>
  </conditionalFormatting>
  <conditionalFormatting sqref="T1450:U1451">
    <cfRule type="expression" dxfId="4010" priority="901">
      <formula>$BC1450="YES"</formula>
    </cfRule>
  </conditionalFormatting>
  <conditionalFormatting sqref="T1452:U1453">
    <cfRule type="expression" dxfId="4009" priority="902">
      <formula>$BC1452="YES"</formula>
    </cfRule>
  </conditionalFormatting>
  <conditionalFormatting sqref="P1455:Q1455">
    <cfRule type="expression" dxfId="4008" priority="903">
      <formula>$BC1455="YES"</formula>
    </cfRule>
  </conditionalFormatting>
  <conditionalFormatting sqref="N1454:N1457">
    <cfRule type="expression" dxfId="4007" priority="904">
      <formula>$BC1454="YES"</formula>
    </cfRule>
  </conditionalFormatting>
  <conditionalFormatting sqref="O1454:O1455">
    <cfRule type="expression" dxfId="4006" priority="905">
      <formula>$BC1454="YES"</formula>
    </cfRule>
  </conditionalFormatting>
  <conditionalFormatting sqref="O1456:O1457">
    <cfRule type="expression" dxfId="4005" priority="906">
      <formula>$BC1456="YES"</formula>
    </cfRule>
  </conditionalFormatting>
  <conditionalFormatting sqref="P1454:Q1454">
    <cfRule type="expression" dxfId="4004" priority="907">
      <formula>$BC1454="YES"</formula>
    </cfRule>
  </conditionalFormatting>
  <conditionalFormatting sqref="P1456:Q1457">
    <cfRule type="expression" dxfId="4003" priority="908">
      <formula>$BC1456="YES"</formula>
    </cfRule>
  </conditionalFormatting>
  <conditionalFormatting sqref="R1454:S1455">
    <cfRule type="expression" dxfId="4002" priority="909">
      <formula>$BC1454="YES"</formula>
    </cfRule>
  </conditionalFormatting>
  <conditionalFormatting sqref="R1456:S1457">
    <cfRule type="expression" dxfId="4001" priority="910">
      <formula>$BC1456="YES"</formula>
    </cfRule>
  </conditionalFormatting>
  <conditionalFormatting sqref="T1454:U1455">
    <cfRule type="expression" dxfId="4000" priority="911">
      <formula>$BC1454="YES"</formula>
    </cfRule>
  </conditionalFormatting>
  <conditionalFormatting sqref="T1456:U1457">
    <cfRule type="expression" dxfId="3999" priority="912">
      <formula>$BC1456="YES"</formula>
    </cfRule>
  </conditionalFormatting>
  <conditionalFormatting sqref="P1459:Q1459">
    <cfRule type="expression" dxfId="3998" priority="913">
      <formula>$BC1459="YES"</formula>
    </cfRule>
  </conditionalFormatting>
  <conditionalFormatting sqref="N1458:N1461">
    <cfRule type="expression" dxfId="3997" priority="914">
      <formula>$BC1458="YES"</formula>
    </cfRule>
  </conditionalFormatting>
  <conditionalFormatting sqref="O1458:O1459">
    <cfRule type="expression" dxfId="3996" priority="915">
      <formula>$BC1458="YES"</formula>
    </cfRule>
  </conditionalFormatting>
  <conditionalFormatting sqref="O1460:O1461">
    <cfRule type="expression" dxfId="3995" priority="916">
      <formula>$BC1460="YES"</formula>
    </cfRule>
  </conditionalFormatting>
  <conditionalFormatting sqref="P1458:Q1458">
    <cfRule type="expression" dxfId="3994" priority="917">
      <formula>$BC1458="YES"</formula>
    </cfRule>
  </conditionalFormatting>
  <conditionalFormatting sqref="P1460:Q1461">
    <cfRule type="expression" dxfId="3993" priority="918">
      <formula>$BC1460="YES"</formula>
    </cfRule>
  </conditionalFormatting>
  <conditionalFormatting sqref="R1458:S1459">
    <cfRule type="expression" dxfId="3992" priority="919">
      <formula>$BC1458="YES"</formula>
    </cfRule>
  </conditionalFormatting>
  <conditionalFormatting sqref="R1460:S1461">
    <cfRule type="expression" dxfId="3991" priority="920">
      <formula>$BC1460="YES"</formula>
    </cfRule>
  </conditionalFormatting>
  <conditionalFormatting sqref="T1458:U1459">
    <cfRule type="expression" dxfId="3990" priority="921">
      <formula>$BC1458="YES"</formula>
    </cfRule>
  </conditionalFormatting>
  <conditionalFormatting sqref="T1460:U1461">
    <cfRule type="expression" dxfId="3989" priority="922">
      <formula>$BC1460="YES"</formula>
    </cfRule>
  </conditionalFormatting>
  <conditionalFormatting sqref="P1462:Q1462">
    <cfRule type="expression" dxfId="3988" priority="923">
      <formula>$BC1462="YES"</formula>
    </cfRule>
  </conditionalFormatting>
  <conditionalFormatting sqref="N1462:N1463">
    <cfRule type="expression" dxfId="3987" priority="924">
      <formula>$BC1462="YES"</formula>
    </cfRule>
  </conditionalFormatting>
  <conditionalFormatting sqref="O1462">
    <cfRule type="expression" dxfId="3986" priority="925">
      <formula>$BC1462="YES"</formula>
    </cfRule>
  </conditionalFormatting>
  <conditionalFormatting sqref="O1463">
    <cfRule type="expression" dxfId="3985" priority="926">
      <formula>$BC1463="YES"</formula>
    </cfRule>
  </conditionalFormatting>
  <conditionalFormatting sqref="P1463:Q1463">
    <cfRule type="expression" dxfId="3984" priority="927">
      <formula>$BC1463="YES"</formula>
    </cfRule>
  </conditionalFormatting>
  <conditionalFormatting sqref="R1462:S1462">
    <cfRule type="expression" dxfId="3983" priority="928">
      <formula>$BC1462="YES"</formula>
    </cfRule>
  </conditionalFormatting>
  <conditionalFormatting sqref="R1463:S1463">
    <cfRule type="expression" dxfId="3982" priority="929">
      <formula>$BC1463="YES"</formula>
    </cfRule>
  </conditionalFormatting>
  <conditionalFormatting sqref="T1462:U1462">
    <cfRule type="expression" dxfId="3981" priority="930">
      <formula>$BC1462="YES"</formula>
    </cfRule>
  </conditionalFormatting>
  <conditionalFormatting sqref="T1463:U1463">
    <cfRule type="expression" dxfId="3980" priority="931">
      <formula>$BC1463="YES"</formula>
    </cfRule>
  </conditionalFormatting>
  <conditionalFormatting sqref="P1464:Q1464">
    <cfRule type="expression" dxfId="3979" priority="932">
      <formula>$BC1464="YES"</formula>
    </cfRule>
  </conditionalFormatting>
  <conditionalFormatting sqref="N1464:N1465">
    <cfRule type="expression" dxfId="3978" priority="933">
      <formula>$BC1464="YES"</formula>
    </cfRule>
  </conditionalFormatting>
  <conditionalFormatting sqref="O1464">
    <cfRule type="expression" dxfId="3977" priority="934">
      <formula>$BC1464="YES"</formula>
    </cfRule>
  </conditionalFormatting>
  <conditionalFormatting sqref="O1465">
    <cfRule type="expression" dxfId="3976" priority="935">
      <formula>$BC1465="YES"</formula>
    </cfRule>
  </conditionalFormatting>
  <conditionalFormatting sqref="P1465:Q1465">
    <cfRule type="expression" dxfId="3975" priority="936">
      <formula>$BC1465="YES"</formula>
    </cfRule>
  </conditionalFormatting>
  <conditionalFormatting sqref="R1464:S1464">
    <cfRule type="expression" dxfId="3974" priority="937">
      <formula>$BC1464="YES"</formula>
    </cfRule>
  </conditionalFormatting>
  <conditionalFormatting sqref="R1465:S1465">
    <cfRule type="expression" dxfId="3973" priority="938">
      <formula>$BC1465="YES"</formula>
    </cfRule>
  </conditionalFormatting>
  <conditionalFormatting sqref="T1464:U1464">
    <cfRule type="expression" dxfId="3972" priority="939">
      <formula>$BC1464="YES"</formula>
    </cfRule>
  </conditionalFormatting>
  <conditionalFormatting sqref="T1465:U1465">
    <cfRule type="expression" dxfId="3971" priority="940">
      <formula>$BC1465="YES"</formula>
    </cfRule>
  </conditionalFormatting>
  <conditionalFormatting sqref="P1466:Q1466">
    <cfRule type="expression" dxfId="3970" priority="941">
      <formula>$BC1466="YES"</formula>
    </cfRule>
  </conditionalFormatting>
  <conditionalFormatting sqref="N1466:N1467">
    <cfRule type="expression" dxfId="3969" priority="942">
      <formula>$BC1466="YES"</formula>
    </cfRule>
  </conditionalFormatting>
  <conditionalFormatting sqref="O1466">
    <cfRule type="expression" dxfId="3968" priority="943">
      <formula>$BC1466="YES"</formula>
    </cfRule>
  </conditionalFormatting>
  <conditionalFormatting sqref="O1467">
    <cfRule type="expression" dxfId="3967" priority="944">
      <formula>$BC1467="YES"</formula>
    </cfRule>
  </conditionalFormatting>
  <conditionalFormatting sqref="P1467:Q1467">
    <cfRule type="expression" dxfId="3966" priority="945">
      <formula>$BC1467="YES"</formula>
    </cfRule>
  </conditionalFormatting>
  <conditionalFormatting sqref="R1466:S1466">
    <cfRule type="expression" dxfId="3965" priority="946">
      <formula>$BC1466="YES"</formula>
    </cfRule>
  </conditionalFormatting>
  <conditionalFormatting sqref="R1467:S1467">
    <cfRule type="expression" dxfId="3964" priority="947">
      <formula>$BC1467="YES"</formula>
    </cfRule>
  </conditionalFormatting>
  <conditionalFormatting sqref="T1466:U1466">
    <cfRule type="expression" dxfId="3963" priority="948">
      <formula>$BC1466="YES"</formula>
    </cfRule>
  </conditionalFormatting>
  <conditionalFormatting sqref="T1467:U1467">
    <cfRule type="expression" dxfId="3962" priority="949">
      <formula>$BC1467="YES"</formula>
    </cfRule>
  </conditionalFormatting>
  <conditionalFormatting sqref="P1468:Q1468">
    <cfRule type="expression" dxfId="3961" priority="950">
      <formula>$BC1468="YES"</formula>
    </cfRule>
  </conditionalFormatting>
  <conditionalFormatting sqref="N1468:N1469">
    <cfRule type="expression" dxfId="3960" priority="951">
      <formula>$BC1468="YES"</formula>
    </cfRule>
  </conditionalFormatting>
  <conditionalFormatting sqref="O1468">
    <cfRule type="expression" dxfId="3959" priority="952">
      <formula>$BC1468="YES"</formula>
    </cfRule>
  </conditionalFormatting>
  <conditionalFormatting sqref="O1469">
    <cfRule type="expression" dxfId="3958" priority="953">
      <formula>$BC1469="YES"</formula>
    </cfRule>
  </conditionalFormatting>
  <conditionalFormatting sqref="P1469:Q1469">
    <cfRule type="expression" dxfId="3957" priority="954">
      <formula>$BC1469="YES"</formula>
    </cfRule>
  </conditionalFormatting>
  <conditionalFormatting sqref="R1468:S1468">
    <cfRule type="expression" dxfId="3956" priority="955">
      <formula>$BC1468="YES"</formula>
    </cfRule>
  </conditionalFormatting>
  <conditionalFormatting sqref="R1469:S1469">
    <cfRule type="expression" dxfId="3955" priority="956">
      <formula>$BC1469="YES"</formula>
    </cfRule>
  </conditionalFormatting>
  <conditionalFormatting sqref="T1468:U1468">
    <cfRule type="expression" dxfId="3954" priority="957">
      <formula>$BC1468="YES"</formula>
    </cfRule>
  </conditionalFormatting>
  <conditionalFormatting sqref="T1469:U1469">
    <cfRule type="expression" dxfId="3953" priority="958">
      <formula>$BC1469="YES"</formula>
    </cfRule>
  </conditionalFormatting>
  <conditionalFormatting sqref="P1470:Q1470">
    <cfRule type="expression" dxfId="3952" priority="959">
      <formula>$BC1470="YES"</formula>
    </cfRule>
  </conditionalFormatting>
  <conditionalFormatting sqref="N1470:N1471">
    <cfRule type="expression" dxfId="3951" priority="960">
      <formula>$BC1470="YES"</formula>
    </cfRule>
  </conditionalFormatting>
  <conditionalFormatting sqref="O1470">
    <cfRule type="expression" dxfId="3950" priority="961">
      <formula>$BC1470="YES"</formula>
    </cfRule>
  </conditionalFormatting>
  <conditionalFormatting sqref="O1471">
    <cfRule type="expression" dxfId="3949" priority="962">
      <formula>$BC1471="YES"</formula>
    </cfRule>
  </conditionalFormatting>
  <conditionalFormatting sqref="P1471:Q1471">
    <cfRule type="expression" dxfId="3948" priority="963">
      <formula>$BC1471="YES"</formula>
    </cfRule>
  </conditionalFormatting>
  <conditionalFormatting sqref="R1470:S1470">
    <cfRule type="expression" dxfId="3947" priority="964">
      <formula>$BC1470="YES"</formula>
    </cfRule>
  </conditionalFormatting>
  <conditionalFormatting sqref="R1471:S1471">
    <cfRule type="expression" dxfId="3946" priority="965">
      <formula>$BC1471="YES"</formula>
    </cfRule>
  </conditionalFormatting>
  <conditionalFormatting sqref="T1470:U1470">
    <cfRule type="expression" dxfId="3945" priority="966">
      <formula>$BC1470="YES"</formula>
    </cfRule>
  </conditionalFormatting>
  <conditionalFormatting sqref="T1471:U1471">
    <cfRule type="expression" dxfId="3944" priority="967">
      <formula>$BC1471="YES"</formula>
    </cfRule>
  </conditionalFormatting>
  <conditionalFormatting sqref="P1472:Q1472">
    <cfRule type="expression" dxfId="3943" priority="968">
      <formula>$BC1472="YES"</formula>
    </cfRule>
  </conditionalFormatting>
  <conditionalFormatting sqref="N1472:N1473">
    <cfRule type="expression" dxfId="3942" priority="969">
      <formula>$BC1472="YES"</formula>
    </cfRule>
  </conditionalFormatting>
  <conditionalFormatting sqref="O1472">
    <cfRule type="expression" dxfId="3941" priority="970">
      <formula>$BC1472="YES"</formula>
    </cfRule>
  </conditionalFormatting>
  <conditionalFormatting sqref="O1473">
    <cfRule type="expression" dxfId="3940" priority="971">
      <formula>$BC1473="YES"</formula>
    </cfRule>
  </conditionalFormatting>
  <conditionalFormatting sqref="P1473:Q1473">
    <cfRule type="expression" dxfId="3939" priority="972">
      <formula>$BC1473="YES"</formula>
    </cfRule>
  </conditionalFormatting>
  <conditionalFormatting sqref="R1472:S1472">
    <cfRule type="expression" dxfId="3938" priority="973">
      <formula>$BC1472="YES"</formula>
    </cfRule>
  </conditionalFormatting>
  <conditionalFormatting sqref="R1473:S1473">
    <cfRule type="expression" dxfId="3937" priority="974">
      <formula>$BC1473="YES"</formula>
    </cfRule>
  </conditionalFormatting>
  <conditionalFormatting sqref="T1472:U1472">
    <cfRule type="expression" dxfId="3936" priority="975">
      <formula>$BC1472="YES"</formula>
    </cfRule>
  </conditionalFormatting>
  <conditionalFormatting sqref="T1473:U1473">
    <cfRule type="expression" dxfId="3935" priority="976">
      <formula>$BC1473="YES"</formula>
    </cfRule>
  </conditionalFormatting>
  <conditionalFormatting sqref="P1474:Q1474">
    <cfRule type="expression" dxfId="3934" priority="977">
      <formula>$BC1474="YES"</formula>
    </cfRule>
  </conditionalFormatting>
  <conditionalFormatting sqref="N1474:N1475">
    <cfRule type="expression" dxfId="3933" priority="978">
      <formula>$BC1474="YES"</formula>
    </cfRule>
  </conditionalFormatting>
  <conditionalFormatting sqref="O1474">
    <cfRule type="expression" dxfId="3932" priority="979">
      <formula>$BC1474="YES"</formula>
    </cfRule>
  </conditionalFormatting>
  <conditionalFormatting sqref="O1475">
    <cfRule type="expression" dxfId="3931" priority="980">
      <formula>$BC1475="YES"</formula>
    </cfRule>
  </conditionalFormatting>
  <conditionalFormatting sqref="P1475:Q1475">
    <cfRule type="expression" dxfId="3930" priority="981">
      <formula>$BC1475="YES"</formula>
    </cfRule>
  </conditionalFormatting>
  <conditionalFormatting sqref="R1474:S1474">
    <cfRule type="expression" dxfId="3929" priority="982">
      <formula>$BC1474="YES"</formula>
    </cfRule>
  </conditionalFormatting>
  <conditionalFormatting sqref="R1475:S1475">
    <cfRule type="expression" dxfId="3928" priority="983">
      <formula>$BC1475="YES"</formula>
    </cfRule>
  </conditionalFormatting>
  <conditionalFormatting sqref="T1474:U1474">
    <cfRule type="expression" dxfId="3927" priority="984">
      <formula>$BC1474="YES"</formula>
    </cfRule>
  </conditionalFormatting>
  <conditionalFormatting sqref="T1475:U1475">
    <cfRule type="expression" dxfId="3926" priority="985">
      <formula>$BC1475="YES"</formula>
    </cfRule>
  </conditionalFormatting>
  <conditionalFormatting sqref="P1477:Q1477">
    <cfRule type="expression" dxfId="3925" priority="986">
      <formula>$BC1477="YES"</formula>
    </cfRule>
  </conditionalFormatting>
  <conditionalFormatting sqref="N1477:N1478">
    <cfRule type="expression" dxfId="3924" priority="987">
      <formula>$BC1477="YES"</formula>
    </cfRule>
  </conditionalFormatting>
  <conditionalFormatting sqref="O1477">
    <cfRule type="expression" dxfId="3923" priority="988">
      <formula>$BC1477="YES"</formula>
    </cfRule>
  </conditionalFormatting>
  <conditionalFormatting sqref="O1478">
    <cfRule type="expression" dxfId="3922" priority="989">
      <formula>$BC1478="YES"</formula>
    </cfRule>
  </conditionalFormatting>
  <conditionalFormatting sqref="P1478:Q1478">
    <cfRule type="expression" dxfId="3921" priority="990">
      <formula>$BC1478="YES"</formula>
    </cfRule>
  </conditionalFormatting>
  <conditionalFormatting sqref="R1477:S1477">
    <cfRule type="expression" dxfId="3920" priority="991">
      <formula>$BC1477="YES"</formula>
    </cfRule>
  </conditionalFormatting>
  <conditionalFormatting sqref="R1478:S1478">
    <cfRule type="expression" dxfId="3919" priority="992">
      <formula>$BC1478="YES"</formula>
    </cfRule>
  </conditionalFormatting>
  <conditionalFormatting sqref="T1477:U1477">
    <cfRule type="expression" dxfId="3918" priority="993">
      <formula>$BC1477="YES"</formula>
    </cfRule>
  </conditionalFormatting>
  <conditionalFormatting sqref="T1478:U1478">
    <cfRule type="expression" dxfId="3917" priority="994">
      <formula>$BC1478="YES"</formula>
    </cfRule>
  </conditionalFormatting>
  <conditionalFormatting sqref="P1479:Q1479">
    <cfRule type="expression" dxfId="3916" priority="995">
      <formula>$BC1479="YES"</formula>
    </cfRule>
  </conditionalFormatting>
  <conditionalFormatting sqref="N1479:N1480">
    <cfRule type="expression" dxfId="3915" priority="996">
      <formula>$BC1479="YES"</formula>
    </cfRule>
  </conditionalFormatting>
  <conditionalFormatting sqref="O1479">
    <cfRule type="expression" dxfId="3914" priority="997">
      <formula>$BC1479="YES"</formula>
    </cfRule>
  </conditionalFormatting>
  <conditionalFormatting sqref="O1480">
    <cfRule type="expression" dxfId="3913" priority="998">
      <formula>$BC1480="YES"</formula>
    </cfRule>
  </conditionalFormatting>
  <conditionalFormatting sqref="P1480:Q1480">
    <cfRule type="expression" dxfId="3912" priority="999">
      <formula>$BC1480="YES"</formula>
    </cfRule>
  </conditionalFormatting>
  <conditionalFormatting sqref="R1479:S1479">
    <cfRule type="expression" dxfId="3911" priority="1000">
      <formula>$BC1479="YES"</formula>
    </cfRule>
  </conditionalFormatting>
  <conditionalFormatting sqref="R1480:S1480">
    <cfRule type="expression" dxfId="3910" priority="1001">
      <formula>$BC1480="YES"</formula>
    </cfRule>
  </conditionalFormatting>
  <conditionalFormatting sqref="T1479:U1479">
    <cfRule type="expression" dxfId="3909" priority="1002">
      <formula>$BC1479="YES"</formula>
    </cfRule>
  </conditionalFormatting>
  <conditionalFormatting sqref="T1480:U1480">
    <cfRule type="expression" dxfId="3908" priority="1003">
      <formula>$BC1480="YES"</formula>
    </cfRule>
  </conditionalFormatting>
  <conditionalFormatting sqref="P1481:Q1481">
    <cfRule type="expression" dxfId="3907" priority="1004">
      <formula>$BC1481="YES"</formula>
    </cfRule>
  </conditionalFormatting>
  <conditionalFormatting sqref="N1481:N1482">
    <cfRule type="expression" dxfId="3906" priority="1005">
      <formula>$BC1481="YES"</formula>
    </cfRule>
  </conditionalFormatting>
  <conditionalFormatting sqref="O1481">
    <cfRule type="expression" dxfId="3905" priority="1006">
      <formula>$BC1481="YES"</formula>
    </cfRule>
  </conditionalFormatting>
  <conditionalFormatting sqref="O1482">
    <cfRule type="expression" dxfId="3904" priority="1007">
      <formula>$BC1482="YES"</formula>
    </cfRule>
  </conditionalFormatting>
  <conditionalFormatting sqref="P1482:Q1482">
    <cfRule type="expression" dxfId="3903" priority="1008">
      <formula>$BC1482="YES"</formula>
    </cfRule>
  </conditionalFormatting>
  <conditionalFormatting sqref="R1481:S1481">
    <cfRule type="expression" dxfId="3902" priority="1009">
      <formula>$BC1481="YES"</formula>
    </cfRule>
  </conditionalFormatting>
  <conditionalFormatting sqref="R1482:S1482">
    <cfRule type="expression" dxfId="3901" priority="1010">
      <formula>$BC1482="YES"</formula>
    </cfRule>
  </conditionalFormatting>
  <conditionalFormatting sqref="T1481:U1481">
    <cfRule type="expression" dxfId="3900" priority="1011">
      <formula>$BC1481="YES"</formula>
    </cfRule>
  </conditionalFormatting>
  <conditionalFormatting sqref="T1482:U1482">
    <cfRule type="expression" dxfId="3899" priority="1012">
      <formula>$BC1482="YES"</formula>
    </cfRule>
  </conditionalFormatting>
  <conditionalFormatting sqref="AJ1411:AK1609">
    <cfRule type="expression" dxfId="3898" priority="1013">
      <formula>$BC1411="YES"</formula>
    </cfRule>
  </conditionalFormatting>
  <conditionalFormatting sqref="O17:O18">
    <cfRule type="expression" dxfId="3897" priority="1014">
      <formula>$BC17="YES"</formula>
    </cfRule>
  </conditionalFormatting>
  <conditionalFormatting sqref="AP17:AQ18">
    <cfRule type="expression" dxfId="3896" priority="1015">
      <formula>$BC17="YES"</formula>
    </cfRule>
  </conditionalFormatting>
  <conditionalFormatting sqref="AP19:AQ20">
    <cfRule type="expression" dxfId="3895" priority="1016">
      <formula>$BC19="YES"</formula>
    </cfRule>
  </conditionalFormatting>
  <conditionalFormatting sqref="P23:Q24">
    <cfRule type="expression" dxfId="3894" priority="1017">
      <formula>$BC23="YES"</formula>
    </cfRule>
  </conditionalFormatting>
  <conditionalFormatting sqref="R19:S22">
    <cfRule type="expression" dxfId="3893" priority="1018">
      <formula>$BC19="YES"</formula>
    </cfRule>
  </conditionalFormatting>
  <conditionalFormatting sqref="R23:S26">
    <cfRule type="expression" dxfId="3892" priority="1019">
      <formula>$BC23="YES"</formula>
    </cfRule>
  </conditionalFormatting>
  <conditionalFormatting sqref="R27:S30">
    <cfRule type="expression" dxfId="3891" priority="1020">
      <formula>$BC27="YES"</formula>
    </cfRule>
  </conditionalFormatting>
  <conditionalFormatting sqref="V17:W18">
    <cfRule type="expression" dxfId="3890" priority="1021">
      <formula>$BC17="YES"</formula>
    </cfRule>
  </conditionalFormatting>
  <conditionalFormatting sqref="V19:W20">
    <cfRule type="expression" dxfId="3889" priority="1022">
      <formula>$BC19="YES"</formula>
    </cfRule>
  </conditionalFormatting>
  <conditionalFormatting sqref="V21:W22">
    <cfRule type="expression" dxfId="3888" priority="1023">
      <formula>$BC21="YES"</formula>
    </cfRule>
  </conditionalFormatting>
  <conditionalFormatting sqref="V23:W24">
    <cfRule type="expression" dxfId="3887" priority="1024">
      <formula>$BC23="YES"</formula>
    </cfRule>
  </conditionalFormatting>
  <conditionalFormatting sqref="AP21:AQ22">
    <cfRule type="expression" dxfId="3886" priority="1025">
      <formula>$BC21="YES"</formula>
    </cfRule>
  </conditionalFormatting>
  <conditionalFormatting sqref="AP23:AQ24">
    <cfRule type="expression" dxfId="3885" priority="1026">
      <formula>$BC23="YES"</formula>
    </cfRule>
  </conditionalFormatting>
  <conditionalFormatting sqref="AR19:AS22">
    <cfRule type="expression" dxfId="3884" priority="1027">
      <formula>$BC19="YES"</formula>
    </cfRule>
  </conditionalFormatting>
  <conditionalFormatting sqref="AR23:AS24">
    <cfRule type="expression" dxfId="3883" priority="1028">
      <formula>$BC23="YES"</formula>
    </cfRule>
  </conditionalFormatting>
  <conditionalFormatting sqref="AT17:AU18">
    <cfRule type="expression" dxfId="3882" priority="1029">
      <formula>$BC17="YES"</formula>
    </cfRule>
  </conditionalFormatting>
  <conditionalFormatting sqref="AT19:AU20">
    <cfRule type="expression" dxfId="3881" priority="1030">
      <formula>$BC19="YES"</formula>
    </cfRule>
  </conditionalFormatting>
  <conditionalFormatting sqref="AT21:AU22">
    <cfRule type="expression" dxfId="3880" priority="1031">
      <formula>$BC21="YES"</formula>
    </cfRule>
  </conditionalFormatting>
  <conditionalFormatting sqref="AT23:AU24">
    <cfRule type="expression" dxfId="3879" priority="1032">
      <formula>$BC23="YES"</formula>
    </cfRule>
  </conditionalFormatting>
  <conditionalFormatting sqref="L17:M18">
    <cfRule type="expression" dxfId="3878" priority="1033">
      <formula>$BC17="YES"</formula>
    </cfRule>
  </conditionalFormatting>
  <conditionalFormatting sqref="L19:M20">
    <cfRule type="expression" dxfId="3877" priority="1034">
      <formula>$BC19="YES"</formula>
    </cfRule>
  </conditionalFormatting>
  <conditionalFormatting sqref="L21:M22">
    <cfRule type="expression" dxfId="3876" priority="1035">
      <formula>$BC21="YES"</formula>
    </cfRule>
  </conditionalFormatting>
  <conditionalFormatting sqref="L23:M24">
    <cfRule type="expression" dxfId="3875" priority="1036">
      <formula>$BC23="YES"</formula>
    </cfRule>
  </conditionalFormatting>
  <conditionalFormatting sqref="L25:M26">
    <cfRule type="expression" dxfId="3874" priority="1037">
      <formula>$BC25="YES"</formula>
    </cfRule>
  </conditionalFormatting>
  <conditionalFormatting sqref="L27:M28">
    <cfRule type="expression" dxfId="3873" priority="1038">
      <formula>$BC27="YES"</formula>
    </cfRule>
  </conditionalFormatting>
  <conditionalFormatting sqref="V373:W374">
    <cfRule type="expression" dxfId="3872" priority="1039">
      <formula>$BC373="YES"</formula>
    </cfRule>
  </conditionalFormatting>
  <conditionalFormatting sqref="V375:W376">
    <cfRule type="expression" dxfId="3871" priority="1040">
      <formula>$BC375="YES"</formula>
    </cfRule>
  </conditionalFormatting>
  <conditionalFormatting sqref="V377:W378">
    <cfRule type="expression" dxfId="3870" priority="1041">
      <formula>$BC377="YES"</formula>
    </cfRule>
  </conditionalFormatting>
  <conditionalFormatting sqref="V379:W380">
    <cfRule type="expression" dxfId="3869" priority="1042">
      <formula>$BC379="YES"</formula>
    </cfRule>
  </conditionalFormatting>
  <conditionalFormatting sqref="V381:W382">
    <cfRule type="expression" dxfId="3868" priority="1043">
      <formula>$BC381="YES"</formula>
    </cfRule>
  </conditionalFormatting>
  <conditionalFormatting sqref="V383:W384">
    <cfRule type="expression" dxfId="3867" priority="1044">
      <formula>$BC383="YES"</formula>
    </cfRule>
  </conditionalFormatting>
  <conditionalFormatting sqref="V385:W386">
    <cfRule type="expression" dxfId="3866" priority="1045">
      <formula>$BC385="YES"</formula>
    </cfRule>
  </conditionalFormatting>
  <conditionalFormatting sqref="O65:O66">
    <cfRule type="expression" dxfId="3865" priority="1046">
      <formula>$BC65="YES"</formula>
    </cfRule>
  </conditionalFormatting>
  <conditionalFormatting sqref="O19:O20">
    <cfRule type="expression" dxfId="3864" priority="1047">
      <formula>$BC19="YES"</formula>
    </cfRule>
  </conditionalFormatting>
  <conditionalFormatting sqref="O21:O22">
    <cfRule type="expression" dxfId="3863" priority="1048">
      <formula>$BC21="YES"</formula>
    </cfRule>
  </conditionalFormatting>
  <conditionalFormatting sqref="O23:O24">
    <cfRule type="expression" dxfId="3862" priority="1049">
      <formula>$BC23="YES"</formula>
    </cfRule>
  </conditionalFormatting>
  <conditionalFormatting sqref="O25:O26">
    <cfRule type="expression" dxfId="3861" priority="1050">
      <formula>$BC25="YES"</formula>
    </cfRule>
  </conditionalFormatting>
  <conditionalFormatting sqref="O27:O28">
    <cfRule type="expression" dxfId="3860" priority="1051">
      <formula>$BC27="YES"</formula>
    </cfRule>
  </conditionalFormatting>
  <conditionalFormatting sqref="O29:O30">
    <cfRule type="expression" dxfId="3859" priority="1052">
      <formula>$BC29="YES"</formula>
    </cfRule>
  </conditionalFormatting>
  <conditionalFormatting sqref="O31:O32">
    <cfRule type="expression" dxfId="3858" priority="1053">
      <formula>$BC31="YES"</formula>
    </cfRule>
  </conditionalFormatting>
  <conditionalFormatting sqref="O33:O34">
    <cfRule type="expression" dxfId="3857" priority="1054">
      <formula>$BC33="YES"</formula>
    </cfRule>
  </conditionalFormatting>
  <conditionalFormatting sqref="O35:O36">
    <cfRule type="expression" dxfId="3856" priority="1055">
      <formula>$BC35="YES"</formula>
    </cfRule>
  </conditionalFormatting>
  <conditionalFormatting sqref="O37:O38">
    <cfRule type="expression" dxfId="3855" priority="1056">
      <formula>$BC37="YES"</formula>
    </cfRule>
  </conditionalFormatting>
  <conditionalFormatting sqref="O39:O40">
    <cfRule type="expression" dxfId="3854" priority="1057">
      <formula>$BC39="YES"</formula>
    </cfRule>
  </conditionalFormatting>
  <conditionalFormatting sqref="O41:O42">
    <cfRule type="expression" dxfId="3853" priority="1058">
      <formula>$BC41="YES"</formula>
    </cfRule>
  </conditionalFormatting>
  <conditionalFormatting sqref="O43:O44">
    <cfRule type="expression" dxfId="3852" priority="1059">
      <formula>$BC43="YES"</formula>
    </cfRule>
  </conditionalFormatting>
  <conditionalFormatting sqref="O45:O46">
    <cfRule type="expression" dxfId="3851" priority="1060">
      <formula>$BC45="YES"</formula>
    </cfRule>
  </conditionalFormatting>
  <conditionalFormatting sqref="O47:O48">
    <cfRule type="expression" dxfId="3850" priority="1061">
      <formula>$BC47="YES"</formula>
    </cfRule>
  </conditionalFormatting>
  <conditionalFormatting sqref="O49:O50">
    <cfRule type="expression" dxfId="3849" priority="1062">
      <formula>$BC49="YES"</formula>
    </cfRule>
  </conditionalFormatting>
  <conditionalFormatting sqref="O51:O52">
    <cfRule type="expression" dxfId="3848" priority="1063">
      <formula>$BC51="YES"</formula>
    </cfRule>
  </conditionalFormatting>
  <conditionalFormatting sqref="O53:O54">
    <cfRule type="expression" dxfId="3847" priority="1064">
      <formula>$BC53="YES"</formula>
    </cfRule>
  </conditionalFormatting>
  <conditionalFormatting sqref="O55:O56">
    <cfRule type="expression" dxfId="3846" priority="1065">
      <formula>$BC55="YES"</formula>
    </cfRule>
  </conditionalFormatting>
  <conditionalFormatting sqref="O57:O58">
    <cfRule type="expression" dxfId="3845" priority="1066">
      <formula>$BC57="YES"</formula>
    </cfRule>
  </conditionalFormatting>
  <conditionalFormatting sqref="O59:O60">
    <cfRule type="expression" dxfId="3844" priority="1067">
      <formula>$BC59="YES"</formula>
    </cfRule>
  </conditionalFormatting>
  <conditionalFormatting sqref="O61:O62">
    <cfRule type="expression" dxfId="3843" priority="1068">
      <formula>$BC61="YES"</formula>
    </cfRule>
  </conditionalFormatting>
  <conditionalFormatting sqref="O63:O64">
    <cfRule type="expression" dxfId="3842" priority="1069">
      <formula>$BC63="YES"</formula>
    </cfRule>
  </conditionalFormatting>
  <conditionalFormatting sqref="O68:O69">
    <cfRule type="expression" dxfId="3841" priority="1070">
      <formula>$BC68="YES"</formula>
    </cfRule>
  </conditionalFormatting>
  <conditionalFormatting sqref="O70:O71">
    <cfRule type="expression" dxfId="3840" priority="1071">
      <formula>$BC70="YES"</formula>
    </cfRule>
  </conditionalFormatting>
  <conditionalFormatting sqref="O72:O73">
    <cfRule type="expression" dxfId="3839" priority="1072">
      <formula>$BC72="YES"</formula>
    </cfRule>
  </conditionalFormatting>
  <conditionalFormatting sqref="O74:O75">
    <cfRule type="expression" dxfId="3838" priority="1073">
      <formula>$BC74="YES"</formula>
    </cfRule>
  </conditionalFormatting>
  <conditionalFormatting sqref="O76:O77">
    <cfRule type="expression" dxfId="3837" priority="1074">
      <formula>$BC76="YES"</formula>
    </cfRule>
  </conditionalFormatting>
  <conditionalFormatting sqref="O78:O79">
    <cfRule type="expression" dxfId="3836" priority="1075">
      <formula>$BC78="YES"</formula>
    </cfRule>
  </conditionalFormatting>
  <conditionalFormatting sqref="O80:O81">
    <cfRule type="expression" dxfId="3835" priority="1076">
      <formula>$BC80="YES"</formula>
    </cfRule>
  </conditionalFormatting>
  <conditionalFormatting sqref="O128:O129">
    <cfRule type="expression" dxfId="3834" priority="1077">
      <formula>$BC128="YES"</formula>
    </cfRule>
  </conditionalFormatting>
  <conditionalFormatting sqref="O82:O83">
    <cfRule type="expression" dxfId="3833" priority="1078">
      <formula>$BC82="YES"</formula>
    </cfRule>
  </conditionalFormatting>
  <conditionalFormatting sqref="O84:O85">
    <cfRule type="expression" dxfId="3832" priority="1079">
      <formula>$BC84="YES"</formula>
    </cfRule>
  </conditionalFormatting>
  <conditionalFormatting sqref="O86:O87">
    <cfRule type="expression" dxfId="3831" priority="1080">
      <formula>$BC86="YES"</formula>
    </cfRule>
  </conditionalFormatting>
  <conditionalFormatting sqref="O88:O89">
    <cfRule type="expression" dxfId="3830" priority="1081">
      <formula>$BC88="YES"</formula>
    </cfRule>
  </conditionalFormatting>
  <conditionalFormatting sqref="O90:O91">
    <cfRule type="expression" dxfId="3829" priority="1082">
      <formula>$BC90="YES"</formula>
    </cfRule>
  </conditionalFormatting>
  <conditionalFormatting sqref="O92:O93">
    <cfRule type="expression" dxfId="3828" priority="1083">
      <formula>$BC92="YES"</formula>
    </cfRule>
  </conditionalFormatting>
  <conditionalFormatting sqref="O94:O95">
    <cfRule type="expression" dxfId="3827" priority="1084">
      <formula>$BC94="YES"</formula>
    </cfRule>
  </conditionalFormatting>
  <conditionalFormatting sqref="O96:O97">
    <cfRule type="expression" dxfId="3826" priority="1085">
      <formula>$BC96="YES"</formula>
    </cfRule>
  </conditionalFormatting>
  <conditionalFormatting sqref="O98:O99">
    <cfRule type="expression" dxfId="3825" priority="1086">
      <formula>$BC98="YES"</formula>
    </cfRule>
  </conditionalFormatting>
  <conditionalFormatting sqref="O100:O101">
    <cfRule type="expression" dxfId="3824" priority="1087">
      <formula>$BC100="YES"</formula>
    </cfRule>
  </conditionalFormatting>
  <conditionalFormatting sqref="O102:O103">
    <cfRule type="expression" dxfId="3823" priority="1088">
      <formula>$BC102="YES"</formula>
    </cfRule>
  </conditionalFormatting>
  <conditionalFormatting sqref="O104:O105">
    <cfRule type="expression" dxfId="3822" priority="1089">
      <formula>$BC104="YES"</formula>
    </cfRule>
  </conditionalFormatting>
  <conditionalFormatting sqref="O106:O107">
    <cfRule type="expression" dxfId="3821" priority="1090">
      <formula>$BC106="YES"</formula>
    </cfRule>
  </conditionalFormatting>
  <conditionalFormatting sqref="O108:O109">
    <cfRule type="expression" dxfId="3820" priority="1091">
      <formula>$BC108="YES"</formula>
    </cfRule>
  </conditionalFormatting>
  <conditionalFormatting sqref="O110:O111">
    <cfRule type="expression" dxfId="3819" priority="1092">
      <formula>$BC110="YES"</formula>
    </cfRule>
  </conditionalFormatting>
  <conditionalFormatting sqref="O112:O113">
    <cfRule type="expression" dxfId="3818" priority="1093">
      <formula>$BC112="YES"</formula>
    </cfRule>
  </conditionalFormatting>
  <conditionalFormatting sqref="O114:O115">
    <cfRule type="expression" dxfId="3817" priority="1094">
      <formula>$BC114="YES"</formula>
    </cfRule>
  </conditionalFormatting>
  <conditionalFormatting sqref="O116:O117">
    <cfRule type="expression" dxfId="3816" priority="1095">
      <formula>$BC116="YES"</formula>
    </cfRule>
  </conditionalFormatting>
  <conditionalFormatting sqref="O118:O119">
    <cfRule type="expression" dxfId="3815" priority="1096">
      <formula>$BC118="YES"</formula>
    </cfRule>
  </conditionalFormatting>
  <conditionalFormatting sqref="O120:O121">
    <cfRule type="expression" dxfId="3814" priority="1097">
      <formula>$BC120="YES"</formula>
    </cfRule>
  </conditionalFormatting>
  <conditionalFormatting sqref="O122:O123">
    <cfRule type="expression" dxfId="3813" priority="1098">
      <formula>$BC122="YES"</formula>
    </cfRule>
  </conditionalFormatting>
  <conditionalFormatting sqref="O124:O125">
    <cfRule type="expression" dxfId="3812" priority="1099">
      <formula>$BC124="YES"</formula>
    </cfRule>
  </conditionalFormatting>
  <conditionalFormatting sqref="O126:O127">
    <cfRule type="expression" dxfId="3811" priority="1100">
      <formula>$BC126="YES"</formula>
    </cfRule>
  </conditionalFormatting>
  <conditionalFormatting sqref="O131:O132">
    <cfRule type="expression" dxfId="3810" priority="1101">
      <formula>$BC131="YES"</formula>
    </cfRule>
  </conditionalFormatting>
  <conditionalFormatting sqref="O133:O134">
    <cfRule type="expression" dxfId="3809" priority="1102">
      <formula>$BC133="YES"</formula>
    </cfRule>
  </conditionalFormatting>
  <conditionalFormatting sqref="O135:O136">
    <cfRule type="expression" dxfId="3808" priority="1103">
      <formula>$BC135="YES"</formula>
    </cfRule>
  </conditionalFormatting>
  <conditionalFormatting sqref="O137:O138">
    <cfRule type="expression" dxfId="3807" priority="1104">
      <formula>$BC137="YES"</formula>
    </cfRule>
  </conditionalFormatting>
  <conditionalFormatting sqref="O139:O140">
    <cfRule type="expression" dxfId="3806" priority="1105">
      <formula>$BC139="YES"</formula>
    </cfRule>
  </conditionalFormatting>
  <conditionalFormatting sqref="O141:O142">
    <cfRule type="expression" dxfId="3805" priority="1106">
      <formula>$BC141="YES"</formula>
    </cfRule>
  </conditionalFormatting>
  <conditionalFormatting sqref="O143:O144">
    <cfRule type="expression" dxfId="3804" priority="1107">
      <formula>$BC143="YES"</formula>
    </cfRule>
  </conditionalFormatting>
  <conditionalFormatting sqref="O191:O192">
    <cfRule type="expression" dxfId="3803" priority="1108">
      <formula>$BC191="YES"</formula>
    </cfRule>
  </conditionalFormatting>
  <conditionalFormatting sqref="O145:O146">
    <cfRule type="expression" dxfId="3802" priority="1109">
      <formula>$BC145="YES"</formula>
    </cfRule>
  </conditionalFormatting>
  <conditionalFormatting sqref="O147:O148">
    <cfRule type="expression" dxfId="3801" priority="1110">
      <formula>$BC147="YES"</formula>
    </cfRule>
  </conditionalFormatting>
  <conditionalFormatting sqref="O149:O150">
    <cfRule type="expression" dxfId="3800" priority="1111">
      <formula>$BC149="YES"</formula>
    </cfRule>
  </conditionalFormatting>
  <conditionalFormatting sqref="O151:O152">
    <cfRule type="expression" dxfId="3799" priority="1112">
      <formula>$BC151="YES"</formula>
    </cfRule>
  </conditionalFormatting>
  <conditionalFormatting sqref="O153:O154">
    <cfRule type="expression" dxfId="3798" priority="1113">
      <formula>$BC153="YES"</formula>
    </cfRule>
  </conditionalFormatting>
  <conditionalFormatting sqref="O155:O156">
    <cfRule type="expression" dxfId="3797" priority="1114">
      <formula>$BC155="YES"</formula>
    </cfRule>
  </conditionalFormatting>
  <conditionalFormatting sqref="O157:O158">
    <cfRule type="expression" dxfId="3796" priority="1115">
      <formula>$BC157="YES"</formula>
    </cfRule>
  </conditionalFormatting>
  <conditionalFormatting sqref="O159:O160">
    <cfRule type="expression" dxfId="3795" priority="1116">
      <formula>$BC159="YES"</formula>
    </cfRule>
  </conditionalFormatting>
  <conditionalFormatting sqref="O161:O162">
    <cfRule type="expression" dxfId="3794" priority="1117">
      <formula>$BC161="YES"</formula>
    </cfRule>
  </conditionalFormatting>
  <conditionalFormatting sqref="O163:O164">
    <cfRule type="expression" dxfId="3793" priority="1118">
      <formula>$BC163="YES"</formula>
    </cfRule>
  </conditionalFormatting>
  <conditionalFormatting sqref="O165:O166">
    <cfRule type="expression" dxfId="3792" priority="1119">
      <formula>$BC165="YES"</formula>
    </cfRule>
  </conditionalFormatting>
  <conditionalFormatting sqref="O167:O168">
    <cfRule type="expression" dxfId="3791" priority="1120">
      <formula>$BC167="YES"</formula>
    </cfRule>
  </conditionalFormatting>
  <conditionalFormatting sqref="O169:O170">
    <cfRule type="expression" dxfId="3790" priority="1121">
      <formula>$BC169="YES"</formula>
    </cfRule>
  </conditionalFormatting>
  <conditionalFormatting sqref="O171:O172">
    <cfRule type="expression" dxfId="3789" priority="1122">
      <formula>$BC171="YES"</formula>
    </cfRule>
  </conditionalFormatting>
  <conditionalFormatting sqref="O173:O174">
    <cfRule type="expression" dxfId="3788" priority="1123">
      <formula>$BC173="YES"</formula>
    </cfRule>
  </conditionalFormatting>
  <conditionalFormatting sqref="O175:O176">
    <cfRule type="expression" dxfId="3787" priority="1124">
      <formula>$BC175="YES"</formula>
    </cfRule>
  </conditionalFormatting>
  <conditionalFormatting sqref="O177:O178">
    <cfRule type="expression" dxfId="3786" priority="1125">
      <formula>$BC177="YES"</formula>
    </cfRule>
  </conditionalFormatting>
  <conditionalFormatting sqref="O179:O180">
    <cfRule type="expression" dxfId="3785" priority="1126">
      <formula>$BC179="YES"</formula>
    </cfRule>
  </conditionalFormatting>
  <conditionalFormatting sqref="O181:O182">
    <cfRule type="expression" dxfId="3784" priority="1127">
      <formula>$BC181="YES"</formula>
    </cfRule>
  </conditionalFormatting>
  <conditionalFormatting sqref="O183:O184">
    <cfRule type="expression" dxfId="3783" priority="1128">
      <formula>$BC183="YES"</formula>
    </cfRule>
  </conditionalFormatting>
  <conditionalFormatting sqref="O185:O186">
    <cfRule type="expression" dxfId="3782" priority="1129">
      <formula>$BC185="YES"</formula>
    </cfRule>
  </conditionalFormatting>
  <conditionalFormatting sqref="O187:O188">
    <cfRule type="expression" dxfId="3781" priority="1130">
      <formula>$BC187="YES"</formula>
    </cfRule>
  </conditionalFormatting>
  <conditionalFormatting sqref="O189:O190">
    <cfRule type="expression" dxfId="3780" priority="1131">
      <formula>$BC189="YES"</formula>
    </cfRule>
  </conditionalFormatting>
  <conditionalFormatting sqref="O194:O195">
    <cfRule type="expression" dxfId="3779" priority="1132">
      <formula>$BC194="YES"</formula>
    </cfRule>
  </conditionalFormatting>
  <conditionalFormatting sqref="O196:O197">
    <cfRule type="expression" dxfId="3778" priority="1133">
      <formula>$BC196="YES"</formula>
    </cfRule>
  </conditionalFormatting>
  <conditionalFormatting sqref="O198:O199">
    <cfRule type="expression" dxfId="3777" priority="1134">
      <formula>$BC198="YES"</formula>
    </cfRule>
  </conditionalFormatting>
  <conditionalFormatting sqref="O200:O201">
    <cfRule type="expression" dxfId="3776" priority="1135">
      <formula>$BC200="YES"</formula>
    </cfRule>
  </conditionalFormatting>
  <conditionalFormatting sqref="O202:O203">
    <cfRule type="expression" dxfId="3775" priority="1136">
      <formula>$BC202="YES"</formula>
    </cfRule>
  </conditionalFormatting>
  <conditionalFormatting sqref="O204:O205">
    <cfRule type="expression" dxfId="3774" priority="1137">
      <formula>$BC204="YES"</formula>
    </cfRule>
  </conditionalFormatting>
  <conditionalFormatting sqref="O206:O207">
    <cfRule type="expression" dxfId="3773" priority="1138">
      <formula>$BC206="YES"</formula>
    </cfRule>
  </conditionalFormatting>
  <conditionalFormatting sqref="O254:O255">
    <cfRule type="expression" dxfId="3772" priority="1139">
      <formula>$BC254="YES"</formula>
    </cfRule>
  </conditionalFormatting>
  <conditionalFormatting sqref="O208:O209">
    <cfRule type="expression" dxfId="3771" priority="1140">
      <formula>$BC208="YES"</formula>
    </cfRule>
  </conditionalFormatting>
  <conditionalFormatting sqref="O210:O211">
    <cfRule type="expression" dxfId="3770" priority="1141">
      <formula>$BC210="YES"</formula>
    </cfRule>
  </conditionalFormatting>
  <conditionalFormatting sqref="O212:O213">
    <cfRule type="expression" dxfId="3769" priority="1142">
      <formula>$BC212="YES"</formula>
    </cfRule>
  </conditionalFormatting>
  <conditionalFormatting sqref="O214:O215">
    <cfRule type="expression" dxfId="3768" priority="1143">
      <formula>$BC214="YES"</formula>
    </cfRule>
  </conditionalFormatting>
  <conditionalFormatting sqref="O216:O217">
    <cfRule type="expression" dxfId="3767" priority="1144">
      <formula>$BC216="YES"</formula>
    </cfRule>
  </conditionalFormatting>
  <conditionalFormatting sqref="O218:O219">
    <cfRule type="expression" dxfId="3766" priority="1145">
      <formula>$BC218="YES"</formula>
    </cfRule>
  </conditionalFormatting>
  <conditionalFormatting sqref="O220:O221">
    <cfRule type="expression" dxfId="3765" priority="1146">
      <formula>$BC220="YES"</formula>
    </cfRule>
  </conditionalFormatting>
  <conditionalFormatting sqref="O222:O223">
    <cfRule type="expression" dxfId="3764" priority="1147">
      <formula>$BC222="YES"</formula>
    </cfRule>
  </conditionalFormatting>
  <conditionalFormatting sqref="O224:O225">
    <cfRule type="expression" dxfId="3763" priority="1148">
      <formula>$BC224="YES"</formula>
    </cfRule>
  </conditionalFormatting>
  <conditionalFormatting sqref="O226:O227">
    <cfRule type="expression" dxfId="3762" priority="1149">
      <formula>$BC226="YES"</formula>
    </cfRule>
  </conditionalFormatting>
  <conditionalFormatting sqref="O228:O229">
    <cfRule type="expression" dxfId="3761" priority="1150">
      <formula>$BC228="YES"</formula>
    </cfRule>
  </conditionalFormatting>
  <conditionalFormatting sqref="O230:O231">
    <cfRule type="expression" dxfId="3760" priority="1151">
      <formula>$BC230="YES"</formula>
    </cfRule>
  </conditionalFormatting>
  <conditionalFormatting sqref="O232:O233">
    <cfRule type="expression" dxfId="3759" priority="1152">
      <formula>$BC232="YES"</formula>
    </cfRule>
  </conditionalFormatting>
  <conditionalFormatting sqref="O234:O235">
    <cfRule type="expression" dxfId="3758" priority="1153">
      <formula>$BC234="YES"</formula>
    </cfRule>
  </conditionalFormatting>
  <conditionalFormatting sqref="O236:O237">
    <cfRule type="expression" dxfId="3757" priority="1154">
      <formula>$BC236="YES"</formula>
    </cfRule>
  </conditionalFormatting>
  <conditionalFormatting sqref="O238:O239">
    <cfRule type="expression" dxfId="3756" priority="1155">
      <formula>$BC238="YES"</formula>
    </cfRule>
  </conditionalFormatting>
  <conditionalFormatting sqref="O240:O241">
    <cfRule type="expression" dxfId="3755" priority="1156">
      <formula>$BC240="YES"</formula>
    </cfRule>
  </conditionalFormatting>
  <conditionalFormatting sqref="O242:O243">
    <cfRule type="expression" dxfId="3754" priority="1157">
      <formula>$BC242="YES"</formula>
    </cfRule>
  </conditionalFormatting>
  <conditionalFormatting sqref="O244:O245">
    <cfRule type="expression" dxfId="3753" priority="1158">
      <formula>$BC244="YES"</formula>
    </cfRule>
  </conditionalFormatting>
  <conditionalFormatting sqref="O246:O247">
    <cfRule type="expression" dxfId="3752" priority="1159">
      <formula>$BC246="YES"</formula>
    </cfRule>
  </conditionalFormatting>
  <conditionalFormatting sqref="O248:O249">
    <cfRule type="expression" dxfId="3751" priority="1160">
      <formula>$BC248="YES"</formula>
    </cfRule>
  </conditionalFormatting>
  <conditionalFormatting sqref="O250:O251">
    <cfRule type="expression" dxfId="3750" priority="1161">
      <formula>$BC250="YES"</formula>
    </cfRule>
  </conditionalFormatting>
  <conditionalFormatting sqref="O252:O253">
    <cfRule type="expression" dxfId="3749" priority="1162">
      <formula>$BC252="YES"</formula>
    </cfRule>
  </conditionalFormatting>
  <conditionalFormatting sqref="O257:O258">
    <cfRule type="expression" dxfId="3748" priority="1163">
      <formula>$BC257="YES"</formula>
    </cfRule>
  </conditionalFormatting>
  <conditionalFormatting sqref="O259:O260">
    <cfRule type="expression" dxfId="3747" priority="1164">
      <formula>$BC259="YES"</formula>
    </cfRule>
  </conditionalFormatting>
  <conditionalFormatting sqref="O261:O262">
    <cfRule type="expression" dxfId="3746" priority="1165">
      <formula>$BC261="YES"</formula>
    </cfRule>
  </conditionalFormatting>
  <conditionalFormatting sqref="O263:O264">
    <cfRule type="expression" dxfId="3745" priority="1166">
      <formula>$BC263="YES"</formula>
    </cfRule>
  </conditionalFormatting>
  <conditionalFormatting sqref="O265:O266">
    <cfRule type="expression" dxfId="3744" priority="1167">
      <formula>$BC265="YES"</formula>
    </cfRule>
  </conditionalFormatting>
  <conditionalFormatting sqref="O267:O268">
    <cfRule type="expression" dxfId="3743" priority="1168">
      <formula>$BC267="YES"</formula>
    </cfRule>
  </conditionalFormatting>
  <conditionalFormatting sqref="O269:O270">
    <cfRule type="expression" dxfId="3742" priority="1169">
      <formula>$BC269="YES"</formula>
    </cfRule>
  </conditionalFormatting>
  <conditionalFormatting sqref="O317:O318">
    <cfRule type="expression" dxfId="3741" priority="1170">
      <formula>$BC317="YES"</formula>
    </cfRule>
  </conditionalFormatting>
  <conditionalFormatting sqref="O271:O272">
    <cfRule type="expression" dxfId="3740" priority="1171">
      <formula>$BC271="YES"</formula>
    </cfRule>
  </conditionalFormatting>
  <conditionalFormatting sqref="O273:O274">
    <cfRule type="expression" dxfId="3739" priority="1172">
      <formula>$BC273="YES"</formula>
    </cfRule>
  </conditionalFormatting>
  <conditionalFormatting sqref="O275:O276">
    <cfRule type="expression" dxfId="3738" priority="1173">
      <formula>$BC275="YES"</formula>
    </cfRule>
  </conditionalFormatting>
  <conditionalFormatting sqref="O277:O278">
    <cfRule type="expression" dxfId="3737" priority="1174">
      <formula>$BC277="YES"</formula>
    </cfRule>
  </conditionalFormatting>
  <conditionalFormatting sqref="O279:O280">
    <cfRule type="expression" dxfId="3736" priority="1175">
      <formula>$BC279="YES"</formula>
    </cfRule>
  </conditionalFormatting>
  <conditionalFormatting sqref="O281:O282">
    <cfRule type="expression" dxfId="3735" priority="1176">
      <formula>$BC281="YES"</formula>
    </cfRule>
  </conditionalFormatting>
  <conditionalFormatting sqref="O283:O284">
    <cfRule type="expression" dxfId="3734" priority="1177">
      <formula>$BC283="YES"</formula>
    </cfRule>
  </conditionalFormatting>
  <conditionalFormatting sqref="O285:O286">
    <cfRule type="expression" dxfId="3733" priority="1178">
      <formula>$BC285="YES"</formula>
    </cfRule>
  </conditionalFormatting>
  <conditionalFormatting sqref="O287:O288">
    <cfRule type="expression" dxfId="3732" priority="1179">
      <formula>$BC287="YES"</formula>
    </cfRule>
  </conditionalFormatting>
  <conditionalFormatting sqref="O289:O290">
    <cfRule type="expression" dxfId="3731" priority="1180">
      <formula>$BC289="YES"</formula>
    </cfRule>
  </conditionalFormatting>
  <conditionalFormatting sqref="O291:O292">
    <cfRule type="expression" dxfId="3730" priority="1181">
      <formula>$BC291="YES"</formula>
    </cfRule>
  </conditionalFormatting>
  <conditionalFormatting sqref="O293:O294">
    <cfRule type="expression" dxfId="3729" priority="1182">
      <formula>$BC293="YES"</formula>
    </cfRule>
  </conditionalFormatting>
  <conditionalFormatting sqref="O295:O296">
    <cfRule type="expression" dxfId="3728" priority="1183">
      <formula>$BC295="YES"</formula>
    </cfRule>
  </conditionalFormatting>
  <conditionalFormatting sqref="O297:O298">
    <cfRule type="expression" dxfId="3727" priority="1184">
      <formula>$BC297="YES"</formula>
    </cfRule>
  </conditionalFormatting>
  <conditionalFormatting sqref="O299:O300">
    <cfRule type="expression" dxfId="3726" priority="1185">
      <formula>$BC299="YES"</formula>
    </cfRule>
  </conditionalFormatting>
  <conditionalFormatting sqref="O301:O302">
    <cfRule type="expression" dxfId="3725" priority="1186">
      <formula>$BC301="YES"</formula>
    </cfRule>
  </conditionalFormatting>
  <conditionalFormatting sqref="O303:O304">
    <cfRule type="expression" dxfId="3724" priority="1187">
      <formula>$BC303="YES"</formula>
    </cfRule>
  </conditionalFormatting>
  <conditionalFormatting sqref="O305:O306">
    <cfRule type="expression" dxfId="3723" priority="1188">
      <formula>$BC305="YES"</formula>
    </cfRule>
  </conditionalFormatting>
  <conditionalFormatting sqref="O307:O308">
    <cfRule type="expression" dxfId="3722" priority="1189">
      <formula>$BC307="YES"</formula>
    </cfRule>
  </conditionalFormatting>
  <conditionalFormatting sqref="O309:O310">
    <cfRule type="expression" dxfId="3721" priority="1190">
      <formula>$BC309="YES"</formula>
    </cfRule>
  </conditionalFormatting>
  <conditionalFormatting sqref="O311:O312">
    <cfRule type="expression" dxfId="3720" priority="1191">
      <formula>$BC311="YES"</formula>
    </cfRule>
  </conditionalFormatting>
  <conditionalFormatting sqref="O313:O314">
    <cfRule type="expression" dxfId="3719" priority="1192">
      <formula>$BC313="YES"</formula>
    </cfRule>
  </conditionalFormatting>
  <conditionalFormatting sqref="O315:O316">
    <cfRule type="expression" dxfId="3718" priority="1193">
      <formula>$BC315="YES"</formula>
    </cfRule>
  </conditionalFormatting>
  <conditionalFormatting sqref="O320:O321">
    <cfRule type="expression" dxfId="3717" priority="1194">
      <formula>$BC320="YES"</formula>
    </cfRule>
  </conditionalFormatting>
  <conditionalFormatting sqref="O322:O323">
    <cfRule type="expression" dxfId="3716" priority="1195">
      <formula>$BC322="YES"</formula>
    </cfRule>
  </conditionalFormatting>
  <conditionalFormatting sqref="O324:O325">
    <cfRule type="expression" dxfId="3715" priority="1196">
      <formula>$BC324="YES"</formula>
    </cfRule>
  </conditionalFormatting>
  <conditionalFormatting sqref="O326:O327">
    <cfRule type="expression" dxfId="3714" priority="1197">
      <formula>$BC326="YES"</formula>
    </cfRule>
  </conditionalFormatting>
  <conditionalFormatting sqref="O328:O329">
    <cfRule type="expression" dxfId="3713" priority="1198">
      <formula>$BC328="YES"</formula>
    </cfRule>
  </conditionalFormatting>
  <conditionalFormatting sqref="O330:O331">
    <cfRule type="expression" dxfId="3712" priority="1199">
      <formula>$BC330="YES"</formula>
    </cfRule>
  </conditionalFormatting>
  <conditionalFormatting sqref="O332:O333">
    <cfRule type="expression" dxfId="3711" priority="1200">
      <formula>$BC332="YES"</formula>
    </cfRule>
  </conditionalFormatting>
  <conditionalFormatting sqref="O380:O381">
    <cfRule type="expression" dxfId="3710" priority="1201">
      <formula>$BC380="YES"</formula>
    </cfRule>
  </conditionalFormatting>
  <conditionalFormatting sqref="O334:O335">
    <cfRule type="expression" dxfId="3709" priority="1202">
      <formula>$BC334="YES"</formula>
    </cfRule>
  </conditionalFormatting>
  <conditionalFormatting sqref="O336:O337">
    <cfRule type="expression" dxfId="3708" priority="1203">
      <formula>$BC336="YES"</formula>
    </cfRule>
  </conditionalFormatting>
  <conditionalFormatting sqref="O338:O339">
    <cfRule type="expression" dxfId="3707" priority="1204">
      <formula>$BC338="YES"</formula>
    </cfRule>
  </conditionalFormatting>
  <conditionalFormatting sqref="O340:O341">
    <cfRule type="expression" dxfId="3706" priority="1205">
      <formula>$BC340="YES"</formula>
    </cfRule>
  </conditionalFormatting>
  <conditionalFormatting sqref="O342:O343">
    <cfRule type="expression" dxfId="3705" priority="1206">
      <formula>$BC342="YES"</formula>
    </cfRule>
  </conditionalFormatting>
  <conditionalFormatting sqref="O344:O345">
    <cfRule type="expression" dxfId="3704" priority="1207">
      <formula>$BC344="YES"</formula>
    </cfRule>
  </conditionalFormatting>
  <conditionalFormatting sqref="O346:O347">
    <cfRule type="expression" dxfId="3703" priority="1208">
      <formula>$BC346="YES"</formula>
    </cfRule>
  </conditionalFormatting>
  <conditionalFormatting sqref="O348:O349">
    <cfRule type="expression" dxfId="3702" priority="1209">
      <formula>$BC348="YES"</formula>
    </cfRule>
  </conditionalFormatting>
  <conditionalFormatting sqref="O350:O351">
    <cfRule type="expression" dxfId="3701" priority="1210">
      <formula>$BC350="YES"</formula>
    </cfRule>
  </conditionalFormatting>
  <conditionalFormatting sqref="O352:O353">
    <cfRule type="expression" dxfId="3700" priority="1211">
      <formula>$BC352="YES"</formula>
    </cfRule>
  </conditionalFormatting>
  <conditionalFormatting sqref="O354:O355">
    <cfRule type="expression" dxfId="3699" priority="1212">
      <formula>$BC354="YES"</formula>
    </cfRule>
  </conditionalFormatting>
  <conditionalFormatting sqref="O356:O357">
    <cfRule type="expression" dxfId="3698" priority="1213">
      <formula>$BC356="YES"</formula>
    </cfRule>
  </conditionalFormatting>
  <conditionalFormatting sqref="O358:O359">
    <cfRule type="expression" dxfId="3697" priority="1214">
      <formula>$BC358="YES"</formula>
    </cfRule>
  </conditionalFormatting>
  <conditionalFormatting sqref="O360:O361">
    <cfRule type="expression" dxfId="3696" priority="1215">
      <formula>$BC360="YES"</formula>
    </cfRule>
  </conditionalFormatting>
  <conditionalFormatting sqref="O362:O363">
    <cfRule type="expression" dxfId="3695" priority="1216">
      <formula>$BC362="YES"</formula>
    </cfRule>
  </conditionalFormatting>
  <conditionalFormatting sqref="O364:O365">
    <cfRule type="expression" dxfId="3694" priority="1217">
      <formula>$BC364="YES"</formula>
    </cfRule>
  </conditionalFormatting>
  <conditionalFormatting sqref="O366:O367">
    <cfRule type="expression" dxfId="3693" priority="1218">
      <formula>$BC366="YES"</formula>
    </cfRule>
  </conditionalFormatting>
  <conditionalFormatting sqref="O368:O369">
    <cfRule type="expression" dxfId="3692" priority="1219">
      <formula>$BC368="YES"</formula>
    </cfRule>
  </conditionalFormatting>
  <conditionalFormatting sqref="O370:O371">
    <cfRule type="expression" dxfId="3691" priority="1220">
      <formula>$BC370="YES"</formula>
    </cfRule>
  </conditionalFormatting>
  <conditionalFormatting sqref="O372:O373">
    <cfRule type="expression" dxfId="3690" priority="1221">
      <formula>$BC372="YES"</formula>
    </cfRule>
  </conditionalFormatting>
  <conditionalFormatting sqref="O374:O375">
    <cfRule type="expression" dxfId="3689" priority="1222">
      <formula>$BC374="YES"</formula>
    </cfRule>
  </conditionalFormatting>
  <conditionalFormatting sqref="O376:O377">
    <cfRule type="expression" dxfId="3688" priority="1223">
      <formula>$BC376="YES"</formula>
    </cfRule>
  </conditionalFormatting>
  <conditionalFormatting sqref="O378:O379">
    <cfRule type="expression" dxfId="3687" priority="1224">
      <formula>$BC378="YES"</formula>
    </cfRule>
  </conditionalFormatting>
  <conditionalFormatting sqref="O383:O384">
    <cfRule type="expression" dxfId="3686" priority="1225">
      <formula>$BC383="YES"</formula>
    </cfRule>
  </conditionalFormatting>
  <conditionalFormatting sqref="O385:O386">
    <cfRule type="expression" dxfId="3685" priority="1226">
      <formula>$BC385="YES"</formula>
    </cfRule>
  </conditionalFormatting>
  <conditionalFormatting sqref="O387:O388">
    <cfRule type="expression" dxfId="3684" priority="1227">
      <formula>$BC387="YES"</formula>
    </cfRule>
  </conditionalFormatting>
  <conditionalFormatting sqref="O389:O390">
    <cfRule type="expression" dxfId="3683" priority="1228">
      <formula>$BC389="YES"</formula>
    </cfRule>
  </conditionalFormatting>
  <conditionalFormatting sqref="O391:O392">
    <cfRule type="expression" dxfId="3682" priority="1229">
      <formula>$BC391="YES"</formula>
    </cfRule>
  </conditionalFormatting>
  <conditionalFormatting sqref="O393:O394">
    <cfRule type="expression" dxfId="3681" priority="1230">
      <formula>$BC393="YES"</formula>
    </cfRule>
  </conditionalFormatting>
  <conditionalFormatting sqref="O395:O396">
    <cfRule type="expression" dxfId="3680" priority="1231">
      <formula>$BC395="YES"</formula>
    </cfRule>
  </conditionalFormatting>
  <conditionalFormatting sqref="O443:O444">
    <cfRule type="expression" dxfId="3679" priority="1232">
      <formula>$BC443="YES"</formula>
    </cfRule>
  </conditionalFormatting>
  <conditionalFormatting sqref="O397:O398">
    <cfRule type="expression" dxfId="3678" priority="1233">
      <formula>$BC397="YES"</formula>
    </cfRule>
  </conditionalFormatting>
  <conditionalFormatting sqref="O399:O400">
    <cfRule type="expression" dxfId="3677" priority="1234">
      <formula>$BC399="YES"</formula>
    </cfRule>
  </conditionalFormatting>
  <conditionalFormatting sqref="O401:O402">
    <cfRule type="expression" dxfId="3676" priority="1235">
      <formula>$BC401="YES"</formula>
    </cfRule>
  </conditionalFormatting>
  <conditionalFormatting sqref="O403:O404">
    <cfRule type="expression" dxfId="3675" priority="1236">
      <formula>$BC403="YES"</formula>
    </cfRule>
  </conditionalFormatting>
  <conditionalFormatting sqref="O405:O406">
    <cfRule type="expression" dxfId="3674" priority="1237">
      <formula>$BC405="YES"</formula>
    </cfRule>
  </conditionalFormatting>
  <conditionalFormatting sqref="O407:O408">
    <cfRule type="expression" dxfId="3673" priority="1238">
      <formula>$BC407="YES"</formula>
    </cfRule>
  </conditionalFormatting>
  <conditionalFormatting sqref="O409:O410">
    <cfRule type="expression" dxfId="3672" priority="1239">
      <formula>$BC409="YES"</formula>
    </cfRule>
  </conditionalFormatting>
  <conditionalFormatting sqref="O411:O412">
    <cfRule type="expression" dxfId="3671" priority="1240">
      <formula>$BC411="YES"</formula>
    </cfRule>
  </conditionalFormatting>
  <conditionalFormatting sqref="O413:O414">
    <cfRule type="expression" dxfId="3670" priority="1241">
      <formula>$BC413="YES"</formula>
    </cfRule>
  </conditionalFormatting>
  <conditionalFormatting sqref="O415:O416">
    <cfRule type="expression" dxfId="3669" priority="1242">
      <formula>$BC415="YES"</formula>
    </cfRule>
  </conditionalFormatting>
  <conditionalFormatting sqref="O417:O418">
    <cfRule type="expression" dxfId="3668" priority="1243">
      <formula>$BC417="YES"</formula>
    </cfRule>
  </conditionalFormatting>
  <conditionalFormatting sqref="O419:O420">
    <cfRule type="expression" dxfId="3667" priority="1244">
      <formula>$BC419="YES"</formula>
    </cfRule>
  </conditionalFormatting>
  <conditionalFormatting sqref="O421:O422">
    <cfRule type="expression" dxfId="3666" priority="1245">
      <formula>$BC421="YES"</formula>
    </cfRule>
  </conditionalFormatting>
  <conditionalFormatting sqref="O423:O424">
    <cfRule type="expression" dxfId="3665" priority="1246">
      <formula>$BC423="YES"</formula>
    </cfRule>
  </conditionalFormatting>
  <conditionalFormatting sqref="O425:O426">
    <cfRule type="expression" dxfId="3664" priority="1247">
      <formula>$BC425="YES"</formula>
    </cfRule>
  </conditionalFormatting>
  <conditionalFormatting sqref="O427:O428">
    <cfRule type="expression" dxfId="3663" priority="1248">
      <formula>$BC427="YES"</formula>
    </cfRule>
  </conditionalFormatting>
  <conditionalFormatting sqref="O429:O430">
    <cfRule type="expression" dxfId="3662" priority="1249">
      <formula>$BC429="YES"</formula>
    </cfRule>
  </conditionalFormatting>
  <conditionalFormatting sqref="O431:O432">
    <cfRule type="expression" dxfId="3661" priority="1250">
      <formula>$BC431="YES"</formula>
    </cfRule>
  </conditionalFormatting>
  <conditionalFormatting sqref="O433:O434">
    <cfRule type="expression" dxfId="3660" priority="1251">
      <formula>$BC433="YES"</formula>
    </cfRule>
  </conditionalFormatting>
  <conditionalFormatting sqref="O435:O436">
    <cfRule type="expression" dxfId="3659" priority="1252">
      <formula>$BC435="YES"</formula>
    </cfRule>
  </conditionalFormatting>
  <conditionalFormatting sqref="O437:O438">
    <cfRule type="expression" dxfId="3658" priority="1253">
      <formula>$BC437="YES"</formula>
    </cfRule>
  </conditionalFormatting>
  <conditionalFormatting sqref="O439:O440">
    <cfRule type="expression" dxfId="3657" priority="1254">
      <formula>$BC439="YES"</formula>
    </cfRule>
  </conditionalFormatting>
  <conditionalFormatting sqref="O441:O442">
    <cfRule type="expression" dxfId="3656" priority="1255">
      <formula>$BC441="YES"</formula>
    </cfRule>
  </conditionalFormatting>
  <conditionalFormatting sqref="O446:O447">
    <cfRule type="expression" dxfId="3655" priority="1256">
      <formula>$BC446="YES"</formula>
    </cfRule>
  </conditionalFormatting>
  <conditionalFormatting sqref="O448:O449">
    <cfRule type="expression" dxfId="3654" priority="1257">
      <formula>$BC448="YES"</formula>
    </cfRule>
  </conditionalFormatting>
  <conditionalFormatting sqref="O450:O451">
    <cfRule type="expression" dxfId="3653" priority="1258">
      <formula>$BC450="YES"</formula>
    </cfRule>
  </conditionalFormatting>
  <conditionalFormatting sqref="O452:O453">
    <cfRule type="expression" dxfId="3652" priority="1259">
      <formula>$BC452="YES"</formula>
    </cfRule>
  </conditionalFormatting>
  <conditionalFormatting sqref="O454:O455">
    <cfRule type="expression" dxfId="3651" priority="1260">
      <formula>$BC454="YES"</formula>
    </cfRule>
  </conditionalFormatting>
  <conditionalFormatting sqref="O456:O457">
    <cfRule type="expression" dxfId="3650" priority="1261">
      <formula>$BC456="YES"</formula>
    </cfRule>
  </conditionalFormatting>
  <conditionalFormatting sqref="O458:O459">
    <cfRule type="expression" dxfId="3649" priority="1262">
      <formula>$BC458="YES"</formula>
    </cfRule>
  </conditionalFormatting>
  <conditionalFormatting sqref="O506:O507">
    <cfRule type="expression" dxfId="3648" priority="1263">
      <formula>$BC506="YES"</formula>
    </cfRule>
  </conditionalFormatting>
  <conditionalFormatting sqref="O460:O461">
    <cfRule type="expression" dxfId="3647" priority="1264">
      <formula>$BC460="YES"</formula>
    </cfRule>
  </conditionalFormatting>
  <conditionalFormatting sqref="O462:O463">
    <cfRule type="expression" dxfId="3646" priority="1265">
      <formula>$BC462="YES"</formula>
    </cfRule>
  </conditionalFormatting>
  <conditionalFormatting sqref="O464:O465">
    <cfRule type="expression" dxfId="3645" priority="1266">
      <formula>$BC464="YES"</formula>
    </cfRule>
  </conditionalFormatting>
  <conditionalFormatting sqref="O466:O467">
    <cfRule type="expression" dxfId="3644" priority="1267">
      <formula>$BC466="YES"</formula>
    </cfRule>
  </conditionalFormatting>
  <conditionalFormatting sqref="O468:O469">
    <cfRule type="expression" dxfId="3643" priority="1268">
      <formula>$BC468="YES"</formula>
    </cfRule>
  </conditionalFormatting>
  <conditionalFormatting sqref="O470:O471">
    <cfRule type="expression" dxfId="3642" priority="1269">
      <formula>$BC470="YES"</formula>
    </cfRule>
  </conditionalFormatting>
  <conditionalFormatting sqref="O472:O473">
    <cfRule type="expression" dxfId="3641" priority="1270">
      <formula>$BC472="YES"</formula>
    </cfRule>
  </conditionalFormatting>
  <conditionalFormatting sqref="O474:O475">
    <cfRule type="expression" dxfId="3640" priority="1271">
      <formula>$BC474="YES"</formula>
    </cfRule>
  </conditionalFormatting>
  <conditionalFormatting sqref="O476:O477">
    <cfRule type="expression" dxfId="3639" priority="1272">
      <formula>$BC476="YES"</formula>
    </cfRule>
  </conditionalFormatting>
  <conditionalFormatting sqref="O478:O479">
    <cfRule type="expression" dxfId="3638" priority="1273">
      <formula>$BC478="YES"</formula>
    </cfRule>
  </conditionalFormatting>
  <conditionalFormatting sqref="O480:O481">
    <cfRule type="expression" dxfId="3637" priority="1274">
      <formula>$BC480="YES"</formula>
    </cfRule>
  </conditionalFormatting>
  <conditionalFormatting sqref="O482:O483">
    <cfRule type="expression" dxfId="3636" priority="1275">
      <formula>$BC482="YES"</formula>
    </cfRule>
  </conditionalFormatting>
  <conditionalFormatting sqref="O484:O485">
    <cfRule type="expression" dxfId="3635" priority="1276">
      <formula>$BC484="YES"</formula>
    </cfRule>
  </conditionalFormatting>
  <conditionalFormatting sqref="O486:O487">
    <cfRule type="expression" dxfId="3634" priority="1277">
      <formula>$BC486="YES"</formula>
    </cfRule>
  </conditionalFormatting>
  <conditionalFormatting sqref="O488:O489">
    <cfRule type="expression" dxfId="3633" priority="1278">
      <formula>$BC488="YES"</formula>
    </cfRule>
  </conditionalFormatting>
  <conditionalFormatting sqref="O490:O491">
    <cfRule type="expression" dxfId="3632" priority="1279">
      <formula>$BC490="YES"</formula>
    </cfRule>
  </conditionalFormatting>
  <conditionalFormatting sqref="O492:O493">
    <cfRule type="expression" dxfId="3631" priority="1280">
      <formula>$BC492="YES"</formula>
    </cfRule>
  </conditionalFormatting>
  <conditionalFormatting sqref="O494:O495">
    <cfRule type="expression" dxfId="3630" priority="1281">
      <formula>$BC494="YES"</formula>
    </cfRule>
  </conditionalFormatting>
  <conditionalFormatting sqref="O496:O497">
    <cfRule type="expression" dxfId="3629" priority="1282">
      <formula>$BC496="YES"</formula>
    </cfRule>
  </conditionalFormatting>
  <conditionalFormatting sqref="O498:O499">
    <cfRule type="expression" dxfId="3628" priority="1283">
      <formula>$BC498="YES"</formula>
    </cfRule>
  </conditionalFormatting>
  <conditionalFormatting sqref="O500:O501">
    <cfRule type="expression" dxfId="3627" priority="1284">
      <formula>$BC500="YES"</formula>
    </cfRule>
  </conditionalFormatting>
  <conditionalFormatting sqref="O502:O503">
    <cfRule type="expression" dxfId="3626" priority="1285">
      <formula>$BC502="YES"</formula>
    </cfRule>
  </conditionalFormatting>
  <conditionalFormatting sqref="O504:O505">
    <cfRule type="expression" dxfId="3625" priority="1286">
      <formula>$BC504="YES"</formula>
    </cfRule>
  </conditionalFormatting>
  <conditionalFormatting sqref="O509:O510">
    <cfRule type="expression" dxfId="3624" priority="1287">
      <formula>$BC509="YES"</formula>
    </cfRule>
  </conditionalFormatting>
  <conditionalFormatting sqref="O511:O512">
    <cfRule type="expression" dxfId="3623" priority="1288">
      <formula>$BC511="YES"</formula>
    </cfRule>
  </conditionalFormatting>
  <conditionalFormatting sqref="O513:O514">
    <cfRule type="expression" dxfId="3622" priority="1289">
      <formula>$BC513="YES"</formula>
    </cfRule>
  </conditionalFormatting>
  <conditionalFormatting sqref="O515:O516">
    <cfRule type="expression" dxfId="3621" priority="1290">
      <formula>$BC515="YES"</formula>
    </cfRule>
  </conditionalFormatting>
  <conditionalFormatting sqref="O517:O518">
    <cfRule type="expression" dxfId="3620" priority="1291">
      <formula>$BC517="YES"</formula>
    </cfRule>
  </conditionalFormatting>
  <conditionalFormatting sqref="A16:A1609">
    <cfRule type="expression" dxfId="3619" priority="1292">
      <formula>$BC16="YES"</formula>
    </cfRule>
  </conditionalFormatting>
  <conditionalFormatting sqref="P25:Q26">
    <cfRule type="expression" dxfId="3618" priority="1293">
      <formula>$BC25="YES"</formula>
    </cfRule>
  </conditionalFormatting>
  <conditionalFormatting sqref="P27:Q28">
    <cfRule type="expression" dxfId="3617" priority="1294">
      <formula>$BC27="YES"</formula>
    </cfRule>
  </conditionalFormatting>
  <conditionalFormatting sqref="P29:Q30">
    <cfRule type="expression" dxfId="3616" priority="1295">
      <formula>$BC29="YES"</formula>
    </cfRule>
  </conditionalFormatting>
  <conditionalFormatting sqref="P31:Q32">
    <cfRule type="expression" dxfId="3615" priority="1296">
      <formula>$BC31="YES"</formula>
    </cfRule>
  </conditionalFormatting>
  <conditionalFormatting sqref="P33:Q34">
    <cfRule type="expression" dxfId="3614" priority="1297">
      <formula>$BC33="YES"</formula>
    </cfRule>
  </conditionalFormatting>
  <conditionalFormatting sqref="P35:Q36">
    <cfRule type="expression" dxfId="3613" priority="1298">
      <formula>$BC35="YES"</formula>
    </cfRule>
  </conditionalFormatting>
  <conditionalFormatting sqref="P37:Q38">
    <cfRule type="expression" dxfId="3612" priority="1299">
      <formula>$BC37="YES"</formula>
    </cfRule>
  </conditionalFormatting>
  <conditionalFormatting sqref="P39:Q40">
    <cfRule type="expression" dxfId="3611" priority="1300">
      <formula>$BC39="YES"</formula>
    </cfRule>
  </conditionalFormatting>
  <conditionalFormatting sqref="P41:Q42">
    <cfRule type="expression" dxfId="3610" priority="1301">
      <formula>$BC41="YES"</formula>
    </cfRule>
  </conditionalFormatting>
  <conditionalFormatting sqref="P43:Q44">
    <cfRule type="expression" dxfId="3609" priority="1302">
      <formula>$BC43="YES"</formula>
    </cfRule>
  </conditionalFormatting>
  <conditionalFormatting sqref="P45:Q46">
    <cfRule type="expression" dxfId="3608" priority="1303">
      <formula>$BC45="YES"</formula>
    </cfRule>
  </conditionalFormatting>
  <conditionalFormatting sqref="P47:Q48">
    <cfRule type="expression" dxfId="3607" priority="1304">
      <formula>$BC47="YES"</formula>
    </cfRule>
  </conditionalFormatting>
  <conditionalFormatting sqref="P49:Q50">
    <cfRule type="expression" dxfId="3606" priority="1305">
      <formula>$BC49="YES"</formula>
    </cfRule>
  </conditionalFormatting>
  <conditionalFormatting sqref="P51:Q52">
    <cfRule type="expression" dxfId="3605" priority="1306">
      <formula>$BC51="YES"</formula>
    </cfRule>
  </conditionalFormatting>
  <conditionalFormatting sqref="P53:Q54">
    <cfRule type="expression" dxfId="3604" priority="1307">
      <formula>$BC53="YES"</formula>
    </cfRule>
  </conditionalFormatting>
  <conditionalFormatting sqref="P55:Q56">
    <cfRule type="expression" dxfId="3603" priority="1308">
      <formula>$BC55="YES"</formula>
    </cfRule>
  </conditionalFormatting>
  <conditionalFormatting sqref="P57:Q58">
    <cfRule type="expression" dxfId="3602" priority="1309">
      <formula>$BC57="YES"</formula>
    </cfRule>
  </conditionalFormatting>
  <conditionalFormatting sqref="P59:Q60">
    <cfRule type="expression" dxfId="3601" priority="1310">
      <formula>$BC59="YES"</formula>
    </cfRule>
  </conditionalFormatting>
  <conditionalFormatting sqref="P61:Q62">
    <cfRule type="expression" dxfId="3600" priority="1311">
      <formula>$BC61="YES"</formula>
    </cfRule>
  </conditionalFormatting>
  <conditionalFormatting sqref="P63:Q64">
    <cfRule type="expression" dxfId="3599" priority="1312">
      <formula>$BC63="YES"</formula>
    </cfRule>
  </conditionalFormatting>
  <conditionalFormatting sqref="P65:Q66">
    <cfRule type="expression" dxfId="3598" priority="1313">
      <formula>$BC65="YES"</formula>
    </cfRule>
  </conditionalFormatting>
  <conditionalFormatting sqref="P67:Q68">
    <cfRule type="expression" dxfId="3597" priority="1314">
      <formula>$BC67="YES"</formula>
    </cfRule>
  </conditionalFormatting>
  <conditionalFormatting sqref="P69:Q70">
    <cfRule type="expression" dxfId="3596" priority="1315">
      <formula>$BC69="YES"</formula>
    </cfRule>
  </conditionalFormatting>
  <conditionalFormatting sqref="P71:Q72">
    <cfRule type="expression" dxfId="3595" priority="1316">
      <formula>$BC71="YES"</formula>
    </cfRule>
  </conditionalFormatting>
  <conditionalFormatting sqref="P73:Q74">
    <cfRule type="expression" dxfId="3594" priority="1317">
      <formula>$BC73="YES"</formula>
    </cfRule>
  </conditionalFormatting>
  <conditionalFormatting sqref="P75:Q76">
    <cfRule type="expression" dxfId="3593" priority="1318">
      <formula>$BC75="YES"</formula>
    </cfRule>
  </conditionalFormatting>
  <conditionalFormatting sqref="P77:Q78">
    <cfRule type="expression" dxfId="3592" priority="1319">
      <formula>$BC77="YES"</formula>
    </cfRule>
  </conditionalFormatting>
  <conditionalFormatting sqref="P79:Q80">
    <cfRule type="expression" dxfId="3591" priority="1320">
      <formula>$BC79="YES"</formula>
    </cfRule>
  </conditionalFormatting>
  <conditionalFormatting sqref="P81:Q82">
    <cfRule type="expression" dxfId="3590" priority="1321">
      <formula>$BC81="YES"</formula>
    </cfRule>
  </conditionalFormatting>
  <conditionalFormatting sqref="P83:Q84">
    <cfRule type="expression" dxfId="3589" priority="1322">
      <formula>$BC83="YES"</formula>
    </cfRule>
  </conditionalFormatting>
  <conditionalFormatting sqref="P85:Q86">
    <cfRule type="expression" dxfId="3588" priority="1323">
      <formula>$BC85="YES"</formula>
    </cfRule>
  </conditionalFormatting>
  <conditionalFormatting sqref="P87:Q88">
    <cfRule type="expression" dxfId="3587" priority="1324">
      <formula>$BC87="YES"</formula>
    </cfRule>
  </conditionalFormatting>
  <conditionalFormatting sqref="P89:Q90">
    <cfRule type="expression" dxfId="3586" priority="1325">
      <formula>$BC89="YES"</formula>
    </cfRule>
  </conditionalFormatting>
  <conditionalFormatting sqref="P91:Q92">
    <cfRule type="expression" dxfId="3585" priority="1326">
      <formula>$BC91="YES"</formula>
    </cfRule>
  </conditionalFormatting>
  <conditionalFormatting sqref="P93:Q94">
    <cfRule type="expression" dxfId="3584" priority="1327">
      <formula>$BC93="YES"</formula>
    </cfRule>
  </conditionalFormatting>
  <conditionalFormatting sqref="P95:Q96">
    <cfRule type="expression" dxfId="3583" priority="1328">
      <formula>$BC95="YES"</formula>
    </cfRule>
  </conditionalFormatting>
  <conditionalFormatting sqref="P97:Q98">
    <cfRule type="expression" dxfId="3582" priority="1329">
      <formula>$BC97="YES"</formula>
    </cfRule>
  </conditionalFormatting>
  <conditionalFormatting sqref="P99:Q100">
    <cfRule type="expression" dxfId="3581" priority="1330">
      <formula>$BC99="YES"</formula>
    </cfRule>
  </conditionalFormatting>
  <conditionalFormatting sqref="P101:Q102">
    <cfRule type="expression" dxfId="3580" priority="1331">
      <formula>$BC101="YES"</formula>
    </cfRule>
  </conditionalFormatting>
  <conditionalFormatting sqref="P103:Q104">
    <cfRule type="expression" dxfId="3579" priority="1332">
      <formula>$BC103="YES"</formula>
    </cfRule>
  </conditionalFormatting>
  <conditionalFormatting sqref="P105:Q106">
    <cfRule type="expression" dxfId="3578" priority="1333">
      <formula>$BC105="YES"</formula>
    </cfRule>
  </conditionalFormatting>
  <conditionalFormatting sqref="P107:Q108">
    <cfRule type="expression" dxfId="3577" priority="1334">
      <formula>$BC107="YES"</formula>
    </cfRule>
  </conditionalFormatting>
  <conditionalFormatting sqref="P109:Q110">
    <cfRule type="expression" dxfId="3576" priority="1335">
      <formula>$BC109="YES"</formula>
    </cfRule>
  </conditionalFormatting>
  <conditionalFormatting sqref="P111:Q112">
    <cfRule type="expression" dxfId="3575" priority="1336">
      <formula>$BC111="YES"</formula>
    </cfRule>
  </conditionalFormatting>
  <conditionalFormatting sqref="P113:Q114">
    <cfRule type="expression" dxfId="3574" priority="1337">
      <formula>$BC113="YES"</formula>
    </cfRule>
  </conditionalFormatting>
  <conditionalFormatting sqref="P115:Q116">
    <cfRule type="expression" dxfId="3573" priority="1338">
      <formula>$BC115="YES"</formula>
    </cfRule>
  </conditionalFormatting>
  <conditionalFormatting sqref="P117:Q118">
    <cfRule type="expression" dxfId="3572" priority="1339">
      <formula>$BC117="YES"</formula>
    </cfRule>
  </conditionalFormatting>
  <conditionalFormatting sqref="P119:Q120">
    <cfRule type="expression" dxfId="3571" priority="1340">
      <formula>$BC119="YES"</formula>
    </cfRule>
  </conditionalFormatting>
  <conditionalFormatting sqref="P121:Q122">
    <cfRule type="expression" dxfId="3570" priority="1341">
      <formula>$BC121="YES"</formula>
    </cfRule>
  </conditionalFormatting>
  <conditionalFormatting sqref="P123:Q124">
    <cfRule type="expression" dxfId="3569" priority="1342">
      <formula>$BC123="YES"</formula>
    </cfRule>
  </conditionalFormatting>
  <conditionalFormatting sqref="P125:Q126">
    <cfRule type="expression" dxfId="3568" priority="1343">
      <formula>$BC125="YES"</formula>
    </cfRule>
  </conditionalFormatting>
  <conditionalFormatting sqref="P127:Q128">
    <cfRule type="expression" dxfId="3567" priority="1344">
      <formula>$BC127="YES"</formula>
    </cfRule>
  </conditionalFormatting>
  <conditionalFormatting sqref="P129:Q130">
    <cfRule type="expression" dxfId="3566" priority="1345">
      <formula>$BC129="YES"</formula>
    </cfRule>
  </conditionalFormatting>
  <conditionalFormatting sqref="P131:Q132">
    <cfRule type="expression" dxfId="3565" priority="1346">
      <formula>$BC131="YES"</formula>
    </cfRule>
  </conditionalFormatting>
  <conditionalFormatting sqref="P133:Q134">
    <cfRule type="expression" dxfId="3564" priority="1347">
      <formula>$BC133="YES"</formula>
    </cfRule>
  </conditionalFormatting>
  <conditionalFormatting sqref="P135:Q136">
    <cfRule type="expression" dxfId="3563" priority="1348">
      <formula>$BC135="YES"</formula>
    </cfRule>
  </conditionalFormatting>
  <conditionalFormatting sqref="P137:Q138">
    <cfRule type="expression" dxfId="3562" priority="1349">
      <formula>$BC137="YES"</formula>
    </cfRule>
  </conditionalFormatting>
  <conditionalFormatting sqref="P139:Q140">
    <cfRule type="expression" dxfId="3561" priority="1350">
      <formula>$BC139="YES"</formula>
    </cfRule>
  </conditionalFormatting>
  <conditionalFormatting sqref="P141:Q142">
    <cfRule type="expression" dxfId="3560" priority="1351">
      <formula>$BC141="YES"</formula>
    </cfRule>
  </conditionalFormatting>
  <conditionalFormatting sqref="P143:Q144">
    <cfRule type="expression" dxfId="3559" priority="1352">
      <formula>$BC143="YES"</formula>
    </cfRule>
  </conditionalFormatting>
  <conditionalFormatting sqref="P145:Q146">
    <cfRule type="expression" dxfId="3558" priority="1353">
      <formula>$BC145="YES"</formula>
    </cfRule>
  </conditionalFormatting>
  <conditionalFormatting sqref="P147:Q148">
    <cfRule type="expression" dxfId="3557" priority="1354">
      <formula>$BC147="YES"</formula>
    </cfRule>
  </conditionalFormatting>
  <conditionalFormatting sqref="P149:Q150">
    <cfRule type="expression" dxfId="3556" priority="1355">
      <formula>$BC149="YES"</formula>
    </cfRule>
  </conditionalFormatting>
  <conditionalFormatting sqref="P151:Q152">
    <cfRule type="expression" dxfId="3555" priority="1356">
      <formula>$BC151="YES"</formula>
    </cfRule>
  </conditionalFormatting>
  <conditionalFormatting sqref="P153:Q154">
    <cfRule type="expression" dxfId="3554" priority="1357">
      <formula>$BC153="YES"</formula>
    </cfRule>
  </conditionalFormatting>
  <conditionalFormatting sqref="P155:Q156">
    <cfRule type="expression" dxfId="3553" priority="1358">
      <formula>$BC155="YES"</formula>
    </cfRule>
  </conditionalFormatting>
  <conditionalFormatting sqref="P157:Q158">
    <cfRule type="expression" dxfId="3552" priority="1359">
      <formula>$BC157="YES"</formula>
    </cfRule>
  </conditionalFormatting>
  <conditionalFormatting sqref="P159:Q160">
    <cfRule type="expression" dxfId="3551" priority="1360">
      <formula>$BC159="YES"</formula>
    </cfRule>
  </conditionalFormatting>
  <conditionalFormatting sqref="P161:Q162">
    <cfRule type="expression" dxfId="3550" priority="1361">
      <formula>$BC161="YES"</formula>
    </cfRule>
  </conditionalFormatting>
  <conditionalFormatting sqref="P163:Q164">
    <cfRule type="expression" dxfId="3549" priority="1362">
      <formula>$BC163="YES"</formula>
    </cfRule>
  </conditionalFormatting>
  <conditionalFormatting sqref="P165:Q166">
    <cfRule type="expression" dxfId="3548" priority="1363">
      <formula>$BC165="YES"</formula>
    </cfRule>
  </conditionalFormatting>
  <conditionalFormatting sqref="P167:Q168">
    <cfRule type="expression" dxfId="3547" priority="1364">
      <formula>$BC167="YES"</formula>
    </cfRule>
  </conditionalFormatting>
  <conditionalFormatting sqref="P169:Q170">
    <cfRule type="expression" dxfId="3546" priority="1365">
      <formula>$BC169="YES"</formula>
    </cfRule>
  </conditionalFormatting>
  <conditionalFormatting sqref="P171:Q172">
    <cfRule type="expression" dxfId="3545" priority="1366">
      <formula>$BC171="YES"</formula>
    </cfRule>
  </conditionalFormatting>
  <conditionalFormatting sqref="P173:Q174">
    <cfRule type="expression" dxfId="3544" priority="1367">
      <formula>$BC173="YES"</formula>
    </cfRule>
  </conditionalFormatting>
  <conditionalFormatting sqref="P175:Q176">
    <cfRule type="expression" dxfId="3543" priority="1368">
      <formula>$BC175="YES"</formula>
    </cfRule>
  </conditionalFormatting>
  <conditionalFormatting sqref="P177:Q178">
    <cfRule type="expression" dxfId="3542" priority="1369">
      <formula>$BC177="YES"</formula>
    </cfRule>
  </conditionalFormatting>
  <conditionalFormatting sqref="P179:Q180">
    <cfRule type="expression" dxfId="3541" priority="1370">
      <formula>$BC179="YES"</formula>
    </cfRule>
  </conditionalFormatting>
  <conditionalFormatting sqref="P181:Q182">
    <cfRule type="expression" dxfId="3540" priority="1371">
      <formula>$BC181="YES"</formula>
    </cfRule>
  </conditionalFormatting>
  <conditionalFormatting sqref="P183:Q184">
    <cfRule type="expression" dxfId="3539" priority="1372">
      <formula>$BC183="YES"</formula>
    </cfRule>
  </conditionalFormatting>
  <conditionalFormatting sqref="P185:Q186">
    <cfRule type="expression" dxfId="3538" priority="1373">
      <formula>$BC185="YES"</formula>
    </cfRule>
  </conditionalFormatting>
  <conditionalFormatting sqref="P187:Q188">
    <cfRule type="expression" dxfId="3537" priority="1374">
      <formula>$BC187="YES"</formula>
    </cfRule>
  </conditionalFormatting>
  <conditionalFormatting sqref="P189:Q190">
    <cfRule type="expression" dxfId="3536" priority="1375">
      <formula>$BC189="YES"</formula>
    </cfRule>
  </conditionalFormatting>
  <conditionalFormatting sqref="P191:Q192">
    <cfRule type="expression" dxfId="3535" priority="1376">
      <formula>$BC191="YES"</formula>
    </cfRule>
  </conditionalFormatting>
  <conditionalFormatting sqref="P193:Q194">
    <cfRule type="expression" dxfId="3534" priority="1377">
      <formula>$BC193="YES"</formula>
    </cfRule>
  </conditionalFormatting>
  <conditionalFormatting sqref="P195:Q196">
    <cfRule type="expression" dxfId="3533" priority="1378">
      <formula>$BC195="YES"</formula>
    </cfRule>
  </conditionalFormatting>
  <conditionalFormatting sqref="P197:Q198">
    <cfRule type="expression" dxfId="3532" priority="1379">
      <formula>$BC197="YES"</formula>
    </cfRule>
  </conditionalFormatting>
  <conditionalFormatting sqref="P199:Q200">
    <cfRule type="expression" dxfId="3531" priority="1380">
      <formula>$BC199="YES"</formula>
    </cfRule>
  </conditionalFormatting>
  <conditionalFormatting sqref="P201:Q202">
    <cfRule type="expression" dxfId="3530" priority="1381">
      <formula>$BC201="YES"</formula>
    </cfRule>
  </conditionalFormatting>
  <conditionalFormatting sqref="P203:Q204">
    <cfRule type="expression" dxfId="3529" priority="1382">
      <formula>$BC203="YES"</formula>
    </cfRule>
  </conditionalFormatting>
  <conditionalFormatting sqref="P205:Q206">
    <cfRule type="expression" dxfId="3528" priority="1383">
      <formula>$BC205="YES"</formula>
    </cfRule>
  </conditionalFormatting>
  <conditionalFormatting sqref="P207:Q208">
    <cfRule type="expression" dxfId="3527" priority="1384">
      <formula>$BC207="YES"</formula>
    </cfRule>
  </conditionalFormatting>
  <conditionalFormatting sqref="P209:Q210">
    <cfRule type="expression" dxfId="3526" priority="1385">
      <formula>$BC209="YES"</formula>
    </cfRule>
  </conditionalFormatting>
  <conditionalFormatting sqref="P211:Q212">
    <cfRule type="expression" dxfId="3525" priority="1386">
      <formula>$BC211="YES"</formula>
    </cfRule>
  </conditionalFormatting>
  <conditionalFormatting sqref="P213:Q214">
    <cfRule type="expression" dxfId="3524" priority="1387">
      <formula>$BC213="YES"</formula>
    </cfRule>
  </conditionalFormatting>
  <conditionalFormatting sqref="P215:Q216">
    <cfRule type="expression" dxfId="3523" priority="1388">
      <formula>$BC215="YES"</formula>
    </cfRule>
  </conditionalFormatting>
  <conditionalFormatting sqref="P217:Q218">
    <cfRule type="expression" dxfId="3522" priority="1389">
      <formula>$BC217="YES"</formula>
    </cfRule>
  </conditionalFormatting>
  <conditionalFormatting sqref="P219:Q220">
    <cfRule type="expression" dxfId="3521" priority="1390">
      <formula>$BC219="YES"</formula>
    </cfRule>
  </conditionalFormatting>
  <conditionalFormatting sqref="P221:Q222">
    <cfRule type="expression" dxfId="3520" priority="1391">
      <formula>$BC221="YES"</formula>
    </cfRule>
  </conditionalFormatting>
  <conditionalFormatting sqref="P223:Q224">
    <cfRule type="expression" dxfId="3519" priority="1392">
      <formula>$BC223="YES"</formula>
    </cfRule>
  </conditionalFormatting>
  <conditionalFormatting sqref="P225:Q226">
    <cfRule type="expression" dxfId="3518" priority="1393">
      <formula>$BC225="YES"</formula>
    </cfRule>
  </conditionalFormatting>
  <conditionalFormatting sqref="P227:Q228">
    <cfRule type="expression" dxfId="3517" priority="1394">
      <formula>$BC227="YES"</formula>
    </cfRule>
  </conditionalFormatting>
  <conditionalFormatting sqref="P229:Q230">
    <cfRule type="expression" dxfId="3516" priority="1395">
      <formula>$BC229="YES"</formula>
    </cfRule>
  </conditionalFormatting>
  <conditionalFormatting sqref="P231:Q232">
    <cfRule type="expression" dxfId="3515" priority="1396">
      <formula>$BC231="YES"</formula>
    </cfRule>
  </conditionalFormatting>
  <conditionalFormatting sqref="P233:Q234">
    <cfRule type="expression" dxfId="3514" priority="1397">
      <formula>$BC233="YES"</formula>
    </cfRule>
  </conditionalFormatting>
  <conditionalFormatting sqref="P235:Q236">
    <cfRule type="expression" dxfId="3513" priority="1398">
      <formula>$BC235="YES"</formula>
    </cfRule>
  </conditionalFormatting>
  <conditionalFormatting sqref="P237:Q238">
    <cfRule type="expression" dxfId="3512" priority="1399">
      <formula>$BC237="YES"</formula>
    </cfRule>
  </conditionalFormatting>
  <conditionalFormatting sqref="P239:Q240">
    <cfRule type="expression" dxfId="3511" priority="1400">
      <formula>$BC239="YES"</formula>
    </cfRule>
  </conditionalFormatting>
  <conditionalFormatting sqref="P241:Q242">
    <cfRule type="expression" dxfId="3510" priority="1401">
      <formula>$BC241="YES"</formula>
    </cfRule>
  </conditionalFormatting>
  <conditionalFormatting sqref="P243:Q244">
    <cfRule type="expression" dxfId="3509" priority="1402">
      <formula>$BC243="YES"</formula>
    </cfRule>
  </conditionalFormatting>
  <conditionalFormatting sqref="P245:Q246">
    <cfRule type="expression" dxfId="3508" priority="1403">
      <formula>$BC245="YES"</formula>
    </cfRule>
  </conditionalFormatting>
  <conditionalFormatting sqref="P247:Q248">
    <cfRule type="expression" dxfId="3507" priority="1404">
      <formula>$BC247="YES"</formula>
    </cfRule>
  </conditionalFormatting>
  <conditionalFormatting sqref="P249:Q250">
    <cfRule type="expression" dxfId="3506" priority="1405">
      <formula>$BC249="YES"</formula>
    </cfRule>
  </conditionalFormatting>
  <conditionalFormatting sqref="P251:Q252">
    <cfRule type="expression" dxfId="3505" priority="1406">
      <formula>$BC251="YES"</formula>
    </cfRule>
  </conditionalFormatting>
  <conditionalFormatting sqref="P253:Q254">
    <cfRule type="expression" dxfId="3504" priority="1407">
      <formula>$BC253="YES"</formula>
    </cfRule>
  </conditionalFormatting>
  <conditionalFormatting sqref="P255:Q256">
    <cfRule type="expression" dxfId="3503" priority="1408">
      <formula>$BC255="YES"</formula>
    </cfRule>
  </conditionalFormatting>
  <conditionalFormatting sqref="P257:Q258">
    <cfRule type="expression" dxfId="3502" priority="1409">
      <formula>$BC257="YES"</formula>
    </cfRule>
  </conditionalFormatting>
  <conditionalFormatting sqref="P259:Q260">
    <cfRule type="expression" dxfId="3501" priority="1410">
      <formula>$BC259="YES"</formula>
    </cfRule>
  </conditionalFormatting>
  <conditionalFormatting sqref="P261:Q262">
    <cfRule type="expression" dxfId="3500" priority="1411">
      <formula>$BC261="YES"</formula>
    </cfRule>
  </conditionalFormatting>
  <conditionalFormatting sqref="P263:Q264">
    <cfRule type="expression" dxfId="3499" priority="1412">
      <formula>$BC263="YES"</formula>
    </cfRule>
  </conditionalFormatting>
  <conditionalFormatting sqref="P265:Q266">
    <cfRule type="expression" dxfId="3498" priority="1413">
      <formula>$BC265="YES"</formula>
    </cfRule>
  </conditionalFormatting>
  <conditionalFormatting sqref="P267:Q268">
    <cfRule type="expression" dxfId="3497" priority="1414">
      <formula>$BC267="YES"</formula>
    </cfRule>
  </conditionalFormatting>
  <conditionalFormatting sqref="P269:Q270">
    <cfRule type="expression" dxfId="3496" priority="1415">
      <formula>$BC269="YES"</formula>
    </cfRule>
  </conditionalFormatting>
  <conditionalFormatting sqref="P271:Q272">
    <cfRule type="expression" dxfId="3495" priority="1416">
      <formula>$BC271="YES"</formula>
    </cfRule>
  </conditionalFormatting>
  <conditionalFormatting sqref="P273:Q274">
    <cfRule type="expression" dxfId="3494" priority="1417">
      <formula>$BC273="YES"</formula>
    </cfRule>
  </conditionalFormatting>
  <conditionalFormatting sqref="P275:Q276">
    <cfRule type="expression" dxfId="3493" priority="1418">
      <formula>$BC275="YES"</formula>
    </cfRule>
  </conditionalFormatting>
  <conditionalFormatting sqref="P277:Q278">
    <cfRule type="expression" dxfId="3492" priority="1419">
      <formula>$BC277="YES"</formula>
    </cfRule>
  </conditionalFormatting>
  <conditionalFormatting sqref="P279:Q280">
    <cfRule type="expression" dxfId="3491" priority="1420">
      <formula>$BC279="YES"</formula>
    </cfRule>
  </conditionalFormatting>
  <conditionalFormatting sqref="P281:Q282">
    <cfRule type="expression" dxfId="3490" priority="1421">
      <formula>$BC281="YES"</formula>
    </cfRule>
  </conditionalFormatting>
  <conditionalFormatting sqref="P283:Q284">
    <cfRule type="expression" dxfId="3489" priority="1422">
      <formula>$BC283="YES"</formula>
    </cfRule>
  </conditionalFormatting>
  <conditionalFormatting sqref="P285:Q286">
    <cfRule type="expression" dxfId="3488" priority="1423">
      <formula>$BC285="YES"</formula>
    </cfRule>
  </conditionalFormatting>
  <conditionalFormatting sqref="P287:Q288">
    <cfRule type="expression" dxfId="3487" priority="1424">
      <formula>$BC287="YES"</formula>
    </cfRule>
  </conditionalFormatting>
  <conditionalFormatting sqref="P289:Q290">
    <cfRule type="expression" dxfId="3486" priority="1425">
      <formula>$BC289="YES"</formula>
    </cfRule>
  </conditionalFormatting>
  <conditionalFormatting sqref="P291:Q292">
    <cfRule type="expression" dxfId="3485" priority="1426">
      <formula>$BC291="YES"</formula>
    </cfRule>
  </conditionalFormatting>
  <conditionalFormatting sqref="P293:Q294">
    <cfRule type="expression" dxfId="3484" priority="1427">
      <formula>$BC293="YES"</formula>
    </cfRule>
  </conditionalFormatting>
  <conditionalFormatting sqref="P295:Q296">
    <cfRule type="expression" dxfId="3483" priority="1428">
      <formula>$BC295="YES"</formula>
    </cfRule>
  </conditionalFormatting>
  <conditionalFormatting sqref="P297:Q298">
    <cfRule type="expression" dxfId="3482" priority="1429">
      <formula>$BC297="YES"</formula>
    </cfRule>
  </conditionalFormatting>
  <conditionalFormatting sqref="P299:Q300">
    <cfRule type="expression" dxfId="3481" priority="1430">
      <formula>$BC299="YES"</formula>
    </cfRule>
  </conditionalFormatting>
  <conditionalFormatting sqref="P301:Q302">
    <cfRule type="expression" dxfId="3480" priority="1431">
      <formula>$BC301="YES"</formula>
    </cfRule>
  </conditionalFormatting>
  <conditionalFormatting sqref="P303:Q304">
    <cfRule type="expression" dxfId="3479" priority="1432">
      <formula>$BC303="YES"</formula>
    </cfRule>
  </conditionalFormatting>
  <conditionalFormatting sqref="P305:Q306">
    <cfRule type="expression" dxfId="3478" priority="1433">
      <formula>$BC305="YES"</formula>
    </cfRule>
  </conditionalFormatting>
  <conditionalFormatting sqref="P307:Q308">
    <cfRule type="expression" dxfId="3477" priority="1434">
      <formula>$BC307="YES"</formula>
    </cfRule>
  </conditionalFormatting>
  <conditionalFormatting sqref="P309:Q310">
    <cfRule type="expression" dxfId="3476" priority="1435">
      <formula>$BC309="YES"</formula>
    </cfRule>
  </conditionalFormatting>
  <conditionalFormatting sqref="P311:Q312">
    <cfRule type="expression" dxfId="3475" priority="1436">
      <formula>$BC311="YES"</formula>
    </cfRule>
  </conditionalFormatting>
  <conditionalFormatting sqref="P313:Q314">
    <cfRule type="expression" dxfId="3474" priority="1437">
      <formula>$BC313="YES"</formula>
    </cfRule>
  </conditionalFormatting>
  <conditionalFormatting sqref="P315:Q316">
    <cfRule type="expression" dxfId="3473" priority="1438">
      <formula>$BC315="YES"</formula>
    </cfRule>
  </conditionalFormatting>
  <conditionalFormatting sqref="P317:Q318">
    <cfRule type="expression" dxfId="3472" priority="1439">
      <formula>$BC317="YES"</formula>
    </cfRule>
  </conditionalFormatting>
  <conditionalFormatting sqref="P319:Q320">
    <cfRule type="expression" dxfId="3471" priority="1440">
      <formula>$BC319="YES"</formula>
    </cfRule>
  </conditionalFormatting>
  <conditionalFormatting sqref="P321:Q322">
    <cfRule type="expression" dxfId="3470" priority="1441">
      <formula>$BC321="YES"</formula>
    </cfRule>
  </conditionalFormatting>
  <conditionalFormatting sqref="P323:Q324">
    <cfRule type="expression" dxfId="3469" priority="1442">
      <formula>$BC323="YES"</formula>
    </cfRule>
  </conditionalFormatting>
  <conditionalFormatting sqref="P325:Q326">
    <cfRule type="expression" dxfId="3468" priority="1443">
      <formula>$BC325="YES"</formula>
    </cfRule>
  </conditionalFormatting>
  <conditionalFormatting sqref="P327:Q328">
    <cfRule type="expression" dxfId="3467" priority="1444">
      <formula>$BC327="YES"</formula>
    </cfRule>
  </conditionalFormatting>
  <conditionalFormatting sqref="P329:Q330">
    <cfRule type="expression" dxfId="3466" priority="1445">
      <formula>$BC329="YES"</formula>
    </cfRule>
  </conditionalFormatting>
  <conditionalFormatting sqref="P331:Q332">
    <cfRule type="expression" dxfId="3465" priority="1446">
      <formula>$BC331="YES"</formula>
    </cfRule>
  </conditionalFormatting>
  <conditionalFormatting sqref="P333:Q334">
    <cfRule type="expression" dxfId="3464" priority="1447">
      <formula>$BC333="YES"</formula>
    </cfRule>
  </conditionalFormatting>
  <conditionalFormatting sqref="P335:Q336">
    <cfRule type="expression" dxfId="3463" priority="1448">
      <formula>$BC335="YES"</formula>
    </cfRule>
  </conditionalFormatting>
  <conditionalFormatting sqref="P337:Q338">
    <cfRule type="expression" dxfId="3462" priority="1449">
      <formula>$BC337="YES"</formula>
    </cfRule>
  </conditionalFormatting>
  <conditionalFormatting sqref="P339:Q340">
    <cfRule type="expression" dxfId="3461" priority="1450">
      <formula>$BC339="YES"</formula>
    </cfRule>
  </conditionalFormatting>
  <conditionalFormatting sqref="P341:Q342">
    <cfRule type="expression" dxfId="3460" priority="1451">
      <formula>$BC341="YES"</formula>
    </cfRule>
  </conditionalFormatting>
  <conditionalFormatting sqref="P343:Q344">
    <cfRule type="expression" dxfId="3459" priority="1452">
      <formula>$BC343="YES"</formula>
    </cfRule>
  </conditionalFormatting>
  <conditionalFormatting sqref="P345:Q346">
    <cfRule type="expression" dxfId="3458" priority="1453">
      <formula>$BC345="YES"</formula>
    </cfRule>
  </conditionalFormatting>
  <conditionalFormatting sqref="P347:Q348">
    <cfRule type="expression" dxfId="3457" priority="1454">
      <formula>$BC347="YES"</formula>
    </cfRule>
  </conditionalFormatting>
  <conditionalFormatting sqref="P349:Q350">
    <cfRule type="expression" dxfId="3456" priority="1455">
      <formula>$BC349="YES"</formula>
    </cfRule>
  </conditionalFormatting>
  <conditionalFormatting sqref="P351:Q352">
    <cfRule type="expression" dxfId="3455" priority="1456">
      <formula>$BC351="YES"</formula>
    </cfRule>
  </conditionalFormatting>
  <conditionalFormatting sqref="P353:Q354">
    <cfRule type="expression" dxfId="3454" priority="1457">
      <formula>$BC353="YES"</formula>
    </cfRule>
  </conditionalFormatting>
  <conditionalFormatting sqref="P355:Q356">
    <cfRule type="expression" dxfId="3453" priority="1458">
      <formula>$BC355="YES"</formula>
    </cfRule>
  </conditionalFormatting>
  <conditionalFormatting sqref="P357:Q358">
    <cfRule type="expression" dxfId="3452" priority="1459">
      <formula>$BC357="YES"</formula>
    </cfRule>
  </conditionalFormatting>
  <conditionalFormatting sqref="P359:Q360">
    <cfRule type="expression" dxfId="3451" priority="1460">
      <formula>$BC359="YES"</formula>
    </cfRule>
  </conditionalFormatting>
  <conditionalFormatting sqref="P361:Q362">
    <cfRule type="expression" dxfId="3450" priority="1461">
      <formula>$BC361="YES"</formula>
    </cfRule>
  </conditionalFormatting>
  <conditionalFormatting sqref="P363:Q364">
    <cfRule type="expression" dxfId="3449" priority="1462">
      <formula>$BC363="YES"</formula>
    </cfRule>
  </conditionalFormatting>
  <conditionalFormatting sqref="P365:Q366">
    <cfRule type="expression" dxfId="3448" priority="1463">
      <formula>$BC365="YES"</formula>
    </cfRule>
  </conditionalFormatting>
  <conditionalFormatting sqref="P367:Q368">
    <cfRule type="expression" dxfId="3447" priority="1464">
      <formula>$BC367="YES"</formula>
    </cfRule>
  </conditionalFormatting>
  <conditionalFormatting sqref="P369:Q370">
    <cfRule type="expression" dxfId="3446" priority="1465">
      <formula>$BC369="YES"</formula>
    </cfRule>
  </conditionalFormatting>
  <conditionalFormatting sqref="P371:Q372">
    <cfRule type="expression" dxfId="3445" priority="1466">
      <formula>$BC371="YES"</formula>
    </cfRule>
  </conditionalFormatting>
  <conditionalFormatting sqref="P373:Q374">
    <cfRule type="expression" dxfId="3444" priority="1467">
      <formula>$BC373="YES"</formula>
    </cfRule>
  </conditionalFormatting>
  <conditionalFormatting sqref="P375:Q376">
    <cfRule type="expression" dxfId="3443" priority="1468">
      <formula>$BC375="YES"</formula>
    </cfRule>
  </conditionalFormatting>
  <conditionalFormatting sqref="P377:Q378">
    <cfRule type="expression" dxfId="3442" priority="1469">
      <formula>$BC377="YES"</formula>
    </cfRule>
  </conditionalFormatting>
  <conditionalFormatting sqref="P379:Q380">
    <cfRule type="expression" dxfId="3441" priority="1470">
      <formula>$BC379="YES"</formula>
    </cfRule>
  </conditionalFormatting>
  <conditionalFormatting sqref="P381:Q382">
    <cfRule type="expression" dxfId="3440" priority="1471">
      <formula>$BC381="YES"</formula>
    </cfRule>
  </conditionalFormatting>
  <conditionalFormatting sqref="P383:Q384">
    <cfRule type="expression" dxfId="3439" priority="1472">
      <formula>$BC383="YES"</formula>
    </cfRule>
  </conditionalFormatting>
  <conditionalFormatting sqref="P385:Q386">
    <cfRule type="expression" dxfId="3438" priority="1473">
      <formula>$BC385="YES"</formula>
    </cfRule>
  </conditionalFormatting>
  <conditionalFormatting sqref="P387:Q388">
    <cfRule type="expression" dxfId="3437" priority="1474">
      <formula>$BC387="YES"</formula>
    </cfRule>
  </conditionalFormatting>
  <conditionalFormatting sqref="P389:Q390">
    <cfRule type="expression" dxfId="3436" priority="1475">
      <formula>$BC389="YES"</formula>
    </cfRule>
  </conditionalFormatting>
  <conditionalFormatting sqref="P391:Q392">
    <cfRule type="expression" dxfId="3435" priority="1476">
      <formula>$BC391="YES"</formula>
    </cfRule>
  </conditionalFormatting>
  <conditionalFormatting sqref="P393:Q394">
    <cfRule type="expression" dxfId="3434" priority="1477">
      <formula>$BC393="YES"</formula>
    </cfRule>
  </conditionalFormatting>
  <conditionalFormatting sqref="P395:Q396">
    <cfRule type="expression" dxfId="3433" priority="1478">
      <formula>$BC395="YES"</formula>
    </cfRule>
  </conditionalFormatting>
  <conditionalFormatting sqref="P397:Q398">
    <cfRule type="expression" dxfId="3432" priority="1479">
      <formula>$BC397="YES"</formula>
    </cfRule>
  </conditionalFormatting>
  <conditionalFormatting sqref="P399:Q400">
    <cfRule type="expression" dxfId="3431" priority="1480">
      <formula>$BC399="YES"</formula>
    </cfRule>
  </conditionalFormatting>
  <conditionalFormatting sqref="P401:Q402">
    <cfRule type="expression" dxfId="3430" priority="1481">
      <formula>$BC401="YES"</formula>
    </cfRule>
  </conditionalFormatting>
  <conditionalFormatting sqref="P403:Q404">
    <cfRule type="expression" dxfId="3429" priority="1482">
      <formula>$BC403="YES"</formula>
    </cfRule>
  </conditionalFormatting>
  <conditionalFormatting sqref="P405:Q406">
    <cfRule type="expression" dxfId="3428" priority="1483">
      <formula>$BC405="YES"</formula>
    </cfRule>
  </conditionalFormatting>
  <conditionalFormatting sqref="P407:Q408">
    <cfRule type="expression" dxfId="3427" priority="1484">
      <formula>$BC407="YES"</formula>
    </cfRule>
  </conditionalFormatting>
  <conditionalFormatting sqref="P409:Q410">
    <cfRule type="expression" dxfId="3426" priority="1485">
      <formula>$BC409="YES"</formula>
    </cfRule>
  </conditionalFormatting>
  <conditionalFormatting sqref="P411:Q412">
    <cfRule type="expression" dxfId="3425" priority="1486">
      <formula>$BC411="YES"</formula>
    </cfRule>
  </conditionalFormatting>
  <conditionalFormatting sqref="P413:Q414">
    <cfRule type="expression" dxfId="3424" priority="1487">
      <formula>$BC413="YES"</formula>
    </cfRule>
  </conditionalFormatting>
  <conditionalFormatting sqref="P415:Q416">
    <cfRule type="expression" dxfId="3423" priority="1488">
      <formula>$BC415="YES"</formula>
    </cfRule>
  </conditionalFormatting>
  <conditionalFormatting sqref="P417:Q418">
    <cfRule type="expression" dxfId="3422" priority="1489">
      <formula>$BC417="YES"</formula>
    </cfRule>
  </conditionalFormatting>
  <conditionalFormatting sqref="P419:Q420">
    <cfRule type="expression" dxfId="3421" priority="1490">
      <formula>$BC419="YES"</formula>
    </cfRule>
  </conditionalFormatting>
  <conditionalFormatting sqref="P421:Q422">
    <cfRule type="expression" dxfId="3420" priority="1491">
      <formula>$BC421="YES"</formula>
    </cfRule>
  </conditionalFormatting>
  <conditionalFormatting sqref="P423:Q424">
    <cfRule type="expression" dxfId="3419" priority="1492">
      <formula>$BC423="YES"</formula>
    </cfRule>
  </conditionalFormatting>
  <conditionalFormatting sqref="P425:Q426">
    <cfRule type="expression" dxfId="3418" priority="1493">
      <formula>$BC425="YES"</formula>
    </cfRule>
  </conditionalFormatting>
  <conditionalFormatting sqref="P427:Q428">
    <cfRule type="expression" dxfId="3417" priority="1494">
      <formula>$BC427="YES"</formula>
    </cfRule>
  </conditionalFormatting>
  <conditionalFormatting sqref="P429:Q430">
    <cfRule type="expression" dxfId="3416" priority="1495">
      <formula>$BC429="YES"</formula>
    </cfRule>
  </conditionalFormatting>
  <conditionalFormatting sqref="P431:Q432">
    <cfRule type="expression" dxfId="3415" priority="1496">
      <formula>$BC431="YES"</formula>
    </cfRule>
  </conditionalFormatting>
  <conditionalFormatting sqref="P433:Q434">
    <cfRule type="expression" dxfId="3414" priority="1497">
      <formula>$BC433="YES"</formula>
    </cfRule>
  </conditionalFormatting>
  <conditionalFormatting sqref="P435:Q436">
    <cfRule type="expression" dxfId="3413" priority="1498">
      <formula>$BC435="YES"</formula>
    </cfRule>
  </conditionalFormatting>
  <conditionalFormatting sqref="P437:Q438">
    <cfRule type="expression" dxfId="3412" priority="1499">
      <formula>$BC437="YES"</formula>
    </cfRule>
  </conditionalFormatting>
  <conditionalFormatting sqref="P439:Q440">
    <cfRule type="expression" dxfId="3411" priority="1500">
      <formula>$BC439="YES"</formula>
    </cfRule>
  </conditionalFormatting>
  <conditionalFormatting sqref="P441:Q442">
    <cfRule type="expression" dxfId="3410" priority="1501">
      <formula>$BC441="YES"</formula>
    </cfRule>
  </conditionalFormatting>
  <conditionalFormatting sqref="P443:Q444">
    <cfRule type="expression" dxfId="3409" priority="1502">
      <formula>$BC443="YES"</formula>
    </cfRule>
  </conditionalFormatting>
  <conditionalFormatting sqref="P445:Q446">
    <cfRule type="expression" dxfId="3408" priority="1503">
      <formula>$BC445="YES"</formula>
    </cfRule>
  </conditionalFormatting>
  <conditionalFormatting sqref="P447:Q448">
    <cfRule type="expression" dxfId="3407" priority="1504">
      <formula>$BC447="YES"</formula>
    </cfRule>
  </conditionalFormatting>
  <conditionalFormatting sqref="P449:Q450">
    <cfRule type="expression" dxfId="3406" priority="1505">
      <formula>$BC449="YES"</formula>
    </cfRule>
  </conditionalFormatting>
  <conditionalFormatting sqref="P451:Q452">
    <cfRule type="expression" dxfId="3405" priority="1506">
      <formula>$BC451="YES"</formula>
    </cfRule>
  </conditionalFormatting>
  <conditionalFormatting sqref="P453:Q454">
    <cfRule type="expression" dxfId="3404" priority="1507">
      <formula>$BC453="YES"</formula>
    </cfRule>
  </conditionalFormatting>
  <conditionalFormatting sqref="P455:Q456">
    <cfRule type="expression" dxfId="3403" priority="1508">
      <formula>$BC455="YES"</formula>
    </cfRule>
  </conditionalFormatting>
  <conditionalFormatting sqref="P457:Q458">
    <cfRule type="expression" dxfId="3402" priority="1509">
      <formula>$BC457="YES"</formula>
    </cfRule>
  </conditionalFormatting>
  <conditionalFormatting sqref="P459:Q460">
    <cfRule type="expression" dxfId="3401" priority="1510">
      <formula>$BC459="YES"</formula>
    </cfRule>
  </conditionalFormatting>
  <conditionalFormatting sqref="P461:Q462">
    <cfRule type="expression" dxfId="3400" priority="1511">
      <formula>$BC461="YES"</formula>
    </cfRule>
  </conditionalFormatting>
  <conditionalFormatting sqref="P463:Q464">
    <cfRule type="expression" dxfId="3399" priority="1512">
      <formula>$BC463="YES"</formula>
    </cfRule>
  </conditionalFormatting>
  <conditionalFormatting sqref="P465:Q466">
    <cfRule type="expression" dxfId="3398" priority="1513">
      <formula>$BC465="YES"</formula>
    </cfRule>
  </conditionalFormatting>
  <conditionalFormatting sqref="P467:Q468">
    <cfRule type="expression" dxfId="3397" priority="1514">
      <formula>$BC467="YES"</formula>
    </cfRule>
  </conditionalFormatting>
  <conditionalFormatting sqref="P469:Q470">
    <cfRule type="expression" dxfId="3396" priority="1515">
      <formula>$BC469="YES"</formula>
    </cfRule>
  </conditionalFormatting>
  <conditionalFormatting sqref="P471:Q472">
    <cfRule type="expression" dxfId="3395" priority="1516">
      <formula>$BC471="YES"</formula>
    </cfRule>
  </conditionalFormatting>
  <conditionalFormatting sqref="P473:Q474">
    <cfRule type="expression" dxfId="3394" priority="1517">
      <formula>$BC473="YES"</formula>
    </cfRule>
  </conditionalFormatting>
  <conditionalFormatting sqref="P475:Q476">
    <cfRule type="expression" dxfId="3393" priority="1518">
      <formula>$BC475="YES"</formula>
    </cfRule>
  </conditionalFormatting>
  <conditionalFormatting sqref="P477:Q478">
    <cfRule type="expression" dxfId="3392" priority="1519">
      <formula>$BC477="YES"</formula>
    </cfRule>
  </conditionalFormatting>
  <conditionalFormatting sqref="P479:Q480">
    <cfRule type="expression" dxfId="3391" priority="1520">
      <formula>$BC479="YES"</formula>
    </cfRule>
  </conditionalFormatting>
  <conditionalFormatting sqref="P481:Q482">
    <cfRule type="expression" dxfId="3390" priority="1521">
      <formula>$BC481="YES"</formula>
    </cfRule>
  </conditionalFormatting>
  <conditionalFormatting sqref="P483:Q484">
    <cfRule type="expression" dxfId="3389" priority="1522">
      <formula>$BC483="YES"</formula>
    </cfRule>
  </conditionalFormatting>
  <conditionalFormatting sqref="P485:Q486">
    <cfRule type="expression" dxfId="3388" priority="1523">
      <formula>$BC485="YES"</formula>
    </cfRule>
  </conditionalFormatting>
  <conditionalFormatting sqref="P487:Q488">
    <cfRule type="expression" dxfId="3387" priority="1524">
      <formula>$BC487="YES"</formula>
    </cfRule>
  </conditionalFormatting>
  <conditionalFormatting sqref="P489:Q490">
    <cfRule type="expression" dxfId="3386" priority="1525">
      <formula>$BC489="YES"</formula>
    </cfRule>
  </conditionalFormatting>
  <conditionalFormatting sqref="P491:Q492">
    <cfRule type="expression" dxfId="3385" priority="1526">
      <formula>$BC491="YES"</formula>
    </cfRule>
  </conditionalFormatting>
  <conditionalFormatting sqref="P493:Q494">
    <cfRule type="expression" dxfId="3384" priority="1527">
      <formula>$BC493="YES"</formula>
    </cfRule>
  </conditionalFormatting>
  <conditionalFormatting sqref="P495:Q496">
    <cfRule type="expression" dxfId="3383" priority="1528">
      <formula>$BC495="YES"</formula>
    </cfRule>
  </conditionalFormatting>
  <conditionalFormatting sqref="P497:Q498">
    <cfRule type="expression" dxfId="3382" priority="1529">
      <formula>$BC497="YES"</formula>
    </cfRule>
  </conditionalFormatting>
  <conditionalFormatting sqref="P499:Q500">
    <cfRule type="expression" dxfId="3381" priority="1530">
      <formula>$BC499="YES"</formula>
    </cfRule>
  </conditionalFormatting>
  <conditionalFormatting sqref="P501:Q502">
    <cfRule type="expression" dxfId="3380" priority="1531">
      <formula>$BC501="YES"</formula>
    </cfRule>
  </conditionalFormatting>
  <conditionalFormatting sqref="P503:Q504">
    <cfRule type="expression" dxfId="3379" priority="1532">
      <formula>$BC503="YES"</formula>
    </cfRule>
  </conditionalFormatting>
  <conditionalFormatting sqref="P505:Q506">
    <cfRule type="expression" dxfId="3378" priority="1533">
      <formula>$BC505="YES"</formula>
    </cfRule>
  </conditionalFormatting>
  <conditionalFormatting sqref="P507:Q508">
    <cfRule type="expression" dxfId="3377" priority="1534">
      <formula>$BC507="YES"</formula>
    </cfRule>
  </conditionalFormatting>
  <conditionalFormatting sqref="P509:Q510">
    <cfRule type="expression" dxfId="3376" priority="1535">
      <formula>$BC509="YES"</formula>
    </cfRule>
  </conditionalFormatting>
  <conditionalFormatting sqref="P511:Q512">
    <cfRule type="expression" dxfId="3375" priority="1536">
      <formula>$BC511="YES"</formula>
    </cfRule>
  </conditionalFormatting>
  <conditionalFormatting sqref="P513:Q514">
    <cfRule type="expression" dxfId="3374" priority="1537">
      <formula>$BC513="YES"</formula>
    </cfRule>
  </conditionalFormatting>
  <conditionalFormatting sqref="P515:Q516">
    <cfRule type="expression" dxfId="3373" priority="1538">
      <formula>$BC515="YES"</formula>
    </cfRule>
  </conditionalFormatting>
  <conditionalFormatting sqref="P517:Q518">
    <cfRule type="expression" dxfId="3372" priority="1539">
      <formula>$BC517="YES"</formula>
    </cfRule>
  </conditionalFormatting>
  <conditionalFormatting sqref="P519:Q520">
    <cfRule type="expression" dxfId="3371" priority="1540">
      <formula>$BC519="YES"</formula>
    </cfRule>
  </conditionalFormatting>
  <conditionalFormatting sqref="P521:Q522">
    <cfRule type="expression" dxfId="3370" priority="1541">
      <formula>$BC521="YES"</formula>
    </cfRule>
  </conditionalFormatting>
  <conditionalFormatting sqref="P523:Q524">
    <cfRule type="expression" dxfId="3369" priority="1542">
      <formula>$BC523="YES"</formula>
    </cfRule>
  </conditionalFormatting>
  <conditionalFormatting sqref="R35:S38">
    <cfRule type="expression" dxfId="3368" priority="1543">
      <formula>$BC35="YES"</formula>
    </cfRule>
  </conditionalFormatting>
  <conditionalFormatting sqref="R51:S54">
    <cfRule type="expression" dxfId="3367" priority="1544">
      <formula>$BC51="YES"</formula>
    </cfRule>
  </conditionalFormatting>
  <conditionalFormatting sqref="R39:S42">
    <cfRule type="expression" dxfId="3366" priority="1545">
      <formula>$BC39="YES"</formula>
    </cfRule>
  </conditionalFormatting>
  <conditionalFormatting sqref="R43:S46">
    <cfRule type="expression" dxfId="3365" priority="1546">
      <formula>$BC43="YES"</formula>
    </cfRule>
  </conditionalFormatting>
  <conditionalFormatting sqref="R47:S50">
    <cfRule type="expression" dxfId="3364" priority="1547">
      <formula>$BC47="YES"</formula>
    </cfRule>
  </conditionalFormatting>
  <conditionalFormatting sqref="R55:S58">
    <cfRule type="expression" dxfId="3363" priority="1548">
      <formula>$BC55="YES"</formula>
    </cfRule>
  </conditionalFormatting>
  <conditionalFormatting sqref="R71:S74">
    <cfRule type="expression" dxfId="3362" priority="1549">
      <formula>$BC71="YES"</formula>
    </cfRule>
  </conditionalFormatting>
  <conditionalFormatting sqref="R59:S62">
    <cfRule type="expression" dxfId="3361" priority="1550">
      <formula>$BC59="YES"</formula>
    </cfRule>
  </conditionalFormatting>
  <conditionalFormatting sqref="R63:S66">
    <cfRule type="expression" dxfId="3360" priority="1551">
      <formula>$BC63="YES"</formula>
    </cfRule>
  </conditionalFormatting>
  <conditionalFormatting sqref="R67:S70">
    <cfRule type="expression" dxfId="3359" priority="1552">
      <formula>$BC67="YES"</formula>
    </cfRule>
  </conditionalFormatting>
  <conditionalFormatting sqref="R75:S78">
    <cfRule type="expression" dxfId="3358" priority="1553">
      <formula>$BC75="YES"</formula>
    </cfRule>
  </conditionalFormatting>
  <conditionalFormatting sqref="R91:S94">
    <cfRule type="expression" dxfId="3357" priority="1554">
      <formula>$BC91="YES"</formula>
    </cfRule>
  </conditionalFormatting>
  <conditionalFormatting sqref="R79:S82">
    <cfRule type="expression" dxfId="3356" priority="1555">
      <formula>$BC79="YES"</formula>
    </cfRule>
  </conditionalFormatting>
  <conditionalFormatting sqref="R83:S86">
    <cfRule type="expression" dxfId="3355" priority="1556">
      <formula>$BC83="YES"</formula>
    </cfRule>
  </conditionalFormatting>
  <conditionalFormatting sqref="R87:S90">
    <cfRule type="expression" dxfId="3354" priority="1557">
      <formula>$BC87="YES"</formula>
    </cfRule>
  </conditionalFormatting>
  <conditionalFormatting sqref="R95:S98">
    <cfRule type="expression" dxfId="3353" priority="1558">
      <formula>$BC95="YES"</formula>
    </cfRule>
  </conditionalFormatting>
  <conditionalFormatting sqref="R111:S114">
    <cfRule type="expression" dxfId="3352" priority="1559">
      <formula>$BC111="YES"</formula>
    </cfRule>
  </conditionalFormatting>
  <conditionalFormatting sqref="R99:S102">
    <cfRule type="expression" dxfId="3351" priority="1560">
      <formula>$BC99="YES"</formula>
    </cfRule>
  </conditionalFormatting>
  <conditionalFormatting sqref="R103:S106">
    <cfRule type="expression" dxfId="3350" priority="1561">
      <formula>$BC103="YES"</formula>
    </cfRule>
  </conditionalFormatting>
  <conditionalFormatting sqref="R107:S110">
    <cfRule type="expression" dxfId="3349" priority="1562">
      <formula>$BC107="YES"</formula>
    </cfRule>
  </conditionalFormatting>
  <conditionalFormatting sqref="R115:S118">
    <cfRule type="expression" dxfId="3348" priority="1563">
      <formula>$BC115="YES"</formula>
    </cfRule>
  </conditionalFormatting>
  <conditionalFormatting sqref="R131:S134">
    <cfRule type="expression" dxfId="3347" priority="1564">
      <formula>$BC131="YES"</formula>
    </cfRule>
  </conditionalFormatting>
  <conditionalFormatting sqref="R119:S122">
    <cfRule type="expression" dxfId="3346" priority="1565">
      <formula>$BC119="YES"</formula>
    </cfRule>
  </conditionalFormatting>
  <conditionalFormatting sqref="R123:S126">
    <cfRule type="expression" dxfId="3345" priority="1566">
      <formula>$BC123="YES"</formula>
    </cfRule>
  </conditionalFormatting>
  <conditionalFormatting sqref="R127:S130">
    <cfRule type="expression" dxfId="3344" priority="1567">
      <formula>$BC127="YES"</formula>
    </cfRule>
  </conditionalFormatting>
  <conditionalFormatting sqref="R135:S138">
    <cfRule type="expression" dxfId="3343" priority="1568">
      <formula>$BC135="YES"</formula>
    </cfRule>
  </conditionalFormatting>
  <conditionalFormatting sqref="R151:S154">
    <cfRule type="expression" dxfId="3342" priority="1569">
      <formula>$BC151="YES"</formula>
    </cfRule>
  </conditionalFormatting>
  <conditionalFormatting sqref="R139:S142">
    <cfRule type="expression" dxfId="3341" priority="1570">
      <formula>$BC139="YES"</formula>
    </cfRule>
  </conditionalFormatting>
  <conditionalFormatting sqref="R143:S146">
    <cfRule type="expression" dxfId="3340" priority="1571">
      <formula>$BC143="YES"</formula>
    </cfRule>
  </conditionalFormatting>
  <conditionalFormatting sqref="R147:S150">
    <cfRule type="expression" dxfId="3339" priority="1572">
      <formula>$BC147="YES"</formula>
    </cfRule>
  </conditionalFormatting>
  <conditionalFormatting sqref="R155:S158">
    <cfRule type="expression" dxfId="3338" priority="1573">
      <formula>$BC155="YES"</formula>
    </cfRule>
  </conditionalFormatting>
  <conditionalFormatting sqref="R171:S174">
    <cfRule type="expression" dxfId="3337" priority="1574">
      <formula>$BC171="YES"</formula>
    </cfRule>
  </conditionalFormatting>
  <conditionalFormatting sqref="R159:S162">
    <cfRule type="expression" dxfId="3336" priority="1575">
      <formula>$BC159="YES"</formula>
    </cfRule>
  </conditionalFormatting>
  <conditionalFormatting sqref="R163:S166">
    <cfRule type="expression" dxfId="3335" priority="1576">
      <formula>$BC163="YES"</formula>
    </cfRule>
  </conditionalFormatting>
  <conditionalFormatting sqref="R167:S170">
    <cfRule type="expression" dxfId="3334" priority="1577">
      <formula>$BC167="YES"</formula>
    </cfRule>
  </conditionalFormatting>
  <conditionalFormatting sqref="R175:S178">
    <cfRule type="expression" dxfId="3333" priority="1578">
      <formula>$BC175="YES"</formula>
    </cfRule>
  </conditionalFormatting>
  <conditionalFormatting sqref="R191:S194">
    <cfRule type="expression" dxfId="3332" priority="1579">
      <formula>$BC191="YES"</formula>
    </cfRule>
  </conditionalFormatting>
  <conditionalFormatting sqref="R179:S182">
    <cfRule type="expression" dxfId="3331" priority="1580">
      <formula>$BC179="YES"</formula>
    </cfRule>
  </conditionalFormatting>
  <conditionalFormatting sqref="R183:S186">
    <cfRule type="expression" dxfId="3330" priority="1581">
      <formula>$BC183="YES"</formula>
    </cfRule>
  </conditionalFormatting>
  <conditionalFormatting sqref="R187:S190">
    <cfRule type="expression" dxfId="3329" priority="1582">
      <formula>$BC187="YES"</formula>
    </cfRule>
  </conditionalFormatting>
  <conditionalFormatting sqref="R195:S198">
    <cfRule type="expression" dxfId="3328" priority="1583">
      <formula>$BC195="YES"</formula>
    </cfRule>
  </conditionalFormatting>
  <conditionalFormatting sqref="R211:S214">
    <cfRule type="expression" dxfId="3327" priority="1584">
      <formula>$BC211="YES"</formula>
    </cfRule>
  </conditionalFormatting>
  <conditionalFormatting sqref="R199:S202">
    <cfRule type="expression" dxfId="3326" priority="1585">
      <formula>$BC199="YES"</formula>
    </cfRule>
  </conditionalFormatting>
  <conditionalFormatting sqref="R203:S206">
    <cfRule type="expression" dxfId="3325" priority="1586">
      <formula>$BC203="YES"</formula>
    </cfRule>
  </conditionalFormatting>
  <conditionalFormatting sqref="R207:S210">
    <cfRule type="expression" dxfId="3324" priority="1587">
      <formula>$BC207="YES"</formula>
    </cfRule>
  </conditionalFormatting>
  <conditionalFormatting sqref="R215:S218">
    <cfRule type="expression" dxfId="3323" priority="1588">
      <formula>$BC215="YES"</formula>
    </cfRule>
  </conditionalFormatting>
  <conditionalFormatting sqref="R231:S234">
    <cfRule type="expression" dxfId="3322" priority="1589">
      <formula>$BC231="YES"</formula>
    </cfRule>
  </conditionalFormatting>
  <conditionalFormatting sqref="R219:S222">
    <cfRule type="expression" dxfId="3321" priority="1590">
      <formula>$BC219="YES"</formula>
    </cfRule>
  </conditionalFormatting>
  <conditionalFormatting sqref="R223:S226">
    <cfRule type="expression" dxfId="3320" priority="1591">
      <formula>$BC223="YES"</formula>
    </cfRule>
  </conditionalFormatting>
  <conditionalFormatting sqref="R227:S230">
    <cfRule type="expression" dxfId="3319" priority="1592">
      <formula>$BC227="YES"</formula>
    </cfRule>
  </conditionalFormatting>
  <conditionalFormatting sqref="R235:S238">
    <cfRule type="expression" dxfId="3318" priority="1593">
      <formula>$BC235="YES"</formula>
    </cfRule>
  </conditionalFormatting>
  <conditionalFormatting sqref="R251:S254">
    <cfRule type="expression" dxfId="3317" priority="1594">
      <formula>$BC251="YES"</formula>
    </cfRule>
  </conditionalFormatting>
  <conditionalFormatting sqref="R239:S242">
    <cfRule type="expression" dxfId="3316" priority="1595">
      <formula>$BC239="YES"</formula>
    </cfRule>
  </conditionalFormatting>
  <conditionalFormatting sqref="R243:S246">
    <cfRule type="expression" dxfId="3315" priority="1596">
      <formula>$BC243="YES"</formula>
    </cfRule>
  </conditionalFormatting>
  <conditionalFormatting sqref="R247:S250">
    <cfRule type="expression" dxfId="3314" priority="1597">
      <formula>$BC247="YES"</formula>
    </cfRule>
  </conditionalFormatting>
  <conditionalFormatting sqref="R255:S258">
    <cfRule type="expression" dxfId="3313" priority="1598">
      <formula>$BC255="YES"</formula>
    </cfRule>
  </conditionalFormatting>
  <conditionalFormatting sqref="R271:S274">
    <cfRule type="expression" dxfId="3312" priority="1599">
      <formula>$BC271="YES"</formula>
    </cfRule>
  </conditionalFormatting>
  <conditionalFormatting sqref="R259:S262">
    <cfRule type="expression" dxfId="3311" priority="1600">
      <formula>$BC259="YES"</formula>
    </cfRule>
  </conditionalFormatting>
  <conditionalFormatting sqref="R263:S266">
    <cfRule type="expression" dxfId="3310" priority="1601">
      <formula>$BC263="YES"</formula>
    </cfRule>
  </conditionalFormatting>
  <conditionalFormatting sqref="R267:S270">
    <cfRule type="expression" dxfId="3309" priority="1602">
      <formula>$BC267="YES"</formula>
    </cfRule>
  </conditionalFormatting>
  <conditionalFormatting sqref="R275:S278">
    <cfRule type="expression" dxfId="3308" priority="1603">
      <formula>$BC275="YES"</formula>
    </cfRule>
  </conditionalFormatting>
  <conditionalFormatting sqref="R291:S294">
    <cfRule type="expression" dxfId="3307" priority="1604">
      <formula>$BC291="YES"</formula>
    </cfRule>
  </conditionalFormatting>
  <conditionalFormatting sqref="R279:S282">
    <cfRule type="expression" dxfId="3306" priority="1605">
      <formula>$BC279="YES"</formula>
    </cfRule>
  </conditionalFormatting>
  <conditionalFormatting sqref="R283:S286">
    <cfRule type="expression" dxfId="3305" priority="1606">
      <formula>$BC283="YES"</formula>
    </cfRule>
  </conditionalFormatting>
  <conditionalFormatting sqref="R287:S290">
    <cfRule type="expression" dxfId="3304" priority="1607">
      <formula>$BC287="YES"</formula>
    </cfRule>
  </conditionalFormatting>
  <conditionalFormatting sqref="R295:S298">
    <cfRule type="expression" dxfId="3303" priority="1608">
      <formula>$BC295="YES"</formula>
    </cfRule>
  </conditionalFormatting>
  <conditionalFormatting sqref="R311:S314">
    <cfRule type="expression" dxfId="3302" priority="1609">
      <formula>$BC311="YES"</formula>
    </cfRule>
  </conditionalFormatting>
  <conditionalFormatting sqref="R299:S302">
    <cfRule type="expression" dxfId="3301" priority="1610">
      <formula>$BC299="YES"</formula>
    </cfRule>
  </conditionalFormatting>
  <conditionalFormatting sqref="R303:S306">
    <cfRule type="expression" dxfId="3300" priority="1611">
      <formula>$BC303="YES"</formula>
    </cfRule>
  </conditionalFormatting>
  <conditionalFormatting sqref="R307:S310">
    <cfRule type="expression" dxfId="3299" priority="1612">
      <formula>$BC307="YES"</formula>
    </cfRule>
  </conditionalFormatting>
  <conditionalFormatting sqref="R315:S318">
    <cfRule type="expression" dxfId="3298" priority="1613">
      <formula>$BC315="YES"</formula>
    </cfRule>
  </conditionalFormatting>
  <conditionalFormatting sqref="R331:S334">
    <cfRule type="expression" dxfId="3297" priority="1614">
      <formula>$BC331="YES"</formula>
    </cfRule>
  </conditionalFormatting>
  <conditionalFormatting sqref="R319:S322">
    <cfRule type="expression" dxfId="3296" priority="1615">
      <formula>$BC319="YES"</formula>
    </cfRule>
  </conditionalFormatting>
  <conditionalFormatting sqref="R323:S326">
    <cfRule type="expression" dxfId="3295" priority="1616">
      <formula>$BC323="YES"</formula>
    </cfRule>
  </conditionalFormatting>
  <conditionalFormatting sqref="R327:S330">
    <cfRule type="expression" dxfId="3294" priority="1617">
      <formula>$BC327="YES"</formula>
    </cfRule>
  </conditionalFormatting>
  <conditionalFormatting sqref="R335:S338">
    <cfRule type="expression" dxfId="3293" priority="1618">
      <formula>$BC335="YES"</formula>
    </cfRule>
  </conditionalFormatting>
  <conditionalFormatting sqref="R351:S354">
    <cfRule type="expression" dxfId="3292" priority="1619">
      <formula>$BC351="YES"</formula>
    </cfRule>
  </conditionalFormatting>
  <conditionalFormatting sqref="R339:S342">
    <cfRule type="expression" dxfId="3291" priority="1620">
      <formula>$BC339="YES"</formula>
    </cfRule>
  </conditionalFormatting>
  <conditionalFormatting sqref="R343:S346">
    <cfRule type="expression" dxfId="3290" priority="1621">
      <formula>$BC343="YES"</formula>
    </cfRule>
  </conditionalFormatting>
  <conditionalFormatting sqref="R347:S350">
    <cfRule type="expression" dxfId="3289" priority="1622">
      <formula>$BC347="YES"</formula>
    </cfRule>
  </conditionalFormatting>
  <conditionalFormatting sqref="R355:S358">
    <cfRule type="expression" dxfId="3288" priority="1623">
      <formula>$BC355="YES"</formula>
    </cfRule>
  </conditionalFormatting>
  <conditionalFormatting sqref="R371:S374">
    <cfRule type="expression" dxfId="3287" priority="1624">
      <formula>$BC371="YES"</formula>
    </cfRule>
  </conditionalFormatting>
  <conditionalFormatting sqref="R359:S362">
    <cfRule type="expression" dxfId="3286" priority="1625">
      <formula>$BC359="YES"</formula>
    </cfRule>
  </conditionalFormatting>
  <conditionalFormatting sqref="R363:S366">
    <cfRule type="expression" dxfId="3285" priority="1626">
      <formula>$BC363="YES"</formula>
    </cfRule>
  </conditionalFormatting>
  <conditionalFormatting sqref="R367:S370">
    <cfRule type="expression" dxfId="3284" priority="1627">
      <formula>$BC367="YES"</formula>
    </cfRule>
  </conditionalFormatting>
  <conditionalFormatting sqref="R375:S378">
    <cfRule type="expression" dxfId="3283" priority="1628">
      <formula>$BC375="YES"</formula>
    </cfRule>
  </conditionalFormatting>
  <conditionalFormatting sqref="R391:S394">
    <cfRule type="expression" dxfId="3282" priority="1629">
      <formula>$BC391="YES"</formula>
    </cfRule>
  </conditionalFormatting>
  <conditionalFormatting sqref="R379:S382">
    <cfRule type="expression" dxfId="3281" priority="1630">
      <formula>$BC379="YES"</formula>
    </cfRule>
  </conditionalFormatting>
  <conditionalFormatting sqref="R383:S386">
    <cfRule type="expression" dxfId="3280" priority="1631">
      <formula>$BC383="YES"</formula>
    </cfRule>
  </conditionalFormatting>
  <conditionalFormatting sqref="R387:S390">
    <cfRule type="expression" dxfId="3279" priority="1632">
      <formula>$BC387="YES"</formula>
    </cfRule>
  </conditionalFormatting>
  <conditionalFormatting sqref="R395:S398">
    <cfRule type="expression" dxfId="3278" priority="1633">
      <formula>$BC395="YES"</formula>
    </cfRule>
  </conditionalFormatting>
  <conditionalFormatting sqref="R411:S414">
    <cfRule type="expression" dxfId="3277" priority="1634">
      <formula>$BC411="YES"</formula>
    </cfRule>
  </conditionalFormatting>
  <conditionalFormatting sqref="R399:S402">
    <cfRule type="expression" dxfId="3276" priority="1635">
      <formula>$BC399="YES"</formula>
    </cfRule>
  </conditionalFormatting>
  <conditionalFormatting sqref="R403:S406">
    <cfRule type="expression" dxfId="3275" priority="1636">
      <formula>$BC403="YES"</formula>
    </cfRule>
  </conditionalFormatting>
  <conditionalFormatting sqref="R407:S410">
    <cfRule type="expression" dxfId="3274" priority="1637">
      <formula>$BC407="YES"</formula>
    </cfRule>
  </conditionalFormatting>
  <conditionalFormatting sqref="R415:S418">
    <cfRule type="expression" dxfId="3273" priority="1638">
      <formula>$BC415="YES"</formula>
    </cfRule>
  </conditionalFormatting>
  <conditionalFormatting sqref="R431:S434">
    <cfRule type="expression" dxfId="3272" priority="1639">
      <formula>$BC431="YES"</formula>
    </cfRule>
  </conditionalFormatting>
  <conditionalFormatting sqref="R419:S422">
    <cfRule type="expression" dxfId="3271" priority="1640">
      <formula>$BC419="YES"</formula>
    </cfRule>
  </conditionalFormatting>
  <conditionalFormatting sqref="R423:S426">
    <cfRule type="expression" dxfId="3270" priority="1641">
      <formula>$BC423="YES"</formula>
    </cfRule>
  </conditionalFormatting>
  <conditionalFormatting sqref="R427:S430">
    <cfRule type="expression" dxfId="3269" priority="1642">
      <formula>$BC427="YES"</formula>
    </cfRule>
  </conditionalFormatting>
  <conditionalFormatting sqref="R435:S438">
    <cfRule type="expression" dxfId="3268" priority="1643">
      <formula>$BC435="YES"</formula>
    </cfRule>
  </conditionalFormatting>
  <conditionalFormatting sqref="R451:S454">
    <cfRule type="expression" dxfId="3267" priority="1644">
      <formula>$BC451="YES"</formula>
    </cfRule>
  </conditionalFormatting>
  <conditionalFormatting sqref="R439:S442">
    <cfRule type="expression" dxfId="3266" priority="1645">
      <formula>$BC439="YES"</formula>
    </cfRule>
  </conditionalFormatting>
  <conditionalFormatting sqref="R443:S446">
    <cfRule type="expression" dxfId="3265" priority="1646">
      <formula>$BC443="YES"</formula>
    </cfRule>
  </conditionalFormatting>
  <conditionalFormatting sqref="R447:S450">
    <cfRule type="expression" dxfId="3264" priority="1647">
      <formula>$BC447="YES"</formula>
    </cfRule>
  </conditionalFormatting>
  <conditionalFormatting sqref="R455:S458">
    <cfRule type="expression" dxfId="3263" priority="1648">
      <formula>$BC455="YES"</formula>
    </cfRule>
  </conditionalFormatting>
  <conditionalFormatting sqref="R471:S474">
    <cfRule type="expression" dxfId="3262" priority="1649">
      <formula>$BC471="YES"</formula>
    </cfRule>
  </conditionalFormatting>
  <conditionalFormatting sqref="R459:S462">
    <cfRule type="expression" dxfId="3261" priority="1650">
      <formula>$BC459="YES"</formula>
    </cfRule>
  </conditionalFormatting>
  <conditionalFormatting sqref="R463:S466">
    <cfRule type="expression" dxfId="3260" priority="1651">
      <formula>$BC463="YES"</formula>
    </cfRule>
  </conditionalFormatting>
  <conditionalFormatting sqref="R467:S470">
    <cfRule type="expression" dxfId="3259" priority="1652">
      <formula>$BC467="YES"</formula>
    </cfRule>
  </conditionalFormatting>
  <conditionalFormatting sqref="R475:S478">
    <cfRule type="expression" dxfId="3258" priority="1653">
      <formula>$BC475="YES"</formula>
    </cfRule>
  </conditionalFormatting>
  <conditionalFormatting sqref="R491:S494">
    <cfRule type="expression" dxfId="3257" priority="1654">
      <formula>$BC491="YES"</formula>
    </cfRule>
  </conditionalFormatting>
  <conditionalFormatting sqref="R479:S482">
    <cfRule type="expression" dxfId="3256" priority="1655">
      <formula>$BC479="YES"</formula>
    </cfRule>
  </conditionalFormatting>
  <conditionalFormatting sqref="R483:S486">
    <cfRule type="expression" dxfId="3255" priority="1656">
      <formula>$BC483="YES"</formula>
    </cfRule>
  </conditionalFormatting>
  <conditionalFormatting sqref="R487:S490">
    <cfRule type="expression" dxfId="3254" priority="1657">
      <formula>$BC487="YES"</formula>
    </cfRule>
  </conditionalFormatting>
  <conditionalFormatting sqref="R495:S498">
    <cfRule type="expression" dxfId="3253" priority="1658">
      <formula>$BC495="YES"</formula>
    </cfRule>
  </conditionalFormatting>
  <conditionalFormatting sqref="R511:S514">
    <cfRule type="expression" dxfId="3252" priority="1659">
      <formula>$BC511="YES"</formula>
    </cfRule>
  </conditionalFormatting>
  <conditionalFormatting sqref="R499:S502">
    <cfRule type="expression" dxfId="3251" priority="1660">
      <formula>$BC499="YES"</formula>
    </cfRule>
  </conditionalFormatting>
  <conditionalFormatting sqref="R503:S506">
    <cfRule type="expression" dxfId="3250" priority="1661">
      <formula>$BC503="YES"</formula>
    </cfRule>
  </conditionalFormatting>
  <conditionalFormatting sqref="R507:S510">
    <cfRule type="expression" dxfId="3249" priority="1662">
      <formula>$BC507="YES"</formula>
    </cfRule>
  </conditionalFormatting>
  <conditionalFormatting sqref="R515:S518">
    <cfRule type="expression" dxfId="3248" priority="1663">
      <formula>$BC515="YES"</formula>
    </cfRule>
  </conditionalFormatting>
  <conditionalFormatting sqref="R531:S534">
    <cfRule type="expression" dxfId="3247" priority="1664">
      <formula>$BC531="YES"</formula>
    </cfRule>
  </conditionalFormatting>
  <conditionalFormatting sqref="R519:S522">
    <cfRule type="expression" dxfId="3246" priority="1665">
      <formula>$BC519="YES"</formula>
    </cfRule>
  </conditionalFormatting>
  <conditionalFormatting sqref="R523:S526">
    <cfRule type="expression" dxfId="3245" priority="1666">
      <formula>$BC523="YES"</formula>
    </cfRule>
  </conditionalFormatting>
  <conditionalFormatting sqref="R527:S530">
    <cfRule type="expression" dxfId="3244" priority="1667">
      <formula>$BC527="YES"</formula>
    </cfRule>
  </conditionalFormatting>
  <conditionalFormatting sqref="T17:U18">
    <cfRule type="expression" dxfId="3243" priority="1668">
      <formula>$BC17="YES"</formula>
    </cfRule>
  </conditionalFormatting>
  <conditionalFormatting sqref="T19:U20">
    <cfRule type="expression" dxfId="3242" priority="1669">
      <formula>$BC19="YES"</formula>
    </cfRule>
  </conditionalFormatting>
  <conditionalFormatting sqref="T21:U22">
    <cfRule type="expression" dxfId="3241" priority="1670">
      <formula>$BC21="YES"</formula>
    </cfRule>
  </conditionalFormatting>
  <conditionalFormatting sqref="T23:U24">
    <cfRule type="expression" dxfId="3240" priority="1671">
      <formula>$BC23="YES"</formula>
    </cfRule>
  </conditionalFormatting>
  <conditionalFormatting sqref="T25:U26">
    <cfRule type="expression" dxfId="3239" priority="1672">
      <formula>$BC25="YES"</formula>
    </cfRule>
  </conditionalFormatting>
  <conditionalFormatting sqref="T27:U28">
    <cfRule type="expression" dxfId="3238" priority="1673">
      <formula>$BC27="YES"</formula>
    </cfRule>
  </conditionalFormatting>
  <conditionalFormatting sqref="T29:U30">
    <cfRule type="expression" dxfId="3237" priority="1674">
      <formula>$BC29="YES"</formula>
    </cfRule>
  </conditionalFormatting>
  <conditionalFormatting sqref="T31:U32">
    <cfRule type="expression" dxfId="3236" priority="1675">
      <formula>$BC31="YES"</formula>
    </cfRule>
  </conditionalFormatting>
  <conditionalFormatting sqref="T33:U34">
    <cfRule type="expression" dxfId="3235" priority="1676">
      <formula>$BC33="YES"</formula>
    </cfRule>
  </conditionalFormatting>
  <conditionalFormatting sqref="T35:U36">
    <cfRule type="expression" dxfId="3234" priority="1677">
      <formula>$BC35="YES"</formula>
    </cfRule>
  </conditionalFormatting>
  <conditionalFormatting sqref="T37:U38">
    <cfRule type="expression" dxfId="3233" priority="1678">
      <formula>$BC37="YES"</formula>
    </cfRule>
  </conditionalFormatting>
  <conditionalFormatting sqref="T39:U40">
    <cfRule type="expression" dxfId="3232" priority="1679">
      <formula>$BC39="YES"</formula>
    </cfRule>
  </conditionalFormatting>
  <conditionalFormatting sqref="T41:U42">
    <cfRule type="expression" dxfId="3231" priority="1680">
      <formula>$BC41="YES"</formula>
    </cfRule>
  </conditionalFormatting>
  <conditionalFormatting sqref="T43:U44">
    <cfRule type="expression" dxfId="3230" priority="1681">
      <formula>$BC43="YES"</formula>
    </cfRule>
  </conditionalFormatting>
  <conditionalFormatting sqref="T45:U46">
    <cfRule type="expression" dxfId="3229" priority="1682">
      <formula>$BC45="YES"</formula>
    </cfRule>
  </conditionalFormatting>
  <conditionalFormatting sqref="T47:U48">
    <cfRule type="expression" dxfId="3228" priority="1683">
      <formula>$BC47="YES"</formula>
    </cfRule>
  </conditionalFormatting>
  <conditionalFormatting sqref="T49:U50">
    <cfRule type="expression" dxfId="3227" priority="1684">
      <formula>$BC49="YES"</formula>
    </cfRule>
  </conditionalFormatting>
  <conditionalFormatting sqref="T51:U52">
    <cfRule type="expression" dxfId="3226" priority="1685">
      <formula>$BC51="YES"</formula>
    </cfRule>
  </conditionalFormatting>
  <conditionalFormatting sqref="T53:U54">
    <cfRule type="expression" dxfId="3225" priority="1686">
      <formula>$BC53="YES"</formula>
    </cfRule>
  </conditionalFormatting>
  <conditionalFormatting sqref="T55:U56">
    <cfRule type="expression" dxfId="3224" priority="1687">
      <formula>$BC55="YES"</formula>
    </cfRule>
  </conditionalFormatting>
  <conditionalFormatting sqref="T57:U58">
    <cfRule type="expression" dxfId="3223" priority="1688">
      <formula>$BC57="YES"</formula>
    </cfRule>
  </conditionalFormatting>
  <conditionalFormatting sqref="T59:U60">
    <cfRule type="expression" dxfId="3222" priority="1689">
      <formula>$BC59="YES"</formula>
    </cfRule>
  </conditionalFormatting>
  <conditionalFormatting sqref="T61:U62">
    <cfRule type="expression" dxfId="3221" priority="1690">
      <formula>$BC61="YES"</formula>
    </cfRule>
  </conditionalFormatting>
  <conditionalFormatting sqref="T63:U64">
    <cfRule type="expression" dxfId="3220" priority="1691">
      <formula>$BC63="YES"</formula>
    </cfRule>
  </conditionalFormatting>
  <conditionalFormatting sqref="T65:U66">
    <cfRule type="expression" dxfId="3219" priority="1692">
      <formula>$BC65="YES"</formula>
    </cfRule>
  </conditionalFormatting>
  <conditionalFormatting sqref="T67:U68">
    <cfRule type="expression" dxfId="3218" priority="1693">
      <formula>$BC67="YES"</formula>
    </cfRule>
  </conditionalFormatting>
  <conditionalFormatting sqref="T69:U70">
    <cfRule type="expression" dxfId="3217" priority="1694">
      <formula>$BC69="YES"</formula>
    </cfRule>
  </conditionalFormatting>
  <conditionalFormatting sqref="T71:U72">
    <cfRule type="expression" dxfId="3216" priority="1695">
      <formula>$BC71="YES"</formula>
    </cfRule>
  </conditionalFormatting>
  <conditionalFormatting sqref="T73:U74">
    <cfRule type="expression" dxfId="3215" priority="1696">
      <formula>$BC73="YES"</formula>
    </cfRule>
  </conditionalFormatting>
  <conditionalFormatting sqref="T75:U76">
    <cfRule type="expression" dxfId="3214" priority="1697">
      <formula>$BC75="YES"</formula>
    </cfRule>
  </conditionalFormatting>
  <conditionalFormatting sqref="T77:U78">
    <cfRule type="expression" dxfId="3213" priority="1698">
      <formula>$BC77="YES"</formula>
    </cfRule>
  </conditionalFormatting>
  <conditionalFormatting sqref="T79:U80">
    <cfRule type="expression" dxfId="3212" priority="1699">
      <formula>$BC79="YES"</formula>
    </cfRule>
  </conditionalFormatting>
  <conditionalFormatting sqref="T81:U82">
    <cfRule type="expression" dxfId="3211" priority="1700">
      <formula>$BC81="YES"</formula>
    </cfRule>
  </conditionalFormatting>
  <conditionalFormatting sqref="T83:U84">
    <cfRule type="expression" dxfId="3210" priority="1701">
      <formula>$BC83="YES"</formula>
    </cfRule>
  </conditionalFormatting>
  <conditionalFormatting sqref="T85:U86">
    <cfRule type="expression" dxfId="3209" priority="1702">
      <formula>$BC85="YES"</formula>
    </cfRule>
  </conditionalFormatting>
  <conditionalFormatting sqref="T87:U88">
    <cfRule type="expression" dxfId="3208" priority="1703">
      <formula>$BC87="YES"</formula>
    </cfRule>
  </conditionalFormatting>
  <conditionalFormatting sqref="T89:U90">
    <cfRule type="expression" dxfId="3207" priority="1704">
      <formula>$BC89="YES"</formula>
    </cfRule>
  </conditionalFormatting>
  <conditionalFormatting sqref="T91:U92">
    <cfRule type="expression" dxfId="3206" priority="1705">
      <formula>$BC91="YES"</formula>
    </cfRule>
  </conditionalFormatting>
  <conditionalFormatting sqref="T93:U94">
    <cfRule type="expression" dxfId="3205" priority="1706">
      <formula>$BC93="YES"</formula>
    </cfRule>
  </conditionalFormatting>
  <conditionalFormatting sqref="T95:U96">
    <cfRule type="expression" dxfId="3204" priority="1707">
      <formula>$BC95="YES"</formula>
    </cfRule>
  </conditionalFormatting>
  <conditionalFormatting sqref="T97:U98">
    <cfRule type="expression" dxfId="3203" priority="1708">
      <formula>$BC97="YES"</formula>
    </cfRule>
  </conditionalFormatting>
  <conditionalFormatting sqref="T99:U100">
    <cfRule type="expression" dxfId="3202" priority="1709">
      <formula>$BC99="YES"</formula>
    </cfRule>
  </conditionalFormatting>
  <conditionalFormatting sqref="T101:U102">
    <cfRule type="expression" dxfId="3201" priority="1710">
      <formula>$BC101="YES"</formula>
    </cfRule>
  </conditionalFormatting>
  <conditionalFormatting sqref="T103:U104">
    <cfRule type="expression" dxfId="3200" priority="1711">
      <formula>$BC103="YES"</formula>
    </cfRule>
  </conditionalFormatting>
  <conditionalFormatting sqref="T105:U106">
    <cfRule type="expression" dxfId="3199" priority="1712">
      <formula>$BC105="YES"</formula>
    </cfRule>
  </conditionalFormatting>
  <conditionalFormatting sqref="T107:U108">
    <cfRule type="expression" dxfId="3198" priority="1713">
      <formula>$BC107="YES"</formula>
    </cfRule>
  </conditionalFormatting>
  <conditionalFormatting sqref="T109:U110">
    <cfRule type="expression" dxfId="3197" priority="1714">
      <formula>$BC109="YES"</formula>
    </cfRule>
  </conditionalFormatting>
  <conditionalFormatting sqref="T111:U112">
    <cfRule type="expression" dxfId="3196" priority="1715">
      <formula>$BC111="YES"</formula>
    </cfRule>
  </conditionalFormatting>
  <conditionalFormatting sqref="T113:U114">
    <cfRule type="expression" dxfId="3195" priority="1716">
      <formula>$BC113="YES"</formula>
    </cfRule>
  </conditionalFormatting>
  <conditionalFormatting sqref="T115:U116">
    <cfRule type="expression" dxfId="3194" priority="1717">
      <formula>$BC115="YES"</formula>
    </cfRule>
  </conditionalFormatting>
  <conditionalFormatting sqref="T117:U118">
    <cfRule type="expression" dxfId="3193" priority="1718">
      <formula>$BC117="YES"</formula>
    </cfRule>
  </conditionalFormatting>
  <conditionalFormatting sqref="T119:U120">
    <cfRule type="expression" dxfId="3192" priority="1719">
      <formula>$BC119="YES"</formula>
    </cfRule>
  </conditionalFormatting>
  <conditionalFormatting sqref="T121:U122">
    <cfRule type="expression" dxfId="3191" priority="1720">
      <formula>$BC121="YES"</formula>
    </cfRule>
  </conditionalFormatting>
  <conditionalFormatting sqref="T123:U124">
    <cfRule type="expression" dxfId="3190" priority="1721">
      <formula>$BC123="YES"</formula>
    </cfRule>
  </conditionalFormatting>
  <conditionalFormatting sqref="T125:U126">
    <cfRule type="expression" dxfId="3189" priority="1722">
      <formula>$BC125="YES"</formula>
    </cfRule>
  </conditionalFormatting>
  <conditionalFormatting sqref="T127:U128">
    <cfRule type="expression" dxfId="3188" priority="1723">
      <formula>$BC127="YES"</formula>
    </cfRule>
  </conditionalFormatting>
  <conditionalFormatting sqref="T129:U130">
    <cfRule type="expression" dxfId="3187" priority="1724">
      <formula>$BC129="YES"</formula>
    </cfRule>
  </conditionalFormatting>
  <conditionalFormatting sqref="T131:U132">
    <cfRule type="expression" dxfId="3186" priority="1725">
      <formula>$BC131="YES"</formula>
    </cfRule>
  </conditionalFormatting>
  <conditionalFormatting sqref="T133:U134">
    <cfRule type="expression" dxfId="3185" priority="1726">
      <formula>$BC133="YES"</formula>
    </cfRule>
  </conditionalFormatting>
  <conditionalFormatting sqref="T135:U136">
    <cfRule type="expression" dxfId="3184" priority="1727">
      <formula>$BC135="YES"</formula>
    </cfRule>
  </conditionalFormatting>
  <conditionalFormatting sqref="T137:U138">
    <cfRule type="expression" dxfId="3183" priority="1728">
      <formula>$BC137="YES"</formula>
    </cfRule>
  </conditionalFormatting>
  <conditionalFormatting sqref="T139:U140">
    <cfRule type="expression" dxfId="3182" priority="1729">
      <formula>$BC139="YES"</formula>
    </cfRule>
  </conditionalFormatting>
  <conditionalFormatting sqref="T141:U142">
    <cfRule type="expression" dxfId="3181" priority="1730">
      <formula>$BC141="YES"</formula>
    </cfRule>
  </conditionalFormatting>
  <conditionalFormatting sqref="T143:U144">
    <cfRule type="expression" dxfId="3180" priority="1731">
      <formula>$BC143="YES"</formula>
    </cfRule>
  </conditionalFormatting>
  <conditionalFormatting sqref="T145:U146">
    <cfRule type="expression" dxfId="3179" priority="1732">
      <formula>$BC145="YES"</formula>
    </cfRule>
  </conditionalFormatting>
  <conditionalFormatting sqref="T147:U148">
    <cfRule type="expression" dxfId="3178" priority="1733">
      <formula>$BC147="YES"</formula>
    </cfRule>
  </conditionalFormatting>
  <conditionalFormatting sqref="T149:U150">
    <cfRule type="expression" dxfId="3177" priority="1734">
      <formula>$BC149="YES"</formula>
    </cfRule>
  </conditionalFormatting>
  <conditionalFormatting sqref="T151:U152">
    <cfRule type="expression" dxfId="3176" priority="1735">
      <formula>$BC151="YES"</formula>
    </cfRule>
  </conditionalFormatting>
  <conditionalFormatting sqref="T153:U154">
    <cfRule type="expression" dxfId="3175" priority="1736">
      <formula>$BC153="YES"</formula>
    </cfRule>
  </conditionalFormatting>
  <conditionalFormatting sqref="T155:U156">
    <cfRule type="expression" dxfId="3174" priority="1737">
      <formula>$BC155="YES"</formula>
    </cfRule>
  </conditionalFormatting>
  <conditionalFormatting sqref="T157:U158">
    <cfRule type="expression" dxfId="3173" priority="1738">
      <formula>$BC157="YES"</formula>
    </cfRule>
  </conditionalFormatting>
  <conditionalFormatting sqref="T159:U160">
    <cfRule type="expression" dxfId="3172" priority="1739">
      <formula>$BC159="YES"</formula>
    </cfRule>
  </conditionalFormatting>
  <conditionalFormatting sqref="T161:U162">
    <cfRule type="expression" dxfId="3171" priority="1740">
      <formula>$BC161="YES"</formula>
    </cfRule>
  </conditionalFormatting>
  <conditionalFormatting sqref="T163:U164">
    <cfRule type="expression" dxfId="3170" priority="1741">
      <formula>$BC163="YES"</formula>
    </cfRule>
  </conditionalFormatting>
  <conditionalFormatting sqref="T165:U166">
    <cfRule type="expression" dxfId="3169" priority="1742">
      <formula>$BC165="YES"</formula>
    </cfRule>
  </conditionalFormatting>
  <conditionalFormatting sqref="T167:U168">
    <cfRule type="expression" dxfId="3168" priority="1743">
      <formula>$BC167="YES"</formula>
    </cfRule>
  </conditionalFormatting>
  <conditionalFormatting sqref="T169:U170">
    <cfRule type="expression" dxfId="3167" priority="1744">
      <formula>$BC169="YES"</formula>
    </cfRule>
  </conditionalFormatting>
  <conditionalFormatting sqref="T171:U172">
    <cfRule type="expression" dxfId="3166" priority="1745">
      <formula>$BC171="YES"</formula>
    </cfRule>
  </conditionalFormatting>
  <conditionalFormatting sqref="T173:U174">
    <cfRule type="expression" dxfId="3165" priority="1746">
      <formula>$BC173="YES"</formula>
    </cfRule>
  </conditionalFormatting>
  <conditionalFormatting sqref="T175:U176">
    <cfRule type="expression" dxfId="3164" priority="1747">
      <formula>$BC175="YES"</formula>
    </cfRule>
  </conditionalFormatting>
  <conditionalFormatting sqref="T177:U178">
    <cfRule type="expression" dxfId="3163" priority="1748">
      <formula>$BC177="YES"</formula>
    </cfRule>
  </conditionalFormatting>
  <conditionalFormatting sqref="T179:U180">
    <cfRule type="expression" dxfId="3162" priority="1749">
      <formula>$BC179="YES"</formula>
    </cfRule>
  </conditionalFormatting>
  <conditionalFormatting sqref="T181:U182">
    <cfRule type="expression" dxfId="3161" priority="1750">
      <formula>$BC181="YES"</formula>
    </cfRule>
  </conditionalFormatting>
  <conditionalFormatting sqref="T183:U184">
    <cfRule type="expression" dxfId="3160" priority="1751">
      <formula>$BC183="YES"</formula>
    </cfRule>
  </conditionalFormatting>
  <conditionalFormatting sqref="T185:U186">
    <cfRule type="expression" dxfId="3159" priority="1752">
      <formula>$BC185="YES"</formula>
    </cfRule>
  </conditionalFormatting>
  <conditionalFormatting sqref="T187:U188">
    <cfRule type="expression" dxfId="3158" priority="1753">
      <formula>$BC187="YES"</formula>
    </cfRule>
  </conditionalFormatting>
  <conditionalFormatting sqref="T189:U190">
    <cfRule type="expression" dxfId="3157" priority="1754">
      <formula>$BC189="YES"</formula>
    </cfRule>
  </conditionalFormatting>
  <conditionalFormatting sqref="T191:U192">
    <cfRule type="expression" dxfId="3156" priority="1755">
      <formula>$BC191="YES"</formula>
    </cfRule>
  </conditionalFormatting>
  <conditionalFormatting sqref="T193:U194">
    <cfRule type="expression" dxfId="3155" priority="1756">
      <formula>$BC193="YES"</formula>
    </cfRule>
  </conditionalFormatting>
  <conditionalFormatting sqref="T195:U196">
    <cfRule type="expression" dxfId="3154" priority="1757">
      <formula>$BC195="YES"</formula>
    </cfRule>
  </conditionalFormatting>
  <conditionalFormatting sqref="T197:U198">
    <cfRule type="expression" dxfId="3153" priority="1758">
      <formula>$BC197="YES"</formula>
    </cfRule>
  </conditionalFormatting>
  <conditionalFormatting sqref="T199:U200">
    <cfRule type="expression" dxfId="3152" priority="1759">
      <formula>$BC199="YES"</formula>
    </cfRule>
  </conditionalFormatting>
  <conditionalFormatting sqref="T201:U202">
    <cfRule type="expression" dxfId="3151" priority="1760">
      <formula>$BC201="YES"</formula>
    </cfRule>
  </conditionalFormatting>
  <conditionalFormatting sqref="T203:U204">
    <cfRule type="expression" dxfId="3150" priority="1761">
      <formula>$BC203="YES"</formula>
    </cfRule>
  </conditionalFormatting>
  <conditionalFormatting sqref="T205:U206">
    <cfRule type="expression" dxfId="3149" priority="1762">
      <formula>$BC205="YES"</formula>
    </cfRule>
  </conditionalFormatting>
  <conditionalFormatting sqref="T207:U208">
    <cfRule type="expression" dxfId="3148" priority="1763">
      <formula>$BC207="YES"</formula>
    </cfRule>
  </conditionalFormatting>
  <conditionalFormatting sqref="T209:U210">
    <cfRule type="expression" dxfId="3147" priority="1764">
      <formula>$BC209="YES"</formula>
    </cfRule>
  </conditionalFormatting>
  <conditionalFormatting sqref="T211:U212">
    <cfRule type="expression" dxfId="3146" priority="1765">
      <formula>$BC211="YES"</formula>
    </cfRule>
  </conditionalFormatting>
  <conditionalFormatting sqref="T213:U214">
    <cfRule type="expression" dxfId="3145" priority="1766">
      <formula>$BC213="YES"</formula>
    </cfRule>
  </conditionalFormatting>
  <conditionalFormatting sqref="T215:U216">
    <cfRule type="expression" dxfId="3144" priority="1767">
      <formula>$BC215="YES"</formula>
    </cfRule>
  </conditionalFormatting>
  <conditionalFormatting sqref="T217:U218">
    <cfRule type="expression" dxfId="3143" priority="1768">
      <formula>$BC217="YES"</formula>
    </cfRule>
  </conditionalFormatting>
  <conditionalFormatting sqref="T219:U220">
    <cfRule type="expression" dxfId="3142" priority="1769">
      <formula>$BC219="YES"</formula>
    </cfRule>
  </conditionalFormatting>
  <conditionalFormatting sqref="T221:U222">
    <cfRule type="expression" dxfId="3141" priority="1770">
      <formula>$BC221="YES"</formula>
    </cfRule>
  </conditionalFormatting>
  <conditionalFormatting sqref="T223:U224">
    <cfRule type="expression" dxfId="3140" priority="1771">
      <formula>$BC223="YES"</formula>
    </cfRule>
  </conditionalFormatting>
  <conditionalFormatting sqref="T225:U226">
    <cfRule type="expression" dxfId="3139" priority="1772">
      <formula>$BC225="YES"</formula>
    </cfRule>
  </conditionalFormatting>
  <conditionalFormatting sqref="T227:U228">
    <cfRule type="expression" dxfId="3138" priority="1773">
      <formula>$BC227="YES"</formula>
    </cfRule>
  </conditionalFormatting>
  <conditionalFormatting sqref="T229:U230">
    <cfRule type="expression" dxfId="3137" priority="1774">
      <formula>$BC229="YES"</formula>
    </cfRule>
  </conditionalFormatting>
  <conditionalFormatting sqref="T231:U232">
    <cfRule type="expression" dxfId="3136" priority="1775">
      <formula>$BC231="YES"</formula>
    </cfRule>
  </conditionalFormatting>
  <conditionalFormatting sqref="T233:U234">
    <cfRule type="expression" dxfId="3135" priority="1776">
      <formula>$BC233="YES"</formula>
    </cfRule>
  </conditionalFormatting>
  <conditionalFormatting sqref="T235:U236">
    <cfRule type="expression" dxfId="3134" priority="1777">
      <formula>$BC235="YES"</formula>
    </cfRule>
  </conditionalFormatting>
  <conditionalFormatting sqref="T237:U238">
    <cfRule type="expression" dxfId="3133" priority="1778">
      <formula>$BC237="YES"</formula>
    </cfRule>
  </conditionalFormatting>
  <conditionalFormatting sqref="T239:U240">
    <cfRule type="expression" dxfId="3132" priority="1779">
      <formula>$BC239="YES"</formula>
    </cfRule>
  </conditionalFormatting>
  <conditionalFormatting sqref="T241:U242">
    <cfRule type="expression" dxfId="3131" priority="1780">
      <formula>$BC241="YES"</formula>
    </cfRule>
  </conditionalFormatting>
  <conditionalFormatting sqref="T243:U244">
    <cfRule type="expression" dxfId="3130" priority="1781">
      <formula>$BC243="YES"</formula>
    </cfRule>
  </conditionalFormatting>
  <conditionalFormatting sqref="T245:U246">
    <cfRule type="expression" dxfId="3129" priority="1782">
      <formula>$BC245="YES"</formula>
    </cfRule>
  </conditionalFormatting>
  <conditionalFormatting sqref="T247:U248">
    <cfRule type="expression" dxfId="3128" priority="1783">
      <formula>$BC247="YES"</formula>
    </cfRule>
  </conditionalFormatting>
  <conditionalFormatting sqref="T249:U250">
    <cfRule type="expression" dxfId="3127" priority="1784">
      <formula>$BC249="YES"</formula>
    </cfRule>
  </conditionalFormatting>
  <conditionalFormatting sqref="T251:U252">
    <cfRule type="expression" dxfId="3126" priority="1785">
      <formula>$BC251="YES"</formula>
    </cfRule>
  </conditionalFormatting>
  <conditionalFormatting sqref="T253:U254">
    <cfRule type="expression" dxfId="3125" priority="1786">
      <formula>$BC253="YES"</formula>
    </cfRule>
  </conditionalFormatting>
  <conditionalFormatting sqref="T255:U256">
    <cfRule type="expression" dxfId="3124" priority="1787">
      <formula>$BC255="YES"</formula>
    </cfRule>
  </conditionalFormatting>
  <conditionalFormatting sqref="T257:U258">
    <cfRule type="expression" dxfId="3123" priority="1788">
      <formula>$BC257="YES"</formula>
    </cfRule>
  </conditionalFormatting>
  <conditionalFormatting sqref="T259:U260">
    <cfRule type="expression" dxfId="3122" priority="1789">
      <formula>$BC259="YES"</formula>
    </cfRule>
  </conditionalFormatting>
  <conditionalFormatting sqref="T261:U262">
    <cfRule type="expression" dxfId="3121" priority="1790">
      <formula>$BC261="YES"</formula>
    </cfRule>
  </conditionalFormatting>
  <conditionalFormatting sqref="T263:U264">
    <cfRule type="expression" dxfId="3120" priority="1791">
      <formula>$BC263="YES"</formula>
    </cfRule>
  </conditionalFormatting>
  <conditionalFormatting sqref="T265:U266">
    <cfRule type="expression" dxfId="3119" priority="1792">
      <formula>$BC265="YES"</formula>
    </cfRule>
  </conditionalFormatting>
  <conditionalFormatting sqref="T267:U268">
    <cfRule type="expression" dxfId="3118" priority="1793">
      <formula>$BC267="YES"</formula>
    </cfRule>
  </conditionalFormatting>
  <conditionalFormatting sqref="T269:U270">
    <cfRule type="expression" dxfId="3117" priority="1794">
      <formula>$BC269="YES"</formula>
    </cfRule>
  </conditionalFormatting>
  <conditionalFormatting sqref="T271:U272">
    <cfRule type="expression" dxfId="3116" priority="1795">
      <formula>$BC271="YES"</formula>
    </cfRule>
  </conditionalFormatting>
  <conditionalFormatting sqref="T273:U274">
    <cfRule type="expression" dxfId="3115" priority="1796">
      <formula>$BC273="YES"</formula>
    </cfRule>
  </conditionalFormatting>
  <conditionalFormatting sqref="T275:U276">
    <cfRule type="expression" dxfId="3114" priority="1797">
      <formula>$BC275="YES"</formula>
    </cfRule>
  </conditionalFormatting>
  <conditionalFormatting sqref="T277:U278">
    <cfRule type="expression" dxfId="3113" priority="1798">
      <formula>$BC277="YES"</formula>
    </cfRule>
  </conditionalFormatting>
  <conditionalFormatting sqref="T279:U280">
    <cfRule type="expression" dxfId="3112" priority="1799">
      <formula>$BC279="YES"</formula>
    </cfRule>
  </conditionalFormatting>
  <conditionalFormatting sqref="T281:U282">
    <cfRule type="expression" dxfId="3111" priority="1800">
      <formula>$BC281="YES"</formula>
    </cfRule>
  </conditionalFormatting>
  <conditionalFormatting sqref="T283:U284">
    <cfRule type="expression" dxfId="3110" priority="1801">
      <formula>$BC283="YES"</formula>
    </cfRule>
  </conditionalFormatting>
  <conditionalFormatting sqref="T285:U286">
    <cfRule type="expression" dxfId="3109" priority="1802">
      <formula>$BC285="YES"</formula>
    </cfRule>
  </conditionalFormatting>
  <conditionalFormatting sqref="T287:U288">
    <cfRule type="expression" dxfId="3108" priority="1803">
      <formula>$BC287="YES"</formula>
    </cfRule>
  </conditionalFormatting>
  <conditionalFormatting sqref="T289:U290">
    <cfRule type="expression" dxfId="3107" priority="1804">
      <formula>$BC289="YES"</formula>
    </cfRule>
  </conditionalFormatting>
  <conditionalFormatting sqref="T291:U292">
    <cfRule type="expression" dxfId="3106" priority="1805">
      <formula>$BC291="YES"</formula>
    </cfRule>
  </conditionalFormatting>
  <conditionalFormatting sqref="T293:U294">
    <cfRule type="expression" dxfId="3105" priority="1806">
      <formula>$BC293="YES"</formula>
    </cfRule>
  </conditionalFormatting>
  <conditionalFormatting sqref="T295:U296">
    <cfRule type="expression" dxfId="3104" priority="1807">
      <formula>$BC295="YES"</formula>
    </cfRule>
  </conditionalFormatting>
  <conditionalFormatting sqref="T297:U298">
    <cfRule type="expression" dxfId="3103" priority="1808">
      <formula>$BC297="YES"</formula>
    </cfRule>
  </conditionalFormatting>
  <conditionalFormatting sqref="T299:U300">
    <cfRule type="expression" dxfId="3102" priority="1809">
      <formula>$BC299="YES"</formula>
    </cfRule>
  </conditionalFormatting>
  <conditionalFormatting sqref="T301:U302">
    <cfRule type="expression" dxfId="3101" priority="1810">
      <formula>$BC301="YES"</formula>
    </cfRule>
  </conditionalFormatting>
  <conditionalFormatting sqref="T303:U304">
    <cfRule type="expression" dxfId="3100" priority="1811">
      <formula>$BC303="YES"</formula>
    </cfRule>
  </conditionalFormatting>
  <conditionalFormatting sqref="T305:U306">
    <cfRule type="expression" dxfId="3099" priority="1812">
      <formula>$BC305="YES"</formula>
    </cfRule>
  </conditionalFormatting>
  <conditionalFormatting sqref="T307:U308">
    <cfRule type="expression" dxfId="3098" priority="1813">
      <formula>$BC307="YES"</formula>
    </cfRule>
  </conditionalFormatting>
  <conditionalFormatting sqref="T309:U310">
    <cfRule type="expression" dxfId="3097" priority="1814">
      <formula>$BC309="YES"</formula>
    </cfRule>
  </conditionalFormatting>
  <conditionalFormatting sqref="T311:U312">
    <cfRule type="expression" dxfId="3096" priority="1815">
      <formula>$BC311="YES"</formula>
    </cfRule>
  </conditionalFormatting>
  <conditionalFormatting sqref="T313:U314">
    <cfRule type="expression" dxfId="3095" priority="1816">
      <formula>$BC313="YES"</formula>
    </cfRule>
  </conditionalFormatting>
  <conditionalFormatting sqref="T315:U316">
    <cfRule type="expression" dxfId="3094" priority="1817">
      <formula>$BC315="YES"</formula>
    </cfRule>
  </conditionalFormatting>
  <conditionalFormatting sqref="T317:U318">
    <cfRule type="expression" dxfId="3093" priority="1818">
      <formula>$BC317="YES"</formula>
    </cfRule>
  </conditionalFormatting>
  <conditionalFormatting sqref="T319:U320">
    <cfRule type="expression" dxfId="3092" priority="1819">
      <formula>$BC319="YES"</formula>
    </cfRule>
  </conditionalFormatting>
  <conditionalFormatting sqref="T321:U322">
    <cfRule type="expression" dxfId="3091" priority="1820">
      <formula>$BC321="YES"</formula>
    </cfRule>
  </conditionalFormatting>
  <conditionalFormatting sqref="T323:U324">
    <cfRule type="expression" dxfId="3090" priority="1821">
      <formula>$BC323="YES"</formula>
    </cfRule>
  </conditionalFormatting>
  <conditionalFormatting sqref="T325:U326">
    <cfRule type="expression" dxfId="3089" priority="1822">
      <formula>$BC325="YES"</formula>
    </cfRule>
  </conditionalFormatting>
  <conditionalFormatting sqref="T327:U328">
    <cfRule type="expression" dxfId="3088" priority="1823">
      <formula>$BC327="YES"</formula>
    </cfRule>
  </conditionalFormatting>
  <conditionalFormatting sqref="T329:U330">
    <cfRule type="expression" dxfId="3087" priority="1824">
      <formula>$BC329="YES"</formula>
    </cfRule>
  </conditionalFormatting>
  <conditionalFormatting sqref="T331:U332">
    <cfRule type="expression" dxfId="3086" priority="1825">
      <formula>$BC331="YES"</formula>
    </cfRule>
  </conditionalFormatting>
  <conditionalFormatting sqref="T333:U334">
    <cfRule type="expression" dxfId="3085" priority="1826">
      <formula>$BC333="YES"</formula>
    </cfRule>
  </conditionalFormatting>
  <conditionalFormatting sqref="T335:U336">
    <cfRule type="expression" dxfId="3084" priority="1827">
      <formula>$BC335="YES"</formula>
    </cfRule>
  </conditionalFormatting>
  <conditionalFormatting sqref="T337:U338">
    <cfRule type="expression" dxfId="3083" priority="1828">
      <formula>$BC337="YES"</formula>
    </cfRule>
  </conditionalFormatting>
  <conditionalFormatting sqref="T339:U340">
    <cfRule type="expression" dxfId="3082" priority="1829">
      <formula>$BC339="YES"</formula>
    </cfRule>
  </conditionalFormatting>
  <conditionalFormatting sqref="T341:U342">
    <cfRule type="expression" dxfId="3081" priority="1830">
      <formula>$BC341="YES"</formula>
    </cfRule>
  </conditionalFormatting>
  <conditionalFormatting sqref="T343:U344">
    <cfRule type="expression" dxfId="3080" priority="1831">
      <formula>$BC343="YES"</formula>
    </cfRule>
  </conditionalFormatting>
  <conditionalFormatting sqref="T345:U346">
    <cfRule type="expression" dxfId="3079" priority="1832">
      <formula>$BC345="YES"</formula>
    </cfRule>
  </conditionalFormatting>
  <conditionalFormatting sqref="T347:U348">
    <cfRule type="expression" dxfId="3078" priority="1833">
      <formula>$BC347="YES"</formula>
    </cfRule>
  </conditionalFormatting>
  <conditionalFormatting sqref="T349:U350">
    <cfRule type="expression" dxfId="3077" priority="1834">
      <formula>$BC349="YES"</formula>
    </cfRule>
  </conditionalFormatting>
  <conditionalFormatting sqref="T351:U352">
    <cfRule type="expression" dxfId="3076" priority="1835">
      <formula>$BC351="YES"</formula>
    </cfRule>
  </conditionalFormatting>
  <conditionalFormatting sqref="T353:U354">
    <cfRule type="expression" dxfId="3075" priority="1836">
      <formula>$BC353="YES"</formula>
    </cfRule>
  </conditionalFormatting>
  <conditionalFormatting sqref="T355:U356">
    <cfRule type="expression" dxfId="3074" priority="1837">
      <formula>$BC355="YES"</formula>
    </cfRule>
  </conditionalFormatting>
  <conditionalFormatting sqref="T357:U358">
    <cfRule type="expression" dxfId="3073" priority="1838">
      <formula>$BC357="YES"</formula>
    </cfRule>
  </conditionalFormatting>
  <conditionalFormatting sqref="T359:U360">
    <cfRule type="expression" dxfId="3072" priority="1839">
      <formula>$BC359="YES"</formula>
    </cfRule>
  </conditionalFormatting>
  <conditionalFormatting sqref="T361:U362">
    <cfRule type="expression" dxfId="3071" priority="1840">
      <formula>$BC361="YES"</formula>
    </cfRule>
  </conditionalFormatting>
  <conditionalFormatting sqref="T363:U364">
    <cfRule type="expression" dxfId="3070" priority="1841">
      <formula>$BC363="YES"</formula>
    </cfRule>
  </conditionalFormatting>
  <conditionalFormatting sqref="T365:U366">
    <cfRule type="expression" dxfId="3069" priority="1842">
      <formula>$BC365="YES"</formula>
    </cfRule>
  </conditionalFormatting>
  <conditionalFormatting sqref="T367:U368">
    <cfRule type="expression" dxfId="3068" priority="1843">
      <formula>$BC367="YES"</formula>
    </cfRule>
  </conditionalFormatting>
  <conditionalFormatting sqref="T369:U370">
    <cfRule type="expression" dxfId="3067" priority="1844">
      <formula>$BC369="YES"</formula>
    </cfRule>
  </conditionalFormatting>
  <conditionalFormatting sqref="T371:U372">
    <cfRule type="expression" dxfId="3066" priority="1845">
      <formula>$BC371="YES"</formula>
    </cfRule>
  </conditionalFormatting>
  <conditionalFormatting sqref="T373:U374">
    <cfRule type="expression" dxfId="3065" priority="1846">
      <formula>$BC373="YES"</formula>
    </cfRule>
  </conditionalFormatting>
  <conditionalFormatting sqref="T375:U376">
    <cfRule type="expression" dxfId="3064" priority="1847">
      <formula>$BC375="YES"</formula>
    </cfRule>
  </conditionalFormatting>
  <conditionalFormatting sqref="T377:U378">
    <cfRule type="expression" dxfId="3063" priority="1848">
      <formula>$BC377="YES"</formula>
    </cfRule>
  </conditionalFormatting>
  <conditionalFormatting sqref="T379:U380">
    <cfRule type="expression" dxfId="3062" priority="1849">
      <formula>$BC379="YES"</formula>
    </cfRule>
  </conditionalFormatting>
  <conditionalFormatting sqref="T381:U382">
    <cfRule type="expression" dxfId="3061" priority="1850">
      <formula>$BC381="YES"</formula>
    </cfRule>
  </conditionalFormatting>
  <conditionalFormatting sqref="T383:U384">
    <cfRule type="expression" dxfId="3060" priority="1851">
      <formula>$BC383="YES"</formula>
    </cfRule>
  </conditionalFormatting>
  <conditionalFormatting sqref="T385:U386">
    <cfRule type="expression" dxfId="3059" priority="1852">
      <formula>$BC385="YES"</formula>
    </cfRule>
  </conditionalFormatting>
  <conditionalFormatting sqref="T387:U388">
    <cfRule type="expression" dxfId="3058" priority="1853">
      <formula>$BC387="YES"</formula>
    </cfRule>
  </conditionalFormatting>
  <conditionalFormatting sqref="T389:U390">
    <cfRule type="expression" dxfId="3057" priority="1854">
      <formula>$BC389="YES"</formula>
    </cfRule>
  </conditionalFormatting>
  <conditionalFormatting sqref="T391:U392">
    <cfRule type="expression" dxfId="3056" priority="1855">
      <formula>$BC391="YES"</formula>
    </cfRule>
  </conditionalFormatting>
  <conditionalFormatting sqref="T393:U394">
    <cfRule type="expression" dxfId="3055" priority="1856">
      <formula>$BC393="YES"</formula>
    </cfRule>
  </conditionalFormatting>
  <conditionalFormatting sqref="T395:U396">
    <cfRule type="expression" dxfId="3054" priority="1857">
      <formula>$BC395="YES"</formula>
    </cfRule>
  </conditionalFormatting>
  <conditionalFormatting sqref="T397:U398">
    <cfRule type="expression" dxfId="3053" priority="1858">
      <formula>$BC397="YES"</formula>
    </cfRule>
  </conditionalFormatting>
  <conditionalFormatting sqref="T399:U400">
    <cfRule type="expression" dxfId="3052" priority="1859">
      <formula>$BC399="YES"</formula>
    </cfRule>
  </conditionalFormatting>
  <conditionalFormatting sqref="T401:U402">
    <cfRule type="expression" dxfId="3051" priority="1860">
      <formula>$BC401="YES"</formula>
    </cfRule>
  </conditionalFormatting>
  <conditionalFormatting sqref="T403:U404">
    <cfRule type="expression" dxfId="3050" priority="1861">
      <formula>$BC403="YES"</formula>
    </cfRule>
  </conditionalFormatting>
  <conditionalFormatting sqref="T405:U406">
    <cfRule type="expression" dxfId="3049" priority="1862">
      <formula>$BC405="YES"</formula>
    </cfRule>
  </conditionalFormatting>
  <conditionalFormatting sqref="T407:U408">
    <cfRule type="expression" dxfId="3048" priority="1863">
      <formula>$BC407="YES"</formula>
    </cfRule>
  </conditionalFormatting>
  <conditionalFormatting sqref="T409:U410">
    <cfRule type="expression" dxfId="3047" priority="1864">
      <formula>$BC409="YES"</formula>
    </cfRule>
  </conditionalFormatting>
  <conditionalFormatting sqref="T411:U412">
    <cfRule type="expression" dxfId="3046" priority="1865">
      <formula>$BC411="YES"</formula>
    </cfRule>
  </conditionalFormatting>
  <conditionalFormatting sqref="T413:U414">
    <cfRule type="expression" dxfId="3045" priority="1866">
      <formula>$BC413="YES"</formula>
    </cfRule>
  </conditionalFormatting>
  <conditionalFormatting sqref="T415:U416">
    <cfRule type="expression" dxfId="3044" priority="1867">
      <formula>$BC415="YES"</formula>
    </cfRule>
  </conditionalFormatting>
  <conditionalFormatting sqref="T417:U418">
    <cfRule type="expression" dxfId="3043" priority="1868">
      <formula>$BC417="YES"</formula>
    </cfRule>
  </conditionalFormatting>
  <conditionalFormatting sqref="T419:U420">
    <cfRule type="expression" dxfId="3042" priority="1869">
      <formula>$BC419="YES"</formula>
    </cfRule>
  </conditionalFormatting>
  <conditionalFormatting sqref="T421:U422">
    <cfRule type="expression" dxfId="3041" priority="1870">
      <formula>$BC421="YES"</formula>
    </cfRule>
  </conditionalFormatting>
  <conditionalFormatting sqref="T423:U424">
    <cfRule type="expression" dxfId="3040" priority="1871">
      <formula>$BC423="YES"</formula>
    </cfRule>
  </conditionalFormatting>
  <conditionalFormatting sqref="T425:U426">
    <cfRule type="expression" dxfId="3039" priority="1872">
      <formula>$BC425="YES"</formula>
    </cfRule>
  </conditionalFormatting>
  <conditionalFormatting sqref="T427:U428">
    <cfRule type="expression" dxfId="3038" priority="1873">
      <formula>$BC427="YES"</formula>
    </cfRule>
  </conditionalFormatting>
  <conditionalFormatting sqref="T429:U430">
    <cfRule type="expression" dxfId="3037" priority="1874">
      <formula>$BC429="YES"</formula>
    </cfRule>
  </conditionalFormatting>
  <conditionalFormatting sqref="T431:U432">
    <cfRule type="expression" dxfId="3036" priority="1875">
      <formula>$BC431="YES"</formula>
    </cfRule>
  </conditionalFormatting>
  <conditionalFormatting sqref="T433:U434">
    <cfRule type="expression" dxfId="3035" priority="1876">
      <formula>$BC433="YES"</formula>
    </cfRule>
  </conditionalFormatting>
  <conditionalFormatting sqref="T435:U436">
    <cfRule type="expression" dxfId="3034" priority="1877">
      <formula>$BC435="YES"</formula>
    </cfRule>
  </conditionalFormatting>
  <conditionalFormatting sqref="T437:U438">
    <cfRule type="expression" dxfId="3033" priority="1878">
      <formula>$BC437="YES"</formula>
    </cfRule>
  </conditionalFormatting>
  <conditionalFormatting sqref="T439:U440">
    <cfRule type="expression" dxfId="3032" priority="1879">
      <formula>$BC439="YES"</formula>
    </cfRule>
  </conditionalFormatting>
  <conditionalFormatting sqref="T441:U442">
    <cfRule type="expression" dxfId="3031" priority="1880">
      <formula>$BC441="YES"</formula>
    </cfRule>
  </conditionalFormatting>
  <conditionalFormatting sqref="T443:U444">
    <cfRule type="expression" dxfId="3030" priority="1881">
      <formula>$BC443="YES"</formula>
    </cfRule>
  </conditionalFormatting>
  <conditionalFormatting sqref="T445:U446">
    <cfRule type="expression" dxfId="3029" priority="1882">
      <formula>$BC445="YES"</formula>
    </cfRule>
  </conditionalFormatting>
  <conditionalFormatting sqref="T447:U448">
    <cfRule type="expression" dxfId="3028" priority="1883">
      <formula>$BC447="YES"</formula>
    </cfRule>
  </conditionalFormatting>
  <conditionalFormatting sqref="T449:U450">
    <cfRule type="expression" dxfId="3027" priority="1884">
      <formula>$BC449="YES"</formula>
    </cfRule>
  </conditionalFormatting>
  <conditionalFormatting sqref="T451:U452">
    <cfRule type="expression" dxfId="3026" priority="1885">
      <formula>$BC451="YES"</formula>
    </cfRule>
  </conditionalFormatting>
  <conditionalFormatting sqref="T453:U454">
    <cfRule type="expression" dxfId="3025" priority="1886">
      <formula>$BC453="YES"</formula>
    </cfRule>
  </conditionalFormatting>
  <conditionalFormatting sqref="T455:U456">
    <cfRule type="expression" dxfId="3024" priority="1887">
      <formula>$BC455="YES"</formula>
    </cfRule>
  </conditionalFormatting>
  <conditionalFormatting sqref="T457:U458">
    <cfRule type="expression" dxfId="3023" priority="1888">
      <formula>$BC457="YES"</formula>
    </cfRule>
  </conditionalFormatting>
  <conditionalFormatting sqref="T459:U460">
    <cfRule type="expression" dxfId="3022" priority="1889">
      <formula>$BC459="YES"</formula>
    </cfRule>
  </conditionalFormatting>
  <conditionalFormatting sqref="T461:U462">
    <cfRule type="expression" dxfId="3021" priority="1890">
      <formula>$BC461="YES"</formula>
    </cfRule>
  </conditionalFormatting>
  <conditionalFormatting sqref="T463:U464">
    <cfRule type="expression" dxfId="3020" priority="1891">
      <formula>$BC463="YES"</formula>
    </cfRule>
  </conditionalFormatting>
  <conditionalFormatting sqref="T465:U466">
    <cfRule type="expression" dxfId="3019" priority="1892">
      <formula>$BC465="YES"</formula>
    </cfRule>
  </conditionalFormatting>
  <conditionalFormatting sqref="T467:U468">
    <cfRule type="expression" dxfId="3018" priority="1893">
      <formula>$BC467="YES"</formula>
    </cfRule>
  </conditionalFormatting>
  <conditionalFormatting sqref="T469:U470">
    <cfRule type="expression" dxfId="3017" priority="1894">
      <formula>$BC469="YES"</formula>
    </cfRule>
  </conditionalFormatting>
  <conditionalFormatting sqref="T471:U472">
    <cfRule type="expression" dxfId="3016" priority="1895">
      <formula>$BC471="YES"</formula>
    </cfRule>
  </conditionalFormatting>
  <conditionalFormatting sqref="T473:U474">
    <cfRule type="expression" dxfId="3015" priority="1896">
      <formula>$BC473="YES"</formula>
    </cfRule>
  </conditionalFormatting>
  <conditionalFormatting sqref="T475:U476">
    <cfRule type="expression" dxfId="3014" priority="1897">
      <formula>$BC475="YES"</formula>
    </cfRule>
  </conditionalFormatting>
  <conditionalFormatting sqref="T477:U478">
    <cfRule type="expression" dxfId="3013" priority="1898">
      <formula>$BC477="YES"</formula>
    </cfRule>
  </conditionalFormatting>
  <conditionalFormatting sqref="T479:U480">
    <cfRule type="expression" dxfId="3012" priority="1899">
      <formula>$BC479="YES"</formula>
    </cfRule>
  </conditionalFormatting>
  <conditionalFormatting sqref="T481:U482">
    <cfRule type="expression" dxfId="3011" priority="1900">
      <formula>$BC481="YES"</formula>
    </cfRule>
  </conditionalFormatting>
  <conditionalFormatting sqref="T483:U484">
    <cfRule type="expression" dxfId="3010" priority="1901">
      <formula>$BC483="YES"</formula>
    </cfRule>
  </conditionalFormatting>
  <conditionalFormatting sqref="T485:U486">
    <cfRule type="expression" dxfId="3009" priority="1902">
      <formula>$BC485="YES"</formula>
    </cfRule>
  </conditionalFormatting>
  <conditionalFormatting sqref="T487:U488">
    <cfRule type="expression" dxfId="3008" priority="1903">
      <formula>$BC487="YES"</formula>
    </cfRule>
  </conditionalFormatting>
  <conditionalFormatting sqref="T489:U490">
    <cfRule type="expression" dxfId="3007" priority="1904">
      <formula>$BC489="YES"</formula>
    </cfRule>
  </conditionalFormatting>
  <conditionalFormatting sqref="T491:U492">
    <cfRule type="expression" dxfId="3006" priority="1905">
      <formula>$BC491="YES"</formula>
    </cfRule>
  </conditionalFormatting>
  <conditionalFormatting sqref="T493:U494">
    <cfRule type="expression" dxfId="3005" priority="1906">
      <formula>$BC493="YES"</formula>
    </cfRule>
  </conditionalFormatting>
  <conditionalFormatting sqref="T495:U496">
    <cfRule type="expression" dxfId="3004" priority="1907">
      <formula>$BC495="YES"</formula>
    </cfRule>
  </conditionalFormatting>
  <conditionalFormatting sqref="T497:U498">
    <cfRule type="expression" dxfId="3003" priority="1908">
      <formula>$BC497="YES"</formula>
    </cfRule>
  </conditionalFormatting>
  <conditionalFormatting sqref="T499:U500">
    <cfRule type="expression" dxfId="3002" priority="1909">
      <formula>$BC499="YES"</formula>
    </cfRule>
  </conditionalFormatting>
  <conditionalFormatting sqref="T501:U502">
    <cfRule type="expression" dxfId="3001" priority="1910">
      <formula>$BC501="YES"</formula>
    </cfRule>
  </conditionalFormatting>
  <conditionalFormatting sqref="T503:U504">
    <cfRule type="expression" dxfId="3000" priority="1911">
      <formula>$BC503="YES"</formula>
    </cfRule>
  </conditionalFormatting>
  <conditionalFormatting sqref="T505:U506">
    <cfRule type="expression" dxfId="2999" priority="1912">
      <formula>$BC505="YES"</formula>
    </cfRule>
  </conditionalFormatting>
  <conditionalFormatting sqref="T507:U508">
    <cfRule type="expression" dxfId="2998" priority="1913">
      <formula>$BC507="YES"</formula>
    </cfRule>
  </conditionalFormatting>
  <conditionalFormatting sqref="T509:U510">
    <cfRule type="expression" dxfId="2997" priority="1914">
      <formula>$BC509="YES"</formula>
    </cfRule>
  </conditionalFormatting>
  <conditionalFormatting sqref="T511:U512">
    <cfRule type="expression" dxfId="2996" priority="1915">
      <formula>$BC511="YES"</formula>
    </cfRule>
  </conditionalFormatting>
  <conditionalFormatting sqref="T513:U514">
    <cfRule type="expression" dxfId="2995" priority="1916">
      <formula>$BC513="YES"</formula>
    </cfRule>
  </conditionalFormatting>
  <conditionalFormatting sqref="T515:U516">
    <cfRule type="expression" dxfId="2994" priority="1917">
      <formula>$BC515="YES"</formula>
    </cfRule>
  </conditionalFormatting>
  <conditionalFormatting sqref="T517:U518">
    <cfRule type="expression" dxfId="2993" priority="1918">
      <formula>$BC517="YES"</formula>
    </cfRule>
  </conditionalFormatting>
  <conditionalFormatting sqref="T519:U520">
    <cfRule type="expression" dxfId="2992" priority="1919">
      <formula>$BC519="YES"</formula>
    </cfRule>
  </conditionalFormatting>
  <conditionalFormatting sqref="T521:U522">
    <cfRule type="expression" dxfId="2991" priority="1920">
      <formula>$BC521="YES"</formula>
    </cfRule>
  </conditionalFormatting>
  <conditionalFormatting sqref="T523:U524">
    <cfRule type="expression" dxfId="2990" priority="1921">
      <formula>$BC523="YES"</formula>
    </cfRule>
  </conditionalFormatting>
  <conditionalFormatting sqref="T525:U526">
    <cfRule type="expression" dxfId="2989" priority="1922">
      <formula>$BC525="YES"</formula>
    </cfRule>
  </conditionalFormatting>
  <conditionalFormatting sqref="T527:U528">
    <cfRule type="expression" dxfId="2988" priority="1923">
      <formula>$BC527="YES"</formula>
    </cfRule>
  </conditionalFormatting>
  <conditionalFormatting sqref="T529:U530">
    <cfRule type="expression" dxfId="2987" priority="1924">
      <formula>$BC529="YES"</formula>
    </cfRule>
  </conditionalFormatting>
  <conditionalFormatting sqref="T531:U532">
    <cfRule type="expression" dxfId="2986" priority="1925">
      <formula>$BC531="YES"</formula>
    </cfRule>
  </conditionalFormatting>
  <conditionalFormatting sqref="T533:U534">
    <cfRule type="expression" dxfId="2985" priority="1926">
      <formula>$BC533="YES"</formula>
    </cfRule>
  </conditionalFormatting>
  <conditionalFormatting sqref="V25:W26">
    <cfRule type="expression" dxfId="2984" priority="1927">
      <formula>$BC25="YES"</formula>
    </cfRule>
  </conditionalFormatting>
  <conditionalFormatting sqref="V27:W28">
    <cfRule type="expression" dxfId="2983" priority="1928">
      <formula>$BC27="YES"</formula>
    </cfRule>
  </conditionalFormatting>
  <conditionalFormatting sqref="V29:W30">
    <cfRule type="expression" dxfId="2982" priority="1929">
      <formula>$BC29="YES"</formula>
    </cfRule>
  </conditionalFormatting>
  <conditionalFormatting sqref="V31:W32">
    <cfRule type="expression" dxfId="2981" priority="1930">
      <formula>$BC31="YES"</formula>
    </cfRule>
  </conditionalFormatting>
  <conditionalFormatting sqref="V33:W34">
    <cfRule type="expression" dxfId="2980" priority="1931">
      <formula>$BC33="YES"</formula>
    </cfRule>
  </conditionalFormatting>
  <conditionalFormatting sqref="V35:W36">
    <cfRule type="expression" dxfId="2979" priority="1932">
      <formula>$BC35="YES"</formula>
    </cfRule>
  </conditionalFormatting>
  <conditionalFormatting sqref="V37:W38">
    <cfRule type="expression" dxfId="2978" priority="1933">
      <formula>$BC37="YES"</formula>
    </cfRule>
  </conditionalFormatting>
  <conditionalFormatting sqref="V39:W40">
    <cfRule type="expression" dxfId="2977" priority="1934">
      <formula>$BC39="YES"</formula>
    </cfRule>
  </conditionalFormatting>
  <conditionalFormatting sqref="V41:W42">
    <cfRule type="expression" dxfId="2976" priority="1935">
      <formula>$BC41="YES"</formula>
    </cfRule>
  </conditionalFormatting>
  <conditionalFormatting sqref="V43:W44">
    <cfRule type="expression" dxfId="2975" priority="1936">
      <formula>$BC43="YES"</formula>
    </cfRule>
  </conditionalFormatting>
  <conditionalFormatting sqref="V45:W46">
    <cfRule type="expression" dxfId="2974" priority="1937">
      <formula>$BC45="YES"</formula>
    </cfRule>
  </conditionalFormatting>
  <conditionalFormatting sqref="V47:W48">
    <cfRule type="expression" dxfId="2973" priority="1938">
      <formula>$BC47="YES"</formula>
    </cfRule>
  </conditionalFormatting>
  <conditionalFormatting sqref="V49:W50">
    <cfRule type="expression" dxfId="2972" priority="1939">
      <formula>$BC49="YES"</formula>
    </cfRule>
  </conditionalFormatting>
  <conditionalFormatting sqref="V51:W52">
    <cfRule type="expression" dxfId="2971" priority="1940">
      <formula>$BC51="YES"</formula>
    </cfRule>
  </conditionalFormatting>
  <conditionalFormatting sqref="V53:W54">
    <cfRule type="expression" dxfId="2970" priority="1941">
      <formula>$BC53="YES"</formula>
    </cfRule>
  </conditionalFormatting>
  <conditionalFormatting sqref="V55:W56">
    <cfRule type="expression" dxfId="2969" priority="1942">
      <formula>$BC55="YES"</formula>
    </cfRule>
  </conditionalFormatting>
  <conditionalFormatting sqref="V57:W58">
    <cfRule type="expression" dxfId="2968" priority="1943">
      <formula>$BC57="YES"</formula>
    </cfRule>
  </conditionalFormatting>
  <conditionalFormatting sqref="V59:W60">
    <cfRule type="expression" dxfId="2967" priority="1944">
      <formula>$BC59="YES"</formula>
    </cfRule>
  </conditionalFormatting>
  <conditionalFormatting sqref="V61:W62">
    <cfRule type="expression" dxfId="2966" priority="1945">
      <formula>$BC61="YES"</formula>
    </cfRule>
  </conditionalFormatting>
  <conditionalFormatting sqref="V63:W64">
    <cfRule type="expression" dxfId="2965" priority="1946">
      <formula>$BC63="YES"</formula>
    </cfRule>
  </conditionalFormatting>
  <conditionalFormatting sqref="V65:W66">
    <cfRule type="expression" dxfId="2964" priority="1947">
      <formula>$BC65="YES"</formula>
    </cfRule>
  </conditionalFormatting>
  <conditionalFormatting sqref="V67:W68">
    <cfRule type="expression" dxfId="2963" priority="1948">
      <formula>$BC67="YES"</formula>
    </cfRule>
  </conditionalFormatting>
  <conditionalFormatting sqref="V69:W70">
    <cfRule type="expression" dxfId="2962" priority="1949">
      <formula>$BC69="YES"</formula>
    </cfRule>
  </conditionalFormatting>
  <conditionalFormatting sqref="V71:W72">
    <cfRule type="expression" dxfId="2961" priority="1950">
      <formula>$BC71="YES"</formula>
    </cfRule>
  </conditionalFormatting>
  <conditionalFormatting sqref="V73:W74">
    <cfRule type="expression" dxfId="2960" priority="1951">
      <formula>$BC73="YES"</formula>
    </cfRule>
  </conditionalFormatting>
  <conditionalFormatting sqref="V75:W76">
    <cfRule type="expression" dxfId="2959" priority="1952">
      <formula>$BC75="YES"</formula>
    </cfRule>
  </conditionalFormatting>
  <conditionalFormatting sqref="V77:W78">
    <cfRule type="expression" dxfId="2958" priority="1953">
      <formula>$BC77="YES"</formula>
    </cfRule>
  </conditionalFormatting>
  <conditionalFormatting sqref="V79:W80">
    <cfRule type="expression" dxfId="2957" priority="1954">
      <formula>$BC79="YES"</formula>
    </cfRule>
  </conditionalFormatting>
  <conditionalFormatting sqref="V81:W82">
    <cfRule type="expression" dxfId="2956" priority="1955">
      <formula>$BC81="YES"</formula>
    </cfRule>
  </conditionalFormatting>
  <conditionalFormatting sqref="V83:W84">
    <cfRule type="expression" dxfId="2955" priority="1956">
      <formula>$BC83="YES"</formula>
    </cfRule>
  </conditionalFormatting>
  <conditionalFormatting sqref="V85:W86">
    <cfRule type="expression" dxfId="2954" priority="1957">
      <formula>$BC85="YES"</formula>
    </cfRule>
  </conditionalFormatting>
  <conditionalFormatting sqref="V87:W88">
    <cfRule type="expression" dxfId="2953" priority="1958">
      <formula>$BC87="YES"</formula>
    </cfRule>
  </conditionalFormatting>
  <conditionalFormatting sqref="V89:W90">
    <cfRule type="expression" dxfId="2952" priority="1959">
      <formula>$BC89="YES"</formula>
    </cfRule>
  </conditionalFormatting>
  <conditionalFormatting sqref="V91:W92">
    <cfRule type="expression" dxfId="2951" priority="1960">
      <formula>$BC91="YES"</formula>
    </cfRule>
  </conditionalFormatting>
  <conditionalFormatting sqref="V93:W94">
    <cfRule type="expression" dxfId="2950" priority="1961">
      <formula>$BC93="YES"</formula>
    </cfRule>
  </conditionalFormatting>
  <conditionalFormatting sqref="V95:W96">
    <cfRule type="expression" dxfId="2949" priority="1962">
      <formula>$BC95="YES"</formula>
    </cfRule>
  </conditionalFormatting>
  <conditionalFormatting sqref="V97:W98">
    <cfRule type="expression" dxfId="2948" priority="1963">
      <formula>$BC97="YES"</formula>
    </cfRule>
  </conditionalFormatting>
  <conditionalFormatting sqref="V99:W100">
    <cfRule type="expression" dxfId="2947" priority="1964">
      <formula>$BC99="YES"</formula>
    </cfRule>
  </conditionalFormatting>
  <conditionalFormatting sqref="V101:W102">
    <cfRule type="expression" dxfId="2946" priority="1965">
      <formula>$BC101="YES"</formula>
    </cfRule>
  </conditionalFormatting>
  <conditionalFormatting sqref="V103:W104">
    <cfRule type="expression" dxfId="2945" priority="1966">
      <formula>$BC103="YES"</formula>
    </cfRule>
  </conditionalFormatting>
  <conditionalFormatting sqref="V105:W106">
    <cfRule type="expression" dxfId="2944" priority="1967">
      <formula>$BC105="YES"</formula>
    </cfRule>
  </conditionalFormatting>
  <conditionalFormatting sqref="V107:W108">
    <cfRule type="expression" dxfId="2943" priority="1968">
      <formula>$BC107="YES"</formula>
    </cfRule>
  </conditionalFormatting>
  <conditionalFormatting sqref="V109:W110">
    <cfRule type="expression" dxfId="2942" priority="1969">
      <formula>$BC109="YES"</formula>
    </cfRule>
  </conditionalFormatting>
  <conditionalFormatting sqref="V111:W112">
    <cfRule type="expression" dxfId="2941" priority="1970">
      <formula>$BC111="YES"</formula>
    </cfRule>
  </conditionalFormatting>
  <conditionalFormatting sqref="V113:W114">
    <cfRule type="expression" dxfId="2940" priority="1971">
      <formula>$BC113="YES"</formula>
    </cfRule>
  </conditionalFormatting>
  <conditionalFormatting sqref="V115:W116">
    <cfRule type="expression" dxfId="2939" priority="1972">
      <formula>$BC115="YES"</formula>
    </cfRule>
  </conditionalFormatting>
  <conditionalFormatting sqref="V117:W118">
    <cfRule type="expression" dxfId="2938" priority="1973">
      <formula>$BC117="YES"</formula>
    </cfRule>
  </conditionalFormatting>
  <conditionalFormatting sqref="V119:W120">
    <cfRule type="expression" dxfId="2937" priority="1974">
      <formula>$BC119="YES"</formula>
    </cfRule>
  </conditionalFormatting>
  <conditionalFormatting sqref="V121:W122">
    <cfRule type="expression" dxfId="2936" priority="1975">
      <formula>$BC121="YES"</formula>
    </cfRule>
  </conditionalFormatting>
  <conditionalFormatting sqref="V123:W124">
    <cfRule type="expression" dxfId="2935" priority="1976">
      <formula>$BC123="YES"</formula>
    </cfRule>
  </conditionalFormatting>
  <conditionalFormatting sqref="V125:W126">
    <cfRule type="expression" dxfId="2934" priority="1977">
      <formula>$BC125="YES"</formula>
    </cfRule>
  </conditionalFormatting>
  <conditionalFormatting sqref="V127:W128">
    <cfRule type="expression" dxfId="2933" priority="1978">
      <formula>$BC127="YES"</formula>
    </cfRule>
  </conditionalFormatting>
  <conditionalFormatting sqref="V129:W130">
    <cfRule type="expression" dxfId="2932" priority="1979">
      <formula>$BC129="YES"</formula>
    </cfRule>
  </conditionalFormatting>
  <conditionalFormatting sqref="V131:W132">
    <cfRule type="expression" dxfId="2931" priority="1980">
      <formula>$BC131="YES"</formula>
    </cfRule>
  </conditionalFormatting>
  <conditionalFormatting sqref="V133:W134">
    <cfRule type="expression" dxfId="2930" priority="1981">
      <formula>$BC133="YES"</formula>
    </cfRule>
  </conditionalFormatting>
  <conditionalFormatting sqref="V135:W136">
    <cfRule type="expression" dxfId="2929" priority="1982">
      <formula>$BC135="YES"</formula>
    </cfRule>
  </conditionalFormatting>
  <conditionalFormatting sqref="V137:W138">
    <cfRule type="expression" dxfId="2928" priority="1983">
      <formula>$BC137="YES"</formula>
    </cfRule>
  </conditionalFormatting>
  <conditionalFormatting sqref="V139:W140">
    <cfRule type="expression" dxfId="2927" priority="1984">
      <formula>$BC139="YES"</formula>
    </cfRule>
  </conditionalFormatting>
  <conditionalFormatting sqref="V141:W142">
    <cfRule type="expression" dxfId="2926" priority="1985">
      <formula>$BC141="YES"</formula>
    </cfRule>
  </conditionalFormatting>
  <conditionalFormatting sqref="V143:W144">
    <cfRule type="expression" dxfId="2925" priority="1986">
      <formula>$BC143="YES"</formula>
    </cfRule>
  </conditionalFormatting>
  <conditionalFormatting sqref="V145:W146">
    <cfRule type="expression" dxfId="2924" priority="1987">
      <formula>$BC145="YES"</formula>
    </cfRule>
  </conditionalFormatting>
  <conditionalFormatting sqref="V147:W148">
    <cfRule type="expression" dxfId="2923" priority="1988">
      <formula>$BC147="YES"</formula>
    </cfRule>
  </conditionalFormatting>
  <conditionalFormatting sqref="V149:W150">
    <cfRule type="expression" dxfId="2922" priority="1989">
      <formula>$BC149="YES"</formula>
    </cfRule>
  </conditionalFormatting>
  <conditionalFormatting sqref="V151:W152">
    <cfRule type="expression" dxfId="2921" priority="1990">
      <formula>$BC151="YES"</formula>
    </cfRule>
  </conditionalFormatting>
  <conditionalFormatting sqref="V153:W154">
    <cfRule type="expression" dxfId="2920" priority="1991">
      <formula>$BC153="YES"</formula>
    </cfRule>
  </conditionalFormatting>
  <conditionalFormatting sqref="V155:W156">
    <cfRule type="expression" dxfId="2919" priority="1992">
      <formula>$BC155="YES"</formula>
    </cfRule>
  </conditionalFormatting>
  <conditionalFormatting sqref="V157:W158">
    <cfRule type="expression" dxfId="2918" priority="1993">
      <formula>$BC157="YES"</formula>
    </cfRule>
  </conditionalFormatting>
  <conditionalFormatting sqref="V159:W160">
    <cfRule type="expression" dxfId="2917" priority="1994">
      <formula>$BC159="YES"</formula>
    </cfRule>
  </conditionalFormatting>
  <conditionalFormatting sqref="V161:W162">
    <cfRule type="expression" dxfId="2916" priority="1995">
      <formula>$BC161="YES"</formula>
    </cfRule>
  </conditionalFormatting>
  <conditionalFormatting sqref="V163:W164">
    <cfRule type="expression" dxfId="2915" priority="1996">
      <formula>$BC163="YES"</formula>
    </cfRule>
  </conditionalFormatting>
  <conditionalFormatting sqref="V165:W166">
    <cfRule type="expression" dxfId="2914" priority="1997">
      <formula>$BC165="YES"</formula>
    </cfRule>
  </conditionalFormatting>
  <conditionalFormatting sqref="V167:W168">
    <cfRule type="expression" dxfId="2913" priority="1998">
      <formula>$BC167="YES"</formula>
    </cfRule>
  </conditionalFormatting>
  <conditionalFormatting sqref="V169:W170">
    <cfRule type="expression" dxfId="2912" priority="1999">
      <formula>$BC169="YES"</formula>
    </cfRule>
  </conditionalFormatting>
  <conditionalFormatting sqref="V171:W172">
    <cfRule type="expression" dxfId="2911" priority="2000">
      <formula>$BC171="YES"</formula>
    </cfRule>
  </conditionalFormatting>
  <conditionalFormatting sqref="V173:W174">
    <cfRule type="expression" dxfId="2910" priority="2001">
      <formula>$BC173="YES"</formula>
    </cfRule>
  </conditionalFormatting>
  <conditionalFormatting sqref="V175:W176">
    <cfRule type="expression" dxfId="2909" priority="2002">
      <formula>$BC175="YES"</formula>
    </cfRule>
  </conditionalFormatting>
  <conditionalFormatting sqref="V177:W178">
    <cfRule type="expression" dxfId="2908" priority="2003">
      <formula>$BC177="YES"</formula>
    </cfRule>
  </conditionalFormatting>
  <conditionalFormatting sqref="V179:W180">
    <cfRule type="expression" dxfId="2907" priority="2004">
      <formula>$BC179="YES"</formula>
    </cfRule>
  </conditionalFormatting>
  <conditionalFormatting sqref="V181:W182">
    <cfRule type="expression" dxfId="2906" priority="2005">
      <formula>$BC181="YES"</formula>
    </cfRule>
  </conditionalFormatting>
  <conditionalFormatting sqref="V183:W184">
    <cfRule type="expression" dxfId="2905" priority="2006">
      <formula>$BC183="YES"</formula>
    </cfRule>
  </conditionalFormatting>
  <conditionalFormatting sqref="V185:W186">
    <cfRule type="expression" dxfId="2904" priority="2007">
      <formula>$BC185="YES"</formula>
    </cfRule>
  </conditionalFormatting>
  <conditionalFormatting sqref="V187:W188">
    <cfRule type="expression" dxfId="2903" priority="2008">
      <formula>$BC187="YES"</formula>
    </cfRule>
  </conditionalFormatting>
  <conditionalFormatting sqref="V189:W190">
    <cfRule type="expression" dxfId="2902" priority="2009">
      <formula>$BC189="YES"</formula>
    </cfRule>
  </conditionalFormatting>
  <conditionalFormatting sqref="V191:W192">
    <cfRule type="expression" dxfId="2901" priority="2010">
      <formula>$BC191="YES"</formula>
    </cfRule>
  </conditionalFormatting>
  <conditionalFormatting sqref="V193:W194">
    <cfRule type="expression" dxfId="2900" priority="2011">
      <formula>$BC193="YES"</formula>
    </cfRule>
  </conditionalFormatting>
  <conditionalFormatting sqref="V195:W196">
    <cfRule type="expression" dxfId="2899" priority="2012">
      <formula>$BC195="YES"</formula>
    </cfRule>
  </conditionalFormatting>
  <conditionalFormatting sqref="V197:W198">
    <cfRule type="expression" dxfId="2898" priority="2013">
      <formula>$BC197="YES"</formula>
    </cfRule>
  </conditionalFormatting>
  <conditionalFormatting sqref="V199:W200">
    <cfRule type="expression" dxfId="2897" priority="2014">
      <formula>$BC199="YES"</formula>
    </cfRule>
  </conditionalFormatting>
  <conditionalFormatting sqref="V201:W202">
    <cfRule type="expression" dxfId="2896" priority="2015">
      <formula>$BC201="YES"</formula>
    </cfRule>
  </conditionalFormatting>
  <conditionalFormatting sqref="V203:W204">
    <cfRule type="expression" dxfId="2895" priority="2016">
      <formula>$BC203="YES"</formula>
    </cfRule>
  </conditionalFormatting>
  <conditionalFormatting sqref="V205:W206">
    <cfRule type="expression" dxfId="2894" priority="2017">
      <formula>$BC205="YES"</formula>
    </cfRule>
  </conditionalFormatting>
  <conditionalFormatting sqref="V207:W208">
    <cfRule type="expression" dxfId="2893" priority="2018">
      <formula>$BC207="YES"</formula>
    </cfRule>
  </conditionalFormatting>
  <conditionalFormatting sqref="V209:W210">
    <cfRule type="expression" dxfId="2892" priority="2019">
      <formula>$BC209="YES"</formula>
    </cfRule>
  </conditionalFormatting>
  <conditionalFormatting sqref="V211:W212">
    <cfRule type="expression" dxfId="2891" priority="2020">
      <formula>$BC211="YES"</formula>
    </cfRule>
  </conditionalFormatting>
  <conditionalFormatting sqref="V213:W214">
    <cfRule type="expression" dxfId="2890" priority="2021">
      <formula>$BC213="YES"</formula>
    </cfRule>
  </conditionalFormatting>
  <conditionalFormatting sqref="V215:W216">
    <cfRule type="expression" dxfId="2889" priority="2022">
      <formula>$BC215="YES"</formula>
    </cfRule>
  </conditionalFormatting>
  <conditionalFormatting sqref="V217:W218">
    <cfRule type="expression" dxfId="2888" priority="2023">
      <formula>$BC217="YES"</formula>
    </cfRule>
  </conditionalFormatting>
  <conditionalFormatting sqref="V219:W220">
    <cfRule type="expression" dxfId="2887" priority="2024">
      <formula>$BC219="YES"</formula>
    </cfRule>
  </conditionalFormatting>
  <conditionalFormatting sqref="V221:W222">
    <cfRule type="expression" dxfId="2886" priority="2025">
      <formula>$BC221="YES"</formula>
    </cfRule>
  </conditionalFormatting>
  <conditionalFormatting sqref="V223:W224">
    <cfRule type="expression" dxfId="2885" priority="2026">
      <formula>$BC223="YES"</formula>
    </cfRule>
  </conditionalFormatting>
  <conditionalFormatting sqref="V225:W226">
    <cfRule type="expression" dxfId="2884" priority="2027">
      <formula>$BC225="YES"</formula>
    </cfRule>
  </conditionalFormatting>
  <conditionalFormatting sqref="V227:W228">
    <cfRule type="expression" dxfId="2883" priority="2028">
      <formula>$BC227="YES"</formula>
    </cfRule>
  </conditionalFormatting>
  <conditionalFormatting sqref="V229:W230">
    <cfRule type="expression" dxfId="2882" priority="2029">
      <formula>$BC229="YES"</formula>
    </cfRule>
  </conditionalFormatting>
  <conditionalFormatting sqref="V231:W232">
    <cfRule type="expression" dxfId="2881" priority="2030">
      <formula>$BC231="YES"</formula>
    </cfRule>
  </conditionalFormatting>
  <conditionalFormatting sqref="V233:W234">
    <cfRule type="expression" dxfId="2880" priority="2031">
      <formula>$BC233="YES"</formula>
    </cfRule>
  </conditionalFormatting>
  <conditionalFormatting sqref="V235:W236">
    <cfRule type="expression" dxfId="2879" priority="2032">
      <formula>$BC235="YES"</formula>
    </cfRule>
  </conditionalFormatting>
  <conditionalFormatting sqref="V237:W238">
    <cfRule type="expression" dxfId="2878" priority="2033">
      <formula>$BC237="YES"</formula>
    </cfRule>
  </conditionalFormatting>
  <conditionalFormatting sqref="V239:W240">
    <cfRule type="expression" dxfId="2877" priority="2034">
      <formula>$BC239="YES"</formula>
    </cfRule>
  </conditionalFormatting>
  <conditionalFormatting sqref="V241:W242">
    <cfRule type="expression" dxfId="2876" priority="2035">
      <formula>$BC241="YES"</formula>
    </cfRule>
  </conditionalFormatting>
  <conditionalFormatting sqref="V243:W244">
    <cfRule type="expression" dxfId="2875" priority="2036">
      <formula>$BC243="YES"</formula>
    </cfRule>
  </conditionalFormatting>
  <conditionalFormatting sqref="V245:W246">
    <cfRule type="expression" dxfId="2874" priority="2037">
      <formula>$BC245="YES"</formula>
    </cfRule>
  </conditionalFormatting>
  <conditionalFormatting sqref="V247:W248">
    <cfRule type="expression" dxfId="2873" priority="2038">
      <formula>$BC247="YES"</formula>
    </cfRule>
  </conditionalFormatting>
  <conditionalFormatting sqref="V249:W250">
    <cfRule type="expression" dxfId="2872" priority="2039">
      <formula>$BC249="YES"</formula>
    </cfRule>
  </conditionalFormatting>
  <conditionalFormatting sqref="V251:W252">
    <cfRule type="expression" dxfId="2871" priority="2040">
      <formula>$BC251="YES"</formula>
    </cfRule>
  </conditionalFormatting>
  <conditionalFormatting sqref="V253:W254">
    <cfRule type="expression" dxfId="2870" priority="2041">
      <formula>$BC253="YES"</formula>
    </cfRule>
  </conditionalFormatting>
  <conditionalFormatting sqref="V255:W256">
    <cfRule type="expression" dxfId="2869" priority="2042">
      <formula>$BC255="YES"</formula>
    </cfRule>
  </conditionalFormatting>
  <conditionalFormatting sqref="V257:W258">
    <cfRule type="expression" dxfId="2868" priority="2043">
      <formula>$BC257="YES"</formula>
    </cfRule>
  </conditionalFormatting>
  <conditionalFormatting sqref="V259:W260">
    <cfRule type="expression" dxfId="2867" priority="2044">
      <formula>$BC259="YES"</formula>
    </cfRule>
  </conditionalFormatting>
  <conditionalFormatting sqref="V261:W262">
    <cfRule type="expression" dxfId="2866" priority="2045">
      <formula>$BC261="YES"</formula>
    </cfRule>
  </conditionalFormatting>
  <conditionalFormatting sqref="V263:W264">
    <cfRule type="expression" dxfId="2865" priority="2046">
      <formula>$BC263="YES"</formula>
    </cfRule>
  </conditionalFormatting>
  <conditionalFormatting sqref="V265:W266">
    <cfRule type="expression" dxfId="2864" priority="2047">
      <formula>$BC265="YES"</formula>
    </cfRule>
  </conditionalFormatting>
  <conditionalFormatting sqref="V267:W268">
    <cfRule type="expression" dxfId="2863" priority="2048">
      <formula>$BC267="YES"</formula>
    </cfRule>
  </conditionalFormatting>
  <conditionalFormatting sqref="V269:W270">
    <cfRule type="expression" dxfId="2862" priority="2049">
      <formula>$BC269="YES"</formula>
    </cfRule>
  </conditionalFormatting>
  <conditionalFormatting sqref="V271:W272">
    <cfRule type="expression" dxfId="2861" priority="2050">
      <formula>$BC271="YES"</formula>
    </cfRule>
  </conditionalFormatting>
  <conditionalFormatting sqref="V273:W274">
    <cfRule type="expression" dxfId="2860" priority="2051">
      <formula>$BC273="YES"</formula>
    </cfRule>
  </conditionalFormatting>
  <conditionalFormatting sqref="V275:W276">
    <cfRule type="expression" dxfId="2859" priority="2052">
      <formula>$BC275="YES"</formula>
    </cfRule>
  </conditionalFormatting>
  <conditionalFormatting sqref="V277:W278">
    <cfRule type="expression" dxfId="2858" priority="2053">
      <formula>$BC277="YES"</formula>
    </cfRule>
  </conditionalFormatting>
  <conditionalFormatting sqref="V279:W280">
    <cfRule type="expression" dxfId="2857" priority="2054">
      <formula>$BC279="YES"</formula>
    </cfRule>
  </conditionalFormatting>
  <conditionalFormatting sqref="V281:W282">
    <cfRule type="expression" dxfId="2856" priority="2055">
      <formula>$BC281="YES"</formula>
    </cfRule>
  </conditionalFormatting>
  <conditionalFormatting sqref="V283:W284">
    <cfRule type="expression" dxfId="2855" priority="2056">
      <formula>$BC283="YES"</formula>
    </cfRule>
  </conditionalFormatting>
  <conditionalFormatting sqref="V285:W286">
    <cfRule type="expression" dxfId="2854" priority="2057">
      <formula>$BC285="YES"</formula>
    </cfRule>
  </conditionalFormatting>
  <conditionalFormatting sqref="V287:W288">
    <cfRule type="expression" dxfId="2853" priority="2058">
      <formula>$BC287="YES"</formula>
    </cfRule>
  </conditionalFormatting>
  <conditionalFormatting sqref="V289:W290">
    <cfRule type="expression" dxfId="2852" priority="2059">
      <formula>$BC289="YES"</formula>
    </cfRule>
  </conditionalFormatting>
  <conditionalFormatting sqref="V291:W292">
    <cfRule type="expression" dxfId="2851" priority="2060">
      <formula>$BC291="YES"</formula>
    </cfRule>
  </conditionalFormatting>
  <conditionalFormatting sqref="V293:W294">
    <cfRule type="expression" dxfId="2850" priority="2061">
      <formula>$BC293="YES"</formula>
    </cfRule>
  </conditionalFormatting>
  <conditionalFormatting sqref="V295:W296">
    <cfRule type="expression" dxfId="2849" priority="2062">
      <formula>$BC295="YES"</formula>
    </cfRule>
  </conditionalFormatting>
  <conditionalFormatting sqref="V297:W298">
    <cfRule type="expression" dxfId="2848" priority="2063">
      <formula>$BC297="YES"</formula>
    </cfRule>
  </conditionalFormatting>
  <conditionalFormatting sqref="V299:W300">
    <cfRule type="expression" dxfId="2847" priority="2064">
      <formula>$BC299="YES"</formula>
    </cfRule>
  </conditionalFormatting>
  <conditionalFormatting sqref="V301:W302">
    <cfRule type="expression" dxfId="2846" priority="2065">
      <formula>$BC301="YES"</formula>
    </cfRule>
  </conditionalFormatting>
  <conditionalFormatting sqref="V303:W304">
    <cfRule type="expression" dxfId="2845" priority="2066">
      <formula>$BC303="YES"</formula>
    </cfRule>
  </conditionalFormatting>
  <conditionalFormatting sqref="V305:W306">
    <cfRule type="expression" dxfId="2844" priority="2067">
      <formula>$BC305="YES"</formula>
    </cfRule>
  </conditionalFormatting>
  <conditionalFormatting sqref="V307:W308">
    <cfRule type="expression" dxfId="2843" priority="2068">
      <formula>$BC307="YES"</formula>
    </cfRule>
  </conditionalFormatting>
  <conditionalFormatting sqref="V309:W310">
    <cfRule type="expression" dxfId="2842" priority="2069">
      <formula>$BC309="YES"</formula>
    </cfRule>
  </conditionalFormatting>
  <conditionalFormatting sqref="V311:W312">
    <cfRule type="expression" dxfId="2841" priority="2070">
      <formula>$BC311="YES"</formula>
    </cfRule>
  </conditionalFormatting>
  <conditionalFormatting sqref="V313:W314">
    <cfRule type="expression" dxfId="2840" priority="2071">
      <formula>$BC313="YES"</formula>
    </cfRule>
  </conditionalFormatting>
  <conditionalFormatting sqref="V315:W316">
    <cfRule type="expression" dxfId="2839" priority="2072">
      <formula>$BC315="YES"</formula>
    </cfRule>
  </conditionalFormatting>
  <conditionalFormatting sqref="V317:W318">
    <cfRule type="expression" dxfId="2838" priority="2073">
      <formula>$BC317="YES"</formula>
    </cfRule>
  </conditionalFormatting>
  <conditionalFormatting sqref="V319:W320">
    <cfRule type="expression" dxfId="2837" priority="2074">
      <formula>$BC319="YES"</formula>
    </cfRule>
  </conditionalFormatting>
  <conditionalFormatting sqref="V321:W322">
    <cfRule type="expression" dxfId="2836" priority="2075">
      <formula>$BC321="YES"</formula>
    </cfRule>
  </conditionalFormatting>
  <conditionalFormatting sqref="V323:W324">
    <cfRule type="expression" dxfId="2835" priority="2076">
      <formula>$BC323="YES"</formula>
    </cfRule>
  </conditionalFormatting>
  <conditionalFormatting sqref="V325:W326">
    <cfRule type="expression" dxfId="2834" priority="2077">
      <formula>$BC325="YES"</formula>
    </cfRule>
  </conditionalFormatting>
  <conditionalFormatting sqref="V327:W328">
    <cfRule type="expression" dxfId="2833" priority="2078">
      <formula>$BC327="YES"</formula>
    </cfRule>
  </conditionalFormatting>
  <conditionalFormatting sqref="V329:W330">
    <cfRule type="expression" dxfId="2832" priority="2079">
      <formula>$BC329="YES"</formula>
    </cfRule>
  </conditionalFormatting>
  <conditionalFormatting sqref="V331:W332">
    <cfRule type="expression" dxfId="2831" priority="2080">
      <formula>$BC331="YES"</formula>
    </cfRule>
  </conditionalFormatting>
  <conditionalFormatting sqref="V333:W334">
    <cfRule type="expression" dxfId="2830" priority="2081">
      <formula>$BC333="YES"</formula>
    </cfRule>
  </conditionalFormatting>
  <conditionalFormatting sqref="V335:W336">
    <cfRule type="expression" dxfId="2829" priority="2082">
      <formula>$BC335="YES"</formula>
    </cfRule>
  </conditionalFormatting>
  <conditionalFormatting sqref="V337:W338">
    <cfRule type="expression" dxfId="2828" priority="2083">
      <formula>$BC337="YES"</formula>
    </cfRule>
  </conditionalFormatting>
  <conditionalFormatting sqref="V339:W340">
    <cfRule type="expression" dxfId="2827" priority="2084">
      <formula>$BC339="YES"</formula>
    </cfRule>
  </conditionalFormatting>
  <conditionalFormatting sqref="V341:W342">
    <cfRule type="expression" dxfId="2826" priority="2085">
      <formula>$BC341="YES"</formula>
    </cfRule>
  </conditionalFormatting>
  <conditionalFormatting sqref="V343:W344">
    <cfRule type="expression" dxfId="2825" priority="2086">
      <formula>$BC343="YES"</formula>
    </cfRule>
  </conditionalFormatting>
  <conditionalFormatting sqref="V345:W346">
    <cfRule type="expression" dxfId="2824" priority="2087">
      <formula>$BC345="YES"</formula>
    </cfRule>
  </conditionalFormatting>
  <conditionalFormatting sqref="V347:W348">
    <cfRule type="expression" dxfId="2823" priority="2088">
      <formula>$BC347="YES"</formula>
    </cfRule>
  </conditionalFormatting>
  <conditionalFormatting sqref="V349:W350">
    <cfRule type="expression" dxfId="2822" priority="2089">
      <formula>$BC349="YES"</formula>
    </cfRule>
  </conditionalFormatting>
  <conditionalFormatting sqref="V351:W352">
    <cfRule type="expression" dxfId="2821" priority="2090">
      <formula>$BC351="YES"</formula>
    </cfRule>
  </conditionalFormatting>
  <conditionalFormatting sqref="V353:W354">
    <cfRule type="expression" dxfId="2820" priority="2091">
      <formula>$BC353="YES"</formula>
    </cfRule>
  </conditionalFormatting>
  <conditionalFormatting sqref="V355:W356">
    <cfRule type="expression" dxfId="2819" priority="2092">
      <formula>$BC355="YES"</formula>
    </cfRule>
  </conditionalFormatting>
  <conditionalFormatting sqref="V357:W358">
    <cfRule type="expression" dxfId="2818" priority="2093">
      <formula>$BC357="YES"</formula>
    </cfRule>
  </conditionalFormatting>
  <conditionalFormatting sqref="V359:W360">
    <cfRule type="expression" dxfId="2817" priority="2094">
      <formula>$BC359="YES"</formula>
    </cfRule>
  </conditionalFormatting>
  <conditionalFormatting sqref="V361:W362">
    <cfRule type="expression" dxfId="2816" priority="2095">
      <formula>$BC361="YES"</formula>
    </cfRule>
  </conditionalFormatting>
  <conditionalFormatting sqref="V363:W364">
    <cfRule type="expression" dxfId="2815" priority="2096">
      <formula>$BC363="YES"</formula>
    </cfRule>
  </conditionalFormatting>
  <conditionalFormatting sqref="V365:W366">
    <cfRule type="expression" dxfId="2814" priority="2097">
      <formula>$BC365="YES"</formula>
    </cfRule>
  </conditionalFormatting>
  <conditionalFormatting sqref="V367:W368">
    <cfRule type="expression" dxfId="2813" priority="2098">
      <formula>$BC367="YES"</formula>
    </cfRule>
  </conditionalFormatting>
  <conditionalFormatting sqref="V369:W370">
    <cfRule type="expression" dxfId="2812" priority="2099">
      <formula>$BC369="YES"</formula>
    </cfRule>
  </conditionalFormatting>
  <conditionalFormatting sqref="V371:W372">
    <cfRule type="expression" dxfId="2811" priority="2100">
      <formula>$BC371="YES"</formula>
    </cfRule>
  </conditionalFormatting>
  <conditionalFormatting sqref="V387:W388">
    <cfRule type="expression" dxfId="2810" priority="2101">
      <formula>$BC387="YES"</formula>
    </cfRule>
  </conditionalFormatting>
  <conditionalFormatting sqref="V389:W390">
    <cfRule type="expression" dxfId="2809" priority="2102">
      <formula>$BC389="YES"</formula>
    </cfRule>
  </conditionalFormatting>
  <conditionalFormatting sqref="V391:W392">
    <cfRule type="expression" dxfId="2808" priority="2103">
      <formula>$BC391="YES"</formula>
    </cfRule>
  </conditionalFormatting>
  <conditionalFormatting sqref="V393:W394">
    <cfRule type="expression" dxfId="2807" priority="2104">
      <formula>$BC393="YES"</formula>
    </cfRule>
  </conditionalFormatting>
  <conditionalFormatting sqref="V395:W396">
    <cfRule type="expression" dxfId="2806" priority="2105">
      <formula>$BC395="YES"</formula>
    </cfRule>
  </conditionalFormatting>
  <conditionalFormatting sqref="V397:W398">
    <cfRule type="expression" dxfId="2805" priority="2106">
      <formula>$BC397="YES"</formula>
    </cfRule>
  </conditionalFormatting>
  <conditionalFormatting sqref="V399:W400">
    <cfRule type="expression" dxfId="2804" priority="2107">
      <formula>$BC399="YES"</formula>
    </cfRule>
  </conditionalFormatting>
  <conditionalFormatting sqref="V401:W402">
    <cfRule type="expression" dxfId="2803" priority="2108">
      <formula>$BC401="YES"</formula>
    </cfRule>
  </conditionalFormatting>
  <conditionalFormatting sqref="V403:W404">
    <cfRule type="expression" dxfId="2802" priority="2109">
      <formula>$BC403="YES"</formula>
    </cfRule>
  </conditionalFormatting>
  <conditionalFormatting sqref="V405:W406">
    <cfRule type="expression" dxfId="2801" priority="2110">
      <formula>$BC405="YES"</formula>
    </cfRule>
  </conditionalFormatting>
  <conditionalFormatting sqref="V407:W408">
    <cfRule type="expression" dxfId="2800" priority="2111">
      <formula>$BC407="YES"</formula>
    </cfRule>
  </conditionalFormatting>
  <conditionalFormatting sqref="V409:W410">
    <cfRule type="expression" dxfId="2799" priority="2112">
      <formula>$BC409="YES"</formula>
    </cfRule>
  </conditionalFormatting>
  <conditionalFormatting sqref="V411:W412">
    <cfRule type="expression" dxfId="2798" priority="2113">
      <formula>$BC411="YES"</formula>
    </cfRule>
  </conditionalFormatting>
  <conditionalFormatting sqref="V413:W414">
    <cfRule type="expression" dxfId="2797" priority="2114">
      <formula>$BC413="YES"</formula>
    </cfRule>
  </conditionalFormatting>
  <conditionalFormatting sqref="V415:W416">
    <cfRule type="expression" dxfId="2796" priority="2115">
      <formula>$BC415="YES"</formula>
    </cfRule>
  </conditionalFormatting>
  <conditionalFormatting sqref="V417:W418">
    <cfRule type="expression" dxfId="2795" priority="2116">
      <formula>$BC417="YES"</formula>
    </cfRule>
  </conditionalFormatting>
  <conditionalFormatting sqref="V419:W420">
    <cfRule type="expression" dxfId="2794" priority="2117">
      <formula>$BC419="YES"</formula>
    </cfRule>
  </conditionalFormatting>
  <conditionalFormatting sqref="V421:W422">
    <cfRule type="expression" dxfId="2793" priority="2118">
      <formula>$BC421="YES"</formula>
    </cfRule>
  </conditionalFormatting>
  <conditionalFormatting sqref="V423:W424">
    <cfRule type="expression" dxfId="2792" priority="2119">
      <formula>$BC423="YES"</formula>
    </cfRule>
  </conditionalFormatting>
  <conditionalFormatting sqref="V425:W426">
    <cfRule type="expression" dxfId="2791" priority="2120">
      <formula>$BC425="YES"</formula>
    </cfRule>
  </conditionalFormatting>
  <conditionalFormatting sqref="V427:W428">
    <cfRule type="expression" dxfId="2790" priority="2121">
      <formula>$BC427="YES"</formula>
    </cfRule>
  </conditionalFormatting>
  <conditionalFormatting sqref="V429:W430">
    <cfRule type="expression" dxfId="2789" priority="2122">
      <formula>$BC429="YES"</formula>
    </cfRule>
  </conditionalFormatting>
  <conditionalFormatting sqref="V431:W432">
    <cfRule type="expression" dxfId="2788" priority="2123">
      <formula>$BC431="YES"</formula>
    </cfRule>
  </conditionalFormatting>
  <conditionalFormatting sqref="V433:W434">
    <cfRule type="expression" dxfId="2787" priority="2124">
      <formula>$BC433="YES"</formula>
    </cfRule>
  </conditionalFormatting>
  <conditionalFormatting sqref="V435:W436">
    <cfRule type="expression" dxfId="2786" priority="2125">
      <formula>$BC435="YES"</formula>
    </cfRule>
  </conditionalFormatting>
  <conditionalFormatting sqref="V437:W438">
    <cfRule type="expression" dxfId="2785" priority="2126">
      <formula>$BC437="YES"</formula>
    </cfRule>
  </conditionalFormatting>
  <conditionalFormatting sqref="V439:W440">
    <cfRule type="expression" dxfId="2784" priority="2127">
      <formula>$BC439="YES"</formula>
    </cfRule>
  </conditionalFormatting>
  <conditionalFormatting sqref="V441:W442">
    <cfRule type="expression" dxfId="2783" priority="2128">
      <formula>$BC441="YES"</formula>
    </cfRule>
  </conditionalFormatting>
  <conditionalFormatting sqref="V443:W444">
    <cfRule type="expression" dxfId="2782" priority="2129">
      <formula>$BC443="YES"</formula>
    </cfRule>
  </conditionalFormatting>
  <conditionalFormatting sqref="V445:W446">
    <cfRule type="expression" dxfId="2781" priority="2130">
      <formula>$BC445="YES"</formula>
    </cfRule>
  </conditionalFormatting>
  <conditionalFormatting sqref="V447:W448">
    <cfRule type="expression" dxfId="2780" priority="2131">
      <formula>$BC447="YES"</formula>
    </cfRule>
  </conditionalFormatting>
  <conditionalFormatting sqref="V449:W450">
    <cfRule type="expression" dxfId="2779" priority="2132">
      <formula>$BC449="YES"</formula>
    </cfRule>
  </conditionalFormatting>
  <conditionalFormatting sqref="V451:W452">
    <cfRule type="expression" dxfId="2778" priority="2133">
      <formula>$BC451="YES"</formula>
    </cfRule>
  </conditionalFormatting>
  <conditionalFormatting sqref="V453:W454">
    <cfRule type="expression" dxfId="2777" priority="2134">
      <formula>$BC453="YES"</formula>
    </cfRule>
  </conditionalFormatting>
  <conditionalFormatting sqref="V455:W456">
    <cfRule type="expression" dxfId="2776" priority="2135">
      <formula>$BC455="YES"</formula>
    </cfRule>
  </conditionalFormatting>
  <conditionalFormatting sqref="V457:W458">
    <cfRule type="expression" dxfId="2775" priority="2136">
      <formula>$BC457="YES"</formula>
    </cfRule>
  </conditionalFormatting>
  <conditionalFormatting sqref="V459:W460">
    <cfRule type="expression" dxfId="2774" priority="2137">
      <formula>$BC459="YES"</formula>
    </cfRule>
  </conditionalFormatting>
  <conditionalFormatting sqref="V461:W462">
    <cfRule type="expression" dxfId="2773" priority="2138">
      <formula>$BC461="YES"</formula>
    </cfRule>
  </conditionalFormatting>
  <conditionalFormatting sqref="V463:W464">
    <cfRule type="expression" dxfId="2772" priority="2139">
      <formula>$BC463="YES"</formula>
    </cfRule>
  </conditionalFormatting>
  <conditionalFormatting sqref="V465:W466">
    <cfRule type="expression" dxfId="2771" priority="2140">
      <formula>$BC465="YES"</formula>
    </cfRule>
  </conditionalFormatting>
  <conditionalFormatting sqref="V467:W468">
    <cfRule type="expression" dxfId="2770" priority="2141">
      <formula>$BC467="YES"</formula>
    </cfRule>
  </conditionalFormatting>
  <conditionalFormatting sqref="V469:W470">
    <cfRule type="expression" dxfId="2769" priority="2142">
      <formula>$BC469="YES"</formula>
    </cfRule>
  </conditionalFormatting>
  <conditionalFormatting sqref="V471:W472">
    <cfRule type="expression" dxfId="2768" priority="2143">
      <formula>$BC471="YES"</formula>
    </cfRule>
  </conditionalFormatting>
  <conditionalFormatting sqref="V473:W474">
    <cfRule type="expression" dxfId="2767" priority="2144">
      <formula>$BC473="YES"</formula>
    </cfRule>
  </conditionalFormatting>
  <conditionalFormatting sqref="V475:W476">
    <cfRule type="expression" dxfId="2766" priority="2145">
      <formula>$BC475="YES"</formula>
    </cfRule>
  </conditionalFormatting>
  <conditionalFormatting sqref="V477:W478">
    <cfRule type="expression" dxfId="2765" priority="2146">
      <formula>$BC477="YES"</formula>
    </cfRule>
  </conditionalFormatting>
  <conditionalFormatting sqref="V479:W480">
    <cfRule type="expression" dxfId="2764" priority="2147">
      <formula>$BC479="YES"</formula>
    </cfRule>
  </conditionalFormatting>
  <conditionalFormatting sqref="V481:W482">
    <cfRule type="expression" dxfId="2763" priority="2148">
      <formula>$BC481="YES"</formula>
    </cfRule>
  </conditionalFormatting>
  <conditionalFormatting sqref="V483:W484">
    <cfRule type="expression" dxfId="2762" priority="2149">
      <formula>$BC483="YES"</formula>
    </cfRule>
  </conditionalFormatting>
  <conditionalFormatting sqref="V485:W486">
    <cfRule type="expression" dxfId="2761" priority="2150">
      <formula>$BC485="YES"</formula>
    </cfRule>
  </conditionalFormatting>
  <conditionalFormatting sqref="V487:W488">
    <cfRule type="expression" dxfId="2760" priority="2151">
      <formula>$BC487="YES"</formula>
    </cfRule>
  </conditionalFormatting>
  <conditionalFormatting sqref="V489:W490">
    <cfRule type="expression" dxfId="2759" priority="2152">
      <formula>$BC489="YES"</formula>
    </cfRule>
  </conditionalFormatting>
  <conditionalFormatting sqref="V491:W492">
    <cfRule type="expression" dxfId="2758" priority="2153">
      <formula>$BC491="YES"</formula>
    </cfRule>
  </conditionalFormatting>
  <conditionalFormatting sqref="V493:W494">
    <cfRule type="expression" dxfId="2757" priority="2154">
      <formula>$BC493="YES"</formula>
    </cfRule>
  </conditionalFormatting>
  <conditionalFormatting sqref="V495:W496">
    <cfRule type="expression" dxfId="2756" priority="2155">
      <formula>$BC495="YES"</formula>
    </cfRule>
  </conditionalFormatting>
  <conditionalFormatting sqref="V497:W498">
    <cfRule type="expression" dxfId="2755" priority="2156">
      <formula>$BC497="YES"</formula>
    </cfRule>
  </conditionalFormatting>
  <conditionalFormatting sqref="V499:W500">
    <cfRule type="expression" dxfId="2754" priority="2157">
      <formula>$BC499="YES"</formula>
    </cfRule>
  </conditionalFormatting>
  <conditionalFormatting sqref="V501:W502">
    <cfRule type="expression" dxfId="2753" priority="2158">
      <formula>$BC501="YES"</formula>
    </cfRule>
  </conditionalFormatting>
  <conditionalFormatting sqref="V503:W504">
    <cfRule type="expression" dxfId="2752" priority="2159">
      <formula>$BC503="YES"</formula>
    </cfRule>
  </conditionalFormatting>
  <conditionalFormatting sqref="V505:W506">
    <cfRule type="expression" dxfId="2751" priority="2160">
      <formula>$BC505="YES"</formula>
    </cfRule>
  </conditionalFormatting>
  <conditionalFormatting sqref="V507:W508">
    <cfRule type="expression" dxfId="2750" priority="2161">
      <formula>$BC507="YES"</formula>
    </cfRule>
  </conditionalFormatting>
  <conditionalFormatting sqref="V509:W510">
    <cfRule type="expression" dxfId="2749" priority="2162">
      <formula>$BC509="YES"</formula>
    </cfRule>
  </conditionalFormatting>
  <conditionalFormatting sqref="V511:W512">
    <cfRule type="expression" dxfId="2748" priority="2163">
      <formula>$BC511="YES"</formula>
    </cfRule>
  </conditionalFormatting>
  <conditionalFormatting sqref="V513:W514">
    <cfRule type="expression" dxfId="2747" priority="2164">
      <formula>$BC513="YES"</formula>
    </cfRule>
  </conditionalFormatting>
  <conditionalFormatting sqref="V515:W516">
    <cfRule type="expression" dxfId="2746" priority="2165">
      <formula>$BC515="YES"</formula>
    </cfRule>
  </conditionalFormatting>
  <conditionalFormatting sqref="V517:W518">
    <cfRule type="expression" dxfId="2745" priority="2166">
      <formula>$BC517="YES"</formula>
    </cfRule>
  </conditionalFormatting>
  <conditionalFormatting sqref="V519:W520">
    <cfRule type="expression" dxfId="2744" priority="2167">
      <formula>$BC519="YES"</formula>
    </cfRule>
  </conditionalFormatting>
  <conditionalFormatting sqref="V521:W522">
    <cfRule type="expression" dxfId="2743" priority="2168">
      <formula>$BC521="YES"</formula>
    </cfRule>
  </conditionalFormatting>
  <conditionalFormatting sqref="V523:W524">
    <cfRule type="expression" dxfId="2742" priority="2169">
      <formula>$BC523="YES"</formula>
    </cfRule>
  </conditionalFormatting>
  <conditionalFormatting sqref="V525:W526">
    <cfRule type="expression" dxfId="2741" priority="2170">
      <formula>$BC525="YES"</formula>
    </cfRule>
  </conditionalFormatting>
  <conditionalFormatting sqref="V527:W528">
    <cfRule type="expression" dxfId="2740" priority="2171">
      <formula>$BC527="YES"</formula>
    </cfRule>
  </conditionalFormatting>
  <conditionalFormatting sqref="V529:W530">
    <cfRule type="expression" dxfId="2739" priority="2172">
      <formula>$BC529="YES"</formula>
    </cfRule>
  </conditionalFormatting>
  <conditionalFormatting sqref="V531:W532">
    <cfRule type="expression" dxfId="2738" priority="2173">
      <formula>$BC531="YES"</formula>
    </cfRule>
  </conditionalFormatting>
  <conditionalFormatting sqref="V533:W534">
    <cfRule type="expression" dxfId="2737" priority="2174">
      <formula>$BC533="YES"</formula>
    </cfRule>
  </conditionalFormatting>
  <conditionalFormatting sqref="V535:W536">
    <cfRule type="expression" dxfId="2736" priority="2175">
      <formula>$BC535="YES"</formula>
    </cfRule>
  </conditionalFormatting>
  <conditionalFormatting sqref="V537:W538">
    <cfRule type="expression" dxfId="2735" priority="2176">
      <formula>$BC537="YES"</formula>
    </cfRule>
  </conditionalFormatting>
  <conditionalFormatting sqref="V539:W540">
    <cfRule type="expression" dxfId="2734" priority="2177">
      <formula>$BC539="YES"</formula>
    </cfRule>
  </conditionalFormatting>
  <conditionalFormatting sqref="V541:W542">
    <cfRule type="expression" dxfId="2733" priority="2178">
      <formula>$BC541="YES"</formula>
    </cfRule>
  </conditionalFormatting>
  <conditionalFormatting sqref="V543:W544">
    <cfRule type="expression" dxfId="2732" priority="2179">
      <formula>$BC543="YES"</formula>
    </cfRule>
  </conditionalFormatting>
  <conditionalFormatting sqref="V545:W546">
    <cfRule type="expression" dxfId="2731" priority="2180">
      <formula>$BC545="YES"</formula>
    </cfRule>
  </conditionalFormatting>
  <conditionalFormatting sqref="V547:W548">
    <cfRule type="expression" dxfId="2730" priority="2181">
      <formula>$BC547="YES"</formula>
    </cfRule>
  </conditionalFormatting>
  <conditionalFormatting sqref="V549:W550">
    <cfRule type="expression" dxfId="2729" priority="2182">
      <formula>$BC549="YES"</formula>
    </cfRule>
  </conditionalFormatting>
  <conditionalFormatting sqref="V551:W552">
    <cfRule type="expression" dxfId="2728" priority="2183">
      <formula>$BC551="YES"</formula>
    </cfRule>
  </conditionalFormatting>
  <conditionalFormatting sqref="V553:W554">
    <cfRule type="expression" dxfId="2727" priority="2184">
      <formula>$BC553="YES"</formula>
    </cfRule>
  </conditionalFormatting>
  <conditionalFormatting sqref="V555:W556">
    <cfRule type="expression" dxfId="2726" priority="2185">
      <formula>$BC555="YES"</formula>
    </cfRule>
  </conditionalFormatting>
  <conditionalFormatting sqref="V557:W558">
    <cfRule type="expression" dxfId="2725" priority="2186">
      <formula>$BC557="YES"</formula>
    </cfRule>
  </conditionalFormatting>
  <conditionalFormatting sqref="V559:W560">
    <cfRule type="expression" dxfId="2724" priority="2187">
      <formula>$BC559="YES"</formula>
    </cfRule>
  </conditionalFormatting>
  <conditionalFormatting sqref="V561:W562">
    <cfRule type="expression" dxfId="2723" priority="2188">
      <formula>$BC561="YES"</formula>
    </cfRule>
  </conditionalFormatting>
  <conditionalFormatting sqref="V563:W564">
    <cfRule type="expression" dxfId="2722" priority="2189">
      <formula>$BC563="YES"</formula>
    </cfRule>
  </conditionalFormatting>
  <conditionalFormatting sqref="AF17:AF18">
    <cfRule type="expression" dxfId="2721" priority="2190">
      <formula>$BC17="YES"</formula>
    </cfRule>
  </conditionalFormatting>
  <conditionalFormatting sqref="AF19:AF20">
    <cfRule type="expression" dxfId="2720" priority="2191">
      <formula>$BC19="YES"</formula>
    </cfRule>
  </conditionalFormatting>
  <conditionalFormatting sqref="AF21:AF22">
    <cfRule type="expression" dxfId="2719" priority="2192">
      <formula>$BC21="YES"</formula>
    </cfRule>
  </conditionalFormatting>
  <conditionalFormatting sqref="AF23:AF24">
    <cfRule type="expression" dxfId="2718" priority="2193">
      <formula>$BC23="YES"</formula>
    </cfRule>
  </conditionalFormatting>
  <conditionalFormatting sqref="AF25:AF26">
    <cfRule type="expression" dxfId="2717" priority="2194">
      <formula>$BC25="YES"</formula>
    </cfRule>
  </conditionalFormatting>
  <conditionalFormatting sqref="AF27:AF28">
    <cfRule type="expression" dxfId="2716" priority="2195">
      <formula>$BC27="YES"</formula>
    </cfRule>
  </conditionalFormatting>
  <conditionalFormatting sqref="AF29:AF30">
    <cfRule type="expression" dxfId="2715" priority="2196">
      <formula>$BC29="YES"</formula>
    </cfRule>
  </conditionalFormatting>
  <conditionalFormatting sqref="AF31:AF32">
    <cfRule type="expression" dxfId="2714" priority="2197">
      <formula>$BC31="YES"</formula>
    </cfRule>
  </conditionalFormatting>
  <conditionalFormatting sqref="AF33:AF34">
    <cfRule type="expression" dxfId="2713" priority="2198">
      <formula>$BC33="YES"</formula>
    </cfRule>
  </conditionalFormatting>
  <conditionalFormatting sqref="AF35:AF36">
    <cfRule type="expression" dxfId="2712" priority="2199">
      <formula>$BC35="YES"</formula>
    </cfRule>
  </conditionalFormatting>
  <conditionalFormatting sqref="AF37:AF38">
    <cfRule type="expression" dxfId="2711" priority="2200">
      <formula>$BC37="YES"</formula>
    </cfRule>
  </conditionalFormatting>
  <conditionalFormatting sqref="AF39:AF40">
    <cfRule type="expression" dxfId="2710" priority="2201">
      <formula>$BC39="YES"</formula>
    </cfRule>
  </conditionalFormatting>
  <conditionalFormatting sqref="AF41:AF42">
    <cfRule type="expression" dxfId="2709" priority="2202">
      <formula>$BC41="YES"</formula>
    </cfRule>
  </conditionalFormatting>
  <conditionalFormatting sqref="AF43:AF44">
    <cfRule type="expression" dxfId="2708" priority="2203">
      <formula>$BC43="YES"</formula>
    </cfRule>
  </conditionalFormatting>
  <conditionalFormatting sqref="AF45:AF46">
    <cfRule type="expression" dxfId="2707" priority="2204">
      <formula>$BC45="YES"</formula>
    </cfRule>
  </conditionalFormatting>
  <conditionalFormatting sqref="AF47:AF48">
    <cfRule type="expression" dxfId="2706" priority="2205">
      <formula>$BC47="YES"</formula>
    </cfRule>
  </conditionalFormatting>
  <conditionalFormatting sqref="AF49:AF50">
    <cfRule type="expression" dxfId="2705" priority="2206">
      <formula>$BC49="YES"</formula>
    </cfRule>
  </conditionalFormatting>
  <conditionalFormatting sqref="AF51:AF52">
    <cfRule type="expression" dxfId="2704" priority="2207">
      <formula>$BC51="YES"</formula>
    </cfRule>
  </conditionalFormatting>
  <conditionalFormatting sqref="AF53:AF54">
    <cfRule type="expression" dxfId="2703" priority="2208">
      <formula>$BC53="YES"</formula>
    </cfRule>
  </conditionalFormatting>
  <conditionalFormatting sqref="AF55:AF56">
    <cfRule type="expression" dxfId="2702" priority="2209">
      <formula>$BC55="YES"</formula>
    </cfRule>
  </conditionalFormatting>
  <conditionalFormatting sqref="AF57:AF58">
    <cfRule type="expression" dxfId="2701" priority="2210">
      <formula>$BC57="YES"</formula>
    </cfRule>
  </conditionalFormatting>
  <conditionalFormatting sqref="AF59:AF60">
    <cfRule type="expression" dxfId="2700" priority="2211">
      <formula>$BC59="YES"</formula>
    </cfRule>
  </conditionalFormatting>
  <conditionalFormatting sqref="AF61:AF62">
    <cfRule type="expression" dxfId="2699" priority="2212">
      <formula>$BC61="YES"</formula>
    </cfRule>
  </conditionalFormatting>
  <conditionalFormatting sqref="AF63:AF64">
    <cfRule type="expression" dxfId="2698" priority="2213">
      <formula>$BC63="YES"</formula>
    </cfRule>
  </conditionalFormatting>
  <conditionalFormatting sqref="AF65:AF66">
    <cfRule type="expression" dxfId="2697" priority="2214">
      <formula>$BC65="YES"</formula>
    </cfRule>
  </conditionalFormatting>
  <conditionalFormatting sqref="AF67:AF68">
    <cfRule type="expression" dxfId="2696" priority="2215">
      <formula>$BC67="YES"</formula>
    </cfRule>
  </conditionalFormatting>
  <conditionalFormatting sqref="AF69:AF70">
    <cfRule type="expression" dxfId="2695" priority="2216">
      <formula>$BC69="YES"</formula>
    </cfRule>
  </conditionalFormatting>
  <conditionalFormatting sqref="AF71:AF72">
    <cfRule type="expression" dxfId="2694" priority="2217">
      <formula>$BC71="YES"</formula>
    </cfRule>
  </conditionalFormatting>
  <conditionalFormatting sqref="AF73:AF74">
    <cfRule type="expression" dxfId="2693" priority="2218">
      <formula>$BC73="YES"</formula>
    </cfRule>
  </conditionalFormatting>
  <conditionalFormatting sqref="AF75:AF76">
    <cfRule type="expression" dxfId="2692" priority="2219">
      <formula>$BC75="YES"</formula>
    </cfRule>
  </conditionalFormatting>
  <conditionalFormatting sqref="AF77:AF78">
    <cfRule type="expression" dxfId="2691" priority="2220">
      <formula>$BC77="YES"</formula>
    </cfRule>
  </conditionalFormatting>
  <conditionalFormatting sqref="AF79:AF80">
    <cfRule type="expression" dxfId="2690" priority="2221">
      <formula>$BC79="YES"</formula>
    </cfRule>
  </conditionalFormatting>
  <conditionalFormatting sqref="AF81:AF82">
    <cfRule type="expression" dxfId="2689" priority="2222">
      <formula>$BC81="YES"</formula>
    </cfRule>
  </conditionalFormatting>
  <conditionalFormatting sqref="AF83:AF84">
    <cfRule type="expression" dxfId="2688" priority="2223">
      <formula>$BC83="YES"</formula>
    </cfRule>
  </conditionalFormatting>
  <conditionalFormatting sqref="AF85:AF86">
    <cfRule type="expression" dxfId="2687" priority="2224">
      <formula>$BC85="YES"</formula>
    </cfRule>
  </conditionalFormatting>
  <conditionalFormatting sqref="AF87:AF88">
    <cfRule type="expression" dxfId="2686" priority="2225">
      <formula>$BC87="YES"</formula>
    </cfRule>
  </conditionalFormatting>
  <conditionalFormatting sqref="AF89:AF90">
    <cfRule type="expression" dxfId="2685" priority="2226">
      <formula>$BC89="YES"</formula>
    </cfRule>
  </conditionalFormatting>
  <conditionalFormatting sqref="AF91:AF92">
    <cfRule type="expression" dxfId="2684" priority="2227">
      <formula>$BC91="YES"</formula>
    </cfRule>
  </conditionalFormatting>
  <conditionalFormatting sqref="AF93:AF94">
    <cfRule type="expression" dxfId="2683" priority="2228">
      <formula>$BC93="YES"</formula>
    </cfRule>
  </conditionalFormatting>
  <conditionalFormatting sqref="AF95:AF96">
    <cfRule type="expression" dxfId="2682" priority="2229">
      <formula>$BC95="YES"</formula>
    </cfRule>
  </conditionalFormatting>
  <conditionalFormatting sqref="AF97:AF98">
    <cfRule type="expression" dxfId="2681" priority="2230">
      <formula>$BC97="YES"</formula>
    </cfRule>
  </conditionalFormatting>
  <conditionalFormatting sqref="AF99:AF100">
    <cfRule type="expression" dxfId="2680" priority="2231">
      <formula>$BC99="YES"</formula>
    </cfRule>
  </conditionalFormatting>
  <conditionalFormatting sqref="AF101:AF102">
    <cfRule type="expression" dxfId="2679" priority="2232">
      <formula>$BC101="YES"</formula>
    </cfRule>
  </conditionalFormatting>
  <conditionalFormatting sqref="AF103:AF104">
    <cfRule type="expression" dxfId="2678" priority="2233">
      <formula>$BC103="YES"</formula>
    </cfRule>
  </conditionalFormatting>
  <conditionalFormatting sqref="AF105:AF106">
    <cfRule type="expression" dxfId="2677" priority="2234">
      <formula>$BC105="YES"</formula>
    </cfRule>
  </conditionalFormatting>
  <conditionalFormatting sqref="AF107:AF108">
    <cfRule type="expression" dxfId="2676" priority="2235">
      <formula>$BC107="YES"</formula>
    </cfRule>
  </conditionalFormatting>
  <conditionalFormatting sqref="AF109:AF110">
    <cfRule type="expression" dxfId="2675" priority="2236">
      <formula>$BC109="YES"</formula>
    </cfRule>
  </conditionalFormatting>
  <conditionalFormatting sqref="AF111:AF112">
    <cfRule type="expression" dxfId="2674" priority="2237">
      <formula>$BC111="YES"</formula>
    </cfRule>
  </conditionalFormatting>
  <conditionalFormatting sqref="AF113:AF114">
    <cfRule type="expression" dxfId="2673" priority="2238">
      <formula>$BC113="YES"</formula>
    </cfRule>
  </conditionalFormatting>
  <conditionalFormatting sqref="AF115:AF116">
    <cfRule type="expression" dxfId="2672" priority="2239">
      <formula>$BC115="YES"</formula>
    </cfRule>
  </conditionalFormatting>
  <conditionalFormatting sqref="AF117:AF118">
    <cfRule type="expression" dxfId="2671" priority="2240">
      <formula>$BC117="YES"</formula>
    </cfRule>
  </conditionalFormatting>
  <conditionalFormatting sqref="AF119:AF120">
    <cfRule type="expression" dxfId="2670" priority="2241">
      <formula>$BC119="YES"</formula>
    </cfRule>
  </conditionalFormatting>
  <conditionalFormatting sqref="AF121:AF122">
    <cfRule type="expression" dxfId="2669" priority="2242">
      <formula>$BC121="YES"</formula>
    </cfRule>
  </conditionalFormatting>
  <conditionalFormatting sqref="AF123:AF124">
    <cfRule type="expression" dxfId="2668" priority="2243">
      <formula>$BC123="YES"</formula>
    </cfRule>
  </conditionalFormatting>
  <conditionalFormatting sqref="AF125:AF126">
    <cfRule type="expression" dxfId="2667" priority="2244">
      <formula>$BC125="YES"</formula>
    </cfRule>
  </conditionalFormatting>
  <conditionalFormatting sqref="AF127:AF128">
    <cfRule type="expression" dxfId="2666" priority="2245">
      <formula>$BC127="YES"</formula>
    </cfRule>
  </conditionalFormatting>
  <conditionalFormatting sqref="AF129:AF130">
    <cfRule type="expression" dxfId="2665" priority="2246">
      <formula>$BC129="YES"</formula>
    </cfRule>
  </conditionalFormatting>
  <conditionalFormatting sqref="AF131:AF132">
    <cfRule type="expression" dxfId="2664" priority="2247">
      <formula>$BC131="YES"</formula>
    </cfRule>
  </conditionalFormatting>
  <conditionalFormatting sqref="AF133:AF134">
    <cfRule type="expression" dxfId="2663" priority="2248">
      <formula>$BC133="YES"</formula>
    </cfRule>
  </conditionalFormatting>
  <conditionalFormatting sqref="AF135:AF136">
    <cfRule type="expression" dxfId="2662" priority="2249">
      <formula>$BC135="YES"</formula>
    </cfRule>
  </conditionalFormatting>
  <conditionalFormatting sqref="AF137:AF138">
    <cfRule type="expression" dxfId="2661" priority="2250">
      <formula>$BC137="YES"</formula>
    </cfRule>
  </conditionalFormatting>
  <conditionalFormatting sqref="AF139:AF140">
    <cfRule type="expression" dxfId="2660" priority="2251">
      <formula>$BC139="YES"</formula>
    </cfRule>
  </conditionalFormatting>
  <conditionalFormatting sqref="AF141:AF142">
    <cfRule type="expression" dxfId="2659" priority="2252">
      <formula>$BC141="YES"</formula>
    </cfRule>
  </conditionalFormatting>
  <conditionalFormatting sqref="AF143:AF144">
    <cfRule type="expression" dxfId="2658" priority="2253">
      <formula>$BC143="YES"</formula>
    </cfRule>
  </conditionalFormatting>
  <conditionalFormatting sqref="AF145:AF146">
    <cfRule type="expression" dxfId="2657" priority="2254">
      <formula>$BC145="YES"</formula>
    </cfRule>
  </conditionalFormatting>
  <conditionalFormatting sqref="AF147:AF148">
    <cfRule type="expression" dxfId="2656" priority="2255">
      <formula>$BC147="YES"</formula>
    </cfRule>
  </conditionalFormatting>
  <conditionalFormatting sqref="AF149:AF150">
    <cfRule type="expression" dxfId="2655" priority="2256">
      <formula>$BC149="YES"</formula>
    </cfRule>
  </conditionalFormatting>
  <conditionalFormatting sqref="AF151:AF152">
    <cfRule type="expression" dxfId="2654" priority="2257">
      <formula>$BC151="YES"</formula>
    </cfRule>
  </conditionalFormatting>
  <conditionalFormatting sqref="AF153:AF154">
    <cfRule type="expression" dxfId="2653" priority="2258">
      <formula>$BC153="YES"</formula>
    </cfRule>
  </conditionalFormatting>
  <conditionalFormatting sqref="AF155:AF156">
    <cfRule type="expression" dxfId="2652" priority="2259">
      <formula>$BC155="YES"</formula>
    </cfRule>
  </conditionalFormatting>
  <conditionalFormatting sqref="AF157:AF158">
    <cfRule type="expression" dxfId="2651" priority="2260">
      <formula>$BC157="YES"</formula>
    </cfRule>
  </conditionalFormatting>
  <conditionalFormatting sqref="AF159:AF160">
    <cfRule type="expression" dxfId="2650" priority="2261">
      <formula>$BC159="YES"</formula>
    </cfRule>
  </conditionalFormatting>
  <conditionalFormatting sqref="AF161:AF162">
    <cfRule type="expression" dxfId="2649" priority="2262">
      <formula>$BC161="YES"</formula>
    </cfRule>
  </conditionalFormatting>
  <conditionalFormatting sqref="AF163:AF164">
    <cfRule type="expression" dxfId="2648" priority="2263">
      <formula>$BC163="YES"</formula>
    </cfRule>
  </conditionalFormatting>
  <conditionalFormatting sqref="AF165:AF166">
    <cfRule type="expression" dxfId="2647" priority="2264">
      <formula>$BC165="YES"</formula>
    </cfRule>
  </conditionalFormatting>
  <conditionalFormatting sqref="AF167:AF168">
    <cfRule type="expression" dxfId="2646" priority="2265">
      <formula>$BC167="YES"</formula>
    </cfRule>
  </conditionalFormatting>
  <conditionalFormatting sqref="AF169:AF170">
    <cfRule type="expression" dxfId="2645" priority="2266">
      <formula>$BC169="YES"</formula>
    </cfRule>
  </conditionalFormatting>
  <conditionalFormatting sqref="AF171:AF172">
    <cfRule type="expression" dxfId="2644" priority="2267">
      <formula>$BC171="YES"</formula>
    </cfRule>
  </conditionalFormatting>
  <conditionalFormatting sqref="AF173:AF174">
    <cfRule type="expression" dxfId="2643" priority="2268">
      <formula>$BC173="YES"</formula>
    </cfRule>
  </conditionalFormatting>
  <conditionalFormatting sqref="AF175:AF176">
    <cfRule type="expression" dxfId="2642" priority="2269">
      <formula>$BC175="YES"</formula>
    </cfRule>
  </conditionalFormatting>
  <conditionalFormatting sqref="AF177:AF178">
    <cfRule type="expression" dxfId="2641" priority="2270">
      <formula>$BC177="YES"</formula>
    </cfRule>
  </conditionalFormatting>
  <conditionalFormatting sqref="AF179:AF180">
    <cfRule type="expression" dxfId="2640" priority="2271">
      <formula>$BC179="YES"</formula>
    </cfRule>
  </conditionalFormatting>
  <conditionalFormatting sqref="AF181:AF182">
    <cfRule type="expression" dxfId="2639" priority="2272">
      <formula>$BC181="YES"</formula>
    </cfRule>
  </conditionalFormatting>
  <conditionalFormatting sqref="AF183:AF184">
    <cfRule type="expression" dxfId="2638" priority="2273">
      <formula>$BC183="YES"</formula>
    </cfRule>
  </conditionalFormatting>
  <conditionalFormatting sqref="AF185:AF186">
    <cfRule type="expression" dxfId="2637" priority="2274">
      <formula>$BC185="YES"</formula>
    </cfRule>
  </conditionalFormatting>
  <conditionalFormatting sqref="AF187:AF188">
    <cfRule type="expression" dxfId="2636" priority="2275">
      <formula>$BC187="YES"</formula>
    </cfRule>
  </conditionalFormatting>
  <conditionalFormatting sqref="AF189:AF190">
    <cfRule type="expression" dxfId="2635" priority="2276">
      <formula>$BC189="YES"</formula>
    </cfRule>
  </conditionalFormatting>
  <conditionalFormatting sqref="AF191:AF192">
    <cfRule type="expression" dxfId="2634" priority="2277">
      <formula>$BC191="YES"</formula>
    </cfRule>
  </conditionalFormatting>
  <conditionalFormatting sqref="AF193:AF194">
    <cfRule type="expression" dxfId="2633" priority="2278">
      <formula>$BC193="YES"</formula>
    </cfRule>
  </conditionalFormatting>
  <conditionalFormatting sqref="AF195:AF196">
    <cfRule type="expression" dxfId="2632" priority="2279">
      <formula>$BC195="YES"</formula>
    </cfRule>
  </conditionalFormatting>
  <conditionalFormatting sqref="AF197:AF198">
    <cfRule type="expression" dxfId="2631" priority="2280">
      <formula>$BC197="YES"</formula>
    </cfRule>
  </conditionalFormatting>
  <conditionalFormatting sqref="AF199:AF200">
    <cfRule type="expression" dxfId="2630" priority="2281">
      <formula>$BC199="YES"</formula>
    </cfRule>
  </conditionalFormatting>
  <conditionalFormatting sqref="AF201:AF202">
    <cfRule type="expression" dxfId="2629" priority="2282">
      <formula>$BC201="YES"</formula>
    </cfRule>
  </conditionalFormatting>
  <conditionalFormatting sqref="AF203:AF204">
    <cfRule type="expression" dxfId="2628" priority="2283">
      <formula>$BC203="YES"</formula>
    </cfRule>
  </conditionalFormatting>
  <conditionalFormatting sqref="AF205:AF206">
    <cfRule type="expression" dxfId="2627" priority="2284">
      <formula>$BC205="YES"</formula>
    </cfRule>
  </conditionalFormatting>
  <conditionalFormatting sqref="AF207:AF208">
    <cfRule type="expression" dxfId="2626" priority="2285">
      <formula>$BC207="YES"</formula>
    </cfRule>
  </conditionalFormatting>
  <conditionalFormatting sqref="AF209:AF210">
    <cfRule type="expression" dxfId="2625" priority="2286">
      <formula>$BC209="YES"</formula>
    </cfRule>
  </conditionalFormatting>
  <conditionalFormatting sqref="AF211:AF212">
    <cfRule type="expression" dxfId="2624" priority="2287">
      <formula>$BC211="YES"</formula>
    </cfRule>
  </conditionalFormatting>
  <conditionalFormatting sqref="AF213:AF214">
    <cfRule type="expression" dxfId="2623" priority="2288">
      <formula>$BC213="YES"</formula>
    </cfRule>
  </conditionalFormatting>
  <conditionalFormatting sqref="AF215:AF216">
    <cfRule type="expression" dxfId="2622" priority="2289">
      <formula>$BC215="YES"</formula>
    </cfRule>
  </conditionalFormatting>
  <conditionalFormatting sqref="AF217:AF218">
    <cfRule type="expression" dxfId="2621" priority="2290">
      <formula>$BC217="YES"</formula>
    </cfRule>
  </conditionalFormatting>
  <conditionalFormatting sqref="AF219:AF220">
    <cfRule type="expression" dxfId="2620" priority="2291">
      <formula>$BC219="YES"</formula>
    </cfRule>
  </conditionalFormatting>
  <conditionalFormatting sqref="AF221:AF222">
    <cfRule type="expression" dxfId="2619" priority="2292">
      <formula>$BC221="YES"</formula>
    </cfRule>
  </conditionalFormatting>
  <conditionalFormatting sqref="AF223:AF224">
    <cfRule type="expression" dxfId="2618" priority="2293">
      <formula>$BC223="YES"</formula>
    </cfRule>
  </conditionalFormatting>
  <conditionalFormatting sqref="AF225:AF226">
    <cfRule type="expression" dxfId="2617" priority="2294">
      <formula>$BC225="YES"</formula>
    </cfRule>
  </conditionalFormatting>
  <conditionalFormatting sqref="AF227:AF228">
    <cfRule type="expression" dxfId="2616" priority="2295">
      <formula>$BC227="YES"</formula>
    </cfRule>
  </conditionalFormatting>
  <conditionalFormatting sqref="AF229:AF230">
    <cfRule type="expression" dxfId="2615" priority="2296">
      <formula>$BC229="YES"</formula>
    </cfRule>
  </conditionalFormatting>
  <conditionalFormatting sqref="AF231:AF232">
    <cfRule type="expression" dxfId="2614" priority="2297">
      <formula>$BC231="YES"</formula>
    </cfRule>
  </conditionalFormatting>
  <conditionalFormatting sqref="AF233:AF234">
    <cfRule type="expression" dxfId="2613" priority="2298">
      <formula>$BC233="YES"</formula>
    </cfRule>
  </conditionalFormatting>
  <conditionalFormatting sqref="AF235:AF236">
    <cfRule type="expression" dxfId="2612" priority="2299">
      <formula>$BC235="YES"</formula>
    </cfRule>
  </conditionalFormatting>
  <conditionalFormatting sqref="AF237:AF238">
    <cfRule type="expression" dxfId="2611" priority="2300">
      <formula>$BC237="YES"</formula>
    </cfRule>
  </conditionalFormatting>
  <conditionalFormatting sqref="AF239:AF240">
    <cfRule type="expression" dxfId="2610" priority="2301">
      <formula>$BC239="YES"</formula>
    </cfRule>
  </conditionalFormatting>
  <conditionalFormatting sqref="AF241:AF242">
    <cfRule type="expression" dxfId="2609" priority="2302">
      <formula>$BC241="YES"</formula>
    </cfRule>
  </conditionalFormatting>
  <conditionalFormatting sqref="AF243:AF244">
    <cfRule type="expression" dxfId="2608" priority="2303">
      <formula>$BC243="YES"</formula>
    </cfRule>
  </conditionalFormatting>
  <conditionalFormatting sqref="AF245:AF246">
    <cfRule type="expression" dxfId="2607" priority="2304">
      <formula>$BC245="YES"</formula>
    </cfRule>
  </conditionalFormatting>
  <conditionalFormatting sqref="AF247:AF248">
    <cfRule type="expression" dxfId="2606" priority="2305">
      <formula>$BC247="YES"</formula>
    </cfRule>
  </conditionalFormatting>
  <conditionalFormatting sqref="AF249:AF250">
    <cfRule type="expression" dxfId="2605" priority="2306">
      <formula>$BC249="YES"</formula>
    </cfRule>
  </conditionalFormatting>
  <conditionalFormatting sqref="AF251:AF252">
    <cfRule type="expression" dxfId="2604" priority="2307">
      <formula>$BC251="YES"</formula>
    </cfRule>
  </conditionalFormatting>
  <conditionalFormatting sqref="AF253:AF254">
    <cfRule type="expression" dxfId="2603" priority="2308">
      <formula>$BC253="YES"</formula>
    </cfRule>
  </conditionalFormatting>
  <conditionalFormatting sqref="AF255:AF256">
    <cfRule type="expression" dxfId="2602" priority="2309">
      <formula>$BC255="YES"</formula>
    </cfRule>
  </conditionalFormatting>
  <conditionalFormatting sqref="AF257:AF258">
    <cfRule type="expression" dxfId="2601" priority="2310">
      <formula>$BC257="YES"</formula>
    </cfRule>
  </conditionalFormatting>
  <conditionalFormatting sqref="AF259:AF260">
    <cfRule type="expression" dxfId="2600" priority="2311">
      <formula>$BC259="YES"</formula>
    </cfRule>
  </conditionalFormatting>
  <conditionalFormatting sqref="AF261:AF262">
    <cfRule type="expression" dxfId="2599" priority="2312">
      <formula>$BC261="YES"</formula>
    </cfRule>
  </conditionalFormatting>
  <conditionalFormatting sqref="AF263:AF264">
    <cfRule type="expression" dxfId="2598" priority="2313">
      <formula>$BC263="YES"</formula>
    </cfRule>
  </conditionalFormatting>
  <conditionalFormatting sqref="AF265:AF266">
    <cfRule type="expression" dxfId="2597" priority="2314">
      <formula>$BC265="YES"</formula>
    </cfRule>
  </conditionalFormatting>
  <conditionalFormatting sqref="AF267:AF268">
    <cfRule type="expression" dxfId="2596" priority="2315">
      <formula>$BC267="YES"</formula>
    </cfRule>
  </conditionalFormatting>
  <conditionalFormatting sqref="AF269:AF270">
    <cfRule type="expression" dxfId="2595" priority="2316">
      <formula>$BC269="YES"</formula>
    </cfRule>
  </conditionalFormatting>
  <conditionalFormatting sqref="AF271:AF272">
    <cfRule type="expression" dxfId="2594" priority="2317">
      <formula>$BC271="YES"</formula>
    </cfRule>
  </conditionalFormatting>
  <conditionalFormatting sqref="AF273:AF274">
    <cfRule type="expression" dxfId="2593" priority="2318">
      <formula>$BC273="YES"</formula>
    </cfRule>
  </conditionalFormatting>
  <conditionalFormatting sqref="AF275:AF276">
    <cfRule type="expression" dxfId="2592" priority="2319">
      <formula>$BC275="YES"</formula>
    </cfRule>
  </conditionalFormatting>
  <conditionalFormatting sqref="AF277:AF278">
    <cfRule type="expression" dxfId="2591" priority="2320">
      <formula>$BC277="YES"</formula>
    </cfRule>
  </conditionalFormatting>
  <conditionalFormatting sqref="AF279:AF280">
    <cfRule type="expression" dxfId="2590" priority="2321">
      <formula>$BC279="YES"</formula>
    </cfRule>
  </conditionalFormatting>
  <conditionalFormatting sqref="AF281:AF282">
    <cfRule type="expression" dxfId="2589" priority="2322">
      <formula>$BC281="YES"</formula>
    </cfRule>
  </conditionalFormatting>
  <conditionalFormatting sqref="AF283:AF284">
    <cfRule type="expression" dxfId="2588" priority="2323">
      <formula>$BC283="YES"</formula>
    </cfRule>
  </conditionalFormatting>
  <conditionalFormatting sqref="AF285:AF286">
    <cfRule type="expression" dxfId="2587" priority="2324">
      <formula>$BC285="YES"</formula>
    </cfRule>
  </conditionalFormatting>
  <conditionalFormatting sqref="AF287:AF288">
    <cfRule type="expression" dxfId="2586" priority="2325">
      <formula>$BC287="YES"</formula>
    </cfRule>
  </conditionalFormatting>
  <conditionalFormatting sqref="AF289:AF290">
    <cfRule type="expression" dxfId="2585" priority="2326">
      <formula>$BC289="YES"</formula>
    </cfRule>
  </conditionalFormatting>
  <conditionalFormatting sqref="AF291:AF292">
    <cfRule type="expression" dxfId="2584" priority="2327">
      <formula>$BC291="YES"</formula>
    </cfRule>
  </conditionalFormatting>
  <conditionalFormatting sqref="AF293:AF294">
    <cfRule type="expression" dxfId="2583" priority="2328">
      <formula>$BC293="YES"</formula>
    </cfRule>
  </conditionalFormatting>
  <conditionalFormatting sqref="AF295:AF296">
    <cfRule type="expression" dxfId="2582" priority="2329">
      <formula>$BC295="YES"</formula>
    </cfRule>
  </conditionalFormatting>
  <conditionalFormatting sqref="AF297:AF298">
    <cfRule type="expression" dxfId="2581" priority="2330">
      <formula>$BC297="YES"</formula>
    </cfRule>
  </conditionalFormatting>
  <conditionalFormatting sqref="AF299:AF300">
    <cfRule type="expression" dxfId="2580" priority="2331">
      <formula>$BC299="YES"</formula>
    </cfRule>
  </conditionalFormatting>
  <conditionalFormatting sqref="AF301:AF302">
    <cfRule type="expression" dxfId="2579" priority="2332">
      <formula>$BC301="YES"</formula>
    </cfRule>
  </conditionalFormatting>
  <conditionalFormatting sqref="AF303:AF304">
    <cfRule type="expression" dxfId="2578" priority="2333">
      <formula>$BC303="YES"</formula>
    </cfRule>
  </conditionalFormatting>
  <conditionalFormatting sqref="AF305:AF306">
    <cfRule type="expression" dxfId="2577" priority="2334">
      <formula>$BC305="YES"</formula>
    </cfRule>
  </conditionalFormatting>
  <conditionalFormatting sqref="AF307:AF308">
    <cfRule type="expression" dxfId="2576" priority="2335">
      <formula>$BC307="YES"</formula>
    </cfRule>
  </conditionalFormatting>
  <conditionalFormatting sqref="AF309:AF310">
    <cfRule type="expression" dxfId="2575" priority="2336">
      <formula>$BC309="YES"</formula>
    </cfRule>
  </conditionalFormatting>
  <conditionalFormatting sqref="AF311:AF312">
    <cfRule type="expression" dxfId="2574" priority="2337">
      <formula>$BC311="YES"</formula>
    </cfRule>
  </conditionalFormatting>
  <conditionalFormatting sqref="AF313:AF314">
    <cfRule type="expression" dxfId="2573" priority="2338">
      <formula>$BC313="YES"</formula>
    </cfRule>
  </conditionalFormatting>
  <conditionalFormatting sqref="AF315:AF316">
    <cfRule type="expression" dxfId="2572" priority="2339">
      <formula>$BC315="YES"</formula>
    </cfRule>
  </conditionalFormatting>
  <conditionalFormatting sqref="AF317:AF318">
    <cfRule type="expression" dxfId="2571" priority="2340">
      <formula>$BC317="YES"</formula>
    </cfRule>
  </conditionalFormatting>
  <conditionalFormatting sqref="AF319:AF320">
    <cfRule type="expression" dxfId="2570" priority="2341">
      <formula>$BC319="YES"</formula>
    </cfRule>
  </conditionalFormatting>
  <conditionalFormatting sqref="AF321:AF322">
    <cfRule type="expression" dxfId="2569" priority="2342">
      <formula>$BC321="YES"</formula>
    </cfRule>
  </conditionalFormatting>
  <conditionalFormatting sqref="AF323:AF324">
    <cfRule type="expression" dxfId="2568" priority="2343">
      <formula>$BC323="YES"</formula>
    </cfRule>
  </conditionalFormatting>
  <conditionalFormatting sqref="AF325:AF326">
    <cfRule type="expression" dxfId="2567" priority="2344">
      <formula>$BC325="YES"</formula>
    </cfRule>
  </conditionalFormatting>
  <conditionalFormatting sqref="AF327:AF328">
    <cfRule type="expression" dxfId="2566" priority="2345">
      <formula>$BC327="YES"</formula>
    </cfRule>
  </conditionalFormatting>
  <conditionalFormatting sqref="AF329:AF330">
    <cfRule type="expression" dxfId="2565" priority="2346">
      <formula>$BC329="YES"</formula>
    </cfRule>
  </conditionalFormatting>
  <conditionalFormatting sqref="AF331:AF332">
    <cfRule type="expression" dxfId="2564" priority="2347">
      <formula>$BC331="YES"</formula>
    </cfRule>
  </conditionalFormatting>
  <conditionalFormatting sqref="AF333:AF334">
    <cfRule type="expression" dxfId="2563" priority="2348">
      <formula>$BC333="YES"</formula>
    </cfRule>
  </conditionalFormatting>
  <conditionalFormatting sqref="AF335:AF336">
    <cfRule type="expression" dxfId="2562" priority="2349">
      <formula>$BC335="YES"</formula>
    </cfRule>
  </conditionalFormatting>
  <conditionalFormatting sqref="AF337:AF338">
    <cfRule type="expression" dxfId="2561" priority="2350">
      <formula>$BC337="YES"</formula>
    </cfRule>
  </conditionalFormatting>
  <conditionalFormatting sqref="AF339:AF340">
    <cfRule type="expression" dxfId="2560" priority="2351">
      <formula>$BC339="YES"</formula>
    </cfRule>
  </conditionalFormatting>
  <conditionalFormatting sqref="AF341:AF342">
    <cfRule type="expression" dxfId="2559" priority="2352">
      <formula>$BC341="YES"</formula>
    </cfRule>
  </conditionalFormatting>
  <conditionalFormatting sqref="AF343:AF344">
    <cfRule type="expression" dxfId="2558" priority="2353">
      <formula>$BC343="YES"</formula>
    </cfRule>
  </conditionalFormatting>
  <conditionalFormatting sqref="AF345:AF346">
    <cfRule type="expression" dxfId="2557" priority="2354">
      <formula>$BC345="YES"</formula>
    </cfRule>
  </conditionalFormatting>
  <conditionalFormatting sqref="AF347:AF348">
    <cfRule type="expression" dxfId="2556" priority="2355">
      <formula>$BC347="YES"</formula>
    </cfRule>
  </conditionalFormatting>
  <conditionalFormatting sqref="AF349:AF350">
    <cfRule type="expression" dxfId="2555" priority="2356">
      <formula>$BC349="YES"</formula>
    </cfRule>
  </conditionalFormatting>
  <conditionalFormatting sqref="AF351:AF352">
    <cfRule type="expression" dxfId="2554" priority="2357">
      <formula>$BC351="YES"</formula>
    </cfRule>
  </conditionalFormatting>
  <conditionalFormatting sqref="AF353:AF354">
    <cfRule type="expression" dxfId="2553" priority="2358">
      <formula>$BC353="YES"</formula>
    </cfRule>
  </conditionalFormatting>
  <conditionalFormatting sqref="AF355:AF356">
    <cfRule type="expression" dxfId="2552" priority="2359">
      <formula>$BC355="YES"</formula>
    </cfRule>
  </conditionalFormatting>
  <conditionalFormatting sqref="AF357:AF358">
    <cfRule type="expression" dxfId="2551" priority="2360">
      <formula>$BC357="YES"</formula>
    </cfRule>
  </conditionalFormatting>
  <conditionalFormatting sqref="AF359:AF360">
    <cfRule type="expression" dxfId="2550" priority="2361">
      <formula>$BC359="YES"</formula>
    </cfRule>
  </conditionalFormatting>
  <conditionalFormatting sqref="AF361:AF362">
    <cfRule type="expression" dxfId="2549" priority="2362">
      <formula>$BC361="YES"</formula>
    </cfRule>
  </conditionalFormatting>
  <conditionalFormatting sqref="AF363:AF364">
    <cfRule type="expression" dxfId="2548" priority="2363">
      <formula>$BC363="YES"</formula>
    </cfRule>
  </conditionalFormatting>
  <conditionalFormatting sqref="AF365:AF366">
    <cfRule type="expression" dxfId="2547" priority="2364">
      <formula>$BC365="YES"</formula>
    </cfRule>
  </conditionalFormatting>
  <conditionalFormatting sqref="AF367:AF368">
    <cfRule type="expression" dxfId="2546" priority="2365">
      <formula>$BC367="YES"</formula>
    </cfRule>
  </conditionalFormatting>
  <conditionalFormatting sqref="AF369:AF370">
    <cfRule type="expression" dxfId="2545" priority="2366">
      <formula>$BC369="YES"</formula>
    </cfRule>
  </conditionalFormatting>
  <conditionalFormatting sqref="AF371:AF372">
    <cfRule type="expression" dxfId="2544" priority="2367">
      <formula>$BC371="YES"</formula>
    </cfRule>
  </conditionalFormatting>
  <conditionalFormatting sqref="AF373:AF374">
    <cfRule type="expression" dxfId="2543" priority="2368">
      <formula>$BC373="YES"</formula>
    </cfRule>
  </conditionalFormatting>
  <conditionalFormatting sqref="AF375:AF376">
    <cfRule type="expression" dxfId="2542" priority="2369">
      <formula>$BC375="YES"</formula>
    </cfRule>
  </conditionalFormatting>
  <conditionalFormatting sqref="AF377:AF378">
    <cfRule type="expression" dxfId="2541" priority="2370">
      <formula>$BC377="YES"</formula>
    </cfRule>
  </conditionalFormatting>
  <conditionalFormatting sqref="AF379:AF380">
    <cfRule type="expression" dxfId="2540" priority="2371">
      <formula>$BC379="YES"</formula>
    </cfRule>
  </conditionalFormatting>
  <conditionalFormatting sqref="AF381:AF382">
    <cfRule type="expression" dxfId="2539" priority="2372">
      <formula>$BC381="YES"</formula>
    </cfRule>
  </conditionalFormatting>
  <conditionalFormatting sqref="AF383:AF384">
    <cfRule type="expression" dxfId="2538" priority="2373">
      <formula>$BC383="YES"</formula>
    </cfRule>
  </conditionalFormatting>
  <conditionalFormatting sqref="AF385:AF386">
    <cfRule type="expression" dxfId="2537" priority="2374">
      <formula>$BC385="YES"</formula>
    </cfRule>
  </conditionalFormatting>
  <conditionalFormatting sqref="AF387:AF388">
    <cfRule type="expression" dxfId="2536" priority="2375">
      <formula>$BC387="YES"</formula>
    </cfRule>
  </conditionalFormatting>
  <conditionalFormatting sqref="AF389:AF390">
    <cfRule type="expression" dxfId="2535" priority="2376">
      <formula>$BC389="YES"</formula>
    </cfRule>
  </conditionalFormatting>
  <conditionalFormatting sqref="AF391:AF392">
    <cfRule type="expression" dxfId="2534" priority="2377">
      <formula>$BC391="YES"</formula>
    </cfRule>
  </conditionalFormatting>
  <conditionalFormatting sqref="AF393:AF394">
    <cfRule type="expression" dxfId="2533" priority="2378">
      <formula>$BC393="YES"</formula>
    </cfRule>
  </conditionalFormatting>
  <conditionalFormatting sqref="AF395:AF396">
    <cfRule type="expression" dxfId="2532" priority="2379">
      <formula>$BC395="YES"</formula>
    </cfRule>
  </conditionalFormatting>
  <conditionalFormatting sqref="AF397:AF398">
    <cfRule type="expression" dxfId="2531" priority="2380">
      <formula>$BC397="YES"</formula>
    </cfRule>
  </conditionalFormatting>
  <conditionalFormatting sqref="AF399:AF400">
    <cfRule type="expression" dxfId="2530" priority="2381">
      <formula>$BC399="YES"</formula>
    </cfRule>
  </conditionalFormatting>
  <conditionalFormatting sqref="AF401:AF402">
    <cfRule type="expression" dxfId="2529" priority="2382">
      <formula>$BC401="YES"</formula>
    </cfRule>
  </conditionalFormatting>
  <conditionalFormatting sqref="AF403:AF404">
    <cfRule type="expression" dxfId="2528" priority="2383">
      <formula>$BC403="YES"</formula>
    </cfRule>
  </conditionalFormatting>
  <conditionalFormatting sqref="AF405:AF406">
    <cfRule type="expression" dxfId="2527" priority="2384">
      <formula>$BC405="YES"</formula>
    </cfRule>
  </conditionalFormatting>
  <conditionalFormatting sqref="AF407:AF408">
    <cfRule type="expression" dxfId="2526" priority="2385">
      <formula>$BC407="YES"</formula>
    </cfRule>
  </conditionalFormatting>
  <conditionalFormatting sqref="AF409:AF410">
    <cfRule type="expression" dxfId="2525" priority="2386">
      <formula>$BC409="YES"</formula>
    </cfRule>
  </conditionalFormatting>
  <conditionalFormatting sqref="AF411:AF412">
    <cfRule type="expression" dxfId="2524" priority="2387">
      <formula>$BC411="YES"</formula>
    </cfRule>
  </conditionalFormatting>
  <conditionalFormatting sqref="AF413:AF414">
    <cfRule type="expression" dxfId="2523" priority="2388">
      <formula>$BC413="YES"</formula>
    </cfRule>
  </conditionalFormatting>
  <conditionalFormatting sqref="AF415:AF416">
    <cfRule type="expression" dxfId="2522" priority="2389">
      <formula>$BC415="YES"</formula>
    </cfRule>
  </conditionalFormatting>
  <conditionalFormatting sqref="AF417:AF418">
    <cfRule type="expression" dxfId="2521" priority="2390">
      <formula>$BC417="YES"</formula>
    </cfRule>
  </conditionalFormatting>
  <conditionalFormatting sqref="AF419:AF420">
    <cfRule type="expression" dxfId="2520" priority="2391">
      <formula>$BC419="YES"</formula>
    </cfRule>
  </conditionalFormatting>
  <conditionalFormatting sqref="AF421:AF422">
    <cfRule type="expression" dxfId="2519" priority="2392">
      <formula>$BC421="YES"</formula>
    </cfRule>
  </conditionalFormatting>
  <conditionalFormatting sqref="AF423:AF424">
    <cfRule type="expression" dxfId="2518" priority="2393">
      <formula>$BC423="YES"</formula>
    </cfRule>
  </conditionalFormatting>
  <conditionalFormatting sqref="AF425:AF426">
    <cfRule type="expression" dxfId="2517" priority="2394">
      <formula>$BC425="YES"</formula>
    </cfRule>
  </conditionalFormatting>
  <conditionalFormatting sqref="AF427:AF428">
    <cfRule type="expression" dxfId="2516" priority="2395">
      <formula>$BC427="YES"</formula>
    </cfRule>
  </conditionalFormatting>
  <conditionalFormatting sqref="AF429:AF430">
    <cfRule type="expression" dxfId="2515" priority="2396">
      <formula>$BC429="YES"</formula>
    </cfRule>
  </conditionalFormatting>
  <conditionalFormatting sqref="AF431:AF432">
    <cfRule type="expression" dxfId="2514" priority="2397">
      <formula>$BC431="YES"</formula>
    </cfRule>
  </conditionalFormatting>
  <conditionalFormatting sqref="AF433:AF434">
    <cfRule type="expression" dxfId="2513" priority="2398">
      <formula>$BC433="YES"</formula>
    </cfRule>
  </conditionalFormatting>
  <conditionalFormatting sqref="AF435:AF436">
    <cfRule type="expression" dxfId="2512" priority="2399">
      <formula>$BC435="YES"</formula>
    </cfRule>
  </conditionalFormatting>
  <conditionalFormatting sqref="AF437:AF438">
    <cfRule type="expression" dxfId="2511" priority="2400">
      <formula>$BC437="YES"</formula>
    </cfRule>
  </conditionalFormatting>
  <conditionalFormatting sqref="AF439:AF440">
    <cfRule type="expression" dxfId="2510" priority="2401">
      <formula>$BC439="YES"</formula>
    </cfRule>
  </conditionalFormatting>
  <conditionalFormatting sqref="AF441:AF442">
    <cfRule type="expression" dxfId="2509" priority="2402">
      <formula>$BC441="YES"</formula>
    </cfRule>
  </conditionalFormatting>
  <conditionalFormatting sqref="AF443:AF444">
    <cfRule type="expression" dxfId="2508" priority="2403">
      <formula>$BC443="YES"</formula>
    </cfRule>
  </conditionalFormatting>
  <conditionalFormatting sqref="AF445:AF446">
    <cfRule type="expression" dxfId="2507" priority="2404">
      <formula>$BC445="YES"</formula>
    </cfRule>
  </conditionalFormatting>
  <conditionalFormatting sqref="AF447:AF448">
    <cfRule type="expression" dxfId="2506" priority="2405">
      <formula>$BC447="YES"</formula>
    </cfRule>
  </conditionalFormatting>
  <conditionalFormatting sqref="AF449:AF450">
    <cfRule type="expression" dxfId="2505" priority="2406">
      <formula>$BC449="YES"</formula>
    </cfRule>
  </conditionalFormatting>
  <conditionalFormatting sqref="AF451:AF452">
    <cfRule type="expression" dxfId="2504" priority="2407">
      <formula>$BC451="YES"</formula>
    </cfRule>
  </conditionalFormatting>
  <conditionalFormatting sqref="AF453:AF454">
    <cfRule type="expression" dxfId="2503" priority="2408">
      <formula>$BC453="YES"</formula>
    </cfRule>
  </conditionalFormatting>
  <conditionalFormatting sqref="AF455:AF456">
    <cfRule type="expression" dxfId="2502" priority="2409">
      <formula>$BC455="YES"</formula>
    </cfRule>
  </conditionalFormatting>
  <conditionalFormatting sqref="AF457:AF458">
    <cfRule type="expression" dxfId="2501" priority="2410">
      <formula>$BC457="YES"</formula>
    </cfRule>
  </conditionalFormatting>
  <conditionalFormatting sqref="AF459:AF460">
    <cfRule type="expression" dxfId="2500" priority="2411">
      <formula>$BC459="YES"</formula>
    </cfRule>
  </conditionalFormatting>
  <conditionalFormatting sqref="AF461:AF462">
    <cfRule type="expression" dxfId="2499" priority="2412">
      <formula>$BC461="YES"</formula>
    </cfRule>
  </conditionalFormatting>
  <conditionalFormatting sqref="AF463:AF464">
    <cfRule type="expression" dxfId="2498" priority="2413">
      <formula>$BC463="YES"</formula>
    </cfRule>
  </conditionalFormatting>
  <conditionalFormatting sqref="AF465:AF466">
    <cfRule type="expression" dxfId="2497" priority="2414">
      <formula>$BC465="YES"</formula>
    </cfRule>
  </conditionalFormatting>
  <conditionalFormatting sqref="AF467:AF468">
    <cfRule type="expression" dxfId="2496" priority="2415">
      <formula>$BC467="YES"</formula>
    </cfRule>
  </conditionalFormatting>
  <conditionalFormatting sqref="AF469:AF470">
    <cfRule type="expression" dxfId="2495" priority="2416">
      <formula>$BC469="YES"</formula>
    </cfRule>
  </conditionalFormatting>
  <conditionalFormatting sqref="AF471:AF472">
    <cfRule type="expression" dxfId="2494" priority="2417">
      <formula>$BC471="YES"</formula>
    </cfRule>
  </conditionalFormatting>
  <conditionalFormatting sqref="AF473:AF474">
    <cfRule type="expression" dxfId="2493" priority="2418">
      <formula>$BC473="YES"</formula>
    </cfRule>
  </conditionalFormatting>
  <conditionalFormatting sqref="AF475:AF476">
    <cfRule type="expression" dxfId="2492" priority="2419">
      <formula>$BC475="YES"</formula>
    </cfRule>
  </conditionalFormatting>
  <conditionalFormatting sqref="AF477:AF478">
    <cfRule type="expression" dxfId="2491" priority="2420">
      <formula>$BC477="YES"</formula>
    </cfRule>
  </conditionalFormatting>
  <conditionalFormatting sqref="AF479:AF480">
    <cfRule type="expression" dxfId="2490" priority="2421">
      <formula>$BC479="YES"</formula>
    </cfRule>
  </conditionalFormatting>
  <conditionalFormatting sqref="AF481:AF482">
    <cfRule type="expression" dxfId="2489" priority="2422">
      <formula>$BC481="YES"</formula>
    </cfRule>
  </conditionalFormatting>
  <conditionalFormatting sqref="AF483:AF484">
    <cfRule type="expression" dxfId="2488" priority="2423">
      <formula>$BC483="YES"</formula>
    </cfRule>
  </conditionalFormatting>
  <conditionalFormatting sqref="AF485:AF486">
    <cfRule type="expression" dxfId="2487" priority="2424">
      <formula>$BC485="YES"</formula>
    </cfRule>
  </conditionalFormatting>
  <conditionalFormatting sqref="AF487:AF488">
    <cfRule type="expression" dxfId="2486" priority="2425">
      <formula>$BC487="YES"</formula>
    </cfRule>
  </conditionalFormatting>
  <conditionalFormatting sqref="AF489:AF490">
    <cfRule type="expression" dxfId="2485" priority="2426">
      <formula>$BC489="YES"</formula>
    </cfRule>
  </conditionalFormatting>
  <conditionalFormatting sqref="AF491:AF492">
    <cfRule type="expression" dxfId="2484" priority="2427">
      <formula>$BC491="YES"</formula>
    </cfRule>
  </conditionalFormatting>
  <conditionalFormatting sqref="AF493:AF494">
    <cfRule type="expression" dxfId="2483" priority="2428">
      <formula>$BC493="YES"</formula>
    </cfRule>
  </conditionalFormatting>
  <conditionalFormatting sqref="AF495:AF496">
    <cfRule type="expression" dxfId="2482" priority="2429">
      <formula>$BC495="YES"</formula>
    </cfRule>
  </conditionalFormatting>
  <conditionalFormatting sqref="AF497:AF498">
    <cfRule type="expression" dxfId="2481" priority="2430">
      <formula>$BC497="YES"</formula>
    </cfRule>
  </conditionalFormatting>
  <conditionalFormatting sqref="AF499:AF500">
    <cfRule type="expression" dxfId="2480" priority="2431">
      <formula>$BC499="YES"</formula>
    </cfRule>
  </conditionalFormatting>
  <conditionalFormatting sqref="AF501:AF502">
    <cfRule type="expression" dxfId="2479" priority="2432">
      <formula>$BC501="YES"</formula>
    </cfRule>
  </conditionalFormatting>
  <conditionalFormatting sqref="AF503:AF504">
    <cfRule type="expression" dxfId="2478" priority="2433">
      <formula>$BC503="YES"</formula>
    </cfRule>
  </conditionalFormatting>
  <conditionalFormatting sqref="AF505:AF506">
    <cfRule type="expression" dxfId="2477" priority="2434">
      <formula>$BC505="YES"</formula>
    </cfRule>
  </conditionalFormatting>
  <conditionalFormatting sqref="AF507:AF508">
    <cfRule type="expression" dxfId="2476" priority="2435">
      <formula>$BC507="YES"</formula>
    </cfRule>
  </conditionalFormatting>
  <conditionalFormatting sqref="AF509:AF510">
    <cfRule type="expression" dxfId="2475" priority="2436">
      <formula>$BC509="YES"</formula>
    </cfRule>
  </conditionalFormatting>
  <conditionalFormatting sqref="AF511:AF512">
    <cfRule type="expression" dxfId="2474" priority="2437">
      <formula>$BC511="YES"</formula>
    </cfRule>
  </conditionalFormatting>
  <conditionalFormatting sqref="AF513:AF514">
    <cfRule type="expression" dxfId="2473" priority="2438">
      <formula>$BC513="YES"</formula>
    </cfRule>
  </conditionalFormatting>
  <conditionalFormatting sqref="AF515:AF516">
    <cfRule type="expression" dxfId="2472" priority="2439">
      <formula>$BC515="YES"</formula>
    </cfRule>
  </conditionalFormatting>
  <conditionalFormatting sqref="AF517:AF518">
    <cfRule type="expression" dxfId="2471" priority="2440">
      <formula>$BC517="YES"</formula>
    </cfRule>
  </conditionalFormatting>
  <conditionalFormatting sqref="AF519:AF520">
    <cfRule type="expression" dxfId="2470" priority="2441">
      <formula>$BC519="YES"</formula>
    </cfRule>
  </conditionalFormatting>
  <conditionalFormatting sqref="AF521:AF522">
    <cfRule type="expression" dxfId="2469" priority="2442">
      <formula>$BC521="YES"</formula>
    </cfRule>
  </conditionalFormatting>
  <conditionalFormatting sqref="AF523:AF524">
    <cfRule type="expression" dxfId="2468" priority="2443">
      <formula>$BC523="YES"</formula>
    </cfRule>
  </conditionalFormatting>
  <conditionalFormatting sqref="AF525:AF526">
    <cfRule type="expression" dxfId="2467" priority="2444">
      <formula>$BC525="YES"</formula>
    </cfRule>
  </conditionalFormatting>
  <conditionalFormatting sqref="AF527:AF528">
    <cfRule type="expression" dxfId="2466" priority="2445">
      <formula>$BC527="YES"</formula>
    </cfRule>
  </conditionalFormatting>
  <conditionalFormatting sqref="AF529:AF530">
    <cfRule type="expression" dxfId="2465" priority="2446">
      <formula>$BC529="YES"</formula>
    </cfRule>
  </conditionalFormatting>
  <conditionalFormatting sqref="AF531:AF532">
    <cfRule type="expression" dxfId="2464" priority="2447">
      <formula>$BC531="YES"</formula>
    </cfRule>
  </conditionalFormatting>
  <conditionalFormatting sqref="AF533:AF534">
    <cfRule type="expression" dxfId="2463" priority="2448">
      <formula>$BC533="YES"</formula>
    </cfRule>
  </conditionalFormatting>
  <conditionalFormatting sqref="AF535:AF536">
    <cfRule type="expression" dxfId="2462" priority="2449">
      <formula>$BC535="YES"</formula>
    </cfRule>
  </conditionalFormatting>
  <conditionalFormatting sqref="AF537:AF538">
    <cfRule type="expression" dxfId="2461" priority="2450">
      <formula>$BC537="YES"</formula>
    </cfRule>
  </conditionalFormatting>
  <conditionalFormatting sqref="AF539:AF540">
    <cfRule type="expression" dxfId="2460" priority="2451">
      <formula>$BC539="YES"</formula>
    </cfRule>
  </conditionalFormatting>
  <conditionalFormatting sqref="AF541:AF542">
    <cfRule type="expression" dxfId="2459" priority="2452">
      <formula>$BC541="YES"</formula>
    </cfRule>
  </conditionalFormatting>
  <conditionalFormatting sqref="AF543:AF544">
    <cfRule type="expression" dxfId="2458" priority="2453">
      <formula>$BC543="YES"</formula>
    </cfRule>
  </conditionalFormatting>
  <conditionalFormatting sqref="AF545:AF546">
    <cfRule type="expression" dxfId="2457" priority="2454">
      <formula>$BC545="YES"</formula>
    </cfRule>
  </conditionalFormatting>
  <conditionalFormatting sqref="AF547:AF548">
    <cfRule type="expression" dxfId="2456" priority="2455">
      <formula>$BC547="YES"</formula>
    </cfRule>
  </conditionalFormatting>
  <conditionalFormatting sqref="AF549:AF550">
    <cfRule type="expression" dxfId="2455" priority="2456">
      <formula>$BC549="YES"</formula>
    </cfRule>
  </conditionalFormatting>
  <conditionalFormatting sqref="AF551:AF552">
    <cfRule type="expression" dxfId="2454" priority="2457">
      <formula>$BC551="YES"</formula>
    </cfRule>
  </conditionalFormatting>
  <conditionalFormatting sqref="AF553:AF554">
    <cfRule type="expression" dxfId="2453" priority="2458">
      <formula>$BC553="YES"</formula>
    </cfRule>
  </conditionalFormatting>
  <conditionalFormatting sqref="AF555:AF556">
    <cfRule type="expression" dxfId="2452" priority="2459">
      <formula>$BC555="YES"</formula>
    </cfRule>
  </conditionalFormatting>
  <conditionalFormatting sqref="AF557:AF558">
    <cfRule type="expression" dxfId="2451" priority="2460">
      <formula>$BC557="YES"</formula>
    </cfRule>
  </conditionalFormatting>
  <conditionalFormatting sqref="AF559:AF560">
    <cfRule type="expression" dxfId="2450" priority="2461">
      <formula>$BC559="YES"</formula>
    </cfRule>
  </conditionalFormatting>
  <conditionalFormatting sqref="AF561:AF562">
    <cfRule type="expression" dxfId="2449" priority="2462">
      <formula>$BC561="YES"</formula>
    </cfRule>
  </conditionalFormatting>
  <conditionalFormatting sqref="AF563:AF564">
    <cfRule type="expression" dxfId="2448" priority="2463">
      <formula>$BC563="YES"</formula>
    </cfRule>
  </conditionalFormatting>
  <conditionalFormatting sqref="AH15:AH16">
    <cfRule type="expression" dxfId="2447" priority="2464">
      <formula>$BC15="YES"</formula>
    </cfRule>
  </conditionalFormatting>
  <conditionalFormatting sqref="AH17:AH18">
    <cfRule type="expression" dxfId="2446" priority="2465">
      <formula>$BC17="YES"</formula>
    </cfRule>
  </conditionalFormatting>
  <conditionalFormatting sqref="AH19:AH20">
    <cfRule type="expression" dxfId="2445" priority="2466">
      <formula>$BC19="YES"</formula>
    </cfRule>
  </conditionalFormatting>
  <conditionalFormatting sqref="AH21:AH22">
    <cfRule type="expression" dxfId="2444" priority="2467">
      <formula>$BC21="YES"</formula>
    </cfRule>
  </conditionalFormatting>
  <conditionalFormatting sqref="AH23:AH24">
    <cfRule type="expression" dxfId="2443" priority="2468">
      <formula>$BC23="YES"</formula>
    </cfRule>
  </conditionalFormatting>
  <conditionalFormatting sqref="AH25:AH26">
    <cfRule type="expression" dxfId="2442" priority="2469">
      <formula>$BC25="YES"</formula>
    </cfRule>
  </conditionalFormatting>
  <conditionalFormatting sqref="AH27:AH28">
    <cfRule type="expression" dxfId="2441" priority="2470">
      <formula>$BC27="YES"</formula>
    </cfRule>
  </conditionalFormatting>
  <conditionalFormatting sqref="AH29:AH30">
    <cfRule type="expression" dxfId="2440" priority="2471">
      <formula>$BC29="YES"</formula>
    </cfRule>
  </conditionalFormatting>
  <conditionalFormatting sqref="AH31:AH32">
    <cfRule type="expression" dxfId="2439" priority="2472">
      <formula>$BC31="YES"</formula>
    </cfRule>
  </conditionalFormatting>
  <conditionalFormatting sqref="AH33:AH34">
    <cfRule type="expression" dxfId="2438" priority="2473">
      <formula>$BC33="YES"</formula>
    </cfRule>
  </conditionalFormatting>
  <conditionalFormatting sqref="AH35:AH36">
    <cfRule type="expression" dxfId="2437" priority="2474">
      <formula>$BC35="YES"</formula>
    </cfRule>
  </conditionalFormatting>
  <conditionalFormatting sqref="AH37:AH38">
    <cfRule type="expression" dxfId="2436" priority="2475">
      <formula>$BC37="YES"</formula>
    </cfRule>
  </conditionalFormatting>
  <conditionalFormatting sqref="AH39:AH40">
    <cfRule type="expression" dxfId="2435" priority="2476">
      <formula>$BC39="YES"</formula>
    </cfRule>
  </conditionalFormatting>
  <conditionalFormatting sqref="AH41:AH42">
    <cfRule type="expression" dxfId="2434" priority="2477">
      <formula>$BC41="YES"</formula>
    </cfRule>
  </conditionalFormatting>
  <conditionalFormatting sqref="AH43:AH44">
    <cfRule type="expression" dxfId="2433" priority="2478">
      <formula>$BC43="YES"</formula>
    </cfRule>
  </conditionalFormatting>
  <conditionalFormatting sqref="AH45:AH46">
    <cfRule type="expression" dxfId="2432" priority="2479">
      <formula>$BC45="YES"</formula>
    </cfRule>
  </conditionalFormatting>
  <conditionalFormatting sqref="AH47:AH48">
    <cfRule type="expression" dxfId="2431" priority="2480">
      <formula>$BC47="YES"</formula>
    </cfRule>
  </conditionalFormatting>
  <conditionalFormatting sqref="AH49:AH50">
    <cfRule type="expression" dxfId="2430" priority="2481">
      <formula>$BC49="YES"</formula>
    </cfRule>
  </conditionalFormatting>
  <conditionalFormatting sqref="AH51:AH52">
    <cfRule type="expression" dxfId="2429" priority="2482">
      <formula>$BC51="YES"</formula>
    </cfRule>
  </conditionalFormatting>
  <conditionalFormatting sqref="AH53:AH54">
    <cfRule type="expression" dxfId="2428" priority="2483">
      <formula>$BC53="YES"</formula>
    </cfRule>
  </conditionalFormatting>
  <conditionalFormatting sqref="AH55:AH56">
    <cfRule type="expression" dxfId="2427" priority="2484">
      <formula>$BC55="YES"</formula>
    </cfRule>
  </conditionalFormatting>
  <conditionalFormatting sqref="AH57:AH58">
    <cfRule type="expression" dxfId="2426" priority="2485">
      <formula>$BC57="YES"</formula>
    </cfRule>
  </conditionalFormatting>
  <conditionalFormatting sqref="AH59:AH60">
    <cfRule type="expression" dxfId="2425" priority="2486">
      <formula>$BC59="YES"</formula>
    </cfRule>
  </conditionalFormatting>
  <conditionalFormatting sqref="AH61:AH62">
    <cfRule type="expression" dxfId="2424" priority="2487">
      <formula>$BC61="YES"</formula>
    </cfRule>
  </conditionalFormatting>
  <conditionalFormatting sqref="AH63:AH64">
    <cfRule type="expression" dxfId="2423" priority="2488">
      <formula>$BC63="YES"</formula>
    </cfRule>
  </conditionalFormatting>
  <conditionalFormatting sqref="AH65:AH66">
    <cfRule type="expression" dxfId="2422" priority="2489">
      <formula>$BC65="YES"</formula>
    </cfRule>
  </conditionalFormatting>
  <conditionalFormatting sqref="AH67:AH68">
    <cfRule type="expression" dxfId="2421" priority="2490">
      <formula>$BC67="YES"</formula>
    </cfRule>
  </conditionalFormatting>
  <conditionalFormatting sqref="AH69:AH70">
    <cfRule type="expression" dxfId="2420" priority="2491">
      <formula>$BC69="YES"</formula>
    </cfRule>
  </conditionalFormatting>
  <conditionalFormatting sqref="AH71:AH72">
    <cfRule type="expression" dxfId="2419" priority="2492">
      <formula>$BC71="YES"</formula>
    </cfRule>
  </conditionalFormatting>
  <conditionalFormatting sqref="AH73:AH74">
    <cfRule type="expression" dxfId="2418" priority="2493">
      <formula>$BC73="YES"</formula>
    </cfRule>
  </conditionalFormatting>
  <conditionalFormatting sqref="AH75:AH76">
    <cfRule type="expression" dxfId="2417" priority="2494">
      <formula>$BC75="YES"</formula>
    </cfRule>
  </conditionalFormatting>
  <conditionalFormatting sqref="AH77:AH78">
    <cfRule type="expression" dxfId="2416" priority="2495">
      <formula>$BC77="YES"</formula>
    </cfRule>
  </conditionalFormatting>
  <conditionalFormatting sqref="AH79:AH80">
    <cfRule type="expression" dxfId="2415" priority="2496">
      <formula>$BC79="YES"</formula>
    </cfRule>
  </conditionalFormatting>
  <conditionalFormatting sqref="AH81:AH82">
    <cfRule type="expression" dxfId="2414" priority="2497">
      <formula>$BC81="YES"</formula>
    </cfRule>
  </conditionalFormatting>
  <conditionalFormatting sqref="AH83:AH84">
    <cfRule type="expression" dxfId="2413" priority="2498">
      <formula>$BC83="YES"</formula>
    </cfRule>
  </conditionalFormatting>
  <conditionalFormatting sqref="AH85:AH86">
    <cfRule type="expression" dxfId="2412" priority="2499">
      <formula>$BC85="YES"</formula>
    </cfRule>
  </conditionalFormatting>
  <conditionalFormatting sqref="AH87:AH88">
    <cfRule type="expression" dxfId="2411" priority="2500">
      <formula>$BC87="YES"</formula>
    </cfRule>
  </conditionalFormatting>
  <conditionalFormatting sqref="AH89:AH90">
    <cfRule type="expression" dxfId="2410" priority="2501">
      <formula>$BC89="YES"</formula>
    </cfRule>
  </conditionalFormatting>
  <conditionalFormatting sqref="AH91:AH92">
    <cfRule type="expression" dxfId="2409" priority="2502">
      <formula>$BC91="YES"</formula>
    </cfRule>
  </conditionalFormatting>
  <conditionalFormatting sqref="AH93:AH94">
    <cfRule type="expression" dxfId="2408" priority="2503">
      <formula>$BC93="YES"</formula>
    </cfRule>
  </conditionalFormatting>
  <conditionalFormatting sqref="AH95:AH96">
    <cfRule type="expression" dxfId="2407" priority="2504">
      <formula>$BC95="YES"</formula>
    </cfRule>
  </conditionalFormatting>
  <conditionalFormatting sqref="AH97:AH98">
    <cfRule type="expression" dxfId="2406" priority="2505">
      <formula>$BC97="YES"</formula>
    </cfRule>
  </conditionalFormatting>
  <conditionalFormatting sqref="AH99:AH100">
    <cfRule type="expression" dxfId="2405" priority="2506">
      <formula>$BC99="YES"</formula>
    </cfRule>
  </conditionalFormatting>
  <conditionalFormatting sqref="AH101:AH102">
    <cfRule type="expression" dxfId="2404" priority="2507">
      <formula>$BC101="YES"</formula>
    </cfRule>
  </conditionalFormatting>
  <conditionalFormatting sqref="AH103:AH104">
    <cfRule type="expression" dxfId="2403" priority="2508">
      <formula>$BC103="YES"</formula>
    </cfRule>
  </conditionalFormatting>
  <conditionalFormatting sqref="AH105:AH106">
    <cfRule type="expression" dxfId="2402" priority="2509">
      <formula>$BC105="YES"</formula>
    </cfRule>
  </conditionalFormatting>
  <conditionalFormatting sqref="AH107:AH108">
    <cfRule type="expression" dxfId="2401" priority="2510">
      <formula>$BC107="YES"</formula>
    </cfRule>
  </conditionalFormatting>
  <conditionalFormatting sqref="AH109:AH110">
    <cfRule type="expression" dxfId="2400" priority="2511">
      <formula>$BC109="YES"</formula>
    </cfRule>
  </conditionalFormatting>
  <conditionalFormatting sqref="AH111:AH112">
    <cfRule type="expression" dxfId="2399" priority="2512">
      <formula>$BC111="YES"</formula>
    </cfRule>
  </conditionalFormatting>
  <conditionalFormatting sqref="AH113:AH114">
    <cfRule type="expression" dxfId="2398" priority="2513">
      <formula>$BC113="YES"</formula>
    </cfRule>
  </conditionalFormatting>
  <conditionalFormatting sqref="AH115:AH116">
    <cfRule type="expression" dxfId="2397" priority="2514">
      <formula>$BC115="YES"</formula>
    </cfRule>
  </conditionalFormatting>
  <conditionalFormatting sqref="AH117:AH118">
    <cfRule type="expression" dxfId="2396" priority="2515">
      <formula>$BC117="YES"</formula>
    </cfRule>
  </conditionalFormatting>
  <conditionalFormatting sqref="AH119:AH120">
    <cfRule type="expression" dxfId="2395" priority="2516">
      <formula>$BC119="YES"</formula>
    </cfRule>
  </conditionalFormatting>
  <conditionalFormatting sqref="AH121:AH122">
    <cfRule type="expression" dxfId="2394" priority="2517">
      <formula>$BC121="YES"</formula>
    </cfRule>
  </conditionalFormatting>
  <conditionalFormatting sqref="AH123:AH124">
    <cfRule type="expression" dxfId="2393" priority="2518">
      <formula>$BC123="YES"</formula>
    </cfRule>
  </conditionalFormatting>
  <conditionalFormatting sqref="AH125:AH126">
    <cfRule type="expression" dxfId="2392" priority="2519">
      <formula>$BC125="YES"</formula>
    </cfRule>
  </conditionalFormatting>
  <conditionalFormatting sqref="AH127:AH128">
    <cfRule type="expression" dxfId="2391" priority="2520">
      <formula>$BC127="YES"</formula>
    </cfRule>
  </conditionalFormatting>
  <conditionalFormatting sqref="AH129:AH130">
    <cfRule type="expression" dxfId="2390" priority="2521">
      <formula>$BC129="YES"</formula>
    </cfRule>
  </conditionalFormatting>
  <conditionalFormatting sqref="AH131:AH132">
    <cfRule type="expression" dxfId="2389" priority="2522">
      <formula>$BC131="YES"</formula>
    </cfRule>
  </conditionalFormatting>
  <conditionalFormatting sqref="AH133:AH134">
    <cfRule type="expression" dxfId="2388" priority="2523">
      <formula>$BC133="YES"</formula>
    </cfRule>
  </conditionalFormatting>
  <conditionalFormatting sqref="AH135:AH136">
    <cfRule type="expression" dxfId="2387" priority="2524">
      <formula>$BC135="YES"</formula>
    </cfRule>
  </conditionalFormatting>
  <conditionalFormatting sqref="AH137:AH138">
    <cfRule type="expression" dxfId="2386" priority="2525">
      <formula>$BC137="YES"</formula>
    </cfRule>
  </conditionalFormatting>
  <conditionalFormatting sqref="AH139:AH140">
    <cfRule type="expression" dxfId="2385" priority="2526">
      <formula>$BC139="YES"</formula>
    </cfRule>
  </conditionalFormatting>
  <conditionalFormatting sqref="AH141:AH142">
    <cfRule type="expression" dxfId="2384" priority="2527">
      <formula>$BC141="YES"</formula>
    </cfRule>
  </conditionalFormatting>
  <conditionalFormatting sqref="AH143:AH144">
    <cfRule type="expression" dxfId="2383" priority="2528">
      <formula>$BC143="YES"</formula>
    </cfRule>
  </conditionalFormatting>
  <conditionalFormatting sqref="AH145:AH146">
    <cfRule type="expression" dxfId="2382" priority="2529">
      <formula>$BC145="YES"</formula>
    </cfRule>
  </conditionalFormatting>
  <conditionalFormatting sqref="AH147:AH148">
    <cfRule type="expression" dxfId="2381" priority="2530">
      <formula>$BC147="YES"</formula>
    </cfRule>
  </conditionalFormatting>
  <conditionalFormatting sqref="AH149:AH150">
    <cfRule type="expression" dxfId="2380" priority="2531">
      <formula>$BC149="YES"</formula>
    </cfRule>
  </conditionalFormatting>
  <conditionalFormatting sqref="AH151:AH152">
    <cfRule type="expression" dxfId="2379" priority="2532">
      <formula>$BC151="YES"</formula>
    </cfRule>
  </conditionalFormatting>
  <conditionalFormatting sqref="AH153:AH154">
    <cfRule type="expression" dxfId="2378" priority="2533">
      <formula>$BC153="YES"</formula>
    </cfRule>
  </conditionalFormatting>
  <conditionalFormatting sqref="AH155:AH156">
    <cfRule type="expression" dxfId="2377" priority="2534">
      <formula>$BC155="YES"</formula>
    </cfRule>
  </conditionalFormatting>
  <conditionalFormatting sqref="AH157:AH158">
    <cfRule type="expression" dxfId="2376" priority="2535">
      <formula>$BC157="YES"</formula>
    </cfRule>
  </conditionalFormatting>
  <conditionalFormatting sqref="AH159:AH160">
    <cfRule type="expression" dxfId="2375" priority="2536">
      <formula>$BC159="YES"</formula>
    </cfRule>
  </conditionalFormatting>
  <conditionalFormatting sqref="AH161:AH162">
    <cfRule type="expression" dxfId="2374" priority="2537">
      <formula>$BC161="YES"</formula>
    </cfRule>
  </conditionalFormatting>
  <conditionalFormatting sqref="AH163:AH164">
    <cfRule type="expression" dxfId="2373" priority="2538">
      <formula>$BC163="YES"</formula>
    </cfRule>
  </conditionalFormatting>
  <conditionalFormatting sqref="AH165:AH166">
    <cfRule type="expression" dxfId="2372" priority="2539">
      <formula>$BC165="YES"</formula>
    </cfRule>
  </conditionalFormatting>
  <conditionalFormatting sqref="AH167:AH168">
    <cfRule type="expression" dxfId="2371" priority="2540">
      <formula>$BC167="YES"</formula>
    </cfRule>
  </conditionalFormatting>
  <conditionalFormatting sqref="AH169:AH170">
    <cfRule type="expression" dxfId="2370" priority="2541">
      <formula>$BC169="YES"</formula>
    </cfRule>
  </conditionalFormatting>
  <conditionalFormatting sqref="AH171:AH172">
    <cfRule type="expression" dxfId="2369" priority="2542">
      <formula>$BC171="YES"</formula>
    </cfRule>
  </conditionalFormatting>
  <conditionalFormatting sqref="AH173:AH174">
    <cfRule type="expression" dxfId="2368" priority="2543">
      <formula>$BC173="YES"</formula>
    </cfRule>
  </conditionalFormatting>
  <conditionalFormatting sqref="AH175:AH176">
    <cfRule type="expression" dxfId="2367" priority="2544">
      <formula>$BC175="YES"</formula>
    </cfRule>
  </conditionalFormatting>
  <conditionalFormatting sqref="AH177:AH178">
    <cfRule type="expression" dxfId="2366" priority="2545">
      <formula>$BC177="YES"</formula>
    </cfRule>
  </conditionalFormatting>
  <conditionalFormatting sqref="AH179:AH180">
    <cfRule type="expression" dxfId="2365" priority="2546">
      <formula>$BC179="YES"</formula>
    </cfRule>
  </conditionalFormatting>
  <conditionalFormatting sqref="AH181:AH182">
    <cfRule type="expression" dxfId="2364" priority="2547">
      <formula>$BC181="YES"</formula>
    </cfRule>
  </conditionalFormatting>
  <conditionalFormatting sqref="AH183:AH184">
    <cfRule type="expression" dxfId="2363" priority="2548">
      <formula>$BC183="YES"</formula>
    </cfRule>
  </conditionalFormatting>
  <conditionalFormatting sqref="AH185:AH186">
    <cfRule type="expression" dxfId="2362" priority="2549">
      <formula>$BC185="YES"</formula>
    </cfRule>
  </conditionalFormatting>
  <conditionalFormatting sqref="AH187:AH188">
    <cfRule type="expression" dxfId="2361" priority="2550">
      <formula>$BC187="YES"</formula>
    </cfRule>
  </conditionalFormatting>
  <conditionalFormatting sqref="AH189:AH190">
    <cfRule type="expression" dxfId="2360" priority="2551">
      <formula>$BC189="YES"</formula>
    </cfRule>
  </conditionalFormatting>
  <conditionalFormatting sqref="AH191:AH192">
    <cfRule type="expression" dxfId="2359" priority="2552">
      <formula>$BC191="YES"</formula>
    </cfRule>
  </conditionalFormatting>
  <conditionalFormatting sqref="AH193:AH194">
    <cfRule type="expression" dxfId="2358" priority="2553">
      <formula>$BC193="YES"</formula>
    </cfRule>
  </conditionalFormatting>
  <conditionalFormatting sqref="AH195:AH196">
    <cfRule type="expression" dxfId="2357" priority="2554">
      <formula>$BC195="YES"</formula>
    </cfRule>
  </conditionalFormatting>
  <conditionalFormatting sqref="AH197:AH198">
    <cfRule type="expression" dxfId="2356" priority="2555">
      <formula>$BC197="YES"</formula>
    </cfRule>
  </conditionalFormatting>
  <conditionalFormatting sqref="AH199:AH200">
    <cfRule type="expression" dxfId="2355" priority="2556">
      <formula>$BC199="YES"</formula>
    </cfRule>
  </conditionalFormatting>
  <conditionalFormatting sqref="AH201:AH202">
    <cfRule type="expression" dxfId="2354" priority="2557">
      <formula>$BC201="YES"</formula>
    </cfRule>
  </conditionalFormatting>
  <conditionalFormatting sqref="AH203:AH204">
    <cfRule type="expression" dxfId="2353" priority="2558">
      <formula>$BC203="YES"</formula>
    </cfRule>
  </conditionalFormatting>
  <conditionalFormatting sqref="AH205:AH206">
    <cfRule type="expression" dxfId="2352" priority="2559">
      <formula>$BC205="YES"</formula>
    </cfRule>
  </conditionalFormatting>
  <conditionalFormatting sqref="AH207:AH208">
    <cfRule type="expression" dxfId="2351" priority="2560">
      <formula>$BC207="YES"</formula>
    </cfRule>
  </conditionalFormatting>
  <conditionalFormatting sqref="AH209:AH210">
    <cfRule type="expression" dxfId="2350" priority="2561">
      <formula>$BC209="YES"</formula>
    </cfRule>
  </conditionalFormatting>
  <conditionalFormatting sqref="AH211:AH212">
    <cfRule type="expression" dxfId="2349" priority="2562">
      <formula>$BC211="YES"</formula>
    </cfRule>
  </conditionalFormatting>
  <conditionalFormatting sqref="AH213:AH214">
    <cfRule type="expression" dxfId="2348" priority="2563">
      <formula>$BC213="YES"</formula>
    </cfRule>
  </conditionalFormatting>
  <conditionalFormatting sqref="AH215:AH216">
    <cfRule type="expression" dxfId="2347" priority="2564">
      <formula>$BC215="YES"</formula>
    </cfRule>
  </conditionalFormatting>
  <conditionalFormatting sqref="AH217:AH218">
    <cfRule type="expression" dxfId="2346" priority="2565">
      <formula>$BC217="YES"</formula>
    </cfRule>
  </conditionalFormatting>
  <conditionalFormatting sqref="AH219:AH220">
    <cfRule type="expression" dxfId="2345" priority="2566">
      <formula>$BC219="YES"</formula>
    </cfRule>
  </conditionalFormatting>
  <conditionalFormatting sqref="AH221:AH222">
    <cfRule type="expression" dxfId="2344" priority="2567">
      <formula>$BC221="YES"</formula>
    </cfRule>
  </conditionalFormatting>
  <conditionalFormatting sqref="AH223:AH224">
    <cfRule type="expression" dxfId="2343" priority="2568">
      <formula>$BC223="YES"</formula>
    </cfRule>
  </conditionalFormatting>
  <conditionalFormatting sqref="AH225:AH226">
    <cfRule type="expression" dxfId="2342" priority="2569">
      <formula>$BC225="YES"</formula>
    </cfRule>
  </conditionalFormatting>
  <conditionalFormatting sqref="AH227:AH228">
    <cfRule type="expression" dxfId="2341" priority="2570">
      <formula>$BC227="YES"</formula>
    </cfRule>
  </conditionalFormatting>
  <conditionalFormatting sqref="AH229:AH230">
    <cfRule type="expression" dxfId="2340" priority="2571">
      <formula>$BC229="YES"</formula>
    </cfRule>
  </conditionalFormatting>
  <conditionalFormatting sqref="AH231:AH232">
    <cfRule type="expression" dxfId="2339" priority="2572">
      <formula>$BC231="YES"</formula>
    </cfRule>
  </conditionalFormatting>
  <conditionalFormatting sqref="AH233:AH234">
    <cfRule type="expression" dxfId="2338" priority="2573">
      <formula>$BC233="YES"</formula>
    </cfRule>
  </conditionalFormatting>
  <conditionalFormatting sqref="AH235:AH236">
    <cfRule type="expression" dxfId="2337" priority="2574">
      <formula>$BC235="YES"</formula>
    </cfRule>
  </conditionalFormatting>
  <conditionalFormatting sqref="AH237:AH238">
    <cfRule type="expression" dxfId="2336" priority="2575">
      <formula>$BC237="YES"</formula>
    </cfRule>
  </conditionalFormatting>
  <conditionalFormatting sqref="AH239:AH240">
    <cfRule type="expression" dxfId="2335" priority="2576">
      <formula>$BC239="YES"</formula>
    </cfRule>
  </conditionalFormatting>
  <conditionalFormatting sqref="AH241:AH242">
    <cfRule type="expression" dxfId="2334" priority="2577">
      <formula>$BC241="YES"</formula>
    </cfRule>
  </conditionalFormatting>
  <conditionalFormatting sqref="AH243:AH244">
    <cfRule type="expression" dxfId="2333" priority="2578">
      <formula>$BC243="YES"</formula>
    </cfRule>
  </conditionalFormatting>
  <conditionalFormatting sqref="AH245:AH246">
    <cfRule type="expression" dxfId="2332" priority="2579">
      <formula>$BC245="YES"</formula>
    </cfRule>
  </conditionalFormatting>
  <conditionalFormatting sqref="AH247:AH248">
    <cfRule type="expression" dxfId="2331" priority="2580">
      <formula>$BC247="YES"</formula>
    </cfRule>
  </conditionalFormatting>
  <conditionalFormatting sqref="AH249:AH250">
    <cfRule type="expression" dxfId="2330" priority="2581">
      <formula>$BC249="YES"</formula>
    </cfRule>
  </conditionalFormatting>
  <conditionalFormatting sqref="AH251:AH252">
    <cfRule type="expression" dxfId="2329" priority="2582">
      <formula>$BC251="YES"</formula>
    </cfRule>
  </conditionalFormatting>
  <conditionalFormatting sqref="AH253:AH254">
    <cfRule type="expression" dxfId="2328" priority="2583">
      <formula>$BC253="YES"</formula>
    </cfRule>
  </conditionalFormatting>
  <conditionalFormatting sqref="AH255:AH256">
    <cfRule type="expression" dxfId="2327" priority="2584">
      <formula>$BC255="YES"</formula>
    </cfRule>
  </conditionalFormatting>
  <conditionalFormatting sqref="AH257:AH258">
    <cfRule type="expression" dxfId="2326" priority="2585">
      <formula>$BC257="YES"</formula>
    </cfRule>
  </conditionalFormatting>
  <conditionalFormatting sqref="AH259:AH260">
    <cfRule type="expression" dxfId="2325" priority="2586">
      <formula>$BC259="YES"</formula>
    </cfRule>
  </conditionalFormatting>
  <conditionalFormatting sqref="AH261:AH262">
    <cfRule type="expression" dxfId="2324" priority="2587">
      <formula>$BC261="YES"</formula>
    </cfRule>
  </conditionalFormatting>
  <conditionalFormatting sqref="AH263:AH264">
    <cfRule type="expression" dxfId="2323" priority="2588">
      <formula>$BC263="YES"</formula>
    </cfRule>
  </conditionalFormatting>
  <conditionalFormatting sqref="AH265:AH266">
    <cfRule type="expression" dxfId="2322" priority="2589">
      <formula>$BC265="YES"</formula>
    </cfRule>
  </conditionalFormatting>
  <conditionalFormatting sqref="AH267:AH268">
    <cfRule type="expression" dxfId="2321" priority="2590">
      <formula>$BC267="YES"</formula>
    </cfRule>
  </conditionalFormatting>
  <conditionalFormatting sqref="AH269:AH270">
    <cfRule type="expression" dxfId="2320" priority="2591">
      <formula>$BC269="YES"</formula>
    </cfRule>
  </conditionalFormatting>
  <conditionalFormatting sqref="AH271:AH272">
    <cfRule type="expression" dxfId="2319" priority="2592">
      <formula>$BC271="YES"</formula>
    </cfRule>
  </conditionalFormatting>
  <conditionalFormatting sqref="AH273:AH274">
    <cfRule type="expression" dxfId="2318" priority="2593">
      <formula>$BC273="YES"</formula>
    </cfRule>
  </conditionalFormatting>
  <conditionalFormatting sqref="AH275:AH276">
    <cfRule type="expression" dxfId="2317" priority="2594">
      <formula>$BC275="YES"</formula>
    </cfRule>
  </conditionalFormatting>
  <conditionalFormatting sqref="AH277:AH278">
    <cfRule type="expression" dxfId="2316" priority="2595">
      <formula>$BC277="YES"</formula>
    </cfRule>
  </conditionalFormatting>
  <conditionalFormatting sqref="AH279:AH280">
    <cfRule type="expression" dxfId="2315" priority="2596">
      <formula>$BC279="YES"</formula>
    </cfRule>
  </conditionalFormatting>
  <conditionalFormatting sqref="AH281:AH282">
    <cfRule type="expression" dxfId="2314" priority="2597">
      <formula>$BC281="YES"</formula>
    </cfRule>
  </conditionalFormatting>
  <conditionalFormatting sqref="AH283:AH284">
    <cfRule type="expression" dxfId="2313" priority="2598">
      <formula>$BC283="YES"</formula>
    </cfRule>
  </conditionalFormatting>
  <conditionalFormatting sqref="AH285:AH286">
    <cfRule type="expression" dxfId="2312" priority="2599">
      <formula>$BC285="YES"</formula>
    </cfRule>
  </conditionalFormatting>
  <conditionalFormatting sqref="AH287:AH288">
    <cfRule type="expression" dxfId="2311" priority="2600">
      <formula>$BC287="YES"</formula>
    </cfRule>
  </conditionalFormatting>
  <conditionalFormatting sqref="AH289:AH290">
    <cfRule type="expression" dxfId="2310" priority="2601">
      <formula>$BC289="YES"</formula>
    </cfRule>
  </conditionalFormatting>
  <conditionalFormatting sqref="AH291:AH292">
    <cfRule type="expression" dxfId="2309" priority="2602">
      <formula>$BC291="YES"</formula>
    </cfRule>
  </conditionalFormatting>
  <conditionalFormatting sqref="AH293:AH294">
    <cfRule type="expression" dxfId="2308" priority="2603">
      <formula>$BC293="YES"</formula>
    </cfRule>
  </conditionalFormatting>
  <conditionalFormatting sqref="AH295:AH296">
    <cfRule type="expression" dxfId="2307" priority="2604">
      <formula>$BC295="YES"</formula>
    </cfRule>
  </conditionalFormatting>
  <conditionalFormatting sqref="AH297:AH298">
    <cfRule type="expression" dxfId="2306" priority="2605">
      <formula>$BC297="YES"</formula>
    </cfRule>
  </conditionalFormatting>
  <conditionalFormatting sqref="AH299:AH300">
    <cfRule type="expression" dxfId="2305" priority="2606">
      <formula>$BC299="YES"</formula>
    </cfRule>
  </conditionalFormatting>
  <conditionalFormatting sqref="AH301:AH302">
    <cfRule type="expression" dxfId="2304" priority="2607">
      <formula>$BC301="YES"</formula>
    </cfRule>
  </conditionalFormatting>
  <conditionalFormatting sqref="AH303:AH304">
    <cfRule type="expression" dxfId="2303" priority="2608">
      <formula>$BC303="YES"</formula>
    </cfRule>
  </conditionalFormatting>
  <conditionalFormatting sqref="AH305:AH306">
    <cfRule type="expression" dxfId="2302" priority="2609">
      <formula>$BC305="YES"</formula>
    </cfRule>
  </conditionalFormatting>
  <conditionalFormatting sqref="AH307:AH308">
    <cfRule type="expression" dxfId="2301" priority="2610">
      <formula>$BC307="YES"</formula>
    </cfRule>
  </conditionalFormatting>
  <conditionalFormatting sqref="AH309:AH310">
    <cfRule type="expression" dxfId="2300" priority="2611">
      <formula>$BC309="YES"</formula>
    </cfRule>
  </conditionalFormatting>
  <conditionalFormatting sqref="AH311:AH312">
    <cfRule type="expression" dxfId="2299" priority="2612">
      <formula>$BC311="YES"</formula>
    </cfRule>
  </conditionalFormatting>
  <conditionalFormatting sqref="AH313:AH314">
    <cfRule type="expression" dxfId="2298" priority="2613">
      <formula>$BC313="YES"</formula>
    </cfRule>
  </conditionalFormatting>
  <conditionalFormatting sqref="AH315:AH316">
    <cfRule type="expression" dxfId="2297" priority="2614">
      <formula>$BC315="YES"</formula>
    </cfRule>
  </conditionalFormatting>
  <conditionalFormatting sqref="AH317:AH318">
    <cfRule type="expression" dxfId="2296" priority="2615">
      <formula>$BC317="YES"</formula>
    </cfRule>
  </conditionalFormatting>
  <conditionalFormatting sqref="AH319:AH320">
    <cfRule type="expression" dxfId="2295" priority="2616">
      <formula>$BC319="YES"</formula>
    </cfRule>
  </conditionalFormatting>
  <conditionalFormatting sqref="AH321:AH322">
    <cfRule type="expression" dxfId="2294" priority="2617">
      <formula>$BC321="YES"</formula>
    </cfRule>
  </conditionalFormatting>
  <conditionalFormatting sqref="AH323:AH324">
    <cfRule type="expression" dxfId="2293" priority="2618">
      <formula>$BC323="YES"</formula>
    </cfRule>
  </conditionalFormatting>
  <conditionalFormatting sqref="AH325:AH326">
    <cfRule type="expression" dxfId="2292" priority="2619">
      <formula>$BC325="YES"</formula>
    </cfRule>
  </conditionalFormatting>
  <conditionalFormatting sqref="AH327:AH328">
    <cfRule type="expression" dxfId="2291" priority="2620">
      <formula>$BC327="YES"</formula>
    </cfRule>
  </conditionalFormatting>
  <conditionalFormatting sqref="AH329:AH330">
    <cfRule type="expression" dxfId="2290" priority="2621">
      <formula>$BC329="YES"</formula>
    </cfRule>
  </conditionalFormatting>
  <conditionalFormatting sqref="AH331:AH332">
    <cfRule type="expression" dxfId="2289" priority="2622">
      <formula>$BC331="YES"</formula>
    </cfRule>
  </conditionalFormatting>
  <conditionalFormatting sqref="AH333:AH334">
    <cfRule type="expression" dxfId="2288" priority="2623">
      <formula>$BC333="YES"</formula>
    </cfRule>
  </conditionalFormatting>
  <conditionalFormatting sqref="AH335:AH336">
    <cfRule type="expression" dxfId="2287" priority="2624">
      <formula>$BC335="YES"</formula>
    </cfRule>
  </conditionalFormatting>
  <conditionalFormatting sqref="AH337:AH338">
    <cfRule type="expression" dxfId="2286" priority="2625">
      <formula>$BC337="YES"</formula>
    </cfRule>
  </conditionalFormatting>
  <conditionalFormatting sqref="AH339:AH340">
    <cfRule type="expression" dxfId="2285" priority="2626">
      <formula>$BC339="YES"</formula>
    </cfRule>
  </conditionalFormatting>
  <conditionalFormatting sqref="AH341:AH342">
    <cfRule type="expression" dxfId="2284" priority="2627">
      <formula>$BC341="YES"</formula>
    </cfRule>
  </conditionalFormatting>
  <conditionalFormatting sqref="AH343:AH344">
    <cfRule type="expression" dxfId="2283" priority="2628">
      <formula>$BC343="YES"</formula>
    </cfRule>
  </conditionalFormatting>
  <conditionalFormatting sqref="AH345:AH346">
    <cfRule type="expression" dxfId="2282" priority="2629">
      <formula>$BC345="YES"</formula>
    </cfRule>
  </conditionalFormatting>
  <conditionalFormatting sqref="AH347:AH348">
    <cfRule type="expression" dxfId="2281" priority="2630">
      <formula>$BC347="YES"</formula>
    </cfRule>
  </conditionalFormatting>
  <conditionalFormatting sqref="AH349:AH350">
    <cfRule type="expression" dxfId="2280" priority="2631">
      <formula>$BC349="YES"</formula>
    </cfRule>
  </conditionalFormatting>
  <conditionalFormatting sqref="AH351:AH352">
    <cfRule type="expression" dxfId="2279" priority="2632">
      <formula>$BC351="YES"</formula>
    </cfRule>
  </conditionalFormatting>
  <conditionalFormatting sqref="AH353:AH354">
    <cfRule type="expression" dxfId="2278" priority="2633">
      <formula>$BC353="YES"</formula>
    </cfRule>
  </conditionalFormatting>
  <conditionalFormatting sqref="AH355:AH356">
    <cfRule type="expression" dxfId="2277" priority="2634">
      <formula>$BC355="YES"</formula>
    </cfRule>
  </conditionalFormatting>
  <conditionalFormatting sqref="AH357:AH358">
    <cfRule type="expression" dxfId="2276" priority="2635">
      <formula>$BC357="YES"</formula>
    </cfRule>
  </conditionalFormatting>
  <conditionalFormatting sqref="AH359:AH360">
    <cfRule type="expression" dxfId="2275" priority="2636">
      <formula>$BC359="YES"</formula>
    </cfRule>
  </conditionalFormatting>
  <conditionalFormatting sqref="AH361:AH362">
    <cfRule type="expression" dxfId="2274" priority="2637">
      <formula>$BC361="YES"</formula>
    </cfRule>
  </conditionalFormatting>
  <conditionalFormatting sqref="AH363:AH364">
    <cfRule type="expression" dxfId="2273" priority="2638">
      <formula>$BC363="YES"</formula>
    </cfRule>
  </conditionalFormatting>
  <conditionalFormatting sqref="AH365:AH366">
    <cfRule type="expression" dxfId="2272" priority="2639">
      <formula>$BC365="YES"</formula>
    </cfRule>
  </conditionalFormatting>
  <conditionalFormatting sqref="AH367:AH368">
    <cfRule type="expression" dxfId="2271" priority="2640">
      <formula>$BC367="YES"</formula>
    </cfRule>
  </conditionalFormatting>
  <conditionalFormatting sqref="AH369:AH370">
    <cfRule type="expression" dxfId="2270" priority="2641">
      <formula>$BC369="YES"</formula>
    </cfRule>
  </conditionalFormatting>
  <conditionalFormatting sqref="AH371:AH372">
    <cfRule type="expression" dxfId="2269" priority="2642">
      <formula>$BC371="YES"</formula>
    </cfRule>
  </conditionalFormatting>
  <conditionalFormatting sqref="AH373:AH374">
    <cfRule type="expression" dxfId="2268" priority="2643">
      <formula>$BC373="YES"</formula>
    </cfRule>
  </conditionalFormatting>
  <conditionalFormatting sqref="AH375:AH376">
    <cfRule type="expression" dxfId="2267" priority="2644">
      <formula>$BC375="YES"</formula>
    </cfRule>
  </conditionalFormatting>
  <conditionalFormatting sqref="AH377:AH378">
    <cfRule type="expression" dxfId="2266" priority="2645">
      <formula>$BC377="YES"</formula>
    </cfRule>
  </conditionalFormatting>
  <conditionalFormatting sqref="AH379:AH380">
    <cfRule type="expression" dxfId="2265" priority="2646">
      <formula>$BC379="YES"</formula>
    </cfRule>
  </conditionalFormatting>
  <conditionalFormatting sqref="AH381:AH382">
    <cfRule type="expression" dxfId="2264" priority="2647">
      <formula>$BC381="YES"</formula>
    </cfRule>
  </conditionalFormatting>
  <conditionalFormatting sqref="AH383:AH384">
    <cfRule type="expression" dxfId="2263" priority="2648">
      <formula>$BC383="YES"</formula>
    </cfRule>
  </conditionalFormatting>
  <conditionalFormatting sqref="AH385:AH386">
    <cfRule type="expression" dxfId="2262" priority="2649">
      <formula>$BC385="YES"</formula>
    </cfRule>
  </conditionalFormatting>
  <conditionalFormatting sqref="AH387:AH388">
    <cfRule type="expression" dxfId="2261" priority="2650">
      <formula>$BC387="YES"</formula>
    </cfRule>
  </conditionalFormatting>
  <conditionalFormatting sqref="AH389:AH390">
    <cfRule type="expression" dxfId="2260" priority="2651">
      <formula>$BC389="YES"</formula>
    </cfRule>
  </conditionalFormatting>
  <conditionalFormatting sqref="AH391:AH392">
    <cfRule type="expression" dxfId="2259" priority="2652">
      <formula>$BC391="YES"</formula>
    </cfRule>
  </conditionalFormatting>
  <conditionalFormatting sqref="AH393:AH394">
    <cfRule type="expression" dxfId="2258" priority="2653">
      <formula>$BC393="YES"</formula>
    </cfRule>
  </conditionalFormatting>
  <conditionalFormatting sqref="AH395:AH396">
    <cfRule type="expression" dxfId="2257" priority="2654">
      <formula>$BC395="YES"</formula>
    </cfRule>
  </conditionalFormatting>
  <conditionalFormatting sqref="AH397:AH398">
    <cfRule type="expression" dxfId="2256" priority="2655">
      <formula>$BC397="YES"</formula>
    </cfRule>
  </conditionalFormatting>
  <conditionalFormatting sqref="AH399:AH400">
    <cfRule type="expression" dxfId="2255" priority="2656">
      <formula>$BC399="YES"</formula>
    </cfRule>
  </conditionalFormatting>
  <conditionalFormatting sqref="AH401:AH402">
    <cfRule type="expression" dxfId="2254" priority="2657">
      <formula>$BC401="YES"</formula>
    </cfRule>
  </conditionalFormatting>
  <conditionalFormatting sqref="AH403:AH404">
    <cfRule type="expression" dxfId="2253" priority="2658">
      <formula>$BC403="YES"</formula>
    </cfRule>
  </conditionalFormatting>
  <conditionalFormatting sqref="AH405:AH406">
    <cfRule type="expression" dxfId="2252" priority="2659">
      <formula>$BC405="YES"</formula>
    </cfRule>
  </conditionalFormatting>
  <conditionalFormatting sqref="AH407:AH408">
    <cfRule type="expression" dxfId="2251" priority="2660">
      <formula>$BC407="YES"</formula>
    </cfRule>
  </conditionalFormatting>
  <conditionalFormatting sqref="AH409:AH410">
    <cfRule type="expression" dxfId="2250" priority="2661">
      <formula>$BC409="YES"</formula>
    </cfRule>
  </conditionalFormatting>
  <conditionalFormatting sqref="AH411:AH412">
    <cfRule type="expression" dxfId="2249" priority="2662">
      <formula>$BC411="YES"</formula>
    </cfRule>
  </conditionalFormatting>
  <conditionalFormatting sqref="AH413:AH414">
    <cfRule type="expression" dxfId="2248" priority="2663">
      <formula>$BC413="YES"</formula>
    </cfRule>
  </conditionalFormatting>
  <conditionalFormatting sqref="AH415:AH416">
    <cfRule type="expression" dxfId="2247" priority="2664">
      <formula>$BC415="YES"</formula>
    </cfRule>
  </conditionalFormatting>
  <conditionalFormatting sqref="AH417:AH418">
    <cfRule type="expression" dxfId="2246" priority="2665">
      <formula>$BC417="YES"</formula>
    </cfRule>
  </conditionalFormatting>
  <conditionalFormatting sqref="AH419:AH420">
    <cfRule type="expression" dxfId="2245" priority="2666">
      <formula>$BC419="YES"</formula>
    </cfRule>
  </conditionalFormatting>
  <conditionalFormatting sqref="AH421:AH422">
    <cfRule type="expression" dxfId="2244" priority="2667">
      <formula>$BC421="YES"</formula>
    </cfRule>
  </conditionalFormatting>
  <conditionalFormatting sqref="AH423:AH424">
    <cfRule type="expression" dxfId="2243" priority="2668">
      <formula>$BC423="YES"</formula>
    </cfRule>
  </conditionalFormatting>
  <conditionalFormatting sqref="AH425:AH426">
    <cfRule type="expression" dxfId="2242" priority="2669">
      <formula>$BC425="YES"</formula>
    </cfRule>
  </conditionalFormatting>
  <conditionalFormatting sqref="AH427:AH428">
    <cfRule type="expression" dxfId="2241" priority="2670">
      <formula>$BC427="YES"</formula>
    </cfRule>
  </conditionalFormatting>
  <conditionalFormatting sqref="AH429:AH430">
    <cfRule type="expression" dxfId="2240" priority="2671">
      <formula>$BC429="YES"</formula>
    </cfRule>
  </conditionalFormatting>
  <conditionalFormatting sqref="AH431:AH432">
    <cfRule type="expression" dxfId="2239" priority="2672">
      <formula>$BC431="YES"</formula>
    </cfRule>
  </conditionalFormatting>
  <conditionalFormatting sqref="AH433:AH434">
    <cfRule type="expression" dxfId="2238" priority="2673">
      <formula>$BC433="YES"</formula>
    </cfRule>
  </conditionalFormatting>
  <conditionalFormatting sqref="AH435:AH436">
    <cfRule type="expression" dxfId="2237" priority="2674">
      <formula>$BC435="YES"</formula>
    </cfRule>
  </conditionalFormatting>
  <conditionalFormatting sqref="AH437:AH438">
    <cfRule type="expression" dxfId="2236" priority="2675">
      <formula>$BC437="YES"</formula>
    </cfRule>
  </conditionalFormatting>
  <conditionalFormatting sqref="AH439:AH440">
    <cfRule type="expression" dxfId="2235" priority="2676">
      <formula>$BC439="YES"</formula>
    </cfRule>
  </conditionalFormatting>
  <conditionalFormatting sqref="AH441:AH442">
    <cfRule type="expression" dxfId="2234" priority="2677">
      <formula>$BC441="YES"</formula>
    </cfRule>
  </conditionalFormatting>
  <conditionalFormatting sqref="AH443:AH444">
    <cfRule type="expression" dxfId="2233" priority="2678">
      <formula>$BC443="YES"</formula>
    </cfRule>
  </conditionalFormatting>
  <conditionalFormatting sqref="AH445:AH446">
    <cfRule type="expression" dxfId="2232" priority="2679">
      <formula>$BC445="YES"</formula>
    </cfRule>
  </conditionalFormatting>
  <conditionalFormatting sqref="AH447:AH448">
    <cfRule type="expression" dxfId="2231" priority="2680">
      <formula>$BC447="YES"</formula>
    </cfRule>
  </conditionalFormatting>
  <conditionalFormatting sqref="AH449:AH450">
    <cfRule type="expression" dxfId="2230" priority="2681">
      <formula>$BC449="YES"</formula>
    </cfRule>
  </conditionalFormatting>
  <conditionalFormatting sqref="AH451:AH452">
    <cfRule type="expression" dxfId="2229" priority="2682">
      <formula>$BC451="YES"</formula>
    </cfRule>
  </conditionalFormatting>
  <conditionalFormatting sqref="AH453:AH454">
    <cfRule type="expression" dxfId="2228" priority="2683">
      <formula>$BC453="YES"</formula>
    </cfRule>
  </conditionalFormatting>
  <conditionalFormatting sqref="AH455:AH456">
    <cfRule type="expression" dxfId="2227" priority="2684">
      <formula>$BC455="YES"</formula>
    </cfRule>
  </conditionalFormatting>
  <conditionalFormatting sqref="AH457:AH458">
    <cfRule type="expression" dxfId="2226" priority="2685">
      <formula>$BC457="YES"</formula>
    </cfRule>
  </conditionalFormatting>
  <conditionalFormatting sqref="AH459:AH460">
    <cfRule type="expression" dxfId="2225" priority="2686">
      <formula>$BC459="YES"</formula>
    </cfRule>
  </conditionalFormatting>
  <conditionalFormatting sqref="AH461:AH462">
    <cfRule type="expression" dxfId="2224" priority="2687">
      <formula>$BC461="YES"</formula>
    </cfRule>
  </conditionalFormatting>
  <conditionalFormatting sqref="AH463:AH464">
    <cfRule type="expression" dxfId="2223" priority="2688">
      <formula>$BC463="YES"</formula>
    </cfRule>
  </conditionalFormatting>
  <conditionalFormatting sqref="AH465:AH466">
    <cfRule type="expression" dxfId="2222" priority="2689">
      <formula>$BC465="YES"</formula>
    </cfRule>
  </conditionalFormatting>
  <conditionalFormatting sqref="AH467:AH468">
    <cfRule type="expression" dxfId="2221" priority="2690">
      <formula>$BC467="YES"</formula>
    </cfRule>
  </conditionalFormatting>
  <conditionalFormatting sqref="AH469:AH470">
    <cfRule type="expression" dxfId="2220" priority="2691">
      <formula>$BC469="YES"</formula>
    </cfRule>
  </conditionalFormatting>
  <conditionalFormatting sqref="AH471:AH472">
    <cfRule type="expression" dxfId="2219" priority="2692">
      <formula>$BC471="YES"</formula>
    </cfRule>
  </conditionalFormatting>
  <conditionalFormatting sqref="AH473:AH474">
    <cfRule type="expression" dxfId="2218" priority="2693">
      <formula>$BC473="YES"</formula>
    </cfRule>
  </conditionalFormatting>
  <conditionalFormatting sqref="AH475:AH476">
    <cfRule type="expression" dxfId="2217" priority="2694">
      <formula>$BC475="YES"</formula>
    </cfRule>
  </conditionalFormatting>
  <conditionalFormatting sqref="AH477:AH478">
    <cfRule type="expression" dxfId="2216" priority="2695">
      <formula>$BC477="YES"</formula>
    </cfRule>
  </conditionalFormatting>
  <conditionalFormatting sqref="AH479:AH480">
    <cfRule type="expression" dxfId="2215" priority="2696">
      <formula>$BC479="YES"</formula>
    </cfRule>
  </conditionalFormatting>
  <conditionalFormatting sqref="AH481:AH482">
    <cfRule type="expression" dxfId="2214" priority="2697">
      <formula>$BC481="YES"</formula>
    </cfRule>
  </conditionalFormatting>
  <conditionalFormatting sqref="AH483:AH484">
    <cfRule type="expression" dxfId="2213" priority="2698">
      <formula>$BC483="YES"</formula>
    </cfRule>
  </conditionalFormatting>
  <conditionalFormatting sqref="AH485:AH486">
    <cfRule type="expression" dxfId="2212" priority="2699">
      <formula>$BC485="YES"</formula>
    </cfRule>
  </conditionalFormatting>
  <conditionalFormatting sqref="AH487:AH488">
    <cfRule type="expression" dxfId="2211" priority="2700">
      <formula>$BC487="YES"</formula>
    </cfRule>
  </conditionalFormatting>
  <conditionalFormatting sqref="AH489:AH490">
    <cfRule type="expression" dxfId="2210" priority="2701">
      <formula>$BC489="YES"</formula>
    </cfRule>
  </conditionalFormatting>
  <conditionalFormatting sqref="AH491:AH492">
    <cfRule type="expression" dxfId="2209" priority="2702">
      <formula>$BC491="YES"</formula>
    </cfRule>
  </conditionalFormatting>
  <conditionalFormatting sqref="AH493:AH494">
    <cfRule type="expression" dxfId="2208" priority="2703">
      <formula>$BC493="YES"</formula>
    </cfRule>
  </conditionalFormatting>
  <conditionalFormatting sqref="AH495:AH496">
    <cfRule type="expression" dxfId="2207" priority="2704">
      <formula>$BC495="YES"</formula>
    </cfRule>
  </conditionalFormatting>
  <conditionalFormatting sqref="AH497:AH498">
    <cfRule type="expression" dxfId="2206" priority="2705">
      <formula>$BC497="YES"</formula>
    </cfRule>
  </conditionalFormatting>
  <conditionalFormatting sqref="AH499:AH500">
    <cfRule type="expression" dxfId="2205" priority="2706">
      <formula>$BC499="YES"</formula>
    </cfRule>
  </conditionalFormatting>
  <conditionalFormatting sqref="AH501:AH502">
    <cfRule type="expression" dxfId="2204" priority="2707">
      <formula>$BC501="YES"</formula>
    </cfRule>
  </conditionalFormatting>
  <conditionalFormatting sqref="AH503:AH504">
    <cfRule type="expression" dxfId="2203" priority="2708">
      <formula>$BC503="YES"</formula>
    </cfRule>
  </conditionalFormatting>
  <conditionalFormatting sqref="AH505:AH506">
    <cfRule type="expression" dxfId="2202" priority="2709">
      <formula>$BC505="YES"</formula>
    </cfRule>
  </conditionalFormatting>
  <conditionalFormatting sqref="AH507:AH508">
    <cfRule type="expression" dxfId="2201" priority="2710">
      <formula>$BC507="YES"</formula>
    </cfRule>
  </conditionalFormatting>
  <conditionalFormatting sqref="AH509:AH510">
    <cfRule type="expression" dxfId="2200" priority="2711">
      <formula>$BC509="YES"</formula>
    </cfRule>
  </conditionalFormatting>
  <conditionalFormatting sqref="AH511:AH512">
    <cfRule type="expression" dxfId="2199" priority="2712">
      <formula>$BC511="YES"</formula>
    </cfRule>
  </conditionalFormatting>
  <conditionalFormatting sqref="AH513:AH514">
    <cfRule type="expression" dxfId="2198" priority="2713">
      <formula>$BC513="YES"</formula>
    </cfRule>
  </conditionalFormatting>
  <conditionalFormatting sqref="AH515:AH516">
    <cfRule type="expression" dxfId="2197" priority="2714">
      <formula>$BC515="YES"</formula>
    </cfRule>
  </conditionalFormatting>
  <conditionalFormatting sqref="AH517:AH518">
    <cfRule type="expression" dxfId="2196" priority="2715">
      <formula>$BC517="YES"</formula>
    </cfRule>
  </conditionalFormatting>
  <conditionalFormatting sqref="AJ17:AK18">
    <cfRule type="expression" dxfId="2195" priority="2716">
      <formula>$BC17="YES"</formula>
    </cfRule>
  </conditionalFormatting>
  <conditionalFormatting sqref="AJ19:AK20">
    <cfRule type="expression" dxfId="2194" priority="2717">
      <formula>$BC19="YES"</formula>
    </cfRule>
  </conditionalFormatting>
  <conditionalFormatting sqref="AJ21:AK22">
    <cfRule type="expression" dxfId="2193" priority="2718">
      <formula>$BC21="YES"</formula>
    </cfRule>
  </conditionalFormatting>
  <conditionalFormatting sqref="AJ23:AK24">
    <cfRule type="expression" dxfId="2192" priority="2719">
      <formula>$BC23="YES"</formula>
    </cfRule>
  </conditionalFormatting>
  <conditionalFormatting sqref="AJ25:AK26">
    <cfRule type="expression" dxfId="2191" priority="2720">
      <formula>$BC25="YES"</formula>
    </cfRule>
  </conditionalFormatting>
  <conditionalFormatting sqref="AJ27:AK28">
    <cfRule type="expression" dxfId="2190" priority="2721">
      <formula>$BC27="YES"</formula>
    </cfRule>
  </conditionalFormatting>
  <conditionalFormatting sqref="AJ29:AK30">
    <cfRule type="expression" dxfId="2189" priority="2722">
      <formula>$BC29="YES"</formula>
    </cfRule>
  </conditionalFormatting>
  <conditionalFormatting sqref="AJ31:AK32">
    <cfRule type="expression" dxfId="2188" priority="2723">
      <formula>$BC31="YES"</formula>
    </cfRule>
  </conditionalFormatting>
  <conditionalFormatting sqref="AJ33:AK34">
    <cfRule type="expression" dxfId="2187" priority="2724">
      <formula>$BC33="YES"</formula>
    </cfRule>
  </conditionalFormatting>
  <conditionalFormatting sqref="AJ35:AK36">
    <cfRule type="expression" dxfId="2186" priority="2725">
      <formula>$BC35="YES"</formula>
    </cfRule>
  </conditionalFormatting>
  <conditionalFormatting sqref="AJ37:AK38">
    <cfRule type="expression" dxfId="2185" priority="2726">
      <formula>$BC37="YES"</formula>
    </cfRule>
  </conditionalFormatting>
  <conditionalFormatting sqref="AJ39:AK40">
    <cfRule type="expression" dxfId="2184" priority="2727">
      <formula>$BC39="YES"</formula>
    </cfRule>
  </conditionalFormatting>
  <conditionalFormatting sqref="AJ41:AK42">
    <cfRule type="expression" dxfId="2183" priority="2728">
      <formula>$BC41="YES"</formula>
    </cfRule>
  </conditionalFormatting>
  <conditionalFormatting sqref="AJ43:AK44">
    <cfRule type="expression" dxfId="2182" priority="2729">
      <formula>$BC43="YES"</formula>
    </cfRule>
  </conditionalFormatting>
  <conditionalFormatting sqref="AJ45:AK46">
    <cfRule type="expression" dxfId="2181" priority="2730">
      <formula>$BC45="YES"</formula>
    </cfRule>
  </conditionalFormatting>
  <conditionalFormatting sqref="AJ47:AK48">
    <cfRule type="expression" dxfId="2180" priority="2731">
      <formula>$BC47="YES"</formula>
    </cfRule>
  </conditionalFormatting>
  <conditionalFormatting sqref="AJ49:AK50">
    <cfRule type="expression" dxfId="2179" priority="2732">
      <formula>$BC49="YES"</formula>
    </cfRule>
  </conditionalFormatting>
  <conditionalFormatting sqref="AJ51:AK52">
    <cfRule type="expression" dxfId="2178" priority="2733">
      <formula>$BC51="YES"</formula>
    </cfRule>
  </conditionalFormatting>
  <conditionalFormatting sqref="AJ53:AK54">
    <cfRule type="expression" dxfId="2177" priority="2734">
      <formula>$BC53="YES"</formula>
    </cfRule>
  </conditionalFormatting>
  <conditionalFormatting sqref="AJ55:AK56">
    <cfRule type="expression" dxfId="2176" priority="2735">
      <formula>$BC55="YES"</formula>
    </cfRule>
  </conditionalFormatting>
  <conditionalFormatting sqref="AJ57:AK58">
    <cfRule type="expression" dxfId="2175" priority="2736">
      <formula>$BC57="YES"</formula>
    </cfRule>
  </conditionalFormatting>
  <conditionalFormatting sqref="AJ59:AK60">
    <cfRule type="expression" dxfId="2174" priority="2737">
      <formula>$BC59="YES"</formula>
    </cfRule>
  </conditionalFormatting>
  <conditionalFormatting sqref="AJ61:AK62">
    <cfRule type="expression" dxfId="2173" priority="2738">
      <formula>$BC61="YES"</formula>
    </cfRule>
  </conditionalFormatting>
  <conditionalFormatting sqref="AJ63:AK64">
    <cfRule type="expression" dxfId="2172" priority="2739">
      <formula>$BC63="YES"</formula>
    </cfRule>
  </conditionalFormatting>
  <conditionalFormatting sqref="AJ65:AK66">
    <cfRule type="expression" dxfId="2171" priority="2740">
      <formula>$BC65="YES"</formula>
    </cfRule>
  </conditionalFormatting>
  <conditionalFormatting sqref="AJ67:AK68">
    <cfRule type="expression" dxfId="2170" priority="2741">
      <formula>$BC67="YES"</formula>
    </cfRule>
  </conditionalFormatting>
  <conditionalFormatting sqref="AJ69:AK70">
    <cfRule type="expression" dxfId="2169" priority="2742">
      <formula>$BC69="YES"</formula>
    </cfRule>
  </conditionalFormatting>
  <conditionalFormatting sqref="AJ71:AK72">
    <cfRule type="expression" dxfId="2168" priority="2743">
      <formula>$BC71="YES"</formula>
    </cfRule>
  </conditionalFormatting>
  <conditionalFormatting sqref="AJ73:AK74">
    <cfRule type="expression" dxfId="2167" priority="2744">
      <formula>$BC73="YES"</formula>
    </cfRule>
  </conditionalFormatting>
  <conditionalFormatting sqref="AJ75:AK76">
    <cfRule type="expression" dxfId="2166" priority="2745">
      <formula>$BC75="YES"</formula>
    </cfRule>
  </conditionalFormatting>
  <conditionalFormatting sqref="AJ77:AK78">
    <cfRule type="expression" dxfId="2165" priority="2746">
      <formula>$BC77="YES"</formula>
    </cfRule>
  </conditionalFormatting>
  <conditionalFormatting sqref="AJ79:AK80">
    <cfRule type="expression" dxfId="2164" priority="2747">
      <formula>$BC79="YES"</formula>
    </cfRule>
  </conditionalFormatting>
  <conditionalFormatting sqref="AJ81:AK82">
    <cfRule type="expression" dxfId="2163" priority="2748">
      <formula>$BC81="YES"</formula>
    </cfRule>
  </conditionalFormatting>
  <conditionalFormatting sqref="AJ83:AK84">
    <cfRule type="expression" dxfId="2162" priority="2749">
      <formula>$BC83="YES"</formula>
    </cfRule>
  </conditionalFormatting>
  <conditionalFormatting sqref="AJ85:AK86">
    <cfRule type="expression" dxfId="2161" priority="2750">
      <formula>$BC85="YES"</formula>
    </cfRule>
  </conditionalFormatting>
  <conditionalFormatting sqref="AJ87:AK88">
    <cfRule type="expression" dxfId="2160" priority="2751">
      <formula>$BC87="YES"</formula>
    </cfRule>
  </conditionalFormatting>
  <conditionalFormatting sqref="AJ89:AK90">
    <cfRule type="expression" dxfId="2159" priority="2752">
      <formula>$BC89="YES"</formula>
    </cfRule>
  </conditionalFormatting>
  <conditionalFormatting sqref="AJ91:AK92">
    <cfRule type="expression" dxfId="2158" priority="2753">
      <formula>$BC91="YES"</formula>
    </cfRule>
  </conditionalFormatting>
  <conditionalFormatting sqref="AJ93:AK94">
    <cfRule type="expression" dxfId="2157" priority="2754">
      <formula>$BC93="YES"</formula>
    </cfRule>
  </conditionalFormatting>
  <conditionalFormatting sqref="AJ95:AK96">
    <cfRule type="expression" dxfId="2156" priority="2755">
      <formula>$BC95="YES"</formula>
    </cfRule>
  </conditionalFormatting>
  <conditionalFormatting sqref="AJ97:AK98">
    <cfRule type="expression" dxfId="2155" priority="2756">
      <formula>$BC97="YES"</formula>
    </cfRule>
  </conditionalFormatting>
  <conditionalFormatting sqref="AJ99:AK100">
    <cfRule type="expression" dxfId="2154" priority="2757">
      <formula>$BC99="YES"</formula>
    </cfRule>
  </conditionalFormatting>
  <conditionalFormatting sqref="AJ101:AK102">
    <cfRule type="expression" dxfId="2153" priority="2758">
      <formula>$BC101="YES"</formula>
    </cfRule>
  </conditionalFormatting>
  <conditionalFormatting sqref="AJ103:AK104">
    <cfRule type="expression" dxfId="2152" priority="2759">
      <formula>$BC103="YES"</formula>
    </cfRule>
  </conditionalFormatting>
  <conditionalFormatting sqref="AJ105:AK106">
    <cfRule type="expression" dxfId="2151" priority="2760">
      <formula>$BC105="YES"</formula>
    </cfRule>
  </conditionalFormatting>
  <conditionalFormatting sqref="AJ107:AK108">
    <cfRule type="expression" dxfId="2150" priority="2761">
      <formula>$BC107="YES"</formula>
    </cfRule>
  </conditionalFormatting>
  <conditionalFormatting sqref="AJ109:AK110">
    <cfRule type="expression" dxfId="2149" priority="2762">
      <formula>$BC109="YES"</formula>
    </cfRule>
  </conditionalFormatting>
  <conditionalFormatting sqref="AJ111:AK112">
    <cfRule type="expression" dxfId="2148" priority="2763">
      <formula>$BC111="YES"</formula>
    </cfRule>
  </conditionalFormatting>
  <conditionalFormatting sqref="AJ113:AK114">
    <cfRule type="expression" dxfId="2147" priority="2764">
      <formula>$BC113="YES"</formula>
    </cfRule>
  </conditionalFormatting>
  <conditionalFormatting sqref="AJ115:AK116">
    <cfRule type="expression" dxfId="2146" priority="2765">
      <formula>$BC115="YES"</formula>
    </cfRule>
  </conditionalFormatting>
  <conditionalFormatting sqref="AJ117:AK118">
    <cfRule type="expression" dxfId="2145" priority="2766">
      <formula>$BC117="YES"</formula>
    </cfRule>
  </conditionalFormatting>
  <conditionalFormatting sqref="AJ119:AK120">
    <cfRule type="expression" dxfId="2144" priority="2767">
      <formula>$BC119="YES"</formula>
    </cfRule>
  </conditionalFormatting>
  <conditionalFormatting sqref="AJ121:AK122">
    <cfRule type="expression" dxfId="2143" priority="2768">
      <formula>$BC121="YES"</formula>
    </cfRule>
  </conditionalFormatting>
  <conditionalFormatting sqref="AJ123:AK124">
    <cfRule type="expression" dxfId="2142" priority="2769">
      <formula>$BC123="YES"</formula>
    </cfRule>
  </conditionalFormatting>
  <conditionalFormatting sqref="AJ125:AK126">
    <cfRule type="expression" dxfId="2141" priority="2770">
      <formula>$BC125="YES"</formula>
    </cfRule>
  </conditionalFormatting>
  <conditionalFormatting sqref="AJ127:AK128">
    <cfRule type="expression" dxfId="2140" priority="2771">
      <formula>$BC127="YES"</formula>
    </cfRule>
  </conditionalFormatting>
  <conditionalFormatting sqref="AJ129:AK130">
    <cfRule type="expression" dxfId="2139" priority="2772">
      <formula>$BC129="YES"</formula>
    </cfRule>
  </conditionalFormatting>
  <conditionalFormatting sqref="AJ131:AK132">
    <cfRule type="expression" dxfId="2138" priority="2773">
      <formula>$BC131="YES"</formula>
    </cfRule>
  </conditionalFormatting>
  <conditionalFormatting sqref="AJ133:AK134">
    <cfRule type="expression" dxfId="2137" priority="2774">
      <formula>$BC133="YES"</formula>
    </cfRule>
  </conditionalFormatting>
  <conditionalFormatting sqref="AJ135:AK136">
    <cfRule type="expression" dxfId="2136" priority="2775">
      <formula>$BC135="YES"</formula>
    </cfRule>
  </conditionalFormatting>
  <conditionalFormatting sqref="AJ137:AK138">
    <cfRule type="expression" dxfId="2135" priority="2776">
      <formula>$BC137="YES"</formula>
    </cfRule>
  </conditionalFormatting>
  <conditionalFormatting sqref="AJ139:AK140">
    <cfRule type="expression" dxfId="2134" priority="2777">
      <formula>$BC139="YES"</formula>
    </cfRule>
  </conditionalFormatting>
  <conditionalFormatting sqref="AJ141:AK142">
    <cfRule type="expression" dxfId="2133" priority="2778">
      <formula>$BC141="YES"</formula>
    </cfRule>
  </conditionalFormatting>
  <conditionalFormatting sqref="AJ143:AK144">
    <cfRule type="expression" dxfId="2132" priority="2779">
      <formula>$BC143="YES"</formula>
    </cfRule>
  </conditionalFormatting>
  <conditionalFormatting sqref="AJ145:AK146">
    <cfRule type="expression" dxfId="2131" priority="2780">
      <formula>$BC145="YES"</formula>
    </cfRule>
  </conditionalFormatting>
  <conditionalFormatting sqref="AJ147:AK148">
    <cfRule type="expression" dxfId="2130" priority="2781">
      <formula>$BC147="YES"</formula>
    </cfRule>
  </conditionalFormatting>
  <conditionalFormatting sqref="AJ149:AK150">
    <cfRule type="expression" dxfId="2129" priority="2782">
      <formula>$BC149="YES"</formula>
    </cfRule>
  </conditionalFormatting>
  <conditionalFormatting sqref="AJ151:AK152">
    <cfRule type="expression" dxfId="2128" priority="2783">
      <formula>$BC151="YES"</formula>
    </cfRule>
  </conditionalFormatting>
  <conditionalFormatting sqref="AJ153:AK154">
    <cfRule type="expression" dxfId="2127" priority="2784">
      <formula>$BC153="YES"</formula>
    </cfRule>
  </conditionalFormatting>
  <conditionalFormatting sqref="AJ155:AK156">
    <cfRule type="expression" dxfId="2126" priority="2785">
      <formula>$BC155="YES"</formula>
    </cfRule>
  </conditionalFormatting>
  <conditionalFormatting sqref="AJ157:AK158">
    <cfRule type="expression" dxfId="2125" priority="2786">
      <formula>$BC157="YES"</formula>
    </cfRule>
  </conditionalFormatting>
  <conditionalFormatting sqref="AJ159:AK160">
    <cfRule type="expression" dxfId="2124" priority="2787">
      <formula>$BC159="YES"</formula>
    </cfRule>
  </conditionalFormatting>
  <conditionalFormatting sqref="AJ161:AK162">
    <cfRule type="expression" dxfId="2123" priority="2788">
      <formula>$BC161="YES"</formula>
    </cfRule>
  </conditionalFormatting>
  <conditionalFormatting sqref="AJ163:AK164">
    <cfRule type="expression" dxfId="2122" priority="2789">
      <formula>$BC163="YES"</formula>
    </cfRule>
  </conditionalFormatting>
  <conditionalFormatting sqref="AJ165:AK166">
    <cfRule type="expression" dxfId="2121" priority="2790">
      <formula>$BC165="YES"</formula>
    </cfRule>
  </conditionalFormatting>
  <conditionalFormatting sqref="AJ167:AK168">
    <cfRule type="expression" dxfId="2120" priority="2791">
      <formula>$BC167="YES"</formula>
    </cfRule>
  </conditionalFormatting>
  <conditionalFormatting sqref="AJ169:AK170">
    <cfRule type="expression" dxfId="2119" priority="2792">
      <formula>$BC169="YES"</formula>
    </cfRule>
  </conditionalFormatting>
  <conditionalFormatting sqref="AJ171:AK172">
    <cfRule type="expression" dxfId="2118" priority="2793">
      <formula>$BC171="YES"</formula>
    </cfRule>
  </conditionalFormatting>
  <conditionalFormatting sqref="AJ173:AK174">
    <cfRule type="expression" dxfId="2117" priority="2794">
      <formula>$BC173="YES"</formula>
    </cfRule>
  </conditionalFormatting>
  <conditionalFormatting sqref="AJ175:AK176">
    <cfRule type="expression" dxfId="2116" priority="2795">
      <formula>$BC175="YES"</formula>
    </cfRule>
  </conditionalFormatting>
  <conditionalFormatting sqref="AJ177:AK178">
    <cfRule type="expression" dxfId="2115" priority="2796">
      <formula>$BC177="YES"</formula>
    </cfRule>
  </conditionalFormatting>
  <conditionalFormatting sqref="AJ179:AK180">
    <cfRule type="expression" dxfId="2114" priority="2797">
      <formula>$BC179="YES"</formula>
    </cfRule>
  </conditionalFormatting>
  <conditionalFormatting sqref="AJ181:AK182">
    <cfRule type="expression" dxfId="2113" priority="2798">
      <formula>$BC181="YES"</formula>
    </cfRule>
  </conditionalFormatting>
  <conditionalFormatting sqref="AJ183:AK184">
    <cfRule type="expression" dxfId="2112" priority="2799">
      <formula>$BC183="YES"</formula>
    </cfRule>
  </conditionalFormatting>
  <conditionalFormatting sqref="AJ185:AK186">
    <cfRule type="expression" dxfId="2111" priority="2800">
      <formula>$BC185="YES"</formula>
    </cfRule>
  </conditionalFormatting>
  <conditionalFormatting sqref="AJ187:AK188">
    <cfRule type="expression" dxfId="2110" priority="2801">
      <formula>$BC187="YES"</formula>
    </cfRule>
  </conditionalFormatting>
  <conditionalFormatting sqref="AJ189:AK190">
    <cfRule type="expression" dxfId="2109" priority="2802">
      <formula>$BC189="YES"</formula>
    </cfRule>
  </conditionalFormatting>
  <conditionalFormatting sqref="AJ191:AK192">
    <cfRule type="expression" dxfId="2108" priority="2803">
      <formula>$BC191="YES"</formula>
    </cfRule>
  </conditionalFormatting>
  <conditionalFormatting sqref="AJ193:AK194">
    <cfRule type="expression" dxfId="2107" priority="2804">
      <formula>$BC193="YES"</formula>
    </cfRule>
  </conditionalFormatting>
  <conditionalFormatting sqref="AJ195:AK196">
    <cfRule type="expression" dxfId="2106" priority="2805">
      <formula>$BC195="YES"</formula>
    </cfRule>
  </conditionalFormatting>
  <conditionalFormatting sqref="AJ197:AK198">
    <cfRule type="expression" dxfId="2105" priority="2806">
      <formula>$BC197="YES"</formula>
    </cfRule>
  </conditionalFormatting>
  <conditionalFormatting sqref="AJ199:AK200">
    <cfRule type="expression" dxfId="2104" priority="2807">
      <formula>$BC199="YES"</formula>
    </cfRule>
  </conditionalFormatting>
  <conditionalFormatting sqref="AJ201:AK202">
    <cfRule type="expression" dxfId="2103" priority="2808">
      <formula>$BC201="YES"</formula>
    </cfRule>
  </conditionalFormatting>
  <conditionalFormatting sqref="AJ203:AK204">
    <cfRule type="expression" dxfId="2102" priority="2809">
      <formula>$BC203="YES"</formula>
    </cfRule>
  </conditionalFormatting>
  <conditionalFormatting sqref="AJ205:AK206">
    <cfRule type="expression" dxfId="2101" priority="2810">
      <formula>$BC205="YES"</formula>
    </cfRule>
  </conditionalFormatting>
  <conditionalFormatting sqref="AJ207:AK208">
    <cfRule type="expression" dxfId="2100" priority="2811">
      <formula>$BC207="YES"</formula>
    </cfRule>
  </conditionalFormatting>
  <conditionalFormatting sqref="AJ209:AK210">
    <cfRule type="expression" dxfId="2099" priority="2812">
      <formula>$BC209="YES"</formula>
    </cfRule>
  </conditionalFormatting>
  <conditionalFormatting sqref="AJ211:AK212">
    <cfRule type="expression" dxfId="2098" priority="2813">
      <formula>$BC211="YES"</formula>
    </cfRule>
  </conditionalFormatting>
  <conditionalFormatting sqref="AJ213:AK214">
    <cfRule type="expression" dxfId="2097" priority="2814">
      <formula>$BC213="YES"</formula>
    </cfRule>
  </conditionalFormatting>
  <conditionalFormatting sqref="AJ215:AK216">
    <cfRule type="expression" dxfId="2096" priority="2815">
      <formula>$BC215="YES"</formula>
    </cfRule>
  </conditionalFormatting>
  <conditionalFormatting sqref="AJ217:AK218">
    <cfRule type="expression" dxfId="2095" priority="2816">
      <formula>$BC217="YES"</formula>
    </cfRule>
  </conditionalFormatting>
  <conditionalFormatting sqref="AJ219:AK220">
    <cfRule type="expression" dxfId="2094" priority="2817">
      <formula>$BC219="YES"</formula>
    </cfRule>
  </conditionalFormatting>
  <conditionalFormatting sqref="AJ221:AK222">
    <cfRule type="expression" dxfId="2093" priority="2818">
      <formula>$BC221="YES"</formula>
    </cfRule>
  </conditionalFormatting>
  <conditionalFormatting sqref="AJ223:AK224">
    <cfRule type="expression" dxfId="2092" priority="2819">
      <formula>$BC223="YES"</formula>
    </cfRule>
  </conditionalFormatting>
  <conditionalFormatting sqref="AJ225:AK226">
    <cfRule type="expression" dxfId="2091" priority="2820">
      <formula>$BC225="YES"</formula>
    </cfRule>
  </conditionalFormatting>
  <conditionalFormatting sqref="AJ227:AK228">
    <cfRule type="expression" dxfId="2090" priority="2821">
      <formula>$BC227="YES"</formula>
    </cfRule>
  </conditionalFormatting>
  <conditionalFormatting sqref="AJ229:AK230">
    <cfRule type="expression" dxfId="2089" priority="2822">
      <formula>$BC229="YES"</formula>
    </cfRule>
  </conditionalFormatting>
  <conditionalFormatting sqref="AJ231:AK232">
    <cfRule type="expression" dxfId="2088" priority="2823">
      <formula>$BC231="YES"</formula>
    </cfRule>
  </conditionalFormatting>
  <conditionalFormatting sqref="AJ233:AK234">
    <cfRule type="expression" dxfId="2087" priority="2824">
      <formula>$BC233="YES"</formula>
    </cfRule>
  </conditionalFormatting>
  <conditionalFormatting sqref="AJ235:AK236">
    <cfRule type="expression" dxfId="2086" priority="2825">
      <formula>$BC235="YES"</formula>
    </cfRule>
  </conditionalFormatting>
  <conditionalFormatting sqref="AJ237:AK238">
    <cfRule type="expression" dxfId="2085" priority="2826">
      <formula>$BC237="YES"</formula>
    </cfRule>
  </conditionalFormatting>
  <conditionalFormatting sqref="AJ239:AK240">
    <cfRule type="expression" dxfId="2084" priority="2827">
      <formula>$BC239="YES"</formula>
    </cfRule>
  </conditionalFormatting>
  <conditionalFormatting sqref="AJ241:AK242">
    <cfRule type="expression" dxfId="2083" priority="2828">
      <formula>$BC241="YES"</formula>
    </cfRule>
  </conditionalFormatting>
  <conditionalFormatting sqref="AJ243:AK244">
    <cfRule type="expression" dxfId="2082" priority="2829">
      <formula>$BC243="YES"</formula>
    </cfRule>
  </conditionalFormatting>
  <conditionalFormatting sqref="AJ245:AK246">
    <cfRule type="expression" dxfId="2081" priority="2830">
      <formula>$BC245="YES"</formula>
    </cfRule>
  </conditionalFormatting>
  <conditionalFormatting sqref="AJ247:AK248">
    <cfRule type="expression" dxfId="2080" priority="2831">
      <formula>$BC247="YES"</formula>
    </cfRule>
  </conditionalFormatting>
  <conditionalFormatting sqref="AJ249:AK250">
    <cfRule type="expression" dxfId="2079" priority="2832">
      <formula>$BC249="YES"</formula>
    </cfRule>
  </conditionalFormatting>
  <conditionalFormatting sqref="AJ251:AK252">
    <cfRule type="expression" dxfId="2078" priority="2833">
      <formula>$BC251="YES"</formula>
    </cfRule>
  </conditionalFormatting>
  <conditionalFormatting sqref="AJ253:AK254">
    <cfRule type="expression" dxfId="2077" priority="2834">
      <formula>$BC253="YES"</formula>
    </cfRule>
  </conditionalFormatting>
  <conditionalFormatting sqref="AJ255:AK256">
    <cfRule type="expression" dxfId="2076" priority="2835">
      <formula>$BC255="YES"</formula>
    </cfRule>
  </conditionalFormatting>
  <conditionalFormatting sqref="AJ257:AK258">
    <cfRule type="expression" dxfId="2075" priority="2836">
      <formula>$BC257="YES"</formula>
    </cfRule>
  </conditionalFormatting>
  <conditionalFormatting sqref="AJ259:AK260">
    <cfRule type="expression" dxfId="2074" priority="2837">
      <formula>$BC259="YES"</formula>
    </cfRule>
  </conditionalFormatting>
  <conditionalFormatting sqref="AJ261:AK262">
    <cfRule type="expression" dxfId="2073" priority="2838">
      <formula>$BC261="YES"</formula>
    </cfRule>
  </conditionalFormatting>
  <conditionalFormatting sqref="AJ263:AK264">
    <cfRule type="expression" dxfId="2072" priority="2839">
      <formula>$BC263="YES"</formula>
    </cfRule>
  </conditionalFormatting>
  <conditionalFormatting sqref="AJ265:AK266">
    <cfRule type="expression" dxfId="2071" priority="2840">
      <formula>$BC265="YES"</formula>
    </cfRule>
  </conditionalFormatting>
  <conditionalFormatting sqref="AJ267:AK268">
    <cfRule type="expression" dxfId="2070" priority="2841">
      <formula>$BC267="YES"</formula>
    </cfRule>
  </conditionalFormatting>
  <conditionalFormatting sqref="AJ269:AK270">
    <cfRule type="expression" dxfId="2069" priority="2842">
      <formula>$BC269="YES"</formula>
    </cfRule>
  </conditionalFormatting>
  <conditionalFormatting sqref="AJ271:AK272">
    <cfRule type="expression" dxfId="2068" priority="2843">
      <formula>$BC271="YES"</formula>
    </cfRule>
  </conditionalFormatting>
  <conditionalFormatting sqref="AJ273:AK274">
    <cfRule type="expression" dxfId="2067" priority="2844">
      <formula>$BC273="YES"</formula>
    </cfRule>
  </conditionalFormatting>
  <conditionalFormatting sqref="AJ275:AK276">
    <cfRule type="expression" dxfId="2066" priority="2845">
      <formula>$BC275="YES"</formula>
    </cfRule>
  </conditionalFormatting>
  <conditionalFormatting sqref="AJ277:AK278">
    <cfRule type="expression" dxfId="2065" priority="2846">
      <formula>$BC277="YES"</formula>
    </cfRule>
  </conditionalFormatting>
  <conditionalFormatting sqref="AJ279:AK280">
    <cfRule type="expression" dxfId="2064" priority="2847">
      <formula>$BC279="YES"</formula>
    </cfRule>
  </conditionalFormatting>
  <conditionalFormatting sqref="AJ281:AK282">
    <cfRule type="expression" dxfId="2063" priority="2848">
      <formula>$BC281="YES"</formula>
    </cfRule>
  </conditionalFormatting>
  <conditionalFormatting sqref="AJ283:AK284">
    <cfRule type="expression" dxfId="2062" priority="2849">
      <formula>$BC283="YES"</formula>
    </cfRule>
  </conditionalFormatting>
  <conditionalFormatting sqref="AJ285:AK286">
    <cfRule type="expression" dxfId="2061" priority="2850">
      <formula>$BC285="YES"</formula>
    </cfRule>
  </conditionalFormatting>
  <conditionalFormatting sqref="AJ287:AK288">
    <cfRule type="expression" dxfId="2060" priority="2851">
      <formula>$BC287="YES"</formula>
    </cfRule>
  </conditionalFormatting>
  <conditionalFormatting sqref="AJ289:AK290">
    <cfRule type="expression" dxfId="2059" priority="2852">
      <formula>$BC289="YES"</formula>
    </cfRule>
  </conditionalFormatting>
  <conditionalFormatting sqref="AJ291:AK292">
    <cfRule type="expression" dxfId="2058" priority="2853">
      <formula>$BC291="YES"</formula>
    </cfRule>
  </conditionalFormatting>
  <conditionalFormatting sqref="AJ293:AK294">
    <cfRule type="expression" dxfId="2057" priority="2854">
      <formula>$BC293="YES"</formula>
    </cfRule>
  </conditionalFormatting>
  <conditionalFormatting sqref="AJ295:AK296">
    <cfRule type="expression" dxfId="2056" priority="2855">
      <formula>$BC295="YES"</formula>
    </cfRule>
  </conditionalFormatting>
  <conditionalFormatting sqref="AJ297:AK298">
    <cfRule type="expression" dxfId="2055" priority="2856">
      <formula>$BC297="YES"</formula>
    </cfRule>
  </conditionalFormatting>
  <conditionalFormatting sqref="AJ299:AK300">
    <cfRule type="expression" dxfId="2054" priority="2857">
      <formula>$BC299="YES"</formula>
    </cfRule>
  </conditionalFormatting>
  <conditionalFormatting sqref="AJ301:AK302">
    <cfRule type="expression" dxfId="2053" priority="2858">
      <formula>$BC301="YES"</formula>
    </cfRule>
  </conditionalFormatting>
  <conditionalFormatting sqref="AJ303:AK304">
    <cfRule type="expression" dxfId="2052" priority="2859">
      <formula>$BC303="YES"</formula>
    </cfRule>
  </conditionalFormatting>
  <conditionalFormatting sqref="AJ305:AK306">
    <cfRule type="expression" dxfId="2051" priority="2860">
      <formula>$BC305="YES"</formula>
    </cfRule>
  </conditionalFormatting>
  <conditionalFormatting sqref="AJ307:AK308">
    <cfRule type="expression" dxfId="2050" priority="2861">
      <formula>$BC307="YES"</formula>
    </cfRule>
  </conditionalFormatting>
  <conditionalFormatting sqref="AJ309:AK310">
    <cfRule type="expression" dxfId="2049" priority="2862">
      <formula>$BC309="YES"</formula>
    </cfRule>
  </conditionalFormatting>
  <conditionalFormatting sqref="AJ311:AK312">
    <cfRule type="expression" dxfId="2048" priority="2863">
      <formula>$BC311="YES"</formula>
    </cfRule>
  </conditionalFormatting>
  <conditionalFormatting sqref="AJ313:AK314">
    <cfRule type="expression" dxfId="2047" priority="2864">
      <formula>$BC313="YES"</formula>
    </cfRule>
  </conditionalFormatting>
  <conditionalFormatting sqref="AJ315:AK316">
    <cfRule type="expression" dxfId="2046" priority="2865">
      <formula>$BC315="YES"</formula>
    </cfRule>
  </conditionalFormatting>
  <conditionalFormatting sqref="AJ317:AK318">
    <cfRule type="expression" dxfId="2045" priority="2866">
      <formula>$BC317="YES"</formula>
    </cfRule>
  </conditionalFormatting>
  <conditionalFormatting sqref="AJ319:AK320">
    <cfRule type="expression" dxfId="2044" priority="2867">
      <formula>$BC319="YES"</formula>
    </cfRule>
  </conditionalFormatting>
  <conditionalFormatting sqref="AJ321:AK322">
    <cfRule type="expression" dxfId="2043" priority="2868">
      <formula>$BC321="YES"</formula>
    </cfRule>
  </conditionalFormatting>
  <conditionalFormatting sqref="AJ323:AK324">
    <cfRule type="expression" dxfId="2042" priority="2869">
      <formula>$BC323="YES"</formula>
    </cfRule>
  </conditionalFormatting>
  <conditionalFormatting sqref="AJ325:AK326">
    <cfRule type="expression" dxfId="2041" priority="2870">
      <formula>$BC325="YES"</formula>
    </cfRule>
  </conditionalFormatting>
  <conditionalFormatting sqref="AJ327:AK328">
    <cfRule type="expression" dxfId="2040" priority="2871">
      <formula>$BC327="YES"</formula>
    </cfRule>
  </conditionalFormatting>
  <conditionalFormatting sqref="AJ329:AK330">
    <cfRule type="expression" dxfId="2039" priority="2872">
      <formula>$BC329="YES"</formula>
    </cfRule>
  </conditionalFormatting>
  <conditionalFormatting sqref="AJ331:AK332">
    <cfRule type="expression" dxfId="2038" priority="2873">
      <formula>$BC331="YES"</formula>
    </cfRule>
  </conditionalFormatting>
  <conditionalFormatting sqref="AJ333:AK334">
    <cfRule type="expression" dxfId="2037" priority="2874">
      <formula>$BC333="YES"</formula>
    </cfRule>
  </conditionalFormatting>
  <conditionalFormatting sqref="AJ335:AK336">
    <cfRule type="expression" dxfId="2036" priority="2875">
      <formula>$BC335="YES"</formula>
    </cfRule>
  </conditionalFormatting>
  <conditionalFormatting sqref="AJ337:AK338">
    <cfRule type="expression" dxfId="2035" priority="2876">
      <formula>$BC337="YES"</formula>
    </cfRule>
  </conditionalFormatting>
  <conditionalFormatting sqref="AJ339:AK340">
    <cfRule type="expression" dxfId="2034" priority="2877">
      <formula>$BC339="YES"</formula>
    </cfRule>
  </conditionalFormatting>
  <conditionalFormatting sqref="AJ341:AK342">
    <cfRule type="expression" dxfId="2033" priority="2878">
      <formula>$BC341="YES"</formula>
    </cfRule>
  </conditionalFormatting>
  <conditionalFormatting sqref="AJ343:AK344">
    <cfRule type="expression" dxfId="2032" priority="2879">
      <formula>$BC343="YES"</formula>
    </cfRule>
  </conditionalFormatting>
  <conditionalFormatting sqref="AJ345:AK346">
    <cfRule type="expression" dxfId="2031" priority="2880">
      <formula>$BC345="YES"</formula>
    </cfRule>
  </conditionalFormatting>
  <conditionalFormatting sqref="AJ347:AK348">
    <cfRule type="expression" dxfId="2030" priority="2881">
      <formula>$BC347="YES"</formula>
    </cfRule>
  </conditionalFormatting>
  <conditionalFormatting sqref="AJ349:AK350">
    <cfRule type="expression" dxfId="2029" priority="2882">
      <formula>$BC349="YES"</formula>
    </cfRule>
  </conditionalFormatting>
  <conditionalFormatting sqref="AJ351:AK352">
    <cfRule type="expression" dxfId="2028" priority="2883">
      <formula>$BC351="YES"</formula>
    </cfRule>
  </conditionalFormatting>
  <conditionalFormatting sqref="AJ353:AK354">
    <cfRule type="expression" dxfId="2027" priority="2884">
      <formula>$BC353="YES"</formula>
    </cfRule>
  </conditionalFormatting>
  <conditionalFormatting sqref="AJ355:AK356">
    <cfRule type="expression" dxfId="2026" priority="2885">
      <formula>$BC355="YES"</formula>
    </cfRule>
  </conditionalFormatting>
  <conditionalFormatting sqref="AJ357:AK358">
    <cfRule type="expression" dxfId="2025" priority="2886">
      <formula>$BC357="YES"</formula>
    </cfRule>
  </conditionalFormatting>
  <conditionalFormatting sqref="AJ359:AK360">
    <cfRule type="expression" dxfId="2024" priority="2887">
      <formula>$BC359="YES"</formula>
    </cfRule>
  </conditionalFormatting>
  <conditionalFormatting sqref="AJ361:AK362">
    <cfRule type="expression" dxfId="2023" priority="2888">
      <formula>$BC361="YES"</formula>
    </cfRule>
  </conditionalFormatting>
  <conditionalFormatting sqref="AJ363:AK364">
    <cfRule type="expression" dxfId="2022" priority="2889">
      <formula>$BC363="YES"</formula>
    </cfRule>
  </conditionalFormatting>
  <conditionalFormatting sqref="AJ365:AK366">
    <cfRule type="expression" dxfId="2021" priority="2890">
      <formula>$BC365="YES"</formula>
    </cfRule>
  </conditionalFormatting>
  <conditionalFormatting sqref="AJ367:AK368">
    <cfRule type="expression" dxfId="2020" priority="2891">
      <formula>$BC367="YES"</formula>
    </cfRule>
  </conditionalFormatting>
  <conditionalFormatting sqref="AJ369:AK370">
    <cfRule type="expression" dxfId="2019" priority="2892">
      <formula>$BC369="YES"</formula>
    </cfRule>
  </conditionalFormatting>
  <conditionalFormatting sqref="AJ371:AK372">
    <cfRule type="expression" dxfId="2018" priority="2893">
      <formula>$BC371="YES"</formula>
    </cfRule>
  </conditionalFormatting>
  <conditionalFormatting sqref="AJ373:AK374">
    <cfRule type="expression" dxfId="2017" priority="2894">
      <formula>$BC373="YES"</formula>
    </cfRule>
  </conditionalFormatting>
  <conditionalFormatting sqref="AJ375:AK376">
    <cfRule type="expression" dxfId="2016" priority="2895">
      <formula>$BC375="YES"</formula>
    </cfRule>
  </conditionalFormatting>
  <conditionalFormatting sqref="AJ377:AK378">
    <cfRule type="expression" dxfId="2015" priority="2896">
      <formula>$BC377="YES"</formula>
    </cfRule>
  </conditionalFormatting>
  <conditionalFormatting sqref="AJ379:AK380">
    <cfRule type="expression" dxfId="2014" priority="2897">
      <formula>$BC379="YES"</formula>
    </cfRule>
  </conditionalFormatting>
  <conditionalFormatting sqref="AJ381:AK382">
    <cfRule type="expression" dxfId="2013" priority="2898">
      <formula>$BC381="YES"</formula>
    </cfRule>
  </conditionalFormatting>
  <conditionalFormatting sqref="AJ383:AK384">
    <cfRule type="expression" dxfId="2012" priority="2899">
      <formula>$BC383="YES"</formula>
    </cfRule>
  </conditionalFormatting>
  <conditionalFormatting sqref="AJ385:AK386">
    <cfRule type="expression" dxfId="2011" priority="2900">
      <formula>$BC385="YES"</formula>
    </cfRule>
  </conditionalFormatting>
  <conditionalFormatting sqref="AJ387:AK388">
    <cfRule type="expression" dxfId="2010" priority="2901">
      <formula>$BC387="YES"</formula>
    </cfRule>
  </conditionalFormatting>
  <conditionalFormatting sqref="AJ389:AK390">
    <cfRule type="expression" dxfId="2009" priority="2902">
      <formula>$BC389="YES"</formula>
    </cfRule>
  </conditionalFormatting>
  <conditionalFormatting sqref="AJ391:AK392">
    <cfRule type="expression" dxfId="2008" priority="2903">
      <formula>$BC391="YES"</formula>
    </cfRule>
  </conditionalFormatting>
  <conditionalFormatting sqref="AJ393:AK394">
    <cfRule type="expression" dxfId="2007" priority="2904">
      <formula>$BC393="YES"</formula>
    </cfRule>
  </conditionalFormatting>
  <conditionalFormatting sqref="AJ395:AK396">
    <cfRule type="expression" dxfId="2006" priority="2905">
      <formula>$BC395="YES"</formula>
    </cfRule>
  </conditionalFormatting>
  <conditionalFormatting sqref="AJ397:AK398">
    <cfRule type="expression" dxfId="2005" priority="2906">
      <formula>$BC397="YES"</formula>
    </cfRule>
  </conditionalFormatting>
  <conditionalFormatting sqref="AJ399:AK400">
    <cfRule type="expression" dxfId="2004" priority="2907">
      <formula>$BC399="YES"</formula>
    </cfRule>
  </conditionalFormatting>
  <conditionalFormatting sqref="AJ401:AK402">
    <cfRule type="expression" dxfId="2003" priority="2908">
      <formula>$BC401="YES"</formula>
    </cfRule>
  </conditionalFormatting>
  <conditionalFormatting sqref="AJ403:AK404">
    <cfRule type="expression" dxfId="2002" priority="2909">
      <formula>$BC403="YES"</formula>
    </cfRule>
  </conditionalFormatting>
  <conditionalFormatting sqref="AJ405:AK406">
    <cfRule type="expression" dxfId="2001" priority="2910">
      <formula>$BC405="YES"</formula>
    </cfRule>
  </conditionalFormatting>
  <conditionalFormatting sqref="AJ407:AK408">
    <cfRule type="expression" dxfId="2000" priority="2911">
      <formula>$BC407="YES"</formula>
    </cfRule>
  </conditionalFormatting>
  <conditionalFormatting sqref="AJ409:AK410">
    <cfRule type="expression" dxfId="1999" priority="2912">
      <formula>$BC409="YES"</formula>
    </cfRule>
  </conditionalFormatting>
  <conditionalFormatting sqref="AJ411:AK412">
    <cfRule type="expression" dxfId="1998" priority="2913">
      <formula>$BC411="YES"</formula>
    </cfRule>
  </conditionalFormatting>
  <conditionalFormatting sqref="AJ413:AK414">
    <cfRule type="expression" dxfId="1997" priority="2914">
      <formula>$BC413="YES"</formula>
    </cfRule>
  </conditionalFormatting>
  <conditionalFormatting sqref="AJ415:AK416">
    <cfRule type="expression" dxfId="1996" priority="2915">
      <formula>$BC415="YES"</formula>
    </cfRule>
  </conditionalFormatting>
  <conditionalFormatting sqref="AJ417:AK418">
    <cfRule type="expression" dxfId="1995" priority="2916">
      <formula>$BC417="YES"</formula>
    </cfRule>
  </conditionalFormatting>
  <conditionalFormatting sqref="AJ419:AK420">
    <cfRule type="expression" dxfId="1994" priority="2917">
      <formula>$BC419="YES"</formula>
    </cfRule>
  </conditionalFormatting>
  <conditionalFormatting sqref="AJ421:AK422">
    <cfRule type="expression" dxfId="1993" priority="2918">
      <formula>$BC421="YES"</formula>
    </cfRule>
  </conditionalFormatting>
  <conditionalFormatting sqref="AJ423:AK424">
    <cfRule type="expression" dxfId="1992" priority="2919">
      <formula>$BC423="YES"</formula>
    </cfRule>
  </conditionalFormatting>
  <conditionalFormatting sqref="AJ425:AK426">
    <cfRule type="expression" dxfId="1991" priority="2920">
      <formula>$BC425="YES"</formula>
    </cfRule>
  </conditionalFormatting>
  <conditionalFormatting sqref="AJ427:AK428">
    <cfRule type="expression" dxfId="1990" priority="2921">
      <formula>$BC427="YES"</formula>
    </cfRule>
  </conditionalFormatting>
  <conditionalFormatting sqref="AJ429:AK430">
    <cfRule type="expression" dxfId="1989" priority="2922">
      <formula>$BC429="YES"</formula>
    </cfRule>
  </conditionalFormatting>
  <conditionalFormatting sqref="AJ431:AK432">
    <cfRule type="expression" dxfId="1988" priority="2923">
      <formula>$BC431="YES"</formula>
    </cfRule>
  </conditionalFormatting>
  <conditionalFormatting sqref="AJ433:AK434">
    <cfRule type="expression" dxfId="1987" priority="2924">
      <formula>$BC433="YES"</formula>
    </cfRule>
  </conditionalFormatting>
  <conditionalFormatting sqref="AJ435:AK436">
    <cfRule type="expression" dxfId="1986" priority="2925">
      <formula>$BC435="YES"</formula>
    </cfRule>
  </conditionalFormatting>
  <conditionalFormatting sqref="AJ437:AK438">
    <cfRule type="expression" dxfId="1985" priority="2926">
      <formula>$BC437="YES"</formula>
    </cfRule>
  </conditionalFormatting>
  <conditionalFormatting sqref="AJ439:AK440">
    <cfRule type="expression" dxfId="1984" priority="2927">
      <formula>$BC439="YES"</formula>
    </cfRule>
  </conditionalFormatting>
  <conditionalFormatting sqref="AJ441:AK442">
    <cfRule type="expression" dxfId="1983" priority="2928">
      <formula>$BC441="YES"</formula>
    </cfRule>
  </conditionalFormatting>
  <conditionalFormatting sqref="AJ443:AK444">
    <cfRule type="expression" dxfId="1982" priority="2929">
      <formula>$BC443="YES"</formula>
    </cfRule>
  </conditionalFormatting>
  <conditionalFormatting sqref="AJ445:AK446">
    <cfRule type="expression" dxfId="1981" priority="2930">
      <formula>$BC445="YES"</formula>
    </cfRule>
  </conditionalFormatting>
  <conditionalFormatting sqref="AJ447:AK448">
    <cfRule type="expression" dxfId="1980" priority="2931">
      <formula>$BC447="YES"</formula>
    </cfRule>
  </conditionalFormatting>
  <conditionalFormatting sqref="AJ449:AK450">
    <cfRule type="expression" dxfId="1979" priority="2932">
      <formula>$BC449="YES"</formula>
    </cfRule>
  </conditionalFormatting>
  <conditionalFormatting sqref="AJ451:AK452">
    <cfRule type="expression" dxfId="1978" priority="2933">
      <formula>$BC451="YES"</formula>
    </cfRule>
  </conditionalFormatting>
  <conditionalFormatting sqref="AJ453:AK454">
    <cfRule type="expression" dxfId="1977" priority="2934">
      <formula>$BC453="YES"</formula>
    </cfRule>
  </conditionalFormatting>
  <conditionalFormatting sqref="AJ455:AK456">
    <cfRule type="expression" dxfId="1976" priority="2935">
      <formula>$BC455="YES"</formula>
    </cfRule>
  </conditionalFormatting>
  <conditionalFormatting sqref="AJ457:AK458">
    <cfRule type="expression" dxfId="1975" priority="2936">
      <formula>$BC457="YES"</formula>
    </cfRule>
  </conditionalFormatting>
  <conditionalFormatting sqref="AJ459:AK460">
    <cfRule type="expression" dxfId="1974" priority="2937">
      <formula>$BC459="YES"</formula>
    </cfRule>
  </conditionalFormatting>
  <conditionalFormatting sqref="AJ461:AK462">
    <cfRule type="expression" dxfId="1973" priority="2938">
      <formula>$BC461="YES"</formula>
    </cfRule>
  </conditionalFormatting>
  <conditionalFormatting sqref="AJ463:AK464">
    <cfRule type="expression" dxfId="1972" priority="2939">
      <formula>$BC463="YES"</formula>
    </cfRule>
  </conditionalFormatting>
  <conditionalFormatting sqref="AJ465:AK466">
    <cfRule type="expression" dxfId="1971" priority="2940">
      <formula>$BC465="YES"</formula>
    </cfRule>
  </conditionalFormatting>
  <conditionalFormatting sqref="AJ467:AK468">
    <cfRule type="expression" dxfId="1970" priority="2941">
      <formula>$BC467="YES"</formula>
    </cfRule>
  </conditionalFormatting>
  <conditionalFormatting sqref="AJ469:AK470">
    <cfRule type="expression" dxfId="1969" priority="2942">
      <formula>$BC469="YES"</formula>
    </cfRule>
  </conditionalFormatting>
  <conditionalFormatting sqref="AJ471:AK472">
    <cfRule type="expression" dxfId="1968" priority="2943">
      <formula>$BC471="YES"</formula>
    </cfRule>
  </conditionalFormatting>
  <conditionalFormatting sqref="AJ473:AK474">
    <cfRule type="expression" dxfId="1967" priority="2944">
      <formula>$BC473="YES"</formula>
    </cfRule>
  </conditionalFormatting>
  <conditionalFormatting sqref="AJ475:AK476">
    <cfRule type="expression" dxfId="1966" priority="2945">
      <formula>$BC475="YES"</formula>
    </cfRule>
  </conditionalFormatting>
  <conditionalFormatting sqref="AJ477:AK478">
    <cfRule type="expression" dxfId="1965" priority="2946">
      <formula>$BC477="YES"</formula>
    </cfRule>
  </conditionalFormatting>
  <conditionalFormatting sqref="AJ479:AK480">
    <cfRule type="expression" dxfId="1964" priority="2947">
      <formula>$BC479="YES"</formula>
    </cfRule>
  </conditionalFormatting>
  <conditionalFormatting sqref="AJ481:AK482">
    <cfRule type="expression" dxfId="1963" priority="2948">
      <formula>$BC481="YES"</formula>
    </cfRule>
  </conditionalFormatting>
  <conditionalFormatting sqref="AJ483:AK484">
    <cfRule type="expression" dxfId="1962" priority="2949">
      <formula>$BC483="YES"</formula>
    </cfRule>
  </conditionalFormatting>
  <conditionalFormatting sqref="AJ485:AK486">
    <cfRule type="expression" dxfId="1961" priority="2950">
      <formula>$BC485="YES"</formula>
    </cfRule>
  </conditionalFormatting>
  <conditionalFormatting sqref="AJ487:AK488">
    <cfRule type="expression" dxfId="1960" priority="2951">
      <formula>$BC487="YES"</formula>
    </cfRule>
  </conditionalFormatting>
  <conditionalFormatting sqref="AJ489:AK490">
    <cfRule type="expression" dxfId="1959" priority="2952">
      <formula>$BC489="YES"</formula>
    </cfRule>
  </conditionalFormatting>
  <conditionalFormatting sqref="AJ491:AK492">
    <cfRule type="expression" dxfId="1958" priority="2953">
      <formula>$BC491="YES"</formula>
    </cfRule>
  </conditionalFormatting>
  <conditionalFormatting sqref="AJ493:AK494">
    <cfRule type="expression" dxfId="1957" priority="2954">
      <formula>$BC493="YES"</formula>
    </cfRule>
  </conditionalFormatting>
  <conditionalFormatting sqref="AJ495:AK496">
    <cfRule type="expression" dxfId="1956" priority="2955">
      <formula>$BC495="YES"</formula>
    </cfRule>
  </conditionalFormatting>
  <conditionalFormatting sqref="AJ497:AK498">
    <cfRule type="expression" dxfId="1955" priority="2956">
      <formula>$BC497="YES"</formula>
    </cfRule>
  </conditionalFormatting>
  <conditionalFormatting sqref="AJ499:AK500">
    <cfRule type="expression" dxfId="1954" priority="2957">
      <formula>$BC499="YES"</formula>
    </cfRule>
  </conditionalFormatting>
  <conditionalFormatting sqref="AJ501:AK502">
    <cfRule type="expression" dxfId="1953" priority="2958">
      <formula>$BC501="YES"</formula>
    </cfRule>
  </conditionalFormatting>
  <conditionalFormatting sqref="AJ503:AK504">
    <cfRule type="expression" dxfId="1952" priority="2959">
      <formula>$BC503="YES"</formula>
    </cfRule>
  </conditionalFormatting>
  <conditionalFormatting sqref="AJ505:AK506">
    <cfRule type="expression" dxfId="1951" priority="2960">
      <formula>$BC505="YES"</formula>
    </cfRule>
  </conditionalFormatting>
  <conditionalFormatting sqref="AJ507:AK508">
    <cfRule type="expression" dxfId="1950" priority="2961">
      <formula>$BC507="YES"</formula>
    </cfRule>
  </conditionalFormatting>
  <conditionalFormatting sqref="AJ509:AK510">
    <cfRule type="expression" dxfId="1949" priority="2962">
      <formula>$BC509="YES"</formula>
    </cfRule>
  </conditionalFormatting>
  <conditionalFormatting sqref="AJ511:AK512">
    <cfRule type="expression" dxfId="1948" priority="2963">
      <formula>$BC511="YES"</formula>
    </cfRule>
  </conditionalFormatting>
  <conditionalFormatting sqref="AJ513:AK514">
    <cfRule type="expression" dxfId="1947" priority="2964">
      <formula>$BC513="YES"</formula>
    </cfRule>
  </conditionalFormatting>
  <conditionalFormatting sqref="AJ515:AK516">
    <cfRule type="expression" dxfId="1946" priority="2965">
      <formula>$BC515="YES"</formula>
    </cfRule>
  </conditionalFormatting>
  <conditionalFormatting sqref="AJ517:AK518">
    <cfRule type="expression" dxfId="1945" priority="2966">
      <formula>$BC517="YES"</formula>
    </cfRule>
  </conditionalFormatting>
  <conditionalFormatting sqref="AJ519:AK520">
    <cfRule type="expression" dxfId="1944" priority="2967">
      <formula>$BC519="YES"</formula>
    </cfRule>
  </conditionalFormatting>
  <conditionalFormatting sqref="AJ521:AK522">
    <cfRule type="expression" dxfId="1943" priority="2968">
      <formula>$BC521="YES"</formula>
    </cfRule>
  </conditionalFormatting>
  <conditionalFormatting sqref="AJ523:AK524">
    <cfRule type="expression" dxfId="1942" priority="2969">
      <formula>$BC523="YES"</formula>
    </cfRule>
  </conditionalFormatting>
  <conditionalFormatting sqref="AJ525:AK526">
    <cfRule type="expression" dxfId="1941" priority="2970">
      <formula>$BC525="YES"</formula>
    </cfRule>
  </conditionalFormatting>
  <conditionalFormatting sqref="AJ527:AK528">
    <cfRule type="expression" dxfId="1940" priority="2971">
      <formula>$BC527="YES"</formula>
    </cfRule>
  </conditionalFormatting>
  <conditionalFormatting sqref="AJ529:AK530">
    <cfRule type="expression" dxfId="1939" priority="2972">
      <formula>$BC529="YES"</formula>
    </cfRule>
  </conditionalFormatting>
  <conditionalFormatting sqref="AJ531:AK532">
    <cfRule type="expression" dxfId="1938" priority="2973">
      <formula>$BC531="YES"</formula>
    </cfRule>
  </conditionalFormatting>
  <conditionalFormatting sqref="AJ533:AK534">
    <cfRule type="expression" dxfId="1937" priority="2974">
      <formula>$BC533="YES"</formula>
    </cfRule>
  </conditionalFormatting>
  <conditionalFormatting sqref="AJ535:AK536">
    <cfRule type="expression" dxfId="1936" priority="2975">
      <formula>$BC535="YES"</formula>
    </cfRule>
  </conditionalFormatting>
  <conditionalFormatting sqref="AJ537:AK538">
    <cfRule type="expression" dxfId="1935" priority="2976">
      <formula>$BC537="YES"</formula>
    </cfRule>
  </conditionalFormatting>
  <conditionalFormatting sqref="AJ539:AK540">
    <cfRule type="expression" dxfId="1934" priority="2977">
      <formula>$BC539="YES"</formula>
    </cfRule>
  </conditionalFormatting>
  <conditionalFormatting sqref="AJ541:AK542">
    <cfRule type="expression" dxfId="1933" priority="2978">
      <formula>$BC541="YES"</formula>
    </cfRule>
  </conditionalFormatting>
  <conditionalFormatting sqref="AJ543:AK544">
    <cfRule type="expression" dxfId="1932" priority="2979">
      <formula>$BC543="YES"</formula>
    </cfRule>
  </conditionalFormatting>
  <conditionalFormatting sqref="AJ545:AK546">
    <cfRule type="expression" dxfId="1931" priority="2980">
      <formula>$BC545="YES"</formula>
    </cfRule>
  </conditionalFormatting>
  <conditionalFormatting sqref="AJ547:AK548">
    <cfRule type="expression" dxfId="1930" priority="2981">
      <formula>$BC547="YES"</formula>
    </cfRule>
  </conditionalFormatting>
  <conditionalFormatting sqref="AJ549:AK550">
    <cfRule type="expression" dxfId="1929" priority="2982">
      <formula>$BC549="YES"</formula>
    </cfRule>
  </conditionalFormatting>
  <conditionalFormatting sqref="AJ551:AK552">
    <cfRule type="expression" dxfId="1928" priority="2983">
      <formula>$BC551="YES"</formula>
    </cfRule>
  </conditionalFormatting>
  <conditionalFormatting sqref="AJ553:AK554">
    <cfRule type="expression" dxfId="1927" priority="2984">
      <formula>$BC553="YES"</formula>
    </cfRule>
  </conditionalFormatting>
  <conditionalFormatting sqref="AJ555:AK556">
    <cfRule type="expression" dxfId="1926" priority="2985">
      <formula>$BC555="YES"</formula>
    </cfRule>
  </conditionalFormatting>
  <conditionalFormatting sqref="AJ557:AK558">
    <cfRule type="expression" dxfId="1925" priority="2986">
      <formula>$BC557="YES"</formula>
    </cfRule>
  </conditionalFormatting>
  <conditionalFormatting sqref="AJ559:AK560">
    <cfRule type="expression" dxfId="1924" priority="2987">
      <formula>$BC559="YES"</formula>
    </cfRule>
  </conditionalFormatting>
  <conditionalFormatting sqref="AJ561:AK562">
    <cfRule type="expression" dxfId="1923" priority="2988">
      <formula>$BC561="YES"</formula>
    </cfRule>
  </conditionalFormatting>
  <conditionalFormatting sqref="AJ563:AK564">
    <cfRule type="expression" dxfId="1922" priority="2989">
      <formula>$BC563="YES"</formula>
    </cfRule>
  </conditionalFormatting>
  <conditionalFormatting sqref="AJ565:AK566">
    <cfRule type="expression" dxfId="1921" priority="2990">
      <formula>$BC565="YES"</formula>
    </cfRule>
  </conditionalFormatting>
  <conditionalFormatting sqref="AJ567:AK568">
    <cfRule type="expression" dxfId="1920" priority="2991">
      <formula>$BC567="YES"</formula>
    </cfRule>
  </conditionalFormatting>
  <conditionalFormatting sqref="AJ569:AK570">
    <cfRule type="expression" dxfId="1919" priority="2992">
      <formula>$BC569="YES"</formula>
    </cfRule>
  </conditionalFormatting>
  <conditionalFormatting sqref="AJ571:AK572">
    <cfRule type="expression" dxfId="1918" priority="2993">
      <formula>$BC571="YES"</formula>
    </cfRule>
  </conditionalFormatting>
  <conditionalFormatting sqref="AJ573:AK574">
    <cfRule type="expression" dxfId="1917" priority="2994">
      <formula>$BC573="YES"</formula>
    </cfRule>
  </conditionalFormatting>
  <conditionalFormatting sqref="AJ575:AK576">
    <cfRule type="expression" dxfId="1916" priority="2995">
      <formula>$BC575="YES"</formula>
    </cfRule>
  </conditionalFormatting>
  <conditionalFormatting sqref="AJ577:AK578">
    <cfRule type="expression" dxfId="1915" priority="2996">
      <formula>$BC577="YES"</formula>
    </cfRule>
  </conditionalFormatting>
  <conditionalFormatting sqref="AJ579:AK580">
    <cfRule type="expression" dxfId="1914" priority="2997">
      <formula>$BC579="YES"</formula>
    </cfRule>
  </conditionalFormatting>
  <conditionalFormatting sqref="AJ581:AK582">
    <cfRule type="expression" dxfId="1913" priority="2998">
      <formula>$BC581="YES"</formula>
    </cfRule>
  </conditionalFormatting>
  <conditionalFormatting sqref="AJ583:AK584">
    <cfRule type="expression" dxfId="1912" priority="2999">
      <formula>$BC583="YES"</formula>
    </cfRule>
  </conditionalFormatting>
  <conditionalFormatting sqref="AJ585:AK586">
    <cfRule type="expression" dxfId="1911" priority="3000">
      <formula>$BC585="YES"</formula>
    </cfRule>
  </conditionalFormatting>
  <conditionalFormatting sqref="AJ587:AK588">
    <cfRule type="expression" dxfId="1910" priority="3001">
      <formula>$BC587="YES"</formula>
    </cfRule>
  </conditionalFormatting>
  <conditionalFormatting sqref="AJ589:AK590">
    <cfRule type="expression" dxfId="1909" priority="3002">
      <formula>$BC589="YES"</formula>
    </cfRule>
  </conditionalFormatting>
  <conditionalFormatting sqref="AJ591:AK592">
    <cfRule type="expression" dxfId="1908" priority="3003">
      <formula>$BC591="YES"</formula>
    </cfRule>
  </conditionalFormatting>
  <conditionalFormatting sqref="AJ593:AK594">
    <cfRule type="expression" dxfId="1907" priority="3004">
      <formula>$BC593="YES"</formula>
    </cfRule>
  </conditionalFormatting>
  <conditionalFormatting sqref="AJ595:AK596">
    <cfRule type="expression" dxfId="1906" priority="3005">
      <formula>$BC595="YES"</formula>
    </cfRule>
  </conditionalFormatting>
  <conditionalFormatting sqref="AJ597:AK598">
    <cfRule type="expression" dxfId="1905" priority="3006">
      <formula>$BC597="YES"</formula>
    </cfRule>
  </conditionalFormatting>
  <conditionalFormatting sqref="AJ599:AK600">
    <cfRule type="expression" dxfId="1904" priority="3007">
      <formula>$BC599="YES"</formula>
    </cfRule>
  </conditionalFormatting>
  <conditionalFormatting sqref="AJ601:AK602">
    <cfRule type="expression" dxfId="1903" priority="3008">
      <formula>$BC601="YES"</formula>
    </cfRule>
  </conditionalFormatting>
  <conditionalFormatting sqref="AJ603:AK604">
    <cfRule type="expression" dxfId="1902" priority="3009">
      <formula>$BC603="YES"</formula>
    </cfRule>
  </conditionalFormatting>
  <conditionalFormatting sqref="AJ605:AK606">
    <cfRule type="expression" dxfId="1901" priority="3010">
      <formula>$BC605="YES"</formula>
    </cfRule>
  </conditionalFormatting>
  <conditionalFormatting sqref="AJ607:AK608">
    <cfRule type="expression" dxfId="1900" priority="3011">
      <formula>$BC607="YES"</formula>
    </cfRule>
  </conditionalFormatting>
  <conditionalFormatting sqref="AJ609:AK610">
    <cfRule type="expression" dxfId="1899" priority="3012">
      <formula>$BC609="YES"</formula>
    </cfRule>
  </conditionalFormatting>
  <conditionalFormatting sqref="AJ611:AK612">
    <cfRule type="expression" dxfId="1898" priority="3013">
      <formula>$BC611="YES"</formula>
    </cfRule>
  </conditionalFormatting>
  <conditionalFormatting sqref="AJ613:AK614">
    <cfRule type="expression" dxfId="1897" priority="3014">
      <formula>$BC613="YES"</formula>
    </cfRule>
  </conditionalFormatting>
  <conditionalFormatting sqref="N25:N34">
    <cfRule type="expression" dxfId="1896" priority="3015">
      <formula>$BC25="YES"</formula>
    </cfRule>
  </conditionalFormatting>
  <conditionalFormatting sqref="N35:N44">
    <cfRule type="expression" dxfId="1895" priority="3016">
      <formula>$BC35="YES"</formula>
    </cfRule>
  </conditionalFormatting>
  <conditionalFormatting sqref="N45:N54">
    <cfRule type="expression" dxfId="1894" priority="3017">
      <formula>$BC45="YES"</formula>
    </cfRule>
  </conditionalFormatting>
  <conditionalFormatting sqref="N55:N64">
    <cfRule type="expression" dxfId="1893" priority="3018">
      <formula>$BC55="YES"</formula>
    </cfRule>
  </conditionalFormatting>
  <conditionalFormatting sqref="N65:N74">
    <cfRule type="expression" dxfId="1892" priority="3019">
      <formula>$BC65="YES"</formula>
    </cfRule>
  </conditionalFormatting>
  <conditionalFormatting sqref="N75:N84">
    <cfRule type="expression" dxfId="1891" priority="3020">
      <formula>$BC75="YES"</formula>
    </cfRule>
  </conditionalFormatting>
  <conditionalFormatting sqref="N85:N94">
    <cfRule type="expression" dxfId="1890" priority="3021">
      <formula>$BC85="YES"</formula>
    </cfRule>
  </conditionalFormatting>
  <conditionalFormatting sqref="N95:N104">
    <cfRule type="expression" dxfId="1889" priority="3022">
      <formula>$BC95="YES"</formula>
    </cfRule>
  </conditionalFormatting>
  <conditionalFormatting sqref="N105:N114">
    <cfRule type="expression" dxfId="1888" priority="3023">
      <formula>$BC105="YES"</formula>
    </cfRule>
  </conditionalFormatting>
  <conditionalFormatting sqref="N115:N124">
    <cfRule type="expression" dxfId="1887" priority="3024">
      <formula>$BC115="YES"</formula>
    </cfRule>
  </conditionalFormatting>
  <conditionalFormatting sqref="N125:N134">
    <cfRule type="expression" dxfId="1886" priority="3025">
      <formula>$BC125="YES"</formula>
    </cfRule>
  </conditionalFormatting>
  <conditionalFormatting sqref="N135:N144">
    <cfRule type="expression" dxfId="1885" priority="3026">
      <formula>$BC135="YES"</formula>
    </cfRule>
  </conditionalFormatting>
  <conditionalFormatting sqref="N145:N154">
    <cfRule type="expression" dxfId="1884" priority="3027">
      <formula>$BC145="YES"</formula>
    </cfRule>
  </conditionalFormatting>
  <conditionalFormatting sqref="N155:N164">
    <cfRule type="expression" dxfId="1883" priority="3028">
      <formula>$BC155="YES"</formula>
    </cfRule>
  </conditionalFormatting>
  <conditionalFormatting sqref="N165:N174">
    <cfRule type="expression" dxfId="1882" priority="3029">
      <formula>$BC165="YES"</formula>
    </cfRule>
  </conditionalFormatting>
  <conditionalFormatting sqref="N175:N184">
    <cfRule type="expression" dxfId="1881" priority="3030">
      <formula>$BC175="YES"</formula>
    </cfRule>
  </conditionalFormatting>
  <conditionalFormatting sqref="N185:N194">
    <cfRule type="expression" dxfId="1880" priority="3031">
      <formula>$BC185="YES"</formula>
    </cfRule>
  </conditionalFormatting>
  <conditionalFormatting sqref="N195:N204">
    <cfRule type="expression" dxfId="1879" priority="3032">
      <formula>$BC195="YES"</formula>
    </cfRule>
  </conditionalFormatting>
  <conditionalFormatting sqref="N205:N214">
    <cfRule type="expression" dxfId="1878" priority="3033">
      <formula>$BC205="YES"</formula>
    </cfRule>
  </conditionalFormatting>
  <conditionalFormatting sqref="N215:N224">
    <cfRule type="expression" dxfId="1877" priority="3034">
      <formula>$BC215="YES"</formula>
    </cfRule>
  </conditionalFormatting>
  <conditionalFormatting sqref="N225:N234">
    <cfRule type="expression" dxfId="1876" priority="3035">
      <formula>$BC225="YES"</formula>
    </cfRule>
  </conditionalFormatting>
  <conditionalFormatting sqref="N235:N244">
    <cfRule type="expression" dxfId="1875" priority="3036">
      <formula>$BC235="YES"</formula>
    </cfRule>
  </conditionalFormatting>
  <conditionalFormatting sqref="N245:N254">
    <cfRule type="expression" dxfId="1874" priority="3037">
      <formula>$BC245="YES"</formula>
    </cfRule>
  </conditionalFormatting>
  <conditionalFormatting sqref="N255:N264">
    <cfRule type="expression" dxfId="1873" priority="3038">
      <formula>$BC255="YES"</formula>
    </cfRule>
  </conditionalFormatting>
  <conditionalFormatting sqref="N265:N274">
    <cfRule type="expression" dxfId="1872" priority="3039">
      <formula>$BC265="YES"</formula>
    </cfRule>
  </conditionalFormatting>
  <conditionalFormatting sqref="N275:N284">
    <cfRule type="expression" dxfId="1871" priority="3040">
      <formula>$BC275="YES"</formula>
    </cfRule>
  </conditionalFormatting>
  <conditionalFormatting sqref="N285:N294">
    <cfRule type="expression" dxfId="1870" priority="3041">
      <formula>$BC285="YES"</formula>
    </cfRule>
  </conditionalFormatting>
  <conditionalFormatting sqref="N295:N304">
    <cfRule type="expression" dxfId="1869" priority="3042">
      <formula>$BC295="YES"</formula>
    </cfRule>
  </conditionalFormatting>
  <conditionalFormatting sqref="N305:N314">
    <cfRule type="expression" dxfId="1868" priority="3043">
      <formula>$BC305="YES"</formula>
    </cfRule>
  </conditionalFormatting>
  <conditionalFormatting sqref="N315:N324">
    <cfRule type="expression" dxfId="1867" priority="3044">
      <formula>$BC315="YES"</formula>
    </cfRule>
  </conditionalFormatting>
  <conditionalFormatting sqref="N325:N334">
    <cfRule type="expression" dxfId="1866" priority="3045">
      <formula>$BC325="YES"</formula>
    </cfRule>
  </conditionalFormatting>
  <conditionalFormatting sqref="N335:N344">
    <cfRule type="expression" dxfId="1865" priority="3046">
      <formula>$BC335="YES"</formula>
    </cfRule>
  </conditionalFormatting>
  <conditionalFormatting sqref="N345:N354">
    <cfRule type="expression" dxfId="1864" priority="3047">
      <formula>$BC345="YES"</formula>
    </cfRule>
  </conditionalFormatting>
  <conditionalFormatting sqref="N355:N364">
    <cfRule type="expression" dxfId="1863" priority="3048">
      <formula>$BC355="YES"</formula>
    </cfRule>
  </conditionalFormatting>
  <conditionalFormatting sqref="N365:N374">
    <cfRule type="expression" dxfId="1862" priority="3049">
      <formula>$BC365="YES"</formula>
    </cfRule>
  </conditionalFormatting>
  <conditionalFormatting sqref="N375:N384">
    <cfRule type="expression" dxfId="1861" priority="3050">
      <formula>$BC375="YES"</formula>
    </cfRule>
  </conditionalFormatting>
  <conditionalFormatting sqref="N385:N394">
    <cfRule type="expression" dxfId="1860" priority="3051">
      <formula>$BC385="YES"</formula>
    </cfRule>
  </conditionalFormatting>
  <conditionalFormatting sqref="N395:N404">
    <cfRule type="expression" dxfId="1859" priority="3052">
      <formula>$BC395="YES"</formula>
    </cfRule>
  </conditionalFormatting>
  <conditionalFormatting sqref="N405:N414">
    <cfRule type="expression" dxfId="1858" priority="3053">
      <formula>$BC405="YES"</formula>
    </cfRule>
  </conditionalFormatting>
  <conditionalFormatting sqref="N415:N424">
    <cfRule type="expression" dxfId="1857" priority="3054">
      <formula>$BC415="YES"</formula>
    </cfRule>
  </conditionalFormatting>
  <conditionalFormatting sqref="N425:N434">
    <cfRule type="expression" dxfId="1856" priority="3055">
      <formula>$BC425="YES"</formula>
    </cfRule>
  </conditionalFormatting>
  <conditionalFormatting sqref="N435:N444">
    <cfRule type="expression" dxfId="1855" priority="3056">
      <formula>$BC435="YES"</formula>
    </cfRule>
  </conditionalFormatting>
  <conditionalFormatting sqref="N445:N454">
    <cfRule type="expression" dxfId="1854" priority="3057">
      <formula>$BC445="YES"</formula>
    </cfRule>
  </conditionalFormatting>
  <conditionalFormatting sqref="N455:N464">
    <cfRule type="expression" dxfId="1853" priority="3058">
      <formula>$BC455="YES"</formula>
    </cfRule>
  </conditionalFormatting>
  <conditionalFormatting sqref="N465:N474">
    <cfRule type="expression" dxfId="1852" priority="3059">
      <formula>$BC465="YES"</formula>
    </cfRule>
  </conditionalFormatting>
  <conditionalFormatting sqref="N475:N484">
    <cfRule type="expression" dxfId="1851" priority="3060">
      <formula>$BC475="YES"</formula>
    </cfRule>
  </conditionalFormatting>
  <conditionalFormatting sqref="N485:N494">
    <cfRule type="expression" dxfId="1850" priority="3061">
      <formula>$BC485="YES"</formula>
    </cfRule>
  </conditionalFormatting>
  <conditionalFormatting sqref="N495:N504">
    <cfRule type="expression" dxfId="1849" priority="3062">
      <formula>$BC495="YES"</formula>
    </cfRule>
  </conditionalFormatting>
  <conditionalFormatting sqref="N505:N514">
    <cfRule type="expression" dxfId="1848" priority="3063">
      <formula>$BC505="YES"</formula>
    </cfRule>
  </conditionalFormatting>
  <conditionalFormatting sqref="N515:N524">
    <cfRule type="expression" dxfId="1847" priority="3064">
      <formula>$BC515="YES"</formula>
    </cfRule>
  </conditionalFormatting>
  <conditionalFormatting sqref="N525:N534">
    <cfRule type="expression" dxfId="1846" priority="3065">
      <formula>$BC525="YES"</formula>
    </cfRule>
  </conditionalFormatting>
  <conditionalFormatting sqref="N535:N544">
    <cfRule type="expression" dxfId="1845" priority="3066">
      <formula>$BC535="YES"</formula>
    </cfRule>
  </conditionalFormatting>
  <conditionalFormatting sqref="N545:N554">
    <cfRule type="expression" dxfId="1844" priority="3067">
      <formula>$BC545="YES"</formula>
    </cfRule>
  </conditionalFormatting>
  <conditionalFormatting sqref="N555:N564">
    <cfRule type="expression" dxfId="1843" priority="3068">
      <formula>$BC555="YES"</formula>
    </cfRule>
  </conditionalFormatting>
  <conditionalFormatting sqref="N565:N574">
    <cfRule type="expression" dxfId="1842" priority="3069">
      <formula>$BC565="YES"</formula>
    </cfRule>
  </conditionalFormatting>
  <conditionalFormatting sqref="N575:N584">
    <cfRule type="expression" dxfId="1841" priority="3070">
      <formula>$BC575="YES"</formula>
    </cfRule>
  </conditionalFormatting>
  <conditionalFormatting sqref="N585:N594">
    <cfRule type="expression" dxfId="1840" priority="3071">
      <formula>$BC585="YES"</formula>
    </cfRule>
  </conditionalFormatting>
  <conditionalFormatting sqref="N595:N604">
    <cfRule type="expression" dxfId="1839" priority="3072">
      <formula>$BC595="YES"</formula>
    </cfRule>
  </conditionalFormatting>
  <conditionalFormatting sqref="N605:N614">
    <cfRule type="expression" dxfId="1838" priority="3073">
      <formula>$BC605="YES"</formula>
    </cfRule>
  </conditionalFormatting>
  <conditionalFormatting sqref="AP25:AQ26">
    <cfRule type="expression" dxfId="1837" priority="3074">
      <formula>$BC25="YES"</formula>
    </cfRule>
  </conditionalFormatting>
  <conditionalFormatting sqref="AP27:AQ28">
    <cfRule type="expression" dxfId="1836" priority="3075">
      <formula>$BC27="YES"</formula>
    </cfRule>
  </conditionalFormatting>
  <conditionalFormatting sqref="AP29:AQ30">
    <cfRule type="expression" dxfId="1835" priority="3076">
      <formula>$BC29="YES"</formula>
    </cfRule>
  </conditionalFormatting>
  <conditionalFormatting sqref="AP31:AQ32">
    <cfRule type="expression" dxfId="1834" priority="3077">
      <formula>$BC31="YES"</formula>
    </cfRule>
  </conditionalFormatting>
  <conditionalFormatting sqref="AP33:AQ34">
    <cfRule type="expression" dxfId="1833" priority="3078">
      <formula>$BC33="YES"</formula>
    </cfRule>
  </conditionalFormatting>
  <conditionalFormatting sqref="AP35:AQ36">
    <cfRule type="expression" dxfId="1832" priority="3079">
      <formula>$BC35="YES"</formula>
    </cfRule>
  </conditionalFormatting>
  <conditionalFormatting sqref="AP37:AQ38">
    <cfRule type="expression" dxfId="1831" priority="3080">
      <formula>$BC37="YES"</formula>
    </cfRule>
  </conditionalFormatting>
  <conditionalFormatting sqref="AP39:AQ40">
    <cfRule type="expression" dxfId="1830" priority="3081">
      <formula>$BC39="YES"</formula>
    </cfRule>
  </conditionalFormatting>
  <conditionalFormatting sqref="AP41:AQ42">
    <cfRule type="expression" dxfId="1829" priority="3082">
      <formula>$BC41="YES"</formula>
    </cfRule>
  </conditionalFormatting>
  <conditionalFormatting sqref="AP43:AQ44">
    <cfRule type="expression" dxfId="1828" priority="3083">
      <formula>$BC43="YES"</formula>
    </cfRule>
  </conditionalFormatting>
  <conditionalFormatting sqref="AP45:AQ46">
    <cfRule type="expression" dxfId="1827" priority="3084">
      <formula>$BC45="YES"</formula>
    </cfRule>
  </conditionalFormatting>
  <conditionalFormatting sqref="AP47:AQ48">
    <cfRule type="expression" dxfId="1826" priority="3085">
      <formula>$BC47="YES"</formula>
    </cfRule>
  </conditionalFormatting>
  <conditionalFormatting sqref="AP49:AQ50">
    <cfRule type="expression" dxfId="1825" priority="3086">
      <formula>$BC49="YES"</formula>
    </cfRule>
  </conditionalFormatting>
  <conditionalFormatting sqref="AP51:AQ52">
    <cfRule type="expression" dxfId="1824" priority="3087">
      <formula>$BC51="YES"</formula>
    </cfRule>
  </conditionalFormatting>
  <conditionalFormatting sqref="AP53:AQ54">
    <cfRule type="expression" dxfId="1823" priority="3088">
      <formula>$BC53="YES"</formula>
    </cfRule>
  </conditionalFormatting>
  <conditionalFormatting sqref="AP55:AQ56">
    <cfRule type="expression" dxfId="1822" priority="3089">
      <formula>$BC55="YES"</formula>
    </cfRule>
  </conditionalFormatting>
  <conditionalFormatting sqref="AP57:AQ58">
    <cfRule type="expression" dxfId="1821" priority="3090">
      <formula>$BC57="YES"</formula>
    </cfRule>
  </conditionalFormatting>
  <conditionalFormatting sqref="AP59:AQ60">
    <cfRule type="expression" dxfId="1820" priority="3091">
      <formula>$BC59="YES"</formula>
    </cfRule>
  </conditionalFormatting>
  <conditionalFormatting sqref="AP61:AQ62">
    <cfRule type="expression" dxfId="1819" priority="3092">
      <formula>$BC61="YES"</formula>
    </cfRule>
  </conditionalFormatting>
  <conditionalFormatting sqref="AP63:AQ64">
    <cfRule type="expression" dxfId="1818" priority="3093">
      <formula>$BC63="YES"</formula>
    </cfRule>
  </conditionalFormatting>
  <conditionalFormatting sqref="AP65:AQ66">
    <cfRule type="expression" dxfId="1817" priority="3094">
      <formula>$BC65="YES"</formula>
    </cfRule>
  </conditionalFormatting>
  <conditionalFormatting sqref="AP67:AQ68">
    <cfRule type="expression" dxfId="1816" priority="3095">
      <formula>$BC67="YES"</formula>
    </cfRule>
  </conditionalFormatting>
  <conditionalFormatting sqref="AP69:AQ70">
    <cfRule type="expression" dxfId="1815" priority="3096">
      <formula>$BC69="YES"</formula>
    </cfRule>
  </conditionalFormatting>
  <conditionalFormatting sqref="AP71:AQ72">
    <cfRule type="expression" dxfId="1814" priority="3097">
      <formula>$BC71="YES"</formula>
    </cfRule>
  </conditionalFormatting>
  <conditionalFormatting sqref="AP73:AQ74">
    <cfRule type="expression" dxfId="1813" priority="3098">
      <formula>$BC73="YES"</formula>
    </cfRule>
  </conditionalFormatting>
  <conditionalFormatting sqref="AP75:AQ76">
    <cfRule type="expression" dxfId="1812" priority="3099">
      <formula>$BC75="YES"</formula>
    </cfRule>
  </conditionalFormatting>
  <conditionalFormatting sqref="AP77:AQ78">
    <cfRule type="expression" dxfId="1811" priority="3100">
      <formula>$BC77="YES"</formula>
    </cfRule>
  </conditionalFormatting>
  <conditionalFormatting sqref="AP79:AQ80">
    <cfRule type="expression" dxfId="1810" priority="3101">
      <formula>$BC79="YES"</formula>
    </cfRule>
  </conditionalFormatting>
  <conditionalFormatting sqref="AP81:AQ82">
    <cfRule type="expression" dxfId="1809" priority="3102">
      <formula>$BC81="YES"</formula>
    </cfRule>
  </conditionalFormatting>
  <conditionalFormatting sqref="AP83:AQ84">
    <cfRule type="expression" dxfId="1808" priority="3103">
      <formula>$BC83="YES"</formula>
    </cfRule>
  </conditionalFormatting>
  <conditionalFormatting sqref="AP85:AQ86">
    <cfRule type="expression" dxfId="1807" priority="3104">
      <formula>$BC85="YES"</formula>
    </cfRule>
  </conditionalFormatting>
  <conditionalFormatting sqref="AP87:AQ88">
    <cfRule type="expression" dxfId="1806" priority="3105">
      <formula>$BC87="YES"</formula>
    </cfRule>
  </conditionalFormatting>
  <conditionalFormatting sqref="AP89:AQ90">
    <cfRule type="expression" dxfId="1805" priority="3106">
      <formula>$BC89="YES"</formula>
    </cfRule>
  </conditionalFormatting>
  <conditionalFormatting sqref="AP91:AQ92">
    <cfRule type="expression" dxfId="1804" priority="3107">
      <formula>$BC91="YES"</formula>
    </cfRule>
  </conditionalFormatting>
  <conditionalFormatting sqref="AP93:AQ94">
    <cfRule type="expression" dxfId="1803" priority="3108">
      <formula>$BC93="YES"</formula>
    </cfRule>
  </conditionalFormatting>
  <conditionalFormatting sqref="AP95:AQ96">
    <cfRule type="expression" dxfId="1802" priority="3109">
      <formula>$BC95="YES"</formula>
    </cfRule>
  </conditionalFormatting>
  <conditionalFormatting sqref="AP97:AQ98">
    <cfRule type="expression" dxfId="1801" priority="3110">
      <formula>$BC97="YES"</formula>
    </cfRule>
  </conditionalFormatting>
  <conditionalFormatting sqref="AP99:AQ100">
    <cfRule type="expression" dxfId="1800" priority="3111">
      <formula>$BC99="YES"</formula>
    </cfRule>
  </conditionalFormatting>
  <conditionalFormatting sqref="AP101:AQ102">
    <cfRule type="expression" dxfId="1799" priority="3112">
      <formula>$BC101="YES"</formula>
    </cfRule>
  </conditionalFormatting>
  <conditionalFormatting sqref="AP103:AQ104">
    <cfRule type="expression" dxfId="1798" priority="3113">
      <formula>$BC103="YES"</formula>
    </cfRule>
  </conditionalFormatting>
  <conditionalFormatting sqref="AP105:AQ106">
    <cfRule type="expression" dxfId="1797" priority="3114">
      <formula>$BC105="YES"</formula>
    </cfRule>
  </conditionalFormatting>
  <conditionalFormatting sqref="AP107:AQ108">
    <cfRule type="expression" dxfId="1796" priority="3115">
      <formula>$BC107="YES"</formula>
    </cfRule>
  </conditionalFormatting>
  <conditionalFormatting sqref="AP109:AQ110">
    <cfRule type="expression" dxfId="1795" priority="3116">
      <formula>$BC109="YES"</formula>
    </cfRule>
  </conditionalFormatting>
  <conditionalFormatting sqref="AP111:AQ112">
    <cfRule type="expression" dxfId="1794" priority="3117">
      <formula>$BC111="YES"</formula>
    </cfRule>
  </conditionalFormatting>
  <conditionalFormatting sqref="AR25:AS28">
    <cfRule type="expression" dxfId="1793" priority="3118">
      <formula>$BC25="YES"</formula>
    </cfRule>
  </conditionalFormatting>
  <conditionalFormatting sqref="AR29:AS32">
    <cfRule type="expression" dxfId="1792" priority="3119">
      <formula>$BC29="YES"</formula>
    </cfRule>
  </conditionalFormatting>
  <conditionalFormatting sqref="AR33:AS34">
    <cfRule type="expression" dxfId="1791" priority="3120">
      <formula>$BC33="YES"</formula>
    </cfRule>
  </conditionalFormatting>
  <conditionalFormatting sqref="AR35:AS38">
    <cfRule type="expression" dxfId="1790" priority="3121">
      <formula>$BC35="YES"</formula>
    </cfRule>
  </conditionalFormatting>
  <conditionalFormatting sqref="AR39:AS42">
    <cfRule type="expression" dxfId="1789" priority="3122">
      <formula>$BC39="YES"</formula>
    </cfRule>
  </conditionalFormatting>
  <conditionalFormatting sqref="AR43:AS44">
    <cfRule type="expression" dxfId="1788" priority="3123">
      <formula>$BC43="YES"</formula>
    </cfRule>
  </conditionalFormatting>
  <conditionalFormatting sqref="AR45:AS48">
    <cfRule type="expression" dxfId="1787" priority="3124">
      <formula>$BC45="YES"</formula>
    </cfRule>
  </conditionalFormatting>
  <conditionalFormatting sqref="AR49:AS52">
    <cfRule type="expression" dxfId="1786" priority="3125">
      <formula>$BC49="YES"</formula>
    </cfRule>
  </conditionalFormatting>
  <conditionalFormatting sqref="AR53:AS54">
    <cfRule type="expression" dxfId="1785" priority="3126">
      <formula>$BC53="YES"</formula>
    </cfRule>
  </conditionalFormatting>
  <conditionalFormatting sqref="AR55:AS58">
    <cfRule type="expression" dxfId="1784" priority="3127">
      <formula>$BC55="YES"</formula>
    </cfRule>
  </conditionalFormatting>
  <conditionalFormatting sqref="AR59:AS62">
    <cfRule type="expression" dxfId="1783" priority="3128">
      <formula>$BC59="YES"</formula>
    </cfRule>
  </conditionalFormatting>
  <conditionalFormatting sqref="AR63:AS64">
    <cfRule type="expression" dxfId="1782" priority="3129">
      <formula>$BC63="YES"</formula>
    </cfRule>
  </conditionalFormatting>
  <conditionalFormatting sqref="AR65:AS68">
    <cfRule type="expression" dxfId="1781" priority="3130">
      <formula>$BC65="YES"</formula>
    </cfRule>
  </conditionalFormatting>
  <conditionalFormatting sqref="AR69:AS72">
    <cfRule type="expression" dxfId="1780" priority="3131">
      <formula>$BC69="YES"</formula>
    </cfRule>
  </conditionalFormatting>
  <conditionalFormatting sqref="AR73:AS74">
    <cfRule type="expression" dxfId="1779" priority="3132">
      <formula>$BC73="YES"</formula>
    </cfRule>
  </conditionalFormatting>
  <conditionalFormatting sqref="AR75:AS78">
    <cfRule type="expression" dxfId="1778" priority="3133">
      <formula>$BC75="YES"</formula>
    </cfRule>
  </conditionalFormatting>
  <conditionalFormatting sqref="AR79:AS82">
    <cfRule type="expression" dxfId="1777" priority="3134">
      <formula>$BC79="YES"</formula>
    </cfRule>
  </conditionalFormatting>
  <conditionalFormatting sqref="AR83:AS84">
    <cfRule type="expression" dxfId="1776" priority="3135">
      <formula>$BC83="YES"</formula>
    </cfRule>
  </conditionalFormatting>
  <conditionalFormatting sqref="AR85:AS88">
    <cfRule type="expression" dxfId="1775" priority="3136">
      <formula>$BC85="YES"</formula>
    </cfRule>
  </conditionalFormatting>
  <conditionalFormatting sqref="AR89:AS92">
    <cfRule type="expression" dxfId="1774" priority="3137">
      <formula>$BC89="YES"</formula>
    </cfRule>
  </conditionalFormatting>
  <conditionalFormatting sqref="AR93:AS94">
    <cfRule type="expression" dxfId="1773" priority="3138">
      <formula>$BC93="YES"</formula>
    </cfRule>
  </conditionalFormatting>
  <conditionalFormatting sqref="AR95:AS98">
    <cfRule type="expression" dxfId="1772" priority="3139">
      <formula>$BC95="YES"</formula>
    </cfRule>
  </conditionalFormatting>
  <conditionalFormatting sqref="AR99:AS102">
    <cfRule type="expression" dxfId="1771" priority="3140">
      <formula>$BC99="YES"</formula>
    </cfRule>
  </conditionalFormatting>
  <conditionalFormatting sqref="AR103:AS104">
    <cfRule type="expression" dxfId="1770" priority="3141">
      <formula>$BC103="YES"</formula>
    </cfRule>
  </conditionalFormatting>
  <conditionalFormatting sqref="AR105:AS108">
    <cfRule type="expression" dxfId="1769" priority="3142">
      <formula>$BC105="YES"</formula>
    </cfRule>
  </conditionalFormatting>
  <conditionalFormatting sqref="AR109:AS112">
    <cfRule type="expression" dxfId="1768" priority="3143">
      <formula>$BC109="YES"</formula>
    </cfRule>
  </conditionalFormatting>
  <conditionalFormatting sqref="AR113:AS114">
    <cfRule type="expression" dxfId="1767" priority="3144">
      <formula>$BC113="YES"</formula>
    </cfRule>
  </conditionalFormatting>
  <conditionalFormatting sqref="AP115:AQ116">
    <cfRule type="expression" dxfId="1766" priority="3145">
      <formula>$BC115="YES"</formula>
    </cfRule>
  </conditionalFormatting>
  <conditionalFormatting sqref="AP117:AQ118">
    <cfRule type="expression" dxfId="1765" priority="3146">
      <formula>$BC117="YES"</formula>
    </cfRule>
  </conditionalFormatting>
  <conditionalFormatting sqref="AP119:AQ120">
    <cfRule type="expression" dxfId="1764" priority="3147">
      <formula>$BC119="YES"</formula>
    </cfRule>
  </conditionalFormatting>
  <conditionalFormatting sqref="AP121:AQ122">
    <cfRule type="expression" dxfId="1763" priority="3148">
      <formula>$BC121="YES"</formula>
    </cfRule>
  </conditionalFormatting>
  <conditionalFormatting sqref="AP123:AQ124">
    <cfRule type="expression" dxfId="1762" priority="3149">
      <formula>$BC123="YES"</formula>
    </cfRule>
  </conditionalFormatting>
  <conditionalFormatting sqref="AP125:AQ126">
    <cfRule type="expression" dxfId="1761" priority="3150">
      <formula>$BC125="YES"</formula>
    </cfRule>
  </conditionalFormatting>
  <conditionalFormatting sqref="AP127:AQ128">
    <cfRule type="expression" dxfId="1760" priority="3151">
      <formula>$BC127="YES"</formula>
    </cfRule>
  </conditionalFormatting>
  <conditionalFormatting sqref="AP129:AQ130">
    <cfRule type="expression" dxfId="1759" priority="3152">
      <formula>$BC129="YES"</formula>
    </cfRule>
  </conditionalFormatting>
  <conditionalFormatting sqref="AP131:AQ132">
    <cfRule type="expression" dxfId="1758" priority="3153">
      <formula>$BC131="YES"</formula>
    </cfRule>
  </conditionalFormatting>
  <conditionalFormatting sqref="AP133:AQ134">
    <cfRule type="expression" dxfId="1757" priority="3154">
      <formula>$BC133="YES"</formula>
    </cfRule>
  </conditionalFormatting>
  <conditionalFormatting sqref="AP135:AQ136">
    <cfRule type="expression" dxfId="1756" priority="3155">
      <formula>$BC135="YES"</formula>
    </cfRule>
  </conditionalFormatting>
  <conditionalFormatting sqref="AP137:AQ138">
    <cfRule type="expression" dxfId="1755" priority="3156">
      <formula>$BC137="YES"</formula>
    </cfRule>
  </conditionalFormatting>
  <conditionalFormatting sqref="AP139:AQ140">
    <cfRule type="expression" dxfId="1754" priority="3157">
      <formula>$BC139="YES"</formula>
    </cfRule>
  </conditionalFormatting>
  <conditionalFormatting sqref="AP141:AQ142">
    <cfRule type="expression" dxfId="1753" priority="3158">
      <formula>$BC141="YES"</formula>
    </cfRule>
  </conditionalFormatting>
  <conditionalFormatting sqref="AP143:AQ144">
    <cfRule type="expression" dxfId="1752" priority="3159">
      <formula>$BC143="YES"</formula>
    </cfRule>
  </conditionalFormatting>
  <conditionalFormatting sqref="AP145:AQ146">
    <cfRule type="expression" dxfId="1751" priority="3160">
      <formula>$BC145="YES"</formula>
    </cfRule>
  </conditionalFormatting>
  <conditionalFormatting sqref="AP147:AQ148">
    <cfRule type="expression" dxfId="1750" priority="3161">
      <formula>$BC147="YES"</formula>
    </cfRule>
  </conditionalFormatting>
  <conditionalFormatting sqref="AP149:AQ150">
    <cfRule type="expression" dxfId="1749" priority="3162">
      <formula>$BC149="YES"</formula>
    </cfRule>
  </conditionalFormatting>
  <conditionalFormatting sqref="AP151:AQ152">
    <cfRule type="expression" dxfId="1748" priority="3163">
      <formula>$BC151="YES"</formula>
    </cfRule>
  </conditionalFormatting>
  <conditionalFormatting sqref="AP153:AQ154">
    <cfRule type="expression" dxfId="1747" priority="3164">
      <formula>$BC153="YES"</formula>
    </cfRule>
  </conditionalFormatting>
  <conditionalFormatting sqref="AP155:AQ156">
    <cfRule type="expression" dxfId="1746" priority="3165">
      <formula>$BC155="YES"</formula>
    </cfRule>
  </conditionalFormatting>
  <conditionalFormatting sqref="AP157:AQ158">
    <cfRule type="expression" dxfId="1745" priority="3166">
      <formula>$BC157="YES"</formula>
    </cfRule>
  </conditionalFormatting>
  <conditionalFormatting sqref="AP159:AQ160">
    <cfRule type="expression" dxfId="1744" priority="3167">
      <formula>$BC159="YES"</formula>
    </cfRule>
  </conditionalFormatting>
  <conditionalFormatting sqref="AP161:AQ162">
    <cfRule type="expression" dxfId="1743" priority="3168">
      <formula>$BC161="YES"</formula>
    </cfRule>
  </conditionalFormatting>
  <conditionalFormatting sqref="AP163:AQ164">
    <cfRule type="expression" dxfId="1742" priority="3169">
      <formula>$BC163="YES"</formula>
    </cfRule>
  </conditionalFormatting>
  <conditionalFormatting sqref="AP165:AQ166">
    <cfRule type="expression" dxfId="1741" priority="3170">
      <formula>$BC165="YES"</formula>
    </cfRule>
  </conditionalFormatting>
  <conditionalFormatting sqref="AP167:AQ168">
    <cfRule type="expression" dxfId="1740" priority="3171">
      <formula>$BC167="YES"</formula>
    </cfRule>
  </conditionalFormatting>
  <conditionalFormatting sqref="AP169:AQ170">
    <cfRule type="expression" dxfId="1739" priority="3172">
      <formula>$BC169="YES"</formula>
    </cfRule>
  </conditionalFormatting>
  <conditionalFormatting sqref="AP171:AQ172">
    <cfRule type="expression" dxfId="1738" priority="3173">
      <formula>$BC171="YES"</formula>
    </cfRule>
  </conditionalFormatting>
  <conditionalFormatting sqref="AP173:AQ174">
    <cfRule type="expression" dxfId="1737" priority="3174">
      <formula>$BC173="YES"</formula>
    </cfRule>
  </conditionalFormatting>
  <conditionalFormatting sqref="AP175:AQ176">
    <cfRule type="expression" dxfId="1736" priority="3175">
      <formula>$BC175="YES"</formula>
    </cfRule>
  </conditionalFormatting>
  <conditionalFormatting sqref="AP177:AQ178">
    <cfRule type="expression" dxfId="1735" priority="3176">
      <formula>$BC177="YES"</formula>
    </cfRule>
  </conditionalFormatting>
  <conditionalFormatting sqref="AP179:AQ180">
    <cfRule type="expression" dxfId="1734" priority="3177">
      <formula>$BC179="YES"</formula>
    </cfRule>
  </conditionalFormatting>
  <conditionalFormatting sqref="AP181:AQ182">
    <cfRule type="expression" dxfId="1733" priority="3178">
      <formula>$BC181="YES"</formula>
    </cfRule>
  </conditionalFormatting>
  <conditionalFormatting sqref="AP183:AQ184">
    <cfRule type="expression" dxfId="1732" priority="3179">
      <formula>$BC183="YES"</formula>
    </cfRule>
  </conditionalFormatting>
  <conditionalFormatting sqref="AP185:AQ186">
    <cfRule type="expression" dxfId="1731" priority="3180">
      <formula>$BC185="YES"</formula>
    </cfRule>
  </conditionalFormatting>
  <conditionalFormatting sqref="AP187:AQ188">
    <cfRule type="expression" dxfId="1730" priority="3181">
      <formula>$BC187="YES"</formula>
    </cfRule>
  </conditionalFormatting>
  <conditionalFormatting sqref="AP189:AQ190">
    <cfRule type="expression" dxfId="1729" priority="3182">
      <formula>$BC189="YES"</formula>
    </cfRule>
  </conditionalFormatting>
  <conditionalFormatting sqref="AP191:AQ192">
    <cfRule type="expression" dxfId="1728" priority="3183">
      <formula>$BC191="YES"</formula>
    </cfRule>
  </conditionalFormatting>
  <conditionalFormatting sqref="AP193:AQ194">
    <cfRule type="expression" dxfId="1727" priority="3184">
      <formula>$BC193="YES"</formula>
    </cfRule>
  </conditionalFormatting>
  <conditionalFormatting sqref="AP195:AQ196">
    <cfRule type="expression" dxfId="1726" priority="3185">
      <formula>$BC195="YES"</formula>
    </cfRule>
  </conditionalFormatting>
  <conditionalFormatting sqref="AP197:AQ198">
    <cfRule type="expression" dxfId="1725" priority="3186">
      <formula>$BC197="YES"</formula>
    </cfRule>
  </conditionalFormatting>
  <conditionalFormatting sqref="AP199:AQ200">
    <cfRule type="expression" dxfId="1724" priority="3187">
      <formula>$BC199="YES"</formula>
    </cfRule>
  </conditionalFormatting>
  <conditionalFormatting sqref="AP201:AQ202">
    <cfRule type="expression" dxfId="1723" priority="3188">
      <formula>$BC201="YES"</formula>
    </cfRule>
  </conditionalFormatting>
  <conditionalFormatting sqref="AP203:AQ204">
    <cfRule type="expression" dxfId="1722" priority="3189">
      <formula>$BC203="YES"</formula>
    </cfRule>
  </conditionalFormatting>
  <conditionalFormatting sqref="AP205:AQ206">
    <cfRule type="expression" dxfId="1721" priority="3190">
      <formula>$BC205="YES"</formula>
    </cfRule>
  </conditionalFormatting>
  <conditionalFormatting sqref="AP207:AQ208">
    <cfRule type="expression" dxfId="1720" priority="3191">
      <formula>$BC207="YES"</formula>
    </cfRule>
  </conditionalFormatting>
  <conditionalFormatting sqref="AP209:AQ210">
    <cfRule type="expression" dxfId="1719" priority="3192">
      <formula>$BC209="YES"</formula>
    </cfRule>
  </conditionalFormatting>
  <conditionalFormatting sqref="AP211:AQ212">
    <cfRule type="expression" dxfId="1718" priority="3193">
      <formula>$BC211="YES"</formula>
    </cfRule>
  </conditionalFormatting>
  <conditionalFormatting sqref="AP215:AQ216">
    <cfRule type="expression" dxfId="1717" priority="3194">
      <formula>$BC215="YES"</formula>
    </cfRule>
  </conditionalFormatting>
  <conditionalFormatting sqref="AP217:AQ218">
    <cfRule type="expression" dxfId="1716" priority="3195">
      <formula>$BC217="YES"</formula>
    </cfRule>
  </conditionalFormatting>
  <conditionalFormatting sqref="AP219:AQ220">
    <cfRule type="expression" dxfId="1715" priority="3196">
      <formula>$BC219="YES"</formula>
    </cfRule>
  </conditionalFormatting>
  <conditionalFormatting sqref="AP221:AQ222">
    <cfRule type="expression" dxfId="1714" priority="3197">
      <formula>$BC221="YES"</formula>
    </cfRule>
  </conditionalFormatting>
  <conditionalFormatting sqref="AP223:AQ224">
    <cfRule type="expression" dxfId="1713" priority="3198">
      <formula>$BC223="YES"</formula>
    </cfRule>
  </conditionalFormatting>
  <conditionalFormatting sqref="AP225:AQ226">
    <cfRule type="expression" dxfId="1712" priority="3199">
      <formula>$BC225="YES"</formula>
    </cfRule>
  </conditionalFormatting>
  <conditionalFormatting sqref="AP227:AQ228">
    <cfRule type="expression" dxfId="1711" priority="3200">
      <formula>$BC227="YES"</formula>
    </cfRule>
  </conditionalFormatting>
  <conditionalFormatting sqref="AP229:AQ230">
    <cfRule type="expression" dxfId="1710" priority="3201">
      <formula>$BC229="YES"</formula>
    </cfRule>
  </conditionalFormatting>
  <conditionalFormatting sqref="AP231:AQ232">
    <cfRule type="expression" dxfId="1709" priority="3202">
      <formula>$BC231="YES"</formula>
    </cfRule>
  </conditionalFormatting>
  <conditionalFormatting sqref="AP233:AQ234">
    <cfRule type="expression" dxfId="1708" priority="3203">
      <formula>$BC233="YES"</formula>
    </cfRule>
  </conditionalFormatting>
  <conditionalFormatting sqref="AP235:AQ236">
    <cfRule type="expression" dxfId="1707" priority="3204">
      <formula>$BC235="YES"</formula>
    </cfRule>
  </conditionalFormatting>
  <conditionalFormatting sqref="AP237:AQ238">
    <cfRule type="expression" dxfId="1706" priority="3205">
      <formula>$BC237="YES"</formula>
    </cfRule>
  </conditionalFormatting>
  <conditionalFormatting sqref="AP239:AQ240">
    <cfRule type="expression" dxfId="1705" priority="3206">
      <formula>$BC239="YES"</formula>
    </cfRule>
  </conditionalFormatting>
  <conditionalFormatting sqref="AP241:AQ242">
    <cfRule type="expression" dxfId="1704" priority="3207">
      <formula>$BC241="YES"</formula>
    </cfRule>
  </conditionalFormatting>
  <conditionalFormatting sqref="AP243:AQ244">
    <cfRule type="expression" dxfId="1703" priority="3208">
      <formula>$BC243="YES"</formula>
    </cfRule>
  </conditionalFormatting>
  <conditionalFormatting sqref="AP245:AQ246">
    <cfRule type="expression" dxfId="1702" priority="3209">
      <formula>$BC245="YES"</formula>
    </cfRule>
  </conditionalFormatting>
  <conditionalFormatting sqref="AP247:AQ248">
    <cfRule type="expression" dxfId="1701" priority="3210">
      <formula>$BC247="YES"</formula>
    </cfRule>
  </conditionalFormatting>
  <conditionalFormatting sqref="AP249:AQ250">
    <cfRule type="expression" dxfId="1700" priority="3211">
      <formula>$BC249="YES"</formula>
    </cfRule>
  </conditionalFormatting>
  <conditionalFormatting sqref="AP251:AQ252">
    <cfRule type="expression" dxfId="1699" priority="3212">
      <formula>$BC251="YES"</formula>
    </cfRule>
  </conditionalFormatting>
  <conditionalFormatting sqref="AP253:AQ254">
    <cfRule type="expression" dxfId="1698" priority="3213">
      <formula>$BC253="YES"</formula>
    </cfRule>
  </conditionalFormatting>
  <conditionalFormatting sqref="AP255:AQ256">
    <cfRule type="expression" dxfId="1697" priority="3214">
      <formula>$BC255="YES"</formula>
    </cfRule>
  </conditionalFormatting>
  <conditionalFormatting sqref="AP257:AQ258">
    <cfRule type="expression" dxfId="1696" priority="3215">
      <formula>$BC257="YES"</formula>
    </cfRule>
  </conditionalFormatting>
  <conditionalFormatting sqref="AP259:AQ260">
    <cfRule type="expression" dxfId="1695" priority="3216">
      <formula>$BC259="YES"</formula>
    </cfRule>
  </conditionalFormatting>
  <conditionalFormatting sqref="AP261:AQ262">
    <cfRule type="expression" dxfId="1694" priority="3217">
      <formula>$BC261="YES"</formula>
    </cfRule>
  </conditionalFormatting>
  <conditionalFormatting sqref="AP263:AQ264">
    <cfRule type="expression" dxfId="1693" priority="3218">
      <formula>$BC263="YES"</formula>
    </cfRule>
  </conditionalFormatting>
  <conditionalFormatting sqref="AP265:AQ266">
    <cfRule type="expression" dxfId="1692" priority="3219">
      <formula>$BC265="YES"</formula>
    </cfRule>
  </conditionalFormatting>
  <conditionalFormatting sqref="AP267:AQ268">
    <cfRule type="expression" dxfId="1691" priority="3220">
      <formula>$BC267="YES"</formula>
    </cfRule>
  </conditionalFormatting>
  <conditionalFormatting sqref="AP269:AQ270">
    <cfRule type="expression" dxfId="1690" priority="3221">
      <formula>$BC269="YES"</formula>
    </cfRule>
  </conditionalFormatting>
  <conditionalFormatting sqref="AP271:AQ272">
    <cfRule type="expression" dxfId="1689" priority="3222">
      <formula>$BC271="YES"</formula>
    </cfRule>
  </conditionalFormatting>
  <conditionalFormatting sqref="AP273:AQ274">
    <cfRule type="expression" dxfId="1688" priority="3223">
      <formula>$BC273="YES"</formula>
    </cfRule>
  </conditionalFormatting>
  <conditionalFormatting sqref="AP275:AQ276">
    <cfRule type="expression" dxfId="1687" priority="3224">
      <formula>$BC275="YES"</formula>
    </cfRule>
  </conditionalFormatting>
  <conditionalFormatting sqref="AP277:AQ278">
    <cfRule type="expression" dxfId="1686" priority="3225">
      <formula>$BC277="YES"</formula>
    </cfRule>
  </conditionalFormatting>
  <conditionalFormatting sqref="AP279:AQ280">
    <cfRule type="expression" dxfId="1685" priority="3226">
      <formula>$BC279="YES"</formula>
    </cfRule>
  </conditionalFormatting>
  <conditionalFormatting sqref="AP281:AQ282">
    <cfRule type="expression" dxfId="1684" priority="3227">
      <formula>$BC281="YES"</formula>
    </cfRule>
  </conditionalFormatting>
  <conditionalFormatting sqref="AP283:AQ284">
    <cfRule type="expression" dxfId="1683" priority="3228">
      <formula>$BC283="YES"</formula>
    </cfRule>
  </conditionalFormatting>
  <conditionalFormatting sqref="AP285:AQ286">
    <cfRule type="expression" dxfId="1682" priority="3229">
      <formula>$BC285="YES"</formula>
    </cfRule>
  </conditionalFormatting>
  <conditionalFormatting sqref="AP287:AQ288">
    <cfRule type="expression" dxfId="1681" priority="3230">
      <formula>$BC287="YES"</formula>
    </cfRule>
  </conditionalFormatting>
  <conditionalFormatting sqref="AP289:AQ290">
    <cfRule type="expression" dxfId="1680" priority="3231">
      <formula>$BC289="YES"</formula>
    </cfRule>
  </conditionalFormatting>
  <conditionalFormatting sqref="AP291:AQ292">
    <cfRule type="expression" dxfId="1679" priority="3232">
      <formula>$BC291="YES"</formula>
    </cfRule>
  </conditionalFormatting>
  <conditionalFormatting sqref="AP293:AQ294">
    <cfRule type="expression" dxfId="1678" priority="3233">
      <formula>$BC293="YES"</formula>
    </cfRule>
  </conditionalFormatting>
  <conditionalFormatting sqref="AP295:AQ296">
    <cfRule type="expression" dxfId="1677" priority="3234">
      <formula>$BC295="YES"</formula>
    </cfRule>
  </conditionalFormatting>
  <conditionalFormatting sqref="AP297:AQ298">
    <cfRule type="expression" dxfId="1676" priority="3235">
      <formula>$BC297="YES"</formula>
    </cfRule>
  </conditionalFormatting>
  <conditionalFormatting sqref="AP299:AQ300">
    <cfRule type="expression" dxfId="1675" priority="3236">
      <formula>$BC299="YES"</formula>
    </cfRule>
  </conditionalFormatting>
  <conditionalFormatting sqref="AP301:AQ302">
    <cfRule type="expression" dxfId="1674" priority="3237">
      <formula>$BC301="YES"</formula>
    </cfRule>
  </conditionalFormatting>
  <conditionalFormatting sqref="AP303:AQ304">
    <cfRule type="expression" dxfId="1673" priority="3238">
      <formula>$BC303="YES"</formula>
    </cfRule>
  </conditionalFormatting>
  <conditionalFormatting sqref="AP305:AQ306">
    <cfRule type="expression" dxfId="1672" priority="3239">
      <formula>$BC305="YES"</formula>
    </cfRule>
  </conditionalFormatting>
  <conditionalFormatting sqref="AP307:AQ308">
    <cfRule type="expression" dxfId="1671" priority="3240">
      <formula>$BC307="YES"</formula>
    </cfRule>
  </conditionalFormatting>
  <conditionalFormatting sqref="AP309:AQ310">
    <cfRule type="expression" dxfId="1670" priority="3241">
      <formula>$BC309="YES"</formula>
    </cfRule>
  </conditionalFormatting>
  <conditionalFormatting sqref="AP311:AQ312">
    <cfRule type="expression" dxfId="1669" priority="3242">
      <formula>$BC311="YES"</formula>
    </cfRule>
  </conditionalFormatting>
  <conditionalFormatting sqref="AP315:AQ316">
    <cfRule type="expression" dxfId="1668" priority="3243">
      <formula>$BC315="YES"</formula>
    </cfRule>
  </conditionalFormatting>
  <conditionalFormatting sqref="AP317:AQ318">
    <cfRule type="expression" dxfId="1667" priority="3244">
      <formula>$BC317="YES"</formula>
    </cfRule>
  </conditionalFormatting>
  <conditionalFormatting sqref="AP319:AQ320">
    <cfRule type="expression" dxfId="1666" priority="3245">
      <formula>$BC319="YES"</formula>
    </cfRule>
  </conditionalFormatting>
  <conditionalFormatting sqref="AP321:AQ322">
    <cfRule type="expression" dxfId="1665" priority="3246">
      <formula>$BC321="YES"</formula>
    </cfRule>
  </conditionalFormatting>
  <conditionalFormatting sqref="AP323:AQ324">
    <cfRule type="expression" dxfId="1664" priority="3247">
      <formula>$BC323="YES"</formula>
    </cfRule>
  </conditionalFormatting>
  <conditionalFormatting sqref="AP325:AQ326">
    <cfRule type="expression" dxfId="1663" priority="3248">
      <formula>$BC325="YES"</formula>
    </cfRule>
  </conditionalFormatting>
  <conditionalFormatting sqref="AP327:AQ328">
    <cfRule type="expression" dxfId="1662" priority="3249">
      <formula>$BC327="YES"</formula>
    </cfRule>
  </conditionalFormatting>
  <conditionalFormatting sqref="AP329:AQ330">
    <cfRule type="expression" dxfId="1661" priority="3250">
      <formula>$BC329="YES"</formula>
    </cfRule>
  </conditionalFormatting>
  <conditionalFormatting sqref="AP331:AQ332">
    <cfRule type="expression" dxfId="1660" priority="3251">
      <formula>$BC331="YES"</formula>
    </cfRule>
  </conditionalFormatting>
  <conditionalFormatting sqref="AP333:AQ334">
    <cfRule type="expression" dxfId="1659" priority="3252">
      <formula>$BC333="YES"</formula>
    </cfRule>
  </conditionalFormatting>
  <conditionalFormatting sqref="AP335:AQ336">
    <cfRule type="expression" dxfId="1658" priority="3253">
      <formula>$BC335="YES"</formula>
    </cfRule>
  </conditionalFormatting>
  <conditionalFormatting sqref="AP337:AQ338">
    <cfRule type="expression" dxfId="1657" priority="3254">
      <formula>$BC337="YES"</formula>
    </cfRule>
  </conditionalFormatting>
  <conditionalFormatting sqref="AP339:AQ340">
    <cfRule type="expression" dxfId="1656" priority="3255">
      <formula>$BC339="YES"</formula>
    </cfRule>
  </conditionalFormatting>
  <conditionalFormatting sqref="AP341:AQ342">
    <cfRule type="expression" dxfId="1655" priority="3256">
      <formula>$BC341="YES"</formula>
    </cfRule>
  </conditionalFormatting>
  <conditionalFormatting sqref="AP343:AQ344">
    <cfRule type="expression" dxfId="1654" priority="3257">
      <formula>$BC343="YES"</formula>
    </cfRule>
  </conditionalFormatting>
  <conditionalFormatting sqref="AP345:AQ346">
    <cfRule type="expression" dxfId="1653" priority="3258">
      <formula>$BC345="YES"</formula>
    </cfRule>
  </conditionalFormatting>
  <conditionalFormatting sqref="AP347:AQ348">
    <cfRule type="expression" dxfId="1652" priority="3259">
      <formula>$BC347="YES"</formula>
    </cfRule>
  </conditionalFormatting>
  <conditionalFormatting sqref="AP349:AQ350">
    <cfRule type="expression" dxfId="1651" priority="3260">
      <formula>$BC349="YES"</formula>
    </cfRule>
  </conditionalFormatting>
  <conditionalFormatting sqref="AP351:AQ352">
    <cfRule type="expression" dxfId="1650" priority="3261">
      <formula>$BC351="YES"</formula>
    </cfRule>
  </conditionalFormatting>
  <conditionalFormatting sqref="AP353:AQ354">
    <cfRule type="expression" dxfId="1649" priority="3262">
      <formula>$BC353="YES"</formula>
    </cfRule>
  </conditionalFormatting>
  <conditionalFormatting sqref="AP355:AQ356">
    <cfRule type="expression" dxfId="1648" priority="3263">
      <formula>$BC355="YES"</formula>
    </cfRule>
  </conditionalFormatting>
  <conditionalFormatting sqref="AP357:AQ358">
    <cfRule type="expression" dxfId="1647" priority="3264">
      <formula>$BC357="YES"</formula>
    </cfRule>
  </conditionalFormatting>
  <conditionalFormatting sqref="AP359:AQ360">
    <cfRule type="expression" dxfId="1646" priority="3265">
      <formula>$BC359="YES"</formula>
    </cfRule>
  </conditionalFormatting>
  <conditionalFormatting sqref="AP361:AQ362">
    <cfRule type="expression" dxfId="1645" priority="3266">
      <formula>$BC361="YES"</formula>
    </cfRule>
  </conditionalFormatting>
  <conditionalFormatting sqref="AP363:AQ364">
    <cfRule type="expression" dxfId="1644" priority="3267">
      <formula>$BC363="YES"</formula>
    </cfRule>
  </conditionalFormatting>
  <conditionalFormatting sqref="AP365:AQ366">
    <cfRule type="expression" dxfId="1643" priority="3268">
      <formula>$BC365="YES"</formula>
    </cfRule>
  </conditionalFormatting>
  <conditionalFormatting sqref="AP367:AQ368">
    <cfRule type="expression" dxfId="1642" priority="3269">
      <formula>$BC367="YES"</formula>
    </cfRule>
  </conditionalFormatting>
  <conditionalFormatting sqref="AP369:AQ370">
    <cfRule type="expression" dxfId="1641" priority="3270">
      <formula>$BC369="YES"</formula>
    </cfRule>
  </conditionalFormatting>
  <conditionalFormatting sqref="AP371:AQ372">
    <cfRule type="expression" dxfId="1640" priority="3271">
      <formula>$BC371="YES"</formula>
    </cfRule>
  </conditionalFormatting>
  <conditionalFormatting sqref="AP373:AQ374">
    <cfRule type="expression" dxfId="1639" priority="3272">
      <formula>$BC373="YES"</formula>
    </cfRule>
  </conditionalFormatting>
  <conditionalFormatting sqref="AP375:AQ376">
    <cfRule type="expression" dxfId="1638" priority="3273">
      <formula>$BC375="YES"</formula>
    </cfRule>
  </conditionalFormatting>
  <conditionalFormatting sqref="AP377:AQ378">
    <cfRule type="expression" dxfId="1637" priority="3274">
      <formula>$BC377="YES"</formula>
    </cfRule>
  </conditionalFormatting>
  <conditionalFormatting sqref="AP379:AQ380">
    <cfRule type="expression" dxfId="1636" priority="3275">
      <formula>$BC379="YES"</formula>
    </cfRule>
  </conditionalFormatting>
  <conditionalFormatting sqref="AP381:AQ382">
    <cfRule type="expression" dxfId="1635" priority="3276">
      <formula>$BC381="YES"</formula>
    </cfRule>
  </conditionalFormatting>
  <conditionalFormatting sqref="AP383:AQ384">
    <cfRule type="expression" dxfId="1634" priority="3277">
      <formula>$BC383="YES"</formula>
    </cfRule>
  </conditionalFormatting>
  <conditionalFormatting sqref="AP385:AQ386">
    <cfRule type="expression" dxfId="1633" priority="3278">
      <formula>$BC385="YES"</formula>
    </cfRule>
  </conditionalFormatting>
  <conditionalFormatting sqref="AP387:AQ388">
    <cfRule type="expression" dxfId="1632" priority="3279">
      <formula>$BC387="YES"</formula>
    </cfRule>
  </conditionalFormatting>
  <conditionalFormatting sqref="AP389:AQ390">
    <cfRule type="expression" dxfId="1631" priority="3280">
      <formula>$BC389="YES"</formula>
    </cfRule>
  </conditionalFormatting>
  <conditionalFormatting sqref="AP391:AQ392">
    <cfRule type="expression" dxfId="1630" priority="3281">
      <formula>$BC391="YES"</formula>
    </cfRule>
  </conditionalFormatting>
  <conditionalFormatting sqref="AP393:AQ394">
    <cfRule type="expression" dxfId="1629" priority="3282">
      <formula>$BC393="YES"</formula>
    </cfRule>
  </conditionalFormatting>
  <conditionalFormatting sqref="AP395:AQ396">
    <cfRule type="expression" dxfId="1628" priority="3283">
      <formula>$BC395="YES"</formula>
    </cfRule>
  </conditionalFormatting>
  <conditionalFormatting sqref="AP397:AQ398">
    <cfRule type="expression" dxfId="1627" priority="3284">
      <formula>$BC397="YES"</formula>
    </cfRule>
  </conditionalFormatting>
  <conditionalFormatting sqref="AP399:AQ400">
    <cfRule type="expression" dxfId="1626" priority="3285">
      <formula>$BC399="YES"</formula>
    </cfRule>
  </conditionalFormatting>
  <conditionalFormatting sqref="AP401:AQ402">
    <cfRule type="expression" dxfId="1625" priority="3286">
      <formula>$BC401="YES"</formula>
    </cfRule>
  </conditionalFormatting>
  <conditionalFormatting sqref="AP403:AQ404">
    <cfRule type="expression" dxfId="1624" priority="3287">
      <formula>$BC403="YES"</formula>
    </cfRule>
  </conditionalFormatting>
  <conditionalFormatting sqref="AP405:AQ406">
    <cfRule type="expression" dxfId="1623" priority="3288">
      <formula>$BC405="YES"</formula>
    </cfRule>
  </conditionalFormatting>
  <conditionalFormatting sqref="AP407:AQ408">
    <cfRule type="expression" dxfId="1622" priority="3289">
      <formula>$BC407="YES"</formula>
    </cfRule>
  </conditionalFormatting>
  <conditionalFormatting sqref="AP409:AQ410">
    <cfRule type="expression" dxfId="1621" priority="3290">
      <formula>$BC409="YES"</formula>
    </cfRule>
  </conditionalFormatting>
  <conditionalFormatting sqref="AP411:AQ412">
    <cfRule type="expression" dxfId="1620" priority="3291">
      <formula>$BC411="YES"</formula>
    </cfRule>
  </conditionalFormatting>
  <conditionalFormatting sqref="AP415:AQ416">
    <cfRule type="expression" dxfId="1619" priority="3292">
      <formula>$BC415="YES"</formula>
    </cfRule>
  </conditionalFormatting>
  <conditionalFormatting sqref="AP417:AQ418">
    <cfRule type="expression" dxfId="1618" priority="3293">
      <formula>$BC417="YES"</formula>
    </cfRule>
  </conditionalFormatting>
  <conditionalFormatting sqref="AP419:AQ420">
    <cfRule type="expression" dxfId="1617" priority="3294">
      <formula>$BC419="YES"</formula>
    </cfRule>
  </conditionalFormatting>
  <conditionalFormatting sqref="AP421:AQ422">
    <cfRule type="expression" dxfId="1616" priority="3295">
      <formula>$BC421="YES"</formula>
    </cfRule>
  </conditionalFormatting>
  <conditionalFormatting sqref="AP423:AQ424">
    <cfRule type="expression" dxfId="1615" priority="3296">
      <formula>$BC423="YES"</formula>
    </cfRule>
  </conditionalFormatting>
  <conditionalFormatting sqref="AP425:AQ426">
    <cfRule type="expression" dxfId="1614" priority="3297">
      <formula>$BC425="YES"</formula>
    </cfRule>
  </conditionalFormatting>
  <conditionalFormatting sqref="AP427:AQ428">
    <cfRule type="expression" dxfId="1613" priority="3298">
      <formula>$BC427="YES"</formula>
    </cfRule>
  </conditionalFormatting>
  <conditionalFormatting sqref="AP429:AQ430">
    <cfRule type="expression" dxfId="1612" priority="3299">
      <formula>$BC429="YES"</formula>
    </cfRule>
  </conditionalFormatting>
  <conditionalFormatting sqref="AP431:AQ432">
    <cfRule type="expression" dxfId="1611" priority="3300">
      <formula>$BC431="YES"</formula>
    </cfRule>
  </conditionalFormatting>
  <conditionalFormatting sqref="AP433:AQ434">
    <cfRule type="expression" dxfId="1610" priority="3301">
      <formula>$BC433="YES"</formula>
    </cfRule>
  </conditionalFormatting>
  <conditionalFormatting sqref="AP435:AQ436">
    <cfRule type="expression" dxfId="1609" priority="3302">
      <formula>$BC435="YES"</formula>
    </cfRule>
  </conditionalFormatting>
  <conditionalFormatting sqref="AP437:AQ438">
    <cfRule type="expression" dxfId="1608" priority="3303">
      <formula>$BC437="YES"</formula>
    </cfRule>
  </conditionalFormatting>
  <conditionalFormatting sqref="AP439:AQ440">
    <cfRule type="expression" dxfId="1607" priority="3304">
      <formula>$BC439="YES"</formula>
    </cfRule>
  </conditionalFormatting>
  <conditionalFormatting sqref="AP441:AQ442">
    <cfRule type="expression" dxfId="1606" priority="3305">
      <formula>$BC441="YES"</formula>
    </cfRule>
  </conditionalFormatting>
  <conditionalFormatting sqref="AP443:AQ444">
    <cfRule type="expression" dxfId="1605" priority="3306">
      <formula>$BC443="YES"</formula>
    </cfRule>
  </conditionalFormatting>
  <conditionalFormatting sqref="AP445:AQ446">
    <cfRule type="expression" dxfId="1604" priority="3307">
      <formula>$BC445="YES"</formula>
    </cfRule>
  </conditionalFormatting>
  <conditionalFormatting sqref="AP447:AQ448">
    <cfRule type="expression" dxfId="1603" priority="3308">
      <formula>$BC447="YES"</formula>
    </cfRule>
  </conditionalFormatting>
  <conditionalFormatting sqref="AP449:AQ450">
    <cfRule type="expression" dxfId="1602" priority="3309">
      <formula>$BC449="YES"</formula>
    </cfRule>
  </conditionalFormatting>
  <conditionalFormatting sqref="AP451:AQ452">
    <cfRule type="expression" dxfId="1601" priority="3310">
      <formula>$BC451="YES"</formula>
    </cfRule>
  </conditionalFormatting>
  <conditionalFormatting sqref="AP453:AQ454">
    <cfRule type="expression" dxfId="1600" priority="3311">
      <formula>$BC453="YES"</formula>
    </cfRule>
  </conditionalFormatting>
  <conditionalFormatting sqref="AP455:AQ456">
    <cfRule type="expression" dxfId="1599" priority="3312">
      <formula>$BC455="YES"</formula>
    </cfRule>
  </conditionalFormatting>
  <conditionalFormatting sqref="AP457:AQ458">
    <cfRule type="expression" dxfId="1598" priority="3313">
      <formula>$BC457="YES"</formula>
    </cfRule>
  </conditionalFormatting>
  <conditionalFormatting sqref="AP459:AQ460">
    <cfRule type="expression" dxfId="1597" priority="3314">
      <formula>$BC459="YES"</formula>
    </cfRule>
  </conditionalFormatting>
  <conditionalFormatting sqref="AP461:AQ462">
    <cfRule type="expression" dxfId="1596" priority="3315">
      <formula>$BC461="YES"</formula>
    </cfRule>
  </conditionalFormatting>
  <conditionalFormatting sqref="AP463:AQ464">
    <cfRule type="expression" dxfId="1595" priority="3316">
      <formula>$BC463="YES"</formula>
    </cfRule>
  </conditionalFormatting>
  <conditionalFormatting sqref="AP465:AQ466">
    <cfRule type="expression" dxfId="1594" priority="3317">
      <formula>$BC465="YES"</formula>
    </cfRule>
  </conditionalFormatting>
  <conditionalFormatting sqref="AP467:AQ468">
    <cfRule type="expression" dxfId="1593" priority="3318">
      <formula>$BC467="YES"</formula>
    </cfRule>
  </conditionalFormatting>
  <conditionalFormatting sqref="AP469:AQ470">
    <cfRule type="expression" dxfId="1592" priority="3319">
      <formula>$BC469="YES"</formula>
    </cfRule>
  </conditionalFormatting>
  <conditionalFormatting sqref="AP471:AQ472">
    <cfRule type="expression" dxfId="1591" priority="3320">
      <formula>$BC471="YES"</formula>
    </cfRule>
  </conditionalFormatting>
  <conditionalFormatting sqref="AP473:AQ474">
    <cfRule type="expression" dxfId="1590" priority="3321">
      <formula>$BC473="YES"</formula>
    </cfRule>
  </conditionalFormatting>
  <conditionalFormatting sqref="AP475:AQ476">
    <cfRule type="expression" dxfId="1589" priority="3322">
      <formula>$BC475="YES"</formula>
    </cfRule>
  </conditionalFormatting>
  <conditionalFormatting sqref="AP477:AQ478">
    <cfRule type="expression" dxfId="1588" priority="3323">
      <formula>$BC477="YES"</formula>
    </cfRule>
  </conditionalFormatting>
  <conditionalFormatting sqref="AP479:AQ480">
    <cfRule type="expression" dxfId="1587" priority="3324">
      <formula>$BC479="YES"</formula>
    </cfRule>
  </conditionalFormatting>
  <conditionalFormatting sqref="AP481:AQ482">
    <cfRule type="expression" dxfId="1586" priority="3325">
      <formula>$BC481="YES"</formula>
    </cfRule>
  </conditionalFormatting>
  <conditionalFormatting sqref="AP483:AQ484">
    <cfRule type="expression" dxfId="1585" priority="3326">
      <formula>$BC483="YES"</formula>
    </cfRule>
  </conditionalFormatting>
  <conditionalFormatting sqref="AP485:AQ486">
    <cfRule type="expression" dxfId="1584" priority="3327">
      <formula>$BC485="YES"</formula>
    </cfRule>
  </conditionalFormatting>
  <conditionalFormatting sqref="AP487:AQ488">
    <cfRule type="expression" dxfId="1583" priority="3328">
      <formula>$BC487="YES"</formula>
    </cfRule>
  </conditionalFormatting>
  <conditionalFormatting sqref="AP489:AQ490">
    <cfRule type="expression" dxfId="1582" priority="3329">
      <formula>$BC489="YES"</formula>
    </cfRule>
  </conditionalFormatting>
  <conditionalFormatting sqref="AP491:AQ492">
    <cfRule type="expression" dxfId="1581" priority="3330">
      <formula>$BC491="YES"</formula>
    </cfRule>
  </conditionalFormatting>
  <conditionalFormatting sqref="AP493:AQ494">
    <cfRule type="expression" dxfId="1580" priority="3331">
      <formula>$BC493="YES"</formula>
    </cfRule>
  </conditionalFormatting>
  <conditionalFormatting sqref="AP495:AQ496">
    <cfRule type="expression" dxfId="1579" priority="3332">
      <formula>$BC495="YES"</formula>
    </cfRule>
  </conditionalFormatting>
  <conditionalFormatting sqref="AP497:AQ498">
    <cfRule type="expression" dxfId="1578" priority="3333">
      <formula>$BC497="YES"</formula>
    </cfRule>
  </conditionalFormatting>
  <conditionalFormatting sqref="AP499:AQ500">
    <cfRule type="expression" dxfId="1577" priority="3334">
      <formula>$BC499="YES"</formula>
    </cfRule>
  </conditionalFormatting>
  <conditionalFormatting sqref="AP501:AQ502">
    <cfRule type="expression" dxfId="1576" priority="3335">
      <formula>$BC501="YES"</formula>
    </cfRule>
  </conditionalFormatting>
  <conditionalFormatting sqref="AP503:AQ504">
    <cfRule type="expression" dxfId="1575" priority="3336">
      <formula>$BC503="YES"</formula>
    </cfRule>
  </conditionalFormatting>
  <conditionalFormatting sqref="AP505:AQ506">
    <cfRule type="expression" dxfId="1574" priority="3337">
      <formula>$BC505="YES"</formula>
    </cfRule>
  </conditionalFormatting>
  <conditionalFormatting sqref="AP507:AQ508">
    <cfRule type="expression" dxfId="1573" priority="3338">
      <formula>$BC507="YES"</formula>
    </cfRule>
  </conditionalFormatting>
  <conditionalFormatting sqref="AP509:AQ510">
    <cfRule type="expression" dxfId="1572" priority="3339">
      <formula>$BC509="YES"</formula>
    </cfRule>
  </conditionalFormatting>
  <conditionalFormatting sqref="AP511:AQ512">
    <cfRule type="expression" dxfId="1571" priority="3340">
      <formula>$BC511="YES"</formula>
    </cfRule>
  </conditionalFormatting>
  <conditionalFormatting sqref="AP515:AQ516">
    <cfRule type="expression" dxfId="1570" priority="3341">
      <formula>$BC515="YES"</formula>
    </cfRule>
  </conditionalFormatting>
  <conditionalFormatting sqref="AP517:AQ518">
    <cfRule type="expression" dxfId="1569" priority="3342">
      <formula>$BC517="YES"</formula>
    </cfRule>
  </conditionalFormatting>
  <conditionalFormatting sqref="AP519:AQ520">
    <cfRule type="expression" dxfId="1568" priority="3343">
      <formula>$BC519="YES"</formula>
    </cfRule>
  </conditionalFormatting>
  <conditionalFormatting sqref="AP521:AQ522">
    <cfRule type="expression" dxfId="1567" priority="3344">
      <formula>$BC521="YES"</formula>
    </cfRule>
  </conditionalFormatting>
  <conditionalFormatting sqref="AP523:AQ524">
    <cfRule type="expression" dxfId="1566" priority="3345">
      <formula>$BC523="YES"</formula>
    </cfRule>
  </conditionalFormatting>
  <conditionalFormatting sqref="AP525:AQ526">
    <cfRule type="expression" dxfId="1565" priority="3346">
      <formula>$BC525="YES"</formula>
    </cfRule>
  </conditionalFormatting>
  <conditionalFormatting sqref="AP527:AQ528">
    <cfRule type="expression" dxfId="1564" priority="3347">
      <formula>$BC527="YES"</formula>
    </cfRule>
  </conditionalFormatting>
  <conditionalFormatting sqref="AP529:AQ530">
    <cfRule type="expression" dxfId="1563" priority="3348">
      <formula>$BC529="YES"</formula>
    </cfRule>
  </conditionalFormatting>
  <conditionalFormatting sqref="AP531:AQ532">
    <cfRule type="expression" dxfId="1562" priority="3349">
      <formula>$BC531="YES"</formula>
    </cfRule>
  </conditionalFormatting>
  <conditionalFormatting sqref="AP533:AQ534">
    <cfRule type="expression" dxfId="1561" priority="3350">
      <formula>$BC533="YES"</formula>
    </cfRule>
  </conditionalFormatting>
  <conditionalFormatting sqref="AP535:AQ536">
    <cfRule type="expression" dxfId="1560" priority="3351">
      <formula>$BC535="YES"</formula>
    </cfRule>
  </conditionalFormatting>
  <conditionalFormatting sqref="AP537:AQ538">
    <cfRule type="expression" dxfId="1559" priority="3352">
      <formula>$BC537="YES"</formula>
    </cfRule>
  </conditionalFormatting>
  <conditionalFormatting sqref="AP539:AQ540">
    <cfRule type="expression" dxfId="1558" priority="3353">
      <formula>$BC539="YES"</formula>
    </cfRule>
  </conditionalFormatting>
  <conditionalFormatting sqref="AP541:AQ542">
    <cfRule type="expression" dxfId="1557" priority="3354">
      <formula>$BC541="YES"</formula>
    </cfRule>
  </conditionalFormatting>
  <conditionalFormatting sqref="AP543:AQ544">
    <cfRule type="expression" dxfId="1556" priority="3355">
      <formula>$BC543="YES"</formula>
    </cfRule>
  </conditionalFormatting>
  <conditionalFormatting sqref="AP545:AQ546">
    <cfRule type="expression" dxfId="1555" priority="3356">
      <formula>$BC545="YES"</formula>
    </cfRule>
  </conditionalFormatting>
  <conditionalFormatting sqref="AP547:AQ548">
    <cfRule type="expression" dxfId="1554" priority="3357">
      <formula>$BC547="YES"</formula>
    </cfRule>
  </conditionalFormatting>
  <conditionalFormatting sqref="AP549:AQ550">
    <cfRule type="expression" dxfId="1553" priority="3358">
      <formula>$BC549="YES"</formula>
    </cfRule>
  </conditionalFormatting>
  <conditionalFormatting sqref="AP551:AQ552">
    <cfRule type="expression" dxfId="1552" priority="3359">
      <formula>$BC551="YES"</formula>
    </cfRule>
  </conditionalFormatting>
  <conditionalFormatting sqref="AP553:AQ554">
    <cfRule type="expression" dxfId="1551" priority="3360">
      <formula>$BC553="YES"</formula>
    </cfRule>
  </conditionalFormatting>
  <conditionalFormatting sqref="AP555:AQ556">
    <cfRule type="expression" dxfId="1550" priority="3361">
      <formula>$BC555="YES"</formula>
    </cfRule>
  </conditionalFormatting>
  <conditionalFormatting sqref="AP557:AQ558">
    <cfRule type="expression" dxfId="1549" priority="3362">
      <formula>$BC557="YES"</formula>
    </cfRule>
  </conditionalFormatting>
  <conditionalFormatting sqref="AP559:AQ560">
    <cfRule type="expression" dxfId="1548" priority="3363">
      <formula>$BC559="YES"</formula>
    </cfRule>
  </conditionalFormatting>
  <conditionalFormatting sqref="AP561:AQ562">
    <cfRule type="expression" dxfId="1547" priority="3364">
      <formula>$BC561="YES"</formula>
    </cfRule>
  </conditionalFormatting>
  <conditionalFormatting sqref="AP563:AQ564">
    <cfRule type="expression" dxfId="1546" priority="3365">
      <formula>$BC563="YES"</formula>
    </cfRule>
  </conditionalFormatting>
  <conditionalFormatting sqref="AP565:AQ566">
    <cfRule type="expression" dxfId="1545" priority="3366">
      <formula>$BC565="YES"</formula>
    </cfRule>
  </conditionalFormatting>
  <conditionalFormatting sqref="AP567:AQ568">
    <cfRule type="expression" dxfId="1544" priority="3367">
      <formula>$BC567="YES"</formula>
    </cfRule>
  </conditionalFormatting>
  <conditionalFormatting sqref="AP569:AQ570">
    <cfRule type="expression" dxfId="1543" priority="3368">
      <formula>$BC569="YES"</formula>
    </cfRule>
  </conditionalFormatting>
  <conditionalFormatting sqref="AP571:AQ572">
    <cfRule type="expression" dxfId="1542" priority="3369">
      <formula>$BC571="YES"</formula>
    </cfRule>
  </conditionalFormatting>
  <conditionalFormatting sqref="AP573:AQ574">
    <cfRule type="expression" dxfId="1541" priority="3370">
      <formula>$BC573="YES"</formula>
    </cfRule>
  </conditionalFormatting>
  <conditionalFormatting sqref="AP575:AQ576">
    <cfRule type="expression" dxfId="1540" priority="3371">
      <formula>$BC575="YES"</formula>
    </cfRule>
  </conditionalFormatting>
  <conditionalFormatting sqref="AP577:AQ578">
    <cfRule type="expression" dxfId="1539" priority="3372">
      <formula>$BC577="YES"</formula>
    </cfRule>
  </conditionalFormatting>
  <conditionalFormatting sqref="AP579:AQ580">
    <cfRule type="expression" dxfId="1538" priority="3373">
      <formula>$BC579="YES"</formula>
    </cfRule>
  </conditionalFormatting>
  <conditionalFormatting sqref="AP581:AQ582">
    <cfRule type="expression" dxfId="1537" priority="3374">
      <formula>$BC581="YES"</formula>
    </cfRule>
  </conditionalFormatting>
  <conditionalFormatting sqref="AP583:AQ584">
    <cfRule type="expression" dxfId="1536" priority="3375">
      <formula>$BC583="YES"</formula>
    </cfRule>
  </conditionalFormatting>
  <conditionalFormatting sqref="AP585:AQ586">
    <cfRule type="expression" dxfId="1535" priority="3376">
      <formula>$BC585="YES"</formula>
    </cfRule>
  </conditionalFormatting>
  <conditionalFormatting sqref="AP587:AQ588">
    <cfRule type="expression" dxfId="1534" priority="3377">
      <formula>$BC587="YES"</formula>
    </cfRule>
  </conditionalFormatting>
  <conditionalFormatting sqref="AP589:AQ590">
    <cfRule type="expression" dxfId="1533" priority="3378">
      <formula>$BC589="YES"</formula>
    </cfRule>
  </conditionalFormatting>
  <conditionalFormatting sqref="AP591:AQ592">
    <cfRule type="expression" dxfId="1532" priority="3379">
      <formula>$BC591="YES"</formula>
    </cfRule>
  </conditionalFormatting>
  <conditionalFormatting sqref="AP593:AQ594">
    <cfRule type="expression" dxfId="1531" priority="3380">
      <formula>$BC593="YES"</formula>
    </cfRule>
  </conditionalFormatting>
  <conditionalFormatting sqref="AP595:AQ596">
    <cfRule type="expression" dxfId="1530" priority="3381">
      <formula>$BC595="YES"</formula>
    </cfRule>
  </conditionalFormatting>
  <conditionalFormatting sqref="AP597:AQ598">
    <cfRule type="expression" dxfId="1529" priority="3382">
      <formula>$BC597="YES"</formula>
    </cfRule>
  </conditionalFormatting>
  <conditionalFormatting sqref="AP599:AQ600">
    <cfRule type="expression" dxfId="1528" priority="3383">
      <formula>$BC599="YES"</formula>
    </cfRule>
  </conditionalFormatting>
  <conditionalFormatting sqref="AP601:AQ602">
    <cfRule type="expression" dxfId="1527" priority="3384">
      <formula>$BC601="YES"</formula>
    </cfRule>
  </conditionalFormatting>
  <conditionalFormatting sqref="AP603:AQ604">
    <cfRule type="expression" dxfId="1526" priority="3385">
      <formula>$BC603="YES"</formula>
    </cfRule>
  </conditionalFormatting>
  <conditionalFormatting sqref="AP605:AQ606">
    <cfRule type="expression" dxfId="1525" priority="3386">
      <formula>$BC605="YES"</formula>
    </cfRule>
  </conditionalFormatting>
  <conditionalFormatting sqref="AP607:AQ608">
    <cfRule type="expression" dxfId="1524" priority="3387">
      <formula>$BC607="YES"</formula>
    </cfRule>
  </conditionalFormatting>
  <conditionalFormatting sqref="AP609:AQ610">
    <cfRule type="expression" dxfId="1523" priority="3388">
      <formula>$BC609="YES"</formula>
    </cfRule>
  </conditionalFormatting>
  <conditionalFormatting sqref="AP611:AQ612">
    <cfRule type="expression" dxfId="1522" priority="3389">
      <formula>$BC611="YES"</formula>
    </cfRule>
  </conditionalFormatting>
  <conditionalFormatting sqref="AR115:AS118">
    <cfRule type="expression" dxfId="1521" priority="3390">
      <formula>$BC115="YES"</formula>
    </cfRule>
  </conditionalFormatting>
  <conditionalFormatting sqref="AR119:AS122">
    <cfRule type="expression" dxfId="1520" priority="3391">
      <formula>$BC119="YES"</formula>
    </cfRule>
  </conditionalFormatting>
  <conditionalFormatting sqref="AR123:AS124">
    <cfRule type="expression" dxfId="1519" priority="3392">
      <formula>$BC123="YES"</formula>
    </cfRule>
  </conditionalFormatting>
  <conditionalFormatting sqref="AR125:AS128">
    <cfRule type="expression" dxfId="1518" priority="3393">
      <formula>$BC125="YES"</formula>
    </cfRule>
  </conditionalFormatting>
  <conditionalFormatting sqref="AR129:AS132">
    <cfRule type="expression" dxfId="1517" priority="3394">
      <formula>$BC129="YES"</formula>
    </cfRule>
  </conditionalFormatting>
  <conditionalFormatting sqref="AR133:AS134">
    <cfRule type="expression" dxfId="1516" priority="3395">
      <formula>$BC133="YES"</formula>
    </cfRule>
  </conditionalFormatting>
  <conditionalFormatting sqref="AR135:AS138">
    <cfRule type="expression" dxfId="1515" priority="3396">
      <formula>$BC135="YES"</formula>
    </cfRule>
  </conditionalFormatting>
  <conditionalFormatting sqref="AR139:AS142">
    <cfRule type="expression" dxfId="1514" priority="3397">
      <formula>$BC139="YES"</formula>
    </cfRule>
  </conditionalFormatting>
  <conditionalFormatting sqref="AR143:AS144">
    <cfRule type="expression" dxfId="1513" priority="3398">
      <formula>$BC143="YES"</formula>
    </cfRule>
  </conditionalFormatting>
  <conditionalFormatting sqref="AR145:AS148">
    <cfRule type="expression" dxfId="1512" priority="3399">
      <formula>$BC145="YES"</formula>
    </cfRule>
  </conditionalFormatting>
  <conditionalFormatting sqref="AR149:AS152">
    <cfRule type="expression" dxfId="1511" priority="3400">
      <formula>$BC149="YES"</formula>
    </cfRule>
  </conditionalFormatting>
  <conditionalFormatting sqref="AR153:AS154">
    <cfRule type="expression" dxfId="1510" priority="3401">
      <formula>$BC153="YES"</formula>
    </cfRule>
  </conditionalFormatting>
  <conditionalFormatting sqref="AR155:AS158">
    <cfRule type="expression" dxfId="1509" priority="3402">
      <formula>$BC155="YES"</formula>
    </cfRule>
  </conditionalFormatting>
  <conditionalFormatting sqref="AR159:AS162">
    <cfRule type="expression" dxfId="1508" priority="3403">
      <formula>$BC159="YES"</formula>
    </cfRule>
  </conditionalFormatting>
  <conditionalFormatting sqref="AR163:AS164">
    <cfRule type="expression" dxfId="1507" priority="3404">
      <formula>$BC163="YES"</formula>
    </cfRule>
  </conditionalFormatting>
  <conditionalFormatting sqref="AR165:AS168">
    <cfRule type="expression" dxfId="1506" priority="3405">
      <formula>$BC165="YES"</formula>
    </cfRule>
  </conditionalFormatting>
  <conditionalFormatting sqref="AR169:AS172">
    <cfRule type="expression" dxfId="1505" priority="3406">
      <formula>$BC169="YES"</formula>
    </cfRule>
  </conditionalFormatting>
  <conditionalFormatting sqref="AR173:AS174">
    <cfRule type="expression" dxfId="1504" priority="3407">
      <formula>$BC173="YES"</formula>
    </cfRule>
  </conditionalFormatting>
  <conditionalFormatting sqref="AR175:AS178">
    <cfRule type="expression" dxfId="1503" priority="3408">
      <formula>$BC175="YES"</formula>
    </cfRule>
  </conditionalFormatting>
  <conditionalFormatting sqref="AR179:AS182">
    <cfRule type="expression" dxfId="1502" priority="3409">
      <formula>$BC179="YES"</formula>
    </cfRule>
  </conditionalFormatting>
  <conditionalFormatting sqref="AR183:AS184">
    <cfRule type="expression" dxfId="1501" priority="3410">
      <formula>$BC183="YES"</formula>
    </cfRule>
  </conditionalFormatting>
  <conditionalFormatting sqref="AR185:AS188">
    <cfRule type="expression" dxfId="1500" priority="3411">
      <formula>$BC185="YES"</formula>
    </cfRule>
  </conditionalFormatting>
  <conditionalFormatting sqref="AR189:AS192">
    <cfRule type="expression" dxfId="1499" priority="3412">
      <formula>$BC189="YES"</formula>
    </cfRule>
  </conditionalFormatting>
  <conditionalFormatting sqref="AR193:AS194">
    <cfRule type="expression" dxfId="1498" priority="3413">
      <formula>$BC193="YES"</formula>
    </cfRule>
  </conditionalFormatting>
  <conditionalFormatting sqref="AR195:AS198">
    <cfRule type="expression" dxfId="1497" priority="3414">
      <formula>$BC195="YES"</formula>
    </cfRule>
  </conditionalFormatting>
  <conditionalFormatting sqref="AR199:AS202">
    <cfRule type="expression" dxfId="1496" priority="3415">
      <formula>$BC199="YES"</formula>
    </cfRule>
  </conditionalFormatting>
  <conditionalFormatting sqref="AR203:AS204">
    <cfRule type="expression" dxfId="1495" priority="3416">
      <formula>$BC203="YES"</formula>
    </cfRule>
  </conditionalFormatting>
  <conditionalFormatting sqref="AR205:AS208">
    <cfRule type="expression" dxfId="1494" priority="3417">
      <formula>$BC205="YES"</formula>
    </cfRule>
  </conditionalFormatting>
  <conditionalFormatting sqref="AR209:AS212">
    <cfRule type="expression" dxfId="1493" priority="3418">
      <formula>$BC209="YES"</formula>
    </cfRule>
  </conditionalFormatting>
  <conditionalFormatting sqref="AR213:AS214">
    <cfRule type="expression" dxfId="1492" priority="3419">
      <formula>$BC213="YES"</formula>
    </cfRule>
  </conditionalFormatting>
  <conditionalFormatting sqref="AR215:AS218">
    <cfRule type="expression" dxfId="1491" priority="3420">
      <formula>$BC215="YES"</formula>
    </cfRule>
  </conditionalFormatting>
  <conditionalFormatting sqref="AR219:AS222">
    <cfRule type="expression" dxfId="1490" priority="3421">
      <formula>$BC219="YES"</formula>
    </cfRule>
  </conditionalFormatting>
  <conditionalFormatting sqref="AR223:AS224">
    <cfRule type="expression" dxfId="1489" priority="3422">
      <formula>$BC223="YES"</formula>
    </cfRule>
  </conditionalFormatting>
  <conditionalFormatting sqref="AR225:AS228">
    <cfRule type="expression" dxfId="1488" priority="3423">
      <formula>$BC225="YES"</formula>
    </cfRule>
  </conditionalFormatting>
  <conditionalFormatting sqref="AR229:AS232">
    <cfRule type="expression" dxfId="1487" priority="3424">
      <formula>$BC229="YES"</formula>
    </cfRule>
  </conditionalFormatting>
  <conditionalFormatting sqref="AR233:AS234">
    <cfRule type="expression" dxfId="1486" priority="3425">
      <formula>$BC233="YES"</formula>
    </cfRule>
  </conditionalFormatting>
  <conditionalFormatting sqref="AR235:AS238">
    <cfRule type="expression" dxfId="1485" priority="3426">
      <formula>$BC235="YES"</formula>
    </cfRule>
  </conditionalFormatting>
  <conditionalFormatting sqref="AR239:AS242">
    <cfRule type="expression" dxfId="1484" priority="3427">
      <formula>$BC239="YES"</formula>
    </cfRule>
  </conditionalFormatting>
  <conditionalFormatting sqref="AR243:AS244">
    <cfRule type="expression" dxfId="1483" priority="3428">
      <formula>$BC243="YES"</formula>
    </cfRule>
  </conditionalFormatting>
  <conditionalFormatting sqref="AR245:AS248">
    <cfRule type="expression" dxfId="1482" priority="3429">
      <formula>$BC245="YES"</formula>
    </cfRule>
  </conditionalFormatting>
  <conditionalFormatting sqref="AR249:AS252">
    <cfRule type="expression" dxfId="1481" priority="3430">
      <formula>$BC249="YES"</formula>
    </cfRule>
  </conditionalFormatting>
  <conditionalFormatting sqref="AR253:AS254">
    <cfRule type="expression" dxfId="1480" priority="3431">
      <formula>$BC253="YES"</formula>
    </cfRule>
  </conditionalFormatting>
  <conditionalFormatting sqref="AR255:AS258">
    <cfRule type="expression" dxfId="1479" priority="3432">
      <formula>$BC255="YES"</formula>
    </cfRule>
  </conditionalFormatting>
  <conditionalFormatting sqref="AR259:AS262">
    <cfRule type="expression" dxfId="1478" priority="3433">
      <formula>$BC259="YES"</formula>
    </cfRule>
  </conditionalFormatting>
  <conditionalFormatting sqref="AR263:AS264">
    <cfRule type="expression" dxfId="1477" priority="3434">
      <formula>$BC263="YES"</formula>
    </cfRule>
  </conditionalFormatting>
  <conditionalFormatting sqref="AR265:AS268">
    <cfRule type="expression" dxfId="1476" priority="3435">
      <formula>$BC265="YES"</formula>
    </cfRule>
  </conditionalFormatting>
  <conditionalFormatting sqref="AR269:AS272">
    <cfRule type="expression" dxfId="1475" priority="3436">
      <formula>$BC269="YES"</formula>
    </cfRule>
  </conditionalFormatting>
  <conditionalFormatting sqref="AR273:AS274">
    <cfRule type="expression" dxfId="1474" priority="3437">
      <formula>$BC273="YES"</formula>
    </cfRule>
  </conditionalFormatting>
  <conditionalFormatting sqref="AR275:AS278">
    <cfRule type="expression" dxfId="1473" priority="3438">
      <formula>$BC275="YES"</formula>
    </cfRule>
  </conditionalFormatting>
  <conditionalFormatting sqref="AR279:AS282">
    <cfRule type="expression" dxfId="1472" priority="3439">
      <formula>$BC279="YES"</formula>
    </cfRule>
  </conditionalFormatting>
  <conditionalFormatting sqref="AR283:AS284">
    <cfRule type="expression" dxfId="1471" priority="3440">
      <formula>$BC283="YES"</formula>
    </cfRule>
  </conditionalFormatting>
  <conditionalFormatting sqref="AR285:AS288">
    <cfRule type="expression" dxfId="1470" priority="3441">
      <formula>$BC285="YES"</formula>
    </cfRule>
  </conditionalFormatting>
  <conditionalFormatting sqref="AR289:AS292">
    <cfRule type="expression" dxfId="1469" priority="3442">
      <formula>$BC289="YES"</formula>
    </cfRule>
  </conditionalFormatting>
  <conditionalFormatting sqref="AR293:AS294">
    <cfRule type="expression" dxfId="1468" priority="3443">
      <formula>$BC293="YES"</formula>
    </cfRule>
  </conditionalFormatting>
  <conditionalFormatting sqref="AR295:AS298">
    <cfRule type="expression" dxfId="1467" priority="3444">
      <formula>$BC295="YES"</formula>
    </cfRule>
  </conditionalFormatting>
  <conditionalFormatting sqref="AR299:AS302">
    <cfRule type="expression" dxfId="1466" priority="3445">
      <formula>$BC299="YES"</formula>
    </cfRule>
  </conditionalFormatting>
  <conditionalFormatting sqref="AR303:AS304">
    <cfRule type="expression" dxfId="1465" priority="3446">
      <formula>$BC303="YES"</formula>
    </cfRule>
  </conditionalFormatting>
  <conditionalFormatting sqref="AR305:AS308">
    <cfRule type="expression" dxfId="1464" priority="3447">
      <formula>$BC305="YES"</formula>
    </cfRule>
  </conditionalFormatting>
  <conditionalFormatting sqref="AR309:AS312">
    <cfRule type="expression" dxfId="1463" priority="3448">
      <formula>$BC309="YES"</formula>
    </cfRule>
  </conditionalFormatting>
  <conditionalFormatting sqref="AR313:AS314">
    <cfRule type="expression" dxfId="1462" priority="3449">
      <formula>$BC313="YES"</formula>
    </cfRule>
  </conditionalFormatting>
  <conditionalFormatting sqref="AR315:AS318">
    <cfRule type="expression" dxfId="1461" priority="3450">
      <formula>$BC315="YES"</formula>
    </cfRule>
  </conditionalFormatting>
  <conditionalFormatting sqref="AR319:AS322">
    <cfRule type="expression" dxfId="1460" priority="3451">
      <formula>$BC319="YES"</formula>
    </cfRule>
  </conditionalFormatting>
  <conditionalFormatting sqref="AR323:AS324">
    <cfRule type="expression" dxfId="1459" priority="3452">
      <formula>$BC323="YES"</formula>
    </cfRule>
  </conditionalFormatting>
  <conditionalFormatting sqref="AR325:AS328">
    <cfRule type="expression" dxfId="1458" priority="3453">
      <formula>$BC325="YES"</formula>
    </cfRule>
  </conditionalFormatting>
  <conditionalFormatting sqref="AR329:AS332">
    <cfRule type="expression" dxfId="1457" priority="3454">
      <formula>$BC329="YES"</formula>
    </cfRule>
  </conditionalFormatting>
  <conditionalFormatting sqref="AR333:AS334">
    <cfRule type="expression" dxfId="1456" priority="3455">
      <formula>$BC333="YES"</formula>
    </cfRule>
  </conditionalFormatting>
  <conditionalFormatting sqref="AR335:AS338">
    <cfRule type="expression" dxfId="1455" priority="3456">
      <formula>$BC335="YES"</formula>
    </cfRule>
  </conditionalFormatting>
  <conditionalFormatting sqref="AR339:AS342">
    <cfRule type="expression" dxfId="1454" priority="3457">
      <formula>$BC339="YES"</formula>
    </cfRule>
  </conditionalFormatting>
  <conditionalFormatting sqref="AR343:AS344">
    <cfRule type="expression" dxfId="1453" priority="3458">
      <formula>$BC343="YES"</formula>
    </cfRule>
  </conditionalFormatting>
  <conditionalFormatting sqref="AR345:AS348">
    <cfRule type="expression" dxfId="1452" priority="3459">
      <formula>$BC345="YES"</formula>
    </cfRule>
  </conditionalFormatting>
  <conditionalFormatting sqref="AR349:AS352">
    <cfRule type="expression" dxfId="1451" priority="3460">
      <formula>$BC349="YES"</formula>
    </cfRule>
  </conditionalFormatting>
  <conditionalFormatting sqref="AR353:AS354">
    <cfRule type="expression" dxfId="1450" priority="3461">
      <formula>$BC353="YES"</formula>
    </cfRule>
  </conditionalFormatting>
  <conditionalFormatting sqref="AR355:AS358">
    <cfRule type="expression" dxfId="1449" priority="3462">
      <formula>$BC355="YES"</formula>
    </cfRule>
  </conditionalFormatting>
  <conditionalFormatting sqref="AR359:AS362">
    <cfRule type="expression" dxfId="1448" priority="3463">
      <formula>$BC359="YES"</formula>
    </cfRule>
  </conditionalFormatting>
  <conditionalFormatting sqref="AR363:AS364">
    <cfRule type="expression" dxfId="1447" priority="3464">
      <formula>$BC363="YES"</formula>
    </cfRule>
  </conditionalFormatting>
  <conditionalFormatting sqref="AR365:AS368">
    <cfRule type="expression" dxfId="1446" priority="3465">
      <formula>$BC365="YES"</formula>
    </cfRule>
  </conditionalFormatting>
  <conditionalFormatting sqref="AR369:AS372">
    <cfRule type="expression" dxfId="1445" priority="3466">
      <formula>$BC369="YES"</formula>
    </cfRule>
  </conditionalFormatting>
  <conditionalFormatting sqref="AR373:AS374">
    <cfRule type="expression" dxfId="1444" priority="3467">
      <formula>$BC373="YES"</formula>
    </cfRule>
  </conditionalFormatting>
  <conditionalFormatting sqref="AR375:AS378">
    <cfRule type="expression" dxfId="1443" priority="3468">
      <formula>$BC375="YES"</formula>
    </cfRule>
  </conditionalFormatting>
  <conditionalFormatting sqref="AR379:AS382">
    <cfRule type="expression" dxfId="1442" priority="3469">
      <formula>$BC379="YES"</formula>
    </cfRule>
  </conditionalFormatting>
  <conditionalFormatting sqref="AR383:AS384">
    <cfRule type="expression" dxfId="1441" priority="3470">
      <formula>$BC383="YES"</formula>
    </cfRule>
  </conditionalFormatting>
  <conditionalFormatting sqref="AR385:AS388">
    <cfRule type="expression" dxfId="1440" priority="3471">
      <formula>$BC385="YES"</formula>
    </cfRule>
  </conditionalFormatting>
  <conditionalFormatting sqref="AR389:AS392">
    <cfRule type="expression" dxfId="1439" priority="3472">
      <formula>$BC389="YES"</formula>
    </cfRule>
  </conditionalFormatting>
  <conditionalFormatting sqref="AR393:AS394">
    <cfRule type="expression" dxfId="1438" priority="3473">
      <formula>$BC393="YES"</formula>
    </cfRule>
  </conditionalFormatting>
  <conditionalFormatting sqref="AR395:AS398">
    <cfRule type="expression" dxfId="1437" priority="3474">
      <formula>$BC395="YES"</formula>
    </cfRule>
  </conditionalFormatting>
  <conditionalFormatting sqref="AR399:AS402">
    <cfRule type="expression" dxfId="1436" priority="3475">
      <formula>$BC399="YES"</formula>
    </cfRule>
  </conditionalFormatting>
  <conditionalFormatting sqref="AR403:AS404">
    <cfRule type="expression" dxfId="1435" priority="3476">
      <formula>$BC403="YES"</formula>
    </cfRule>
  </conditionalFormatting>
  <conditionalFormatting sqref="AR405:AS408">
    <cfRule type="expression" dxfId="1434" priority="3477">
      <formula>$BC405="YES"</formula>
    </cfRule>
  </conditionalFormatting>
  <conditionalFormatting sqref="AR409:AS412">
    <cfRule type="expression" dxfId="1433" priority="3478">
      <formula>$BC409="YES"</formula>
    </cfRule>
  </conditionalFormatting>
  <conditionalFormatting sqref="AR413:AS414">
    <cfRule type="expression" dxfId="1432" priority="3479">
      <formula>$BC413="YES"</formula>
    </cfRule>
  </conditionalFormatting>
  <conditionalFormatting sqref="AR415:AS418">
    <cfRule type="expression" dxfId="1431" priority="3480">
      <formula>$BC415="YES"</formula>
    </cfRule>
  </conditionalFormatting>
  <conditionalFormatting sqref="AR419:AS422">
    <cfRule type="expression" dxfId="1430" priority="3481">
      <formula>$BC419="YES"</formula>
    </cfRule>
  </conditionalFormatting>
  <conditionalFormatting sqref="AR423:AS424">
    <cfRule type="expression" dxfId="1429" priority="3482">
      <formula>$BC423="YES"</formula>
    </cfRule>
  </conditionalFormatting>
  <conditionalFormatting sqref="AR425:AS428">
    <cfRule type="expression" dxfId="1428" priority="3483">
      <formula>$BC425="YES"</formula>
    </cfRule>
  </conditionalFormatting>
  <conditionalFormatting sqref="AR429:AS432">
    <cfRule type="expression" dxfId="1427" priority="3484">
      <formula>$BC429="YES"</formula>
    </cfRule>
  </conditionalFormatting>
  <conditionalFormatting sqref="AR433:AS434">
    <cfRule type="expression" dxfId="1426" priority="3485">
      <formula>$BC433="YES"</formula>
    </cfRule>
  </conditionalFormatting>
  <conditionalFormatting sqref="AR435:AS438">
    <cfRule type="expression" dxfId="1425" priority="3486">
      <formula>$BC435="YES"</formula>
    </cfRule>
  </conditionalFormatting>
  <conditionalFormatting sqref="AR439:AS442">
    <cfRule type="expression" dxfId="1424" priority="3487">
      <formula>$BC439="YES"</formula>
    </cfRule>
  </conditionalFormatting>
  <conditionalFormatting sqref="AR443:AS444">
    <cfRule type="expression" dxfId="1423" priority="3488">
      <formula>$BC443="YES"</formula>
    </cfRule>
  </conditionalFormatting>
  <conditionalFormatting sqref="AR445:AS448">
    <cfRule type="expression" dxfId="1422" priority="3489">
      <formula>$BC445="YES"</formula>
    </cfRule>
  </conditionalFormatting>
  <conditionalFormatting sqref="AR449:AS452">
    <cfRule type="expression" dxfId="1421" priority="3490">
      <formula>$BC449="YES"</formula>
    </cfRule>
  </conditionalFormatting>
  <conditionalFormatting sqref="AR453:AS454">
    <cfRule type="expression" dxfId="1420" priority="3491">
      <formula>$BC453="YES"</formula>
    </cfRule>
  </conditionalFormatting>
  <conditionalFormatting sqref="AR455:AS458">
    <cfRule type="expression" dxfId="1419" priority="3492">
      <formula>$BC455="YES"</formula>
    </cfRule>
  </conditionalFormatting>
  <conditionalFormatting sqref="AR459:AS462">
    <cfRule type="expression" dxfId="1418" priority="3493">
      <formula>$BC459="YES"</formula>
    </cfRule>
  </conditionalFormatting>
  <conditionalFormatting sqref="AR463:AS464">
    <cfRule type="expression" dxfId="1417" priority="3494">
      <formula>$BC463="YES"</formula>
    </cfRule>
  </conditionalFormatting>
  <conditionalFormatting sqref="AR465:AS468">
    <cfRule type="expression" dxfId="1416" priority="3495">
      <formula>$BC465="YES"</formula>
    </cfRule>
  </conditionalFormatting>
  <conditionalFormatting sqref="AR469:AS472">
    <cfRule type="expression" dxfId="1415" priority="3496">
      <formula>$BC469="YES"</formula>
    </cfRule>
  </conditionalFormatting>
  <conditionalFormatting sqref="AR473:AS474">
    <cfRule type="expression" dxfId="1414" priority="3497">
      <formula>$BC473="YES"</formula>
    </cfRule>
  </conditionalFormatting>
  <conditionalFormatting sqref="AR475:AS478">
    <cfRule type="expression" dxfId="1413" priority="3498">
      <formula>$BC475="YES"</formula>
    </cfRule>
  </conditionalFormatting>
  <conditionalFormatting sqref="AR479:AS482">
    <cfRule type="expression" dxfId="1412" priority="3499">
      <formula>$BC479="YES"</formula>
    </cfRule>
  </conditionalFormatting>
  <conditionalFormatting sqref="AR483:AS484">
    <cfRule type="expression" dxfId="1411" priority="3500">
      <formula>$BC483="YES"</formula>
    </cfRule>
  </conditionalFormatting>
  <conditionalFormatting sqref="AR485:AS488">
    <cfRule type="expression" dxfId="1410" priority="3501">
      <formula>$BC485="YES"</formula>
    </cfRule>
  </conditionalFormatting>
  <conditionalFormatting sqref="AR489:AS492">
    <cfRule type="expression" dxfId="1409" priority="3502">
      <formula>$BC489="YES"</formula>
    </cfRule>
  </conditionalFormatting>
  <conditionalFormatting sqref="AR493:AS494">
    <cfRule type="expression" dxfId="1408" priority="3503">
      <formula>$BC493="YES"</formula>
    </cfRule>
  </conditionalFormatting>
  <conditionalFormatting sqref="AR495:AS498">
    <cfRule type="expression" dxfId="1407" priority="3504">
      <formula>$BC495="YES"</formula>
    </cfRule>
  </conditionalFormatting>
  <conditionalFormatting sqref="AR499:AS502">
    <cfRule type="expression" dxfId="1406" priority="3505">
      <formula>$BC499="YES"</formula>
    </cfRule>
  </conditionalFormatting>
  <conditionalFormatting sqref="AR503:AS504">
    <cfRule type="expression" dxfId="1405" priority="3506">
      <formula>$BC503="YES"</formula>
    </cfRule>
  </conditionalFormatting>
  <conditionalFormatting sqref="AR505:AS508">
    <cfRule type="expression" dxfId="1404" priority="3507">
      <formula>$BC505="YES"</formula>
    </cfRule>
  </conditionalFormatting>
  <conditionalFormatting sqref="AR509:AS512">
    <cfRule type="expression" dxfId="1403" priority="3508">
      <formula>$BC509="YES"</formula>
    </cfRule>
  </conditionalFormatting>
  <conditionalFormatting sqref="AR513:AS514">
    <cfRule type="expression" dxfId="1402" priority="3509">
      <formula>$BC513="YES"</formula>
    </cfRule>
  </conditionalFormatting>
  <conditionalFormatting sqref="AR515:AS518">
    <cfRule type="expression" dxfId="1401" priority="3510">
      <formula>$BC515="YES"</formula>
    </cfRule>
  </conditionalFormatting>
  <conditionalFormatting sqref="AR519:AS522">
    <cfRule type="expression" dxfId="1400" priority="3511">
      <formula>$BC519="YES"</formula>
    </cfRule>
  </conditionalFormatting>
  <conditionalFormatting sqref="AR523:AS524">
    <cfRule type="expression" dxfId="1399" priority="3512">
      <formula>$BC523="YES"</formula>
    </cfRule>
  </conditionalFormatting>
  <conditionalFormatting sqref="AR525:AS528">
    <cfRule type="expression" dxfId="1398" priority="3513">
      <formula>$BC525="YES"</formula>
    </cfRule>
  </conditionalFormatting>
  <conditionalFormatting sqref="AR529:AS532">
    <cfRule type="expression" dxfId="1397" priority="3514">
      <formula>$BC529="YES"</formula>
    </cfRule>
  </conditionalFormatting>
  <conditionalFormatting sqref="AR533:AS534">
    <cfRule type="expression" dxfId="1396" priority="3515">
      <formula>$BC533="YES"</formula>
    </cfRule>
  </conditionalFormatting>
  <conditionalFormatting sqref="AR535:AS538">
    <cfRule type="expression" dxfId="1395" priority="3516">
      <formula>$BC535="YES"</formula>
    </cfRule>
  </conditionalFormatting>
  <conditionalFormatting sqref="AR539:AS542">
    <cfRule type="expression" dxfId="1394" priority="3517">
      <formula>$BC539="YES"</formula>
    </cfRule>
  </conditionalFormatting>
  <conditionalFormatting sqref="AR543:AS544">
    <cfRule type="expression" dxfId="1393" priority="3518">
      <formula>$BC543="YES"</formula>
    </cfRule>
  </conditionalFormatting>
  <conditionalFormatting sqref="AR545:AS548">
    <cfRule type="expression" dxfId="1392" priority="3519">
      <formula>$BC545="YES"</formula>
    </cfRule>
  </conditionalFormatting>
  <conditionalFormatting sqref="AR549:AS552">
    <cfRule type="expression" dxfId="1391" priority="3520">
      <formula>$BC549="YES"</formula>
    </cfRule>
  </conditionalFormatting>
  <conditionalFormatting sqref="AR553:AS554">
    <cfRule type="expression" dxfId="1390" priority="3521">
      <formula>$BC553="YES"</formula>
    </cfRule>
  </conditionalFormatting>
  <conditionalFormatting sqref="AR555:AS558">
    <cfRule type="expression" dxfId="1389" priority="3522">
      <formula>$BC555="YES"</formula>
    </cfRule>
  </conditionalFormatting>
  <conditionalFormatting sqref="AR559:AS562">
    <cfRule type="expression" dxfId="1388" priority="3523">
      <formula>$BC559="YES"</formula>
    </cfRule>
  </conditionalFormatting>
  <conditionalFormatting sqref="AR563:AS564">
    <cfRule type="expression" dxfId="1387" priority="3524">
      <formula>$BC563="YES"</formula>
    </cfRule>
  </conditionalFormatting>
  <conditionalFormatting sqref="AR565:AS568">
    <cfRule type="expression" dxfId="1386" priority="3525">
      <formula>$BC565="YES"</formula>
    </cfRule>
  </conditionalFormatting>
  <conditionalFormatting sqref="AR569:AS572">
    <cfRule type="expression" dxfId="1385" priority="3526">
      <formula>$BC569="YES"</formula>
    </cfRule>
  </conditionalFormatting>
  <conditionalFormatting sqref="AR573:AS574">
    <cfRule type="expression" dxfId="1384" priority="3527">
      <formula>$BC573="YES"</formula>
    </cfRule>
  </conditionalFormatting>
  <conditionalFormatting sqref="AR575:AS578">
    <cfRule type="expression" dxfId="1383" priority="3528">
      <formula>$BC575="YES"</formula>
    </cfRule>
  </conditionalFormatting>
  <conditionalFormatting sqref="AR579:AS582">
    <cfRule type="expression" dxfId="1382" priority="3529">
      <formula>$BC579="YES"</formula>
    </cfRule>
  </conditionalFormatting>
  <conditionalFormatting sqref="AR583:AS584">
    <cfRule type="expression" dxfId="1381" priority="3530">
      <formula>$BC583="YES"</formula>
    </cfRule>
  </conditionalFormatting>
  <conditionalFormatting sqref="AR585:AS588">
    <cfRule type="expression" dxfId="1380" priority="3531">
      <formula>$BC585="YES"</formula>
    </cfRule>
  </conditionalFormatting>
  <conditionalFormatting sqref="AR589:AS592">
    <cfRule type="expression" dxfId="1379" priority="3532">
      <formula>$BC589="YES"</formula>
    </cfRule>
  </conditionalFormatting>
  <conditionalFormatting sqref="AR593:AS594">
    <cfRule type="expression" dxfId="1378" priority="3533">
      <formula>$BC593="YES"</formula>
    </cfRule>
  </conditionalFormatting>
  <conditionalFormatting sqref="AR595:AS598">
    <cfRule type="expression" dxfId="1377" priority="3534">
      <formula>$BC595="YES"</formula>
    </cfRule>
  </conditionalFormatting>
  <conditionalFormatting sqref="AR599:AS602">
    <cfRule type="expression" dxfId="1376" priority="3535">
      <formula>$BC599="YES"</formula>
    </cfRule>
  </conditionalFormatting>
  <conditionalFormatting sqref="AR603:AS604">
    <cfRule type="expression" dxfId="1375" priority="3536">
      <formula>$BC603="YES"</formula>
    </cfRule>
  </conditionalFormatting>
  <conditionalFormatting sqref="AR605:AS608">
    <cfRule type="expression" dxfId="1374" priority="3537">
      <formula>$BC605="YES"</formula>
    </cfRule>
  </conditionalFormatting>
  <conditionalFormatting sqref="AR609:AS612">
    <cfRule type="expression" dxfId="1373" priority="3538">
      <formula>$BC609="YES"</formula>
    </cfRule>
  </conditionalFormatting>
  <conditionalFormatting sqref="AR613:AS614">
    <cfRule type="expression" dxfId="1372" priority="3539">
      <formula>$BC613="YES"</formula>
    </cfRule>
  </conditionalFormatting>
  <conditionalFormatting sqref="AT25:AU26">
    <cfRule type="expression" dxfId="1371" priority="3540">
      <formula>$BC25="YES"</formula>
    </cfRule>
  </conditionalFormatting>
  <conditionalFormatting sqref="AT27:AU28">
    <cfRule type="expression" dxfId="1370" priority="3541">
      <formula>$BC27="YES"</formula>
    </cfRule>
  </conditionalFormatting>
  <conditionalFormatting sqref="AT29:AU30">
    <cfRule type="expression" dxfId="1369" priority="3542">
      <formula>$BC29="YES"</formula>
    </cfRule>
  </conditionalFormatting>
  <conditionalFormatting sqref="AT31:AU32">
    <cfRule type="expression" dxfId="1368" priority="3543">
      <formula>$BC31="YES"</formula>
    </cfRule>
  </conditionalFormatting>
  <conditionalFormatting sqref="AT33:AU34">
    <cfRule type="expression" dxfId="1367" priority="3544">
      <formula>$BC33="YES"</formula>
    </cfRule>
  </conditionalFormatting>
  <conditionalFormatting sqref="AT35:AU36">
    <cfRule type="expression" dxfId="1366" priority="3545">
      <formula>$BC35="YES"</formula>
    </cfRule>
  </conditionalFormatting>
  <conditionalFormatting sqref="AT37:AU38">
    <cfRule type="expression" dxfId="1365" priority="3546">
      <formula>$BC37="YES"</formula>
    </cfRule>
  </conditionalFormatting>
  <conditionalFormatting sqref="AT39:AU40">
    <cfRule type="expression" dxfId="1364" priority="3547">
      <formula>$BC39="YES"</formula>
    </cfRule>
  </conditionalFormatting>
  <conditionalFormatting sqref="AT41:AU42">
    <cfRule type="expression" dxfId="1363" priority="3548">
      <formula>$BC41="YES"</formula>
    </cfRule>
  </conditionalFormatting>
  <conditionalFormatting sqref="AT43:AU44">
    <cfRule type="expression" dxfId="1362" priority="3549">
      <formula>$BC43="YES"</formula>
    </cfRule>
  </conditionalFormatting>
  <conditionalFormatting sqref="AT45:AU46">
    <cfRule type="expression" dxfId="1361" priority="3550">
      <formula>$BC45="YES"</formula>
    </cfRule>
  </conditionalFormatting>
  <conditionalFormatting sqref="AT47:AU48">
    <cfRule type="expression" dxfId="1360" priority="3551">
      <formula>$BC47="YES"</formula>
    </cfRule>
  </conditionalFormatting>
  <conditionalFormatting sqref="AT49:AU50">
    <cfRule type="expression" dxfId="1359" priority="3552">
      <formula>$BC49="YES"</formula>
    </cfRule>
  </conditionalFormatting>
  <conditionalFormatting sqref="AT51:AU52">
    <cfRule type="expression" dxfId="1358" priority="3553">
      <formula>$BC51="YES"</formula>
    </cfRule>
  </conditionalFormatting>
  <conditionalFormatting sqref="AT53:AU54">
    <cfRule type="expression" dxfId="1357" priority="3554">
      <formula>$BC53="YES"</formula>
    </cfRule>
  </conditionalFormatting>
  <conditionalFormatting sqref="AT55:AU56">
    <cfRule type="expression" dxfId="1356" priority="3555">
      <formula>$BC55="YES"</formula>
    </cfRule>
  </conditionalFormatting>
  <conditionalFormatting sqref="AT57:AU58">
    <cfRule type="expression" dxfId="1355" priority="3556">
      <formula>$BC57="YES"</formula>
    </cfRule>
  </conditionalFormatting>
  <conditionalFormatting sqref="AT59:AU60">
    <cfRule type="expression" dxfId="1354" priority="3557">
      <formula>$BC59="YES"</formula>
    </cfRule>
  </conditionalFormatting>
  <conditionalFormatting sqref="AT61:AU62">
    <cfRule type="expression" dxfId="1353" priority="3558">
      <formula>$BC61="YES"</formula>
    </cfRule>
  </conditionalFormatting>
  <conditionalFormatting sqref="AT63:AU64">
    <cfRule type="expression" dxfId="1352" priority="3559">
      <formula>$BC63="YES"</formula>
    </cfRule>
  </conditionalFormatting>
  <conditionalFormatting sqref="AT65:AU66">
    <cfRule type="expression" dxfId="1351" priority="3560">
      <formula>$BC65="YES"</formula>
    </cfRule>
  </conditionalFormatting>
  <conditionalFormatting sqref="AT67:AU68">
    <cfRule type="expression" dxfId="1350" priority="3561">
      <formula>$BC67="YES"</formula>
    </cfRule>
  </conditionalFormatting>
  <conditionalFormatting sqref="AT69:AU70">
    <cfRule type="expression" dxfId="1349" priority="3562">
      <formula>$BC69="YES"</formula>
    </cfRule>
  </conditionalFormatting>
  <conditionalFormatting sqref="AT71:AU72">
    <cfRule type="expression" dxfId="1348" priority="3563">
      <formula>$BC71="YES"</formula>
    </cfRule>
  </conditionalFormatting>
  <conditionalFormatting sqref="AT73:AU74">
    <cfRule type="expression" dxfId="1347" priority="3564">
      <formula>$BC73="YES"</formula>
    </cfRule>
  </conditionalFormatting>
  <conditionalFormatting sqref="AT75:AU76">
    <cfRule type="expression" dxfId="1346" priority="3565">
      <formula>$BC75="YES"</formula>
    </cfRule>
  </conditionalFormatting>
  <conditionalFormatting sqref="AT77:AU78">
    <cfRule type="expression" dxfId="1345" priority="3566">
      <formula>$BC77="YES"</formula>
    </cfRule>
  </conditionalFormatting>
  <conditionalFormatting sqref="AT79:AU80">
    <cfRule type="expression" dxfId="1344" priority="3567">
      <formula>$BC79="YES"</formula>
    </cfRule>
  </conditionalFormatting>
  <conditionalFormatting sqref="AT81:AU82">
    <cfRule type="expression" dxfId="1343" priority="3568">
      <formula>$BC81="YES"</formula>
    </cfRule>
  </conditionalFormatting>
  <conditionalFormatting sqref="AT83:AU84">
    <cfRule type="expression" dxfId="1342" priority="3569">
      <formula>$BC83="YES"</formula>
    </cfRule>
  </conditionalFormatting>
  <conditionalFormatting sqref="AT85:AU86">
    <cfRule type="expression" dxfId="1341" priority="3570">
      <formula>$BC85="YES"</formula>
    </cfRule>
  </conditionalFormatting>
  <conditionalFormatting sqref="AT87:AU88">
    <cfRule type="expression" dxfId="1340" priority="3571">
      <formula>$BC87="YES"</formula>
    </cfRule>
  </conditionalFormatting>
  <conditionalFormatting sqref="AT89:AU90">
    <cfRule type="expression" dxfId="1339" priority="3572">
      <formula>$BC89="YES"</formula>
    </cfRule>
  </conditionalFormatting>
  <conditionalFormatting sqref="AT91:AU92">
    <cfRule type="expression" dxfId="1338" priority="3573">
      <formula>$BC91="YES"</formula>
    </cfRule>
  </conditionalFormatting>
  <conditionalFormatting sqref="AT93:AU94">
    <cfRule type="expression" dxfId="1337" priority="3574">
      <formula>$BC93="YES"</formula>
    </cfRule>
  </conditionalFormatting>
  <conditionalFormatting sqref="AT95:AU96">
    <cfRule type="expression" dxfId="1336" priority="3575">
      <formula>$BC95="YES"</formula>
    </cfRule>
  </conditionalFormatting>
  <conditionalFormatting sqref="AT97:AU98">
    <cfRule type="expression" dxfId="1335" priority="3576">
      <formula>$BC97="YES"</formula>
    </cfRule>
  </conditionalFormatting>
  <conditionalFormatting sqref="AT99:AU100">
    <cfRule type="expression" dxfId="1334" priority="3577">
      <formula>$BC99="YES"</formula>
    </cfRule>
  </conditionalFormatting>
  <conditionalFormatting sqref="AT101:AU102">
    <cfRule type="expression" dxfId="1333" priority="3578">
      <formula>$BC101="YES"</formula>
    </cfRule>
  </conditionalFormatting>
  <conditionalFormatting sqref="AT103:AU104">
    <cfRule type="expression" dxfId="1332" priority="3579">
      <formula>$BC103="YES"</formula>
    </cfRule>
  </conditionalFormatting>
  <conditionalFormatting sqref="AT105:AU106">
    <cfRule type="expression" dxfId="1331" priority="3580">
      <formula>$BC105="YES"</formula>
    </cfRule>
  </conditionalFormatting>
  <conditionalFormatting sqref="AT107:AU108">
    <cfRule type="expression" dxfId="1330" priority="3581">
      <formula>$BC107="YES"</formula>
    </cfRule>
  </conditionalFormatting>
  <conditionalFormatting sqref="AT109:AU110">
    <cfRule type="expression" dxfId="1329" priority="3582">
      <formula>$BC109="YES"</formula>
    </cfRule>
  </conditionalFormatting>
  <conditionalFormatting sqref="AT111:AU112">
    <cfRule type="expression" dxfId="1328" priority="3583">
      <formula>$BC111="YES"</formula>
    </cfRule>
  </conditionalFormatting>
  <conditionalFormatting sqref="AT113:AU114">
    <cfRule type="expression" dxfId="1327" priority="3584">
      <formula>$BC113="YES"</formula>
    </cfRule>
  </conditionalFormatting>
  <conditionalFormatting sqref="AT115:AU116">
    <cfRule type="expression" dxfId="1326" priority="3585">
      <formula>$BC115="YES"</formula>
    </cfRule>
  </conditionalFormatting>
  <conditionalFormatting sqref="AT117:AU118">
    <cfRule type="expression" dxfId="1325" priority="3586">
      <formula>$BC117="YES"</formula>
    </cfRule>
  </conditionalFormatting>
  <conditionalFormatting sqref="AT119:AU120">
    <cfRule type="expression" dxfId="1324" priority="3587">
      <formula>$BC119="YES"</formula>
    </cfRule>
  </conditionalFormatting>
  <conditionalFormatting sqref="AT121:AU122">
    <cfRule type="expression" dxfId="1323" priority="3588">
      <formula>$BC121="YES"</formula>
    </cfRule>
  </conditionalFormatting>
  <conditionalFormatting sqref="AT123:AU124">
    <cfRule type="expression" dxfId="1322" priority="3589">
      <formula>$BC123="YES"</formula>
    </cfRule>
  </conditionalFormatting>
  <conditionalFormatting sqref="AT125:AU126">
    <cfRule type="expression" dxfId="1321" priority="3590">
      <formula>$BC125="YES"</formula>
    </cfRule>
  </conditionalFormatting>
  <conditionalFormatting sqref="AT127:AU128">
    <cfRule type="expression" dxfId="1320" priority="3591">
      <formula>$BC127="YES"</formula>
    </cfRule>
  </conditionalFormatting>
  <conditionalFormatting sqref="AT129:AU130">
    <cfRule type="expression" dxfId="1319" priority="3592">
      <formula>$BC129="YES"</formula>
    </cfRule>
  </conditionalFormatting>
  <conditionalFormatting sqref="AT131:AU132">
    <cfRule type="expression" dxfId="1318" priority="3593">
      <formula>$BC131="YES"</formula>
    </cfRule>
  </conditionalFormatting>
  <conditionalFormatting sqref="AT133:AU134">
    <cfRule type="expression" dxfId="1317" priority="3594">
      <formula>$BC133="YES"</formula>
    </cfRule>
  </conditionalFormatting>
  <conditionalFormatting sqref="AT135:AU136">
    <cfRule type="expression" dxfId="1316" priority="3595">
      <formula>$BC135="YES"</formula>
    </cfRule>
  </conditionalFormatting>
  <conditionalFormatting sqref="AT137:AU138">
    <cfRule type="expression" dxfId="1315" priority="3596">
      <formula>$BC137="YES"</formula>
    </cfRule>
  </conditionalFormatting>
  <conditionalFormatting sqref="AT139:AU140">
    <cfRule type="expression" dxfId="1314" priority="3597">
      <formula>$BC139="YES"</formula>
    </cfRule>
  </conditionalFormatting>
  <conditionalFormatting sqref="AT141:AU142">
    <cfRule type="expression" dxfId="1313" priority="3598">
      <formula>$BC141="YES"</formula>
    </cfRule>
  </conditionalFormatting>
  <conditionalFormatting sqref="AT143:AU144">
    <cfRule type="expression" dxfId="1312" priority="3599">
      <formula>$BC143="YES"</formula>
    </cfRule>
  </conditionalFormatting>
  <conditionalFormatting sqref="AT145:AU146">
    <cfRule type="expression" dxfId="1311" priority="3600">
      <formula>$BC145="YES"</formula>
    </cfRule>
  </conditionalFormatting>
  <conditionalFormatting sqref="AT147:AU148">
    <cfRule type="expression" dxfId="1310" priority="3601">
      <formula>$BC147="YES"</formula>
    </cfRule>
  </conditionalFormatting>
  <conditionalFormatting sqref="AT149:AU150">
    <cfRule type="expression" dxfId="1309" priority="3602">
      <formula>$BC149="YES"</formula>
    </cfRule>
  </conditionalFormatting>
  <conditionalFormatting sqref="AT151:AU152">
    <cfRule type="expression" dxfId="1308" priority="3603">
      <formula>$BC151="YES"</formula>
    </cfRule>
  </conditionalFormatting>
  <conditionalFormatting sqref="AT153:AU154">
    <cfRule type="expression" dxfId="1307" priority="3604">
      <formula>$BC153="YES"</formula>
    </cfRule>
  </conditionalFormatting>
  <conditionalFormatting sqref="AT155:AU156">
    <cfRule type="expression" dxfId="1306" priority="3605">
      <formula>$BC155="YES"</formula>
    </cfRule>
  </conditionalFormatting>
  <conditionalFormatting sqref="AT157:AU158">
    <cfRule type="expression" dxfId="1305" priority="3606">
      <formula>$BC157="YES"</formula>
    </cfRule>
  </conditionalFormatting>
  <conditionalFormatting sqref="AT159:AU160">
    <cfRule type="expression" dxfId="1304" priority="3607">
      <formula>$BC159="YES"</formula>
    </cfRule>
  </conditionalFormatting>
  <conditionalFormatting sqref="AT161:AU162">
    <cfRule type="expression" dxfId="1303" priority="3608">
      <formula>$BC161="YES"</formula>
    </cfRule>
  </conditionalFormatting>
  <conditionalFormatting sqref="AT163:AU164">
    <cfRule type="expression" dxfId="1302" priority="3609">
      <formula>$BC163="YES"</formula>
    </cfRule>
  </conditionalFormatting>
  <conditionalFormatting sqref="AT165:AU166">
    <cfRule type="expression" dxfId="1301" priority="3610">
      <formula>$BC165="YES"</formula>
    </cfRule>
  </conditionalFormatting>
  <conditionalFormatting sqref="AT167:AU168">
    <cfRule type="expression" dxfId="1300" priority="3611">
      <formula>$BC167="YES"</formula>
    </cfRule>
  </conditionalFormatting>
  <conditionalFormatting sqref="AT169:AU170">
    <cfRule type="expression" dxfId="1299" priority="3612">
      <formula>$BC169="YES"</formula>
    </cfRule>
  </conditionalFormatting>
  <conditionalFormatting sqref="AT171:AU172">
    <cfRule type="expression" dxfId="1298" priority="3613">
      <formula>$BC171="YES"</formula>
    </cfRule>
  </conditionalFormatting>
  <conditionalFormatting sqref="AT173:AU174">
    <cfRule type="expression" dxfId="1297" priority="3614">
      <formula>$BC173="YES"</formula>
    </cfRule>
  </conditionalFormatting>
  <conditionalFormatting sqref="AT175:AU176">
    <cfRule type="expression" dxfId="1296" priority="3615">
      <formula>$BC175="YES"</formula>
    </cfRule>
  </conditionalFormatting>
  <conditionalFormatting sqref="AT177:AU178">
    <cfRule type="expression" dxfId="1295" priority="3616">
      <formula>$BC177="YES"</formula>
    </cfRule>
  </conditionalFormatting>
  <conditionalFormatting sqref="AT179:AU180">
    <cfRule type="expression" dxfId="1294" priority="3617">
      <formula>$BC179="YES"</formula>
    </cfRule>
  </conditionalFormatting>
  <conditionalFormatting sqref="AT181:AU182">
    <cfRule type="expression" dxfId="1293" priority="3618">
      <formula>$BC181="YES"</formula>
    </cfRule>
  </conditionalFormatting>
  <conditionalFormatting sqref="AT183:AU184">
    <cfRule type="expression" dxfId="1292" priority="3619">
      <formula>$BC183="YES"</formula>
    </cfRule>
  </conditionalFormatting>
  <conditionalFormatting sqref="AT185:AU186">
    <cfRule type="expression" dxfId="1291" priority="3620">
      <formula>$BC185="YES"</formula>
    </cfRule>
  </conditionalFormatting>
  <conditionalFormatting sqref="AT187:AU188">
    <cfRule type="expression" dxfId="1290" priority="3621">
      <formula>$BC187="YES"</formula>
    </cfRule>
  </conditionalFormatting>
  <conditionalFormatting sqref="AT189:AU190">
    <cfRule type="expression" dxfId="1289" priority="3622">
      <formula>$BC189="YES"</formula>
    </cfRule>
  </conditionalFormatting>
  <conditionalFormatting sqref="AT191:AU192">
    <cfRule type="expression" dxfId="1288" priority="3623">
      <formula>$BC191="YES"</formula>
    </cfRule>
  </conditionalFormatting>
  <conditionalFormatting sqref="AT193:AU194">
    <cfRule type="expression" dxfId="1287" priority="3624">
      <formula>$BC193="YES"</formula>
    </cfRule>
  </conditionalFormatting>
  <conditionalFormatting sqref="AT195:AU196">
    <cfRule type="expression" dxfId="1286" priority="3625">
      <formula>$BC195="YES"</formula>
    </cfRule>
  </conditionalFormatting>
  <conditionalFormatting sqref="AT197:AU198">
    <cfRule type="expression" dxfId="1285" priority="3626">
      <formula>$BC197="YES"</formula>
    </cfRule>
  </conditionalFormatting>
  <conditionalFormatting sqref="AT199:AU200">
    <cfRule type="expression" dxfId="1284" priority="3627">
      <formula>$BC199="YES"</formula>
    </cfRule>
  </conditionalFormatting>
  <conditionalFormatting sqref="AT201:AU202">
    <cfRule type="expression" dxfId="1283" priority="3628">
      <formula>$BC201="YES"</formula>
    </cfRule>
  </conditionalFormatting>
  <conditionalFormatting sqref="AT203:AU204">
    <cfRule type="expression" dxfId="1282" priority="3629">
      <formula>$BC203="YES"</formula>
    </cfRule>
  </conditionalFormatting>
  <conditionalFormatting sqref="AT205:AU206">
    <cfRule type="expression" dxfId="1281" priority="3630">
      <formula>$BC205="YES"</formula>
    </cfRule>
  </conditionalFormatting>
  <conditionalFormatting sqref="AT207:AU208">
    <cfRule type="expression" dxfId="1280" priority="3631">
      <formula>$BC207="YES"</formula>
    </cfRule>
  </conditionalFormatting>
  <conditionalFormatting sqref="AT209:AU210">
    <cfRule type="expression" dxfId="1279" priority="3632">
      <formula>$BC209="YES"</formula>
    </cfRule>
  </conditionalFormatting>
  <conditionalFormatting sqref="AT211:AU212">
    <cfRule type="expression" dxfId="1278" priority="3633">
      <formula>$BC211="YES"</formula>
    </cfRule>
  </conditionalFormatting>
  <conditionalFormatting sqref="AT213:AU214">
    <cfRule type="expression" dxfId="1277" priority="3634">
      <formula>$BC213="YES"</formula>
    </cfRule>
  </conditionalFormatting>
  <conditionalFormatting sqref="AT215:AU216">
    <cfRule type="expression" dxfId="1276" priority="3635">
      <formula>$BC215="YES"</formula>
    </cfRule>
  </conditionalFormatting>
  <conditionalFormatting sqref="AT217:AU218">
    <cfRule type="expression" dxfId="1275" priority="3636">
      <formula>$BC217="YES"</formula>
    </cfRule>
  </conditionalFormatting>
  <conditionalFormatting sqref="AT219:AU220">
    <cfRule type="expression" dxfId="1274" priority="3637">
      <formula>$BC219="YES"</formula>
    </cfRule>
  </conditionalFormatting>
  <conditionalFormatting sqref="AT221:AU222">
    <cfRule type="expression" dxfId="1273" priority="3638">
      <formula>$BC221="YES"</formula>
    </cfRule>
  </conditionalFormatting>
  <conditionalFormatting sqref="AT223:AU224">
    <cfRule type="expression" dxfId="1272" priority="3639">
      <formula>$BC223="YES"</formula>
    </cfRule>
  </conditionalFormatting>
  <conditionalFormatting sqref="AT225:AU226">
    <cfRule type="expression" dxfId="1271" priority="3640">
      <formula>$BC225="YES"</formula>
    </cfRule>
  </conditionalFormatting>
  <conditionalFormatting sqref="AT227:AU228">
    <cfRule type="expression" dxfId="1270" priority="3641">
      <formula>$BC227="YES"</formula>
    </cfRule>
  </conditionalFormatting>
  <conditionalFormatting sqref="AT229:AU230">
    <cfRule type="expression" dxfId="1269" priority="3642">
      <formula>$BC229="YES"</formula>
    </cfRule>
  </conditionalFormatting>
  <conditionalFormatting sqref="AT231:AU232">
    <cfRule type="expression" dxfId="1268" priority="3643">
      <formula>$BC231="YES"</formula>
    </cfRule>
  </conditionalFormatting>
  <conditionalFormatting sqref="AT233:AU234">
    <cfRule type="expression" dxfId="1267" priority="3644">
      <formula>$BC233="YES"</formula>
    </cfRule>
  </conditionalFormatting>
  <conditionalFormatting sqref="AT235:AU236">
    <cfRule type="expression" dxfId="1266" priority="3645">
      <formula>$BC235="YES"</formula>
    </cfRule>
  </conditionalFormatting>
  <conditionalFormatting sqref="AT237:AU238">
    <cfRule type="expression" dxfId="1265" priority="3646">
      <formula>$BC237="YES"</formula>
    </cfRule>
  </conditionalFormatting>
  <conditionalFormatting sqref="AT239:AU240">
    <cfRule type="expression" dxfId="1264" priority="3647">
      <formula>$BC239="YES"</formula>
    </cfRule>
  </conditionalFormatting>
  <conditionalFormatting sqref="AT241:AU242">
    <cfRule type="expression" dxfId="1263" priority="3648">
      <formula>$BC241="YES"</formula>
    </cfRule>
  </conditionalFormatting>
  <conditionalFormatting sqref="AT243:AU244">
    <cfRule type="expression" dxfId="1262" priority="3649">
      <formula>$BC243="YES"</formula>
    </cfRule>
  </conditionalFormatting>
  <conditionalFormatting sqref="AT245:AU246">
    <cfRule type="expression" dxfId="1261" priority="3650">
      <formula>$BC245="YES"</formula>
    </cfRule>
  </conditionalFormatting>
  <conditionalFormatting sqref="AT247:AU248">
    <cfRule type="expression" dxfId="1260" priority="3651">
      <formula>$BC247="YES"</formula>
    </cfRule>
  </conditionalFormatting>
  <conditionalFormatting sqref="AT249:AU250">
    <cfRule type="expression" dxfId="1259" priority="3652">
      <formula>$BC249="YES"</formula>
    </cfRule>
  </conditionalFormatting>
  <conditionalFormatting sqref="AT251:AU252">
    <cfRule type="expression" dxfId="1258" priority="3653">
      <formula>$BC251="YES"</formula>
    </cfRule>
  </conditionalFormatting>
  <conditionalFormatting sqref="AT253:AU254">
    <cfRule type="expression" dxfId="1257" priority="3654">
      <formula>$BC253="YES"</formula>
    </cfRule>
  </conditionalFormatting>
  <conditionalFormatting sqref="AT255:AU256">
    <cfRule type="expression" dxfId="1256" priority="3655">
      <formula>$BC255="YES"</formula>
    </cfRule>
  </conditionalFormatting>
  <conditionalFormatting sqref="AT257:AU258">
    <cfRule type="expression" dxfId="1255" priority="3656">
      <formula>$BC257="YES"</formula>
    </cfRule>
  </conditionalFormatting>
  <conditionalFormatting sqref="AT259:AU260">
    <cfRule type="expression" dxfId="1254" priority="3657">
      <formula>$BC259="YES"</formula>
    </cfRule>
  </conditionalFormatting>
  <conditionalFormatting sqref="AT261:AU262">
    <cfRule type="expression" dxfId="1253" priority="3658">
      <formula>$BC261="YES"</formula>
    </cfRule>
  </conditionalFormatting>
  <conditionalFormatting sqref="AT263:AU264">
    <cfRule type="expression" dxfId="1252" priority="3659">
      <formula>$BC263="YES"</formula>
    </cfRule>
  </conditionalFormatting>
  <conditionalFormatting sqref="AT265:AU266">
    <cfRule type="expression" dxfId="1251" priority="3660">
      <formula>$BC265="YES"</formula>
    </cfRule>
  </conditionalFormatting>
  <conditionalFormatting sqref="AT267:AU268">
    <cfRule type="expression" dxfId="1250" priority="3661">
      <formula>$BC267="YES"</formula>
    </cfRule>
  </conditionalFormatting>
  <conditionalFormatting sqref="AT269:AU270">
    <cfRule type="expression" dxfId="1249" priority="3662">
      <formula>$BC269="YES"</formula>
    </cfRule>
  </conditionalFormatting>
  <conditionalFormatting sqref="AT271:AU272">
    <cfRule type="expression" dxfId="1248" priority="3663">
      <formula>$BC271="YES"</formula>
    </cfRule>
  </conditionalFormatting>
  <conditionalFormatting sqref="AT273:AU274">
    <cfRule type="expression" dxfId="1247" priority="3664">
      <formula>$BC273="YES"</formula>
    </cfRule>
  </conditionalFormatting>
  <conditionalFormatting sqref="AT275:AU276">
    <cfRule type="expression" dxfId="1246" priority="3665">
      <formula>$BC275="YES"</formula>
    </cfRule>
  </conditionalFormatting>
  <conditionalFormatting sqref="AT277:AU278">
    <cfRule type="expression" dxfId="1245" priority="3666">
      <formula>$BC277="YES"</formula>
    </cfRule>
  </conditionalFormatting>
  <conditionalFormatting sqref="AT279:AU280">
    <cfRule type="expression" dxfId="1244" priority="3667">
      <formula>$BC279="YES"</formula>
    </cfRule>
  </conditionalFormatting>
  <conditionalFormatting sqref="AT281:AU282">
    <cfRule type="expression" dxfId="1243" priority="3668">
      <formula>$BC281="YES"</formula>
    </cfRule>
  </conditionalFormatting>
  <conditionalFormatting sqref="AT283:AU284">
    <cfRule type="expression" dxfId="1242" priority="3669">
      <formula>$BC283="YES"</formula>
    </cfRule>
  </conditionalFormatting>
  <conditionalFormatting sqref="AT285:AU286">
    <cfRule type="expression" dxfId="1241" priority="3670">
      <formula>$BC285="YES"</formula>
    </cfRule>
  </conditionalFormatting>
  <conditionalFormatting sqref="AT287:AU288">
    <cfRule type="expression" dxfId="1240" priority="3671">
      <formula>$BC287="YES"</formula>
    </cfRule>
  </conditionalFormatting>
  <conditionalFormatting sqref="AT289:AU290">
    <cfRule type="expression" dxfId="1239" priority="3672">
      <formula>$BC289="YES"</formula>
    </cfRule>
  </conditionalFormatting>
  <conditionalFormatting sqref="AT291:AU292">
    <cfRule type="expression" dxfId="1238" priority="3673">
      <formula>$BC291="YES"</formula>
    </cfRule>
  </conditionalFormatting>
  <conditionalFormatting sqref="AT293:AU294">
    <cfRule type="expression" dxfId="1237" priority="3674">
      <formula>$BC293="YES"</formula>
    </cfRule>
  </conditionalFormatting>
  <conditionalFormatting sqref="AT295:AU296">
    <cfRule type="expression" dxfId="1236" priority="3675">
      <formula>$BC295="YES"</formula>
    </cfRule>
  </conditionalFormatting>
  <conditionalFormatting sqref="AT297:AU298">
    <cfRule type="expression" dxfId="1235" priority="3676">
      <formula>$BC297="YES"</formula>
    </cfRule>
  </conditionalFormatting>
  <conditionalFormatting sqref="AT299:AU300">
    <cfRule type="expression" dxfId="1234" priority="3677">
      <formula>$BC299="YES"</formula>
    </cfRule>
  </conditionalFormatting>
  <conditionalFormatting sqref="AT301:AU302">
    <cfRule type="expression" dxfId="1233" priority="3678">
      <formula>$BC301="YES"</formula>
    </cfRule>
  </conditionalFormatting>
  <conditionalFormatting sqref="AT303:AU304">
    <cfRule type="expression" dxfId="1232" priority="3679">
      <formula>$BC303="YES"</formula>
    </cfRule>
  </conditionalFormatting>
  <conditionalFormatting sqref="AT305:AU306">
    <cfRule type="expression" dxfId="1231" priority="3680">
      <formula>$BC305="YES"</formula>
    </cfRule>
  </conditionalFormatting>
  <conditionalFormatting sqref="AT307:AU308">
    <cfRule type="expression" dxfId="1230" priority="3681">
      <formula>$BC307="YES"</formula>
    </cfRule>
  </conditionalFormatting>
  <conditionalFormatting sqref="AT309:AU310">
    <cfRule type="expression" dxfId="1229" priority="3682">
      <formula>$BC309="YES"</formula>
    </cfRule>
  </conditionalFormatting>
  <conditionalFormatting sqref="AT311:AU312">
    <cfRule type="expression" dxfId="1228" priority="3683">
      <formula>$BC311="YES"</formula>
    </cfRule>
  </conditionalFormatting>
  <conditionalFormatting sqref="AT313:AU314">
    <cfRule type="expression" dxfId="1227" priority="3684">
      <formula>$BC313="YES"</formula>
    </cfRule>
  </conditionalFormatting>
  <conditionalFormatting sqref="AT315:AU316">
    <cfRule type="expression" dxfId="1226" priority="3685">
      <formula>$BC315="YES"</formula>
    </cfRule>
  </conditionalFormatting>
  <conditionalFormatting sqref="AT317:AU318">
    <cfRule type="expression" dxfId="1225" priority="3686">
      <formula>$BC317="YES"</formula>
    </cfRule>
  </conditionalFormatting>
  <conditionalFormatting sqref="AT319:AU320">
    <cfRule type="expression" dxfId="1224" priority="3687">
      <formula>$BC319="YES"</formula>
    </cfRule>
  </conditionalFormatting>
  <conditionalFormatting sqref="AT321:AU322">
    <cfRule type="expression" dxfId="1223" priority="3688">
      <formula>$BC321="YES"</formula>
    </cfRule>
  </conditionalFormatting>
  <conditionalFormatting sqref="AT323:AU324">
    <cfRule type="expression" dxfId="1222" priority="3689">
      <formula>$BC323="YES"</formula>
    </cfRule>
  </conditionalFormatting>
  <conditionalFormatting sqref="AT325:AU326">
    <cfRule type="expression" dxfId="1221" priority="3690">
      <formula>$BC325="YES"</formula>
    </cfRule>
  </conditionalFormatting>
  <conditionalFormatting sqref="AT327:AU328">
    <cfRule type="expression" dxfId="1220" priority="3691">
      <formula>$BC327="YES"</formula>
    </cfRule>
  </conditionalFormatting>
  <conditionalFormatting sqref="AT329:AU330">
    <cfRule type="expression" dxfId="1219" priority="3692">
      <formula>$BC329="YES"</formula>
    </cfRule>
  </conditionalFormatting>
  <conditionalFormatting sqref="AT331:AU332">
    <cfRule type="expression" dxfId="1218" priority="3693">
      <formula>$BC331="YES"</formula>
    </cfRule>
  </conditionalFormatting>
  <conditionalFormatting sqref="AT333:AU334">
    <cfRule type="expression" dxfId="1217" priority="3694">
      <formula>$BC333="YES"</formula>
    </cfRule>
  </conditionalFormatting>
  <conditionalFormatting sqref="AT335:AU336">
    <cfRule type="expression" dxfId="1216" priority="3695">
      <formula>$BC335="YES"</formula>
    </cfRule>
  </conditionalFormatting>
  <conditionalFormatting sqref="AT337:AU338">
    <cfRule type="expression" dxfId="1215" priority="3696">
      <formula>$BC337="YES"</formula>
    </cfRule>
  </conditionalFormatting>
  <conditionalFormatting sqref="AT339:AU340">
    <cfRule type="expression" dxfId="1214" priority="3697">
      <formula>$BC339="YES"</formula>
    </cfRule>
  </conditionalFormatting>
  <conditionalFormatting sqref="AT341:AU342">
    <cfRule type="expression" dxfId="1213" priority="3698">
      <formula>$BC341="YES"</formula>
    </cfRule>
  </conditionalFormatting>
  <conditionalFormatting sqref="AT343:AU344">
    <cfRule type="expression" dxfId="1212" priority="3699">
      <formula>$BC343="YES"</formula>
    </cfRule>
  </conditionalFormatting>
  <conditionalFormatting sqref="AT345:AU346">
    <cfRule type="expression" dxfId="1211" priority="3700">
      <formula>$BC345="YES"</formula>
    </cfRule>
  </conditionalFormatting>
  <conditionalFormatting sqref="AT347:AU348">
    <cfRule type="expression" dxfId="1210" priority="3701">
      <formula>$BC347="YES"</formula>
    </cfRule>
  </conditionalFormatting>
  <conditionalFormatting sqref="AT349:AU350">
    <cfRule type="expression" dxfId="1209" priority="3702">
      <formula>$BC349="YES"</formula>
    </cfRule>
  </conditionalFormatting>
  <conditionalFormatting sqref="AT351:AU352">
    <cfRule type="expression" dxfId="1208" priority="3703">
      <formula>$BC351="YES"</formula>
    </cfRule>
  </conditionalFormatting>
  <conditionalFormatting sqref="AT353:AU354">
    <cfRule type="expression" dxfId="1207" priority="3704">
      <formula>$BC353="YES"</formula>
    </cfRule>
  </conditionalFormatting>
  <conditionalFormatting sqref="AT355:AU356">
    <cfRule type="expression" dxfId="1206" priority="3705">
      <formula>$BC355="YES"</formula>
    </cfRule>
  </conditionalFormatting>
  <conditionalFormatting sqref="AT357:AU358">
    <cfRule type="expression" dxfId="1205" priority="3706">
      <formula>$BC357="YES"</formula>
    </cfRule>
  </conditionalFormatting>
  <conditionalFormatting sqref="AT359:AU360">
    <cfRule type="expression" dxfId="1204" priority="3707">
      <formula>$BC359="YES"</formula>
    </cfRule>
  </conditionalFormatting>
  <conditionalFormatting sqref="AT361:AU362">
    <cfRule type="expression" dxfId="1203" priority="3708">
      <formula>$BC361="YES"</formula>
    </cfRule>
  </conditionalFormatting>
  <conditionalFormatting sqref="AT363:AU364">
    <cfRule type="expression" dxfId="1202" priority="3709">
      <formula>$BC363="YES"</formula>
    </cfRule>
  </conditionalFormatting>
  <conditionalFormatting sqref="AT365:AU366">
    <cfRule type="expression" dxfId="1201" priority="3710">
      <formula>$BC365="YES"</formula>
    </cfRule>
  </conditionalFormatting>
  <conditionalFormatting sqref="AT367:AU368">
    <cfRule type="expression" dxfId="1200" priority="3711">
      <formula>$BC367="YES"</formula>
    </cfRule>
  </conditionalFormatting>
  <conditionalFormatting sqref="AT369:AU370">
    <cfRule type="expression" dxfId="1199" priority="3712">
      <formula>$BC369="YES"</formula>
    </cfRule>
  </conditionalFormatting>
  <conditionalFormatting sqref="AT371:AU372">
    <cfRule type="expression" dxfId="1198" priority="3713">
      <formula>$BC371="YES"</formula>
    </cfRule>
  </conditionalFormatting>
  <conditionalFormatting sqref="AT373:AU374">
    <cfRule type="expression" dxfId="1197" priority="3714">
      <formula>$BC373="YES"</formula>
    </cfRule>
  </conditionalFormatting>
  <conditionalFormatting sqref="AT375:AU376">
    <cfRule type="expression" dxfId="1196" priority="3715">
      <formula>$BC375="YES"</formula>
    </cfRule>
  </conditionalFormatting>
  <conditionalFormatting sqref="AT377:AU378">
    <cfRule type="expression" dxfId="1195" priority="3716">
      <formula>$BC377="YES"</formula>
    </cfRule>
  </conditionalFormatting>
  <conditionalFormatting sqref="AT379:AU380">
    <cfRule type="expression" dxfId="1194" priority="3717">
      <formula>$BC379="YES"</formula>
    </cfRule>
  </conditionalFormatting>
  <conditionalFormatting sqref="AT381:AU382">
    <cfRule type="expression" dxfId="1193" priority="3718">
      <formula>$BC381="YES"</formula>
    </cfRule>
  </conditionalFormatting>
  <conditionalFormatting sqref="AT383:AU384">
    <cfRule type="expression" dxfId="1192" priority="3719">
      <formula>$BC383="YES"</formula>
    </cfRule>
  </conditionalFormatting>
  <conditionalFormatting sqref="AT385:AU386">
    <cfRule type="expression" dxfId="1191" priority="3720">
      <formula>$BC385="YES"</formula>
    </cfRule>
  </conditionalFormatting>
  <conditionalFormatting sqref="AT387:AU388">
    <cfRule type="expression" dxfId="1190" priority="3721">
      <formula>$BC387="YES"</formula>
    </cfRule>
  </conditionalFormatting>
  <conditionalFormatting sqref="AT389:AU390">
    <cfRule type="expression" dxfId="1189" priority="3722">
      <formula>$BC389="YES"</formula>
    </cfRule>
  </conditionalFormatting>
  <conditionalFormatting sqref="AT391:AU392">
    <cfRule type="expression" dxfId="1188" priority="3723">
      <formula>$BC391="YES"</formula>
    </cfRule>
  </conditionalFormatting>
  <conditionalFormatting sqref="AT393:AU394">
    <cfRule type="expression" dxfId="1187" priority="3724">
      <formula>$BC393="YES"</formula>
    </cfRule>
  </conditionalFormatting>
  <conditionalFormatting sqref="AT395:AU396">
    <cfRule type="expression" dxfId="1186" priority="3725">
      <formula>$BC395="YES"</formula>
    </cfRule>
  </conditionalFormatting>
  <conditionalFormatting sqref="AT397:AU398">
    <cfRule type="expression" dxfId="1185" priority="3726">
      <formula>$BC397="YES"</formula>
    </cfRule>
  </conditionalFormatting>
  <conditionalFormatting sqref="AT399:AU400">
    <cfRule type="expression" dxfId="1184" priority="3727">
      <formula>$BC399="YES"</formula>
    </cfRule>
  </conditionalFormatting>
  <conditionalFormatting sqref="AT401:AU402">
    <cfRule type="expression" dxfId="1183" priority="3728">
      <formula>$BC401="YES"</formula>
    </cfRule>
  </conditionalFormatting>
  <conditionalFormatting sqref="AT403:AU404">
    <cfRule type="expression" dxfId="1182" priority="3729">
      <formula>$BC403="YES"</formula>
    </cfRule>
  </conditionalFormatting>
  <conditionalFormatting sqref="AT405:AU406">
    <cfRule type="expression" dxfId="1181" priority="3730">
      <formula>$BC405="YES"</formula>
    </cfRule>
  </conditionalFormatting>
  <conditionalFormatting sqref="AT407:AU408">
    <cfRule type="expression" dxfId="1180" priority="3731">
      <formula>$BC407="YES"</formula>
    </cfRule>
  </conditionalFormatting>
  <conditionalFormatting sqref="AT409:AU410">
    <cfRule type="expression" dxfId="1179" priority="3732">
      <formula>$BC409="YES"</formula>
    </cfRule>
  </conditionalFormatting>
  <conditionalFormatting sqref="AT411:AU412">
    <cfRule type="expression" dxfId="1178" priority="3733">
      <formula>$BC411="YES"</formula>
    </cfRule>
  </conditionalFormatting>
  <conditionalFormatting sqref="AT413:AU414">
    <cfRule type="expression" dxfId="1177" priority="3734">
      <formula>$BC413="YES"</formula>
    </cfRule>
  </conditionalFormatting>
  <conditionalFormatting sqref="AT415:AU416">
    <cfRule type="expression" dxfId="1176" priority="3735">
      <formula>$BC415="YES"</formula>
    </cfRule>
  </conditionalFormatting>
  <conditionalFormatting sqref="AT417:AU418">
    <cfRule type="expression" dxfId="1175" priority="3736">
      <formula>$BC417="YES"</formula>
    </cfRule>
  </conditionalFormatting>
  <conditionalFormatting sqref="AT419:AU420">
    <cfRule type="expression" dxfId="1174" priority="3737">
      <formula>$BC419="YES"</formula>
    </cfRule>
  </conditionalFormatting>
  <conditionalFormatting sqref="AT421:AU422">
    <cfRule type="expression" dxfId="1173" priority="3738">
      <formula>$BC421="YES"</formula>
    </cfRule>
  </conditionalFormatting>
  <conditionalFormatting sqref="AT423:AU424">
    <cfRule type="expression" dxfId="1172" priority="3739">
      <formula>$BC423="YES"</formula>
    </cfRule>
  </conditionalFormatting>
  <conditionalFormatting sqref="AT425:AU426">
    <cfRule type="expression" dxfId="1171" priority="3740">
      <formula>$BC425="YES"</formula>
    </cfRule>
  </conditionalFormatting>
  <conditionalFormatting sqref="AT427:AU428">
    <cfRule type="expression" dxfId="1170" priority="3741">
      <formula>$BC427="YES"</formula>
    </cfRule>
  </conditionalFormatting>
  <conditionalFormatting sqref="AT429:AU430">
    <cfRule type="expression" dxfId="1169" priority="3742">
      <formula>$BC429="YES"</formula>
    </cfRule>
  </conditionalFormatting>
  <conditionalFormatting sqref="AT431:AU432">
    <cfRule type="expression" dxfId="1168" priority="3743">
      <formula>$BC431="YES"</formula>
    </cfRule>
  </conditionalFormatting>
  <conditionalFormatting sqref="AT433:AU434">
    <cfRule type="expression" dxfId="1167" priority="3744">
      <formula>$BC433="YES"</formula>
    </cfRule>
  </conditionalFormatting>
  <conditionalFormatting sqref="AT435:AU436">
    <cfRule type="expression" dxfId="1166" priority="3745">
      <formula>$BC435="YES"</formula>
    </cfRule>
  </conditionalFormatting>
  <conditionalFormatting sqref="AT437:AU438">
    <cfRule type="expression" dxfId="1165" priority="3746">
      <formula>$BC437="YES"</formula>
    </cfRule>
  </conditionalFormatting>
  <conditionalFormatting sqref="AT439:AU440">
    <cfRule type="expression" dxfId="1164" priority="3747">
      <formula>$BC439="YES"</formula>
    </cfRule>
  </conditionalFormatting>
  <conditionalFormatting sqref="AT441:AU442">
    <cfRule type="expression" dxfId="1163" priority="3748">
      <formula>$BC441="YES"</formula>
    </cfRule>
  </conditionalFormatting>
  <conditionalFormatting sqref="AT443:AU444">
    <cfRule type="expression" dxfId="1162" priority="3749">
      <formula>$BC443="YES"</formula>
    </cfRule>
  </conditionalFormatting>
  <conditionalFormatting sqref="AT445:AU446">
    <cfRule type="expression" dxfId="1161" priority="3750">
      <formula>$BC445="YES"</formula>
    </cfRule>
  </conditionalFormatting>
  <conditionalFormatting sqref="AT447:AU448">
    <cfRule type="expression" dxfId="1160" priority="3751">
      <formula>$BC447="YES"</formula>
    </cfRule>
  </conditionalFormatting>
  <conditionalFormatting sqref="AT449:AU450">
    <cfRule type="expression" dxfId="1159" priority="3752">
      <formula>$BC449="YES"</formula>
    </cfRule>
  </conditionalFormatting>
  <conditionalFormatting sqref="AT451:AU452">
    <cfRule type="expression" dxfId="1158" priority="3753">
      <formula>$BC451="YES"</formula>
    </cfRule>
  </conditionalFormatting>
  <conditionalFormatting sqref="AT453:AU454">
    <cfRule type="expression" dxfId="1157" priority="3754">
      <formula>$BC453="YES"</formula>
    </cfRule>
  </conditionalFormatting>
  <conditionalFormatting sqref="AT455:AU456">
    <cfRule type="expression" dxfId="1156" priority="3755">
      <formula>$BC455="YES"</formula>
    </cfRule>
  </conditionalFormatting>
  <conditionalFormatting sqref="AT457:AU458">
    <cfRule type="expression" dxfId="1155" priority="3756">
      <formula>$BC457="YES"</formula>
    </cfRule>
  </conditionalFormatting>
  <conditionalFormatting sqref="AT459:AU460">
    <cfRule type="expression" dxfId="1154" priority="3757">
      <formula>$BC459="YES"</formula>
    </cfRule>
  </conditionalFormatting>
  <conditionalFormatting sqref="AT461:AU462">
    <cfRule type="expression" dxfId="1153" priority="3758">
      <formula>$BC461="YES"</formula>
    </cfRule>
  </conditionalFormatting>
  <conditionalFormatting sqref="AT463:AU464">
    <cfRule type="expression" dxfId="1152" priority="3759">
      <formula>$BC463="YES"</formula>
    </cfRule>
  </conditionalFormatting>
  <conditionalFormatting sqref="AT465:AU466">
    <cfRule type="expression" dxfId="1151" priority="3760">
      <formula>$BC465="YES"</formula>
    </cfRule>
  </conditionalFormatting>
  <conditionalFormatting sqref="AT467:AU468">
    <cfRule type="expression" dxfId="1150" priority="3761">
      <formula>$BC467="YES"</formula>
    </cfRule>
  </conditionalFormatting>
  <conditionalFormatting sqref="AT469:AU470">
    <cfRule type="expression" dxfId="1149" priority="3762">
      <formula>$BC469="YES"</formula>
    </cfRule>
  </conditionalFormatting>
  <conditionalFormatting sqref="AT471:AU472">
    <cfRule type="expression" dxfId="1148" priority="3763">
      <formula>$BC471="YES"</formula>
    </cfRule>
  </conditionalFormatting>
  <conditionalFormatting sqref="AT473:AU474">
    <cfRule type="expression" dxfId="1147" priority="3764">
      <formula>$BC473="YES"</formula>
    </cfRule>
  </conditionalFormatting>
  <conditionalFormatting sqref="AT475:AU476">
    <cfRule type="expression" dxfId="1146" priority="3765">
      <formula>$BC475="YES"</formula>
    </cfRule>
  </conditionalFormatting>
  <conditionalFormatting sqref="AT477:AU478">
    <cfRule type="expression" dxfId="1145" priority="3766">
      <formula>$BC477="YES"</formula>
    </cfRule>
  </conditionalFormatting>
  <conditionalFormatting sqref="AT479:AU480">
    <cfRule type="expression" dxfId="1144" priority="3767">
      <formula>$BC479="YES"</formula>
    </cfRule>
  </conditionalFormatting>
  <conditionalFormatting sqref="AT481:AU482">
    <cfRule type="expression" dxfId="1143" priority="3768">
      <formula>$BC481="YES"</formula>
    </cfRule>
  </conditionalFormatting>
  <conditionalFormatting sqref="AT483:AU484">
    <cfRule type="expression" dxfId="1142" priority="3769">
      <formula>$BC483="YES"</formula>
    </cfRule>
  </conditionalFormatting>
  <conditionalFormatting sqref="AT485:AU486">
    <cfRule type="expression" dxfId="1141" priority="3770">
      <formula>$BC485="YES"</formula>
    </cfRule>
  </conditionalFormatting>
  <conditionalFormatting sqref="AT487:AU488">
    <cfRule type="expression" dxfId="1140" priority="3771">
      <formula>$BC487="YES"</formula>
    </cfRule>
  </conditionalFormatting>
  <conditionalFormatting sqref="AT489:AU490">
    <cfRule type="expression" dxfId="1139" priority="3772">
      <formula>$BC489="YES"</formula>
    </cfRule>
  </conditionalFormatting>
  <conditionalFormatting sqref="AT491:AU492">
    <cfRule type="expression" dxfId="1138" priority="3773">
      <formula>$BC491="YES"</formula>
    </cfRule>
  </conditionalFormatting>
  <conditionalFormatting sqref="AT493:AU494">
    <cfRule type="expression" dxfId="1137" priority="3774">
      <formula>$BC493="YES"</formula>
    </cfRule>
  </conditionalFormatting>
  <conditionalFormatting sqref="AT495:AU496">
    <cfRule type="expression" dxfId="1136" priority="3775">
      <formula>$BC495="YES"</formula>
    </cfRule>
  </conditionalFormatting>
  <conditionalFormatting sqref="AT497:AU498">
    <cfRule type="expression" dxfId="1135" priority="3776">
      <formula>$BC497="YES"</formula>
    </cfRule>
  </conditionalFormatting>
  <conditionalFormatting sqref="AT499:AU500">
    <cfRule type="expression" dxfId="1134" priority="3777">
      <formula>$BC499="YES"</formula>
    </cfRule>
  </conditionalFormatting>
  <conditionalFormatting sqref="AT501:AU502">
    <cfRule type="expression" dxfId="1133" priority="3778">
      <formula>$BC501="YES"</formula>
    </cfRule>
  </conditionalFormatting>
  <conditionalFormatting sqref="AT503:AU504">
    <cfRule type="expression" dxfId="1132" priority="3779">
      <formula>$BC503="YES"</formula>
    </cfRule>
  </conditionalFormatting>
  <conditionalFormatting sqref="AT505:AU506">
    <cfRule type="expression" dxfId="1131" priority="3780">
      <formula>$BC505="YES"</formula>
    </cfRule>
  </conditionalFormatting>
  <conditionalFormatting sqref="AT507:AU508">
    <cfRule type="expression" dxfId="1130" priority="3781">
      <formula>$BC507="YES"</formula>
    </cfRule>
  </conditionalFormatting>
  <conditionalFormatting sqref="AT509:AU510">
    <cfRule type="expression" dxfId="1129" priority="3782">
      <formula>$BC509="YES"</formula>
    </cfRule>
  </conditionalFormatting>
  <conditionalFormatting sqref="AT511:AU512">
    <cfRule type="expression" dxfId="1128" priority="3783">
      <formula>$BC511="YES"</formula>
    </cfRule>
  </conditionalFormatting>
  <conditionalFormatting sqref="AT513:AU514">
    <cfRule type="expression" dxfId="1127" priority="3784">
      <formula>$BC513="YES"</formula>
    </cfRule>
  </conditionalFormatting>
  <conditionalFormatting sqref="AT515:AU516">
    <cfRule type="expression" dxfId="1126" priority="3785">
      <formula>$BC515="YES"</formula>
    </cfRule>
  </conditionalFormatting>
  <conditionalFormatting sqref="AT517:AU518">
    <cfRule type="expression" dxfId="1125" priority="3786">
      <formula>$BC517="YES"</formula>
    </cfRule>
  </conditionalFormatting>
  <conditionalFormatting sqref="AT519:AU520">
    <cfRule type="expression" dxfId="1124" priority="3787">
      <formula>$BC519="YES"</formula>
    </cfRule>
  </conditionalFormatting>
  <conditionalFormatting sqref="AT521:AU522">
    <cfRule type="expression" dxfId="1123" priority="3788">
      <formula>$BC521="YES"</formula>
    </cfRule>
  </conditionalFormatting>
  <conditionalFormatting sqref="AT523:AU524">
    <cfRule type="expression" dxfId="1122" priority="3789">
      <formula>$BC523="YES"</formula>
    </cfRule>
  </conditionalFormatting>
  <conditionalFormatting sqref="AT525:AU526">
    <cfRule type="expression" dxfId="1121" priority="3790">
      <formula>$BC525="YES"</formula>
    </cfRule>
  </conditionalFormatting>
  <conditionalFormatting sqref="AT527:AU528">
    <cfRule type="expression" dxfId="1120" priority="3791">
      <formula>$BC527="YES"</formula>
    </cfRule>
  </conditionalFormatting>
  <conditionalFormatting sqref="AT529:AU530">
    <cfRule type="expression" dxfId="1119" priority="3792">
      <formula>$BC529="YES"</formula>
    </cfRule>
  </conditionalFormatting>
  <conditionalFormatting sqref="AT531:AU532">
    <cfRule type="expression" dxfId="1118" priority="3793">
      <formula>$BC531="YES"</formula>
    </cfRule>
  </conditionalFormatting>
  <conditionalFormatting sqref="AT533:AU534">
    <cfRule type="expression" dxfId="1117" priority="3794">
      <formula>$BC533="YES"</formula>
    </cfRule>
  </conditionalFormatting>
  <conditionalFormatting sqref="AT535:AU536">
    <cfRule type="expression" dxfId="1116" priority="3795">
      <formula>$BC535="YES"</formula>
    </cfRule>
  </conditionalFormatting>
  <conditionalFormatting sqref="AT537:AU538">
    <cfRule type="expression" dxfId="1115" priority="3796">
      <formula>$BC537="YES"</formula>
    </cfRule>
  </conditionalFormatting>
  <conditionalFormatting sqref="AT539:AU540">
    <cfRule type="expression" dxfId="1114" priority="3797">
      <formula>$BC539="YES"</formula>
    </cfRule>
  </conditionalFormatting>
  <conditionalFormatting sqref="AT541:AU542">
    <cfRule type="expression" dxfId="1113" priority="3798">
      <formula>$BC541="YES"</formula>
    </cfRule>
  </conditionalFormatting>
  <conditionalFormatting sqref="AT543:AU544">
    <cfRule type="expression" dxfId="1112" priority="3799">
      <formula>$BC543="YES"</formula>
    </cfRule>
  </conditionalFormatting>
  <conditionalFormatting sqref="AT545:AU546">
    <cfRule type="expression" dxfId="1111" priority="3800">
      <formula>$BC545="YES"</formula>
    </cfRule>
  </conditionalFormatting>
  <conditionalFormatting sqref="AT547:AU548">
    <cfRule type="expression" dxfId="1110" priority="3801">
      <formula>$BC547="YES"</formula>
    </cfRule>
  </conditionalFormatting>
  <conditionalFormatting sqref="AT549:AU550">
    <cfRule type="expression" dxfId="1109" priority="3802">
      <formula>$BC549="YES"</formula>
    </cfRule>
  </conditionalFormatting>
  <conditionalFormatting sqref="AT551:AU552">
    <cfRule type="expression" dxfId="1108" priority="3803">
      <formula>$BC551="YES"</formula>
    </cfRule>
  </conditionalFormatting>
  <conditionalFormatting sqref="AT553:AU554">
    <cfRule type="expression" dxfId="1107" priority="3804">
      <formula>$BC553="YES"</formula>
    </cfRule>
  </conditionalFormatting>
  <conditionalFormatting sqref="AT555:AU556">
    <cfRule type="expression" dxfId="1106" priority="3805">
      <formula>$BC555="YES"</formula>
    </cfRule>
  </conditionalFormatting>
  <conditionalFormatting sqref="AT557:AU558">
    <cfRule type="expression" dxfId="1105" priority="3806">
      <formula>$BC557="YES"</formula>
    </cfRule>
  </conditionalFormatting>
  <conditionalFormatting sqref="AT559:AU560">
    <cfRule type="expression" dxfId="1104" priority="3807">
      <formula>$BC559="YES"</formula>
    </cfRule>
  </conditionalFormatting>
  <conditionalFormatting sqref="AT561:AU562">
    <cfRule type="expression" dxfId="1103" priority="3808">
      <formula>$BC561="YES"</formula>
    </cfRule>
  </conditionalFormatting>
  <conditionalFormatting sqref="AT563:AU564">
    <cfRule type="expression" dxfId="1102" priority="3809">
      <formula>$BC563="YES"</formula>
    </cfRule>
  </conditionalFormatting>
  <conditionalFormatting sqref="AT565:AU566">
    <cfRule type="expression" dxfId="1101" priority="3810">
      <formula>$BC565="YES"</formula>
    </cfRule>
  </conditionalFormatting>
  <conditionalFormatting sqref="AT567:AU568">
    <cfRule type="expression" dxfId="1100" priority="3811">
      <formula>$BC567="YES"</formula>
    </cfRule>
  </conditionalFormatting>
  <conditionalFormatting sqref="AT569:AU570">
    <cfRule type="expression" dxfId="1099" priority="3812">
      <formula>$BC569="YES"</formula>
    </cfRule>
  </conditionalFormatting>
  <conditionalFormatting sqref="AT571:AU572">
    <cfRule type="expression" dxfId="1098" priority="3813">
      <formula>$BC571="YES"</formula>
    </cfRule>
  </conditionalFormatting>
  <conditionalFormatting sqref="AT573:AU574">
    <cfRule type="expression" dxfId="1097" priority="3814">
      <formula>$BC573="YES"</formula>
    </cfRule>
  </conditionalFormatting>
  <conditionalFormatting sqref="AT575:AU576">
    <cfRule type="expression" dxfId="1096" priority="3815">
      <formula>$BC575="YES"</formula>
    </cfRule>
  </conditionalFormatting>
  <conditionalFormatting sqref="AT577:AU578">
    <cfRule type="expression" dxfId="1095" priority="3816">
      <formula>$BC577="YES"</formula>
    </cfRule>
  </conditionalFormatting>
  <conditionalFormatting sqref="AT579:AU580">
    <cfRule type="expression" dxfId="1094" priority="3817">
      <formula>$BC579="YES"</formula>
    </cfRule>
  </conditionalFormatting>
  <conditionalFormatting sqref="AT581:AU582">
    <cfRule type="expression" dxfId="1093" priority="3818">
      <formula>$BC581="YES"</formula>
    </cfRule>
  </conditionalFormatting>
  <conditionalFormatting sqref="AT583:AU584">
    <cfRule type="expression" dxfId="1092" priority="3819">
      <formula>$BC583="YES"</formula>
    </cfRule>
  </conditionalFormatting>
  <conditionalFormatting sqref="AT585:AU586">
    <cfRule type="expression" dxfId="1091" priority="3820">
      <formula>$BC585="YES"</formula>
    </cfRule>
  </conditionalFormatting>
  <conditionalFormatting sqref="AT587:AU588">
    <cfRule type="expression" dxfId="1090" priority="3821">
      <formula>$BC587="YES"</formula>
    </cfRule>
  </conditionalFormatting>
  <conditionalFormatting sqref="AT589:AU590">
    <cfRule type="expression" dxfId="1089" priority="3822">
      <formula>$BC589="YES"</formula>
    </cfRule>
  </conditionalFormatting>
  <conditionalFormatting sqref="AT591:AU592">
    <cfRule type="expression" dxfId="1088" priority="3823">
      <formula>$BC591="YES"</formula>
    </cfRule>
  </conditionalFormatting>
  <conditionalFormatting sqref="AT593:AU594">
    <cfRule type="expression" dxfId="1087" priority="3824">
      <formula>$BC593="YES"</formula>
    </cfRule>
  </conditionalFormatting>
  <conditionalFormatting sqref="AT595:AU596">
    <cfRule type="expression" dxfId="1086" priority="3825">
      <formula>$BC595="YES"</formula>
    </cfRule>
  </conditionalFormatting>
  <conditionalFormatting sqref="AT597:AU598">
    <cfRule type="expression" dxfId="1085" priority="3826">
      <formula>$BC597="YES"</formula>
    </cfRule>
  </conditionalFormatting>
  <conditionalFormatting sqref="AT599:AU600">
    <cfRule type="expression" dxfId="1084" priority="3827">
      <formula>$BC599="YES"</formula>
    </cfRule>
  </conditionalFormatting>
  <conditionalFormatting sqref="AT601:AU602">
    <cfRule type="expression" dxfId="1083" priority="3828">
      <formula>$BC601="YES"</formula>
    </cfRule>
  </conditionalFormatting>
  <conditionalFormatting sqref="AT603:AU604">
    <cfRule type="expression" dxfId="1082" priority="3829">
      <formula>$BC603="YES"</formula>
    </cfRule>
  </conditionalFormatting>
  <conditionalFormatting sqref="AT605:AU606">
    <cfRule type="expression" dxfId="1081" priority="3830">
      <formula>$BC605="YES"</formula>
    </cfRule>
  </conditionalFormatting>
  <conditionalFormatting sqref="AT607:AU608">
    <cfRule type="expression" dxfId="1080" priority="3831">
      <formula>$BC607="YES"</formula>
    </cfRule>
  </conditionalFormatting>
  <conditionalFormatting sqref="AT609:AU610">
    <cfRule type="expression" dxfId="1079" priority="3832">
      <formula>$BC609="YES"</formula>
    </cfRule>
  </conditionalFormatting>
  <conditionalFormatting sqref="AT611:AU612">
    <cfRule type="expression" dxfId="1078" priority="3833">
      <formula>$BC611="YES"</formula>
    </cfRule>
  </conditionalFormatting>
  <conditionalFormatting sqref="AT613:AU614">
    <cfRule type="expression" dxfId="1077" priority="3834">
      <formula>$BC613="YES"</formula>
    </cfRule>
  </conditionalFormatting>
  <conditionalFormatting sqref="J1472:K1473">
    <cfRule type="expression" dxfId="1076" priority="3835">
      <formula>$BC1472="YES"</formula>
    </cfRule>
  </conditionalFormatting>
  <conditionalFormatting sqref="L1474:M1475">
    <cfRule type="expression" dxfId="1075" priority="3836">
      <formula>$BC1474="YES"</formula>
    </cfRule>
  </conditionalFormatting>
  <conditionalFormatting sqref="J1474:K1475">
    <cfRule type="expression" dxfId="1074" priority="3837">
      <formula>$BC1474="YES"</formula>
    </cfRule>
  </conditionalFormatting>
  <conditionalFormatting sqref="H1472:I1472">
    <cfRule type="expression" dxfId="1073" priority="3838">
      <formula>$BC1472="YES"</formula>
    </cfRule>
  </conditionalFormatting>
  <conditionalFormatting sqref="H1473:I1474">
    <cfRule type="expression" dxfId="1072" priority="3839">
      <formula>$BC1473="YES"</formula>
    </cfRule>
  </conditionalFormatting>
  <conditionalFormatting sqref="H1475:I1475">
    <cfRule type="expression" dxfId="1071" priority="3840">
      <formula>$BC1475="YES"</formula>
    </cfRule>
  </conditionalFormatting>
  <conditionalFormatting sqref="L1476:M1477">
    <cfRule type="expression" dxfId="1070" priority="3841">
      <formula>$BC1476="YES"</formula>
    </cfRule>
  </conditionalFormatting>
  <conditionalFormatting sqref="J1476:K1477">
    <cfRule type="expression" dxfId="1069" priority="3842">
      <formula>$BC1476="YES"</formula>
    </cfRule>
  </conditionalFormatting>
  <conditionalFormatting sqref="L1478:M1479">
    <cfRule type="expression" dxfId="1068" priority="3843">
      <formula>$BC1478="YES"</formula>
    </cfRule>
  </conditionalFormatting>
  <conditionalFormatting sqref="J1478:K1479">
    <cfRule type="expression" dxfId="1067" priority="3844">
      <formula>$BC1478="YES"</formula>
    </cfRule>
  </conditionalFormatting>
  <conditionalFormatting sqref="H1476:I1476">
    <cfRule type="expression" dxfId="1066" priority="3845">
      <formula>$BC1476="YES"</formula>
    </cfRule>
  </conditionalFormatting>
  <conditionalFormatting sqref="H1477:I1478">
    <cfRule type="expression" dxfId="1065" priority="3846">
      <formula>$BC1477="YES"</formula>
    </cfRule>
  </conditionalFormatting>
  <conditionalFormatting sqref="H1479:I1479">
    <cfRule type="expression" dxfId="1064" priority="3847">
      <formula>$BC1479="YES"</formula>
    </cfRule>
  </conditionalFormatting>
  <conditionalFormatting sqref="L1480:M1481">
    <cfRule type="expression" dxfId="1063" priority="3848">
      <formula>$BC1480="YES"</formula>
    </cfRule>
  </conditionalFormatting>
  <conditionalFormatting sqref="J1480:K1481">
    <cfRule type="expression" dxfId="1062" priority="3849">
      <formula>$BC1480="YES"</formula>
    </cfRule>
  </conditionalFormatting>
  <conditionalFormatting sqref="L1482:M1483">
    <cfRule type="expression" dxfId="1061" priority="3850">
      <formula>$BC1482="YES"</formula>
    </cfRule>
  </conditionalFormatting>
  <conditionalFormatting sqref="J1482:K1483">
    <cfRule type="expression" dxfId="1060" priority="3851">
      <formula>$BC1482="YES"</formula>
    </cfRule>
  </conditionalFormatting>
  <conditionalFormatting sqref="H1480:I1480">
    <cfRule type="expression" dxfId="1059" priority="3852">
      <formula>$BC1480="YES"</formula>
    </cfRule>
  </conditionalFormatting>
  <conditionalFormatting sqref="H1481:I1482">
    <cfRule type="expression" dxfId="1058" priority="3853">
      <formula>$BC1481="YES"</formula>
    </cfRule>
  </conditionalFormatting>
  <conditionalFormatting sqref="H1483:I1483">
    <cfRule type="expression" dxfId="1057" priority="3854">
      <formula>$BC1483="YES"</formula>
    </cfRule>
  </conditionalFormatting>
  <conditionalFormatting sqref="L1484:M1485">
    <cfRule type="expression" dxfId="1056" priority="3855">
      <formula>$BC1484="YES"</formula>
    </cfRule>
  </conditionalFormatting>
  <conditionalFormatting sqref="J1484:K1485">
    <cfRule type="expression" dxfId="1055" priority="3856">
      <formula>$BC1484="YES"</formula>
    </cfRule>
  </conditionalFormatting>
  <conditionalFormatting sqref="L1486:M1487">
    <cfRule type="expression" dxfId="1054" priority="3857">
      <formula>$BC1486="YES"</formula>
    </cfRule>
  </conditionalFormatting>
  <conditionalFormatting sqref="J1486:K1487">
    <cfRule type="expression" dxfId="1053" priority="3858">
      <formula>$BC1486="YES"</formula>
    </cfRule>
  </conditionalFormatting>
  <conditionalFormatting sqref="H1484:I1484">
    <cfRule type="expression" dxfId="1052" priority="3859">
      <formula>$BC1484="YES"</formula>
    </cfRule>
  </conditionalFormatting>
  <conditionalFormatting sqref="H1485:I1486">
    <cfRule type="expression" dxfId="1051" priority="3860">
      <formula>$BC1485="YES"</formula>
    </cfRule>
  </conditionalFormatting>
  <conditionalFormatting sqref="H1487:I1487">
    <cfRule type="expression" dxfId="1050" priority="3861">
      <formula>$BC1487="YES"</formula>
    </cfRule>
  </conditionalFormatting>
  <conditionalFormatting sqref="L1488:M1489">
    <cfRule type="expression" dxfId="1049" priority="3862">
      <formula>$BC1488="YES"</formula>
    </cfRule>
  </conditionalFormatting>
  <conditionalFormatting sqref="J1488:K1489">
    <cfRule type="expression" dxfId="1048" priority="3863">
      <formula>$BC1488="YES"</formula>
    </cfRule>
  </conditionalFormatting>
  <conditionalFormatting sqref="L1490:M1491">
    <cfRule type="expression" dxfId="1047" priority="3864">
      <formula>$BC1490="YES"</formula>
    </cfRule>
  </conditionalFormatting>
  <conditionalFormatting sqref="J1490:K1491">
    <cfRule type="expression" dxfId="1046" priority="3865">
      <formula>$BC1490="YES"</formula>
    </cfRule>
  </conditionalFormatting>
  <conditionalFormatting sqref="H1488:I1488">
    <cfRule type="expression" dxfId="1045" priority="3866">
      <formula>$BC1488="YES"</formula>
    </cfRule>
  </conditionalFormatting>
  <conditionalFormatting sqref="H1460:I1460">
    <cfRule type="expression" dxfId="1044" priority="3867">
      <formula>$BC1460="YES"</formula>
    </cfRule>
  </conditionalFormatting>
  <conditionalFormatting sqref="H1441:I1442">
    <cfRule type="expression" dxfId="1043" priority="3868">
      <formula>$BC1441="YES"</formula>
    </cfRule>
  </conditionalFormatting>
  <conditionalFormatting sqref="H1423:I1423">
    <cfRule type="expression" dxfId="1042" priority="3869">
      <formula>$BC1423="YES"</formula>
    </cfRule>
  </conditionalFormatting>
  <conditionalFormatting sqref="J1400:K1400">
    <cfRule type="expression" dxfId="1041" priority="3870">
      <formula>$BC1400="YES"</formula>
    </cfRule>
  </conditionalFormatting>
  <conditionalFormatting sqref="L1206:M1206">
    <cfRule type="expression" dxfId="1040" priority="3871">
      <formula>$BC1206="YES"</formula>
    </cfRule>
  </conditionalFormatting>
  <conditionalFormatting sqref="H1203:I1204">
    <cfRule type="expression" dxfId="1039" priority="3872">
      <formula>$BC1203="YES"</formula>
    </cfRule>
  </conditionalFormatting>
  <conditionalFormatting sqref="H1205:I1205">
    <cfRule type="expression" dxfId="1038" priority="3873">
      <formula>$BC1205="YES"</formula>
    </cfRule>
  </conditionalFormatting>
  <conditionalFormatting sqref="J1206:K1206">
    <cfRule type="expression" dxfId="1037" priority="3874">
      <formula>$BC1206="YES"</formula>
    </cfRule>
  </conditionalFormatting>
  <conditionalFormatting sqref="H1206:I1206">
    <cfRule type="expression" dxfId="1036" priority="3875">
      <formula>$BC1206="YES"</formula>
    </cfRule>
  </conditionalFormatting>
  <conditionalFormatting sqref="F1307:F1504 H1207:I1226 L1207:M1208 L1221:M1399 L1402:M1403">
    <cfRule type="expression" dxfId="1035" priority="3876">
      <formula>$BC1207="YES"</formula>
    </cfRule>
  </conditionalFormatting>
  <conditionalFormatting sqref="F1400:F1402">
    <cfRule type="expression" dxfId="1034" priority="3877">
      <formula>$BC1400="YES"</formula>
    </cfRule>
  </conditionalFormatting>
  <conditionalFormatting sqref="L1209:M1210">
    <cfRule type="expression" dxfId="1033" priority="3878">
      <formula>$BC1209="YES"</formula>
    </cfRule>
  </conditionalFormatting>
  <conditionalFormatting sqref="L1211:M1212">
    <cfRule type="expression" dxfId="1032" priority="3879">
      <formula>$BC1211="YES"</formula>
    </cfRule>
  </conditionalFormatting>
  <conditionalFormatting sqref="L1213:M1214">
    <cfRule type="expression" dxfId="1031" priority="3880">
      <formula>$BC1213="YES"</formula>
    </cfRule>
  </conditionalFormatting>
  <conditionalFormatting sqref="J15:K16 J29:K207 J210:K211 J1505:K1609">
    <cfRule type="expression" dxfId="1030" priority="3881">
      <formula>$BC15="YES"</formula>
    </cfRule>
  </conditionalFormatting>
  <conditionalFormatting sqref="J17:K18">
    <cfRule type="expression" dxfId="1029" priority="3882">
      <formula>$BC17="YES"</formula>
    </cfRule>
  </conditionalFormatting>
  <conditionalFormatting sqref="J19:K20">
    <cfRule type="expression" dxfId="1028" priority="3883">
      <formula>$BC19="YES"</formula>
    </cfRule>
  </conditionalFormatting>
  <conditionalFormatting sqref="J21:K22">
    <cfRule type="expression" dxfId="1027" priority="3884">
      <formula>$BC21="YES"</formula>
    </cfRule>
  </conditionalFormatting>
  <conditionalFormatting sqref="J23:K24">
    <cfRule type="expression" dxfId="1026" priority="3885">
      <formula>$BC23="YES"</formula>
    </cfRule>
  </conditionalFormatting>
  <conditionalFormatting sqref="J25:K26">
    <cfRule type="expression" dxfId="1025" priority="3886">
      <formula>$BC25="YES"</formula>
    </cfRule>
  </conditionalFormatting>
  <conditionalFormatting sqref="J27:K28">
    <cfRule type="expression" dxfId="1024" priority="3887">
      <formula>$BC27="YES"</formula>
    </cfRule>
  </conditionalFormatting>
  <conditionalFormatting sqref="F15:F114">
    <cfRule type="expression" dxfId="1023" priority="3888">
      <formula>$BC15="YES"</formula>
    </cfRule>
  </conditionalFormatting>
  <conditionalFormatting sqref="H35:I44">
    <cfRule type="expression" dxfId="1022" priority="3889">
      <formula>$BC35="YES"</formula>
    </cfRule>
  </conditionalFormatting>
  <conditionalFormatting sqref="H45:I54">
    <cfRule type="expression" dxfId="1021" priority="3890">
      <formula>$BC45="YES"</formula>
    </cfRule>
  </conditionalFormatting>
  <conditionalFormatting sqref="H55:I64">
    <cfRule type="expression" dxfId="1020" priority="3891">
      <formula>$BC55="YES"</formula>
    </cfRule>
  </conditionalFormatting>
  <conditionalFormatting sqref="H65:I74">
    <cfRule type="expression" dxfId="1019" priority="3892">
      <formula>$BC65="YES"</formula>
    </cfRule>
  </conditionalFormatting>
  <conditionalFormatting sqref="H75:I84">
    <cfRule type="expression" dxfId="1018" priority="3893">
      <formula>$BC75="YES"</formula>
    </cfRule>
  </conditionalFormatting>
  <conditionalFormatting sqref="H85:I94">
    <cfRule type="expression" dxfId="1017" priority="3894">
      <formula>$BC85="YES"</formula>
    </cfRule>
  </conditionalFormatting>
  <conditionalFormatting sqref="H95:I104">
    <cfRule type="expression" dxfId="1016" priority="3895">
      <formula>$BC95="YES"</formula>
    </cfRule>
  </conditionalFormatting>
  <conditionalFormatting sqref="H105:I114">
    <cfRule type="expression" dxfId="1015" priority="3896">
      <formula>$BC105="YES"</formula>
    </cfRule>
  </conditionalFormatting>
  <conditionalFormatting sqref="H115:I124">
    <cfRule type="expression" dxfId="1014" priority="3897">
      <formula>$BC115="YES"</formula>
    </cfRule>
  </conditionalFormatting>
  <conditionalFormatting sqref="H125:I134">
    <cfRule type="expression" dxfId="1013" priority="3898">
      <formula>$BC125="YES"</formula>
    </cfRule>
  </conditionalFormatting>
  <conditionalFormatting sqref="H135:I144">
    <cfRule type="expression" dxfId="1012" priority="3899">
      <formula>$BC135="YES"</formula>
    </cfRule>
  </conditionalFormatting>
  <conditionalFormatting sqref="H145:I154">
    <cfRule type="expression" dxfId="1011" priority="3900">
      <formula>$BC145="YES"</formula>
    </cfRule>
  </conditionalFormatting>
  <conditionalFormatting sqref="H155:I164">
    <cfRule type="expression" dxfId="1010" priority="3901">
      <formula>$BC155="YES"</formula>
    </cfRule>
  </conditionalFormatting>
  <conditionalFormatting sqref="H165:I174">
    <cfRule type="expression" dxfId="1009" priority="3902">
      <formula>$BC165="YES"</formula>
    </cfRule>
  </conditionalFormatting>
  <conditionalFormatting sqref="H175:I184">
    <cfRule type="expression" dxfId="1008" priority="3903">
      <formula>$BC175="YES"</formula>
    </cfRule>
  </conditionalFormatting>
  <conditionalFormatting sqref="H185:I194">
    <cfRule type="expression" dxfId="1007" priority="3904">
      <formula>$BC185="YES"</formula>
    </cfRule>
  </conditionalFormatting>
  <conditionalFormatting sqref="H195:I204">
    <cfRule type="expression" dxfId="1006" priority="3905">
      <formula>$BC195="YES"</formula>
    </cfRule>
  </conditionalFormatting>
  <conditionalFormatting sqref="H205:I214">
    <cfRule type="expression" dxfId="1005" priority="3906">
      <formula>$BC205="YES"</formula>
    </cfRule>
  </conditionalFormatting>
  <conditionalFormatting sqref="L208:M208">
    <cfRule type="expression" dxfId="1004" priority="3907">
      <formula>$BC208="YES"</formula>
    </cfRule>
  </conditionalFormatting>
  <conditionalFormatting sqref="J208:K208">
    <cfRule type="expression" dxfId="1003" priority="3908">
      <formula>$BC208="YES"</formula>
    </cfRule>
  </conditionalFormatting>
  <conditionalFormatting sqref="L209:M209">
    <cfRule type="expression" dxfId="1002" priority="3909">
      <formula>$BC209="YES"</formula>
    </cfRule>
  </conditionalFormatting>
  <conditionalFormatting sqref="J209:K209">
    <cfRule type="expression" dxfId="1001" priority="3910">
      <formula>$BC209="YES"</formula>
    </cfRule>
  </conditionalFormatting>
  <conditionalFormatting sqref="L212:M213">
    <cfRule type="expression" dxfId="1000" priority="3911">
      <formula>$BC212="YES"</formula>
    </cfRule>
  </conditionalFormatting>
  <conditionalFormatting sqref="J212:K213">
    <cfRule type="expression" dxfId="999" priority="3912">
      <formula>$BC212="YES"</formula>
    </cfRule>
  </conditionalFormatting>
  <conditionalFormatting sqref="L214:M215">
    <cfRule type="expression" dxfId="998" priority="3913">
      <formula>$BC214="YES"</formula>
    </cfRule>
  </conditionalFormatting>
  <conditionalFormatting sqref="J214:K215">
    <cfRule type="expression" dxfId="997" priority="3914">
      <formula>$BC214="YES"</formula>
    </cfRule>
  </conditionalFormatting>
  <conditionalFormatting sqref="L216:M217">
    <cfRule type="expression" dxfId="996" priority="3915">
      <formula>$BC216="YES"</formula>
    </cfRule>
  </conditionalFormatting>
  <conditionalFormatting sqref="J216:K217">
    <cfRule type="expression" dxfId="995" priority="3916">
      <formula>$BC216="YES"</formula>
    </cfRule>
  </conditionalFormatting>
  <conditionalFormatting sqref="L218:M219">
    <cfRule type="expression" dxfId="994" priority="3917">
      <formula>$BC218="YES"</formula>
    </cfRule>
  </conditionalFormatting>
  <conditionalFormatting sqref="J218:K219">
    <cfRule type="expression" dxfId="993" priority="3918">
      <formula>$BC218="YES"</formula>
    </cfRule>
  </conditionalFormatting>
  <conditionalFormatting sqref="H215:I216">
    <cfRule type="expression" dxfId="992" priority="3919">
      <formula>$BC215="YES"</formula>
    </cfRule>
  </conditionalFormatting>
  <conditionalFormatting sqref="H217:I218">
    <cfRule type="expression" dxfId="991" priority="3920">
      <formula>$BC217="YES"</formula>
    </cfRule>
  </conditionalFormatting>
  <conditionalFormatting sqref="H219:I219">
    <cfRule type="expression" dxfId="990" priority="3921">
      <formula>$BC219="YES"</formula>
    </cfRule>
  </conditionalFormatting>
  <conditionalFormatting sqref="B1612:F1614">
    <cfRule type="expression" dxfId="989" priority="3922">
      <formula>$BC1612="YES"</formula>
    </cfRule>
  </conditionalFormatting>
  <conditionalFormatting sqref="AJ1610:AK1614">
    <cfRule type="expression" dxfId="988" priority="3923">
      <formula>$BC1610="YES"</formula>
    </cfRule>
  </conditionalFormatting>
  <conditionalFormatting sqref="A1610:A1614">
    <cfRule type="expression" dxfId="987" priority="3924">
      <formula>$BC1610="YES"</formula>
    </cfRule>
  </conditionalFormatting>
  <conditionalFormatting sqref="J1610:K1614">
    <cfRule type="expression" dxfId="986" priority="3925">
      <formula>$BC1610="YES"</formula>
    </cfRule>
  </conditionalFormatting>
  <conditionalFormatting sqref="L220:M221">
    <cfRule type="expression" dxfId="985" priority="3926">
      <formula>$BC220="YES"</formula>
    </cfRule>
  </conditionalFormatting>
  <conditionalFormatting sqref="J220:K221">
    <cfRule type="expression" dxfId="984" priority="3927">
      <formula>$BC220="YES"</formula>
    </cfRule>
  </conditionalFormatting>
  <conditionalFormatting sqref="L222:M223">
    <cfRule type="expression" dxfId="983" priority="3928">
      <formula>$BC222="YES"</formula>
    </cfRule>
  </conditionalFormatting>
  <conditionalFormatting sqref="J222:K223">
    <cfRule type="expression" dxfId="982" priority="3929">
      <formula>$BC222="YES"</formula>
    </cfRule>
  </conditionalFormatting>
  <conditionalFormatting sqref="H220:I220">
    <cfRule type="expression" dxfId="981" priority="3930">
      <formula>$BC220="YES"</formula>
    </cfRule>
  </conditionalFormatting>
  <conditionalFormatting sqref="H221:I222">
    <cfRule type="expression" dxfId="980" priority="3931">
      <formula>$BC221="YES"</formula>
    </cfRule>
  </conditionalFormatting>
  <conditionalFormatting sqref="H223:I223">
    <cfRule type="expression" dxfId="979" priority="3932">
      <formula>$BC223="YES"</formula>
    </cfRule>
  </conditionalFormatting>
  <conditionalFormatting sqref="L224:M225">
    <cfRule type="expression" dxfId="978" priority="3933">
      <formula>$BC224="YES"</formula>
    </cfRule>
  </conditionalFormatting>
  <conditionalFormatting sqref="J224:K225">
    <cfRule type="expression" dxfId="977" priority="3934">
      <formula>$BC224="YES"</formula>
    </cfRule>
  </conditionalFormatting>
  <conditionalFormatting sqref="L226:M227">
    <cfRule type="expression" dxfId="976" priority="3935">
      <formula>$BC226="YES"</formula>
    </cfRule>
  </conditionalFormatting>
  <conditionalFormatting sqref="J226:K227">
    <cfRule type="expression" dxfId="975" priority="3936">
      <formula>$BC226="YES"</formula>
    </cfRule>
  </conditionalFormatting>
  <conditionalFormatting sqref="H224:I224">
    <cfRule type="expression" dxfId="974" priority="3937">
      <formula>$BC224="YES"</formula>
    </cfRule>
  </conditionalFormatting>
  <conditionalFormatting sqref="H225:I226">
    <cfRule type="expression" dxfId="973" priority="3938">
      <formula>$BC225="YES"</formula>
    </cfRule>
  </conditionalFormatting>
  <conditionalFormatting sqref="H227:I227">
    <cfRule type="expression" dxfId="972" priority="3939">
      <formula>$BC227="YES"</formula>
    </cfRule>
  </conditionalFormatting>
  <conditionalFormatting sqref="L228:M229">
    <cfRule type="expression" dxfId="971" priority="3940">
      <formula>$BC228="YES"</formula>
    </cfRule>
  </conditionalFormatting>
  <conditionalFormatting sqref="J228:K229">
    <cfRule type="expression" dxfId="970" priority="3941">
      <formula>$BC228="YES"</formula>
    </cfRule>
  </conditionalFormatting>
  <conditionalFormatting sqref="L230:M231">
    <cfRule type="expression" dxfId="969" priority="3942">
      <formula>$BC230="YES"</formula>
    </cfRule>
  </conditionalFormatting>
  <conditionalFormatting sqref="J230:K231">
    <cfRule type="expression" dxfId="968" priority="3943">
      <formula>$BC230="YES"</formula>
    </cfRule>
  </conditionalFormatting>
  <conditionalFormatting sqref="H228:I228">
    <cfRule type="expression" dxfId="967" priority="3944">
      <formula>$BC228="YES"</formula>
    </cfRule>
  </conditionalFormatting>
  <conditionalFormatting sqref="H229:I230">
    <cfRule type="expression" dxfId="966" priority="3945">
      <formula>$BC229="YES"</formula>
    </cfRule>
  </conditionalFormatting>
  <conditionalFormatting sqref="H231:I231">
    <cfRule type="expression" dxfId="965" priority="3946">
      <formula>$BC231="YES"</formula>
    </cfRule>
  </conditionalFormatting>
  <conditionalFormatting sqref="L232:M233">
    <cfRule type="expression" dxfId="964" priority="3947">
      <formula>$BC232="YES"</formula>
    </cfRule>
  </conditionalFormatting>
  <conditionalFormatting sqref="J232:K233">
    <cfRule type="expression" dxfId="963" priority="3948">
      <formula>$BC232="YES"</formula>
    </cfRule>
  </conditionalFormatting>
  <conditionalFormatting sqref="L234:M235">
    <cfRule type="expression" dxfId="962" priority="3949">
      <formula>$BC234="YES"</formula>
    </cfRule>
  </conditionalFormatting>
  <conditionalFormatting sqref="J234:K235">
    <cfRule type="expression" dxfId="961" priority="3950">
      <formula>$BC234="YES"</formula>
    </cfRule>
  </conditionalFormatting>
  <conditionalFormatting sqref="H232:I232">
    <cfRule type="expression" dxfId="960" priority="3951">
      <formula>$BC232="YES"</formula>
    </cfRule>
  </conditionalFormatting>
  <conditionalFormatting sqref="H233:I234">
    <cfRule type="expression" dxfId="959" priority="3952">
      <formula>$BC233="YES"</formula>
    </cfRule>
  </conditionalFormatting>
  <conditionalFormatting sqref="H235:I235">
    <cfRule type="expression" dxfId="958" priority="3953">
      <formula>$BC235="YES"</formula>
    </cfRule>
  </conditionalFormatting>
  <conditionalFormatting sqref="L236:M237">
    <cfRule type="expression" dxfId="957" priority="3954">
      <formula>$BC236="YES"</formula>
    </cfRule>
  </conditionalFormatting>
  <conditionalFormatting sqref="J236:K237">
    <cfRule type="expression" dxfId="956" priority="3955">
      <formula>$BC236="YES"</formula>
    </cfRule>
  </conditionalFormatting>
  <conditionalFormatting sqref="L238:M239">
    <cfRule type="expression" dxfId="955" priority="3956">
      <formula>$BC238="YES"</formula>
    </cfRule>
  </conditionalFormatting>
  <conditionalFormatting sqref="J238:K239">
    <cfRule type="expression" dxfId="954" priority="3957">
      <formula>$BC238="YES"</formula>
    </cfRule>
  </conditionalFormatting>
  <conditionalFormatting sqref="H236:I236">
    <cfRule type="expression" dxfId="953" priority="3958">
      <formula>$BC236="YES"</formula>
    </cfRule>
  </conditionalFormatting>
  <conditionalFormatting sqref="H237:I238">
    <cfRule type="expression" dxfId="952" priority="3959">
      <formula>$BC237="YES"</formula>
    </cfRule>
  </conditionalFormatting>
  <conditionalFormatting sqref="H239:I239">
    <cfRule type="expression" dxfId="951" priority="3960">
      <formula>$BC239="YES"</formula>
    </cfRule>
  </conditionalFormatting>
  <conditionalFormatting sqref="L240:M241">
    <cfRule type="expression" dxfId="950" priority="3961">
      <formula>$BC240="YES"</formula>
    </cfRule>
  </conditionalFormatting>
  <conditionalFormatting sqref="J240:K241">
    <cfRule type="expression" dxfId="949" priority="3962">
      <formula>$BC240="YES"</formula>
    </cfRule>
  </conditionalFormatting>
  <conditionalFormatting sqref="L242:M243">
    <cfRule type="expression" dxfId="948" priority="3963">
      <formula>$BC242="YES"</formula>
    </cfRule>
  </conditionalFormatting>
  <conditionalFormatting sqref="J242:K243">
    <cfRule type="expression" dxfId="947" priority="3964">
      <formula>$BC242="YES"</formula>
    </cfRule>
  </conditionalFormatting>
  <conditionalFormatting sqref="H240:I240">
    <cfRule type="expression" dxfId="946" priority="3965">
      <formula>$BC240="YES"</formula>
    </cfRule>
  </conditionalFormatting>
  <conditionalFormatting sqref="H241:I242">
    <cfRule type="expression" dxfId="945" priority="3966">
      <formula>$BC241="YES"</formula>
    </cfRule>
  </conditionalFormatting>
  <conditionalFormatting sqref="H243:I243">
    <cfRule type="expression" dxfId="944" priority="3967">
      <formula>$BC243="YES"</formula>
    </cfRule>
  </conditionalFormatting>
  <conditionalFormatting sqref="L244:M245">
    <cfRule type="expression" dxfId="943" priority="3968">
      <formula>$BC244="YES"</formula>
    </cfRule>
  </conditionalFormatting>
  <conditionalFormatting sqref="J244:K245">
    <cfRule type="expression" dxfId="942" priority="3969">
      <formula>$BC244="YES"</formula>
    </cfRule>
  </conditionalFormatting>
  <conditionalFormatting sqref="L246:M247">
    <cfRule type="expression" dxfId="941" priority="3970">
      <formula>$BC246="YES"</formula>
    </cfRule>
  </conditionalFormatting>
  <conditionalFormatting sqref="J246:K247">
    <cfRule type="expression" dxfId="940" priority="3971">
      <formula>$BC246="YES"</formula>
    </cfRule>
  </conditionalFormatting>
  <conditionalFormatting sqref="H244:I244">
    <cfRule type="expression" dxfId="939" priority="3972">
      <formula>$BC244="YES"</formula>
    </cfRule>
  </conditionalFormatting>
  <conditionalFormatting sqref="H245:I246">
    <cfRule type="expression" dxfId="938" priority="3973">
      <formula>$BC245="YES"</formula>
    </cfRule>
  </conditionalFormatting>
  <conditionalFormatting sqref="H247:I247">
    <cfRule type="expression" dxfId="937" priority="3974">
      <formula>$BC247="YES"</formula>
    </cfRule>
  </conditionalFormatting>
  <conditionalFormatting sqref="L248:M249">
    <cfRule type="expression" dxfId="936" priority="3975">
      <formula>$BC248="YES"</formula>
    </cfRule>
  </conditionalFormatting>
  <conditionalFormatting sqref="J248:K249">
    <cfRule type="expression" dxfId="935" priority="3976">
      <formula>$BC248="YES"</formula>
    </cfRule>
  </conditionalFormatting>
  <conditionalFormatting sqref="L250:M251">
    <cfRule type="expression" dxfId="934" priority="3977">
      <formula>$BC250="YES"</formula>
    </cfRule>
  </conditionalFormatting>
  <conditionalFormatting sqref="J250:K251">
    <cfRule type="expression" dxfId="933" priority="3978">
      <formula>$BC250="YES"</formula>
    </cfRule>
  </conditionalFormatting>
  <conditionalFormatting sqref="H248:I248">
    <cfRule type="expression" dxfId="932" priority="3979">
      <formula>$BC248="YES"</formula>
    </cfRule>
  </conditionalFormatting>
  <conditionalFormatting sqref="H249:I250">
    <cfRule type="expression" dxfId="931" priority="3980">
      <formula>$BC249="YES"</formula>
    </cfRule>
  </conditionalFormatting>
  <conditionalFormatting sqref="H251:I251">
    <cfRule type="expression" dxfId="930" priority="3981">
      <formula>$BC251="YES"</formula>
    </cfRule>
  </conditionalFormatting>
  <conditionalFormatting sqref="L252:M253">
    <cfRule type="expression" dxfId="929" priority="3982">
      <formula>$BC252="YES"</formula>
    </cfRule>
  </conditionalFormatting>
  <conditionalFormatting sqref="J252:K253">
    <cfRule type="expression" dxfId="928" priority="3983">
      <formula>$BC252="YES"</formula>
    </cfRule>
  </conditionalFormatting>
  <conditionalFormatting sqref="L254:M255">
    <cfRule type="expression" dxfId="927" priority="3984">
      <formula>$BC254="YES"</formula>
    </cfRule>
  </conditionalFormatting>
  <conditionalFormatting sqref="J254:K255">
    <cfRule type="expression" dxfId="926" priority="3985">
      <formula>$BC254="YES"</formula>
    </cfRule>
  </conditionalFormatting>
  <conditionalFormatting sqref="H252:I252">
    <cfRule type="expression" dxfId="925" priority="3986">
      <formula>$BC252="YES"</formula>
    </cfRule>
  </conditionalFormatting>
  <conditionalFormatting sqref="H253:I254">
    <cfRule type="expression" dxfId="924" priority="3987">
      <formula>$BC253="YES"</formula>
    </cfRule>
  </conditionalFormatting>
  <conditionalFormatting sqref="H255:I255">
    <cfRule type="expression" dxfId="923" priority="3988">
      <formula>$BC255="YES"</formula>
    </cfRule>
  </conditionalFormatting>
  <conditionalFormatting sqref="L256:M257">
    <cfRule type="expression" dxfId="922" priority="3989">
      <formula>$BC256="YES"</formula>
    </cfRule>
  </conditionalFormatting>
  <conditionalFormatting sqref="J256:K257">
    <cfRule type="expression" dxfId="921" priority="3990">
      <formula>$BC256="YES"</formula>
    </cfRule>
  </conditionalFormatting>
  <conditionalFormatting sqref="L258:M259">
    <cfRule type="expression" dxfId="920" priority="3991">
      <formula>$BC258="YES"</formula>
    </cfRule>
  </conditionalFormatting>
  <conditionalFormatting sqref="J258:K259">
    <cfRule type="expression" dxfId="919" priority="3992">
      <formula>$BC258="YES"</formula>
    </cfRule>
  </conditionalFormatting>
  <conditionalFormatting sqref="H256:I256">
    <cfRule type="expression" dxfId="918" priority="3993">
      <formula>$BC256="YES"</formula>
    </cfRule>
  </conditionalFormatting>
  <conditionalFormatting sqref="H257:I258">
    <cfRule type="expression" dxfId="917" priority="3994">
      <formula>$BC257="YES"</formula>
    </cfRule>
  </conditionalFormatting>
  <conditionalFormatting sqref="H259:I259">
    <cfRule type="expression" dxfId="916" priority="3995">
      <formula>$BC259="YES"</formula>
    </cfRule>
  </conditionalFormatting>
  <conditionalFormatting sqref="L260:M261">
    <cfRule type="expression" dxfId="915" priority="3996">
      <formula>$BC260="YES"</formula>
    </cfRule>
  </conditionalFormatting>
  <conditionalFormatting sqref="J260:K261">
    <cfRule type="expression" dxfId="914" priority="3997">
      <formula>$BC260="YES"</formula>
    </cfRule>
  </conditionalFormatting>
  <conditionalFormatting sqref="L262:M263">
    <cfRule type="expression" dxfId="913" priority="3998">
      <formula>$BC262="YES"</formula>
    </cfRule>
  </conditionalFormatting>
  <conditionalFormatting sqref="J262:K263">
    <cfRule type="expression" dxfId="912" priority="3999">
      <formula>$BC262="YES"</formula>
    </cfRule>
  </conditionalFormatting>
  <conditionalFormatting sqref="H260:I260">
    <cfRule type="expression" dxfId="911" priority="4000">
      <formula>$BC260="YES"</formula>
    </cfRule>
  </conditionalFormatting>
  <conditionalFormatting sqref="H261:I262">
    <cfRule type="expression" dxfId="910" priority="4001">
      <formula>$BC261="YES"</formula>
    </cfRule>
  </conditionalFormatting>
  <conditionalFormatting sqref="H263:I263">
    <cfRule type="expression" dxfId="909" priority="4002">
      <formula>$BC263="YES"</formula>
    </cfRule>
  </conditionalFormatting>
  <conditionalFormatting sqref="L264:M265">
    <cfRule type="expression" dxfId="908" priority="4003">
      <formula>$BC264="YES"</formula>
    </cfRule>
  </conditionalFormatting>
  <conditionalFormatting sqref="J264:K265">
    <cfRule type="expression" dxfId="907" priority="4004">
      <formula>$BC264="YES"</formula>
    </cfRule>
  </conditionalFormatting>
  <conditionalFormatting sqref="L266:M267">
    <cfRule type="expression" dxfId="906" priority="4005">
      <formula>$BC266="YES"</formula>
    </cfRule>
  </conditionalFormatting>
  <conditionalFormatting sqref="J266:K267">
    <cfRule type="expression" dxfId="905" priority="4006">
      <formula>$BC266="YES"</formula>
    </cfRule>
  </conditionalFormatting>
  <conditionalFormatting sqref="H264:I264">
    <cfRule type="expression" dxfId="904" priority="4007">
      <formula>$BC264="YES"</formula>
    </cfRule>
  </conditionalFormatting>
  <conditionalFormatting sqref="H265:I266">
    <cfRule type="expression" dxfId="903" priority="4008">
      <formula>$BC265="YES"</formula>
    </cfRule>
  </conditionalFormatting>
  <conditionalFormatting sqref="H267:I267">
    <cfRule type="expression" dxfId="902" priority="4009">
      <formula>$BC267="YES"</formula>
    </cfRule>
  </conditionalFormatting>
  <conditionalFormatting sqref="L268:M269">
    <cfRule type="expression" dxfId="901" priority="4010">
      <formula>$BC268="YES"</formula>
    </cfRule>
  </conditionalFormatting>
  <conditionalFormatting sqref="J268:K269">
    <cfRule type="expression" dxfId="900" priority="4011">
      <formula>$BC268="YES"</formula>
    </cfRule>
  </conditionalFormatting>
  <conditionalFormatting sqref="L270:M271">
    <cfRule type="expression" dxfId="899" priority="4012">
      <formula>$BC270="YES"</formula>
    </cfRule>
  </conditionalFormatting>
  <conditionalFormatting sqref="J270:K271">
    <cfRule type="expression" dxfId="898" priority="4013">
      <formula>$BC270="YES"</formula>
    </cfRule>
  </conditionalFormatting>
  <conditionalFormatting sqref="H268:I268">
    <cfRule type="expression" dxfId="897" priority="4014">
      <formula>$BC268="YES"</formula>
    </cfRule>
  </conditionalFormatting>
  <conditionalFormatting sqref="H269:I270">
    <cfRule type="expression" dxfId="896" priority="4015">
      <formula>$BC269="YES"</formula>
    </cfRule>
  </conditionalFormatting>
  <conditionalFormatting sqref="H271:I271">
    <cfRule type="expression" dxfId="895" priority="4016">
      <formula>$BC271="YES"</formula>
    </cfRule>
  </conditionalFormatting>
  <conditionalFormatting sqref="L272:M273">
    <cfRule type="expression" dxfId="894" priority="4017">
      <formula>$BC272="YES"</formula>
    </cfRule>
  </conditionalFormatting>
  <conditionalFormatting sqref="J272:K273">
    <cfRule type="expression" dxfId="893" priority="4018">
      <formula>$BC272="YES"</formula>
    </cfRule>
  </conditionalFormatting>
  <conditionalFormatting sqref="L274:M275">
    <cfRule type="expression" dxfId="892" priority="4019">
      <formula>$BC274="YES"</formula>
    </cfRule>
  </conditionalFormatting>
  <conditionalFormatting sqref="J274:K275">
    <cfRule type="expression" dxfId="891" priority="4020">
      <formula>$BC274="YES"</formula>
    </cfRule>
  </conditionalFormatting>
  <conditionalFormatting sqref="H272:I272">
    <cfRule type="expression" dxfId="890" priority="4021">
      <formula>$BC272="YES"</formula>
    </cfRule>
  </conditionalFormatting>
  <conditionalFormatting sqref="H273:I274">
    <cfRule type="expression" dxfId="889" priority="4022">
      <formula>$BC273="YES"</formula>
    </cfRule>
  </conditionalFormatting>
  <conditionalFormatting sqref="H275:I275">
    <cfRule type="expression" dxfId="888" priority="4023">
      <formula>$BC275="YES"</formula>
    </cfRule>
  </conditionalFormatting>
  <conditionalFormatting sqref="L276:M277">
    <cfRule type="expression" dxfId="887" priority="4024">
      <formula>$BC276="YES"</formula>
    </cfRule>
  </conditionalFormatting>
  <conditionalFormatting sqref="J276:K277">
    <cfRule type="expression" dxfId="886" priority="4025">
      <formula>$BC276="YES"</formula>
    </cfRule>
  </conditionalFormatting>
  <conditionalFormatting sqref="L278:M279">
    <cfRule type="expression" dxfId="885" priority="4026">
      <formula>$BC278="YES"</formula>
    </cfRule>
  </conditionalFormatting>
  <conditionalFormatting sqref="J278:K279">
    <cfRule type="expression" dxfId="884" priority="4027">
      <formula>$BC278="YES"</formula>
    </cfRule>
  </conditionalFormatting>
  <conditionalFormatting sqref="H276:I276">
    <cfRule type="expression" dxfId="883" priority="4028">
      <formula>$BC276="YES"</formula>
    </cfRule>
  </conditionalFormatting>
  <conditionalFormatting sqref="H277:I278">
    <cfRule type="expression" dxfId="882" priority="4029">
      <formula>$BC277="YES"</formula>
    </cfRule>
  </conditionalFormatting>
  <conditionalFormatting sqref="H279:I279">
    <cfRule type="expression" dxfId="881" priority="4030">
      <formula>$BC279="YES"</formula>
    </cfRule>
  </conditionalFormatting>
  <conditionalFormatting sqref="L280:M281">
    <cfRule type="expression" dxfId="880" priority="4031">
      <formula>$BC280="YES"</formula>
    </cfRule>
  </conditionalFormatting>
  <conditionalFormatting sqref="J280:K281">
    <cfRule type="expression" dxfId="879" priority="4032">
      <formula>$BC280="YES"</formula>
    </cfRule>
  </conditionalFormatting>
  <conditionalFormatting sqref="L282:M283">
    <cfRule type="expression" dxfId="878" priority="4033">
      <formula>$BC282="YES"</formula>
    </cfRule>
  </conditionalFormatting>
  <conditionalFormatting sqref="J282:K283">
    <cfRule type="expression" dxfId="877" priority="4034">
      <formula>$BC282="YES"</formula>
    </cfRule>
  </conditionalFormatting>
  <conditionalFormatting sqref="H280:I280">
    <cfRule type="expression" dxfId="876" priority="4035">
      <formula>$BC280="YES"</formula>
    </cfRule>
  </conditionalFormatting>
  <conditionalFormatting sqref="H281:I282">
    <cfRule type="expression" dxfId="875" priority="4036">
      <formula>$BC281="YES"</formula>
    </cfRule>
  </conditionalFormatting>
  <conditionalFormatting sqref="H283:I283">
    <cfRule type="expression" dxfId="874" priority="4037">
      <formula>$BC283="YES"</formula>
    </cfRule>
  </conditionalFormatting>
  <conditionalFormatting sqref="L284:M285">
    <cfRule type="expression" dxfId="873" priority="4038">
      <formula>$BC284="YES"</formula>
    </cfRule>
  </conditionalFormatting>
  <conditionalFormatting sqref="J284:K285">
    <cfRule type="expression" dxfId="872" priority="4039">
      <formula>$BC284="YES"</formula>
    </cfRule>
  </conditionalFormatting>
  <conditionalFormatting sqref="L286:M287">
    <cfRule type="expression" dxfId="871" priority="4040">
      <formula>$BC286="YES"</formula>
    </cfRule>
  </conditionalFormatting>
  <conditionalFormatting sqref="J286:K287">
    <cfRule type="expression" dxfId="870" priority="4041">
      <formula>$BC286="YES"</formula>
    </cfRule>
  </conditionalFormatting>
  <conditionalFormatting sqref="H284:I284">
    <cfRule type="expression" dxfId="869" priority="4042">
      <formula>$BC284="YES"</formula>
    </cfRule>
  </conditionalFormatting>
  <conditionalFormatting sqref="H285:I286">
    <cfRule type="expression" dxfId="868" priority="4043">
      <formula>$BC285="YES"</formula>
    </cfRule>
  </conditionalFormatting>
  <conditionalFormatting sqref="H287:I287">
    <cfRule type="expression" dxfId="867" priority="4044">
      <formula>$BC287="YES"</formula>
    </cfRule>
  </conditionalFormatting>
  <conditionalFormatting sqref="L288:M289">
    <cfRule type="expression" dxfId="866" priority="4045">
      <formula>$BC288="YES"</formula>
    </cfRule>
  </conditionalFormatting>
  <conditionalFormatting sqref="J288:K289">
    <cfRule type="expression" dxfId="865" priority="4046">
      <formula>$BC288="YES"</formula>
    </cfRule>
  </conditionalFormatting>
  <conditionalFormatting sqref="L290:M291">
    <cfRule type="expression" dxfId="864" priority="4047">
      <formula>$BC290="YES"</formula>
    </cfRule>
  </conditionalFormatting>
  <conditionalFormatting sqref="J290:K291">
    <cfRule type="expression" dxfId="863" priority="4048">
      <formula>$BC290="YES"</formula>
    </cfRule>
  </conditionalFormatting>
  <conditionalFormatting sqref="H288:I288">
    <cfRule type="expression" dxfId="862" priority="4049">
      <formula>$BC288="YES"</formula>
    </cfRule>
  </conditionalFormatting>
  <conditionalFormatting sqref="H289:I290">
    <cfRule type="expression" dxfId="861" priority="4050">
      <formula>$BC289="YES"</formula>
    </cfRule>
  </conditionalFormatting>
  <conditionalFormatting sqref="H291:I291">
    <cfRule type="expression" dxfId="860" priority="4051">
      <formula>$BC291="YES"</formula>
    </cfRule>
  </conditionalFormatting>
  <conditionalFormatting sqref="L292:M293">
    <cfRule type="expression" dxfId="859" priority="4052">
      <formula>$BC292="YES"</formula>
    </cfRule>
  </conditionalFormatting>
  <conditionalFormatting sqref="J292:K293">
    <cfRule type="expression" dxfId="858" priority="4053">
      <formula>$BC292="YES"</formula>
    </cfRule>
  </conditionalFormatting>
  <conditionalFormatting sqref="L294:M295">
    <cfRule type="expression" dxfId="857" priority="4054">
      <formula>$BC294="YES"</formula>
    </cfRule>
  </conditionalFormatting>
  <conditionalFormatting sqref="J294:K295">
    <cfRule type="expression" dxfId="856" priority="4055">
      <formula>$BC294="YES"</formula>
    </cfRule>
  </conditionalFormatting>
  <conditionalFormatting sqref="H292:I292">
    <cfRule type="expression" dxfId="855" priority="4056">
      <formula>$BC292="YES"</formula>
    </cfRule>
  </conditionalFormatting>
  <conditionalFormatting sqref="H293:I294">
    <cfRule type="expression" dxfId="854" priority="4057">
      <formula>$BC293="YES"</formula>
    </cfRule>
  </conditionalFormatting>
  <conditionalFormatting sqref="H295:I295">
    <cfRule type="expression" dxfId="853" priority="4058">
      <formula>$BC295="YES"</formula>
    </cfRule>
  </conditionalFormatting>
  <conditionalFormatting sqref="L296:M297">
    <cfRule type="expression" dxfId="852" priority="4059">
      <formula>$BC296="YES"</formula>
    </cfRule>
  </conditionalFormatting>
  <conditionalFormatting sqref="J296:K297">
    <cfRule type="expression" dxfId="851" priority="4060">
      <formula>$BC296="YES"</formula>
    </cfRule>
  </conditionalFormatting>
  <conditionalFormatting sqref="L298:M299">
    <cfRule type="expression" dxfId="850" priority="4061">
      <formula>$BC298="YES"</formula>
    </cfRule>
  </conditionalFormatting>
  <conditionalFormatting sqref="J298:K299">
    <cfRule type="expression" dxfId="849" priority="4062">
      <formula>$BC298="YES"</formula>
    </cfRule>
  </conditionalFormatting>
  <conditionalFormatting sqref="H296:I296">
    <cfRule type="expression" dxfId="848" priority="4063">
      <formula>$BC296="YES"</formula>
    </cfRule>
  </conditionalFormatting>
  <conditionalFormatting sqref="H297:I298">
    <cfRule type="expression" dxfId="847" priority="4064">
      <formula>$BC297="YES"</formula>
    </cfRule>
  </conditionalFormatting>
  <conditionalFormatting sqref="H299:I299">
    <cfRule type="expression" dxfId="846" priority="4065">
      <formula>$BC299="YES"</formula>
    </cfRule>
  </conditionalFormatting>
  <conditionalFormatting sqref="L300:M301">
    <cfRule type="expression" dxfId="845" priority="4066">
      <formula>$BC300="YES"</formula>
    </cfRule>
  </conditionalFormatting>
  <conditionalFormatting sqref="J300:K301">
    <cfRule type="expression" dxfId="844" priority="4067">
      <formula>$BC300="YES"</formula>
    </cfRule>
  </conditionalFormatting>
  <conditionalFormatting sqref="L302:M303">
    <cfRule type="expression" dxfId="843" priority="4068">
      <formula>$BC302="YES"</formula>
    </cfRule>
  </conditionalFormatting>
  <conditionalFormatting sqref="J302:K303">
    <cfRule type="expression" dxfId="842" priority="4069">
      <formula>$BC302="YES"</formula>
    </cfRule>
  </conditionalFormatting>
  <conditionalFormatting sqref="H300:I300">
    <cfRule type="expression" dxfId="841" priority="4070">
      <formula>$BC300="YES"</formula>
    </cfRule>
  </conditionalFormatting>
  <conditionalFormatting sqref="H301:I302">
    <cfRule type="expression" dxfId="840" priority="4071">
      <formula>$BC301="YES"</formula>
    </cfRule>
  </conditionalFormatting>
  <conditionalFormatting sqref="H303:I303">
    <cfRule type="expression" dxfId="839" priority="4072">
      <formula>$BC303="YES"</formula>
    </cfRule>
  </conditionalFormatting>
  <conditionalFormatting sqref="L304:M305">
    <cfRule type="expression" dxfId="838" priority="4073">
      <formula>$BC304="YES"</formula>
    </cfRule>
  </conditionalFormatting>
  <conditionalFormatting sqref="J304:K305">
    <cfRule type="expression" dxfId="837" priority="4074">
      <formula>$BC304="YES"</formula>
    </cfRule>
  </conditionalFormatting>
  <conditionalFormatting sqref="L306:M307">
    <cfRule type="expression" dxfId="836" priority="4075">
      <formula>$BC306="YES"</formula>
    </cfRule>
  </conditionalFormatting>
  <conditionalFormatting sqref="J306:K307">
    <cfRule type="expression" dxfId="835" priority="4076">
      <formula>$BC306="YES"</formula>
    </cfRule>
  </conditionalFormatting>
  <conditionalFormatting sqref="H304:I304">
    <cfRule type="expression" dxfId="834" priority="4077">
      <formula>$BC304="YES"</formula>
    </cfRule>
  </conditionalFormatting>
  <conditionalFormatting sqref="H305:I306">
    <cfRule type="expression" dxfId="833" priority="4078">
      <formula>$BC305="YES"</formula>
    </cfRule>
  </conditionalFormatting>
  <conditionalFormatting sqref="H307:I307">
    <cfRule type="expression" dxfId="832" priority="4079">
      <formula>$BC307="YES"</formula>
    </cfRule>
  </conditionalFormatting>
  <conditionalFormatting sqref="L308:M309">
    <cfRule type="expression" dxfId="831" priority="4080">
      <formula>$BC308="YES"</formula>
    </cfRule>
  </conditionalFormatting>
  <conditionalFormatting sqref="J308:K309">
    <cfRule type="expression" dxfId="830" priority="4081">
      <formula>$BC308="YES"</formula>
    </cfRule>
  </conditionalFormatting>
  <conditionalFormatting sqref="L310:M311">
    <cfRule type="expression" dxfId="829" priority="4082">
      <formula>$BC310="YES"</formula>
    </cfRule>
  </conditionalFormatting>
  <conditionalFormatting sqref="J310:K311">
    <cfRule type="expression" dxfId="828" priority="4083">
      <formula>$BC310="YES"</formula>
    </cfRule>
  </conditionalFormatting>
  <conditionalFormatting sqref="H308:I308">
    <cfRule type="expression" dxfId="827" priority="4084">
      <formula>$BC308="YES"</formula>
    </cfRule>
  </conditionalFormatting>
  <conditionalFormatting sqref="H309:I310">
    <cfRule type="expression" dxfId="826" priority="4085">
      <formula>$BC309="YES"</formula>
    </cfRule>
  </conditionalFormatting>
  <conditionalFormatting sqref="H311:I311">
    <cfRule type="expression" dxfId="825" priority="4086">
      <formula>$BC311="YES"</formula>
    </cfRule>
  </conditionalFormatting>
  <conditionalFormatting sqref="L312:M312">
    <cfRule type="expression" dxfId="824" priority="4087">
      <formula>$BC312="YES"</formula>
    </cfRule>
  </conditionalFormatting>
  <conditionalFormatting sqref="J312:K312">
    <cfRule type="expression" dxfId="823" priority="4088">
      <formula>$BC312="YES"</formula>
    </cfRule>
  </conditionalFormatting>
  <conditionalFormatting sqref="H312:I312">
    <cfRule type="expression" dxfId="822" priority="4089">
      <formula>$BC312="YES"</formula>
    </cfRule>
  </conditionalFormatting>
  <conditionalFormatting sqref="F413:F610 H313:I332 L313:M314 L327:M505 L508:M509">
    <cfRule type="expression" dxfId="821" priority="4090">
      <formula>$BC313="YES"</formula>
    </cfRule>
  </conditionalFormatting>
  <conditionalFormatting sqref="F506:F508">
    <cfRule type="expression" dxfId="820" priority="4091">
      <formula>$BC506="YES"</formula>
    </cfRule>
  </conditionalFormatting>
  <conditionalFormatting sqref="L315:M316">
    <cfRule type="expression" dxfId="819" priority="4092">
      <formula>$BC315="YES"</formula>
    </cfRule>
  </conditionalFormatting>
  <conditionalFormatting sqref="L317:M318">
    <cfRule type="expression" dxfId="818" priority="4093">
      <formula>$BC317="YES"</formula>
    </cfRule>
  </conditionalFormatting>
  <conditionalFormatting sqref="L319:M320">
    <cfRule type="expression" dxfId="817" priority="4094">
      <formula>$BC319="YES"</formula>
    </cfRule>
  </conditionalFormatting>
  <conditionalFormatting sqref="L321:M322">
    <cfRule type="expression" dxfId="816" priority="4095">
      <formula>$BC321="YES"</formula>
    </cfRule>
  </conditionalFormatting>
  <conditionalFormatting sqref="L323:M324">
    <cfRule type="expression" dxfId="815" priority="4096">
      <formula>$BC323="YES"</formula>
    </cfRule>
  </conditionalFormatting>
  <conditionalFormatting sqref="L325:M326">
    <cfRule type="expression" dxfId="814" priority="4097">
      <formula>$BC325="YES"</formula>
    </cfRule>
  </conditionalFormatting>
  <conditionalFormatting sqref="J313:K314 J327:K505 J508:K509">
    <cfRule type="expression" dxfId="813" priority="4098">
      <formula>$BC313="YES"</formula>
    </cfRule>
  </conditionalFormatting>
  <conditionalFormatting sqref="J315:K316">
    <cfRule type="expression" dxfId="812" priority="4099">
      <formula>$BC315="YES"</formula>
    </cfRule>
  </conditionalFormatting>
  <conditionalFormatting sqref="J317:K318">
    <cfRule type="expression" dxfId="811" priority="4100">
      <formula>$BC317="YES"</formula>
    </cfRule>
  </conditionalFormatting>
  <conditionalFormatting sqref="J319:K320">
    <cfRule type="expression" dxfId="810" priority="4101">
      <formula>$BC319="YES"</formula>
    </cfRule>
  </conditionalFormatting>
  <conditionalFormatting sqref="J321:K322">
    <cfRule type="expression" dxfId="809" priority="4102">
      <formula>$BC321="YES"</formula>
    </cfRule>
  </conditionalFormatting>
  <conditionalFormatting sqref="J323:K324">
    <cfRule type="expression" dxfId="808" priority="4103">
      <formula>$BC323="YES"</formula>
    </cfRule>
  </conditionalFormatting>
  <conditionalFormatting sqref="J325:K326">
    <cfRule type="expression" dxfId="807" priority="4104">
      <formula>$BC325="YES"</formula>
    </cfRule>
  </conditionalFormatting>
  <conditionalFormatting sqref="F313:F412">
    <cfRule type="expression" dxfId="806" priority="4105">
      <formula>$BC313="YES"</formula>
    </cfRule>
  </conditionalFormatting>
  <conditionalFormatting sqref="H333:I342">
    <cfRule type="expression" dxfId="805" priority="4106">
      <formula>$BC333="YES"</formula>
    </cfRule>
  </conditionalFormatting>
  <conditionalFormatting sqref="H343:I352">
    <cfRule type="expression" dxfId="804" priority="4107">
      <formula>$BC343="YES"</formula>
    </cfRule>
  </conditionalFormatting>
  <conditionalFormatting sqref="H353:I362">
    <cfRule type="expression" dxfId="803" priority="4108">
      <formula>$BC353="YES"</formula>
    </cfRule>
  </conditionalFormatting>
  <conditionalFormatting sqref="H363:I372">
    <cfRule type="expression" dxfId="802" priority="4109">
      <formula>$BC363="YES"</formula>
    </cfRule>
  </conditionalFormatting>
  <conditionalFormatting sqref="H373:I382">
    <cfRule type="expression" dxfId="801" priority="4110">
      <formula>$BC373="YES"</formula>
    </cfRule>
  </conditionalFormatting>
  <conditionalFormatting sqref="H383:I392">
    <cfRule type="expression" dxfId="800" priority="4111">
      <formula>$BC383="YES"</formula>
    </cfRule>
  </conditionalFormatting>
  <conditionalFormatting sqref="H393:I402">
    <cfRule type="expression" dxfId="799" priority="4112">
      <formula>$BC393="YES"</formula>
    </cfRule>
  </conditionalFormatting>
  <conditionalFormatting sqref="H403:I412">
    <cfRule type="expression" dxfId="798" priority="4113">
      <formula>$BC403="YES"</formula>
    </cfRule>
  </conditionalFormatting>
  <conditionalFormatting sqref="H413:I422">
    <cfRule type="expression" dxfId="797" priority="4114">
      <formula>$BC413="YES"</formula>
    </cfRule>
  </conditionalFormatting>
  <conditionalFormatting sqref="H423:I432">
    <cfRule type="expression" dxfId="796" priority="4115">
      <formula>$BC423="YES"</formula>
    </cfRule>
  </conditionalFormatting>
  <conditionalFormatting sqref="H433:I442">
    <cfRule type="expression" dxfId="795" priority="4116">
      <formula>$BC433="YES"</formula>
    </cfRule>
  </conditionalFormatting>
  <conditionalFormatting sqref="H443:I452">
    <cfRule type="expression" dxfId="794" priority="4117">
      <formula>$BC443="YES"</formula>
    </cfRule>
  </conditionalFormatting>
  <conditionalFormatting sqref="H453:I462">
    <cfRule type="expression" dxfId="793" priority="4118">
      <formula>$BC453="YES"</formula>
    </cfRule>
  </conditionalFormatting>
  <conditionalFormatting sqref="H463:I472">
    <cfRule type="expression" dxfId="792" priority="4119">
      <formula>$BC463="YES"</formula>
    </cfRule>
  </conditionalFormatting>
  <conditionalFormatting sqref="H473:I482">
    <cfRule type="expression" dxfId="791" priority="4120">
      <formula>$BC473="YES"</formula>
    </cfRule>
  </conditionalFormatting>
  <conditionalFormatting sqref="H483:I492">
    <cfRule type="expression" dxfId="790" priority="4121">
      <formula>$BC483="YES"</formula>
    </cfRule>
  </conditionalFormatting>
  <conditionalFormatting sqref="H493:I502">
    <cfRule type="expression" dxfId="789" priority="4122">
      <formula>$BC493="YES"</formula>
    </cfRule>
  </conditionalFormatting>
  <conditionalFormatting sqref="H503:I512">
    <cfRule type="expression" dxfId="788" priority="4123">
      <formula>$BC503="YES"</formula>
    </cfRule>
  </conditionalFormatting>
  <conditionalFormatting sqref="L506:M506">
    <cfRule type="expression" dxfId="787" priority="4124">
      <formula>$BC506="YES"</formula>
    </cfRule>
  </conditionalFormatting>
  <conditionalFormatting sqref="J506:K506">
    <cfRule type="expression" dxfId="786" priority="4125">
      <formula>$BC506="YES"</formula>
    </cfRule>
  </conditionalFormatting>
  <conditionalFormatting sqref="L507:M507">
    <cfRule type="expression" dxfId="785" priority="4126">
      <formula>$BC507="YES"</formula>
    </cfRule>
  </conditionalFormatting>
  <conditionalFormatting sqref="J507:K507">
    <cfRule type="expression" dxfId="784" priority="4127">
      <formula>$BC507="YES"</formula>
    </cfRule>
  </conditionalFormatting>
  <conditionalFormatting sqref="L510:M511">
    <cfRule type="expression" dxfId="783" priority="4128">
      <formula>$BC510="YES"</formula>
    </cfRule>
  </conditionalFormatting>
  <conditionalFormatting sqref="J510:K511">
    <cfRule type="expression" dxfId="782" priority="4129">
      <formula>$BC510="YES"</formula>
    </cfRule>
  </conditionalFormatting>
  <conditionalFormatting sqref="L512:M513">
    <cfRule type="expression" dxfId="781" priority="4130">
      <formula>$BC512="YES"</formula>
    </cfRule>
  </conditionalFormatting>
  <conditionalFormatting sqref="J512:K513">
    <cfRule type="expression" dxfId="780" priority="4131">
      <formula>$BC512="YES"</formula>
    </cfRule>
  </conditionalFormatting>
  <conditionalFormatting sqref="L514:M515">
    <cfRule type="expression" dxfId="779" priority="4132">
      <formula>$BC514="YES"</formula>
    </cfRule>
  </conditionalFormatting>
  <conditionalFormatting sqref="J514:K515">
    <cfRule type="expression" dxfId="778" priority="4133">
      <formula>$BC514="YES"</formula>
    </cfRule>
  </conditionalFormatting>
  <conditionalFormatting sqref="L516:M517">
    <cfRule type="expression" dxfId="777" priority="4134">
      <formula>$BC516="YES"</formula>
    </cfRule>
  </conditionalFormatting>
  <conditionalFormatting sqref="J516:K517">
    <cfRule type="expression" dxfId="776" priority="4135">
      <formula>$BC516="YES"</formula>
    </cfRule>
  </conditionalFormatting>
  <conditionalFormatting sqref="H513:I514">
    <cfRule type="expression" dxfId="775" priority="4136">
      <formula>$BC513="YES"</formula>
    </cfRule>
  </conditionalFormatting>
  <conditionalFormatting sqref="H515:I516">
    <cfRule type="expression" dxfId="774" priority="4137">
      <formula>$BC515="YES"</formula>
    </cfRule>
  </conditionalFormatting>
  <conditionalFormatting sqref="H517:I517">
    <cfRule type="expression" dxfId="773" priority="4138">
      <formula>$BC517="YES"</formula>
    </cfRule>
  </conditionalFormatting>
  <conditionalFormatting sqref="L518:M519">
    <cfRule type="expression" dxfId="772" priority="4139">
      <formula>$BC518="YES"</formula>
    </cfRule>
  </conditionalFormatting>
  <conditionalFormatting sqref="J518:K519">
    <cfRule type="expression" dxfId="771" priority="4140">
      <formula>$BC518="YES"</formula>
    </cfRule>
  </conditionalFormatting>
  <conditionalFormatting sqref="L520:M521">
    <cfRule type="expression" dxfId="770" priority="4141">
      <formula>$BC520="YES"</formula>
    </cfRule>
  </conditionalFormatting>
  <conditionalFormatting sqref="J520:K521">
    <cfRule type="expression" dxfId="769" priority="4142">
      <formula>$BC520="YES"</formula>
    </cfRule>
  </conditionalFormatting>
  <conditionalFormatting sqref="H518:I518">
    <cfRule type="expression" dxfId="768" priority="4143">
      <formula>$BC518="YES"</formula>
    </cfRule>
  </conditionalFormatting>
  <conditionalFormatting sqref="H519:I520">
    <cfRule type="expression" dxfId="767" priority="4144">
      <formula>$BC519="YES"</formula>
    </cfRule>
  </conditionalFormatting>
  <conditionalFormatting sqref="H521:I521">
    <cfRule type="expression" dxfId="766" priority="4145">
      <formula>$BC521="YES"</formula>
    </cfRule>
  </conditionalFormatting>
  <conditionalFormatting sqref="L522:M523">
    <cfRule type="expression" dxfId="765" priority="4146">
      <formula>$BC522="YES"</formula>
    </cfRule>
  </conditionalFormatting>
  <conditionalFormatting sqref="J522:K523">
    <cfRule type="expression" dxfId="764" priority="4147">
      <formula>$BC522="YES"</formula>
    </cfRule>
  </conditionalFormatting>
  <conditionalFormatting sqref="L524:M525">
    <cfRule type="expression" dxfId="763" priority="4148">
      <formula>$BC524="YES"</formula>
    </cfRule>
  </conditionalFormatting>
  <conditionalFormatting sqref="J524:K525">
    <cfRule type="expression" dxfId="762" priority="4149">
      <formula>$BC524="YES"</formula>
    </cfRule>
  </conditionalFormatting>
  <conditionalFormatting sqref="H522:I522">
    <cfRule type="expression" dxfId="761" priority="4150">
      <formula>$BC522="YES"</formula>
    </cfRule>
  </conditionalFormatting>
  <conditionalFormatting sqref="H523:I524">
    <cfRule type="expression" dxfId="760" priority="4151">
      <formula>$BC523="YES"</formula>
    </cfRule>
  </conditionalFormatting>
  <conditionalFormatting sqref="H525:I525">
    <cfRule type="expression" dxfId="759" priority="4152">
      <formula>$BC525="YES"</formula>
    </cfRule>
  </conditionalFormatting>
  <conditionalFormatting sqref="L526:M527">
    <cfRule type="expression" dxfId="758" priority="4153">
      <formula>$BC526="YES"</formula>
    </cfRule>
  </conditionalFormatting>
  <conditionalFormatting sqref="J526:K527">
    <cfRule type="expression" dxfId="757" priority="4154">
      <formula>$BC526="YES"</formula>
    </cfRule>
  </conditionalFormatting>
  <conditionalFormatting sqref="L528:M529">
    <cfRule type="expression" dxfId="756" priority="4155">
      <formula>$BC528="YES"</formula>
    </cfRule>
  </conditionalFormatting>
  <conditionalFormatting sqref="J528:K529">
    <cfRule type="expression" dxfId="755" priority="4156">
      <formula>$BC528="YES"</formula>
    </cfRule>
  </conditionalFormatting>
  <conditionalFormatting sqref="H526:I526">
    <cfRule type="expression" dxfId="754" priority="4157">
      <formula>$BC526="YES"</formula>
    </cfRule>
  </conditionalFormatting>
  <conditionalFormatting sqref="H527:I528">
    <cfRule type="expression" dxfId="753" priority="4158">
      <formula>$BC527="YES"</formula>
    </cfRule>
  </conditionalFormatting>
  <conditionalFormatting sqref="H529:I529">
    <cfRule type="expression" dxfId="752" priority="4159">
      <formula>$BC529="YES"</formula>
    </cfRule>
  </conditionalFormatting>
  <conditionalFormatting sqref="L530:M531">
    <cfRule type="expression" dxfId="751" priority="4160">
      <formula>$BC530="YES"</formula>
    </cfRule>
  </conditionalFormatting>
  <conditionalFormatting sqref="J530:K531">
    <cfRule type="expression" dxfId="750" priority="4161">
      <formula>$BC530="YES"</formula>
    </cfRule>
  </conditionalFormatting>
  <conditionalFormatting sqref="L532:M533">
    <cfRule type="expression" dxfId="749" priority="4162">
      <formula>$BC532="YES"</formula>
    </cfRule>
  </conditionalFormatting>
  <conditionalFormatting sqref="J532:K533">
    <cfRule type="expression" dxfId="748" priority="4163">
      <formula>$BC532="YES"</formula>
    </cfRule>
  </conditionalFormatting>
  <conditionalFormatting sqref="H530:I530">
    <cfRule type="expression" dxfId="747" priority="4164">
      <formula>$BC530="YES"</formula>
    </cfRule>
  </conditionalFormatting>
  <conditionalFormatting sqref="H531:I532">
    <cfRule type="expression" dxfId="746" priority="4165">
      <formula>$BC531="YES"</formula>
    </cfRule>
  </conditionalFormatting>
  <conditionalFormatting sqref="H533:I533">
    <cfRule type="expression" dxfId="745" priority="4166">
      <formula>$BC533="YES"</formula>
    </cfRule>
  </conditionalFormatting>
  <conditionalFormatting sqref="L534:M535">
    <cfRule type="expression" dxfId="744" priority="4167">
      <formula>$BC534="YES"</formula>
    </cfRule>
  </conditionalFormatting>
  <conditionalFormatting sqref="J534:K535">
    <cfRule type="expression" dxfId="743" priority="4168">
      <formula>$BC534="YES"</formula>
    </cfRule>
  </conditionalFormatting>
  <conditionalFormatting sqref="L536:M537">
    <cfRule type="expression" dxfId="742" priority="4169">
      <formula>$BC536="YES"</formula>
    </cfRule>
  </conditionalFormatting>
  <conditionalFormatting sqref="J536:K537">
    <cfRule type="expression" dxfId="741" priority="4170">
      <formula>$BC536="YES"</formula>
    </cfRule>
  </conditionalFormatting>
  <conditionalFormatting sqref="H534:I534">
    <cfRule type="expression" dxfId="740" priority="4171">
      <formula>$BC534="YES"</formula>
    </cfRule>
  </conditionalFormatting>
  <conditionalFormatting sqref="H535:I536">
    <cfRule type="expression" dxfId="739" priority="4172">
      <formula>$BC535="YES"</formula>
    </cfRule>
  </conditionalFormatting>
  <conditionalFormatting sqref="H537:I537">
    <cfRule type="expression" dxfId="738" priority="4173">
      <formula>$BC537="YES"</formula>
    </cfRule>
  </conditionalFormatting>
  <conditionalFormatting sqref="L538:M539">
    <cfRule type="expression" dxfId="737" priority="4174">
      <formula>$BC538="YES"</formula>
    </cfRule>
  </conditionalFormatting>
  <conditionalFormatting sqref="J538:K539">
    <cfRule type="expression" dxfId="736" priority="4175">
      <formula>$BC538="YES"</formula>
    </cfRule>
  </conditionalFormatting>
  <conditionalFormatting sqref="L540:M541">
    <cfRule type="expression" dxfId="735" priority="4176">
      <formula>$BC540="YES"</formula>
    </cfRule>
  </conditionalFormatting>
  <conditionalFormatting sqref="J540:K541">
    <cfRule type="expression" dxfId="734" priority="4177">
      <formula>$BC540="YES"</formula>
    </cfRule>
  </conditionalFormatting>
  <conditionalFormatting sqref="H538:I538">
    <cfRule type="expression" dxfId="733" priority="4178">
      <formula>$BC538="YES"</formula>
    </cfRule>
  </conditionalFormatting>
  <conditionalFormatting sqref="H539:I540">
    <cfRule type="expression" dxfId="732" priority="4179">
      <formula>$BC539="YES"</formula>
    </cfRule>
  </conditionalFormatting>
  <conditionalFormatting sqref="H541:I541">
    <cfRule type="expression" dxfId="731" priority="4180">
      <formula>$BC541="YES"</formula>
    </cfRule>
  </conditionalFormatting>
  <conditionalFormatting sqref="L542:M543">
    <cfRule type="expression" dxfId="730" priority="4181">
      <formula>$BC542="YES"</formula>
    </cfRule>
  </conditionalFormatting>
  <conditionalFormatting sqref="J542:K543">
    <cfRule type="expression" dxfId="729" priority="4182">
      <formula>$BC542="YES"</formula>
    </cfRule>
  </conditionalFormatting>
  <conditionalFormatting sqref="L544:M545">
    <cfRule type="expression" dxfId="728" priority="4183">
      <formula>$BC544="YES"</formula>
    </cfRule>
  </conditionalFormatting>
  <conditionalFormatting sqref="J544:K545">
    <cfRule type="expression" dxfId="727" priority="4184">
      <formula>$BC544="YES"</formula>
    </cfRule>
  </conditionalFormatting>
  <conditionalFormatting sqref="H542:I542">
    <cfRule type="expression" dxfId="726" priority="4185">
      <formula>$BC542="YES"</formula>
    </cfRule>
  </conditionalFormatting>
  <conditionalFormatting sqref="H543:I544">
    <cfRule type="expression" dxfId="725" priority="4186">
      <formula>$BC543="YES"</formula>
    </cfRule>
  </conditionalFormatting>
  <conditionalFormatting sqref="H545:I545">
    <cfRule type="expression" dxfId="724" priority="4187">
      <formula>$BC545="YES"</formula>
    </cfRule>
  </conditionalFormatting>
  <conditionalFormatting sqref="L546:M547">
    <cfRule type="expression" dxfId="723" priority="4188">
      <formula>$BC546="YES"</formula>
    </cfRule>
  </conditionalFormatting>
  <conditionalFormatting sqref="J546:K547">
    <cfRule type="expression" dxfId="722" priority="4189">
      <formula>$BC546="YES"</formula>
    </cfRule>
  </conditionalFormatting>
  <conditionalFormatting sqref="L548:M549">
    <cfRule type="expression" dxfId="721" priority="4190">
      <formula>$BC548="YES"</formula>
    </cfRule>
  </conditionalFormatting>
  <conditionalFormatting sqref="J548:K549">
    <cfRule type="expression" dxfId="720" priority="4191">
      <formula>$BC548="YES"</formula>
    </cfRule>
  </conditionalFormatting>
  <conditionalFormatting sqref="H546:I546">
    <cfRule type="expression" dxfId="719" priority="4192">
      <formula>$BC546="YES"</formula>
    </cfRule>
  </conditionalFormatting>
  <conditionalFormatting sqref="H547:I548">
    <cfRule type="expression" dxfId="718" priority="4193">
      <formula>$BC547="YES"</formula>
    </cfRule>
  </conditionalFormatting>
  <conditionalFormatting sqref="H549:I549">
    <cfRule type="expression" dxfId="717" priority="4194">
      <formula>$BC549="YES"</formula>
    </cfRule>
  </conditionalFormatting>
  <conditionalFormatting sqref="L550:M551">
    <cfRule type="expression" dxfId="716" priority="4195">
      <formula>$BC550="YES"</formula>
    </cfRule>
  </conditionalFormatting>
  <conditionalFormatting sqref="J550:K551">
    <cfRule type="expression" dxfId="715" priority="4196">
      <formula>$BC550="YES"</formula>
    </cfRule>
  </conditionalFormatting>
  <conditionalFormatting sqref="L552:M553">
    <cfRule type="expression" dxfId="714" priority="4197">
      <formula>$BC552="YES"</formula>
    </cfRule>
  </conditionalFormatting>
  <conditionalFormatting sqref="J552:K553">
    <cfRule type="expression" dxfId="713" priority="4198">
      <formula>$BC552="YES"</formula>
    </cfRule>
  </conditionalFormatting>
  <conditionalFormatting sqref="H550:I550">
    <cfRule type="expression" dxfId="712" priority="4199">
      <formula>$BC550="YES"</formula>
    </cfRule>
  </conditionalFormatting>
  <conditionalFormatting sqref="H551:I552">
    <cfRule type="expression" dxfId="711" priority="4200">
      <formula>$BC551="YES"</formula>
    </cfRule>
  </conditionalFormatting>
  <conditionalFormatting sqref="H553:I553">
    <cfRule type="expression" dxfId="710" priority="4201">
      <formula>$BC553="YES"</formula>
    </cfRule>
  </conditionalFormatting>
  <conditionalFormatting sqref="L554:M555">
    <cfRule type="expression" dxfId="709" priority="4202">
      <formula>$BC554="YES"</formula>
    </cfRule>
  </conditionalFormatting>
  <conditionalFormatting sqref="J554:K555">
    <cfRule type="expression" dxfId="708" priority="4203">
      <formula>$BC554="YES"</formula>
    </cfRule>
  </conditionalFormatting>
  <conditionalFormatting sqref="L556:M557">
    <cfRule type="expression" dxfId="707" priority="4204">
      <formula>$BC556="YES"</formula>
    </cfRule>
  </conditionalFormatting>
  <conditionalFormatting sqref="J556:K557">
    <cfRule type="expression" dxfId="706" priority="4205">
      <formula>$BC556="YES"</formula>
    </cfRule>
  </conditionalFormatting>
  <conditionalFormatting sqref="H554:I554">
    <cfRule type="expression" dxfId="705" priority="4206">
      <formula>$BC554="YES"</formula>
    </cfRule>
  </conditionalFormatting>
  <conditionalFormatting sqref="H555:I556">
    <cfRule type="expression" dxfId="704" priority="4207">
      <formula>$BC555="YES"</formula>
    </cfRule>
  </conditionalFormatting>
  <conditionalFormatting sqref="H557:I557">
    <cfRule type="expression" dxfId="703" priority="4208">
      <formula>$BC557="YES"</formula>
    </cfRule>
  </conditionalFormatting>
  <conditionalFormatting sqref="L558:M559">
    <cfRule type="expression" dxfId="702" priority="4209">
      <formula>$BC558="YES"</formula>
    </cfRule>
  </conditionalFormatting>
  <conditionalFormatting sqref="J558:K559">
    <cfRule type="expression" dxfId="701" priority="4210">
      <formula>$BC558="YES"</formula>
    </cfRule>
  </conditionalFormatting>
  <conditionalFormatting sqref="L560:M561">
    <cfRule type="expression" dxfId="700" priority="4211">
      <formula>$BC560="YES"</formula>
    </cfRule>
  </conditionalFormatting>
  <conditionalFormatting sqref="J560:K561">
    <cfRule type="expression" dxfId="699" priority="4212">
      <formula>$BC560="YES"</formula>
    </cfRule>
  </conditionalFormatting>
  <conditionalFormatting sqref="H558:I558">
    <cfRule type="expression" dxfId="698" priority="4213">
      <formula>$BC558="YES"</formula>
    </cfRule>
  </conditionalFormatting>
  <conditionalFormatting sqref="H559:I560">
    <cfRule type="expression" dxfId="697" priority="4214">
      <formula>$BC559="YES"</formula>
    </cfRule>
  </conditionalFormatting>
  <conditionalFormatting sqref="H561:I561">
    <cfRule type="expression" dxfId="696" priority="4215">
      <formula>$BC561="YES"</formula>
    </cfRule>
  </conditionalFormatting>
  <conditionalFormatting sqref="L562:M563">
    <cfRule type="expression" dxfId="695" priority="4216">
      <formula>$BC562="YES"</formula>
    </cfRule>
  </conditionalFormatting>
  <conditionalFormatting sqref="J562:K563">
    <cfRule type="expression" dxfId="694" priority="4217">
      <formula>$BC562="YES"</formula>
    </cfRule>
  </conditionalFormatting>
  <conditionalFormatting sqref="L564:M565">
    <cfRule type="expression" dxfId="693" priority="4218">
      <formula>$BC564="YES"</formula>
    </cfRule>
  </conditionalFormatting>
  <conditionalFormatting sqref="J564:K565">
    <cfRule type="expression" dxfId="692" priority="4219">
      <formula>$BC564="YES"</formula>
    </cfRule>
  </conditionalFormatting>
  <conditionalFormatting sqref="H562:I562">
    <cfRule type="expression" dxfId="691" priority="4220">
      <formula>$BC562="YES"</formula>
    </cfRule>
  </conditionalFormatting>
  <conditionalFormatting sqref="H563:I564">
    <cfRule type="expression" dxfId="690" priority="4221">
      <formula>$BC563="YES"</formula>
    </cfRule>
  </conditionalFormatting>
  <conditionalFormatting sqref="H565:I565">
    <cfRule type="expression" dxfId="689" priority="4222">
      <formula>$BC565="YES"</formula>
    </cfRule>
  </conditionalFormatting>
  <conditionalFormatting sqref="L566:M567">
    <cfRule type="expression" dxfId="688" priority="4223">
      <formula>$BC566="YES"</formula>
    </cfRule>
  </conditionalFormatting>
  <conditionalFormatting sqref="J566:K567">
    <cfRule type="expression" dxfId="687" priority="4224">
      <formula>$BC566="YES"</formula>
    </cfRule>
  </conditionalFormatting>
  <conditionalFormatting sqref="L568:M569">
    <cfRule type="expression" dxfId="686" priority="4225">
      <formula>$BC568="YES"</formula>
    </cfRule>
  </conditionalFormatting>
  <conditionalFormatting sqref="J568:K569">
    <cfRule type="expression" dxfId="685" priority="4226">
      <formula>$BC568="YES"</formula>
    </cfRule>
  </conditionalFormatting>
  <conditionalFormatting sqref="H566:I566">
    <cfRule type="expression" dxfId="684" priority="4227">
      <formula>$BC566="YES"</formula>
    </cfRule>
  </conditionalFormatting>
  <conditionalFormatting sqref="H567:I568">
    <cfRule type="expression" dxfId="683" priority="4228">
      <formula>$BC567="YES"</formula>
    </cfRule>
  </conditionalFormatting>
  <conditionalFormatting sqref="H569:I569">
    <cfRule type="expression" dxfId="682" priority="4229">
      <formula>$BC569="YES"</formula>
    </cfRule>
  </conditionalFormatting>
  <conditionalFormatting sqref="L570:M571">
    <cfRule type="expression" dxfId="681" priority="4230">
      <formula>$BC570="YES"</formula>
    </cfRule>
  </conditionalFormatting>
  <conditionalFormatting sqref="J570:K571">
    <cfRule type="expression" dxfId="680" priority="4231">
      <formula>$BC570="YES"</formula>
    </cfRule>
  </conditionalFormatting>
  <conditionalFormatting sqref="L572:M573">
    <cfRule type="expression" dxfId="679" priority="4232">
      <formula>$BC572="YES"</formula>
    </cfRule>
  </conditionalFormatting>
  <conditionalFormatting sqref="J572:K573">
    <cfRule type="expression" dxfId="678" priority="4233">
      <formula>$BC572="YES"</formula>
    </cfRule>
  </conditionalFormatting>
  <conditionalFormatting sqref="H570:I570">
    <cfRule type="expression" dxfId="677" priority="4234">
      <formula>$BC570="YES"</formula>
    </cfRule>
  </conditionalFormatting>
  <conditionalFormatting sqref="H571:I572">
    <cfRule type="expression" dxfId="676" priority="4235">
      <formula>$BC571="YES"</formula>
    </cfRule>
  </conditionalFormatting>
  <conditionalFormatting sqref="H573:I573">
    <cfRule type="expression" dxfId="675" priority="4236">
      <formula>$BC573="YES"</formula>
    </cfRule>
  </conditionalFormatting>
  <conditionalFormatting sqref="L574:M575">
    <cfRule type="expression" dxfId="674" priority="4237">
      <formula>$BC574="YES"</formula>
    </cfRule>
  </conditionalFormatting>
  <conditionalFormatting sqref="J574:K575">
    <cfRule type="expression" dxfId="673" priority="4238">
      <formula>$BC574="YES"</formula>
    </cfRule>
  </conditionalFormatting>
  <conditionalFormatting sqref="L576:M577">
    <cfRule type="expression" dxfId="672" priority="4239">
      <formula>$BC576="YES"</formula>
    </cfRule>
  </conditionalFormatting>
  <conditionalFormatting sqref="J576:K577">
    <cfRule type="expression" dxfId="671" priority="4240">
      <formula>$BC576="YES"</formula>
    </cfRule>
  </conditionalFormatting>
  <conditionalFormatting sqref="H574:I574">
    <cfRule type="expression" dxfId="670" priority="4241">
      <formula>$BC574="YES"</formula>
    </cfRule>
  </conditionalFormatting>
  <conditionalFormatting sqref="H575:I576">
    <cfRule type="expression" dxfId="669" priority="4242">
      <formula>$BC575="YES"</formula>
    </cfRule>
  </conditionalFormatting>
  <conditionalFormatting sqref="H577:I577">
    <cfRule type="expression" dxfId="668" priority="4243">
      <formula>$BC577="YES"</formula>
    </cfRule>
  </conditionalFormatting>
  <conditionalFormatting sqref="L578:M579">
    <cfRule type="expression" dxfId="667" priority="4244">
      <formula>$BC578="YES"</formula>
    </cfRule>
  </conditionalFormatting>
  <conditionalFormatting sqref="J578:K579">
    <cfRule type="expression" dxfId="666" priority="4245">
      <formula>$BC578="YES"</formula>
    </cfRule>
  </conditionalFormatting>
  <conditionalFormatting sqref="L580:M581">
    <cfRule type="expression" dxfId="665" priority="4246">
      <formula>$BC580="YES"</formula>
    </cfRule>
  </conditionalFormatting>
  <conditionalFormatting sqref="J580:K581">
    <cfRule type="expression" dxfId="664" priority="4247">
      <formula>$BC580="YES"</formula>
    </cfRule>
  </conditionalFormatting>
  <conditionalFormatting sqref="H578:I578">
    <cfRule type="expression" dxfId="663" priority="4248">
      <formula>$BC578="YES"</formula>
    </cfRule>
  </conditionalFormatting>
  <conditionalFormatting sqref="H579:I580">
    <cfRule type="expression" dxfId="662" priority="4249">
      <formula>$BC579="YES"</formula>
    </cfRule>
  </conditionalFormatting>
  <conditionalFormatting sqref="H581:I581">
    <cfRule type="expression" dxfId="661" priority="4250">
      <formula>$BC581="YES"</formula>
    </cfRule>
  </conditionalFormatting>
  <conditionalFormatting sqref="L582:M583">
    <cfRule type="expression" dxfId="660" priority="4251">
      <formula>$BC582="YES"</formula>
    </cfRule>
  </conditionalFormatting>
  <conditionalFormatting sqref="J582:K583">
    <cfRule type="expression" dxfId="659" priority="4252">
      <formula>$BC582="YES"</formula>
    </cfRule>
  </conditionalFormatting>
  <conditionalFormatting sqref="L584:M585">
    <cfRule type="expression" dxfId="658" priority="4253">
      <formula>$BC584="YES"</formula>
    </cfRule>
  </conditionalFormatting>
  <conditionalFormatting sqref="J584:K585">
    <cfRule type="expression" dxfId="657" priority="4254">
      <formula>$BC584="YES"</formula>
    </cfRule>
  </conditionalFormatting>
  <conditionalFormatting sqref="H582:I582">
    <cfRule type="expression" dxfId="656" priority="4255">
      <formula>$BC582="YES"</formula>
    </cfRule>
  </conditionalFormatting>
  <conditionalFormatting sqref="H583:I584">
    <cfRule type="expression" dxfId="655" priority="4256">
      <formula>$BC583="YES"</formula>
    </cfRule>
  </conditionalFormatting>
  <conditionalFormatting sqref="H585:I585">
    <cfRule type="expression" dxfId="654" priority="4257">
      <formula>$BC585="YES"</formula>
    </cfRule>
  </conditionalFormatting>
  <conditionalFormatting sqref="L586:M587">
    <cfRule type="expression" dxfId="653" priority="4258">
      <formula>$BC586="YES"</formula>
    </cfRule>
  </conditionalFormatting>
  <conditionalFormatting sqref="J586:K587">
    <cfRule type="expression" dxfId="652" priority="4259">
      <formula>$BC586="YES"</formula>
    </cfRule>
  </conditionalFormatting>
  <conditionalFormatting sqref="L588:M589">
    <cfRule type="expression" dxfId="651" priority="4260">
      <formula>$BC588="YES"</formula>
    </cfRule>
  </conditionalFormatting>
  <conditionalFormatting sqref="J588:K589">
    <cfRule type="expression" dxfId="650" priority="4261">
      <formula>$BC588="YES"</formula>
    </cfRule>
  </conditionalFormatting>
  <conditionalFormatting sqref="H586:I586">
    <cfRule type="expression" dxfId="649" priority="4262">
      <formula>$BC586="YES"</formula>
    </cfRule>
  </conditionalFormatting>
  <conditionalFormatting sqref="H587:I588">
    <cfRule type="expression" dxfId="648" priority="4263">
      <formula>$BC587="YES"</formula>
    </cfRule>
  </conditionalFormatting>
  <conditionalFormatting sqref="H589:I589">
    <cfRule type="expression" dxfId="647" priority="4264">
      <formula>$BC589="YES"</formula>
    </cfRule>
  </conditionalFormatting>
  <conditionalFormatting sqref="L590:M591">
    <cfRule type="expression" dxfId="646" priority="4265">
      <formula>$BC590="YES"</formula>
    </cfRule>
  </conditionalFormatting>
  <conditionalFormatting sqref="J590:K591">
    <cfRule type="expression" dxfId="645" priority="4266">
      <formula>$BC590="YES"</formula>
    </cfRule>
  </conditionalFormatting>
  <conditionalFormatting sqref="L592:M593">
    <cfRule type="expression" dxfId="644" priority="4267">
      <formula>$BC592="YES"</formula>
    </cfRule>
  </conditionalFormatting>
  <conditionalFormatting sqref="J592:K593">
    <cfRule type="expression" dxfId="643" priority="4268">
      <formula>$BC592="YES"</formula>
    </cfRule>
  </conditionalFormatting>
  <conditionalFormatting sqref="H590:I590">
    <cfRule type="expression" dxfId="642" priority="4269">
      <formula>$BC590="YES"</formula>
    </cfRule>
  </conditionalFormatting>
  <conditionalFormatting sqref="H591:I592">
    <cfRule type="expression" dxfId="641" priority="4270">
      <formula>$BC591="YES"</formula>
    </cfRule>
  </conditionalFormatting>
  <conditionalFormatting sqref="H593:I593">
    <cfRule type="expression" dxfId="640" priority="4271">
      <formula>$BC593="YES"</formula>
    </cfRule>
  </conditionalFormatting>
  <conditionalFormatting sqref="L594:M595">
    <cfRule type="expression" dxfId="639" priority="4272">
      <formula>$BC594="YES"</formula>
    </cfRule>
  </conditionalFormatting>
  <conditionalFormatting sqref="J594:K595">
    <cfRule type="expression" dxfId="638" priority="4273">
      <formula>$BC594="YES"</formula>
    </cfRule>
  </conditionalFormatting>
  <conditionalFormatting sqref="L596:M597">
    <cfRule type="expression" dxfId="637" priority="4274">
      <formula>$BC596="YES"</formula>
    </cfRule>
  </conditionalFormatting>
  <conditionalFormatting sqref="J596:K597">
    <cfRule type="expression" dxfId="636" priority="4275">
      <formula>$BC596="YES"</formula>
    </cfRule>
  </conditionalFormatting>
  <conditionalFormatting sqref="H594:I594">
    <cfRule type="expression" dxfId="635" priority="4276">
      <formula>$BC594="YES"</formula>
    </cfRule>
  </conditionalFormatting>
  <conditionalFormatting sqref="H595:I596">
    <cfRule type="expression" dxfId="634" priority="4277">
      <formula>$BC595="YES"</formula>
    </cfRule>
  </conditionalFormatting>
  <conditionalFormatting sqref="H597:I597">
    <cfRule type="expression" dxfId="633" priority="4278">
      <formula>$BC597="YES"</formula>
    </cfRule>
  </conditionalFormatting>
  <conditionalFormatting sqref="L598:M599">
    <cfRule type="expression" dxfId="632" priority="4279">
      <formula>$BC598="YES"</formula>
    </cfRule>
  </conditionalFormatting>
  <conditionalFormatting sqref="J598:K599">
    <cfRule type="expression" dxfId="631" priority="4280">
      <formula>$BC598="YES"</formula>
    </cfRule>
  </conditionalFormatting>
  <conditionalFormatting sqref="L600:M601">
    <cfRule type="expression" dxfId="630" priority="4281">
      <formula>$BC600="YES"</formula>
    </cfRule>
  </conditionalFormatting>
  <conditionalFormatting sqref="J600:K601">
    <cfRule type="expression" dxfId="629" priority="4282">
      <formula>$BC600="YES"</formula>
    </cfRule>
  </conditionalFormatting>
  <conditionalFormatting sqref="H598:I598">
    <cfRule type="expression" dxfId="628" priority="4283">
      <formula>$BC598="YES"</formula>
    </cfRule>
  </conditionalFormatting>
  <conditionalFormatting sqref="H599:I600">
    <cfRule type="expression" dxfId="627" priority="4284">
      <formula>$BC599="YES"</formula>
    </cfRule>
  </conditionalFormatting>
  <conditionalFormatting sqref="H601:I601">
    <cfRule type="expression" dxfId="626" priority="4285">
      <formula>$BC601="YES"</formula>
    </cfRule>
  </conditionalFormatting>
  <conditionalFormatting sqref="L602:M603">
    <cfRule type="expression" dxfId="625" priority="4286">
      <formula>$BC602="YES"</formula>
    </cfRule>
  </conditionalFormatting>
  <conditionalFormatting sqref="J602:K603">
    <cfRule type="expression" dxfId="624" priority="4287">
      <formula>$BC602="YES"</formula>
    </cfRule>
  </conditionalFormatting>
  <conditionalFormatting sqref="L604:M605">
    <cfRule type="expression" dxfId="623" priority="4288">
      <formula>$BC604="YES"</formula>
    </cfRule>
  </conditionalFormatting>
  <conditionalFormatting sqref="J604:K605">
    <cfRule type="expression" dxfId="622" priority="4289">
      <formula>$BC604="YES"</formula>
    </cfRule>
  </conditionalFormatting>
  <conditionalFormatting sqref="H602:I602">
    <cfRule type="expression" dxfId="621" priority="4290">
      <formula>$BC602="YES"</formula>
    </cfRule>
  </conditionalFormatting>
  <conditionalFormatting sqref="H603:I604">
    <cfRule type="expression" dxfId="620" priority="4291">
      <formula>$BC603="YES"</formula>
    </cfRule>
  </conditionalFormatting>
  <conditionalFormatting sqref="H605:I605">
    <cfRule type="expression" dxfId="619" priority="4292">
      <formula>$BC605="YES"</formula>
    </cfRule>
  </conditionalFormatting>
  <conditionalFormatting sqref="L606:M607">
    <cfRule type="expression" dxfId="618" priority="4293">
      <formula>$BC606="YES"</formula>
    </cfRule>
  </conditionalFormatting>
  <conditionalFormatting sqref="J606:K607">
    <cfRule type="expression" dxfId="617" priority="4294">
      <formula>$BC606="YES"</formula>
    </cfRule>
  </conditionalFormatting>
  <conditionalFormatting sqref="L608:M609">
    <cfRule type="expression" dxfId="616" priority="4295">
      <formula>$BC608="YES"</formula>
    </cfRule>
  </conditionalFormatting>
  <conditionalFormatting sqref="J608:K609">
    <cfRule type="expression" dxfId="615" priority="4296">
      <formula>$BC608="YES"</formula>
    </cfRule>
  </conditionalFormatting>
  <conditionalFormatting sqref="H606:I606">
    <cfRule type="expression" dxfId="614" priority="4297">
      <formula>$BC606="YES"</formula>
    </cfRule>
  </conditionalFormatting>
  <conditionalFormatting sqref="H607:I608">
    <cfRule type="expression" dxfId="613" priority="4298">
      <formula>$BC607="YES"</formula>
    </cfRule>
  </conditionalFormatting>
  <conditionalFormatting sqref="H609:I609">
    <cfRule type="expression" dxfId="612" priority="4299">
      <formula>$BC609="YES"</formula>
    </cfRule>
  </conditionalFormatting>
  <conditionalFormatting sqref="L610:M610">
    <cfRule type="expression" dxfId="611" priority="4300">
      <formula>$BC610="YES"</formula>
    </cfRule>
  </conditionalFormatting>
  <conditionalFormatting sqref="J610:K610">
    <cfRule type="expression" dxfId="610" priority="4301">
      <formula>$BC610="YES"</formula>
    </cfRule>
  </conditionalFormatting>
  <conditionalFormatting sqref="H610:I610">
    <cfRule type="expression" dxfId="609" priority="4302">
      <formula>$BC610="YES"</formula>
    </cfRule>
  </conditionalFormatting>
  <conditionalFormatting sqref="F711:F908 H611:I630 L611:M612 L625:M803 L806:M807">
    <cfRule type="expression" dxfId="608" priority="4303">
      <formula>$BC611="YES"</formula>
    </cfRule>
  </conditionalFormatting>
  <conditionalFormatting sqref="F804:F806">
    <cfRule type="expression" dxfId="607" priority="4304">
      <formula>$BC804="YES"</formula>
    </cfRule>
  </conditionalFormatting>
  <conditionalFormatting sqref="L613:M614">
    <cfRule type="expression" dxfId="606" priority="4305">
      <formula>$BC613="YES"</formula>
    </cfRule>
  </conditionalFormatting>
  <conditionalFormatting sqref="L615:M616">
    <cfRule type="expression" dxfId="605" priority="4306">
      <formula>$BC615="YES"</formula>
    </cfRule>
  </conditionalFormatting>
  <conditionalFormatting sqref="L617:M618">
    <cfRule type="expression" dxfId="604" priority="4307">
      <formula>$BC617="YES"</formula>
    </cfRule>
  </conditionalFormatting>
  <conditionalFormatting sqref="L619:M620">
    <cfRule type="expression" dxfId="603" priority="4308">
      <formula>$BC619="YES"</formula>
    </cfRule>
  </conditionalFormatting>
  <conditionalFormatting sqref="L621:M622">
    <cfRule type="expression" dxfId="602" priority="4309">
      <formula>$BC621="YES"</formula>
    </cfRule>
  </conditionalFormatting>
  <conditionalFormatting sqref="L623:M624">
    <cfRule type="expression" dxfId="601" priority="4310">
      <formula>$BC623="YES"</formula>
    </cfRule>
  </conditionalFormatting>
  <conditionalFormatting sqref="J611:K612 J625:K803 J806:K807">
    <cfRule type="expression" dxfId="600" priority="4311">
      <formula>$BC611="YES"</formula>
    </cfRule>
  </conditionalFormatting>
  <conditionalFormatting sqref="J613:K614">
    <cfRule type="expression" dxfId="599" priority="4312">
      <formula>$BC613="YES"</formula>
    </cfRule>
  </conditionalFormatting>
  <conditionalFormatting sqref="J615:K616">
    <cfRule type="expression" dxfId="598" priority="4313">
      <formula>$BC615="YES"</formula>
    </cfRule>
  </conditionalFormatting>
  <conditionalFormatting sqref="J617:K618">
    <cfRule type="expression" dxfId="597" priority="4314">
      <formula>$BC617="YES"</formula>
    </cfRule>
  </conditionalFormatting>
  <conditionalFormatting sqref="J619:K620">
    <cfRule type="expression" dxfId="596" priority="4315">
      <formula>$BC619="YES"</formula>
    </cfRule>
  </conditionalFormatting>
  <conditionalFormatting sqref="J621:K622">
    <cfRule type="expression" dxfId="595" priority="4316">
      <formula>$BC621="YES"</formula>
    </cfRule>
  </conditionalFormatting>
  <conditionalFormatting sqref="J623:K624">
    <cfRule type="expression" dxfId="594" priority="4317">
      <formula>$BC623="YES"</formula>
    </cfRule>
  </conditionalFormatting>
  <conditionalFormatting sqref="F611:F710">
    <cfRule type="expression" dxfId="593" priority="4318">
      <formula>$BC611="YES"</formula>
    </cfRule>
  </conditionalFormatting>
  <conditionalFormatting sqref="H631:I640">
    <cfRule type="expression" dxfId="592" priority="4319">
      <formula>$BC631="YES"</formula>
    </cfRule>
  </conditionalFormatting>
  <conditionalFormatting sqref="H641:I650">
    <cfRule type="expression" dxfId="591" priority="4320">
      <formula>$BC641="YES"</formula>
    </cfRule>
  </conditionalFormatting>
  <conditionalFormatting sqref="H651:I660">
    <cfRule type="expression" dxfId="590" priority="4321">
      <formula>$BC651="YES"</formula>
    </cfRule>
  </conditionalFormatting>
  <conditionalFormatting sqref="H661:I670">
    <cfRule type="expression" dxfId="589" priority="4322">
      <formula>$BC661="YES"</formula>
    </cfRule>
  </conditionalFormatting>
  <conditionalFormatting sqref="H671:I680">
    <cfRule type="expression" dxfId="588" priority="4323">
      <formula>$BC671="YES"</formula>
    </cfRule>
  </conditionalFormatting>
  <conditionalFormatting sqref="H681:I690">
    <cfRule type="expression" dxfId="587" priority="4324">
      <formula>$BC681="YES"</formula>
    </cfRule>
  </conditionalFormatting>
  <conditionalFormatting sqref="H691:I700">
    <cfRule type="expression" dxfId="586" priority="4325">
      <formula>$BC691="YES"</formula>
    </cfRule>
  </conditionalFormatting>
  <conditionalFormatting sqref="H701:I710">
    <cfRule type="expression" dxfId="585" priority="4326">
      <formula>$BC701="YES"</formula>
    </cfRule>
  </conditionalFormatting>
  <conditionalFormatting sqref="H711:I720">
    <cfRule type="expression" dxfId="584" priority="4327">
      <formula>$BC711="YES"</formula>
    </cfRule>
  </conditionalFormatting>
  <conditionalFormatting sqref="H721:I730">
    <cfRule type="expression" dxfId="583" priority="4328">
      <formula>$BC721="YES"</formula>
    </cfRule>
  </conditionalFormatting>
  <conditionalFormatting sqref="H731:I740">
    <cfRule type="expression" dxfId="582" priority="4329">
      <formula>$BC731="YES"</formula>
    </cfRule>
  </conditionalFormatting>
  <conditionalFormatting sqref="H741:I750">
    <cfRule type="expression" dxfId="581" priority="4330">
      <formula>$BC741="YES"</formula>
    </cfRule>
  </conditionalFormatting>
  <conditionalFormatting sqref="H751:I760">
    <cfRule type="expression" dxfId="580" priority="4331">
      <formula>$BC751="YES"</formula>
    </cfRule>
  </conditionalFormatting>
  <conditionalFormatting sqref="H761:I770">
    <cfRule type="expression" dxfId="579" priority="4332">
      <formula>$BC761="YES"</formula>
    </cfRule>
  </conditionalFormatting>
  <conditionalFormatting sqref="H771:I780">
    <cfRule type="expression" dxfId="578" priority="4333">
      <formula>$BC771="YES"</formula>
    </cfRule>
  </conditionalFormatting>
  <conditionalFormatting sqref="H781:I790">
    <cfRule type="expression" dxfId="577" priority="4334">
      <formula>$BC781="YES"</formula>
    </cfRule>
  </conditionalFormatting>
  <conditionalFormatting sqref="H791:I800">
    <cfRule type="expression" dxfId="576" priority="4335">
      <formula>$BC791="YES"</formula>
    </cfRule>
  </conditionalFormatting>
  <conditionalFormatting sqref="H801:I810">
    <cfRule type="expression" dxfId="575" priority="4336">
      <formula>$BC801="YES"</formula>
    </cfRule>
  </conditionalFormatting>
  <conditionalFormatting sqref="L804:M804">
    <cfRule type="expression" dxfId="574" priority="4337">
      <formula>$BC804="YES"</formula>
    </cfRule>
  </conditionalFormatting>
  <conditionalFormatting sqref="J804:K804">
    <cfRule type="expression" dxfId="573" priority="4338">
      <formula>$BC804="YES"</formula>
    </cfRule>
  </conditionalFormatting>
  <conditionalFormatting sqref="L805:M805">
    <cfRule type="expression" dxfId="572" priority="4339">
      <formula>$BC805="YES"</formula>
    </cfRule>
  </conditionalFormatting>
  <conditionalFormatting sqref="J805:K805">
    <cfRule type="expression" dxfId="571" priority="4340">
      <formula>$BC805="YES"</formula>
    </cfRule>
  </conditionalFormatting>
  <conditionalFormatting sqref="L808:M809">
    <cfRule type="expression" dxfId="570" priority="4341">
      <formula>$BC808="YES"</formula>
    </cfRule>
  </conditionalFormatting>
  <conditionalFormatting sqref="J808:K809">
    <cfRule type="expression" dxfId="569" priority="4342">
      <formula>$BC808="YES"</formula>
    </cfRule>
  </conditionalFormatting>
  <conditionalFormatting sqref="L810:M811">
    <cfRule type="expression" dxfId="568" priority="4343">
      <formula>$BC810="YES"</formula>
    </cfRule>
  </conditionalFormatting>
  <conditionalFormatting sqref="J810:K811">
    <cfRule type="expression" dxfId="567" priority="4344">
      <formula>$BC810="YES"</formula>
    </cfRule>
  </conditionalFormatting>
  <conditionalFormatting sqref="L812:M813">
    <cfRule type="expression" dxfId="566" priority="4345">
      <formula>$BC812="YES"</formula>
    </cfRule>
  </conditionalFormatting>
  <conditionalFormatting sqref="J812:K813">
    <cfRule type="expression" dxfId="565" priority="4346">
      <formula>$BC812="YES"</formula>
    </cfRule>
  </conditionalFormatting>
  <conditionalFormatting sqref="L814:M815">
    <cfRule type="expression" dxfId="564" priority="4347">
      <formula>$BC814="YES"</formula>
    </cfRule>
  </conditionalFormatting>
  <conditionalFormatting sqref="J814:K815">
    <cfRule type="expression" dxfId="563" priority="4348">
      <formula>$BC814="YES"</formula>
    </cfRule>
  </conditionalFormatting>
  <conditionalFormatting sqref="H811:I812">
    <cfRule type="expression" dxfId="562" priority="4349">
      <formula>$BC811="YES"</formula>
    </cfRule>
  </conditionalFormatting>
  <conditionalFormatting sqref="H813:I814">
    <cfRule type="expression" dxfId="561" priority="4350">
      <formula>$BC813="YES"</formula>
    </cfRule>
  </conditionalFormatting>
  <conditionalFormatting sqref="H815:I815">
    <cfRule type="expression" dxfId="560" priority="4351">
      <formula>$BC815="YES"</formula>
    </cfRule>
  </conditionalFormatting>
  <conditionalFormatting sqref="L816:M817">
    <cfRule type="expression" dxfId="559" priority="4352">
      <formula>$BC816="YES"</formula>
    </cfRule>
  </conditionalFormatting>
  <conditionalFormatting sqref="J816:K817">
    <cfRule type="expression" dxfId="558" priority="4353">
      <formula>$BC816="YES"</formula>
    </cfRule>
  </conditionalFormatting>
  <conditionalFormatting sqref="L818:M819">
    <cfRule type="expression" dxfId="557" priority="4354">
      <formula>$BC818="YES"</formula>
    </cfRule>
  </conditionalFormatting>
  <conditionalFormatting sqref="J818:K819">
    <cfRule type="expression" dxfId="556" priority="4355">
      <formula>$BC818="YES"</formula>
    </cfRule>
  </conditionalFormatting>
  <conditionalFormatting sqref="H816:I816">
    <cfRule type="expression" dxfId="555" priority="4356">
      <formula>$BC816="YES"</formula>
    </cfRule>
  </conditionalFormatting>
  <conditionalFormatting sqref="H817:I818">
    <cfRule type="expression" dxfId="554" priority="4357">
      <formula>$BC817="YES"</formula>
    </cfRule>
  </conditionalFormatting>
  <conditionalFormatting sqref="H819:I819">
    <cfRule type="expression" dxfId="553" priority="4358">
      <formula>$BC819="YES"</formula>
    </cfRule>
  </conditionalFormatting>
  <conditionalFormatting sqref="L820:M821">
    <cfRule type="expression" dxfId="552" priority="4359">
      <formula>$BC820="YES"</formula>
    </cfRule>
  </conditionalFormatting>
  <conditionalFormatting sqref="J820:K821">
    <cfRule type="expression" dxfId="551" priority="4360">
      <formula>$BC820="YES"</formula>
    </cfRule>
  </conditionalFormatting>
  <conditionalFormatting sqref="L822:M823">
    <cfRule type="expression" dxfId="550" priority="4361">
      <formula>$BC822="YES"</formula>
    </cfRule>
  </conditionalFormatting>
  <conditionalFormatting sqref="J822:K823">
    <cfRule type="expression" dxfId="549" priority="4362">
      <formula>$BC822="YES"</formula>
    </cfRule>
  </conditionalFormatting>
  <conditionalFormatting sqref="H820:I820">
    <cfRule type="expression" dxfId="548" priority="4363">
      <formula>$BC820="YES"</formula>
    </cfRule>
  </conditionalFormatting>
  <conditionalFormatting sqref="H821:I822">
    <cfRule type="expression" dxfId="547" priority="4364">
      <formula>$BC821="YES"</formula>
    </cfRule>
  </conditionalFormatting>
  <conditionalFormatting sqref="H823:I823">
    <cfRule type="expression" dxfId="546" priority="4365">
      <formula>$BC823="YES"</formula>
    </cfRule>
  </conditionalFormatting>
  <conditionalFormatting sqref="L824:M825">
    <cfRule type="expression" dxfId="545" priority="4366">
      <formula>$BC824="YES"</formula>
    </cfRule>
  </conditionalFormatting>
  <conditionalFormatting sqref="J824:K825">
    <cfRule type="expression" dxfId="544" priority="4367">
      <formula>$BC824="YES"</formula>
    </cfRule>
  </conditionalFormatting>
  <conditionalFormatting sqref="L826:M827">
    <cfRule type="expression" dxfId="543" priority="4368">
      <formula>$BC826="YES"</formula>
    </cfRule>
  </conditionalFormatting>
  <conditionalFormatting sqref="J826:K827">
    <cfRule type="expression" dxfId="542" priority="4369">
      <formula>$BC826="YES"</formula>
    </cfRule>
  </conditionalFormatting>
  <conditionalFormatting sqref="H824:I824">
    <cfRule type="expression" dxfId="541" priority="4370">
      <formula>$BC824="YES"</formula>
    </cfRule>
  </conditionalFormatting>
  <conditionalFormatting sqref="H825:I826">
    <cfRule type="expression" dxfId="540" priority="4371">
      <formula>$BC825="YES"</formula>
    </cfRule>
  </conditionalFormatting>
  <conditionalFormatting sqref="H827:I827">
    <cfRule type="expression" dxfId="539" priority="4372">
      <formula>$BC827="YES"</formula>
    </cfRule>
  </conditionalFormatting>
  <conditionalFormatting sqref="L828:M829">
    <cfRule type="expression" dxfId="538" priority="4373">
      <formula>$BC828="YES"</formula>
    </cfRule>
  </conditionalFormatting>
  <conditionalFormatting sqref="J828:K829">
    <cfRule type="expression" dxfId="537" priority="4374">
      <formula>$BC828="YES"</formula>
    </cfRule>
  </conditionalFormatting>
  <conditionalFormatting sqref="L830:M831">
    <cfRule type="expression" dxfId="536" priority="4375">
      <formula>$BC830="YES"</formula>
    </cfRule>
  </conditionalFormatting>
  <conditionalFormatting sqref="J830:K831">
    <cfRule type="expression" dxfId="535" priority="4376">
      <formula>$BC830="YES"</formula>
    </cfRule>
  </conditionalFormatting>
  <conditionalFormatting sqref="H828:I828">
    <cfRule type="expression" dxfId="534" priority="4377">
      <formula>$BC828="YES"</formula>
    </cfRule>
  </conditionalFormatting>
  <conditionalFormatting sqref="H829:I830">
    <cfRule type="expression" dxfId="533" priority="4378">
      <formula>$BC829="YES"</formula>
    </cfRule>
  </conditionalFormatting>
  <conditionalFormatting sqref="H831:I831">
    <cfRule type="expression" dxfId="532" priority="4379">
      <formula>$BC831="YES"</formula>
    </cfRule>
  </conditionalFormatting>
  <conditionalFormatting sqref="L832:M833">
    <cfRule type="expression" dxfId="531" priority="4380">
      <formula>$BC832="YES"</formula>
    </cfRule>
  </conditionalFormatting>
  <conditionalFormatting sqref="J832:K833">
    <cfRule type="expression" dxfId="530" priority="4381">
      <formula>$BC832="YES"</formula>
    </cfRule>
  </conditionalFormatting>
  <conditionalFormatting sqref="L834:M835">
    <cfRule type="expression" dxfId="529" priority="4382">
      <formula>$BC834="YES"</formula>
    </cfRule>
  </conditionalFormatting>
  <conditionalFormatting sqref="J834:K835">
    <cfRule type="expression" dxfId="528" priority="4383">
      <formula>$BC834="YES"</formula>
    </cfRule>
  </conditionalFormatting>
  <conditionalFormatting sqref="H832:I832">
    <cfRule type="expression" dxfId="527" priority="4384">
      <formula>$BC832="YES"</formula>
    </cfRule>
  </conditionalFormatting>
  <conditionalFormatting sqref="H833:I834">
    <cfRule type="expression" dxfId="526" priority="4385">
      <formula>$BC833="YES"</formula>
    </cfRule>
  </conditionalFormatting>
  <conditionalFormatting sqref="H835:I835">
    <cfRule type="expression" dxfId="525" priority="4386">
      <formula>$BC835="YES"</formula>
    </cfRule>
  </conditionalFormatting>
  <conditionalFormatting sqref="L836:M837">
    <cfRule type="expression" dxfId="524" priority="4387">
      <formula>$BC836="YES"</formula>
    </cfRule>
  </conditionalFormatting>
  <conditionalFormatting sqref="J836:K837">
    <cfRule type="expression" dxfId="523" priority="4388">
      <formula>$BC836="YES"</formula>
    </cfRule>
  </conditionalFormatting>
  <conditionalFormatting sqref="L838:M839">
    <cfRule type="expression" dxfId="522" priority="4389">
      <formula>$BC838="YES"</formula>
    </cfRule>
  </conditionalFormatting>
  <conditionalFormatting sqref="J838:K839">
    <cfRule type="expression" dxfId="521" priority="4390">
      <formula>$BC838="YES"</formula>
    </cfRule>
  </conditionalFormatting>
  <conditionalFormatting sqref="H836:I836">
    <cfRule type="expression" dxfId="520" priority="4391">
      <formula>$BC836="YES"</formula>
    </cfRule>
  </conditionalFormatting>
  <conditionalFormatting sqref="H837:I838">
    <cfRule type="expression" dxfId="519" priority="4392">
      <formula>$BC837="YES"</formula>
    </cfRule>
  </conditionalFormatting>
  <conditionalFormatting sqref="H839:I839">
    <cfRule type="expression" dxfId="518" priority="4393">
      <formula>$BC839="YES"</formula>
    </cfRule>
  </conditionalFormatting>
  <conditionalFormatting sqref="L840:M841">
    <cfRule type="expression" dxfId="517" priority="4394">
      <formula>$BC840="YES"</formula>
    </cfRule>
  </conditionalFormatting>
  <conditionalFormatting sqref="J840:K841">
    <cfRule type="expression" dxfId="516" priority="4395">
      <formula>$BC840="YES"</formula>
    </cfRule>
  </conditionalFormatting>
  <conditionalFormatting sqref="L842:M843">
    <cfRule type="expression" dxfId="515" priority="4396">
      <formula>$BC842="YES"</formula>
    </cfRule>
  </conditionalFormatting>
  <conditionalFormatting sqref="J842:K843">
    <cfRule type="expression" dxfId="514" priority="4397">
      <formula>$BC842="YES"</formula>
    </cfRule>
  </conditionalFormatting>
  <conditionalFormatting sqref="H840:I840">
    <cfRule type="expression" dxfId="513" priority="4398">
      <formula>$BC840="YES"</formula>
    </cfRule>
  </conditionalFormatting>
  <conditionalFormatting sqref="H841:I842">
    <cfRule type="expression" dxfId="512" priority="4399">
      <formula>$BC841="YES"</formula>
    </cfRule>
  </conditionalFormatting>
  <conditionalFormatting sqref="H843:I843">
    <cfRule type="expression" dxfId="511" priority="4400">
      <formula>$BC843="YES"</formula>
    </cfRule>
  </conditionalFormatting>
  <conditionalFormatting sqref="L844:M845">
    <cfRule type="expression" dxfId="510" priority="4401">
      <formula>$BC844="YES"</formula>
    </cfRule>
  </conditionalFormatting>
  <conditionalFormatting sqref="J844:K845">
    <cfRule type="expression" dxfId="509" priority="4402">
      <formula>$BC844="YES"</formula>
    </cfRule>
  </conditionalFormatting>
  <conditionalFormatting sqref="L846:M847">
    <cfRule type="expression" dxfId="508" priority="4403">
      <formula>$BC846="YES"</formula>
    </cfRule>
  </conditionalFormatting>
  <conditionalFormatting sqref="J846:K847">
    <cfRule type="expression" dxfId="507" priority="4404">
      <formula>$BC846="YES"</formula>
    </cfRule>
  </conditionalFormatting>
  <conditionalFormatting sqref="H844:I844">
    <cfRule type="expression" dxfId="506" priority="4405">
      <formula>$BC844="YES"</formula>
    </cfRule>
  </conditionalFormatting>
  <conditionalFormatting sqref="H845:I846">
    <cfRule type="expression" dxfId="505" priority="4406">
      <formula>$BC845="YES"</formula>
    </cfRule>
  </conditionalFormatting>
  <conditionalFormatting sqref="H847:I847">
    <cfRule type="expression" dxfId="504" priority="4407">
      <formula>$BC847="YES"</formula>
    </cfRule>
  </conditionalFormatting>
  <conditionalFormatting sqref="L848:M849">
    <cfRule type="expression" dxfId="503" priority="4408">
      <formula>$BC848="YES"</formula>
    </cfRule>
  </conditionalFormatting>
  <conditionalFormatting sqref="J848:K849">
    <cfRule type="expression" dxfId="502" priority="4409">
      <formula>$BC848="YES"</formula>
    </cfRule>
  </conditionalFormatting>
  <conditionalFormatting sqref="L850:M851">
    <cfRule type="expression" dxfId="501" priority="4410">
      <formula>$BC850="YES"</formula>
    </cfRule>
  </conditionalFormatting>
  <conditionalFormatting sqref="J850:K851">
    <cfRule type="expression" dxfId="500" priority="4411">
      <formula>$BC850="YES"</formula>
    </cfRule>
  </conditionalFormatting>
  <conditionalFormatting sqref="H848:I848">
    <cfRule type="expression" dxfId="499" priority="4412">
      <formula>$BC848="YES"</formula>
    </cfRule>
  </conditionalFormatting>
  <conditionalFormatting sqref="H849:I850">
    <cfRule type="expression" dxfId="498" priority="4413">
      <formula>$BC849="YES"</formula>
    </cfRule>
  </conditionalFormatting>
  <conditionalFormatting sqref="H851:I851">
    <cfRule type="expression" dxfId="497" priority="4414">
      <formula>$BC851="YES"</formula>
    </cfRule>
  </conditionalFormatting>
  <conditionalFormatting sqref="L852:M853">
    <cfRule type="expression" dxfId="496" priority="4415">
      <formula>$BC852="YES"</formula>
    </cfRule>
  </conditionalFormatting>
  <conditionalFormatting sqref="J852:K853">
    <cfRule type="expression" dxfId="495" priority="4416">
      <formula>$BC852="YES"</formula>
    </cfRule>
  </conditionalFormatting>
  <conditionalFormatting sqref="L854:M855">
    <cfRule type="expression" dxfId="494" priority="4417">
      <formula>$BC854="YES"</formula>
    </cfRule>
  </conditionalFormatting>
  <conditionalFormatting sqref="J854:K855">
    <cfRule type="expression" dxfId="493" priority="4418">
      <formula>$BC854="YES"</formula>
    </cfRule>
  </conditionalFormatting>
  <conditionalFormatting sqref="H852:I852">
    <cfRule type="expression" dxfId="492" priority="4419">
      <formula>$BC852="YES"</formula>
    </cfRule>
  </conditionalFormatting>
  <conditionalFormatting sqref="H853:I854">
    <cfRule type="expression" dxfId="491" priority="4420">
      <formula>$BC853="YES"</formula>
    </cfRule>
  </conditionalFormatting>
  <conditionalFormatting sqref="H855:I855">
    <cfRule type="expression" dxfId="490" priority="4421">
      <formula>$BC855="YES"</formula>
    </cfRule>
  </conditionalFormatting>
  <conditionalFormatting sqref="L856:M857">
    <cfRule type="expression" dxfId="489" priority="4422">
      <formula>$BC856="YES"</formula>
    </cfRule>
  </conditionalFormatting>
  <conditionalFormatting sqref="J856:K857">
    <cfRule type="expression" dxfId="488" priority="4423">
      <formula>$BC856="YES"</formula>
    </cfRule>
  </conditionalFormatting>
  <conditionalFormatting sqref="L858:M859">
    <cfRule type="expression" dxfId="487" priority="4424">
      <formula>$BC858="YES"</formula>
    </cfRule>
  </conditionalFormatting>
  <conditionalFormatting sqref="J858:K859">
    <cfRule type="expression" dxfId="486" priority="4425">
      <formula>$BC858="YES"</formula>
    </cfRule>
  </conditionalFormatting>
  <conditionalFormatting sqref="H856:I856">
    <cfRule type="expression" dxfId="485" priority="4426">
      <formula>$BC856="YES"</formula>
    </cfRule>
  </conditionalFormatting>
  <conditionalFormatting sqref="H857:I858">
    <cfRule type="expression" dxfId="484" priority="4427">
      <formula>$BC857="YES"</formula>
    </cfRule>
  </conditionalFormatting>
  <conditionalFormatting sqref="H859:I859">
    <cfRule type="expression" dxfId="483" priority="4428">
      <formula>$BC859="YES"</formula>
    </cfRule>
  </conditionalFormatting>
  <conditionalFormatting sqref="L860:M861">
    <cfRule type="expression" dxfId="482" priority="4429">
      <formula>$BC860="YES"</formula>
    </cfRule>
  </conditionalFormatting>
  <conditionalFormatting sqref="J860:K861">
    <cfRule type="expression" dxfId="481" priority="4430">
      <formula>$BC860="YES"</formula>
    </cfRule>
  </conditionalFormatting>
  <conditionalFormatting sqref="L862:M863">
    <cfRule type="expression" dxfId="480" priority="4431">
      <formula>$BC862="YES"</formula>
    </cfRule>
  </conditionalFormatting>
  <conditionalFormatting sqref="J862:K863">
    <cfRule type="expression" dxfId="479" priority="4432">
      <formula>$BC862="YES"</formula>
    </cfRule>
  </conditionalFormatting>
  <conditionalFormatting sqref="H860:I860">
    <cfRule type="expression" dxfId="478" priority="4433">
      <formula>$BC860="YES"</formula>
    </cfRule>
  </conditionalFormatting>
  <conditionalFormatting sqref="H861:I862">
    <cfRule type="expression" dxfId="477" priority="4434">
      <formula>$BC861="YES"</formula>
    </cfRule>
  </conditionalFormatting>
  <conditionalFormatting sqref="H863:I863">
    <cfRule type="expression" dxfId="476" priority="4435">
      <formula>$BC863="YES"</formula>
    </cfRule>
  </conditionalFormatting>
  <conditionalFormatting sqref="L864:M865">
    <cfRule type="expression" dxfId="475" priority="4436">
      <formula>$BC864="YES"</formula>
    </cfRule>
  </conditionalFormatting>
  <conditionalFormatting sqref="J864:K865">
    <cfRule type="expression" dxfId="474" priority="4437">
      <formula>$BC864="YES"</formula>
    </cfRule>
  </conditionalFormatting>
  <conditionalFormatting sqref="L866:M867">
    <cfRule type="expression" dxfId="473" priority="4438">
      <formula>$BC866="YES"</formula>
    </cfRule>
  </conditionalFormatting>
  <conditionalFormatting sqref="J866:K867">
    <cfRule type="expression" dxfId="472" priority="4439">
      <formula>$BC866="YES"</formula>
    </cfRule>
  </conditionalFormatting>
  <conditionalFormatting sqref="H864:I864">
    <cfRule type="expression" dxfId="471" priority="4440">
      <formula>$BC864="YES"</formula>
    </cfRule>
  </conditionalFormatting>
  <conditionalFormatting sqref="H865:I866">
    <cfRule type="expression" dxfId="470" priority="4441">
      <formula>$BC865="YES"</formula>
    </cfRule>
  </conditionalFormatting>
  <conditionalFormatting sqref="H867:I867">
    <cfRule type="expression" dxfId="469" priority="4442">
      <formula>$BC867="YES"</formula>
    </cfRule>
  </conditionalFormatting>
  <conditionalFormatting sqref="L868:M869">
    <cfRule type="expression" dxfId="468" priority="4443">
      <formula>$BC868="YES"</formula>
    </cfRule>
  </conditionalFormatting>
  <conditionalFormatting sqref="J868:K869">
    <cfRule type="expression" dxfId="467" priority="4444">
      <formula>$BC868="YES"</formula>
    </cfRule>
  </conditionalFormatting>
  <conditionalFormatting sqref="L870:M871">
    <cfRule type="expression" dxfId="466" priority="4445">
      <formula>$BC870="YES"</formula>
    </cfRule>
  </conditionalFormatting>
  <conditionalFormatting sqref="J870:K871">
    <cfRule type="expression" dxfId="465" priority="4446">
      <formula>$BC870="YES"</formula>
    </cfRule>
  </conditionalFormatting>
  <conditionalFormatting sqref="H868:I868">
    <cfRule type="expression" dxfId="464" priority="4447">
      <formula>$BC868="YES"</formula>
    </cfRule>
  </conditionalFormatting>
  <conditionalFormatting sqref="H869:I870">
    <cfRule type="expression" dxfId="463" priority="4448">
      <formula>$BC869="YES"</formula>
    </cfRule>
  </conditionalFormatting>
  <conditionalFormatting sqref="H871:I871">
    <cfRule type="expression" dxfId="462" priority="4449">
      <formula>$BC871="YES"</formula>
    </cfRule>
  </conditionalFormatting>
  <conditionalFormatting sqref="L872:M873">
    <cfRule type="expression" dxfId="461" priority="4450">
      <formula>$BC872="YES"</formula>
    </cfRule>
  </conditionalFormatting>
  <conditionalFormatting sqref="J872:K873">
    <cfRule type="expression" dxfId="460" priority="4451">
      <formula>$BC872="YES"</formula>
    </cfRule>
  </conditionalFormatting>
  <conditionalFormatting sqref="L874:M875">
    <cfRule type="expression" dxfId="459" priority="4452">
      <formula>$BC874="YES"</formula>
    </cfRule>
  </conditionalFormatting>
  <conditionalFormatting sqref="J874:K875">
    <cfRule type="expression" dxfId="458" priority="4453">
      <formula>$BC874="YES"</formula>
    </cfRule>
  </conditionalFormatting>
  <conditionalFormatting sqref="H872:I872">
    <cfRule type="expression" dxfId="457" priority="4454">
      <formula>$BC872="YES"</formula>
    </cfRule>
  </conditionalFormatting>
  <conditionalFormatting sqref="H873:I874">
    <cfRule type="expression" dxfId="456" priority="4455">
      <formula>$BC873="YES"</formula>
    </cfRule>
  </conditionalFormatting>
  <conditionalFormatting sqref="H875:I875">
    <cfRule type="expression" dxfId="455" priority="4456">
      <formula>$BC875="YES"</formula>
    </cfRule>
  </conditionalFormatting>
  <conditionalFormatting sqref="L876:M877">
    <cfRule type="expression" dxfId="454" priority="4457">
      <formula>$BC876="YES"</formula>
    </cfRule>
  </conditionalFormatting>
  <conditionalFormatting sqref="J876:K877">
    <cfRule type="expression" dxfId="453" priority="4458">
      <formula>$BC876="YES"</formula>
    </cfRule>
  </conditionalFormatting>
  <conditionalFormatting sqref="L878:M879">
    <cfRule type="expression" dxfId="452" priority="4459">
      <formula>$BC878="YES"</formula>
    </cfRule>
  </conditionalFormatting>
  <conditionalFormatting sqref="J878:K879">
    <cfRule type="expression" dxfId="451" priority="4460">
      <formula>$BC878="YES"</formula>
    </cfRule>
  </conditionalFormatting>
  <conditionalFormatting sqref="H876:I876">
    <cfRule type="expression" dxfId="450" priority="4461">
      <formula>$BC876="YES"</formula>
    </cfRule>
  </conditionalFormatting>
  <conditionalFormatting sqref="H877:I878">
    <cfRule type="expression" dxfId="449" priority="4462">
      <formula>$BC877="YES"</formula>
    </cfRule>
  </conditionalFormatting>
  <conditionalFormatting sqref="H879:I879">
    <cfRule type="expression" dxfId="448" priority="4463">
      <formula>$BC879="YES"</formula>
    </cfRule>
  </conditionalFormatting>
  <conditionalFormatting sqref="L880:M881">
    <cfRule type="expression" dxfId="447" priority="4464">
      <formula>$BC880="YES"</formula>
    </cfRule>
  </conditionalFormatting>
  <conditionalFormatting sqref="J880:K881">
    <cfRule type="expression" dxfId="446" priority="4465">
      <formula>$BC880="YES"</formula>
    </cfRule>
  </conditionalFormatting>
  <conditionalFormatting sqref="L882:M883">
    <cfRule type="expression" dxfId="445" priority="4466">
      <formula>$BC882="YES"</formula>
    </cfRule>
  </conditionalFormatting>
  <conditionalFormatting sqref="J882:K883">
    <cfRule type="expression" dxfId="444" priority="4467">
      <formula>$BC882="YES"</formula>
    </cfRule>
  </conditionalFormatting>
  <conditionalFormatting sqref="H880:I880">
    <cfRule type="expression" dxfId="443" priority="4468">
      <formula>$BC880="YES"</formula>
    </cfRule>
  </conditionalFormatting>
  <conditionalFormatting sqref="H881:I882">
    <cfRule type="expression" dxfId="442" priority="4469">
      <formula>$BC881="YES"</formula>
    </cfRule>
  </conditionalFormatting>
  <conditionalFormatting sqref="H883:I883">
    <cfRule type="expression" dxfId="441" priority="4470">
      <formula>$BC883="YES"</formula>
    </cfRule>
  </conditionalFormatting>
  <conditionalFormatting sqref="L884:M885">
    <cfRule type="expression" dxfId="440" priority="4471">
      <formula>$BC884="YES"</formula>
    </cfRule>
  </conditionalFormatting>
  <conditionalFormatting sqref="J884:K885">
    <cfRule type="expression" dxfId="439" priority="4472">
      <formula>$BC884="YES"</formula>
    </cfRule>
  </conditionalFormatting>
  <conditionalFormatting sqref="L886:M887">
    <cfRule type="expression" dxfId="438" priority="4473">
      <formula>$BC886="YES"</formula>
    </cfRule>
  </conditionalFormatting>
  <conditionalFormatting sqref="J886:K887">
    <cfRule type="expression" dxfId="437" priority="4474">
      <formula>$BC886="YES"</formula>
    </cfRule>
  </conditionalFormatting>
  <conditionalFormatting sqref="H884:I884">
    <cfRule type="expression" dxfId="436" priority="4475">
      <formula>$BC884="YES"</formula>
    </cfRule>
  </conditionalFormatting>
  <conditionalFormatting sqref="H885:I886">
    <cfRule type="expression" dxfId="435" priority="4476">
      <formula>$BC885="YES"</formula>
    </cfRule>
  </conditionalFormatting>
  <conditionalFormatting sqref="H887:I887">
    <cfRule type="expression" dxfId="434" priority="4477">
      <formula>$BC887="YES"</formula>
    </cfRule>
  </conditionalFormatting>
  <conditionalFormatting sqref="L888:M889">
    <cfRule type="expression" dxfId="433" priority="4478">
      <formula>$BC888="YES"</formula>
    </cfRule>
  </conditionalFormatting>
  <conditionalFormatting sqref="J888:K889">
    <cfRule type="expression" dxfId="432" priority="4479">
      <formula>$BC888="YES"</formula>
    </cfRule>
  </conditionalFormatting>
  <conditionalFormatting sqref="L890:M891">
    <cfRule type="expression" dxfId="431" priority="4480">
      <formula>$BC890="YES"</formula>
    </cfRule>
  </conditionalFormatting>
  <conditionalFormatting sqref="J890:K891">
    <cfRule type="expression" dxfId="430" priority="4481">
      <formula>$BC890="YES"</formula>
    </cfRule>
  </conditionalFormatting>
  <conditionalFormatting sqref="H888:I888">
    <cfRule type="expression" dxfId="429" priority="4482">
      <formula>$BC888="YES"</formula>
    </cfRule>
  </conditionalFormatting>
  <conditionalFormatting sqref="H889:I890">
    <cfRule type="expression" dxfId="428" priority="4483">
      <formula>$BC889="YES"</formula>
    </cfRule>
  </conditionalFormatting>
  <conditionalFormatting sqref="H891:I891">
    <cfRule type="expression" dxfId="427" priority="4484">
      <formula>$BC891="YES"</formula>
    </cfRule>
  </conditionalFormatting>
  <conditionalFormatting sqref="L892:M893">
    <cfRule type="expression" dxfId="426" priority="4485">
      <formula>$BC892="YES"</formula>
    </cfRule>
  </conditionalFormatting>
  <conditionalFormatting sqref="J892:K893">
    <cfRule type="expression" dxfId="425" priority="4486">
      <formula>$BC892="YES"</formula>
    </cfRule>
  </conditionalFormatting>
  <conditionalFormatting sqref="L894:M895">
    <cfRule type="expression" dxfId="424" priority="4487">
      <formula>$BC894="YES"</formula>
    </cfRule>
  </conditionalFormatting>
  <conditionalFormatting sqref="J894:K895">
    <cfRule type="expression" dxfId="423" priority="4488">
      <formula>$BC894="YES"</formula>
    </cfRule>
  </conditionalFormatting>
  <conditionalFormatting sqref="H892:I892">
    <cfRule type="expression" dxfId="422" priority="4489">
      <formula>$BC892="YES"</formula>
    </cfRule>
  </conditionalFormatting>
  <conditionalFormatting sqref="H893:I894">
    <cfRule type="expression" dxfId="421" priority="4490">
      <formula>$BC893="YES"</formula>
    </cfRule>
  </conditionalFormatting>
  <conditionalFormatting sqref="H895:I895">
    <cfRule type="expression" dxfId="420" priority="4491">
      <formula>$BC895="YES"</formula>
    </cfRule>
  </conditionalFormatting>
  <conditionalFormatting sqref="L896:M897">
    <cfRule type="expression" dxfId="419" priority="4492">
      <formula>$BC896="YES"</formula>
    </cfRule>
  </conditionalFormatting>
  <conditionalFormatting sqref="J896:K897">
    <cfRule type="expression" dxfId="418" priority="4493">
      <formula>$BC896="YES"</formula>
    </cfRule>
  </conditionalFormatting>
  <conditionalFormatting sqref="L898:M899">
    <cfRule type="expression" dxfId="417" priority="4494">
      <formula>$BC898="YES"</formula>
    </cfRule>
  </conditionalFormatting>
  <conditionalFormatting sqref="J898:K899">
    <cfRule type="expression" dxfId="416" priority="4495">
      <formula>$BC898="YES"</formula>
    </cfRule>
  </conditionalFormatting>
  <conditionalFormatting sqref="H896:I896">
    <cfRule type="expression" dxfId="415" priority="4496">
      <formula>$BC896="YES"</formula>
    </cfRule>
  </conditionalFormatting>
  <conditionalFormatting sqref="H897:I898">
    <cfRule type="expression" dxfId="414" priority="4497">
      <formula>$BC897="YES"</formula>
    </cfRule>
  </conditionalFormatting>
  <conditionalFormatting sqref="H899:I899">
    <cfRule type="expression" dxfId="413" priority="4498">
      <formula>$BC899="YES"</formula>
    </cfRule>
  </conditionalFormatting>
  <conditionalFormatting sqref="L900:M901">
    <cfRule type="expression" dxfId="412" priority="4499">
      <formula>$BC900="YES"</formula>
    </cfRule>
  </conditionalFormatting>
  <conditionalFormatting sqref="J900:K901">
    <cfRule type="expression" dxfId="411" priority="4500">
      <formula>$BC900="YES"</formula>
    </cfRule>
  </conditionalFormatting>
  <conditionalFormatting sqref="L902:M903">
    <cfRule type="expression" dxfId="410" priority="4501">
      <formula>$BC902="YES"</formula>
    </cfRule>
  </conditionalFormatting>
  <conditionalFormatting sqref="J902:K903">
    <cfRule type="expression" dxfId="409" priority="4502">
      <formula>$BC902="YES"</formula>
    </cfRule>
  </conditionalFormatting>
  <conditionalFormatting sqref="H900:I900">
    <cfRule type="expression" dxfId="408" priority="4503">
      <formula>$BC900="YES"</formula>
    </cfRule>
  </conditionalFormatting>
  <conditionalFormatting sqref="H901:I902">
    <cfRule type="expression" dxfId="407" priority="4504">
      <formula>$BC901="YES"</formula>
    </cfRule>
  </conditionalFormatting>
  <conditionalFormatting sqref="H903:I903">
    <cfRule type="expression" dxfId="406" priority="4505">
      <formula>$BC903="YES"</formula>
    </cfRule>
  </conditionalFormatting>
  <conditionalFormatting sqref="L904:M905">
    <cfRule type="expression" dxfId="405" priority="4506">
      <formula>$BC904="YES"</formula>
    </cfRule>
  </conditionalFormatting>
  <conditionalFormatting sqref="J904:K905">
    <cfRule type="expression" dxfId="404" priority="4507">
      <formula>$BC904="YES"</formula>
    </cfRule>
  </conditionalFormatting>
  <conditionalFormatting sqref="L906:M907">
    <cfRule type="expression" dxfId="403" priority="4508">
      <formula>$BC906="YES"</formula>
    </cfRule>
  </conditionalFormatting>
  <conditionalFormatting sqref="J906:K907">
    <cfRule type="expression" dxfId="402" priority="4509">
      <formula>$BC906="YES"</formula>
    </cfRule>
  </conditionalFormatting>
  <conditionalFormatting sqref="H904:I904">
    <cfRule type="expression" dxfId="401" priority="4510">
      <formula>$BC904="YES"</formula>
    </cfRule>
  </conditionalFormatting>
  <conditionalFormatting sqref="H905:I906">
    <cfRule type="expression" dxfId="400" priority="4511">
      <formula>$BC905="YES"</formula>
    </cfRule>
  </conditionalFormatting>
  <conditionalFormatting sqref="H907:I907">
    <cfRule type="expression" dxfId="399" priority="4512">
      <formula>$BC907="YES"</formula>
    </cfRule>
  </conditionalFormatting>
  <conditionalFormatting sqref="L908:M908">
    <cfRule type="expression" dxfId="398" priority="4513">
      <formula>$BC908="YES"</formula>
    </cfRule>
  </conditionalFormatting>
  <conditionalFormatting sqref="J908:K908">
    <cfRule type="expression" dxfId="397" priority="4514">
      <formula>$BC908="YES"</formula>
    </cfRule>
  </conditionalFormatting>
  <conditionalFormatting sqref="H908:I908">
    <cfRule type="expression" dxfId="396" priority="4515">
      <formula>$BC908="YES"</formula>
    </cfRule>
  </conditionalFormatting>
  <conditionalFormatting sqref="F1009:F1206 H909:I928 L909:M910 L923:M1101 L1104:M1105">
    <cfRule type="expression" dxfId="395" priority="4516">
      <formula>$BC909="YES"</formula>
    </cfRule>
  </conditionalFormatting>
  <conditionalFormatting sqref="F1102:F1104">
    <cfRule type="expression" dxfId="394" priority="4517">
      <formula>$BC1102="YES"</formula>
    </cfRule>
  </conditionalFormatting>
  <conditionalFormatting sqref="L911:M912">
    <cfRule type="expression" dxfId="393" priority="4518">
      <formula>$BC911="YES"</formula>
    </cfRule>
  </conditionalFormatting>
  <conditionalFormatting sqref="L913:M914">
    <cfRule type="expression" dxfId="392" priority="4519">
      <formula>$BC913="YES"</formula>
    </cfRule>
  </conditionalFormatting>
  <conditionalFormatting sqref="L915:M916">
    <cfRule type="expression" dxfId="391" priority="4520">
      <formula>$BC915="YES"</formula>
    </cfRule>
  </conditionalFormatting>
  <conditionalFormatting sqref="L917:M918">
    <cfRule type="expression" dxfId="390" priority="4521">
      <formula>$BC917="YES"</formula>
    </cfRule>
  </conditionalFormatting>
  <conditionalFormatting sqref="L919:M920">
    <cfRule type="expression" dxfId="389" priority="4522">
      <formula>$BC919="YES"</formula>
    </cfRule>
  </conditionalFormatting>
  <conditionalFormatting sqref="L921:M922">
    <cfRule type="expression" dxfId="388" priority="4523">
      <formula>$BC921="YES"</formula>
    </cfRule>
  </conditionalFormatting>
  <conditionalFormatting sqref="J909:K910 J923:K1101 J1104:K1105">
    <cfRule type="expression" dxfId="387" priority="4524">
      <formula>$BC909="YES"</formula>
    </cfRule>
  </conditionalFormatting>
  <conditionalFormatting sqref="J911:K912">
    <cfRule type="expression" dxfId="386" priority="4525">
      <formula>$BC911="YES"</formula>
    </cfRule>
  </conditionalFormatting>
  <conditionalFormatting sqref="J913:K914">
    <cfRule type="expression" dxfId="385" priority="4526">
      <formula>$BC913="YES"</formula>
    </cfRule>
  </conditionalFormatting>
  <conditionalFormatting sqref="J915:K916">
    <cfRule type="expression" dxfId="384" priority="4527">
      <formula>$BC915="YES"</formula>
    </cfRule>
  </conditionalFormatting>
  <conditionalFormatting sqref="J917:K918">
    <cfRule type="expression" dxfId="383" priority="4528">
      <formula>$BC917="YES"</formula>
    </cfRule>
  </conditionalFormatting>
  <conditionalFormatting sqref="J919:K920">
    <cfRule type="expression" dxfId="382" priority="4529">
      <formula>$BC919="YES"</formula>
    </cfRule>
  </conditionalFormatting>
  <conditionalFormatting sqref="J921:K922">
    <cfRule type="expression" dxfId="381" priority="4530">
      <formula>$BC921="YES"</formula>
    </cfRule>
  </conditionalFormatting>
  <conditionalFormatting sqref="F909:F1008">
    <cfRule type="expression" dxfId="380" priority="4531">
      <formula>$BC909="YES"</formula>
    </cfRule>
  </conditionalFormatting>
  <conditionalFormatting sqref="H929:I938">
    <cfRule type="expression" dxfId="379" priority="4532">
      <formula>$BC929="YES"</formula>
    </cfRule>
  </conditionalFormatting>
  <conditionalFormatting sqref="H939:I948">
    <cfRule type="expression" dxfId="378" priority="4533">
      <formula>$BC939="YES"</formula>
    </cfRule>
  </conditionalFormatting>
  <conditionalFormatting sqref="H949:I958">
    <cfRule type="expression" dxfId="377" priority="4534">
      <formula>$BC949="YES"</formula>
    </cfRule>
  </conditionalFormatting>
  <conditionalFormatting sqref="H959:I968">
    <cfRule type="expression" dxfId="376" priority="4535">
      <formula>$BC959="YES"</formula>
    </cfRule>
  </conditionalFormatting>
  <conditionalFormatting sqref="H969:I978">
    <cfRule type="expression" dxfId="375" priority="4536">
      <formula>$BC969="YES"</formula>
    </cfRule>
  </conditionalFormatting>
  <conditionalFormatting sqref="H979:I988">
    <cfRule type="expression" dxfId="374" priority="4537">
      <formula>$BC979="YES"</formula>
    </cfRule>
  </conditionalFormatting>
  <conditionalFormatting sqref="H989:I998">
    <cfRule type="expression" dxfId="373" priority="4538">
      <formula>$BC989="YES"</formula>
    </cfRule>
  </conditionalFormatting>
  <conditionalFormatting sqref="H999:I1008">
    <cfRule type="expression" dxfId="372" priority="4539">
      <formula>$BC999="YES"</formula>
    </cfRule>
  </conditionalFormatting>
  <conditionalFormatting sqref="H1009:I1018">
    <cfRule type="expression" dxfId="371" priority="4540">
      <formula>$BC1009="YES"</formula>
    </cfRule>
  </conditionalFormatting>
  <conditionalFormatting sqref="H1019:I1028">
    <cfRule type="expression" dxfId="370" priority="4541">
      <formula>$BC1019="YES"</formula>
    </cfRule>
  </conditionalFormatting>
  <conditionalFormatting sqref="H1029:I1038">
    <cfRule type="expression" dxfId="369" priority="4542">
      <formula>$BC1029="YES"</formula>
    </cfRule>
  </conditionalFormatting>
  <conditionalFormatting sqref="H1039:I1048">
    <cfRule type="expression" dxfId="368" priority="4543">
      <formula>$BC1039="YES"</formula>
    </cfRule>
  </conditionalFormatting>
  <conditionalFormatting sqref="H1049:I1058">
    <cfRule type="expression" dxfId="367" priority="4544">
      <formula>$BC1049="YES"</formula>
    </cfRule>
  </conditionalFormatting>
  <conditionalFormatting sqref="H1059:I1068">
    <cfRule type="expression" dxfId="366" priority="4545">
      <formula>$BC1059="YES"</formula>
    </cfRule>
  </conditionalFormatting>
  <conditionalFormatting sqref="H1069:I1078">
    <cfRule type="expression" dxfId="365" priority="4546">
      <formula>$BC1069="YES"</formula>
    </cfRule>
  </conditionalFormatting>
  <conditionalFormatting sqref="H1079:I1088">
    <cfRule type="expression" dxfId="364" priority="4547">
      <formula>$BC1079="YES"</formula>
    </cfRule>
  </conditionalFormatting>
  <conditionalFormatting sqref="H1089:I1098">
    <cfRule type="expression" dxfId="363" priority="4548">
      <formula>$BC1089="YES"</formula>
    </cfRule>
  </conditionalFormatting>
  <conditionalFormatting sqref="H1099:I1108">
    <cfRule type="expression" dxfId="362" priority="4549">
      <formula>$BC1099="YES"</formula>
    </cfRule>
  </conditionalFormatting>
  <conditionalFormatting sqref="L1102:M1102">
    <cfRule type="expression" dxfId="361" priority="4550">
      <formula>$BC1102="YES"</formula>
    </cfRule>
  </conditionalFormatting>
  <conditionalFormatting sqref="J1102:K1102">
    <cfRule type="expression" dxfId="360" priority="4551">
      <formula>$BC1102="YES"</formula>
    </cfRule>
  </conditionalFormatting>
  <conditionalFormatting sqref="L1103:M1103">
    <cfRule type="expression" dxfId="359" priority="4552">
      <formula>$BC1103="YES"</formula>
    </cfRule>
  </conditionalFormatting>
  <conditionalFormatting sqref="J1103:K1103">
    <cfRule type="expression" dxfId="358" priority="4553">
      <formula>$BC1103="YES"</formula>
    </cfRule>
  </conditionalFormatting>
  <conditionalFormatting sqref="L1106:M1107">
    <cfRule type="expression" dxfId="357" priority="4554">
      <formula>$BC1106="YES"</formula>
    </cfRule>
  </conditionalFormatting>
  <conditionalFormatting sqref="J1106:K1107">
    <cfRule type="expression" dxfId="356" priority="4555">
      <formula>$BC1106="YES"</formula>
    </cfRule>
  </conditionalFormatting>
  <conditionalFormatting sqref="L1108:M1109">
    <cfRule type="expression" dxfId="355" priority="4556">
      <formula>$BC1108="YES"</formula>
    </cfRule>
  </conditionalFormatting>
  <conditionalFormatting sqref="J1108:K1109">
    <cfRule type="expression" dxfId="354" priority="4557">
      <formula>$BC1108="YES"</formula>
    </cfRule>
  </conditionalFormatting>
  <conditionalFormatting sqref="L1110:M1111">
    <cfRule type="expression" dxfId="353" priority="4558">
      <formula>$BC1110="YES"</formula>
    </cfRule>
  </conditionalFormatting>
  <conditionalFormatting sqref="J1110:K1111">
    <cfRule type="expression" dxfId="352" priority="4559">
      <formula>$BC1110="YES"</formula>
    </cfRule>
  </conditionalFormatting>
  <conditionalFormatting sqref="L1112:M1113">
    <cfRule type="expression" dxfId="351" priority="4560">
      <formula>$BC1112="YES"</formula>
    </cfRule>
  </conditionalFormatting>
  <conditionalFormatting sqref="J1112:K1113">
    <cfRule type="expression" dxfId="350" priority="4561">
      <formula>$BC1112="YES"</formula>
    </cfRule>
  </conditionalFormatting>
  <conditionalFormatting sqref="H1109:I1110">
    <cfRule type="expression" dxfId="349" priority="4562">
      <formula>$BC1109="YES"</formula>
    </cfRule>
  </conditionalFormatting>
  <conditionalFormatting sqref="H1111:I1112">
    <cfRule type="expression" dxfId="348" priority="4563">
      <formula>$BC1111="YES"</formula>
    </cfRule>
  </conditionalFormatting>
  <conditionalFormatting sqref="H1113:I1113">
    <cfRule type="expression" dxfId="347" priority="4564">
      <formula>$BC1113="YES"</formula>
    </cfRule>
  </conditionalFormatting>
  <conditionalFormatting sqref="L1114:M1115">
    <cfRule type="expression" dxfId="346" priority="4565">
      <formula>$BC1114="YES"</formula>
    </cfRule>
  </conditionalFormatting>
  <conditionalFormatting sqref="J1114:K1115">
    <cfRule type="expression" dxfId="345" priority="4566">
      <formula>$BC1114="YES"</formula>
    </cfRule>
  </conditionalFormatting>
  <conditionalFormatting sqref="L1116:M1117">
    <cfRule type="expression" dxfId="344" priority="4567">
      <formula>$BC1116="YES"</formula>
    </cfRule>
  </conditionalFormatting>
  <conditionalFormatting sqref="J1116:K1117">
    <cfRule type="expression" dxfId="343" priority="4568">
      <formula>$BC1116="YES"</formula>
    </cfRule>
  </conditionalFormatting>
  <conditionalFormatting sqref="H1114:I1114">
    <cfRule type="expression" dxfId="342" priority="4569">
      <formula>$BC1114="YES"</formula>
    </cfRule>
  </conditionalFormatting>
  <conditionalFormatting sqref="H1115:I1116">
    <cfRule type="expression" dxfId="341" priority="4570">
      <formula>$BC1115="YES"</formula>
    </cfRule>
  </conditionalFormatting>
  <conditionalFormatting sqref="H1117:I1117">
    <cfRule type="expression" dxfId="340" priority="4571">
      <formula>$BC1117="YES"</formula>
    </cfRule>
  </conditionalFormatting>
  <conditionalFormatting sqref="L1118:M1119">
    <cfRule type="expression" dxfId="339" priority="4572">
      <formula>$BC1118="YES"</formula>
    </cfRule>
  </conditionalFormatting>
  <conditionalFormatting sqref="J1118:K1119">
    <cfRule type="expression" dxfId="338" priority="4573">
      <formula>$BC1118="YES"</formula>
    </cfRule>
  </conditionalFormatting>
  <conditionalFormatting sqref="L1120:M1121">
    <cfRule type="expression" dxfId="337" priority="4574">
      <formula>$BC1120="YES"</formula>
    </cfRule>
  </conditionalFormatting>
  <conditionalFormatting sqref="J1120:K1121">
    <cfRule type="expression" dxfId="336" priority="4575">
      <formula>$BC1120="YES"</formula>
    </cfRule>
  </conditionalFormatting>
  <conditionalFormatting sqref="H1118:I1118">
    <cfRule type="expression" dxfId="335" priority="4576">
      <formula>$BC1118="YES"</formula>
    </cfRule>
  </conditionalFormatting>
  <conditionalFormatting sqref="H1119:I1120">
    <cfRule type="expression" dxfId="334" priority="4577">
      <formula>$BC1119="YES"</formula>
    </cfRule>
  </conditionalFormatting>
  <conditionalFormatting sqref="H1121:I1121">
    <cfRule type="expression" dxfId="333" priority="4578">
      <formula>$BC1121="YES"</formula>
    </cfRule>
  </conditionalFormatting>
  <conditionalFormatting sqref="L1122:M1123">
    <cfRule type="expression" dxfId="332" priority="4579">
      <formula>$BC1122="YES"</formula>
    </cfRule>
  </conditionalFormatting>
  <conditionalFormatting sqref="J1122:K1123">
    <cfRule type="expression" dxfId="331" priority="4580">
      <formula>$BC1122="YES"</formula>
    </cfRule>
  </conditionalFormatting>
  <conditionalFormatting sqref="L1124:M1125">
    <cfRule type="expression" dxfId="330" priority="4581">
      <formula>$BC1124="YES"</formula>
    </cfRule>
  </conditionalFormatting>
  <conditionalFormatting sqref="J1124:K1125">
    <cfRule type="expression" dxfId="329" priority="4582">
      <formula>$BC1124="YES"</formula>
    </cfRule>
  </conditionalFormatting>
  <conditionalFormatting sqref="H1122:I1122">
    <cfRule type="expression" dxfId="328" priority="4583">
      <formula>$BC1122="YES"</formula>
    </cfRule>
  </conditionalFormatting>
  <conditionalFormatting sqref="H1123:I1124">
    <cfRule type="expression" dxfId="327" priority="4584">
      <formula>$BC1123="YES"</formula>
    </cfRule>
  </conditionalFormatting>
  <conditionalFormatting sqref="H1125:I1125">
    <cfRule type="expression" dxfId="326" priority="4585">
      <formula>$BC1125="YES"</formula>
    </cfRule>
  </conditionalFormatting>
  <conditionalFormatting sqref="L1126:M1127">
    <cfRule type="expression" dxfId="325" priority="4586">
      <formula>$BC1126="YES"</formula>
    </cfRule>
  </conditionalFormatting>
  <conditionalFormatting sqref="J1126:K1127">
    <cfRule type="expression" dxfId="324" priority="4587">
      <formula>$BC1126="YES"</formula>
    </cfRule>
  </conditionalFormatting>
  <conditionalFormatting sqref="L1128:M1129">
    <cfRule type="expression" dxfId="323" priority="4588">
      <formula>$BC1128="YES"</formula>
    </cfRule>
  </conditionalFormatting>
  <conditionalFormatting sqref="J1128:K1129">
    <cfRule type="expression" dxfId="322" priority="4589">
      <formula>$BC1128="YES"</formula>
    </cfRule>
  </conditionalFormatting>
  <conditionalFormatting sqref="H1126:I1126">
    <cfRule type="expression" dxfId="321" priority="4590">
      <formula>$BC1126="YES"</formula>
    </cfRule>
  </conditionalFormatting>
  <conditionalFormatting sqref="H1127:I1128">
    <cfRule type="expression" dxfId="320" priority="4591">
      <formula>$BC1127="YES"</formula>
    </cfRule>
  </conditionalFormatting>
  <conditionalFormatting sqref="H1129:I1129">
    <cfRule type="expression" dxfId="319" priority="4592">
      <formula>$BC1129="YES"</formula>
    </cfRule>
  </conditionalFormatting>
  <conditionalFormatting sqref="L1130:M1131">
    <cfRule type="expression" dxfId="318" priority="4593">
      <formula>$BC1130="YES"</formula>
    </cfRule>
  </conditionalFormatting>
  <conditionalFormatting sqref="J1130:K1131">
    <cfRule type="expression" dxfId="317" priority="4594">
      <formula>$BC1130="YES"</formula>
    </cfRule>
  </conditionalFormatting>
  <conditionalFormatting sqref="L1132:M1133">
    <cfRule type="expression" dxfId="316" priority="4595">
      <formula>$BC1132="YES"</formula>
    </cfRule>
  </conditionalFormatting>
  <conditionalFormatting sqref="J1132:K1133">
    <cfRule type="expression" dxfId="315" priority="4596">
      <formula>$BC1132="YES"</formula>
    </cfRule>
  </conditionalFormatting>
  <conditionalFormatting sqref="H1130:I1130">
    <cfRule type="expression" dxfId="314" priority="4597">
      <formula>$BC1130="YES"</formula>
    </cfRule>
  </conditionalFormatting>
  <conditionalFormatting sqref="H1131:I1132">
    <cfRule type="expression" dxfId="313" priority="4598">
      <formula>$BC1131="YES"</formula>
    </cfRule>
  </conditionalFormatting>
  <conditionalFormatting sqref="H1133:I1133">
    <cfRule type="expression" dxfId="312" priority="4599">
      <formula>$BC1133="YES"</formula>
    </cfRule>
  </conditionalFormatting>
  <conditionalFormatting sqref="L1134:M1135">
    <cfRule type="expression" dxfId="311" priority="4600">
      <formula>$BC1134="YES"</formula>
    </cfRule>
  </conditionalFormatting>
  <conditionalFormatting sqref="J1134:K1135">
    <cfRule type="expression" dxfId="310" priority="4601">
      <formula>$BC1134="YES"</formula>
    </cfRule>
  </conditionalFormatting>
  <conditionalFormatting sqref="L1136:M1137">
    <cfRule type="expression" dxfId="309" priority="4602">
      <formula>$BC1136="YES"</formula>
    </cfRule>
  </conditionalFormatting>
  <conditionalFormatting sqref="J1136:K1137">
    <cfRule type="expression" dxfId="308" priority="4603">
      <formula>$BC1136="YES"</formula>
    </cfRule>
  </conditionalFormatting>
  <conditionalFormatting sqref="H1134:I1134">
    <cfRule type="expression" dxfId="307" priority="4604">
      <formula>$BC1134="YES"</formula>
    </cfRule>
  </conditionalFormatting>
  <conditionalFormatting sqref="H1135:I1136">
    <cfRule type="expression" dxfId="306" priority="4605">
      <formula>$BC1135="YES"</formula>
    </cfRule>
  </conditionalFormatting>
  <conditionalFormatting sqref="H1137:I1137">
    <cfRule type="expression" dxfId="305" priority="4606">
      <formula>$BC1137="YES"</formula>
    </cfRule>
  </conditionalFormatting>
  <conditionalFormatting sqref="L1138:M1139">
    <cfRule type="expression" dxfId="304" priority="4607">
      <formula>$BC1138="YES"</formula>
    </cfRule>
  </conditionalFormatting>
  <conditionalFormatting sqref="J1138:K1139">
    <cfRule type="expression" dxfId="303" priority="4608">
      <formula>$BC1138="YES"</formula>
    </cfRule>
  </conditionalFormatting>
  <conditionalFormatting sqref="L1140:M1141">
    <cfRule type="expression" dxfId="302" priority="4609">
      <formula>$BC1140="YES"</formula>
    </cfRule>
  </conditionalFormatting>
  <conditionalFormatting sqref="J1140:K1141">
    <cfRule type="expression" dxfId="301" priority="4610">
      <formula>$BC1140="YES"</formula>
    </cfRule>
  </conditionalFormatting>
  <conditionalFormatting sqref="H1138:I1138">
    <cfRule type="expression" dxfId="300" priority="4611">
      <formula>$BC1138="YES"</formula>
    </cfRule>
  </conditionalFormatting>
  <conditionalFormatting sqref="H1139:I1140">
    <cfRule type="expression" dxfId="299" priority="4612">
      <formula>$BC1139="YES"</formula>
    </cfRule>
  </conditionalFormatting>
  <conditionalFormatting sqref="H1141:I1141">
    <cfRule type="expression" dxfId="298" priority="4613">
      <formula>$BC1141="YES"</formula>
    </cfRule>
  </conditionalFormatting>
  <conditionalFormatting sqref="L1142:M1143">
    <cfRule type="expression" dxfId="297" priority="4614">
      <formula>$BC1142="YES"</formula>
    </cfRule>
  </conditionalFormatting>
  <conditionalFormatting sqref="J1142:K1143">
    <cfRule type="expression" dxfId="296" priority="4615">
      <formula>$BC1142="YES"</formula>
    </cfRule>
  </conditionalFormatting>
  <conditionalFormatting sqref="L1144:M1145">
    <cfRule type="expression" dxfId="295" priority="4616">
      <formula>$BC1144="YES"</formula>
    </cfRule>
  </conditionalFormatting>
  <conditionalFormatting sqref="J1144:K1145">
    <cfRule type="expression" dxfId="294" priority="4617">
      <formula>$BC1144="YES"</formula>
    </cfRule>
  </conditionalFormatting>
  <conditionalFormatting sqref="H1142:I1142">
    <cfRule type="expression" dxfId="293" priority="4618">
      <formula>$BC1142="YES"</formula>
    </cfRule>
  </conditionalFormatting>
  <conditionalFormatting sqref="H1143:I1144">
    <cfRule type="expression" dxfId="292" priority="4619">
      <formula>$BC1143="YES"</formula>
    </cfRule>
  </conditionalFormatting>
  <conditionalFormatting sqref="H1145:I1145">
    <cfRule type="expression" dxfId="291" priority="4620">
      <formula>$BC1145="YES"</formula>
    </cfRule>
  </conditionalFormatting>
  <conditionalFormatting sqref="L1146:M1147">
    <cfRule type="expression" dxfId="290" priority="4621">
      <formula>$BC1146="YES"</formula>
    </cfRule>
  </conditionalFormatting>
  <conditionalFormatting sqref="J1146:K1147">
    <cfRule type="expression" dxfId="289" priority="4622">
      <formula>$BC1146="YES"</formula>
    </cfRule>
  </conditionalFormatting>
  <conditionalFormatting sqref="L1148:M1149">
    <cfRule type="expression" dxfId="288" priority="4623">
      <formula>$BC1148="YES"</formula>
    </cfRule>
  </conditionalFormatting>
  <conditionalFormatting sqref="J1148:K1149">
    <cfRule type="expression" dxfId="287" priority="4624">
      <formula>$BC1148="YES"</formula>
    </cfRule>
  </conditionalFormatting>
  <conditionalFormatting sqref="H1146:I1146">
    <cfRule type="expression" dxfId="286" priority="4625">
      <formula>$BC1146="YES"</formula>
    </cfRule>
  </conditionalFormatting>
  <conditionalFormatting sqref="H1147:I1148">
    <cfRule type="expression" dxfId="285" priority="4626">
      <formula>$BC1147="YES"</formula>
    </cfRule>
  </conditionalFormatting>
  <conditionalFormatting sqref="H1149:I1149">
    <cfRule type="expression" dxfId="284" priority="4627">
      <formula>$BC1149="YES"</formula>
    </cfRule>
  </conditionalFormatting>
  <conditionalFormatting sqref="L1150:M1151">
    <cfRule type="expression" dxfId="283" priority="4628">
      <formula>$BC1150="YES"</formula>
    </cfRule>
  </conditionalFormatting>
  <conditionalFormatting sqref="J1150:K1151">
    <cfRule type="expression" dxfId="282" priority="4629">
      <formula>$BC1150="YES"</formula>
    </cfRule>
  </conditionalFormatting>
  <conditionalFormatting sqref="L1152:M1153">
    <cfRule type="expression" dxfId="281" priority="4630">
      <formula>$BC1152="YES"</formula>
    </cfRule>
  </conditionalFormatting>
  <conditionalFormatting sqref="J1152:K1153">
    <cfRule type="expression" dxfId="280" priority="4631">
      <formula>$BC1152="YES"</formula>
    </cfRule>
  </conditionalFormatting>
  <conditionalFormatting sqref="H1150:I1150">
    <cfRule type="expression" dxfId="279" priority="4632">
      <formula>$BC1150="YES"</formula>
    </cfRule>
  </conditionalFormatting>
  <conditionalFormatting sqref="H1151:I1152">
    <cfRule type="expression" dxfId="278" priority="4633">
      <formula>$BC1151="YES"</formula>
    </cfRule>
  </conditionalFormatting>
  <conditionalFormatting sqref="H1153:I1153">
    <cfRule type="expression" dxfId="277" priority="4634">
      <formula>$BC1153="YES"</formula>
    </cfRule>
  </conditionalFormatting>
  <conditionalFormatting sqref="L1154:M1155">
    <cfRule type="expression" dxfId="276" priority="4635">
      <formula>$BC1154="YES"</formula>
    </cfRule>
  </conditionalFormatting>
  <conditionalFormatting sqref="J1154:K1155">
    <cfRule type="expression" dxfId="275" priority="4636">
      <formula>$BC1154="YES"</formula>
    </cfRule>
  </conditionalFormatting>
  <conditionalFormatting sqref="L1156:M1157">
    <cfRule type="expression" dxfId="274" priority="4637">
      <formula>$BC1156="YES"</formula>
    </cfRule>
  </conditionalFormatting>
  <conditionalFormatting sqref="J1156:K1157">
    <cfRule type="expression" dxfId="273" priority="4638">
      <formula>$BC1156="YES"</formula>
    </cfRule>
  </conditionalFormatting>
  <conditionalFormatting sqref="H1154:I1154">
    <cfRule type="expression" dxfId="272" priority="4639">
      <formula>$BC1154="YES"</formula>
    </cfRule>
  </conditionalFormatting>
  <conditionalFormatting sqref="H1155:I1156">
    <cfRule type="expression" dxfId="271" priority="4640">
      <formula>$BC1155="YES"</formula>
    </cfRule>
  </conditionalFormatting>
  <conditionalFormatting sqref="H1157:I1157">
    <cfRule type="expression" dxfId="270" priority="4641">
      <formula>$BC1157="YES"</formula>
    </cfRule>
  </conditionalFormatting>
  <conditionalFormatting sqref="L1158:M1159">
    <cfRule type="expression" dxfId="269" priority="4642">
      <formula>$BC1158="YES"</formula>
    </cfRule>
  </conditionalFormatting>
  <conditionalFormatting sqref="J1158:K1159">
    <cfRule type="expression" dxfId="268" priority="4643">
      <formula>$BC1158="YES"</formula>
    </cfRule>
  </conditionalFormatting>
  <conditionalFormatting sqref="L1160:M1161">
    <cfRule type="expression" dxfId="267" priority="4644">
      <formula>$BC1160="YES"</formula>
    </cfRule>
  </conditionalFormatting>
  <conditionalFormatting sqref="J1160:K1161">
    <cfRule type="expression" dxfId="266" priority="4645">
      <formula>$BC1160="YES"</formula>
    </cfRule>
  </conditionalFormatting>
  <conditionalFormatting sqref="H1158:I1158">
    <cfRule type="expression" dxfId="265" priority="4646">
      <formula>$BC1158="YES"</formula>
    </cfRule>
  </conditionalFormatting>
  <conditionalFormatting sqref="H1159:I1160">
    <cfRule type="expression" dxfId="264" priority="4647">
      <formula>$BC1159="YES"</formula>
    </cfRule>
  </conditionalFormatting>
  <conditionalFormatting sqref="H1161:I1161">
    <cfRule type="expression" dxfId="263" priority="4648">
      <formula>$BC1161="YES"</formula>
    </cfRule>
  </conditionalFormatting>
  <conditionalFormatting sqref="L1162:M1163">
    <cfRule type="expression" dxfId="262" priority="4649">
      <formula>$BC1162="YES"</formula>
    </cfRule>
  </conditionalFormatting>
  <conditionalFormatting sqref="J1162:K1163">
    <cfRule type="expression" dxfId="261" priority="4650">
      <formula>$BC1162="YES"</formula>
    </cfRule>
  </conditionalFormatting>
  <conditionalFormatting sqref="L1164:M1165">
    <cfRule type="expression" dxfId="260" priority="4651">
      <formula>$BC1164="YES"</formula>
    </cfRule>
  </conditionalFormatting>
  <conditionalFormatting sqref="J1164:K1165">
    <cfRule type="expression" dxfId="259" priority="4652">
      <formula>$BC1164="YES"</formula>
    </cfRule>
  </conditionalFormatting>
  <conditionalFormatting sqref="H1162:I1162">
    <cfRule type="expression" dxfId="258" priority="4653">
      <formula>$BC1162="YES"</formula>
    </cfRule>
  </conditionalFormatting>
  <conditionalFormatting sqref="H1163:I1164">
    <cfRule type="expression" dxfId="257" priority="4654">
      <formula>$BC1163="YES"</formula>
    </cfRule>
  </conditionalFormatting>
  <conditionalFormatting sqref="H1165:I1165">
    <cfRule type="expression" dxfId="256" priority="4655">
      <formula>$BC1165="YES"</formula>
    </cfRule>
  </conditionalFormatting>
  <conditionalFormatting sqref="L1166:M1167">
    <cfRule type="expression" dxfId="255" priority="4656">
      <formula>$BC1166="YES"</formula>
    </cfRule>
  </conditionalFormatting>
  <conditionalFormatting sqref="J1166:K1167">
    <cfRule type="expression" dxfId="254" priority="4657">
      <formula>$BC1166="YES"</formula>
    </cfRule>
  </conditionalFormatting>
  <conditionalFormatting sqref="L1168:M1169">
    <cfRule type="expression" dxfId="253" priority="4658">
      <formula>$BC1168="YES"</formula>
    </cfRule>
  </conditionalFormatting>
  <conditionalFormatting sqref="J1168:K1169">
    <cfRule type="expression" dxfId="252" priority="4659">
      <formula>$BC1168="YES"</formula>
    </cfRule>
  </conditionalFormatting>
  <conditionalFormatting sqref="H1166:I1166">
    <cfRule type="expression" dxfId="251" priority="4660">
      <formula>$BC1166="YES"</formula>
    </cfRule>
  </conditionalFormatting>
  <conditionalFormatting sqref="H1167:I1168">
    <cfRule type="expression" dxfId="250" priority="4661">
      <formula>$BC1167="YES"</formula>
    </cfRule>
  </conditionalFormatting>
  <conditionalFormatting sqref="H1169:I1169">
    <cfRule type="expression" dxfId="249" priority="4662">
      <formula>$BC1169="YES"</formula>
    </cfRule>
  </conditionalFormatting>
  <conditionalFormatting sqref="L1170:M1171">
    <cfRule type="expression" dxfId="248" priority="4663">
      <formula>$BC1170="YES"</formula>
    </cfRule>
  </conditionalFormatting>
  <conditionalFormatting sqref="J1170:K1171">
    <cfRule type="expression" dxfId="247" priority="4664">
      <formula>$BC1170="YES"</formula>
    </cfRule>
  </conditionalFormatting>
  <conditionalFormatting sqref="L1172:M1173">
    <cfRule type="expression" dxfId="246" priority="4665">
      <formula>$BC1172="YES"</formula>
    </cfRule>
  </conditionalFormatting>
  <conditionalFormatting sqref="J1172:K1173">
    <cfRule type="expression" dxfId="245" priority="4666">
      <formula>$BC1172="YES"</formula>
    </cfRule>
  </conditionalFormatting>
  <conditionalFormatting sqref="H1170:I1170">
    <cfRule type="expression" dxfId="244" priority="4667">
      <formula>$BC1170="YES"</formula>
    </cfRule>
  </conditionalFormatting>
  <conditionalFormatting sqref="H1171:I1172">
    <cfRule type="expression" dxfId="243" priority="4668">
      <formula>$BC1171="YES"</formula>
    </cfRule>
  </conditionalFormatting>
  <conditionalFormatting sqref="H1173:I1173">
    <cfRule type="expression" dxfId="242" priority="4669">
      <formula>$BC1173="YES"</formula>
    </cfRule>
  </conditionalFormatting>
  <conditionalFormatting sqref="L1174:M1175">
    <cfRule type="expression" dxfId="241" priority="4670">
      <formula>$BC1174="YES"</formula>
    </cfRule>
  </conditionalFormatting>
  <conditionalFormatting sqref="J1174:K1175">
    <cfRule type="expression" dxfId="240" priority="4671">
      <formula>$BC1174="YES"</formula>
    </cfRule>
  </conditionalFormatting>
  <conditionalFormatting sqref="L1176:M1177">
    <cfRule type="expression" dxfId="239" priority="4672">
      <formula>$BC1176="YES"</formula>
    </cfRule>
  </conditionalFormatting>
  <conditionalFormatting sqref="J1176:K1177">
    <cfRule type="expression" dxfId="238" priority="4673">
      <formula>$BC1176="YES"</formula>
    </cfRule>
  </conditionalFormatting>
  <conditionalFormatting sqref="H1174:I1174">
    <cfRule type="expression" dxfId="237" priority="4674">
      <formula>$BC1174="YES"</formula>
    </cfRule>
  </conditionalFormatting>
  <conditionalFormatting sqref="H1175:I1176">
    <cfRule type="expression" dxfId="236" priority="4675">
      <formula>$BC1175="YES"</formula>
    </cfRule>
  </conditionalFormatting>
  <conditionalFormatting sqref="H1177:I1177">
    <cfRule type="expression" dxfId="235" priority="4676">
      <formula>$BC1177="YES"</formula>
    </cfRule>
  </conditionalFormatting>
  <conditionalFormatting sqref="L1178:M1179">
    <cfRule type="expression" dxfId="234" priority="4677">
      <formula>$BC1178="YES"</formula>
    </cfRule>
  </conditionalFormatting>
  <conditionalFormatting sqref="J1178:K1179">
    <cfRule type="expression" dxfId="233" priority="4678">
      <formula>$BC1178="YES"</formula>
    </cfRule>
  </conditionalFormatting>
  <conditionalFormatting sqref="L1180:M1181">
    <cfRule type="expression" dxfId="232" priority="4679">
      <formula>$BC1180="YES"</formula>
    </cfRule>
  </conditionalFormatting>
  <conditionalFormatting sqref="J1180:K1181">
    <cfRule type="expression" dxfId="231" priority="4680">
      <formula>$BC1180="YES"</formula>
    </cfRule>
  </conditionalFormatting>
  <conditionalFormatting sqref="H1178:I1178">
    <cfRule type="expression" dxfId="230" priority="4681">
      <formula>$BC1178="YES"</formula>
    </cfRule>
  </conditionalFormatting>
  <conditionalFormatting sqref="H1179:I1180">
    <cfRule type="expression" dxfId="229" priority="4682">
      <formula>$BC1179="YES"</formula>
    </cfRule>
  </conditionalFormatting>
  <conditionalFormatting sqref="H1181:I1181">
    <cfRule type="expression" dxfId="228" priority="4683">
      <formula>$BC1181="YES"</formula>
    </cfRule>
  </conditionalFormatting>
  <conditionalFormatting sqref="L1182:M1183">
    <cfRule type="expression" dxfId="227" priority="4684">
      <formula>$BC1182="YES"</formula>
    </cfRule>
  </conditionalFormatting>
  <conditionalFormatting sqref="J1182:K1183">
    <cfRule type="expression" dxfId="226" priority="4685">
      <formula>$BC1182="YES"</formula>
    </cfRule>
  </conditionalFormatting>
  <conditionalFormatting sqref="L1184:M1185">
    <cfRule type="expression" dxfId="225" priority="4686">
      <formula>$BC1184="YES"</formula>
    </cfRule>
  </conditionalFormatting>
  <conditionalFormatting sqref="J1184:K1185">
    <cfRule type="expression" dxfId="224" priority="4687">
      <formula>$BC1184="YES"</formula>
    </cfRule>
  </conditionalFormatting>
  <conditionalFormatting sqref="H1182:I1182">
    <cfRule type="expression" dxfId="223" priority="4688">
      <formula>$BC1182="YES"</formula>
    </cfRule>
  </conditionalFormatting>
  <conditionalFormatting sqref="H1183:I1184">
    <cfRule type="expression" dxfId="222" priority="4689">
      <formula>$BC1183="YES"</formula>
    </cfRule>
  </conditionalFormatting>
  <conditionalFormatting sqref="H1185:I1185">
    <cfRule type="expression" dxfId="221" priority="4690">
      <formula>$BC1185="YES"</formula>
    </cfRule>
  </conditionalFormatting>
  <conditionalFormatting sqref="L1186:M1187">
    <cfRule type="expression" dxfId="220" priority="4691">
      <formula>$BC1186="YES"</formula>
    </cfRule>
  </conditionalFormatting>
  <conditionalFormatting sqref="J1186:K1187">
    <cfRule type="expression" dxfId="219" priority="4692">
      <formula>$BC1186="YES"</formula>
    </cfRule>
  </conditionalFormatting>
  <conditionalFormatting sqref="L1188:M1189">
    <cfRule type="expression" dxfId="218" priority="4693">
      <formula>$BC1188="YES"</formula>
    </cfRule>
  </conditionalFormatting>
  <conditionalFormatting sqref="J1188:K1189">
    <cfRule type="expression" dxfId="217" priority="4694">
      <formula>$BC1188="YES"</formula>
    </cfRule>
  </conditionalFormatting>
  <conditionalFormatting sqref="H1186:I1186">
    <cfRule type="expression" dxfId="216" priority="4695">
      <formula>$BC1186="YES"</formula>
    </cfRule>
  </conditionalFormatting>
  <conditionalFormatting sqref="H1187:I1188">
    <cfRule type="expression" dxfId="215" priority="4696">
      <formula>$BC1187="YES"</formula>
    </cfRule>
  </conditionalFormatting>
  <conditionalFormatting sqref="H1189:I1189">
    <cfRule type="expression" dxfId="214" priority="4697">
      <formula>$BC1189="YES"</formula>
    </cfRule>
  </conditionalFormatting>
  <conditionalFormatting sqref="L1190:M1191">
    <cfRule type="expression" dxfId="213" priority="4698">
      <formula>$BC1190="YES"</formula>
    </cfRule>
  </conditionalFormatting>
  <conditionalFormatting sqref="J1190:K1191">
    <cfRule type="expression" dxfId="212" priority="4699">
      <formula>$BC1190="YES"</formula>
    </cfRule>
  </conditionalFormatting>
  <conditionalFormatting sqref="L1192:M1193">
    <cfRule type="expression" dxfId="211" priority="4700">
      <formula>$BC1192="YES"</formula>
    </cfRule>
  </conditionalFormatting>
  <conditionalFormatting sqref="J1192:K1193">
    <cfRule type="expression" dxfId="210" priority="4701">
      <formula>$BC1192="YES"</formula>
    </cfRule>
  </conditionalFormatting>
  <conditionalFormatting sqref="H1190:I1190">
    <cfRule type="expression" dxfId="209" priority="4702">
      <formula>$BC1190="YES"</formula>
    </cfRule>
  </conditionalFormatting>
  <conditionalFormatting sqref="H1191:I1192">
    <cfRule type="expression" dxfId="208" priority="4703">
      <formula>$BC1191="YES"</formula>
    </cfRule>
  </conditionalFormatting>
  <conditionalFormatting sqref="H1193:I1193">
    <cfRule type="expression" dxfId="207" priority="4704">
      <formula>$BC1193="YES"</formula>
    </cfRule>
  </conditionalFormatting>
  <conditionalFormatting sqref="L1194:M1195">
    <cfRule type="expression" dxfId="206" priority="4705">
      <formula>$BC1194="YES"</formula>
    </cfRule>
  </conditionalFormatting>
  <conditionalFormatting sqref="J1194:K1195">
    <cfRule type="expression" dxfId="205" priority="4706">
      <formula>$BC1194="YES"</formula>
    </cfRule>
  </conditionalFormatting>
  <conditionalFormatting sqref="L1196:M1197">
    <cfRule type="expression" dxfId="204" priority="4707">
      <formula>$BC1196="YES"</formula>
    </cfRule>
  </conditionalFormatting>
  <conditionalFormatting sqref="J1196:K1197">
    <cfRule type="expression" dxfId="203" priority="4708">
      <formula>$BC1196="YES"</formula>
    </cfRule>
  </conditionalFormatting>
  <conditionalFormatting sqref="H1194:I1194">
    <cfRule type="expression" dxfId="202" priority="4709">
      <formula>$BC1194="YES"</formula>
    </cfRule>
  </conditionalFormatting>
  <conditionalFormatting sqref="H1195:I1196">
    <cfRule type="expression" dxfId="201" priority="4710">
      <formula>$BC1195="YES"</formula>
    </cfRule>
  </conditionalFormatting>
  <conditionalFormatting sqref="H1197:I1197">
    <cfRule type="expression" dxfId="200" priority="4711">
      <formula>$BC1197="YES"</formula>
    </cfRule>
  </conditionalFormatting>
  <conditionalFormatting sqref="L1198:M1199">
    <cfRule type="expression" dxfId="199" priority="4712">
      <formula>$BC1198="YES"</formula>
    </cfRule>
  </conditionalFormatting>
  <conditionalFormatting sqref="J1198:K1199">
    <cfRule type="expression" dxfId="198" priority="4713">
      <formula>$BC1198="YES"</formula>
    </cfRule>
  </conditionalFormatting>
  <conditionalFormatting sqref="L1200:M1201">
    <cfRule type="expression" dxfId="197" priority="4714">
      <formula>$BC1200="YES"</formula>
    </cfRule>
  </conditionalFormatting>
  <conditionalFormatting sqref="J1200:K1201">
    <cfRule type="expression" dxfId="196" priority="4715">
      <formula>$BC1200="YES"</formula>
    </cfRule>
  </conditionalFormatting>
  <conditionalFormatting sqref="H1198:I1198">
    <cfRule type="expression" dxfId="195" priority="4716">
      <formula>$BC1198="YES"</formula>
    </cfRule>
  </conditionalFormatting>
  <conditionalFormatting sqref="H1199:I1200">
    <cfRule type="expression" dxfId="194" priority="4717">
      <formula>$BC1199="YES"</formula>
    </cfRule>
  </conditionalFormatting>
  <conditionalFormatting sqref="H1201:I1201">
    <cfRule type="expression" dxfId="193" priority="4718">
      <formula>$BC1201="YES"</formula>
    </cfRule>
  </conditionalFormatting>
  <conditionalFormatting sqref="L1202:M1203">
    <cfRule type="expression" dxfId="192" priority="4719">
      <formula>$BC1202="YES"</formula>
    </cfRule>
  </conditionalFormatting>
  <conditionalFormatting sqref="J1202:K1203">
    <cfRule type="expression" dxfId="191" priority="4720">
      <formula>$BC1202="YES"</formula>
    </cfRule>
  </conditionalFormatting>
  <conditionalFormatting sqref="L1204:M1205">
    <cfRule type="expression" dxfId="190" priority="4721">
      <formula>$BC1204="YES"</formula>
    </cfRule>
  </conditionalFormatting>
  <conditionalFormatting sqref="J1204:K1205">
    <cfRule type="expression" dxfId="189" priority="4722">
      <formula>$BC1204="YES"</formula>
    </cfRule>
  </conditionalFormatting>
  <conditionalFormatting sqref="H1202:I1202">
    <cfRule type="expression" dxfId="188" priority="4723">
      <formula>$BC1202="YES"</formula>
    </cfRule>
  </conditionalFormatting>
  <conditionalFormatting sqref="L1215:M1216">
    <cfRule type="expression" dxfId="187" priority="4724">
      <formula>$BC1215="YES"</formula>
    </cfRule>
  </conditionalFormatting>
  <conditionalFormatting sqref="L1217:M1218">
    <cfRule type="expression" dxfId="186" priority="4725">
      <formula>$BC1217="YES"</formula>
    </cfRule>
  </conditionalFormatting>
  <conditionalFormatting sqref="L1219:M1220">
    <cfRule type="expression" dxfId="185" priority="4726">
      <formula>$BC1219="YES"</formula>
    </cfRule>
  </conditionalFormatting>
  <conditionalFormatting sqref="J1207:K1208 J1221:K1399 J1402:K1403">
    <cfRule type="expression" dxfId="184" priority="4727">
      <formula>$BC1207="YES"</formula>
    </cfRule>
  </conditionalFormatting>
  <conditionalFormatting sqref="J1209:K1210">
    <cfRule type="expression" dxfId="183" priority="4728">
      <formula>$BC1209="YES"</formula>
    </cfRule>
  </conditionalFormatting>
  <conditionalFormatting sqref="J1211:K1212">
    <cfRule type="expression" dxfId="182" priority="4729">
      <formula>$BC1211="YES"</formula>
    </cfRule>
  </conditionalFormatting>
  <conditionalFormatting sqref="J1213:K1214">
    <cfRule type="expression" dxfId="181" priority="4730">
      <formula>$BC1213="YES"</formula>
    </cfRule>
  </conditionalFormatting>
  <conditionalFormatting sqref="J1215:K1216">
    <cfRule type="expression" dxfId="180" priority="4731">
      <formula>$BC1215="YES"</formula>
    </cfRule>
  </conditionalFormatting>
  <conditionalFormatting sqref="J1217:K1218">
    <cfRule type="expression" dxfId="179" priority="4732">
      <formula>$BC1217="YES"</formula>
    </cfRule>
  </conditionalFormatting>
  <conditionalFormatting sqref="J1219:K1220">
    <cfRule type="expression" dxfId="178" priority="4733">
      <formula>$BC1219="YES"</formula>
    </cfRule>
  </conditionalFormatting>
  <conditionalFormatting sqref="F1207:F1306">
    <cfRule type="expression" dxfId="177" priority="4734">
      <formula>$BC1207="YES"</formula>
    </cfRule>
  </conditionalFormatting>
  <conditionalFormatting sqref="H1227:I1236">
    <cfRule type="expression" dxfId="176" priority="4735">
      <formula>$BC1227="YES"</formula>
    </cfRule>
  </conditionalFormatting>
  <conditionalFormatting sqref="H1237:I1246">
    <cfRule type="expression" dxfId="175" priority="4736">
      <formula>$BC1237="YES"</formula>
    </cfRule>
  </conditionalFormatting>
  <conditionalFormatting sqref="H1247:I1256">
    <cfRule type="expression" dxfId="174" priority="4737">
      <formula>$BC1247="YES"</formula>
    </cfRule>
  </conditionalFormatting>
  <conditionalFormatting sqref="H1257:I1266">
    <cfRule type="expression" dxfId="173" priority="4738">
      <formula>$BC1257="YES"</formula>
    </cfRule>
  </conditionalFormatting>
  <conditionalFormatting sqref="H1267:I1276">
    <cfRule type="expression" dxfId="172" priority="4739">
      <formula>$BC1267="YES"</formula>
    </cfRule>
  </conditionalFormatting>
  <conditionalFormatting sqref="H1277:I1286">
    <cfRule type="expression" dxfId="171" priority="4740">
      <formula>$BC1277="YES"</formula>
    </cfRule>
  </conditionalFormatting>
  <conditionalFormatting sqref="H1287:I1296">
    <cfRule type="expression" dxfId="170" priority="4741">
      <formula>$BC1287="YES"</formula>
    </cfRule>
  </conditionalFormatting>
  <conditionalFormatting sqref="H1297:I1306">
    <cfRule type="expression" dxfId="169" priority="4742">
      <formula>$BC1297="YES"</formula>
    </cfRule>
  </conditionalFormatting>
  <conditionalFormatting sqref="H1307:I1316">
    <cfRule type="expression" dxfId="168" priority="4743">
      <formula>$BC1307="YES"</formula>
    </cfRule>
  </conditionalFormatting>
  <conditionalFormatting sqref="H1317:I1326">
    <cfRule type="expression" dxfId="167" priority="4744">
      <formula>$BC1317="YES"</formula>
    </cfRule>
  </conditionalFormatting>
  <conditionalFormatting sqref="H1327:I1336">
    <cfRule type="expression" dxfId="166" priority="4745">
      <formula>$BC1327="YES"</formula>
    </cfRule>
  </conditionalFormatting>
  <conditionalFormatting sqref="H1337:I1346">
    <cfRule type="expression" dxfId="165" priority="4746">
      <formula>$BC1337="YES"</formula>
    </cfRule>
  </conditionalFormatting>
  <conditionalFormatting sqref="H1347:I1356">
    <cfRule type="expression" dxfId="164" priority="4747">
      <formula>$BC1347="YES"</formula>
    </cfRule>
  </conditionalFormatting>
  <conditionalFormatting sqref="H1357:I1366">
    <cfRule type="expression" dxfId="163" priority="4748">
      <formula>$BC1357="YES"</formula>
    </cfRule>
  </conditionalFormatting>
  <conditionalFormatting sqref="H1367:I1376">
    <cfRule type="expression" dxfId="162" priority="4749">
      <formula>$BC1367="YES"</formula>
    </cfRule>
  </conditionalFormatting>
  <conditionalFormatting sqref="H1377:I1386">
    <cfRule type="expression" dxfId="161" priority="4750">
      <formula>$BC1377="YES"</formula>
    </cfRule>
  </conditionalFormatting>
  <conditionalFormatting sqref="H1387:I1396">
    <cfRule type="expression" dxfId="160" priority="4751">
      <formula>$BC1387="YES"</formula>
    </cfRule>
  </conditionalFormatting>
  <conditionalFormatting sqref="H1397:I1406">
    <cfRule type="expression" dxfId="159" priority="4752">
      <formula>$BC1397="YES"</formula>
    </cfRule>
  </conditionalFormatting>
  <conditionalFormatting sqref="L1400:M1400">
    <cfRule type="expression" dxfId="158" priority="4753">
      <formula>$BC1400="YES"</formula>
    </cfRule>
  </conditionalFormatting>
  <conditionalFormatting sqref="L1401:M1401">
    <cfRule type="expression" dxfId="157" priority="4754">
      <formula>$BC1401="YES"</formula>
    </cfRule>
  </conditionalFormatting>
  <conditionalFormatting sqref="J1401:K1401">
    <cfRule type="expression" dxfId="156" priority="4755">
      <formula>$BC1401="YES"</formula>
    </cfRule>
  </conditionalFormatting>
  <conditionalFormatting sqref="L1404:M1405">
    <cfRule type="expression" dxfId="155" priority="4756">
      <formula>$BC1404="YES"</formula>
    </cfRule>
  </conditionalFormatting>
  <conditionalFormatting sqref="J1404:K1405">
    <cfRule type="expression" dxfId="154" priority="4757">
      <formula>$BC1404="YES"</formula>
    </cfRule>
  </conditionalFormatting>
  <conditionalFormatting sqref="L1406:M1407">
    <cfRule type="expression" dxfId="153" priority="4758">
      <formula>$BC1406="YES"</formula>
    </cfRule>
  </conditionalFormatting>
  <conditionalFormatting sqref="J1406:K1407">
    <cfRule type="expression" dxfId="152" priority="4759">
      <formula>$BC1406="YES"</formula>
    </cfRule>
  </conditionalFormatting>
  <conditionalFormatting sqref="L1408:M1409">
    <cfRule type="expression" dxfId="151" priority="4760">
      <formula>$BC1408="YES"</formula>
    </cfRule>
  </conditionalFormatting>
  <conditionalFormatting sqref="J1408:K1409">
    <cfRule type="expression" dxfId="150" priority="4761">
      <formula>$BC1408="YES"</formula>
    </cfRule>
  </conditionalFormatting>
  <conditionalFormatting sqref="L1410:M1411">
    <cfRule type="expression" dxfId="149" priority="4762">
      <formula>$BC1410="YES"</formula>
    </cfRule>
  </conditionalFormatting>
  <conditionalFormatting sqref="J1410:K1411">
    <cfRule type="expression" dxfId="148" priority="4763">
      <formula>$BC1410="YES"</formula>
    </cfRule>
  </conditionalFormatting>
  <conditionalFormatting sqref="H1407:I1408">
    <cfRule type="expression" dxfId="147" priority="4764">
      <formula>$BC1407="YES"</formula>
    </cfRule>
  </conditionalFormatting>
  <conditionalFormatting sqref="H1409:I1410">
    <cfRule type="expression" dxfId="146" priority="4765">
      <formula>$BC1409="YES"</formula>
    </cfRule>
  </conditionalFormatting>
  <conditionalFormatting sqref="H1411:I1411">
    <cfRule type="expression" dxfId="145" priority="4766">
      <formula>$BC1411="YES"</formula>
    </cfRule>
  </conditionalFormatting>
  <conditionalFormatting sqref="L1412:M1413">
    <cfRule type="expression" dxfId="144" priority="4767">
      <formula>$BC1412="YES"</formula>
    </cfRule>
  </conditionalFormatting>
  <conditionalFormatting sqref="J1412:K1413">
    <cfRule type="expression" dxfId="143" priority="4768">
      <formula>$BC1412="YES"</formula>
    </cfRule>
  </conditionalFormatting>
  <conditionalFormatting sqref="L1414:M1415">
    <cfRule type="expression" dxfId="142" priority="4769">
      <formula>$BC1414="YES"</formula>
    </cfRule>
  </conditionalFormatting>
  <conditionalFormatting sqref="J1414:K1415">
    <cfRule type="expression" dxfId="141" priority="4770">
      <formula>$BC1414="YES"</formula>
    </cfRule>
  </conditionalFormatting>
  <conditionalFormatting sqref="H1412:I1412">
    <cfRule type="expression" dxfId="140" priority="4771">
      <formula>$BC1412="YES"</formula>
    </cfRule>
  </conditionalFormatting>
  <conditionalFormatting sqref="H1413:I1414">
    <cfRule type="expression" dxfId="139" priority="4772">
      <formula>$BC1413="YES"</formula>
    </cfRule>
  </conditionalFormatting>
  <conditionalFormatting sqref="H1415:I1415">
    <cfRule type="expression" dxfId="138" priority="4773">
      <formula>$BC1415="YES"</formula>
    </cfRule>
  </conditionalFormatting>
  <conditionalFormatting sqref="L1416:M1417">
    <cfRule type="expression" dxfId="137" priority="4774">
      <formula>$BC1416="YES"</formula>
    </cfRule>
  </conditionalFormatting>
  <conditionalFormatting sqref="J1416:K1417">
    <cfRule type="expression" dxfId="136" priority="4775">
      <formula>$BC1416="YES"</formula>
    </cfRule>
  </conditionalFormatting>
  <conditionalFormatting sqref="L1418:M1419">
    <cfRule type="expression" dxfId="135" priority="4776">
      <formula>$BC1418="YES"</formula>
    </cfRule>
  </conditionalFormatting>
  <conditionalFormatting sqref="J1418:K1419">
    <cfRule type="expression" dxfId="134" priority="4777">
      <formula>$BC1418="YES"</formula>
    </cfRule>
  </conditionalFormatting>
  <conditionalFormatting sqref="H1416:I1416">
    <cfRule type="expression" dxfId="133" priority="4778">
      <formula>$BC1416="YES"</formula>
    </cfRule>
  </conditionalFormatting>
  <conditionalFormatting sqref="H1417:I1418">
    <cfRule type="expression" dxfId="132" priority="4779">
      <formula>$BC1417="YES"</formula>
    </cfRule>
  </conditionalFormatting>
  <conditionalFormatting sqref="H1419:I1419">
    <cfRule type="expression" dxfId="131" priority="4780">
      <formula>$BC1419="YES"</formula>
    </cfRule>
  </conditionalFormatting>
  <conditionalFormatting sqref="L1420:M1421">
    <cfRule type="expression" dxfId="130" priority="4781">
      <formula>$BC1420="YES"</formula>
    </cfRule>
  </conditionalFormatting>
  <conditionalFormatting sqref="J1420:K1421">
    <cfRule type="expression" dxfId="129" priority="4782">
      <formula>$BC1420="YES"</formula>
    </cfRule>
  </conditionalFormatting>
  <conditionalFormatting sqref="L1422:M1423">
    <cfRule type="expression" dxfId="128" priority="4783">
      <formula>$BC1422="YES"</formula>
    </cfRule>
  </conditionalFormatting>
  <conditionalFormatting sqref="J1422:K1423">
    <cfRule type="expression" dxfId="127" priority="4784">
      <formula>$BC1422="YES"</formula>
    </cfRule>
  </conditionalFormatting>
  <conditionalFormatting sqref="H1420:I1420">
    <cfRule type="expression" dxfId="126" priority="4785">
      <formula>$BC1420="YES"</formula>
    </cfRule>
  </conditionalFormatting>
  <conditionalFormatting sqref="H1421:I1422">
    <cfRule type="expression" dxfId="125" priority="4786">
      <formula>$BC1421="YES"</formula>
    </cfRule>
  </conditionalFormatting>
  <conditionalFormatting sqref="L1424:M1425">
    <cfRule type="expression" dxfId="124" priority="4787">
      <formula>$BC1424="YES"</formula>
    </cfRule>
  </conditionalFormatting>
  <conditionalFormatting sqref="J1424:K1425">
    <cfRule type="expression" dxfId="123" priority="4788">
      <formula>$BC1424="YES"</formula>
    </cfRule>
  </conditionalFormatting>
  <conditionalFormatting sqref="L1426:M1427">
    <cfRule type="expression" dxfId="122" priority="4789">
      <formula>$BC1426="YES"</formula>
    </cfRule>
  </conditionalFormatting>
  <conditionalFormatting sqref="J1426:K1427">
    <cfRule type="expression" dxfId="121" priority="4790">
      <formula>$BC1426="YES"</formula>
    </cfRule>
  </conditionalFormatting>
  <conditionalFormatting sqref="H1424:I1424">
    <cfRule type="expression" dxfId="120" priority="4791">
      <formula>$BC1424="YES"</formula>
    </cfRule>
  </conditionalFormatting>
  <conditionalFormatting sqref="H1425:I1426">
    <cfRule type="expression" dxfId="119" priority="4792">
      <formula>$BC1425="YES"</formula>
    </cfRule>
  </conditionalFormatting>
  <conditionalFormatting sqref="H1427:I1427">
    <cfRule type="expression" dxfId="118" priority="4793">
      <formula>$BC1427="YES"</formula>
    </cfRule>
  </conditionalFormatting>
  <conditionalFormatting sqref="L1428:M1429">
    <cfRule type="expression" dxfId="117" priority="4794">
      <formula>$BC1428="YES"</formula>
    </cfRule>
  </conditionalFormatting>
  <conditionalFormatting sqref="J1428:K1429">
    <cfRule type="expression" dxfId="116" priority="4795">
      <formula>$BC1428="YES"</formula>
    </cfRule>
  </conditionalFormatting>
  <conditionalFormatting sqref="L1430:M1431">
    <cfRule type="expression" dxfId="115" priority="4796">
      <formula>$BC1430="YES"</formula>
    </cfRule>
  </conditionalFormatting>
  <conditionalFormatting sqref="J1430:K1431">
    <cfRule type="expression" dxfId="114" priority="4797">
      <formula>$BC1430="YES"</formula>
    </cfRule>
  </conditionalFormatting>
  <conditionalFormatting sqref="H1428:I1428">
    <cfRule type="expression" dxfId="113" priority="4798">
      <formula>$BC1428="YES"</formula>
    </cfRule>
  </conditionalFormatting>
  <conditionalFormatting sqref="H1429:I1430">
    <cfRule type="expression" dxfId="112" priority="4799">
      <formula>$BC1429="YES"</formula>
    </cfRule>
  </conditionalFormatting>
  <conditionalFormatting sqref="H1431:I1431">
    <cfRule type="expression" dxfId="111" priority="4800">
      <formula>$BC1431="YES"</formula>
    </cfRule>
  </conditionalFormatting>
  <conditionalFormatting sqref="L1432:M1433">
    <cfRule type="expression" dxfId="110" priority="4801">
      <formula>$BC1432="YES"</formula>
    </cfRule>
  </conditionalFormatting>
  <conditionalFormatting sqref="J1432:K1433">
    <cfRule type="expression" dxfId="109" priority="4802">
      <formula>$BC1432="YES"</formula>
    </cfRule>
  </conditionalFormatting>
  <conditionalFormatting sqref="L1434:M1435">
    <cfRule type="expression" dxfId="108" priority="4803">
      <formula>$BC1434="YES"</formula>
    </cfRule>
  </conditionalFormatting>
  <conditionalFormatting sqref="J1434:K1435">
    <cfRule type="expression" dxfId="107" priority="4804">
      <formula>$BC1434="YES"</formula>
    </cfRule>
  </conditionalFormatting>
  <conditionalFormatting sqref="H1432:I1432">
    <cfRule type="expression" dxfId="106" priority="4805">
      <formula>$BC1432="YES"</formula>
    </cfRule>
  </conditionalFormatting>
  <conditionalFormatting sqref="H1433:I1434">
    <cfRule type="expression" dxfId="105" priority="4806">
      <formula>$BC1433="YES"</formula>
    </cfRule>
  </conditionalFormatting>
  <conditionalFormatting sqref="H1435:I1435">
    <cfRule type="expression" dxfId="104" priority="4807">
      <formula>$BC1435="YES"</formula>
    </cfRule>
  </conditionalFormatting>
  <conditionalFormatting sqref="L1436:M1437">
    <cfRule type="expression" dxfId="103" priority="4808">
      <formula>$BC1436="YES"</formula>
    </cfRule>
  </conditionalFormatting>
  <conditionalFormatting sqref="J1436:K1437">
    <cfRule type="expression" dxfId="102" priority="4809">
      <formula>$BC1436="YES"</formula>
    </cfRule>
  </conditionalFormatting>
  <conditionalFormatting sqref="L1438:M1439">
    <cfRule type="expression" dxfId="101" priority="4810">
      <formula>$BC1438="YES"</formula>
    </cfRule>
  </conditionalFormatting>
  <conditionalFormatting sqref="J1438:K1439">
    <cfRule type="expression" dxfId="100" priority="4811">
      <formula>$BC1438="YES"</formula>
    </cfRule>
  </conditionalFormatting>
  <conditionalFormatting sqref="H1436:I1436">
    <cfRule type="expression" dxfId="99" priority="4812">
      <formula>$BC1436="YES"</formula>
    </cfRule>
  </conditionalFormatting>
  <conditionalFormatting sqref="H1437:I1438">
    <cfRule type="expression" dxfId="98" priority="4813">
      <formula>$BC1437="YES"</formula>
    </cfRule>
  </conditionalFormatting>
  <conditionalFormatting sqref="H1439:I1439">
    <cfRule type="expression" dxfId="97" priority="4814">
      <formula>$BC1439="YES"</formula>
    </cfRule>
  </conditionalFormatting>
  <conditionalFormatting sqref="L1440:M1441">
    <cfRule type="expression" dxfId="96" priority="4815">
      <formula>$BC1440="YES"</formula>
    </cfRule>
  </conditionalFormatting>
  <conditionalFormatting sqref="J1440:K1441">
    <cfRule type="expression" dxfId="95" priority="4816">
      <formula>$BC1440="YES"</formula>
    </cfRule>
  </conditionalFormatting>
  <conditionalFormatting sqref="L1442:M1443">
    <cfRule type="expression" dxfId="94" priority="4817">
      <formula>$BC1442="YES"</formula>
    </cfRule>
  </conditionalFormatting>
  <conditionalFormatting sqref="J1442:K1443">
    <cfRule type="expression" dxfId="93" priority="4818">
      <formula>$BC1442="YES"</formula>
    </cfRule>
  </conditionalFormatting>
  <conditionalFormatting sqref="H1440:I1440">
    <cfRule type="expression" dxfId="92" priority="4819">
      <formula>$BC1440="YES"</formula>
    </cfRule>
  </conditionalFormatting>
  <conditionalFormatting sqref="H1443:I1443">
    <cfRule type="expression" dxfId="91" priority="4820">
      <formula>$BC1443="YES"</formula>
    </cfRule>
  </conditionalFormatting>
  <conditionalFormatting sqref="L1444:M1445">
    <cfRule type="expression" dxfId="90" priority="4821">
      <formula>$BC1444="YES"</formula>
    </cfRule>
  </conditionalFormatting>
  <conditionalFormatting sqref="J1444:K1445">
    <cfRule type="expression" dxfId="89" priority="4822">
      <formula>$BC1444="YES"</formula>
    </cfRule>
  </conditionalFormatting>
  <conditionalFormatting sqref="L1446:M1447">
    <cfRule type="expression" dxfId="88" priority="4823">
      <formula>$BC1446="YES"</formula>
    </cfRule>
  </conditionalFormatting>
  <conditionalFormatting sqref="J1446:K1447">
    <cfRule type="expression" dxfId="87" priority="4824">
      <formula>$BC1446="YES"</formula>
    </cfRule>
  </conditionalFormatting>
  <conditionalFormatting sqref="H1444:I1444">
    <cfRule type="expression" dxfId="86" priority="4825">
      <formula>$BC1444="YES"</formula>
    </cfRule>
  </conditionalFormatting>
  <conditionalFormatting sqref="H1445:I1446">
    <cfRule type="expression" dxfId="85" priority="4826">
      <formula>$BC1445="YES"</formula>
    </cfRule>
  </conditionalFormatting>
  <conditionalFormatting sqref="H1447:I1447">
    <cfRule type="expression" dxfId="84" priority="4827">
      <formula>$BC1447="YES"</formula>
    </cfRule>
  </conditionalFormatting>
  <conditionalFormatting sqref="L1448:M1449">
    <cfRule type="expression" dxfId="83" priority="4828">
      <formula>$BC1448="YES"</formula>
    </cfRule>
  </conditionalFormatting>
  <conditionalFormatting sqref="J1448:K1449">
    <cfRule type="expression" dxfId="82" priority="4829">
      <formula>$BC1448="YES"</formula>
    </cfRule>
  </conditionalFormatting>
  <conditionalFormatting sqref="L1450:M1451">
    <cfRule type="expression" dxfId="81" priority="4830">
      <formula>$BC1450="YES"</formula>
    </cfRule>
  </conditionalFormatting>
  <conditionalFormatting sqref="J1450:K1451">
    <cfRule type="expression" dxfId="80" priority="4831">
      <formula>$BC1450="YES"</formula>
    </cfRule>
  </conditionalFormatting>
  <conditionalFormatting sqref="H1448:I1448">
    <cfRule type="expression" dxfId="79" priority="4832">
      <formula>$BC1448="YES"</formula>
    </cfRule>
  </conditionalFormatting>
  <conditionalFormatting sqref="H1449:I1450">
    <cfRule type="expression" dxfId="78" priority="4833">
      <formula>$BC1449="YES"</formula>
    </cfRule>
  </conditionalFormatting>
  <conditionalFormatting sqref="H1451:I1451">
    <cfRule type="expression" dxfId="77" priority="4834">
      <formula>$BC1451="YES"</formula>
    </cfRule>
  </conditionalFormatting>
  <conditionalFormatting sqref="L1452:M1453">
    <cfRule type="expression" dxfId="76" priority="4835">
      <formula>$BC1452="YES"</formula>
    </cfRule>
  </conditionalFormatting>
  <conditionalFormatting sqref="J1452:K1453">
    <cfRule type="expression" dxfId="75" priority="4836">
      <formula>$BC1452="YES"</formula>
    </cfRule>
  </conditionalFormatting>
  <conditionalFormatting sqref="L1454:M1455">
    <cfRule type="expression" dxfId="74" priority="4837">
      <formula>$BC1454="YES"</formula>
    </cfRule>
  </conditionalFormatting>
  <conditionalFormatting sqref="J1454:K1455">
    <cfRule type="expression" dxfId="73" priority="4838">
      <formula>$BC1454="YES"</formula>
    </cfRule>
  </conditionalFormatting>
  <conditionalFormatting sqref="H1452:I1452">
    <cfRule type="expression" dxfId="72" priority="4839">
      <formula>$BC1452="YES"</formula>
    </cfRule>
  </conditionalFormatting>
  <conditionalFormatting sqref="H1453:I1454">
    <cfRule type="expression" dxfId="71" priority="4840">
      <formula>$BC1453="YES"</formula>
    </cfRule>
  </conditionalFormatting>
  <conditionalFormatting sqref="H1455:I1455">
    <cfRule type="expression" dxfId="70" priority="4841">
      <formula>$BC1455="YES"</formula>
    </cfRule>
  </conditionalFormatting>
  <conditionalFormatting sqref="L1456:M1457">
    <cfRule type="expression" dxfId="69" priority="4842">
      <formula>$BC1456="YES"</formula>
    </cfRule>
  </conditionalFormatting>
  <conditionalFormatting sqref="J1456:K1457">
    <cfRule type="expression" dxfId="68" priority="4843">
      <formula>$BC1456="YES"</formula>
    </cfRule>
  </conditionalFormatting>
  <conditionalFormatting sqref="L1458:M1459">
    <cfRule type="expression" dxfId="67" priority="4844">
      <formula>$BC1458="YES"</formula>
    </cfRule>
  </conditionalFormatting>
  <conditionalFormatting sqref="J1458:K1459">
    <cfRule type="expression" dxfId="66" priority="4845">
      <formula>$BC1458="YES"</formula>
    </cfRule>
  </conditionalFormatting>
  <conditionalFormatting sqref="H1456:I1456">
    <cfRule type="expression" dxfId="65" priority="4846">
      <formula>$BC1456="YES"</formula>
    </cfRule>
  </conditionalFormatting>
  <conditionalFormatting sqref="H1457:I1458">
    <cfRule type="expression" dxfId="64" priority="4847">
      <formula>$BC1457="YES"</formula>
    </cfRule>
  </conditionalFormatting>
  <conditionalFormatting sqref="H1459:I1459">
    <cfRule type="expression" dxfId="63" priority="4848">
      <formula>$BC1459="YES"</formula>
    </cfRule>
  </conditionalFormatting>
  <conditionalFormatting sqref="L1460:M1461">
    <cfRule type="expression" dxfId="62" priority="4849">
      <formula>$BC1460="YES"</formula>
    </cfRule>
  </conditionalFormatting>
  <conditionalFormatting sqref="J1460:K1461">
    <cfRule type="expression" dxfId="61" priority="4850">
      <formula>$BC1460="YES"</formula>
    </cfRule>
  </conditionalFormatting>
  <conditionalFormatting sqref="L1462:M1463">
    <cfRule type="expression" dxfId="60" priority="4851">
      <formula>$BC1462="YES"</formula>
    </cfRule>
  </conditionalFormatting>
  <conditionalFormatting sqref="J1462:K1463">
    <cfRule type="expression" dxfId="59" priority="4852">
      <formula>$BC1462="YES"</formula>
    </cfRule>
  </conditionalFormatting>
  <conditionalFormatting sqref="H1461:I1462">
    <cfRule type="expression" dxfId="58" priority="4853">
      <formula>$BC1461="YES"</formula>
    </cfRule>
  </conditionalFormatting>
  <conditionalFormatting sqref="H1463:I1463">
    <cfRule type="expression" dxfId="57" priority="4854">
      <formula>$BC1463="YES"</formula>
    </cfRule>
  </conditionalFormatting>
  <conditionalFormatting sqref="L1464:M1465">
    <cfRule type="expression" dxfId="56" priority="4855">
      <formula>$BC1464="YES"</formula>
    </cfRule>
  </conditionalFormatting>
  <conditionalFormatting sqref="J1464:K1465">
    <cfRule type="expression" dxfId="55" priority="4856">
      <formula>$BC1464="YES"</formula>
    </cfRule>
  </conditionalFormatting>
  <conditionalFormatting sqref="L1466:M1467">
    <cfRule type="expression" dxfId="54" priority="4857">
      <formula>$BC1466="YES"</formula>
    </cfRule>
  </conditionalFormatting>
  <conditionalFormatting sqref="J1466:K1467">
    <cfRule type="expression" dxfId="53" priority="4858">
      <formula>$BC1466="YES"</formula>
    </cfRule>
  </conditionalFormatting>
  <conditionalFormatting sqref="H1464:I1464">
    <cfRule type="expression" dxfId="52" priority="4859">
      <formula>$BC1464="YES"</formula>
    </cfRule>
  </conditionalFormatting>
  <conditionalFormatting sqref="H1465:I1466">
    <cfRule type="expression" dxfId="51" priority="4860">
      <formula>$BC1465="YES"</formula>
    </cfRule>
  </conditionalFormatting>
  <conditionalFormatting sqref="H1467:I1467">
    <cfRule type="expression" dxfId="50" priority="4861">
      <formula>$BC1467="YES"</formula>
    </cfRule>
  </conditionalFormatting>
  <conditionalFormatting sqref="L1468:M1469">
    <cfRule type="expression" dxfId="49" priority="4862">
      <formula>$BC1468="YES"</formula>
    </cfRule>
  </conditionalFormatting>
  <conditionalFormatting sqref="J1468:K1469">
    <cfRule type="expression" dxfId="48" priority="4863">
      <formula>$BC1468="YES"</formula>
    </cfRule>
  </conditionalFormatting>
  <conditionalFormatting sqref="L1470:M1471">
    <cfRule type="expression" dxfId="47" priority="4864">
      <formula>$BC1470="YES"</formula>
    </cfRule>
  </conditionalFormatting>
  <conditionalFormatting sqref="J1470:K1471">
    <cfRule type="expression" dxfId="46" priority="4865">
      <formula>$BC1470="YES"</formula>
    </cfRule>
  </conditionalFormatting>
  <conditionalFormatting sqref="H1468:I1468">
    <cfRule type="expression" dxfId="45" priority="4866">
      <formula>$BC1468="YES"</formula>
    </cfRule>
  </conditionalFormatting>
  <conditionalFormatting sqref="H1469:I1470">
    <cfRule type="expression" dxfId="44" priority="4867">
      <formula>$BC1469="YES"</formula>
    </cfRule>
  </conditionalFormatting>
  <conditionalFormatting sqref="H1471:I1471">
    <cfRule type="expression" dxfId="43" priority="4868">
      <formula>$BC1471="YES"</formula>
    </cfRule>
  </conditionalFormatting>
  <conditionalFormatting sqref="L1472:M1473">
    <cfRule type="expression" dxfId="42" priority="4869">
      <formula>$BC1472="YES"</formula>
    </cfRule>
  </conditionalFormatting>
  <conditionalFormatting sqref="H1489:I1490">
    <cfRule type="expression" dxfId="41" priority="4870">
      <formula>$BC1489="YES"</formula>
    </cfRule>
  </conditionalFormatting>
  <conditionalFormatting sqref="H1491:I1491">
    <cfRule type="expression" dxfId="40" priority="4871">
      <formula>$BC1491="YES"</formula>
    </cfRule>
  </conditionalFormatting>
  <conditionalFormatting sqref="L1492:M1493">
    <cfRule type="expression" dxfId="39" priority="4872">
      <formula>$BC1492="YES"</formula>
    </cfRule>
  </conditionalFormatting>
  <conditionalFormatting sqref="J1492:K1493">
    <cfRule type="expression" dxfId="38" priority="4873">
      <formula>$BC1492="YES"</formula>
    </cfRule>
  </conditionalFormatting>
  <conditionalFormatting sqref="L1494:M1495">
    <cfRule type="expression" dxfId="37" priority="4874">
      <formula>$BC1494="YES"</formula>
    </cfRule>
  </conditionalFormatting>
  <conditionalFormatting sqref="J1494:K1495">
    <cfRule type="expression" dxfId="36" priority="4875">
      <formula>$BC1494="YES"</formula>
    </cfRule>
  </conditionalFormatting>
  <conditionalFormatting sqref="H1492:I1492">
    <cfRule type="expression" dxfId="35" priority="4876">
      <formula>$BC1492="YES"</formula>
    </cfRule>
  </conditionalFormatting>
  <conditionalFormatting sqref="H1493:I1494">
    <cfRule type="expression" dxfId="34" priority="4877">
      <formula>$BC1493="YES"</formula>
    </cfRule>
  </conditionalFormatting>
  <conditionalFormatting sqref="H1495:I1495">
    <cfRule type="expression" dxfId="33" priority="4878">
      <formula>$BC1495="YES"</formula>
    </cfRule>
  </conditionalFormatting>
  <conditionalFormatting sqref="L1496:M1497">
    <cfRule type="expression" dxfId="32" priority="4879">
      <formula>$BC1496="YES"</formula>
    </cfRule>
  </conditionalFormatting>
  <conditionalFormatting sqref="J1496:K1497">
    <cfRule type="expression" dxfId="31" priority="4880">
      <formula>$BC1496="YES"</formula>
    </cfRule>
  </conditionalFormatting>
  <conditionalFormatting sqref="L1498:M1499">
    <cfRule type="expression" dxfId="30" priority="4881">
      <formula>$BC1498="YES"</formula>
    </cfRule>
  </conditionalFormatting>
  <conditionalFormatting sqref="J1498:K1499">
    <cfRule type="expression" dxfId="29" priority="4882">
      <formula>$BC1498="YES"</formula>
    </cfRule>
  </conditionalFormatting>
  <conditionalFormatting sqref="H1496:I1496">
    <cfRule type="expression" dxfId="28" priority="4883">
      <formula>$BC1496="YES"</formula>
    </cfRule>
  </conditionalFormatting>
  <conditionalFormatting sqref="H1497:I1498">
    <cfRule type="expression" dxfId="27" priority="4884">
      <formula>$BC1497="YES"</formula>
    </cfRule>
  </conditionalFormatting>
  <conditionalFormatting sqref="H1499:I1499">
    <cfRule type="expression" dxfId="26" priority="4885">
      <formula>$BC1499="YES"</formula>
    </cfRule>
  </conditionalFormatting>
  <conditionalFormatting sqref="L1500:M1501">
    <cfRule type="expression" dxfId="25" priority="4886">
      <formula>$BC1500="YES"</formula>
    </cfRule>
  </conditionalFormatting>
  <conditionalFormatting sqref="J1500:K1501">
    <cfRule type="expression" dxfId="24" priority="4887">
      <formula>$BC1500="YES"</formula>
    </cfRule>
  </conditionalFormatting>
  <conditionalFormatting sqref="L1502:M1503">
    <cfRule type="expression" dxfId="23" priority="4888">
      <formula>$BC1502="YES"</formula>
    </cfRule>
  </conditionalFormatting>
  <conditionalFormatting sqref="J1502:K1503">
    <cfRule type="expression" dxfId="22" priority="4889">
      <formula>$BC1502="YES"</formula>
    </cfRule>
  </conditionalFormatting>
  <conditionalFormatting sqref="H1500:I1500">
    <cfRule type="expression" dxfId="21" priority="4890">
      <formula>$BC1500="YES"</formula>
    </cfRule>
  </conditionalFormatting>
  <conditionalFormatting sqref="H1501:I1502">
    <cfRule type="expression" dxfId="20" priority="4891">
      <formula>$BC1501="YES"</formula>
    </cfRule>
  </conditionalFormatting>
  <conditionalFormatting sqref="H1503:I1503">
    <cfRule type="expression" dxfId="19" priority="4892">
      <formula>$BC1503="YES"</formula>
    </cfRule>
  </conditionalFormatting>
  <conditionalFormatting sqref="L1504:M1504">
    <cfRule type="expression" dxfId="18" priority="4893">
      <formula>$BC1504="YES"</formula>
    </cfRule>
  </conditionalFormatting>
  <conditionalFormatting sqref="J1504:K1504">
    <cfRule type="expression" dxfId="17" priority="4894">
      <formula>$BC1504="YES"</formula>
    </cfRule>
  </conditionalFormatting>
  <conditionalFormatting sqref="H1504:I1504">
    <cfRule type="expression" dxfId="16" priority="4895">
      <formula>$BC1504="YES"</formula>
    </cfRule>
  </conditionalFormatting>
  <conditionalFormatting sqref="B1610:F1611 F1612:F1614 H1610:I1614 L1610:AF1614 AL1610:BV1614">
    <cfRule type="expression" dxfId="15" priority="4896">
      <formula>$BC1610="YES"</formula>
    </cfRule>
  </conditionalFormatting>
  <pageMargins left="0" right="0" top="0.75" bottom="0.75" header="0" footer="0"/>
  <pageSetup paperSize="3" orientation="landscape"/>
  <extLst>
    <ext xmlns:x14="http://schemas.microsoft.com/office/spreadsheetml/2009/9/main" uri="{CCE6A557-97BC-4b89-ADB6-D9C93CAAB3DF}">
      <x14:dataValidations xmlns:xm="http://schemas.microsoft.com/office/excel/2006/main" count="12">
        <x14:dataValidation type="list" allowBlank="1" showErrorMessage="1" xr:uid="{00000000-0002-0000-0300-000000000000}">
          <x14:formula1>
            <xm:f>'Drop-Down Boxes '!$A$12:$A$14</xm:f>
          </x14:formula1>
          <xm:sqref>R15:R1614</xm:sqref>
        </x14:dataValidation>
        <x14:dataValidation type="list" allowBlank="1" showErrorMessage="1" xr:uid="{00000000-0002-0000-0300-000001000000}">
          <x14:formula1>
            <xm:f>'Drop-Down Boxes '!$O$43:$O$50</xm:f>
          </x14:formula1>
          <xm:sqref>AX15:AX1614 BA15:BA1614</xm:sqref>
        </x14:dataValidation>
        <x14:dataValidation type="list" allowBlank="1" showErrorMessage="1" xr:uid="{00000000-0002-0000-0300-000002000000}">
          <x14:formula1>
            <xm:f>'Drop-Down Boxes '!$J$80:$J$84</xm:f>
          </x14:formula1>
          <xm:sqref>BF15:BF1614</xm:sqref>
        </x14:dataValidation>
        <x14:dataValidation type="list" allowBlank="1" showErrorMessage="1" xr:uid="{00000000-0002-0000-0300-000003000000}">
          <x14:formula1>
            <xm:f>'Drop-Down Boxes '!$A$79:$A$80</xm:f>
          </x14:formula1>
          <xm:sqref>J15:J1614 T15:T1614 AP15:AP1614 BC15:BC1614</xm:sqref>
        </x14:dataValidation>
        <x14:dataValidation type="list" allowBlank="1" showErrorMessage="1" xr:uid="{00000000-0002-0000-0300-000004000000}">
          <x14:formula1>
            <xm:f>'Drop-Down Boxes '!$A$17:$A$18</xm:f>
          </x14:formula1>
          <xm:sqref>O15:O1614</xm:sqref>
        </x14:dataValidation>
        <x14:dataValidation type="list" allowBlank="1" showErrorMessage="1" xr:uid="{00000000-0002-0000-0300-000005000000}">
          <x14:formula1>
            <xm:f>'Drop-Down Boxes '!$H$3:$H$11</xm:f>
          </x14:formula1>
          <xm:sqref>R10</xm:sqref>
        </x14:dataValidation>
        <x14:dataValidation type="list" allowBlank="1" showErrorMessage="1" xr:uid="{00000000-0002-0000-0300-000006000000}">
          <x14:formula1>
            <xm:f>'Drop-Down Boxes '!$K$91:$K$93</xm:f>
          </x14:formula1>
          <xm:sqref>AR15:AR1614</xm:sqref>
        </x14:dataValidation>
        <x14:dataValidation type="list" allowBlank="1" showErrorMessage="1" xr:uid="{00000000-0002-0000-0300-000007000000}">
          <x14:formula1>
            <xm:f>'Drop-Down Boxes '!$O$91:$O$93</xm:f>
          </x14:formula1>
          <xm:sqref>AT15:AT1614</xm:sqref>
        </x14:dataValidation>
        <x14:dataValidation type="list" allowBlank="1" showErrorMessage="1" xr:uid="{00000000-0002-0000-0300-000008000000}">
          <x14:formula1>
            <xm:f>'Drop-Down Boxes '!$D$3:$D$14</xm:f>
          </x14:formula1>
          <xm:sqref>H10</xm:sqref>
        </x14:dataValidation>
        <x14:dataValidation type="list" allowBlank="1" showErrorMessage="1" xr:uid="{00000000-0002-0000-0300-000009000000}">
          <x14:formula1>
            <xm:f>'Drop-Down Boxes '!$A$3:$A$9</xm:f>
          </x14:formula1>
          <xm:sqref>P15:P1614</xm:sqref>
        </x14:dataValidation>
        <x14:dataValidation type="list" allowBlank="1" showErrorMessage="1" xr:uid="{00000000-0002-0000-0300-00000A000000}">
          <x14:formula1>
            <xm:f>'Drop-Down Boxes '!$D$86:$D$88</xm:f>
          </x14:formula1>
          <xm:sqref>V15:V1614 AJ15:AJ1614</xm:sqref>
        </x14:dataValidation>
        <x14:dataValidation type="list" allowBlank="1" showErrorMessage="1" xr:uid="{00000000-0002-0000-0300-00000B000000}">
          <x14:formula1>
            <xm:f>'Drop-Down Boxes '!$H$89:$H$90</xm:f>
          </x14:formula1>
          <xm:sqref>AF15:AF1614 AH15:AH1614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B1613"/>
  <sheetViews>
    <sheetView workbookViewId="0">
      <pane ySplit="1" topLeftCell="A2" activePane="bottomLeft" state="frozen"/>
      <selection pane="bottomLeft" activeCell="A3" sqref="A3:AT3"/>
    </sheetView>
  </sheetViews>
  <sheetFormatPr defaultColWidth="14.42578125" defaultRowHeight="15" customHeight="1"/>
  <cols>
    <col min="1" max="5" width="4.7109375" customWidth="1"/>
    <col min="6" max="6" width="5" customWidth="1"/>
    <col min="7" max="26" width="4.7109375" customWidth="1"/>
    <col min="27" max="27" width="6" customWidth="1"/>
    <col min="28" max="28" width="5.42578125" customWidth="1"/>
    <col min="29" max="44" width="4.7109375" customWidth="1"/>
    <col min="45" max="45" width="5.42578125" customWidth="1"/>
    <col min="46" max="50" width="4.7109375" customWidth="1"/>
    <col min="51" max="51" width="4" customWidth="1"/>
    <col min="52" max="52" width="5.85546875" customWidth="1"/>
    <col min="53" max="53" width="5.5703125" customWidth="1"/>
    <col min="54" max="54" width="4.7109375" customWidth="1"/>
  </cols>
  <sheetData>
    <row r="1" spans="1:54" ht="49.5" customHeight="1">
      <c r="A1" s="25" t="s">
        <v>287</v>
      </c>
      <c r="B1" s="618" t="s">
        <v>310</v>
      </c>
      <c r="C1" s="351"/>
      <c r="D1" s="600" t="s">
        <v>393</v>
      </c>
      <c r="E1" s="351"/>
      <c r="F1" s="624" t="s">
        <v>394</v>
      </c>
      <c r="G1" s="351"/>
      <c r="H1" s="636" t="s">
        <v>395</v>
      </c>
      <c r="I1" s="351"/>
      <c r="J1" s="637" t="s">
        <v>396</v>
      </c>
      <c r="K1" s="351"/>
      <c r="L1" s="615" t="s">
        <v>397</v>
      </c>
      <c r="M1" s="351"/>
      <c r="N1" s="612" t="s">
        <v>398</v>
      </c>
      <c r="O1" s="351"/>
      <c r="P1" s="615" t="s">
        <v>399</v>
      </c>
      <c r="Q1" s="351"/>
      <c r="R1" s="612" t="s">
        <v>400</v>
      </c>
      <c r="S1" s="351"/>
      <c r="T1" s="615" t="s">
        <v>401</v>
      </c>
      <c r="U1" s="351"/>
      <c r="V1" s="633" t="s">
        <v>402</v>
      </c>
      <c r="W1" s="351"/>
      <c r="X1" s="634" t="s">
        <v>403</v>
      </c>
      <c r="Y1" s="351"/>
      <c r="Z1" s="635" t="s">
        <v>404</v>
      </c>
      <c r="AA1" s="351"/>
      <c r="AB1" s="607" t="s">
        <v>405</v>
      </c>
      <c r="AC1" s="351"/>
      <c r="AD1" s="606" t="s">
        <v>406</v>
      </c>
      <c r="AE1" s="351"/>
      <c r="AF1" s="607" t="s">
        <v>407</v>
      </c>
      <c r="AG1" s="351"/>
      <c r="AH1" s="606" t="s">
        <v>408</v>
      </c>
      <c r="AI1" s="351"/>
      <c r="AJ1" s="607" t="s">
        <v>409</v>
      </c>
      <c r="AK1" s="351"/>
      <c r="AL1" s="625" t="s">
        <v>315</v>
      </c>
      <c r="AM1" s="350"/>
      <c r="AN1" s="350"/>
      <c r="AO1" s="350"/>
      <c r="AP1" s="350"/>
      <c r="AQ1" s="350"/>
      <c r="AR1" s="350"/>
      <c r="AS1" s="350"/>
      <c r="AT1" s="350"/>
      <c r="AU1" s="350"/>
      <c r="AV1" s="350"/>
      <c r="AW1" s="350"/>
      <c r="AX1" s="350"/>
      <c r="AY1" s="350"/>
      <c r="AZ1" s="350"/>
      <c r="BA1" s="350"/>
      <c r="BB1" s="351"/>
    </row>
    <row r="2" spans="1:54" ht="18.75">
      <c r="A2" s="466" t="b">
        <f t="array" ref="A2">'INSTRUCTIONS '!A33:AN37='GRANTEE SET UP INFO &amp; DATE '!A1</f>
        <v>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428"/>
      <c r="AU2" s="43"/>
      <c r="AV2" s="43"/>
      <c r="AW2" s="8"/>
      <c r="AX2" s="8"/>
      <c r="AY2" s="8"/>
      <c r="AZ2" s="8"/>
      <c r="BA2" s="8"/>
      <c r="BB2" s="8"/>
    </row>
    <row r="3" spans="1:54" ht="15.75">
      <c r="A3" s="638" t="str">
        <f>'GRANTEE SET UP INFO &amp; DATE '!A2</f>
        <v xml:space="preserve">Program reports need to be submitted electronically, via e-mail to DHHRBBHReporting@wv.gov  within 25 calendar days of the end of each month </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1"/>
      <c r="AU3" s="29"/>
      <c r="AV3" s="29"/>
      <c r="AW3" s="8"/>
      <c r="AX3" s="8"/>
      <c r="AY3" s="8"/>
      <c r="AZ3" s="8"/>
      <c r="BA3" s="8"/>
      <c r="BB3" s="8"/>
    </row>
    <row r="4" spans="1:54" ht="19.5" customHeight="1">
      <c r="A4" s="514" t="s">
        <v>410</v>
      </c>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428"/>
    </row>
    <row r="5" spans="1:54" ht="15" customHeight="1">
      <c r="A5" s="371" t="s">
        <v>411</v>
      </c>
      <c r="B5" s="350"/>
      <c r="C5" s="350"/>
      <c r="D5" s="350"/>
      <c r="E5" s="350"/>
      <c r="F5" s="350"/>
      <c r="G5" s="350"/>
      <c r="H5" s="350"/>
      <c r="I5" s="350"/>
      <c r="J5" s="351"/>
      <c r="K5" s="9"/>
      <c r="L5" s="639" t="str">
        <f>'GRANTEE SET UP INFO &amp; DATE '!H4</f>
        <v>Recovery Community Organization (RCO)</v>
      </c>
      <c r="M5" s="361"/>
      <c r="N5" s="361"/>
      <c r="O5" s="361"/>
      <c r="P5" s="361"/>
      <c r="Q5" s="361"/>
      <c r="R5" s="361"/>
      <c r="S5" s="361"/>
      <c r="T5" s="361"/>
      <c r="U5" s="361"/>
      <c r="V5" s="361"/>
      <c r="W5" s="361"/>
      <c r="X5" s="361"/>
      <c r="Y5" s="361"/>
      <c r="Z5" s="361"/>
      <c r="AA5" s="361"/>
      <c r="AB5" s="361"/>
      <c r="AC5" s="361"/>
      <c r="AD5" s="362"/>
      <c r="AE5" s="5"/>
      <c r="AF5" s="374" t="s">
        <v>32</v>
      </c>
      <c r="AG5" s="350"/>
      <c r="AH5" s="350"/>
      <c r="AI5" s="350"/>
      <c r="AJ5" s="350"/>
      <c r="AK5" s="350"/>
      <c r="AL5" s="350"/>
      <c r="AM5" s="350"/>
      <c r="AN5" s="351"/>
      <c r="AO5" s="517">
        <f>'GRANTEE SET UP INFO &amp; DATE '!Z4</f>
        <v>0</v>
      </c>
      <c r="AP5" s="350"/>
      <c r="AQ5" s="350"/>
      <c r="AR5" s="350"/>
      <c r="AS5" s="350"/>
      <c r="AT5" s="350"/>
      <c r="AU5" s="350"/>
      <c r="AV5" s="350"/>
      <c r="AW5" s="350"/>
      <c r="AX5" s="350"/>
      <c r="AY5" s="350"/>
      <c r="AZ5" s="350"/>
      <c r="BA5" s="350"/>
      <c r="BB5" s="351"/>
    </row>
    <row r="6" spans="1:54">
      <c r="A6" s="368" t="s">
        <v>412</v>
      </c>
      <c r="B6" s="350"/>
      <c r="C6" s="350"/>
      <c r="D6" s="350"/>
      <c r="E6" s="350"/>
      <c r="F6" s="350"/>
      <c r="G6" s="350"/>
      <c r="H6" s="350"/>
      <c r="I6" s="350"/>
      <c r="J6" s="351"/>
      <c r="K6" s="9"/>
      <c r="L6" s="640">
        <f>'GRANTEE SET UP INFO &amp; DATE '!H5</f>
        <v>0</v>
      </c>
      <c r="M6" s="350"/>
      <c r="N6" s="350"/>
      <c r="O6" s="350"/>
      <c r="P6" s="350"/>
      <c r="Q6" s="350"/>
      <c r="R6" s="350"/>
      <c r="S6" s="350"/>
      <c r="T6" s="350"/>
      <c r="U6" s="350"/>
      <c r="V6" s="350"/>
      <c r="W6" s="350"/>
      <c r="X6" s="350"/>
      <c r="Y6" s="350"/>
      <c r="Z6" s="350"/>
      <c r="AA6" s="350"/>
      <c r="AB6" s="350"/>
      <c r="AC6" s="350"/>
      <c r="AD6" s="351"/>
      <c r="AE6" s="5"/>
      <c r="AF6" s="479" t="s">
        <v>36</v>
      </c>
      <c r="AG6" s="350"/>
      <c r="AH6" s="350"/>
      <c r="AI6" s="350"/>
      <c r="AJ6" s="350"/>
      <c r="AK6" s="350"/>
      <c r="AL6" s="350"/>
      <c r="AM6" s="350"/>
      <c r="AN6" s="351"/>
      <c r="AO6" s="413" t="str">
        <f>'GRANTEE SET UP INFO &amp; DATE '!Z5</f>
        <v xml:space="preserve">Names of Contact(s): </v>
      </c>
      <c r="AP6" s="350"/>
      <c r="AQ6" s="350"/>
      <c r="AR6" s="350"/>
      <c r="AS6" s="350"/>
      <c r="AT6" s="350"/>
      <c r="AU6" s="350"/>
      <c r="AV6" s="350"/>
      <c r="AW6" s="350"/>
      <c r="AX6" s="350"/>
      <c r="AY6" s="350"/>
      <c r="AZ6" s="350"/>
      <c r="BA6" s="350"/>
      <c r="BB6" s="351"/>
    </row>
    <row r="7" spans="1:54" ht="15" customHeight="1">
      <c r="A7" s="453" t="s">
        <v>38</v>
      </c>
      <c r="B7" s="355"/>
      <c r="C7" s="355"/>
      <c r="D7" s="355"/>
      <c r="E7" s="355"/>
      <c r="F7" s="355"/>
      <c r="G7" s="355"/>
      <c r="H7" s="355"/>
      <c r="I7" s="355"/>
      <c r="J7" s="356"/>
      <c r="K7" s="9"/>
      <c r="L7" s="641">
        <f>'GRANTEE SET UP INFO &amp; DATE '!H6</f>
        <v>0</v>
      </c>
      <c r="M7" s="355"/>
      <c r="N7" s="355"/>
      <c r="O7" s="355"/>
      <c r="P7" s="355"/>
      <c r="Q7" s="355"/>
      <c r="R7" s="355"/>
      <c r="S7" s="355"/>
      <c r="T7" s="355"/>
      <c r="U7" s="355"/>
      <c r="V7" s="355"/>
      <c r="W7" s="355"/>
      <c r="X7" s="355"/>
      <c r="Y7" s="355"/>
      <c r="Z7" s="355"/>
      <c r="AA7" s="355"/>
      <c r="AB7" s="355"/>
      <c r="AC7" s="355"/>
      <c r="AD7" s="356"/>
      <c r="AE7" s="5"/>
      <c r="AF7" s="368" t="s">
        <v>40</v>
      </c>
      <c r="AG7" s="350"/>
      <c r="AH7" s="350"/>
      <c r="AI7" s="350"/>
      <c r="AJ7" s="350"/>
      <c r="AK7" s="350"/>
      <c r="AL7" s="350"/>
      <c r="AM7" s="350"/>
      <c r="AN7" s="351"/>
      <c r="AO7" s="412">
        <f>'GRANTEE SET UP INFO &amp; DATE '!Z6</f>
        <v>0</v>
      </c>
      <c r="AP7" s="350"/>
      <c r="AQ7" s="350"/>
      <c r="AR7" s="350"/>
      <c r="AS7" s="350"/>
      <c r="AT7" s="350"/>
      <c r="AU7" s="350"/>
      <c r="AV7" s="350"/>
      <c r="AW7" s="350"/>
      <c r="AX7" s="350"/>
      <c r="AY7" s="350"/>
      <c r="AZ7" s="350"/>
      <c r="BA7" s="350"/>
      <c r="BB7" s="351"/>
    </row>
    <row r="8" spans="1:54">
      <c r="A8" s="360"/>
      <c r="B8" s="361"/>
      <c r="C8" s="361"/>
      <c r="D8" s="361"/>
      <c r="E8" s="361"/>
      <c r="F8" s="361"/>
      <c r="G8" s="361"/>
      <c r="H8" s="361"/>
      <c r="I8" s="361"/>
      <c r="J8" s="362"/>
      <c r="K8" s="9"/>
      <c r="L8" s="361"/>
      <c r="M8" s="361"/>
      <c r="N8" s="361"/>
      <c r="O8" s="361"/>
      <c r="P8" s="361"/>
      <c r="Q8" s="361"/>
      <c r="R8" s="361"/>
      <c r="S8" s="361"/>
      <c r="T8" s="361"/>
      <c r="U8" s="361"/>
      <c r="V8" s="361"/>
      <c r="W8" s="361"/>
      <c r="X8" s="361"/>
      <c r="Y8" s="361"/>
      <c r="Z8" s="361"/>
      <c r="AA8" s="361"/>
      <c r="AB8" s="361"/>
      <c r="AC8" s="361"/>
      <c r="AD8" s="362"/>
      <c r="AE8" s="5"/>
      <c r="AF8" s="368" t="s">
        <v>42</v>
      </c>
      <c r="AG8" s="350"/>
      <c r="AH8" s="350"/>
      <c r="AI8" s="350"/>
      <c r="AJ8" s="350"/>
      <c r="AK8" s="350"/>
      <c r="AL8" s="350"/>
      <c r="AM8" s="350"/>
      <c r="AN8" s="351"/>
      <c r="AO8" s="412">
        <f>'GRANTEE SET UP INFO &amp; DATE '!Z7</f>
        <v>0</v>
      </c>
      <c r="AP8" s="350"/>
      <c r="AQ8" s="350"/>
      <c r="AR8" s="350"/>
      <c r="AS8" s="350"/>
      <c r="AT8" s="350"/>
      <c r="AU8" s="350"/>
      <c r="AV8" s="350"/>
      <c r="AW8" s="350"/>
      <c r="AX8" s="350"/>
      <c r="AY8" s="350"/>
      <c r="AZ8" s="350"/>
      <c r="BA8" s="350"/>
      <c r="BB8" s="351"/>
    </row>
    <row r="9" spans="1:54" ht="15.75" customHeight="1">
      <c r="A9" s="521" t="s">
        <v>413</v>
      </c>
      <c r="B9" s="350"/>
      <c r="C9" s="350"/>
      <c r="D9" s="350"/>
      <c r="E9" s="350"/>
      <c r="F9" s="350"/>
      <c r="G9" s="350"/>
      <c r="H9" s="350"/>
      <c r="I9" s="350"/>
      <c r="J9" s="351"/>
      <c r="K9" s="9"/>
      <c r="L9" s="642" t="str">
        <f>'GRANTEE SET UP INFO &amp; DATE '!H8</f>
        <v>June 1 - 30</v>
      </c>
      <c r="M9" s="350"/>
      <c r="N9" s="350"/>
      <c r="O9" s="350"/>
      <c r="P9" s="350"/>
      <c r="Q9" s="350"/>
      <c r="R9" s="350"/>
      <c r="S9" s="350"/>
      <c r="T9" s="351"/>
      <c r="U9" s="454">
        <f>'GRANTEE SET UP INFO &amp; DATE '!P8</f>
        <v>2022</v>
      </c>
      <c r="V9" s="350"/>
      <c r="W9" s="350"/>
      <c r="X9" s="350"/>
      <c r="Y9" s="350"/>
      <c r="Z9" s="350"/>
      <c r="AA9" s="350"/>
      <c r="AB9" s="350"/>
      <c r="AC9" s="350"/>
      <c r="AD9" s="351"/>
      <c r="AE9" s="5"/>
      <c r="AF9" s="471" t="s">
        <v>46</v>
      </c>
      <c r="AG9" s="350"/>
      <c r="AH9" s="350"/>
      <c r="AI9" s="350"/>
      <c r="AJ9" s="350"/>
      <c r="AK9" s="350"/>
      <c r="AL9" s="350"/>
      <c r="AM9" s="350"/>
      <c r="AN9" s="351"/>
      <c r="AO9" s="513">
        <f>'GRANTEE SET UP INFO &amp; DATE '!Z8</f>
        <v>0</v>
      </c>
      <c r="AP9" s="350"/>
      <c r="AQ9" s="350"/>
      <c r="AR9" s="350"/>
      <c r="AS9" s="350"/>
      <c r="AT9" s="350"/>
      <c r="AU9" s="350"/>
      <c r="AV9" s="350"/>
      <c r="AW9" s="350"/>
      <c r="AX9" s="350"/>
      <c r="AY9" s="350"/>
      <c r="AZ9" s="350"/>
      <c r="BA9" s="350"/>
      <c r="BB9" s="351"/>
    </row>
    <row r="10" spans="1:54" ht="15" customHeight="1">
      <c r="A10" s="494" t="s">
        <v>414</v>
      </c>
      <c r="B10" s="378"/>
      <c r="C10" s="378"/>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495"/>
    </row>
    <row r="11" spans="1:54">
      <c r="A11" s="626"/>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8"/>
      <c r="Z11" s="44"/>
      <c r="AA11" s="44"/>
      <c r="AB11" s="44"/>
      <c r="AC11" s="44"/>
      <c r="AD11" s="44"/>
      <c r="AE11" s="44"/>
      <c r="AF11" s="8"/>
      <c r="AG11" s="8"/>
      <c r="AH11" s="8"/>
      <c r="AI11" s="8"/>
      <c r="AJ11" s="8"/>
      <c r="AK11" s="8"/>
      <c r="AL11" s="8"/>
      <c r="AM11" s="8"/>
      <c r="AN11" s="8"/>
      <c r="AO11" s="8"/>
      <c r="AP11" s="8"/>
      <c r="AQ11" s="8"/>
      <c r="AR11" s="8"/>
      <c r="AS11" s="8"/>
      <c r="AT11" s="8"/>
      <c r="AU11" s="8"/>
      <c r="AV11" s="8"/>
      <c r="AW11" s="8"/>
      <c r="AX11" s="8"/>
      <c r="AY11" s="8"/>
      <c r="AZ11" s="8"/>
      <c r="BA11" s="8"/>
      <c r="BB11" s="8"/>
    </row>
    <row r="12" spans="1:54" ht="60" customHeight="1">
      <c r="A12" s="629" t="s">
        <v>415</v>
      </c>
      <c r="B12" s="378"/>
      <c r="C12" s="378"/>
      <c r="D12" s="378"/>
      <c r="E12" s="379"/>
      <c r="F12" s="630" t="s">
        <v>416</v>
      </c>
      <c r="G12" s="381"/>
      <c r="H12" s="381"/>
      <c r="I12" s="381"/>
      <c r="J12" s="381"/>
      <c r="K12" s="381"/>
      <c r="L12" s="381"/>
      <c r="M12" s="381"/>
      <c r="N12" s="381"/>
      <c r="O12" s="381"/>
      <c r="P12" s="381"/>
      <c r="Q12" s="381"/>
      <c r="R12" s="381"/>
      <c r="S12" s="381"/>
      <c r="T12" s="381"/>
      <c r="U12" s="428"/>
      <c r="V12" s="631" t="s">
        <v>417</v>
      </c>
      <c r="W12" s="378"/>
      <c r="X12" s="378"/>
      <c r="Y12" s="378"/>
      <c r="Z12" s="378"/>
      <c r="AA12" s="378"/>
      <c r="AB12" s="378"/>
      <c r="AC12" s="378"/>
      <c r="AD12" s="378"/>
      <c r="AE12" s="378"/>
      <c r="AF12" s="378"/>
      <c r="AG12" s="378"/>
      <c r="AH12" s="378"/>
      <c r="AI12" s="378"/>
      <c r="AJ12" s="378"/>
      <c r="AK12" s="379"/>
      <c r="AL12" s="632" t="s">
        <v>315</v>
      </c>
      <c r="AM12" s="350"/>
      <c r="AN12" s="350"/>
      <c r="AO12" s="350"/>
      <c r="AP12" s="350"/>
      <c r="AQ12" s="350"/>
      <c r="AR12" s="350"/>
      <c r="AS12" s="350"/>
      <c r="AT12" s="350"/>
      <c r="AU12" s="350"/>
      <c r="AV12" s="350"/>
      <c r="AW12" s="350"/>
      <c r="AX12" s="350"/>
      <c r="AY12" s="350"/>
      <c r="AZ12" s="350"/>
      <c r="BA12" s="350"/>
      <c r="BB12" s="351"/>
    </row>
    <row r="13" spans="1:54" ht="78.75" customHeight="1">
      <c r="A13" s="25" t="s">
        <v>287</v>
      </c>
      <c r="B13" s="618" t="s">
        <v>310</v>
      </c>
      <c r="C13" s="351"/>
      <c r="D13" s="600" t="s">
        <v>393</v>
      </c>
      <c r="E13" s="351"/>
      <c r="F13" s="624" t="s">
        <v>418</v>
      </c>
      <c r="G13" s="351"/>
      <c r="H13" s="636" t="s">
        <v>419</v>
      </c>
      <c r="I13" s="351"/>
      <c r="J13" s="637" t="s">
        <v>420</v>
      </c>
      <c r="K13" s="351"/>
      <c r="L13" s="615" t="s">
        <v>421</v>
      </c>
      <c r="M13" s="351"/>
      <c r="N13" s="612" t="s">
        <v>422</v>
      </c>
      <c r="O13" s="351"/>
      <c r="P13" s="615" t="s">
        <v>423</v>
      </c>
      <c r="Q13" s="351"/>
      <c r="R13" s="612" t="s">
        <v>424</v>
      </c>
      <c r="S13" s="351"/>
      <c r="T13" s="615" t="s">
        <v>425</v>
      </c>
      <c r="U13" s="351"/>
      <c r="V13" s="633" t="s">
        <v>426</v>
      </c>
      <c r="W13" s="351"/>
      <c r="X13" s="634" t="s">
        <v>427</v>
      </c>
      <c r="Y13" s="351"/>
      <c r="Z13" s="635" t="s">
        <v>428</v>
      </c>
      <c r="AA13" s="351"/>
      <c r="AB13" s="607" t="s">
        <v>429</v>
      </c>
      <c r="AC13" s="351"/>
      <c r="AD13" s="606" t="s">
        <v>430</v>
      </c>
      <c r="AE13" s="351"/>
      <c r="AF13" s="607" t="s">
        <v>431</v>
      </c>
      <c r="AG13" s="351"/>
      <c r="AH13" s="606" t="s">
        <v>432</v>
      </c>
      <c r="AI13" s="351"/>
      <c r="AJ13" s="607" t="s">
        <v>433</v>
      </c>
      <c r="AK13" s="351"/>
      <c r="AL13" s="625" t="s">
        <v>315</v>
      </c>
      <c r="AM13" s="350"/>
      <c r="AN13" s="350"/>
      <c r="AO13" s="350"/>
      <c r="AP13" s="350"/>
      <c r="AQ13" s="350"/>
      <c r="AR13" s="350"/>
      <c r="AS13" s="350"/>
      <c r="AT13" s="350"/>
      <c r="AU13" s="350"/>
      <c r="AV13" s="350"/>
      <c r="AW13" s="350"/>
      <c r="AX13" s="350"/>
      <c r="AY13" s="350"/>
      <c r="AZ13" s="350"/>
      <c r="BA13" s="350"/>
      <c r="BB13" s="351"/>
    </row>
    <row r="14" spans="1:54" ht="15" customHeight="1">
      <c r="A14" s="25">
        <f t="shared" ref="A14:A268" si="0">ROW(A1)</f>
        <v>1</v>
      </c>
      <c r="B14" s="618" t="str">
        <f>'refer admin discharge'!B15</f>
        <v>x</v>
      </c>
      <c r="C14" s="351"/>
      <c r="D14" s="619" t="str">
        <f>'refer admin discharge'!D15</f>
        <v>xx</v>
      </c>
      <c r="E14" s="351"/>
      <c r="F14" s="620" t="str">
        <f>'refer admin discharge'!H15</f>
        <v>00/00/0000</v>
      </c>
      <c r="G14" s="351"/>
      <c r="H14" s="615"/>
      <c r="I14" s="351"/>
      <c r="J14" s="621"/>
      <c r="K14" s="351"/>
      <c r="L14" s="615"/>
      <c r="M14" s="351"/>
      <c r="N14" s="610"/>
      <c r="O14" s="351"/>
      <c r="P14" s="615"/>
      <c r="Q14" s="351"/>
      <c r="R14" s="610"/>
      <c r="S14" s="351"/>
      <c r="T14" s="615"/>
      <c r="U14" s="351"/>
      <c r="V14" s="613" t="str">
        <f>'refer admin discharge'!H15</f>
        <v>00/00/0000</v>
      </c>
      <c r="W14" s="351"/>
      <c r="X14" s="616"/>
      <c r="Y14" s="351"/>
      <c r="Z14" s="617"/>
      <c r="AA14" s="351"/>
      <c r="AB14" s="616"/>
      <c r="AC14" s="351"/>
      <c r="AD14" s="607"/>
      <c r="AE14" s="351"/>
      <c r="AF14" s="616"/>
      <c r="AG14" s="351"/>
      <c r="AH14" s="607"/>
      <c r="AI14" s="351"/>
      <c r="AJ14" s="616"/>
      <c r="AK14" s="351"/>
      <c r="AL14" s="622"/>
      <c r="AM14" s="350"/>
      <c r="AN14" s="350"/>
      <c r="AO14" s="350"/>
      <c r="AP14" s="350"/>
      <c r="AQ14" s="350"/>
      <c r="AR14" s="350"/>
      <c r="AS14" s="350"/>
      <c r="AT14" s="350"/>
      <c r="AU14" s="350"/>
      <c r="AV14" s="350"/>
      <c r="AW14" s="350"/>
      <c r="AX14" s="350"/>
      <c r="AY14" s="350"/>
      <c r="AZ14" s="350"/>
      <c r="BA14" s="350"/>
      <c r="BB14" s="351"/>
    </row>
    <row r="15" spans="1:54">
      <c r="A15" s="25">
        <f t="shared" si="0"/>
        <v>2</v>
      </c>
      <c r="B15" s="599" t="str">
        <f>'refer admin discharge'!B16</f>
        <v>x</v>
      </c>
      <c r="C15" s="351"/>
      <c r="D15" s="600" t="str">
        <f>'refer admin discharge'!D16</f>
        <v>xx</v>
      </c>
      <c r="E15" s="351"/>
      <c r="F15" s="620" t="str">
        <f>'refer admin discharge'!H16</f>
        <v>00/00/0000</v>
      </c>
      <c r="G15" s="351"/>
      <c r="H15" s="610"/>
      <c r="I15" s="351"/>
      <c r="J15" s="611"/>
      <c r="K15" s="351"/>
      <c r="L15" s="610"/>
      <c r="M15" s="351"/>
      <c r="N15" s="612"/>
      <c r="O15" s="351"/>
      <c r="P15" s="610"/>
      <c r="Q15" s="351"/>
      <c r="R15" s="612"/>
      <c r="S15" s="351"/>
      <c r="T15" s="610"/>
      <c r="U15" s="351"/>
      <c r="V15" s="623" t="str">
        <f>'refer admin discharge'!H16</f>
        <v>00/00/0000</v>
      </c>
      <c r="W15" s="351"/>
      <c r="X15" s="607"/>
      <c r="Y15" s="351"/>
      <c r="Z15" s="614"/>
      <c r="AA15" s="351"/>
      <c r="AB15" s="607"/>
      <c r="AC15" s="351"/>
      <c r="AD15" s="606"/>
      <c r="AE15" s="351"/>
      <c r="AF15" s="607"/>
      <c r="AG15" s="351"/>
      <c r="AH15" s="606"/>
      <c r="AI15" s="351"/>
      <c r="AJ15" s="607"/>
      <c r="AK15" s="351"/>
      <c r="AL15" s="608"/>
      <c r="AM15" s="350"/>
      <c r="AN15" s="350"/>
      <c r="AO15" s="350"/>
      <c r="AP15" s="350"/>
      <c r="AQ15" s="350"/>
      <c r="AR15" s="350"/>
      <c r="AS15" s="350"/>
      <c r="AT15" s="350"/>
      <c r="AU15" s="350"/>
      <c r="AV15" s="350"/>
      <c r="AW15" s="350"/>
      <c r="AX15" s="350"/>
      <c r="AY15" s="350"/>
      <c r="AZ15" s="350"/>
      <c r="BA15" s="350"/>
      <c r="BB15" s="351"/>
    </row>
    <row r="16" spans="1:54">
      <c r="A16" s="25">
        <f t="shared" si="0"/>
        <v>3</v>
      </c>
      <c r="B16" s="618" t="str">
        <f>'refer admin discharge'!B17</f>
        <v>x</v>
      </c>
      <c r="C16" s="351"/>
      <c r="D16" s="619" t="str">
        <f>'refer admin discharge'!D17</f>
        <v>xx</v>
      </c>
      <c r="E16" s="351"/>
      <c r="F16" s="620" t="str">
        <f>'refer admin discharge'!H17</f>
        <v>00/00/0000</v>
      </c>
      <c r="G16" s="351"/>
      <c r="H16" s="615"/>
      <c r="I16" s="351"/>
      <c r="J16" s="621"/>
      <c r="K16" s="351"/>
      <c r="L16" s="615"/>
      <c r="M16" s="351"/>
      <c r="N16" s="610"/>
      <c r="O16" s="351"/>
      <c r="P16" s="615"/>
      <c r="Q16" s="351"/>
      <c r="R16" s="610"/>
      <c r="S16" s="351"/>
      <c r="T16" s="615"/>
      <c r="U16" s="351"/>
      <c r="V16" s="613" t="str">
        <f>'refer admin discharge'!H17</f>
        <v>00/00/0000</v>
      </c>
      <c r="W16" s="351"/>
      <c r="X16" s="616"/>
      <c r="Y16" s="351"/>
      <c r="Z16" s="617"/>
      <c r="AA16" s="351"/>
      <c r="AB16" s="616"/>
      <c r="AC16" s="351"/>
      <c r="AD16" s="607"/>
      <c r="AE16" s="351"/>
      <c r="AF16" s="616"/>
      <c r="AG16" s="351"/>
      <c r="AH16" s="607"/>
      <c r="AI16" s="351"/>
      <c r="AJ16" s="616"/>
      <c r="AK16" s="351"/>
      <c r="AL16" s="622"/>
      <c r="AM16" s="350"/>
      <c r="AN16" s="350"/>
      <c r="AO16" s="350"/>
      <c r="AP16" s="350"/>
      <c r="AQ16" s="350"/>
      <c r="AR16" s="350"/>
      <c r="AS16" s="350"/>
      <c r="AT16" s="350"/>
      <c r="AU16" s="350"/>
      <c r="AV16" s="350"/>
      <c r="AW16" s="350"/>
      <c r="AX16" s="350"/>
      <c r="AY16" s="350"/>
      <c r="AZ16" s="350"/>
      <c r="BA16" s="350"/>
      <c r="BB16" s="351"/>
    </row>
    <row r="17" spans="1:54">
      <c r="A17" s="25">
        <f t="shared" si="0"/>
        <v>4</v>
      </c>
      <c r="B17" s="599" t="str">
        <f>'refer admin discharge'!B18</f>
        <v>x</v>
      </c>
      <c r="C17" s="351"/>
      <c r="D17" s="600" t="str">
        <f>'refer admin discharge'!D18</f>
        <v>xx</v>
      </c>
      <c r="E17" s="351"/>
      <c r="F17" s="609" t="str">
        <f>'refer admin discharge'!H18</f>
        <v>00/00/0000</v>
      </c>
      <c r="G17" s="351"/>
      <c r="H17" s="610"/>
      <c r="I17" s="351"/>
      <c r="J17" s="611"/>
      <c r="K17" s="351"/>
      <c r="L17" s="610"/>
      <c r="M17" s="351"/>
      <c r="N17" s="612"/>
      <c r="O17" s="351"/>
      <c r="P17" s="610"/>
      <c r="Q17" s="351"/>
      <c r="R17" s="612"/>
      <c r="S17" s="351"/>
      <c r="T17" s="610"/>
      <c r="U17" s="351"/>
      <c r="V17" s="623" t="str">
        <f>'refer admin discharge'!H18</f>
        <v>00/00/0000</v>
      </c>
      <c r="W17" s="351"/>
      <c r="X17" s="607"/>
      <c r="Y17" s="351"/>
      <c r="Z17" s="614"/>
      <c r="AA17" s="351"/>
      <c r="AB17" s="607"/>
      <c r="AC17" s="351"/>
      <c r="AD17" s="606"/>
      <c r="AE17" s="351"/>
      <c r="AF17" s="607"/>
      <c r="AG17" s="351"/>
      <c r="AH17" s="606"/>
      <c r="AI17" s="351"/>
      <c r="AJ17" s="607"/>
      <c r="AK17" s="351"/>
      <c r="AL17" s="608"/>
      <c r="AM17" s="350"/>
      <c r="AN17" s="350"/>
      <c r="AO17" s="350"/>
      <c r="AP17" s="350"/>
      <c r="AQ17" s="350"/>
      <c r="AR17" s="350"/>
      <c r="AS17" s="350"/>
      <c r="AT17" s="350"/>
      <c r="AU17" s="350"/>
      <c r="AV17" s="350"/>
      <c r="AW17" s="350"/>
      <c r="AX17" s="350"/>
      <c r="AY17" s="350"/>
      <c r="AZ17" s="350"/>
      <c r="BA17" s="350"/>
      <c r="BB17" s="351"/>
    </row>
    <row r="18" spans="1:54">
      <c r="A18" s="25">
        <f t="shared" si="0"/>
        <v>5</v>
      </c>
      <c r="B18" s="618" t="str">
        <f>'refer admin discharge'!B19</f>
        <v>x</v>
      </c>
      <c r="C18" s="351"/>
      <c r="D18" s="619" t="str">
        <f>'refer admin discharge'!D19</f>
        <v>xx</v>
      </c>
      <c r="E18" s="351"/>
      <c r="F18" s="620" t="str">
        <f>'refer admin discharge'!H19</f>
        <v>00/00/0000</v>
      </c>
      <c r="G18" s="351"/>
      <c r="H18" s="615"/>
      <c r="I18" s="351"/>
      <c r="J18" s="621"/>
      <c r="K18" s="351"/>
      <c r="L18" s="615"/>
      <c r="M18" s="351"/>
      <c r="N18" s="610"/>
      <c r="O18" s="351"/>
      <c r="P18" s="615"/>
      <c r="Q18" s="351"/>
      <c r="R18" s="610"/>
      <c r="S18" s="351"/>
      <c r="T18" s="615"/>
      <c r="U18" s="351"/>
      <c r="V18" s="613" t="str">
        <f>'refer admin discharge'!H19</f>
        <v>00/00/0000</v>
      </c>
      <c r="W18" s="351"/>
      <c r="X18" s="616"/>
      <c r="Y18" s="351"/>
      <c r="Z18" s="617"/>
      <c r="AA18" s="351"/>
      <c r="AB18" s="616"/>
      <c r="AC18" s="351"/>
      <c r="AD18" s="607"/>
      <c r="AE18" s="351"/>
      <c r="AF18" s="616"/>
      <c r="AG18" s="351"/>
      <c r="AH18" s="607"/>
      <c r="AI18" s="351"/>
      <c r="AJ18" s="616"/>
      <c r="AK18" s="351"/>
      <c r="AL18" s="622"/>
      <c r="AM18" s="350"/>
      <c r="AN18" s="350"/>
      <c r="AO18" s="350"/>
      <c r="AP18" s="350"/>
      <c r="AQ18" s="350"/>
      <c r="AR18" s="350"/>
      <c r="AS18" s="350"/>
      <c r="AT18" s="350"/>
      <c r="AU18" s="350"/>
      <c r="AV18" s="350"/>
      <c r="AW18" s="350"/>
      <c r="AX18" s="350"/>
      <c r="AY18" s="350"/>
      <c r="AZ18" s="350"/>
      <c r="BA18" s="350"/>
      <c r="BB18" s="351"/>
    </row>
    <row r="19" spans="1:54">
      <c r="A19" s="25">
        <f t="shared" si="0"/>
        <v>6</v>
      </c>
      <c r="B19" s="599" t="str">
        <f>'refer admin discharge'!B20</f>
        <v>x</v>
      </c>
      <c r="C19" s="351"/>
      <c r="D19" s="600" t="str">
        <f>'refer admin discharge'!D20</f>
        <v>xx</v>
      </c>
      <c r="E19" s="351"/>
      <c r="F19" s="609" t="str">
        <f>'refer admin discharge'!H20</f>
        <v>00/00/0000</v>
      </c>
      <c r="G19" s="351"/>
      <c r="H19" s="610"/>
      <c r="I19" s="351"/>
      <c r="J19" s="611"/>
      <c r="K19" s="351"/>
      <c r="L19" s="610"/>
      <c r="M19" s="351"/>
      <c r="N19" s="612"/>
      <c r="O19" s="351"/>
      <c r="P19" s="610"/>
      <c r="Q19" s="351"/>
      <c r="R19" s="612"/>
      <c r="S19" s="351"/>
      <c r="T19" s="610"/>
      <c r="U19" s="351"/>
      <c r="V19" s="623" t="str">
        <f>'refer admin discharge'!H20</f>
        <v>00/00/0000</v>
      </c>
      <c r="W19" s="351"/>
      <c r="X19" s="607"/>
      <c r="Y19" s="351"/>
      <c r="Z19" s="614"/>
      <c r="AA19" s="351"/>
      <c r="AB19" s="607"/>
      <c r="AC19" s="351"/>
      <c r="AD19" s="606"/>
      <c r="AE19" s="351"/>
      <c r="AF19" s="607"/>
      <c r="AG19" s="351"/>
      <c r="AH19" s="606"/>
      <c r="AI19" s="351"/>
      <c r="AJ19" s="607"/>
      <c r="AK19" s="351"/>
      <c r="AL19" s="608"/>
      <c r="AM19" s="350"/>
      <c r="AN19" s="350"/>
      <c r="AO19" s="350"/>
      <c r="AP19" s="350"/>
      <c r="AQ19" s="350"/>
      <c r="AR19" s="350"/>
      <c r="AS19" s="350"/>
      <c r="AT19" s="350"/>
      <c r="AU19" s="350"/>
      <c r="AV19" s="350"/>
      <c r="AW19" s="350"/>
      <c r="AX19" s="350"/>
      <c r="AY19" s="350"/>
      <c r="AZ19" s="350"/>
      <c r="BA19" s="350"/>
      <c r="BB19" s="351"/>
    </row>
    <row r="20" spans="1:54">
      <c r="A20" s="25">
        <f t="shared" si="0"/>
        <v>7</v>
      </c>
      <c r="B20" s="618" t="str">
        <f>'refer admin discharge'!B21</f>
        <v>x</v>
      </c>
      <c r="C20" s="351"/>
      <c r="D20" s="619" t="str">
        <f>'refer admin discharge'!D21</f>
        <v>xx</v>
      </c>
      <c r="E20" s="351"/>
      <c r="F20" s="620" t="str">
        <f>'refer admin discharge'!H21</f>
        <v>00/00/0000</v>
      </c>
      <c r="G20" s="351"/>
      <c r="H20" s="615"/>
      <c r="I20" s="351"/>
      <c r="J20" s="621"/>
      <c r="K20" s="351"/>
      <c r="L20" s="615"/>
      <c r="M20" s="351"/>
      <c r="N20" s="610"/>
      <c r="O20" s="351"/>
      <c r="P20" s="615"/>
      <c r="Q20" s="351"/>
      <c r="R20" s="610"/>
      <c r="S20" s="351"/>
      <c r="T20" s="615"/>
      <c r="U20" s="351"/>
      <c r="V20" s="613" t="str">
        <f>'refer admin discharge'!H21</f>
        <v>00/00/0000</v>
      </c>
      <c r="W20" s="351"/>
      <c r="X20" s="616"/>
      <c r="Y20" s="351"/>
      <c r="Z20" s="617"/>
      <c r="AA20" s="351"/>
      <c r="AB20" s="616"/>
      <c r="AC20" s="351"/>
      <c r="AD20" s="607"/>
      <c r="AE20" s="351"/>
      <c r="AF20" s="616"/>
      <c r="AG20" s="351"/>
      <c r="AH20" s="607"/>
      <c r="AI20" s="351"/>
      <c r="AJ20" s="616"/>
      <c r="AK20" s="351"/>
      <c r="AL20" s="622"/>
      <c r="AM20" s="350"/>
      <c r="AN20" s="350"/>
      <c r="AO20" s="350"/>
      <c r="AP20" s="350"/>
      <c r="AQ20" s="350"/>
      <c r="AR20" s="350"/>
      <c r="AS20" s="350"/>
      <c r="AT20" s="350"/>
      <c r="AU20" s="350"/>
      <c r="AV20" s="350"/>
      <c r="AW20" s="350"/>
      <c r="AX20" s="350"/>
      <c r="AY20" s="350"/>
      <c r="AZ20" s="350"/>
      <c r="BA20" s="350"/>
      <c r="BB20" s="351"/>
    </row>
    <row r="21" spans="1:54" ht="15.75" customHeight="1">
      <c r="A21" s="25">
        <f t="shared" si="0"/>
        <v>8</v>
      </c>
      <c r="B21" s="599" t="str">
        <f>'refer admin discharge'!B22</f>
        <v>x</v>
      </c>
      <c r="C21" s="351"/>
      <c r="D21" s="600" t="str">
        <f>'refer admin discharge'!D22</f>
        <v>xx</v>
      </c>
      <c r="E21" s="351"/>
      <c r="F21" s="609" t="str">
        <f>'refer admin discharge'!H22</f>
        <v>00/00/0000</v>
      </c>
      <c r="G21" s="351"/>
      <c r="H21" s="610"/>
      <c r="I21" s="351"/>
      <c r="J21" s="611"/>
      <c r="K21" s="351"/>
      <c r="L21" s="610"/>
      <c r="M21" s="351"/>
      <c r="N21" s="612"/>
      <c r="O21" s="351"/>
      <c r="P21" s="610"/>
      <c r="Q21" s="351"/>
      <c r="R21" s="612"/>
      <c r="S21" s="351"/>
      <c r="T21" s="610"/>
      <c r="U21" s="351"/>
      <c r="V21" s="623" t="str">
        <f>'refer admin discharge'!H22</f>
        <v>00/00/0000</v>
      </c>
      <c r="W21" s="351"/>
      <c r="X21" s="607"/>
      <c r="Y21" s="351"/>
      <c r="Z21" s="614"/>
      <c r="AA21" s="351"/>
      <c r="AB21" s="607"/>
      <c r="AC21" s="351"/>
      <c r="AD21" s="606"/>
      <c r="AE21" s="351"/>
      <c r="AF21" s="607"/>
      <c r="AG21" s="351"/>
      <c r="AH21" s="606"/>
      <c r="AI21" s="351"/>
      <c r="AJ21" s="607"/>
      <c r="AK21" s="351"/>
      <c r="AL21" s="608"/>
      <c r="AM21" s="350"/>
      <c r="AN21" s="350"/>
      <c r="AO21" s="350"/>
      <c r="AP21" s="350"/>
      <c r="AQ21" s="350"/>
      <c r="AR21" s="350"/>
      <c r="AS21" s="350"/>
      <c r="AT21" s="350"/>
      <c r="AU21" s="350"/>
      <c r="AV21" s="350"/>
      <c r="AW21" s="350"/>
      <c r="AX21" s="350"/>
      <c r="AY21" s="350"/>
      <c r="AZ21" s="350"/>
      <c r="BA21" s="350"/>
      <c r="BB21" s="351"/>
    </row>
    <row r="22" spans="1:54" ht="15.75" customHeight="1">
      <c r="A22" s="25">
        <f t="shared" si="0"/>
        <v>9</v>
      </c>
      <c r="B22" s="618" t="str">
        <f>'refer admin discharge'!B23</f>
        <v>x</v>
      </c>
      <c r="C22" s="351"/>
      <c r="D22" s="619" t="str">
        <f>'refer admin discharge'!D23</f>
        <v>xx</v>
      </c>
      <c r="E22" s="351"/>
      <c r="F22" s="620" t="str">
        <f>'refer admin discharge'!H23</f>
        <v>00/00/0000</v>
      </c>
      <c r="G22" s="351"/>
      <c r="H22" s="615"/>
      <c r="I22" s="351"/>
      <c r="J22" s="621"/>
      <c r="K22" s="351"/>
      <c r="L22" s="615"/>
      <c r="M22" s="351"/>
      <c r="N22" s="610"/>
      <c r="O22" s="351"/>
      <c r="P22" s="615"/>
      <c r="Q22" s="351"/>
      <c r="R22" s="610"/>
      <c r="S22" s="351"/>
      <c r="T22" s="615"/>
      <c r="U22" s="351"/>
      <c r="V22" s="613" t="str">
        <f>'refer admin discharge'!H23</f>
        <v>00/00/0000</v>
      </c>
      <c r="W22" s="351"/>
      <c r="X22" s="616"/>
      <c r="Y22" s="351"/>
      <c r="Z22" s="617"/>
      <c r="AA22" s="351"/>
      <c r="AB22" s="616"/>
      <c r="AC22" s="351"/>
      <c r="AD22" s="607"/>
      <c r="AE22" s="351"/>
      <c r="AF22" s="616"/>
      <c r="AG22" s="351"/>
      <c r="AH22" s="607"/>
      <c r="AI22" s="351"/>
      <c r="AJ22" s="616"/>
      <c r="AK22" s="351"/>
      <c r="AL22" s="622"/>
      <c r="AM22" s="350"/>
      <c r="AN22" s="350"/>
      <c r="AO22" s="350"/>
      <c r="AP22" s="350"/>
      <c r="AQ22" s="350"/>
      <c r="AR22" s="350"/>
      <c r="AS22" s="350"/>
      <c r="AT22" s="350"/>
      <c r="AU22" s="350"/>
      <c r="AV22" s="350"/>
      <c r="AW22" s="350"/>
      <c r="AX22" s="350"/>
      <c r="AY22" s="350"/>
      <c r="AZ22" s="350"/>
      <c r="BA22" s="350"/>
      <c r="BB22" s="351"/>
    </row>
    <row r="23" spans="1:54" ht="15.75" customHeight="1">
      <c r="A23" s="25">
        <f t="shared" si="0"/>
        <v>10</v>
      </c>
      <c r="B23" s="599" t="str">
        <f>'refer admin discharge'!B24</f>
        <v>x</v>
      </c>
      <c r="C23" s="351"/>
      <c r="D23" s="600" t="str">
        <f>'refer admin discharge'!D24</f>
        <v>xx</v>
      </c>
      <c r="E23" s="351"/>
      <c r="F23" s="609" t="str">
        <f>'refer admin discharge'!H24</f>
        <v>00/00/0000</v>
      </c>
      <c r="G23" s="351"/>
      <c r="H23" s="610"/>
      <c r="I23" s="351"/>
      <c r="J23" s="611"/>
      <c r="K23" s="351"/>
      <c r="L23" s="610"/>
      <c r="M23" s="351"/>
      <c r="N23" s="612"/>
      <c r="O23" s="351"/>
      <c r="P23" s="610"/>
      <c r="Q23" s="351"/>
      <c r="R23" s="612"/>
      <c r="S23" s="351"/>
      <c r="T23" s="610"/>
      <c r="U23" s="351"/>
      <c r="V23" s="623" t="str">
        <f>'refer admin discharge'!H24</f>
        <v>00/00/0000</v>
      </c>
      <c r="W23" s="351"/>
      <c r="X23" s="607"/>
      <c r="Y23" s="351"/>
      <c r="Z23" s="614"/>
      <c r="AA23" s="351"/>
      <c r="AB23" s="607"/>
      <c r="AC23" s="351"/>
      <c r="AD23" s="606"/>
      <c r="AE23" s="351"/>
      <c r="AF23" s="607"/>
      <c r="AG23" s="351"/>
      <c r="AH23" s="606"/>
      <c r="AI23" s="351"/>
      <c r="AJ23" s="607"/>
      <c r="AK23" s="351"/>
      <c r="AL23" s="608"/>
      <c r="AM23" s="350"/>
      <c r="AN23" s="350"/>
      <c r="AO23" s="350"/>
      <c r="AP23" s="350"/>
      <c r="AQ23" s="350"/>
      <c r="AR23" s="350"/>
      <c r="AS23" s="350"/>
      <c r="AT23" s="350"/>
      <c r="AU23" s="350"/>
      <c r="AV23" s="350"/>
      <c r="AW23" s="350"/>
      <c r="AX23" s="350"/>
      <c r="AY23" s="350"/>
      <c r="AZ23" s="350"/>
      <c r="BA23" s="350"/>
      <c r="BB23" s="351"/>
    </row>
    <row r="24" spans="1:54" ht="15.75" customHeight="1">
      <c r="A24" s="25">
        <f t="shared" si="0"/>
        <v>11</v>
      </c>
      <c r="B24" s="618" t="str">
        <f>'refer admin discharge'!B25</f>
        <v>x</v>
      </c>
      <c r="C24" s="351"/>
      <c r="D24" s="619" t="str">
        <f>'refer admin discharge'!D25</f>
        <v>xx</v>
      </c>
      <c r="E24" s="351"/>
      <c r="F24" s="620" t="str">
        <f>'refer admin discharge'!H25</f>
        <v>00/00/0000</v>
      </c>
      <c r="G24" s="351"/>
      <c r="H24" s="615"/>
      <c r="I24" s="351"/>
      <c r="J24" s="621"/>
      <c r="K24" s="351"/>
      <c r="L24" s="615"/>
      <c r="M24" s="351"/>
      <c r="N24" s="610"/>
      <c r="O24" s="351"/>
      <c r="P24" s="615"/>
      <c r="Q24" s="351"/>
      <c r="R24" s="610"/>
      <c r="S24" s="351"/>
      <c r="T24" s="615"/>
      <c r="U24" s="351"/>
      <c r="V24" s="613" t="str">
        <f>'refer admin discharge'!H25</f>
        <v>00/00/0000</v>
      </c>
      <c r="W24" s="351"/>
      <c r="X24" s="616"/>
      <c r="Y24" s="351"/>
      <c r="Z24" s="617"/>
      <c r="AA24" s="351"/>
      <c r="AB24" s="616"/>
      <c r="AC24" s="351"/>
      <c r="AD24" s="607"/>
      <c r="AE24" s="351"/>
      <c r="AF24" s="616"/>
      <c r="AG24" s="351"/>
      <c r="AH24" s="607"/>
      <c r="AI24" s="351"/>
      <c r="AJ24" s="616"/>
      <c r="AK24" s="351"/>
      <c r="AL24" s="622"/>
      <c r="AM24" s="350"/>
      <c r="AN24" s="350"/>
      <c r="AO24" s="350"/>
      <c r="AP24" s="350"/>
      <c r="AQ24" s="350"/>
      <c r="AR24" s="350"/>
      <c r="AS24" s="350"/>
      <c r="AT24" s="350"/>
      <c r="AU24" s="350"/>
      <c r="AV24" s="350"/>
      <c r="AW24" s="350"/>
      <c r="AX24" s="350"/>
      <c r="AY24" s="350"/>
      <c r="AZ24" s="350"/>
      <c r="BA24" s="350"/>
      <c r="BB24" s="351"/>
    </row>
    <row r="25" spans="1:54" ht="15.75" customHeight="1">
      <c r="A25" s="25">
        <f t="shared" si="0"/>
        <v>12</v>
      </c>
      <c r="B25" s="599" t="str">
        <f>'refer admin discharge'!B26</f>
        <v>x</v>
      </c>
      <c r="C25" s="351"/>
      <c r="D25" s="600" t="str">
        <f>'refer admin discharge'!D26</f>
        <v>xx</v>
      </c>
      <c r="E25" s="351"/>
      <c r="F25" s="609" t="str">
        <f>'refer admin discharge'!H26</f>
        <v>00/00/0000</v>
      </c>
      <c r="G25" s="351"/>
      <c r="H25" s="610"/>
      <c r="I25" s="351"/>
      <c r="J25" s="611"/>
      <c r="K25" s="351"/>
      <c r="L25" s="610"/>
      <c r="M25" s="351"/>
      <c r="N25" s="612"/>
      <c r="O25" s="351"/>
      <c r="P25" s="610"/>
      <c r="Q25" s="351"/>
      <c r="R25" s="612"/>
      <c r="S25" s="351"/>
      <c r="T25" s="610"/>
      <c r="U25" s="351"/>
      <c r="V25" s="623" t="str">
        <f>'refer admin discharge'!H26</f>
        <v>00/00/0000</v>
      </c>
      <c r="W25" s="351"/>
      <c r="X25" s="607"/>
      <c r="Y25" s="351"/>
      <c r="Z25" s="614"/>
      <c r="AA25" s="351"/>
      <c r="AB25" s="607"/>
      <c r="AC25" s="351"/>
      <c r="AD25" s="606"/>
      <c r="AE25" s="351"/>
      <c r="AF25" s="607"/>
      <c r="AG25" s="351"/>
      <c r="AH25" s="606"/>
      <c r="AI25" s="351"/>
      <c r="AJ25" s="607"/>
      <c r="AK25" s="351"/>
      <c r="AL25" s="608"/>
      <c r="AM25" s="350"/>
      <c r="AN25" s="350"/>
      <c r="AO25" s="350"/>
      <c r="AP25" s="350"/>
      <c r="AQ25" s="350"/>
      <c r="AR25" s="350"/>
      <c r="AS25" s="350"/>
      <c r="AT25" s="350"/>
      <c r="AU25" s="350"/>
      <c r="AV25" s="350"/>
      <c r="AW25" s="350"/>
      <c r="AX25" s="350"/>
      <c r="AY25" s="350"/>
      <c r="AZ25" s="350"/>
      <c r="BA25" s="350"/>
      <c r="BB25" s="351"/>
    </row>
    <row r="26" spans="1:54" ht="15.75" customHeight="1">
      <c r="A26" s="25">
        <f t="shared" si="0"/>
        <v>13</v>
      </c>
      <c r="B26" s="618" t="str">
        <f>'refer admin discharge'!B27</f>
        <v>x</v>
      </c>
      <c r="C26" s="351"/>
      <c r="D26" s="619" t="str">
        <f>'refer admin discharge'!D27</f>
        <v>xx</v>
      </c>
      <c r="E26" s="351"/>
      <c r="F26" s="620" t="str">
        <f>'refer admin discharge'!H27</f>
        <v>00/00/0000</v>
      </c>
      <c r="G26" s="351"/>
      <c r="H26" s="615"/>
      <c r="I26" s="351"/>
      <c r="J26" s="621"/>
      <c r="K26" s="351"/>
      <c r="L26" s="615"/>
      <c r="M26" s="351"/>
      <c r="N26" s="610"/>
      <c r="O26" s="351"/>
      <c r="P26" s="615"/>
      <c r="Q26" s="351"/>
      <c r="R26" s="610"/>
      <c r="S26" s="351"/>
      <c r="T26" s="615"/>
      <c r="U26" s="351"/>
      <c r="V26" s="613" t="str">
        <f>'refer admin discharge'!H27</f>
        <v>00/00/0000</v>
      </c>
      <c r="W26" s="351"/>
      <c r="X26" s="616"/>
      <c r="Y26" s="351"/>
      <c r="Z26" s="617"/>
      <c r="AA26" s="351"/>
      <c r="AB26" s="616"/>
      <c r="AC26" s="351"/>
      <c r="AD26" s="607"/>
      <c r="AE26" s="351"/>
      <c r="AF26" s="616"/>
      <c r="AG26" s="351"/>
      <c r="AH26" s="607"/>
      <c r="AI26" s="351"/>
      <c r="AJ26" s="616"/>
      <c r="AK26" s="351"/>
      <c r="AL26" s="622"/>
      <c r="AM26" s="350"/>
      <c r="AN26" s="350"/>
      <c r="AO26" s="350"/>
      <c r="AP26" s="350"/>
      <c r="AQ26" s="350"/>
      <c r="AR26" s="350"/>
      <c r="AS26" s="350"/>
      <c r="AT26" s="350"/>
      <c r="AU26" s="350"/>
      <c r="AV26" s="350"/>
      <c r="AW26" s="350"/>
      <c r="AX26" s="350"/>
      <c r="AY26" s="350"/>
      <c r="AZ26" s="350"/>
      <c r="BA26" s="350"/>
      <c r="BB26" s="351"/>
    </row>
    <row r="27" spans="1:54" ht="15.75" customHeight="1">
      <c r="A27" s="25">
        <f t="shared" si="0"/>
        <v>14</v>
      </c>
      <c r="B27" s="599" t="str">
        <f>'refer admin discharge'!B28</f>
        <v>x</v>
      </c>
      <c r="C27" s="351"/>
      <c r="D27" s="600" t="str">
        <f>'refer admin discharge'!D28</f>
        <v>xx</v>
      </c>
      <c r="E27" s="351"/>
      <c r="F27" s="609" t="str">
        <f>'refer admin discharge'!H28</f>
        <v>00/00/0000</v>
      </c>
      <c r="G27" s="351"/>
      <c r="H27" s="610"/>
      <c r="I27" s="351"/>
      <c r="J27" s="611"/>
      <c r="K27" s="351"/>
      <c r="L27" s="610"/>
      <c r="M27" s="351"/>
      <c r="N27" s="612"/>
      <c r="O27" s="351"/>
      <c r="P27" s="610"/>
      <c r="Q27" s="351"/>
      <c r="R27" s="612"/>
      <c r="S27" s="351"/>
      <c r="T27" s="610"/>
      <c r="U27" s="351"/>
      <c r="V27" s="623" t="str">
        <f>'refer admin discharge'!H28</f>
        <v>00/00/0000</v>
      </c>
      <c r="W27" s="351"/>
      <c r="X27" s="607"/>
      <c r="Y27" s="351"/>
      <c r="Z27" s="614"/>
      <c r="AA27" s="351"/>
      <c r="AB27" s="607"/>
      <c r="AC27" s="351"/>
      <c r="AD27" s="606"/>
      <c r="AE27" s="351"/>
      <c r="AF27" s="607"/>
      <c r="AG27" s="351"/>
      <c r="AH27" s="606"/>
      <c r="AI27" s="351"/>
      <c r="AJ27" s="607"/>
      <c r="AK27" s="351"/>
      <c r="AL27" s="608"/>
      <c r="AM27" s="350"/>
      <c r="AN27" s="350"/>
      <c r="AO27" s="350"/>
      <c r="AP27" s="350"/>
      <c r="AQ27" s="350"/>
      <c r="AR27" s="350"/>
      <c r="AS27" s="350"/>
      <c r="AT27" s="350"/>
      <c r="AU27" s="350"/>
      <c r="AV27" s="350"/>
      <c r="AW27" s="350"/>
      <c r="AX27" s="350"/>
      <c r="AY27" s="350"/>
      <c r="AZ27" s="350"/>
      <c r="BA27" s="350"/>
      <c r="BB27" s="351"/>
    </row>
    <row r="28" spans="1:54" ht="15.75" customHeight="1">
      <c r="A28" s="25">
        <f t="shared" si="0"/>
        <v>15</v>
      </c>
      <c r="B28" s="618" t="str">
        <f>'refer admin discharge'!B29</f>
        <v>x</v>
      </c>
      <c r="C28" s="351"/>
      <c r="D28" s="619" t="str">
        <f>'refer admin discharge'!D29</f>
        <v>xx</v>
      </c>
      <c r="E28" s="351"/>
      <c r="F28" s="620" t="str">
        <f>'refer admin discharge'!H29</f>
        <v>00/00/0000</v>
      </c>
      <c r="G28" s="351"/>
      <c r="H28" s="615"/>
      <c r="I28" s="351"/>
      <c r="J28" s="621"/>
      <c r="K28" s="351"/>
      <c r="L28" s="615"/>
      <c r="M28" s="351"/>
      <c r="N28" s="610"/>
      <c r="O28" s="351"/>
      <c r="P28" s="615"/>
      <c r="Q28" s="351"/>
      <c r="R28" s="610"/>
      <c r="S28" s="351"/>
      <c r="T28" s="615"/>
      <c r="U28" s="351"/>
      <c r="V28" s="613" t="str">
        <f>'refer admin discharge'!H29</f>
        <v>00/00/0000</v>
      </c>
      <c r="W28" s="351"/>
      <c r="X28" s="616"/>
      <c r="Y28" s="351"/>
      <c r="Z28" s="617"/>
      <c r="AA28" s="351"/>
      <c r="AB28" s="616"/>
      <c r="AC28" s="351"/>
      <c r="AD28" s="607"/>
      <c r="AE28" s="351"/>
      <c r="AF28" s="616"/>
      <c r="AG28" s="351"/>
      <c r="AH28" s="607"/>
      <c r="AI28" s="351"/>
      <c r="AJ28" s="616"/>
      <c r="AK28" s="351"/>
      <c r="AL28" s="622"/>
      <c r="AM28" s="350"/>
      <c r="AN28" s="350"/>
      <c r="AO28" s="350"/>
      <c r="AP28" s="350"/>
      <c r="AQ28" s="350"/>
      <c r="AR28" s="350"/>
      <c r="AS28" s="350"/>
      <c r="AT28" s="350"/>
      <c r="AU28" s="350"/>
      <c r="AV28" s="350"/>
      <c r="AW28" s="350"/>
      <c r="AX28" s="350"/>
      <c r="AY28" s="350"/>
      <c r="AZ28" s="350"/>
      <c r="BA28" s="350"/>
      <c r="BB28" s="351"/>
    </row>
    <row r="29" spans="1:54" ht="15.75" customHeight="1">
      <c r="A29" s="25">
        <f t="shared" si="0"/>
        <v>16</v>
      </c>
      <c r="B29" s="599" t="str">
        <f>'refer admin discharge'!B30</f>
        <v>x</v>
      </c>
      <c r="C29" s="351"/>
      <c r="D29" s="600" t="str">
        <f>'refer admin discharge'!D30</f>
        <v>xx</v>
      </c>
      <c r="E29" s="351"/>
      <c r="F29" s="609" t="str">
        <f>'refer admin discharge'!H30</f>
        <v>00/00/0000</v>
      </c>
      <c r="G29" s="351"/>
      <c r="H29" s="610"/>
      <c r="I29" s="351"/>
      <c r="J29" s="611"/>
      <c r="K29" s="351"/>
      <c r="L29" s="610"/>
      <c r="M29" s="351"/>
      <c r="N29" s="612"/>
      <c r="O29" s="351"/>
      <c r="P29" s="610"/>
      <c r="Q29" s="351"/>
      <c r="R29" s="612"/>
      <c r="S29" s="351"/>
      <c r="T29" s="610"/>
      <c r="U29" s="351"/>
      <c r="V29" s="623" t="str">
        <f>'refer admin discharge'!H30</f>
        <v>00/00/0000</v>
      </c>
      <c r="W29" s="351"/>
      <c r="X29" s="607"/>
      <c r="Y29" s="351"/>
      <c r="Z29" s="614"/>
      <c r="AA29" s="351"/>
      <c r="AB29" s="607"/>
      <c r="AC29" s="351"/>
      <c r="AD29" s="606"/>
      <c r="AE29" s="351"/>
      <c r="AF29" s="607"/>
      <c r="AG29" s="351"/>
      <c r="AH29" s="606"/>
      <c r="AI29" s="351"/>
      <c r="AJ29" s="607"/>
      <c r="AK29" s="351"/>
      <c r="AL29" s="608"/>
      <c r="AM29" s="350"/>
      <c r="AN29" s="350"/>
      <c r="AO29" s="350"/>
      <c r="AP29" s="350"/>
      <c r="AQ29" s="350"/>
      <c r="AR29" s="350"/>
      <c r="AS29" s="350"/>
      <c r="AT29" s="350"/>
      <c r="AU29" s="350"/>
      <c r="AV29" s="350"/>
      <c r="AW29" s="350"/>
      <c r="AX29" s="350"/>
      <c r="AY29" s="350"/>
      <c r="AZ29" s="350"/>
      <c r="BA29" s="350"/>
      <c r="BB29" s="351"/>
    </row>
    <row r="30" spans="1:54" ht="15.75" customHeight="1">
      <c r="A30" s="25">
        <f t="shared" si="0"/>
        <v>17</v>
      </c>
      <c r="B30" s="618" t="str">
        <f>'refer admin discharge'!B31</f>
        <v>x</v>
      </c>
      <c r="C30" s="351"/>
      <c r="D30" s="619" t="str">
        <f>'refer admin discharge'!D31</f>
        <v>xx</v>
      </c>
      <c r="E30" s="351"/>
      <c r="F30" s="620" t="str">
        <f>'refer admin discharge'!H31</f>
        <v>00/00/0000</v>
      </c>
      <c r="G30" s="351"/>
      <c r="H30" s="615"/>
      <c r="I30" s="351"/>
      <c r="J30" s="621"/>
      <c r="K30" s="351"/>
      <c r="L30" s="615"/>
      <c r="M30" s="351"/>
      <c r="N30" s="610"/>
      <c r="O30" s="351"/>
      <c r="P30" s="615"/>
      <c r="Q30" s="351"/>
      <c r="R30" s="610"/>
      <c r="S30" s="351"/>
      <c r="T30" s="615"/>
      <c r="U30" s="351"/>
      <c r="V30" s="613" t="str">
        <f>'refer admin discharge'!H31</f>
        <v>00/00/0000</v>
      </c>
      <c r="W30" s="351"/>
      <c r="X30" s="616"/>
      <c r="Y30" s="351"/>
      <c r="Z30" s="617"/>
      <c r="AA30" s="351"/>
      <c r="AB30" s="616"/>
      <c r="AC30" s="351"/>
      <c r="AD30" s="607"/>
      <c r="AE30" s="351"/>
      <c r="AF30" s="616"/>
      <c r="AG30" s="351"/>
      <c r="AH30" s="607"/>
      <c r="AI30" s="351"/>
      <c r="AJ30" s="616"/>
      <c r="AK30" s="351"/>
      <c r="AL30" s="622"/>
      <c r="AM30" s="350"/>
      <c r="AN30" s="350"/>
      <c r="AO30" s="350"/>
      <c r="AP30" s="350"/>
      <c r="AQ30" s="350"/>
      <c r="AR30" s="350"/>
      <c r="AS30" s="350"/>
      <c r="AT30" s="350"/>
      <c r="AU30" s="350"/>
      <c r="AV30" s="350"/>
      <c r="AW30" s="350"/>
      <c r="AX30" s="350"/>
      <c r="AY30" s="350"/>
      <c r="AZ30" s="350"/>
      <c r="BA30" s="350"/>
      <c r="BB30" s="351"/>
    </row>
    <row r="31" spans="1:54" ht="15.75" customHeight="1">
      <c r="A31" s="25">
        <f t="shared" si="0"/>
        <v>18</v>
      </c>
      <c r="B31" s="599" t="str">
        <f>'refer admin discharge'!B32</f>
        <v>x</v>
      </c>
      <c r="C31" s="351"/>
      <c r="D31" s="600" t="str">
        <f>'refer admin discharge'!D32</f>
        <v>xx</v>
      </c>
      <c r="E31" s="351"/>
      <c r="F31" s="609" t="str">
        <f>'refer admin discharge'!H32</f>
        <v>00/00/0000</v>
      </c>
      <c r="G31" s="351"/>
      <c r="H31" s="610"/>
      <c r="I31" s="351"/>
      <c r="J31" s="611"/>
      <c r="K31" s="351"/>
      <c r="L31" s="610"/>
      <c r="M31" s="351"/>
      <c r="N31" s="612"/>
      <c r="O31" s="351"/>
      <c r="P31" s="610"/>
      <c r="Q31" s="351"/>
      <c r="R31" s="612"/>
      <c r="S31" s="351"/>
      <c r="T31" s="610"/>
      <c r="U31" s="351"/>
      <c r="V31" s="623" t="str">
        <f>'refer admin discharge'!H32</f>
        <v>00/00/0000</v>
      </c>
      <c r="W31" s="351"/>
      <c r="X31" s="607"/>
      <c r="Y31" s="351"/>
      <c r="Z31" s="614"/>
      <c r="AA31" s="351"/>
      <c r="AB31" s="607"/>
      <c r="AC31" s="351"/>
      <c r="AD31" s="606"/>
      <c r="AE31" s="351"/>
      <c r="AF31" s="607"/>
      <c r="AG31" s="351"/>
      <c r="AH31" s="606"/>
      <c r="AI31" s="351"/>
      <c r="AJ31" s="607"/>
      <c r="AK31" s="351"/>
      <c r="AL31" s="608"/>
      <c r="AM31" s="350"/>
      <c r="AN31" s="350"/>
      <c r="AO31" s="350"/>
      <c r="AP31" s="350"/>
      <c r="AQ31" s="350"/>
      <c r="AR31" s="350"/>
      <c r="AS31" s="350"/>
      <c r="AT31" s="350"/>
      <c r="AU31" s="350"/>
      <c r="AV31" s="350"/>
      <c r="AW31" s="350"/>
      <c r="AX31" s="350"/>
      <c r="AY31" s="350"/>
      <c r="AZ31" s="350"/>
      <c r="BA31" s="350"/>
      <c r="BB31" s="351"/>
    </row>
    <row r="32" spans="1:54" ht="15.75" customHeight="1">
      <c r="A32" s="25">
        <f t="shared" si="0"/>
        <v>19</v>
      </c>
      <c r="B32" s="618" t="str">
        <f>'refer admin discharge'!B33</f>
        <v>x</v>
      </c>
      <c r="C32" s="351"/>
      <c r="D32" s="619" t="str">
        <f>'refer admin discharge'!D33</f>
        <v>xx</v>
      </c>
      <c r="E32" s="351"/>
      <c r="F32" s="620" t="str">
        <f>'refer admin discharge'!H33</f>
        <v>00/00/0000</v>
      </c>
      <c r="G32" s="351"/>
      <c r="H32" s="615"/>
      <c r="I32" s="351"/>
      <c r="J32" s="621"/>
      <c r="K32" s="351"/>
      <c r="L32" s="615"/>
      <c r="M32" s="351"/>
      <c r="N32" s="610"/>
      <c r="O32" s="351"/>
      <c r="P32" s="615"/>
      <c r="Q32" s="351"/>
      <c r="R32" s="610"/>
      <c r="S32" s="351"/>
      <c r="T32" s="615"/>
      <c r="U32" s="351"/>
      <c r="V32" s="613" t="str">
        <f>'refer admin discharge'!H33</f>
        <v>00/00/0000</v>
      </c>
      <c r="W32" s="351"/>
      <c r="X32" s="616"/>
      <c r="Y32" s="351"/>
      <c r="Z32" s="617"/>
      <c r="AA32" s="351"/>
      <c r="AB32" s="616"/>
      <c r="AC32" s="351"/>
      <c r="AD32" s="607"/>
      <c r="AE32" s="351"/>
      <c r="AF32" s="616"/>
      <c r="AG32" s="351"/>
      <c r="AH32" s="607"/>
      <c r="AI32" s="351"/>
      <c r="AJ32" s="616"/>
      <c r="AK32" s="351"/>
      <c r="AL32" s="622"/>
      <c r="AM32" s="350"/>
      <c r="AN32" s="350"/>
      <c r="AO32" s="350"/>
      <c r="AP32" s="350"/>
      <c r="AQ32" s="350"/>
      <c r="AR32" s="350"/>
      <c r="AS32" s="350"/>
      <c r="AT32" s="350"/>
      <c r="AU32" s="350"/>
      <c r="AV32" s="350"/>
      <c r="AW32" s="350"/>
      <c r="AX32" s="350"/>
      <c r="AY32" s="350"/>
      <c r="AZ32" s="350"/>
      <c r="BA32" s="350"/>
      <c r="BB32" s="351"/>
    </row>
    <row r="33" spans="1:54" ht="15.75" customHeight="1">
      <c r="A33" s="25">
        <f t="shared" si="0"/>
        <v>20</v>
      </c>
      <c r="B33" s="599" t="str">
        <f>'refer admin discharge'!B34</f>
        <v>x</v>
      </c>
      <c r="C33" s="351"/>
      <c r="D33" s="600" t="str">
        <f>'refer admin discharge'!D34</f>
        <v>xx</v>
      </c>
      <c r="E33" s="351"/>
      <c r="F33" s="609" t="str">
        <f>'refer admin discharge'!H34</f>
        <v>00/00/0000</v>
      </c>
      <c r="G33" s="351"/>
      <c r="H33" s="610"/>
      <c r="I33" s="351"/>
      <c r="J33" s="611"/>
      <c r="K33" s="351"/>
      <c r="L33" s="610"/>
      <c r="M33" s="351"/>
      <c r="N33" s="612"/>
      <c r="O33" s="351"/>
      <c r="P33" s="610"/>
      <c r="Q33" s="351"/>
      <c r="R33" s="612"/>
      <c r="S33" s="351"/>
      <c r="T33" s="610"/>
      <c r="U33" s="351"/>
      <c r="V33" s="623" t="str">
        <f>'refer admin discharge'!H34</f>
        <v>00/00/0000</v>
      </c>
      <c r="W33" s="351"/>
      <c r="X33" s="607"/>
      <c r="Y33" s="351"/>
      <c r="Z33" s="614"/>
      <c r="AA33" s="351"/>
      <c r="AB33" s="607"/>
      <c r="AC33" s="351"/>
      <c r="AD33" s="606"/>
      <c r="AE33" s="351"/>
      <c r="AF33" s="607"/>
      <c r="AG33" s="351"/>
      <c r="AH33" s="606"/>
      <c r="AI33" s="351"/>
      <c r="AJ33" s="607"/>
      <c r="AK33" s="351"/>
      <c r="AL33" s="608"/>
      <c r="AM33" s="350"/>
      <c r="AN33" s="350"/>
      <c r="AO33" s="350"/>
      <c r="AP33" s="350"/>
      <c r="AQ33" s="350"/>
      <c r="AR33" s="350"/>
      <c r="AS33" s="350"/>
      <c r="AT33" s="350"/>
      <c r="AU33" s="350"/>
      <c r="AV33" s="350"/>
      <c r="AW33" s="350"/>
      <c r="AX33" s="350"/>
      <c r="AY33" s="350"/>
      <c r="AZ33" s="350"/>
      <c r="BA33" s="350"/>
      <c r="BB33" s="351"/>
    </row>
    <row r="34" spans="1:54" ht="15.75" customHeight="1">
      <c r="A34" s="25">
        <f t="shared" si="0"/>
        <v>21</v>
      </c>
      <c r="B34" s="618" t="str">
        <f>'refer admin discharge'!B35</f>
        <v>x</v>
      </c>
      <c r="C34" s="351"/>
      <c r="D34" s="619" t="str">
        <f>'refer admin discharge'!D35</f>
        <v>xx</v>
      </c>
      <c r="E34" s="351"/>
      <c r="F34" s="620" t="str">
        <f>'refer admin discharge'!H35</f>
        <v>00/00/0000</v>
      </c>
      <c r="G34" s="351"/>
      <c r="H34" s="615"/>
      <c r="I34" s="351"/>
      <c r="J34" s="621"/>
      <c r="K34" s="351"/>
      <c r="L34" s="615"/>
      <c r="M34" s="351"/>
      <c r="N34" s="610"/>
      <c r="O34" s="351"/>
      <c r="P34" s="615"/>
      <c r="Q34" s="351"/>
      <c r="R34" s="610"/>
      <c r="S34" s="351"/>
      <c r="T34" s="615"/>
      <c r="U34" s="351"/>
      <c r="V34" s="613" t="str">
        <f>'refer admin discharge'!H35</f>
        <v>00/00/0000</v>
      </c>
      <c r="W34" s="351"/>
      <c r="X34" s="616"/>
      <c r="Y34" s="351"/>
      <c r="Z34" s="617"/>
      <c r="AA34" s="351"/>
      <c r="AB34" s="616"/>
      <c r="AC34" s="351"/>
      <c r="AD34" s="607"/>
      <c r="AE34" s="351"/>
      <c r="AF34" s="616"/>
      <c r="AG34" s="351"/>
      <c r="AH34" s="607"/>
      <c r="AI34" s="351"/>
      <c r="AJ34" s="616"/>
      <c r="AK34" s="351"/>
      <c r="AL34" s="622"/>
      <c r="AM34" s="350"/>
      <c r="AN34" s="350"/>
      <c r="AO34" s="350"/>
      <c r="AP34" s="350"/>
      <c r="AQ34" s="350"/>
      <c r="AR34" s="350"/>
      <c r="AS34" s="350"/>
      <c r="AT34" s="350"/>
      <c r="AU34" s="350"/>
      <c r="AV34" s="350"/>
      <c r="AW34" s="350"/>
      <c r="AX34" s="350"/>
      <c r="AY34" s="350"/>
      <c r="AZ34" s="350"/>
      <c r="BA34" s="350"/>
      <c r="BB34" s="351"/>
    </row>
    <row r="35" spans="1:54" ht="15.75" customHeight="1">
      <c r="A35" s="25">
        <f t="shared" si="0"/>
        <v>22</v>
      </c>
      <c r="B35" s="599" t="str">
        <f>'refer admin discharge'!B36</f>
        <v>x</v>
      </c>
      <c r="C35" s="351"/>
      <c r="D35" s="600" t="str">
        <f>'refer admin discharge'!D36</f>
        <v>xx</v>
      </c>
      <c r="E35" s="351"/>
      <c r="F35" s="609" t="str">
        <f>'refer admin discharge'!H36</f>
        <v>00/00/0000</v>
      </c>
      <c r="G35" s="351"/>
      <c r="H35" s="610"/>
      <c r="I35" s="351"/>
      <c r="J35" s="611"/>
      <c r="K35" s="351"/>
      <c r="L35" s="610"/>
      <c r="M35" s="351"/>
      <c r="N35" s="612"/>
      <c r="O35" s="351"/>
      <c r="P35" s="610"/>
      <c r="Q35" s="351"/>
      <c r="R35" s="612"/>
      <c r="S35" s="351"/>
      <c r="T35" s="610"/>
      <c r="U35" s="351"/>
      <c r="V35" s="623" t="str">
        <f>'refer admin discharge'!H36</f>
        <v>00/00/0000</v>
      </c>
      <c r="W35" s="351"/>
      <c r="X35" s="607"/>
      <c r="Y35" s="351"/>
      <c r="Z35" s="614"/>
      <c r="AA35" s="351"/>
      <c r="AB35" s="607"/>
      <c r="AC35" s="351"/>
      <c r="AD35" s="606"/>
      <c r="AE35" s="351"/>
      <c r="AF35" s="607"/>
      <c r="AG35" s="351"/>
      <c r="AH35" s="606"/>
      <c r="AI35" s="351"/>
      <c r="AJ35" s="607"/>
      <c r="AK35" s="351"/>
      <c r="AL35" s="608"/>
      <c r="AM35" s="350"/>
      <c r="AN35" s="350"/>
      <c r="AO35" s="350"/>
      <c r="AP35" s="350"/>
      <c r="AQ35" s="350"/>
      <c r="AR35" s="350"/>
      <c r="AS35" s="350"/>
      <c r="AT35" s="350"/>
      <c r="AU35" s="350"/>
      <c r="AV35" s="350"/>
      <c r="AW35" s="350"/>
      <c r="AX35" s="350"/>
      <c r="AY35" s="350"/>
      <c r="AZ35" s="350"/>
      <c r="BA35" s="350"/>
      <c r="BB35" s="351"/>
    </row>
    <row r="36" spans="1:54" ht="15.75" customHeight="1">
      <c r="A36" s="25">
        <f t="shared" si="0"/>
        <v>23</v>
      </c>
      <c r="B36" s="618" t="str">
        <f>'refer admin discharge'!B37</f>
        <v>x</v>
      </c>
      <c r="C36" s="351"/>
      <c r="D36" s="619" t="str">
        <f>'refer admin discharge'!D37</f>
        <v>xx</v>
      </c>
      <c r="E36" s="351"/>
      <c r="F36" s="620" t="str">
        <f>'refer admin discharge'!H37</f>
        <v>00/00/0000</v>
      </c>
      <c r="G36" s="351"/>
      <c r="H36" s="615"/>
      <c r="I36" s="351"/>
      <c r="J36" s="621"/>
      <c r="K36" s="351"/>
      <c r="L36" s="615"/>
      <c r="M36" s="351"/>
      <c r="N36" s="610"/>
      <c r="O36" s="351"/>
      <c r="P36" s="615"/>
      <c r="Q36" s="351"/>
      <c r="R36" s="610"/>
      <c r="S36" s="351"/>
      <c r="T36" s="615"/>
      <c r="U36" s="351"/>
      <c r="V36" s="613" t="str">
        <f>'refer admin discharge'!H37</f>
        <v>00/00/0000</v>
      </c>
      <c r="W36" s="351"/>
      <c r="X36" s="616"/>
      <c r="Y36" s="351"/>
      <c r="Z36" s="617"/>
      <c r="AA36" s="351"/>
      <c r="AB36" s="616"/>
      <c r="AC36" s="351"/>
      <c r="AD36" s="607"/>
      <c r="AE36" s="351"/>
      <c r="AF36" s="616"/>
      <c r="AG36" s="351"/>
      <c r="AH36" s="607"/>
      <c r="AI36" s="351"/>
      <c r="AJ36" s="616"/>
      <c r="AK36" s="351"/>
      <c r="AL36" s="622"/>
      <c r="AM36" s="350"/>
      <c r="AN36" s="350"/>
      <c r="AO36" s="350"/>
      <c r="AP36" s="350"/>
      <c r="AQ36" s="350"/>
      <c r="AR36" s="350"/>
      <c r="AS36" s="350"/>
      <c r="AT36" s="350"/>
      <c r="AU36" s="350"/>
      <c r="AV36" s="350"/>
      <c r="AW36" s="350"/>
      <c r="AX36" s="350"/>
      <c r="AY36" s="350"/>
      <c r="AZ36" s="350"/>
      <c r="BA36" s="350"/>
      <c r="BB36" s="351"/>
    </row>
    <row r="37" spans="1:54" ht="15.75" customHeight="1">
      <c r="A37" s="25">
        <f t="shared" si="0"/>
        <v>24</v>
      </c>
      <c r="B37" s="599" t="str">
        <f>'refer admin discharge'!B38</f>
        <v>x</v>
      </c>
      <c r="C37" s="351"/>
      <c r="D37" s="600" t="str">
        <f>'refer admin discharge'!D38</f>
        <v>xx</v>
      </c>
      <c r="E37" s="351"/>
      <c r="F37" s="609" t="str">
        <f>'refer admin discharge'!H38</f>
        <v>00/00/0000</v>
      </c>
      <c r="G37" s="351"/>
      <c r="H37" s="610"/>
      <c r="I37" s="351"/>
      <c r="J37" s="611"/>
      <c r="K37" s="351"/>
      <c r="L37" s="610"/>
      <c r="M37" s="351"/>
      <c r="N37" s="612"/>
      <c r="O37" s="351"/>
      <c r="P37" s="610"/>
      <c r="Q37" s="351"/>
      <c r="R37" s="612"/>
      <c r="S37" s="351"/>
      <c r="T37" s="610"/>
      <c r="U37" s="351"/>
      <c r="V37" s="623" t="str">
        <f>'refer admin discharge'!H38</f>
        <v>00/00/0000</v>
      </c>
      <c r="W37" s="351"/>
      <c r="X37" s="607"/>
      <c r="Y37" s="351"/>
      <c r="Z37" s="614"/>
      <c r="AA37" s="351"/>
      <c r="AB37" s="607"/>
      <c r="AC37" s="351"/>
      <c r="AD37" s="606"/>
      <c r="AE37" s="351"/>
      <c r="AF37" s="607"/>
      <c r="AG37" s="351"/>
      <c r="AH37" s="606"/>
      <c r="AI37" s="351"/>
      <c r="AJ37" s="607"/>
      <c r="AK37" s="351"/>
      <c r="AL37" s="608"/>
      <c r="AM37" s="350"/>
      <c r="AN37" s="350"/>
      <c r="AO37" s="350"/>
      <c r="AP37" s="350"/>
      <c r="AQ37" s="350"/>
      <c r="AR37" s="350"/>
      <c r="AS37" s="350"/>
      <c r="AT37" s="350"/>
      <c r="AU37" s="350"/>
      <c r="AV37" s="350"/>
      <c r="AW37" s="350"/>
      <c r="AX37" s="350"/>
      <c r="AY37" s="350"/>
      <c r="AZ37" s="350"/>
      <c r="BA37" s="350"/>
      <c r="BB37" s="351"/>
    </row>
    <row r="38" spans="1:54" ht="15.75" customHeight="1">
      <c r="A38" s="25">
        <f t="shared" si="0"/>
        <v>25</v>
      </c>
      <c r="B38" s="618" t="str">
        <f>'refer admin discharge'!B39</f>
        <v>x</v>
      </c>
      <c r="C38" s="351"/>
      <c r="D38" s="619" t="str">
        <f>'refer admin discharge'!D39</f>
        <v>xx</v>
      </c>
      <c r="E38" s="351"/>
      <c r="F38" s="620" t="str">
        <f>'refer admin discharge'!H39</f>
        <v>00/00/0000</v>
      </c>
      <c r="G38" s="351"/>
      <c r="H38" s="615"/>
      <c r="I38" s="351"/>
      <c r="J38" s="621"/>
      <c r="K38" s="351"/>
      <c r="L38" s="615"/>
      <c r="M38" s="351"/>
      <c r="N38" s="610"/>
      <c r="O38" s="351"/>
      <c r="P38" s="615"/>
      <c r="Q38" s="351"/>
      <c r="R38" s="610"/>
      <c r="S38" s="351"/>
      <c r="T38" s="615"/>
      <c r="U38" s="351"/>
      <c r="V38" s="613" t="str">
        <f>'refer admin discharge'!H39</f>
        <v>00/00/0000</v>
      </c>
      <c r="W38" s="351"/>
      <c r="X38" s="616"/>
      <c r="Y38" s="351"/>
      <c r="Z38" s="617"/>
      <c r="AA38" s="351"/>
      <c r="AB38" s="616"/>
      <c r="AC38" s="351"/>
      <c r="AD38" s="607"/>
      <c r="AE38" s="351"/>
      <c r="AF38" s="616"/>
      <c r="AG38" s="351"/>
      <c r="AH38" s="607"/>
      <c r="AI38" s="351"/>
      <c r="AJ38" s="616"/>
      <c r="AK38" s="351"/>
      <c r="AL38" s="622"/>
      <c r="AM38" s="350"/>
      <c r="AN38" s="350"/>
      <c r="AO38" s="350"/>
      <c r="AP38" s="350"/>
      <c r="AQ38" s="350"/>
      <c r="AR38" s="350"/>
      <c r="AS38" s="350"/>
      <c r="AT38" s="350"/>
      <c r="AU38" s="350"/>
      <c r="AV38" s="350"/>
      <c r="AW38" s="350"/>
      <c r="AX38" s="350"/>
      <c r="AY38" s="350"/>
      <c r="AZ38" s="350"/>
      <c r="BA38" s="350"/>
      <c r="BB38" s="351"/>
    </row>
    <row r="39" spans="1:54" ht="15.75" customHeight="1">
      <c r="A39" s="25">
        <f t="shared" si="0"/>
        <v>26</v>
      </c>
      <c r="B39" s="599" t="str">
        <f>'refer admin discharge'!B40</f>
        <v>x</v>
      </c>
      <c r="C39" s="351"/>
      <c r="D39" s="600" t="str">
        <f>'refer admin discharge'!D40</f>
        <v>xx</v>
      </c>
      <c r="E39" s="351"/>
      <c r="F39" s="609" t="str">
        <f>'refer admin discharge'!H40</f>
        <v>00/00/0000</v>
      </c>
      <c r="G39" s="351"/>
      <c r="H39" s="610"/>
      <c r="I39" s="351"/>
      <c r="J39" s="611"/>
      <c r="K39" s="351"/>
      <c r="L39" s="610"/>
      <c r="M39" s="351"/>
      <c r="N39" s="612"/>
      <c r="O39" s="351"/>
      <c r="P39" s="610"/>
      <c r="Q39" s="351"/>
      <c r="R39" s="612"/>
      <c r="S39" s="351"/>
      <c r="T39" s="610"/>
      <c r="U39" s="351"/>
      <c r="V39" s="623" t="str">
        <f>'refer admin discharge'!H40</f>
        <v>00/00/0000</v>
      </c>
      <c r="W39" s="351"/>
      <c r="X39" s="607"/>
      <c r="Y39" s="351"/>
      <c r="Z39" s="614"/>
      <c r="AA39" s="351"/>
      <c r="AB39" s="607"/>
      <c r="AC39" s="351"/>
      <c r="AD39" s="606"/>
      <c r="AE39" s="351"/>
      <c r="AF39" s="607"/>
      <c r="AG39" s="351"/>
      <c r="AH39" s="606"/>
      <c r="AI39" s="351"/>
      <c r="AJ39" s="607"/>
      <c r="AK39" s="351"/>
      <c r="AL39" s="608"/>
      <c r="AM39" s="350"/>
      <c r="AN39" s="350"/>
      <c r="AO39" s="350"/>
      <c r="AP39" s="350"/>
      <c r="AQ39" s="350"/>
      <c r="AR39" s="350"/>
      <c r="AS39" s="350"/>
      <c r="AT39" s="350"/>
      <c r="AU39" s="350"/>
      <c r="AV39" s="350"/>
      <c r="AW39" s="350"/>
      <c r="AX39" s="350"/>
      <c r="AY39" s="350"/>
      <c r="AZ39" s="350"/>
      <c r="BA39" s="350"/>
      <c r="BB39" s="351"/>
    </row>
    <row r="40" spans="1:54" ht="15.75" customHeight="1">
      <c r="A40" s="25">
        <f t="shared" si="0"/>
        <v>27</v>
      </c>
      <c r="B40" s="618" t="str">
        <f>'refer admin discharge'!B41</f>
        <v>x</v>
      </c>
      <c r="C40" s="351"/>
      <c r="D40" s="619" t="str">
        <f>'refer admin discharge'!D41</f>
        <v>xx</v>
      </c>
      <c r="E40" s="351"/>
      <c r="F40" s="620" t="str">
        <f>'refer admin discharge'!H41</f>
        <v>00/00/0000</v>
      </c>
      <c r="G40" s="351"/>
      <c r="H40" s="615"/>
      <c r="I40" s="351"/>
      <c r="J40" s="621"/>
      <c r="K40" s="351"/>
      <c r="L40" s="615"/>
      <c r="M40" s="351"/>
      <c r="N40" s="610"/>
      <c r="O40" s="351"/>
      <c r="P40" s="615"/>
      <c r="Q40" s="351"/>
      <c r="R40" s="610"/>
      <c r="S40" s="351"/>
      <c r="T40" s="615"/>
      <c r="U40" s="351"/>
      <c r="V40" s="613" t="str">
        <f>'refer admin discharge'!H41</f>
        <v>00/00/0000</v>
      </c>
      <c r="W40" s="351"/>
      <c r="X40" s="616"/>
      <c r="Y40" s="351"/>
      <c r="Z40" s="617"/>
      <c r="AA40" s="351"/>
      <c r="AB40" s="616"/>
      <c r="AC40" s="351"/>
      <c r="AD40" s="607"/>
      <c r="AE40" s="351"/>
      <c r="AF40" s="616"/>
      <c r="AG40" s="351"/>
      <c r="AH40" s="607"/>
      <c r="AI40" s="351"/>
      <c r="AJ40" s="616"/>
      <c r="AK40" s="351"/>
      <c r="AL40" s="622"/>
      <c r="AM40" s="350"/>
      <c r="AN40" s="350"/>
      <c r="AO40" s="350"/>
      <c r="AP40" s="350"/>
      <c r="AQ40" s="350"/>
      <c r="AR40" s="350"/>
      <c r="AS40" s="350"/>
      <c r="AT40" s="350"/>
      <c r="AU40" s="350"/>
      <c r="AV40" s="350"/>
      <c r="AW40" s="350"/>
      <c r="AX40" s="350"/>
      <c r="AY40" s="350"/>
      <c r="AZ40" s="350"/>
      <c r="BA40" s="350"/>
      <c r="BB40" s="351"/>
    </row>
    <row r="41" spans="1:54" ht="15.75" customHeight="1">
      <c r="A41" s="25">
        <f t="shared" si="0"/>
        <v>28</v>
      </c>
      <c r="B41" s="599" t="str">
        <f>'refer admin discharge'!B42</f>
        <v>x</v>
      </c>
      <c r="C41" s="351"/>
      <c r="D41" s="600" t="str">
        <f>'refer admin discharge'!D42</f>
        <v>xx</v>
      </c>
      <c r="E41" s="351"/>
      <c r="F41" s="609" t="str">
        <f>'refer admin discharge'!H42</f>
        <v>00/00/0000</v>
      </c>
      <c r="G41" s="351"/>
      <c r="H41" s="610"/>
      <c r="I41" s="351"/>
      <c r="J41" s="611"/>
      <c r="K41" s="351"/>
      <c r="L41" s="610"/>
      <c r="M41" s="351"/>
      <c r="N41" s="612"/>
      <c r="O41" s="351"/>
      <c r="P41" s="610"/>
      <c r="Q41" s="351"/>
      <c r="R41" s="612"/>
      <c r="S41" s="351"/>
      <c r="T41" s="610"/>
      <c r="U41" s="351"/>
      <c r="V41" s="623" t="str">
        <f>'refer admin discharge'!H42</f>
        <v>00/00/0000</v>
      </c>
      <c r="W41" s="351"/>
      <c r="X41" s="607"/>
      <c r="Y41" s="351"/>
      <c r="Z41" s="614"/>
      <c r="AA41" s="351"/>
      <c r="AB41" s="607"/>
      <c r="AC41" s="351"/>
      <c r="AD41" s="606"/>
      <c r="AE41" s="351"/>
      <c r="AF41" s="607"/>
      <c r="AG41" s="351"/>
      <c r="AH41" s="606"/>
      <c r="AI41" s="351"/>
      <c r="AJ41" s="607"/>
      <c r="AK41" s="351"/>
      <c r="AL41" s="608"/>
      <c r="AM41" s="350"/>
      <c r="AN41" s="350"/>
      <c r="AO41" s="350"/>
      <c r="AP41" s="350"/>
      <c r="AQ41" s="350"/>
      <c r="AR41" s="350"/>
      <c r="AS41" s="350"/>
      <c r="AT41" s="350"/>
      <c r="AU41" s="350"/>
      <c r="AV41" s="350"/>
      <c r="AW41" s="350"/>
      <c r="AX41" s="350"/>
      <c r="AY41" s="350"/>
      <c r="AZ41" s="350"/>
      <c r="BA41" s="350"/>
      <c r="BB41" s="351"/>
    </row>
    <row r="42" spans="1:54" ht="15.75" customHeight="1">
      <c r="A42" s="25">
        <f t="shared" si="0"/>
        <v>29</v>
      </c>
      <c r="B42" s="618" t="str">
        <f>'refer admin discharge'!B43</f>
        <v>x</v>
      </c>
      <c r="C42" s="351"/>
      <c r="D42" s="619" t="str">
        <f>'refer admin discharge'!D43</f>
        <v>xx</v>
      </c>
      <c r="E42" s="351"/>
      <c r="F42" s="620" t="str">
        <f>'refer admin discharge'!H43</f>
        <v>00/00/0000</v>
      </c>
      <c r="G42" s="351"/>
      <c r="H42" s="615"/>
      <c r="I42" s="351"/>
      <c r="J42" s="621"/>
      <c r="K42" s="351"/>
      <c r="L42" s="615"/>
      <c r="M42" s="351"/>
      <c r="N42" s="610"/>
      <c r="O42" s="351"/>
      <c r="P42" s="615"/>
      <c r="Q42" s="351"/>
      <c r="R42" s="610"/>
      <c r="S42" s="351"/>
      <c r="T42" s="615"/>
      <c r="U42" s="351"/>
      <c r="V42" s="613" t="str">
        <f>'refer admin discharge'!H43</f>
        <v>00/00/0000</v>
      </c>
      <c r="W42" s="351"/>
      <c r="X42" s="616"/>
      <c r="Y42" s="351"/>
      <c r="Z42" s="617"/>
      <c r="AA42" s="351"/>
      <c r="AB42" s="616"/>
      <c r="AC42" s="351"/>
      <c r="AD42" s="607"/>
      <c r="AE42" s="351"/>
      <c r="AF42" s="616"/>
      <c r="AG42" s="351"/>
      <c r="AH42" s="607"/>
      <c r="AI42" s="351"/>
      <c r="AJ42" s="616"/>
      <c r="AK42" s="351"/>
      <c r="AL42" s="622"/>
      <c r="AM42" s="350"/>
      <c r="AN42" s="350"/>
      <c r="AO42" s="350"/>
      <c r="AP42" s="350"/>
      <c r="AQ42" s="350"/>
      <c r="AR42" s="350"/>
      <c r="AS42" s="350"/>
      <c r="AT42" s="350"/>
      <c r="AU42" s="350"/>
      <c r="AV42" s="350"/>
      <c r="AW42" s="350"/>
      <c r="AX42" s="350"/>
      <c r="AY42" s="350"/>
      <c r="AZ42" s="350"/>
      <c r="BA42" s="350"/>
      <c r="BB42" s="351"/>
    </row>
    <row r="43" spans="1:54" ht="15.75" customHeight="1">
      <c r="A43" s="25">
        <f t="shared" si="0"/>
        <v>30</v>
      </c>
      <c r="B43" s="599" t="str">
        <f>'refer admin discharge'!B44</f>
        <v>x</v>
      </c>
      <c r="C43" s="351"/>
      <c r="D43" s="600" t="str">
        <f>'refer admin discharge'!D44</f>
        <v>xx</v>
      </c>
      <c r="E43" s="351"/>
      <c r="F43" s="609" t="str">
        <f>'refer admin discharge'!H44</f>
        <v>00/00/0000</v>
      </c>
      <c r="G43" s="351"/>
      <c r="H43" s="610"/>
      <c r="I43" s="351"/>
      <c r="J43" s="611"/>
      <c r="K43" s="351"/>
      <c r="L43" s="610"/>
      <c r="M43" s="351"/>
      <c r="N43" s="612"/>
      <c r="O43" s="351"/>
      <c r="P43" s="610"/>
      <c r="Q43" s="351"/>
      <c r="R43" s="612"/>
      <c r="S43" s="351"/>
      <c r="T43" s="610"/>
      <c r="U43" s="351"/>
      <c r="V43" s="623" t="str">
        <f>'refer admin discharge'!H44</f>
        <v>00/00/0000</v>
      </c>
      <c r="W43" s="351"/>
      <c r="X43" s="607"/>
      <c r="Y43" s="351"/>
      <c r="Z43" s="614"/>
      <c r="AA43" s="351"/>
      <c r="AB43" s="607"/>
      <c r="AC43" s="351"/>
      <c r="AD43" s="606"/>
      <c r="AE43" s="351"/>
      <c r="AF43" s="607"/>
      <c r="AG43" s="351"/>
      <c r="AH43" s="606"/>
      <c r="AI43" s="351"/>
      <c r="AJ43" s="607"/>
      <c r="AK43" s="351"/>
      <c r="AL43" s="608"/>
      <c r="AM43" s="350"/>
      <c r="AN43" s="350"/>
      <c r="AO43" s="350"/>
      <c r="AP43" s="350"/>
      <c r="AQ43" s="350"/>
      <c r="AR43" s="350"/>
      <c r="AS43" s="350"/>
      <c r="AT43" s="350"/>
      <c r="AU43" s="350"/>
      <c r="AV43" s="350"/>
      <c r="AW43" s="350"/>
      <c r="AX43" s="350"/>
      <c r="AY43" s="350"/>
      <c r="AZ43" s="350"/>
      <c r="BA43" s="350"/>
      <c r="BB43" s="351"/>
    </row>
    <row r="44" spans="1:54" ht="15.75" customHeight="1">
      <c r="A44" s="25">
        <f t="shared" si="0"/>
        <v>31</v>
      </c>
      <c r="B44" s="618" t="str">
        <f>'refer admin discharge'!B45</f>
        <v>x</v>
      </c>
      <c r="C44" s="351"/>
      <c r="D44" s="619" t="str">
        <f>'refer admin discharge'!D45</f>
        <v>xx</v>
      </c>
      <c r="E44" s="351"/>
      <c r="F44" s="620" t="str">
        <f>'refer admin discharge'!H45</f>
        <v>00/00/0000</v>
      </c>
      <c r="G44" s="351"/>
      <c r="H44" s="615"/>
      <c r="I44" s="351"/>
      <c r="J44" s="621"/>
      <c r="K44" s="351"/>
      <c r="L44" s="615"/>
      <c r="M44" s="351"/>
      <c r="N44" s="610"/>
      <c r="O44" s="351"/>
      <c r="P44" s="615"/>
      <c r="Q44" s="351"/>
      <c r="R44" s="610"/>
      <c r="S44" s="351"/>
      <c r="T44" s="615"/>
      <c r="U44" s="351"/>
      <c r="V44" s="613" t="str">
        <f>'refer admin discharge'!H45</f>
        <v>00/00/0000</v>
      </c>
      <c r="W44" s="351"/>
      <c r="X44" s="616"/>
      <c r="Y44" s="351"/>
      <c r="Z44" s="617"/>
      <c r="AA44" s="351"/>
      <c r="AB44" s="616"/>
      <c r="AC44" s="351"/>
      <c r="AD44" s="607"/>
      <c r="AE44" s="351"/>
      <c r="AF44" s="616"/>
      <c r="AG44" s="351"/>
      <c r="AH44" s="607"/>
      <c r="AI44" s="351"/>
      <c r="AJ44" s="616"/>
      <c r="AK44" s="351"/>
      <c r="AL44" s="622"/>
      <c r="AM44" s="350"/>
      <c r="AN44" s="350"/>
      <c r="AO44" s="350"/>
      <c r="AP44" s="350"/>
      <c r="AQ44" s="350"/>
      <c r="AR44" s="350"/>
      <c r="AS44" s="350"/>
      <c r="AT44" s="350"/>
      <c r="AU44" s="350"/>
      <c r="AV44" s="350"/>
      <c r="AW44" s="350"/>
      <c r="AX44" s="350"/>
      <c r="AY44" s="350"/>
      <c r="AZ44" s="350"/>
      <c r="BA44" s="350"/>
      <c r="BB44" s="351"/>
    </row>
    <row r="45" spans="1:54" ht="15.75" customHeight="1">
      <c r="A45" s="25">
        <f t="shared" si="0"/>
        <v>32</v>
      </c>
      <c r="B45" s="599" t="str">
        <f>'refer admin discharge'!B46</f>
        <v>x</v>
      </c>
      <c r="C45" s="351"/>
      <c r="D45" s="600" t="str">
        <f>'refer admin discharge'!D46</f>
        <v>xx</v>
      </c>
      <c r="E45" s="351"/>
      <c r="F45" s="609" t="str">
        <f>'refer admin discharge'!H46</f>
        <v>00/00/0000</v>
      </c>
      <c r="G45" s="351"/>
      <c r="H45" s="610"/>
      <c r="I45" s="351"/>
      <c r="J45" s="611"/>
      <c r="K45" s="351"/>
      <c r="L45" s="610"/>
      <c r="M45" s="351"/>
      <c r="N45" s="612"/>
      <c r="O45" s="351"/>
      <c r="P45" s="610"/>
      <c r="Q45" s="351"/>
      <c r="R45" s="612"/>
      <c r="S45" s="351"/>
      <c r="T45" s="610"/>
      <c r="U45" s="351"/>
      <c r="V45" s="623" t="str">
        <f>'refer admin discharge'!H46</f>
        <v>00/00/0000</v>
      </c>
      <c r="W45" s="351"/>
      <c r="X45" s="607"/>
      <c r="Y45" s="351"/>
      <c r="Z45" s="614"/>
      <c r="AA45" s="351"/>
      <c r="AB45" s="607"/>
      <c r="AC45" s="351"/>
      <c r="AD45" s="606"/>
      <c r="AE45" s="351"/>
      <c r="AF45" s="607"/>
      <c r="AG45" s="351"/>
      <c r="AH45" s="606"/>
      <c r="AI45" s="351"/>
      <c r="AJ45" s="607"/>
      <c r="AK45" s="351"/>
      <c r="AL45" s="608"/>
      <c r="AM45" s="350"/>
      <c r="AN45" s="350"/>
      <c r="AO45" s="350"/>
      <c r="AP45" s="350"/>
      <c r="AQ45" s="350"/>
      <c r="AR45" s="350"/>
      <c r="AS45" s="350"/>
      <c r="AT45" s="350"/>
      <c r="AU45" s="350"/>
      <c r="AV45" s="350"/>
      <c r="AW45" s="350"/>
      <c r="AX45" s="350"/>
      <c r="AY45" s="350"/>
      <c r="AZ45" s="350"/>
      <c r="BA45" s="350"/>
      <c r="BB45" s="351"/>
    </row>
    <row r="46" spans="1:54" ht="15.75" customHeight="1">
      <c r="A46" s="25">
        <f t="shared" si="0"/>
        <v>33</v>
      </c>
      <c r="B46" s="618" t="str">
        <f>'refer admin discharge'!B47</f>
        <v>x</v>
      </c>
      <c r="C46" s="351"/>
      <c r="D46" s="619" t="str">
        <f>'refer admin discharge'!D47</f>
        <v>xx</v>
      </c>
      <c r="E46" s="351"/>
      <c r="F46" s="620" t="str">
        <f>'refer admin discharge'!H47</f>
        <v>00/00/0000</v>
      </c>
      <c r="G46" s="351"/>
      <c r="H46" s="615"/>
      <c r="I46" s="351"/>
      <c r="J46" s="621"/>
      <c r="K46" s="351"/>
      <c r="L46" s="615"/>
      <c r="M46" s="351"/>
      <c r="N46" s="610"/>
      <c r="O46" s="351"/>
      <c r="P46" s="615"/>
      <c r="Q46" s="351"/>
      <c r="R46" s="610"/>
      <c r="S46" s="351"/>
      <c r="T46" s="615"/>
      <c r="U46" s="351"/>
      <c r="V46" s="613" t="str">
        <f>'refer admin discharge'!H47</f>
        <v>00/00/0000</v>
      </c>
      <c r="W46" s="351"/>
      <c r="X46" s="616"/>
      <c r="Y46" s="351"/>
      <c r="Z46" s="617"/>
      <c r="AA46" s="351"/>
      <c r="AB46" s="616"/>
      <c r="AC46" s="351"/>
      <c r="AD46" s="607"/>
      <c r="AE46" s="351"/>
      <c r="AF46" s="616"/>
      <c r="AG46" s="351"/>
      <c r="AH46" s="607"/>
      <c r="AI46" s="351"/>
      <c r="AJ46" s="616"/>
      <c r="AK46" s="351"/>
      <c r="AL46" s="622"/>
      <c r="AM46" s="350"/>
      <c r="AN46" s="350"/>
      <c r="AO46" s="350"/>
      <c r="AP46" s="350"/>
      <c r="AQ46" s="350"/>
      <c r="AR46" s="350"/>
      <c r="AS46" s="350"/>
      <c r="AT46" s="350"/>
      <c r="AU46" s="350"/>
      <c r="AV46" s="350"/>
      <c r="AW46" s="350"/>
      <c r="AX46" s="350"/>
      <c r="AY46" s="350"/>
      <c r="AZ46" s="350"/>
      <c r="BA46" s="350"/>
      <c r="BB46" s="351"/>
    </row>
    <row r="47" spans="1:54" ht="15.75" customHeight="1">
      <c r="A47" s="25">
        <f t="shared" si="0"/>
        <v>34</v>
      </c>
      <c r="B47" s="599" t="str">
        <f>'refer admin discharge'!B48</f>
        <v>x</v>
      </c>
      <c r="C47" s="351"/>
      <c r="D47" s="600" t="str">
        <f>'refer admin discharge'!D48</f>
        <v>xx</v>
      </c>
      <c r="E47" s="351"/>
      <c r="F47" s="609" t="str">
        <f>'refer admin discharge'!H48</f>
        <v>00/00/0000</v>
      </c>
      <c r="G47" s="351"/>
      <c r="H47" s="610"/>
      <c r="I47" s="351"/>
      <c r="J47" s="611"/>
      <c r="K47" s="351"/>
      <c r="L47" s="610"/>
      <c r="M47" s="351"/>
      <c r="N47" s="612"/>
      <c r="O47" s="351"/>
      <c r="P47" s="610"/>
      <c r="Q47" s="351"/>
      <c r="R47" s="612"/>
      <c r="S47" s="351"/>
      <c r="T47" s="610"/>
      <c r="U47" s="351"/>
      <c r="V47" s="623" t="str">
        <f>'refer admin discharge'!H48</f>
        <v>00/00/0000</v>
      </c>
      <c r="W47" s="351"/>
      <c r="X47" s="607"/>
      <c r="Y47" s="351"/>
      <c r="Z47" s="614"/>
      <c r="AA47" s="351"/>
      <c r="AB47" s="607"/>
      <c r="AC47" s="351"/>
      <c r="AD47" s="606"/>
      <c r="AE47" s="351"/>
      <c r="AF47" s="607"/>
      <c r="AG47" s="351"/>
      <c r="AH47" s="606"/>
      <c r="AI47" s="351"/>
      <c r="AJ47" s="607"/>
      <c r="AK47" s="351"/>
      <c r="AL47" s="608"/>
      <c r="AM47" s="350"/>
      <c r="AN47" s="350"/>
      <c r="AO47" s="350"/>
      <c r="AP47" s="350"/>
      <c r="AQ47" s="350"/>
      <c r="AR47" s="350"/>
      <c r="AS47" s="350"/>
      <c r="AT47" s="350"/>
      <c r="AU47" s="350"/>
      <c r="AV47" s="350"/>
      <c r="AW47" s="350"/>
      <c r="AX47" s="350"/>
      <c r="AY47" s="350"/>
      <c r="AZ47" s="350"/>
      <c r="BA47" s="350"/>
      <c r="BB47" s="351"/>
    </row>
    <row r="48" spans="1:54" ht="15.75" customHeight="1">
      <c r="A48" s="25">
        <f t="shared" si="0"/>
        <v>35</v>
      </c>
      <c r="B48" s="618" t="str">
        <f>'refer admin discharge'!B49</f>
        <v>x</v>
      </c>
      <c r="C48" s="351"/>
      <c r="D48" s="619" t="str">
        <f>'refer admin discharge'!D49</f>
        <v>xx</v>
      </c>
      <c r="E48" s="351"/>
      <c r="F48" s="620" t="str">
        <f>'refer admin discharge'!H49</f>
        <v>00/00/0000</v>
      </c>
      <c r="G48" s="351"/>
      <c r="H48" s="615"/>
      <c r="I48" s="351"/>
      <c r="J48" s="621"/>
      <c r="K48" s="351"/>
      <c r="L48" s="615"/>
      <c r="M48" s="351"/>
      <c r="N48" s="610"/>
      <c r="O48" s="351"/>
      <c r="P48" s="615"/>
      <c r="Q48" s="351"/>
      <c r="R48" s="610"/>
      <c r="S48" s="351"/>
      <c r="T48" s="615"/>
      <c r="U48" s="351"/>
      <c r="V48" s="613" t="str">
        <f>'refer admin discharge'!H49</f>
        <v>00/00/0000</v>
      </c>
      <c r="W48" s="351"/>
      <c r="X48" s="616"/>
      <c r="Y48" s="351"/>
      <c r="Z48" s="617"/>
      <c r="AA48" s="351"/>
      <c r="AB48" s="616"/>
      <c r="AC48" s="351"/>
      <c r="AD48" s="607"/>
      <c r="AE48" s="351"/>
      <c r="AF48" s="616"/>
      <c r="AG48" s="351"/>
      <c r="AH48" s="607"/>
      <c r="AI48" s="351"/>
      <c r="AJ48" s="616"/>
      <c r="AK48" s="351"/>
      <c r="AL48" s="622"/>
      <c r="AM48" s="350"/>
      <c r="AN48" s="350"/>
      <c r="AO48" s="350"/>
      <c r="AP48" s="350"/>
      <c r="AQ48" s="350"/>
      <c r="AR48" s="350"/>
      <c r="AS48" s="350"/>
      <c r="AT48" s="350"/>
      <c r="AU48" s="350"/>
      <c r="AV48" s="350"/>
      <c r="AW48" s="350"/>
      <c r="AX48" s="350"/>
      <c r="AY48" s="350"/>
      <c r="AZ48" s="350"/>
      <c r="BA48" s="350"/>
      <c r="BB48" s="351"/>
    </row>
    <row r="49" spans="1:54" ht="15.75" customHeight="1">
      <c r="A49" s="25">
        <f t="shared" si="0"/>
        <v>36</v>
      </c>
      <c r="B49" s="599" t="str">
        <f>'refer admin discharge'!B50</f>
        <v>x</v>
      </c>
      <c r="C49" s="351"/>
      <c r="D49" s="600" t="str">
        <f>'refer admin discharge'!D50</f>
        <v>xx</v>
      </c>
      <c r="E49" s="351"/>
      <c r="F49" s="609" t="str">
        <f>'refer admin discharge'!H50</f>
        <v>00/00/0000</v>
      </c>
      <c r="G49" s="351"/>
      <c r="H49" s="610"/>
      <c r="I49" s="351"/>
      <c r="J49" s="611"/>
      <c r="K49" s="351"/>
      <c r="L49" s="610"/>
      <c r="M49" s="351"/>
      <c r="N49" s="612"/>
      <c r="O49" s="351"/>
      <c r="P49" s="610"/>
      <c r="Q49" s="351"/>
      <c r="R49" s="612"/>
      <c r="S49" s="351"/>
      <c r="T49" s="610"/>
      <c r="U49" s="351"/>
      <c r="V49" s="623" t="str">
        <f>'refer admin discharge'!H50</f>
        <v>00/00/0000</v>
      </c>
      <c r="W49" s="351"/>
      <c r="X49" s="607"/>
      <c r="Y49" s="351"/>
      <c r="Z49" s="614"/>
      <c r="AA49" s="351"/>
      <c r="AB49" s="607"/>
      <c r="AC49" s="351"/>
      <c r="AD49" s="606"/>
      <c r="AE49" s="351"/>
      <c r="AF49" s="607"/>
      <c r="AG49" s="351"/>
      <c r="AH49" s="606"/>
      <c r="AI49" s="351"/>
      <c r="AJ49" s="607"/>
      <c r="AK49" s="351"/>
      <c r="AL49" s="608"/>
      <c r="AM49" s="350"/>
      <c r="AN49" s="350"/>
      <c r="AO49" s="350"/>
      <c r="AP49" s="350"/>
      <c r="AQ49" s="350"/>
      <c r="AR49" s="350"/>
      <c r="AS49" s="350"/>
      <c r="AT49" s="350"/>
      <c r="AU49" s="350"/>
      <c r="AV49" s="350"/>
      <c r="AW49" s="350"/>
      <c r="AX49" s="350"/>
      <c r="AY49" s="350"/>
      <c r="AZ49" s="350"/>
      <c r="BA49" s="350"/>
      <c r="BB49" s="351"/>
    </row>
    <row r="50" spans="1:54" ht="15.75" customHeight="1">
      <c r="A50" s="25">
        <f t="shared" si="0"/>
        <v>37</v>
      </c>
      <c r="B50" s="618" t="str">
        <f>'refer admin discharge'!B51</f>
        <v>x</v>
      </c>
      <c r="C50" s="351"/>
      <c r="D50" s="619" t="str">
        <f>'refer admin discharge'!D51</f>
        <v>xx</v>
      </c>
      <c r="E50" s="351"/>
      <c r="F50" s="620" t="str">
        <f>'refer admin discharge'!H51</f>
        <v>00/00/0000</v>
      </c>
      <c r="G50" s="351"/>
      <c r="H50" s="615"/>
      <c r="I50" s="351"/>
      <c r="J50" s="621"/>
      <c r="K50" s="351"/>
      <c r="L50" s="615"/>
      <c r="M50" s="351"/>
      <c r="N50" s="610"/>
      <c r="O50" s="351"/>
      <c r="P50" s="615"/>
      <c r="Q50" s="351"/>
      <c r="R50" s="610"/>
      <c r="S50" s="351"/>
      <c r="T50" s="615"/>
      <c r="U50" s="351"/>
      <c r="V50" s="613" t="str">
        <f>'refer admin discharge'!H51</f>
        <v>00/00/0000</v>
      </c>
      <c r="W50" s="351"/>
      <c r="X50" s="616"/>
      <c r="Y50" s="351"/>
      <c r="Z50" s="617"/>
      <c r="AA50" s="351"/>
      <c r="AB50" s="616"/>
      <c r="AC50" s="351"/>
      <c r="AD50" s="607"/>
      <c r="AE50" s="351"/>
      <c r="AF50" s="616"/>
      <c r="AG50" s="351"/>
      <c r="AH50" s="607"/>
      <c r="AI50" s="351"/>
      <c r="AJ50" s="616"/>
      <c r="AK50" s="351"/>
      <c r="AL50" s="622"/>
      <c r="AM50" s="350"/>
      <c r="AN50" s="350"/>
      <c r="AO50" s="350"/>
      <c r="AP50" s="350"/>
      <c r="AQ50" s="350"/>
      <c r="AR50" s="350"/>
      <c r="AS50" s="350"/>
      <c r="AT50" s="350"/>
      <c r="AU50" s="350"/>
      <c r="AV50" s="350"/>
      <c r="AW50" s="350"/>
      <c r="AX50" s="350"/>
      <c r="AY50" s="350"/>
      <c r="AZ50" s="350"/>
      <c r="BA50" s="350"/>
      <c r="BB50" s="351"/>
    </row>
    <row r="51" spans="1:54" ht="15.75" customHeight="1">
      <c r="A51" s="25">
        <f t="shared" si="0"/>
        <v>38</v>
      </c>
      <c r="B51" s="599" t="str">
        <f>'refer admin discharge'!B52</f>
        <v>x</v>
      </c>
      <c r="C51" s="351"/>
      <c r="D51" s="600" t="str">
        <f>'refer admin discharge'!D52</f>
        <v>xx</v>
      </c>
      <c r="E51" s="351"/>
      <c r="F51" s="609" t="str">
        <f>'refer admin discharge'!H52</f>
        <v>00/00/0000</v>
      </c>
      <c r="G51" s="351"/>
      <c r="H51" s="610"/>
      <c r="I51" s="351"/>
      <c r="J51" s="611"/>
      <c r="K51" s="351"/>
      <c r="L51" s="610"/>
      <c r="M51" s="351"/>
      <c r="N51" s="612"/>
      <c r="O51" s="351"/>
      <c r="P51" s="610"/>
      <c r="Q51" s="351"/>
      <c r="R51" s="612"/>
      <c r="S51" s="351"/>
      <c r="T51" s="610"/>
      <c r="U51" s="351"/>
      <c r="V51" s="623" t="str">
        <f>'refer admin discharge'!H52</f>
        <v>00/00/0000</v>
      </c>
      <c r="W51" s="351"/>
      <c r="X51" s="607"/>
      <c r="Y51" s="351"/>
      <c r="Z51" s="614"/>
      <c r="AA51" s="351"/>
      <c r="AB51" s="607"/>
      <c r="AC51" s="351"/>
      <c r="AD51" s="606"/>
      <c r="AE51" s="351"/>
      <c r="AF51" s="607"/>
      <c r="AG51" s="351"/>
      <c r="AH51" s="606"/>
      <c r="AI51" s="351"/>
      <c r="AJ51" s="607"/>
      <c r="AK51" s="351"/>
      <c r="AL51" s="608"/>
      <c r="AM51" s="350"/>
      <c r="AN51" s="350"/>
      <c r="AO51" s="350"/>
      <c r="AP51" s="350"/>
      <c r="AQ51" s="350"/>
      <c r="AR51" s="350"/>
      <c r="AS51" s="350"/>
      <c r="AT51" s="350"/>
      <c r="AU51" s="350"/>
      <c r="AV51" s="350"/>
      <c r="AW51" s="350"/>
      <c r="AX51" s="350"/>
      <c r="AY51" s="350"/>
      <c r="AZ51" s="350"/>
      <c r="BA51" s="350"/>
      <c r="BB51" s="351"/>
    </row>
    <row r="52" spans="1:54" ht="15.75" customHeight="1">
      <c r="A52" s="25">
        <f t="shared" si="0"/>
        <v>39</v>
      </c>
      <c r="B52" s="618" t="str">
        <f>'refer admin discharge'!B53</f>
        <v>x</v>
      </c>
      <c r="C52" s="351"/>
      <c r="D52" s="619" t="str">
        <f>'refer admin discharge'!D53</f>
        <v>xx</v>
      </c>
      <c r="E52" s="351"/>
      <c r="F52" s="620" t="str">
        <f>'refer admin discharge'!H53</f>
        <v>00/00/0000</v>
      </c>
      <c r="G52" s="351"/>
      <c r="H52" s="615"/>
      <c r="I52" s="351"/>
      <c r="J52" s="621"/>
      <c r="K52" s="351"/>
      <c r="L52" s="615"/>
      <c r="M52" s="351"/>
      <c r="N52" s="610"/>
      <c r="O52" s="351"/>
      <c r="P52" s="615"/>
      <c r="Q52" s="351"/>
      <c r="R52" s="610"/>
      <c r="S52" s="351"/>
      <c r="T52" s="615"/>
      <c r="U52" s="351"/>
      <c r="V52" s="613" t="str">
        <f>'refer admin discharge'!H53</f>
        <v>00/00/0000</v>
      </c>
      <c r="W52" s="351"/>
      <c r="X52" s="616"/>
      <c r="Y52" s="351"/>
      <c r="Z52" s="617"/>
      <c r="AA52" s="351"/>
      <c r="AB52" s="616"/>
      <c r="AC52" s="351"/>
      <c r="AD52" s="607"/>
      <c r="AE52" s="351"/>
      <c r="AF52" s="616"/>
      <c r="AG52" s="351"/>
      <c r="AH52" s="607"/>
      <c r="AI52" s="351"/>
      <c r="AJ52" s="616"/>
      <c r="AK52" s="351"/>
      <c r="AL52" s="622"/>
      <c r="AM52" s="350"/>
      <c r="AN52" s="350"/>
      <c r="AO52" s="350"/>
      <c r="AP52" s="350"/>
      <c r="AQ52" s="350"/>
      <c r="AR52" s="350"/>
      <c r="AS52" s="350"/>
      <c r="AT52" s="350"/>
      <c r="AU52" s="350"/>
      <c r="AV52" s="350"/>
      <c r="AW52" s="350"/>
      <c r="AX52" s="350"/>
      <c r="AY52" s="350"/>
      <c r="AZ52" s="350"/>
      <c r="BA52" s="350"/>
      <c r="BB52" s="351"/>
    </row>
    <row r="53" spans="1:54" ht="15.75" customHeight="1">
      <c r="A53" s="25">
        <f t="shared" si="0"/>
        <v>40</v>
      </c>
      <c r="B53" s="599" t="str">
        <f>'refer admin discharge'!B54</f>
        <v>x</v>
      </c>
      <c r="C53" s="351"/>
      <c r="D53" s="600" t="str">
        <f>'refer admin discharge'!D54</f>
        <v>xx</v>
      </c>
      <c r="E53" s="351"/>
      <c r="F53" s="609" t="str">
        <f>'refer admin discharge'!H54</f>
        <v>00/00/0000</v>
      </c>
      <c r="G53" s="351"/>
      <c r="H53" s="610"/>
      <c r="I53" s="351"/>
      <c r="J53" s="611"/>
      <c r="K53" s="351"/>
      <c r="L53" s="610"/>
      <c r="M53" s="351"/>
      <c r="N53" s="612"/>
      <c r="O53" s="351"/>
      <c r="P53" s="610"/>
      <c r="Q53" s="351"/>
      <c r="R53" s="612"/>
      <c r="S53" s="351"/>
      <c r="T53" s="610"/>
      <c r="U53" s="351"/>
      <c r="V53" s="623" t="str">
        <f>'refer admin discharge'!H54</f>
        <v>00/00/0000</v>
      </c>
      <c r="W53" s="351"/>
      <c r="X53" s="607"/>
      <c r="Y53" s="351"/>
      <c r="Z53" s="614"/>
      <c r="AA53" s="351"/>
      <c r="AB53" s="607"/>
      <c r="AC53" s="351"/>
      <c r="AD53" s="606"/>
      <c r="AE53" s="351"/>
      <c r="AF53" s="607"/>
      <c r="AG53" s="351"/>
      <c r="AH53" s="606"/>
      <c r="AI53" s="351"/>
      <c r="AJ53" s="607"/>
      <c r="AK53" s="351"/>
      <c r="AL53" s="608"/>
      <c r="AM53" s="350"/>
      <c r="AN53" s="350"/>
      <c r="AO53" s="350"/>
      <c r="AP53" s="350"/>
      <c r="AQ53" s="350"/>
      <c r="AR53" s="350"/>
      <c r="AS53" s="350"/>
      <c r="AT53" s="350"/>
      <c r="AU53" s="350"/>
      <c r="AV53" s="350"/>
      <c r="AW53" s="350"/>
      <c r="AX53" s="350"/>
      <c r="AY53" s="350"/>
      <c r="AZ53" s="350"/>
      <c r="BA53" s="350"/>
      <c r="BB53" s="351"/>
    </row>
    <row r="54" spans="1:54" ht="15.75" customHeight="1">
      <c r="A54" s="25">
        <f t="shared" si="0"/>
        <v>41</v>
      </c>
      <c r="B54" s="618" t="str">
        <f>'refer admin discharge'!B55</f>
        <v>x</v>
      </c>
      <c r="C54" s="351"/>
      <c r="D54" s="619" t="str">
        <f>'refer admin discharge'!D55</f>
        <v>xx</v>
      </c>
      <c r="E54" s="351"/>
      <c r="F54" s="620" t="str">
        <f>'refer admin discharge'!H55</f>
        <v>00/00/0000</v>
      </c>
      <c r="G54" s="351"/>
      <c r="H54" s="615"/>
      <c r="I54" s="351"/>
      <c r="J54" s="621"/>
      <c r="K54" s="351"/>
      <c r="L54" s="615"/>
      <c r="M54" s="351"/>
      <c r="N54" s="610"/>
      <c r="O54" s="351"/>
      <c r="P54" s="615"/>
      <c r="Q54" s="351"/>
      <c r="R54" s="610"/>
      <c r="S54" s="351"/>
      <c r="T54" s="615"/>
      <c r="U54" s="351"/>
      <c r="V54" s="613" t="str">
        <f>'refer admin discharge'!H55</f>
        <v>00/00/0000</v>
      </c>
      <c r="W54" s="351"/>
      <c r="X54" s="616"/>
      <c r="Y54" s="351"/>
      <c r="Z54" s="617"/>
      <c r="AA54" s="351"/>
      <c r="AB54" s="616"/>
      <c r="AC54" s="351"/>
      <c r="AD54" s="607"/>
      <c r="AE54" s="351"/>
      <c r="AF54" s="616"/>
      <c r="AG54" s="351"/>
      <c r="AH54" s="607"/>
      <c r="AI54" s="351"/>
      <c r="AJ54" s="616"/>
      <c r="AK54" s="351"/>
      <c r="AL54" s="622"/>
      <c r="AM54" s="350"/>
      <c r="AN54" s="350"/>
      <c r="AO54" s="350"/>
      <c r="AP54" s="350"/>
      <c r="AQ54" s="350"/>
      <c r="AR54" s="350"/>
      <c r="AS54" s="350"/>
      <c r="AT54" s="350"/>
      <c r="AU54" s="350"/>
      <c r="AV54" s="350"/>
      <c r="AW54" s="350"/>
      <c r="AX54" s="350"/>
      <c r="AY54" s="350"/>
      <c r="AZ54" s="350"/>
      <c r="BA54" s="350"/>
      <c r="BB54" s="351"/>
    </row>
    <row r="55" spans="1:54" ht="15.75" customHeight="1">
      <c r="A55" s="25">
        <f t="shared" si="0"/>
        <v>42</v>
      </c>
      <c r="B55" s="599" t="str">
        <f>'refer admin discharge'!B56</f>
        <v>x</v>
      </c>
      <c r="C55" s="351"/>
      <c r="D55" s="600" t="str">
        <f>'refer admin discharge'!D56</f>
        <v>xx</v>
      </c>
      <c r="E55" s="351"/>
      <c r="F55" s="609" t="str">
        <f>'refer admin discharge'!H56</f>
        <v>00/00/0000</v>
      </c>
      <c r="G55" s="351"/>
      <c r="H55" s="610"/>
      <c r="I55" s="351"/>
      <c r="J55" s="611"/>
      <c r="K55" s="351"/>
      <c r="L55" s="610"/>
      <c r="M55" s="351"/>
      <c r="N55" s="612"/>
      <c r="O55" s="351"/>
      <c r="P55" s="610"/>
      <c r="Q55" s="351"/>
      <c r="R55" s="612"/>
      <c r="S55" s="351"/>
      <c r="T55" s="610"/>
      <c r="U55" s="351"/>
      <c r="V55" s="623" t="str">
        <f>'refer admin discharge'!H56</f>
        <v>00/00/0000</v>
      </c>
      <c r="W55" s="351"/>
      <c r="X55" s="607"/>
      <c r="Y55" s="351"/>
      <c r="Z55" s="614"/>
      <c r="AA55" s="351"/>
      <c r="AB55" s="607"/>
      <c r="AC55" s="351"/>
      <c r="AD55" s="606"/>
      <c r="AE55" s="351"/>
      <c r="AF55" s="607"/>
      <c r="AG55" s="351"/>
      <c r="AH55" s="606"/>
      <c r="AI55" s="351"/>
      <c r="AJ55" s="607"/>
      <c r="AK55" s="351"/>
      <c r="AL55" s="608"/>
      <c r="AM55" s="350"/>
      <c r="AN55" s="350"/>
      <c r="AO55" s="350"/>
      <c r="AP55" s="350"/>
      <c r="AQ55" s="350"/>
      <c r="AR55" s="350"/>
      <c r="AS55" s="350"/>
      <c r="AT55" s="350"/>
      <c r="AU55" s="350"/>
      <c r="AV55" s="350"/>
      <c r="AW55" s="350"/>
      <c r="AX55" s="350"/>
      <c r="AY55" s="350"/>
      <c r="AZ55" s="350"/>
      <c r="BA55" s="350"/>
      <c r="BB55" s="351"/>
    </row>
    <row r="56" spans="1:54" ht="15.75" customHeight="1">
      <c r="A56" s="25">
        <f t="shared" si="0"/>
        <v>43</v>
      </c>
      <c r="B56" s="618" t="str">
        <f>'refer admin discharge'!B57</f>
        <v>x</v>
      </c>
      <c r="C56" s="351"/>
      <c r="D56" s="619" t="str">
        <f>'refer admin discharge'!D57</f>
        <v>xx</v>
      </c>
      <c r="E56" s="351"/>
      <c r="F56" s="620" t="str">
        <f>'refer admin discharge'!H57</f>
        <v>00/00/0000</v>
      </c>
      <c r="G56" s="351"/>
      <c r="H56" s="615"/>
      <c r="I56" s="351"/>
      <c r="J56" s="621"/>
      <c r="K56" s="351"/>
      <c r="L56" s="615"/>
      <c r="M56" s="351"/>
      <c r="N56" s="610"/>
      <c r="O56" s="351"/>
      <c r="P56" s="615"/>
      <c r="Q56" s="351"/>
      <c r="R56" s="610"/>
      <c r="S56" s="351"/>
      <c r="T56" s="615"/>
      <c r="U56" s="351"/>
      <c r="V56" s="613" t="str">
        <f>'refer admin discharge'!H57</f>
        <v>00/00/0000</v>
      </c>
      <c r="W56" s="351"/>
      <c r="X56" s="616"/>
      <c r="Y56" s="351"/>
      <c r="Z56" s="617"/>
      <c r="AA56" s="351"/>
      <c r="AB56" s="616"/>
      <c r="AC56" s="351"/>
      <c r="AD56" s="607"/>
      <c r="AE56" s="351"/>
      <c r="AF56" s="616"/>
      <c r="AG56" s="351"/>
      <c r="AH56" s="607"/>
      <c r="AI56" s="351"/>
      <c r="AJ56" s="616"/>
      <c r="AK56" s="351"/>
      <c r="AL56" s="622"/>
      <c r="AM56" s="350"/>
      <c r="AN56" s="350"/>
      <c r="AO56" s="350"/>
      <c r="AP56" s="350"/>
      <c r="AQ56" s="350"/>
      <c r="AR56" s="350"/>
      <c r="AS56" s="350"/>
      <c r="AT56" s="350"/>
      <c r="AU56" s="350"/>
      <c r="AV56" s="350"/>
      <c r="AW56" s="350"/>
      <c r="AX56" s="350"/>
      <c r="AY56" s="350"/>
      <c r="AZ56" s="350"/>
      <c r="BA56" s="350"/>
      <c r="BB56" s="351"/>
    </row>
    <row r="57" spans="1:54" ht="15.75" customHeight="1">
      <c r="A57" s="25">
        <f t="shared" si="0"/>
        <v>44</v>
      </c>
      <c r="B57" s="599" t="str">
        <f>'refer admin discharge'!B58</f>
        <v>x</v>
      </c>
      <c r="C57" s="351"/>
      <c r="D57" s="600" t="str">
        <f>'refer admin discharge'!D58</f>
        <v>xx</v>
      </c>
      <c r="E57" s="351"/>
      <c r="F57" s="609" t="str">
        <f>'refer admin discharge'!H58</f>
        <v>00/00/0000</v>
      </c>
      <c r="G57" s="351"/>
      <c r="H57" s="610"/>
      <c r="I57" s="351"/>
      <c r="J57" s="611"/>
      <c r="K57" s="351"/>
      <c r="L57" s="610"/>
      <c r="M57" s="351"/>
      <c r="N57" s="612"/>
      <c r="O57" s="351"/>
      <c r="P57" s="610"/>
      <c r="Q57" s="351"/>
      <c r="R57" s="612"/>
      <c r="S57" s="351"/>
      <c r="T57" s="610"/>
      <c r="U57" s="351"/>
      <c r="V57" s="623" t="str">
        <f>'refer admin discharge'!H58</f>
        <v>00/00/0000</v>
      </c>
      <c r="W57" s="351"/>
      <c r="X57" s="607"/>
      <c r="Y57" s="351"/>
      <c r="Z57" s="614"/>
      <c r="AA57" s="351"/>
      <c r="AB57" s="607"/>
      <c r="AC57" s="351"/>
      <c r="AD57" s="606"/>
      <c r="AE57" s="351"/>
      <c r="AF57" s="607"/>
      <c r="AG57" s="351"/>
      <c r="AH57" s="606"/>
      <c r="AI57" s="351"/>
      <c r="AJ57" s="607"/>
      <c r="AK57" s="351"/>
      <c r="AL57" s="608"/>
      <c r="AM57" s="350"/>
      <c r="AN57" s="350"/>
      <c r="AO57" s="350"/>
      <c r="AP57" s="350"/>
      <c r="AQ57" s="350"/>
      <c r="AR57" s="350"/>
      <c r="AS57" s="350"/>
      <c r="AT57" s="350"/>
      <c r="AU57" s="350"/>
      <c r="AV57" s="350"/>
      <c r="AW57" s="350"/>
      <c r="AX57" s="350"/>
      <c r="AY57" s="350"/>
      <c r="AZ57" s="350"/>
      <c r="BA57" s="350"/>
      <c r="BB57" s="351"/>
    </row>
    <row r="58" spans="1:54" ht="15.75" customHeight="1">
      <c r="A58" s="25">
        <f t="shared" si="0"/>
        <v>45</v>
      </c>
      <c r="B58" s="618" t="str">
        <f>'refer admin discharge'!B59</f>
        <v>x</v>
      </c>
      <c r="C58" s="351"/>
      <c r="D58" s="619" t="str">
        <f>'refer admin discharge'!D59</f>
        <v>xx</v>
      </c>
      <c r="E58" s="351"/>
      <c r="F58" s="620" t="str">
        <f>'refer admin discharge'!H59</f>
        <v>00/00/0000</v>
      </c>
      <c r="G58" s="351"/>
      <c r="H58" s="615"/>
      <c r="I58" s="351"/>
      <c r="J58" s="621"/>
      <c r="K58" s="351"/>
      <c r="L58" s="615"/>
      <c r="M58" s="351"/>
      <c r="N58" s="610"/>
      <c r="O58" s="351"/>
      <c r="P58" s="615"/>
      <c r="Q58" s="351"/>
      <c r="R58" s="610"/>
      <c r="S58" s="351"/>
      <c r="T58" s="615"/>
      <c r="U58" s="351"/>
      <c r="V58" s="613" t="str">
        <f>'refer admin discharge'!H59</f>
        <v>00/00/0000</v>
      </c>
      <c r="W58" s="351"/>
      <c r="X58" s="616"/>
      <c r="Y58" s="351"/>
      <c r="Z58" s="617"/>
      <c r="AA58" s="351"/>
      <c r="AB58" s="616"/>
      <c r="AC58" s="351"/>
      <c r="AD58" s="607"/>
      <c r="AE58" s="351"/>
      <c r="AF58" s="616"/>
      <c r="AG58" s="351"/>
      <c r="AH58" s="607"/>
      <c r="AI58" s="351"/>
      <c r="AJ58" s="616"/>
      <c r="AK58" s="351"/>
      <c r="AL58" s="622"/>
      <c r="AM58" s="350"/>
      <c r="AN58" s="350"/>
      <c r="AO58" s="350"/>
      <c r="AP58" s="350"/>
      <c r="AQ58" s="350"/>
      <c r="AR58" s="350"/>
      <c r="AS58" s="350"/>
      <c r="AT58" s="350"/>
      <c r="AU58" s="350"/>
      <c r="AV58" s="350"/>
      <c r="AW58" s="350"/>
      <c r="AX58" s="350"/>
      <c r="AY58" s="350"/>
      <c r="AZ58" s="350"/>
      <c r="BA58" s="350"/>
      <c r="BB58" s="351"/>
    </row>
    <row r="59" spans="1:54" ht="15.75" customHeight="1">
      <c r="A59" s="25">
        <f t="shared" si="0"/>
        <v>46</v>
      </c>
      <c r="B59" s="599" t="str">
        <f>'refer admin discharge'!B60</f>
        <v>x</v>
      </c>
      <c r="C59" s="351"/>
      <c r="D59" s="600" t="str">
        <f>'refer admin discharge'!D60</f>
        <v>xx</v>
      </c>
      <c r="E59" s="351"/>
      <c r="F59" s="609" t="str">
        <f>'refer admin discharge'!H60</f>
        <v>00/00/0000</v>
      </c>
      <c r="G59" s="351"/>
      <c r="H59" s="610"/>
      <c r="I59" s="351"/>
      <c r="J59" s="611"/>
      <c r="K59" s="351"/>
      <c r="L59" s="610"/>
      <c r="M59" s="351"/>
      <c r="N59" s="612"/>
      <c r="O59" s="351"/>
      <c r="P59" s="610"/>
      <c r="Q59" s="351"/>
      <c r="R59" s="612"/>
      <c r="S59" s="351"/>
      <c r="T59" s="610"/>
      <c r="U59" s="351"/>
      <c r="V59" s="623" t="str">
        <f>'refer admin discharge'!H60</f>
        <v>00/00/0000</v>
      </c>
      <c r="W59" s="351"/>
      <c r="X59" s="607"/>
      <c r="Y59" s="351"/>
      <c r="Z59" s="614"/>
      <c r="AA59" s="351"/>
      <c r="AB59" s="607"/>
      <c r="AC59" s="351"/>
      <c r="AD59" s="606"/>
      <c r="AE59" s="351"/>
      <c r="AF59" s="607"/>
      <c r="AG59" s="351"/>
      <c r="AH59" s="606"/>
      <c r="AI59" s="351"/>
      <c r="AJ59" s="607"/>
      <c r="AK59" s="351"/>
      <c r="AL59" s="608"/>
      <c r="AM59" s="350"/>
      <c r="AN59" s="350"/>
      <c r="AO59" s="350"/>
      <c r="AP59" s="350"/>
      <c r="AQ59" s="350"/>
      <c r="AR59" s="350"/>
      <c r="AS59" s="350"/>
      <c r="AT59" s="350"/>
      <c r="AU59" s="350"/>
      <c r="AV59" s="350"/>
      <c r="AW59" s="350"/>
      <c r="AX59" s="350"/>
      <c r="AY59" s="350"/>
      <c r="AZ59" s="350"/>
      <c r="BA59" s="350"/>
      <c r="BB59" s="351"/>
    </row>
    <row r="60" spans="1:54" ht="15.75" customHeight="1">
      <c r="A60" s="25">
        <f t="shared" si="0"/>
        <v>47</v>
      </c>
      <c r="B60" s="618" t="str">
        <f>'refer admin discharge'!B61</f>
        <v>x</v>
      </c>
      <c r="C60" s="351"/>
      <c r="D60" s="619" t="str">
        <f>'refer admin discharge'!D61</f>
        <v>xx</v>
      </c>
      <c r="E60" s="351"/>
      <c r="F60" s="620" t="str">
        <f>'refer admin discharge'!H61</f>
        <v>00/00/0000</v>
      </c>
      <c r="G60" s="351"/>
      <c r="H60" s="615"/>
      <c r="I60" s="351"/>
      <c r="J60" s="621"/>
      <c r="K60" s="351"/>
      <c r="L60" s="615"/>
      <c r="M60" s="351"/>
      <c r="N60" s="610"/>
      <c r="O60" s="351"/>
      <c r="P60" s="615"/>
      <c r="Q60" s="351"/>
      <c r="R60" s="610"/>
      <c r="S60" s="351"/>
      <c r="T60" s="615"/>
      <c r="U60" s="351"/>
      <c r="V60" s="613" t="str">
        <f>'refer admin discharge'!H61</f>
        <v>00/00/0000</v>
      </c>
      <c r="W60" s="351"/>
      <c r="X60" s="616"/>
      <c r="Y60" s="351"/>
      <c r="Z60" s="617"/>
      <c r="AA60" s="351"/>
      <c r="AB60" s="616"/>
      <c r="AC60" s="351"/>
      <c r="AD60" s="607"/>
      <c r="AE60" s="351"/>
      <c r="AF60" s="616"/>
      <c r="AG60" s="351"/>
      <c r="AH60" s="607"/>
      <c r="AI60" s="351"/>
      <c r="AJ60" s="616"/>
      <c r="AK60" s="351"/>
      <c r="AL60" s="622"/>
      <c r="AM60" s="350"/>
      <c r="AN60" s="350"/>
      <c r="AO60" s="350"/>
      <c r="AP60" s="350"/>
      <c r="AQ60" s="350"/>
      <c r="AR60" s="350"/>
      <c r="AS60" s="350"/>
      <c r="AT60" s="350"/>
      <c r="AU60" s="350"/>
      <c r="AV60" s="350"/>
      <c r="AW60" s="350"/>
      <c r="AX60" s="350"/>
      <c r="AY60" s="350"/>
      <c r="AZ60" s="350"/>
      <c r="BA60" s="350"/>
      <c r="BB60" s="351"/>
    </row>
    <row r="61" spans="1:54" ht="15.75" customHeight="1">
      <c r="A61" s="25">
        <f t="shared" si="0"/>
        <v>48</v>
      </c>
      <c r="B61" s="599" t="str">
        <f>'refer admin discharge'!B62</f>
        <v>x</v>
      </c>
      <c r="C61" s="351"/>
      <c r="D61" s="600" t="str">
        <f>'refer admin discharge'!D62</f>
        <v>xx</v>
      </c>
      <c r="E61" s="351"/>
      <c r="F61" s="609" t="str">
        <f>'refer admin discharge'!H62</f>
        <v>00/00/0000</v>
      </c>
      <c r="G61" s="351"/>
      <c r="H61" s="610"/>
      <c r="I61" s="351"/>
      <c r="J61" s="611"/>
      <c r="K61" s="351"/>
      <c r="L61" s="610"/>
      <c r="M61" s="351"/>
      <c r="N61" s="612"/>
      <c r="O61" s="351"/>
      <c r="P61" s="610"/>
      <c r="Q61" s="351"/>
      <c r="R61" s="612"/>
      <c r="S61" s="351"/>
      <c r="T61" s="610"/>
      <c r="U61" s="351"/>
      <c r="V61" s="623" t="str">
        <f>'refer admin discharge'!H62</f>
        <v>00/00/0000</v>
      </c>
      <c r="W61" s="351"/>
      <c r="X61" s="607"/>
      <c r="Y61" s="351"/>
      <c r="Z61" s="614"/>
      <c r="AA61" s="351"/>
      <c r="AB61" s="607"/>
      <c r="AC61" s="351"/>
      <c r="AD61" s="606"/>
      <c r="AE61" s="351"/>
      <c r="AF61" s="607"/>
      <c r="AG61" s="351"/>
      <c r="AH61" s="606"/>
      <c r="AI61" s="351"/>
      <c r="AJ61" s="607"/>
      <c r="AK61" s="351"/>
      <c r="AL61" s="608"/>
      <c r="AM61" s="350"/>
      <c r="AN61" s="350"/>
      <c r="AO61" s="350"/>
      <c r="AP61" s="350"/>
      <c r="AQ61" s="350"/>
      <c r="AR61" s="350"/>
      <c r="AS61" s="350"/>
      <c r="AT61" s="350"/>
      <c r="AU61" s="350"/>
      <c r="AV61" s="350"/>
      <c r="AW61" s="350"/>
      <c r="AX61" s="350"/>
      <c r="AY61" s="350"/>
      <c r="AZ61" s="350"/>
      <c r="BA61" s="350"/>
      <c r="BB61" s="351"/>
    </row>
    <row r="62" spans="1:54" ht="15.75" customHeight="1">
      <c r="A62" s="25">
        <f t="shared" si="0"/>
        <v>49</v>
      </c>
      <c r="B62" s="618" t="str">
        <f>'refer admin discharge'!B63</f>
        <v>x</v>
      </c>
      <c r="C62" s="351"/>
      <c r="D62" s="619" t="str">
        <f>'refer admin discharge'!D63</f>
        <v>xx</v>
      </c>
      <c r="E62" s="351"/>
      <c r="F62" s="620" t="str">
        <f>'refer admin discharge'!H63</f>
        <v>00/00/0000</v>
      </c>
      <c r="G62" s="351"/>
      <c r="H62" s="615"/>
      <c r="I62" s="351"/>
      <c r="J62" s="621"/>
      <c r="K62" s="351"/>
      <c r="L62" s="615"/>
      <c r="M62" s="351"/>
      <c r="N62" s="610"/>
      <c r="O62" s="351"/>
      <c r="P62" s="615"/>
      <c r="Q62" s="351"/>
      <c r="R62" s="610"/>
      <c r="S62" s="351"/>
      <c r="T62" s="615"/>
      <c r="U62" s="351"/>
      <c r="V62" s="613" t="str">
        <f>'refer admin discharge'!H63</f>
        <v>00/00/0000</v>
      </c>
      <c r="W62" s="351"/>
      <c r="X62" s="616"/>
      <c r="Y62" s="351"/>
      <c r="Z62" s="617"/>
      <c r="AA62" s="351"/>
      <c r="AB62" s="616"/>
      <c r="AC62" s="351"/>
      <c r="AD62" s="607"/>
      <c r="AE62" s="351"/>
      <c r="AF62" s="616"/>
      <c r="AG62" s="351"/>
      <c r="AH62" s="607"/>
      <c r="AI62" s="351"/>
      <c r="AJ62" s="616"/>
      <c r="AK62" s="351"/>
      <c r="AL62" s="622"/>
      <c r="AM62" s="350"/>
      <c r="AN62" s="350"/>
      <c r="AO62" s="350"/>
      <c r="AP62" s="350"/>
      <c r="AQ62" s="350"/>
      <c r="AR62" s="350"/>
      <c r="AS62" s="350"/>
      <c r="AT62" s="350"/>
      <c r="AU62" s="350"/>
      <c r="AV62" s="350"/>
      <c r="AW62" s="350"/>
      <c r="AX62" s="350"/>
      <c r="AY62" s="350"/>
      <c r="AZ62" s="350"/>
      <c r="BA62" s="350"/>
      <c r="BB62" s="351"/>
    </row>
    <row r="63" spans="1:54" ht="15.75" customHeight="1">
      <c r="A63" s="25">
        <f t="shared" si="0"/>
        <v>50</v>
      </c>
      <c r="B63" s="599" t="str">
        <f>'refer admin discharge'!B64</f>
        <v>x</v>
      </c>
      <c r="C63" s="351"/>
      <c r="D63" s="600" t="str">
        <f>'refer admin discharge'!D64</f>
        <v>xx</v>
      </c>
      <c r="E63" s="351"/>
      <c r="F63" s="609" t="str">
        <f>'refer admin discharge'!H64</f>
        <v>00/00/0000</v>
      </c>
      <c r="G63" s="351"/>
      <c r="H63" s="610"/>
      <c r="I63" s="351"/>
      <c r="J63" s="611"/>
      <c r="K63" s="351"/>
      <c r="L63" s="610"/>
      <c r="M63" s="351"/>
      <c r="N63" s="612"/>
      <c r="O63" s="351"/>
      <c r="P63" s="610"/>
      <c r="Q63" s="351"/>
      <c r="R63" s="612"/>
      <c r="S63" s="351"/>
      <c r="T63" s="610"/>
      <c r="U63" s="351"/>
      <c r="V63" s="623" t="str">
        <f>'refer admin discharge'!H64</f>
        <v>00/00/0000</v>
      </c>
      <c r="W63" s="351"/>
      <c r="X63" s="607"/>
      <c r="Y63" s="351"/>
      <c r="Z63" s="614"/>
      <c r="AA63" s="351"/>
      <c r="AB63" s="607"/>
      <c r="AC63" s="351"/>
      <c r="AD63" s="606"/>
      <c r="AE63" s="351"/>
      <c r="AF63" s="607"/>
      <c r="AG63" s="351"/>
      <c r="AH63" s="606"/>
      <c r="AI63" s="351"/>
      <c r="AJ63" s="607"/>
      <c r="AK63" s="351"/>
      <c r="AL63" s="608"/>
      <c r="AM63" s="350"/>
      <c r="AN63" s="350"/>
      <c r="AO63" s="350"/>
      <c r="AP63" s="350"/>
      <c r="AQ63" s="350"/>
      <c r="AR63" s="350"/>
      <c r="AS63" s="350"/>
      <c r="AT63" s="350"/>
      <c r="AU63" s="350"/>
      <c r="AV63" s="350"/>
      <c r="AW63" s="350"/>
      <c r="AX63" s="350"/>
      <c r="AY63" s="350"/>
      <c r="AZ63" s="350"/>
      <c r="BA63" s="350"/>
      <c r="BB63" s="351"/>
    </row>
    <row r="64" spans="1:54" ht="15.75" customHeight="1">
      <c r="A64" s="25">
        <f t="shared" si="0"/>
        <v>51</v>
      </c>
      <c r="B64" s="618" t="str">
        <f>'refer admin discharge'!B65</f>
        <v>x</v>
      </c>
      <c r="C64" s="351"/>
      <c r="D64" s="619" t="str">
        <f>'refer admin discharge'!D65</f>
        <v>xx</v>
      </c>
      <c r="E64" s="351"/>
      <c r="F64" s="620" t="str">
        <f>'refer admin discharge'!H65</f>
        <v>00/00/0000</v>
      </c>
      <c r="G64" s="351"/>
      <c r="H64" s="615"/>
      <c r="I64" s="351"/>
      <c r="J64" s="621"/>
      <c r="K64" s="351"/>
      <c r="L64" s="615"/>
      <c r="M64" s="351"/>
      <c r="N64" s="610"/>
      <c r="O64" s="351"/>
      <c r="P64" s="615"/>
      <c r="Q64" s="351"/>
      <c r="R64" s="610"/>
      <c r="S64" s="351"/>
      <c r="T64" s="615"/>
      <c r="U64" s="351"/>
      <c r="V64" s="613" t="str">
        <f>'refer admin discharge'!H65</f>
        <v>00/00/0000</v>
      </c>
      <c r="W64" s="351"/>
      <c r="X64" s="616"/>
      <c r="Y64" s="351"/>
      <c r="Z64" s="617"/>
      <c r="AA64" s="351"/>
      <c r="AB64" s="616"/>
      <c r="AC64" s="351"/>
      <c r="AD64" s="607"/>
      <c r="AE64" s="351"/>
      <c r="AF64" s="616"/>
      <c r="AG64" s="351"/>
      <c r="AH64" s="607"/>
      <c r="AI64" s="351"/>
      <c r="AJ64" s="616"/>
      <c r="AK64" s="351"/>
      <c r="AL64" s="622"/>
      <c r="AM64" s="350"/>
      <c r="AN64" s="350"/>
      <c r="AO64" s="350"/>
      <c r="AP64" s="350"/>
      <c r="AQ64" s="350"/>
      <c r="AR64" s="350"/>
      <c r="AS64" s="350"/>
      <c r="AT64" s="350"/>
      <c r="AU64" s="350"/>
      <c r="AV64" s="350"/>
      <c r="AW64" s="350"/>
      <c r="AX64" s="350"/>
      <c r="AY64" s="350"/>
      <c r="AZ64" s="350"/>
      <c r="BA64" s="350"/>
      <c r="BB64" s="351"/>
    </row>
    <row r="65" spans="1:54" ht="15.75" customHeight="1">
      <c r="A65" s="25">
        <f t="shared" si="0"/>
        <v>52</v>
      </c>
      <c r="B65" s="599" t="str">
        <f>'refer admin discharge'!B66</f>
        <v>x</v>
      </c>
      <c r="C65" s="351"/>
      <c r="D65" s="600" t="str">
        <f>'refer admin discharge'!D66</f>
        <v>xx</v>
      </c>
      <c r="E65" s="351"/>
      <c r="F65" s="609" t="str">
        <f>'refer admin discharge'!H66</f>
        <v>00/00/0000</v>
      </c>
      <c r="G65" s="351"/>
      <c r="H65" s="610"/>
      <c r="I65" s="351"/>
      <c r="J65" s="611"/>
      <c r="K65" s="351"/>
      <c r="L65" s="610"/>
      <c r="M65" s="351"/>
      <c r="N65" s="612"/>
      <c r="O65" s="351"/>
      <c r="P65" s="610"/>
      <c r="Q65" s="351"/>
      <c r="R65" s="612"/>
      <c r="S65" s="351"/>
      <c r="T65" s="610"/>
      <c r="U65" s="351"/>
      <c r="V65" s="623" t="str">
        <f>'refer admin discharge'!H66</f>
        <v>00/00/0000</v>
      </c>
      <c r="W65" s="351"/>
      <c r="X65" s="607"/>
      <c r="Y65" s="351"/>
      <c r="Z65" s="614"/>
      <c r="AA65" s="351"/>
      <c r="AB65" s="607"/>
      <c r="AC65" s="351"/>
      <c r="AD65" s="606"/>
      <c r="AE65" s="351"/>
      <c r="AF65" s="607"/>
      <c r="AG65" s="351"/>
      <c r="AH65" s="606"/>
      <c r="AI65" s="351"/>
      <c r="AJ65" s="607"/>
      <c r="AK65" s="351"/>
      <c r="AL65" s="608"/>
      <c r="AM65" s="350"/>
      <c r="AN65" s="350"/>
      <c r="AO65" s="350"/>
      <c r="AP65" s="350"/>
      <c r="AQ65" s="350"/>
      <c r="AR65" s="350"/>
      <c r="AS65" s="350"/>
      <c r="AT65" s="350"/>
      <c r="AU65" s="350"/>
      <c r="AV65" s="350"/>
      <c r="AW65" s="350"/>
      <c r="AX65" s="350"/>
      <c r="AY65" s="350"/>
      <c r="AZ65" s="350"/>
      <c r="BA65" s="350"/>
      <c r="BB65" s="351"/>
    </row>
    <row r="66" spans="1:54" ht="15.75" customHeight="1">
      <c r="A66" s="25">
        <f t="shared" si="0"/>
        <v>53</v>
      </c>
      <c r="B66" s="599" t="str">
        <f>'refer admin discharge'!B67</f>
        <v>x</v>
      </c>
      <c r="C66" s="351"/>
      <c r="D66" s="600" t="str">
        <f>'refer admin discharge'!D67</f>
        <v>xx</v>
      </c>
      <c r="E66" s="351"/>
      <c r="F66" s="609" t="str">
        <f>'refer admin discharge'!H67</f>
        <v>00/00/0000</v>
      </c>
      <c r="G66" s="351"/>
      <c r="H66" s="615"/>
      <c r="I66" s="351"/>
      <c r="J66" s="621"/>
      <c r="K66" s="351"/>
      <c r="L66" s="615"/>
      <c r="M66" s="351"/>
      <c r="N66" s="610"/>
      <c r="O66" s="351"/>
      <c r="P66" s="615"/>
      <c r="Q66" s="351"/>
      <c r="R66" s="610"/>
      <c r="S66" s="351"/>
      <c r="T66" s="615"/>
      <c r="U66" s="351"/>
      <c r="V66" s="613" t="str">
        <f>'refer admin discharge'!H67</f>
        <v>00/00/0000</v>
      </c>
      <c r="W66" s="351"/>
      <c r="X66" s="616"/>
      <c r="Y66" s="351"/>
      <c r="Z66" s="617"/>
      <c r="AA66" s="351"/>
      <c r="AB66" s="616"/>
      <c r="AC66" s="351"/>
      <c r="AD66" s="607"/>
      <c r="AE66" s="351"/>
      <c r="AF66" s="616"/>
      <c r="AG66" s="351"/>
      <c r="AH66" s="607"/>
      <c r="AI66" s="351"/>
      <c r="AJ66" s="616"/>
      <c r="AK66" s="351"/>
      <c r="AL66" s="622"/>
      <c r="AM66" s="350"/>
      <c r="AN66" s="350"/>
      <c r="AO66" s="350"/>
      <c r="AP66" s="350"/>
      <c r="AQ66" s="350"/>
      <c r="AR66" s="350"/>
      <c r="AS66" s="350"/>
      <c r="AT66" s="350"/>
      <c r="AU66" s="350"/>
      <c r="AV66" s="350"/>
      <c r="AW66" s="350"/>
      <c r="AX66" s="350"/>
      <c r="AY66" s="350"/>
      <c r="AZ66" s="350"/>
      <c r="BA66" s="350"/>
      <c r="BB66" s="351"/>
    </row>
    <row r="67" spans="1:54" ht="15.75" customHeight="1">
      <c r="A67" s="25">
        <f t="shared" si="0"/>
        <v>54</v>
      </c>
      <c r="B67" s="599" t="str">
        <f>'refer admin discharge'!B68</f>
        <v>x</v>
      </c>
      <c r="C67" s="351"/>
      <c r="D67" s="600" t="str">
        <f>'refer admin discharge'!D68</f>
        <v>xx</v>
      </c>
      <c r="E67" s="351"/>
      <c r="F67" s="609" t="str">
        <f>'refer admin discharge'!H68</f>
        <v>00/00/0000</v>
      </c>
      <c r="G67" s="351"/>
      <c r="H67" s="610"/>
      <c r="I67" s="351"/>
      <c r="J67" s="611"/>
      <c r="K67" s="351"/>
      <c r="L67" s="610"/>
      <c r="M67" s="351"/>
      <c r="N67" s="612"/>
      <c r="O67" s="351"/>
      <c r="P67" s="610"/>
      <c r="Q67" s="351"/>
      <c r="R67" s="612"/>
      <c r="S67" s="351"/>
      <c r="T67" s="610"/>
      <c r="U67" s="351"/>
      <c r="V67" s="623" t="str">
        <f>'refer admin discharge'!H68</f>
        <v>00/00/0000</v>
      </c>
      <c r="W67" s="351"/>
      <c r="X67" s="607"/>
      <c r="Y67" s="351"/>
      <c r="Z67" s="614"/>
      <c r="AA67" s="351"/>
      <c r="AB67" s="607"/>
      <c r="AC67" s="351"/>
      <c r="AD67" s="606"/>
      <c r="AE67" s="351"/>
      <c r="AF67" s="607"/>
      <c r="AG67" s="351"/>
      <c r="AH67" s="606"/>
      <c r="AI67" s="351"/>
      <c r="AJ67" s="607"/>
      <c r="AK67" s="351"/>
      <c r="AL67" s="608"/>
      <c r="AM67" s="350"/>
      <c r="AN67" s="350"/>
      <c r="AO67" s="350"/>
      <c r="AP67" s="350"/>
      <c r="AQ67" s="350"/>
      <c r="AR67" s="350"/>
      <c r="AS67" s="350"/>
      <c r="AT67" s="350"/>
      <c r="AU67" s="350"/>
      <c r="AV67" s="350"/>
      <c r="AW67" s="350"/>
      <c r="AX67" s="350"/>
      <c r="AY67" s="350"/>
      <c r="AZ67" s="350"/>
      <c r="BA67" s="350"/>
      <c r="BB67" s="351"/>
    </row>
    <row r="68" spans="1:54" ht="15.75" customHeight="1">
      <c r="A68" s="25">
        <f t="shared" si="0"/>
        <v>55</v>
      </c>
      <c r="B68" s="618" t="str">
        <f>'refer admin discharge'!B67</f>
        <v>x</v>
      </c>
      <c r="C68" s="351"/>
      <c r="D68" s="619" t="str">
        <f>'refer admin discharge'!D67</f>
        <v>xx</v>
      </c>
      <c r="E68" s="351"/>
      <c r="F68" s="620" t="str">
        <f>'refer admin discharge'!H67</f>
        <v>00/00/0000</v>
      </c>
      <c r="G68" s="351"/>
      <c r="H68" s="615"/>
      <c r="I68" s="351"/>
      <c r="J68" s="621"/>
      <c r="K68" s="351"/>
      <c r="L68" s="615"/>
      <c r="M68" s="351"/>
      <c r="N68" s="610"/>
      <c r="O68" s="351"/>
      <c r="P68" s="615"/>
      <c r="Q68" s="351"/>
      <c r="R68" s="610"/>
      <c r="S68" s="351"/>
      <c r="T68" s="615"/>
      <c r="U68" s="351"/>
      <c r="V68" s="613" t="str">
        <f>'refer admin discharge'!H69</f>
        <v>00/00/0000</v>
      </c>
      <c r="W68" s="351"/>
      <c r="X68" s="616"/>
      <c r="Y68" s="351"/>
      <c r="Z68" s="617"/>
      <c r="AA68" s="351"/>
      <c r="AB68" s="616"/>
      <c r="AC68" s="351"/>
      <c r="AD68" s="607"/>
      <c r="AE68" s="351"/>
      <c r="AF68" s="616"/>
      <c r="AG68" s="351"/>
      <c r="AH68" s="607"/>
      <c r="AI68" s="351"/>
      <c r="AJ68" s="616"/>
      <c r="AK68" s="351"/>
      <c r="AL68" s="622"/>
      <c r="AM68" s="350"/>
      <c r="AN68" s="350"/>
      <c r="AO68" s="350"/>
      <c r="AP68" s="350"/>
      <c r="AQ68" s="350"/>
      <c r="AR68" s="350"/>
      <c r="AS68" s="350"/>
      <c r="AT68" s="350"/>
      <c r="AU68" s="350"/>
      <c r="AV68" s="350"/>
      <c r="AW68" s="350"/>
      <c r="AX68" s="350"/>
      <c r="AY68" s="350"/>
      <c r="AZ68" s="350"/>
      <c r="BA68" s="350"/>
      <c r="BB68" s="351"/>
    </row>
    <row r="69" spans="1:54" ht="15.75" customHeight="1">
      <c r="A69" s="25">
        <f t="shared" si="0"/>
        <v>56</v>
      </c>
      <c r="B69" s="599" t="str">
        <f>'refer admin discharge'!B68</f>
        <v>x</v>
      </c>
      <c r="C69" s="351"/>
      <c r="D69" s="600" t="str">
        <f>'refer admin discharge'!D68</f>
        <v>xx</v>
      </c>
      <c r="E69" s="351"/>
      <c r="F69" s="609" t="str">
        <f>'refer admin discharge'!H68</f>
        <v>00/00/0000</v>
      </c>
      <c r="G69" s="351"/>
      <c r="H69" s="610"/>
      <c r="I69" s="351"/>
      <c r="J69" s="611"/>
      <c r="K69" s="351"/>
      <c r="L69" s="610"/>
      <c r="M69" s="351"/>
      <c r="N69" s="612"/>
      <c r="O69" s="351"/>
      <c r="P69" s="610"/>
      <c r="Q69" s="351"/>
      <c r="R69" s="612"/>
      <c r="S69" s="351"/>
      <c r="T69" s="610"/>
      <c r="U69" s="351"/>
      <c r="V69" s="623" t="str">
        <f>'refer admin discharge'!H70</f>
        <v>00/00/0000</v>
      </c>
      <c r="W69" s="351"/>
      <c r="X69" s="607"/>
      <c r="Y69" s="351"/>
      <c r="Z69" s="614"/>
      <c r="AA69" s="351"/>
      <c r="AB69" s="607"/>
      <c r="AC69" s="351"/>
      <c r="AD69" s="606"/>
      <c r="AE69" s="351"/>
      <c r="AF69" s="607"/>
      <c r="AG69" s="351"/>
      <c r="AH69" s="606"/>
      <c r="AI69" s="351"/>
      <c r="AJ69" s="607"/>
      <c r="AK69" s="351"/>
      <c r="AL69" s="608"/>
      <c r="AM69" s="350"/>
      <c r="AN69" s="350"/>
      <c r="AO69" s="350"/>
      <c r="AP69" s="350"/>
      <c r="AQ69" s="350"/>
      <c r="AR69" s="350"/>
      <c r="AS69" s="350"/>
      <c r="AT69" s="350"/>
      <c r="AU69" s="350"/>
      <c r="AV69" s="350"/>
      <c r="AW69" s="350"/>
      <c r="AX69" s="350"/>
      <c r="AY69" s="350"/>
      <c r="AZ69" s="350"/>
      <c r="BA69" s="350"/>
      <c r="BB69" s="351"/>
    </row>
    <row r="70" spans="1:54" ht="15.75" customHeight="1">
      <c r="A70" s="25">
        <f t="shared" si="0"/>
        <v>57</v>
      </c>
      <c r="B70" s="618" t="str">
        <f>'refer admin discharge'!B69</f>
        <v>x</v>
      </c>
      <c r="C70" s="351"/>
      <c r="D70" s="619" t="str">
        <f>'refer admin discharge'!D69</f>
        <v>xx</v>
      </c>
      <c r="E70" s="351"/>
      <c r="F70" s="620" t="str">
        <f>'refer admin discharge'!H69</f>
        <v>00/00/0000</v>
      </c>
      <c r="G70" s="351"/>
      <c r="H70" s="615"/>
      <c r="I70" s="351"/>
      <c r="J70" s="621"/>
      <c r="K70" s="351"/>
      <c r="L70" s="615"/>
      <c r="M70" s="351"/>
      <c r="N70" s="610"/>
      <c r="O70" s="351"/>
      <c r="P70" s="615"/>
      <c r="Q70" s="351"/>
      <c r="R70" s="610"/>
      <c r="S70" s="351"/>
      <c r="T70" s="615"/>
      <c r="U70" s="351"/>
      <c r="V70" s="613" t="str">
        <f>'refer admin discharge'!H71</f>
        <v>00/00/0000</v>
      </c>
      <c r="W70" s="351"/>
      <c r="X70" s="616"/>
      <c r="Y70" s="351"/>
      <c r="Z70" s="617"/>
      <c r="AA70" s="351"/>
      <c r="AB70" s="616"/>
      <c r="AC70" s="351"/>
      <c r="AD70" s="607"/>
      <c r="AE70" s="351"/>
      <c r="AF70" s="616"/>
      <c r="AG70" s="351"/>
      <c r="AH70" s="607"/>
      <c r="AI70" s="351"/>
      <c r="AJ70" s="616"/>
      <c r="AK70" s="351"/>
      <c r="AL70" s="622"/>
      <c r="AM70" s="350"/>
      <c r="AN70" s="350"/>
      <c r="AO70" s="350"/>
      <c r="AP70" s="350"/>
      <c r="AQ70" s="350"/>
      <c r="AR70" s="350"/>
      <c r="AS70" s="350"/>
      <c r="AT70" s="350"/>
      <c r="AU70" s="350"/>
      <c r="AV70" s="350"/>
      <c r="AW70" s="350"/>
      <c r="AX70" s="350"/>
      <c r="AY70" s="350"/>
      <c r="AZ70" s="350"/>
      <c r="BA70" s="350"/>
      <c r="BB70" s="351"/>
    </row>
    <row r="71" spans="1:54" ht="15.75" customHeight="1">
      <c r="A71" s="25">
        <f t="shared" si="0"/>
        <v>58</v>
      </c>
      <c r="B71" s="599" t="str">
        <f>'refer admin discharge'!B70</f>
        <v>x</v>
      </c>
      <c r="C71" s="351"/>
      <c r="D71" s="600" t="str">
        <f>'refer admin discharge'!D70</f>
        <v>xx</v>
      </c>
      <c r="E71" s="351"/>
      <c r="F71" s="609" t="str">
        <f>'refer admin discharge'!H70</f>
        <v>00/00/0000</v>
      </c>
      <c r="G71" s="351"/>
      <c r="H71" s="610"/>
      <c r="I71" s="351"/>
      <c r="J71" s="611"/>
      <c r="K71" s="351"/>
      <c r="L71" s="610"/>
      <c r="M71" s="351"/>
      <c r="N71" s="612"/>
      <c r="O71" s="351"/>
      <c r="P71" s="610"/>
      <c r="Q71" s="351"/>
      <c r="R71" s="612"/>
      <c r="S71" s="351"/>
      <c r="T71" s="610"/>
      <c r="U71" s="351"/>
      <c r="V71" s="623" t="str">
        <f>'refer admin discharge'!H72</f>
        <v>00/00/0000</v>
      </c>
      <c r="W71" s="351"/>
      <c r="X71" s="607"/>
      <c r="Y71" s="351"/>
      <c r="Z71" s="614"/>
      <c r="AA71" s="351"/>
      <c r="AB71" s="607"/>
      <c r="AC71" s="351"/>
      <c r="AD71" s="606"/>
      <c r="AE71" s="351"/>
      <c r="AF71" s="607"/>
      <c r="AG71" s="351"/>
      <c r="AH71" s="606"/>
      <c r="AI71" s="351"/>
      <c r="AJ71" s="607"/>
      <c r="AK71" s="351"/>
      <c r="AL71" s="608"/>
      <c r="AM71" s="350"/>
      <c r="AN71" s="350"/>
      <c r="AO71" s="350"/>
      <c r="AP71" s="350"/>
      <c r="AQ71" s="350"/>
      <c r="AR71" s="350"/>
      <c r="AS71" s="350"/>
      <c r="AT71" s="350"/>
      <c r="AU71" s="350"/>
      <c r="AV71" s="350"/>
      <c r="AW71" s="350"/>
      <c r="AX71" s="350"/>
      <c r="AY71" s="350"/>
      <c r="AZ71" s="350"/>
      <c r="BA71" s="350"/>
      <c r="BB71" s="351"/>
    </row>
    <row r="72" spans="1:54" ht="15.75" customHeight="1">
      <c r="A72" s="25">
        <f t="shared" si="0"/>
        <v>59</v>
      </c>
      <c r="B72" s="618" t="str">
        <f>'refer admin discharge'!B71</f>
        <v>x</v>
      </c>
      <c r="C72" s="351"/>
      <c r="D72" s="619" t="str">
        <f>'refer admin discharge'!D71</f>
        <v>xx</v>
      </c>
      <c r="E72" s="351"/>
      <c r="F72" s="620" t="str">
        <f>'refer admin discharge'!H71</f>
        <v>00/00/0000</v>
      </c>
      <c r="G72" s="351"/>
      <c r="H72" s="615"/>
      <c r="I72" s="351"/>
      <c r="J72" s="621"/>
      <c r="K72" s="351"/>
      <c r="L72" s="615"/>
      <c r="M72" s="351"/>
      <c r="N72" s="610"/>
      <c r="O72" s="351"/>
      <c r="P72" s="615"/>
      <c r="Q72" s="351"/>
      <c r="R72" s="610"/>
      <c r="S72" s="351"/>
      <c r="T72" s="615"/>
      <c r="U72" s="351"/>
      <c r="V72" s="613" t="str">
        <f>'refer admin discharge'!H73</f>
        <v>00/00/0000</v>
      </c>
      <c r="W72" s="351"/>
      <c r="X72" s="616"/>
      <c r="Y72" s="351"/>
      <c r="Z72" s="617"/>
      <c r="AA72" s="351"/>
      <c r="AB72" s="616"/>
      <c r="AC72" s="351"/>
      <c r="AD72" s="607"/>
      <c r="AE72" s="351"/>
      <c r="AF72" s="616"/>
      <c r="AG72" s="351"/>
      <c r="AH72" s="607"/>
      <c r="AI72" s="351"/>
      <c r="AJ72" s="616"/>
      <c r="AK72" s="351"/>
      <c r="AL72" s="622"/>
      <c r="AM72" s="350"/>
      <c r="AN72" s="350"/>
      <c r="AO72" s="350"/>
      <c r="AP72" s="350"/>
      <c r="AQ72" s="350"/>
      <c r="AR72" s="350"/>
      <c r="AS72" s="350"/>
      <c r="AT72" s="350"/>
      <c r="AU72" s="350"/>
      <c r="AV72" s="350"/>
      <c r="AW72" s="350"/>
      <c r="AX72" s="350"/>
      <c r="AY72" s="350"/>
      <c r="AZ72" s="350"/>
      <c r="BA72" s="350"/>
      <c r="BB72" s="351"/>
    </row>
    <row r="73" spans="1:54" ht="15.75" customHeight="1">
      <c r="A73" s="25">
        <f t="shared" si="0"/>
        <v>60</v>
      </c>
      <c r="B73" s="599" t="str">
        <f>'refer admin discharge'!B72</f>
        <v>x</v>
      </c>
      <c r="C73" s="351"/>
      <c r="D73" s="600" t="str">
        <f>'refer admin discharge'!D72</f>
        <v>xx</v>
      </c>
      <c r="E73" s="351"/>
      <c r="F73" s="609" t="str">
        <f>'refer admin discharge'!H72</f>
        <v>00/00/0000</v>
      </c>
      <c r="G73" s="351"/>
      <c r="H73" s="610"/>
      <c r="I73" s="351"/>
      <c r="J73" s="611"/>
      <c r="K73" s="351"/>
      <c r="L73" s="610"/>
      <c r="M73" s="351"/>
      <c r="N73" s="612"/>
      <c r="O73" s="351"/>
      <c r="P73" s="610"/>
      <c r="Q73" s="351"/>
      <c r="R73" s="612"/>
      <c r="S73" s="351"/>
      <c r="T73" s="610"/>
      <c r="U73" s="351"/>
      <c r="V73" s="623" t="str">
        <f>'refer admin discharge'!H74</f>
        <v>00/00/0000</v>
      </c>
      <c r="W73" s="351"/>
      <c r="X73" s="607"/>
      <c r="Y73" s="351"/>
      <c r="Z73" s="614"/>
      <c r="AA73" s="351"/>
      <c r="AB73" s="607"/>
      <c r="AC73" s="351"/>
      <c r="AD73" s="606"/>
      <c r="AE73" s="351"/>
      <c r="AF73" s="607"/>
      <c r="AG73" s="351"/>
      <c r="AH73" s="606"/>
      <c r="AI73" s="351"/>
      <c r="AJ73" s="607"/>
      <c r="AK73" s="351"/>
      <c r="AL73" s="608"/>
      <c r="AM73" s="350"/>
      <c r="AN73" s="350"/>
      <c r="AO73" s="350"/>
      <c r="AP73" s="350"/>
      <c r="AQ73" s="350"/>
      <c r="AR73" s="350"/>
      <c r="AS73" s="350"/>
      <c r="AT73" s="350"/>
      <c r="AU73" s="350"/>
      <c r="AV73" s="350"/>
      <c r="AW73" s="350"/>
      <c r="AX73" s="350"/>
      <c r="AY73" s="350"/>
      <c r="AZ73" s="350"/>
      <c r="BA73" s="350"/>
      <c r="BB73" s="351"/>
    </row>
    <row r="74" spans="1:54" ht="15.75" customHeight="1">
      <c r="A74" s="25">
        <f t="shared" si="0"/>
        <v>61</v>
      </c>
      <c r="B74" s="618" t="str">
        <f>'refer admin discharge'!B73</f>
        <v>x</v>
      </c>
      <c r="C74" s="351"/>
      <c r="D74" s="619" t="str">
        <f>'refer admin discharge'!D73</f>
        <v>xx</v>
      </c>
      <c r="E74" s="351"/>
      <c r="F74" s="620" t="str">
        <f>'refer admin discharge'!H73</f>
        <v>00/00/0000</v>
      </c>
      <c r="G74" s="351"/>
      <c r="H74" s="615"/>
      <c r="I74" s="351"/>
      <c r="J74" s="621"/>
      <c r="K74" s="351"/>
      <c r="L74" s="615"/>
      <c r="M74" s="351"/>
      <c r="N74" s="610"/>
      <c r="O74" s="351"/>
      <c r="P74" s="615"/>
      <c r="Q74" s="351"/>
      <c r="R74" s="610"/>
      <c r="S74" s="351"/>
      <c r="T74" s="615"/>
      <c r="U74" s="351"/>
      <c r="V74" s="613" t="str">
        <f>'refer admin discharge'!H75</f>
        <v>00/00/0000</v>
      </c>
      <c r="W74" s="351"/>
      <c r="X74" s="616"/>
      <c r="Y74" s="351"/>
      <c r="Z74" s="617"/>
      <c r="AA74" s="351"/>
      <c r="AB74" s="616"/>
      <c r="AC74" s="351"/>
      <c r="AD74" s="607"/>
      <c r="AE74" s="351"/>
      <c r="AF74" s="616"/>
      <c r="AG74" s="351"/>
      <c r="AH74" s="607"/>
      <c r="AI74" s="351"/>
      <c r="AJ74" s="616"/>
      <c r="AK74" s="351"/>
      <c r="AL74" s="622"/>
      <c r="AM74" s="350"/>
      <c r="AN74" s="350"/>
      <c r="AO74" s="350"/>
      <c r="AP74" s="350"/>
      <c r="AQ74" s="350"/>
      <c r="AR74" s="350"/>
      <c r="AS74" s="350"/>
      <c r="AT74" s="350"/>
      <c r="AU74" s="350"/>
      <c r="AV74" s="350"/>
      <c r="AW74" s="350"/>
      <c r="AX74" s="350"/>
      <c r="AY74" s="350"/>
      <c r="AZ74" s="350"/>
      <c r="BA74" s="350"/>
      <c r="BB74" s="351"/>
    </row>
    <row r="75" spans="1:54" ht="15.75" customHeight="1">
      <c r="A75" s="25">
        <f t="shared" si="0"/>
        <v>62</v>
      </c>
      <c r="B75" s="599" t="str">
        <f>'refer admin discharge'!B74</f>
        <v>x</v>
      </c>
      <c r="C75" s="351"/>
      <c r="D75" s="600" t="str">
        <f>'refer admin discharge'!D74</f>
        <v>xx</v>
      </c>
      <c r="E75" s="351"/>
      <c r="F75" s="609" t="str">
        <f>'refer admin discharge'!H74</f>
        <v>00/00/0000</v>
      </c>
      <c r="G75" s="351"/>
      <c r="H75" s="610"/>
      <c r="I75" s="351"/>
      <c r="J75" s="611"/>
      <c r="K75" s="351"/>
      <c r="L75" s="610"/>
      <c r="M75" s="351"/>
      <c r="N75" s="612"/>
      <c r="O75" s="351"/>
      <c r="P75" s="610"/>
      <c r="Q75" s="351"/>
      <c r="R75" s="612"/>
      <c r="S75" s="351"/>
      <c r="T75" s="610"/>
      <c r="U75" s="351"/>
      <c r="V75" s="623" t="str">
        <f>'refer admin discharge'!H76</f>
        <v>00/00/0000</v>
      </c>
      <c r="W75" s="351"/>
      <c r="X75" s="607"/>
      <c r="Y75" s="351"/>
      <c r="Z75" s="614"/>
      <c r="AA75" s="351"/>
      <c r="AB75" s="607"/>
      <c r="AC75" s="351"/>
      <c r="AD75" s="606"/>
      <c r="AE75" s="351"/>
      <c r="AF75" s="607"/>
      <c r="AG75" s="351"/>
      <c r="AH75" s="606"/>
      <c r="AI75" s="351"/>
      <c r="AJ75" s="607"/>
      <c r="AK75" s="351"/>
      <c r="AL75" s="608"/>
      <c r="AM75" s="350"/>
      <c r="AN75" s="350"/>
      <c r="AO75" s="350"/>
      <c r="AP75" s="350"/>
      <c r="AQ75" s="350"/>
      <c r="AR75" s="350"/>
      <c r="AS75" s="350"/>
      <c r="AT75" s="350"/>
      <c r="AU75" s="350"/>
      <c r="AV75" s="350"/>
      <c r="AW75" s="350"/>
      <c r="AX75" s="350"/>
      <c r="AY75" s="350"/>
      <c r="AZ75" s="350"/>
      <c r="BA75" s="350"/>
      <c r="BB75" s="351"/>
    </row>
    <row r="76" spans="1:54" ht="15.75" customHeight="1">
      <c r="A76" s="25">
        <f t="shared" si="0"/>
        <v>63</v>
      </c>
      <c r="B76" s="618" t="str">
        <f>'refer admin discharge'!B75</f>
        <v>x</v>
      </c>
      <c r="C76" s="351"/>
      <c r="D76" s="619" t="str">
        <f>'refer admin discharge'!D75</f>
        <v>xx</v>
      </c>
      <c r="E76" s="351"/>
      <c r="F76" s="620" t="str">
        <f>'refer admin discharge'!H75</f>
        <v>00/00/0000</v>
      </c>
      <c r="G76" s="351"/>
      <c r="H76" s="615"/>
      <c r="I76" s="351"/>
      <c r="J76" s="621"/>
      <c r="K76" s="351"/>
      <c r="L76" s="615"/>
      <c r="M76" s="351"/>
      <c r="N76" s="610"/>
      <c r="O76" s="351"/>
      <c r="P76" s="615"/>
      <c r="Q76" s="351"/>
      <c r="R76" s="610"/>
      <c r="S76" s="351"/>
      <c r="T76" s="615"/>
      <c r="U76" s="351"/>
      <c r="V76" s="613" t="str">
        <f>'refer admin discharge'!H77</f>
        <v>00/00/0000</v>
      </c>
      <c r="W76" s="351"/>
      <c r="X76" s="616"/>
      <c r="Y76" s="351"/>
      <c r="Z76" s="617"/>
      <c r="AA76" s="351"/>
      <c r="AB76" s="616"/>
      <c r="AC76" s="351"/>
      <c r="AD76" s="607"/>
      <c r="AE76" s="351"/>
      <c r="AF76" s="616"/>
      <c r="AG76" s="351"/>
      <c r="AH76" s="607"/>
      <c r="AI76" s="351"/>
      <c r="AJ76" s="616"/>
      <c r="AK76" s="351"/>
      <c r="AL76" s="622"/>
      <c r="AM76" s="350"/>
      <c r="AN76" s="350"/>
      <c r="AO76" s="350"/>
      <c r="AP76" s="350"/>
      <c r="AQ76" s="350"/>
      <c r="AR76" s="350"/>
      <c r="AS76" s="350"/>
      <c r="AT76" s="350"/>
      <c r="AU76" s="350"/>
      <c r="AV76" s="350"/>
      <c r="AW76" s="350"/>
      <c r="AX76" s="350"/>
      <c r="AY76" s="350"/>
      <c r="AZ76" s="350"/>
      <c r="BA76" s="350"/>
      <c r="BB76" s="351"/>
    </row>
    <row r="77" spans="1:54" ht="15.75" customHeight="1">
      <c r="A77" s="25">
        <f t="shared" si="0"/>
        <v>64</v>
      </c>
      <c r="B77" s="599" t="str">
        <f>'refer admin discharge'!B76</f>
        <v>x</v>
      </c>
      <c r="C77" s="351"/>
      <c r="D77" s="600" t="str">
        <f>'refer admin discharge'!D76</f>
        <v>xx</v>
      </c>
      <c r="E77" s="351"/>
      <c r="F77" s="609" t="str">
        <f>'refer admin discharge'!H76</f>
        <v>00/00/0000</v>
      </c>
      <c r="G77" s="351"/>
      <c r="H77" s="610"/>
      <c r="I77" s="351"/>
      <c r="J77" s="611"/>
      <c r="K77" s="351"/>
      <c r="L77" s="610"/>
      <c r="M77" s="351"/>
      <c r="N77" s="612"/>
      <c r="O77" s="351"/>
      <c r="P77" s="610"/>
      <c r="Q77" s="351"/>
      <c r="R77" s="612"/>
      <c r="S77" s="351"/>
      <c r="T77" s="610"/>
      <c r="U77" s="351"/>
      <c r="V77" s="623" t="str">
        <f>'refer admin discharge'!H78</f>
        <v>00/00/0000</v>
      </c>
      <c r="W77" s="351"/>
      <c r="X77" s="607"/>
      <c r="Y77" s="351"/>
      <c r="Z77" s="614"/>
      <c r="AA77" s="351"/>
      <c r="AB77" s="607"/>
      <c r="AC77" s="351"/>
      <c r="AD77" s="606"/>
      <c r="AE77" s="351"/>
      <c r="AF77" s="607"/>
      <c r="AG77" s="351"/>
      <c r="AH77" s="606"/>
      <c r="AI77" s="351"/>
      <c r="AJ77" s="607"/>
      <c r="AK77" s="351"/>
      <c r="AL77" s="608"/>
      <c r="AM77" s="350"/>
      <c r="AN77" s="350"/>
      <c r="AO77" s="350"/>
      <c r="AP77" s="350"/>
      <c r="AQ77" s="350"/>
      <c r="AR77" s="350"/>
      <c r="AS77" s="350"/>
      <c r="AT77" s="350"/>
      <c r="AU77" s="350"/>
      <c r="AV77" s="350"/>
      <c r="AW77" s="350"/>
      <c r="AX77" s="350"/>
      <c r="AY77" s="350"/>
      <c r="AZ77" s="350"/>
      <c r="BA77" s="350"/>
      <c r="BB77" s="351"/>
    </row>
    <row r="78" spans="1:54" ht="15.75" customHeight="1">
      <c r="A78" s="25">
        <f t="shared" si="0"/>
        <v>65</v>
      </c>
      <c r="B78" s="618" t="str">
        <f>'refer admin discharge'!B77</f>
        <v>x</v>
      </c>
      <c r="C78" s="351"/>
      <c r="D78" s="619" t="str">
        <f>'refer admin discharge'!D77</f>
        <v>xx</v>
      </c>
      <c r="E78" s="351"/>
      <c r="F78" s="620" t="str">
        <f>'refer admin discharge'!H77</f>
        <v>00/00/0000</v>
      </c>
      <c r="G78" s="351"/>
      <c r="H78" s="615"/>
      <c r="I78" s="351"/>
      <c r="J78" s="621"/>
      <c r="K78" s="351"/>
      <c r="L78" s="615"/>
      <c r="M78" s="351"/>
      <c r="N78" s="610"/>
      <c r="O78" s="351"/>
      <c r="P78" s="615"/>
      <c r="Q78" s="351"/>
      <c r="R78" s="610"/>
      <c r="S78" s="351"/>
      <c r="T78" s="615"/>
      <c r="U78" s="351"/>
      <c r="V78" s="613" t="str">
        <f>'refer admin discharge'!H79</f>
        <v>00/00/0000</v>
      </c>
      <c r="W78" s="351"/>
      <c r="X78" s="616"/>
      <c r="Y78" s="351"/>
      <c r="Z78" s="617"/>
      <c r="AA78" s="351"/>
      <c r="AB78" s="616"/>
      <c r="AC78" s="351"/>
      <c r="AD78" s="607"/>
      <c r="AE78" s="351"/>
      <c r="AF78" s="616"/>
      <c r="AG78" s="351"/>
      <c r="AH78" s="607"/>
      <c r="AI78" s="351"/>
      <c r="AJ78" s="616"/>
      <c r="AK78" s="351"/>
      <c r="AL78" s="622"/>
      <c r="AM78" s="350"/>
      <c r="AN78" s="350"/>
      <c r="AO78" s="350"/>
      <c r="AP78" s="350"/>
      <c r="AQ78" s="350"/>
      <c r="AR78" s="350"/>
      <c r="AS78" s="350"/>
      <c r="AT78" s="350"/>
      <c r="AU78" s="350"/>
      <c r="AV78" s="350"/>
      <c r="AW78" s="350"/>
      <c r="AX78" s="350"/>
      <c r="AY78" s="350"/>
      <c r="AZ78" s="350"/>
      <c r="BA78" s="350"/>
      <c r="BB78" s="351"/>
    </row>
    <row r="79" spans="1:54" ht="15.75" customHeight="1">
      <c r="A79" s="25">
        <f t="shared" si="0"/>
        <v>66</v>
      </c>
      <c r="B79" s="599" t="str">
        <f>'refer admin discharge'!B78</f>
        <v>x</v>
      </c>
      <c r="C79" s="351"/>
      <c r="D79" s="600" t="str">
        <f>'refer admin discharge'!D78</f>
        <v>xx</v>
      </c>
      <c r="E79" s="351"/>
      <c r="F79" s="609" t="str">
        <f>'refer admin discharge'!H78</f>
        <v>00/00/0000</v>
      </c>
      <c r="G79" s="351"/>
      <c r="H79" s="610"/>
      <c r="I79" s="351"/>
      <c r="J79" s="611"/>
      <c r="K79" s="351"/>
      <c r="L79" s="610"/>
      <c r="M79" s="351"/>
      <c r="N79" s="612"/>
      <c r="O79" s="351"/>
      <c r="P79" s="610"/>
      <c r="Q79" s="351"/>
      <c r="R79" s="612"/>
      <c r="S79" s="351"/>
      <c r="T79" s="610"/>
      <c r="U79" s="351"/>
      <c r="V79" s="623" t="str">
        <f>'refer admin discharge'!H80</f>
        <v>00/00/0000</v>
      </c>
      <c r="W79" s="351"/>
      <c r="X79" s="607"/>
      <c r="Y79" s="351"/>
      <c r="Z79" s="614"/>
      <c r="AA79" s="351"/>
      <c r="AB79" s="607"/>
      <c r="AC79" s="351"/>
      <c r="AD79" s="606"/>
      <c r="AE79" s="351"/>
      <c r="AF79" s="607"/>
      <c r="AG79" s="351"/>
      <c r="AH79" s="606"/>
      <c r="AI79" s="351"/>
      <c r="AJ79" s="607"/>
      <c r="AK79" s="351"/>
      <c r="AL79" s="608"/>
      <c r="AM79" s="350"/>
      <c r="AN79" s="350"/>
      <c r="AO79" s="350"/>
      <c r="AP79" s="350"/>
      <c r="AQ79" s="350"/>
      <c r="AR79" s="350"/>
      <c r="AS79" s="350"/>
      <c r="AT79" s="350"/>
      <c r="AU79" s="350"/>
      <c r="AV79" s="350"/>
      <c r="AW79" s="350"/>
      <c r="AX79" s="350"/>
      <c r="AY79" s="350"/>
      <c r="AZ79" s="350"/>
      <c r="BA79" s="350"/>
      <c r="BB79" s="351"/>
    </row>
    <row r="80" spans="1:54" ht="15.75" customHeight="1">
      <c r="A80" s="25">
        <f t="shared" si="0"/>
        <v>67</v>
      </c>
      <c r="B80" s="599" t="str">
        <f>'refer admin discharge'!B79</f>
        <v>x</v>
      </c>
      <c r="C80" s="351"/>
      <c r="D80" s="600" t="str">
        <f>'refer admin discharge'!D79</f>
        <v>xx</v>
      </c>
      <c r="E80" s="351"/>
      <c r="F80" s="609" t="str">
        <f>'refer admin discharge'!H79</f>
        <v>00/00/0000</v>
      </c>
      <c r="G80" s="351"/>
      <c r="H80" s="615"/>
      <c r="I80" s="351"/>
      <c r="J80" s="621"/>
      <c r="K80" s="351"/>
      <c r="L80" s="615"/>
      <c r="M80" s="351"/>
      <c r="N80" s="610"/>
      <c r="O80" s="351"/>
      <c r="P80" s="615"/>
      <c r="Q80" s="351"/>
      <c r="R80" s="610"/>
      <c r="S80" s="351"/>
      <c r="T80" s="615"/>
      <c r="U80" s="351"/>
      <c r="V80" s="613" t="str">
        <f>'refer admin discharge'!H81</f>
        <v>00/00/0000</v>
      </c>
      <c r="W80" s="351"/>
      <c r="X80" s="616"/>
      <c r="Y80" s="351"/>
      <c r="Z80" s="617"/>
      <c r="AA80" s="351"/>
      <c r="AB80" s="616"/>
      <c r="AC80" s="351"/>
      <c r="AD80" s="607"/>
      <c r="AE80" s="351"/>
      <c r="AF80" s="616"/>
      <c r="AG80" s="351"/>
      <c r="AH80" s="607"/>
      <c r="AI80" s="351"/>
      <c r="AJ80" s="616"/>
      <c r="AK80" s="351"/>
      <c r="AL80" s="622"/>
      <c r="AM80" s="350"/>
      <c r="AN80" s="350"/>
      <c r="AO80" s="350"/>
      <c r="AP80" s="350"/>
      <c r="AQ80" s="350"/>
      <c r="AR80" s="350"/>
      <c r="AS80" s="350"/>
      <c r="AT80" s="350"/>
      <c r="AU80" s="350"/>
      <c r="AV80" s="350"/>
      <c r="AW80" s="350"/>
      <c r="AX80" s="350"/>
      <c r="AY80" s="350"/>
      <c r="AZ80" s="350"/>
      <c r="BA80" s="350"/>
      <c r="BB80" s="351"/>
    </row>
    <row r="81" spans="1:54" ht="15.75" customHeight="1">
      <c r="A81" s="25">
        <f t="shared" si="0"/>
        <v>68</v>
      </c>
      <c r="B81" s="599" t="str">
        <f>'refer admin discharge'!B80</f>
        <v>x</v>
      </c>
      <c r="C81" s="351"/>
      <c r="D81" s="600" t="str">
        <f>'refer admin discharge'!D80</f>
        <v>xx</v>
      </c>
      <c r="E81" s="351"/>
      <c r="F81" s="609" t="str">
        <f>'refer admin discharge'!H80</f>
        <v>00/00/0000</v>
      </c>
      <c r="G81" s="351"/>
      <c r="H81" s="610"/>
      <c r="I81" s="351"/>
      <c r="J81" s="611"/>
      <c r="K81" s="351"/>
      <c r="L81" s="610"/>
      <c r="M81" s="351"/>
      <c r="N81" s="612"/>
      <c r="O81" s="351"/>
      <c r="P81" s="610"/>
      <c r="Q81" s="351"/>
      <c r="R81" s="612"/>
      <c r="S81" s="351"/>
      <c r="T81" s="610"/>
      <c r="U81" s="351"/>
      <c r="V81" s="623" t="str">
        <f>'refer admin discharge'!H82</f>
        <v>00/00/0000</v>
      </c>
      <c r="W81" s="351"/>
      <c r="X81" s="607"/>
      <c r="Y81" s="351"/>
      <c r="Z81" s="614"/>
      <c r="AA81" s="351"/>
      <c r="AB81" s="607"/>
      <c r="AC81" s="351"/>
      <c r="AD81" s="606"/>
      <c r="AE81" s="351"/>
      <c r="AF81" s="607"/>
      <c r="AG81" s="351"/>
      <c r="AH81" s="606"/>
      <c r="AI81" s="351"/>
      <c r="AJ81" s="607"/>
      <c r="AK81" s="351"/>
      <c r="AL81" s="608"/>
      <c r="AM81" s="350"/>
      <c r="AN81" s="350"/>
      <c r="AO81" s="350"/>
      <c r="AP81" s="350"/>
      <c r="AQ81" s="350"/>
      <c r="AR81" s="350"/>
      <c r="AS81" s="350"/>
      <c r="AT81" s="350"/>
      <c r="AU81" s="350"/>
      <c r="AV81" s="350"/>
      <c r="AW81" s="350"/>
      <c r="AX81" s="350"/>
      <c r="AY81" s="350"/>
      <c r="AZ81" s="350"/>
      <c r="BA81" s="350"/>
      <c r="BB81" s="351"/>
    </row>
    <row r="82" spans="1:54" ht="15.75" customHeight="1">
      <c r="A82" s="25">
        <f t="shared" si="0"/>
        <v>69</v>
      </c>
      <c r="B82" s="618" t="str">
        <f>'refer admin discharge'!B79</f>
        <v>x</v>
      </c>
      <c r="C82" s="351"/>
      <c r="D82" s="619" t="str">
        <f>'refer admin discharge'!D79</f>
        <v>xx</v>
      </c>
      <c r="E82" s="351"/>
      <c r="F82" s="620" t="str">
        <f>'refer admin discharge'!H79</f>
        <v>00/00/0000</v>
      </c>
      <c r="G82" s="351"/>
      <c r="H82" s="615"/>
      <c r="I82" s="351"/>
      <c r="J82" s="621"/>
      <c r="K82" s="351"/>
      <c r="L82" s="615"/>
      <c r="M82" s="351"/>
      <c r="N82" s="610"/>
      <c r="O82" s="351"/>
      <c r="P82" s="615"/>
      <c r="Q82" s="351"/>
      <c r="R82" s="610"/>
      <c r="S82" s="351"/>
      <c r="T82" s="615"/>
      <c r="U82" s="351"/>
      <c r="V82" s="613" t="str">
        <f>'refer admin discharge'!H83</f>
        <v>00/00/0000</v>
      </c>
      <c r="W82" s="351"/>
      <c r="X82" s="616"/>
      <c r="Y82" s="351"/>
      <c r="Z82" s="617"/>
      <c r="AA82" s="351"/>
      <c r="AB82" s="616"/>
      <c r="AC82" s="351"/>
      <c r="AD82" s="607"/>
      <c r="AE82" s="351"/>
      <c r="AF82" s="616"/>
      <c r="AG82" s="351"/>
      <c r="AH82" s="607"/>
      <c r="AI82" s="351"/>
      <c r="AJ82" s="616"/>
      <c r="AK82" s="351"/>
      <c r="AL82" s="622"/>
      <c r="AM82" s="350"/>
      <c r="AN82" s="350"/>
      <c r="AO82" s="350"/>
      <c r="AP82" s="350"/>
      <c r="AQ82" s="350"/>
      <c r="AR82" s="350"/>
      <c r="AS82" s="350"/>
      <c r="AT82" s="350"/>
      <c r="AU82" s="350"/>
      <c r="AV82" s="350"/>
      <c r="AW82" s="350"/>
      <c r="AX82" s="350"/>
      <c r="AY82" s="350"/>
      <c r="AZ82" s="350"/>
      <c r="BA82" s="350"/>
      <c r="BB82" s="351"/>
    </row>
    <row r="83" spans="1:54" ht="15.75" customHeight="1">
      <c r="A83" s="25">
        <f t="shared" si="0"/>
        <v>70</v>
      </c>
      <c r="B83" s="599" t="str">
        <f>'refer admin discharge'!B80</f>
        <v>x</v>
      </c>
      <c r="C83" s="351"/>
      <c r="D83" s="600" t="str">
        <f>'refer admin discharge'!D80</f>
        <v>xx</v>
      </c>
      <c r="E83" s="351"/>
      <c r="F83" s="609" t="str">
        <f>'refer admin discharge'!H80</f>
        <v>00/00/0000</v>
      </c>
      <c r="G83" s="351"/>
      <c r="H83" s="610"/>
      <c r="I83" s="351"/>
      <c r="J83" s="611"/>
      <c r="K83" s="351"/>
      <c r="L83" s="610"/>
      <c r="M83" s="351"/>
      <c r="N83" s="612"/>
      <c r="O83" s="351"/>
      <c r="P83" s="610"/>
      <c r="Q83" s="351"/>
      <c r="R83" s="612"/>
      <c r="S83" s="351"/>
      <c r="T83" s="610"/>
      <c r="U83" s="351"/>
      <c r="V83" s="623" t="str">
        <f>'refer admin discharge'!H84</f>
        <v>00/00/0000</v>
      </c>
      <c r="W83" s="351"/>
      <c r="X83" s="607"/>
      <c r="Y83" s="351"/>
      <c r="Z83" s="614"/>
      <c r="AA83" s="351"/>
      <c r="AB83" s="607"/>
      <c r="AC83" s="351"/>
      <c r="AD83" s="606"/>
      <c r="AE83" s="351"/>
      <c r="AF83" s="607"/>
      <c r="AG83" s="351"/>
      <c r="AH83" s="606"/>
      <c r="AI83" s="351"/>
      <c r="AJ83" s="607"/>
      <c r="AK83" s="351"/>
      <c r="AL83" s="608"/>
      <c r="AM83" s="350"/>
      <c r="AN83" s="350"/>
      <c r="AO83" s="350"/>
      <c r="AP83" s="350"/>
      <c r="AQ83" s="350"/>
      <c r="AR83" s="350"/>
      <c r="AS83" s="350"/>
      <c r="AT83" s="350"/>
      <c r="AU83" s="350"/>
      <c r="AV83" s="350"/>
      <c r="AW83" s="350"/>
      <c r="AX83" s="350"/>
      <c r="AY83" s="350"/>
      <c r="AZ83" s="350"/>
      <c r="BA83" s="350"/>
      <c r="BB83" s="351"/>
    </row>
    <row r="84" spans="1:54" ht="15.75" customHeight="1">
      <c r="A84" s="25">
        <f t="shared" si="0"/>
        <v>71</v>
      </c>
      <c r="B84" s="618" t="str">
        <f>'refer admin discharge'!B81</f>
        <v>x</v>
      </c>
      <c r="C84" s="351"/>
      <c r="D84" s="619" t="str">
        <f>'refer admin discharge'!D81</f>
        <v>xx</v>
      </c>
      <c r="E84" s="351"/>
      <c r="F84" s="620" t="str">
        <f>'refer admin discharge'!H81</f>
        <v>00/00/0000</v>
      </c>
      <c r="G84" s="351"/>
      <c r="H84" s="615"/>
      <c r="I84" s="351"/>
      <c r="J84" s="621"/>
      <c r="K84" s="351"/>
      <c r="L84" s="615"/>
      <c r="M84" s="351"/>
      <c r="N84" s="610"/>
      <c r="O84" s="351"/>
      <c r="P84" s="615"/>
      <c r="Q84" s="351"/>
      <c r="R84" s="610"/>
      <c r="S84" s="351"/>
      <c r="T84" s="615"/>
      <c r="U84" s="351"/>
      <c r="V84" s="613" t="str">
        <f>'refer admin discharge'!H85</f>
        <v>00/00/0000</v>
      </c>
      <c r="W84" s="351"/>
      <c r="X84" s="616"/>
      <c r="Y84" s="351"/>
      <c r="Z84" s="617"/>
      <c r="AA84" s="351"/>
      <c r="AB84" s="616"/>
      <c r="AC84" s="351"/>
      <c r="AD84" s="607"/>
      <c r="AE84" s="351"/>
      <c r="AF84" s="616"/>
      <c r="AG84" s="351"/>
      <c r="AH84" s="607"/>
      <c r="AI84" s="351"/>
      <c r="AJ84" s="616"/>
      <c r="AK84" s="351"/>
      <c r="AL84" s="622"/>
      <c r="AM84" s="350"/>
      <c r="AN84" s="350"/>
      <c r="AO84" s="350"/>
      <c r="AP84" s="350"/>
      <c r="AQ84" s="350"/>
      <c r="AR84" s="350"/>
      <c r="AS84" s="350"/>
      <c r="AT84" s="350"/>
      <c r="AU84" s="350"/>
      <c r="AV84" s="350"/>
      <c r="AW84" s="350"/>
      <c r="AX84" s="350"/>
      <c r="AY84" s="350"/>
      <c r="AZ84" s="350"/>
      <c r="BA84" s="350"/>
      <c r="BB84" s="351"/>
    </row>
    <row r="85" spans="1:54" ht="15.75" customHeight="1">
      <c r="A85" s="25">
        <f t="shared" si="0"/>
        <v>72</v>
      </c>
      <c r="B85" s="599" t="str">
        <f>'refer admin discharge'!B82</f>
        <v>x</v>
      </c>
      <c r="C85" s="351"/>
      <c r="D85" s="600" t="str">
        <f>'refer admin discharge'!D82</f>
        <v>xx</v>
      </c>
      <c r="E85" s="351"/>
      <c r="F85" s="609" t="str">
        <f>'refer admin discharge'!H82</f>
        <v>00/00/0000</v>
      </c>
      <c r="G85" s="351"/>
      <c r="H85" s="610"/>
      <c r="I85" s="351"/>
      <c r="J85" s="611"/>
      <c r="K85" s="351"/>
      <c r="L85" s="610"/>
      <c r="M85" s="351"/>
      <c r="N85" s="612"/>
      <c r="O85" s="351"/>
      <c r="P85" s="610"/>
      <c r="Q85" s="351"/>
      <c r="R85" s="612"/>
      <c r="S85" s="351"/>
      <c r="T85" s="610"/>
      <c r="U85" s="351"/>
      <c r="V85" s="623" t="str">
        <f>'refer admin discharge'!H86</f>
        <v>00/00/0000</v>
      </c>
      <c r="W85" s="351"/>
      <c r="X85" s="607"/>
      <c r="Y85" s="351"/>
      <c r="Z85" s="614"/>
      <c r="AA85" s="351"/>
      <c r="AB85" s="607"/>
      <c r="AC85" s="351"/>
      <c r="AD85" s="606"/>
      <c r="AE85" s="351"/>
      <c r="AF85" s="607"/>
      <c r="AG85" s="351"/>
      <c r="AH85" s="606"/>
      <c r="AI85" s="351"/>
      <c r="AJ85" s="607"/>
      <c r="AK85" s="351"/>
      <c r="AL85" s="608"/>
      <c r="AM85" s="350"/>
      <c r="AN85" s="350"/>
      <c r="AO85" s="350"/>
      <c r="AP85" s="350"/>
      <c r="AQ85" s="350"/>
      <c r="AR85" s="350"/>
      <c r="AS85" s="350"/>
      <c r="AT85" s="350"/>
      <c r="AU85" s="350"/>
      <c r="AV85" s="350"/>
      <c r="AW85" s="350"/>
      <c r="AX85" s="350"/>
      <c r="AY85" s="350"/>
      <c r="AZ85" s="350"/>
      <c r="BA85" s="350"/>
      <c r="BB85" s="351"/>
    </row>
    <row r="86" spans="1:54" ht="15.75" customHeight="1">
      <c r="A86" s="25">
        <f t="shared" si="0"/>
        <v>73</v>
      </c>
      <c r="B86" s="618" t="str">
        <f>'refer admin discharge'!B83</f>
        <v>x</v>
      </c>
      <c r="C86" s="351"/>
      <c r="D86" s="619" t="str">
        <f>'refer admin discharge'!D83</f>
        <v>xx</v>
      </c>
      <c r="E86" s="351"/>
      <c r="F86" s="620" t="str">
        <f>'refer admin discharge'!H83</f>
        <v>00/00/0000</v>
      </c>
      <c r="G86" s="351"/>
      <c r="H86" s="615"/>
      <c r="I86" s="351"/>
      <c r="J86" s="621"/>
      <c r="K86" s="351"/>
      <c r="L86" s="615"/>
      <c r="M86" s="351"/>
      <c r="N86" s="610"/>
      <c r="O86" s="351"/>
      <c r="P86" s="615"/>
      <c r="Q86" s="351"/>
      <c r="R86" s="610"/>
      <c r="S86" s="351"/>
      <c r="T86" s="615"/>
      <c r="U86" s="351"/>
      <c r="V86" s="613" t="str">
        <f>'refer admin discharge'!H87</f>
        <v>00/00/0000</v>
      </c>
      <c r="W86" s="351"/>
      <c r="X86" s="616"/>
      <c r="Y86" s="351"/>
      <c r="Z86" s="617"/>
      <c r="AA86" s="351"/>
      <c r="AB86" s="616"/>
      <c r="AC86" s="351"/>
      <c r="AD86" s="607"/>
      <c r="AE86" s="351"/>
      <c r="AF86" s="616"/>
      <c r="AG86" s="351"/>
      <c r="AH86" s="607"/>
      <c r="AI86" s="351"/>
      <c r="AJ86" s="616"/>
      <c r="AK86" s="351"/>
      <c r="AL86" s="622"/>
      <c r="AM86" s="350"/>
      <c r="AN86" s="350"/>
      <c r="AO86" s="350"/>
      <c r="AP86" s="350"/>
      <c r="AQ86" s="350"/>
      <c r="AR86" s="350"/>
      <c r="AS86" s="350"/>
      <c r="AT86" s="350"/>
      <c r="AU86" s="350"/>
      <c r="AV86" s="350"/>
      <c r="AW86" s="350"/>
      <c r="AX86" s="350"/>
      <c r="AY86" s="350"/>
      <c r="AZ86" s="350"/>
      <c r="BA86" s="350"/>
      <c r="BB86" s="351"/>
    </row>
    <row r="87" spans="1:54" ht="15.75" customHeight="1">
      <c r="A87" s="25">
        <f t="shared" si="0"/>
        <v>74</v>
      </c>
      <c r="B87" s="599" t="str">
        <f>'refer admin discharge'!B84</f>
        <v>x</v>
      </c>
      <c r="C87" s="351"/>
      <c r="D87" s="600" t="str">
        <f>'refer admin discharge'!D84</f>
        <v>xx</v>
      </c>
      <c r="E87" s="351"/>
      <c r="F87" s="609" t="str">
        <f>'refer admin discharge'!H84</f>
        <v>00/00/0000</v>
      </c>
      <c r="G87" s="351"/>
      <c r="H87" s="610"/>
      <c r="I87" s="351"/>
      <c r="J87" s="611"/>
      <c r="K87" s="351"/>
      <c r="L87" s="610"/>
      <c r="M87" s="351"/>
      <c r="N87" s="612"/>
      <c r="O87" s="351"/>
      <c r="P87" s="610"/>
      <c r="Q87" s="351"/>
      <c r="R87" s="612"/>
      <c r="S87" s="351"/>
      <c r="T87" s="610"/>
      <c r="U87" s="351"/>
      <c r="V87" s="623" t="str">
        <f>'refer admin discharge'!H88</f>
        <v>00/00/0000</v>
      </c>
      <c r="W87" s="351"/>
      <c r="X87" s="607"/>
      <c r="Y87" s="351"/>
      <c r="Z87" s="614"/>
      <c r="AA87" s="351"/>
      <c r="AB87" s="607"/>
      <c r="AC87" s="351"/>
      <c r="AD87" s="606"/>
      <c r="AE87" s="351"/>
      <c r="AF87" s="607"/>
      <c r="AG87" s="351"/>
      <c r="AH87" s="606"/>
      <c r="AI87" s="351"/>
      <c r="AJ87" s="607"/>
      <c r="AK87" s="351"/>
      <c r="AL87" s="608"/>
      <c r="AM87" s="350"/>
      <c r="AN87" s="350"/>
      <c r="AO87" s="350"/>
      <c r="AP87" s="350"/>
      <c r="AQ87" s="350"/>
      <c r="AR87" s="350"/>
      <c r="AS87" s="350"/>
      <c r="AT87" s="350"/>
      <c r="AU87" s="350"/>
      <c r="AV87" s="350"/>
      <c r="AW87" s="350"/>
      <c r="AX87" s="350"/>
      <c r="AY87" s="350"/>
      <c r="AZ87" s="350"/>
      <c r="BA87" s="350"/>
      <c r="BB87" s="351"/>
    </row>
    <row r="88" spans="1:54" ht="15.75" customHeight="1">
      <c r="A88" s="25">
        <f t="shared" si="0"/>
        <v>75</v>
      </c>
      <c r="B88" s="618" t="str">
        <f>'refer admin discharge'!B85</f>
        <v>x</v>
      </c>
      <c r="C88" s="351"/>
      <c r="D88" s="619" t="str">
        <f>'refer admin discharge'!D85</f>
        <v>xx</v>
      </c>
      <c r="E88" s="351"/>
      <c r="F88" s="620" t="str">
        <f>'refer admin discharge'!H85</f>
        <v>00/00/0000</v>
      </c>
      <c r="G88" s="351"/>
      <c r="H88" s="615"/>
      <c r="I88" s="351"/>
      <c r="J88" s="621"/>
      <c r="K88" s="351"/>
      <c r="L88" s="615"/>
      <c r="M88" s="351"/>
      <c r="N88" s="610"/>
      <c r="O88" s="351"/>
      <c r="P88" s="615"/>
      <c r="Q88" s="351"/>
      <c r="R88" s="610"/>
      <c r="S88" s="351"/>
      <c r="T88" s="615"/>
      <c r="U88" s="351"/>
      <c r="V88" s="613" t="str">
        <f>'refer admin discharge'!H89</f>
        <v>00/00/0000</v>
      </c>
      <c r="W88" s="351"/>
      <c r="X88" s="616"/>
      <c r="Y88" s="351"/>
      <c r="Z88" s="617"/>
      <c r="AA88" s="351"/>
      <c r="AB88" s="616"/>
      <c r="AC88" s="351"/>
      <c r="AD88" s="607"/>
      <c r="AE88" s="351"/>
      <c r="AF88" s="616"/>
      <c r="AG88" s="351"/>
      <c r="AH88" s="607"/>
      <c r="AI88" s="351"/>
      <c r="AJ88" s="616"/>
      <c r="AK88" s="351"/>
      <c r="AL88" s="622"/>
      <c r="AM88" s="350"/>
      <c r="AN88" s="350"/>
      <c r="AO88" s="350"/>
      <c r="AP88" s="350"/>
      <c r="AQ88" s="350"/>
      <c r="AR88" s="350"/>
      <c r="AS88" s="350"/>
      <c r="AT88" s="350"/>
      <c r="AU88" s="350"/>
      <c r="AV88" s="350"/>
      <c r="AW88" s="350"/>
      <c r="AX88" s="350"/>
      <c r="AY88" s="350"/>
      <c r="AZ88" s="350"/>
      <c r="BA88" s="350"/>
      <c r="BB88" s="351"/>
    </row>
    <row r="89" spans="1:54" ht="15.75" customHeight="1">
      <c r="A89" s="25">
        <f t="shared" si="0"/>
        <v>76</v>
      </c>
      <c r="B89" s="599" t="str">
        <f>'refer admin discharge'!B86</f>
        <v>x</v>
      </c>
      <c r="C89" s="351"/>
      <c r="D89" s="600" t="str">
        <f>'refer admin discharge'!D86</f>
        <v>xx</v>
      </c>
      <c r="E89" s="351"/>
      <c r="F89" s="609" t="str">
        <f>'refer admin discharge'!H86</f>
        <v>00/00/0000</v>
      </c>
      <c r="G89" s="351"/>
      <c r="H89" s="610"/>
      <c r="I89" s="351"/>
      <c r="J89" s="611"/>
      <c r="K89" s="351"/>
      <c r="L89" s="610"/>
      <c r="M89" s="351"/>
      <c r="N89" s="612"/>
      <c r="O89" s="351"/>
      <c r="P89" s="610"/>
      <c r="Q89" s="351"/>
      <c r="R89" s="612"/>
      <c r="S89" s="351"/>
      <c r="T89" s="610"/>
      <c r="U89" s="351"/>
      <c r="V89" s="623" t="str">
        <f>'refer admin discharge'!H90</f>
        <v>00/00/0000</v>
      </c>
      <c r="W89" s="351"/>
      <c r="X89" s="607"/>
      <c r="Y89" s="351"/>
      <c r="Z89" s="614"/>
      <c r="AA89" s="351"/>
      <c r="AB89" s="607"/>
      <c r="AC89" s="351"/>
      <c r="AD89" s="606"/>
      <c r="AE89" s="351"/>
      <c r="AF89" s="607"/>
      <c r="AG89" s="351"/>
      <c r="AH89" s="606"/>
      <c r="AI89" s="351"/>
      <c r="AJ89" s="607"/>
      <c r="AK89" s="351"/>
      <c r="AL89" s="608"/>
      <c r="AM89" s="350"/>
      <c r="AN89" s="350"/>
      <c r="AO89" s="350"/>
      <c r="AP89" s="350"/>
      <c r="AQ89" s="350"/>
      <c r="AR89" s="350"/>
      <c r="AS89" s="350"/>
      <c r="AT89" s="350"/>
      <c r="AU89" s="350"/>
      <c r="AV89" s="350"/>
      <c r="AW89" s="350"/>
      <c r="AX89" s="350"/>
      <c r="AY89" s="350"/>
      <c r="AZ89" s="350"/>
      <c r="BA89" s="350"/>
      <c r="BB89" s="351"/>
    </row>
    <row r="90" spans="1:54" ht="15.75" customHeight="1">
      <c r="A90" s="25">
        <f t="shared" si="0"/>
        <v>77</v>
      </c>
      <c r="B90" s="618" t="str">
        <f>'refer admin discharge'!B87</f>
        <v>x</v>
      </c>
      <c r="C90" s="351"/>
      <c r="D90" s="619" t="str">
        <f>'refer admin discharge'!D87</f>
        <v>xx</v>
      </c>
      <c r="E90" s="351"/>
      <c r="F90" s="620" t="str">
        <f>'refer admin discharge'!H87</f>
        <v>00/00/0000</v>
      </c>
      <c r="G90" s="351"/>
      <c r="H90" s="615"/>
      <c r="I90" s="351"/>
      <c r="J90" s="621"/>
      <c r="K90" s="351"/>
      <c r="L90" s="615"/>
      <c r="M90" s="351"/>
      <c r="N90" s="610"/>
      <c r="O90" s="351"/>
      <c r="P90" s="615"/>
      <c r="Q90" s="351"/>
      <c r="R90" s="610"/>
      <c r="S90" s="351"/>
      <c r="T90" s="615"/>
      <c r="U90" s="351"/>
      <c r="V90" s="613" t="str">
        <f>'refer admin discharge'!H91</f>
        <v>00/00/0000</v>
      </c>
      <c r="W90" s="351"/>
      <c r="X90" s="616"/>
      <c r="Y90" s="351"/>
      <c r="Z90" s="617"/>
      <c r="AA90" s="351"/>
      <c r="AB90" s="616"/>
      <c r="AC90" s="351"/>
      <c r="AD90" s="607"/>
      <c r="AE90" s="351"/>
      <c r="AF90" s="616"/>
      <c r="AG90" s="351"/>
      <c r="AH90" s="607"/>
      <c r="AI90" s="351"/>
      <c r="AJ90" s="616"/>
      <c r="AK90" s="351"/>
      <c r="AL90" s="622"/>
      <c r="AM90" s="350"/>
      <c r="AN90" s="350"/>
      <c r="AO90" s="350"/>
      <c r="AP90" s="350"/>
      <c r="AQ90" s="350"/>
      <c r="AR90" s="350"/>
      <c r="AS90" s="350"/>
      <c r="AT90" s="350"/>
      <c r="AU90" s="350"/>
      <c r="AV90" s="350"/>
      <c r="AW90" s="350"/>
      <c r="AX90" s="350"/>
      <c r="AY90" s="350"/>
      <c r="AZ90" s="350"/>
      <c r="BA90" s="350"/>
      <c r="BB90" s="351"/>
    </row>
    <row r="91" spans="1:54" ht="15.75" customHeight="1">
      <c r="A91" s="25">
        <f t="shared" si="0"/>
        <v>78</v>
      </c>
      <c r="B91" s="599" t="str">
        <f>'refer admin discharge'!B88</f>
        <v>x</v>
      </c>
      <c r="C91" s="351"/>
      <c r="D91" s="600" t="str">
        <f>'refer admin discharge'!D88</f>
        <v>xx</v>
      </c>
      <c r="E91" s="351"/>
      <c r="F91" s="609" t="str">
        <f>'refer admin discharge'!H88</f>
        <v>00/00/0000</v>
      </c>
      <c r="G91" s="351"/>
      <c r="H91" s="610"/>
      <c r="I91" s="351"/>
      <c r="J91" s="611"/>
      <c r="K91" s="351"/>
      <c r="L91" s="610"/>
      <c r="M91" s="351"/>
      <c r="N91" s="612"/>
      <c r="O91" s="351"/>
      <c r="P91" s="610"/>
      <c r="Q91" s="351"/>
      <c r="R91" s="612"/>
      <c r="S91" s="351"/>
      <c r="T91" s="610"/>
      <c r="U91" s="351"/>
      <c r="V91" s="623" t="str">
        <f>'refer admin discharge'!H92</f>
        <v>00/00/0000</v>
      </c>
      <c r="W91" s="351"/>
      <c r="X91" s="607"/>
      <c r="Y91" s="351"/>
      <c r="Z91" s="614"/>
      <c r="AA91" s="351"/>
      <c r="AB91" s="607"/>
      <c r="AC91" s="351"/>
      <c r="AD91" s="606"/>
      <c r="AE91" s="351"/>
      <c r="AF91" s="607"/>
      <c r="AG91" s="351"/>
      <c r="AH91" s="606"/>
      <c r="AI91" s="351"/>
      <c r="AJ91" s="607"/>
      <c r="AK91" s="351"/>
      <c r="AL91" s="608"/>
      <c r="AM91" s="350"/>
      <c r="AN91" s="350"/>
      <c r="AO91" s="350"/>
      <c r="AP91" s="350"/>
      <c r="AQ91" s="350"/>
      <c r="AR91" s="350"/>
      <c r="AS91" s="350"/>
      <c r="AT91" s="350"/>
      <c r="AU91" s="350"/>
      <c r="AV91" s="350"/>
      <c r="AW91" s="350"/>
      <c r="AX91" s="350"/>
      <c r="AY91" s="350"/>
      <c r="AZ91" s="350"/>
      <c r="BA91" s="350"/>
      <c r="BB91" s="351"/>
    </row>
    <row r="92" spans="1:54" ht="15.75" customHeight="1">
      <c r="A92" s="25">
        <f t="shared" si="0"/>
        <v>79</v>
      </c>
      <c r="B92" s="618" t="str">
        <f>'refer admin discharge'!B89</f>
        <v>x</v>
      </c>
      <c r="C92" s="351"/>
      <c r="D92" s="619" t="str">
        <f>'refer admin discharge'!D89</f>
        <v>xx</v>
      </c>
      <c r="E92" s="351"/>
      <c r="F92" s="620" t="str">
        <f>'refer admin discharge'!H89</f>
        <v>00/00/0000</v>
      </c>
      <c r="G92" s="351"/>
      <c r="H92" s="615"/>
      <c r="I92" s="351"/>
      <c r="J92" s="621"/>
      <c r="K92" s="351"/>
      <c r="L92" s="615"/>
      <c r="M92" s="351"/>
      <c r="N92" s="610"/>
      <c r="O92" s="351"/>
      <c r="P92" s="615"/>
      <c r="Q92" s="351"/>
      <c r="R92" s="610"/>
      <c r="S92" s="351"/>
      <c r="T92" s="615"/>
      <c r="U92" s="351"/>
      <c r="V92" s="613" t="str">
        <f>'refer admin discharge'!H93</f>
        <v>00/00/0000</v>
      </c>
      <c r="W92" s="351"/>
      <c r="X92" s="616"/>
      <c r="Y92" s="351"/>
      <c r="Z92" s="617"/>
      <c r="AA92" s="351"/>
      <c r="AB92" s="616"/>
      <c r="AC92" s="351"/>
      <c r="AD92" s="607"/>
      <c r="AE92" s="351"/>
      <c r="AF92" s="616"/>
      <c r="AG92" s="351"/>
      <c r="AH92" s="607"/>
      <c r="AI92" s="351"/>
      <c r="AJ92" s="616"/>
      <c r="AK92" s="351"/>
      <c r="AL92" s="622"/>
      <c r="AM92" s="350"/>
      <c r="AN92" s="350"/>
      <c r="AO92" s="350"/>
      <c r="AP92" s="350"/>
      <c r="AQ92" s="350"/>
      <c r="AR92" s="350"/>
      <c r="AS92" s="350"/>
      <c r="AT92" s="350"/>
      <c r="AU92" s="350"/>
      <c r="AV92" s="350"/>
      <c r="AW92" s="350"/>
      <c r="AX92" s="350"/>
      <c r="AY92" s="350"/>
      <c r="AZ92" s="350"/>
      <c r="BA92" s="350"/>
      <c r="BB92" s="351"/>
    </row>
    <row r="93" spans="1:54" ht="15.75" customHeight="1">
      <c r="A93" s="25">
        <f t="shared" si="0"/>
        <v>80</v>
      </c>
      <c r="B93" s="599" t="str">
        <f>'refer admin discharge'!B90</f>
        <v>x</v>
      </c>
      <c r="C93" s="351"/>
      <c r="D93" s="600" t="str">
        <f>'refer admin discharge'!D90</f>
        <v>xx</v>
      </c>
      <c r="E93" s="351"/>
      <c r="F93" s="609" t="str">
        <f>'refer admin discharge'!H90</f>
        <v>00/00/0000</v>
      </c>
      <c r="G93" s="351"/>
      <c r="H93" s="610"/>
      <c r="I93" s="351"/>
      <c r="J93" s="611"/>
      <c r="K93" s="351"/>
      <c r="L93" s="610"/>
      <c r="M93" s="351"/>
      <c r="N93" s="612"/>
      <c r="O93" s="351"/>
      <c r="P93" s="610"/>
      <c r="Q93" s="351"/>
      <c r="R93" s="612"/>
      <c r="S93" s="351"/>
      <c r="T93" s="610"/>
      <c r="U93" s="351"/>
      <c r="V93" s="623" t="str">
        <f>'refer admin discharge'!H94</f>
        <v>00/00/0000</v>
      </c>
      <c r="W93" s="351"/>
      <c r="X93" s="607"/>
      <c r="Y93" s="351"/>
      <c r="Z93" s="614"/>
      <c r="AA93" s="351"/>
      <c r="AB93" s="607"/>
      <c r="AC93" s="351"/>
      <c r="AD93" s="606"/>
      <c r="AE93" s="351"/>
      <c r="AF93" s="607"/>
      <c r="AG93" s="351"/>
      <c r="AH93" s="606"/>
      <c r="AI93" s="351"/>
      <c r="AJ93" s="607"/>
      <c r="AK93" s="351"/>
      <c r="AL93" s="608"/>
      <c r="AM93" s="350"/>
      <c r="AN93" s="350"/>
      <c r="AO93" s="350"/>
      <c r="AP93" s="350"/>
      <c r="AQ93" s="350"/>
      <c r="AR93" s="350"/>
      <c r="AS93" s="350"/>
      <c r="AT93" s="350"/>
      <c r="AU93" s="350"/>
      <c r="AV93" s="350"/>
      <c r="AW93" s="350"/>
      <c r="AX93" s="350"/>
      <c r="AY93" s="350"/>
      <c r="AZ93" s="350"/>
      <c r="BA93" s="350"/>
      <c r="BB93" s="351"/>
    </row>
    <row r="94" spans="1:54" ht="15.75" customHeight="1">
      <c r="A94" s="25">
        <f t="shared" si="0"/>
        <v>81</v>
      </c>
      <c r="B94" s="618" t="str">
        <f>'refer admin discharge'!B91</f>
        <v>x</v>
      </c>
      <c r="C94" s="351"/>
      <c r="D94" s="619" t="str">
        <f>'refer admin discharge'!D91</f>
        <v>xx</v>
      </c>
      <c r="E94" s="351"/>
      <c r="F94" s="620" t="str">
        <f>'refer admin discharge'!H91</f>
        <v>00/00/0000</v>
      </c>
      <c r="G94" s="351"/>
      <c r="H94" s="615"/>
      <c r="I94" s="351"/>
      <c r="J94" s="621"/>
      <c r="K94" s="351"/>
      <c r="L94" s="615"/>
      <c r="M94" s="351"/>
      <c r="N94" s="610"/>
      <c r="O94" s="351"/>
      <c r="P94" s="615"/>
      <c r="Q94" s="351"/>
      <c r="R94" s="610"/>
      <c r="S94" s="351"/>
      <c r="T94" s="615"/>
      <c r="U94" s="351"/>
      <c r="V94" s="613" t="str">
        <f>'refer admin discharge'!H95</f>
        <v>00/00/0000</v>
      </c>
      <c r="W94" s="351"/>
      <c r="X94" s="616"/>
      <c r="Y94" s="351"/>
      <c r="Z94" s="617"/>
      <c r="AA94" s="351"/>
      <c r="AB94" s="616"/>
      <c r="AC94" s="351"/>
      <c r="AD94" s="607"/>
      <c r="AE94" s="351"/>
      <c r="AF94" s="616"/>
      <c r="AG94" s="351"/>
      <c r="AH94" s="607"/>
      <c r="AI94" s="351"/>
      <c r="AJ94" s="616"/>
      <c r="AK94" s="351"/>
      <c r="AL94" s="622"/>
      <c r="AM94" s="350"/>
      <c r="AN94" s="350"/>
      <c r="AO94" s="350"/>
      <c r="AP94" s="350"/>
      <c r="AQ94" s="350"/>
      <c r="AR94" s="350"/>
      <c r="AS94" s="350"/>
      <c r="AT94" s="350"/>
      <c r="AU94" s="350"/>
      <c r="AV94" s="350"/>
      <c r="AW94" s="350"/>
      <c r="AX94" s="350"/>
      <c r="AY94" s="350"/>
      <c r="AZ94" s="350"/>
      <c r="BA94" s="350"/>
      <c r="BB94" s="351"/>
    </row>
    <row r="95" spans="1:54" ht="15.75" customHeight="1">
      <c r="A95" s="25">
        <f t="shared" si="0"/>
        <v>82</v>
      </c>
      <c r="B95" s="599" t="str">
        <f>'refer admin discharge'!B92</f>
        <v>x</v>
      </c>
      <c r="C95" s="351"/>
      <c r="D95" s="600" t="str">
        <f>'refer admin discharge'!D92</f>
        <v>xx</v>
      </c>
      <c r="E95" s="351"/>
      <c r="F95" s="609" t="str">
        <f>'refer admin discharge'!H92</f>
        <v>00/00/0000</v>
      </c>
      <c r="G95" s="351"/>
      <c r="H95" s="610"/>
      <c r="I95" s="351"/>
      <c r="J95" s="611"/>
      <c r="K95" s="351"/>
      <c r="L95" s="610"/>
      <c r="M95" s="351"/>
      <c r="N95" s="612"/>
      <c r="O95" s="351"/>
      <c r="P95" s="610"/>
      <c r="Q95" s="351"/>
      <c r="R95" s="612"/>
      <c r="S95" s="351"/>
      <c r="T95" s="610"/>
      <c r="U95" s="351"/>
      <c r="V95" s="623" t="str">
        <f>'refer admin discharge'!H96</f>
        <v>00/00/0000</v>
      </c>
      <c r="W95" s="351"/>
      <c r="X95" s="607"/>
      <c r="Y95" s="351"/>
      <c r="Z95" s="614"/>
      <c r="AA95" s="351"/>
      <c r="AB95" s="607"/>
      <c r="AC95" s="351"/>
      <c r="AD95" s="606"/>
      <c r="AE95" s="351"/>
      <c r="AF95" s="607"/>
      <c r="AG95" s="351"/>
      <c r="AH95" s="606"/>
      <c r="AI95" s="351"/>
      <c r="AJ95" s="607"/>
      <c r="AK95" s="351"/>
      <c r="AL95" s="608"/>
      <c r="AM95" s="350"/>
      <c r="AN95" s="350"/>
      <c r="AO95" s="350"/>
      <c r="AP95" s="350"/>
      <c r="AQ95" s="350"/>
      <c r="AR95" s="350"/>
      <c r="AS95" s="350"/>
      <c r="AT95" s="350"/>
      <c r="AU95" s="350"/>
      <c r="AV95" s="350"/>
      <c r="AW95" s="350"/>
      <c r="AX95" s="350"/>
      <c r="AY95" s="350"/>
      <c r="AZ95" s="350"/>
      <c r="BA95" s="350"/>
      <c r="BB95" s="351"/>
    </row>
    <row r="96" spans="1:54" ht="15.75" customHeight="1">
      <c r="A96" s="25">
        <f t="shared" si="0"/>
        <v>83</v>
      </c>
      <c r="B96" s="618" t="str">
        <f>'refer admin discharge'!B93</f>
        <v>x</v>
      </c>
      <c r="C96" s="351"/>
      <c r="D96" s="619" t="str">
        <f>'refer admin discharge'!D93</f>
        <v>xx</v>
      </c>
      <c r="E96" s="351"/>
      <c r="F96" s="620" t="str">
        <f>'refer admin discharge'!H93</f>
        <v>00/00/0000</v>
      </c>
      <c r="G96" s="351"/>
      <c r="H96" s="615"/>
      <c r="I96" s="351"/>
      <c r="J96" s="621"/>
      <c r="K96" s="351"/>
      <c r="L96" s="615"/>
      <c r="M96" s="351"/>
      <c r="N96" s="610"/>
      <c r="O96" s="351"/>
      <c r="P96" s="615"/>
      <c r="Q96" s="351"/>
      <c r="R96" s="610"/>
      <c r="S96" s="351"/>
      <c r="T96" s="615"/>
      <c r="U96" s="351"/>
      <c r="V96" s="613" t="str">
        <f>'refer admin discharge'!H97</f>
        <v>00/00/0000</v>
      </c>
      <c r="W96" s="351"/>
      <c r="X96" s="616"/>
      <c r="Y96" s="351"/>
      <c r="Z96" s="617"/>
      <c r="AA96" s="351"/>
      <c r="AB96" s="616"/>
      <c r="AC96" s="351"/>
      <c r="AD96" s="607"/>
      <c r="AE96" s="351"/>
      <c r="AF96" s="616"/>
      <c r="AG96" s="351"/>
      <c r="AH96" s="607"/>
      <c r="AI96" s="351"/>
      <c r="AJ96" s="616"/>
      <c r="AK96" s="351"/>
      <c r="AL96" s="622"/>
      <c r="AM96" s="350"/>
      <c r="AN96" s="350"/>
      <c r="AO96" s="350"/>
      <c r="AP96" s="350"/>
      <c r="AQ96" s="350"/>
      <c r="AR96" s="350"/>
      <c r="AS96" s="350"/>
      <c r="AT96" s="350"/>
      <c r="AU96" s="350"/>
      <c r="AV96" s="350"/>
      <c r="AW96" s="350"/>
      <c r="AX96" s="350"/>
      <c r="AY96" s="350"/>
      <c r="AZ96" s="350"/>
      <c r="BA96" s="350"/>
      <c r="BB96" s="351"/>
    </row>
    <row r="97" spans="1:54" ht="15.75" customHeight="1">
      <c r="A97" s="25">
        <f t="shared" si="0"/>
        <v>84</v>
      </c>
      <c r="B97" s="599" t="str">
        <f>'refer admin discharge'!B94</f>
        <v>x</v>
      </c>
      <c r="C97" s="351"/>
      <c r="D97" s="600" t="str">
        <f>'refer admin discharge'!D94</f>
        <v>xx</v>
      </c>
      <c r="E97" s="351"/>
      <c r="F97" s="609" t="str">
        <f>'refer admin discharge'!H94</f>
        <v>00/00/0000</v>
      </c>
      <c r="G97" s="351"/>
      <c r="H97" s="610"/>
      <c r="I97" s="351"/>
      <c r="J97" s="611"/>
      <c r="K97" s="351"/>
      <c r="L97" s="610"/>
      <c r="M97" s="351"/>
      <c r="N97" s="612"/>
      <c r="O97" s="351"/>
      <c r="P97" s="610"/>
      <c r="Q97" s="351"/>
      <c r="R97" s="612"/>
      <c r="S97" s="351"/>
      <c r="T97" s="610"/>
      <c r="U97" s="351"/>
      <c r="V97" s="623" t="str">
        <f>'refer admin discharge'!H98</f>
        <v>00/00/0000</v>
      </c>
      <c r="W97" s="351"/>
      <c r="X97" s="607"/>
      <c r="Y97" s="351"/>
      <c r="Z97" s="614"/>
      <c r="AA97" s="351"/>
      <c r="AB97" s="607"/>
      <c r="AC97" s="351"/>
      <c r="AD97" s="606"/>
      <c r="AE97" s="351"/>
      <c r="AF97" s="607"/>
      <c r="AG97" s="351"/>
      <c r="AH97" s="606"/>
      <c r="AI97" s="351"/>
      <c r="AJ97" s="607"/>
      <c r="AK97" s="351"/>
      <c r="AL97" s="608"/>
      <c r="AM97" s="350"/>
      <c r="AN97" s="350"/>
      <c r="AO97" s="350"/>
      <c r="AP97" s="350"/>
      <c r="AQ97" s="350"/>
      <c r="AR97" s="350"/>
      <c r="AS97" s="350"/>
      <c r="AT97" s="350"/>
      <c r="AU97" s="350"/>
      <c r="AV97" s="350"/>
      <c r="AW97" s="350"/>
      <c r="AX97" s="350"/>
      <c r="AY97" s="350"/>
      <c r="AZ97" s="350"/>
      <c r="BA97" s="350"/>
      <c r="BB97" s="351"/>
    </row>
    <row r="98" spans="1:54" ht="15.75" customHeight="1">
      <c r="A98" s="25">
        <f t="shared" si="0"/>
        <v>85</v>
      </c>
      <c r="B98" s="618" t="str">
        <f>'refer admin discharge'!B95</f>
        <v>x</v>
      </c>
      <c r="C98" s="351"/>
      <c r="D98" s="619" t="str">
        <f>'refer admin discharge'!D95</f>
        <v>xx</v>
      </c>
      <c r="E98" s="351"/>
      <c r="F98" s="620" t="str">
        <f>'refer admin discharge'!H95</f>
        <v>00/00/0000</v>
      </c>
      <c r="G98" s="351"/>
      <c r="H98" s="615"/>
      <c r="I98" s="351"/>
      <c r="J98" s="621"/>
      <c r="K98" s="351"/>
      <c r="L98" s="615"/>
      <c r="M98" s="351"/>
      <c r="N98" s="610"/>
      <c r="O98" s="351"/>
      <c r="P98" s="615"/>
      <c r="Q98" s="351"/>
      <c r="R98" s="610"/>
      <c r="S98" s="351"/>
      <c r="T98" s="615"/>
      <c r="U98" s="351"/>
      <c r="V98" s="613" t="str">
        <f>'refer admin discharge'!H99</f>
        <v>00/00/0000</v>
      </c>
      <c r="W98" s="351"/>
      <c r="X98" s="616"/>
      <c r="Y98" s="351"/>
      <c r="Z98" s="617"/>
      <c r="AA98" s="351"/>
      <c r="AB98" s="616"/>
      <c r="AC98" s="351"/>
      <c r="AD98" s="607"/>
      <c r="AE98" s="351"/>
      <c r="AF98" s="616"/>
      <c r="AG98" s="351"/>
      <c r="AH98" s="607"/>
      <c r="AI98" s="351"/>
      <c r="AJ98" s="616"/>
      <c r="AK98" s="351"/>
      <c r="AL98" s="622"/>
      <c r="AM98" s="350"/>
      <c r="AN98" s="350"/>
      <c r="AO98" s="350"/>
      <c r="AP98" s="350"/>
      <c r="AQ98" s="350"/>
      <c r="AR98" s="350"/>
      <c r="AS98" s="350"/>
      <c r="AT98" s="350"/>
      <c r="AU98" s="350"/>
      <c r="AV98" s="350"/>
      <c r="AW98" s="350"/>
      <c r="AX98" s="350"/>
      <c r="AY98" s="350"/>
      <c r="AZ98" s="350"/>
      <c r="BA98" s="350"/>
      <c r="BB98" s="351"/>
    </row>
    <row r="99" spans="1:54" ht="15.75" customHeight="1">
      <c r="A99" s="25">
        <f t="shared" si="0"/>
        <v>86</v>
      </c>
      <c r="B99" s="599" t="str">
        <f>'refer admin discharge'!B96</f>
        <v>x</v>
      </c>
      <c r="C99" s="351"/>
      <c r="D99" s="600" t="str">
        <f>'refer admin discharge'!D96</f>
        <v>xx</v>
      </c>
      <c r="E99" s="351"/>
      <c r="F99" s="609" t="str">
        <f>'refer admin discharge'!H96</f>
        <v>00/00/0000</v>
      </c>
      <c r="G99" s="351"/>
      <c r="H99" s="610"/>
      <c r="I99" s="351"/>
      <c r="J99" s="611"/>
      <c r="K99" s="351"/>
      <c r="L99" s="610"/>
      <c r="M99" s="351"/>
      <c r="N99" s="612"/>
      <c r="O99" s="351"/>
      <c r="P99" s="610"/>
      <c r="Q99" s="351"/>
      <c r="R99" s="612"/>
      <c r="S99" s="351"/>
      <c r="T99" s="610"/>
      <c r="U99" s="351"/>
      <c r="V99" s="623" t="str">
        <f>'refer admin discharge'!H100</f>
        <v>00/00/0000</v>
      </c>
      <c r="W99" s="351"/>
      <c r="X99" s="607"/>
      <c r="Y99" s="351"/>
      <c r="Z99" s="614"/>
      <c r="AA99" s="351"/>
      <c r="AB99" s="607"/>
      <c r="AC99" s="351"/>
      <c r="AD99" s="606"/>
      <c r="AE99" s="351"/>
      <c r="AF99" s="607"/>
      <c r="AG99" s="351"/>
      <c r="AH99" s="606"/>
      <c r="AI99" s="351"/>
      <c r="AJ99" s="607"/>
      <c r="AK99" s="351"/>
      <c r="AL99" s="608"/>
      <c r="AM99" s="350"/>
      <c r="AN99" s="350"/>
      <c r="AO99" s="350"/>
      <c r="AP99" s="350"/>
      <c r="AQ99" s="350"/>
      <c r="AR99" s="350"/>
      <c r="AS99" s="350"/>
      <c r="AT99" s="350"/>
      <c r="AU99" s="350"/>
      <c r="AV99" s="350"/>
      <c r="AW99" s="350"/>
      <c r="AX99" s="350"/>
      <c r="AY99" s="350"/>
      <c r="AZ99" s="350"/>
      <c r="BA99" s="350"/>
      <c r="BB99" s="351"/>
    </row>
    <row r="100" spans="1:54" ht="15.75" customHeight="1">
      <c r="A100" s="25">
        <f t="shared" si="0"/>
        <v>87</v>
      </c>
      <c r="B100" s="618" t="str">
        <f>'refer admin discharge'!B97</f>
        <v>x</v>
      </c>
      <c r="C100" s="351"/>
      <c r="D100" s="619" t="str">
        <f>'refer admin discharge'!D97</f>
        <v>xx</v>
      </c>
      <c r="E100" s="351"/>
      <c r="F100" s="620" t="str">
        <f>'refer admin discharge'!H97</f>
        <v>00/00/0000</v>
      </c>
      <c r="G100" s="351"/>
      <c r="H100" s="615"/>
      <c r="I100" s="351"/>
      <c r="J100" s="621"/>
      <c r="K100" s="351"/>
      <c r="L100" s="615"/>
      <c r="M100" s="351"/>
      <c r="N100" s="610"/>
      <c r="O100" s="351"/>
      <c r="P100" s="615"/>
      <c r="Q100" s="351"/>
      <c r="R100" s="610"/>
      <c r="S100" s="351"/>
      <c r="T100" s="615"/>
      <c r="U100" s="351"/>
      <c r="V100" s="613" t="str">
        <f>'refer admin discharge'!H101</f>
        <v>00/00/0000</v>
      </c>
      <c r="W100" s="351"/>
      <c r="X100" s="616"/>
      <c r="Y100" s="351"/>
      <c r="Z100" s="617"/>
      <c r="AA100" s="351"/>
      <c r="AB100" s="616"/>
      <c r="AC100" s="351"/>
      <c r="AD100" s="607"/>
      <c r="AE100" s="351"/>
      <c r="AF100" s="616"/>
      <c r="AG100" s="351"/>
      <c r="AH100" s="607"/>
      <c r="AI100" s="351"/>
      <c r="AJ100" s="616"/>
      <c r="AK100" s="351"/>
      <c r="AL100" s="622"/>
      <c r="AM100" s="350"/>
      <c r="AN100" s="350"/>
      <c r="AO100" s="350"/>
      <c r="AP100" s="350"/>
      <c r="AQ100" s="350"/>
      <c r="AR100" s="350"/>
      <c r="AS100" s="350"/>
      <c r="AT100" s="350"/>
      <c r="AU100" s="350"/>
      <c r="AV100" s="350"/>
      <c r="AW100" s="350"/>
      <c r="AX100" s="350"/>
      <c r="AY100" s="350"/>
      <c r="AZ100" s="350"/>
      <c r="BA100" s="350"/>
      <c r="BB100" s="351"/>
    </row>
    <row r="101" spans="1:54" ht="15.75" customHeight="1">
      <c r="A101" s="25">
        <f t="shared" si="0"/>
        <v>88</v>
      </c>
      <c r="B101" s="599" t="str">
        <f>'refer admin discharge'!B98</f>
        <v>x</v>
      </c>
      <c r="C101" s="351"/>
      <c r="D101" s="600" t="str">
        <f>'refer admin discharge'!D98</f>
        <v>xx</v>
      </c>
      <c r="E101" s="351"/>
      <c r="F101" s="609" t="str">
        <f>'refer admin discharge'!H98</f>
        <v>00/00/0000</v>
      </c>
      <c r="G101" s="351"/>
      <c r="H101" s="610"/>
      <c r="I101" s="351"/>
      <c r="J101" s="611"/>
      <c r="K101" s="351"/>
      <c r="L101" s="610"/>
      <c r="M101" s="351"/>
      <c r="N101" s="612"/>
      <c r="O101" s="351"/>
      <c r="P101" s="610"/>
      <c r="Q101" s="351"/>
      <c r="R101" s="612"/>
      <c r="S101" s="351"/>
      <c r="T101" s="610"/>
      <c r="U101" s="351"/>
      <c r="V101" s="623" t="str">
        <f>'refer admin discharge'!H102</f>
        <v>00/00/0000</v>
      </c>
      <c r="W101" s="351"/>
      <c r="X101" s="607"/>
      <c r="Y101" s="351"/>
      <c r="Z101" s="614"/>
      <c r="AA101" s="351"/>
      <c r="AB101" s="607"/>
      <c r="AC101" s="351"/>
      <c r="AD101" s="606"/>
      <c r="AE101" s="351"/>
      <c r="AF101" s="607"/>
      <c r="AG101" s="351"/>
      <c r="AH101" s="606"/>
      <c r="AI101" s="351"/>
      <c r="AJ101" s="607"/>
      <c r="AK101" s="351"/>
      <c r="AL101" s="608"/>
      <c r="AM101" s="350"/>
      <c r="AN101" s="350"/>
      <c r="AO101" s="350"/>
      <c r="AP101" s="350"/>
      <c r="AQ101" s="350"/>
      <c r="AR101" s="350"/>
      <c r="AS101" s="350"/>
      <c r="AT101" s="350"/>
      <c r="AU101" s="350"/>
      <c r="AV101" s="350"/>
      <c r="AW101" s="350"/>
      <c r="AX101" s="350"/>
      <c r="AY101" s="350"/>
      <c r="AZ101" s="350"/>
      <c r="BA101" s="350"/>
      <c r="BB101" s="351"/>
    </row>
    <row r="102" spans="1:54" ht="15.75" customHeight="1">
      <c r="A102" s="25">
        <f t="shared" si="0"/>
        <v>89</v>
      </c>
      <c r="B102" s="618" t="str">
        <f>'refer admin discharge'!B99</f>
        <v>x</v>
      </c>
      <c r="C102" s="351"/>
      <c r="D102" s="619" t="str">
        <f>'refer admin discharge'!D99</f>
        <v>xx</v>
      </c>
      <c r="E102" s="351"/>
      <c r="F102" s="620" t="str">
        <f>'refer admin discharge'!H99</f>
        <v>00/00/0000</v>
      </c>
      <c r="G102" s="351"/>
      <c r="H102" s="615"/>
      <c r="I102" s="351"/>
      <c r="J102" s="621"/>
      <c r="K102" s="351"/>
      <c r="L102" s="615"/>
      <c r="M102" s="351"/>
      <c r="N102" s="610"/>
      <c r="O102" s="351"/>
      <c r="P102" s="615"/>
      <c r="Q102" s="351"/>
      <c r="R102" s="610"/>
      <c r="S102" s="351"/>
      <c r="T102" s="615"/>
      <c r="U102" s="351"/>
      <c r="V102" s="613" t="str">
        <f>'refer admin discharge'!H103</f>
        <v>00/00/0000</v>
      </c>
      <c r="W102" s="351"/>
      <c r="X102" s="616"/>
      <c r="Y102" s="351"/>
      <c r="Z102" s="617"/>
      <c r="AA102" s="351"/>
      <c r="AB102" s="616"/>
      <c r="AC102" s="351"/>
      <c r="AD102" s="607"/>
      <c r="AE102" s="351"/>
      <c r="AF102" s="616"/>
      <c r="AG102" s="351"/>
      <c r="AH102" s="607"/>
      <c r="AI102" s="351"/>
      <c r="AJ102" s="616"/>
      <c r="AK102" s="351"/>
      <c r="AL102" s="622"/>
      <c r="AM102" s="350"/>
      <c r="AN102" s="350"/>
      <c r="AO102" s="350"/>
      <c r="AP102" s="350"/>
      <c r="AQ102" s="350"/>
      <c r="AR102" s="350"/>
      <c r="AS102" s="350"/>
      <c r="AT102" s="350"/>
      <c r="AU102" s="350"/>
      <c r="AV102" s="350"/>
      <c r="AW102" s="350"/>
      <c r="AX102" s="350"/>
      <c r="AY102" s="350"/>
      <c r="AZ102" s="350"/>
      <c r="BA102" s="350"/>
      <c r="BB102" s="351"/>
    </row>
    <row r="103" spans="1:54" ht="15.75" customHeight="1">
      <c r="A103" s="25">
        <f t="shared" si="0"/>
        <v>90</v>
      </c>
      <c r="B103" s="599" t="str">
        <f>'refer admin discharge'!B100</f>
        <v>x</v>
      </c>
      <c r="C103" s="351"/>
      <c r="D103" s="600" t="str">
        <f>'refer admin discharge'!D100</f>
        <v>xx</v>
      </c>
      <c r="E103" s="351"/>
      <c r="F103" s="609" t="str">
        <f>'refer admin discharge'!H100</f>
        <v>00/00/0000</v>
      </c>
      <c r="G103" s="351"/>
      <c r="H103" s="610"/>
      <c r="I103" s="351"/>
      <c r="J103" s="611"/>
      <c r="K103" s="351"/>
      <c r="L103" s="610"/>
      <c r="M103" s="351"/>
      <c r="N103" s="612"/>
      <c r="O103" s="351"/>
      <c r="P103" s="610"/>
      <c r="Q103" s="351"/>
      <c r="R103" s="612"/>
      <c r="S103" s="351"/>
      <c r="T103" s="610"/>
      <c r="U103" s="351"/>
      <c r="V103" s="623" t="str">
        <f>'refer admin discharge'!H104</f>
        <v>00/00/0000</v>
      </c>
      <c r="W103" s="351"/>
      <c r="X103" s="607"/>
      <c r="Y103" s="351"/>
      <c r="Z103" s="614"/>
      <c r="AA103" s="351"/>
      <c r="AB103" s="607"/>
      <c r="AC103" s="351"/>
      <c r="AD103" s="606"/>
      <c r="AE103" s="351"/>
      <c r="AF103" s="607"/>
      <c r="AG103" s="351"/>
      <c r="AH103" s="606"/>
      <c r="AI103" s="351"/>
      <c r="AJ103" s="607"/>
      <c r="AK103" s="351"/>
      <c r="AL103" s="608"/>
      <c r="AM103" s="350"/>
      <c r="AN103" s="350"/>
      <c r="AO103" s="350"/>
      <c r="AP103" s="350"/>
      <c r="AQ103" s="350"/>
      <c r="AR103" s="350"/>
      <c r="AS103" s="350"/>
      <c r="AT103" s="350"/>
      <c r="AU103" s="350"/>
      <c r="AV103" s="350"/>
      <c r="AW103" s="350"/>
      <c r="AX103" s="350"/>
      <c r="AY103" s="350"/>
      <c r="AZ103" s="350"/>
      <c r="BA103" s="350"/>
      <c r="BB103" s="351"/>
    </row>
    <row r="104" spans="1:54" ht="15.75" customHeight="1">
      <c r="A104" s="25">
        <f t="shared" si="0"/>
        <v>91</v>
      </c>
      <c r="B104" s="618" t="str">
        <f>'refer admin discharge'!B101</f>
        <v>x</v>
      </c>
      <c r="C104" s="351"/>
      <c r="D104" s="619" t="str">
        <f>'refer admin discharge'!D101</f>
        <v>xx</v>
      </c>
      <c r="E104" s="351"/>
      <c r="F104" s="620" t="str">
        <f>'refer admin discharge'!H101</f>
        <v>00/00/0000</v>
      </c>
      <c r="G104" s="351"/>
      <c r="H104" s="615"/>
      <c r="I104" s="351"/>
      <c r="J104" s="621"/>
      <c r="K104" s="351"/>
      <c r="L104" s="615"/>
      <c r="M104" s="351"/>
      <c r="N104" s="610"/>
      <c r="O104" s="351"/>
      <c r="P104" s="615"/>
      <c r="Q104" s="351"/>
      <c r="R104" s="610"/>
      <c r="S104" s="351"/>
      <c r="T104" s="615"/>
      <c r="U104" s="351"/>
      <c r="V104" s="613" t="str">
        <f>'refer admin discharge'!H105</f>
        <v>00/00/0000</v>
      </c>
      <c r="W104" s="351"/>
      <c r="X104" s="616"/>
      <c r="Y104" s="351"/>
      <c r="Z104" s="617"/>
      <c r="AA104" s="351"/>
      <c r="AB104" s="616"/>
      <c r="AC104" s="351"/>
      <c r="AD104" s="607"/>
      <c r="AE104" s="351"/>
      <c r="AF104" s="616"/>
      <c r="AG104" s="351"/>
      <c r="AH104" s="607"/>
      <c r="AI104" s="351"/>
      <c r="AJ104" s="616"/>
      <c r="AK104" s="351"/>
      <c r="AL104" s="622"/>
      <c r="AM104" s="350"/>
      <c r="AN104" s="350"/>
      <c r="AO104" s="350"/>
      <c r="AP104" s="350"/>
      <c r="AQ104" s="350"/>
      <c r="AR104" s="350"/>
      <c r="AS104" s="350"/>
      <c r="AT104" s="350"/>
      <c r="AU104" s="350"/>
      <c r="AV104" s="350"/>
      <c r="AW104" s="350"/>
      <c r="AX104" s="350"/>
      <c r="AY104" s="350"/>
      <c r="AZ104" s="350"/>
      <c r="BA104" s="350"/>
      <c r="BB104" s="351"/>
    </row>
    <row r="105" spans="1:54" ht="15.75" customHeight="1">
      <c r="A105" s="25">
        <f t="shared" si="0"/>
        <v>92</v>
      </c>
      <c r="B105" s="599" t="str">
        <f>'refer admin discharge'!B102</f>
        <v>x</v>
      </c>
      <c r="C105" s="351"/>
      <c r="D105" s="600" t="str">
        <f>'refer admin discharge'!D102</f>
        <v>xx</v>
      </c>
      <c r="E105" s="351"/>
      <c r="F105" s="609" t="str">
        <f>'refer admin discharge'!H102</f>
        <v>00/00/0000</v>
      </c>
      <c r="G105" s="351"/>
      <c r="H105" s="610"/>
      <c r="I105" s="351"/>
      <c r="J105" s="611"/>
      <c r="K105" s="351"/>
      <c r="L105" s="610"/>
      <c r="M105" s="351"/>
      <c r="N105" s="612"/>
      <c r="O105" s="351"/>
      <c r="P105" s="610"/>
      <c r="Q105" s="351"/>
      <c r="R105" s="612"/>
      <c r="S105" s="351"/>
      <c r="T105" s="610"/>
      <c r="U105" s="351"/>
      <c r="V105" s="623" t="str">
        <f>'refer admin discharge'!H106</f>
        <v>00/00/0000</v>
      </c>
      <c r="W105" s="351"/>
      <c r="X105" s="607"/>
      <c r="Y105" s="351"/>
      <c r="Z105" s="614"/>
      <c r="AA105" s="351"/>
      <c r="AB105" s="607"/>
      <c r="AC105" s="351"/>
      <c r="AD105" s="606"/>
      <c r="AE105" s="351"/>
      <c r="AF105" s="607"/>
      <c r="AG105" s="351"/>
      <c r="AH105" s="606"/>
      <c r="AI105" s="351"/>
      <c r="AJ105" s="607"/>
      <c r="AK105" s="351"/>
      <c r="AL105" s="608"/>
      <c r="AM105" s="350"/>
      <c r="AN105" s="350"/>
      <c r="AO105" s="350"/>
      <c r="AP105" s="350"/>
      <c r="AQ105" s="350"/>
      <c r="AR105" s="350"/>
      <c r="AS105" s="350"/>
      <c r="AT105" s="350"/>
      <c r="AU105" s="350"/>
      <c r="AV105" s="350"/>
      <c r="AW105" s="350"/>
      <c r="AX105" s="350"/>
      <c r="AY105" s="350"/>
      <c r="AZ105" s="350"/>
      <c r="BA105" s="350"/>
      <c r="BB105" s="351"/>
    </row>
    <row r="106" spans="1:54" ht="15.75" customHeight="1">
      <c r="A106" s="25">
        <f t="shared" si="0"/>
        <v>93</v>
      </c>
      <c r="B106" s="618" t="str">
        <f>'refer admin discharge'!B103</f>
        <v>x</v>
      </c>
      <c r="C106" s="351"/>
      <c r="D106" s="619" t="str">
        <f>'refer admin discharge'!D103</f>
        <v>xx</v>
      </c>
      <c r="E106" s="351"/>
      <c r="F106" s="620" t="str">
        <f>'refer admin discharge'!H103</f>
        <v>00/00/0000</v>
      </c>
      <c r="G106" s="351"/>
      <c r="H106" s="615"/>
      <c r="I106" s="351"/>
      <c r="J106" s="621"/>
      <c r="K106" s="351"/>
      <c r="L106" s="615"/>
      <c r="M106" s="351"/>
      <c r="N106" s="610"/>
      <c r="O106" s="351"/>
      <c r="P106" s="615"/>
      <c r="Q106" s="351"/>
      <c r="R106" s="610"/>
      <c r="S106" s="351"/>
      <c r="T106" s="615"/>
      <c r="U106" s="351"/>
      <c r="V106" s="613" t="str">
        <f>'refer admin discharge'!H107</f>
        <v>00/00/0000</v>
      </c>
      <c r="W106" s="351"/>
      <c r="X106" s="616"/>
      <c r="Y106" s="351"/>
      <c r="Z106" s="617"/>
      <c r="AA106" s="351"/>
      <c r="AB106" s="616"/>
      <c r="AC106" s="351"/>
      <c r="AD106" s="607"/>
      <c r="AE106" s="351"/>
      <c r="AF106" s="616"/>
      <c r="AG106" s="351"/>
      <c r="AH106" s="607"/>
      <c r="AI106" s="351"/>
      <c r="AJ106" s="616"/>
      <c r="AK106" s="351"/>
      <c r="AL106" s="622"/>
      <c r="AM106" s="350"/>
      <c r="AN106" s="350"/>
      <c r="AO106" s="350"/>
      <c r="AP106" s="350"/>
      <c r="AQ106" s="350"/>
      <c r="AR106" s="350"/>
      <c r="AS106" s="350"/>
      <c r="AT106" s="350"/>
      <c r="AU106" s="350"/>
      <c r="AV106" s="350"/>
      <c r="AW106" s="350"/>
      <c r="AX106" s="350"/>
      <c r="AY106" s="350"/>
      <c r="AZ106" s="350"/>
      <c r="BA106" s="350"/>
      <c r="BB106" s="351"/>
    </row>
    <row r="107" spans="1:54" ht="15.75" customHeight="1">
      <c r="A107" s="25">
        <f t="shared" si="0"/>
        <v>94</v>
      </c>
      <c r="B107" s="599" t="str">
        <f>'refer admin discharge'!B104</f>
        <v>x</v>
      </c>
      <c r="C107" s="351"/>
      <c r="D107" s="600" t="str">
        <f>'refer admin discharge'!D104</f>
        <v>xx</v>
      </c>
      <c r="E107" s="351"/>
      <c r="F107" s="609" t="str">
        <f>'refer admin discharge'!H104</f>
        <v>00/00/0000</v>
      </c>
      <c r="G107" s="351"/>
      <c r="H107" s="610"/>
      <c r="I107" s="351"/>
      <c r="J107" s="611"/>
      <c r="K107" s="351"/>
      <c r="L107" s="610"/>
      <c r="M107" s="351"/>
      <c r="N107" s="612"/>
      <c r="O107" s="351"/>
      <c r="P107" s="610"/>
      <c r="Q107" s="351"/>
      <c r="R107" s="612"/>
      <c r="S107" s="351"/>
      <c r="T107" s="610"/>
      <c r="U107" s="351"/>
      <c r="V107" s="623" t="str">
        <f>'refer admin discharge'!H108</f>
        <v>00/00/0000</v>
      </c>
      <c r="W107" s="351"/>
      <c r="X107" s="607"/>
      <c r="Y107" s="351"/>
      <c r="Z107" s="614"/>
      <c r="AA107" s="351"/>
      <c r="AB107" s="607"/>
      <c r="AC107" s="351"/>
      <c r="AD107" s="606"/>
      <c r="AE107" s="351"/>
      <c r="AF107" s="607"/>
      <c r="AG107" s="351"/>
      <c r="AH107" s="606"/>
      <c r="AI107" s="351"/>
      <c r="AJ107" s="607"/>
      <c r="AK107" s="351"/>
      <c r="AL107" s="608"/>
      <c r="AM107" s="350"/>
      <c r="AN107" s="350"/>
      <c r="AO107" s="350"/>
      <c r="AP107" s="350"/>
      <c r="AQ107" s="350"/>
      <c r="AR107" s="350"/>
      <c r="AS107" s="350"/>
      <c r="AT107" s="350"/>
      <c r="AU107" s="350"/>
      <c r="AV107" s="350"/>
      <c r="AW107" s="350"/>
      <c r="AX107" s="350"/>
      <c r="AY107" s="350"/>
      <c r="AZ107" s="350"/>
      <c r="BA107" s="350"/>
      <c r="BB107" s="351"/>
    </row>
    <row r="108" spans="1:54" ht="15.75" customHeight="1">
      <c r="A108" s="25">
        <f t="shared" si="0"/>
        <v>95</v>
      </c>
      <c r="B108" s="618" t="str">
        <f>'refer admin discharge'!B105</f>
        <v>x</v>
      </c>
      <c r="C108" s="351"/>
      <c r="D108" s="619" t="str">
        <f>'refer admin discharge'!D105</f>
        <v>xx</v>
      </c>
      <c r="E108" s="351"/>
      <c r="F108" s="620" t="str">
        <f>'refer admin discharge'!H105</f>
        <v>00/00/0000</v>
      </c>
      <c r="G108" s="351"/>
      <c r="H108" s="615"/>
      <c r="I108" s="351"/>
      <c r="J108" s="621"/>
      <c r="K108" s="351"/>
      <c r="L108" s="615"/>
      <c r="M108" s="351"/>
      <c r="N108" s="610"/>
      <c r="O108" s="351"/>
      <c r="P108" s="615"/>
      <c r="Q108" s="351"/>
      <c r="R108" s="610"/>
      <c r="S108" s="351"/>
      <c r="T108" s="615"/>
      <c r="U108" s="351"/>
      <c r="V108" s="613" t="str">
        <f>'refer admin discharge'!H109</f>
        <v>00/00/0000</v>
      </c>
      <c r="W108" s="351"/>
      <c r="X108" s="616"/>
      <c r="Y108" s="351"/>
      <c r="Z108" s="617"/>
      <c r="AA108" s="351"/>
      <c r="AB108" s="616"/>
      <c r="AC108" s="351"/>
      <c r="AD108" s="607"/>
      <c r="AE108" s="351"/>
      <c r="AF108" s="616"/>
      <c r="AG108" s="351"/>
      <c r="AH108" s="607"/>
      <c r="AI108" s="351"/>
      <c r="AJ108" s="616"/>
      <c r="AK108" s="351"/>
      <c r="AL108" s="622"/>
      <c r="AM108" s="350"/>
      <c r="AN108" s="350"/>
      <c r="AO108" s="350"/>
      <c r="AP108" s="350"/>
      <c r="AQ108" s="350"/>
      <c r="AR108" s="350"/>
      <c r="AS108" s="350"/>
      <c r="AT108" s="350"/>
      <c r="AU108" s="350"/>
      <c r="AV108" s="350"/>
      <c r="AW108" s="350"/>
      <c r="AX108" s="350"/>
      <c r="AY108" s="350"/>
      <c r="AZ108" s="350"/>
      <c r="BA108" s="350"/>
      <c r="BB108" s="351"/>
    </row>
    <row r="109" spans="1:54" ht="15.75" customHeight="1">
      <c r="A109" s="25">
        <f t="shared" si="0"/>
        <v>96</v>
      </c>
      <c r="B109" s="599" t="str">
        <f>'refer admin discharge'!B106</f>
        <v>x</v>
      </c>
      <c r="C109" s="351"/>
      <c r="D109" s="600" t="str">
        <f>'refer admin discharge'!D106</f>
        <v>xx</v>
      </c>
      <c r="E109" s="351"/>
      <c r="F109" s="609" t="str">
        <f>'refer admin discharge'!H106</f>
        <v>00/00/0000</v>
      </c>
      <c r="G109" s="351"/>
      <c r="H109" s="610"/>
      <c r="I109" s="351"/>
      <c r="J109" s="611"/>
      <c r="K109" s="351"/>
      <c r="L109" s="610"/>
      <c r="M109" s="351"/>
      <c r="N109" s="612"/>
      <c r="O109" s="351"/>
      <c r="P109" s="610"/>
      <c r="Q109" s="351"/>
      <c r="R109" s="612"/>
      <c r="S109" s="351"/>
      <c r="T109" s="610"/>
      <c r="U109" s="351"/>
      <c r="V109" s="623" t="str">
        <f>'refer admin discharge'!H110</f>
        <v>00/00/0000</v>
      </c>
      <c r="W109" s="351"/>
      <c r="X109" s="607"/>
      <c r="Y109" s="351"/>
      <c r="Z109" s="614"/>
      <c r="AA109" s="351"/>
      <c r="AB109" s="607"/>
      <c r="AC109" s="351"/>
      <c r="AD109" s="606"/>
      <c r="AE109" s="351"/>
      <c r="AF109" s="607"/>
      <c r="AG109" s="351"/>
      <c r="AH109" s="606"/>
      <c r="AI109" s="351"/>
      <c r="AJ109" s="607"/>
      <c r="AK109" s="351"/>
      <c r="AL109" s="608"/>
      <c r="AM109" s="350"/>
      <c r="AN109" s="350"/>
      <c r="AO109" s="350"/>
      <c r="AP109" s="350"/>
      <c r="AQ109" s="350"/>
      <c r="AR109" s="350"/>
      <c r="AS109" s="350"/>
      <c r="AT109" s="350"/>
      <c r="AU109" s="350"/>
      <c r="AV109" s="350"/>
      <c r="AW109" s="350"/>
      <c r="AX109" s="350"/>
      <c r="AY109" s="350"/>
      <c r="AZ109" s="350"/>
      <c r="BA109" s="350"/>
      <c r="BB109" s="351"/>
    </row>
    <row r="110" spans="1:54" ht="15.75" customHeight="1">
      <c r="A110" s="25">
        <f t="shared" si="0"/>
        <v>97</v>
      </c>
      <c r="B110" s="618" t="str">
        <f>'refer admin discharge'!B107</f>
        <v>x</v>
      </c>
      <c r="C110" s="351"/>
      <c r="D110" s="619" t="str">
        <f>'refer admin discharge'!D107</f>
        <v>xx</v>
      </c>
      <c r="E110" s="351"/>
      <c r="F110" s="620" t="str">
        <f>'refer admin discharge'!H107</f>
        <v>00/00/0000</v>
      </c>
      <c r="G110" s="351"/>
      <c r="H110" s="615"/>
      <c r="I110" s="351"/>
      <c r="J110" s="621"/>
      <c r="K110" s="351"/>
      <c r="L110" s="615"/>
      <c r="M110" s="351"/>
      <c r="N110" s="610"/>
      <c r="O110" s="351"/>
      <c r="P110" s="615"/>
      <c r="Q110" s="351"/>
      <c r="R110" s="610"/>
      <c r="S110" s="351"/>
      <c r="T110" s="615"/>
      <c r="U110" s="351"/>
      <c r="V110" s="613" t="str">
        <f>'refer admin discharge'!H111</f>
        <v>00/00/0000</v>
      </c>
      <c r="W110" s="351"/>
      <c r="X110" s="616"/>
      <c r="Y110" s="351"/>
      <c r="Z110" s="617"/>
      <c r="AA110" s="351"/>
      <c r="AB110" s="616"/>
      <c r="AC110" s="351"/>
      <c r="AD110" s="607"/>
      <c r="AE110" s="351"/>
      <c r="AF110" s="616"/>
      <c r="AG110" s="351"/>
      <c r="AH110" s="607"/>
      <c r="AI110" s="351"/>
      <c r="AJ110" s="616"/>
      <c r="AK110" s="351"/>
      <c r="AL110" s="622"/>
      <c r="AM110" s="350"/>
      <c r="AN110" s="350"/>
      <c r="AO110" s="350"/>
      <c r="AP110" s="350"/>
      <c r="AQ110" s="350"/>
      <c r="AR110" s="350"/>
      <c r="AS110" s="350"/>
      <c r="AT110" s="350"/>
      <c r="AU110" s="350"/>
      <c r="AV110" s="350"/>
      <c r="AW110" s="350"/>
      <c r="AX110" s="350"/>
      <c r="AY110" s="350"/>
      <c r="AZ110" s="350"/>
      <c r="BA110" s="350"/>
      <c r="BB110" s="351"/>
    </row>
    <row r="111" spans="1:54" ht="15.75" customHeight="1">
      <c r="A111" s="25">
        <f t="shared" si="0"/>
        <v>98</v>
      </c>
      <c r="B111" s="599" t="str">
        <f>'refer admin discharge'!B108</f>
        <v>x</v>
      </c>
      <c r="C111" s="351"/>
      <c r="D111" s="600" t="str">
        <f>'refer admin discharge'!D108</f>
        <v>xx</v>
      </c>
      <c r="E111" s="351"/>
      <c r="F111" s="609" t="str">
        <f>'refer admin discharge'!H108</f>
        <v>00/00/0000</v>
      </c>
      <c r="G111" s="351"/>
      <c r="H111" s="610"/>
      <c r="I111" s="351"/>
      <c r="J111" s="611"/>
      <c r="K111" s="351"/>
      <c r="L111" s="610"/>
      <c r="M111" s="351"/>
      <c r="N111" s="612"/>
      <c r="O111" s="351"/>
      <c r="P111" s="610"/>
      <c r="Q111" s="351"/>
      <c r="R111" s="612"/>
      <c r="S111" s="351"/>
      <c r="T111" s="610"/>
      <c r="U111" s="351"/>
      <c r="V111" s="623" t="str">
        <f>'refer admin discharge'!H112</f>
        <v>00/00/0000</v>
      </c>
      <c r="W111" s="351"/>
      <c r="X111" s="607"/>
      <c r="Y111" s="351"/>
      <c r="Z111" s="614"/>
      <c r="AA111" s="351"/>
      <c r="AB111" s="607"/>
      <c r="AC111" s="351"/>
      <c r="AD111" s="606"/>
      <c r="AE111" s="351"/>
      <c r="AF111" s="607"/>
      <c r="AG111" s="351"/>
      <c r="AH111" s="606"/>
      <c r="AI111" s="351"/>
      <c r="AJ111" s="607"/>
      <c r="AK111" s="351"/>
      <c r="AL111" s="608"/>
      <c r="AM111" s="350"/>
      <c r="AN111" s="350"/>
      <c r="AO111" s="350"/>
      <c r="AP111" s="350"/>
      <c r="AQ111" s="350"/>
      <c r="AR111" s="350"/>
      <c r="AS111" s="350"/>
      <c r="AT111" s="350"/>
      <c r="AU111" s="350"/>
      <c r="AV111" s="350"/>
      <c r="AW111" s="350"/>
      <c r="AX111" s="350"/>
      <c r="AY111" s="350"/>
      <c r="AZ111" s="350"/>
      <c r="BA111" s="350"/>
      <c r="BB111" s="351"/>
    </row>
    <row r="112" spans="1:54" ht="15.75" customHeight="1">
      <c r="A112" s="25">
        <f t="shared" si="0"/>
        <v>99</v>
      </c>
      <c r="B112" s="618" t="str">
        <f>'refer admin discharge'!B109</f>
        <v>x</v>
      </c>
      <c r="C112" s="351"/>
      <c r="D112" s="619" t="str">
        <f>'refer admin discharge'!D109</f>
        <v>xx</v>
      </c>
      <c r="E112" s="351"/>
      <c r="F112" s="620" t="str">
        <f>'refer admin discharge'!H109</f>
        <v>00/00/0000</v>
      </c>
      <c r="G112" s="351"/>
      <c r="H112" s="615"/>
      <c r="I112" s="351"/>
      <c r="J112" s="621"/>
      <c r="K112" s="351"/>
      <c r="L112" s="615"/>
      <c r="M112" s="351"/>
      <c r="N112" s="610"/>
      <c r="O112" s="351"/>
      <c r="P112" s="615"/>
      <c r="Q112" s="351"/>
      <c r="R112" s="610"/>
      <c r="S112" s="351"/>
      <c r="T112" s="615"/>
      <c r="U112" s="351"/>
      <c r="V112" s="613" t="str">
        <f>'refer admin discharge'!H113</f>
        <v>00/00/0000</v>
      </c>
      <c r="W112" s="351"/>
      <c r="X112" s="616"/>
      <c r="Y112" s="351"/>
      <c r="Z112" s="617"/>
      <c r="AA112" s="351"/>
      <c r="AB112" s="616"/>
      <c r="AC112" s="351"/>
      <c r="AD112" s="607"/>
      <c r="AE112" s="351"/>
      <c r="AF112" s="616"/>
      <c r="AG112" s="351"/>
      <c r="AH112" s="607"/>
      <c r="AI112" s="351"/>
      <c r="AJ112" s="616"/>
      <c r="AK112" s="351"/>
      <c r="AL112" s="622"/>
      <c r="AM112" s="350"/>
      <c r="AN112" s="350"/>
      <c r="AO112" s="350"/>
      <c r="AP112" s="350"/>
      <c r="AQ112" s="350"/>
      <c r="AR112" s="350"/>
      <c r="AS112" s="350"/>
      <c r="AT112" s="350"/>
      <c r="AU112" s="350"/>
      <c r="AV112" s="350"/>
      <c r="AW112" s="350"/>
      <c r="AX112" s="350"/>
      <c r="AY112" s="350"/>
      <c r="AZ112" s="350"/>
      <c r="BA112" s="350"/>
      <c r="BB112" s="351"/>
    </row>
    <row r="113" spans="1:54" ht="15.75" customHeight="1">
      <c r="A113" s="25">
        <f t="shared" si="0"/>
        <v>100</v>
      </c>
      <c r="B113" s="599" t="str">
        <f>'refer admin discharge'!B110</f>
        <v>x</v>
      </c>
      <c r="C113" s="351"/>
      <c r="D113" s="600" t="str">
        <f>'refer admin discharge'!D110</f>
        <v>xx</v>
      </c>
      <c r="E113" s="351"/>
      <c r="F113" s="609" t="str">
        <f>'refer admin discharge'!H110</f>
        <v>00/00/0000</v>
      </c>
      <c r="G113" s="351"/>
      <c r="H113" s="610"/>
      <c r="I113" s="351"/>
      <c r="J113" s="611"/>
      <c r="K113" s="351"/>
      <c r="L113" s="610"/>
      <c r="M113" s="351"/>
      <c r="N113" s="612"/>
      <c r="O113" s="351"/>
      <c r="P113" s="610"/>
      <c r="Q113" s="351"/>
      <c r="R113" s="612"/>
      <c r="S113" s="351"/>
      <c r="T113" s="610"/>
      <c r="U113" s="351"/>
      <c r="V113" s="623" t="str">
        <f>'refer admin discharge'!H114</f>
        <v>00/00/0000</v>
      </c>
      <c r="W113" s="351"/>
      <c r="X113" s="607"/>
      <c r="Y113" s="351"/>
      <c r="Z113" s="614"/>
      <c r="AA113" s="351"/>
      <c r="AB113" s="607"/>
      <c r="AC113" s="351"/>
      <c r="AD113" s="606"/>
      <c r="AE113" s="351"/>
      <c r="AF113" s="607"/>
      <c r="AG113" s="351"/>
      <c r="AH113" s="606"/>
      <c r="AI113" s="351"/>
      <c r="AJ113" s="607"/>
      <c r="AK113" s="351"/>
      <c r="AL113" s="608"/>
      <c r="AM113" s="350"/>
      <c r="AN113" s="350"/>
      <c r="AO113" s="350"/>
      <c r="AP113" s="350"/>
      <c r="AQ113" s="350"/>
      <c r="AR113" s="350"/>
      <c r="AS113" s="350"/>
      <c r="AT113" s="350"/>
      <c r="AU113" s="350"/>
      <c r="AV113" s="350"/>
      <c r="AW113" s="350"/>
      <c r="AX113" s="350"/>
      <c r="AY113" s="350"/>
      <c r="AZ113" s="350"/>
      <c r="BA113" s="350"/>
      <c r="BB113" s="351"/>
    </row>
    <row r="114" spans="1:54" ht="15.75" customHeight="1">
      <c r="A114" s="25">
        <f t="shared" si="0"/>
        <v>101</v>
      </c>
      <c r="B114" s="618" t="str">
        <f>'refer admin discharge'!B111</f>
        <v>x</v>
      </c>
      <c r="C114" s="351"/>
      <c r="D114" s="619" t="str">
        <f>'refer admin discharge'!D111</f>
        <v>xx</v>
      </c>
      <c r="E114" s="351"/>
      <c r="F114" s="620" t="str">
        <f>'refer admin discharge'!H111</f>
        <v>00/00/0000</v>
      </c>
      <c r="G114" s="351"/>
      <c r="H114" s="615"/>
      <c r="I114" s="351"/>
      <c r="J114" s="621"/>
      <c r="K114" s="351"/>
      <c r="L114" s="615"/>
      <c r="M114" s="351"/>
      <c r="N114" s="610"/>
      <c r="O114" s="351"/>
      <c r="P114" s="615"/>
      <c r="Q114" s="351"/>
      <c r="R114" s="610"/>
      <c r="S114" s="351"/>
      <c r="T114" s="615"/>
      <c r="U114" s="351"/>
      <c r="V114" s="613" t="str">
        <f>'refer admin discharge'!H115</f>
        <v>00/00/0000</v>
      </c>
      <c r="W114" s="351"/>
      <c r="X114" s="616"/>
      <c r="Y114" s="351"/>
      <c r="Z114" s="617"/>
      <c r="AA114" s="351"/>
      <c r="AB114" s="616"/>
      <c r="AC114" s="351"/>
      <c r="AD114" s="607"/>
      <c r="AE114" s="351"/>
      <c r="AF114" s="616"/>
      <c r="AG114" s="351"/>
      <c r="AH114" s="607"/>
      <c r="AI114" s="351"/>
      <c r="AJ114" s="616"/>
      <c r="AK114" s="351"/>
      <c r="AL114" s="622"/>
      <c r="AM114" s="350"/>
      <c r="AN114" s="350"/>
      <c r="AO114" s="350"/>
      <c r="AP114" s="350"/>
      <c r="AQ114" s="350"/>
      <c r="AR114" s="350"/>
      <c r="AS114" s="350"/>
      <c r="AT114" s="350"/>
      <c r="AU114" s="350"/>
      <c r="AV114" s="350"/>
      <c r="AW114" s="350"/>
      <c r="AX114" s="350"/>
      <c r="AY114" s="350"/>
      <c r="AZ114" s="350"/>
      <c r="BA114" s="350"/>
      <c r="BB114" s="351"/>
    </row>
    <row r="115" spans="1:54" ht="15.75" customHeight="1">
      <c r="A115" s="25">
        <f t="shared" si="0"/>
        <v>102</v>
      </c>
      <c r="B115" s="599" t="str">
        <f>'refer admin discharge'!B112</f>
        <v>x</v>
      </c>
      <c r="C115" s="351"/>
      <c r="D115" s="600" t="str">
        <f>'refer admin discharge'!D112</f>
        <v>xx</v>
      </c>
      <c r="E115" s="351"/>
      <c r="F115" s="609" t="str">
        <f>'refer admin discharge'!H112</f>
        <v>00/00/0000</v>
      </c>
      <c r="G115" s="351"/>
      <c r="H115" s="610"/>
      <c r="I115" s="351"/>
      <c r="J115" s="611"/>
      <c r="K115" s="351"/>
      <c r="L115" s="610"/>
      <c r="M115" s="351"/>
      <c r="N115" s="612"/>
      <c r="O115" s="351"/>
      <c r="P115" s="610"/>
      <c r="Q115" s="351"/>
      <c r="R115" s="612"/>
      <c r="S115" s="351"/>
      <c r="T115" s="610"/>
      <c r="U115" s="351"/>
      <c r="V115" s="623" t="str">
        <f>'refer admin discharge'!H116</f>
        <v>00/00/0000</v>
      </c>
      <c r="W115" s="351"/>
      <c r="X115" s="607"/>
      <c r="Y115" s="351"/>
      <c r="Z115" s="614"/>
      <c r="AA115" s="351"/>
      <c r="AB115" s="607"/>
      <c r="AC115" s="351"/>
      <c r="AD115" s="606"/>
      <c r="AE115" s="351"/>
      <c r="AF115" s="607"/>
      <c r="AG115" s="351"/>
      <c r="AH115" s="606"/>
      <c r="AI115" s="351"/>
      <c r="AJ115" s="607"/>
      <c r="AK115" s="351"/>
      <c r="AL115" s="608"/>
      <c r="AM115" s="350"/>
      <c r="AN115" s="350"/>
      <c r="AO115" s="350"/>
      <c r="AP115" s="350"/>
      <c r="AQ115" s="350"/>
      <c r="AR115" s="350"/>
      <c r="AS115" s="350"/>
      <c r="AT115" s="350"/>
      <c r="AU115" s="350"/>
      <c r="AV115" s="350"/>
      <c r="AW115" s="350"/>
      <c r="AX115" s="350"/>
      <c r="AY115" s="350"/>
      <c r="AZ115" s="350"/>
      <c r="BA115" s="350"/>
      <c r="BB115" s="351"/>
    </row>
    <row r="116" spans="1:54" ht="15.75" customHeight="1">
      <c r="A116" s="25">
        <f t="shared" si="0"/>
        <v>103</v>
      </c>
      <c r="B116" s="618" t="str">
        <f>'refer admin discharge'!B113</f>
        <v>x</v>
      </c>
      <c r="C116" s="351"/>
      <c r="D116" s="619" t="str">
        <f>'refer admin discharge'!D113</f>
        <v>xx</v>
      </c>
      <c r="E116" s="351"/>
      <c r="F116" s="620" t="str">
        <f>'refer admin discharge'!H113</f>
        <v>00/00/0000</v>
      </c>
      <c r="G116" s="351"/>
      <c r="H116" s="615"/>
      <c r="I116" s="351"/>
      <c r="J116" s="621"/>
      <c r="K116" s="351"/>
      <c r="L116" s="615"/>
      <c r="M116" s="351"/>
      <c r="N116" s="610"/>
      <c r="O116" s="351"/>
      <c r="P116" s="615"/>
      <c r="Q116" s="351"/>
      <c r="R116" s="610"/>
      <c r="S116" s="351"/>
      <c r="T116" s="615"/>
      <c r="U116" s="351"/>
      <c r="V116" s="613" t="str">
        <f>'refer admin discharge'!H117</f>
        <v>00/00/0000</v>
      </c>
      <c r="W116" s="351"/>
      <c r="X116" s="616"/>
      <c r="Y116" s="351"/>
      <c r="Z116" s="617"/>
      <c r="AA116" s="351"/>
      <c r="AB116" s="616"/>
      <c r="AC116" s="351"/>
      <c r="AD116" s="607"/>
      <c r="AE116" s="351"/>
      <c r="AF116" s="616"/>
      <c r="AG116" s="351"/>
      <c r="AH116" s="607"/>
      <c r="AI116" s="351"/>
      <c r="AJ116" s="616"/>
      <c r="AK116" s="351"/>
      <c r="AL116" s="622"/>
      <c r="AM116" s="350"/>
      <c r="AN116" s="350"/>
      <c r="AO116" s="350"/>
      <c r="AP116" s="350"/>
      <c r="AQ116" s="350"/>
      <c r="AR116" s="350"/>
      <c r="AS116" s="350"/>
      <c r="AT116" s="350"/>
      <c r="AU116" s="350"/>
      <c r="AV116" s="350"/>
      <c r="AW116" s="350"/>
      <c r="AX116" s="350"/>
      <c r="AY116" s="350"/>
      <c r="AZ116" s="350"/>
      <c r="BA116" s="350"/>
      <c r="BB116" s="351"/>
    </row>
    <row r="117" spans="1:54" ht="15.75" customHeight="1">
      <c r="A117" s="25">
        <f t="shared" si="0"/>
        <v>104</v>
      </c>
      <c r="B117" s="599" t="str">
        <f>'refer admin discharge'!B114</f>
        <v>x</v>
      </c>
      <c r="C117" s="351"/>
      <c r="D117" s="600" t="str">
        <f>'refer admin discharge'!D114</f>
        <v>xx</v>
      </c>
      <c r="E117" s="351"/>
      <c r="F117" s="609" t="str">
        <f>'refer admin discharge'!H114</f>
        <v>00/00/0000</v>
      </c>
      <c r="G117" s="351"/>
      <c r="H117" s="610"/>
      <c r="I117" s="351"/>
      <c r="J117" s="611"/>
      <c r="K117" s="351"/>
      <c r="L117" s="610"/>
      <c r="M117" s="351"/>
      <c r="N117" s="612"/>
      <c r="O117" s="351"/>
      <c r="P117" s="610"/>
      <c r="Q117" s="351"/>
      <c r="R117" s="612"/>
      <c r="S117" s="351"/>
      <c r="T117" s="610"/>
      <c r="U117" s="351"/>
      <c r="V117" s="623" t="str">
        <f>'refer admin discharge'!H118</f>
        <v>00/00/0000</v>
      </c>
      <c r="W117" s="351"/>
      <c r="X117" s="607"/>
      <c r="Y117" s="351"/>
      <c r="Z117" s="614"/>
      <c r="AA117" s="351"/>
      <c r="AB117" s="607"/>
      <c r="AC117" s="351"/>
      <c r="AD117" s="606"/>
      <c r="AE117" s="351"/>
      <c r="AF117" s="607"/>
      <c r="AG117" s="351"/>
      <c r="AH117" s="606"/>
      <c r="AI117" s="351"/>
      <c r="AJ117" s="607"/>
      <c r="AK117" s="351"/>
      <c r="AL117" s="608"/>
      <c r="AM117" s="350"/>
      <c r="AN117" s="350"/>
      <c r="AO117" s="350"/>
      <c r="AP117" s="350"/>
      <c r="AQ117" s="350"/>
      <c r="AR117" s="350"/>
      <c r="AS117" s="350"/>
      <c r="AT117" s="350"/>
      <c r="AU117" s="350"/>
      <c r="AV117" s="350"/>
      <c r="AW117" s="350"/>
      <c r="AX117" s="350"/>
      <c r="AY117" s="350"/>
      <c r="AZ117" s="350"/>
      <c r="BA117" s="350"/>
      <c r="BB117" s="351"/>
    </row>
    <row r="118" spans="1:54" ht="15.75" customHeight="1">
      <c r="A118" s="25">
        <f t="shared" si="0"/>
        <v>105</v>
      </c>
      <c r="B118" s="618" t="str">
        <f>'refer admin discharge'!B115</f>
        <v>x</v>
      </c>
      <c r="C118" s="351"/>
      <c r="D118" s="619" t="str">
        <f>'refer admin discharge'!D115</f>
        <v>xx</v>
      </c>
      <c r="E118" s="351"/>
      <c r="F118" s="620" t="str">
        <f>'refer admin discharge'!H115</f>
        <v>00/00/0000</v>
      </c>
      <c r="G118" s="351"/>
      <c r="H118" s="615"/>
      <c r="I118" s="351"/>
      <c r="J118" s="621"/>
      <c r="K118" s="351"/>
      <c r="L118" s="615"/>
      <c r="M118" s="351"/>
      <c r="N118" s="610"/>
      <c r="O118" s="351"/>
      <c r="P118" s="615"/>
      <c r="Q118" s="351"/>
      <c r="R118" s="610"/>
      <c r="S118" s="351"/>
      <c r="T118" s="615"/>
      <c r="U118" s="351"/>
      <c r="V118" s="613" t="str">
        <f>'refer admin discharge'!H119</f>
        <v>00/00/0000</v>
      </c>
      <c r="W118" s="351"/>
      <c r="X118" s="616"/>
      <c r="Y118" s="351"/>
      <c r="Z118" s="617"/>
      <c r="AA118" s="351"/>
      <c r="AB118" s="616"/>
      <c r="AC118" s="351"/>
      <c r="AD118" s="607"/>
      <c r="AE118" s="351"/>
      <c r="AF118" s="616"/>
      <c r="AG118" s="351"/>
      <c r="AH118" s="607"/>
      <c r="AI118" s="351"/>
      <c r="AJ118" s="616"/>
      <c r="AK118" s="351"/>
      <c r="AL118" s="622"/>
      <c r="AM118" s="350"/>
      <c r="AN118" s="350"/>
      <c r="AO118" s="350"/>
      <c r="AP118" s="350"/>
      <c r="AQ118" s="350"/>
      <c r="AR118" s="350"/>
      <c r="AS118" s="350"/>
      <c r="AT118" s="350"/>
      <c r="AU118" s="350"/>
      <c r="AV118" s="350"/>
      <c r="AW118" s="350"/>
      <c r="AX118" s="350"/>
      <c r="AY118" s="350"/>
      <c r="AZ118" s="350"/>
      <c r="BA118" s="350"/>
      <c r="BB118" s="351"/>
    </row>
    <row r="119" spans="1:54" ht="15.75" customHeight="1">
      <c r="A119" s="25">
        <f t="shared" si="0"/>
        <v>106</v>
      </c>
      <c r="B119" s="599" t="str">
        <f>'refer admin discharge'!B116</f>
        <v>x</v>
      </c>
      <c r="C119" s="351"/>
      <c r="D119" s="600" t="str">
        <f>'refer admin discharge'!D116</f>
        <v>xx</v>
      </c>
      <c r="E119" s="351"/>
      <c r="F119" s="609" t="str">
        <f>'refer admin discharge'!H116</f>
        <v>00/00/0000</v>
      </c>
      <c r="G119" s="351"/>
      <c r="H119" s="610"/>
      <c r="I119" s="351"/>
      <c r="J119" s="611"/>
      <c r="K119" s="351"/>
      <c r="L119" s="610"/>
      <c r="M119" s="351"/>
      <c r="N119" s="612"/>
      <c r="O119" s="351"/>
      <c r="P119" s="610"/>
      <c r="Q119" s="351"/>
      <c r="R119" s="612"/>
      <c r="S119" s="351"/>
      <c r="T119" s="610"/>
      <c r="U119" s="351"/>
      <c r="V119" s="623" t="str">
        <f>'refer admin discharge'!H120</f>
        <v>00/00/0000</v>
      </c>
      <c r="W119" s="351"/>
      <c r="X119" s="607"/>
      <c r="Y119" s="351"/>
      <c r="Z119" s="614"/>
      <c r="AA119" s="351"/>
      <c r="AB119" s="607"/>
      <c r="AC119" s="351"/>
      <c r="AD119" s="606"/>
      <c r="AE119" s="351"/>
      <c r="AF119" s="607"/>
      <c r="AG119" s="351"/>
      <c r="AH119" s="606"/>
      <c r="AI119" s="351"/>
      <c r="AJ119" s="607"/>
      <c r="AK119" s="351"/>
      <c r="AL119" s="608"/>
      <c r="AM119" s="350"/>
      <c r="AN119" s="350"/>
      <c r="AO119" s="350"/>
      <c r="AP119" s="350"/>
      <c r="AQ119" s="350"/>
      <c r="AR119" s="350"/>
      <c r="AS119" s="350"/>
      <c r="AT119" s="350"/>
      <c r="AU119" s="350"/>
      <c r="AV119" s="350"/>
      <c r="AW119" s="350"/>
      <c r="AX119" s="350"/>
      <c r="AY119" s="350"/>
      <c r="AZ119" s="350"/>
      <c r="BA119" s="350"/>
      <c r="BB119" s="351"/>
    </row>
    <row r="120" spans="1:54" ht="15.75" customHeight="1">
      <c r="A120" s="25">
        <f t="shared" si="0"/>
        <v>107</v>
      </c>
      <c r="B120" s="618" t="str">
        <f>'refer admin discharge'!B117</f>
        <v>x</v>
      </c>
      <c r="C120" s="351"/>
      <c r="D120" s="619" t="str">
        <f>'refer admin discharge'!D117</f>
        <v>xx</v>
      </c>
      <c r="E120" s="351"/>
      <c r="F120" s="620" t="str">
        <f>'refer admin discharge'!H117</f>
        <v>00/00/0000</v>
      </c>
      <c r="G120" s="351"/>
      <c r="H120" s="615"/>
      <c r="I120" s="351"/>
      <c r="J120" s="621"/>
      <c r="K120" s="351"/>
      <c r="L120" s="615"/>
      <c r="M120" s="351"/>
      <c r="N120" s="610"/>
      <c r="O120" s="351"/>
      <c r="P120" s="615"/>
      <c r="Q120" s="351"/>
      <c r="R120" s="610"/>
      <c r="S120" s="351"/>
      <c r="T120" s="615"/>
      <c r="U120" s="351"/>
      <c r="V120" s="613" t="str">
        <f>'refer admin discharge'!H121</f>
        <v>00/00/0000</v>
      </c>
      <c r="W120" s="351"/>
      <c r="X120" s="616"/>
      <c r="Y120" s="351"/>
      <c r="Z120" s="617"/>
      <c r="AA120" s="351"/>
      <c r="AB120" s="616"/>
      <c r="AC120" s="351"/>
      <c r="AD120" s="607"/>
      <c r="AE120" s="351"/>
      <c r="AF120" s="616"/>
      <c r="AG120" s="351"/>
      <c r="AH120" s="607"/>
      <c r="AI120" s="351"/>
      <c r="AJ120" s="616"/>
      <c r="AK120" s="351"/>
      <c r="AL120" s="622"/>
      <c r="AM120" s="350"/>
      <c r="AN120" s="350"/>
      <c r="AO120" s="350"/>
      <c r="AP120" s="350"/>
      <c r="AQ120" s="350"/>
      <c r="AR120" s="350"/>
      <c r="AS120" s="350"/>
      <c r="AT120" s="350"/>
      <c r="AU120" s="350"/>
      <c r="AV120" s="350"/>
      <c r="AW120" s="350"/>
      <c r="AX120" s="350"/>
      <c r="AY120" s="350"/>
      <c r="AZ120" s="350"/>
      <c r="BA120" s="350"/>
      <c r="BB120" s="351"/>
    </row>
    <row r="121" spans="1:54" ht="15.75" customHeight="1">
      <c r="A121" s="25">
        <f t="shared" si="0"/>
        <v>108</v>
      </c>
      <c r="B121" s="599" t="str">
        <f>'refer admin discharge'!B118</f>
        <v>x</v>
      </c>
      <c r="C121" s="351"/>
      <c r="D121" s="600" t="str">
        <f>'refer admin discharge'!D118</f>
        <v>xx</v>
      </c>
      <c r="E121" s="351"/>
      <c r="F121" s="609" t="str">
        <f>'refer admin discharge'!H118</f>
        <v>00/00/0000</v>
      </c>
      <c r="G121" s="351"/>
      <c r="H121" s="610"/>
      <c r="I121" s="351"/>
      <c r="J121" s="611"/>
      <c r="K121" s="351"/>
      <c r="L121" s="610"/>
      <c r="M121" s="351"/>
      <c r="N121" s="612"/>
      <c r="O121" s="351"/>
      <c r="P121" s="610"/>
      <c r="Q121" s="351"/>
      <c r="R121" s="612"/>
      <c r="S121" s="351"/>
      <c r="T121" s="610"/>
      <c r="U121" s="351"/>
      <c r="V121" s="623" t="str">
        <f>'refer admin discharge'!H122</f>
        <v>00/00/0000</v>
      </c>
      <c r="W121" s="351"/>
      <c r="X121" s="607"/>
      <c r="Y121" s="351"/>
      <c r="Z121" s="614"/>
      <c r="AA121" s="351"/>
      <c r="AB121" s="607"/>
      <c r="AC121" s="351"/>
      <c r="AD121" s="606"/>
      <c r="AE121" s="351"/>
      <c r="AF121" s="607"/>
      <c r="AG121" s="351"/>
      <c r="AH121" s="606"/>
      <c r="AI121" s="351"/>
      <c r="AJ121" s="607"/>
      <c r="AK121" s="351"/>
      <c r="AL121" s="608"/>
      <c r="AM121" s="350"/>
      <c r="AN121" s="350"/>
      <c r="AO121" s="350"/>
      <c r="AP121" s="350"/>
      <c r="AQ121" s="350"/>
      <c r="AR121" s="350"/>
      <c r="AS121" s="350"/>
      <c r="AT121" s="350"/>
      <c r="AU121" s="350"/>
      <c r="AV121" s="350"/>
      <c r="AW121" s="350"/>
      <c r="AX121" s="350"/>
      <c r="AY121" s="350"/>
      <c r="AZ121" s="350"/>
      <c r="BA121" s="350"/>
      <c r="BB121" s="351"/>
    </row>
    <row r="122" spans="1:54" ht="15.75" customHeight="1">
      <c r="A122" s="25">
        <f t="shared" si="0"/>
        <v>109</v>
      </c>
      <c r="B122" s="618" t="str">
        <f>'refer admin discharge'!B119</f>
        <v>x</v>
      </c>
      <c r="C122" s="351"/>
      <c r="D122" s="619" t="str">
        <f>'refer admin discharge'!D119</f>
        <v>xx</v>
      </c>
      <c r="E122" s="351"/>
      <c r="F122" s="620" t="str">
        <f>'refer admin discharge'!H119</f>
        <v>00/00/0000</v>
      </c>
      <c r="G122" s="351"/>
      <c r="H122" s="615"/>
      <c r="I122" s="351"/>
      <c r="J122" s="621"/>
      <c r="K122" s="351"/>
      <c r="L122" s="615"/>
      <c r="M122" s="351"/>
      <c r="N122" s="610"/>
      <c r="O122" s="351"/>
      <c r="P122" s="615"/>
      <c r="Q122" s="351"/>
      <c r="R122" s="610"/>
      <c r="S122" s="351"/>
      <c r="T122" s="615"/>
      <c r="U122" s="351"/>
      <c r="V122" s="613" t="str">
        <f>'refer admin discharge'!H123</f>
        <v>00/00/0000</v>
      </c>
      <c r="W122" s="351"/>
      <c r="X122" s="616"/>
      <c r="Y122" s="351"/>
      <c r="Z122" s="617"/>
      <c r="AA122" s="351"/>
      <c r="AB122" s="616"/>
      <c r="AC122" s="351"/>
      <c r="AD122" s="607"/>
      <c r="AE122" s="351"/>
      <c r="AF122" s="616"/>
      <c r="AG122" s="351"/>
      <c r="AH122" s="607"/>
      <c r="AI122" s="351"/>
      <c r="AJ122" s="616"/>
      <c r="AK122" s="351"/>
      <c r="AL122" s="622"/>
      <c r="AM122" s="350"/>
      <c r="AN122" s="350"/>
      <c r="AO122" s="350"/>
      <c r="AP122" s="350"/>
      <c r="AQ122" s="350"/>
      <c r="AR122" s="350"/>
      <c r="AS122" s="350"/>
      <c r="AT122" s="350"/>
      <c r="AU122" s="350"/>
      <c r="AV122" s="350"/>
      <c r="AW122" s="350"/>
      <c r="AX122" s="350"/>
      <c r="AY122" s="350"/>
      <c r="AZ122" s="350"/>
      <c r="BA122" s="350"/>
      <c r="BB122" s="351"/>
    </row>
    <row r="123" spans="1:54" ht="15.75" customHeight="1">
      <c r="A123" s="25">
        <f t="shared" si="0"/>
        <v>110</v>
      </c>
      <c r="B123" s="599" t="str">
        <f>'refer admin discharge'!B120</f>
        <v>x</v>
      </c>
      <c r="C123" s="351"/>
      <c r="D123" s="600" t="str">
        <f>'refer admin discharge'!D120</f>
        <v>xx</v>
      </c>
      <c r="E123" s="351"/>
      <c r="F123" s="609" t="str">
        <f>'refer admin discharge'!H120</f>
        <v>00/00/0000</v>
      </c>
      <c r="G123" s="351"/>
      <c r="H123" s="610"/>
      <c r="I123" s="351"/>
      <c r="J123" s="611"/>
      <c r="K123" s="351"/>
      <c r="L123" s="610"/>
      <c r="M123" s="351"/>
      <c r="N123" s="612"/>
      <c r="O123" s="351"/>
      <c r="P123" s="610"/>
      <c r="Q123" s="351"/>
      <c r="R123" s="612"/>
      <c r="S123" s="351"/>
      <c r="T123" s="610"/>
      <c r="U123" s="351"/>
      <c r="V123" s="623" t="str">
        <f>'refer admin discharge'!H124</f>
        <v>00/00/0000</v>
      </c>
      <c r="W123" s="351"/>
      <c r="X123" s="607"/>
      <c r="Y123" s="351"/>
      <c r="Z123" s="614"/>
      <c r="AA123" s="351"/>
      <c r="AB123" s="607"/>
      <c r="AC123" s="351"/>
      <c r="AD123" s="606"/>
      <c r="AE123" s="351"/>
      <c r="AF123" s="607"/>
      <c r="AG123" s="351"/>
      <c r="AH123" s="606"/>
      <c r="AI123" s="351"/>
      <c r="AJ123" s="607"/>
      <c r="AK123" s="351"/>
      <c r="AL123" s="608"/>
      <c r="AM123" s="350"/>
      <c r="AN123" s="350"/>
      <c r="AO123" s="350"/>
      <c r="AP123" s="350"/>
      <c r="AQ123" s="350"/>
      <c r="AR123" s="350"/>
      <c r="AS123" s="350"/>
      <c r="AT123" s="350"/>
      <c r="AU123" s="350"/>
      <c r="AV123" s="350"/>
      <c r="AW123" s="350"/>
      <c r="AX123" s="350"/>
      <c r="AY123" s="350"/>
      <c r="AZ123" s="350"/>
      <c r="BA123" s="350"/>
      <c r="BB123" s="351"/>
    </row>
    <row r="124" spans="1:54" ht="15.75" customHeight="1">
      <c r="A124" s="25">
        <f t="shared" si="0"/>
        <v>111</v>
      </c>
      <c r="B124" s="618" t="str">
        <f>'refer admin discharge'!B121</f>
        <v>x</v>
      </c>
      <c r="C124" s="351"/>
      <c r="D124" s="619" t="str">
        <f>'refer admin discharge'!D121</f>
        <v>xx</v>
      </c>
      <c r="E124" s="351"/>
      <c r="F124" s="620" t="str">
        <f>'refer admin discharge'!H121</f>
        <v>00/00/0000</v>
      </c>
      <c r="G124" s="351"/>
      <c r="H124" s="615"/>
      <c r="I124" s="351"/>
      <c r="J124" s="621"/>
      <c r="K124" s="351"/>
      <c r="L124" s="615"/>
      <c r="M124" s="351"/>
      <c r="N124" s="610"/>
      <c r="O124" s="351"/>
      <c r="P124" s="615"/>
      <c r="Q124" s="351"/>
      <c r="R124" s="610"/>
      <c r="S124" s="351"/>
      <c r="T124" s="615"/>
      <c r="U124" s="351"/>
      <c r="V124" s="613" t="str">
        <f>'refer admin discharge'!H125</f>
        <v>00/00/0000</v>
      </c>
      <c r="W124" s="351"/>
      <c r="X124" s="616"/>
      <c r="Y124" s="351"/>
      <c r="Z124" s="617"/>
      <c r="AA124" s="351"/>
      <c r="AB124" s="616"/>
      <c r="AC124" s="351"/>
      <c r="AD124" s="607"/>
      <c r="AE124" s="351"/>
      <c r="AF124" s="616"/>
      <c r="AG124" s="351"/>
      <c r="AH124" s="607"/>
      <c r="AI124" s="351"/>
      <c r="AJ124" s="616"/>
      <c r="AK124" s="351"/>
      <c r="AL124" s="622"/>
      <c r="AM124" s="350"/>
      <c r="AN124" s="350"/>
      <c r="AO124" s="350"/>
      <c r="AP124" s="350"/>
      <c r="AQ124" s="350"/>
      <c r="AR124" s="350"/>
      <c r="AS124" s="350"/>
      <c r="AT124" s="350"/>
      <c r="AU124" s="350"/>
      <c r="AV124" s="350"/>
      <c r="AW124" s="350"/>
      <c r="AX124" s="350"/>
      <c r="AY124" s="350"/>
      <c r="AZ124" s="350"/>
      <c r="BA124" s="350"/>
      <c r="BB124" s="351"/>
    </row>
    <row r="125" spans="1:54" ht="15.75" customHeight="1">
      <c r="A125" s="25">
        <f t="shared" si="0"/>
        <v>112</v>
      </c>
      <c r="B125" s="599" t="str">
        <f>'refer admin discharge'!B122</f>
        <v>x</v>
      </c>
      <c r="C125" s="351"/>
      <c r="D125" s="600" t="str">
        <f>'refer admin discharge'!D122</f>
        <v>xx</v>
      </c>
      <c r="E125" s="351"/>
      <c r="F125" s="609" t="str">
        <f>'refer admin discharge'!H122</f>
        <v>00/00/0000</v>
      </c>
      <c r="G125" s="351"/>
      <c r="H125" s="610"/>
      <c r="I125" s="351"/>
      <c r="J125" s="611"/>
      <c r="K125" s="351"/>
      <c r="L125" s="610"/>
      <c r="M125" s="351"/>
      <c r="N125" s="612"/>
      <c r="O125" s="351"/>
      <c r="P125" s="610"/>
      <c r="Q125" s="351"/>
      <c r="R125" s="612"/>
      <c r="S125" s="351"/>
      <c r="T125" s="610"/>
      <c r="U125" s="351"/>
      <c r="V125" s="623" t="str">
        <f>'refer admin discharge'!H126</f>
        <v>00/00/0000</v>
      </c>
      <c r="W125" s="351"/>
      <c r="X125" s="607"/>
      <c r="Y125" s="351"/>
      <c r="Z125" s="614"/>
      <c r="AA125" s="351"/>
      <c r="AB125" s="607"/>
      <c r="AC125" s="351"/>
      <c r="AD125" s="606"/>
      <c r="AE125" s="351"/>
      <c r="AF125" s="607"/>
      <c r="AG125" s="351"/>
      <c r="AH125" s="606"/>
      <c r="AI125" s="351"/>
      <c r="AJ125" s="607"/>
      <c r="AK125" s="351"/>
      <c r="AL125" s="608"/>
      <c r="AM125" s="350"/>
      <c r="AN125" s="350"/>
      <c r="AO125" s="350"/>
      <c r="AP125" s="350"/>
      <c r="AQ125" s="350"/>
      <c r="AR125" s="350"/>
      <c r="AS125" s="350"/>
      <c r="AT125" s="350"/>
      <c r="AU125" s="350"/>
      <c r="AV125" s="350"/>
      <c r="AW125" s="350"/>
      <c r="AX125" s="350"/>
      <c r="AY125" s="350"/>
      <c r="AZ125" s="350"/>
      <c r="BA125" s="350"/>
      <c r="BB125" s="351"/>
    </row>
    <row r="126" spans="1:54" ht="15.75" customHeight="1">
      <c r="A126" s="25">
        <f t="shared" si="0"/>
        <v>113</v>
      </c>
      <c r="B126" s="618" t="str">
        <f>'refer admin discharge'!B123</f>
        <v>x</v>
      </c>
      <c r="C126" s="351"/>
      <c r="D126" s="619" t="str">
        <f>'refer admin discharge'!D123</f>
        <v>xx</v>
      </c>
      <c r="E126" s="351"/>
      <c r="F126" s="620" t="str">
        <f>'refer admin discharge'!H123</f>
        <v>00/00/0000</v>
      </c>
      <c r="G126" s="351"/>
      <c r="H126" s="615"/>
      <c r="I126" s="351"/>
      <c r="J126" s="621"/>
      <c r="K126" s="351"/>
      <c r="L126" s="615"/>
      <c r="M126" s="351"/>
      <c r="N126" s="610"/>
      <c r="O126" s="351"/>
      <c r="P126" s="615"/>
      <c r="Q126" s="351"/>
      <c r="R126" s="610"/>
      <c r="S126" s="351"/>
      <c r="T126" s="615"/>
      <c r="U126" s="351"/>
      <c r="V126" s="613" t="str">
        <f>'refer admin discharge'!H127</f>
        <v>00/00/0000</v>
      </c>
      <c r="W126" s="351"/>
      <c r="X126" s="616"/>
      <c r="Y126" s="351"/>
      <c r="Z126" s="617"/>
      <c r="AA126" s="351"/>
      <c r="AB126" s="616"/>
      <c r="AC126" s="351"/>
      <c r="AD126" s="607"/>
      <c r="AE126" s="351"/>
      <c r="AF126" s="616"/>
      <c r="AG126" s="351"/>
      <c r="AH126" s="607"/>
      <c r="AI126" s="351"/>
      <c r="AJ126" s="616"/>
      <c r="AK126" s="351"/>
      <c r="AL126" s="622"/>
      <c r="AM126" s="350"/>
      <c r="AN126" s="350"/>
      <c r="AO126" s="350"/>
      <c r="AP126" s="350"/>
      <c r="AQ126" s="350"/>
      <c r="AR126" s="350"/>
      <c r="AS126" s="350"/>
      <c r="AT126" s="350"/>
      <c r="AU126" s="350"/>
      <c r="AV126" s="350"/>
      <c r="AW126" s="350"/>
      <c r="AX126" s="350"/>
      <c r="AY126" s="350"/>
      <c r="AZ126" s="350"/>
      <c r="BA126" s="350"/>
      <c r="BB126" s="351"/>
    </row>
    <row r="127" spans="1:54" ht="15.75" customHeight="1">
      <c r="A127" s="25">
        <f t="shared" si="0"/>
        <v>114</v>
      </c>
      <c r="B127" s="599" t="str">
        <f>'refer admin discharge'!B124</f>
        <v>x</v>
      </c>
      <c r="C127" s="351"/>
      <c r="D127" s="600" t="str">
        <f>'refer admin discharge'!D124</f>
        <v>xx</v>
      </c>
      <c r="E127" s="351"/>
      <c r="F127" s="609" t="str">
        <f>'refer admin discharge'!H124</f>
        <v>00/00/0000</v>
      </c>
      <c r="G127" s="351"/>
      <c r="H127" s="610"/>
      <c r="I127" s="351"/>
      <c r="J127" s="611"/>
      <c r="K127" s="351"/>
      <c r="L127" s="610"/>
      <c r="M127" s="351"/>
      <c r="N127" s="612"/>
      <c r="O127" s="351"/>
      <c r="P127" s="610"/>
      <c r="Q127" s="351"/>
      <c r="R127" s="612"/>
      <c r="S127" s="351"/>
      <c r="T127" s="610"/>
      <c r="U127" s="351"/>
      <c r="V127" s="623" t="str">
        <f>'refer admin discharge'!H128</f>
        <v>00/00/0000</v>
      </c>
      <c r="W127" s="351"/>
      <c r="X127" s="607"/>
      <c r="Y127" s="351"/>
      <c r="Z127" s="614"/>
      <c r="AA127" s="351"/>
      <c r="AB127" s="607"/>
      <c r="AC127" s="351"/>
      <c r="AD127" s="606"/>
      <c r="AE127" s="351"/>
      <c r="AF127" s="607"/>
      <c r="AG127" s="351"/>
      <c r="AH127" s="606"/>
      <c r="AI127" s="351"/>
      <c r="AJ127" s="607"/>
      <c r="AK127" s="351"/>
      <c r="AL127" s="608"/>
      <c r="AM127" s="350"/>
      <c r="AN127" s="350"/>
      <c r="AO127" s="350"/>
      <c r="AP127" s="350"/>
      <c r="AQ127" s="350"/>
      <c r="AR127" s="350"/>
      <c r="AS127" s="350"/>
      <c r="AT127" s="350"/>
      <c r="AU127" s="350"/>
      <c r="AV127" s="350"/>
      <c r="AW127" s="350"/>
      <c r="AX127" s="350"/>
      <c r="AY127" s="350"/>
      <c r="AZ127" s="350"/>
      <c r="BA127" s="350"/>
      <c r="BB127" s="351"/>
    </row>
    <row r="128" spans="1:54" ht="15.75" customHeight="1">
      <c r="A128" s="25">
        <f t="shared" si="0"/>
        <v>115</v>
      </c>
      <c r="B128" s="618" t="str">
        <f>'refer admin discharge'!B125</f>
        <v>x</v>
      </c>
      <c r="C128" s="351"/>
      <c r="D128" s="619" t="str">
        <f>'refer admin discharge'!D125</f>
        <v>xx</v>
      </c>
      <c r="E128" s="351"/>
      <c r="F128" s="620" t="str">
        <f>'refer admin discharge'!H125</f>
        <v>00/00/0000</v>
      </c>
      <c r="G128" s="351"/>
      <c r="H128" s="615"/>
      <c r="I128" s="351"/>
      <c r="J128" s="621"/>
      <c r="K128" s="351"/>
      <c r="L128" s="615"/>
      <c r="M128" s="351"/>
      <c r="N128" s="610"/>
      <c r="O128" s="351"/>
      <c r="P128" s="615"/>
      <c r="Q128" s="351"/>
      <c r="R128" s="610"/>
      <c r="S128" s="351"/>
      <c r="T128" s="615"/>
      <c r="U128" s="351"/>
      <c r="V128" s="613" t="str">
        <f>'refer admin discharge'!H129</f>
        <v>00/00/0000</v>
      </c>
      <c r="W128" s="351"/>
      <c r="X128" s="616"/>
      <c r="Y128" s="351"/>
      <c r="Z128" s="617"/>
      <c r="AA128" s="351"/>
      <c r="AB128" s="616"/>
      <c r="AC128" s="351"/>
      <c r="AD128" s="607"/>
      <c r="AE128" s="351"/>
      <c r="AF128" s="616"/>
      <c r="AG128" s="351"/>
      <c r="AH128" s="607"/>
      <c r="AI128" s="351"/>
      <c r="AJ128" s="616"/>
      <c r="AK128" s="351"/>
      <c r="AL128" s="622"/>
      <c r="AM128" s="350"/>
      <c r="AN128" s="350"/>
      <c r="AO128" s="350"/>
      <c r="AP128" s="350"/>
      <c r="AQ128" s="350"/>
      <c r="AR128" s="350"/>
      <c r="AS128" s="350"/>
      <c r="AT128" s="350"/>
      <c r="AU128" s="350"/>
      <c r="AV128" s="350"/>
      <c r="AW128" s="350"/>
      <c r="AX128" s="350"/>
      <c r="AY128" s="350"/>
      <c r="AZ128" s="350"/>
      <c r="BA128" s="350"/>
      <c r="BB128" s="351"/>
    </row>
    <row r="129" spans="1:54" ht="15.75" customHeight="1">
      <c r="A129" s="25">
        <f t="shared" si="0"/>
        <v>116</v>
      </c>
      <c r="B129" s="599" t="str">
        <f>'refer admin discharge'!B126</f>
        <v>x</v>
      </c>
      <c r="C129" s="351"/>
      <c r="D129" s="600" t="str">
        <f>'refer admin discharge'!D126</f>
        <v>xx</v>
      </c>
      <c r="E129" s="351"/>
      <c r="F129" s="609" t="str">
        <f>'refer admin discharge'!H126</f>
        <v>00/00/0000</v>
      </c>
      <c r="G129" s="351"/>
      <c r="H129" s="610"/>
      <c r="I129" s="351"/>
      <c r="J129" s="611"/>
      <c r="K129" s="351"/>
      <c r="L129" s="610"/>
      <c r="M129" s="351"/>
      <c r="N129" s="612"/>
      <c r="O129" s="351"/>
      <c r="P129" s="610"/>
      <c r="Q129" s="351"/>
      <c r="R129" s="612"/>
      <c r="S129" s="351"/>
      <c r="T129" s="610"/>
      <c r="U129" s="351"/>
      <c r="V129" s="623" t="str">
        <f>'refer admin discharge'!H130</f>
        <v>00/00/0000</v>
      </c>
      <c r="W129" s="351"/>
      <c r="X129" s="607"/>
      <c r="Y129" s="351"/>
      <c r="Z129" s="614"/>
      <c r="AA129" s="351"/>
      <c r="AB129" s="607"/>
      <c r="AC129" s="351"/>
      <c r="AD129" s="606"/>
      <c r="AE129" s="351"/>
      <c r="AF129" s="607"/>
      <c r="AG129" s="351"/>
      <c r="AH129" s="606"/>
      <c r="AI129" s="351"/>
      <c r="AJ129" s="607"/>
      <c r="AK129" s="351"/>
      <c r="AL129" s="608"/>
      <c r="AM129" s="350"/>
      <c r="AN129" s="350"/>
      <c r="AO129" s="350"/>
      <c r="AP129" s="350"/>
      <c r="AQ129" s="350"/>
      <c r="AR129" s="350"/>
      <c r="AS129" s="350"/>
      <c r="AT129" s="350"/>
      <c r="AU129" s="350"/>
      <c r="AV129" s="350"/>
      <c r="AW129" s="350"/>
      <c r="AX129" s="350"/>
      <c r="AY129" s="350"/>
      <c r="AZ129" s="350"/>
      <c r="BA129" s="350"/>
      <c r="BB129" s="351"/>
    </row>
    <row r="130" spans="1:54" ht="15.75" customHeight="1">
      <c r="A130" s="25">
        <f t="shared" si="0"/>
        <v>117</v>
      </c>
      <c r="B130" s="618" t="str">
        <f>'refer admin discharge'!B127</f>
        <v>x</v>
      </c>
      <c r="C130" s="351"/>
      <c r="D130" s="619" t="str">
        <f>'refer admin discharge'!D127</f>
        <v>xx</v>
      </c>
      <c r="E130" s="351"/>
      <c r="F130" s="620" t="str">
        <f>'refer admin discharge'!H127</f>
        <v>00/00/0000</v>
      </c>
      <c r="G130" s="351"/>
      <c r="H130" s="615"/>
      <c r="I130" s="351"/>
      <c r="J130" s="621"/>
      <c r="K130" s="351"/>
      <c r="L130" s="615"/>
      <c r="M130" s="351"/>
      <c r="N130" s="610"/>
      <c r="O130" s="351"/>
      <c r="P130" s="615"/>
      <c r="Q130" s="351"/>
      <c r="R130" s="610"/>
      <c r="S130" s="351"/>
      <c r="T130" s="615"/>
      <c r="U130" s="351"/>
      <c r="V130" s="613" t="str">
        <f>'refer admin discharge'!H131</f>
        <v>00/00/0000</v>
      </c>
      <c r="W130" s="351"/>
      <c r="X130" s="616"/>
      <c r="Y130" s="351"/>
      <c r="Z130" s="617"/>
      <c r="AA130" s="351"/>
      <c r="AB130" s="616"/>
      <c r="AC130" s="351"/>
      <c r="AD130" s="607"/>
      <c r="AE130" s="351"/>
      <c r="AF130" s="616"/>
      <c r="AG130" s="351"/>
      <c r="AH130" s="607"/>
      <c r="AI130" s="351"/>
      <c r="AJ130" s="616"/>
      <c r="AK130" s="351"/>
      <c r="AL130" s="622"/>
      <c r="AM130" s="350"/>
      <c r="AN130" s="350"/>
      <c r="AO130" s="350"/>
      <c r="AP130" s="350"/>
      <c r="AQ130" s="350"/>
      <c r="AR130" s="350"/>
      <c r="AS130" s="350"/>
      <c r="AT130" s="350"/>
      <c r="AU130" s="350"/>
      <c r="AV130" s="350"/>
      <c r="AW130" s="350"/>
      <c r="AX130" s="350"/>
      <c r="AY130" s="350"/>
      <c r="AZ130" s="350"/>
      <c r="BA130" s="350"/>
      <c r="BB130" s="351"/>
    </row>
    <row r="131" spans="1:54" ht="15.75" customHeight="1">
      <c r="A131" s="25">
        <f t="shared" si="0"/>
        <v>118</v>
      </c>
      <c r="B131" s="599" t="str">
        <f>'refer admin discharge'!B128</f>
        <v>x</v>
      </c>
      <c r="C131" s="351"/>
      <c r="D131" s="600" t="str">
        <f>'refer admin discharge'!D128</f>
        <v>xx</v>
      </c>
      <c r="E131" s="351"/>
      <c r="F131" s="609" t="str">
        <f>'refer admin discharge'!H128</f>
        <v>00/00/0000</v>
      </c>
      <c r="G131" s="351"/>
      <c r="H131" s="610"/>
      <c r="I131" s="351"/>
      <c r="J131" s="611"/>
      <c r="K131" s="351"/>
      <c r="L131" s="610"/>
      <c r="M131" s="351"/>
      <c r="N131" s="612"/>
      <c r="O131" s="351"/>
      <c r="P131" s="610"/>
      <c r="Q131" s="351"/>
      <c r="R131" s="612"/>
      <c r="S131" s="351"/>
      <c r="T131" s="610"/>
      <c r="U131" s="351"/>
      <c r="V131" s="623" t="str">
        <f>'refer admin discharge'!H132</f>
        <v>00/00/0000</v>
      </c>
      <c r="W131" s="351"/>
      <c r="X131" s="607"/>
      <c r="Y131" s="351"/>
      <c r="Z131" s="614"/>
      <c r="AA131" s="351"/>
      <c r="AB131" s="607"/>
      <c r="AC131" s="351"/>
      <c r="AD131" s="606"/>
      <c r="AE131" s="351"/>
      <c r="AF131" s="607"/>
      <c r="AG131" s="351"/>
      <c r="AH131" s="606"/>
      <c r="AI131" s="351"/>
      <c r="AJ131" s="607"/>
      <c r="AK131" s="351"/>
      <c r="AL131" s="608"/>
      <c r="AM131" s="350"/>
      <c r="AN131" s="350"/>
      <c r="AO131" s="350"/>
      <c r="AP131" s="350"/>
      <c r="AQ131" s="350"/>
      <c r="AR131" s="350"/>
      <c r="AS131" s="350"/>
      <c r="AT131" s="350"/>
      <c r="AU131" s="350"/>
      <c r="AV131" s="350"/>
      <c r="AW131" s="350"/>
      <c r="AX131" s="350"/>
      <c r="AY131" s="350"/>
      <c r="AZ131" s="350"/>
      <c r="BA131" s="350"/>
      <c r="BB131" s="351"/>
    </row>
    <row r="132" spans="1:54" ht="15.75" customHeight="1">
      <c r="A132" s="25">
        <f t="shared" si="0"/>
        <v>119</v>
      </c>
      <c r="B132" s="618" t="str">
        <f>'refer admin discharge'!B129</f>
        <v>x</v>
      </c>
      <c r="C132" s="351"/>
      <c r="D132" s="619" t="str">
        <f>'refer admin discharge'!D129</f>
        <v>xx</v>
      </c>
      <c r="E132" s="351"/>
      <c r="F132" s="620" t="str">
        <f>'refer admin discharge'!H129</f>
        <v>00/00/0000</v>
      </c>
      <c r="G132" s="351"/>
      <c r="H132" s="615"/>
      <c r="I132" s="351"/>
      <c r="J132" s="621"/>
      <c r="K132" s="351"/>
      <c r="L132" s="615"/>
      <c r="M132" s="351"/>
      <c r="N132" s="610"/>
      <c r="O132" s="351"/>
      <c r="P132" s="615"/>
      <c r="Q132" s="351"/>
      <c r="R132" s="610"/>
      <c r="S132" s="351"/>
      <c r="T132" s="615"/>
      <c r="U132" s="351"/>
      <c r="V132" s="623" t="str">
        <f>'refer admin discharge'!H133</f>
        <v>00/00/0000</v>
      </c>
      <c r="W132" s="351"/>
      <c r="X132" s="616"/>
      <c r="Y132" s="351"/>
      <c r="Z132" s="617"/>
      <c r="AA132" s="351"/>
      <c r="AB132" s="616"/>
      <c r="AC132" s="351"/>
      <c r="AD132" s="607"/>
      <c r="AE132" s="351"/>
      <c r="AF132" s="616"/>
      <c r="AG132" s="351"/>
      <c r="AH132" s="607"/>
      <c r="AI132" s="351"/>
      <c r="AJ132" s="616"/>
      <c r="AK132" s="351"/>
      <c r="AL132" s="622"/>
      <c r="AM132" s="350"/>
      <c r="AN132" s="350"/>
      <c r="AO132" s="350"/>
      <c r="AP132" s="350"/>
      <c r="AQ132" s="350"/>
      <c r="AR132" s="350"/>
      <c r="AS132" s="350"/>
      <c r="AT132" s="350"/>
      <c r="AU132" s="350"/>
      <c r="AV132" s="350"/>
      <c r="AW132" s="350"/>
      <c r="AX132" s="350"/>
      <c r="AY132" s="350"/>
      <c r="AZ132" s="350"/>
      <c r="BA132" s="350"/>
      <c r="BB132" s="351"/>
    </row>
    <row r="133" spans="1:54" ht="15.75" customHeight="1">
      <c r="A133" s="25">
        <f t="shared" si="0"/>
        <v>120</v>
      </c>
      <c r="B133" s="599" t="str">
        <f>'refer admin discharge'!B130</f>
        <v>x</v>
      </c>
      <c r="C133" s="351"/>
      <c r="D133" s="600" t="str">
        <f>'refer admin discharge'!D130</f>
        <v>xx</v>
      </c>
      <c r="E133" s="351"/>
      <c r="F133" s="609" t="str">
        <f>'refer admin discharge'!H130</f>
        <v>00/00/0000</v>
      </c>
      <c r="G133" s="351"/>
      <c r="H133" s="610"/>
      <c r="I133" s="351"/>
      <c r="J133" s="611"/>
      <c r="K133" s="351"/>
      <c r="L133" s="610"/>
      <c r="M133" s="351"/>
      <c r="N133" s="612"/>
      <c r="O133" s="351"/>
      <c r="P133" s="610"/>
      <c r="Q133" s="351"/>
      <c r="R133" s="612"/>
      <c r="S133" s="351"/>
      <c r="T133" s="610"/>
      <c r="U133" s="351"/>
      <c r="V133" s="613" t="str">
        <f>'refer admin discharge'!H134</f>
        <v>00/00/0000</v>
      </c>
      <c r="W133" s="351"/>
      <c r="X133" s="607"/>
      <c r="Y133" s="351"/>
      <c r="Z133" s="614"/>
      <c r="AA133" s="351"/>
      <c r="AB133" s="607"/>
      <c r="AC133" s="351"/>
      <c r="AD133" s="606"/>
      <c r="AE133" s="351"/>
      <c r="AF133" s="607"/>
      <c r="AG133" s="351"/>
      <c r="AH133" s="606"/>
      <c r="AI133" s="351"/>
      <c r="AJ133" s="607"/>
      <c r="AK133" s="351"/>
      <c r="AL133" s="608"/>
      <c r="AM133" s="350"/>
      <c r="AN133" s="350"/>
      <c r="AO133" s="350"/>
      <c r="AP133" s="350"/>
      <c r="AQ133" s="350"/>
      <c r="AR133" s="350"/>
      <c r="AS133" s="350"/>
      <c r="AT133" s="350"/>
      <c r="AU133" s="350"/>
      <c r="AV133" s="350"/>
      <c r="AW133" s="350"/>
      <c r="AX133" s="350"/>
      <c r="AY133" s="350"/>
      <c r="AZ133" s="350"/>
      <c r="BA133" s="350"/>
      <c r="BB133" s="351"/>
    </row>
    <row r="134" spans="1:54" ht="15.75" customHeight="1">
      <c r="A134" s="25">
        <f t="shared" si="0"/>
        <v>121</v>
      </c>
      <c r="B134" s="618" t="str">
        <f>'refer admin discharge'!B131</f>
        <v>x</v>
      </c>
      <c r="C134" s="351"/>
      <c r="D134" s="619" t="str">
        <f>'refer admin discharge'!D131</f>
        <v>xx</v>
      </c>
      <c r="E134" s="351"/>
      <c r="F134" s="620" t="str">
        <f>'refer admin discharge'!H131</f>
        <v>00/00/0000</v>
      </c>
      <c r="G134" s="351"/>
      <c r="H134" s="615"/>
      <c r="I134" s="351"/>
      <c r="J134" s="621"/>
      <c r="K134" s="351"/>
      <c r="L134" s="615"/>
      <c r="M134" s="351"/>
      <c r="N134" s="610"/>
      <c r="O134" s="351"/>
      <c r="P134" s="615"/>
      <c r="Q134" s="351"/>
      <c r="R134" s="610"/>
      <c r="S134" s="351"/>
      <c r="T134" s="615"/>
      <c r="U134" s="351"/>
      <c r="V134" s="613" t="str">
        <f>'refer admin discharge'!H135</f>
        <v>00/00/0000</v>
      </c>
      <c r="W134" s="351"/>
      <c r="X134" s="616"/>
      <c r="Y134" s="351"/>
      <c r="Z134" s="617"/>
      <c r="AA134" s="351"/>
      <c r="AB134" s="616"/>
      <c r="AC134" s="351"/>
      <c r="AD134" s="607"/>
      <c r="AE134" s="351"/>
      <c r="AF134" s="616"/>
      <c r="AG134" s="351"/>
      <c r="AH134" s="607"/>
      <c r="AI134" s="351"/>
      <c r="AJ134" s="616"/>
      <c r="AK134" s="351"/>
      <c r="AL134" s="622"/>
      <c r="AM134" s="350"/>
      <c r="AN134" s="350"/>
      <c r="AO134" s="350"/>
      <c r="AP134" s="350"/>
      <c r="AQ134" s="350"/>
      <c r="AR134" s="350"/>
      <c r="AS134" s="350"/>
      <c r="AT134" s="350"/>
      <c r="AU134" s="350"/>
      <c r="AV134" s="350"/>
      <c r="AW134" s="350"/>
      <c r="AX134" s="350"/>
      <c r="AY134" s="350"/>
      <c r="AZ134" s="350"/>
      <c r="BA134" s="350"/>
      <c r="BB134" s="351"/>
    </row>
    <row r="135" spans="1:54" ht="15.75" customHeight="1">
      <c r="A135" s="25">
        <f t="shared" si="0"/>
        <v>122</v>
      </c>
      <c r="B135" s="599" t="str">
        <f>'refer admin discharge'!B132</f>
        <v>x</v>
      </c>
      <c r="C135" s="351"/>
      <c r="D135" s="600" t="str">
        <f>'refer admin discharge'!D132</f>
        <v>xx</v>
      </c>
      <c r="E135" s="351"/>
      <c r="F135" s="609" t="str">
        <f>'refer admin discharge'!H132</f>
        <v>00/00/0000</v>
      </c>
      <c r="G135" s="351"/>
      <c r="H135" s="610"/>
      <c r="I135" s="351"/>
      <c r="J135" s="611"/>
      <c r="K135" s="351"/>
      <c r="L135" s="610"/>
      <c r="M135" s="351"/>
      <c r="N135" s="612"/>
      <c r="O135" s="351"/>
      <c r="P135" s="610"/>
      <c r="Q135" s="351"/>
      <c r="R135" s="612"/>
      <c r="S135" s="351"/>
      <c r="T135" s="610"/>
      <c r="U135" s="351"/>
      <c r="V135" s="613" t="str">
        <f>'refer admin discharge'!H136</f>
        <v>00/00/0000</v>
      </c>
      <c r="W135" s="351"/>
      <c r="X135" s="607"/>
      <c r="Y135" s="351"/>
      <c r="Z135" s="614"/>
      <c r="AA135" s="351"/>
      <c r="AB135" s="607"/>
      <c r="AC135" s="351"/>
      <c r="AD135" s="606"/>
      <c r="AE135" s="351"/>
      <c r="AF135" s="607"/>
      <c r="AG135" s="351"/>
      <c r="AH135" s="606"/>
      <c r="AI135" s="351"/>
      <c r="AJ135" s="607"/>
      <c r="AK135" s="351"/>
      <c r="AL135" s="608"/>
      <c r="AM135" s="350"/>
      <c r="AN135" s="350"/>
      <c r="AO135" s="350"/>
      <c r="AP135" s="350"/>
      <c r="AQ135" s="350"/>
      <c r="AR135" s="350"/>
      <c r="AS135" s="350"/>
      <c r="AT135" s="350"/>
      <c r="AU135" s="350"/>
      <c r="AV135" s="350"/>
      <c r="AW135" s="350"/>
      <c r="AX135" s="350"/>
      <c r="AY135" s="350"/>
      <c r="AZ135" s="350"/>
      <c r="BA135" s="350"/>
      <c r="BB135" s="351"/>
    </row>
    <row r="136" spans="1:54" ht="15.75" customHeight="1">
      <c r="A136" s="25">
        <f t="shared" si="0"/>
        <v>123</v>
      </c>
      <c r="B136" s="618" t="str">
        <f>'refer admin discharge'!B133</f>
        <v>x</v>
      </c>
      <c r="C136" s="351"/>
      <c r="D136" s="619" t="str">
        <f>'refer admin discharge'!D133</f>
        <v>xx</v>
      </c>
      <c r="E136" s="351"/>
      <c r="F136" s="620" t="str">
        <f>'refer admin discharge'!H133</f>
        <v>00/00/0000</v>
      </c>
      <c r="G136" s="351"/>
      <c r="H136" s="615"/>
      <c r="I136" s="351"/>
      <c r="J136" s="621"/>
      <c r="K136" s="351"/>
      <c r="L136" s="615"/>
      <c r="M136" s="351"/>
      <c r="N136" s="610"/>
      <c r="O136" s="351"/>
      <c r="P136" s="615"/>
      <c r="Q136" s="351"/>
      <c r="R136" s="610"/>
      <c r="S136" s="351"/>
      <c r="T136" s="615"/>
      <c r="U136" s="351"/>
      <c r="V136" s="613" t="str">
        <f>'refer admin discharge'!H137</f>
        <v>00/00/0000</v>
      </c>
      <c r="W136" s="351"/>
      <c r="X136" s="616"/>
      <c r="Y136" s="351"/>
      <c r="Z136" s="617"/>
      <c r="AA136" s="351"/>
      <c r="AB136" s="616"/>
      <c r="AC136" s="351"/>
      <c r="AD136" s="607"/>
      <c r="AE136" s="351"/>
      <c r="AF136" s="616"/>
      <c r="AG136" s="351"/>
      <c r="AH136" s="607"/>
      <c r="AI136" s="351"/>
      <c r="AJ136" s="616"/>
      <c r="AK136" s="351"/>
      <c r="AL136" s="622"/>
      <c r="AM136" s="350"/>
      <c r="AN136" s="350"/>
      <c r="AO136" s="350"/>
      <c r="AP136" s="350"/>
      <c r="AQ136" s="350"/>
      <c r="AR136" s="350"/>
      <c r="AS136" s="350"/>
      <c r="AT136" s="350"/>
      <c r="AU136" s="350"/>
      <c r="AV136" s="350"/>
      <c r="AW136" s="350"/>
      <c r="AX136" s="350"/>
      <c r="AY136" s="350"/>
      <c r="AZ136" s="350"/>
      <c r="BA136" s="350"/>
      <c r="BB136" s="351"/>
    </row>
    <row r="137" spans="1:54" ht="15.75" customHeight="1">
      <c r="A137" s="25">
        <f t="shared" si="0"/>
        <v>124</v>
      </c>
      <c r="B137" s="599" t="str">
        <f>'refer admin discharge'!B134</f>
        <v>x</v>
      </c>
      <c r="C137" s="351"/>
      <c r="D137" s="600" t="str">
        <f>'refer admin discharge'!D134</f>
        <v>xx</v>
      </c>
      <c r="E137" s="351"/>
      <c r="F137" s="609" t="str">
        <f>'refer admin discharge'!H134</f>
        <v>00/00/0000</v>
      </c>
      <c r="G137" s="351"/>
      <c r="H137" s="610"/>
      <c r="I137" s="351"/>
      <c r="J137" s="611"/>
      <c r="K137" s="351"/>
      <c r="L137" s="610"/>
      <c r="M137" s="351"/>
      <c r="N137" s="612"/>
      <c r="O137" s="351"/>
      <c r="P137" s="610"/>
      <c r="Q137" s="351"/>
      <c r="R137" s="612"/>
      <c r="S137" s="351"/>
      <c r="T137" s="610"/>
      <c r="U137" s="351"/>
      <c r="V137" s="613" t="str">
        <f>'refer admin discharge'!H138</f>
        <v>00/00/0000</v>
      </c>
      <c r="W137" s="351"/>
      <c r="X137" s="607"/>
      <c r="Y137" s="351"/>
      <c r="Z137" s="614"/>
      <c r="AA137" s="351"/>
      <c r="AB137" s="607"/>
      <c r="AC137" s="351"/>
      <c r="AD137" s="606"/>
      <c r="AE137" s="351"/>
      <c r="AF137" s="607"/>
      <c r="AG137" s="351"/>
      <c r="AH137" s="606"/>
      <c r="AI137" s="351"/>
      <c r="AJ137" s="607"/>
      <c r="AK137" s="351"/>
      <c r="AL137" s="608"/>
      <c r="AM137" s="350"/>
      <c r="AN137" s="350"/>
      <c r="AO137" s="350"/>
      <c r="AP137" s="350"/>
      <c r="AQ137" s="350"/>
      <c r="AR137" s="350"/>
      <c r="AS137" s="350"/>
      <c r="AT137" s="350"/>
      <c r="AU137" s="350"/>
      <c r="AV137" s="350"/>
      <c r="AW137" s="350"/>
      <c r="AX137" s="350"/>
      <c r="AY137" s="350"/>
      <c r="AZ137" s="350"/>
      <c r="BA137" s="350"/>
      <c r="BB137" s="351"/>
    </row>
    <row r="138" spans="1:54" ht="15.75" customHeight="1">
      <c r="A138" s="25">
        <f t="shared" si="0"/>
        <v>125</v>
      </c>
      <c r="B138" s="618" t="str">
        <f>'refer admin discharge'!B135</f>
        <v>x</v>
      </c>
      <c r="C138" s="351"/>
      <c r="D138" s="619" t="str">
        <f>'refer admin discharge'!D135</f>
        <v>xx</v>
      </c>
      <c r="E138" s="351"/>
      <c r="F138" s="620" t="str">
        <f>'refer admin discharge'!H135</f>
        <v>00/00/0000</v>
      </c>
      <c r="G138" s="351"/>
      <c r="H138" s="615"/>
      <c r="I138" s="351"/>
      <c r="J138" s="621"/>
      <c r="K138" s="351"/>
      <c r="L138" s="615"/>
      <c r="M138" s="351"/>
      <c r="N138" s="610"/>
      <c r="O138" s="351"/>
      <c r="P138" s="615"/>
      <c r="Q138" s="351"/>
      <c r="R138" s="610"/>
      <c r="S138" s="351"/>
      <c r="T138" s="615"/>
      <c r="U138" s="351"/>
      <c r="V138" s="613" t="str">
        <f>'refer admin discharge'!H139</f>
        <v>00/00/0000</v>
      </c>
      <c r="W138" s="351"/>
      <c r="X138" s="616"/>
      <c r="Y138" s="351"/>
      <c r="Z138" s="617"/>
      <c r="AA138" s="351"/>
      <c r="AB138" s="616"/>
      <c r="AC138" s="351"/>
      <c r="AD138" s="607"/>
      <c r="AE138" s="351"/>
      <c r="AF138" s="616"/>
      <c r="AG138" s="351"/>
      <c r="AH138" s="607"/>
      <c r="AI138" s="351"/>
      <c r="AJ138" s="616"/>
      <c r="AK138" s="351"/>
      <c r="AL138" s="622"/>
      <c r="AM138" s="350"/>
      <c r="AN138" s="350"/>
      <c r="AO138" s="350"/>
      <c r="AP138" s="350"/>
      <c r="AQ138" s="350"/>
      <c r="AR138" s="350"/>
      <c r="AS138" s="350"/>
      <c r="AT138" s="350"/>
      <c r="AU138" s="350"/>
      <c r="AV138" s="350"/>
      <c r="AW138" s="350"/>
      <c r="AX138" s="350"/>
      <c r="AY138" s="350"/>
      <c r="AZ138" s="350"/>
      <c r="BA138" s="350"/>
      <c r="BB138" s="351"/>
    </row>
    <row r="139" spans="1:54" ht="15.75" customHeight="1">
      <c r="A139" s="25">
        <f t="shared" si="0"/>
        <v>126</v>
      </c>
      <c r="B139" s="599" t="str">
        <f>'refer admin discharge'!B136</f>
        <v>x</v>
      </c>
      <c r="C139" s="351"/>
      <c r="D139" s="600" t="str">
        <f>'refer admin discharge'!D136</f>
        <v>xx</v>
      </c>
      <c r="E139" s="351"/>
      <c r="F139" s="609" t="str">
        <f>'refer admin discharge'!H136</f>
        <v>00/00/0000</v>
      </c>
      <c r="G139" s="351"/>
      <c r="H139" s="610"/>
      <c r="I139" s="351"/>
      <c r="J139" s="611"/>
      <c r="K139" s="351"/>
      <c r="L139" s="610"/>
      <c r="M139" s="351"/>
      <c r="N139" s="612"/>
      <c r="O139" s="351"/>
      <c r="P139" s="610"/>
      <c r="Q139" s="351"/>
      <c r="R139" s="612"/>
      <c r="S139" s="351"/>
      <c r="T139" s="610"/>
      <c r="U139" s="351"/>
      <c r="V139" s="613" t="str">
        <f>'refer admin discharge'!H140</f>
        <v>00/00/0000</v>
      </c>
      <c r="W139" s="351"/>
      <c r="X139" s="607"/>
      <c r="Y139" s="351"/>
      <c r="Z139" s="614"/>
      <c r="AA139" s="351"/>
      <c r="AB139" s="607"/>
      <c r="AC139" s="351"/>
      <c r="AD139" s="606"/>
      <c r="AE139" s="351"/>
      <c r="AF139" s="607"/>
      <c r="AG139" s="351"/>
      <c r="AH139" s="606"/>
      <c r="AI139" s="351"/>
      <c r="AJ139" s="607"/>
      <c r="AK139" s="351"/>
      <c r="AL139" s="608"/>
      <c r="AM139" s="350"/>
      <c r="AN139" s="350"/>
      <c r="AO139" s="350"/>
      <c r="AP139" s="350"/>
      <c r="AQ139" s="350"/>
      <c r="AR139" s="350"/>
      <c r="AS139" s="350"/>
      <c r="AT139" s="350"/>
      <c r="AU139" s="350"/>
      <c r="AV139" s="350"/>
      <c r="AW139" s="350"/>
      <c r="AX139" s="350"/>
      <c r="AY139" s="350"/>
      <c r="AZ139" s="350"/>
      <c r="BA139" s="350"/>
      <c r="BB139" s="351"/>
    </row>
    <row r="140" spans="1:54" ht="15.75" customHeight="1">
      <c r="A140" s="25">
        <f t="shared" si="0"/>
        <v>127</v>
      </c>
      <c r="B140" s="618" t="str">
        <f>'refer admin discharge'!B137</f>
        <v>x</v>
      </c>
      <c r="C140" s="351"/>
      <c r="D140" s="619" t="str">
        <f>'refer admin discharge'!D137</f>
        <v>xx</v>
      </c>
      <c r="E140" s="351"/>
      <c r="F140" s="620" t="str">
        <f>'refer admin discharge'!H137</f>
        <v>00/00/0000</v>
      </c>
      <c r="G140" s="351"/>
      <c r="H140" s="615"/>
      <c r="I140" s="351"/>
      <c r="J140" s="621"/>
      <c r="K140" s="351"/>
      <c r="L140" s="615"/>
      <c r="M140" s="351"/>
      <c r="N140" s="610"/>
      <c r="O140" s="351"/>
      <c r="P140" s="615"/>
      <c r="Q140" s="351"/>
      <c r="R140" s="610"/>
      <c r="S140" s="351"/>
      <c r="T140" s="615"/>
      <c r="U140" s="351"/>
      <c r="V140" s="613" t="str">
        <f>'refer admin discharge'!H141</f>
        <v>00/00/0000</v>
      </c>
      <c r="W140" s="351"/>
      <c r="X140" s="616"/>
      <c r="Y140" s="351"/>
      <c r="Z140" s="617"/>
      <c r="AA140" s="351"/>
      <c r="AB140" s="616"/>
      <c r="AC140" s="351"/>
      <c r="AD140" s="607"/>
      <c r="AE140" s="351"/>
      <c r="AF140" s="616"/>
      <c r="AG140" s="351"/>
      <c r="AH140" s="607"/>
      <c r="AI140" s="351"/>
      <c r="AJ140" s="616"/>
      <c r="AK140" s="351"/>
      <c r="AL140" s="622"/>
      <c r="AM140" s="350"/>
      <c r="AN140" s="350"/>
      <c r="AO140" s="350"/>
      <c r="AP140" s="350"/>
      <c r="AQ140" s="350"/>
      <c r="AR140" s="350"/>
      <c r="AS140" s="350"/>
      <c r="AT140" s="350"/>
      <c r="AU140" s="350"/>
      <c r="AV140" s="350"/>
      <c r="AW140" s="350"/>
      <c r="AX140" s="350"/>
      <c r="AY140" s="350"/>
      <c r="AZ140" s="350"/>
      <c r="BA140" s="350"/>
      <c r="BB140" s="351"/>
    </row>
    <row r="141" spans="1:54" ht="15.75" customHeight="1">
      <c r="A141" s="25">
        <f t="shared" si="0"/>
        <v>128</v>
      </c>
      <c r="B141" s="599" t="str">
        <f>'refer admin discharge'!B138</f>
        <v>x</v>
      </c>
      <c r="C141" s="351"/>
      <c r="D141" s="600" t="str">
        <f>'refer admin discharge'!D138</f>
        <v>xx</v>
      </c>
      <c r="E141" s="351"/>
      <c r="F141" s="609" t="str">
        <f>'refer admin discharge'!H138</f>
        <v>00/00/0000</v>
      </c>
      <c r="G141" s="351"/>
      <c r="H141" s="610"/>
      <c r="I141" s="351"/>
      <c r="J141" s="611"/>
      <c r="K141" s="351"/>
      <c r="L141" s="610"/>
      <c r="M141" s="351"/>
      <c r="N141" s="612"/>
      <c r="O141" s="351"/>
      <c r="P141" s="610"/>
      <c r="Q141" s="351"/>
      <c r="R141" s="612"/>
      <c r="S141" s="351"/>
      <c r="T141" s="610"/>
      <c r="U141" s="351"/>
      <c r="V141" s="613" t="str">
        <f>'refer admin discharge'!H142</f>
        <v>00/00/0000</v>
      </c>
      <c r="W141" s="351"/>
      <c r="X141" s="607"/>
      <c r="Y141" s="351"/>
      <c r="Z141" s="614"/>
      <c r="AA141" s="351"/>
      <c r="AB141" s="607"/>
      <c r="AC141" s="351"/>
      <c r="AD141" s="606"/>
      <c r="AE141" s="351"/>
      <c r="AF141" s="607"/>
      <c r="AG141" s="351"/>
      <c r="AH141" s="606"/>
      <c r="AI141" s="351"/>
      <c r="AJ141" s="607"/>
      <c r="AK141" s="351"/>
      <c r="AL141" s="608"/>
      <c r="AM141" s="350"/>
      <c r="AN141" s="350"/>
      <c r="AO141" s="350"/>
      <c r="AP141" s="350"/>
      <c r="AQ141" s="350"/>
      <c r="AR141" s="350"/>
      <c r="AS141" s="350"/>
      <c r="AT141" s="350"/>
      <c r="AU141" s="350"/>
      <c r="AV141" s="350"/>
      <c r="AW141" s="350"/>
      <c r="AX141" s="350"/>
      <c r="AY141" s="350"/>
      <c r="AZ141" s="350"/>
      <c r="BA141" s="350"/>
      <c r="BB141" s="351"/>
    </row>
    <row r="142" spans="1:54" ht="15.75" customHeight="1">
      <c r="A142" s="25">
        <f t="shared" si="0"/>
        <v>129</v>
      </c>
      <c r="B142" s="618" t="str">
        <f>'refer admin discharge'!B139</f>
        <v>x</v>
      </c>
      <c r="C142" s="351"/>
      <c r="D142" s="619" t="str">
        <f>'refer admin discharge'!D139</f>
        <v>xx</v>
      </c>
      <c r="E142" s="351"/>
      <c r="F142" s="620" t="str">
        <f>'refer admin discharge'!H139</f>
        <v>00/00/0000</v>
      </c>
      <c r="G142" s="351"/>
      <c r="H142" s="615"/>
      <c r="I142" s="351"/>
      <c r="J142" s="621"/>
      <c r="K142" s="351"/>
      <c r="L142" s="615"/>
      <c r="M142" s="351"/>
      <c r="N142" s="610"/>
      <c r="O142" s="351"/>
      <c r="P142" s="615"/>
      <c r="Q142" s="351"/>
      <c r="R142" s="610"/>
      <c r="S142" s="351"/>
      <c r="T142" s="615"/>
      <c r="U142" s="351"/>
      <c r="V142" s="613" t="str">
        <f>'refer admin discharge'!H143</f>
        <v>00/00/0000</v>
      </c>
      <c r="W142" s="351"/>
      <c r="X142" s="616"/>
      <c r="Y142" s="351"/>
      <c r="Z142" s="617"/>
      <c r="AA142" s="351"/>
      <c r="AB142" s="616"/>
      <c r="AC142" s="351"/>
      <c r="AD142" s="607"/>
      <c r="AE142" s="351"/>
      <c r="AF142" s="616"/>
      <c r="AG142" s="351"/>
      <c r="AH142" s="607"/>
      <c r="AI142" s="351"/>
      <c r="AJ142" s="616"/>
      <c r="AK142" s="351"/>
      <c r="AL142" s="622"/>
      <c r="AM142" s="350"/>
      <c r="AN142" s="350"/>
      <c r="AO142" s="350"/>
      <c r="AP142" s="350"/>
      <c r="AQ142" s="350"/>
      <c r="AR142" s="350"/>
      <c r="AS142" s="350"/>
      <c r="AT142" s="350"/>
      <c r="AU142" s="350"/>
      <c r="AV142" s="350"/>
      <c r="AW142" s="350"/>
      <c r="AX142" s="350"/>
      <c r="AY142" s="350"/>
      <c r="AZ142" s="350"/>
      <c r="BA142" s="350"/>
      <c r="BB142" s="351"/>
    </row>
    <row r="143" spans="1:54" ht="15.75" customHeight="1">
      <c r="A143" s="25">
        <f t="shared" si="0"/>
        <v>130</v>
      </c>
      <c r="B143" s="599" t="str">
        <f>'refer admin discharge'!B140</f>
        <v>x</v>
      </c>
      <c r="C143" s="351"/>
      <c r="D143" s="600" t="str">
        <f>'refer admin discharge'!D140</f>
        <v>xx</v>
      </c>
      <c r="E143" s="351"/>
      <c r="F143" s="609" t="str">
        <f>'refer admin discharge'!H140</f>
        <v>00/00/0000</v>
      </c>
      <c r="G143" s="351"/>
      <c r="H143" s="610"/>
      <c r="I143" s="351"/>
      <c r="J143" s="611"/>
      <c r="K143" s="351"/>
      <c r="L143" s="610"/>
      <c r="M143" s="351"/>
      <c r="N143" s="612"/>
      <c r="O143" s="351"/>
      <c r="P143" s="610"/>
      <c r="Q143" s="351"/>
      <c r="R143" s="612"/>
      <c r="S143" s="351"/>
      <c r="T143" s="610"/>
      <c r="U143" s="351"/>
      <c r="V143" s="613" t="str">
        <f>'refer admin discharge'!H144</f>
        <v>00/00/0000</v>
      </c>
      <c r="W143" s="351"/>
      <c r="X143" s="607"/>
      <c r="Y143" s="351"/>
      <c r="Z143" s="614"/>
      <c r="AA143" s="351"/>
      <c r="AB143" s="607"/>
      <c r="AC143" s="351"/>
      <c r="AD143" s="606"/>
      <c r="AE143" s="351"/>
      <c r="AF143" s="607"/>
      <c r="AG143" s="351"/>
      <c r="AH143" s="606"/>
      <c r="AI143" s="351"/>
      <c r="AJ143" s="607"/>
      <c r="AK143" s="351"/>
      <c r="AL143" s="608"/>
      <c r="AM143" s="350"/>
      <c r="AN143" s="350"/>
      <c r="AO143" s="350"/>
      <c r="AP143" s="350"/>
      <c r="AQ143" s="350"/>
      <c r="AR143" s="350"/>
      <c r="AS143" s="350"/>
      <c r="AT143" s="350"/>
      <c r="AU143" s="350"/>
      <c r="AV143" s="350"/>
      <c r="AW143" s="350"/>
      <c r="AX143" s="350"/>
      <c r="AY143" s="350"/>
      <c r="AZ143" s="350"/>
      <c r="BA143" s="350"/>
      <c r="BB143" s="351"/>
    </row>
    <row r="144" spans="1:54" ht="15.75" customHeight="1">
      <c r="A144" s="25">
        <f t="shared" si="0"/>
        <v>131</v>
      </c>
      <c r="B144" s="618" t="str">
        <f>'refer admin discharge'!B141</f>
        <v>x</v>
      </c>
      <c r="C144" s="351"/>
      <c r="D144" s="619" t="str">
        <f>'refer admin discharge'!D141</f>
        <v>xx</v>
      </c>
      <c r="E144" s="351"/>
      <c r="F144" s="620" t="str">
        <f>'refer admin discharge'!H141</f>
        <v>00/00/0000</v>
      </c>
      <c r="G144" s="351"/>
      <c r="H144" s="615"/>
      <c r="I144" s="351"/>
      <c r="J144" s="621"/>
      <c r="K144" s="351"/>
      <c r="L144" s="615"/>
      <c r="M144" s="351"/>
      <c r="N144" s="610"/>
      <c r="O144" s="351"/>
      <c r="P144" s="615"/>
      <c r="Q144" s="351"/>
      <c r="R144" s="610"/>
      <c r="S144" s="351"/>
      <c r="T144" s="615"/>
      <c r="U144" s="351"/>
      <c r="V144" s="613" t="str">
        <f>'refer admin discharge'!H145</f>
        <v>00/00/0000</v>
      </c>
      <c r="W144" s="351"/>
      <c r="X144" s="616"/>
      <c r="Y144" s="351"/>
      <c r="Z144" s="617"/>
      <c r="AA144" s="351"/>
      <c r="AB144" s="616"/>
      <c r="AC144" s="351"/>
      <c r="AD144" s="607"/>
      <c r="AE144" s="351"/>
      <c r="AF144" s="616"/>
      <c r="AG144" s="351"/>
      <c r="AH144" s="607"/>
      <c r="AI144" s="351"/>
      <c r="AJ144" s="616"/>
      <c r="AK144" s="351"/>
      <c r="AL144" s="622"/>
      <c r="AM144" s="350"/>
      <c r="AN144" s="350"/>
      <c r="AO144" s="350"/>
      <c r="AP144" s="350"/>
      <c r="AQ144" s="350"/>
      <c r="AR144" s="350"/>
      <c r="AS144" s="350"/>
      <c r="AT144" s="350"/>
      <c r="AU144" s="350"/>
      <c r="AV144" s="350"/>
      <c r="AW144" s="350"/>
      <c r="AX144" s="350"/>
      <c r="AY144" s="350"/>
      <c r="AZ144" s="350"/>
      <c r="BA144" s="350"/>
      <c r="BB144" s="351"/>
    </row>
    <row r="145" spans="1:54" ht="15.75" customHeight="1">
      <c r="A145" s="25">
        <f t="shared" si="0"/>
        <v>132</v>
      </c>
      <c r="B145" s="599" t="str">
        <f>'refer admin discharge'!B142</f>
        <v>x</v>
      </c>
      <c r="C145" s="351"/>
      <c r="D145" s="600" t="str">
        <f>'refer admin discharge'!D142</f>
        <v>xx</v>
      </c>
      <c r="E145" s="351"/>
      <c r="F145" s="609" t="str">
        <f>'refer admin discharge'!H142</f>
        <v>00/00/0000</v>
      </c>
      <c r="G145" s="351"/>
      <c r="H145" s="610"/>
      <c r="I145" s="351"/>
      <c r="J145" s="611"/>
      <c r="K145" s="351"/>
      <c r="L145" s="610"/>
      <c r="M145" s="351"/>
      <c r="N145" s="612"/>
      <c r="O145" s="351"/>
      <c r="P145" s="610"/>
      <c r="Q145" s="351"/>
      <c r="R145" s="612"/>
      <c r="S145" s="351"/>
      <c r="T145" s="610"/>
      <c r="U145" s="351"/>
      <c r="V145" s="613" t="str">
        <f>'refer admin discharge'!H146</f>
        <v>00/00/0000</v>
      </c>
      <c r="W145" s="351"/>
      <c r="X145" s="607"/>
      <c r="Y145" s="351"/>
      <c r="Z145" s="614"/>
      <c r="AA145" s="351"/>
      <c r="AB145" s="607"/>
      <c r="AC145" s="351"/>
      <c r="AD145" s="606"/>
      <c r="AE145" s="351"/>
      <c r="AF145" s="607"/>
      <c r="AG145" s="351"/>
      <c r="AH145" s="606"/>
      <c r="AI145" s="351"/>
      <c r="AJ145" s="607"/>
      <c r="AK145" s="351"/>
      <c r="AL145" s="608"/>
      <c r="AM145" s="350"/>
      <c r="AN145" s="350"/>
      <c r="AO145" s="350"/>
      <c r="AP145" s="350"/>
      <c r="AQ145" s="350"/>
      <c r="AR145" s="350"/>
      <c r="AS145" s="350"/>
      <c r="AT145" s="350"/>
      <c r="AU145" s="350"/>
      <c r="AV145" s="350"/>
      <c r="AW145" s="350"/>
      <c r="AX145" s="350"/>
      <c r="AY145" s="350"/>
      <c r="AZ145" s="350"/>
      <c r="BA145" s="350"/>
      <c r="BB145" s="351"/>
    </row>
    <row r="146" spans="1:54" ht="15.75" customHeight="1">
      <c r="A146" s="25">
        <f t="shared" si="0"/>
        <v>133</v>
      </c>
      <c r="B146" s="618" t="str">
        <f>'refer admin discharge'!B143</f>
        <v>x</v>
      </c>
      <c r="C146" s="351"/>
      <c r="D146" s="619" t="str">
        <f>'refer admin discharge'!D143</f>
        <v>xx</v>
      </c>
      <c r="E146" s="351"/>
      <c r="F146" s="620" t="str">
        <f>'refer admin discharge'!H143</f>
        <v>00/00/0000</v>
      </c>
      <c r="G146" s="351"/>
      <c r="H146" s="615"/>
      <c r="I146" s="351"/>
      <c r="J146" s="621"/>
      <c r="K146" s="351"/>
      <c r="L146" s="615"/>
      <c r="M146" s="351"/>
      <c r="N146" s="610"/>
      <c r="O146" s="351"/>
      <c r="P146" s="615"/>
      <c r="Q146" s="351"/>
      <c r="R146" s="610"/>
      <c r="S146" s="351"/>
      <c r="T146" s="615"/>
      <c r="U146" s="351"/>
      <c r="V146" s="613" t="str">
        <f>'refer admin discharge'!H147</f>
        <v>00/00/0000</v>
      </c>
      <c r="W146" s="351"/>
      <c r="X146" s="616"/>
      <c r="Y146" s="351"/>
      <c r="Z146" s="617"/>
      <c r="AA146" s="351"/>
      <c r="AB146" s="616"/>
      <c r="AC146" s="351"/>
      <c r="AD146" s="607"/>
      <c r="AE146" s="351"/>
      <c r="AF146" s="616"/>
      <c r="AG146" s="351"/>
      <c r="AH146" s="607"/>
      <c r="AI146" s="351"/>
      <c r="AJ146" s="616"/>
      <c r="AK146" s="351"/>
      <c r="AL146" s="622"/>
      <c r="AM146" s="350"/>
      <c r="AN146" s="350"/>
      <c r="AO146" s="350"/>
      <c r="AP146" s="350"/>
      <c r="AQ146" s="350"/>
      <c r="AR146" s="350"/>
      <c r="AS146" s="350"/>
      <c r="AT146" s="350"/>
      <c r="AU146" s="350"/>
      <c r="AV146" s="350"/>
      <c r="AW146" s="350"/>
      <c r="AX146" s="350"/>
      <c r="AY146" s="350"/>
      <c r="AZ146" s="350"/>
      <c r="BA146" s="350"/>
      <c r="BB146" s="351"/>
    </row>
    <row r="147" spans="1:54" ht="15.75" customHeight="1">
      <c r="A147" s="25">
        <f t="shared" si="0"/>
        <v>134</v>
      </c>
      <c r="B147" s="599" t="str">
        <f>'refer admin discharge'!B144</f>
        <v>x</v>
      </c>
      <c r="C147" s="351"/>
      <c r="D147" s="600" t="str">
        <f>'refer admin discharge'!D144</f>
        <v>xx</v>
      </c>
      <c r="E147" s="351"/>
      <c r="F147" s="609" t="str">
        <f>'refer admin discharge'!H144</f>
        <v>00/00/0000</v>
      </c>
      <c r="G147" s="351"/>
      <c r="H147" s="610"/>
      <c r="I147" s="351"/>
      <c r="J147" s="611"/>
      <c r="K147" s="351"/>
      <c r="L147" s="610"/>
      <c r="M147" s="351"/>
      <c r="N147" s="612"/>
      <c r="O147" s="351"/>
      <c r="P147" s="610"/>
      <c r="Q147" s="351"/>
      <c r="R147" s="612"/>
      <c r="S147" s="351"/>
      <c r="T147" s="610"/>
      <c r="U147" s="351"/>
      <c r="V147" s="613" t="str">
        <f>'refer admin discharge'!H148</f>
        <v>00/00/0000</v>
      </c>
      <c r="W147" s="351"/>
      <c r="X147" s="607"/>
      <c r="Y147" s="351"/>
      <c r="Z147" s="614"/>
      <c r="AA147" s="351"/>
      <c r="AB147" s="607"/>
      <c r="AC147" s="351"/>
      <c r="AD147" s="606"/>
      <c r="AE147" s="351"/>
      <c r="AF147" s="607"/>
      <c r="AG147" s="351"/>
      <c r="AH147" s="606"/>
      <c r="AI147" s="351"/>
      <c r="AJ147" s="607"/>
      <c r="AK147" s="351"/>
      <c r="AL147" s="608"/>
      <c r="AM147" s="350"/>
      <c r="AN147" s="350"/>
      <c r="AO147" s="350"/>
      <c r="AP147" s="350"/>
      <c r="AQ147" s="350"/>
      <c r="AR147" s="350"/>
      <c r="AS147" s="350"/>
      <c r="AT147" s="350"/>
      <c r="AU147" s="350"/>
      <c r="AV147" s="350"/>
      <c r="AW147" s="350"/>
      <c r="AX147" s="350"/>
      <c r="AY147" s="350"/>
      <c r="AZ147" s="350"/>
      <c r="BA147" s="350"/>
      <c r="BB147" s="351"/>
    </row>
    <row r="148" spans="1:54" ht="15.75" customHeight="1">
      <c r="A148" s="25">
        <f t="shared" si="0"/>
        <v>135</v>
      </c>
      <c r="B148" s="618" t="str">
        <f>'refer admin discharge'!B145</f>
        <v>x</v>
      </c>
      <c r="C148" s="351"/>
      <c r="D148" s="619" t="str">
        <f>'refer admin discharge'!D145</f>
        <v>xx</v>
      </c>
      <c r="E148" s="351"/>
      <c r="F148" s="620" t="str">
        <f>'refer admin discharge'!H145</f>
        <v>00/00/0000</v>
      </c>
      <c r="G148" s="351"/>
      <c r="H148" s="615"/>
      <c r="I148" s="351"/>
      <c r="J148" s="621"/>
      <c r="K148" s="351"/>
      <c r="L148" s="615"/>
      <c r="M148" s="351"/>
      <c r="N148" s="610"/>
      <c r="O148" s="351"/>
      <c r="P148" s="615"/>
      <c r="Q148" s="351"/>
      <c r="R148" s="610"/>
      <c r="S148" s="351"/>
      <c r="T148" s="615"/>
      <c r="U148" s="351"/>
      <c r="V148" s="613" t="str">
        <f>'refer admin discharge'!H149</f>
        <v>00/00/0000</v>
      </c>
      <c r="W148" s="351"/>
      <c r="X148" s="616"/>
      <c r="Y148" s="351"/>
      <c r="Z148" s="617"/>
      <c r="AA148" s="351"/>
      <c r="AB148" s="616"/>
      <c r="AC148" s="351"/>
      <c r="AD148" s="607"/>
      <c r="AE148" s="351"/>
      <c r="AF148" s="616"/>
      <c r="AG148" s="351"/>
      <c r="AH148" s="607"/>
      <c r="AI148" s="351"/>
      <c r="AJ148" s="616"/>
      <c r="AK148" s="351"/>
      <c r="AL148" s="622"/>
      <c r="AM148" s="350"/>
      <c r="AN148" s="350"/>
      <c r="AO148" s="350"/>
      <c r="AP148" s="350"/>
      <c r="AQ148" s="350"/>
      <c r="AR148" s="350"/>
      <c r="AS148" s="350"/>
      <c r="AT148" s="350"/>
      <c r="AU148" s="350"/>
      <c r="AV148" s="350"/>
      <c r="AW148" s="350"/>
      <c r="AX148" s="350"/>
      <c r="AY148" s="350"/>
      <c r="AZ148" s="350"/>
      <c r="BA148" s="350"/>
      <c r="BB148" s="351"/>
    </row>
    <row r="149" spans="1:54" ht="15.75" customHeight="1">
      <c r="A149" s="25">
        <f t="shared" si="0"/>
        <v>136</v>
      </c>
      <c r="B149" s="599" t="str">
        <f>'refer admin discharge'!B146</f>
        <v>x</v>
      </c>
      <c r="C149" s="351"/>
      <c r="D149" s="600" t="str">
        <f>'refer admin discharge'!D146</f>
        <v>xx</v>
      </c>
      <c r="E149" s="351"/>
      <c r="F149" s="609" t="str">
        <f>'refer admin discharge'!H146</f>
        <v>00/00/0000</v>
      </c>
      <c r="G149" s="351"/>
      <c r="H149" s="610"/>
      <c r="I149" s="351"/>
      <c r="J149" s="611"/>
      <c r="K149" s="351"/>
      <c r="L149" s="610"/>
      <c r="M149" s="351"/>
      <c r="N149" s="612"/>
      <c r="O149" s="351"/>
      <c r="P149" s="610"/>
      <c r="Q149" s="351"/>
      <c r="R149" s="612"/>
      <c r="S149" s="351"/>
      <c r="T149" s="610"/>
      <c r="U149" s="351"/>
      <c r="V149" s="613" t="str">
        <f>'refer admin discharge'!H150</f>
        <v>00/00/0000</v>
      </c>
      <c r="W149" s="351"/>
      <c r="X149" s="607"/>
      <c r="Y149" s="351"/>
      <c r="Z149" s="614"/>
      <c r="AA149" s="351"/>
      <c r="AB149" s="607"/>
      <c r="AC149" s="351"/>
      <c r="AD149" s="606"/>
      <c r="AE149" s="351"/>
      <c r="AF149" s="607"/>
      <c r="AG149" s="351"/>
      <c r="AH149" s="606"/>
      <c r="AI149" s="351"/>
      <c r="AJ149" s="607"/>
      <c r="AK149" s="351"/>
      <c r="AL149" s="608"/>
      <c r="AM149" s="350"/>
      <c r="AN149" s="350"/>
      <c r="AO149" s="350"/>
      <c r="AP149" s="350"/>
      <c r="AQ149" s="350"/>
      <c r="AR149" s="350"/>
      <c r="AS149" s="350"/>
      <c r="AT149" s="350"/>
      <c r="AU149" s="350"/>
      <c r="AV149" s="350"/>
      <c r="AW149" s="350"/>
      <c r="AX149" s="350"/>
      <c r="AY149" s="350"/>
      <c r="AZ149" s="350"/>
      <c r="BA149" s="350"/>
      <c r="BB149" s="351"/>
    </row>
    <row r="150" spans="1:54" ht="15.75" customHeight="1">
      <c r="A150" s="25">
        <f t="shared" si="0"/>
        <v>137</v>
      </c>
      <c r="B150" s="618" t="str">
        <f>'refer admin discharge'!B147</f>
        <v>x</v>
      </c>
      <c r="C150" s="351"/>
      <c r="D150" s="619" t="str">
        <f>'refer admin discharge'!D147</f>
        <v>xx</v>
      </c>
      <c r="E150" s="351"/>
      <c r="F150" s="620" t="str">
        <f>'refer admin discharge'!H147</f>
        <v>00/00/0000</v>
      </c>
      <c r="G150" s="351"/>
      <c r="H150" s="615"/>
      <c r="I150" s="351"/>
      <c r="J150" s="621"/>
      <c r="K150" s="351"/>
      <c r="L150" s="615"/>
      <c r="M150" s="351"/>
      <c r="N150" s="610"/>
      <c r="O150" s="351"/>
      <c r="P150" s="615"/>
      <c r="Q150" s="351"/>
      <c r="R150" s="610"/>
      <c r="S150" s="351"/>
      <c r="T150" s="615"/>
      <c r="U150" s="351"/>
      <c r="V150" s="613" t="str">
        <f>'refer admin discharge'!H151</f>
        <v>00/00/0000</v>
      </c>
      <c r="W150" s="351"/>
      <c r="X150" s="616"/>
      <c r="Y150" s="351"/>
      <c r="Z150" s="617"/>
      <c r="AA150" s="351"/>
      <c r="AB150" s="616"/>
      <c r="AC150" s="351"/>
      <c r="AD150" s="607"/>
      <c r="AE150" s="351"/>
      <c r="AF150" s="616"/>
      <c r="AG150" s="351"/>
      <c r="AH150" s="607"/>
      <c r="AI150" s="351"/>
      <c r="AJ150" s="616"/>
      <c r="AK150" s="351"/>
      <c r="AL150" s="622"/>
      <c r="AM150" s="350"/>
      <c r="AN150" s="350"/>
      <c r="AO150" s="350"/>
      <c r="AP150" s="350"/>
      <c r="AQ150" s="350"/>
      <c r="AR150" s="350"/>
      <c r="AS150" s="350"/>
      <c r="AT150" s="350"/>
      <c r="AU150" s="350"/>
      <c r="AV150" s="350"/>
      <c r="AW150" s="350"/>
      <c r="AX150" s="350"/>
      <c r="AY150" s="350"/>
      <c r="AZ150" s="350"/>
      <c r="BA150" s="350"/>
      <c r="BB150" s="351"/>
    </row>
    <row r="151" spans="1:54" ht="15.75" customHeight="1">
      <c r="A151" s="25">
        <f t="shared" si="0"/>
        <v>138</v>
      </c>
      <c r="B151" s="599" t="str">
        <f>'refer admin discharge'!B148</f>
        <v>x</v>
      </c>
      <c r="C151" s="351"/>
      <c r="D151" s="600" t="str">
        <f>'refer admin discharge'!D148</f>
        <v>xx</v>
      </c>
      <c r="E151" s="351"/>
      <c r="F151" s="609" t="str">
        <f>'refer admin discharge'!H148</f>
        <v>00/00/0000</v>
      </c>
      <c r="G151" s="351"/>
      <c r="H151" s="610"/>
      <c r="I151" s="351"/>
      <c r="J151" s="611"/>
      <c r="K151" s="351"/>
      <c r="L151" s="610"/>
      <c r="M151" s="351"/>
      <c r="N151" s="612"/>
      <c r="O151" s="351"/>
      <c r="P151" s="610"/>
      <c r="Q151" s="351"/>
      <c r="R151" s="612"/>
      <c r="S151" s="351"/>
      <c r="T151" s="610"/>
      <c r="U151" s="351"/>
      <c r="V151" s="613" t="str">
        <f>'refer admin discharge'!H152</f>
        <v>00/00/0000</v>
      </c>
      <c r="W151" s="351"/>
      <c r="X151" s="607"/>
      <c r="Y151" s="351"/>
      <c r="Z151" s="614"/>
      <c r="AA151" s="351"/>
      <c r="AB151" s="607"/>
      <c r="AC151" s="351"/>
      <c r="AD151" s="606"/>
      <c r="AE151" s="351"/>
      <c r="AF151" s="607"/>
      <c r="AG151" s="351"/>
      <c r="AH151" s="606"/>
      <c r="AI151" s="351"/>
      <c r="AJ151" s="607"/>
      <c r="AK151" s="351"/>
      <c r="AL151" s="608"/>
      <c r="AM151" s="350"/>
      <c r="AN151" s="350"/>
      <c r="AO151" s="350"/>
      <c r="AP151" s="350"/>
      <c r="AQ151" s="350"/>
      <c r="AR151" s="350"/>
      <c r="AS151" s="350"/>
      <c r="AT151" s="350"/>
      <c r="AU151" s="350"/>
      <c r="AV151" s="350"/>
      <c r="AW151" s="350"/>
      <c r="AX151" s="350"/>
      <c r="AY151" s="350"/>
      <c r="AZ151" s="350"/>
      <c r="BA151" s="350"/>
      <c r="BB151" s="351"/>
    </row>
    <row r="152" spans="1:54" ht="15.75" customHeight="1">
      <c r="A152" s="25">
        <f t="shared" si="0"/>
        <v>139</v>
      </c>
      <c r="B152" s="618" t="str">
        <f>'refer admin discharge'!B149</f>
        <v>x</v>
      </c>
      <c r="C152" s="351"/>
      <c r="D152" s="619" t="str">
        <f>'refer admin discharge'!D149</f>
        <v>xx</v>
      </c>
      <c r="E152" s="351"/>
      <c r="F152" s="620" t="str">
        <f>'refer admin discharge'!H149</f>
        <v>00/00/0000</v>
      </c>
      <c r="G152" s="351"/>
      <c r="H152" s="615"/>
      <c r="I152" s="351"/>
      <c r="J152" s="621"/>
      <c r="K152" s="351"/>
      <c r="L152" s="615"/>
      <c r="M152" s="351"/>
      <c r="N152" s="610"/>
      <c r="O152" s="351"/>
      <c r="P152" s="615"/>
      <c r="Q152" s="351"/>
      <c r="R152" s="610"/>
      <c r="S152" s="351"/>
      <c r="T152" s="615"/>
      <c r="U152" s="351"/>
      <c r="V152" s="613" t="str">
        <f>'refer admin discharge'!H153</f>
        <v>00/00/0000</v>
      </c>
      <c r="W152" s="351"/>
      <c r="X152" s="616"/>
      <c r="Y152" s="351"/>
      <c r="Z152" s="617"/>
      <c r="AA152" s="351"/>
      <c r="AB152" s="616"/>
      <c r="AC152" s="351"/>
      <c r="AD152" s="607"/>
      <c r="AE152" s="351"/>
      <c r="AF152" s="616"/>
      <c r="AG152" s="351"/>
      <c r="AH152" s="607"/>
      <c r="AI152" s="351"/>
      <c r="AJ152" s="616"/>
      <c r="AK152" s="351"/>
      <c r="AL152" s="622"/>
      <c r="AM152" s="350"/>
      <c r="AN152" s="350"/>
      <c r="AO152" s="350"/>
      <c r="AP152" s="350"/>
      <c r="AQ152" s="350"/>
      <c r="AR152" s="350"/>
      <c r="AS152" s="350"/>
      <c r="AT152" s="350"/>
      <c r="AU152" s="350"/>
      <c r="AV152" s="350"/>
      <c r="AW152" s="350"/>
      <c r="AX152" s="350"/>
      <c r="AY152" s="350"/>
      <c r="AZ152" s="350"/>
      <c r="BA152" s="350"/>
      <c r="BB152" s="351"/>
    </row>
    <row r="153" spans="1:54" ht="15.75" customHeight="1">
      <c r="A153" s="25">
        <f t="shared" si="0"/>
        <v>140</v>
      </c>
      <c r="B153" s="599" t="str">
        <f>'refer admin discharge'!B150</f>
        <v>x</v>
      </c>
      <c r="C153" s="351"/>
      <c r="D153" s="600" t="str">
        <f>'refer admin discharge'!D150</f>
        <v>xx</v>
      </c>
      <c r="E153" s="351"/>
      <c r="F153" s="609" t="str">
        <f>'refer admin discharge'!H150</f>
        <v>00/00/0000</v>
      </c>
      <c r="G153" s="351"/>
      <c r="H153" s="610"/>
      <c r="I153" s="351"/>
      <c r="J153" s="611"/>
      <c r="K153" s="351"/>
      <c r="L153" s="610"/>
      <c r="M153" s="351"/>
      <c r="N153" s="612"/>
      <c r="O153" s="351"/>
      <c r="P153" s="610"/>
      <c r="Q153" s="351"/>
      <c r="R153" s="612"/>
      <c r="S153" s="351"/>
      <c r="T153" s="610"/>
      <c r="U153" s="351"/>
      <c r="V153" s="613" t="str">
        <f>'refer admin discharge'!H154</f>
        <v>00/00/0000</v>
      </c>
      <c r="W153" s="351"/>
      <c r="X153" s="607"/>
      <c r="Y153" s="351"/>
      <c r="Z153" s="614"/>
      <c r="AA153" s="351"/>
      <c r="AB153" s="607"/>
      <c r="AC153" s="351"/>
      <c r="AD153" s="606"/>
      <c r="AE153" s="351"/>
      <c r="AF153" s="607"/>
      <c r="AG153" s="351"/>
      <c r="AH153" s="606"/>
      <c r="AI153" s="351"/>
      <c r="AJ153" s="607"/>
      <c r="AK153" s="351"/>
      <c r="AL153" s="608"/>
      <c r="AM153" s="350"/>
      <c r="AN153" s="350"/>
      <c r="AO153" s="350"/>
      <c r="AP153" s="350"/>
      <c r="AQ153" s="350"/>
      <c r="AR153" s="350"/>
      <c r="AS153" s="350"/>
      <c r="AT153" s="350"/>
      <c r="AU153" s="350"/>
      <c r="AV153" s="350"/>
      <c r="AW153" s="350"/>
      <c r="AX153" s="350"/>
      <c r="AY153" s="350"/>
      <c r="AZ153" s="350"/>
      <c r="BA153" s="350"/>
      <c r="BB153" s="351"/>
    </row>
    <row r="154" spans="1:54" ht="15.75" customHeight="1">
      <c r="A154" s="25">
        <f t="shared" si="0"/>
        <v>141</v>
      </c>
      <c r="B154" s="618" t="str">
        <f>'refer admin discharge'!B151</f>
        <v>x</v>
      </c>
      <c r="C154" s="351"/>
      <c r="D154" s="619" t="str">
        <f>'refer admin discharge'!D151</f>
        <v>xx</v>
      </c>
      <c r="E154" s="351"/>
      <c r="F154" s="620" t="str">
        <f>'refer admin discharge'!H151</f>
        <v>00/00/0000</v>
      </c>
      <c r="G154" s="351"/>
      <c r="H154" s="615"/>
      <c r="I154" s="351"/>
      <c r="J154" s="621"/>
      <c r="K154" s="351"/>
      <c r="L154" s="615"/>
      <c r="M154" s="351"/>
      <c r="N154" s="610"/>
      <c r="O154" s="351"/>
      <c r="P154" s="615"/>
      <c r="Q154" s="351"/>
      <c r="R154" s="610"/>
      <c r="S154" s="351"/>
      <c r="T154" s="615"/>
      <c r="U154" s="351"/>
      <c r="V154" s="613" t="str">
        <f>'refer admin discharge'!H155</f>
        <v>00/00/0000</v>
      </c>
      <c r="W154" s="351"/>
      <c r="X154" s="616"/>
      <c r="Y154" s="351"/>
      <c r="Z154" s="617"/>
      <c r="AA154" s="351"/>
      <c r="AB154" s="616"/>
      <c r="AC154" s="351"/>
      <c r="AD154" s="607"/>
      <c r="AE154" s="351"/>
      <c r="AF154" s="616"/>
      <c r="AG154" s="351"/>
      <c r="AH154" s="607"/>
      <c r="AI154" s="351"/>
      <c r="AJ154" s="616"/>
      <c r="AK154" s="351"/>
      <c r="AL154" s="622"/>
      <c r="AM154" s="350"/>
      <c r="AN154" s="350"/>
      <c r="AO154" s="350"/>
      <c r="AP154" s="350"/>
      <c r="AQ154" s="350"/>
      <c r="AR154" s="350"/>
      <c r="AS154" s="350"/>
      <c r="AT154" s="350"/>
      <c r="AU154" s="350"/>
      <c r="AV154" s="350"/>
      <c r="AW154" s="350"/>
      <c r="AX154" s="350"/>
      <c r="AY154" s="350"/>
      <c r="AZ154" s="350"/>
      <c r="BA154" s="350"/>
      <c r="BB154" s="351"/>
    </row>
    <row r="155" spans="1:54" ht="15.75" customHeight="1">
      <c r="A155" s="25">
        <f t="shared" si="0"/>
        <v>142</v>
      </c>
      <c r="B155" s="599" t="str">
        <f>'refer admin discharge'!B152</f>
        <v>x</v>
      </c>
      <c r="C155" s="351"/>
      <c r="D155" s="600" t="str">
        <f>'refer admin discharge'!D152</f>
        <v>xx</v>
      </c>
      <c r="E155" s="351"/>
      <c r="F155" s="609" t="str">
        <f>'refer admin discharge'!H152</f>
        <v>00/00/0000</v>
      </c>
      <c r="G155" s="351"/>
      <c r="H155" s="610"/>
      <c r="I155" s="351"/>
      <c r="J155" s="611"/>
      <c r="K155" s="351"/>
      <c r="L155" s="610"/>
      <c r="M155" s="351"/>
      <c r="N155" s="612"/>
      <c r="O155" s="351"/>
      <c r="P155" s="610"/>
      <c r="Q155" s="351"/>
      <c r="R155" s="612"/>
      <c r="S155" s="351"/>
      <c r="T155" s="610"/>
      <c r="U155" s="351"/>
      <c r="V155" s="613" t="str">
        <f>'refer admin discharge'!H156</f>
        <v>00/00/0000</v>
      </c>
      <c r="W155" s="351"/>
      <c r="X155" s="607"/>
      <c r="Y155" s="351"/>
      <c r="Z155" s="614"/>
      <c r="AA155" s="351"/>
      <c r="AB155" s="607"/>
      <c r="AC155" s="351"/>
      <c r="AD155" s="606"/>
      <c r="AE155" s="351"/>
      <c r="AF155" s="607"/>
      <c r="AG155" s="351"/>
      <c r="AH155" s="606"/>
      <c r="AI155" s="351"/>
      <c r="AJ155" s="607"/>
      <c r="AK155" s="351"/>
      <c r="AL155" s="608"/>
      <c r="AM155" s="350"/>
      <c r="AN155" s="350"/>
      <c r="AO155" s="350"/>
      <c r="AP155" s="350"/>
      <c r="AQ155" s="350"/>
      <c r="AR155" s="350"/>
      <c r="AS155" s="350"/>
      <c r="AT155" s="350"/>
      <c r="AU155" s="350"/>
      <c r="AV155" s="350"/>
      <c r="AW155" s="350"/>
      <c r="AX155" s="350"/>
      <c r="AY155" s="350"/>
      <c r="AZ155" s="350"/>
      <c r="BA155" s="350"/>
      <c r="BB155" s="351"/>
    </row>
    <row r="156" spans="1:54" ht="15.75" customHeight="1">
      <c r="A156" s="25">
        <f t="shared" si="0"/>
        <v>143</v>
      </c>
      <c r="B156" s="618" t="str">
        <f>'refer admin discharge'!B153</f>
        <v>x</v>
      </c>
      <c r="C156" s="351"/>
      <c r="D156" s="619" t="str">
        <f>'refer admin discharge'!D153</f>
        <v>xx</v>
      </c>
      <c r="E156" s="351"/>
      <c r="F156" s="620" t="str">
        <f>'refer admin discharge'!H153</f>
        <v>00/00/0000</v>
      </c>
      <c r="G156" s="351"/>
      <c r="H156" s="615"/>
      <c r="I156" s="351"/>
      <c r="J156" s="621"/>
      <c r="K156" s="351"/>
      <c r="L156" s="615"/>
      <c r="M156" s="351"/>
      <c r="N156" s="610"/>
      <c r="O156" s="351"/>
      <c r="P156" s="615"/>
      <c r="Q156" s="351"/>
      <c r="R156" s="610"/>
      <c r="S156" s="351"/>
      <c r="T156" s="615"/>
      <c r="U156" s="351"/>
      <c r="V156" s="613" t="str">
        <f>'refer admin discharge'!H157</f>
        <v>00/00/0000</v>
      </c>
      <c r="W156" s="351"/>
      <c r="X156" s="616"/>
      <c r="Y156" s="351"/>
      <c r="Z156" s="617"/>
      <c r="AA156" s="351"/>
      <c r="AB156" s="616"/>
      <c r="AC156" s="351"/>
      <c r="AD156" s="607"/>
      <c r="AE156" s="351"/>
      <c r="AF156" s="616"/>
      <c r="AG156" s="351"/>
      <c r="AH156" s="607"/>
      <c r="AI156" s="351"/>
      <c r="AJ156" s="616"/>
      <c r="AK156" s="351"/>
      <c r="AL156" s="622"/>
      <c r="AM156" s="350"/>
      <c r="AN156" s="350"/>
      <c r="AO156" s="350"/>
      <c r="AP156" s="350"/>
      <c r="AQ156" s="350"/>
      <c r="AR156" s="350"/>
      <c r="AS156" s="350"/>
      <c r="AT156" s="350"/>
      <c r="AU156" s="350"/>
      <c r="AV156" s="350"/>
      <c r="AW156" s="350"/>
      <c r="AX156" s="350"/>
      <c r="AY156" s="350"/>
      <c r="AZ156" s="350"/>
      <c r="BA156" s="350"/>
      <c r="BB156" s="351"/>
    </row>
    <row r="157" spans="1:54" ht="15.75" customHeight="1">
      <c r="A157" s="25">
        <f t="shared" si="0"/>
        <v>144</v>
      </c>
      <c r="B157" s="599" t="str">
        <f>'refer admin discharge'!B154</f>
        <v>x</v>
      </c>
      <c r="C157" s="351"/>
      <c r="D157" s="600" t="str">
        <f>'refer admin discharge'!D154</f>
        <v>xx</v>
      </c>
      <c r="E157" s="351"/>
      <c r="F157" s="609" t="str">
        <f>'refer admin discharge'!H154</f>
        <v>00/00/0000</v>
      </c>
      <c r="G157" s="351"/>
      <c r="H157" s="610"/>
      <c r="I157" s="351"/>
      <c r="J157" s="611"/>
      <c r="K157" s="351"/>
      <c r="L157" s="610"/>
      <c r="M157" s="351"/>
      <c r="N157" s="612"/>
      <c r="O157" s="351"/>
      <c r="P157" s="610"/>
      <c r="Q157" s="351"/>
      <c r="R157" s="612"/>
      <c r="S157" s="351"/>
      <c r="T157" s="610"/>
      <c r="U157" s="351"/>
      <c r="V157" s="613" t="str">
        <f>'refer admin discharge'!H158</f>
        <v>00/00/0000</v>
      </c>
      <c r="W157" s="351"/>
      <c r="X157" s="607"/>
      <c r="Y157" s="351"/>
      <c r="Z157" s="614"/>
      <c r="AA157" s="351"/>
      <c r="AB157" s="607"/>
      <c r="AC157" s="351"/>
      <c r="AD157" s="606"/>
      <c r="AE157" s="351"/>
      <c r="AF157" s="607"/>
      <c r="AG157" s="351"/>
      <c r="AH157" s="606"/>
      <c r="AI157" s="351"/>
      <c r="AJ157" s="607"/>
      <c r="AK157" s="351"/>
      <c r="AL157" s="608"/>
      <c r="AM157" s="350"/>
      <c r="AN157" s="350"/>
      <c r="AO157" s="350"/>
      <c r="AP157" s="350"/>
      <c r="AQ157" s="350"/>
      <c r="AR157" s="350"/>
      <c r="AS157" s="350"/>
      <c r="AT157" s="350"/>
      <c r="AU157" s="350"/>
      <c r="AV157" s="350"/>
      <c r="AW157" s="350"/>
      <c r="AX157" s="350"/>
      <c r="AY157" s="350"/>
      <c r="AZ157" s="350"/>
      <c r="BA157" s="350"/>
      <c r="BB157" s="351"/>
    </row>
    <row r="158" spans="1:54" ht="15.75" customHeight="1">
      <c r="A158" s="25">
        <f t="shared" si="0"/>
        <v>145</v>
      </c>
      <c r="B158" s="618" t="str">
        <f>'refer admin discharge'!B155</f>
        <v>x</v>
      </c>
      <c r="C158" s="351"/>
      <c r="D158" s="619" t="str">
        <f>'refer admin discharge'!D155</f>
        <v>xx</v>
      </c>
      <c r="E158" s="351"/>
      <c r="F158" s="620" t="str">
        <f>'refer admin discharge'!H155</f>
        <v>00/00/0000</v>
      </c>
      <c r="G158" s="351"/>
      <c r="H158" s="615"/>
      <c r="I158" s="351"/>
      <c r="J158" s="621"/>
      <c r="K158" s="351"/>
      <c r="L158" s="615"/>
      <c r="M158" s="351"/>
      <c r="N158" s="610"/>
      <c r="O158" s="351"/>
      <c r="P158" s="615"/>
      <c r="Q158" s="351"/>
      <c r="R158" s="610"/>
      <c r="S158" s="351"/>
      <c r="T158" s="615"/>
      <c r="U158" s="351"/>
      <c r="V158" s="613" t="str">
        <f>'refer admin discharge'!H159</f>
        <v>00/00/0000</v>
      </c>
      <c r="W158" s="351"/>
      <c r="X158" s="616"/>
      <c r="Y158" s="351"/>
      <c r="Z158" s="617"/>
      <c r="AA158" s="351"/>
      <c r="AB158" s="616"/>
      <c r="AC158" s="351"/>
      <c r="AD158" s="607"/>
      <c r="AE158" s="351"/>
      <c r="AF158" s="616"/>
      <c r="AG158" s="351"/>
      <c r="AH158" s="607"/>
      <c r="AI158" s="351"/>
      <c r="AJ158" s="616"/>
      <c r="AK158" s="351"/>
      <c r="AL158" s="622"/>
      <c r="AM158" s="350"/>
      <c r="AN158" s="350"/>
      <c r="AO158" s="350"/>
      <c r="AP158" s="350"/>
      <c r="AQ158" s="350"/>
      <c r="AR158" s="350"/>
      <c r="AS158" s="350"/>
      <c r="AT158" s="350"/>
      <c r="AU158" s="350"/>
      <c r="AV158" s="350"/>
      <c r="AW158" s="350"/>
      <c r="AX158" s="350"/>
      <c r="AY158" s="350"/>
      <c r="AZ158" s="350"/>
      <c r="BA158" s="350"/>
      <c r="BB158" s="351"/>
    </row>
    <row r="159" spans="1:54" ht="15.75" customHeight="1">
      <c r="A159" s="25">
        <f t="shared" si="0"/>
        <v>146</v>
      </c>
      <c r="B159" s="599" t="str">
        <f>'refer admin discharge'!B156</f>
        <v>x</v>
      </c>
      <c r="C159" s="351"/>
      <c r="D159" s="600" t="str">
        <f>'refer admin discharge'!D156</f>
        <v>xx</v>
      </c>
      <c r="E159" s="351"/>
      <c r="F159" s="609" t="str">
        <f>'refer admin discharge'!H156</f>
        <v>00/00/0000</v>
      </c>
      <c r="G159" s="351"/>
      <c r="H159" s="610"/>
      <c r="I159" s="351"/>
      <c r="J159" s="611"/>
      <c r="K159" s="351"/>
      <c r="L159" s="610"/>
      <c r="M159" s="351"/>
      <c r="N159" s="612"/>
      <c r="O159" s="351"/>
      <c r="P159" s="610"/>
      <c r="Q159" s="351"/>
      <c r="R159" s="612"/>
      <c r="S159" s="351"/>
      <c r="T159" s="610"/>
      <c r="U159" s="351"/>
      <c r="V159" s="613" t="str">
        <f>'refer admin discharge'!H160</f>
        <v>00/00/0000</v>
      </c>
      <c r="W159" s="351"/>
      <c r="X159" s="607"/>
      <c r="Y159" s="351"/>
      <c r="Z159" s="614"/>
      <c r="AA159" s="351"/>
      <c r="AB159" s="607"/>
      <c r="AC159" s="351"/>
      <c r="AD159" s="606"/>
      <c r="AE159" s="351"/>
      <c r="AF159" s="607"/>
      <c r="AG159" s="351"/>
      <c r="AH159" s="606"/>
      <c r="AI159" s="351"/>
      <c r="AJ159" s="607"/>
      <c r="AK159" s="351"/>
      <c r="AL159" s="608"/>
      <c r="AM159" s="350"/>
      <c r="AN159" s="350"/>
      <c r="AO159" s="350"/>
      <c r="AP159" s="350"/>
      <c r="AQ159" s="350"/>
      <c r="AR159" s="350"/>
      <c r="AS159" s="350"/>
      <c r="AT159" s="350"/>
      <c r="AU159" s="350"/>
      <c r="AV159" s="350"/>
      <c r="AW159" s="350"/>
      <c r="AX159" s="350"/>
      <c r="AY159" s="350"/>
      <c r="AZ159" s="350"/>
      <c r="BA159" s="350"/>
      <c r="BB159" s="351"/>
    </row>
    <row r="160" spans="1:54" ht="15.75" customHeight="1">
      <c r="A160" s="25">
        <f t="shared" si="0"/>
        <v>147</v>
      </c>
      <c r="B160" s="618" t="str">
        <f>'refer admin discharge'!B157</f>
        <v>x</v>
      </c>
      <c r="C160" s="351"/>
      <c r="D160" s="619" t="str">
        <f>'refer admin discharge'!D157</f>
        <v>xx</v>
      </c>
      <c r="E160" s="351"/>
      <c r="F160" s="620" t="str">
        <f>'refer admin discharge'!H157</f>
        <v>00/00/0000</v>
      </c>
      <c r="G160" s="351"/>
      <c r="H160" s="615"/>
      <c r="I160" s="351"/>
      <c r="J160" s="621"/>
      <c r="K160" s="351"/>
      <c r="L160" s="615"/>
      <c r="M160" s="351"/>
      <c r="N160" s="610"/>
      <c r="O160" s="351"/>
      <c r="P160" s="615"/>
      <c r="Q160" s="351"/>
      <c r="R160" s="610"/>
      <c r="S160" s="351"/>
      <c r="T160" s="615"/>
      <c r="U160" s="351"/>
      <c r="V160" s="613" t="str">
        <f>'refer admin discharge'!H161</f>
        <v>00/00/0000</v>
      </c>
      <c r="W160" s="351"/>
      <c r="X160" s="616"/>
      <c r="Y160" s="351"/>
      <c r="Z160" s="617"/>
      <c r="AA160" s="351"/>
      <c r="AB160" s="616"/>
      <c r="AC160" s="351"/>
      <c r="AD160" s="607"/>
      <c r="AE160" s="351"/>
      <c r="AF160" s="616"/>
      <c r="AG160" s="351"/>
      <c r="AH160" s="607"/>
      <c r="AI160" s="351"/>
      <c r="AJ160" s="616"/>
      <c r="AK160" s="351"/>
      <c r="AL160" s="622"/>
      <c r="AM160" s="350"/>
      <c r="AN160" s="350"/>
      <c r="AO160" s="350"/>
      <c r="AP160" s="350"/>
      <c r="AQ160" s="350"/>
      <c r="AR160" s="350"/>
      <c r="AS160" s="350"/>
      <c r="AT160" s="350"/>
      <c r="AU160" s="350"/>
      <c r="AV160" s="350"/>
      <c r="AW160" s="350"/>
      <c r="AX160" s="350"/>
      <c r="AY160" s="350"/>
      <c r="AZ160" s="350"/>
      <c r="BA160" s="350"/>
      <c r="BB160" s="351"/>
    </row>
    <row r="161" spans="1:54" ht="15.75" customHeight="1">
      <c r="A161" s="25">
        <f t="shared" si="0"/>
        <v>148</v>
      </c>
      <c r="B161" s="599" t="str">
        <f>'refer admin discharge'!B158</f>
        <v>x</v>
      </c>
      <c r="C161" s="351"/>
      <c r="D161" s="600" t="str">
        <f>'refer admin discharge'!D158</f>
        <v>xx</v>
      </c>
      <c r="E161" s="351"/>
      <c r="F161" s="609" t="str">
        <f>'refer admin discharge'!H158</f>
        <v>00/00/0000</v>
      </c>
      <c r="G161" s="351"/>
      <c r="H161" s="610"/>
      <c r="I161" s="351"/>
      <c r="J161" s="611"/>
      <c r="K161" s="351"/>
      <c r="L161" s="610"/>
      <c r="M161" s="351"/>
      <c r="N161" s="612"/>
      <c r="O161" s="351"/>
      <c r="P161" s="610"/>
      <c r="Q161" s="351"/>
      <c r="R161" s="612"/>
      <c r="S161" s="351"/>
      <c r="T161" s="610"/>
      <c r="U161" s="351"/>
      <c r="V161" s="613" t="str">
        <f>'refer admin discharge'!H162</f>
        <v>00/00/0000</v>
      </c>
      <c r="W161" s="351"/>
      <c r="X161" s="607"/>
      <c r="Y161" s="351"/>
      <c r="Z161" s="614"/>
      <c r="AA161" s="351"/>
      <c r="AB161" s="607"/>
      <c r="AC161" s="351"/>
      <c r="AD161" s="606"/>
      <c r="AE161" s="351"/>
      <c r="AF161" s="607"/>
      <c r="AG161" s="351"/>
      <c r="AH161" s="606"/>
      <c r="AI161" s="351"/>
      <c r="AJ161" s="607"/>
      <c r="AK161" s="351"/>
      <c r="AL161" s="608"/>
      <c r="AM161" s="350"/>
      <c r="AN161" s="350"/>
      <c r="AO161" s="350"/>
      <c r="AP161" s="350"/>
      <c r="AQ161" s="350"/>
      <c r="AR161" s="350"/>
      <c r="AS161" s="350"/>
      <c r="AT161" s="350"/>
      <c r="AU161" s="350"/>
      <c r="AV161" s="350"/>
      <c r="AW161" s="350"/>
      <c r="AX161" s="350"/>
      <c r="AY161" s="350"/>
      <c r="AZ161" s="350"/>
      <c r="BA161" s="350"/>
      <c r="BB161" s="351"/>
    </row>
    <row r="162" spans="1:54" ht="15.75" customHeight="1">
      <c r="A162" s="25">
        <f t="shared" si="0"/>
        <v>149</v>
      </c>
      <c r="B162" s="618" t="str">
        <f>'refer admin discharge'!B159</f>
        <v>x</v>
      </c>
      <c r="C162" s="351"/>
      <c r="D162" s="619" t="str">
        <f>'refer admin discharge'!D159</f>
        <v>xx</v>
      </c>
      <c r="E162" s="351"/>
      <c r="F162" s="620" t="str">
        <f>'refer admin discharge'!H159</f>
        <v>00/00/0000</v>
      </c>
      <c r="G162" s="351"/>
      <c r="H162" s="615"/>
      <c r="I162" s="351"/>
      <c r="J162" s="621"/>
      <c r="K162" s="351"/>
      <c r="L162" s="615"/>
      <c r="M162" s="351"/>
      <c r="N162" s="610"/>
      <c r="O162" s="351"/>
      <c r="P162" s="615"/>
      <c r="Q162" s="351"/>
      <c r="R162" s="610"/>
      <c r="S162" s="351"/>
      <c r="T162" s="615"/>
      <c r="U162" s="351"/>
      <c r="V162" s="613" t="str">
        <f>'refer admin discharge'!H163</f>
        <v>00/00/0000</v>
      </c>
      <c r="W162" s="351"/>
      <c r="X162" s="616"/>
      <c r="Y162" s="351"/>
      <c r="Z162" s="617"/>
      <c r="AA162" s="351"/>
      <c r="AB162" s="616"/>
      <c r="AC162" s="351"/>
      <c r="AD162" s="607"/>
      <c r="AE162" s="351"/>
      <c r="AF162" s="616"/>
      <c r="AG162" s="351"/>
      <c r="AH162" s="607"/>
      <c r="AI162" s="351"/>
      <c r="AJ162" s="616"/>
      <c r="AK162" s="351"/>
      <c r="AL162" s="622"/>
      <c r="AM162" s="350"/>
      <c r="AN162" s="350"/>
      <c r="AO162" s="350"/>
      <c r="AP162" s="350"/>
      <c r="AQ162" s="350"/>
      <c r="AR162" s="350"/>
      <c r="AS162" s="350"/>
      <c r="AT162" s="350"/>
      <c r="AU162" s="350"/>
      <c r="AV162" s="350"/>
      <c r="AW162" s="350"/>
      <c r="AX162" s="350"/>
      <c r="AY162" s="350"/>
      <c r="AZ162" s="350"/>
      <c r="BA162" s="350"/>
      <c r="BB162" s="351"/>
    </row>
    <row r="163" spans="1:54" ht="15.75" customHeight="1">
      <c r="A163" s="25">
        <f t="shared" si="0"/>
        <v>150</v>
      </c>
      <c r="B163" s="599" t="str">
        <f>'refer admin discharge'!B160</f>
        <v>x</v>
      </c>
      <c r="C163" s="351"/>
      <c r="D163" s="600" t="str">
        <f>'refer admin discharge'!D160</f>
        <v>xx</v>
      </c>
      <c r="E163" s="351"/>
      <c r="F163" s="609" t="str">
        <f>'refer admin discharge'!H160</f>
        <v>00/00/0000</v>
      </c>
      <c r="G163" s="351"/>
      <c r="H163" s="610"/>
      <c r="I163" s="351"/>
      <c r="J163" s="611"/>
      <c r="K163" s="351"/>
      <c r="L163" s="610"/>
      <c r="M163" s="351"/>
      <c r="N163" s="612"/>
      <c r="O163" s="351"/>
      <c r="P163" s="610"/>
      <c r="Q163" s="351"/>
      <c r="R163" s="612"/>
      <c r="S163" s="351"/>
      <c r="T163" s="610"/>
      <c r="U163" s="351"/>
      <c r="V163" s="613" t="str">
        <f>'refer admin discharge'!H164</f>
        <v>00/00/0000</v>
      </c>
      <c r="W163" s="351"/>
      <c r="X163" s="607"/>
      <c r="Y163" s="351"/>
      <c r="Z163" s="614"/>
      <c r="AA163" s="351"/>
      <c r="AB163" s="607"/>
      <c r="AC163" s="351"/>
      <c r="AD163" s="606"/>
      <c r="AE163" s="351"/>
      <c r="AF163" s="607"/>
      <c r="AG163" s="351"/>
      <c r="AH163" s="606"/>
      <c r="AI163" s="351"/>
      <c r="AJ163" s="607"/>
      <c r="AK163" s="351"/>
      <c r="AL163" s="608"/>
      <c r="AM163" s="350"/>
      <c r="AN163" s="350"/>
      <c r="AO163" s="350"/>
      <c r="AP163" s="350"/>
      <c r="AQ163" s="350"/>
      <c r="AR163" s="350"/>
      <c r="AS163" s="350"/>
      <c r="AT163" s="350"/>
      <c r="AU163" s="350"/>
      <c r="AV163" s="350"/>
      <c r="AW163" s="350"/>
      <c r="AX163" s="350"/>
      <c r="AY163" s="350"/>
      <c r="AZ163" s="350"/>
      <c r="BA163" s="350"/>
      <c r="BB163" s="351"/>
    </row>
    <row r="164" spans="1:54" ht="15.75" customHeight="1">
      <c r="A164" s="25">
        <f t="shared" si="0"/>
        <v>151</v>
      </c>
      <c r="B164" s="618" t="str">
        <f>'refer admin discharge'!B161</f>
        <v>x</v>
      </c>
      <c r="C164" s="351"/>
      <c r="D164" s="619" t="str">
        <f>'refer admin discharge'!D161</f>
        <v>xx</v>
      </c>
      <c r="E164" s="351"/>
      <c r="F164" s="620" t="str">
        <f>'refer admin discharge'!H161</f>
        <v>00/00/0000</v>
      </c>
      <c r="G164" s="351"/>
      <c r="H164" s="615"/>
      <c r="I164" s="351"/>
      <c r="J164" s="621"/>
      <c r="K164" s="351"/>
      <c r="L164" s="615"/>
      <c r="M164" s="351"/>
      <c r="N164" s="610"/>
      <c r="O164" s="351"/>
      <c r="P164" s="615"/>
      <c r="Q164" s="351"/>
      <c r="R164" s="610"/>
      <c r="S164" s="351"/>
      <c r="T164" s="615"/>
      <c r="U164" s="351"/>
      <c r="V164" s="613" t="str">
        <f>'refer admin discharge'!H165</f>
        <v>00/00/0000</v>
      </c>
      <c r="W164" s="351"/>
      <c r="X164" s="616"/>
      <c r="Y164" s="351"/>
      <c r="Z164" s="617"/>
      <c r="AA164" s="351"/>
      <c r="AB164" s="616"/>
      <c r="AC164" s="351"/>
      <c r="AD164" s="607"/>
      <c r="AE164" s="351"/>
      <c r="AF164" s="616"/>
      <c r="AG164" s="351"/>
      <c r="AH164" s="607"/>
      <c r="AI164" s="351"/>
      <c r="AJ164" s="616"/>
      <c r="AK164" s="351"/>
      <c r="AL164" s="622"/>
      <c r="AM164" s="350"/>
      <c r="AN164" s="350"/>
      <c r="AO164" s="350"/>
      <c r="AP164" s="350"/>
      <c r="AQ164" s="350"/>
      <c r="AR164" s="350"/>
      <c r="AS164" s="350"/>
      <c r="AT164" s="350"/>
      <c r="AU164" s="350"/>
      <c r="AV164" s="350"/>
      <c r="AW164" s="350"/>
      <c r="AX164" s="350"/>
      <c r="AY164" s="350"/>
      <c r="AZ164" s="350"/>
      <c r="BA164" s="350"/>
      <c r="BB164" s="351"/>
    </row>
    <row r="165" spans="1:54" ht="15.75" customHeight="1">
      <c r="A165" s="25">
        <f t="shared" si="0"/>
        <v>152</v>
      </c>
      <c r="B165" s="599" t="str">
        <f>'refer admin discharge'!B162</f>
        <v>x</v>
      </c>
      <c r="C165" s="351"/>
      <c r="D165" s="600" t="str">
        <f>'refer admin discharge'!D162</f>
        <v>xx</v>
      </c>
      <c r="E165" s="351"/>
      <c r="F165" s="609" t="str">
        <f>'refer admin discharge'!H162</f>
        <v>00/00/0000</v>
      </c>
      <c r="G165" s="351"/>
      <c r="H165" s="610"/>
      <c r="I165" s="351"/>
      <c r="J165" s="611"/>
      <c r="K165" s="351"/>
      <c r="L165" s="610"/>
      <c r="M165" s="351"/>
      <c r="N165" s="612"/>
      <c r="O165" s="351"/>
      <c r="P165" s="610"/>
      <c r="Q165" s="351"/>
      <c r="R165" s="612"/>
      <c r="S165" s="351"/>
      <c r="T165" s="610"/>
      <c r="U165" s="351"/>
      <c r="V165" s="613" t="str">
        <f>'refer admin discharge'!H166</f>
        <v>00/00/0000</v>
      </c>
      <c r="W165" s="351"/>
      <c r="X165" s="607"/>
      <c r="Y165" s="351"/>
      <c r="Z165" s="614"/>
      <c r="AA165" s="351"/>
      <c r="AB165" s="607"/>
      <c r="AC165" s="351"/>
      <c r="AD165" s="606"/>
      <c r="AE165" s="351"/>
      <c r="AF165" s="607"/>
      <c r="AG165" s="351"/>
      <c r="AH165" s="606"/>
      <c r="AI165" s="351"/>
      <c r="AJ165" s="607"/>
      <c r="AK165" s="351"/>
      <c r="AL165" s="608"/>
      <c r="AM165" s="350"/>
      <c r="AN165" s="350"/>
      <c r="AO165" s="350"/>
      <c r="AP165" s="350"/>
      <c r="AQ165" s="350"/>
      <c r="AR165" s="350"/>
      <c r="AS165" s="350"/>
      <c r="AT165" s="350"/>
      <c r="AU165" s="350"/>
      <c r="AV165" s="350"/>
      <c r="AW165" s="350"/>
      <c r="AX165" s="350"/>
      <c r="AY165" s="350"/>
      <c r="AZ165" s="350"/>
      <c r="BA165" s="350"/>
      <c r="BB165" s="351"/>
    </row>
    <row r="166" spans="1:54" ht="15.75" customHeight="1">
      <c r="A166" s="25">
        <f t="shared" si="0"/>
        <v>153</v>
      </c>
      <c r="B166" s="618" t="str">
        <f>'refer admin discharge'!B163</f>
        <v>x</v>
      </c>
      <c r="C166" s="351"/>
      <c r="D166" s="619" t="str">
        <f>'refer admin discharge'!D163</f>
        <v>xx</v>
      </c>
      <c r="E166" s="351"/>
      <c r="F166" s="620" t="str">
        <f>'refer admin discharge'!H163</f>
        <v>00/00/0000</v>
      </c>
      <c r="G166" s="351"/>
      <c r="H166" s="615"/>
      <c r="I166" s="351"/>
      <c r="J166" s="621"/>
      <c r="K166" s="351"/>
      <c r="L166" s="615"/>
      <c r="M166" s="351"/>
      <c r="N166" s="610"/>
      <c r="O166" s="351"/>
      <c r="P166" s="615"/>
      <c r="Q166" s="351"/>
      <c r="R166" s="610"/>
      <c r="S166" s="351"/>
      <c r="T166" s="615"/>
      <c r="U166" s="351"/>
      <c r="V166" s="613" t="str">
        <f>'refer admin discharge'!H167</f>
        <v>00/00/0000</v>
      </c>
      <c r="W166" s="351"/>
      <c r="X166" s="616"/>
      <c r="Y166" s="351"/>
      <c r="Z166" s="617"/>
      <c r="AA166" s="351"/>
      <c r="AB166" s="616"/>
      <c r="AC166" s="351"/>
      <c r="AD166" s="607"/>
      <c r="AE166" s="351"/>
      <c r="AF166" s="616"/>
      <c r="AG166" s="351"/>
      <c r="AH166" s="607"/>
      <c r="AI166" s="351"/>
      <c r="AJ166" s="616"/>
      <c r="AK166" s="351"/>
      <c r="AL166" s="622"/>
      <c r="AM166" s="350"/>
      <c r="AN166" s="350"/>
      <c r="AO166" s="350"/>
      <c r="AP166" s="350"/>
      <c r="AQ166" s="350"/>
      <c r="AR166" s="350"/>
      <c r="AS166" s="350"/>
      <c r="AT166" s="350"/>
      <c r="AU166" s="350"/>
      <c r="AV166" s="350"/>
      <c r="AW166" s="350"/>
      <c r="AX166" s="350"/>
      <c r="AY166" s="350"/>
      <c r="AZ166" s="350"/>
      <c r="BA166" s="350"/>
      <c r="BB166" s="351"/>
    </row>
    <row r="167" spans="1:54" ht="15.75" customHeight="1">
      <c r="A167" s="25">
        <f t="shared" si="0"/>
        <v>154</v>
      </c>
      <c r="B167" s="599" t="str">
        <f>'refer admin discharge'!B164</f>
        <v>x</v>
      </c>
      <c r="C167" s="351"/>
      <c r="D167" s="600" t="str">
        <f>'refer admin discharge'!D164</f>
        <v>xx</v>
      </c>
      <c r="E167" s="351"/>
      <c r="F167" s="609" t="str">
        <f>'refer admin discharge'!H164</f>
        <v>00/00/0000</v>
      </c>
      <c r="G167" s="351"/>
      <c r="H167" s="610"/>
      <c r="I167" s="351"/>
      <c r="J167" s="611"/>
      <c r="K167" s="351"/>
      <c r="L167" s="610"/>
      <c r="M167" s="351"/>
      <c r="N167" s="612"/>
      <c r="O167" s="351"/>
      <c r="P167" s="610"/>
      <c r="Q167" s="351"/>
      <c r="R167" s="612"/>
      <c r="S167" s="351"/>
      <c r="T167" s="610"/>
      <c r="U167" s="351"/>
      <c r="V167" s="613" t="str">
        <f>'refer admin discharge'!H168</f>
        <v>00/00/0000</v>
      </c>
      <c r="W167" s="351"/>
      <c r="X167" s="607"/>
      <c r="Y167" s="351"/>
      <c r="Z167" s="614"/>
      <c r="AA167" s="351"/>
      <c r="AB167" s="607"/>
      <c r="AC167" s="351"/>
      <c r="AD167" s="606"/>
      <c r="AE167" s="351"/>
      <c r="AF167" s="607"/>
      <c r="AG167" s="351"/>
      <c r="AH167" s="606"/>
      <c r="AI167" s="351"/>
      <c r="AJ167" s="607"/>
      <c r="AK167" s="351"/>
      <c r="AL167" s="608"/>
      <c r="AM167" s="350"/>
      <c r="AN167" s="350"/>
      <c r="AO167" s="350"/>
      <c r="AP167" s="350"/>
      <c r="AQ167" s="350"/>
      <c r="AR167" s="350"/>
      <c r="AS167" s="350"/>
      <c r="AT167" s="350"/>
      <c r="AU167" s="350"/>
      <c r="AV167" s="350"/>
      <c r="AW167" s="350"/>
      <c r="AX167" s="350"/>
      <c r="AY167" s="350"/>
      <c r="AZ167" s="350"/>
      <c r="BA167" s="350"/>
      <c r="BB167" s="351"/>
    </row>
    <row r="168" spans="1:54" ht="15.75" customHeight="1">
      <c r="A168" s="25">
        <f t="shared" si="0"/>
        <v>155</v>
      </c>
      <c r="B168" s="618" t="str">
        <f>'refer admin discharge'!B165</f>
        <v>x</v>
      </c>
      <c r="C168" s="351"/>
      <c r="D168" s="619" t="str">
        <f>'refer admin discharge'!D165</f>
        <v>xx</v>
      </c>
      <c r="E168" s="351"/>
      <c r="F168" s="620" t="str">
        <f>'refer admin discharge'!H165</f>
        <v>00/00/0000</v>
      </c>
      <c r="G168" s="351"/>
      <c r="H168" s="615"/>
      <c r="I168" s="351"/>
      <c r="J168" s="621"/>
      <c r="K168" s="351"/>
      <c r="L168" s="615"/>
      <c r="M168" s="351"/>
      <c r="N168" s="610"/>
      <c r="O168" s="351"/>
      <c r="P168" s="615"/>
      <c r="Q168" s="351"/>
      <c r="R168" s="610"/>
      <c r="S168" s="351"/>
      <c r="T168" s="615"/>
      <c r="U168" s="351"/>
      <c r="V168" s="613" t="str">
        <f>'refer admin discharge'!H169</f>
        <v>00/00/0000</v>
      </c>
      <c r="W168" s="351"/>
      <c r="X168" s="616"/>
      <c r="Y168" s="351"/>
      <c r="Z168" s="617"/>
      <c r="AA168" s="351"/>
      <c r="AB168" s="616"/>
      <c r="AC168" s="351"/>
      <c r="AD168" s="607"/>
      <c r="AE168" s="351"/>
      <c r="AF168" s="616"/>
      <c r="AG168" s="351"/>
      <c r="AH168" s="607"/>
      <c r="AI168" s="351"/>
      <c r="AJ168" s="616"/>
      <c r="AK168" s="351"/>
      <c r="AL168" s="622"/>
      <c r="AM168" s="350"/>
      <c r="AN168" s="350"/>
      <c r="AO168" s="350"/>
      <c r="AP168" s="350"/>
      <c r="AQ168" s="350"/>
      <c r="AR168" s="350"/>
      <c r="AS168" s="350"/>
      <c r="AT168" s="350"/>
      <c r="AU168" s="350"/>
      <c r="AV168" s="350"/>
      <c r="AW168" s="350"/>
      <c r="AX168" s="350"/>
      <c r="AY168" s="350"/>
      <c r="AZ168" s="350"/>
      <c r="BA168" s="350"/>
      <c r="BB168" s="351"/>
    </row>
    <row r="169" spans="1:54" ht="15.75" customHeight="1">
      <c r="A169" s="25">
        <f t="shared" si="0"/>
        <v>156</v>
      </c>
      <c r="B169" s="599" t="str">
        <f>'refer admin discharge'!B166</f>
        <v>x</v>
      </c>
      <c r="C169" s="351"/>
      <c r="D169" s="600" t="str">
        <f>'refer admin discharge'!D166</f>
        <v>xx</v>
      </c>
      <c r="E169" s="351"/>
      <c r="F169" s="609" t="str">
        <f>'refer admin discharge'!H166</f>
        <v>00/00/0000</v>
      </c>
      <c r="G169" s="351"/>
      <c r="H169" s="610"/>
      <c r="I169" s="351"/>
      <c r="J169" s="611"/>
      <c r="K169" s="351"/>
      <c r="L169" s="610"/>
      <c r="M169" s="351"/>
      <c r="N169" s="612"/>
      <c r="O169" s="351"/>
      <c r="P169" s="610"/>
      <c r="Q169" s="351"/>
      <c r="R169" s="612"/>
      <c r="S169" s="351"/>
      <c r="T169" s="610"/>
      <c r="U169" s="351"/>
      <c r="V169" s="613" t="str">
        <f>'refer admin discharge'!H170</f>
        <v>00/00/0000</v>
      </c>
      <c r="W169" s="351"/>
      <c r="X169" s="607"/>
      <c r="Y169" s="351"/>
      <c r="Z169" s="614"/>
      <c r="AA169" s="351"/>
      <c r="AB169" s="607"/>
      <c r="AC169" s="351"/>
      <c r="AD169" s="606"/>
      <c r="AE169" s="351"/>
      <c r="AF169" s="607"/>
      <c r="AG169" s="351"/>
      <c r="AH169" s="606"/>
      <c r="AI169" s="351"/>
      <c r="AJ169" s="607"/>
      <c r="AK169" s="351"/>
      <c r="AL169" s="608"/>
      <c r="AM169" s="350"/>
      <c r="AN169" s="350"/>
      <c r="AO169" s="350"/>
      <c r="AP169" s="350"/>
      <c r="AQ169" s="350"/>
      <c r="AR169" s="350"/>
      <c r="AS169" s="350"/>
      <c r="AT169" s="350"/>
      <c r="AU169" s="350"/>
      <c r="AV169" s="350"/>
      <c r="AW169" s="350"/>
      <c r="AX169" s="350"/>
      <c r="AY169" s="350"/>
      <c r="AZ169" s="350"/>
      <c r="BA169" s="350"/>
      <c r="BB169" s="351"/>
    </row>
    <row r="170" spans="1:54" ht="15.75" customHeight="1">
      <c r="A170" s="25">
        <f t="shared" si="0"/>
        <v>157</v>
      </c>
      <c r="B170" s="618" t="str">
        <f>'refer admin discharge'!B167</f>
        <v>x</v>
      </c>
      <c r="C170" s="351"/>
      <c r="D170" s="619" t="str">
        <f>'refer admin discharge'!D167</f>
        <v>xx</v>
      </c>
      <c r="E170" s="351"/>
      <c r="F170" s="620" t="str">
        <f>'refer admin discharge'!H167</f>
        <v>00/00/0000</v>
      </c>
      <c r="G170" s="351"/>
      <c r="H170" s="615"/>
      <c r="I170" s="351"/>
      <c r="J170" s="621"/>
      <c r="K170" s="351"/>
      <c r="L170" s="615"/>
      <c r="M170" s="351"/>
      <c r="N170" s="610"/>
      <c r="O170" s="351"/>
      <c r="P170" s="615"/>
      <c r="Q170" s="351"/>
      <c r="R170" s="610"/>
      <c r="S170" s="351"/>
      <c r="T170" s="615"/>
      <c r="U170" s="351"/>
      <c r="V170" s="613" t="str">
        <f>'refer admin discharge'!H171</f>
        <v>00/00/0000</v>
      </c>
      <c r="W170" s="351"/>
      <c r="X170" s="616"/>
      <c r="Y170" s="351"/>
      <c r="Z170" s="617"/>
      <c r="AA170" s="351"/>
      <c r="AB170" s="616"/>
      <c r="AC170" s="351"/>
      <c r="AD170" s="607"/>
      <c r="AE170" s="351"/>
      <c r="AF170" s="616"/>
      <c r="AG170" s="351"/>
      <c r="AH170" s="607"/>
      <c r="AI170" s="351"/>
      <c r="AJ170" s="616"/>
      <c r="AK170" s="351"/>
      <c r="AL170" s="622"/>
      <c r="AM170" s="350"/>
      <c r="AN170" s="350"/>
      <c r="AO170" s="350"/>
      <c r="AP170" s="350"/>
      <c r="AQ170" s="350"/>
      <c r="AR170" s="350"/>
      <c r="AS170" s="350"/>
      <c r="AT170" s="350"/>
      <c r="AU170" s="350"/>
      <c r="AV170" s="350"/>
      <c r="AW170" s="350"/>
      <c r="AX170" s="350"/>
      <c r="AY170" s="350"/>
      <c r="AZ170" s="350"/>
      <c r="BA170" s="350"/>
      <c r="BB170" s="351"/>
    </row>
    <row r="171" spans="1:54" ht="15.75" customHeight="1">
      <c r="A171" s="25">
        <f t="shared" si="0"/>
        <v>158</v>
      </c>
      <c r="B171" s="599" t="str">
        <f>'refer admin discharge'!B168</f>
        <v>x</v>
      </c>
      <c r="C171" s="351"/>
      <c r="D171" s="600" t="str">
        <f>'refer admin discharge'!D168</f>
        <v>xx</v>
      </c>
      <c r="E171" s="351"/>
      <c r="F171" s="609" t="str">
        <f>'refer admin discharge'!H168</f>
        <v>00/00/0000</v>
      </c>
      <c r="G171" s="351"/>
      <c r="H171" s="610"/>
      <c r="I171" s="351"/>
      <c r="J171" s="611"/>
      <c r="K171" s="351"/>
      <c r="L171" s="610"/>
      <c r="M171" s="351"/>
      <c r="N171" s="612"/>
      <c r="O171" s="351"/>
      <c r="P171" s="610"/>
      <c r="Q171" s="351"/>
      <c r="R171" s="612"/>
      <c r="S171" s="351"/>
      <c r="T171" s="610"/>
      <c r="U171" s="351"/>
      <c r="V171" s="613" t="str">
        <f>'refer admin discharge'!H172</f>
        <v>00/00/0000</v>
      </c>
      <c r="W171" s="351"/>
      <c r="X171" s="607"/>
      <c r="Y171" s="351"/>
      <c r="Z171" s="614"/>
      <c r="AA171" s="351"/>
      <c r="AB171" s="607"/>
      <c r="AC171" s="351"/>
      <c r="AD171" s="606"/>
      <c r="AE171" s="351"/>
      <c r="AF171" s="607"/>
      <c r="AG171" s="351"/>
      <c r="AH171" s="606"/>
      <c r="AI171" s="351"/>
      <c r="AJ171" s="607"/>
      <c r="AK171" s="351"/>
      <c r="AL171" s="608"/>
      <c r="AM171" s="350"/>
      <c r="AN171" s="350"/>
      <c r="AO171" s="350"/>
      <c r="AP171" s="350"/>
      <c r="AQ171" s="350"/>
      <c r="AR171" s="350"/>
      <c r="AS171" s="350"/>
      <c r="AT171" s="350"/>
      <c r="AU171" s="350"/>
      <c r="AV171" s="350"/>
      <c r="AW171" s="350"/>
      <c r="AX171" s="350"/>
      <c r="AY171" s="350"/>
      <c r="AZ171" s="350"/>
      <c r="BA171" s="350"/>
      <c r="BB171" s="351"/>
    </row>
    <row r="172" spans="1:54" ht="15.75" customHeight="1">
      <c r="A172" s="25">
        <f t="shared" si="0"/>
        <v>159</v>
      </c>
      <c r="B172" s="618" t="str">
        <f>'refer admin discharge'!B169</f>
        <v>x</v>
      </c>
      <c r="C172" s="351"/>
      <c r="D172" s="619" t="str">
        <f>'refer admin discharge'!D169</f>
        <v>xx</v>
      </c>
      <c r="E172" s="351"/>
      <c r="F172" s="620" t="str">
        <f>'refer admin discharge'!H169</f>
        <v>00/00/0000</v>
      </c>
      <c r="G172" s="351"/>
      <c r="H172" s="615"/>
      <c r="I172" s="351"/>
      <c r="J172" s="621"/>
      <c r="K172" s="351"/>
      <c r="L172" s="615"/>
      <c r="M172" s="351"/>
      <c r="N172" s="610"/>
      <c r="O172" s="351"/>
      <c r="P172" s="615"/>
      <c r="Q172" s="351"/>
      <c r="R172" s="610"/>
      <c r="S172" s="351"/>
      <c r="T172" s="615"/>
      <c r="U172" s="351"/>
      <c r="V172" s="613" t="str">
        <f>'refer admin discharge'!H173</f>
        <v>00/00/0000</v>
      </c>
      <c r="W172" s="351"/>
      <c r="X172" s="616"/>
      <c r="Y172" s="351"/>
      <c r="Z172" s="617"/>
      <c r="AA172" s="351"/>
      <c r="AB172" s="616"/>
      <c r="AC172" s="351"/>
      <c r="AD172" s="607"/>
      <c r="AE172" s="351"/>
      <c r="AF172" s="616"/>
      <c r="AG172" s="351"/>
      <c r="AH172" s="607"/>
      <c r="AI172" s="351"/>
      <c r="AJ172" s="616"/>
      <c r="AK172" s="351"/>
      <c r="AL172" s="622"/>
      <c r="AM172" s="350"/>
      <c r="AN172" s="350"/>
      <c r="AO172" s="350"/>
      <c r="AP172" s="350"/>
      <c r="AQ172" s="350"/>
      <c r="AR172" s="350"/>
      <c r="AS172" s="350"/>
      <c r="AT172" s="350"/>
      <c r="AU172" s="350"/>
      <c r="AV172" s="350"/>
      <c r="AW172" s="350"/>
      <c r="AX172" s="350"/>
      <c r="AY172" s="350"/>
      <c r="AZ172" s="350"/>
      <c r="BA172" s="350"/>
      <c r="BB172" s="351"/>
    </row>
    <row r="173" spans="1:54" ht="15.75" customHeight="1">
      <c r="A173" s="25">
        <f t="shared" si="0"/>
        <v>160</v>
      </c>
      <c r="B173" s="599" t="str">
        <f>'refer admin discharge'!B170</f>
        <v>x</v>
      </c>
      <c r="C173" s="351"/>
      <c r="D173" s="600" t="str">
        <f>'refer admin discharge'!D170</f>
        <v>xx</v>
      </c>
      <c r="E173" s="351"/>
      <c r="F173" s="609" t="str">
        <f>'refer admin discharge'!H170</f>
        <v>00/00/0000</v>
      </c>
      <c r="G173" s="351"/>
      <c r="H173" s="610"/>
      <c r="I173" s="351"/>
      <c r="J173" s="611"/>
      <c r="K173" s="351"/>
      <c r="L173" s="610"/>
      <c r="M173" s="351"/>
      <c r="N173" s="612"/>
      <c r="O173" s="351"/>
      <c r="P173" s="610"/>
      <c r="Q173" s="351"/>
      <c r="R173" s="612"/>
      <c r="S173" s="351"/>
      <c r="T173" s="610"/>
      <c r="U173" s="351"/>
      <c r="V173" s="613" t="str">
        <f>'refer admin discharge'!H174</f>
        <v>00/00/0000</v>
      </c>
      <c r="W173" s="351"/>
      <c r="X173" s="607"/>
      <c r="Y173" s="351"/>
      <c r="Z173" s="614"/>
      <c r="AA173" s="351"/>
      <c r="AB173" s="607"/>
      <c r="AC173" s="351"/>
      <c r="AD173" s="606"/>
      <c r="AE173" s="351"/>
      <c r="AF173" s="607"/>
      <c r="AG173" s="351"/>
      <c r="AH173" s="606"/>
      <c r="AI173" s="351"/>
      <c r="AJ173" s="607"/>
      <c r="AK173" s="351"/>
      <c r="AL173" s="608"/>
      <c r="AM173" s="350"/>
      <c r="AN173" s="350"/>
      <c r="AO173" s="350"/>
      <c r="AP173" s="350"/>
      <c r="AQ173" s="350"/>
      <c r="AR173" s="350"/>
      <c r="AS173" s="350"/>
      <c r="AT173" s="350"/>
      <c r="AU173" s="350"/>
      <c r="AV173" s="350"/>
      <c r="AW173" s="350"/>
      <c r="AX173" s="350"/>
      <c r="AY173" s="350"/>
      <c r="AZ173" s="350"/>
      <c r="BA173" s="350"/>
      <c r="BB173" s="351"/>
    </row>
    <row r="174" spans="1:54" ht="15.75" customHeight="1">
      <c r="A174" s="25">
        <f t="shared" si="0"/>
        <v>161</v>
      </c>
      <c r="B174" s="618" t="str">
        <f>'refer admin discharge'!B171</f>
        <v>x</v>
      </c>
      <c r="C174" s="351"/>
      <c r="D174" s="619" t="str">
        <f>'refer admin discharge'!D171</f>
        <v>xx</v>
      </c>
      <c r="E174" s="351"/>
      <c r="F174" s="620" t="str">
        <f>'refer admin discharge'!H171</f>
        <v>00/00/0000</v>
      </c>
      <c r="G174" s="351"/>
      <c r="H174" s="615"/>
      <c r="I174" s="351"/>
      <c r="J174" s="621"/>
      <c r="K174" s="351"/>
      <c r="L174" s="615"/>
      <c r="M174" s="351"/>
      <c r="N174" s="610"/>
      <c r="O174" s="351"/>
      <c r="P174" s="615"/>
      <c r="Q174" s="351"/>
      <c r="R174" s="610"/>
      <c r="S174" s="351"/>
      <c r="T174" s="615"/>
      <c r="U174" s="351"/>
      <c r="V174" s="613" t="str">
        <f>'refer admin discharge'!H175</f>
        <v>00/00/0000</v>
      </c>
      <c r="W174" s="351"/>
      <c r="X174" s="616"/>
      <c r="Y174" s="351"/>
      <c r="Z174" s="617"/>
      <c r="AA174" s="351"/>
      <c r="AB174" s="616"/>
      <c r="AC174" s="351"/>
      <c r="AD174" s="607"/>
      <c r="AE174" s="351"/>
      <c r="AF174" s="616"/>
      <c r="AG174" s="351"/>
      <c r="AH174" s="607"/>
      <c r="AI174" s="351"/>
      <c r="AJ174" s="616"/>
      <c r="AK174" s="351"/>
      <c r="AL174" s="622"/>
      <c r="AM174" s="350"/>
      <c r="AN174" s="350"/>
      <c r="AO174" s="350"/>
      <c r="AP174" s="350"/>
      <c r="AQ174" s="350"/>
      <c r="AR174" s="350"/>
      <c r="AS174" s="350"/>
      <c r="AT174" s="350"/>
      <c r="AU174" s="350"/>
      <c r="AV174" s="350"/>
      <c r="AW174" s="350"/>
      <c r="AX174" s="350"/>
      <c r="AY174" s="350"/>
      <c r="AZ174" s="350"/>
      <c r="BA174" s="350"/>
      <c r="BB174" s="351"/>
    </row>
    <row r="175" spans="1:54" ht="15.75" customHeight="1">
      <c r="A175" s="25">
        <f t="shared" si="0"/>
        <v>162</v>
      </c>
      <c r="B175" s="599" t="str">
        <f>'refer admin discharge'!B172</f>
        <v>x</v>
      </c>
      <c r="C175" s="351"/>
      <c r="D175" s="600" t="str">
        <f>'refer admin discharge'!D172</f>
        <v>xx</v>
      </c>
      <c r="E175" s="351"/>
      <c r="F175" s="609" t="str">
        <f>'refer admin discharge'!H172</f>
        <v>00/00/0000</v>
      </c>
      <c r="G175" s="351"/>
      <c r="H175" s="610"/>
      <c r="I175" s="351"/>
      <c r="J175" s="611"/>
      <c r="K175" s="351"/>
      <c r="L175" s="610"/>
      <c r="M175" s="351"/>
      <c r="N175" s="612"/>
      <c r="O175" s="351"/>
      <c r="P175" s="610"/>
      <c r="Q175" s="351"/>
      <c r="R175" s="612"/>
      <c r="S175" s="351"/>
      <c r="T175" s="610"/>
      <c r="U175" s="351"/>
      <c r="V175" s="613" t="str">
        <f>'refer admin discharge'!H176</f>
        <v>00/00/0000</v>
      </c>
      <c r="W175" s="351"/>
      <c r="X175" s="607"/>
      <c r="Y175" s="351"/>
      <c r="Z175" s="614"/>
      <c r="AA175" s="351"/>
      <c r="AB175" s="607"/>
      <c r="AC175" s="351"/>
      <c r="AD175" s="606"/>
      <c r="AE175" s="351"/>
      <c r="AF175" s="607"/>
      <c r="AG175" s="351"/>
      <c r="AH175" s="606"/>
      <c r="AI175" s="351"/>
      <c r="AJ175" s="607"/>
      <c r="AK175" s="351"/>
      <c r="AL175" s="608"/>
      <c r="AM175" s="350"/>
      <c r="AN175" s="350"/>
      <c r="AO175" s="350"/>
      <c r="AP175" s="350"/>
      <c r="AQ175" s="350"/>
      <c r="AR175" s="350"/>
      <c r="AS175" s="350"/>
      <c r="AT175" s="350"/>
      <c r="AU175" s="350"/>
      <c r="AV175" s="350"/>
      <c r="AW175" s="350"/>
      <c r="AX175" s="350"/>
      <c r="AY175" s="350"/>
      <c r="AZ175" s="350"/>
      <c r="BA175" s="350"/>
      <c r="BB175" s="351"/>
    </row>
    <row r="176" spans="1:54" ht="15.75" customHeight="1">
      <c r="A176" s="25">
        <f t="shared" si="0"/>
        <v>163</v>
      </c>
      <c r="B176" s="618" t="str">
        <f>'refer admin discharge'!B173</f>
        <v>x</v>
      </c>
      <c r="C176" s="351"/>
      <c r="D176" s="619" t="str">
        <f>'refer admin discharge'!D173</f>
        <v>xx</v>
      </c>
      <c r="E176" s="351"/>
      <c r="F176" s="620" t="str">
        <f>'refer admin discharge'!H173</f>
        <v>00/00/0000</v>
      </c>
      <c r="G176" s="351"/>
      <c r="H176" s="615"/>
      <c r="I176" s="351"/>
      <c r="J176" s="621"/>
      <c r="K176" s="351"/>
      <c r="L176" s="615"/>
      <c r="M176" s="351"/>
      <c r="N176" s="610"/>
      <c r="O176" s="351"/>
      <c r="P176" s="615"/>
      <c r="Q176" s="351"/>
      <c r="R176" s="610"/>
      <c r="S176" s="351"/>
      <c r="T176" s="615"/>
      <c r="U176" s="351"/>
      <c r="V176" s="613" t="str">
        <f>'refer admin discharge'!H177</f>
        <v>00/00/0000</v>
      </c>
      <c r="W176" s="351"/>
      <c r="X176" s="616"/>
      <c r="Y176" s="351"/>
      <c r="Z176" s="617"/>
      <c r="AA176" s="351"/>
      <c r="AB176" s="616"/>
      <c r="AC176" s="351"/>
      <c r="AD176" s="607"/>
      <c r="AE176" s="351"/>
      <c r="AF176" s="616"/>
      <c r="AG176" s="351"/>
      <c r="AH176" s="607"/>
      <c r="AI176" s="351"/>
      <c r="AJ176" s="616"/>
      <c r="AK176" s="351"/>
      <c r="AL176" s="622"/>
      <c r="AM176" s="350"/>
      <c r="AN176" s="350"/>
      <c r="AO176" s="350"/>
      <c r="AP176" s="350"/>
      <c r="AQ176" s="350"/>
      <c r="AR176" s="350"/>
      <c r="AS176" s="350"/>
      <c r="AT176" s="350"/>
      <c r="AU176" s="350"/>
      <c r="AV176" s="350"/>
      <c r="AW176" s="350"/>
      <c r="AX176" s="350"/>
      <c r="AY176" s="350"/>
      <c r="AZ176" s="350"/>
      <c r="BA176" s="350"/>
      <c r="BB176" s="351"/>
    </row>
    <row r="177" spans="1:54" ht="15.75" customHeight="1">
      <c r="A177" s="25">
        <f t="shared" si="0"/>
        <v>164</v>
      </c>
      <c r="B177" s="599" t="str">
        <f>'refer admin discharge'!B174</f>
        <v>x</v>
      </c>
      <c r="C177" s="351"/>
      <c r="D177" s="600" t="str">
        <f>'refer admin discharge'!D174</f>
        <v>xx</v>
      </c>
      <c r="E177" s="351"/>
      <c r="F177" s="609" t="str">
        <f>'refer admin discharge'!H174</f>
        <v>00/00/0000</v>
      </c>
      <c r="G177" s="351"/>
      <c r="H177" s="610"/>
      <c r="I177" s="351"/>
      <c r="J177" s="611"/>
      <c r="K177" s="351"/>
      <c r="L177" s="610"/>
      <c r="M177" s="351"/>
      <c r="N177" s="612"/>
      <c r="O177" s="351"/>
      <c r="P177" s="610"/>
      <c r="Q177" s="351"/>
      <c r="R177" s="612"/>
      <c r="S177" s="351"/>
      <c r="T177" s="610"/>
      <c r="U177" s="351"/>
      <c r="V177" s="613" t="str">
        <f>'refer admin discharge'!H178</f>
        <v>00/00/0000</v>
      </c>
      <c r="W177" s="351"/>
      <c r="X177" s="607"/>
      <c r="Y177" s="351"/>
      <c r="Z177" s="614"/>
      <c r="AA177" s="351"/>
      <c r="AB177" s="607"/>
      <c r="AC177" s="351"/>
      <c r="AD177" s="606"/>
      <c r="AE177" s="351"/>
      <c r="AF177" s="607"/>
      <c r="AG177" s="351"/>
      <c r="AH177" s="606"/>
      <c r="AI177" s="351"/>
      <c r="AJ177" s="607"/>
      <c r="AK177" s="351"/>
      <c r="AL177" s="608"/>
      <c r="AM177" s="350"/>
      <c r="AN177" s="350"/>
      <c r="AO177" s="350"/>
      <c r="AP177" s="350"/>
      <c r="AQ177" s="350"/>
      <c r="AR177" s="350"/>
      <c r="AS177" s="350"/>
      <c r="AT177" s="350"/>
      <c r="AU177" s="350"/>
      <c r="AV177" s="350"/>
      <c r="AW177" s="350"/>
      <c r="AX177" s="350"/>
      <c r="AY177" s="350"/>
      <c r="AZ177" s="350"/>
      <c r="BA177" s="350"/>
      <c r="BB177" s="351"/>
    </row>
    <row r="178" spans="1:54" ht="15.75" customHeight="1">
      <c r="A178" s="25">
        <f t="shared" si="0"/>
        <v>165</v>
      </c>
      <c r="B178" s="618" t="str">
        <f>'refer admin discharge'!B175</f>
        <v>x</v>
      </c>
      <c r="C178" s="351"/>
      <c r="D178" s="619" t="str">
        <f>'refer admin discharge'!D175</f>
        <v>xx</v>
      </c>
      <c r="E178" s="351"/>
      <c r="F178" s="620" t="str">
        <f>'refer admin discharge'!H175</f>
        <v>00/00/0000</v>
      </c>
      <c r="G178" s="351"/>
      <c r="H178" s="615"/>
      <c r="I178" s="351"/>
      <c r="J178" s="621"/>
      <c r="K178" s="351"/>
      <c r="L178" s="615"/>
      <c r="M178" s="351"/>
      <c r="N178" s="610"/>
      <c r="O178" s="351"/>
      <c r="P178" s="615"/>
      <c r="Q178" s="351"/>
      <c r="R178" s="610"/>
      <c r="S178" s="351"/>
      <c r="T178" s="615"/>
      <c r="U178" s="351"/>
      <c r="V178" s="613" t="str">
        <f>'refer admin discharge'!H179</f>
        <v>00/00/0000</v>
      </c>
      <c r="W178" s="351"/>
      <c r="X178" s="616"/>
      <c r="Y178" s="351"/>
      <c r="Z178" s="617"/>
      <c r="AA178" s="351"/>
      <c r="AB178" s="616"/>
      <c r="AC178" s="351"/>
      <c r="AD178" s="607"/>
      <c r="AE178" s="351"/>
      <c r="AF178" s="616"/>
      <c r="AG178" s="351"/>
      <c r="AH178" s="607"/>
      <c r="AI178" s="351"/>
      <c r="AJ178" s="616"/>
      <c r="AK178" s="351"/>
      <c r="AL178" s="622"/>
      <c r="AM178" s="350"/>
      <c r="AN178" s="350"/>
      <c r="AO178" s="350"/>
      <c r="AP178" s="350"/>
      <c r="AQ178" s="350"/>
      <c r="AR178" s="350"/>
      <c r="AS178" s="350"/>
      <c r="AT178" s="350"/>
      <c r="AU178" s="350"/>
      <c r="AV178" s="350"/>
      <c r="AW178" s="350"/>
      <c r="AX178" s="350"/>
      <c r="AY178" s="350"/>
      <c r="AZ178" s="350"/>
      <c r="BA178" s="350"/>
      <c r="BB178" s="351"/>
    </row>
    <row r="179" spans="1:54" ht="15.75" customHeight="1">
      <c r="A179" s="25">
        <f t="shared" si="0"/>
        <v>166</v>
      </c>
      <c r="B179" s="599" t="str">
        <f>'refer admin discharge'!B176</f>
        <v>x</v>
      </c>
      <c r="C179" s="351"/>
      <c r="D179" s="600" t="str">
        <f>'refer admin discharge'!D176</f>
        <v>xx</v>
      </c>
      <c r="E179" s="351"/>
      <c r="F179" s="609" t="str">
        <f>'refer admin discharge'!H176</f>
        <v>00/00/0000</v>
      </c>
      <c r="G179" s="351"/>
      <c r="H179" s="610"/>
      <c r="I179" s="351"/>
      <c r="J179" s="611"/>
      <c r="K179" s="351"/>
      <c r="L179" s="610"/>
      <c r="M179" s="351"/>
      <c r="N179" s="612"/>
      <c r="O179" s="351"/>
      <c r="P179" s="610"/>
      <c r="Q179" s="351"/>
      <c r="R179" s="612"/>
      <c r="S179" s="351"/>
      <c r="T179" s="610"/>
      <c r="U179" s="351"/>
      <c r="V179" s="613" t="str">
        <f>'refer admin discharge'!H180</f>
        <v>00/00/0000</v>
      </c>
      <c r="W179" s="351"/>
      <c r="X179" s="607"/>
      <c r="Y179" s="351"/>
      <c r="Z179" s="614"/>
      <c r="AA179" s="351"/>
      <c r="AB179" s="607"/>
      <c r="AC179" s="351"/>
      <c r="AD179" s="606"/>
      <c r="AE179" s="351"/>
      <c r="AF179" s="607"/>
      <c r="AG179" s="351"/>
      <c r="AH179" s="606"/>
      <c r="AI179" s="351"/>
      <c r="AJ179" s="607"/>
      <c r="AK179" s="351"/>
      <c r="AL179" s="608"/>
      <c r="AM179" s="350"/>
      <c r="AN179" s="350"/>
      <c r="AO179" s="350"/>
      <c r="AP179" s="350"/>
      <c r="AQ179" s="350"/>
      <c r="AR179" s="350"/>
      <c r="AS179" s="350"/>
      <c r="AT179" s="350"/>
      <c r="AU179" s="350"/>
      <c r="AV179" s="350"/>
      <c r="AW179" s="350"/>
      <c r="AX179" s="350"/>
      <c r="AY179" s="350"/>
      <c r="AZ179" s="350"/>
      <c r="BA179" s="350"/>
      <c r="BB179" s="351"/>
    </row>
    <row r="180" spans="1:54" ht="15.75" customHeight="1">
      <c r="A180" s="25">
        <f t="shared" si="0"/>
        <v>167</v>
      </c>
      <c r="B180" s="618" t="str">
        <f>'refer admin discharge'!B177</f>
        <v>x</v>
      </c>
      <c r="C180" s="351"/>
      <c r="D180" s="619" t="str">
        <f>'refer admin discharge'!D177</f>
        <v>xx</v>
      </c>
      <c r="E180" s="351"/>
      <c r="F180" s="620" t="str">
        <f>'refer admin discharge'!H177</f>
        <v>00/00/0000</v>
      </c>
      <c r="G180" s="351"/>
      <c r="H180" s="615"/>
      <c r="I180" s="351"/>
      <c r="J180" s="621"/>
      <c r="K180" s="351"/>
      <c r="L180" s="615"/>
      <c r="M180" s="351"/>
      <c r="N180" s="610"/>
      <c r="O180" s="351"/>
      <c r="P180" s="615"/>
      <c r="Q180" s="351"/>
      <c r="R180" s="610"/>
      <c r="S180" s="351"/>
      <c r="T180" s="615"/>
      <c r="U180" s="351"/>
      <c r="V180" s="613" t="str">
        <f>'refer admin discharge'!H181</f>
        <v>00/00/0000</v>
      </c>
      <c r="W180" s="351"/>
      <c r="X180" s="616"/>
      <c r="Y180" s="351"/>
      <c r="Z180" s="617"/>
      <c r="AA180" s="351"/>
      <c r="AB180" s="616"/>
      <c r="AC180" s="351"/>
      <c r="AD180" s="607"/>
      <c r="AE180" s="351"/>
      <c r="AF180" s="616"/>
      <c r="AG180" s="351"/>
      <c r="AH180" s="607"/>
      <c r="AI180" s="351"/>
      <c r="AJ180" s="616"/>
      <c r="AK180" s="351"/>
      <c r="AL180" s="622"/>
      <c r="AM180" s="350"/>
      <c r="AN180" s="350"/>
      <c r="AO180" s="350"/>
      <c r="AP180" s="350"/>
      <c r="AQ180" s="350"/>
      <c r="AR180" s="350"/>
      <c r="AS180" s="350"/>
      <c r="AT180" s="350"/>
      <c r="AU180" s="350"/>
      <c r="AV180" s="350"/>
      <c r="AW180" s="350"/>
      <c r="AX180" s="350"/>
      <c r="AY180" s="350"/>
      <c r="AZ180" s="350"/>
      <c r="BA180" s="350"/>
      <c r="BB180" s="351"/>
    </row>
    <row r="181" spans="1:54" ht="15.75" customHeight="1">
      <c r="A181" s="25">
        <f t="shared" si="0"/>
        <v>168</v>
      </c>
      <c r="B181" s="599" t="str">
        <f>'refer admin discharge'!B178</f>
        <v>x</v>
      </c>
      <c r="C181" s="351"/>
      <c r="D181" s="600" t="str">
        <f>'refer admin discharge'!D178</f>
        <v>xx</v>
      </c>
      <c r="E181" s="351"/>
      <c r="F181" s="609" t="str">
        <f>'refer admin discharge'!H178</f>
        <v>00/00/0000</v>
      </c>
      <c r="G181" s="351"/>
      <c r="H181" s="610"/>
      <c r="I181" s="351"/>
      <c r="J181" s="611"/>
      <c r="K181" s="351"/>
      <c r="L181" s="610"/>
      <c r="M181" s="351"/>
      <c r="N181" s="612"/>
      <c r="O181" s="351"/>
      <c r="P181" s="610"/>
      <c r="Q181" s="351"/>
      <c r="R181" s="612"/>
      <c r="S181" s="351"/>
      <c r="T181" s="610"/>
      <c r="U181" s="351"/>
      <c r="V181" s="613" t="str">
        <f>'refer admin discharge'!H182</f>
        <v>00/00/0000</v>
      </c>
      <c r="W181" s="351"/>
      <c r="X181" s="607"/>
      <c r="Y181" s="351"/>
      <c r="Z181" s="614"/>
      <c r="AA181" s="351"/>
      <c r="AB181" s="607"/>
      <c r="AC181" s="351"/>
      <c r="AD181" s="606"/>
      <c r="AE181" s="351"/>
      <c r="AF181" s="607"/>
      <c r="AG181" s="351"/>
      <c r="AH181" s="606"/>
      <c r="AI181" s="351"/>
      <c r="AJ181" s="607"/>
      <c r="AK181" s="351"/>
      <c r="AL181" s="608"/>
      <c r="AM181" s="350"/>
      <c r="AN181" s="350"/>
      <c r="AO181" s="350"/>
      <c r="AP181" s="350"/>
      <c r="AQ181" s="350"/>
      <c r="AR181" s="350"/>
      <c r="AS181" s="350"/>
      <c r="AT181" s="350"/>
      <c r="AU181" s="350"/>
      <c r="AV181" s="350"/>
      <c r="AW181" s="350"/>
      <c r="AX181" s="350"/>
      <c r="AY181" s="350"/>
      <c r="AZ181" s="350"/>
      <c r="BA181" s="350"/>
      <c r="BB181" s="351"/>
    </row>
    <row r="182" spans="1:54" ht="15.75" customHeight="1">
      <c r="A182" s="25">
        <f t="shared" si="0"/>
        <v>169</v>
      </c>
      <c r="B182" s="618" t="str">
        <f>'refer admin discharge'!B179</f>
        <v>x</v>
      </c>
      <c r="C182" s="351"/>
      <c r="D182" s="619" t="str">
        <f>'refer admin discharge'!D179</f>
        <v>xx</v>
      </c>
      <c r="E182" s="351"/>
      <c r="F182" s="620" t="str">
        <f>'refer admin discharge'!H179</f>
        <v>00/00/0000</v>
      </c>
      <c r="G182" s="351"/>
      <c r="H182" s="615"/>
      <c r="I182" s="351"/>
      <c r="J182" s="621"/>
      <c r="K182" s="351"/>
      <c r="L182" s="615"/>
      <c r="M182" s="351"/>
      <c r="N182" s="610"/>
      <c r="O182" s="351"/>
      <c r="P182" s="615"/>
      <c r="Q182" s="351"/>
      <c r="R182" s="610"/>
      <c r="S182" s="351"/>
      <c r="T182" s="615"/>
      <c r="U182" s="351"/>
      <c r="V182" s="613" t="str">
        <f>'refer admin discharge'!H183</f>
        <v>00/00/0000</v>
      </c>
      <c r="W182" s="351"/>
      <c r="X182" s="616"/>
      <c r="Y182" s="351"/>
      <c r="Z182" s="617"/>
      <c r="AA182" s="351"/>
      <c r="AB182" s="616"/>
      <c r="AC182" s="351"/>
      <c r="AD182" s="607"/>
      <c r="AE182" s="351"/>
      <c r="AF182" s="616"/>
      <c r="AG182" s="351"/>
      <c r="AH182" s="607"/>
      <c r="AI182" s="351"/>
      <c r="AJ182" s="616"/>
      <c r="AK182" s="351"/>
      <c r="AL182" s="622"/>
      <c r="AM182" s="350"/>
      <c r="AN182" s="350"/>
      <c r="AO182" s="350"/>
      <c r="AP182" s="350"/>
      <c r="AQ182" s="350"/>
      <c r="AR182" s="350"/>
      <c r="AS182" s="350"/>
      <c r="AT182" s="350"/>
      <c r="AU182" s="350"/>
      <c r="AV182" s="350"/>
      <c r="AW182" s="350"/>
      <c r="AX182" s="350"/>
      <c r="AY182" s="350"/>
      <c r="AZ182" s="350"/>
      <c r="BA182" s="350"/>
      <c r="BB182" s="351"/>
    </row>
    <row r="183" spans="1:54" ht="15.75" customHeight="1">
      <c r="A183" s="25">
        <f t="shared" si="0"/>
        <v>170</v>
      </c>
      <c r="B183" s="599" t="str">
        <f>'refer admin discharge'!B180</f>
        <v>x</v>
      </c>
      <c r="C183" s="351"/>
      <c r="D183" s="600" t="str">
        <f>'refer admin discharge'!D180</f>
        <v>xx</v>
      </c>
      <c r="E183" s="351"/>
      <c r="F183" s="609" t="str">
        <f>'refer admin discharge'!H180</f>
        <v>00/00/0000</v>
      </c>
      <c r="G183" s="351"/>
      <c r="H183" s="610"/>
      <c r="I183" s="351"/>
      <c r="J183" s="611"/>
      <c r="K183" s="351"/>
      <c r="L183" s="610"/>
      <c r="M183" s="351"/>
      <c r="N183" s="612"/>
      <c r="O183" s="351"/>
      <c r="P183" s="610"/>
      <c r="Q183" s="351"/>
      <c r="R183" s="612"/>
      <c r="S183" s="351"/>
      <c r="T183" s="610"/>
      <c r="U183" s="351"/>
      <c r="V183" s="613" t="str">
        <f>'refer admin discharge'!H184</f>
        <v>00/00/0000</v>
      </c>
      <c r="W183" s="351"/>
      <c r="X183" s="607"/>
      <c r="Y183" s="351"/>
      <c r="Z183" s="614"/>
      <c r="AA183" s="351"/>
      <c r="AB183" s="607"/>
      <c r="AC183" s="351"/>
      <c r="AD183" s="606"/>
      <c r="AE183" s="351"/>
      <c r="AF183" s="607"/>
      <c r="AG183" s="351"/>
      <c r="AH183" s="606"/>
      <c r="AI183" s="351"/>
      <c r="AJ183" s="607"/>
      <c r="AK183" s="351"/>
      <c r="AL183" s="608"/>
      <c r="AM183" s="350"/>
      <c r="AN183" s="350"/>
      <c r="AO183" s="350"/>
      <c r="AP183" s="350"/>
      <c r="AQ183" s="350"/>
      <c r="AR183" s="350"/>
      <c r="AS183" s="350"/>
      <c r="AT183" s="350"/>
      <c r="AU183" s="350"/>
      <c r="AV183" s="350"/>
      <c r="AW183" s="350"/>
      <c r="AX183" s="350"/>
      <c r="AY183" s="350"/>
      <c r="AZ183" s="350"/>
      <c r="BA183" s="350"/>
      <c r="BB183" s="351"/>
    </row>
    <row r="184" spans="1:54" ht="15.75" customHeight="1">
      <c r="A184" s="25">
        <f t="shared" si="0"/>
        <v>171</v>
      </c>
      <c r="B184" s="618" t="str">
        <f>'refer admin discharge'!B181</f>
        <v>x</v>
      </c>
      <c r="C184" s="351"/>
      <c r="D184" s="619" t="str">
        <f>'refer admin discharge'!D181</f>
        <v>xx</v>
      </c>
      <c r="E184" s="351"/>
      <c r="F184" s="620" t="str">
        <f>'refer admin discharge'!H181</f>
        <v>00/00/0000</v>
      </c>
      <c r="G184" s="351"/>
      <c r="H184" s="615"/>
      <c r="I184" s="351"/>
      <c r="J184" s="621"/>
      <c r="K184" s="351"/>
      <c r="L184" s="615"/>
      <c r="M184" s="351"/>
      <c r="N184" s="610"/>
      <c r="O184" s="351"/>
      <c r="P184" s="615"/>
      <c r="Q184" s="351"/>
      <c r="R184" s="610"/>
      <c r="S184" s="351"/>
      <c r="T184" s="615"/>
      <c r="U184" s="351"/>
      <c r="V184" s="613" t="str">
        <f>'refer admin discharge'!H185</f>
        <v>00/00/0000</v>
      </c>
      <c r="W184" s="351"/>
      <c r="X184" s="616"/>
      <c r="Y184" s="351"/>
      <c r="Z184" s="617"/>
      <c r="AA184" s="351"/>
      <c r="AB184" s="616"/>
      <c r="AC184" s="351"/>
      <c r="AD184" s="607"/>
      <c r="AE184" s="351"/>
      <c r="AF184" s="616"/>
      <c r="AG184" s="351"/>
      <c r="AH184" s="607"/>
      <c r="AI184" s="351"/>
      <c r="AJ184" s="616"/>
      <c r="AK184" s="351"/>
      <c r="AL184" s="622"/>
      <c r="AM184" s="350"/>
      <c r="AN184" s="350"/>
      <c r="AO184" s="350"/>
      <c r="AP184" s="350"/>
      <c r="AQ184" s="350"/>
      <c r="AR184" s="350"/>
      <c r="AS184" s="350"/>
      <c r="AT184" s="350"/>
      <c r="AU184" s="350"/>
      <c r="AV184" s="350"/>
      <c r="AW184" s="350"/>
      <c r="AX184" s="350"/>
      <c r="AY184" s="350"/>
      <c r="AZ184" s="350"/>
      <c r="BA184" s="350"/>
      <c r="BB184" s="351"/>
    </row>
    <row r="185" spans="1:54" ht="15.75" customHeight="1">
      <c r="A185" s="25">
        <f t="shared" si="0"/>
        <v>172</v>
      </c>
      <c r="B185" s="599" t="str">
        <f>'refer admin discharge'!B182</f>
        <v>x</v>
      </c>
      <c r="C185" s="351"/>
      <c r="D185" s="600" t="str">
        <f>'refer admin discharge'!D182</f>
        <v>xx</v>
      </c>
      <c r="E185" s="351"/>
      <c r="F185" s="609" t="str">
        <f>'refer admin discharge'!H182</f>
        <v>00/00/0000</v>
      </c>
      <c r="G185" s="351"/>
      <c r="H185" s="610"/>
      <c r="I185" s="351"/>
      <c r="J185" s="611"/>
      <c r="K185" s="351"/>
      <c r="L185" s="610"/>
      <c r="M185" s="351"/>
      <c r="N185" s="612"/>
      <c r="O185" s="351"/>
      <c r="P185" s="610"/>
      <c r="Q185" s="351"/>
      <c r="R185" s="612"/>
      <c r="S185" s="351"/>
      <c r="T185" s="610"/>
      <c r="U185" s="351"/>
      <c r="V185" s="613" t="str">
        <f>'refer admin discharge'!H186</f>
        <v>00/00/0000</v>
      </c>
      <c r="W185" s="351"/>
      <c r="X185" s="607"/>
      <c r="Y185" s="351"/>
      <c r="Z185" s="614"/>
      <c r="AA185" s="351"/>
      <c r="AB185" s="607"/>
      <c r="AC185" s="351"/>
      <c r="AD185" s="606"/>
      <c r="AE185" s="351"/>
      <c r="AF185" s="607"/>
      <c r="AG185" s="351"/>
      <c r="AH185" s="606"/>
      <c r="AI185" s="351"/>
      <c r="AJ185" s="607"/>
      <c r="AK185" s="351"/>
      <c r="AL185" s="608"/>
      <c r="AM185" s="350"/>
      <c r="AN185" s="350"/>
      <c r="AO185" s="350"/>
      <c r="AP185" s="350"/>
      <c r="AQ185" s="350"/>
      <c r="AR185" s="350"/>
      <c r="AS185" s="350"/>
      <c r="AT185" s="350"/>
      <c r="AU185" s="350"/>
      <c r="AV185" s="350"/>
      <c r="AW185" s="350"/>
      <c r="AX185" s="350"/>
      <c r="AY185" s="350"/>
      <c r="AZ185" s="350"/>
      <c r="BA185" s="350"/>
      <c r="BB185" s="351"/>
    </row>
    <row r="186" spans="1:54" ht="15.75" customHeight="1">
      <c r="A186" s="25">
        <f t="shared" si="0"/>
        <v>173</v>
      </c>
      <c r="B186" s="618" t="str">
        <f>'refer admin discharge'!B183</f>
        <v>x</v>
      </c>
      <c r="C186" s="351"/>
      <c r="D186" s="619" t="str">
        <f>'refer admin discharge'!D183</f>
        <v>xx</v>
      </c>
      <c r="E186" s="351"/>
      <c r="F186" s="620" t="str">
        <f>'refer admin discharge'!H183</f>
        <v>00/00/0000</v>
      </c>
      <c r="G186" s="351"/>
      <c r="H186" s="615"/>
      <c r="I186" s="351"/>
      <c r="J186" s="621"/>
      <c r="K186" s="351"/>
      <c r="L186" s="615"/>
      <c r="M186" s="351"/>
      <c r="N186" s="610"/>
      <c r="O186" s="351"/>
      <c r="P186" s="615"/>
      <c r="Q186" s="351"/>
      <c r="R186" s="610"/>
      <c r="S186" s="351"/>
      <c r="T186" s="615"/>
      <c r="U186" s="351"/>
      <c r="V186" s="613" t="str">
        <f>'refer admin discharge'!H187</f>
        <v>00/00/0000</v>
      </c>
      <c r="W186" s="351"/>
      <c r="X186" s="616"/>
      <c r="Y186" s="351"/>
      <c r="Z186" s="617"/>
      <c r="AA186" s="351"/>
      <c r="AB186" s="616"/>
      <c r="AC186" s="351"/>
      <c r="AD186" s="607"/>
      <c r="AE186" s="351"/>
      <c r="AF186" s="616"/>
      <c r="AG186" s="351"/>
      <c r="AH186" s="607"/>
      <c r="AI186" s="351"/>
      <c r="AJ186" s="616"/>
      <c r="AK186" s="351"/>
      <c r="AL186" s="622"/>
      <c r="AM186" s="350"/>
      <c r="AN186" s="350"/>
      <c r="AO186" s="350"/>
      <c r="AP186" s="350"/>
      <c r="AQ186" s="350"/>
      <c r="AR186" s="350"/>
      <c r="AS186" s="350"/>
      <c r="AT186" s="350"/>
      <c r="AU186" s="350"/>
      <c r="AV186" s="350"/>
      <c r="AW186" s="350"/>
      <c r="AX186" s="350"/>
      <c r="AY186" s="350"/>
      <c r="AZ186" s="350"/>
      <c r="BA186" s="350"/>
      <c r="BB186" s="351"/>
    </row>
    <row r="187" spans="1:54" ht="15.75" customHeight="1">
      <c r="A187" s="25">
        <f t="shared" si="0"/>
        <v>174</v>
      </c>
      <c r="B187" s="599" t="str">
        <f>'refer admin discharge'!B184</f>
        <v>x</v>
      </c>
      <c r="C187" s="351"/>
      <c r="D187" s="600" t="str">
        <f>'refer admin discharge'!D184</f>
        <v>xx</v>
      </c>
      <c r="E187" s="351"/>
      <c r="F187" s="609" t="str">
        <f>'refer admin discharge'!H184</f>
        <v>00/00/0000</v>
      </c>
      <c r="G187" s="351"/>
      <c r="H187" s="610"/>
      <c r="I187" s="351"/>
      <c r="J187" s="611"/>
      <c r="K187" s="351"/>
      <c r="L187" s="610"/>
      <c r="M187" s="351"/>
      <c r="N187" s="612"/>
      <c r="O187" s="351"/>
      <c r="P187" s="610"/>
      <c r="Q187" s="351"/>
      <c r="R187" s="612"/>
      <c r="S187" s="351"/>
      <c r="T187" s="610"/>
      <c r="U187" s="351"/>
      <c r="V187" s="613" t="str">
        <f>'refer admin discharge'!H188</f>
        <v>00/00/0000</v>
      </c>
      <c r="W187" s="351"/>
      <c r="X187" s="607"/>
      <c r="Y187" s="351"/>
      <c r="Z187" s="614"/>
      <c r="AA187" s="351"/>
      <c r="AB187" s="607"/>
      <c r="AC187" s="351"/>
      <c r="AD187" s="606"/>
      <c r="AE187" s="351"/>
      <c r="AF187" s="607"/>
      <c r="AG187" s="351"/>
      <c r="AH187" s="606"/>
      <c r="AI187" s="351"/>
      <c r="AJ187" s="607"/>
      <c r="AK187" s="351"/>
      <c r="AL187" s="608"/>
      <c r="AM187" s="350"/>
      <c r="AN187" s="350"/>
      <c r="AO187" s="350"/>
      <c r="AP187" s="350"/>
      <c r="AQ187" s="350"/>
      <c r="AR187" s="350"/>
      <c r="AS187" s="350"/>
      <c r="AT187" s="350"/>
      <c r="AU187" s="350"/>
      <c r="AV187" s="350"/>
      <c r="AW187" s="350"/>
      <c r="AX187" s="350"/>
      <c r="AY187" s="350"/>
      <c r="AZ187" s="350"/>
      <c r="BA187" s="350"/>
      <c r="BB187" s="351"/>
    </row>
    <row r="188" spans="1:54" ht="15.75" customHeight="1">
      <c r="A188" s="25">
        <f t="shared" si="0"/>
        <v>175</v>
      </c>
      <c r="B188" s="618" t="str">
        <f>'refer admin discharge'!B185</f>
        <v>x</v>
      </c>
      <c r="C188" s="351"/>
      <c r="D188" s="619" t="str">
        <f>'refer admin discharge'!D185</f>
        <v>xx</v>
      </c>
      <c r="E188" s="351"/>
      <c r="F188" s="620" t="str">
        <f>'refer admin discharge'!H185</f>
        <v>00/00/0000</v>
      </c>
      <c r="G188" s="351"/>
      <c r="H188" s="615"/>
      <c r="I188" s="351"/>
      <c r="J188" s="621"/>
      <c r="K188" s="351"/>
      <c r="L188" s="615"/>
      <c r="M188" s="351"/>
      <c r="N188" s="610"/>
      <c r="O188" s="351"/>
      <c r="P188" s="615"/>
      <c r="Q188" s="351"/>
      <c r="R188" s="610"/>
      <c r="S188" s="351"/>
      <c r="T188" s="615"/>
      <c r="U188" s="351"/>
      <c r="V188" s="613" t="str">
        <f>'refer admin discharge'!H189</f>
        <v>00/00/0000</v>
      </c>
      <c r="W188" s="351"/>
      <c r="X188" s="616"/>
      <c r="Y188" s="351"/>
      <c r="Z188" s="617"/>
      <c r="AA188" s="351"/>
      <c r="AB188" s="616"/>
      <c r="AC188" s="351"/>
      <c r="AD188" s="607"/>
      <c r="AE188" s="351"/>
      <c r="AF188" s="616"/>
      <c r="AG188" s="351"/>
      <c r="AH188" s="607"/>
      <c r="AI188" s="351"/>
      <c r="AJ188" s="616"/>
      <c r="AK188" s="351"/>
      <c r="AL188" s="622"/>
      <c r="AM188" s="350"/>
      <c r="AN188" s="350"/>
      <c r="AO188" s="350"/>
      <c r="AP188" s="350"/>
      <c r="AQ188" s="350"/>
      <c r="AR188" s="350"/>
      <c r="AS188" s="350"/>
      <c r="AT188" s="350"/>
      <c r="AU188" s="350"/>
      <c r="AV188" s="350"/>
      <c r="AW188" s="350"/>
      <c r="AX188" s="350"/>
      <c r="AY188" s="350"/>
      <c r="AZ188" s="350"/>
      <c r="BA188" s="350"/>
      <c r="BB188" s="351"/>
    </row>
    <row r="189" spans="1:54" ht="15.75" customHeight="1">
      <c r="A189" s="25">
        <f t="shared" si="0"/>
        <v>176</v>
      </c>
      <c r="B189" s="599" t="str">
        <f>'refer admin discharge'!B186</f>
        <v>x</v>
      </c>
      <c r="C189" s="351"/>
      <c r="D189" s="600" t="str">
        <f>'refer admin discharge'!D186</f>
        <v>xx</v>
      </c>
      <c r="E189" s="351"/>
      <c r="F189" s="609" t="str">
        <f>'refer admin discharge'!H186</f>
        <v>00/00/0000</v>
      </c>
      <c r="G189" s="351"/>
      <c r="H189" s="610"/>
      <c r="I189" s="351"/>
      <c r="J189" s="611"/>
      <c r="K189" s="351"/>
      <c r="L189" s="610"/>
      <c r="M189" s="351"/>
      <c r="N189" s="612"/>
      <c r="O189" s="351"/>
      <c r="P189" s="610"/>
      <c r="Q189" s="351"/>
      <c r="R189" s="612"/>
      <c r="S189" s="351"/>
      <c r="T189" s="610"/>
      <c r="U189" s="351"/>
      <c r="V189" s="613" t="str">
        <f>'refer admin discharge'!H190</f>
        <v>00/00/0000</v>
      </c>
      <c r="W189" s="351"/>
      <c r="X189" s="607"/>
      <c r="Y189" s="351"/>
      <c r="Z189" s="614"/>
      <c r="AA189" s="351"/>
      <c r="AB189" s="607"/>
      <c r="AC189" s="351"/>
      <c r="AD189" s="606"/>
      <c r="AE189" s="351"/>
      <c r="AF189" s="607"/>
      <c r="AG189" s="351"/>
      <c r="AH189" s="606"/>
      <c r="AI189" s="351"/>
      <c r="AJ189" s="607"/>
      <c r="AK189" s="351"/>
      <c r="AL189" s="608"/>
      <c r="AM189" s="350"/>
      <c r="AN189" s="350"/>
      <c r="AO189" s="350"/>
      <c r="AP189" s="350"/>
      <c r="AQ189" s="350"/>
      <c r="AR189" s="350"/>
      <c r="AS189" s="350"/>
      <c r="AT189" s="350"/>
      <c r="AU189" s="350"/>
      <c r="AV189" s="350"/>
      <c r="AW189" s="350"/>
      <c r="AX189" s="350"/>
      <c r="AY189" s="350"/>
      <c r="AZ189" s="350"/>
      <c r="BA189" s="350"/>
      <c r="BB189" s="351"/>
    </row>
    <row r="190" spans="1:54" ht="15.75" customHeight="1">
      <c r="A190" s="25">
        <f t="shared" si="0"/>
        <v>177</v>
      </c>
      <c r="B190" s="618" t="str">
        <f>'refer admin discharge'!B187</f>
        <v>x</v>
      </c>
      <c r="C190" s="351"/>
      <c r="D190" s="619" t="str">
        <f>'refer admin discharge'!D187</f>
        <v>xx</v>
      </c>
      <c r="E190" s="351"/>
      <c r="F190" s="620" t="str">
        <f>'refer admin discharge'!H187</f>
        <v>00/00/0000</v>
      </c>
      <c r="G190" s="351"/>
      <c r="H190" s="615"/>
      <c r="I190" s="351"/>
      <c r="J190" s="621"/>
      <c r="K190" s="351"/>
      <c r="L190" s="615"/>
      <c r="M190" s="351"/>
      <c r="N190" s="610"/>
      <c r="O190" s="351"/>
      <c r="P190" s="615"/>
      <c r="Q190" s="351"/>
      <c r="R190" s="610"/>
      <c r="S190" s="351"/>
      <c r="T190" s="615"/>
      <c r="U190" s="351"/>
      <c r="V190" s="613" t="str">
        <f>'refer admin discharge'!H191</f>
        <v>00/00/0000</v>
      </c>
      <c r="W190" s="351"/>
      <c r="X190" s="616"/>
      <c r="Y190" s="351"/>
      <c r="Z190" s="617"/>
      <c r="AA190" s="351"/>
      <c r="AB190" s="616"/>
      <c r="AC190" s="351"/>
      <c r="AD190" s="607"/>
      <c r="AE190" s="351"/>
      <c r="AF190" s="616"/>
      <c r="AG190" s="351"/>
      <c r="AH190" s="607"/>
      <c r="AI190" s="351"/>
      <c r="AJ190" s="616"/>
      <c r="AK190" s="351"/>
      <c r="AL190" s="622"/>
      <c r="AM190" s="350"/>
      <c r="AN190" s="350"/>
      <c r="AO190" s="350"/>
      <c r="AP190" s="350"/>
      <c r="AQ190" s="350"/>
      <c r="AR190" s="350"/>
      <c r="AS190" s="350"/>
      <c r="AT190" s="350"/>
      <c r="AU190" s="350"/>
      <c r="AV190" s="350"/>
      <c r="AW190" s="350"/>
      <c r="AX190" s="350"/>
      <c r="AY190" s="350"/>
      <c r="AZ190" s="350"/>
      <c r="BA190" s="350"/>
      <c r="BB190" s="351"/>
    </row>
    <row r="191" spans="1:54" ht="15.75" customHeight="1">
      <c r="A191" s="25">
        <f t="shared" si="0"/>
        <v>178</v>
      </c>
      <c r="B191" s="599" t="str">
        <f>'refer admin discharge'!B188</f>
        <v>x</v>
      </c>
      <c r="C191" s="351"/>
      <c r="D191" s="600" t="str">
        <f>'refer admin discharge'!D188</f>
        <v>xx</v>
      </c>
      <c r="E191" s="351"/>
      <c r="F191" s="609" t="str">
        <f>'refer admin discharge'!H188</f>
        <v>00/00/0000</v>
      </c>
      <c r="G191" s="351"/>
      <c r="H191" s="610"/>
      <c r="I191" s="351"/>
      <c r="J191" s="611"/>
      <c r="K191" s="351"/>
      <c r="L191" s="610"/>
      <c r="M191" s="351"/>
      <c r="N191" s="612"/>
      <c r="O191" s="351"/>
      <c r="P191" s="610"/>
      <c r="Q191" s="351"/>
      <c r="R191" s="612"/>
      <c r="S191" s="351"/>
      <c r="T191" s="610"/>
      <c r="U191" s="351"/>
      <c r="V191" s="613" t="str">
        <f>'refer admin discharge'!H192</f>
        <v>00/00/0000</v>
      </c>
      <c r="W191" s="351"/>
      <c r="X191" s="607"/>
      <c r="Y191" s="351"/>
      <c r="Z191" s="614"/>
      <c r="AA191" s="351"/>
      <c r="AB191" s="607"/>
      <c r="AC191" s="351"/>
      <c r="AD191" s="606"/>
      <c r="AE191" s="351"/>
      <c r="AF191" s="607"/>
      <c r="AG191" s="351"/>
      <c r="AH191" s="606"/>
      <c r="AI191" s="351"/>
      <c r="AJ191" s="607"/>
      <c r="AK191" s="351"/>
      <c r="AL191" s="608"/>
      <c r="AM191" s="350"/>
      <c r="AN191" s="350"/>
      <c r="AO191" s="350"/>
      <c r="AP191" s="350"/>
      <c r="AQ191" s="350"/>
      <c r="AR191" s="350"/>
      <c r="AS191" s="350"/>
      <c r="AT191" s="350"/>
      <c r="AU191" s="350"/>
      <c r="AV191" s="350"/>
      <c r="AW191" s="350"/>
      <c r="AX191" s="350"/>
      <c r="AY191" s="350"/>
      <c r="AZ191" s="350"/>
      <c r="BA191" s="350"/>
      <c r="BB191" s="351"/>
    </row>
    <row r="192" spans="1:54" ht="15.75" customHeight="1">
      <c r="A192" s="25">
        <f t="shared" si="0"/>
        <v>179</v>
      </c>
      <c r="B192" s="618" t="str">
        <f>'refer admin discharge'!B189</f>
        <v>x</v>
      </c>
      <c r="C192" s="351"/>
      <c r="D192" s="619" t="str">
        <f>'refer admin discharge'!D189</f>
        <v>xx</v>
      </c>
      <c r="E192" s="351"/>
      <c r="F192" s="620" t="str">
        <f>'refer admin discharge'!H189</f>
        <v>00/00/0000</v>
      </c>
      <c r="G192" s="351"/>
      <c r="H192" s="615"/>
      <c r="I192" s="351"/>
      <c r="J192" s="621"/>
      <c r="K192" s="351"/>
      <c r="L192" s="615"/>
      <c r="M192" s="351"/>
      <c r="N192" s="610"/>
      <c r="O192" s="351"/>
      <c r="P192" s="615"/>
      <c r="Q192" s="351"/>
      <c r="R192" s="610"/>
      <c r="S192" s="351"/>
      <c r="T192" s="615"/>
      <c r="U192" s="351"/>
      <c r="V192" s="613" t="str">
        <f>'refer admin discharge'!H193</f>
        <v>00/00/0000</v>
      </c>
      <c r="W192" s="351"/>
      <c r="X192" s="616"/>
      <c r="Y192" s="351"/>
      <c r="Z192" s="617"/>
      <c r="AA192" s="351"/>
      <c r="AB192" s="616"/>
      <c r="AC192" s="351"/>
      <c r="AD192" s="607"/>
      <c r="AE192" s="351"/>
      <c r="AF192" s="616"/>
      <c r="AG192" s="351"/>
      <c r="AH192" s="607"/>
      <c r="AI192" s="351"/>
      <c r="AJ192" s="616"/>
      <c r="AK192" s="351"/>
      <c r="AL192" s="622"/>
      <c r="AM192" s="350"/>
      <c r="AN192" s="350"/>
      <c r="AO192" s="350"/>
      <c r="AP192" s="350"/>
      <c r="AQ192" s="350"/>
      <c r="AR192" s="350"/>
      <c r="AS192" s="350"/>
      <c r="AT192" s="350"/>
      <c r="AU192" s="350"/>
      <c r="AV192" s="350"/>
      <c r="AW192" s="350"/>
      <c r="AX192" s="350"/>
      <c r="AY192" s="350"/>
      <c r="AZ192" s="350"/>
      <c r="BA192" s="350"/>
      <c r="BB192" s="351"/>
    </row>
    <row r="193" spans="1:54" ht="15.75" customHeight="1">
      <c r="A193" s="25">
        <f t="shared" si="0"/>
        <v>180</v>
      </c>
      <c r="B193" s="599" t="str">
        <f>'refer admin discharge'!B190</f>
        <v>x</v>
      </c>
      <c r="C193" s="351"/>
      <c r="D193" s="600" t="str">
        <f>'refer admin discharge'!D190</f>
        <v>xx</v>
      </c>
      <c r="E193" s="351"/>
      <c r="F193" s="609" t="str">
        <f>'refer admin discharge'!H190</f>
        <v>00/00/0000</v>
      </c>
      <c r="G193" s="351"/>
      <c r="H193" s="610"/>
      <c r="I193" s="351"/>
      <c r="J193" s="611"/>
      <c r="K193" s="351"/>
      <c r="L193" s="610"/>
      <c r="M193" s="351"/>
      <c r="N193" s="612"/>
      <c r="O193" s="351"/>
      <c r="P193" s="610"/>
      <c r="Q193" s="351"/>
      <c r="R193" s="612"/>
      <c r="S193" s="351"/>
      <c r="T193" s="610"/>
      <c r="U193" s="351"/>
      <c r="V193" s="613" t="str">
        <f>'refer admin discharge'!H194</f>
        <v>00/00/0000</v>
      </c>
      <c r="W193" s="351"/>
      <c r="X193" s="607"/>
      <c r="Y193" s="351"/>
      <c r="Z193" s="614"/>
      <c r="AA193" s="351"/>
      <c r="AB193" s="607"/>
      <c r="AC193" s="351"/>
      <c r="AD193" s="606"/>
      <c r="AE193" s="351"/>
      <c r="AF193" s="607"/>
      <c r="AG193" s="351"/>
      <c r="AH193" s="606"/>
      <c r="AI193" s="351"/>
      <c r="AJ193" s="607"/>
      <c r="AK193" s="351"/>
      <c r="AL193" s="608"/>
      <c r="AM193" s="350"/>
      <c r="AN193" s="350"/>
      <c r="AO193" s="350"/>
      <c r="AP193" s="350"/>
      <c r="AQ193" s="350"/>
      <c r="AR193" s="350"/>
      <c r="AS193" s="350"/>
      <c r="AT193" s="350"/>
      <c r="AU193" s="350"/>
      <c r="AV193" s="350"/>
      <c r="AW193" s="350"/>
      <c r="AX193" s="350"/>
      <c r="AY193" s="350"/>
      <c r="AZ193" s="350"/>
      <c r="BA193" s="350"/>
      <c r="BB193" s="351"/>
    </row>
    <row r="194" spans="1:54" ht="15.75" customHeight="1">
      <c r="A194" s="25">
        <f t="shared" si="0"/>
        <v>181</v>
      </c>
      <c r="B194" s="618" t="str">
        <f>'refer admin discharge'!B191</f>
        <v>x</v>
      </c>
      <c r="C194" s="351"/>
      <c r="D194" s="619" t="str">
        <f>'refer admin discharge'!D191</f>
        <v>xx</v>
      </c>
      <c r="E194" s="351"/>
      <c r="F194" s="620" t="str">
        <f>'refer admin discharge'!H191</f>
        <v>00/00/0000</v>
      </c>
      <c r="G194" s="351"/>
      <c r="H194" s="615"/>
      <c r="I194" s="351"/>
      <c r="J194" s="621"/>
      <c r="K194" s="351"/>
      <c r="L194" s="615"/>
      <c r="M194" s="351"/>
      <c r="N194" s="610"/>
      <c r="O194" s="351"/>
      <c r="P194" s="615"/>
      <c r="Q194" s="351"/>
      <c r="R194" s="610"/>
      <c r="S194" s="351"/>
      <c r="T194" s="615"/>
      <c r="U194" s="351"/>
      <c r="V194" s="613" t="str">
        <f>'refer admin discharge'!H195</f>
        <v>00/00/0000</v>
      </c>
      <c r="W194" s="351"/>
      <c r="X194" s="616"/>
      <c r="Y194" s="351"/>
      <c r="Z194" s="617"/>
      <c r="AA194" s="351"/>
      <c r="AB194" s="616"/>
      <c r="AC194" s="351"/>
      <c r="AD194" s="607"/>
      <c r="AE194" s="351"/>
      <c r="AF194" s="616"/>
      <c r="AG194" s="351"/>
      <c r="AH194" s="607"/>
      <c r="AI194" s="351"/>
      <c r="AJ194" s="616"/>
      <c r="AK194" s="351"/>
      <c r="AL194" s="622"/>
      <c r="AM194" s="350"/>
      <c r="AN194" s="350"/>
      <c r="AO194" s="350"/>
      <c r="AP194" s="350"/>
      <c r="AQ194" s="350"/>
      <c r="AR194" s="350"/>
      <c r="AS194" s="350"/>
      <c r="AT194" s="350"/>
      <c r="AU194" s="350"/>
      <c r="AV194" s="350"/>
      <c r="AW194" s="350"/>
      <c r="AX194" s="350"/>
      <c r="AY194" s="350"/>
      <c r="AZ194" s="350"/>
      <c r="BA194" s="350"/>
      <c r="BB194" s="351"/>
    </row>
    <row r="195" spans="1:54" ht="15.75" customHeight="1">
      <c r="A195" s="25">
        <f t="shared" si="0"/>
        <v>182</v>
      </c>
      <c r="B195" s="599" t="str">
        <f>'refer admin discharge'!B192</f>
        <v>x</v>
      </c>
      <c r="C195" s="351"/>
      <c r="D195" s="600" t="str">
        <f>'refer admin discharge'!D192</f>
        <v>xx</v>
      </c>
      <c r="E195" s="351"/>
      <c r="F195" s="609" t="str">
        <f>'refer admin discharge'!H192</f>
        <v>00/00/0000</v>
      </c>
      <c r="G195" s="351"/>
      <c r="H195" s="610"/>
      <c r="I195" s="351"/>
      <c r="J195" s="611"/>
      <c r="K195" s="351"/>
      <c r="L195" s="610"/>
      <c r="M195" s="351"/>
      <c r="N195" s="612"/>
      <c r="O195" s="351"/>
      <c r="P195" s="610"/>
      <c r="Q195" s="351"/>
      <c r="R195" s="612"/>
      <c r="S195" s="351"/>
      <c r="T195" s="610"/>
      <c r="U195" s="351"/>
      <c r="V195" s="613" t="str">
        <f>'refer admin discharge'!H196</f>
        <v>00/00/0000</v>
      </c>
      <c r="W195" s="351"/>
      <c r="X195" s="607"/>
      <c r="Y195" s="351"/>
      <c r="Z195" s="614"/>
      <c r="AA195" s="351"/>
      <c r="AB195" s="607"/>
      <c r="AC195" s="351"/>
      <c r="AD195" s="606"/>
      <c r="AE195" s="351"/>
      <c r="AF195" s="607"/>
      <c r="AG195" s="351"/>
      <c r="AH195" s="606"/>
      <c r="AI195" s="351"/>
      <c r="AJ195" s="607"/>
      <c r="AK195" s="351"/>
      <c r="AL195" s="608"/>
      <c r="AM195" s="350"/>
      <c r="AN195" s="350"/>
      <c r="AO195" s="350"/>
      <c r="AP195" s="350"/>
      <c r="AQ195" s="350"/>
      <c r="AR195" s="350"/>
      <c r="AS195" s="350"/>
      <c r="AT195" s="350"/>
      <c r="AU195" s="350"/>
      <c r="AV195" s="350"/>
      <c r="AW195" s="350"/>
      <c r="AX195" s="350"/>
      <c r="AY195" s="350"/>
      <c r="AZ195" s="350"/>
      <c r="BA195" s="350"/>
      <c r="BB195" s="351"/>
    </row>
    <row r="196" spans="1:54" ht="15.75" customHeight="1">
      <c r="A196" s="25">
        <f t="shared" si="0"/>
        <v>183</v>
      </c>
      <c r="B196" s="618" t="str">
        <f>'refer admin discharge'!B193</f>
        <v>x</v>
      </c>
      <c r="C196" s="351"/>
      <c r="D196" s="619" t="str">
        <f>'refer admin discharge'!D193</f>
        <v>xx</v>
      </c>
      <c r="E196" s="351"/>
      <c r="F196" s="620" t="str">
        <f>'refer admin discharge'!H193</f>
        <v>00/00/0000</v>
      </c>
      <c r="G196" s="351"/>
      <c r="H196" s="615"/>
      <c r="I196" s="351"/>
      <c r="J196" s="621"/>
      <c r="K196" s="351"/>
      <c r="L196" s="615"/>
      <c r="M196" s="351"/>
      <c r="N196" s="610"/>
      <c r="O196" s="351"/>
      <c r="P196" s="615"/>
      <c r="Q196" s="351"/>
      <c r="R196" s="610"/>
      <c r="S196" s="351"/>
      <c r="T196" s="615"/>
      <c r="U196" s="351"/>
      <c r="V196" s="613" t="str">
        <f>'refer admin discharge'!H197</f>
        <v>00/00/0000</v>
      </c>
      <c r="W196" s="351"/>
      <c r="X196" s="616"/>
      <c r="Y196" s="351"/>
      <c r="Z196" s="617"/>
      <c r="AA196" s="351"/>
      <c r="AB196" s="616"/>
      <c r="AC196" s="351"/>
      <c r="AD196" s="607"/>
      <c r="AE196" s="351"/>
      <c r="AF196" s="616"/>
      <c r="AG196" s="351"/>
      <c r="AH196" s="607"/>
      <c r="AI196" s="351"/>
      <c r="AJ196" s="616"/>
      <c r="AK196" s="351"/>
      <c r="AL196" s="622"/>
      <c r="AM196" s="350"/>
      <c r="AN196" s="350"/>
      <c r="AO196" s="350"/>
      <c r="AP196" s="350"/>
      <c r="AQ196" s="350"/>
      <c r="AR196" s="350"/>
      <c r="AS196" s="350"/>
      <c r="AT196" s="350"/>
      <c r="AU196" s="350"/>
      <c r="AV196" s="350"/>
      <c r="AW196" s="350"/>
      <c r="AX196" s="350"/>
      <c r="AY196" s="350"/>
      <c r="AZ196" s="350"/>
      <c r="BA196" s="350"/>
      <c r="BB196" s="351"/>
    </row>
    <row r="197" spans="1:54" ht="15.75" customHeight="1">
      <c r="A197" s="25">
        <f t="shared" si="0"/>
        <v>184</v>
      </c>
      <c r="B197" s="599" t="str">
        <f>'refer admin discharge'!B194</f>
        <v>x</v>
      </c>
      <c r="C197" s="351"/>
      <c r="D197" s="600" t="str">
        <f>'refer admin discharge'!D194</f>
        <v>xx</v>
      </c>
      <c r="E197" s="351"/>
      <c r="F197" s="609" t="str">
        <f>'refer admin discharge'!H194</f>
        <v>00/00/0000</v>
      </c>
      <c r="G197" s="351"/>
      <c r="H197" s="610"/>
      <c r="I197" s="351"/>
      <c r="J197" s="611"/>
      <c r="K197" s="351"/>
      <c r="L197" s="610"/>
      <c r="M197" s="351"/>
      <c r="N197" s="612"/>
      <c r="O197" s="351"/>
      <c r="P197" s="610"/>
      <c r="Q197" s="351"/>
      <c r="R197" s="612"/>
      <c r="S197" s="351"/>
      <c r="T197" s="610"/>
      <c r="U197" s="351"/>
      <c r="V197" s="613" t="str">
        <f>'refer admin discharge'!H198</f>
        <v>00/00/0000</v>
      </c>
      <c r="W197" s="351"/>
      <c r="X197" s="607"/>
      <c r="Y197" s="351"/>
      <c r="Z197" s="614"/>
      <c r="AA197" s="351"/>
      <c r="AB197" s="607"/>
      <c r="AC197" s="351"/>
      <c r="AD197" s="606"/>
      <c r="AE197" s="351"/>
      <c r="AF197" s="607"/>
      <c r="AG197" s="351"/>
      <c r="AH197" s="606"/>
      <c r="AI197" s="351"/>
      <c r="AJ197" s="607"/>
      <c r="AK197" s="351"/>
      <c r="AL197" s="608"/>
      <c r="AM197" s="350"/>
      <c r="AN197" s="350"/>
      <c r="AO197" s="350"/>
      <c r="AP197" s="350"/>
      <c r="AQ197" s="350"/>
      <c r="AR197" s="350"/>
      <c r="AS197" s="350"/>
      <c r="AT197" s="350"/>
      <c r="AU197" s="350"/>
      <c r="AV197" s="350"/>
      <c r="AW197" s="350"/>
      <c r="AX197" s="350"/>
      <c r="AY197" s="350"/>
      <c r="AZ197" s="350"/>
      <c r="BA197" s="350"/>
      <c r="BB197" s="351"/>
    </row>
    <row r="198" spans="1:54" ht="15.75" customHeight="1">
      <c r="A198" s="25">
        <f t="shared" si="0"/>
        <v>185</v>
      </c>
      <c r="B198" s="618" t="str">
        <f>'refer admin discharge'!B195</f>
        <v>x</v>
      </c>
      <c r="C198" s="351"/>
      <c r="D198" s="619" t="str">
        <f>'refer admin discharge'!D195</f>
        <v>xx</v>
      </c>
      <c r="E198" s="351"/>
      <c r="F198" s="620" t="str">
        <f>'refer admin discharge'!H195</f>
        <v>00/00/0000</v>
      </c>
      <c r="G198" s="351"/>
      <c r="H198" s="615"/>
      <c r="I198" s="351"/>
      <c r="J198" s="621"/>
      <c r="K198" s="351"/>
      <c r="L198" s="615"/>
      <c r="M198" s="351"/>
      <c r="N198" s="610"/>
      <c r="O198" s="351"/>
      <c r="P198" s="615"/>
      <c r="Q198" s="351"/>
      <c r="R198" s="610"/>
      <c r="S198" s="351"/>
      <c r="T198" s="615"/>
      <c r="U198" s="351"/>
      <c r="V198" s="613" t="str">
        <f>'refer admin discharge'!H199</f>
        <v>00/00/0000</v>
      </c>
      <c r="W198" s="351"/>
      <c r="X198" s="616"/>
      <c r="Y198" s="351"/>
      <c r="Z198" s="617"/>
      <c r="AA198" s="351"/>
      <c r="AB198" s="616"/>
      <c r="AC198" s="351"/>
      <c r="AD198" s="607"/>
      <c r="AE198" s="351"/>
      <c r="AF198" s="616"/>
      <c r="AG198" s="351"/>
      <c r="AH198" s="607"/>
      <c r="AI198" s="351"/>
      <c r="AJ198" s="616"/>
      <c r="AK198" s="351"/>
      <c r="AL198" s="622"/>
      <c r="AM198" s="350"/>
      <c r="AN198" s="350"/>
      <c r="AO198" s="350"/>
      <c r="AP198" s="350"/>
      <c r="AQ198" s="350"/>
      <c r="AR198" s="350"/>
      <c r="AS198" s="350"/>
      <c r="AT198" s="350"/>
      <c r="AU198" s="350"/>
      <c r="AV198" s="350"/>
      <c r="AW198" s="350"/>
      <c r="AX198" s="350"/>
      <c r="AY198" s="350"/>
      <c r="AZ198" s="350"/>
      <c r="BA198" s="350"/>
      <c r="BB198" s="351"/>
    </row>
    <row r="199" spans="1:54" ht="15.75" customHeight="1">
      <c r="A199" s="25">
        <f t="shared" si="0"/>
        <v>186</v>
      </c>
      <c r="B199" s="599" t="str">
        <f>'refer admin discharge'!B196</f>
        <v>x</v>
      </c>
      <c r="C199" s="351"/>
      <c r="D199" s="600" t="str">
        <f>'refer admin discharge'!D196</f>
        <v>xx</v>
      </c>
      <c r="E199" s="351"/>
      <c r="F199" s="609" t="str">
        <f>'refer admin discharge'!H196</f>
        <v>00/00/0000</v>
      </c>
      <c r="G199" s="351"/>
      <c r="H199" s="610"/>
      <c r="I199" s="351"/>
      <c r="J199" s="611"/>
      <c r="K199" s="351"/>
      <c r="L199" s="610"/>
      <c r="M199" s="351"/>
      <c r="N199" s="612"/>
      <c r="O199" s="351"/>
      <c r="P199" s="610"/>
      <c r="Q199" s="351"/>
      <c r="R199" s="612"/>
      <c r="S199" s="351"/>
      <c r="T199" s="610"/>
      <c r="U199" s="351"/>
      <c r="V199" s="613" t="str">
        <f>'refer admin discharge'!H200</f>
        <v>00/00/0000</v>
      </c>
      <c r="W199" s="351"/>
      <c r="X199" s="607"/>
      <c r="Y199" s="351"/>
      <c r="Z199" s="614"/>
      <c r="AA199" s="351"/>
      <c r="AB199" s="607"/>
      <c r="AC199" s="351"/>
      <c r="AD199" s="606"/>
      <c r="AE199" s="351"/>
      <c r="AF199" s="607"/>
      <c r="AG199" s="351"/>
      <c r="AH199" s="606"/>
      <c r="AI199" s="351"/>
      <c r="AJ199" s="607"/>
      <c r="AK199" s="351"/>
      <c r="AL199" s="608"/>
      <c r="AM199" s="350"/>
      <c r="AN199" s="350"/>
      <c r="AO199" s="350"/>
      <c r="AP199" s="350"/>
      <c r="AQ199" s="350"/>
      <c r="AR199" s="350"/>
      <c r="AS199" s="350"/>
      <c r="AT199" s="350"/>
      <c r="AU199" s="350"/>
      <c r="AV199" s="350"/>
      <c r="AW199" s="350"/>
      <c r="AX199" s="350"/>
      <c r="AY199" s="350"/>
      <c r="AZ199" s="350"/>
      <c r="BA199" s="350"/>
      <c r="BB199" s="351"/>
    </row>
    <row r="200" spans="1:54" ht="15.75" customHeight="1">
      <c r="A200" s="25">
        <f t="shared" si="0"/>
        <v>187</v>
      </c>
      <c r="B200" s="618" t="str">
        <f>'refer admin discharge'!B197</f>
        <v>x</v>
      </c>
      <c r="C200" s="351"/>
      <c r="D200" s="619" t="str">
        <f>'refer admin discharge'!D197</f>
        <v>xx</v>
      </c>
      <c r="E200" s="351"/>
      <c r="F200" s="620" t="str">
        <f>'refer admin discharge'!H197</f>
        <v>00/00/0000</v>
      </c>
      <c r="G200" s="351"/>
      <c r="H200" s="615"/>
      <c r="I200" s="351"/>
      <c r="J200" s="621"/>
      <c r="K200" s="351"/>
      <c r="L200" s="615"/>
      <c r="M200" s="351"/>
      <c r="N200" s="610"/>
      <c r="O200" s="351"/>
      <c r="P200" s="615"/>
      <c r="Q200" s="351"/>
      <c r="R200" s="610"/>
      <c r="S200" s="351"/>
      <c r="T200" s="615"/>
      <c r="U200" s="351"/>
      <c r="V200" s="613" t="str">
        <f>'refer admin discharge'!H201</f>
        <v>00/00/0000</v>
      </c>
      <c r="W200" s="351"/>
      <c r="X200" s="616"/>
      <c r="Y200" s="351"/>
      <c r="Z200" s="617"/>
      <c r="AA200" s="351"/>
      <c r="AB200" s="616"/>
      <c r="AC200" s="351"/>
      <c r="AD200" s="607"/>
      <c r="AE200" s="351"/>
      <c r="AF200" s="616"/>
      <c r="AG200" s="351"/>
      <c r="AH200" s="607"/>
      <c r="AI200" s="351"/>
      <c r="AJ200" s="616"/>
      <c r="AK200" s="351"/>
      <c r="AL200" s="622"/>
      <c r="AM200" s="350"/>
      <c r="AN200" s="350"/>
      <c r="AO200" s="350"/>
      <c r="AP200" s="350"/>
      <c r="AQ200" s="350"/>
      <c r="AR200" s="350"/>
      <c r="AS200" s="350"/>
      <c r="AT200" s="350"/>
      <c r="AU200" s="350"/>
      <c r="AV200" s="350"/>
      <c r="AW200" s="350"/>
      <c r="AX200" s="350"/>
      <c r="AY200" s="350"/>
      <c r="AZ200" s="350"/>
      <c r="BA200" s="350"/>
      <c r="BB200" s="351"/>
    </row>
    <row r="201" spans="1:54" ht="15.75" customHeight="1">
      <c r="A201" s="25">
        <f t="shared" si="0"/>
        <v>188</v>
      </c>
      <c r="B201" s="599" t="str">
        <f>'refer admin discharge'!B198</f>
        <v>x</v>
      </c>
      <c r="C201" s="351"/>
      <c r="D201" s="600" t="str">
        <f>'refer admin discharge'!D198</f>
        <v>xx</v>
      </c>
      <c r="E201" s="351"/>
      <c r="F201" s="609" t="str">
        <f>'refer admin discharge'!H198</f>
        <v>00/00/0000</v>
      </c>
      <c r="G201" s="351"/>
      <c r="H201" s="610"/>
      <c r="I201" s="351"/>
      <c r="J201" s="611"/>
      <c r="K201" s="351"/>
      <c r="L201" s="610"/>
      <c r="M201" s="351"/>
      <c r="N201" s="612"/>
      <c r="O201" s="351"/>
      <c r="P201" s="610"/>
      <c r="Q201" s="351"/>
      <c r="R201" s="612"/>
      <c r="S201" s="351"/>
      <c r="T201" s="610"/>
      <c r="U201" s="351"/>
      <c r="V201" s="613" t="str">
        <f>'refer admin discharge'!H202</f>
        <v>00/00/0000</v>
      </c>
      <c r="W201" s="351"/>
      <c r="X201" s="607"/>
      <c r="Y201" s="351"/>
      <c r="Z201" s="614"/>
      <c r="AA201" s="351"/>
      <c r="AB201" s="607"/>
      <c r="AC201" s="351"/>
      <c r="AD201" s="606"/>
      <c r="AE201" s="351"/>
      <c r="AF201" s="607"/>
      <c r="AG201" s="351"/>
      <c r="AH201" s="606"/>
      <c r="AI201" s="351"/>
      <c r="AJ201" s="607"/>
      <c r="AK201" s="351"/>
      <c r="AL201" s="608"/>
      <c r="AM201" s="350"/>
      <c r="AN201" s="350"/>
      <c r="AO201" s="350"/>
      <c r="AP201" s="350"/>
      <c r="AQ201" s="350"/>
      <c r="AR201" s="350"/>
      <c r="AS201" s="350"/>
      <c r="AT201" s="350"/>
      <c r="AU201" s="350"/>
      <c r="AV201" s="350"/>
      <c r="AW201" s="350"/>
      <c r="AX201" s="350"/>
      <c r="AY201" s="350"/>
      <c r="AZ201" s="350"/>
      <c r="BA201" s="350"/>
      <c r="BB201" s="351"/>
    </row>
    <row r="202" spans="1:54" ht="15.75" customHeight="1">
      <c r="A202" s="25">
        <f t="shared" si="0"/>
        <v>189</v>
      </c>
      <c r="B202" s="618" t="str">
        <f>'refer admin discharge'!B199</f>
        <v>x</v>
      </c>
      <c r="C202" s="351"/>
      <c r="D202" s="619" t="str">
        <f>'refer admin discharge'!D199</f>
        <v>xx</v>
      </c>
      <c r="E202" s="351"/>
      <c r="F202" s="620" t="str">
        <f>'refer admin discharge'!H199</f>
        <v>00/00/0000</v>
      </c>
      <c r="G202" s="351"/>
      <c r="H202" s="615"/>
      <c r="I202" s="351"/>
      <c r="J202" s="621"/>
      <c r="K202" s="351"/>
      <c r="L202" s="615"/>
      <c r="M202" s="351"/>
      <c r="N202" s="610"/>
      <c r="O202" s="351"/>
      <c r="P202" s="615"/>
      <c r="Q202" s="351"/>
      <c r="R202" s="610"/>
      <c r="S202" s="351"/>
      <c r="T202" s="615"/>
      <c r="U202" s="351"/>
      <c r="V202" s="613" t="str">
        <f>'refer admin discharge'!H203</f>
        <v>00/00/0000</v>
      </c>
      <c r="W202" s="351"/>
      <c r="X202" s="616"/>
      <c r="Y202" s="351"/>
      <c r="Z202" s="617"/>
      <c r="AA202" s="351"/>
      <c r="AB202" s="616"/>
      <c r="AC202" s="351"/>
      <c r="AD202" s="607"/>
      <c r="AE202" s="351"/>
      <c r="AF202" s="616"/>
      <c r="AG202" s="351"/>
      <c r="AH202" s="607"/>
      <c r="AI202" s="351"/>
      <c r="AJ202" s="616"/>
      <c r="AK202" s="351"/>
      <c r="AL202" s="622"/>
      <c r="AM202" s="350"/>
      <c r="AN202" s="350"/>
      <c r="AO202" s="350"/>
      <c r="AP202" s="350"/>
      <c r="AQ202" s="350"/>
      <c r="AR202" s="350"/>
      <c r="AS202" s="350"/>
      <c r="AT202" s="350"/>
      <c r="AU202" s="350"/>
      <c r="AV202" s="350"/>
      <c r="AW202" s="350"/>
      <c r="AX202" s="350"/>
      <c r="AY202" s="350"/>
      <c r="AZ202" s="350"/>
      <c r="BA202" s="350"/>
      <c r="BB202" s="351"/>
    </row>
    <row r="203" spans="1:54" ht="15.75" customHeight="1">
      <c r="A203" s="25">
        <f t="shared" si="0"/>
        <v>190</v>
      </c>
      <c r="B203" s="599" t="str">
        <f>'refer admin discharge'!B200</f>
        <v>x</v>
      </c>
      <c r="C203" s="351"/>
      <c r="D203" s="600" t="str">
        <f>'refer admin discharge'!D200</f>
        <v>xx</v>
      </c>
      <c r="E203" s="351"/>
      <c r="F203" s="609" t="str">
        <f>'refer admin discharge'!H200</f>
        <v>00/00/0000</v>
      </c>
      <c r="G203" s="351"/>
      <c r="H203" s="610"/>
      <c r="I203" s="351"/>
      <c r="J203" s="611"/>
      <c r="K203" s="351"/>
      <c r="L203" s="610"/>
      <c r="M203" s="351"/>
      <c r="N203" s="612"/>
      <c r="O203" s="351"/>
      <c r="P203" s="610"/>
      <c r="Q203" s="351"/>
      <c r="R203" s="612"/>
      <c r="S203" s="351"/>
      <c r="T203" s="610"/>
      <c r="U203" s="351"/>
      <c r="V203" s="613" t="str">
        <f>'refer admin discharge'!H204</f>
        <v>00/00/0000</v>
      </c>
      <c r="W203" s="351"/>
      <c r="X203" s="607"/>
      <c r="Y203" s="351"/>
      <c r="Z203" s="614"/>
      <c r="AA203" s="351"/>
      <c r="AB203" s="607"/>
      <c r="AC203" s="351"/>
      <c r="AD203" s="606"/>
      <c r="AE203" s="351"/>
      <c r="AF203" s="607"/>
      <c r="AG203" s="351"/>
      <c r="AH203" s="606"/>
      <c r="AI203" s="351"/>
      <c r="AJ203" s="607"/>
      <c r="AK203" s="351"/>
      <c r="AL203" s="608"/>
      <c r="AM203" s="350"/>
      <c r="AN203" s="350"/>
      <c r="AO203" s="350"/>
      <c r="AP203" s="350"/>
      <c r="AQ203" s="350"/>
      <c r="AR203" s="350"/>
      <c r="AS203" s="350"/>
      <c r="AT203" s="350"/>
      <c r="AU203" s="350"/>
      <c r="AV203" s="350"/>
      <c r="AW203" s="350"/>
      <c r="AX203" s="350"/>
      <c r="AY203" s="350"/>
      <c r="AZ203" s="350"/>
      <c r="BA203" s="350"/>
      <c r="BB203" s="351"/>
    </row>
    <row r="204" spans="1:54" ht="15.75" customHeight="1">
      <c r="A204" s="25">
        <f t="shared" si="0"/>
        <v>191</v>
      </c>
      <c r="B204" s="618" t="str">
        <f>'refer admin discharge'!B201</f>
        <v>x</v>
      </c>
      <c r="C204" s="351"/>
      <c r="D204" s="619" t="str">
        <f>'refer admin discharge'!D201</f>
        <v>xx</v>
      </c>
      <c r="E204" s="351"/>
      <c r="F204" s="620" t="str">
        <f>'refer admin discharge'!H201</f>
        <v>00/00/0000</v>
      </c>
      <c r="G204" s="351"/>
      <c r="H204" s="615"/>
      <c r="I204" s="351"/>
      <c r="J204" s="621"/>
      <c r="K204" s="351"/>
      <c r="L204" s="615"/>
      <c r="M204" s="351"/>
      <c r="N204" s="610"/>
      <c r="O204" s="351"/>
      <c r="P204" s="615"/>
      <c r="Q204" s="351"/>
      <c r="R204" s="610"/>
      <c r="S204" s="351"/>
      <c r="T204" s="615"/>
      <c r="U204" s="351"/>
      <c r="V204" s="613" t="str">
        <f>'refer admin discharge'!H205</f>
        <v>00/00/0000</v>
      </c>
      <c r="W204" s="351"/>
      <c r="X204" s="616"/>
      <c r="Y204" s="351"/>
      <c r="Z204" s="617"/>
      <c r="AA204" s="351"/>
      <c r="AB204" s="616"/>
      <c r="AC204" s="351"/>
      <c r="AD204" s="607"/>
      <c r="AE204" s="351"/>
      <c r="AF204" s="616"/>
      <c r="AG204" s="351"/>
      <c r="AH204" s="607"/>
      <c r="AI204" s="351"/>
      <c r="AJ204" s="616"/>
      <c r="AK204" s="351"/>
      <c r="AL204" s="622"/>
      <c r="AM204" s="350"/>
      <c r="AN204" s="350"/>
      <c r="AO204" s="350"/>
      <c r="AP204" s="350"/>
      <c r="AQ204" s="350"/>
      <c r="AR204" s="350"/>
      <c r="AS204" s="350"/>
      <c r="AT204" s="350"/>
      <c r="AU204" s="350"/>
      <c r="AV204" s="350"/>
      <c r="AW204" s="350"/>
      <c r="AX204" s="350"/>
      <c r="AY204" s="350"/>
      <c r="AZ204" s="350"/>
      <c r="BA204" s="350"/>
      <c r="BB204" s="351"/>
    </row>
    <row r="205" spans="1:54" ht="15.75" customHeight="1">
      <c r="A205" s="25">
        <f t="shared" si="0"/>
        <v>192</v>
      </c>
      <c r="B205" s="599" t="str">
        <f>'refer admin discharge'!B202</f>
        <v>x</v>
      </c>
      <c r="C205" s="351"/>
      <c r="D205" s="600" t="str">
        <f>'refer admin discharge'!D202</f>
        <v>xx</v>
      </c>
      <c r="E205" s="351"/>
      <c r="F205" s="609" t="str">
        <f>'refer admin discharge'!H202</f>
        <v>00/00/0000</v>
      </c>
      <c r="G205" s="351"/>
      <c r="H205" s="610"/>
      <c r="I205" s="351"/>
      <c r="J205" s="611"/>
      <c r="K205" s="351"/>
      <c r="L205" s="610"/>
      <c r="M205" s="351"/>
      <c r="N205" s="612"/>
      <c r="O205" s="351"/>
      <c r="P205" s="610"/>
      <c r="Q205" s="351"/>
      <c r="R205" s="612"/>
      <c r="S205" s="351"/>
      <c r="T205" s="610"/>
      <c r="U205" s="351"/>
      <c r="V205" s="613" t="str">
        <f>'refer admin discharge'!H206</f>
        <v>00/00/0000</v>
      </c>
      <c r="W205" s="351"/>
      <c r="X205" s="607"/>
      <c r="Y205" s="351"/>
      <c r="Z205" s="614"/>
      <c r="AA205" s="351"/>
      <c r="AB205" s="607"/>
      <c r="AC205" s="351"/>
      <c r="AD205" s="606"/>
      <c r="AE205" s="351"/>
      <c r="AF205" s="607"/>
      <c r="AG205" s="351"/>
      <c r="AH205" s="606"/>
      <c r="AI205" s="351"/>
      <c r="AJ205" s="607"/>
      <c r="AK205" s="351"/>
      <c r="AL205" s="608"/>
      <c r="AM205" s="350"/>
      <c r="AN205" s="350"/>
      <c r="AO205" s="350"/>
      <c r="AP205" s="350"/>
      <c r="AQ205" s="350"/>
      <c r="AR205" s="350"/>
      <c r="AS205" s="350"/>
      <c r="AT205" s="350"/>
      <c r="AU205" s="350"/>
      <c r="AV205" s="350"/>
      <c r="AW205" s="350"/>
      <c r="AX205" s="350"/>
      <c r="AY205" s="350"/>
      <c r="AZ205" s="350"/>
      <c r="BA205" s="350"/>
      <c r="BB205" s="351"/>
    </row>
    <row r="206" spans="1:54" ht="15.75" customHeight="1">
      <c r="A206" s="25">
        <f t="shared" si="0"/>
        <v>193</v>
      </c>
      <c r="B206" s="618" t="str">
        <f>'refer admin discharge'!B203</f>
        <v>x</v>
      </c>
      <c r="C206" s="351"/>
      <c r="D206" s="619" t="str">
        <f>'refer admin discharge'!D203</f>
        <v>xx</v>
      </c>
      <c r="E206" s="351"/>
      <c r="F206" s="620" t="str">
        <f>'refer admin discharge'!H203</f>
        <v>00/00/0000</v>
      </c>
      <c r="G206" s="351"/>
      <c r="H206" s="615"/>
      <c r="I206" s="351"/>
      <c r="J206" s="621"/>
      <c r="K206" s="351"/>
      <c r="L206" s="615"/>
      <c r="M206" s="351"/>
      <c r="N206" s="610"/>
      <c r="O206" s="351"/>
      <c r="P206" s="615"/>
      <c r="Q206" s="351"/>
      <c r="R206" s="610"/>
      <c r="S206" s="351"/>
      <c r="T206" s="615"/>
      <c r="U206" s="351"/>
      <c r="V206" s="613" t="str">
        <f>'refer admin discharge'!H207</f>
        <v>00/00/0000</v>
      </c>
      <c r="W206" s="351"/>
      <c r="X206" s="616"/>
      <c r="Y206" s="351"/>
      <c r="Z206" s="617"/>
      <c r="AA206" s="351"/>
      <c r="AB206" s="616"/>
      <c r="AC206" s="351"/>
      <c r="AD206" s="607"/>
      <c r="AE206" s="351"/>
      <c r="AF206" s="616"/>
      <c r="AG206" s="351"/>
      <c r="AH206" s="607"/>
      <c r="AI206" s="351"/>
      <c r="AJ206" s="616"/>
      <c r="AK206" s="351"/>
      <c r="AL206" s="622"/>
      <c r="AM206" s="350"/>
      <c r="AN206" s="350"/>
      <c r="AO206" s="350"/>
      <c r="AP206" s="350"/>
      <c r="AQ206" s="350"/>
      <c r="AR206" s="350"/>
      <c r="AS206" s="350"/>
      <c r="AT206" s="350"/>
      <c r="AU206" s="350"/>
      <c r="AV206" s="350"/>
      <c r="AW206" s="350"/>
      <c r="AX206" s="350"/>
      <c r="AY206" s="350"/>
      <c r="AZ206" s="350"/>
      <c r="BA206" s="350"/>
      <c r="BB206" s="351"/>
    </row>
    <row r="207" spans="1:54" ht="15.75" customHeight="1">
      <c r="A207" s="25">
        <f t="shared" si="0"/>
        <v>194</v>
      </c>
      <c r="B207" s="599" t="str">
        <f>'refer admin discharge'!B204</f>
        <v>x</v>
      </c>
      <c r="C207" s="351"/>
      <c r="D207" s="600" t="str">
        <f>'refer admin discharge'!D204</f>
        <v>xx</v>
      </c>
      <c r="E207" s="351"/>
      <c r="F207" s="609" t="str">
        <f>'refer admin discharge'!H204</f>
        <v>00/00/0000</v>
      </c>
      <c r="G207" s="351"/>
      <c r="H207" s="610"/>
      <c r="I207" s="351"/>
      <c r="J207" s="611"/>
      <c r="K207" s="351"/>
      <c r="L207" s="610"/>
      <c r="M207" s="351"/>
      <c r="N207" s="612"/>
      <c r="O207" s="351"/>
      <c r="P207" s="610"/>
      <c r="Q207" s="351"/>
      <c r="R207" s="612"/>
      <c r="S207" s="351"/>
      <c r="T207" s="610"/>
      <c r="U207" s="351"/>
      <c r="V207" s="613" t="str">
        <f>'refer admin discharge'!H208</f>
        <v>00/00/0000</v>
      </c>
      <c r="W207" s="351"/>
      <c r="X207" s="607"/>
      <c r="Y207" s="351"/>
      <c r="Z207" s="614"/>
      <c r="AA207" s="351"/>
      <c r="AB207" s="607"/>
      <c r="AC207" s="351"/>
      <c r="AD207" s="606"/>
      <c r="AE207" s="351"/>
      <c r="AF207" s="607"/>
      <c r="AG207" s="351"/>
      <c r="AH207" s="606"/>
      <c r="AI207" s="351"/>
      <c r="AJ207" s="607"/>
      <c r="AK207" s="351"/>
      <c r="AL207" s="608"/>
      <c r="AM207" s="350"/>
      <c r="AN207" s="350"/>
      <c r="AO207" s="350"/>
      <c r="AP207" s="350"/>
      <c r="AQ207" s="350"/>
      <c r="AR207" s="350"/>
      <c r="AS207" s="350"/>
      <c r="AT207" s="350"/>
      <c r="AU207" s="350"/>
      <c r="AV207" s="350"/>
      <c r="AW207" s="350"/>
      <c r="AX207" s="350"/>
      <c r="AY207" s="350"/>
      <c r="AZ207" s="350"/>
      <c r="BA207" s="350"/>
      <c r="BB207" s="351"/>
    </row>
    <row r="208" spans="1:54" ht="15.75" customHeight="1">
      <c r="A208" s="25">
        <f t="shared" si="0"/>
        <v>195</v>
      </c>
      <c r="B208" s="618" t="str">
        <f>'refer admin discharge'!B205</f>
        <v>x</v>
      </c>
      <c r="C208" s="351"/>
      <c r="D208" s="619" t="str">
        <f>'refer admin discharge'!D205</f>
        <v>xx</v>
      </c>
      <c r="E208" s="351"/>
      <c r="F208" s="620" t="str">
        <f>'refer admin discharge'!H205</f>
        <v>00/00/0000</v>
      </c>
      <c r="G208" s="351"/>
      <c r="H208" s="615"/>
      <c r="I208" s="351"/>
      <c r="J208" s="621"/>
      <c r="K208" s="351"/>
      <c r="L208" s="615"/>
      <c r="M208" s="351"/>
      <c r="N208" s="610"/>
      <c r="O208" s="351"/>
      <c r="P208" s="615"/>
      <c r="Q208" s="351"/>
      <c r="R208" s="610"/>
      <c r="S208" s="351"/>
      <c r="T208" s="615"/>
      <c r="U208" s="351"/>
      <c r="V208" s="613" t="str">
        <f>'refer admin discharge'!H209</f>
        <v>00/00/0000</v>
      </c>
      <c r="W208" s="351"/>
      <c r="X208" s="616"/>
      <c r="Y208" s="351"/>
      <c r="Z208" s="617"/>
      <c r="AA208" s="351"/>
      <c r="AB208" s="616"/>
      <c r="AC208" s="351"/>
      <c r="AD208" s="607"/>
      <c r="AE208" s="351"/>
      <c r="AF208" s="616"/>
      <c r="AG208" s="351"/>
      <c r="AH208" s="607"/>
      <c r="AI208" s="351"/>
      <c r="AJ208" s="616"/>
      <c r="AK208" s="351"/>
      <c r="AL208" s="622"/>
      <c r="AM208" s="350"/>
      <c r="AN208" s="350"/>
      <c r="AO208" s="350"/>
      <c r="AP208" s="350"/>
      <c r="AQ208" s="350"/>
      <c r="AR208" s="350"/>
      <c r="AS208" s="350"/>
      <c r="AT208" s="350"/>
      <c r="AU208" s="350"/>
      <c r="AV208" s="350"/>
      <c r="AW208" s="350"/>
      <c r="AX208" s="350"/>
      <c r="AY208" s="350"/>
      <c r="AZ208" s="350"/>
      <c r="BA208" s="350"/>
      <c r="BB208" s="351"/>
    </row>
    <row r="209" spans="1:54" ht="15.75" customHeight="1">
      <c r="A209" s="25">
        <f t="shared" si="0"/>
        <v>196</v>
      </c>
      <c r="B209" s="599" t="str">
        <f>'refer admin discharge'!B206</f>
        <v>x</v>
      </c>
      <c r="C209" s="351"/>
      <c r="D209" s="600" t="str">
        <f>'refer admin discharge'!D206</f>
        <v>xx</v>
      </c>
      <c r="E209" s="351"/>
      <c r="F209" s="609" t="str">
        <f>'refer admin discharge'!H206</f>
        <v>00/00/0000</v>
      </c>
      <c r="G209" s="351"/>
      <c r="H209" s="610"/>
      <c r="I209" s="351"/>
      <c r="J209" s="611"/>
      <c r="K209" s="351"/>
      <c r="L209" s="610"/>
      <c r="M209" s="351"/>
      <c r="N209" s="612"/>
      <c r="O209" s="351"/>
      <c r="P209" s="610"/>
      <c r="Q209" s="351"/>
      <c r="R209" s="612"/>
      <c r="S209" s="351"/>
      <c r="T209" s="610"/>
      <c r="U209" s="351"/>
      <c r="V209" s="613" t="str">
        <f>'refer admin discharge'!H210</f>
        <v>00/00/0000</v>
      </c>
      <c r="W209" s="351"/>
      <c r="X209" s="607"/>
      <c r="Y209" s="351"/>
      <c r="Z209" s="614"/>
      <c r="AA209" s="351"/>
      <c r="AB209" s="607"/>
      <c r="AC209" s="351"/>
      <c r="AD209" s="606"/>
      <c r="AE209" s="351"/>
      <c r="AF209" s="607"/>
      <c r="AG209" s="351"/>
      <c r="AH209" s="606"/>
      <c r="AI209" s="351"/>
      <c r="AJ209" s="607"/>
      <c r="AK209" s="351"/>
      <c r="AL209" s="608"/>
      <c r="AM209" s="350"/>
      <c r="AN209" s="350"/>
      <c r="AO209" s="350"/>
      <c r="AP209" s="350"/>
      <c r="AQ209" s="350"/>
      <c r="AR209" s="350"/>
      <c r="AS209" s="350"/>
      <c r="AT209" s="350"/>
      <c r="AU209" s="350"/>
      <c r="AV209" s="350"/>
      <c r="AW209" s="350"/>
      <c r="AX209" s="350"/>
      <c r="AY209" s="350"/>
      <c r="AZ209" s="350"/>
      <c r="BA209" s="350"/>
      <c r="BB209" s="351"/>
    </row>
    <row r="210" spans="1:54" ht="15.75" customHeight="1">
      <c r="A210" s="25">
        <f t="shared" si="0"/>
        <v>197</v>
      </c>
      <c r="B210" s="618" t="str">
        <f>'refer admin discharge'!B207</f>
        <v>x</v>
      </c>
      <c r="C210" s="351"/>
      <c r="D210" s="619" t="str">
        <f>'refer admin discharge'!D207</f>
        <v>xx</v>
      </c>
      <c r="E210" s="351"/>
      <c r="F210" s="620" t="str">
        <f>'refer admin discharge'!H207</f>
        <v>00/00/0000</v>
      </c>
      <c r="G210" s="351"/>
      <c r="H210" s="615"/>
      <c r="I210" s="351"/>
      <c r="J210" s="621"/>
      <c r="K210" s="351"/>
      <c r="L210" s="615"/>
      <c r="M210" s="351"/>
      <c r="N210" s="610"/>
      <c r="O210" s="351"/>
      <c r="P210" s="615"/>
      <c r="Q210" s="351"/>
      <c r="R210" s="610"/>
      <c r="S210" s="351"/>
      <c r="T210" s="615"/>
      <c r="U210" s="351"/>
      <c r="V210" s="613" t="str">
        <f>'refer admin discharge'!H211</f>
        <v>00/00/0000</v>
      </c>
      <c r="W210" s="351"/>
      <c r="X210" s="616"/>
      <c r="Y210" s="351"/>
      <c r="Z210" s="617"/>
      <c r="AA210" s="351"/>
      <c r="AB210" s="616"/>
      <c r="AC210" s="351"/>
      <c r="AD210" s="607"/>
      <c r="AE210" s="351"/>
      <c r="AF210" s="616"/>
      <c r="AG210" s="351"/>
      <c r="AH210" s="607"/>
      <c r="AI210" s="351"/>
      <c r="AJ210" s="616"/>
      <c r="AK210" s="351"/>
      <c r="AL210" s="622"/>
      <c r="AM210" s="350"/>
      <c r="AN210" s="350"/>
      <c r="AO210" s="350"/>
      <c r="AP210" s="350"/>
      <c r="AQ210" s="350"/>
      <c r="AR210" s="350"/>
      <c r="AS210" s="350"/>
      <c r="AT210" s="350"/>
      <c r="AU210" s="350"/>
      <c r="AV210" s="350"/>
      <c r="AW210" s="350"/>
      <c r="AX210" s="350"/>
      <c r="AY210" s="350"/>
      <c r="AZ210" s="350"/>
      <c r="BA210" s="350"/>
      <c r="BB210" s="351"/>
    </row>
    <row r="211" spans="1:54" ht="15.75" customHeight="1">
      <c r="A211" s="25">
        <f t="shared" si="0"/>
        <v>198</v>
      </c>
      <c r="B211" s="599" t="str">
        <f>'refer admin discharge'!B208</f>
        <v>x</v>
      </c>
      <c r="C211" s="351"/>
      <c r="D211" s="600" t="str">
        <f>'refer admin discharge'!D208</f>
        <v>xx</v>
      </c>
      <c r="E211" s="351"/>
      <c r="F211" s="609" t="str">
        <f>'refer admin discharge'!H208</f>
        <v>00/00/0000</v>
      </c>
      <c r="G211" s="351"/>
      <c r="H211" s="610"/>
      <c r="I211" s="351"/>
      <c r="J211" s="611"/>
      <c r="K211" s="351"/>
      <c r="L211" s="610"/>
      <c r="M211" s="351"/>
      <c r="N211" s="612"/>
      <c r="O211" s="351"/>
      <c r="P211" s="610"/>
      <c r="Q211" s="351"/>
      <c r="R211" s="612"/>
      <c r="S211" s="351"/>
      <c r="T211" s="610"/>
      <c r="U211" s="351"/>
      <c r="V211" s="613" t="str">
        <f>'refer admin discharge'!H212</f>
        <v>00/00/0000</v>
      </c>
      <c r="W211" s="351"/>
      <c r="X211" s="607"/>
      <c r="Y211" s="351"/>
      <c r="Z211" s="614"/>
      <c r="AA211" s="351"/>
      <c r="AB211" s="607"/>
      <c r="AC211" s="351"/>
      <c r="AD211" s="606"/>
      <c r="AE211" s="351"/>
      <c r="AF211" s="607"/>
      <c r="AG211" s="351"/>
      <c r="AH211" s="606"/>
      <c r="AI211" s="351"/>
      <c r="AJ211" s="607"/>
      <c r="AK211" s="351"/>
      <c r="AL211" s="608"/>
      <c r="AM211" s="350"/>
      <c r="AN211" s="350"/>
      <c r="AO211" s="350"/>
      <c r="AP211" s="350"/>
      <c r="AQ211" s="350"/>
      <c r="AR211" s="350"/>
      <c r="AS211" s="350"/>
      <c r="AT211" s="350"/>
      <c r="AU211" s="350"/>
      <c r="AV211" s="350"/>
      <c r="AW211" s="350"/>
      <c r="AX211" s="350"/>
      <c r="AY211" s="350"/>
      <c r="AZ211" s="350"/>
      <c r="BA211" s="350"/>
      <c r="BB211" s="351"/>
    </row>
    <row r="212" spans="1:54" ht="15.75" customHeight="1">
      <c r="A212" s="25">
        <f t="shared" si="0"/>
        <v>199</v>
      </c>
      <c r="B212" s="618" t="str">
        <f>'refer admin discharge'!B209</f>
        <v>x</v>
      </c>
      <c r="C212" s="351"/>
      <c r="D212" s="619" t="str">
        <f>'refer admin discharge'!D209</f>
        <v>xx</v>
      </c>
      <c r="E212" s="351"/>
      <c r="F212" s="620" t="str">
        <f>'refer admin discharge'!H209</f>
        <v>00/00/0000</v>
      </c>
      <c r="G212" s="351"/>
      <c r="H212" s="615"/>
      <c r="I212" s="351"/>
      <c r="J212" s="621"/>
      <c r="K212" s="351"/>
      <c r="L212" s="615"/>
      <c r="M212" s="351"/>
      <c r="N212" s="610"/>
      <c r="O212" s="351"/>
      <c r="P212" s="615"/>
      <c r="Q212" s="351"/>
      <c r="R212" s="610"/>
      <c r="S212" s="351"/>
      <c r="T212" s="615"/>
      <c r="U212" s="351"/>
      <c r="V212" s="613" t="str">
        <f>'refer admin discharge'!H213</f>
        <v>00/00/0000</v>
      </c>
      <c r="W212" s="351"/>
      <c r="X212" s="616"/>
      <c r="Y212" s="351"/>
      <c r="Z212" s="617"/>
      <c r="AA212" s="351"/>
      <c r="AB212" s="616"/>
      <c r="AC212" s="351"/>
      <c r="AD212" s="607"/>
      <c r="AE212" s="351"/>
      <c r="AF212" s="616"/>
      <c r="AG212" s="351"/>
      <c r="AH212" s="607"/>
      <c r="AI212" s="351"/>
      <c r="AJ212" s="616"/>
      <c r="AK212" s="351"/>
      <c r="AL212" s="622"/>
      <c r="AM212" s="350"/>
      <c r="AN212" s="350"/>
      <c r="AO212" s="350"/>
      <c r="AP212" s="350"/>
      <c r="AQ212" s="350"/>
      <c r="AR212" s="350"/>
      <c r="AS212" s="350"/>
      <c r="AT212" s="350"/>
      <c r="AU212" s="350"/>
      <c r="AV212" s="350"/>
      <c r="AW212" s="350"/>
      <c r="AX212" s="350"/>
      <c r="AY212" s="350"/>
      <c r="AZ212" s="350"/>
      <c r="BA212" s="350"/>
      <c r="BB212" s="351"/>
    </row>
    <row r="213" spans="1:54" ht="15.75" customHeight="1">
      <c r="A213" s="25">
        <f t="shared" si="0"/>
        <v>200</v>
      </c>
      <c r="B213" s="599" t="str">
        <f>'refer admin discharge'!B210</f>
        <v>x</v>
      </c>
      <c r="C213" s="351"/>
      <c r="D213" s="600" t="str">
        <f>'refer admin discharge'!D210</f>
        <v>xx</v>
      </c>
      <c r="E213" s="351"/>
      <c r="F213" s="609" t="str">
        <f>'refer admin discharge'!H210</f>
        <v>00/00/0000</v>
      </c>
      <c r="G213" s="351"/>
      <c r="H213" s="610"/>
      <c r="I213" s="351"/>
      <c r="J213" s="611"/>
      <c r="K213" s="351"/>
      <c r="L213" s="610"/>
      <c r="M213" s="351"/>
      <c r="N213" s="612"/>
      <c r="O213" s="351"/>
      <c r="P213" s="610"/>
      <c r="Q213" s="351"/>
      <c r="R213" s="612"/>
      <c r="S213" s="351"/>
      <c r="T213" s="610"/>
      <c r="U213" s="351"/>
      <c r="V213" s="613" t="str">
        <f>'refer admin discharge'!H214</f>
        <v>00/00/0000</v>
      </c>
      <c r="W213" s="351"/>
      <c r="X213" s="607"/>
      <c r="Y213" s="351"/>
      <c r="Z213" s="614"/>
      <c r="AA213" s="351"/>
      <c r="AB213" s="607"/>
      <c r="AC213" s="351"/>
      <c r="AD213" s="606"/>
      <c r="AE213" s="351"/>
      <c r="AF213" s="607"/>
      <c r="AG213" s="351"/>
      <c r="AH213" s="606"/>
      <c r="AI213" s="351"/>
      <c r="AJ213" s="607"/>
      <c r="AK213" s="351"/>
      <c r="AL213" s="608"/>
      <c r="AM213" s="350"/>
      <c r="AN213" s="350"/>
      <c r="AO213" s="350"/>
      <c r="AP213" s="350"/>
      <c r="AQ213" s="350"/>
      <c r="AR213" s="350"/>
      <c r="AS213" s="350"/>
      <c r="AT213" s="350"/>
      <c r="AU213" s="350"/>
      <c r="AV213" s="350"/>
      <c r="AW213" s="350"/>
      <c r="AX213" s="350"/>
      <c r="AY213" s="350"/>
      <c r="AZ213" s="350"/>
      <c r="BA213" s="350"/>
      <c r="BB213" s="351"/>
    </row>
    <row r="214" spans="1:54" ht="15.75" customHeight="1">
      <c r="A214" s="25">
        <f t="shared" si="0"/>
        <v>201</v>
      </c>
      <c r="B214" s="599" t="str">
        <f>'refer admin discharge'!B211</f>
        <v>x</v>
      </c>
      <c r="C214" s="351"/>
      <c r="D214" s="600" t="str">
        <f>'refer admin discharge'!D211</f>
        <v>xx</v>
      </c>
      <c r="E214" s="351"/>
      <c r="F214" s="609" t="str">
        <f>'refer admin discharge'!H211</f>
        <v>00/00/0000</v>
      </c>
      <c r="G214" s="351"/>
      <c r="H214" s="615"/>
      <c r="I214" s="351"/>
      <c r="J214" s="621"/>
      <c r="K214" s="351"/>
      <c r="L214" s="615"/>
      <c r="M214" s="351"/>
      <c r="N214" s="610"/>
      <c r="O214" s="351"/>
      <c r="P214" s="615"/>
      <c r="Q214" s="351"/>
      <c r="R214" s="610"/>
      <c r="S214" s="351"/>
      <c r="T214" s="615"/>
      <c r="U214" s="351"/>
      <c r="V214" s="613" t="str">
        <f>'refer admin discharge'!H215</f>
        <v>00/00/0000</v>
      </c>
      <c r="W214" s="351"/>
      <c r="X214" s="616"/>
      <c r="Y214" s="351"/>
      <c r="Z214" s="617"/>
      <c r="AA214" s="351"/>
      <c r="AB214" s="616"/>
      <c r="AC214" s="351"/>
      <c r="AD214" s="607"/>
      <c r="AE214" s="351"/>
      <c r="AF214" s="616"/>
      <c r="AG214" s="351"/>
      <c r="AH214" s="607"/>
      <c r="AI214" s="351"/>
      <c r="AJ214" s="616"/>
      <c r="AK214" s="351"/>
      <c r="AL214" s="622"/>
      <c r="AM214" s="350"/>
      <c r="AN214" s="350"/>
      <c r="AO214" s="350"/>
      <c r="AP214" s="350"/>
      <c r="AQ214" s="350"/>
      <c r="AR214" s="350"/>
      <c r="AS214" s="350"/>
      <c r="AT214" s="350"/>
      <c r="AU214" s="350"/>
      <c r="AV214" s="350"/>
      <c r="AW214" s="350"/>
      <c r="AX214" s="350"/>
      <c r="AY214" s="350"/>
      <c r="AZ214" s="350"/>
      <c r="BA214" s="350"/>
      <c r="BB214" s="351"/>
    </row>
    <row r="215" spans="1:54" ht="15.75" customHeight="1">
      <c r="A215" s="25">
        <f t="shared" si="0"/>
        <v>202</v>
      </c>
      <c r="B215" s="599" t="str">
        <f>'refer admin discharge'!B211</f>
        <v>x</v>
      </c>
      <c r="C215" s="351"/>
      <c r="D215" s="600" t="str">
        <f>'refer admin discharge'!D211</f>
        <v>xx</v>
      </c>
      <c r="E215" s="351"/>
      <c r="F215" s="609" t="str">
        <f>'refer admin discharge'!H211</f>
        <v>00/00/0000</v>
      </c>
      <c r="G215" s="351"/>
      <c r="H215" s="610"/>
      <c r="I215" s="351"/>
      <c r="J215" s="611"/>
      <c r="K215" s="351"/>
      <c r="L215" s="610"/>
      <c r="M215" s="351"/>
      <c r="N215" s="612"/>
      <c r="O215" s="351"/>
      <c r="P215" s="610"/>
      <c r="Q215" s="351"/>
      <c r="R215" s="612"/>
      <c r="S215" s="351"/>
      <c r="T215" s="610"/>
      <c r="U215" s="351"/>
      <c r="V215" s="613" t="str">
        <f>'refer admin discharge'!H216</f>
        <v>00/00/0000</v>
      </c>
      <c r="W215" s="351"/>
      <c r="X215" s="607"/>
      <c r="Y215" s="351"/>
      <c r="Z215" s="614"/>
      <c r="AA215" s="351"/>
      <c r="AB215" s="607"/>
      <c r="AC215" s="351"/>
      <c r="AD215" s="606"/>
      <c r="AE215" s="351"/>
      <c r="AF215" s="607"/>
      <c r="AG215" s="351"/>
      <c r="AH215" s="606"/>
      <c r="AI215" s="351"/>
      <c r="AJ215" s="607"/>
      <c r="AK215" s="351"/>
      <c r="AL215" s="608"/>
      <c r="AM215" s="350"/>
      <c r="AN215" s="350"/>
      <c r="AO215" s="350"/>
      <c r="AP215" s="350"/>
      <c r="AQ215" s="350"/>
      <c r="AR215" s="350"/>
      <c r="AS215" s="350"/>
      <c r="AT215" s="350"/>
      <c r="AU215" s="350"/>
      <c r="AV215" s="350"/>
      <c r="AW215" s="350"/>
      <c r="AX215" s="350"/>
      <c r="AY215" s="350"/>
      <c r="AZ215" s="350"/>
      <c r="BA215" s="350"/>
      <c r="BB215" s="351"/>
    </row>
    <row r="216" spans="1:54" ht="15.75" customHeight="1">
      <c r="A216" s="25">
        <f t="shared" si="0"/>
        <v>203</v>
      </c>
      <c r="B216" s="618" t="str">
        <f>'refer admin discharge'!B212</f>
        <v>x</v>
      </c>
      <c r="C216" s="351"/>
      <c r="D216" s="619" t="str">
        <f>'refer admin discharge'!D212</f>
        <v>xx</v>
      </c>
      <c r="E216" s="351"/>
      <c r="F216" s="620" t="str">
        <f>'refer admin discharge'!H212</f>
        <v>00/00/0000</v>
      </c>
      <c r="G216" s="351"/>
      <c r="H216" s="615"/>
      <c r="I216" s="351"/>
      <c r="J216" s="621"/>
      <c r="K216" s="351"/>
      <c r="L216" s="615"/>
      <c r="M216" s="351"/>
      <c r="N216" s="610"/>
      <c r="O216" s="351"/>
      <c r="P216" s="615"/>
      <c r="Q216" s="351"/>
      <c r="R216" s="610"/>
      <c r="S216" s="351"/>
      <c r="T216" s="615"/>
      <c r="U216" s="351"/>
      <c r="V216" s="613" t="str">
        <f>'refer admin discharge'!H217</f>
        <v>00/00/0000</v>
      </c>
      <c r="W216" s="351"/>
      <c r="X216" s="616"/>
      <c r="Y216" s="351"/>
      <c r="Z216" s="617"/>
      <c r="AA216" s="351"/>
      <c r="AB216" s="616"/>
      <c r="AC216" s="351"/>
      <c r="AD216" s="607"/>
      <c r="AE216" s="351"/>
      <c r="AF216" s="616"/>
      <c r="AG216" s="351"/>
      <c r="AH216" s="607"/>
      <c r="AI216" s="351"/>
      <c r="AJ216" s="616"/>
      <c r="AK216" s="351"/>
      <c r="AL216" s="622"/>
      <c r="AM216" s="350"/>
      <c r="AN216" s="350"/>
      <c r="AO216" s="350"/>
      <c r="AP216" s="350"/>
      <c r="AQ216" s="350"/>
      <c r="AR216" s="350"/>
      <c r="AS216" s="350"/>
      <c r="AT216" s="350"/>
      <c r="AU216" s="350"/>
      <c r="AV216" s="350"/>
      <c r="AW216" s="350"/>
      <c r="AX216" s="350"/>
      <c r="AY216" s="350"/>
      <c r="AZ216" s="350"/>
      <c r="BA216" s="350"/>
      <c r="BB216" s="351"/>
    </row>
    <row r="217" spans="1:54" ht="15.75" customHeight="1">
      <c r="A217" s="25">
        <f t="shared" si="0"/>
        <v>204</v>
      </c>
      <c r="B217" s="599" t="str">
        <f>'refer admin discharge'!B213</f>
        <v>x</v>
      </c>
      <c r="C217" s="351"/>
      <c r="D217" s="600" t="str">
        <f>'refer admin discharge'!D213</f>
        <v>xx</v>
      </c>
      <c r="E217" s="351"/>
      <c r="F217" s="609" t="str">
        <f>'refer admin discharge'!H213</f>
        <v>00/00/0000</v>
      </c>
      <c r="G217" s="351"/>
      <c r="H217" s="610"/>
      <c r="I217" s="351"/>
      <c r="J217" s="611"/>
      <c r="K217" s="351"/>
      <c r="L217" s="610"/>
      <c r="M217" s="351"/>
      <c r="N217" s="612"/>
      <c r="O217" s="351"/>
      <c r="P217" s="610"/>
      <c r="Q217" s="351"/>
      <c r="R217" s="612"/>
      <c r="S217" s="351"/>
      <c r="T217" s="610"/>
      <c r="U217" s="351"/>
      <c r="V217" s="613" t="str">
        <f>'refer admin discharge'!H218</f>
        <v>00/00/0000</v>
      </c>
      <c r="W217" s="351"/>
      <c r="X217" s="607"/>
      <c r="Y217" s="351"/>
      <c r="Z217" s="614"/>
      <c r="AA217" s="351"/>
      <c r="AB217" s="607"/>
      <c r="AC217" s="351"/>
      <c r="AD217" s="606"/>
      <c r="AE217" s="351"/>
      <c r="AF217" s="607"/>
      <c r="AG217" s="351"/>
      <c r="AH217" s="606"/>
      <c r="AI217" s="351"/>
      <c r="AJ217" s="607"/>
      <c r="AK217" s="351"/>
      <c r="AL217" s="608"/>
      <c r="AM217" s="350"/>
      <c r="AN217" s="350"/>
      <c r="AO217" s="350"/>
      <c r="AP217" s="350"/>
      <c r="AQ217" s="350"/>
      <c r="AR217" s="350"/>
      <c r="AS217" s="350"/>
      <c r="AT217" s="350"/>
      <c r="AU217" s="350"/>
      <c r="AV217" s="350"/>
      <c r="AW217" s="350"/>
      <c r="AX217" s="350"/>
      <c r="AY217" s="350"/>
      <c r="AZ217" s="350"/>
      <c r="BA217" s="350"/>
      <c r="BB217" s="351"/>
    </row>
    <row r="218" spans="1:54" ht="15.75" customHeight="1">
      <c r="A218" s="25">
        <f t="shared" si="0"/>
        <v>205</v>
      </c>
      <c r="B218" s="618" t="str">
        <f>'refer admin discharge'!B214</f>
        <v>x</v>
      </c>
      <c r="C218" s="351"/>
      <c r="D218" s="619" t="str">
        <f>'refer admin discharge'!D214</f>
        <v>xx</v>
      </c>
      <c r="E218" s="351"/>
      <c r="F218" s="620" t="str">
        <f>'refer admin discharge'!H214</f>
        <v>00/00/0000</v>
      </c>
      <c r="G218" s="351"/>
      <c r="H218" s="615"/>
      <c r="I218" s="351"/>
      <c r="J218" s="621"/>
      <c r="K218" s="351"/>
      <c r="L218" s="615"/>
      <c r="M218" s="351"/>
      <c r="N218" s="610"/>
      <c r="O218" s="351"/>
      <c r="P218" s="615"/>
      <c r="Q218" s="351"/>
      <c r="R218" s="610"/>
      <c r="S218" s="351"/>
      <c r="T218" s="615"/>
      <c r="U218" s="351"/>
      <c r="V218" s="613" t="str">
        <f>'refer admin discharge'!H219</f>
        <v>00/00/0000</v>
      </c>
      <c r="W218" s="351"/>
      <c r="X218" s="616"/>
      <c r="Y218" s="351"/>
      <c r="Z218" s="617"/>
      <c r="AA218" s="351"/>
      <c r="AB218" s="616"/>
      <c r="AC218" s="351"/>
      <c r="AD218" s="607"/>
      <c r="AE218" s="351"/>
      <c r="AF218" s="616"/>
      <c r="AG218" s="351"/>
      <c r="AH218" s="607"/>
      <c r="AI218" s="351"/>
      <c r="AJ218" s="616"/>
      <c r="AK218" s="351"/>
      <c r="AL218" s="622"/>
      <c r="AM218" s="350"/>
      <c r="AN218" s="350"/>
      <c r="AO218" s="350"/>
      <c r="AP218" s="350"/>
      <c r="AQ218" s="350"/>
      <c r="AR218" s="350"/>
      <c r="AS218" s="350"/>
      <c r="AT218" s="350"/>
      <c r="AU218" s="350"/>
      <c r="AV218" s="350"/>
      <c r="AW218" s="350"/>
      <c r="AX218" s="350"/>
      <c r="AY218" s="350"/>
      <c r="AZ218" s="350"/>
      <c r="BA218" s="350"/>
      <c r="BB218" s="351"/>
    </row>
    <row r="219" spans="1:54" ht="15.75" customHeight="1">
      <c r="A219" s="25">
        <f t="shared" si="0"/>
        <v>206</v>
      </c>
      <c r="B219" s="599" t="str">
        <f>'refer admin discharge'!B215</f>
        <v>x</v>
      </c>
      <c r="C219" s="351"/>
      <c r="D219" s="600" t="str">
        <f>'refer admin discharge'!D215</f>
        <v>xx</v>
      </c>
      <c r="E219" s="351"/>
      <c r="F219" s="609" t="str">
        <f>'refer admin discharge'!H215</f>
        <v>00/00/0000</v>
      </c>
      <c r="G219" s="351"/>
      <c r="H219" s="610"/>
      <c r="I219" s="351"/>
      <c r="J219" s="611"/>
      <c r="K219" s="351"/>
      <c r="L219" s="610"/>
      <c r="M219" s="351"/>
      <c r="N219" s="612"/>
      <c r="O219" s="351"/>
      <c r="P219" s="610"/>
      <c r="Q219" s="351"/>
      <c r="R219" s="612"/>
      <c r="S219" s="351"/>
      <c r="T219" s="610"/>
      <c r="U219" s="351"/>
      <c r="V219" s="613" t="str">
        <f>'refer admin discharge'!H220</f>
        <v>00/00/0000</v>
      </c>
      <c r="W219" s="351"/>
      <c r="X219" s="607"/>
      <c r="Y219" s="351"/>
      <c r="Z219" s="614"/>
      <c r="AA219" s="351"/>
      <c r="AB219" s="607"/>
      <c r="AC219" s="351"/>
      <c r="AD219" s="606"/>
      <c r="AE219" s="351"/>
      <c r="AF219" s="607"/>
      <c r="AG219" s="351"/>
      <c r="AH219" s="606"/>
      <c r="AI219" s="351"/>
      <c r="AJ219" s="607"/>
      <c r="AK219" s="351"/>
      <c r="AL219" s="608"/>
      <c r="AM219" s="350"/>
      <c r="AN219" s="350"/>
      <c r="AO219" s="350"/>
      <c r="AP219" s="350"/>
      <c r="AQ219" s="350"/>
      <c r="AR219" s="350"/>
      <c r="AS219" s="350"/>
      <c r="AT219" s="350"/>
      <c r="AU219" s="350"/>
      <c r="AV219" s="350"/>
      <c r="AW219" s="350"/>
      <c r="AX219" s="350"/>
      <c r="AY219" s="350"/>
      <c r="AZ219" s="350"/>
      <c r="BA219" s="350"/>
      <c r="BB219" s="351"/>
    </row>
    <row r="220" spans="1:54" ht="15.75" customHeight="1">
      <c r="A220" s="25">
        <f t="shared" si="0"/>
        <v>207</v>
      </c>
      <c r="B220" s="618" t="str">
        <f>'refer admin discharge'!B216</f>
        <v>x</v>
      </c>
      <c r="C220" s="351"/>
      <c r="D220" s="619" t="str">
        <f>'refer admin discharge'!D216</f>
        <v>xx</v>
      </c>
      <c r="E220" s="351"/>
      <c r="F220" s="620" t="str">
        <f>'refer admin discharge'!H216</f>
        <v>00/00/0000</v>
      </c>
      <c r="G220" s="351"/>
      <c r="H220" s="615"/>
      <c r="I220" s="351"/>
      <c r="J220" s="621"/>
      <c r="K220" s="351"/>
      <c r="L220" s="615"/>
      <c r="M220" s="351"/>
      <c r="N220" s="610"/>
      <c r="O220" s="351"/>
      <c r="P220" s="615"/>
      <c r="Q220" s="351"/>
      <c r="R220" s="610"/>
      <c r="S220" s="351"/>
      <c r="T220" s="615"/>
      <c r="U220" s="351"/>
      <c r="V220" s="613" t="str">
        <f>'refer admin discharge'!H221</f>
        <v>00/00/0000</v>
      </c>
      <c r="W220" s="351"/>
      <c r="X220" s="616"/>
      <c r="Y220" s="351"/>
      <c r="Z220" s="617"/>
      <c r="AA220" s="351"/>
      <c r="AB220" s="616"/>
      <c r="AC220" s="351"/>
      <c r="AD220" s="607"/>
      <c r="AE220" s="351"/>
      <c r="AF220" s="616"/>
      <c r="AG220" s="351"/>
      <c r="AH220" s="607"/>
      <c r="AI220" s="351"/>
      <c r="AJ220" s="616"/>
      <c r="AK220" s="351"/>
      <c r="AL220" s="622"/>
      <c r="AM220" s="350"/>
      <c r="AN220" s="350"/>
      <c r="AO220" s="350"/>
      <c r="AP220" s="350"/>
      <c r="AQ220" s="350"/>
      <c r="AR220" s="350"/>
      <c r="AS220" s="350"/>
      <c r="AT220" s="350"/>
      <c r="AU220" s="350"/>
      <c r="AV220" s="350"/>
      <c r="AW220" s="350"/>
      <c r="AX220" s="350"/>
      <c r="AY220" s="350"/>
      <c r="AZ220" s="350"/>
      <c r="BA220" s="350"/>
      <c r="BB220" s="351"/>
    </row>
    <row r="221" spans="1:54" ht="15.75" customHeight="1">
      <c r="A221" s="25">
        <f t="shared" si="0"/>
        <v>208</v>
      </c>
      <c r="B221" s="599" t="str">
        <f>'refer admin discharge'!B217</f>
        <v>x</v>
      </c>
      <c r="C221" s="351"/>
      <c r="D221" s="600" t="str">
        <f>'refer admin discharge'!D217</f>
        <v>xx</v>
      </c>
      <c r="E221" s="351"/>
      <c r="F221" s="609" t="str">
        <f>'refer admin discharge'!H217</f>
        <v>00/00/0000</v>
      </c>
      <c r="G221" s="351"/>
      <c r="H221" s="610"/>
      <c r="I221" s="351"/>
      <c r="J221" s="611"/>
      <c r="K221" s="351"/>
      <c r="L221" s="610"/>
      <c r="M221" s="351"/>
      <c r="N221" s="612"/>
      <c r="O221" s="351"/>
      <c r="P221" s="610"/>
      <c r="Q221" s="351"/>
      <c r="R221" s="612"/>
      <c r="S221" s="351"/>
      <c r="T221" s="610"/>
      <c r="U221" s="351"/>
      <c r="V221" s="613" t="str">
        <f>'refer admin discharge'!H222</f>
        <v>00/00/0000</v>
      </c>
      <c r="W221" s="351"/>
      <c r="X221" s="607"/>
      <c r="Y221" s="351"/>
      <c r="Z221" s="614"/>
      <c r="AA221" s="351"/>
      <c r="AB221" s="607"/>
      <c r="AC221" s="351"/>
      <c r="AD221" s="606"/>
      <c r="AE221" s="351"/>
      <c r="AF221" s="607"/>
      <c r="AG221" s="351"/>
      <c r="AH221" s="606"/>
      <c r="AI221" s="351"/>
      <c r="AJ221" s="607"/>
      <c r="AK221" s="351"/>
      <c r="AL221" s="608"/>
      <c r="AM221" s="350"/>
      <c r="AN221" s="350"/>
      <c r="AO221" s="350"/>
      <c r="AP221" s="350"/>
      <c r="AQ221" s="350"/>
      <c r="AR221" s="350"/>
      <c r="AS221" s="350"/>
      <c r="AT221" s="350"/>
      <c r="AU221" s="350"/>
      <c r="AV221" s="350"/>
      <c r="AW221" s="350"/>
      <c r="AX221" s="350"/>
      <c r="AY221" s="350"/>
      <c r="AZ221" s="350"/>
      <c r="BA221" s="350"/>
      <c r="BB221" s="351"/>
    </row>
    <row r="222" spans="1:54" ht="15.75" customHeight="1">
      <c r="A222" s="25">
        <f t="shared" si="0"/>
        <v>209</v>
      </c>
      <c r="B222" s="618" t="str">
        <f>'refer admin discharge'!B218</f>
        <v>x</v>
      </c>
      <c r="C222" s="351"/>
      <c r="D222" s="619" t="str">
        <f>'refer admin discharge'!D218</f>
        <v>xx</v>
      </c>
      <c r="E222" s="351"/>
      <c r="F222" s="620" t="str">
        <f>'refer admin discharge'!H218</f>
        <v>00/00/0000</v>
      </c>
      <c r="G222" s="351"/>
      <c r="H222" s="615"/>
      <c r="I222" s="351"/>
      <c r="J222" s="621"/>
      <c r="K222" s="351"/>
      <c r="L222" s="615"/>
      <c r="M222" s="351"/>
      <c r="N222" s="610"/>
      <c r="O222" s="351"/>
      <c r="P222" s="615"/>
      <c r="Q222" s="351"/>
      <c r="R222" s="610"/>
      <c r="S222" s="351"/>
      <c r="T222" s="615"/>
      <c r="U222" s="351"/>
      <c r="V222" s="613" t="str">
        <f>'refer admin discharge'!H223</f>
        <v>00/00/0000</v>
      </c>
      <c r="W222" s="351"/>
      <c r="X222" s="616"/>
      <c r="Y222" s="351"/>
      <c r="Z222" s="617"/>
      <c r="AA222" s="351"/>
      <c r="AB222" s="616"/>
      <c r="AC222" s="351"/>
      <c r="AD222" s="607"/>
      <c r="AE222" s="351"/>
      <c r="AF222" s="616"/>
      <c r="AG222" s="351"/>
      <c r="AH222" s="607"/>
      <c r="AI222" s="351"/>
      <c r="AJ222" s="616"/>
      <c r="AK222" s="351"/>
      <c r="AL222" s="622"/>
      <c r="AM222" s="350"/>
      <c r="AN222" s="350"/>
      <c r="AO222" s="350"/>
      <c r="AP222" s="350"/>
      <c r="AQ222" s="350"/>
      <c r="AR222" s="350"/>
      <c r="AS222" s="350"/>
      <c r="AT222" s="350"/>
      <c r="AU222" s="350"/>
      <c r="AV222" s="350"/>
      <c r="AW222" s="350"/>
      <c r="AX222" s="350"/>
      <c r="AY222" s="350"/>
      <c r="AZ222" s="350"/>
      <c r="BA222" s="350"/>
      <c r="BB222" s="351"/>
    </row>
    <row r="223" spans="1:54" ht="15.75" customHeight="1">
      <c r="A223" s="25">
        <f t="shared" si="0"/>
        <v>210</v>
      </c>
      <c r="B223" s="599" t="str">
        <f>'refer admin discharge'!B219</f>
        <v>x</v>
      </c>
      <c r="C223" s="351"/>
      <c r="D223" s="600" t="str">
        <f>'refer admin discharge'!D219</f>
        <v>xx</v>
      </c>
      <c r="E223" s="351"/>
      <c r="F223" s="609" t="str">
        <f>'refer admin discharge'!H219</f>
        <v>00/00/0000</v>
      </c>
      <c r="G223" s="351"/>
      <c r="H223" s="610"/>
      <c r="I223" s="351"/>
      <c r="J223" s="611"/>
      <c r="K223" s="351"/>
      <c r="L223" s="610"/>
      <c r="M223" s="351"/>
      <c r="N223" s="612"/>
      <c r="O223" s="351"/>
      <c r="P223" s="610"/>
      <c r="Q223" s="351"/>
      <c r="R223" s="612"/>
      <c r="S223" s="351"/>
      <c r="T223" s="610"/>
      <c r="U223" s="351"/>
      <c r="V223" s="613" t="str">
        <f>'refer admin discharge'!H224</f>
        <v>00/00/0000</v>
      </c>
      <c r="W223" s="351"/>
      <c r="X223" s="607"/>
      <c r="Y223" s="351"/>
      <c r="Z223" s="614"/>
      <c r="AA223" s="351"/>
      <c r="AB223" s="607"/>
      <c r="AC223" s="351"/>
      <c r="AD223" s="606"/>
      <c r="AE223" s="351"/>
      <c r="AF223" s="607"/>
      <c r="AG223" s="351"/>
      <c r="AH223" s="606"/>
      <c r="AI223" s="351"/>
      <c r="AJ223" s="607"/>
      <c r="AK223" s="351"/>
      <c r="AL223" s="608"/>
      <c r="AM223" s="350"/>
      <c r="AN223" s="350"/>
      <c r="AO223" s="350"/>
      <c r="AP223" s="350"/>
      <c r="AQ223" s="350"/>
      <c r="AR223" s="350"/>
      <c r="AS223" s="350"/>
      <c r="AT223" s="350"/>
      <c r="AU223" s="350"/>
      <c r="AV223" s="350"/>
      <c r="AW223" s="350"/>
      <c r="AX223" s="350"/>
      <c r="AY223" s="350"/>
      <c r="AZ223" s="350"/>
      <c r="BA223" s="350"/>
      <c r="BB223" s="351"/>
    </row>
    <row r="224" spans="1:54" ht="15.75" customHeight="1">
      <c r="A224" s="25">
        <f t="shared" si="0"/>
        <v>211</v>
      </c>
      <c r="B224" s="618" t="str">
        <f>'refer admin discharge'!B220</f>
        <v>x</v>
      </c>
      <c r="C224" s="351"/>
      <c r="D224" s="619" t="str">
        <f>'refer admin discharge'!D220</f>
        <v>xx</v>
      </c>
      <c r="E224" s="351"/>
      <c r="F224" s="620" t="str">
        <f>'refer admin discharge'!H220</f>
        <v>00/00/0000</v>
      </c>
      <c r="G224" s="351"/>
      <c r="H224" s="615"/>
      <c r="I224" s="351"/>
      <c r="J224" s="621"/>
      <c r="K224" s="351"/>
      <c r="L224" s="615"/>
      <c r="M224" s="351"/>
      <c r="N224" s="610"/>
      <c r="O224" s="351"/>
      <c r="P224" s="615"/>
      <c r="Q224" s="351"/>
      <c r="R224" s="610"/>
      <c r="S224" s="351"/>
      <c r="T224" s="615"/>
      <c r="U224" s="351"/>
      <c r="V224" s="613" t="str">
        <f>'refer admin discharge'!H225</f>
        <v>00/00/0000</v>
      </c>
      <c r="W224" s="351"/>
      <c r="X224" s="616"/>
      <c r="Y224" s="351"/>
      <c r="Z224" s="617"/>
      <c r="AA224" s="351"/>
      <c r="AB224" s="616"/>
      <c r="AC224" s="351"/>
      <c r="AD224" s="607"/>
      <c r="AE224" s="351"/>
      <c r="AF224" s="616"/>
      <c r="AG224" s="351"/>
      <c r="AH224" s="607"/>
      <c r="AI224" s="351"/>
      <c r="AJ224" s="616"/>
      <c r="AK224" s="351"/>
      <c r="AL224" s="622"/>
      <c r="AM224" s="350"/>
      <c r="AN224" s="350"/>
      <c r="AO224" s="350"/>
      <c r="AP224" s="350"/>
      <c r="AQ224" s="350"/>
      <c r="AR224" s="350"/>
      <c r="AS224" s="350"/>
      <c r="AT224" s="350"/>
      <c r="AU224" s="350"/>
      <c r="AV224" s="350"/>
      <c r="AW224" s="350"/>
      <c r="AX224" s="350"/>
      <c r="AY224" s="350"/>
      <c r="AZ224" s="350"/>
      <c r="BA224" s="350"/>
      <c r="BB224" s="351"/>
    </row>
    <row r="225" spans="1:54" ht="15.75" customHeight="1">
      <c r="A225" s="25">
        <f t="shared" si="0"/>
        <v>212</v>
      </c>
      <c r="B225" s="599" t="str">
        <f>'refer admin discharge'!B221</f>
        <v>x</v>
      </c>
      <c r="C225" s="351"/>
      <c r="D225" s="600" t="str">
        <f>'refer admin discharge'!D221</f>
        <v>xx</v>
      </c>
      <c r="E225" s="351"/>
      <c r="F225" s="609" t="str">
        <f>'refer admin discharge'!H221</f>
        <v>00/00/0000</v>
      </c>
      <c r="G225" s="351"/>
      <c r="H225" s="610"/>
      <c r="I225" s="351"/>
      <c r="J225" s="611"/>
      <c r="K225" s="351"/>
      <c r="L225" s="610"/>
      <c r="M225" s="351"/>
      <c r="N225" s="612"/>
      <c r="O225" s="351"/>
      <c r="P225" s="610"/>
      <c r="Q225" s="351"/>
      <c r="R225" s="612"/>
      <c r="S225" s="351"/>
      <c r="T225" s="610"/>
      <c r="U225" s="351"/>
      <c r="V225" s="613" t="str">
        <f>'refer admin discharge'!H226</f>
        <v>00/00/0000</v>
      </c>
      <c r="W225" s="351"/>
      <c r="X225" s="607"/>
      <c r="Y225" s="351"/>
      <c r="Z225" s="614"/>
      <c r="AA225" s="351"/>
      <c r="AB225" s="607"/>
      <c r="AC225" s="351"/>
      <c r="AD225" s="606"/>
      <c r="AE225" s="351"/>
      <c r="AF225" s="607"/>
      <c r="AG225" s="351"/>
      <c r="AH225" s="606"/>
      <c r="AI225" s="351"/>
      <c r="AJ225" s="607"/>
      <c r="AK225" s="351"/>
      <c r="AL225" s="608"/>
      <c r="AM225" s="350"/>
      <c r="AN225" s="350"/>
      <c r="AO225" s="350"/>
      <c r="AP225" s="350"/>
      <c r="AQ225" s="350"/>
      <c r="AR225" s="350"/>
      <c r="AS225" s="350"/>
      <c r="AT225" s="350"/>
      <c r="AU225" s="350"/>
      <c r="AV225" s="350"/>
      <c r="AW225" s="350"/>
      <c r="AX225" s="350"/>
      <c r="AY225" s="350"/>
      <c r="AZ225" s="350"/>
      <c r="BA225" s="350"/>
      <c r="BB225" s="351"/>
    </row>
    <row r="226" spans="1:54" ht="15.75" customHeight="1">
      <c r="A226" s="25">
        <f t="shared" si="0"/>
        <v>213</v>
      </c>
      <c r="B226" s="618" t="str">
        <f>'refer admin discharge'!B222</f>
        <v>x</v>
      </c>
      <c r="C226" s="351"/>
      <c r="D226" s="619" t="str">
        <f>'refer admin discharge'!D222</f>
        <v>xx</v>
      </c>
      <c r="E226" s="351"/>
      <c r="F226" s="620" t="str">
        <f>'refer admin discharge'!H222</f>
        <v>00/00/0000</v>
      </c>
      <c r="G226" s="351"/>
      <c r="H226" s="615"/>
      <c r="I226" s="351"/>
      <c r="J226" s="621"/>
      <c r="K226" s="351"/>
      <c r="L226" s="615"/>
      <c r="M226" s="351"/>
      <c r="N226" s="610"/>
      <c r="O226" s="351"/>
      <c r="P226" s="615"/>
      <c r="Q226" s="351"/>
      <c r="R226" s="610"/>
      <c r="S226" s="351"/>
      <c r="T226" s="615"/>
      <c r="U226" s="351"/>
      <c r="V226" s="613" t="str">
        <f>'refer admin discharge'!H227</f>
        <v>00/00/0000</v>
      </c>
      <c r="W226" s="351"/>
      <c r="X226" s="616"/>
      <c r="Y226" s="351"/>
      <c r="Z226" s="617"/>
      <c r="AA226" s="351"/>
      <c r="AB226" s="616"/>
      <c r="AC226" s="351"/>
      <c r="AD226" s="607"/>
      <c r="AE226" s="351"/>
      <c r="AF226" s="616"/>
      <c r="AG226" s="351"/>
      <c r="AH226" s="607"/>
      <c r="AI226" s="351"/>
      <c r="AJ226" s="616"/>
      <c r="AK226" s="351"/>
      <c r="AL226" s="622"/>
      <c r="AM226" s="350"/>
      <c r="AN226" s="350"/>
      <c r="AO226" s="350"/>
      <c r="AP226" s="350"/>
      <c r="AQ226" s="350"/>
      <c r="AR226" s="350"/>
      <c r="AS226" s="350"/>
      <c r="AT226" s="350"/>
      <c r="AU226" s="350"/>
      <c r="AV226" s="350"/>
      <c r="AW226" s="350"/>
      <c r="AX226" s="350"/>
      <c r="AY226" s="350"/>
      <c r="AZ226" s="350"/>
      <c r="BA226" s="350"/>
      <c r="BB226" s="351"/>
    </row>
    <row r="227" spans="1:54" ht="15.75" customHeight="1">
      <c r="A227" s="25">
        <f t="shared" si="0"/>
        <v>214</v>
      </c>
      <c r="B227" s="599" t="str">
        <f>'refer admin discharge'!B223</f>
        <v>x</v>
      </c>
      <c r="C227" s="351"/>
      <c r="D227" s="600" t="str">
        <f>'refer admin discharge'!D223</f>
        <v>xx</v>
      </c>
      <c r="E227" s="351"/>
      <c r="F227" s="609" t="str">
        <f>'refer admin discharge'!H223</f>
        <v>00/00/0000</v>
      </c>
      <c r="G227" s="351"/>
      <c r="H227" s="610"/>
      <c r="I227" s="351"/>
      <c r="J227" s="611"/>
      <c r="K227" s="351"/>
      <c r="L227" s="610"/>
      <c r="M227" s="351"/>
      <c r="N227" s="612"/>
      <c r="O227" s="351"/>
      <c r="P227" s="610"/>
      <c r="Q227" s="351"/>
      <c r="R227" s="612"/>
      <c r="S227" s="351"/>
      <c r="T227" s="610"/>
      <c r="U227" s="351"/>
      <c r="V227" s="613" t="str">
        <f>'refer admin discharge'!H228</f>
        <v>00/00/0000</v>
      </c>
      <c r="W227" s="351"/>
      <c r="X227" s="607"/>
      <c r="Y227" s="351"/>
      <c r="Z227" s="614"/>
      <c r="AA227" s="351"/>
      <c r="AB227" s="607"/>
      <c r="AC227" s="351"/>
      <c r="AD227" s="606"/>
      <c r="AE227" s="351"/>
      <c r="AF227" s="607"/>
      <c r="AG227" s="351"/>
      <c r="AH227" s="606"/>
      <c r="AI227" s="351"/>
      <c r="AJ227" s="607"/>
      <c r="AK227" s="351"/>
      <c r="AL227" s="608"/>
      <c r="AM227" s="350"/>
      <c r="AN227" s="350"/>
      <c r="AO227" s="350"/>
      <c r="AP227" s="350"/>
      <c r="AQ227" s="350"/>
      <c r="AR227" s="350"/>
      <c r="AS227" s="350"/>
      <c r="AT227" s="350"/>
      <c r="AU227" s="350"/>
      <c r="AV227" s="350"/>
      <c r="AW227" s="350"/>
      <c r="AX227" s="350"/>
      <c r="AY227" s="350"/>
      <c r="AZ227" s="350"/>
      <c r="BA227" s="350"/>
      <c r="BB227" s="351"/>
    </row>
    <row r="228" spans="1:54" ht="15.75" customHeight="1">
      <c r="A228" s="25">
        <f t="shared" si="0"/>
        <v>215</v>
      </c>
      <c r="B228" s="618" t="str">
        <f>'refer admin discharge'!B224</f>
        <v>x</v>
      </c>
      <c r="C228" s="351"/>
      <c r="D228" s="619" t="str">
        <f>'refer admin discharge'!D224</f>
        <v>xx</v>
      </c>
      <c r="E228" s="351"/>
      <c r="F228" s="620" t="str">
        <f>'refer admin discharge'!H224</f>
        <v>00/00/0000</v>
      </c>
      <c r="G228" s="351"/>
      <c r="H228" s="615"/>
      <c r="I228" s="351"/>
      <c r="J228" s="621"/>
      <c r="K228" s="351"/>
      <c r="L228" s="615"/>
      <c r="M228" s="351"/>
      <c r="N228" s="610"/>
      <c r="O228" s="351"/>
      <c r="P228" s="615"/>
      <c r="Q228" s="351"/>
      <c r="R228" s="610"/>
      <c r="S228" s="351"/>
      <c r="T228" s="615"/>
      <c r="U228" s="351"/>
      <c r="V228" s="613" t="str">
        <f>'refer admin discharge'!H229</f>
        <v>00/00/0000</v>
      </c>
      <c r="W228" s="351"/>
      <c r="X228" s="616"/>
      <c r="Y228" s="351"/>
      <c r="Z228" s="617"/>
      <c r="AA228" s="351"/>
      <c r="AB228" s="616"/>
      <c r="AC228" s="351"/>
      <c r="AD228" s="607"/>
      <c r="AE228" s="351"/>
      <c r="AF228" s="616"/>
      <c r="AG228" s="351"/>
      <c r="AH228" s="607"/>
      <c r="AI228" s="351"/>
      <c r="AJ228" s="616"/>
      <c r="AK228" s="351"/>
      <c r="AL228" s="622"/>
      <c r="AM228" s="350"/>
      <c r="AN228" s="350"/>
      <c r="AO228" s="350"/>
      <c r="AP228" s="350"/>
      <c r="AQ228" s="350"/>
      <c r="AR228" s="350"/>
      <c r="AS228" s="350"/>
      <c r="AT228" s="350"/>
      <c r="AU228" s="350"/>
      <c r="AV228" s="350"/>
      <c r="AW228" s="350"/>
      <c r="AX228" s="350"/>
      <c r="AY228" s="350"/>
      <c r="AZ228" s="350"/>
      <c r="BA228" s="350"/>
      <c r="BB228" s="351"/>
    </row>
    <row r="229" spans="1:54" ht="15.75" customHeight="1">
      <c r="A229" s="25">
        <f t="shared" si="0"/>
        <v>216</v>
      </c>
      <c r="B229" s="599" t="str">
        <f>'refer admin discharge'!B225</f>
        <v>x</v>
      </c>
      <c r="C229" s="351"/>
      <c r="D229" s="600" t="str">
        <f>'refer admin discharge'!D225</f>
        <v>xx</v>
      </c>
      <c r="E229" s="351"/>
      <c r="F229" s="609" t="str">
        <f>'refer admin discharge'!H225</f>
        <v>00/00/0000</v>
      </c>
      <c r="G229" s="351"/>
      <c r="H229" s="610"/>
      <c r="I229" s="351"/>
      <c r="J229" s="611"/>
      <c r="K229" s="351"/>
      <c r="L229" s="610"/>
      <c r="M229" s="351"/>
      <c r="N229" s="612"/>
      <c r="O229" s="351"/>
      <c r="P229" s="610"/>
      <c r="Q229" s="351"/>
      <c r="R229" s="612"/>
      <c r="S229" s="351"/>
      <c r="T229" s="610"/>
      <c r="U229" s="351"/>
      <c r="V229" s="613" t="str">
        <f>'refer admin discharge'!H230</f>
        <v>00/00/0000</v>
      </c>
      <c r="W229" s="351"/>
      <c r="X229" s="607"/>
      <c r="Y229" s="351"/>
      <c r="Z229" s="614"/>
      <c r="AA229" s="351"/>
      <c r="AB229" s="607"/>
      <c r="AC229" s="351"/>
      <c r="AD229" s="606"/>
      <c r="AE229" s="351"/>
      <c r="AF229" s="607"/>
      <c r="AG229" s="351"/>
      <c r="AH229" s="606"/>
      <c r="AI229" s="351"/>
      <c r="AJ229" s="607"/>
      <c r="AK229" s="351"/>
      <c r="AL229" s="608"/>
      <c r="AM229" s="350"/>
      <c r="AN229" s="350"/>
      <c r="AO229" s="350"/>
      <c r="AP229" s="350"/>
      <c r="AQ229" s="350"/>
      <c r="AR229" s="350"/>
      <c r="AS229" s="350"/>
      <c r="AT229" s="350"/>
      <c r="AU229" s="350"/>
      <c r="AV229" s="350"/>
      <c r="AW229" s="350"/>
      <c r="AX229" s="350"/>
      <c r="AY229" s="350"/>
      <c r="AZ229" s="350"/>
      <c r="BA229" s="350"/>
      <c r="BB229" s="351"/>
    </row>
    <row r="230" spans="1:54" ht="15.75" customHeight="1">
      <c r="A230" s="25">
        <f t="shared" si="0"/>
        <v>217</v>
      </c>
      <c r="B230" s="618" t="str">
        <f>'refer admin discharge'!B226</f>
        <v>x</v>
      </c>
      <c r="C230" s="351"/>
      <c r="D230" s="619" t="str">
        <f>'refer admin discharge'!D226</f>
        <v>xx</v>
      </c>
      <c r="E230" s="351"/>
      <c r="F230" s="620" t="str">
        <f>'refer admin discharge'!H226</f>
        <v>00/00/0000</v>
      </c>
      <c r="G230" s="351"/>
      <c r="H230" s="615"/>
      <c r="I230" s="351"/>
      <c r="J230" s="621"/>
      <c r="K230" s="351"/>
      <c r="L230" s="615"/>
      <c r="M230" s="351"/>
      <c r="N230" s="610"/>
      <c r="O230" s="351"/>
      <c r="P230" s="615"/>
      <c r="Q230" s="351"/>
      <c r="R230" s="610"/>
      <c r="S230" s="351"/>
      <c r="T230" s="615"/>
      <c r="U230" s="351"/>
      <c r="V230" s="613" t="str">
        <f>'refer admin discharge'!H231</f>
        <v>00/00/0000</v>
      </c>
      <c r="W230" s="351"/>
      <c r="X230" s="616"/>
      <c r="Y230" s="351"/>
      <c r="Z230" s="617"/>
      <c r="AA230" s="351"/>
      <c r="AB230" s="616"/>
      <c r="AC230" s="351"/>
      <c r="AD230" s="607"/>
      <c r="AE230" s="351"/>
      <c r="AF230" s="616"/>
      <c r="AG230" s="351"/>
      <c r="AH230" s="607"/>
      <c r="AI230" s="351"/>
      <c r="AJ230" s="616"/>
      <c r="AK230" s="351"/>
      <c r="AL230" s="622"/>
      <c r="AM230" s="350"/>
      <c r="AN230" s="350"/>
      <c r="AO230" s="350"/>
      <c r="AP230" s="350"/>
      <c r="AQ230" s="350"/>
      <c r="AR230" s="350"/>
      <c r="AS230" s="350"/>
      <c r="AT230" s="350"/>
      <c r="AU230" s="350"/>
      <c r="AV230" s="350"/>
      <c r="AW230" s="350"/>
      <c r="AX230" s="350"/>
      <c r="AY230" s="350"/>
      <c r="AZ230" s="350"/>
      <c r="BA230" s="350"/>
      <c r="BB230" s="351"/>
    </row>
    <row r="231" spans="1:54" ht="15.75" customHeight="1">
      <c r="A231" s="25">
        <f t="shared" si="0"/>
        <v>218</v>
      </c>
      <c r="B231" s="599" t="str">
        <f>'refer admin discharge'!B227</f>
        <v>x</v>
      </c>
      <c r="C231" s="351"/>
      <c r="D231" s="600" t="str">
        <f>'refer admin discharge'!D227</f>
        <v>xx</v>
      </c>
      <c r="E231" s="351"/>
      <c r="F231" s="609" t="str">
        <f>'refer admin discharge'!H227</f>
        <v>00/00/0000</v>
      </c>
      <c r="G231" s="351"/>
      <c r="H231" s="610"/>
      <c r="I231" s="351"/>
      <c r="J231" s="611"/>
      <c r="K231" s="351"/>
      <c r="L231" s="610"/>
      <c r="M231" s="351"/>
      <c r="N231" s="612"/>
      <c r="O231" s="351"/>
      <c r="P231" s="610"/>
      <c r="Q231" s="351"/>
      <c r="R231" s="612"/>
      <c r="S231" s="351"/>
      <c r="T231" s="610"/>
      <c r="U231" s="351"/>
      <c r="V231" s="613" t="str">
        <f>'refer admin discharge'!H232</f>
        <v>00/00/0000</v>
      </c>
      <c r="W231" s="351"/>
      <c r="X231" s="607"/>
      <c r="Y231" s="351"/>
      <c r="Z231" s="614"/>
      <c r="AA231" s="351"/>
      <c r="AB231" s="607"/>
      <c r="AC231" s="351"/>
      <c r="AD231" s="606"/>
      <c r="AE231" s="351"/>
      <c r="AF231" s="607"/>
      <c r="AG231" s="351"/>
      <c r="AH231" s="606"/>
      <c r="AI231" s="351"/>
      <c r="AJ231" s="607"/>
      <c r="AK231" s="351"/>
      <c r="AL231" s="608"/>
      <c r="AM231" s="350"/>
      <c r="AN231" s="350"/>
      <c r="AO231" s="350"/>
      <c r="AP231" s="350"/>
      <c r="AQ231" s="350"/>
      <c r="AR231" s="350"/>
      <c r="AS231" s="350"/>
      <c r="AT231" s="350"/>
      <c r="AU231" s="350"/>
      <c r="AV231" s="350"/>
      <c r="AW231" s="350"/>
      <c r="AX231" s="350"/>
      <c r="AY231" s="350"/>
      <c r="AZ231" s="350"/>
      <c r="BA231" s="350"/>
      <c r="BB231" s="351"/>
    </row>
    <row r="232" spans="1:54" ht="15.75" customHeight="1">
      <c r="A232" s="25">
        <f t="shared" si="0"/>
        <v>219</v>
      </c>
      <c r="B232" s="618" t="str">
        <f>'refer admin discharge'!B228</f>
        <v>x</v>
      </c>
      <c r="C232" s="351"/>
      <c r="D232" s="619" t="str">
        <f>'refer admin discharge'!D228</f>
        <v>xx</v>
      </c>
      <c r="E232" s="351"/>
      <c r="F232" s="620" t="str">
        <f>'refer admin discharge'!H228</f>
        <v>00/00/0000</v>
      </c>
      <c r="G232" s="351"/>
      <c r="H232" s="615"/>
      <c r="I232" s="351"/>
      <c r="J232" s="621"/>
      <c r="K232" s="351"/>
      <c r="L232" s="615"/>
      <c r="M232" s="351"/>
      <c r="N232" s="610"/>
      <c r="O232" s="351"/>
      <c r="P232" s="615"/>
      <c r="Q232" s="351"/>
      <c r="R232" s="610"/>
      <c r="S232" s="351"/>
      <c r="T232" s="615"/>
      <c r="U232" s="351"/>
      <c r="V232" s="613" t="str">
        <f>'refer admin discharge'!H233</f>
        <v>00/00/0000</v>
      </c>
      <c r="W232" s="351"/>
      <c r="X232" s="616"/>
      <c r="Y232" s="351"/>
      <c r="Z232" s="617"/>
      <c r="AA232" s="351"/>
      <c r="AB232" s="616"/>
      <c r="AC232" s="351"/>
      <c r="AD232" s="607"/>
      <c r="AE232" s="351"/>
      <c r="AF232" s="616"/>
      <c r="AG232" s="351"/>
      <c r="AH232" s="607"/>
      <c r="AI232" s="351"/>
      <c r="AJ232" s="616"/>
      <c r="AK232" s="351"/>
      <c r="AL232" s="622"/>
      <c r="AM232" s="350"/>
      <c r="AN232" s="350"/>
      <c r="AO232" s="350"/>
      <c r="AP232" s="350"/>
      <c r="AQ232" s="350"/>
      <c r="AR232" s="350"/>
      <c r="AS232" s="350"/>
      <c r="AT232" s="350"/>
      <c r="AU232" s="350"/>
      <c r="AV232" s="350"/>
      <c r="AW232" s="350"/>
      <c r="AX232" s="350"/>
      <c r="AY232" s="350"/>
      <c r="AZ232" s="350"/>
      <c r="BA232" s="350"/>
      <c r="BB232" s="351"/>
    </row>
    <row r="233" spans="1:54" ht="15.75" customHeight="1">
      <c r="A233" s="25">
        <f t="shared" si="0"/>
        <v>220</v>
      </c>
      <c r="B233" s="599" t="str">
        <f>'refer admin discharge'!B229</f>
        <v>x</v>
      </c>
      <c r="C233" s="351"/>
      <c r="D233" s="600" t="str">
        <f>'refer admin discharge'!D229</f>
        <v>xx</v>
      </c>
      <c r="E233" s="351"/>
      <c r="F233" s="609" t="str">
        <f>'refer admin discharge'!H229</f>
        <v>00/00/0000</v>
      </c>
      <c r="G233" s="351"/>
      <c r="H233" s="610"/>
      <c r="I233" s="351"/>
      <c r="J233" s="611"/>
      <c r="K233" s="351"/>
      <c r="L233" s="610"/>
      <c r="M233" s="351"/>
      <c r="N233" s="612"/>
      <c r="O233" s="351"/>
      <c r="P233" s="610"/>
      <c r="Q233" s="351"/>
      <c r="R233" s="612"/>
      <c r="S233" s="351"/>
      <c r="T233" s="610"/>
      <c r="U233" s="351"/>
      <c r="V233" s="613" t="str">
        <f>'refer admin discharge'!H234</f>
        <v>00/00/0000</v>
      </c>
      <c r="W233" s="351"/>
      <c r="X233" s="607"/>
      <c r="Y233" s="351"/>
      <c r="Z233" s="614"/>
      <c r="AA233" s="351"/>
      <c r="AB233" s="607"/>
      <c r="AC233" s="351"/>
      <c r="AD233" s="606"/>
      <c r="AE233" s="351"/>
      <c r="AF233" s="607"/>
      <c r="AG233" s="351"/>
      <c r="AH233" s="606"/>
      <c r="AI233" s="351"/>
      <c r="AJ233" s="607"/>
      <c r="AK233" s="351"/>
      <c r="AL233" s="608"/>
      <c r="AM233" s="350"/>
      <c r="AN233" s="350"/>
      <c r="AO233" s="350"/>
      <c r="AP233" s="350"/>
      <c r="AQ233" s="350"/>
      <c r="AR233" s="350"/>
      <c r="AS233" s="350"/>
      <c r="AT233" s="350"/>
      <c r="AU233" s="350"/>
      <c r="AV233" s="350"/>
      <c r="AW233" s="350"/>
      <c r="AX233" s="350"/>
      <c r="AY233" s="350"/>
      <c r="AZ233" s="350"/>
      <c r="BA233" s="350"/>
      <c r="BB233" s="351"/>
    </row>
    <row r="234" spans="1:54" ht="15.75" customHeight="1">
      <c r="A234" s="25">
        <f t="shared" si="0"/>
        <v>221</v>
      </c>
      <c r="B234" s="618" t="str">
        <f>'refer admin discharge'!B230</f>
        <v>x</v>
      </c>
      <c r="C234" s="351"/>
      <c r="D234" s="619" t="str">
        <f>'refer admin discharge'!D230</f>
        <v>xx</v>
      </c>
      <c r="E234" s="351"/>
      <c r="F234" s="620" t="str">
        <f>'refer admin discharge'!H230</f>
        <v>00/00/0000</v>
      </c>
      <c r="G234" s="351"/>
      <c r="H234" s="615"/>
      <c r="I234" s="351"/>
      <c r="J234" s="621"/>
      <c r="K234" s="351"/>
      <c r="L234" s="615"/>
      <c r="M234" s="351"/>
      <c r="N234" s="610"/>
      <c r="O234" s="351"/>
      <c r="P234" s="615"/>
      <c r="Q234" s="351"/>
      <c r="R234" s="610"/>
      <c r="S234" s="351"/>
      <c r="T234" s="615"/>
      <c r="U234" s="351"/>
      <c r="V234" s="613" t="str">
        <f>'refer admin discharge'!H235</f>
        <v>00/00/0000</v>
      </c>
      <c r="W234" s="351"/>
      <c r="X234" s="616"/>
      <c r="Y234" s="351"/>
      <c r="Z234" s="617"/>
      <c r="AA234" s="351"/>
      <c r="AB234" s="616"/>
      <c r="AC234" s="351"/>
      <c r="AD234" s="607"/>
      <c r="AE234" s="351"/>
      <c r="AF234" s="616"/>
      <c r="AG234" s="351"/>
      <c r="AH234" s="607"/>
      <c r="AI234" s="351"/>
      <c r="AJ234" s="616"/>
      <c r="AK234" s="351"/>
      <c r="AL234" s="622"/>
      <c r="AM234" s="350"/>
      <c r="AN234" s="350"/>
      <c r="AO234" s="350"/>
      <c r="AP234" s="350"/>
      <c r="AQ234" s="350"/>
      <c r="AR234" s="350"/>
      <c r="AS234" s="350"/>
      <c r="AT234" s="350"/>
      <c r="AU234" s="350"/>
      <c r="AV234" s="350"/>
      <c r="AW234" s="350"/>
      <c r="AX234" s="350"/>
      <c r="AY234" s="350"/>
      <c r="AZ234" s="350"/>
      <c r="BA234" s="350"/>
      <c r="BB234" s="351"/>
    </row>
    <row r="235" spans="1:54" ht="15.75" customHeight="1">
      <c r="A235" s="25">
        <f t="shared" si="0"/>
        <v>222</v>
      </c>
      <c r="B235" s="599" t="str">
        <f>'refer admin discharge'!B231</f>
        <v>x</v>
      </c>
      <c r="C235" s="351"/>
      <c r="D235" s="600" t="str">
        <f>'refer admin discharge'!D231</f>
        <v>xx</v>
      </c>
      <c r="E235" s="351"/>
      <c r="F235" s="609" t="str">
        <f>'refer admin discharge'!H231</f>
        <v>00/00/0000</v>
      </c>
      <c r="G235" s="351"/>
      <c r="H235" s="610"/>
      <c r="I235" s="351"/>
      <c r="J235" s="611"/>
      <c r="K235" s="351"/>
      <c r="L235" s="610"/>
      <c r="M235" s="351"/>
      <c r="N235" s="612"/>
      <c r="O235" s="351"/>
      <c r="P235" s="610"/>
      <c r="Q235" s="351"/>
      <c r="R235" s="612"/>
      <c r="S235" s="351"/>
      <c r="T235" s="610"/>
      <c r="U235" s="351"/>
      <c r="V235" s="613" t="str">
        <f>'refer admin discharge'!H236</f>
        <v>00/00/0000</v>
      </c>
      <c r="W235" s="351"/>
      <c r="X235" s="607"/>
      <c r="Y235" s="351"/>
      <c r="Z235" s="614"/>
      <c r="AA235" s="351"/>
      <c r="AB235" s="607"/>
      <c r="AC235" s="351"/>
      <c r="AD235" s="606"/>
      <c r="AE235" s="351"/>
      <c r="AF235" s="607"/>
      <c r="AG235" s="351"/>
      <c r="AH235" s="606"/>
      <c r="AI235" s="351"/>
      <c r="AJ235" s="607"/>
      <c r="AK235" s="351"/>
      <c r="AL235" s="608"/>
      <c r="AM235" s="350"/>
      <c r="AN235" s="350"/>
      <c r="AO235" s="350"/>
      <c r="AP235" s="350"/>
      <c r="AQ235" s="350"/>
      <c r="AR235" s="350"/>
      <c r="AS235" s="350"/>
      <c r="AT235" s="350"/>
      <c r="AU235" s="350"/>
      <c r="AV235" s="350"/>
      <c r="AW235" s="350"/>
      <c r="AX235" s="350"/>
      <c r="AY235" s="350"/>
      <c r="AZ235" s="350"/>
      <c r="BA235" s="350"/>
      <c r="BB235" s="351"/>
    </row>
    <row r="236" spans="1:54" ht="15.75" customHeight="1">
      <c r="A236" s="25">
        <f t="shared" si="0"/>
        <v>223</v>
      </c>
      <c r="B236" s="618" t="str">
        <f>'refer admin discharge'!B232</f>
        <v>x</v>
      </c>
      <c r="C236" s="351"/>
      <c r="D236" s="619" t="str">
        <f>'refer admin discharge'!D232</f>
        <v>xx</v>
      </c>
      <c r="E236" s="351"/>
      <c r="F236" s="620" t="str">
        <f>'refer admin discharge'!H232</f>
        <v>00/00/0000</v>
      </c>
      <c r="G236" s="351"/>
      <c r="H236" s="615"/>
      <c r="I236" s="351"/>
      <c r="J236" s="621"/>
      <c r="K236" s="351"/>
      <c r="L236" s="615"/>
      <c r="M236" s="351"/>
      <c r="N236" s="610"/>
      <c r="O236" s="351"/>
      <c r="P236" s="615"/>
      <c r="Q236" s="351"/>
      <c r="R236" s="610"/>
      <c r="S236" s="351"/>
      <c r="T236" s="615"/>
      <c r="U236" s="351"/>
      <c r="V236" s="613" t="str">
        <f>'refer admin discharge'!H237</f>
        <v>00/00/0000</v>
      </c>
      <c r="W236" s="351"/>
      <c r="X236" s="616"/>
      <c r="Y236" s="351"/>
      <c r="Z236" s="617"/>
      <c r="AA236" s="351"/>
      <c r="AB236" s="616"/>
      <c r="AC236" s="351"/>
      <c r="AD236" s="607"/>
      <c r="AE236" s="351"/>
      <c r="AF236" s="616"/>
      <c r="AG236" s="351"/>
      <c r="AH236" s="607"/>
      <c r="AI236" s="351"/>
      <c r="AJ236" s="616"/>
      <c r="AK236" s="351"/>
      <c r="AL236" s="622"/>
      <c r="AM236" s="350"/>
      <c r="AN236" s="350"/>
      <c r="AO236" s="350"/>
      <c r="AP236" s="350"/>
      <c r="AQ236" s="350"/>
      <c r="AR236" s="350"/>
      <c r="AS236" s="350"/>
      <c r="AT236" s="350"/>
      <c r="AU236" s="350"/>
      <c r="AV236" s="350"/>
      <c r="AW236" s="350"/>
      <c r="AX236" s="350"/>
      <c r="AY236" s="350"/>
      <c r="AZ236" s="350"/>
      <c r="BA236" s="350"/>
      <c r="BB236" s="351"/>
    </row>
    <row r="237" spans="1:54" ht="15.75" customHeight="1">
      <c r="A237" s="25">
        <f t="shared" si="0"/>
        <v>224</v>
      </c>
      <c r="B237" s="599" t="str">
        <f>'refer admin discharge'!B233</f>
        <v>x</v>
      </c>
      <c r="C237" s="351"/>
      <c r="D237" s="600" t="str">
        <f>'refer admin discharge'!D233</f>
        <v>xx</v>
      </c>
      <c r="E237" s="351"/>
      <c r="F237" s="609" t="str">
        <f>'refer admin discharge'!H233</f>
        <v>00/00/0000</v>
      </c>
      <c r="G237" s="351"/>
      <c r="H237" s="610"/>
      <c r="I237" s="351"/>
      <c r="J237" s="611"/>
      <c r="K237" s="351"/>
      <c r="L237" s="610"/>
      <c r="M237" s="351"/>
      <c r="N237" s="612"/>
      <c r="O237" s="351"/>
      <c r="P237" s="610"/>
      <c r="Q237" s="351"/>
      <c r="R237" s="612"/>
      <c r="S237" s="351"/>
      <c r="T237" s="610"/>
      <c r="U237" s="351"/>
      <c r="V237" s="613" t="str">
        <f>'refer admin discharge'!H238</f>
        <v>00/00/0000</v>
      </c>
      <c r="W237" s="351"/>
      <c r="X237" s="607"/>
      <c r="Y237" s="351"/>
      <c r="Z237" s="614"/>
      <c r="AA237" s="351"/>
      <c r="AB237" s="607"/>
      <c r="AC237" s="351"/>
      <c r="AD237" s="606"/>
      <c r="AE237" s="351"/>
      <c r="AF237" s="607"/>
      <c r="AG237" s="351"/>
      <c r="AH237" s="606"/>
      <c r="AI237" s="351"/>
      <c r="AJ237" s="607"/>
      <c r="AK237" s="351"/>
      <c r="AL237" s="608"/>
      <c r="AM237" s="350"/>
      <c r="AN237" s="350"/>
      <c r="AO237" s="350"/>
      <c r="AP237" s="350"/>
      <c r="AQ237" s="350"/>
      <c r="AR237" s="350"/>
      <c r="AS237" s="350"/>
      <c r="AT237" s="350"/>
      <c r="AU237" s="350"/>
      <c r="AV237" s="350"/>
      <c r="AW237" s="350"/>
      <c r="AX237" s="350"/>
      <c r="AY237" s="350"/>
      <c r="AZ237" s="350"/>
      <c r="BA237" s="350"/>
      <c r="BB237" s="351"/>
    </row>
    <row r="238" spans="1:54" ht="15.75" customHeight="1">
      <c r="A238" s="25">
        <f t="shared" si="0"/>
        <v>225</v>
      </c>
      <c r="B238" s="618" t="str">
        <f>'refer admin discharge'!B234</f>
        <v>x</v>
      </c>
      <c r="C238" s="351"/>
      <c r="D238" s="619" t="str">
        <f>'refer admin discharge'!D234</f>
        <v>xx</v>
      </c>
      <c r="E238" s="351"/>
      <c r="F238" s="620" t="str">
        <f>'refer admin discharge'!H234</f>
        <v>00/00/0000</v>
      </c>
      <c r="G238" s="351"/>
      <c r="H238" s="615"/>
      <c r="I238" s="351"/>
      <c r="J238" s="621"/>
      <c r="K238" s="351"/>
      <c r="L238" s="615"/>
      <c r="M238" s="351"/>
      <c r="N238" s="610"/>
      <c r="O238" s="351"/>
      <c r="P238" s="615"/>
      <c r="Q238" s="351"/>
      <c r="R238" s="610"/>
      <c r="S238" s="351"/>
      <c r="T238" s="615"/>
      <c r="U238" s="351"/>
      <c r="V238" s="613" t="str">
        <f>'refer admin discharge'!H239</f>
        <v>00/00/0000</v>
      </c>
      <c r="W238" s="351"/>
      <c r="X238" s="616"/>
      <c r="Y238" s="351"/>
      <c r="Z238" s="617"/>
      <c r="AA238" s="351"/>
      <c r="AB238" s="616"/>
      <c r="AC238" s="351"/>
      <c r="AD238" s="607"/>
      <c r="AE238" s="351"/>
      <c r="AF238" s="616"/>
      <c r="AG238" s="351"/>
      <c r="AH238" s="607"/>
      <c r="AI238" s="351"/>
      <c r="AJ238" s="616"/>
      <c r="AK238" s="351"/>
      <c r="AL238" s="622"/>
      <c r="AM238" s="350"/>
      <c r="AN238" s="350"/>
      <c r="AO238" s="350"/>
      <c r="AP238" s="350"/>
      <c r="AQ238" s="350"/>
      <c r="AR238" s="350"/>
      <c r="AS238" s="350"/>
      <c r="AT238" s="350"/>
      <c r="AU238" s="350"/>
      <c r="AV238" s="350"/>
      <c r="AW238" s="350"/>
      <c r="AX238" s="350"/>
      <c r="AY238" s="350"/>
      <c r="AZ238" s="350"/>
      <c r="BA238" s="350"/>
      <c r="BB238" s="351"/>
    </row>
    <row r="239" spans="1:54" ht="15.75" customHeight="1">
      <c r="A239" s="25">
        <f t="shared" si="0"/>
        <v>226</v>
      </c>
      <c r="B239" s="599" t="str">
        <f>'refer admin discharge'!B235</f>
        <v>x</v>
      </c>
      <c r="C239" s="351"/>
      <c r="D239" s="600" t="str">
        <f>'refer admin discharge'!D235</f>
        <v>xx</v>
      </c>
      <c r="E239" s="351"/>
      <c r="F239" s="609" t="str">
        <f>'refer admin discharge'!H235</f>
        <v>00/00/0000</v>
      </c>
      <c r="G239" s="351"/>
      <c r="H239" s="610"/>
      <c r="I239" s="351"/>
      <c r="J239" s="611"/>
      <c r="K239" s="351"/>
      <c r="L239" s="610"/>
      <c r="M239" s="351"/>
      <c r="N239" s="612"/>
      <c r="O239" s="351"/>
      <c r="P239" s="610"/>
      <c r="Q239" s="351"/>
      <c r="R239" s="612"/>
      <c r="S239" s="351"/>
      <c r="T239" s="610"/>
      <c r="U239" s="351"/>
      <c r="V239" s="613" t="str">
        <f>'refer admin discharge'!H240</f>
        <v>00/00/0000</v>
      </c>
      <c r="W239" s="351"/>
      <c r="X239" s="607"/>
      <c r="Y239" s="351"/>
      <c r="Z239" s="614"/>
      <c r="AA239" s="351"/>
      <c r="AB239" s="607"/>
      <c r="AC239" s="351"/>
      <c r="AD239" s="606"/>
      <c r="AE239" s="351"/>
      <c r="AF239" s="607"/>
      <c r="AG239" s="351"/>
      <c r="AH239" s="606"/>
      <c r="AI239" s="351"/>
      <c r="AJ239" s="607"/>
      <c r="AK239" s="351"/>
      <c r="AL239" s="608"/>
      <c r="AM239" s="350"/>
      <c r="AN239" s="350"/>
      <c r="AO239" s="350"/>
      <c r="AP239" s="350"/>
      <c r="AQ239" s="350"/>
      <c r="AR239" s="350"/>
      <c r="AS239" s="350"/>
      <c r="AT239" s="350"/>
      <c r="AU239" s="350"/>
      <c r="AV239" s="350"/>
      <c r="AW239" s="350"/>
      <c r="AX239" s="350"/>
      <c r="AY239" s="350"/>
      <c r="AZ239" s="350"/>
      <c r="BA239" s="350"/>
      <c r="BB239" s="351"/>
    </row>
    <row r="240" spans="1:54" ht="15.75" customHeight="1">
      <c r="A240" s="25">
        <f t="shared" si="0"/>
        <v>227</v>
      </c>
      <c r="B240" s="618" t="str">
        <f>'refer admin discharge'!B236</f>
        <v>x</v>
      </c>
      <c r="C240" s="351"/>
      <c r="D240" s="619" t="str">
        <f>'refer admin discharge'!D236</f>
        <v>xx</v>
      </c>
      <c r="E240" s="351"/>
      <c r="F240" s="620" t="str">
        <f>'refer admin discharge'!H236</f>
        <v>00/00/0000</v>
      </c>
      <c r="G240" s="351"/>
      <c r="H240" s="615"/>
      <c r="I240" s="351"/>
      <c r="J240" s="621"/>
      <c r="K240" s="351"/>
      <c r="L240" s="615"/>
      <c r="M240" s="351"/>
      <c r="N240" s="610"/>
      <c r="O240" s="351"/>
      <c r="P240" s="615"/>
      <c r="Q240" s="351"/>
      <c r="R240" s="610"/>
      <c r="S240" s="351"/>
      <c r="T240" s="615"/>
      <c r="U240" s="351"/>
      <c r="V240" s="613" t="str">
        <f>'refer admin discharge'!H241</f>
        <v>00/00/0000</v>
      </c>
      <c r="W240" s="351"/>
      <c r="X240" s="616"/>
      <c r="Y240" s="351"/>
      <c r="Z240" s="617"/>
      <c r="AA240" s="351"/>
      <c r="AB240" s="616"/>
      <c r="AC240" s="351"/>
      <c r="AD240" s="607"/>
      <c r="AE240" s="351"/>
      <c r="AF240" s="616"/>
      <c r="AG240" s="351"/>
      <c r="AH240" s="607"/>
      <c r="AI240" s="351"/>
      <c r="AJ240" s="616"/>
      <c r="AK240" s="351"/>
      <c r="AL240" s="622"/>
      <c r="AM240" s="350"/>
      <c r="AN240" s="350"/>
      <c r="AO240" s="350"/>
      <c r="AP240" s="350"/>
      <c r="AQ240" s="350"/>
      <c r="AR240" s="350"/>
      <c r="AS240" s="350"/>
      <c r="AT240" s="350"/>
      <c r="AU240" s="350"/>
      <c r="AV240" s="350"/>
      <c r="AW240" s="350"/>
      <c r="AX240" s="350"/>
      <c r="AY240" s="350"/>
      <c r="AZ240" s="350"/>
      <c r="BA240" s="350"/>
      <c r="BB240" s="351"/>
    </row>
    <row r="241" spans="1:54" ht="15.75" customHeight="1">
      <c r="A241" s="25">
        <f t="shared" si="0"/>
        <v>228</v>
      </c>
      <c r="B241" s="599" t="str">
        <f>'refer admin discharge'!B237</f>
        <v>x</v>
      </c>
      <c r="C241" s="351"/>
      <c r="D241" s="600" t="str">
        <f>'refer admin discharge'!D237</f>
        <v>xx</v>
      </c>
      <c r="E241" s="351"/>
      <c r="F241" s="609" t="str">
        <f>'refer admin discharge'!H237</f>
        <v>00/00/0000</v>
      </c>
      <c r="G241" s="351"/>
      <c r="H241" s="610"/>
      <c r="I241" s="351"/>
      <c r="J241" s="611"/>
      <c r="K241" s="351"/>
      <c r="L241" s="610"/>
      <c r="M241" s="351"/>
      <c r="N241" s="612"/>
      <c r="O241" s="351"/>
      <c r="P241" s="610"/>
      <c r="Q241" s="351"/>
      <c r="R241" s="612"/>
      <c r="S241" s="351"/>
      <c r="T241" s="610"/>
      <c r="U241" s="351"/>
      <c r="V241" s="613" t="str">
        <f>'refer admin discharge'!H242</f>
        <v>00/00/0000</v>
      </c>
      <c r="W241" s="351"/>
      <c r="X241" s="607"/>
      <c r="Y241" s="351"/>
      <c r="Z241" s="614"/>
      <c r="AA241" s="351"/>
      <c r="AB241" s="607"/>
      <c r="AC241" s="351"/>
      <c r="AD241" s="606"/>
      <c r="AE241" s="351"/>
      <c r="AF241" s="607"/>
      <c r="AG241" s="351"/>
      <c r="AH241" s="606"/>
      <c r="AI241" s="351"/>
      <c r="AJ241" s="607"/>
      <c r="AK241" s="351"/>
      <c r="AL241" s="608"/>
      <c r="AM241" s="350"/>
      <c r="AN241" s="350"/>
      <c r="AO241" s="350"/>
      <c r="AP241" s="350"/>
      <c r="AQ241" s="350"/>
      <c r="AR241" s="350"/>
      <c r="AS241" s="350"/>
      <c r="AT241" s="350"/>
      <c r="AU241" s="350"/>
      <c r="AV241" s="350"/>
      <c r="AW241" s="350"/>
      <c r="AX241" s="350"/>
      <c r="AY241" s="350"/>
      <c r="AZ241" s="350"/>
      <c r="BA241" s="350"/>
      <c r="BB241" s="351"/>
    </row>
    <row r="242" spans="1:54" ht="15.75" customHeight="1">
      <c r="A242" s="25">
        <f t="shared" si="0"/>
        <v>229</v>
      </c>
      <c r="B242" s="618" t="str">
        <f>'refer admin discharge'!B238</f>
        <v>x</v>
      </c>
      <c r="C242" s="351"/>
      <c r="D242" s="619" t="str">
        <f>'refer admin discharge'!D238</f>
        <v>xx</v>
      </c>
      <c r="E242" s="351"/>
      <c r="F242" s="620" t="str">
        <f>'refer admin discharge'!H238</f>
        <v>00/00/0000</v>
      </c>
      <c r="G242" s="351"/>
      <c r="H242" s="615"/>
      <c r="I242" s="351"/>
      <c r="J242" s="621"/>
      <c r="K242" s="351"/>
      <c r="L242" s="615"/>
      <c r="M242" s="351"/>
      <c r="N242" s="610"/>
      <c r="O242" s="351"/>
      <c r="P242" s="615"/>
      <c r="Q242" s="351"/>
      <c r="R242" s="610"/>
      <c r="S242" s="351"/>
      <c r="T242" s="615"/>
      <c r="U242" s="351"/>
      <c r="V242" s="613" t="str">
        <f>'refer admin discharge'!H243</f>
        <v>00/00/0000</v>
      </c>
      <c r="W242" s="351"/>
      <c r="X242" s="616"/>
      <c r="Y242" s="351"/>
      <c r="Z242" s="617"/>
      <c r="AA242" s="351"/>
      <c r="AB242" s="616"/>
      <c r="AC242" s="351"/>
      <c r="AD242" s="607"/>
      <c r="AE242" s="351"/>
      <c r="AF242" s="616"/>
      <c r="AG242" s="351"/>
      <c r="AH242" s="607"/>
      <c r="AI242" s="351"/>
      <c r="AJ242" s="616"/>
      <c r="AK242" s="351"/>
      <c r="AL242" s="622"/>
      <c r="AM242" s="350"/>
      <c r="AN242" s="350"/>
      <c r="AO242" s="350"/>
      <c r="AP242" s="350"/>
      <c r="AQ242" s="350"/>
      <c r="AR242" s="350"/>
      <c r="AS242" s="350"/>
      <c r="AT242" s="350"/>
      <c r="AU242" s="350"/>
      <c r="AV242" s="350"/>
      <c r="AW242" s="350"/>
      <c r="AX242" s="350"/>
      <c r="AY242" s="350"/>
      <c r="AZ242" s="350"/>
      <c r="BA242" s="350"/>
      <c r="BB242" s="351"/>
    </row>
    <row r="243" spans="1:54" ht="15.75" customHeight="1">
      <c r="A243" s="25">
        <f t="shared" si="0"/>
        <v>230</v>
      </c>
      <c r="B243" s="599" t="str">
        <f>'refer admin discharge'!B239</f>
        <v>x</v>
      </c>
      <c r="C243" s="351"/>
      <c r="D243" s="600" t="str">
        <f>'refer admin discharge'!D239</f>
        <v>xx</v>
      </c>
      <c r="E243" s="351"/>
      <c r="F243" s="609" t="str">
        <f>'refer admin discharge'!H239</f>
        <v>00/00/0000</v>
      </c>
      <c r="G243" s="351"/>
      <c r="H243" s="610"/>
      <c r="I243" s="351"/>
      <c r="J243" s="611"/>
      <c r="K243" s="351"/>
      <c r="L243" s="610"/>
      <c r="M243" s="351"/>
      <c r="N243" s="612"/>
      <c r="O243" s="351"/>
      <c r="P243" s="610"/>
      <c r="Q243" s="351"/>
      <c r="R243" s="612"/>
      <c r="S243" s="351"/>
      <c r="T243" s="610"/>
      <c r="U243" s="351"/>
      <c r="V243" s="613" t="str">
        <f>'refer admin discharge'!H244</f>
        <v>00/00/0000</v>
      </c>
      <c r="W243" s="351"/>
      <c r="X243" s="607"/>
      <c r="Y243" s="351"/>
      <c r="Z243" s="614"/>
      <c r="AA243" s="351"/>
      <c r="AB243" s="607"/>
      <c r="AC243" s="351"/>
      <c r="AD243" s="606"/>
      <c r="AE243" s="351"/>
      <c r="AF243" s="607"/>
      <c r="AG243" s="351"/>
      <c r="AH243" s="606"/>
      <c r="AI243" s="351"/>
      <c r="AJ243" s="607"/>
      <c r="AK243" s="351"/>
      <c r="AL243" s="608"/>
      <c r="AM243" s="350"/>
      <c r="AN243" s="350"/>
      <c r="AO243" s="350"/>
      <c r="AP243" s="350"/>
      <c r="AQ243" s="350"/>
      <c r="AR243" s="350"/>
      <c r="AS243" s="350"/>
      <c r="AT243" s="350"/>
      <c r="AU243" s="350"/>
      <c r="AV243" s="350"/>
      <c r="AW243" s="350"/>
      <c r="AX243" s="350"/>
      <c r="AY243" s="350"/>
      <c r="AZ243" s="350"/>
      <c r="BA243" s="350"/>
      <c r="BB243" s="351"/>
    </row>
    <row r="244" spans="1:54" ht="15.75" customHeight="1">
      <c r="A244" s="25">
        <f t="shared" si="0"/>
        <v>231</v>
      </c>
      <c r="B244" s="618" t="str">
        <f>'refer admin discharge'!B240</f>
        <v>x</v>
      </c>
      <c r="C244" s="351"/>
      <c r="D244" s="619" t="str">
        <f>'refer admin discharge'!D240</f>
        <v>xx</v>
      </c>
      <c r="E244" s="351"/>
      <c r="F244" s="620" t="str">
        <f>'refer admin discharge'!H240</f>
        <v>00/00/0000</v>
      </c>
      <c r="G244" s="351"/>
      <c r="H244" s="615"/>
      <c r="I244" s="351"/>
      <c r="J244" s="621"/>
      <c r="K244" s="351"/>
      <c r="L244" s="615"/>
      <c r="M244" s="351"/>
      <c r="N244" s="610"/>
      <c r="O244" s="351"/>
      <c r="P244" s="615"/>
      <c r="Q244" s="351"/>
      <c r="R244" s="610"/>
      <c r="S244" s="351"/>
      <c r="T244" s="615"/>
      <c r="U244" s="351"/>
      <c r="V244" s="613" t="str">
        <f>'refer admin discharge'!H245</f>
        <v>00/00/0000</v>
      </c>
      <c r="W244" s="351"/>
      <c r="X244" s="616"/>
      <c r="Y244" s="351"/>
      <c r="Z244" s="617"/>
      <c r="AA244" s="351"/>
      <c r="AB244" s="616"/>
      <c r="AC244" s="351"/>
      <c r="AD244" s="607"/>
      <c r="AE244" s="351"/>
      <c r="AF244" s="616"/>
      <c r="AG244" s="351"/>
      <c r="AH244" s="607"/>
      <c r="AI244" s="351"/>
      <c r="AJ244" s="616"/>
      <c r="AK244" s="351"/>
      <c r="AL244" s="622"/>
      <c r="AM244" s="350"/>
      <c r="AN244" s="350"/>
      <c r="AO244" s="350"/>
      <c r="AP244" s="350"/>
      <c r="AQ244" s="350"/>
      <c r="AR244" s="350"/>
      <c r="AS244" s="350"/>
      <c r="AT244" s="350"/>
      <c r="AU244" s="350"/>
      <c r="AV244" s="350"/>
      <c r="AW244" s="350"/>
      <c r="AX244" s="350"/>
      <c r="AY244" s="350"/>
      <c r="AZ244" s="350"/>
      <c r="BA244" s="350"/>
      <c r="BB244" s="351"/>
    </row>
    <row r="245" spans="1:54" ht="15.75" customHeight="1">
      <c r="A245" s="25">
        <f t="shared" si="0"/>
        <v>232</v>
      </c>
      <c r="B245" s="599" t="str">
        <f>'refer admin discharge'!B241</f>
        <v>x</v>
      </c>
      <c r="C245" s="351"/>
      <c r="D245" s="600" t="str">
        <f>'refer admin discharge'!D241</f>
        <v>xx</v>
      </c>
      <c r="E245" s="351"/>
      <c r="F245" s="609" t="str">
        <f>'refer admin discharge'!H241</f>
        <v>00/00/0000</v>
      </c>
      <c r="G245" s="351"/>
      <c r="H245" s="610"/>
      <c r="I245" s="351"/>
      <c r="J245" s="611"/>
      <c r="K245" s="351"/>
      <c r="L245" s="610"/>
      <c r="M245" s="351"/>
      <c r="N245" s="612"/>
      <c r="O245" s="351"/>
      <c r="P245" s="610"/>
      <c r="Q245" s="351"/>
      <c r="R245" s="612"/>
      <c r="S245" s="351"/>
      <c r="T245" s="610"/>
      <c r="U245" s="351"/>
      <c r="V245" s="613" t="str">
        <f>'refer admin discharge'!H246</f>
        <v>00/00/0000</v>
      </c>
      <c r="W245" s="351"/>
      <c r="X245" s="607"/>
      <c r="Y245" s="351"/>
      <c r="Z245" s="614"/>
      <c r="AA245" s="351"/>
      <c r="AB245" s="607"/>
      <c r="AC245" s="351"/>
      <c r="AD245" s="606"/>
      <c r="AE245" s="351"/>
      <c r="AF245" s="607"/>
      <c r="AG245" s="351"/>
      <c r="AH245" s="606"/>
      <c r="AI245" s="351"/>
      <c r="AJ245" s="607"/>
      <c r="AK245" s="351"/>
      <c r="AL245" s="608"/>
      <c r="AM245" s="350"/>
      <c r="AN245" s="350"/>
      <c r="AO245" s="350"/>
      <c r="AP245" s="350"/>
      <c r="AQ245" s="350"/>
      <c r="AR245" s="350"/>
      <c r="AS245" s="350"/>
      <c r="AT245" s="350"/>
      <c r="AU245" s="350"/>
      <c r="AV245" s="350"/>
      <c r="AW245" s="350"/>
      <c r="AX245" s="350"/>
      <c r="AY245" s="350"/>
      <c r="AZ245" s="350"/>
      <c r="BA245" s="350"/>
      <c r="BB245" s="351"/>
    </row>
    <row r="246" spans="1:54" ht="15.75" customHeight="1">
      <c r="A246" s="25">
        <f t="shared" si="0"/>
        <v>233</v>
      </c>
      <c r="B246" s="618" t="str">
        <f>'refer admin discharge'!B242</f>
        <v>x</v>
      </c>
      <c r="C246" s="351"/>
      <c r="D246" s="619" t="str">
        <f>'refer admin discharge'!D242</f>
        <v>xx</v>
      </c>
      <c r="E246" s="351"/>
      <c r="F246" s="620" t="str">
        <f>'refer admin discharge'!H242</f>
        <v>00/00/0000</v>
      </c>
      <c r="G246" s="351"/>
      <c r="H246" s="615"/>
      <c r="I246" s="351"/>
      <c r="J246" s="621"/>
      <c r="K246" s="351"/>
      <c r="L246" s="615"/>
      <c r="M246" s="351"/>
      <c r="N246" s="610"/>
      <c r="O246" s="351"/>
      <c r="P246" s="615"/>
      <c r="Q246" s="351"/>
      <c r="R246" s="610"/>
      <c r="S246" s="351"/>
      <c r="T246" s="615"/>
      <c r="U246" s="351"/>
      <c r="V246" s="613" t="str">
        <f>'refer admin discharge'!H247</f>
        <v>00/00/0000</v>
      </c>
      <c r="W246" s="351"/>
      <c r="X246" s="616"/>
      <c r="Y246" s="351"/>
      <c r="Z246" s="617"/>
      <c r="AA246" s="351"/>
      <c r="AB246" s="616"/>
      <c r="AC246" s="351"/>
      <c r="AD246" s="607"/>
      <c r="AE246" s="351"/>
      <c r="AF246" s="616"/>
      <c r="AG246" s="351"/>
      <c r="AH246" s="607"/>
      <c r="AI246" s="351"/>
      <c r="AJ246" s="616"/>
      <c r="AK246" s="351"/>
      <c r="AL246" s="622"/>
      <c r="AM246" s="350"/>
      <c r="AN246" s="350"/>
      <c r="AO246" s="350"/>
      <c r="AP246" s="350"/>
      <c r="AQ246" s="350"/>
      <c r="AR246" s="350"/>
      <c r="AS246" s="350"/>
      <c r="AT246" s="350"/>
      <c r="AU246" s="350"/>
      <c r="AV246" s="350"/>
      <c r="AW246" s="350"/>
      <c r="AX246" s="350"/>
      <c r="AY246" s="350"/>
      <c r="AZ246" s="350"/>
      <c r="BA246" s="350"/>
      <c r="BB246" s="351"/>
    </row>
    <row r="247" spans="1:54" ht="15.75" customHeight="1">
      <c r="A247" s="25">
        <f t="shared" si="0"/>
        <v>234</v>
      </c>
      <c r="B247" s="599" t="str">
        <f>'refer admin discharge'!B243</f>
        <v>x</v>
      </c>
      <c r="C247" s="351"/>
      <c r="D247" s="600" t="str">
        <f>'refer admin discharge'!D243</f>
        <v>xx</v>
      </c>
      <c r="E247" s="351"/>
      <c r="F247" s="609" t="str">
        <f>'refer admin discharge'!H243</f>
        <v>00/00/0000</v>
      </c>
      <c r="G247" s="351"/>
      <c r="H247" s="610"/>
      <c r="I247" s="351"/>
      <c r="J247" s="611"/>
      <c r="K247" s="351"/>
      <c r="L247" s="610"/>
      <c r="M247" s="351"/>
      <c r="N247" s="612"/>
      <c r="O247" s="351"/>
      <c r="P247" s="610"/>
      <c r="Q247" s="351"/>
      <c r="R247" s="612"/>
      <c r="S247" s="351"/>
      <c r="T247" s="610"/>
      <c r="U247" s="351"/>
      <c r="V247" s="613" t="str">
        <f>'refer admin discharge'!H248</f>
        <v>00/00/0000</v>
      </c>
      <c r="W247" s="351"/>
      <c r="X247" s="607"/>
      <c r="Y247" s="351"/>
      <c r="Z247" s="614"/>
      <c r="AA247" s="351"/>
      <c r="AB247" s="607"/>
      <c r="AC247" s="351"/>
      <c r="AD247" s="606"/>
      <c r="AE247" s="351"/>
      <c r="AF247" s="607"/>
      <c r="AG247" s="351"/>
      <c r="AH247" s="606"/>
      <c r="AI247" s="351"/>
      <c r="AJ247" s="607"/>
      <c r="AK247" s="351"/>
      <c r="AL247" s="608"/>
      <c r="AM247" s="350"/>
      <c r="AN247" s="350"/>
      <c r="AO247" s="350"/>
      <c r="AP247" s="350"/>
      <c r="AQ247" s="350"/>
      <c r="AR247" s="350"/>
      <c r="AS247" s="350"/>
      <c r="AT247" s="350"/>
      <c r="AU247" s="350"/>
      <c r="AV247" s="350"/>
      <c r="AW247" s="350"/>
      <c r="AX247" s="350"/>
      <c r="AY247" s="350"/>
      <c r="AZ247" s="350"/>
      <c r="BA247" s="350"/>
      <c r="BB247" s="351"/>
    </row>
    <row r="248" spans="1:54" ht="15.75" customHeight="1">
      <c r="A248" s="25">
        <f t="shared" si="0"/>
        <v>235</v>
      </c>
      <c r="B248" s="618" t="str">
        <f>'refer admin discharge'!B244</f>
        <v>x</v>
      </c>
      <c r="C248" s="351"/>
      <c r="D248" s="619" t="str">
        <f>'refer admin discharge'!D244</f>
        <v>xx</v>
      </c>
      <c r="E248" s="351"/>
      <c r="F248" s="620" t="str">
        <f>'refer admin discharge'!H244</f>
        <v>00/00/0000</v>
      </c>
      <c r="G248" s="351"/>
      <c r="H248" s="615"/>
      <c r="I248" s="351"/>
      <c r="J248" s="621"/>
      <c r="K248" s="351"/>
      <c r="L248" s="615"/>
      <c r="M248" s="351"/>
      <c r="N248" s="610"/>
      <c r="O248" s="351"/>
      <c r="P248" s="615"/>
      <c r="Q248" s="351"/>
      <c r="R248" s="610"/>
      <c r="S248" s="351"/>
      <c r="T248" s="615"/>
      <c r="U248" s="351"/>
      <c r="V248" s="613" t="str">
        <f>'refer admin discharge'!H249</f>
        <v>00/00/0000</v>
      </c>
      <c r="W248" s="351"/>
      <c r="X248" s="616"/>
      <c r="Y248" s="351"/>
      <c r="Z248" s="617"/>
      <c r="AA248" s="351"/>
      <c r="AB248" s="616"/>
      <c r="AC248" s="351"/>
      <c r="AD248" s="607"/>
      <c r="AE248" s="351"/>
      <c r="AF248" s="616"/>
      <c r="AG248" s="351"/>
      <c r="AH248" s="607"/>
      <c r="AI248" s="351"/>
      <c r="AJ248" s="616"/>
      <c r="AK248" s="351"/>
      <c r="AL248" s="622"/>
      <c r="AM248" s="350"/>
      <c r="AN248" s="350"/>
      <c r="AO248" s="350"/>
      <c r="AP248" s="350"/>
      <c r="AQ248" s="350"/>
      <c r="AR248" s="350"/>
      <c r="AS248" s="350"/>
      <c r="AT248" s="350"/>
      <c r="AU248" s="350"/>
      <c r="AV248" s="350"/>
      <c r="AW248" s="350"/>
      <c r="AX248" s="350"/>
      <c r="AY248" s="350"/>
      <c r="AZ248" s="350"/>
      <c r="BA248" s="350"/>
      <c r="BB248" s="351"/>
    </row>
    <row r="249" spans="1:54" ht="15.75" customHeight="1">
      <c r="A249" s="25">
        <f t="shared" si="0"/>
        <v>236</v>
      </c>
      <c r="B249" s="599" t="str">
        <f>'refer admin discharge'!B245</f>
        <v>x</v>
      </c>
      <c r="C249" s="351"/>
      <c r="D249" s="600" t="str">
        <f>'refer admin discharge'!D245</f>
        <v>xx</v>
      </c>
      <c r="E249" s="351"/>
      <c r="F249" s="609" t="str">
        <f>'refer admin discharge'!H245</f>
        <v>00/00/0000</v>
      </c>
      <c r="G249" s="351"/>
      <c r="H249" s="610"/>
      <c r="I249" s="351"/>
      <c r="J249" s="611"/>
      <c r="K249" s="351"/>
      <c r="L249" s="610"/>
      <c r="M249" s="351"/>
      <c r="N249" s="612"/>
      <c r="O249" s="351"/>
      <c r="P249" s="610"/>
      <c r="Q249" s="351"/>
      <c r="R249" s="612"/>
      <c r="S249" s="351"/>
      <c r="T249" s="610"/>
      <c r="U249" s="351"/>
      <c r="V249" s="613" t="str">
        <f>'refer admin discharge'!H250</f>
        <v>00/00/0000</v>
      </c>
      <c r="W249" s="351"/>
      <c r="X249" s="607"/>
      <c r="Y249" s="351"/>
      <c r="Z249" s="614"/>
      <c r="AA249" s="351"/>
      <c r="AB249" s="607"/>
      <c r="AC249" s="351"/>
      <c r="AD249" s="606"/>
      <c r="AE249" s="351"/>
      <c r="AF249" s="607"/>
      <c r="AG249" s="351"/>
      <c r="AH249" s="606"/>
      <c r="AI249" s="351"/>
      <c r="AJ249" s="607"/>
      <c r="AK249" s="351"/>
      <c r="AL249" s="608"/>
      <c r="AM249" s="350"/>
      <c r="AN249" s="350"/>
      <c r="AO249" s="350"/>
      <c r="AP249" s="350"/>
      <c r="AQ249" s="350"/>
      <c r="AR249" s="350"/>
      <c r="AS249" s="350"/>
      <c r="AT249" s="350"/>
      <c r="AU249" s="350"/>
      <c r="AV249" s="350"/>
      <c r="AW249" s="350"/>
      <c r="AX249" s="350"/>
      <c r="AY249" s="350"/>
      <c r="AZ249" s="350"/>
      <c r="BA249" s="350"/>
      <c r="BB249" s="351"/>
    </row>
    <row r="250" spans="1:54" ht="15.75" customHeight="1">
      <c r="A250" s="25">
        <f t="shared" si="0"/>
        <v>237</v>
      </c>
      <c r="B250" s="618" t="str">
        <f>'refer admin discharge'!B246</f>
        <v>x</v>
      </c>
      <c r="C250" s="351"/>
      <c r="D250" s="619" t="str">
        <f>'refer admin discharge'!D246</f>
        <v>xx</v>
      </c>
      <c r="E250" s="351"/>
      <c r="F250" s="620" t="str">
        <f>'refer admin discharge'!H246</f>
        <v>00/00/0000</v>
      </c>
      <c r="G250" s="351"/>
      <c r="H250" s="615"/>
      <c r="I250" s="351"/>
      <c r="J250" s="621"/>
      <c r="K250" s="351"/>
      <c r="L250" s="615"/>
      <c r="M250" s="351"/>
      <c r="N250" s="610"/>
      <c r="O250" s="351"/>
      <c r="P250" s="615"/>
      <c r="Q250" s="351"/>
      <c r="R250" s="610"/>
      <c r="S250" s="351"/>
      <c r="T250" s="615"/>
      <c r="U250" s="351"/>
      <c r="V250" s="613" t="str">
        <f>'refer admin discharge'!H251</f>
        <v>00/00/0000</v>
      </c>
      <c r="W250" s="351"/>
      <c r="X250" s="616"/>
      <c r="Y250" s="351"/>
      <c r="Z250" s="617"/>
      <c r="AA250" s="351"/>
      <c r="AB250" s="616"/>
      <c r="AC250" s="351"/>
      <c r="AD250" s="607"/>
      <c r="AE250" s="351"/>
      <c r="AF250" s="616"/>
      <c r="AG250" s="351"/>
      <c r="AH250" s="607"/>
      <c r="AI250" s="351"/>
      <c r="AJ250" s="616"/>
      <c r="AK250" s="351"/>
      <c r="AL250" s="622"/>
      <c r="AM250" s="350"/>
      <c r="AN250" s="350"/>
      <c r="AO250" s="350"/>
      <c r="AP250" s="350"/>
      <c r="AQ250" s="350"/>
      <c r="AR250" s="350"/>
      <c r="AS250" s="350"/>
      <c r="AT250" s="350"/>
      <c r="AU250" s="350"/>
      <c r="AV250" s="350"/>
      <c r="AW250" s="350"/>
      <c r="AX250" s="350"/>
      <c r="AY250" s="350"/>
      <c r="AZ250" s="350"/>
      <c r="BA250" s="350"/>
      <c r="BB250" s="351"/>
    </row>
    <row r="251" spans="1:54" ht="15.75" customHeight="1">
      <c r="A251" s="25">
        <f t="shared" si="0"/>
        <v>238</v>
      </c>
      <c r="B251" s="599" t="str">
        <f>'refer admin discharge'!B247</f>
        <v>x</v>
      </c>
      <c r="C251" s="351"/>
      <c r="D251" s="600" t="str">
        <f>'refer admin discharge'!D247</f>
        <v>xx</v>
      </c>
      <c r="E251" s="351"/>
      <c r="F251" s="609" t="str">
        <f>'refer admin discharge'!H247</f>
        <v>00/00/0000</v>
      </c>
      <c r="G251" s="351"/>
      <c r="H251" s="610"/>
      <c r="I251" s="351"/>
      <c r="J251" s="611"/>
      <c r="K251" s="351"/>
      <c r="L251" s="610"/>
      <c r="M251" s="351"/>
      <c r="N251" s="612"/>
      <c r="O251" s="351"/>
      <c r="P251" s="610"/>
      <c r="Q251" s="351"/>
      <c r="R251" s="612"/>
      <c r="S251" s="351"/>
      <c r="T251" s="610"/>
      <c r="U251" s="351"/>
      <c r="V251" s="613" t="str">
        <f>'refer admin discharge'!H252</f>
        <v>00/00/0000</v>
      </c>
      <c r="W251" s="351"/>
      <c r="X251" s="607"/>
      <c r="Y251" s="351"/>
      <c r="Z251" s="614"/>
      <c r="AA251" s="351"/>
      <c r="AB251" s="607"/>
      <c r="AC251" s="351"/>
      <c r="AD251" s="606"/>
      <c r="AE251" s="351"/>
      <c r="AF251" s="607"/>
      <c r="AG251" s="351"/>
      <c r="AH251" s="606"/>
      <c r="AI251" s="351"/>
      <c r="AJ251" s="607"/>
      <c r="AK251" s="351"/>
      <c r="AL251" s="608"/>
      <c r="AM251" s="350"/>
      <c r="AN251" s="350"/>
      <c r="AO251" s="350"/>
      <c r="AP251" s="350"/>
      <c r="AQ251" s="350"/>
      <c r="AR251" s="350"/>
      <c r="AS251" s="350"/>
      <c r="AT251" s="350"/>
      <c r="AU251" s="350"/>
      <c r="AV251" s="350"/>
      <c r="AW251" s="350"/>
      <c r="AX251" s="350"/>
      <c r="AY251" s="350"/>
      <c r="AZ251" s="350"/>
      <c r="BA251" s="350"/>
      <c r="BB251" s="351"/>
    </row>
    <row r="252" spans="1:54" ht="15.75" customHeight="1">
      <c r="A252" s="25">
        <f t="shared" si="0"/>
        <v>239</v>
      </c>
      <c r="B252" s="618" t="str">
        <f>'refer admin discharge'!B248</f>
        <v>x</v>
      </c>
      <c r="C252" s="351"/>
      <c r="D252" s="619" t="str">
        <f>'refer admin discharge'!D248</f>
        <v>xx</v>
      </c>
      <c r="E252" s="351"/>
      <c r="F252" s="620" t="str">
        <f>'refer admin discharge'!H248</f>
        <v>00/00/0000</v>
      </c>
      <c r="G252" s="351"/>
      <c r="H252" s="615"/>
      <c r="I252" s="351"/>
      <c r="J252" s="621"/>
      <c r="K252" s="351"/>
      <c r="L252" s="615"/>
      <c r="M252" s="351"/>
      <c r="N252" s="610"/>
      <c r="O252" s="351"/>
      <c r="P252" s="615"/>
      <c r="Q252" s="351"/>
      <c r="R252" s="610"/>
      <c r="S252" s="351"/>
      <c r="T252" s="615"/>
      <c r="U252" s="351"/>
      <c r="V252" s="613" t="str">
        <f>'refer admin discharge'!H253</f>
        <v>00/00/0000</v>
      </c>
      <c r="W252" s="351"/>
      <c r="X252" s="616"/>
      <c r="Y252" s="351"/>
      <c r="Z252" s="617"/>
      <c r="AA252" s="351"/>
      <c r="AB252" s="616"/>
      <c r="AC252" s="351"/>
      <c r="AD252" s="607"/>
      <c r="AE252" s="351"/>
      <c r="AF252" s="616"/>
      <c r="AG252" s="351"/>
      <c r="AH252" s="607"/>
      <c r="AI252" s="351"/>
      <c r="AJ252" s="616"/>
      <c r="AK252" s="351"/>
      <c r="AL252" s="622"/>
      <c r="AM252" s="350"/>
      <c r="AN252" s="350"/>
      <c r="AO252" s="350"/>
      <c r="AP252" s="350"/>
      <c r="AQ252" s="350"/>
      <c r="AR252" s="350"/>
      <c r="AS252" s="350"/>
      <c r="AT252" s="350"/>
      <c r="AU252" s="350"/>
      <c r="AV252" s="350"/>
      <c r="AW252" s="350"/>
      <c r="AX252" s="350"/>
      <c r="AY252" s="350"/>
      <c r="AZ252" s="350"/>
      <c r="BA252" s="350"/>
      <c r="BB252" s="351"/>
    </row>
    <row r="253" spans="1:54" ht="15.75" customHeight="1">
      <c r="A253" s="25">
        <f t="shared" si="0"/>
        <v>240</v>
      </c>
      <c r="B253" s="599" t="str">
        <f>'refer admin discharge'!B249</f>
        <v>x</v>
      </c>
      <c r="C253" s="351"/>
      <c r="D253" s="600" t="str">
        <f>'refer admin discharge'!D249</f>
        <v>xx</v>
      </c>
      <c r="E253" s="351"/>
      <c r="F253" s="609" t="str">
        <f>'refer admin discharge'!H249</f>
        <v>00/00/0000</v>
      </c>
      <c r="G253" s="351"/>
      <c r="H253" s="610"/>
      <c r="I253" s="351"/>
      <c r="J253" s="611"/>
      <c r="K253" s="351"/>
      <c r="L253" s="610"/>
      <c r="M253" s="351"/>
      <c r="N253" s="612"/>
      <c r="O253" s="351"/>
      <c r="P253" s="610"/>
      <c r="Q253" s="351"/>
      <c r="R253" s="612"/>
      <c r="S253" s="351"/>
      <c r="T253" s="610"/>
      <c r="U253" s="351"/>
      <c r="V253" s="613" t="str">
        <f>'refer admin discharge'!H254</f>
        <v>00/00/0000</v>
      </c>
      <c r="W253" s="351"/>
      <c r="X253" s="607"/>
      <c r="Y253" s="351"/>
      <c r="Z253" s="614"/>
      <c r="AA253" s="351"/>
      <c r="AB253" s="607"/>
      <c r="AC253" s="351"/>
      <c r="AD253" s="606"/>
      <c r="AE253" s="351"/>
      <c r="AF253" s="607"/>
      <c r="AG253" s="351"/>
      <c r="AH253" s="606"/>
      <c r="AI253" s="351"/>
      <c r="AJ253" s="607"/>
      <c r="AK253" s="351"/>
      <c r="AL253" s="608"/>
      <c r="AM253" s="350"/>
      <c r="AN253" s="350"/>
      <c r="AO253" s="350"/>
      <c r="AP253" s="350"/>
      <c r="AQ253" s="350"/>
      <c r="AR253" s="350"/>
      <c r="AS253" s="350"/>
      <c r="AT253" s="350"/>
      <c r="AU253" s="350"/>
      <c r="AV253" s="350"/>
      <c r="AW253" s="350"/>
      <c r="AX253" s="350"/>
      <c r="AY253" s="350"/>
      <c r="AZ253" s="350"/>
      <c r="BA253" s="350"/>
      <c r="BB253" s="351"/>
    </row>
    <row r="254" spans="1:54" ht="15.75" customHeight="1">
      <c r="A254" s="25">
        <f t="shared" si="0"/>
        <v>241</v>
      </c>
      <c r="B254" s="618" t="str">
        <f>'refer admin discharge'!B250</f>
        <v>x</v>
      </c>
      <c r="C254" s="351"/>
      <c r="D254" s="619" t="str">
        <f>'refer admin discharge'!D250</f>
        <v>xx</v>
      </c>
      <c r="E254" s="351"/>
      <c r="F254" s="620" t="str">
        <f>'refer admin discharge'!H250</f>
        <v>00/00/0000</v>
      </c>
      <c r="G254" s="351"/>
      <c r="H254" s="615"/>
      <c r="I254" s="351"/>
      <c r="J254" s="621"/>
      <c r="K254" s="351"/>
      <c r="L254" s="615"/>
      <c r="M254" s="351"/>
      <c r="N254" s="610"/>
      <c r="O254" s="351"/>
      <c r="P254" s="615"/>
      <c r="Q254" s="351"/>
      <c r="R254" s="610"/>
      <c r="S254" s="351"/>
      <c r="T254" s="615"/>
      <c r="U254" s="351"/>
      <c r="V254" s="613" t="str">
        <f>'refer admin discharge'!H255</f>
        <v>00/00/0000</v>
      </c>
      <c r="W254" s="351"/>
      <c r="X254" s="616"/>
      <c r="Y254" s="351"/>
      <c r="Z254" s="617"/>
      <c r="AA254" s="351"/>
      <c r="AB254" s="616"/>
      <c r="AC254" s="351"/>
      <c r="AD254" s="607"/>
      <c r="AE254" s="351"/>
      <c r="AF254" s="616"/>
      <c r="AG254" s="351"/>
      <c r="AH254" s="607"/>
      <c r="AI254" s="351"/>
      <c r="AJ254" s="616"/>
      <c r="AK254" s="351"/>
      <c r="AL254" s="622"/>
      <c r="AM254" s="350"/>
      <c r="AN254" s="350"/>
      <c r="AO254" s="350"/>
      <c r="AP254" s="350"/>
      <c r="AQ254" s="350"/>
      <c r="AR254" s="350"/>
      <c r="AS254" s="350"/>
      <c r="AT254" s="350"/>
      <c r="AU254" s="350"/>
      <c r="AV254" s="350"/>
      <c r="AW254" s="350"/>
      <c r="AX254" s="350"/>
      <c r="AY254" s="350"/>
      <c r="AZ254" s="350"/>
      <c r="BA254" s="350"/>
      <c r="BB254" s="351"/>
    </row>
    <row r="255" spans="1:54" ht="15.75" customHeight="1">
      <c r="A255" s="25">
        <f t="shared" si="0"/>
        <v>242</v>
      </c>
      <c r="B255" s="599" t="str">
        <f>'refer admin discharge'!B251</f>
        <v>x</v>
      </c>
      <c r="C255" s="351"/>
      <c r="D255" s="600" t="str">
        <f>'refer admin discharge'!D251</f>
        <v>xx</v>
      </c>
      <c r="E255" s="351"/>
      <c r="F255" s="609" t="str">
        <f>'refer admin discharge'!H251</f>
        <v>00/00/0000</v>
      </c>
      <c r="G255" s="351"/>
      <c r="H255" s="610"/>
      <c r="I255" s="351"/>
      <c r="J255" s="611"/>
      <c r="K255" s="351"/>
      <c r="L255" s="610"/>
      <c r="M255" s="351"/>
      <c r="N255" s="612"/>
      <c r="O255" s="351"/>
      <c r="P255" s="610"/>
      <c r="Q255" s="351"/>
      <c r="R255" s="612"/>
      <c r="S255" s="351"/>
      <c r="T255" s="610"/>
      <c r="U255" s="351"/>
      <c r="V255" s="613" t="str">
        <f>'refer admin discharge'!H256</f>
        <v>00/00/0000</v>
      </c>
      <c r="W255" s="351"/>
      <c r="X255" s="607"/>
      <c r="Y255" s="351"/>
      <c r="Z255" s="614"/>
      <c r="AA255" s="351"/>
      <c r="AB255" s="607"/>
      <c r="AC255" s="351"/>
      <c r="AD255" s="606"/>
      <c r="AE255" s="351"/>
      <c r="AF255" s="607"/>
      <c r="AG255" s="351"/>
      <c r="AH255" s="606"/>
      <c r="AI255" s="351"/>
      <c r="AJ255" s="607"/>
      <c r="AK255" s="351"/>
      <c r="AL255" s="608"/>
      <c r="AM255" s="350"/>
      <c r="AN255" s="350"/>
      <c r="AO255" s="350"/>
      <c r="AP255" s="350"/>
      <c r="AQ255" s="350"/>
      <c r="AR255" s="350"/>
      <c r="AS255" s="350"/>
      <c r="AT255" s="350"/>
      <c r="AU255" s="350"/>
      <c r="AV255" s="350"/>
      <c r="AW255" s="350"/>
      <c r="AX255" s="350"/>
      <c r="AY255" s="350"/>
      <c r="AZ255" s="350"/>
      <c r="BA255" s="350"/>
      <c r="BB255" s="351"/>
    </row>
    <row r="256" spans="1:54" ht="15.75" customHeight="1">
      <c r="A256" s="25">
        <f t="shared" si="0"/>
        <v>243</v>
      </c>
      <c r="B256" s="618" t="str">
        <f>'refer admin discharge'!B252</f>
        <v>x</v>
      </c>
      <c r="C256" s="351"/>
      <c r="D256" s="619" t="str">
        <f>'refer admin discharge'!D252</f>
        <v>xx</v>
      </c>
      <c r="E256" s="351"/>
      <c r="F256" s="620" t="str">
        <f>'refer admin discharge'!H252</f>
        <v>00/00/0000</v>
      </c>
      <c r="G256" s="351"/>
      <c r="H256" s="615"/>
      <c r="I256" s="351"/>
      <c r="J256" s="621"/>
      <c r="K256" s="351"/>
      <c r="L256" s="615"/>
      <c r="M256" s="351"/>
      <c r="N256" s="610"/>
      <c r="O256" s="351"/>
      <c r="P256" s="615"/>
      <c r="Q256" s="351"/>
      <c r="R256" s="610"/>
      <c r="S256" s="351"/>
      <c r="T256" s="615"/>
      <c r="U256" s="351"/>
      <c r="V256" s="613" t="str">
        <f>'refer admin discharge'!H257</f>
        <v>00/00/0000</v>
      </c>
      <c r="W256" s="351"/>
      <c r="X256" s="616"/>
      <c r="Y256" s="351"/>
      <c r="Z256" s="617"/>
      <c r="AA256" s="351"/>
      <c r="AB256" s="616"/>
      <c r="AC256" s="351"/>
      <c r="AD256" s="607"/>
      <c r="AE256" s="351"/>
      <c r="AF256" s="616"/>
      <c r="AG256" s="351"/>
      <c r="AH256" s="607"/>
      <c r="AI256" s="351"/>
      <c r="AJ256" s="616"/>
      <c r="AK256" s="351"/>
      <c r="AL256" s="622"/>
      <c r="AM256" s="350"/>
      <c r="AN256" s="350"/>
      <c r="AO256" s="350"/>
      <c r="AP256" s="350"/>
      <c r="AQ256" s="350"/>
      <c r="AR256" s="350"/>
      <c r="AS256" s="350"/>
      <c r="AT256" s="350"/>
      <c r="AU256" s="350"/>
      <c r="AV256" s="350"/>
      <c r="AW256" s="350"/>
      <c r="AX256" s="350"/>
      <c r="AY256" s="350"/>
      <c r="AZ256" s="350"/>
      <c r="BA256" s="350"/>
      <c r="BB256" s="351"/>
    </row>
    <row r="257" spans="1:54" ht="15.75" customHeight="1">
      <c r="A257" s="25">
        <f t="shared" si="0"/>
        <v>244</v>
      </c>
      <c r="B257" s="599" t="str">
        <f>'refer admin discharge'!B253</f>
        <v>x</v>
      </c>
      <c r="C257" s="351"/>
      <c r="D257" s="600" t="str">
        <f>'refer admin discharge'!D253</f>
        <v>xx</v>
      </c>
      <c r="E257" s="351"/>
      <c r="F257" s="609" t="str">
        <f>'refer admin discharge'!H253</f>
        <v>00/00/0000</v>
      </c>
      <c r="G257" s="351"/>
      <c r="H257" s="610"/>
      <c r="I257" s="351"/>
      <c r="J257" s="611"/>
      <c r="K257" s="351"/>
      <c r="L257" s="610"/>
      <c r="M257" s="351"/>
      <c r="N257" s="612"/>
      <c r="O257" s="351"/>
      <c r="P257" s="610"/>
      <c r="Q257" s="351"/>
      <c r="R257" s="612"/>
      <c r="S257" s="351"/>
      <c r="T257" s="610"/>
      <c r="U257" s="351"/>
      <c r="V257" s="613" t="str">
        <f>'refer admin discharge'!H258</f>
        <v>00/00/0000</v>
      </c>
      <c r="W257" s="351"/>
      <c r="X257" s="607"/>
      <c r="Y257" s="351"/>
      <c r="Z257" s="614"/>
      <c r="AA257" s="351"/>
      <c r="AB257" s="607"/>
      <c r="AC257" s="351"/>
      <c r="AD257" s="606"/>
      <c r="AE257" s="351"/>
      <c r="AF257" s="607"/>
      <c r="AG257" s="351"/>
      <c r="AH257" s="606"/>
      <c r="AI257" s="351"/>
      <c r="AJ257" s="607"/>
      <c r="AK257" s="351"/>
      <c r="AL257" s="608"/>
      <c r="AM257" s="350"/>
      <c r="AN257" s="350"/>
      <c r="AO257" s="350"/>
      <c r="AP257" s="350"/>
      <c r="AQ257" s="350"/>
      <c r="AR257" s="350"/>
      <c r="AS257" s="350"/>
      <c r="AT257" s="350"/>
      <c r="AU257" s="350"/>
      <c r="AV257" s="350"/>
      <c r="AW257" s="350"/>
      <c r="AX257" s="350"/>
      <c r="AY257" s="350"/>
      <c r="AZ257" s="350"/>
      <c r="BA257" s="350"/>
      <c r="BB257" s="351"/>
    </row>
    <row r="258" spans="1:54" ht="15.75" customHeight="1">
      <c r="A258" s="25">
        <f t="shared" si="0"/>
        <v>245</v>
      </c>
      <c r="B258" s="618" t="str">
        <f>'refer admin discharge'!B254</f>
        <v>x</v>
      </c>
      <c r="C258" s="351"/>
      <c r="D258" s="619" t="str">
        <f>'refer admin discharge'!D254</f>
        <v>xx</v>
      </c>
      <c r="E258" s="351"/>
      <c r="F258" s="620" t="str">
        <f>'refer admin discharge'!H254</f>
        <v>00/00/0000</v>
      </c>
      <c r="G258" s="351"/>
      <c r="H258" s="615"/>
      <c r="I258" s="351"/>
      <c r="J258" s="621"/>
      <c r="K258" s="351"/>
      <c r="L258" s="615"/>
      <c r="M258" s="351"/>
      <c r="N258" s="610"/>
      <c r="O258" s="351"/>
      <c r="P258" s="615"/>
      <c r="Q258" s="351"/>
      <c r="R258" s="610"/>
      <c r="S258" s="351"/>
      <c r="T258" s="615"/>
      <c r="U258" s="351"/>
      <c r="V258" s="613" t="str">
        <f>'refer admin discharge'!H259</f>
        <v>00/00/0000</v>
      </c>
      <c r="W258" s="351"/>
      <c r="X258" s="616"/>
      <c r="Y258" s="351"/>
      <c r="Z258" s="617"/>
      <c r="AA258" s="351"/>
      <c r="AB258" s="616"/>
      <c r="AC258" s="351"/>
      <c r="AD258" s="607"/>
      <c r="AE258" s="351"/>
      <c r="AF258" s="616"/>
      <c r="AG258" s="351"/>
      <c r="AH258" s="607"/>
      <c r="AI258" s="351"/>
      <c r="AJ258" s="616"/>
      <c r="AK258" s="351"/>
      <c r="AL258" s="622"/>
      <c r="AM258" s="350"/>
      <c r="AN258" s="350"/>
      <c r="AO258" s="350"/>
      <c r="AP258" s="350"/>
      <c r="AQ258" s="350"/>
      <c r="AR258" s="350"/>
      <c r="AS258" s="350"/>
      <c r="AT258" s="350"/>
      <c r="AU258" s="350"/>
      <c r="AV258" s="350"/>
      <c r="AW258" s="350"/>
      <c r="AX258" s="350"/>
      <c r="AY258" s="350"/>
      <c r="AZ258" s="350"/>
      <c r="BA258" s="350"/>
      <c r="BB258" s="351"/>
    </row>
    <row r="259" spans="1:54" ht="15.75" customHeight="1">
      <c r="A259" s="25">
        <f t="shared" si="0"/>
        <v>246</v>
      </c>
      <c r="B259" s="599" t="str">
        <f>'refer admin discharge'!B255</f>
        <v>x</v>
      </c>
      <c r="C259" s="351"/>
      <c r="D259" s="600" t="str">
        <f>'refer admin discharge'!D255</f>
        <v>xx</v>
      </c>
      <c r="E259" s="351"/>
      <c r="F259" s="609" t="str">
        <f>'refer admin discharge'!H255</f>
        <v>00/00/0000</v>
      </c>
      <c r="G259" s="351"/>
      <c r="H259" s="610"/>
      <c r="I259" s="351"/>
      <c r="J259" s="611"/>
      <c r="K259" s="351"/>
      <c r="L259" s="610"/>
      <c r="M259" s="351"/>
      <c r="N259" s="612"/>
      <c r="O259" s="351"/>
      <c r="P259" s="610"/>
      <c r="Q259" s="351"/>
      <c r="R259" s="612"/>
      <c r="S259" s="351"/>
      <c r="T259" s="610"/>
      <c r="U259" s="351"/>
      <c r="V259" s="613" t="str">
        <f>'refer admin discharge'!H260</f>
        <v>00/00/0000</v>
      </c>
      <c r="W259" s="351"/>
      <c r="X259" s="607"/>
      <c r="Y259" s="351"/>
      <c r="Z259" s="614"/>
      <c r="AA259" s="351"/>
      <c r="AB259" s="607"/>
      <c r="AC259" s="351"/>
      <c r="AD259" s="606"/>
      <c r="AE259" s="351"/>
      <c r="AF259" s="607"/>
      <c r="AG259" s="351"/>
      <c r="AH259" s="606"/>
      <c r="AI259" s="351"/>
      <c r="AJ259" s="607"/>
      <c r="AK259" s="351"/>
      <c r="AL259" s="608"/>
      <c r="AM259" s="350"/>
      <c r="AN259" s="350"/>
      <c r="AO259" s="350"/>
      <c r="AP259" s="350"/>
      <c r="AQ259" s="350"/>
      <c r="AR259" s="350"/>
      <c r="AS259" s="350"/>
      <c r="AT259" s="350"/>
      <c r="AU259" s="350"/>
      <c r="AV259" s="350"/>
      <c r="AW259" s="350"/>
      <c r="AX259" s="350"/>
      <c r="AY259" s="350"/>
      <c r="AZ259" s="350"/>
      <c r="BA259" s="350"/>
      <c r="BB259" s="351"/>
    </row>
    <row r="260" spans="1:54" ht="15.75" customHeight="1">
      <c r="A260" s="25">
        <f t="shared" si="0"/>
        <v>247</v>
      </c>
      <c r="B260" s="618" t="str">
        <f>'refer admin discharge'!B256</f>
        <v>x</v>
      </c>
      <c r="C260" s="351"/>
      <c r="D260" s="619" t="str">
        <f>'refer admin discharge'!D256</f>
        <v>xx</v>
      </c>
      <c r="E260" s="351"/>
      <c r="F260" s="620" t="str">
        <f>'refer admin discharge'!H256</f>
        <v>00/00/0000</v>
      </c>
      <c r="G260" s="351"/>
      <c r="H260" s="615"/>
      <c r="I260" s="351"/>
      <c r="J260" s="621"/>
      <c r="K260" s="351"/>
      <c r="L260" s="615"/>
      <c r="M260" s="351"/>
      <c r="N260" s="610"/>
      <c r="O260" s="351"/>
      <c r="P260" s="615"/>
      <c r="Q260" s="351"/>
      <c r="R260" s="610"/>
      <c r="S260" s="351"/>
      <c r="T260" s="615"/>
      <c r="U260" s="351"/>
      <c r="V260" s="613" t="str">
        <f>'refer admin discharge'!H261</f>
        <v>00/00/0000</v>
      </c>
      <c r="W260" s="351"/>
      <c r="X260" s="616"/>
      <c r="Y260" s="351"/>
      <c r="Z260" s="617"/>
      <c r="AA260" s="351"/>
      <c r="AB260" s="616"/>
      <c r="AC260" s="351"/>
      <c r="AD260" s="607"/>
      <c r="AE260" s="351"/>
      <c r="AF260" s="616"/>
      <c r="AG260" s="351"/>
      <c r="AH260" s="607"/>
      <c r="AI260" s="351"/>
      <c r="AJ260" s="616"/>
      <c r="AK260" s="351"/>
      <c r="AL260" s="622"/>
      <c r="AM260" s="350"/>
      <c r="AN260" s="350"/>
      <c r="AO260" s="350"/>
      <c r="AP260" s="350"/>
      <c r="AQ260" s="350"/>
      <c r="AR260" s="350"/>
      <c r="AS260" s="350"/>
      <c r="AT260" s="350"/>
      <c r="AU260" s="350"/>
      <c r="AV260" s="350"/>
      <c r="AW260" s="350"/>
      <c r="AX260" s="350"/>
      <c r="AY260" s="350"/>
      <c r="AZ260" s="350"/>
      <c r="BA260" s="350"/>
      <c r="BB260" s="351"/>
    </row>
    <row r="261" spans="1:54" ht="15.75" customHeight="1">
      <c r="A261" s="25">
        <f t="shared" si="0"/>
        <v>248</v>
      </c>
      <c r="B261" s="599" t="str">
        <f>'refer admin discharge'!B257</f>
        <v>x</v>
      </c>
      <c r="C261" s="351"/>
      <c r="D261" s="600" t="str">
        <f>'refer admin discharge'!D257</f>
        <v>xx</v>
      </c>
      <c r="E261" s="351"/>
      <c r="F261" s="609" t="str">
        <f>'refer admin discharge'!H257</f>
        <v>00/00/0000</v>
      </c>
      <c r="G261" s="351"/>
      <c r="H261" s="610"/>
      <c r="I261" s="351"/>
      <c r="J261" s="611"/>
      <c r="K261" s="351"/>
      <c r="L261" s="610"/>
      <c r="M261" s="351"/>
      <c r="N261" s="612"/>
      <c r="O261" s="351"/>
      <c r="P261" s="610"/>
      <c r="Q261" s="351"/>
      <c r="R261" s="612"/>
      <c r="S261" s="351"/>
      <c r="T261" s="610"/>
      <c r="U261" s="351"/>
      <c r="V261" s="613" t="str">
        <f>'refer admin discharge'!H262</f>
        <v>00/00/0000</v>
      </c>
      <c r="W261" s="351"/>
      <c r="X261" s="607"/>
      <c r="Y261" s="351"/>
      <c r="Z261" s="614"/>
      <c r="AA261" s="351"/>
      <c r="AB261" s="607"/>
      <c r="AC261" s="351"/>
      <c r="AD261" s="606"/>
      <c r="AE261" s="351"/>
      <c r="AF261" s="607"/>
      <c r="AG261" s="351"/>
      <c r="AH261" s="606"/>
      <c r="AI261" s="351"/>
      <c r="AJ261" s="607"/>
      <c r="AK261" s="351"/>
      <c r="AL261" s="608"/>
      <c r="AM261" s="350"/>
      <c r="AN261" s="350"/>
      <c r="AO261" s="350"/>
      <c r="AP261" s="350"/>
      <c r="AQ261" s="350"/>
      <c r="AR261" s="350"/>
      <c r="AS261" s="350"/>
      <c r="AT261" s="350"/>
      <c r="AU261" s="350"/>
      <c r="AV261" s="350"/>
      <c r="AW261" s="350"/>
      <c r="AX261" s="350"/>
      <c r="AY261" s="350"/>
      <c r="AZ261" s="350"/>
      <c r="BA261" s="350"/>
      <c r="BB261" s="351"/>
    </row>
    <row r="262" spans="1:54" ht="15.75" customHeight="1">
      <c r="A262" s="25">
        <f t="shared" si="0"/>
        <v>249</v>
      </c>
      <c r="B262" s="618" t="str">
        <f>'refer admin discharge'!B258</f>
        <v>x</v>
      </c>
      <c r="C262" s="351"/>
      <c r="D262" s="619" t="str">
        <f>'refer admin discharge'!D258</f>
        <v>xx</v>
      </c>
      <c r="E262" s="351"/>
      <c r="F262" s="620" t="str">
        <f>'refer admin discharge'!H258</f>
        <v>00/00/0000</v>
      </c>
      <c r="G262" s="351"/>
      <c r="H262" s="615"/>
      <c r="I262" s="351"/>
      <c r="J262" s="621"/>
      <c r="K262" s="351"/>
      <c r="L262" s="615"/>
      <c r="M262" s="351"/>
      <c r="N262" s="610"/>
      <c r="O262" s="351"/>
      <c r="P262" s="615"/>
      <c r="Q262" s="351"/>
      <c r="R262" s="610"/>
      <c r="S262" s="351"/>
      <c r="T262" s="615"/>
      <c r="U262" s="351"/>
      <c r="V262" s="613" t="str">
        <f>'refer admin discharge'!H263</f>
        <v>00/00/0000</v>
      </c>
      <c r="W262" s="351"/>
      <c r="X262" s="616"/>
      <c r="Y262" s="351"/>
      <c r="Z262" s="617"/>
      <c r="AA262" s="351"/>
      <c r="AB262" s="616"/>
      <c r="AC262" s="351"/>
      <c r="AD262" s="607"/>
      <c r="AE262" s="351"/>
      <c r="AF262" s="616"/>
      <c r="AG262" s="351"/>
      <c r="AH262" s="607"/>
      <c r="AI262" s="351"/>
      <c r="AJ262" s="616"/>
      <c r="AK262" s="351"/>
      <c r="AL262" s="622"/>
      <c r="AM262" s="350"/>
      <c r="AN262" s="350"/>
      <c r="AO262" s="350"/>
      <c r="AP262" s="350"/>
      <c r="AQ262" s="350"/>
      <c r="AR262" s="350"/>
      <c r="AS262" s="350"/>
      <c r="AT262" s="350"/>
      <c r="AU262" s="350"/>
      <c r="AV262" s="350"/>
      <c r="AW262" s="350"/>
      <c r="AX262" s="350"/>
      <c r="AY262" s="350"/>
      <c r="AZ262" s="350"/>
      <c r="BA262" s="350"/>
      <c r="BB262" s="351"/>
    </row>
    <row r="263" spans="1:54" ht="15.75" customHeight="1">
      <c r="A263" s="25">
        <f t="shared" si="0"/>
        <v>250</v>
      </c>
      <c r="B263" s="599" t="str">
        <f>'refer admin discharge'!B259</f>
        <v>x</v>
      </c>
      <c r="C263" s="351"/>
      <c r="D263" s="600" t="str">
        <f>'refer admin discharge'!D259</f>
        <v>xx</v>
      </c>
      <c r="E263" s="351"/>
      <c r="F263" s="609" t="str">
        <f>'refer admin discharge'!H259</f>
        <v>00/00/0000</v>
      </c>
      <c r="G263" s="351"/>
      <c r="H263" s="610"/>
      <c r="I263" s="351"/>
      <c r="J263" s="611"/>
      <c r="K263" s="351"/>
      <c r="L263" s="610"/>
      <c r="M263" s="351"/>
      <c r="N263" s="612"/>
      <c r="O263" s="351"/>
      <c r="P263" s="610"/>
      <c r="Q263" s="351"/>
      <c r="R263" s="612"/>
      <c r="S263" s="351"/>
      <c r="T263" s="610"/>
      <c r="U263" s="351"/>
      <c r="V263" s="613" t="str">
        <f>'refer admin discharge'!H264</f>
        <v>00/00/0000</v>
      </c>
      <c r="W263" s="351"/>
      <c r="X263" s="607"/>
      <c r="Y263" s="351"/>
      <c r="Z263" s="614"/>
      <c r="AA263" s="351"/>
      <c r="AB263" s="607"/>
      <c r="AC263" s="351"/>
      <c r="AD263" s="606"/>
      <c r="AE263" s="351"/>
      <c r="AF263" s="607"/>
      <c r="AG263" s="351"/>
      <c r="AH263" s="606"/>
      <c r="AI263" s="351"/>
      <c r="AJ263" s="607"/>
      <c r="AK263" s="351"/>
      <c r="AL263" s="608"/>
      <c r="AM263" s="350"/>
      <c r="AN263" s="350"/>
      <c r="AO263" s="350"/>
      <c r="AP263" s="350"/>
      <c r="AQ263" s="350"/>
      <c r="AR263" s="350"/>
      <c r="AS263" s="350"/>
      <c r="AT263" s="350"/>
      <c r="AU263" s="350"/>
      <c r="AV263" s="350"/>
      <c r="AW263" s="350"/>
      <c r="AX263" s="350"/>
      <c r="AY263" s="350"/>
      <c r="AZ263" s="350"/>
      <c r="BA263" s="350"/>
      <c r="BB263" s="351"/>
    </row>
    <row r="264" spans="1:54" ht="15.75" customHeight="1">
      <c r="A264" s="25">
        <f t="shared" si="0"/>
        <v>251</v>
      </c>
      <c r="B264" s="618" t="str">
        <f>'refer admin discharge'!B260</f>
        <v>x</v>
      </c>
      <c r="C264" s="351"/>
      <c r="D264" s="619" t="str">
        <f>'refer admin discharge'!D260</f>
        <v>xx</v>
      </c>
      <c r="E264" s="351"/>
      <c r="F264" s="620" t="str">
        <f>'refer admin discharge'!H260</f>
        <v>00/00/0000</v>
      </c>
      <c r="G264" s="351"/>
      <c r="H264" s="615"/>
      <c r="I264" s="351"/>
      <c r="J264" s="621"/>
      <c r="K264" s="351"/>
      <c r="L264" s="615"/>
      <c r="M264" s="351"/>
      <c r="N264" s="610"/>
      <c r="O264" s="351"/>
      <c r="P264" s="615"/>
      <c r="Q264" s="351"/>
      <c r="R264" s="610"/>
      <c r="S264" s="351"/>
      <c r="T264" s="615"/>
      <c r="U264" s="351"/>
      <c r="V264" s="613" t="str">
        <f>'refer admin discharge'!H265</f>
        <v>00/00/0000</v>
      </c>
      <c r="W264" s="351"/>
      <c r="X264" s="616"/>
      <c r="Y264" s="351"/>
      <c r="Z264" s="617"/>
      <c r="AA264" s="351"/>
      <c r="AB264" s="616"/>
      <c r="AC264" s="351"/>
      <c r="AD264" s="607"/>
      <c r="AE264" s="351"/>
      <c r="AF264" s="616"/>
      <c r="AG264" s="351"/>
      <c r="AH264" s="607"/>
      <c r="AI264" s="351"/>
      <c r="AJ264" s="616"/>
      <c r="AK264" s="351"/>
      <c r="AL264" s="622"/>
      <c r="AM264" s="350"/>
      <c r="AN264" s="350"/>
      <c r="AO264" s="350"/>
      <c r="AP264" s="350"/>
      <c r="AQ264" s="350"/>
      <c r="AR264" s="350"/>
      <c r="AS264" s="350"/>
      <c r="AT264" s="350"/>
      <c r="AU264" s="350"/>
      <c r="AV264" s="350"/>
      <c r="AW264" s="350"/>
      <c r="AX264" s="350"/>
      <c r="AY264" s="350"/>
      <c r="AZ264" s="350"/>
      <c r="BA264" s="350"/>
      <c r="BB264" s="351"/>
    </row>
    <row r="265" spans="1:54" ht="15.75" customHeight="1">
      <c r="A265" s="25">
        <f t="shared" si="0"/>
        <v>252</v>
      </c>
      <c r="B265" s="599" t="str">
        <f>'refer admin discharge'!B261</f>
        <v>x</v>
      </c>
      <c r="C265" s="351"/>
      <c r="D265" s="600" t="str">
        <f>'refer admin discharge'!D261</f>
        <v>xx</v>
      </c>
      <c r="E265" s="351"/>
      <c r="F265" s="609" t="str">
        <f>'refer admin discharge'!H261</f>
        <v>00/00/0000</v>
      </c>
      <c r="G265" s="351"/>
      <c r="H265" s="610"/>
      <c r="I265" s="351"/>
      <c r="J265" s="611"/>
      <c r="K265" s="351"/>
      <c r="L265" s="610"/>
      <c r="M265" s="351"/>
      <c r="N265" s="612"/>
      <c r="O265" s="351"/>
      <c r="P265" s="610"/>
      <c r="Q265" s="351"/>
      <c r="R265" s="612"/>
      <c r="S265" s="351"/>
      <c r="T265" s="610"/>
      <c r="U265" s="351"/>
      <c r="V265" s="613" t="str">
        <f>'refer admin discharge'!H266</f>
        <v>00/00/0000</v>
      </c>
      <c r="W265" s="351"/>
      <c r="X265" s="607"/>
      <c r="Y265" s="351"/>
      <c r="Z265" s="614"/>
      <c r="AA265" s="351"/>
      <c r="AB265" s="607"/>
      <c r="AC265" s="351"/>
      <c r="AD265" s="606"/>
      <c r="AE265" s="351"/>
      <c r="AF265" s="607"/>
      <c r="AG265" s="351"/>
      <c r="AH265" s="606"/>
      <c r="AI265" s="351"/>
      <c r="AJ265" s="607"/>
      <c r="AK265" s="351"/>
      <c r="AL265" s="608"/>
      <c r="AM265" s="350"/>
      <c r="AN265" s="350"/>
      <c r="AO265" s="350"/>
      <c r="AP265" s="350"/>
      <c r="AQ265" s="350"/>
      <c r="AR265" s="350"/>
      <c r="AS265" s="350"/>
      <c r="AT265" s="350"/>
      <c r="AU265" s="350"/>
      <c r="AV265" s="350"/>
      <c r="AW265" s="350"/>
      <c r="AX265" s="350"/>
      <c r="AY265" s="350"/>
      <c r="AZ265" s="350"/>
      <c r="BA265" s="350"/>
      <c r="BB265" s="351"/>
    </row>
    <row r="266" spans="1:54" ht="15.75" customHeight="1">
      <c r="A266" s="25">
        <f t="shared" si="0"/>
        <v>253</v>
      </c>
      <c r="B266" s="618" t="str">
        <f>'refer admin discharge'!B262</f>
        <v>x</v>
      </c>
      <c r="C266" s="351"/>
      <c r="D266" s="619" t="str">
        <f>'refer admin discharge'!D262</f>
        <v>xx</v>
      </c>
      <c r="E266" s="351"/>
      <c r="F266" s="620" t="str">
        <f>'refer admin discharge'!H262</f>
        <v>00/00/0000</v>
      </c>
      <c r="G266" s="351"/>
      <c r="H266" s="615"/>
      <c r="I266" s="351"/>
      <c r="J266" s="621"/>
      <c r="K266" s="351"/>
      <c r="L266" s="615"/>
      <c r="M266" s="351"/>
      <c r="N266" s="610"/>
      <c r="O266" s="351"/>
      <c r="P266" s="615"/>
      <c r="Q266" s="351"/>
      <c r="R266" s="610"/>
      <c r="S266" s="351"/>
      <c r="T266" s="615"/>
      <c r="U266" s="351"/>
      <c r="V266" s="613" t="str">
        <f>'refer admin discharge'!H267</f>
        <v>00/00/0000</v>
      </c>
      <c r="W266" s="351"/>
      <c r="X266" s="616"/>
      <c r="Y266" s="351"/>
      <c r="Z266" s="617"/>
      <c r="AA266" s="351"/>
      <c r="AB266" s="616"/>
      <c r="AC266" s="351"/>
      <c r="AD266" s="607"/>
      <c r="AE266" s="351"/>
      <c r="AF266" s="616"/>
      <c r="AG266" s="351"/>
      <c r="AH266" s="607"/>
      <c r="AI266" s="351"/>
      <c r="AJ266" s="616"/>
      <c r="AK266" s="351"/>
      <c r="AL266" s="622"/>
      <c r="AM266" s="350"/>
      <c r="AN266" s="350"/>
      <c r="AO266" s="350"/>
      <c r="AP266" s="350"/>
      <c r="AQ266" s="350"/>
      <c r="AR266" s="350"/>
      <c r="AS266" s="350"/>
      <c r="AT266" s="350"/>
      <c r="AU266" s="350"/>
      <c r="AV266" s="350"/>
      <c r="AW266" s="350"/>
      <c r="AX266" s="350"/>
      <c r="AY266" s="350"/>
      <c r="AZ266" s="350"/>
      <c r="BA266" s="350"/>
      <c r="BB266" s="351"/>
    </row>
    <row r="267" spans="1:54" ht="15.75" customHeight="1">
      <c r="A267" s="25">
        <f t="shared" si="0"/>
        <v>254</v>
      </c>
      <c r="B267" s="599" t="str">
        <f>'refer admin discharge'!B263</f>
        <v>x</v>
      </c>
      <c r="C267" s="351"/>
      <c r="D267" s="600" t="str">
        <f>'refer admin discharge'!D263</f>
        <v>xx</v>
      </c>
      <c r="E267" s="351"/>
      <c r="F267" s="609" t="str">
        <f>'refer admin discharge'!H263</f>
        <v>00/00/0000</v>
      </c>
      <c r="G267" s="351"/>
      <c r="H267" s="610"/>
      <c r="I267" s="351"/>
      <c r="J267" s="611"/>
      <c r="K267" s="351"/>
      <c r="L267" s="610"/>
      <c r="M267" s="351"/>
      <c r="N267" s="612"/>
      <c r="O267" s="351"/>
      <c r="P267" s="610"/>
      <c r="Q267" s="351"/>
      <c r="R267" s="612"/>
      <c r="S267" s="351"/>
      <c r="T267" s="610"/>
      <c r="U267" s="351"/>
      <c r="V267" s="613" t="str">
        <f>'refer admin discharge'!H268</f>
        <v>00/00/0000</v>
      </c>
      <c r="W267" s="351"/>
      <c r="X267" s="607"/>
      <c r="Y267" s="351"/>
      <c r="Z267" s="614"/>
      <c r="AA267" s="351"/>
      <c r="AB267" s="607"/>
      <c r="AC267" s="351"/>
      <c r="AD267" s="606"/>
      <c r="AE267" s="351"/>
      <c r="AF267" s="607"/>
      <c r="AG267" s="351"/>
      <c r="AH267" s="606"/>
      <c r="AI267" s="351"/>
      <c r="AJ267" s="607"/>
      <c r="AK267" s="351"/>
      <c r="AL267" s="608"/>
      <c r="AM267" s="350"/>
      <c r="AN267" s="350"/>
      <c r="AO267" s="350"/>
      <c r="AP267" s="350"/>
      <c r="AQ267" s="350"/>
      <c r="AR267" s="350"/>
      <c r="AS267" s="350"/>
      <c r="AT267" s="350"/>
      <c r="AU267" s="350"/>
      <c r="AV267" s="350"/>
      <c r="AW267" s="350"/>
      <c r="AX267" s="350"/>
      <c r="AY267" s="350"/>
      <c r="AZ267" s="350"/>
      <c r="BA267" s="350"/>
      <c r="BB267" s="351"/>
    </row>
    <row r="268" spans="1:54" ht="15.75" customHeight="1">
      <c r="A268" s="25">
        <f t="shared" si="0"/>
        <v>255</v>
      </c>
      <c r="B268" s="618" t="str">
        <f>'refer admin discharge'!B264</f>
        <v>x</v>
      </c>
      <c r="C268" s="351"/>
      <c r="D268" s="619" t="str">
        <f>'refer admin discharge'!D264</f>
        <v>xx</v>
      </c>
      <c r="E268" s="351"/>
      <c r="F268" s="620" t="str">
        <f>'refer admin discharge'!H264</f>
        <v>00/00/0000</v>
      </c>
      <c r="G268" s="351"/>
      <c r="H268" s="615"/>
      <c r="I268" s="351"/>
      <c r="J268" s="621"/>
      <c r="K268" s="351"/>
      <c r="L268" s="615"/>
      <c r="M268" s="351"/>
      <c r="N268" s="610"/>
      <c r="O268" s="351"/>
      <c r="P268" s="615"/>
      <c r="Q268" s="351"/>
      <c r="R268" s="610"/>
      <c r="S268" s="351"/>
      <c r="T268" s="615"/>
      <c r="U268" s="351"/>
      <c r="V268" s="613" t="str">
        <f>'refer admin discharge'!H269</f>
        <v>00/00/0000</v>
      </c>
      <c r="W268" s="351"/>
      <c r="X268" s="616"/>
      <c r="Y268" s="351"/>
      <c r="Z268" s="617"/>
      <c r="AA268" s="351"/>
      <c r="AB268" s="616"/>
      <c r="AC268" s="351"/>
      <c r="AD268" s="607"/>
      <c r="AE268" s="351"/>
      <c r="AF268" s="616"/>
      <c r="AG268" s="351"/>
      <c r="AH268" s="607"/>
      <c r="AI268" s="351"/>
      <c r="AJ268" s="616"/>
      <c r="AK268" s="351"/>
      <c r="AL268" s="622"/>
      <c r="AM268" s="350"/>
      <c r="AN268" s="350"/>
      <c r="AO268" s="350"/>
      <c r="AP268" s="350"/>
      <c r="AQ268" s="350"/>
      <c r="AR268" s="350"/>
      <c r="AS268" s="350"/>
      <c r="AT268" s="350"/>
      <c r="AU268" s="350"/>
      <c r="AV268" s="350"/>
      <c r="AW268" s="350"/>
      <c r="AX268" s="350"/>
      <c r="AY268" s="350"/>
      <c r="AZ268" s="350"/>
      <c r="BA268" s="350"/>
      <c r="BB268" s="351"/>
    </row>
    <row r="269" spans="1:54" ht="15.75" customHeight="1">
      <c r="A269" s="25">
        <f t="shared" ref="A269:A523" si="1">ROW(A256)</f>
        <v>256</v>
      </c>
      <c r="B269" s="599" t="str">
        <f>'refer admin discharge'!B265</f>
        <v>x</v>
      </c>
      <c r="C269" s="351"/>
      <c r="D269" s="600" t="str">
        <f>'refer admin discharge'!D265</f>
        <v>xx</v>
      </c>
      <c r="E269" s="351"/>
      <c r="F269" s="609" t="str">
        <f>'refer admin discharge'!H265</f>
        <v>00/00/0000</v>
      </c>
      <c r="G269" s="351"/>
      <c r="H269" s="610"/>
      <c r="I269" s="351"/>
      <c r="J269" s="611"/>
      <c r="K269" s="351"/>
      <c r="L269" s="610"/>
      <c r="M269" s="351"/>
      <c r="N269" s="612"/>
      <c r="O269" s="351"/>
      <c r="P269" s="610"/>
      <c r="Q269" s="351"/>
      <c r="R269" s="612"/>
      <c r="S269" s="351"/>
      <c r="T269" s="610"/>
      <c r="U269" s="351"/>
      <c r="V269" s="613" t="str">
        <f>'refer admin discharge'!H270</f>
        <v>00/00/0000</v>
      </c>
      <c r="W269" s="351"/>
      <c r="X269" s="607"/>
      <c r="Y269" s="351"/>
      <c r="Z269" s="614"/>
      <c r="AA269" s="351"/>
      <c r="AB269" s="607"/>
      <c r="AC269" s="351"/>
      <c r="AD269" s="606"/>
      <c r="AE269" s="351"/>
      <c r="AF269" s="607"/>
      <c r="AG269" s="351"/>
      <c r="AH269" s="606"/>
      <c r="AI269" s="351"/>
      <c r="AJ269" s="607"/>
      <c r="AK269" s="351"/>
      <c r="AL269" s="608"/>
      <c r="AM269" s="350"/>
      <c r="AN269" s="350"/>
      <c r="AO269" s="350"/>
      <c r="AP269" s="350"/>
      <c r="AQ269" s="350"/>
      <c r="AR269" s="350"/>
      <c r="AS269" s="350"/>
      <c r="AT269" s="350"/>
      <c r="AU269" s="350"/>
      <c r="AV269" s="350"/>
      <c r="AW269" s="350"/>
      <c r="AX269" s="350"/>
      <c r="AY269" s="350"/>
      <c r="AZ269" s="350"/>
      <c r="BA269" s="350"/>
      <c r="BB269" s="351"/>
    </row>
    <row r="270" spans="1:54" ht="15.75" customHeight="1">
      <c r="A270" s="25">
        <f t="shared" si="1"/>
        <v>257</v>
      </c>
      <c r="B270" s="618" t="str">
        <f>'refer admin discharge'!B266</f>
        <v>x</v>
      </c>
      <c r="C270" s="351"/>
      <c r="D270" s="619" t="str">
        <f>'refer admin discharge'!D266</f>
        <v>xx</v>
      </c>
      <c r="E270" s="351"/>
      <c r="F270" s="620" t="str">
        <f>'refer admin discharge'!H266</f>
        <v>00/00/0000</v>
      </c>
      <c r="G270" s="351"/>
      <c r="H270" s="615"/>
      <c r="I270" s="351"/>
      <c r="J270" s="621"/>
      <c r="K270" s="351"/>
      <c r="L270" s="615"/>
      <c r="M270" s="351"/>
      <c r="N270" s="610"/>
      <c r="O270" s="351"/>
      <c r="P270" s="615"/>
      <c r="Q270" s="351"/>
      <c r="R270" s="610"/>
      <c r="S270" s="351"/>
      <c r="T270" s="615"/>
      <c r="U270" s="351"/>
      <c r="V270" s="613" t="str">
        <f>'refer admin discharge'!H271</f>
        <v>00/00/0000</v>
      </c>
      <c r="W270" s="351"/>
      <c r="X270" s="616"/>
      <c r="Y270" s="351"/>
      <c r="Z270" s="617"/>
      <c r="AA270" s="351"/>
      <c r="AB270" s="616"/>
      <c r="AC270" s="351"/>
      <c r="AD270" s="607"/>
      <c r="AE270" s="351"/>
      <c r="AF270" s="616"/>
      <c r="AG270" s="351"/>
      <c r="AH270" s="607"/>
      <c r="AI270" s="351"/>
      <c r="AJ270" s="616"/>
      <c r="AK270" s="351"/>
      <c r="AL270" s="622"/>
      <c r="AM270" s="350"/>
      <c r="AN270" s="350"/>
      <c r="AO270" s="350"/>
      <c r="AP270" s="350"/>
      <c r="AQ270" s="350"/>
      <c r="AR270" s="350"/>
      <c r="AS270" s="350"/>
      <c r="AT270" s="350"/>
      <c r="AU270" s="350"/>
      <c r="AV270" s="350"/>
      <c r="AW270" s="350"/>
      <c r="AX270" s="350"/>
      <c r="AY270" s="350"/>
      <c r="AZ270" s="350"/>
      <c r="BA270" s="350"/>
      <c r="BB270" s="351"/>
    </row>
    <row r="271" spans="1:54" ht="15.75" customHeight="1">
      <c r="A271" s="25">
        <f t="shared" si="1"/>
        <v>258</v>
      </c>
      <c r="B271" s="599" t="str">
        <f>'refer admin discharge'!B267</f>
        <v>x</v>
      </c>
      <c r="C271" s="351"/>
      <c r="D271" s="600" t="str">
        <f>'refer admin discharge'!D267</f>
        <v>xx</v>
      </c>
      <c r="E271" s="351"/>
      <c r="F271" s="609" t="str">
        <f>'refer admin discharge'!H267</f>
        <v>00/00/0000</v>
      </c>
      <c r="G271" s="351"/>
      <c r="H271" s="610"/>
      <c r="I271" s="351"/>
      <c r="J271" s="611"/>
      <c r="K271" s="351"/>
      <c r="L271" s="610"/>
      <c r="M271" s="351"/>
      <c r="N271" s="612"/>
      <c r="O271" s="351"/>
      <c r="P271" s="610"/>
      <c r="Q271" s="351"/>
      <c r="R271" s="612"/>
      <c r="S271" s="351"/>
      <c r="T271" s="610"/>
      <c r="U271" s="351"/>
      <c r="V271" s="613" t="str">
        <f>'refer admin discharge'!H272</f>
        <v>00/00/0000</v>
      </c>
      <c r="W271" s="351"/>
      <c r="X271" s="607"/>
      <c r="Y271" s="351"/>
      <c r="Z271" s="614"/>
      <c r="AA271" s="351"/>
      <c r="AB271" s="607"/>
      <c r="AC271" s="351"/>
      <c r="AD271" s="606"/>
      <c r="AE271" s="351"/>
      <c r="AF271" s="607"/>
      <c r="AG271" s="351"/>
      <c r="AH271" s="606"/>
      <c r="AI271" s="351"/>
      <c r="AJ271" s="607"/>
      <c r="AK271" s="351"/>
      <c r="AL271" s="608"/>
      <c r="AM271" s="350"/>
      <c r="AN271" s="350"/>
      <c r="AO271" s="350"/>
      <c r="AP271" s="350"/>
      <c r="AQ271" s="350"/>
      <c r="AR271" s="350"/>
      <c r="AS271" s="350"/>
      <c r="AT271" s="350"/>
      <c r="AU271" s="350"/>
      <c r="AV271" s="350"/>
      <c r="AW271" s="350"/>
      <c r="AX271" s="350"/>
      <c r="AY271" s="350"/>
      <c r="AZ271" s="350"/>
      <c r="BA271" s="350"/>
      <c r="BB271" s="351"/>
    </row>
    <row r="272" spans="1:54" ht="15.75" customHeight="1">
      <c r="A272" s="25">
        <f t="shared" si="1"/>
        <v>259</v>
      </c>
      <c r="B272" s="618" t="str">
        <f>'refer admin discharge'!B268</f>
        <v>x</v>
      </c>
      <c r="C272" s="351"/>
      <c r="D272" s="619" t="str">
        <f>'refer admin discharge'!D268</f>
        <v>xx</v>
      </c>
      <c r="E272" s="351"/>
      <c r="F272" s="620" t="str">
        <f>'refer admin discharge'!H268</f>
        <v>00/00/0000</v>
      </c>
      <c r="G272" s="351"/>
      <c r="H272" s="615"/>
      <c r="I272" s="351"/>
      <c r="J272" s="621"/>
      <c r="K272" s="351"/>
      <c r="L272" s="615"/>
      <c r="M272" s="351"/>
      <c r="N272" s="610"/>
      <c r="O272" s="351"/>
      <c r="P272" s="615"/>
      <c r="Q272" s="351"/>
      <c r="R272" s="610"/>
      <c r="S272" s="351"/>
      <c r="T272" s="615"/>
      <c r="U272" s="351"/>
      <c r="V272" s="613" t="str">
        <f>'refer admin discharge'!H273</f>
        <v>00/00/0000</v>
      </c>
      <c r="W272" s="351"/>
      <c r="X272" s="616"/>
      <c r="Y272" s="351"/>
      <c r="Z272" s="617"/>
      <c r="AA272" s="351"/>
      <c r="AB272" s="616"/>
      <c r="AC272" s="351"/>
      <c r="AD272" s="607"/>
      <c r="AE272" s="351"/>
      <c r="AF272" s="616"/>
      <c r="AG272" s="351"/>
      <c r="AH272" s="607"/>
      <c r="AI272" s="351"/>
      <c r="AJ272" s="616"/>
      <c r="AK272" s="351"/>
      <c r="AL272" s="622"/>
      <c r="AM272" s="350"/>
      <c r="AN272" s="350"/>
      <c r="AO272" s="350"/>
      <c r="AP272" s="350"/>
      <c r="AQ272" s="350"/>
      <c r="AR272" s="350"/>
      <c r="AS272" s="350"/>
      <c r="AT272" s="350"/>
      <c r="AU272" s="350"/>
      <c r="AV272" s="350"/>
      <c r="AW272" s="350"/>
      <c r="AX272" s="350"/>
      <c r="AY272" s="350"/>
      <c r="AZ272" s="350"/>
      <c r="BA272" s="350"/>
      <c r="BB272" s="351"/>
    </row>
    <row r="273" spans="1:54" ht="15.75" customHeight="1">
      <c r="A273" s="25">
        <f t="shared" si="1"/>
        <v>260</v>
      </c>
      <c r="B273" s="599" t="str">
        <f>'refer admin discharge'!B269</f>
        <v>x</v>
      </c>
      <c r="C273" s="351"/>
      <c r="D273" s="600" t="str">
        <f>'refer admin discharge'!D269</f>
        <v>xx</v>
      </c>
      <c r="E273" s="351"/>
      <c r="F273" s="609" t="str">
        <f>'refer admin discharge'!H269</f>
        <v>00/00/0000</v>
      </c>
      <c r="G273" s="351"/>
      <c r="H273" s="610"/>
      <c r="I273" s="351"/>
      <c r="J273" s="611"/>
      <c r="K273" s="351"/>
      <c r="L273" s="610"/>
      <c r="M273" s="351"/>
      <c r="N273" s="612"/>
      <c r="O273" s="351"/>
      <c r="P273" s="610"/>
      <c r="Q273" s="351"/>
      <c r="R273" s="612"/>
      <c r="S273" s="351"/>
      <c r="T273" s="610"/>
      <c r="U273" s="351"/>
      <c r="V273" s="613" t="str">
        <f>'refer admin discharge'!H274</f>
        <v>00/00/0000</v>
      </c>
      <c r="W273" s="351"/>
      <c r="X273" s="607"/>
      <c r="Y273" s="351"/>
      <c r="Z273" s="614"/>
      <c r="AA273" s="351"/>
      <c r="AB273" s="607"/>
      <c r="AC273" s="351"/>
      <c r="AD273" s="606"/>
      <c r="AE273" s="351"/>
      <c r="AF273" s="607"/>
      <c r="AG273" s="351"/>
      <c r="AH273" s="606"/>
      <c r="AI273" s="351"/>
      <c r="AJ273" s="607"/>
      <c r="AK273" s="351"/>
      <c r="AL273" s="608"/>
      <c r="AM273" s="350"/>
      <c r="AN273" s="350"/>
      <c r="AO273" s="350"/>
      <c r="AP273" s="350"/>
      <c r="AQ273" s="350"/>
      <c r="AR273" s="350"/>
      <c r="AS273" s="350"/>
      <c r="AT273" s="350"/>
      <c r="AU273" s="350"/>
      <c r="AV273" s="350"/>
      <c r="AW273" s="350"/>
      <c r="AX273" s="350"/>
      <c r="AY273" s="350"/>
      <c r="AZ273" s="350"/>
      <c r="BA273" s="350"/>
      <c r="BB273" s="351"/>
    </row>
    <row r="274" spans="1:54" ht="15.75" customHeight="1">
      <c r="A274" s="25">
        <f t="shared" si="1"/>
        <v>261</v>
      </c>
      <c r="B274" s="618" t="str">
        <f>'refer admin discharge'!B270</f>
        <v>x</v>
      </c>
      <c r="C274" s="351"/>
      <c r="D274" s="619" t="str">
        <f>'refer admin discharge'!D270</f>
        <v>xx</v>
      </c>
      <c r="E274" s="351"/>
      <c r="F274" s="620" t="str">
        <f>'refer admin discharge'!H270</f>
        <v>00/00/0000</v>
      </c>
      <c r="G274" s="351"/>
      <c r="H274" s="615"/>
      <c r="I274" s="351"/>
      <c r="J274" s="621"/>
      <c r="K274" s="351"/>
      <c r="L274" s="615"/>
      <c r="M274" s="351"/>
      <c r="N274" s="610"/>
      <c r="O274" s="351"/>
      <c r="P274" s="615"/>
      <c r="Q274" s="351"/>
      <c r="R274" s="610"/>
      <c r="S274" s="351"/>
      <c r="T274" s="615"/>
      <c r="U274" s="351"/>
      <c r="V274" s="613" t="str">
        <f>'refer admin discharge'!H275</f>
        <v>00/00/0000</v>
      </c>
      <c r="W274" s="351"/>
      <c r="X274" s="616"/>
      <c r="Y274" s="351"/>
      <c r="Z274" s="617"/>
      <c r="AA274" s="351"/>
      <c r="AB274" s="616"/>
      <c r="AC274" s="351"/>
      <c r="AD274" s="607"/>
      <c r="AE274" s="351"/>
      <c r="AF274" s="616"/>
      <c r="AG274" s="351"/>
      <c r="AH274" s="607"/>
      <c r="AI274" s="351"/>
      <c r="AJ274" s="616"/>
      <c r="AK274" s="351"/>
      <c r="AL274" s="622"/>
      <c r="AM274" s="350"/>
      <c r="AN274" s="350"/>
      <c r="AO274" s="350"/>
      <c r="AP274" s="350"/>
      <c r="AQ274" s="350"/>
      <c r="AR274" s="350"/>
      <c r="AS274" s="350"/>
      <c r="AT274" s="350"/>
      <c r="AU274" s="350"/>
      <c r="AV274" s="350"/>
      <c r="AW274" s="350"/>
      <c r="AX274" s="350"/>
      <c r="AY274" s="350"/>
      <c r="AZ274" s="350"/>
      <c r="BA274" s="350"/>
      <c r="BB274" s="351"/>
    </row>
    <row r="275" spans="1:54" ht="15.75" customHeight="1">
      <c r="A275" s="25">
        <f t="shared" si="1"/>
        <v>262</v>
      </c>
      <c r="B275" s="599" t="str">
        <f>'refer admin discharge'!B271</f>
        <v>x</v>
      </c>
      <c r="C275" s="351"/>
      <c r="D275" s="600" t="str">
        <f>'refer admin discharge'!D271</f>
        <v>xx</v>
      </c>
      <c r="E275" s="351"/>
      <c r="F275" s="609" t="str">
        <f>'refer admin discharge'!H271</f>
        <v>00/00/0000</v>
      </c>
      <c r="G275" s="351"/>
      <c r="H275" s="610"/>
      <c r="I275" s="351"/>
      <c r="J275" s="611"/>
      <c r="K275" s="351"/>
      <c r="L275" s="610"/>
      <c r="M275" s="351"/>
      <c r="N275" s="612"/>
      <c r="O275" s="351"/>
      <c r="P275" s="610"/>
      <c r="Q275" s="351"/>
      <c r="R275" s="612"/>
      <c r="S275" s="351"/>
      <c r="T275" s="610"/>
      <c r="U275" s="351"/>
      <c r="V275" s="613" t="str">
        <f>'refer admin discharge'!H276</f>
        <v>00/00/0000</v>
      </c>
      <c r="W275" s="351"/>
      <c r="X275" s="607"/>
      <c r="Y275" s="351"/>
      <c r="Z275" s="614"/>
      <c r="AA275" s="351"/>
      <c r="AB275" s="607"/>
      <c r="AC275" s="351"/>
      <c r="AD275" s="606"/>
      <c r="AE275" s="351"/>
      <c r="AF275" s="607"/>
      <c r="AG275" s="351"/>
      <c r="AH275" s="606"/>
      <c r="AI275" s="351"/>
      <c r="AJ275" s="607"/>
      <c r="AK275" s="351"/>
      <c r="AL275" s="608"/>
      <c r="AM275" s="350"/>
      <c r="AN275" s="350"/>
      <c r="AO275" s="350"/>
      <c r="AP275" s="350"/>
      <c r="AQ275" s="350"/>
      <c r="AR275" s="350"/>
      <c r="AS275" s="350"/>
      <c r="AT275" s="350"/>
      <c r="AU275" s="350"/>
      <c r="AV275" s="350"/>
      <c r="AW275" s="350"/>
      <c r="AX275" s="350"/>
      <c r="AY275" s="350"/>
      <c r="AZ275" s="350"/>
      <c r="BA275" s="350"/>
      <c r="BB275" s="351"/>
    </row>
    <row r="276" spans="1:54" ht="15.75" customHeight="1">
      <c r="A276" s="25">
        <f t="shared" si="1"/>
        <v>263</v>
      </c>
      <c r="B276" s="618" t="str">
        <f>'refer admin discharge'!B272</f>
        <v>x</v>
      </c>
      <c r="C276" s="351"/>
      <c r="D276" s="619" t="str">
        <f>'refer admin discharge'!D272</f>
        <v>xx</v>
      </c>
      <c r="E276" s="351"/>
      <c r="F276" s="620" t="str">
        <f>'refer admin discharge'!H272</f>
        <v>00/00/0000</v>
      </c>
      <c r="G276" s="351"/>
      <c r="H276" s="615"/>
      <c r="I276" s="351"/>
      <c r="J276" s="621"/>
      <c r="K276" s="351"/>
      <c r="L276" s="615"/>
      <c r="M276" s="351"/>
      <c r="N276" s="610"/>
      <c r="O276" s="351"/>
      <c r="P276" s="615"/>
      <c r="Q276" s="351"/>
      <c r="R276" s="610"/>
      <c r="S276" s="351"/>
      <c r="T276" s="615"/>
      <c r="U276" s="351"/>
      <c r="V276" s="613" t="str">
        <f>'refer admin discharge'!H277</f>
        <v>00/00/0000</v>
      </c>
      <c r="W276" s="351"/>
      <c r="X276" s="616"/>
      <c r="Y276" s="351"/>
      <c r="Z276" s="617"/>
      <c r="AA276" s="351"/>
      <c r="AB276" s="616"/>
      <c r="AC276" s="351"/>
      <c r="AD276" s="607"/>
      <c r="AE276" s="351"/>
      <c r="AF276" s="616"/>
      <c r="AG276" s="351"/>
      <c r="AH276" s="607"/>
      <c r="AI276" s="351"/>
      <c r="AJ276" s="616"/>
      <c r="AK276" s="351"/>
      <c r="AL276" s="622"/>
      <c r="AM276" s="350"/>
      <c r="AN276" s="350"/>
      <c r="AO276" s="350"/>
      <c r="AP276" s="350"/>
      <c r="AQ276" s="350"/>
      <c r="AR276" s="350"/>
      <c r="AS276" s="350"/>
      <c r="AT276" s="350"/>
      <c r="AU276" s="350"/>
      <c r="AV276" s="350"/>
      <c r="AW276" s="350"/>
      <c r="AX276" s="350"/>
      <c r="AY276" s="350"/>
      <c r="AZ276" s="350"/>
      <c r="BA276" s="350"/>
      <c r="BB276" s="351"/>
    </row>
    <row r="277" spans="1:54" ht="15.75" customHeight="1">
      <c r="A277" s="25">
        <f t="shared" si="1"/>
        <v>264</v>
      </c>
      <c r="B277" s="599" t="str">
        <f>'refer admin discharge'!B273</f>
        <v>x</v>
      </c>
      <c r="C277" s="351"/>
      <c r="D277" s="600" t="str">
        <f>'refer admin discharge'!D273</f>
        <v>xx</v>
      </c>
      <c r="E277" s="351"/>
      <c r="F277" s="609" t="str">
        <f>'refer admin discharge'!H273</f>
        <v>00/00/0000</v>
      </c>
      <c r="G277" s="351"/>
      <c r="H277" s="610"/>
      <c r="I277" s="351"/>
      <c r="J277" s="611"/>
      <c r="K277" s="351"/>
      <c r="L277" s="610"/>
      <c r="M277" s="351"/>
      <c r="N277" s="612"/>
      <c r="O277" s="351"/>
      <c r="P277" s="610"/>
      <c r="Q277" s="351"/>
      <c r="R277" s="612"/>
      <c r="S277" s="351"/>
      <c r="T277" s="610"/>
      <c r="U277" s="351"/>
      <c r="V277" s="613" t="str">
        <f>'refer admin discharge'!H278</f>
        <v>00/00/0000</v>
      </c>
      <c r="W277" s="351"/>
      <c r="X277" s="607"/>
      <c r="Y277" s="351"/>
      <c r="Z277" s="614"/>
      <c r="AA277" s="351"/>
      <c r="AB277" s="607"/>
      <c r="AC277" s="351"/>
      <c r="AD277" s="606"/>
      <c r="AE277" s="351"/>
      <c r="AF277" s="607"/>
      <c r="AG277" s="351"/>
      <c r="AH277" s="606"/>
      <c r="AI277" s="351"/>
      <c r="AJ277" s="607"/>
      <c r="AK277" s="351"/>
      <c r="AL277" s="608"/>
      <c r="AM277" s="350"/>
      <c r="AN277" s="350"/>
      <c r="AO277" s="350"/>
      <c r="AP277" s="350"/>
      <c r="AQ277" s="350"/>
      <c r="AR277" s="350"/>
      <c r="AS277" s="350"/>
      <c r="AT277" s="350"/>
      <c r="AU277" s="350"/>
      <c r="AV277" s="350"/>
      <c r="AW277" s="350"/>
      <c r="AX277" s="350"/>
      <c r="AY277" s="350"/>
      <c r="AZ277" s="350"/>
      <c r="BA277" s="350"/>
      <c r="BB277" s="351"/>
    </row>
    <row r="278" spans="1:54" ht="15.75" customHeight="1">
      <c r="A278" s="25">
        <f t="shared" si="1"/>
        <v>265</v>
      </c>
      <c r="B278" s="618" t="str">
        <f>'refer admin discharge'!B274</f>
        <v>x</v>
      </c>
      <c r="C278" s="351"/>
      <c r="D278" s="619" t="str">
        <f>'refer admin discharge'!D274</f>
        <v>xx</v>
      </c>
      <c r="E278" s="351"/>
      <c r="F278" s="620" t="str">
        <f>'refer admin discharge'!H274</f>
        <v>00/00/0000</v>
      </c>
      <c r="G278" s="351"/>
      <c r="H278" s="615"/>
      <c r="I278" s="351"/>
      <c r="J278" s="621"/>
      <c r="K278" s="351"/>
      <c r="L278" s="615"/>
      <c r="M278" s="351"/>
      <c r="N278" s="610"/>
      <c r="O278" s="351"/>
      <c r="P278" s="615"/>
      <c r="Q278" s="351"/>
      <c r="R278" s="610"/>
      <c r="S278" s="351"/>
      <c r="T278" s="615"/>
      <c r="U278" s="351"/>
      <c r="V278" s="613" t="str">
        <f>'refer admin discharge'!H279</f>
        <v>00/00/0000</v>
      </c>
      <c r="W278" s="351"/>
      <c r="X278" s="616"/>
      <c r="Y278" s="351"/>
      <c r="Z278" s="617"/>
      <c r="AA278" s="351"/>
      <c r="AB278" s="616"/>
      <c r="AC278" s="351"/>
      <c r="AD278" s="607"/>
      <c r="AE278" s="351"/>
      <c r="AF278" s="616"/>
      <c r="AG278" s="351"/>
      <c r="AH278" s="607"/>
      <c r="AI278" s="351"/>
      <c r="AJ278" s="616"/>
      <c r="AK278" s="351"/>
      <c r="AL278" s="622"/>
      <c r="AM278" s="350"/>
      <c r="AN278" s="350"/>
      <c r="AO278" s="350"/>
      <c r="AP278" s="350"/>
      <c r="AQ278" s="350"/>
      <c r="AR278" s="350"/>
      <c r="AS278" s="350"/>
      <c r="AT278" s="350"/>
      <c r="AU278" s="350"/>
      <c r="AV278" s="350"/>
      <c r="AW278" s="350"/>
      <c r="AX278" s="350"/>
      <c r="AY278" s="350"/>
      <c r="AZ278" s="350"/>
      <c r="BA278" s="350"/>
      <c r="BB278" s="351"/>
    </row>
    <row r="279" spans="1:54" ht="15.75" customHeight="1">
      <c r="A279" s="25">
        <f t="shared" si="1"/>
        <v>266</v>
      </c>
      <c r="B279" s="599" t="str">
        <f>'refer admin discharge'!B275</f>
        <v>x</v>
      </c>
      <c r="C279" s="351"/>
      <c r="D279" s="600" t="str">
        <f>'refer admin discharge'!D275</f>
        <v>xx</v>
      </c>
      <c r="E279" s="351"/>
      <c r="F279" s="609" t="str">
        <f>'refer admin discharge'!H275</f>
        <v>00/00/0000</v>
      </c>
      <c r="G279" s="351"/>
      <c r="H279" s="610"/>
      <c r="I279" s="351"/>
      <c r="J279" s="611"/>
      <c r="K279" s="351"/>
      <c r="L279" s="610"/>
      <c r="M279" s="351"/>
      <c r="N279" s="612"/>
      <c r="O279" s="351"/>
      <c r="P279" s="610"/>
      <c r="Q279" s="351"/>
      <c r="R279" s="612"/>
      <c r="S279" s="351"/>
      <c r="T279" s="610"/>
      <c r="U279" s="351"/>
      <c r="V279" s="613" t="str">
        <f>'refer admin discharge'!H280</f>
        <v>00/00/0000</v>
      </c>
      <c r="W279" s="351"/>
      <c r="X279" s="607"/>
      <c r="Y279" s="351"/>
      <c r="Z279" s="614"/>
      <c r="AA279" s="351"/>
      <c r="AB279" s="607"/>
      <c r="AC279" s="351"/>
      <c r="AD279" s="606"/>
      <c r="AE279" s="351"/>
      <c r="AF279" s="607"/>
      <c r="AG279" s="351"/>
      <c r="AH279" s="606"/>
      <c r="AI279" s="351"/>
      <c r="AJ279" s="607"/>
      <c r="AK279" s="351"/>
      <c r="AL279" s="608"/>
      <c r="AM279" s="350"/>
      <c r="AN279" s="350"/>
      <c r="AO279" s="350"/>
      <c r="AP279" s="350"/>
      <c r="AQ279" s="350"/>
      <c r="AR279" s="350"/>
      <c r="AS279" s="350"/>
      <c r="AT279" s="350"/>
      <c r="AU279" s="350"/>
      <c r="AV279" s="350"/>
      <c r="AW279" s="350"/>
      <c r="AX279" s="350"/>
      <c r="AY279" s="350"/>
      <c r="AZ279" s="350"/>
      <c r="BA279" s="350"/>
      <c r="BB279" s="351"/>
    </row>
    <row r="280" spans="1:54" ht="15.75" customHeight="1">
      <c r="A280" s="25">
        <f t="shared" si="1"/>
        <v>267</v>
      </c>
      <c r="B280" s="618" t="str">
        <f>'refer admin discharge'!B276</f>
        <v>x</v>
      </c>
      <c r="C280" s="351"/>
      <c r="D280" s="619" t="str">
        <f>'refer admin discharge'!D276</f>
        <v>xx</v>
      </c>
      <c r="E280" s="351"/>
      <c r="F280" s="620" t="str">
        <f>'refer admin discharge'!H276</f>
        <v>00/00/0000</v>
      </c>
      <c r="G280" s="351"/>
      <c r="H280" s="615"/>
      <c r="I280" s="351"/>
      <c r="J280" s="621"/>
      <c r="K280" s="351"/>
      <c r="L280" s="615"/>
      <c r="M280" s="351"/>
      <c r="N280" s="610"/>
      <c r="O280" s="351"/>
      <c r="P280" s="615"/>
      <c r="Q280" s="351"/>
      <c r="R280" s="610"/>
      <c r="S280" s="351"/>
      <c r="T280" s="615"/>
      <c r="U280" s="351"/>
      <c r="V280" s="613" t="str">
        <f>'refer admin discharge'!H281</f>
        <v>00/00/0000</v>
      </c>
      <c r="W280" s="351"/>
      <c r="X280" s="616"/>
      <c r="Y280" s="351"/>
      <c r="Z280" s="617"/>
      <c r="AA280" s="351"/>
      <c r="AB280" s="616"/>
      <c r="AC280" s="351"/>
      <c r="AD280" s="607"/>
      <c r="AE280" s="351"/>
      <c r="AF280" s="616"/>
      <c r="AG280" s="351"/>
      <c r="AH280" s="607"/>
      <c r="AI280" s="351"/>
      <c r="AJ280" s="616"/>
      <c r="AK280" s="351"/>
      <c r="AL280" s="622"/>
      <c r="AM280" s="350"/>
      <c r="AN280" s="350"/>
      <c r="AO280" s="350"/>
      <c r="AP280" s="350"/>
      <c r="AQ280" s="350"/>
      <c r="AR280" s="350"/>
      <c r="AS280" s="350"/>
      <c r="AT280" s="350"/>
      <c r="AU280" s="350"/>
      <c r="AV280" s="350"/>
      <c r="AW280" s="350"/>
      <c r="AX280" s="350"/>
      <c r="AY280" s="350"/>
      <c r="AZ280" s="350"/>
      <c r="BA280" s="350"/>
      <c r="BB280" s="351"/>
    </row>
    <row r="281" spans="1:54" ht="15.75" customHeight="1">
      <c r="A281" s="25">
        <f t="shared" si="1"/>
        <v>268</v>
      </c>
      <c r="B281" s="599" t="str">
        <f>'refer admin discharge'!B277</f>
        <v>x</v>
      </c>
      <c r="C281" s="351"/>
      <c r="D281" s="600" t="str">
        <f>'refer admin discharge'!D277</f>
        <v>xx</v>
      </c>
      <c r="E281" s="351"/>
      <c r="F281" s="609" t="str">
        <f>'refer admin discharge'!H277</f>
        <v>00/00/0000</v>
      </c>
      <c r="G281" s="351"/>
      <c r="H281" s="610"/>
      <c r="I281" s="351"/>
      <c r="J281" s="611"/>
      <c r="K281" s="351"/>
      <c r="L281" s="610"/>
      <c r="M281" s="351"/>
      <c r="N281" s="612"/>
      <c r="O281" s="351"/>
      <c r="P281" s="610"/>
      <c r="Q281" s="351"/>
      <c r="R281" s="612"/>
      <c r="S281" s="351"/>
      <c r="T281" s="610"/>
      <c r="U281" s="351"/>
      <c r="V281" s="613" t="str">
        <f>'refer admin discharge'!H282</f>
        <v>00/00/0000</v>
      </c>
      <c r="W281" s="351"/>
      <c r="X281" s="607"/>
      <c r="Y281" s="351"/>
      <c r="Z281" s="614"/>
      <c r="AA281" s="351"/>
      <c r="AB281" s="607"/>
      <c r="AC281" s="351"/>
      <c r="AD281" s="606"/>
      <c r="AE281" s="351"/>
      <c r="AF281" s="607"/>
      <c r="AG281" s="351"/>
      <c r="AH281" s="606"/>
      <c r="AI281" s="351"/>
      <c r="AJ281" s="607"/>
      <c r="AK281" s="351"/>
      <c r="AL281" s="608"/>
      <c r="AM281" s="350"/>
      <c r="AN281" s="350"/>
      <c r="AO281" s="350"/>
      <c r="AP281" s="350"/>
      <c r="AQ281" s="350"/>
      <c r="AR281" s="350"/>
      <c r="AS281" s="350"/>
      <c r="AT281" s="350"/>
      <c r="AU281" s="350"/>
      <c r="AV281" s="350"/>
      <c r="AW281" s="350"/>
      <c r="AX281" s="350"/>
      <c r="AY281" s="350"/>
      <c r="AZ281" s="350"/>
      <c r="BA281" s="350"/>
      <c r="BB281" s="351"/>
    </row>
    <row r="282" spans="1:54" ht="15.75" customHeight="1">
      <c r="A282" s="25">
        <f t="shared" si="1"/>
        <v>269</v>
      </c>
      <c r="B282" s="618" t="str">
        <f>'refer admin discharge'!B278</f>
        <v>x</v>
      </c>
      <c r="C282" s="351"/>
      <c r="D282" s="619" t="str">
        <f>'refer admin discharge'!D278</f>
        <v>xx</v>
      </c>
      <c r="E282" s="351"/>
      <c r="F282" s="620" t="str">
        <f>'refer admin discharge'!H278</f>
        <v>00/00/0000</v>
      </c>
      <c r="G282" s="351"/>
      <c r="H282" s="615"/>
      <c r="I282" s="351"/>
      <c r="J282" s="621"/>
      <c r="K282" s="351"/>
      <c r="L282" s="615"/>
      <c r="M282" s="351"/>
      <c r="N282" s="610"/>
      <c r="O282" s="351"/>
      <c r="P282" s="615"/>
      <c r="Q282" s="351"/>
      <c r="R282" s="610"/>
      <c r="S282" s="351"/>
      <c r="T282" s="615"/>
      <c r="U282" s="351"/>
      <c r="V282" s="613" t="str">
        <f>'refer admin discharge'!H283</f>
        <v>00/00/0000</v>
      </c>
      <c r="W282" s="351"/>
      <c r="X282" s="616"/>
      <c r="Y282" s="351"/>
      <c r="Z282" s="617"/>
      <c r="AA282" s="351"/>
      <c r="AB282" s="616"/>
      <c r="AC282" s="351"/>
      <c r="AD282" s="607"/>
      <c r="AE282" s="351"/>
      <c r="AF282" s="616"/>
      <c r="AG282" s="351"/>
      <c r="AH282" s="607"/>
      <c r="AI282" s="351"/>
      <c r="AJ282" s="616"/>
      <c r="AK282" s="351"/>
      <c r="AL282" s="622"/>
      <c r="AM282" s="350"/>
      <c r="AN282" s="350"/>
      <c r="AO282" s="350"/>
      <c r="AP282" s="350"/>
      <c r="AQ282" s="350"/>
      <c r="AR282" s="350"/>
      <c r="AS282" s="350"/>
      <c r="AT282" s="350"/>
      <c r="AU282" s="350"/>
      <c r="AV282" s="350"/>
      <c r="AW282" s="350"/>
      <c r="AX282" s="350"/>
      <c r="AY282" s="350"/>
      <c r="AZ282" s="350"/>
      <c r="BA282" s="350"/>
      <c r="BB282" s="351"/>
    </row>
    <row r="283" spans="1:54" ht="15.75" customHeight="1">
      <c r="A283" s="25">
        <f t="shared" si="1"/>
        <v>270</v>
      </c>
      <c r="B283" s="599" t="str">
        <f>'refer admin discharge'!B279</f>
        <v>x</v>
      </c>
      <c r="C283" s="351"/>
      <c r="D283" s="600" t="str">
        <f>'refer admin discharge'!D279</f>
        <v>xx</v>
      </c>
      <c r="E283" s="351"/>
      <c r="F283" s="609" t="str">
        <f>'refer admin discharge'!H279</f>
        <v>00/00/0000</v>
      </c>
      <c r="G283" s="351"/>
      <c r="H283" s="610"/>
      <c r="I283" s="351"/>
      <c r="J283" s="611"/>
      <c r="K283" s="351"/>
      <c r="L283" s="610"/>
      <c r="M283" s="351"/>
      <c r="N283" s="612"/>
      <c r="O283" s="351"/>
      <c r="P283" s="610"/>
      <c r="Q283" s="351"/>
      <c r="R283" s="612"/>
      <c r="S283" s="351"/>
      <c r="T283" s="610"/>
      <c r="U283" s="351"/>
      <c r="V283" s="613" t="str">
        <f>'refer admin discharge'!H284</f>
        <v>00/00/0000</v>
      </c>
      <c r="W283" s="351"/>
      <c r="X283" s="607"/>
      <c r="Y283" s="351"/>
      <c r="Z283" s="614"/>
      <c r="AA283" s="351"/>
      <c r="AB283" s="607"/>
      <c r="AC283" s="351"/>
      <c r="AD283" s="606"/>
      <c r="AE283" s="351"/>
      <c r="AF283" s="607"/>
      <c r="AG283" s="351"/>
      <c r="AH283" s="606"/>
      <c r="AI283" s="351"/>
      <c r="AJ283" s="607"/>
      <c r="AK283" s="351"/>
      <c r="AL283" s="608"/>
      <c r="AM283" s="350"/>
      <c r="AN283" s="350"/>
      <c r="AO283" s="350"/>
      <c r="AP283" s="350"/>
      <c r="AQ283" s="350"/>
      <c r="AR283" s="350"/>
      <c r="AS283" s="350"/>
      <c r="AT283" s="350"/>
      <c r="AU283" s="350"/>
      <c r="AV283" s="350"/>
      <c r="AW283" s="350"/>
      <c r="AX283" s="350"/>
      <c r="AY283" s="350"/>
      <c r="AZ283" s="350"/>
      <c r="BA283" s="350"/>
      <c r="BB283" s="351"/>
    </row>
    <row r="284" spans="1:54" ht="15.75" customHeight="1">
      <c r="A284" s="25">
        <f t="shared" si="1"/>
        <v>271</v>
      </c>
      <c r="B284" s="618" t="str">
        <f>'refer admin discharge'!B280</f>
        <v>x</v>
      </c>
      <c r="C284" s="351"/>
      <c r="D284" s="619" t="str">
        <f>'refer admin discharge'!D280</f>
        <v>xx</v>
      </c>
      <c r="E284" s="351"/>
      <c r="F284" s="620" t="str">
        <f>'refer admin discharge'!H280</f>
        <v>00/00/0000</v>
      </c>
      <c r="G284" s="351"/>
      <c r="H284" s="615"/>
      <c r="I284" s="351"/>
      <c r="J284" s="621"/>
      <c r="K284" s="351"/>
      <c r="L284" s="615"/>
      <c r="M284" s="351"/>
      <c r="N284" s="610"/>
      <c r="O284" s="351"/>
      <c r="P284" s="615"/>
      <c r="Q284" s="351"/>
      <c r="R284" s="610"/>
      <c r="S284" s="351"/>
      <c r="T284" s="615"/>
      <c r="U284" s="351"/>
      <c r="V284" s="613" t="str">
        <f>'refer admin discharge'!H285</f>
        <v>00/00/0000</v>
      </c>
      <c r="W284" s="351"/>
      <c r="X284" s="616"/>
      <c r="Y284" s="351"/>
      <c r="Z284" s="617"/>
      <c r="AA284" s="351"/>
      <c r="AB284" s="616"/>
      <c r="AC284" s="351"/>
      <c r="AD284" s="607"/>
      <c r="AE284" s="351"/>
      <c r="AF284" s="616"/>
      <c r="AG284" s="351"/>
      <c r="AH284" s="607"/>
      <c r="AI284" s="351"/>
      <c r="AJ284" s="616"/>
      <c r="AK284" s="351"/>
      <c r="AL284" s="622"/>
      <c r="AM284" s="350"/>
      <c r="AN284" s="350"/>
      <c r="AO284" s="350"/>
      <c r="AP284" s="350"/>
      <c r="AQ284" s="350"/>
      <c r="AR284" s="350"/>
      <c r="AS284" s="350"/>
      <c r="AT284" s="350"/>
      <c r="AU284" s="350"/>
      <c r="AV284" s="350"/>
      <c r="AW284" s="350"/>
      <c r="AX284" s="350"/>
      <c r="AY284" s="350"/>
      <c r="AZ284" s="350"/>
      <c r="BA284" s="350"/>
      <c r="BB284" s="351"/>
    </row>
    <row r="285" spans="1:54" ht="15.75" customHeight="1">
      <c r="A285" s="25">
        <f t="shared" si="1"/>
        <v>272</v>
      </c>
      <c r="B285" s="599" t="str">
        <f>'refer admin discharge'!B281</f>
        <v>x</v>
      </c>
      <c r="C285" s="351"/>
      <c r="D285" s="600" t="str">
        <f>'refer admin discharge'!D281</f>
        <v>xx</v>
      </c>
      <c r="E285" s="351"/>
      <c r="F285" s="609" t="str">
        <f>'refer admin discharge'!H281</f>
        <v>00/00/0000</v>
      </c>
      <c r="G285" s="351"/>
      <c r="H285" s="610"/>
      <c r="I285" s="351"/>
      <c r="J285" s="611"/>
      <c r="K285" s="351"/>
      <c r="L285" s="610"/>
      <c r="M285" s="351"/>
      <c r="N285" s="612"/>
      <c r="O285" s="351"/>
      <c r="P285" s="610"/>
      <c r="Q285" s="351"/>
      <c r="R285" s="612"/>
      <c r="S285" s="351"/>
      <c r="T285" s="610"/>
      <c r="U285" s="351"/>
      <c r="V285" s="613" t="str">
        <f>'refer admin discharge'!H286</f>
        <v>00/00/0000</v>
      </c>
      <c r="W285" s="351"/>
      <c r="X285" s="607"/>
      <c r="Y285" s="351"/>
      <c r="Z285" s="614"/>
      <c r="AA285" s="351"/>
      <c r="AB285" s="607"/>
      <c r="AC285" s="351"/>
      <c r="AD285" s="606"/>
      <c r="AE285" s="351"/>
      <c r="AF285" s="607"/>
      <c r="AG285" s="351"/>
      <c r="AH285" s="606"/>
      <c r="AI285" s="351"/>
      <c r="AJ285" s="607"/>
      <c r="AK285" s="351"/>
      <c r="AL285" s="608"/>
      <c r="AM285" s="350"/>
      <c r="AN285" s="350"/>
      <c r="AO285" s="350"/>
      <c r="AP285" s="350"/>
      <c r="AQ285" s="350"/>
      <c r="AR285" s="350"/>
      <c r="AS285" s="350"/>
      <c r="AT285" s="350"/>
      <c r="AU285" s="350"/>
      <c r="AV285" s="350"/>
      <c r="AW285" s="350"/>
      <c r="AX285" s="350"/>
      <c r="AY285" s="350"/>
      <c r="AZ285" s="350"/>
      <c r="BA285" s="350"/>
      <c r="BB285" s="351"/>
    </row>
    <row r="286" spans="1:54" ht="15.75" customHeight="1">
      <c r="A286" s="25">
        <f t="shared" si="1"/>
        <v>273</v>
      </c>
      <c r="B286" s="618" t="str">
        <f>'refer admin discharge'!B282</f>
        <v>x</v>
      </c>
      <c r="C286" s="351"/>
      <c r="D286" s="619" t="str">
        <f>'refer admin discharge'!D282</f>
        <v>xx</v>
      </c>
      <c r="E286" s="351"/>
      <c r="F286" s="620" t="str">
        <f>'refer admin discharge'!H282</f>
        <v>00/00/0000</v>
      </c>
      <c r="G286" s="351"/>
      <c r="H286" s="615"/>
      <c r="I286" s="351"/>
      <c r="J286" s="621"/>
      <c r="K286" s="351"/>
      <c r="L286" s="615"/>
      <c r="M286" s="351"/>
      <c r="N286" s="610"/>
      <c r="O286" s="351"/>
      <c r="P286" s="615"/>
      <c r="Q286" s="351"/>
      <c r="R286" s="610"/>
      <c r="S286" s="351"/>
      <c r="T286" s="615"/>
      <c r="U286" s="351"/>
      <c r="V286" s="613" t="str">
        <f>'refer admin discharge'!H287</f>
        <v>00/00/0000</v>
      </c>
      <c r="W286" s="351"/>
      <c r="X286" s="616"/>
      <c r="Y286" s="351"/>
      <c r="Z286" s="617"/>
      <c r="AA286" s="351"/>
      <c r="AB286" s="616"/>
      <c r="AC286" s="351"/>
      <c r="AD286" s="607"/>
      <c r="AE286" s="351"/>
      <c r="AF286" s="616"/>
      <c r="AG286" s="351"/>
      <c r="AH286" s="607"/>
      <c r="AI286" s="351"/>
      <c r="AJ286" s="616"/>
      <c r="AK286" s="351"/>
      <c r="AL286" s="622"/>
      <c r="AM286" s="350"/>
      <c r="AN286" s="350"/>
      <c r="AO286" s="350"/>
      <c r="AP286" s="350"/>
      <c r="AQ286" s="350"/>
      <c r="AR286" s="350"/>
      <c r="AS286" s="350"/>
      <c r="AT286" s="350"/>
      <c r="AU286" s="350"/>
      <c r="AV286" s="350"/>
      <c r="AW286" s="350"/>
      <c r="AX286" s="350"/>
      <c r="AY286" s="350"/>
      <c r="AZ286" s="350"/>
      <c r="BA286" s="350"/>
      <c r="BB286" s="351"/>
    </row>
    <row r="287" spans="1:54" ht="15.75" customHeight="1">
      <c r="A287" s="25">
        <f t="shared" si="1"/>
        <v>274</v>
      </c>
      <c r="B287" s="599" t="str">
        <f>'refer admin discharge'!B283</f>
        <v>x</v>
      </c>
      <c r="C287" s="351"/>
      <c r="D287" s="600" t="str">
        <f>'refer admin discharge'!D283</f>
        <v>xx</v>
      </c>
      <c r="E287" s="351"/>
      <c r="F287" s="609" t="str">
        <f>'refer admin discharge'!H283</f>
        <v>00/00/0000</v>
      </c>
      <c r="G287" s="351"/>
      <c r="H287" s="610"/>
      <c r="I287" s="351"/>
      <c r="J287" s="611"/>
      <c r="K287" s="351"/>
      <c r="L287" s="610"/>
      <c r="M287" s="351"/>
      <c r="N287" s="612"/>
      <c r="O287" s="351"/>
      <c r="P287" s="610"/>
      <c r="Q287" s="351"/>
      <c r="R287" s="612"/>
      <c r="S287" s="351"/>
      <c r="T287" s="610"/>
      <c r="U287" s="351"/>
      <c r="V287" s="613" t="str">
        <f>'refer admin discharge'!H288</f>
        <v>00/00/0000</v>
      </c>
      <c r="W287" s="351"/>
      <c r="X287" s="607"/>
      <c r="Y287" s="351"/>
      <c r="Z287" s="614"/>
      <c r="AA287" s="351"/>
      <c r="AB287" s="607"/>
      <c r="AC287" s="351"/>
      <c r="AD287" s="606"/>
      <c r="AE287" s="351"/>
      <c r="AF287" s="607"/>
      <c r="AG287" s="351"/>
      <c r="AH287" s="606"/>
      <c r="AI287" s="351"/>
      <c r="AJ287" s="607"/>
      <c r="AK287" s="351"/>
      <c r="AL287" s="608"/>
      <c r="AM287" s="350"/>
      <c r="AN287" s="350"/>
      <c r="AO287" s="350"/>
      <c r="AP287" s="350"/>
      <c r="AQ287" s="350"/>
      <c r="AR287" s="350"/>
      <c r="AS287" s="350"/>
      <c r="AT287" s="350"/>
      <c r="AU287" s="350"/>
      <c r="AV287" s="350"/>
      <c r="AW287" s="350"/>
      <c r="AX287" s="350"/>
      <c r="AY287" s="350"/>
      <c r="AZ287" s="350"/>
      <c r="BA287" s="350"/>
      <c r="BB287" s="351"/>
    </row>
    <row r="288" spans="1:54" ht="15.75" customHeight="1">
      <c r="A288" s="25">
        <f t="shared" si="1"/>
        <v>275</v>
      </c>
      <c r="B288" s="618" t="str">
        <f>'refer admin discharge'!B284</f>
        <v>x</v>
      </c>
      <c r="C288" s="351"/>
      <c r="D288" s="619" t="str">
        <f>'refer admin discharge'!D284</f>
        <v>xx</v>
      </c>
      <c r="E288" s="351"/>
      <c r="F288" s="620" t="str">
        <f>'refer admin discharge'!H284</f>
        <v>00/00/0000</v>
      </c>
      <c r="G288" s="351"/>
      <c r="H288" s="615"/>
      <c r="I288" s="351"/>
      <c r="J288" s="621"/>
      <c r="K288" s="351"/>
      <c r="L288" s="615"/>
      <c r="M288" s="351"/>
      <c r="N288" s="610"/>
      <c r="O288" s="351"/>
      <c r="P288" s="615"/>
      <c r="Q288" s="351"/>
      <c r="R288" s="610"/>
      <c r="S288" s="351"/>
      <c r="T288" s="615"/>
      <c r="U288" s="351"/>
      <c r="V288" s="613" t="str">
        <f>'refer admin discharge'!H289</f>
        <v>00/00/0000</v>
      </c>
      <c r="W288" s="351"/>
      <c r="X288" s="616"/>
      <c r="Y288" s="351"/>
      <c r="Z288" s="617"/>
      <c r="AA288" s="351"/>
      <c r="AB288" s="616"/>
      <c r="AC288" s="351"/>
      <c r="AD288" s="607"/>
      <c r="AE288" s="351"/>
      <c r="AF288" s="616"/>
      <c r="AG288" s="351"/>
      <c r="AH288" s="607"/>
      <c r="AI288" s="351"/>
      <c r="AJ288" s="616"/>
      <c r="AK288" s="351"/>
      <c r="AL288" s="622"/>
      <c r="AM288" s="350"/>
      <c r="AN288" s="350"/>
      <c r="AO288" s="350"/>
      <c r="AP288" s="350"/>
      <c r="AQ288" s="350"/>
      <c r="AR288" s="350"/>
      <c r="AS288" s="350"/>
      <c r="AT288" s="350"/>
      <c r="AU288" s="350"/>
      <c r="AV288" s="350"/>
      <c r="AW288" s="350"/>
      <c r="AX288" s="350"/>
      <c r="AY288" s="350"/>
      <c r="AZ288" s="350"/>
      <c r="BA288" s="350"/>
      <c r="BB288" s="351"/>
    </row>
    <row r="289" spans="1:54" ht="15.75" customHeight="1">
      <c r="A289" s="25">
        <f t="shared" si="1"/>
        <v>276</v>
      </c>
      <c r="B289" s="599" t="str">
        <f>'refer admin discharge'!B285</f>
        <v>x</v>
      </c>
      <c r="C289" s="351"/>
      <c r="D289" s="600" t="str">
        <f>'refer admin discharge'!D285</f>
        <v>xx</v>
      </c>
      <c r="E289" s="351"/>
      <c r="F289" s="609" t="str">
        <f>'refer admin discharge'!H285</f>
        <v>00/00/0000</v>
      </c>
      <c r="G289" s="351"/>
      <c r="H289" s="610"/>
      <c r="I289" s="351"/>
      <c r="J289" s="611"/>
      <c r="K289" s="351"/>
      <c r="L289" s="610"/>
      <c r="M289" s="351"/>
      <c r="N289" s="612"/>
      <c r="O289" s="351"/>
      <c r="P289" s="610"/>
      <c r="Q289" s="351"/>
      <c r="R289" s="612"/>
      <c r="S289" s="351"/>
      <c r="T289" s="610"/>
      <c r="U289" s="351"/>
      <c r="V289" s="613" t="str">
        <f>'refer admin discharge'!H290</f>
        <v>00/00/0000</v>
      </c>
      <c r="W289" s="351"/>
      <c r="X289" s="607"/>
      <c r="Y289" s="351"/>
      <c r="Z289" s="614"/>
      <c r="AA289" s="351"/>
      <c r="AB289" s="607"/>
      <c r="AC289" s="351"/>
      <c r="AD289" s="606"/>
      <c r="AE289" s="351"/>
      <c r="AF289" s="607"/>
      <c r="AG289" s="351"/>
      <c r="AH289" s="606"/>
      <c r="AI289" s="351"/>
      <c r="AJ289" s="607"/>
      <c r="AK289" s="351"/>
      <c r="AL289" s="608"/>
      <c r="AM289" s="350"/>
      <c r="AN289" s="350"/>
      <c r="AO289" s="350"/>
      <c r="AP289" s="350"/>
      <c r="AQ289" s="350"/>
      <c r="AR289" s="350"/>
      <c r="AS289" s="350"/>
      <c r="AT289" s="350"/>
      <c r="AU289" s="350"/>
      <c r="AV289" s="350"/>
      <c r="AW289" s="350"/>
      <c r="AX289" s="350"/>
      <c r="AY289" s="350"/>
      <c r="AZ289" s="350"/>
      <c r="BA289" s="350"/>
      <c r="BB289" s="351"/>
    </row>
    <row r="290" spans="1:54" ht="15.75" customHeight="1">
      <c r="A290" s="25">
        <f t="shared" si="1"/>
        <v>277</v>
      </c>
      <c r="B290" s="618" t="str">
        <f>'refer admin discharge'!B286</f>
        <v>x</v>
      </c>
      <c r="C290" s="351"/>
      <c r="D290" s="619" t="str">
        <f>'refer admin discharge'!D286</f>
        <v>xx</v>
      </c>
      <c r="E290" s="351"/>
      <c r="F290" s="620" t="str">
        <f>'refer admin discharge'!H286</f>
        <v>00/00/0000</v>
      </c>
      <c r="G290" s="351"/>
      <c r="H290" s="615"/>
      <c r="I290" s="351"/>
      <c r="J290" s="621"/>
      <c r="K290" s="351"/>
      <c r="L290" s="615"/>
      <c r="M290" s="351"/>
      <c r="N290" s="610"/>
      <c r="O290" s="351"/>
      <c r="P290" s="615"/>
      <c r="Q290" s="351"/>
      <c r="R290" s="610"/>
      <c r="S290" s="351"/>
      <c r="T290" s="615"/>
      <c r="U290" s="351"/>
      <c r="V290" s="613" t="str">
        <f>'refer admin discharge'!H291</f>
        <v>00/00/0000</v>
      </c>
      <c r="W290" s="351"/>
      <c r="X290" s="616"/>
      <c r="Y290" s="351"/>
      <c r="Z290" s="617"/>
      <c r="AA290" s="351"/>
      <c r="AB290" s="616"/>
      <c r="AC290" s="351"/>
      <c r="AD290" s="607"/>
      <c r="AE290" s="351"/>
      <c r="AF290" s="616"/>
      <c r="AG290" s="351"/>
      <c r="AH290" s="607"/>
      <c r="AI290" s="351"/>
      <c r="AJ290" s="616"/>
      <c r="AK290" s="351"/>
      <c r="AL290" s="622"/>
      <c r="AM290" s="350"/>
      <c r="AN290" s="350"/>
      <c r="AO290" s="350"/>
      <c r="AP290" s="350"/>
      <c r="AQ290" s="350"/>
      <c r="AR290" s="350"/>
      <c r="AS290" s="350"/>
      <c r="AT290" s="350"/>
      <c r="AU290" s="350"/>
      <c r="AV290" s="350"/>
      <c r="AW290" s="350"/>
      <c r="AX290" s="350"/>
      <c r="AY290" s="350"/>
      <c r="AZ290" s="350"/>
      <c r="BA290" s="350"/>
      <c r="BB290" s="351"/>
    </row>
    <row r="291" spans="1:54" ht="15.75" customHeight="1">
      <c r="A291" s="25">
        <f t="shared" si="1"/>
        <v>278</v>
      </c>
      <c r="B291" s="599" t="str">
        <f>'refer admin discharge'!B287</f>
        <v>x</v>
      </c>
      <c r="C291" s="351"/>
      <c r="D291" s="600" t="str">
        <f>'refer admin discharge'!D287</f>
        <v>xx</v>
      </c>
      <c r="E291" s="351"/>
      <c r="F291" s="609" t="str">
        <f>'refer admin discharge'!H287</f>
        <v>00/00/0000</v>
      </c>
      <c r="G291" s="351"/>
      <c r="H291" s="610"/>
      <c r="I291" s="351"/>
      <c r="J291" s="611"/>
      <c r="K291" s="351"/>
      <c r="L291" s="610"/>
      <c r="M291" s="351"/>
      <c r="N291" s="612"/>
      <c r="O291" s="351"/>
      <c r="P291" s="610"/>
      <c r="Q291" s="351"/>
      <c r="R291" s="612"/>
      <c r="S291" s="351"/>
      <c r="T291" s="610"/>
      <c r="U291" s="351"/>
      <c r="V291" s="613" t="str">
        <f>'refer admin discharge'!H292</f>
        <v>00/00/0000</v>
      </c>
      <c r="W291" s="351"/>
      <c r="X291" s="607"/>
      <c r="Y291" s="351"/>
      <c r="Z291" s="614"/>
      <c r="AA291" s="351"/>
      <c r="AB291" s="607"/>
      <c r="AC291" s="351"/>
      <c r="AD291" s="606"/>
      <c r="AE291" s="351"/>
      <c r="AF291" s="607"/>
      <c r="AG291" s="351"/>
      <c r="AH291" s="606"/>
      <c r="AI291" s="351"/>
      <c r="AJ291" s="607"/>
      <c r="AK291" s="351"/>
      <c r="AL291" s="608"/>
      <c r="AM291" s="350"/>
      <c r="AN291" s="350"/>
      <c r="AO291" s="350"/>
      <c r="AP291" s="350"/>
      <c r="AQ291" s="350"/>
      <c r="AR291" s="350"/>
      <c r="AS291" s="350"/>
      <c r="AT291" s="350"/>
      <c r="AU291" s="350"/>
      <c r="AV291" s="350"/>
      <c r="AW291" s="350"/>
      <c r="AX291" s="350"/>
      <c r="AY291" s="350"/>
      <c r="AZ291" s="350"/>
      <c r="BA291" s="350"/>
      <c r="BB291" s="351"/>
    </row>
    <row r="292" spans="1:54" ht="15.75" customHeight="1">
      <c r="A292" s="25">
        <f t="shared" si="1"/>
        <v>279</v>
      </c>
      <c r="B292" s="618" t="str">
        <f>'refer admin discharge'!B288</f>
        <v>x</v>
      </c>
      <c r="C292" s="351"/>
      <c r="D292" s="619" t="str">
        <f>'refer admin discharge'!D288</f>
        <v>xx</v>
      </c>
      <c r="E292" s="351"/>
      <c r="F292" s="620" t="str">
        <f>'refer admin discharge'!H288</f>
        <v>00/00/0000</v>
      </c>
      <c r="G292" s="351"/>
      <c r="H292" s="615"/>
      <c r="I292" s="351"/>
      <c r="J292" s="621"/>
      <c r="K292" s="351"/>
      <c r="L292" s="615"/>
      <c r="M292" s="351"/>
      <c r="N292" s="610"/>
      <c r="O292" s="351"/>
      <c r="P292" s="615"/>
      <c r="Q292" s="351"/>
      <c r="R292" s="610"/>
      <c r="S292" s="351"/>
      <c r="T292" s="615"/>
      <c r="U292" s="351"/>
      <c r="V292" s="613" t="str">
        <f>'refer admin discharge'!H293</f>
        <v>00/00/0000</v>
      </c>
      <c r="W292" s="351"/>
      <c r="X292" s="616"/>
      <c r="Y292" s="351"/>
      <c r="Z292" s="617"/>
      <c r="AA292" s="351"/>
      <c r="AB292" s="616"/>
      <c r="AC292" s="351"/>
      <c r="AD292" s="607"/>
      <c r="AE292" s="351"/>
      <c r="AF292" s="616"/>
      <c r="AG292" s="351"/>
      <c r="AH292" s="607"/>
      <c r="AI292" s="351"/>
      <c r="AJ292" s="616"/>
      <c r="AK292" s="351"/>
      <c r="AL292" s="622"/>
      <c r="AM292" s="350"/>
      <c r="AN292" s="350"/>
      <c r="AO292" s="350"/>
      <c r="AP292" s="350"/>
      <c r="AQ292" s="350"/>
      <c r="AR292" s="350"/>
      <c r="AS292" s="350"/>
      <c r="AT292" s="350"/>
      <c r="AU292" s="350"/>
      <c r="AV292" s="350"/>
      <c r="AW292" s="350"/>
      <c r="AX292" s="350"/>
      <c r="AY292" s="350"/>
      <c r="AZ292" s="350"/>
      <c r="BA292" s="350"/>
      <c r="BB292" s="351"/>
    </row>
    <row r="293" spans="1:54" ht="15.75" customHeight="1">
      <c r="A293" s="25">
        <f t="shared" si="1"/>
        <v>280</v>
      </c>
      <c r="B293" s="599" t="str">
        <f>'refer admin discharge'!B289</f>
        <v>x</v>
      </c>
      <c r="C293" s="351"/>
      <c r="D293" s="600" t="str">
        <f>'refer admin discharge'!D289</f>
        <v>xx</v>
      </c>
      <c r="E293" s="351"/>
      <c r="F293" s="609" t="str">
        <f>'refer admin discharge'!H289</f>
        <v>00/00/0000</v>
      </c>
      <c r="G293" s="351"/>
      <c r="H293" s="610"/>
      <c r="I293" s="351"/>
      <c r="J293" s="611"/>
      <c r="K293" s="351"/>
      <c r="L293" s="610"/>
      <c r="M293" s="351"/>
      <c r="N293" s="612"/>
      <c r="O293" s="351"/>
      <c r="P293" s="610"/>
      <c r="Q293" s="351"/>
      <c r="R293" s="612"/>
      <c r="S293" s="351"/>
      <c r="T293" s="610"/>
      <c r="U293" s="351"/>
      <c r="V293" s="613" t="str">
        <f>'refer admin discharge'!H294</f>
        <v>00/00/0000</v>
      </c>
      <c r="W293" s="351"/>
      <c r="X293" s="607"/>
      <c r="Y293" s="351"/>
      <c r="Z293" s="614"/>
      <c r="AA293" s="351"/>
      <c r="AB293" s="607"/>
      <c r="AC293" s="351"/>
      <c r="AD293" s="606"/>
      <c r="AE293" s="351"/>
      <c r="AF293" s="607"/>
      <c r="AG293" s="351"/>
      <c r="AH293" s="606"/>
      <c r="AI293" s="351"/>
      <c r="AJ293" s="607"/>
      <c r="AK293" s="351"/>
      <c r="AL293" s="608"/>
      <c r="AM293" s="350"/>
      <c r="AN293" s="350"/>
      <c r="AO293" s="350"/>
      <c r="AP293" s="350"/>
      <c r="AQ293" s="350"/>
      <c r="AR293" s="350"/>
      <c r="AS293" s="350"/>
      <c r="AT293" s="350"/>
      <c r="AU293" s="350"/>
      <c r="AV293" s="350"/>
      <c r="AW293" s="350"/>
      <c r="AX293" s="350"/>
      <c r="AY293" s="350"/>
      <c r="AZ293" s="350"/>
      <c r="BA293" s="350"/>
      <c r="BB293" s="351"/>
    </row>
    <row r="294" spans="1:54" ht="15.75" customHeight="1">
      <c r="A294" s="25">
        <f t="shared" si="1"/>
        <v>281</v>
      </c>
      <c r="B294" s="618" t="str">
        <f>'refer admin discharge'!B290</f>
        <v>x</v>
      </c>
      <c r="C294" s="351"/>
      <c r="D294" s="619" t="str">
        <f>'refer admin discharge'!D290</f>
        <v>xx</v>
      </c>
      <c r="E294" s="351"/>
      <c r="F294" s="620" t="str">
        <f>'refer admin discharge'!H290</f>
        <v>00/00/0000</v>
      </c>
      <c r="G294" s="351"/>
      <c r="H294" s="615"/>
      <c r="I294" s="351"/>
      <c r="J294" s="621"/>
      <c r="K294" s="351"/>
      <c r="L294" s="615"/>
      <c r="M294" s="351"/>
      <c r="N294" s="610"/>
      <c r="O294" s="351"/>
      <c r="P294" s="615"/>
      <c r="Q294" s="351"/>
      <c r="R294" s="610"/>
      <c r="S294" s="351"/>
      <c r="T294" s="615"/>
      <c r="U294" s="351"/>
      <c r="V294" s="613" t="str">
        <f>'refer admin discharge'!H295</f>
        <v>00/00/0000</v>
      </c>
      <c r="W294" s="351"/>
      <c r="X294" s="616"/>
      <c r="Y294" s="351"/>
      <c r="Z294" s="617"/>
      <c r="AA294" s="351"/>
      <c r="AB294" s="616"/>
      <c r="AC294" s="351"/>
      <c r="AD294" s="607"/>
      <c r="AE294" s="351"/>
      <c r="AF294" s="616"/>
      <c r="AG294" s="351"/>
      <c r="AH294" s="607"/>
      <c r="AI294" s="351"/>
      <c r="AJ294" s="616"/>
      <c r="AK294" s="351"/>
      <c r="AL294" s="622"/>
      <c r="AM294" s="350"/>
      <c r="AN294" s="350"/>
      <c r="AO294" s="350"/>
      <c r="AP294" s="350"/>
      <c r="AQ294" s="350"/>
      <c r="AR294" s="350"/>
      <c r="AS294" s="350"/>
      <c r="AT294" s="350"/>
      <c r="AU294" s="350"/>
      <c r="AV294" s="350"/>
      <c r="AW294" s="350"/>
      <c r="AX294" s="350"/>
      <c r="AY294" s="350"/>
      <c r="AZ294" s="350"/>
      <c r="BA294" s="350"/>
      <c r="BB294" s="351"/>
    </row>
    <row r="295" spans="1:54" ht="15.75" customHeight="1">
      <c r="A295" s="25">
        <f t="shared" si="1"/>
        <v>282</v>
      </c>
      <c r="B295" s="599" t="str">
        <f>'refer admin discharge'!B291</f>
        <v>x</v>
      </c>
      <c r="C295" s="351"/>
      <c r="D295" s="600" t="str">
        <f>'refer admin discharge'!D291</f>
        <v>xx</v>
      </c>
      <c r="E295" s="351"/>
      <c r="F295" s="609" t="str">
        <f>'refer admin discharge'!H291</f>
        <v>00/00/0000</v>
      </c>
      <c r="G295" s="351"/>
      <c r="H295" s="610"/>
      <c r="I295" s="351"/>
      <c r="J295" s="611"/>
      <c r="K295" s="351"/>
      <c r="L295" s="610"/>
      <c r="M295" s="351"/>
      <c r="N295" s="612"/>
      <c r="O295" s="351"/>
      <c r="P295" s="610"/>
      <c r="Q295" s="351"/>
      <c r="R295" s="612"/>
      <c r="S295" s="351"/>
      <c r="T295" s="610"/>
      <c r="U295" s="351"/>
      <c r="V295" s="613" t="str">
        <f>'refer admin discharge'!H296</f>
        <v>00/00/0000</v>
      </c>
      <c r="W295" s="351"/>
      <c r="X295" s="607"/>
      <c r="Y295" s="351"/>
      <c r="Z295" s="614"/>
      <c r="AA295" s="351"/>
      <c r="AB295" s="607"/>
      <c r="AC295" s="351"/>
      <c r="AD295" s="606"/>
      <c r="AE295" s="351"/>
      <c r="AF295" s="607"/>
      <c r="AG295" s="351"/>
      <c r="AH295" s="606"/>
      <c r="AI295" s="351"/>
      <c r="AJ295" s="607"/>
      <c r="AK295" s="351"/>
      <c r="AL295" s="608"/>
      <c r="AM295" s="350"/>
      <c r="AN295" s="350"/>
      <c r="AO295" s="350"/>
      <c r="AP295" s="350"/>
      <c r="AQ295" s="350"/>
      <c r="AR295" s="350"/>
      <c r="AS295" s="350"/>
      <c r="AT295" s="350"/>
      <c r="AU295" s="350"/>
      <c r="AV295" s="350"/>
      <c r="AW295" s="350"/>
      <c r="AX295" s="350"/>
      <c r="AY295" s="350"/>
      <c r="AZ295" s="350"/>
      <c r="BA295" s="350"/>
      <c r="BB295" s="351"/>
    </row>
    <row r="296" spans="1:54" ht="15.75" customHeight="1">
      <c r="A296" s="25">
        <f t="shared" si="1"/>
        <v>283</v>
      </c>
      <c r="B296" s="618" t="str">
        <f>'refer admin discharge'!B292</f>
        <v>x</v>
      </c>
      <c r="C296" s="351"/>
      <c r="D296" s="619" t="str">
        <f>'refer admin discharge'!D292</f>
        <v>xx</v>
      </c>
      <c r="E296" s="351"/>
      <c r="F296" s="620" t="str">
        <f>'refer admin discharge'!H292</f>
        <v>00/00/0000</v>
      </c>
      <c r="G296" s="351"/>
      <c r="H296" s="615"/>
      <c r="I296" s="351"/>
      <c r="J296" s="621"/>
      <c r="K296" s="351"/>
      <c r="L296" s="615"/>
      <c r="M296" s="351"/>
      <c r="N296" s="610"/>
      <c r="O296" s="351"/>
      <c r="P296" s="615"/>
      <c r="Q296" s="351"/>
      <c r="R296" s="610"/>
      <c r="S296" s="351"/>
      <c r="T296" s="615"/>
      <c r="U296" s="351"/>
      <c r="V296" s="613" t="str">
        <f>'refer admin discharge'!H297</f>
        <v>00/00/0000</v>
      </c>
      <c r="W296" s="351"/>
      <c r="X296" s="616"/>
      <c r="Y296" s="351"/>
      <c r="Z296" s="617"/>
      <c r="AA296" s="351"/>
      <c r="AB296" s="616"/>
      <c r="AC296" s="351"/>
      <c r="AD296" s="607"/>
      <c r="AE296" s="351"/>
      <c r="AF296" s="616"/>
      <c r="AG296" s="351"/>
      <c r="AH296" s="607"/>
      <c r="AI296" s="351"/>
      <c r="AJ296" s="616"/>
      <c r="AK296" s="351"/>
      <c r="AL296" s="622"/>
      <c r="AM296" s="350"/>
      <c r="AN296" s="350"/>
      <c r="AO296" s="350"/>
      <c r="AP296" s="350"/>
      <c r="AQ296" s="350"/>
      <c r="AR296" s="350"/>
      <c r="AS296" s="350"/>
      <c r="AT296" s="350"/>
      <c r="AU296" s="350"/>
      <c r="AV296" s="350"/>
      <c r="AW296" s="350"/>
      <c r="AX296" s="350"/>
      <c r="AY296" s="350"/>
      <c r="AZ296" s="350"/>
      <c r="BA296" s="350"/>
      <c r="BB296" s="351"/>
    </row>
    <row r="297" spans="1:54" ht="15.75" customHeight="1">
      <c r="A297" s="25">
        <f t="shared" si="1"/>
        <v>284</v>
      </c>
      <c r="B297" s="599" t="str">
        <f>'refer admin discharge'!B293</f>
        <v>x</v>
      </c>
      <c r="C297" s="351"/>
      <c r="D297" s="600" t="str">
        <f>'refer admin discharge'!D293</f>
        <v>xx</v>
      </c>
      <c r="E297" s="351"/>
      <c r="F297" s="609" t="str">
        <f>'refer admin discharge'!H293</f>
        <v>00/00/0000</v>
      </c>
      <c r="G297" s="351"/>
      <c r="H297" s="610"/>
      <c r="I297" s="351"/>
      <c r="J297" s="611"/>
      <c r="K297" s="351"/>
      <c r="L297" s="610"/>
      <c r="M297" s="351"/>
      <c r="N297" s="612"/>
      <c r="O297" s="351"/>
      <c r="P297" s="610"/>
      <c r="Q297" s="351"/>
      <c r="R297" s="612"/>
      <c r="S297" s="351"/>
      <c r="T297" s="610"/>
      <c r="U297" s="351"/>
      <c r="V297" s="613" t="str">
        <f>'refer admin discharge'!H298</f>
        <v>00/00/0000</v>
      </c>
      <c r="W297" s="351"/>
      <c r="X297" s="607"/>
      <c r="Y297" s="351"/>
      <c r="Z297" s="614"/>
      <c r="AA297" s="351"/>
      <c r="AB297" s="607"/>
      <c r="AC297" s="351"/>
      <c r="AD297" s="606"/>
      <c r="AE297" s="351"/>
      <c r="AF297" s="607"/>
      <c r="AG297" s="351"/>
      <c r="AH297" s="606"/>
      <c r="AI297" s="351"/>
      <c r="AJ297" s="607"/>
      <c r="AK297" s="351"/>
      <c r="AL297" s="608"/>
      <c r="AM297" s="350"/>
      <c r="AN297" s="350"/>
      <c r="AO297" s="350"/>
      <c r="AP297" s="350"/>
      <c r="AQ297" s="350"/>
      <c r="AR297" s="350"/>
      <c r="AS297" s="350"/>
      <c r="AT297" s="350"/>
      <c r="AU297" s="350"/>
      <c r="AV297" s="350"/>
      <c r="AW297" s="350"/>
      <c r="AX297" s="350"/>
      <c r="AY297" s="350"/>
      <c r="AZ297" s="350"/>
      <c r="BA297" s="350"/>
      <c r="BB297" s="351"/>
    </row>
    <row r="298" spans="1:54" ht="15.75" customHeight="1">
      <c r="A298" s="25">
        <f t="shared" si="1"/>
        <v>285</v>
      </c>
      <c r="B298" s="618" t="str">
        <f>'refer admin discharge'!B294</f>
        <v>x</v>
      </c>
      <c r="C298" s="351"/>
      <c r="D298" s="619" t="str">
        <f>'refer admin discharge'!D294</f>
        <v>xx</v>
      </c>
      <c r="E298" s="351"/>
      <c r="F298" s="620" t="str">
        <f>'refer admin discharge'!H294</f>
        <v>00/00/0000</v>
      </c>
      <c r="G298" s="351"/>
      <c r="H298" s="615"/>
      <c r="I298" s="351"/>
      <c r="J298" s="621"/>
      <c r="K298" s="351"/>
      <c r="L298" s="615"/>
      <c r="M298" s="351"/>
      <c r="N298" s="610"/>
      <c r="O298" s="351"/>
      <c r="P298" s="615"/>
      <c r="Q298" s="351"/>
      <c r="R298" s="610"/>
      <c r="S298" s="351"/>
      <c r="T298" s="615"/>
      <c r="U298" s="351"/>
      <c r="V298" s="613" t="str">
        <f>'refer admin discharge'!H299</f>
        <v>00/00/0000</v>
      </c>
      <c r="W298" s="351"/>
      <c r="X298" s="616"/>
      <c r="Y298" s="351"/>
      <c r="Z298" s="617"/>
      <c r="AA298" s="351"/>
      <c r="AB298" s="616"/>
      <c r="AC298" s="351"/>
      <c r="AD298" s="607"/>
      <c r="AE298" s="351"/>
      <c r="AF298" s="616"/>
      <c r="AG298" s="351"/>
      <c r="AH298" s="607"/>
      <c r="AI298" s="351"/>
      <c r="AJ298" s="616"/>
      <c r="AK298" s="351"/>
      <c r="AL298" s="622"/>
      <c r="AM298" s="350"/>
      <c r="AN298" s="350"/>
      <c r="AO298" s="350"/>
      <c r="AP298" s="350"/>
      <c r="AQ298" s="350"/>
      <c r="AR298" s="350"/>
      <c r="AS298" s="350"/>
      <c r="AT298" s="350"/>
      <c r="AU298" s="350"/>
      <c r="AV298" s="350"/>
      <c r="AW298" s="350"/>
      <c r="AX298" s="350"/>
      <c r="AY298" s="350"/>
      <c r="AZ298" s="350"/>
      <c r="BA298" s="350"/>
      <c r="BB298" s="351"/>
    </row>
    <row r="299" spans="1:54" ht="15.75" customHeight="1">
      <c r="A299" s="25">
        <f t="shared" si="1"/>
        <v>286</v>
      </c>
      <c r="B299" s="599" t="str">
        <f>'refer admin discharge'!B295</f>
        <v>x</v>
      </c>
      <c r="C299" s="351"/>
      <c r="D299" s="600" t="str">
        <f>'refer admin discharge'!D295</f>
        <v>xx</v>
      </c>
      <c r="E299" s="351"/>
      <c r="F299" s="609" t="str">
        <f>'refer admin discharge'!H295</f>
        <v>00/00/0000</v>
      </c>
      <c r="G299" s="351"/>
      <c r="H299" s="610"/>
      <c r="I299" s="351"/>
      <c r="J299" s="611"/>
      <c r="K299" s="351"/>
      <c r="L299" s="610"/>
      <c r="M299" s="351"/>
      <c r="N299" s="612"/>
      <c r="O299" s="351"/>
      <c r="P299" s="610"/>
      <c r="Q299" s="351"/>
      <c r="R299" s="612"/>
      <c r="S299" s="351"/>
      <c r="T299" s="610"/>
      <c r="U299" s="351"/>
      <c r="V299" s="613" t="str">
        <f>'refer admin discharge'!H300</f>
        <v>00/00/0000</v>
      </c>
      <c r="W299" s="351"/>
      <c r="X299" s="607"/>
      <c r="Y299" s="351"/>
      <c r="Z299" s="614"/>
      <c r="AA299" s="351"/>
      <c r="AB299" s="607"/>
      <c r="AC299" s="351"/>
      <c r="AD299" s="606"/>
      <c r="AE299" s="351"/>
      <c r="AF299" s="607"/>
      <c r="AG299" s="351"/>
      <c r="AH299" s="606"/>
      <c r="AI299" s="351"/>
      <c r="AJ299" s="607"/>
      <c r="AK299" s="351"/>
      <c r="AL299" s="608"/>
      <c r="AM299" s="350"/>
      <c r="AN299" s="350"/>
      <c r="AO299" s="350"/>
      <c r="AP299" s="350"/>
      <c r="AQ299" s="350"/>
      <c r="AR299" s="350"/>
      <c r="AS299" s="350"/>
      <c r="AT299" s="350"/>
      <c r="AU299" s="350"/>
      <c r="AV299" s="350"/>
      <c r="AW299" s="350"/>
      <c r="AX299" s="350"/>
      <c r="AY299" s="350"/>
      <c r="AZ299" s="350"/>
      <c r="BA299" s="350"/>
      <c r="BB299" s="351"/>
    </row>
    <row r="300" spans="1:54" ht="15.75" customHeight="1">
      <c r="A300" s="25">
        <f t="shared" si="1"/>
        <v>287</v>
      </c>
      <c r="B300" s="618" t="str">
        <f>'refer admin discharge'!B296</f>
        <v>x</v>
      </c>
      <c r="C300" s="351"/>
      <c r="D300" s="619" t="str">
        <f>'refer admin discharge'!D296</f>
        <v>xx</v>
      </c>
      <c r="E300" s="351"/>
      <c r="F300" s="620" t="str">
        <f>'refer admin discharge'!H296</f>
        <v>00/00/0000</v>
      </c>
      <c r="G300" s="351"/>
      <c r="H300" s="615"/>
      <c r="I300" s="351"/>
      <c r="J300" s="621"/>
      <c r="K300" s="351"/>
      <c r="L300" s="615"/>
      <c r="M300" s="351"/>
      <c r="N300" s="610"/>
      <c r="O300" s="351"/>
      <c r="P300" s="615"/>
      <c r="Q300" s="351"/>
      <c r="R300" s="610"/>
      <c r="S300" s="351"/>
      <c r="T300" s="615"/>
      <c r="U300" s="351"/>
      <c r="V300" s="613" t="str">
        <f>'refer admin discharge'!H301</f>
        <v>00/00/0000</v>
      </c>
      <c r="W300" s="351"/>
      <c r="X300" s="616"/>
      <c r="Y300" s="351"/>
      <c r="Z300" s="617"/>
      <c r="AA300" s="351"/>
      <c r="AB300" s="616"/>
      <c r="AC300" s="351"/>
      <c r="AD300" s="607"/>
      <c r="AE300" s="351"/>
      <c r="AF300" s="616"/>
      <c r="AG300" s="351"/>
      <c r="AH300" s="607"/>
      <c r="AI300" s="351"/>
      <c r="AJ300" s="616"/>
      <c r="AK300" s="351"/>
      <c r="AL300" s="622"/>
      <c r="AM300" s="350"/>
      <c r="AN300" s="350"/>
      <c r="AO300" s="350"/>
      <c r="AP300" s="350"/>
      <c r="AQ300" s="350"/>
      <c r="AR300" s="350"/>
      <c r="AS300" s="350"/>
      <c r="AT300" s="350"/>
      <c r="AU300" s="350"/>
      <c r="AV300" s="350"/>
      <c r="AW300" s="350"/>
      <c r="AX300" s="350"/>
      <c r="AY300" s="350"/>
      <c r="AZ300" s="350"/>
      <c r="BA300" s="350"/>
      <c r="BB300" s="351"/>
    </row>
    <row r="301" spans="1:54" ht="15.75" customHeight="1">
      <c r="A301" s="25">
        <f t="shared" si="1"/>
        <v>288</v>
      </c>
      <c r="B301" s="599" t="str">
        <f>'refer admin discharge'!B297</f>
        <v>x</v>
      </c>
      <c r="C301" s="351"/>
      <c r="D301" s="600" t="str">
        <f>'refer admin discharge'!D297</f>
        <v>xx</v>
      </c>
      <c r="E301" s="351"/>
      <c r="F301" s="609" t="str">
        <f>'refer admin discharge'!H297</f>
        <v>00/00/0000</v>
      </c>
      <c r="G301" s="351"/>
      <c r="H301" s="610"/>
      <c r="I301" s="351"/>
      <c r="J301" s="611"/>
      <c r="K301" s="351"/>
      <c r="L301" s="610"/>
      <c r="M301" s="351"/>
      <c r="N301" s="612"/>
      <c r="O301" s="351"/>
      <c r="P301" s="610"/>
      <c r="Q301" s="351"/>
      <c r="R301" s="612"/>
      <c r="S301" s="351"/>
      <c r="T301" s="610"/>
      <c r="U301" s="351"/>
      <c r="V301" s="613" t="str">
        <f>'refer admin discharge'!H302</f>
        <v>00/00/0000</v>
      </c>
      <c r="W301" s="351"/>
      <c r="X301" s="607"/>
      <c r="Y301" s="351"/>
      <c r="Z301" s="614"/>
      <c r="AA301" s="351"/>
      <c r="AB301" s="607"/>
      <c r="AC301" s="351"/>
      <c r="AD301" s="606"/>
      <c r="AE301" s="351"/>
      <c r="AF301" s="607"/>
      <c r="AG301" s="351"/>
      <c r="AH301" s="606"/>
      <c r="AI301" s="351"/>
      <c r="AJ301" s="607"/>
      <c r="AK301" s="351"/>
      <c r="AL301" s="608"/>
      <c r="AM301" s="350"/>
      <c r="AN301" s="350"/>
      <c r="AO301" s="350"/>
      <c r="AP301" s="350"/>
      <c r="AQ301" s="350"/>
      <c r="AR301" s="350"/>
      <c r="AS301" s="350"/>
      <c r="AT301" s="350"/>
      <c r="AU301" s="350"/>
      <c r="AV301" s="350"/>
      <c r="AW301" s="350"/>
      <c r="AX301" s="350"/>
      <c r="AY301" s="350"/>
      <c r="AZ301" s="350"/>
      <c r="BA301" s="350"/>
      <c r="BB301" s="351"/>
    </row>
    <row r="302" spans="1:54" ht="15.75" customHeight="1">
      <c r="A302" s="25">
        <f t="shared" si="1"/>
        <v>289</v>
      </c>
      <c r="B302" s="618" t="str">
        <f>'refer admin discharge'!B298</f>
        <v>x</v>
      </c>
      <c r="C302" s="351"/>
      <c r="D302" s="619" t="str">
        <f>'refer admin discharge'!D298</f>
        <v>xx</v>
      </c>
      <c r="E302" s="351"/>
      <c r="F302" s="620" t="str">
        <f>'refer admin discharge'!H298</f>
        <v>00/00/0000</v>
      </c>
      <c r="G302" s="351"/>
      <c r="H302" s="615"/>
      <c r="I302" s="351"/>
      <c r="J302" s="621"/>
      <c r="K302" s="351"/>
      <c r="L302" s="615"/>
      <c r="M302" s="351"/>
      <c r="N302" s="610"/>
      <c r="O302" s="351"/>
      <c r="P302" s="615"/>
      <c r="Q302" s="351"/>
      <c r="R302" s="610"/>
      <c r="S302" s="351"/>
      <c r="T302" s="615"/>
      <c r="U302" s="351"/>
      <c r="V302" s="613" t="str">
        <f>'refer admin discharge'!H303</f>
        <v>00/00/0000</v>
      </c>
      <c r="W302" s="351"/>
      <c r="X302" s="616"/>
      <c r="Y302" s="351"/>
      <c r="Z302" s="617"/>
      <c r="AA302" s="351"/>
      <c r="AB302" s="616"/>
      <c r="AC302" s="351"/>
      <c r="AD302" s="607"/>
      <c r="AE302" s="351"/>
      <c r="AF302" s="616"/>
      <c r="AG302" s="351"/>
      <c r="AH302" s="607"/>
      <c r="AI302" s="351"/>
      <c r="AJ302" s="616"/>
      <c r="AK302" s="351"/>
      <c r="AL302" s="622"/>
      <c r="AM302" s="350"/>
      <c r="AN302" s="350"/>
      <c r="AO302" s="350"/>
      <c r="AP302" s="350"/>
      <c r="AQ302" s="350"/>
      <c r="AR302" s="350"/>
      <c r="AS302" s="350"/>
      <c r="AT302" s="350"/>
      <c r="AU302" s="350"/>
      <c r="AV302" s="350"/>
      <c r="AW302" s="350"/>
      <c r="AX302" s="350"/>
      <c r="AY302" s="350"/>
      <c r="AZ302" s="350"/>
      <c r="BA302" s="350"/>
      <c r="BB302" s="351"/>
    </row>
    <row r="303" spans="1:54" ht="15.75" customHeight="1">
      <c r="A303" s="25">
        <f t="shared" si="1"/>
        <v>290</v>
      </c>
      <c r="B303" s="599" t="str">
        <f>'refer admin discharge'!B299</f>
        <v>x</v>
      </c>
      <c r="C303" s="351"/>
      <c r="D303" s="600" t="str">
        <f>'refer admin discharge'!D299</f>
        <v>xx</v>
      </c>
      <c r="E303" s="351"/>
      <c r="F303" s="609" t="str">
        <f>'refer admin discharge'!H299</f>
        <v>00/00/0000</v>
      </c>
      <c r="G303" s="351"/>
      <c r="H303" s="610"/>
      <c r="I303" s="351"/>
      <c r="J303" s="611"/>
      <c r="K303" s="351"/>
      <c r="L303" s="610"/>
      <c r="M303" s="351"/>
      <c r="N303" s="612"/>
      <c r="O303" s="351"/>
      <c r="P303" s="610"/>
      <c r="Q303" s="351"/>
      <c r="R303" s="612"/>
      <c r="S303" s="351"/>
      <c r="T303" s="610"/>
      <c r="U303" s="351"/>
      <c r="V303" s="613" t="str">
        <f>'refer admin discharge'!H304</f>
        <v>00/00/0000</v>
      </c>
      <c r="W303" s="351"/>
      <c r="X303" s="607"/>
      <c r="Y303" s="351"/>
      <c r="Z303" s="614"/>
      <c r="AA303" s="351"/>
      <c r="AB303" s="607"/>
      <c r="AC303" s="351"/>
      <c r="AD303" s="606"/>
      <c r="AE303" s="351"/>
      <c r="AF303" s="607"/>
      <c r="AG303" s="351"/>
      <c r="AH303" s="606"/>
      <c r="AI303" s="351"/>
      <c r="AJ303" s="607"/>
      <c r="AK303" s="351"/>
      <c r="AL303" s="608"/>
      <c r="AM303" s="350"/>
      <c r="AN303" s="350"/>
      <c r="AO303" s="350"/>
      <c r="AP303" s="350"/>
      <c r="AQ303" s="350"/>
      <c r="AR303" s="350"/>
      <c r="AS303" s="350"/>
      <c r="AT303" s="350"/>
      <c r="AU303" s="350"/>
      <c r="AV303" s="350"/>
      <c r="AW303" s="350"/>
      <c r="AX303" s="350"/>
      <c r="AY303" s="350"/>
      <c r="AZ303" s="350"/>
      <c r="BA303" s="350"/>
      <c r="BB303" s="351"/>
    </row>
    <row r="304" spans="1:54" ht="15.75" customHeight="1">
      <c r="A304" s="25">
        <f t="shared" si="1"/>
        <v>291</v>
      </c>
      <c r="B304" s="618" t="str">
        <f>'refer admin discharge'!B300</f>
        <v>x</v>
      </c>
      <c r="C304" s="351"/>
      <c r="D304" s="619" t="str">
        <f>'refer admin discharge'!D300</f>
        <v>xx</v>
      </c>
      <c r="E304" s="351"/>
      <c r="F304" s="620" t="str">
        <f>'refer admin discharge'!H300</f>
        <v>00/00/0000</v>
      </c>
      <c r="G304" s="351"/>
      <c r="H304" s="615"/>
      <c r="I304" s="351"/>
      <c r="J304" s="621"/>
      <c r="K304" s="351"/>
      <c r="L304" s="615"/>
      <c r="M304" s="351"/>
      <c r="N304" s="610"/>
      <c r="O304" s="351"/>
      <c r="P304" s="615"/>
      <c r="Q304" s="351"/>
      <c r="R304" s="610"/>
      <c r="S304" s="351"/>
      <c r="T304" s="615"/>
      <c r="U304" s="351"/>
      <c r="V304" s="613" t="str">
        <f>'refer admin discharge'!H305</f>
        <v>00/00/0000</v>
      </c>
      <c r="W304" s="351"/>
      <c r="X304" s="616"/>
      <c r="Y304" s="351"/>
      <c r="Z304" s="617"/>
      <c r="AA304" s="351"/>
      <c r="AB304" s="616"/>
      <c r="AC304" s="351"/>
      <c r="AD304" s="607"/>
      <c r="AE304" s="351"/>
      <c r="AF304" s="616"/>
      <c r="AG304" s="351"/>
      <c r="AH304" s="607"/>
      <c r="AI304" s="351"/>
      <c r="AJ304" s="616"/>
      <c r="AK304" s="351"/>
      <c r="AL304" s="622"/>
      <c r="AM304" s="350"/>
      <c r="AN304" s="350"/>
      <c r="AO304" s="350"/>
      <c r="AP304" s="350"/>
      <c r="AQ304" s="350"/>
      <c r="AR304" s="350"/>
      <c r="AS304" s="350"/>
      <c r="AT304" s="350"/>
      <c r="AU304" s="350"/>
      <c r="AV304" s="350"/>
      <c r="AW304" s="350"/>
      <c r="AX304" s="350"/>
      <c r="AY304" s="350"/>
      <c r="AZ304" s="350"/>
      <c r="BA304" s="350"/>
      <c r="BB304" s="351"/>
    </row>
    <row r="305" spans="1:54" ht="15.75" customHeight="1">
      <c r="A305" s="25">
        <f t="shared" si="1"/>
        <v>292</v>
      </c>
      <c r="B305" s="599" t="str">
        <f>'refer admin discharge'!B301</f>
        <v>x</v>
      </c>
      <c r="C305" s="351"/>
      <c r="D305" s="600" t="str">
        <f>'refer admin discharge'!D301</f>
        <v>xx</v>
      </c>
      <c r="E305" s="351"/>
      <c r="F305" s="609" t="str">
        <f>'refer admin discharge'!H301</f>
        <v>00/00/0000</v>
      </c>
      <c r="G305" s="351"/>
      <c r="H305" s="610"/>
      <c r="I305" s="351"/>
      <c r="J305" s="611"/>
      <c r="K305" s="351"/>
      <c r="L305" s="610"/>
      <c r="M305" s="351"/>
      <c r="N305" s="612"/>
      <c r="O305" s="351"/>
      <c r="P305" s="610"/>
      <c r="Q305" s="351"/>
      <c r="R305" s="612"/>
      <c r="S305" s="351"/>
      <c r="T305" s="610"/>
      <c r="U305" s="351"/>
      <c r="V305" s="613" t="str">
        <f>'refer admin discharge'!H306</f>
        <v>00/00/0000</v>
      </c>
      <c r="W305" s="351"/>
      <c r="X305" s="607"/>
      <c r="Y305" s="351"/>
      <c r="Z305" s="614"/>
      <c r="AA305" s="351"/>
      <c r="AB305" s="607"/>
      <c r="AC305" s="351"/>
      <c r="AD305" s="606"/>
      <c r="AE305" s="351"/>
      <c r="AF305" s="607"/>
      <c r="AG305" s="351"/>
      <c r="AH305" s="606"/>
      <c r="AI305" s="351"/>
      <c r="AJ305" s="607"/>
      <c r="AK305" s="351"/>
      <c r="AL305" s="608"/>
      <c r="AM305" s="350"/>
      <c r="AN305" s="350"/>
      <c r="AO305" s="350"/>
      <c r="AP305" s="350"/>
      <c r="AQ305" s="350"/>
      <c r="AR305" s="350"/>
      <c r="AS305" s="350"/>
      <c r="AT305" s="350"/>
      <c r="AU305" s="350"/>
      <c r="AV305" s="350"/>
      <c r="AW305" s="350"/>
      <c r="AX305" s="350"/>
      <c r="AY305" s="350"/>
      <c r="AZ305" s="350"/>
      <c r="BA305" s="350"/>
      <c r="BB305" s="351"/>
    </row>
    <row r="306" spans="1:54" ht="15.75" customHeight="1">
      <c r="A306" s="25">
        <f t="shared" si="1"/>
        <v>293</v>
      </c>
      <c r="B306" s="618" t="str">
        <f>'refer admin discharge'!B302</f>
        <v>x</v>
      </c>
      <c r="C306" s="351"/>
      <c r="D306" s="619" t="str">
        <f>'refer admin discharge'!D302</f>
        <v>xx</v>
      </c>
      <c r="E306" s="351"/>
      <c r="F306" s="620" t="str">
        <f>'refer admin discharge'!H302</f>
        <v>00/00/0000</v>
      </c>
      <c r="G306" s="351"/>
      <c r="H306" s="615"/>
      <c r="I306" s="351"/>
      <c r="J306" s="621"/>
      <c r="K306" s="351"/>
      <c r="L306" s="615"/>
      <c r="M306" s="351"/>
      <c r="N306" s="610"/>
      <c r="O306" s="351"/>
      <c r="P306" s="615"/>
      <c r="Q306" s="351"/>
      <c r="R306" s="610"/>
      <c r="S306" s="351"/>
      <c r="T306" s="615"/>
      <c r="U306" s="351"/>
      <c r="V306" s="613" t="str">
        <f>'refer admin discharge'!H307</f>
        <v>00/00/0000</v>
      </c>
      <c r="W306" s="351"/>
      <c r="X306" s="616"/>
      <c r="Y306" s="351"/>
      <c r="Z306" s="617"/>
      <c r="AA306" s="351"/>
      <c r="AB306" s="616"/>
      <c r="AC306" s="351"/>
      <c r="AD306" s="607"/>
      <c r="AE306" s="351"/>
      <c r="AF306" s="616"/>
      <c r="AG306" s="351"/>
      <c r="AH306" s="607"/>
      <c r="AI306" s="351"/>
      <c r="AJ306" s="616"/>
      <c r="AK306" s="351"/>
      <c r="AL306" s="622"/>
      <c r="AM306" s="350"/>
      <c r="AN306" s="350"/>
      <c r="AO306" s="350"/>
      <c r="AP306" s="350"/>
      <c r="AQ306" s="350"/>
      <c r="AR306" s="350"/>
      <c r="AS306" s="350"/>
      <c r="AT306" s="350"/>
      <c r="AU306" s="350"/>
      <c r="AV306" s="350"/>
      <c r="AW306" s="350"/>
      <c r="AX306" s="350"/>
      <c r="AY306" s="350"/>
      <c r="AZ306" s="350"/>
      <c r="BA306" s="350"/>
      <c r="BB306" s="351"/>
    </row>
    <row r="307" spans="1:54" ht="15.75" customHeight="1">
      <c r="A307" s="25">
        <f t="shared" si="1"/>
        <v>294</v>
      </c>
      <c r="B307" s="599" t="str">
        <f>'refer admin discharge'!B303</f>
        <v>x</v>
      </c>
      <c r="C307" s="351"/>
      <c r="D307" s="600" t="str">
        <f>'refer admin discharge'!D303</f>
        <v>xx</v>
      </c>
      <c r="E307" s="351"/>
      <c r="F307" s="609" t="str">
        <f>'refer admin discharge'!H303</f>
        <v>00/00/0000</v>
      </c>
      <c r="G307" s="351"/>
      <c r="H307" s="610"/>
      <c r="I307" s="351"/>
      <c r="J307" s="611"/>
      <c r="K307" s="351"/>
      <c r="L307" s="610"/>
      <c r="M307" s="351"/>
      <c r="N307" s="612"/>
      <c r="O307" s="351"/>
      <c r="P307" s="610"/>
      <c r="Q307" s="351"/>
      <c r="R307" s="612"/>
      <c r="S307" s="351"/>
      <c r="T307" s="610"/>
      <c r="U307" s="351"/>
      <c r="V307" s="613" t="str">
        <f>'refer admin discharge'!H308</f>
        <v>00/00/0000</v>
      </c>
      <c r="W307" s="351"/>
      <c r="X307" s="607"/>
      <c r="Y307" s="351"/>
      <c r="Z307" s="614"/>
      <c r="AA307" s="351"/>
      <c r="AB307" s="607"/>
      <c r="AC307" s="351"/>
      <c r="AD307" s="606"/>
      <c r="AE307" s="351"/>
      <c r="AF307" s="607"/>
      <c r="AG307" s="351"/>
      <c r="AH307" s="606"/>
      <c r="AI307" s="351"/>
      <c r="AJ307" s="607"/>
      <c r="AK307" s="351"/>
      <c r="AL307" s="608"/>
      <c r="AM307" s="350"/>
      <c r="AN307" s="350"/>
      <c r="AO307" s="350"/>
      <c r="AP307" s="350"/>
      <c r="AQ307" s="350"/>
      <c r="AR307" s="350"/>
      <c r="AS307" s="350"/>
      <c r="AT307" s="350"/>
      <c r="AU307" s="350"/>
      <c r="AV307" s="350"/>
      <c r="AW307" s="350"/>
      <c r="AX307" s="350"/>
      <c r="AY307" s="350"/>
      <c r="AZ307" s="350"/>
      <c r="BA307" s="350"/>
      <c r="BB307" s="351"/>
    </row>
    <row r="308" spans="1:54" ht="15.75" customHeight="1">
      <c r="A308" s="25">
        <f t="shared" si="1"/>
        <v>295</v>
      </c>
      <c r="B308" s="618" t="str">
        <f>'refer admin discharge'!B304</f>
        <v>x</v>
      </c>
      <c r="C308" s="351"/>
      <c r="D308" s="619" t="str">
        <f>'refer admin discharge'!D304</f>
        <v>xx</v>
      </c>
      <c r="E308" s="351"/>
      <c r="F308" s="620" t="str">
        <f>'refer admin discharge'!H304</f>
        <v>00/00/0000</v>
      </c>
      <c r="G308" s="351"/>
      <c r="H308" s="615"/>
      <c r="I308" s="351"/>
      <c r="J308" s="621"/>
      <c r="K308" s="351"/>
      <c r="L308" s="615"/>
      <c r="M308" s="351"/>
      <c r="N308" s="610"/>
      <c r="O308" s="351"/>
      <c r="P308" s="615"/>
      <c r="Q308" s="351"/>
      <c r="R308" s="610"/>
      <c r="S308" s="351"/>
      <c r="T308" s="615"/>
      <c r="U308" s="351"/>
      <c r="V308" s="613" t="str">
        <f>'refer admin discharge'!H309</f>
        <v>00/00/0000</v>
      </c>
      <c r="W308" s="351"/>
      <c r="X308" s="616"/>
      <c r="Y308" s="351"/>
      <c r="Z308" s="617"/>
      <c r="AA308" s="351"/>
      <c r="AB308" s="616"/>
      <c r="AC308" s="351"/>
      <c r="AD308" s="607"/>
      <c r="AE308" s="351"/>
      <c r="AF308" s="616"/>
      <c r="AG308" s="351"/>
      <c r="AH308" s="607"/>
      <c r="AI308" s="351"/>
      <c r="AJ308" s="616"/>
      <c r="AK308" s="351"/>
      <c r="AL308" s="622"/>
      <c r="AM308" s="350"/>
      <c r="AN308" s="350"/>
      <c r="AO308" s="350"/>
      <c r="AP308" s="350"/>
      <c r="AQ308" s="350"/>
      <c r="AR308" s="350"/>
      <c r="AS308" s="350"/>
      <c r="AT308" s="350"/>
      <c r="AU308" s="350"/>
      <c r="AV308" s="350"/>
      <c r="AW308" s="350"/>
      <c r="AX308" s="350"/>
      <c r="AY308" s="350"/>
      <c r="AZ308" s="350"/>
      <c r="BA308" s="350"/>
      <c r="BB308" s="351"/>
    </row>
    <row r="309" spans="1:54" ht="15.75" customHeight="1">
      <c r="A309" s="25">
        <f t="shared" si="1"/>
        <v>296</v>
      </c>
      <c r="B309" s="599" t="str">
        <f>'refer admin discharge'!B305</f>
        <v>x</v>
      </c>
      <c r="C309" s="351"/>
      <c r="D309" s="600" t="str">
        <f>'refer admin discharge'!D305</f>
        <v>xx</v>
      </c>
      <c r="E309" s="351"/>
      <c r="F309" s="609" t="str">
        <f>'refer admin discharge'!H305</f>
        <v>00/00/0000</v>
      </c>
      <c r="G309" s="351"/>
      <c r="H309" s="610"/>
      <c r="I309" s="351"/>
      <c r="J309" s="611"/>
      <c r="K309" s="351"/>
      <c r="L309" s="610"/>
      <c r="M309" s="351"/>
      <c r="N309" s="612"/>
      <c r="O309" s="351"/>
      <c r="P309" s="610"/>
      <c r="Q309" s="351"/>
      <c r="R309" s="612"/>
      <c r="S309" s="351"/>
      <c r="T309" s="610"/>
      <c r="U309" s="351"/>
      <c r="V309" s="613" t="str">
        <f>'refer admin discharge'!H310</f>
        <v>00/00/0000</v>
      </c>
      <c r="W309" s="351"/>
      <c r="X309" s="607"/>
      <c r="Y309" s="351"/>
      <c r="Z309" s="614"/>
      <c r="AA309" s="351"/>
      <c r="AB309" s="607"/>
      <c r="AC309" s="351"/>
      <c r="AD309" s="606"/>
      <c r="AE309" s="351"/>
      <c r="AF309" s="607"/>
      <c r="AG309" s="351"/>
      <c r="AH309" s="606"/>
      <c r="AI309" s="351"/>
      <c r="AJ309" s="607"/>
      <c r="AK309" s="351"/>
      <c r="AL309" s="608"/>
      <c r="AM309" s="350"/>
      <c r="AN309" s="350"/>
      <c r="AO309" s="350"/>
      <c r="AP309" s="350"/>
      <c r="AQ309" s="350"/>
      <c r="AR309" s="350"/>
      <c r="AS309" s="350"/>
      <c r="AT309" s="350"/>
      <c r="AU309" s="350"/>
      <c r="AV309" s="350"/>
      <c r="AW309" s="350"/>
      <c r="AX309" s="350"/>
      <c r="AY309" s="350"/>
      <c r="AZ309" s="350"/>
      <c r="BA309" s="350"/>
      <c r="BB309" s="351"/>
    </row>
    <row r="310" spans="1:54" ht="15.75" customHeight="1">
      <c r="A310" s="25">
        <f t="shared" si="1"/>
        <v>297</v>
      </c>
      <c r="B310" s="618" t="str">
        <f>'refer admin discharge'!B306</f>
        <v>x</v>
      </c>
      <c r="C310" s="351"/>
      <c r="D310" s="619" t="str">
        <f>'refer admin discharge'!D306</f>
        <v>xx</v>
      </c>
      <c r="E310" s="351"/>
      <c r="F310" s="620" t="str">
        <f>'refer admin discharge'!H306</f>
        <v>00/00/0000</v>
      </c>
      <c r="G310" s="351"/>
      <c r="H310" s="615"/>
      <c r="I310" s="351"/>
      <c r="J310" s="621"/>
      <c r="K310" s="351"/>
      <c r="L310" s="615"/>
      <c r="M310" s="351"/>
      <c r="N310" s="610"/>
      <c r="O310" s="351"/>
      <c r="P310" s="615"/>
      <c r="Q310" s="351"/>
      <c r="R310" s="610"/>
      <c r="S310" s="351"/>
      <c r="T310" s="615"/>
      <c r="U310" s="351"/>
      <c r="V310" s="613" t="str">
        <f>'refer admin discharge'!H311</f>
        <v>00/00/0000</v>
      </c>
      <c r="W310" s="351"/>
      <c r="X310" s="616"/>
      <c r="Y310" s="351"/>
      <c r="Z310" s="617"/>
      <c r="AA310" s="351"/>
      <c r="AB310" s="616"/>
      <c r="AC310" s="351"/>
      <c r="AD310" s="607"/>
      <c r="AE310" s="351"/>
      <c r="AF310" s="616"/>
      <c r="AG310" s="351"/>
      <c r="AH310" s="607"/>
      <c r="AI310" s="351"/>
      <c r="AJ310" s="616"/>
      <c r="AK310" s="351"/>
      <c r="AL310" s="622"/>
      <c r="AM310" s="350"/>
      <c r="AN310" s="350"/>
      <c r="AO310" s="350"/>
      <c r="AP310" s="350"/>
      <c r="AQ310" s="350"/>
      <c r="AR310" s="350"/>
      <c r="AS310" s="350"/>
      <c r="AT310" s="350"/>
      <c r="AU310" s="350"/>
      <c r="AV310" s="350"/>
      <c r="AW310" s="350"/>
      <c r="AX310" s="350"/>
      <c r="AY310" s="350"/>
      <c r="AZ310" s="350"/>
      <c r="BA310" s="350"/>
      <c r="BB310" s="351"/>
    </row>
    <row r="311" spans="1:54" ht="15.75" customHeight="1">
      <c r="A311" s="25">
        <f t="shared" si="1"/>
        <v>298</v>
      </c>
      <c r="B311" s="599" t="str">
        <f>'refer admin discharge'!B307</f>
        <v>x</v>
      </c>
      <c r="C311" s="351"/>
      <c r="D311" s="600" t="str">
        <f>'refer admin discharge'!D307</f>
        <v>xx</v>
      </c>
      <c r="E311" s="351"/>
      <c r="F311" s="609" t="str">
        <f>'refer admin discharge'!H307</f>
        <v>00/00/0000</v>
      </c>
      <c r="G311" s="351"/>
      <c r="H311" s="610"/>
      <c r="I311" s="351"/>
      <c r="J311" s="611"/>
      <c r="K311" s="351"/>
      <c r="L311" s="610"/>
      <c r="M311" s="351"/>
      <c r="N311" s="612"/>
      <c r="O311" s="351"/>
      <c r="P311" s="610"/>
      <c r="Q311" s="351"/>
      <c r="R311" s="612"/>
      <c r="S311" s="351"/>
      <c r="T311" s="610"/>
      <c r="U311" s="351"/>
      <c r="V311" s="613" t="str">
        <f>'refer admin discharge'!H312</f>
        <v>00/00/0000</v>
      </c>
      <c r="W311" s="351"/>
      <c r="X311" s="607"/>
      <c r="Y311" s="351"/>
      <c r="Z311" s="614"/>
      <c r="AA311" s="351"/>
      <c r="AB311" s="607"/>
      <c r="AC311" s="351"/>
      <c r="AD311" s="606"/>
      <c r="AE311" s="351"/>
      <c r="AF311" s="607"/>
      <c r="AG311" s="351"/>
      <c r="AH311" s="606"/>
      <c r="AI311" s="351"/>
      <c r="AJ311" s="607"/>
      <c r="AK311" s="351"/>
      <c r="AL311" s="608"/>
      <c r="AM311" s="350"/>
      <c r="AN311" s="350"/>
      <c r="AO311" s="350"/>
      <c r="AP311" s="350"/>
      <c r="AQ311" s="350"/>
      <c r="AR311" s="350"/>
      <c r="AS311" s="350"/>
      <c r="AT311" s="350"/>
      <c r="AU311" s="350"/>
      <c r="AV311" s="350"/>
      <c r="AW311" s="350"/>
      <c r="AX311" s="350"/>
      <c r="AY311" s="350"/>
      <c r="AZ311" s="350"/>
      <c r="BA311" s="350"/>
      <c r="BB311" s="351"/>
    </row>
    <row r="312" spans="1:54" ht="15.75" customHeight="1">
      <c r="A312" s="25">
        <f t="shared" si="1"/>
        <v>299</v>
      </c>
      <c r="B312" s="618" t="str">
        <f>'refer admin discharge'!B308</f>
        <v>x</v>
      </c>
      <c r="C312" s="351"/>
      <c r="D312" s="619" t="str">
        <f>'refer admin discharge'!D308</f>
        <v>xx</v>
      </c>
      <c r="E312" s="351"/>
      <c r="F312" s="620" t="str">
        <f>'refer admin discharge'!H308</f>
        <v>00/00/0000</v>
      </c>
      <c r="G312" s="351"/>
      <c r="H312" s="615"/>
      <c r="I312" s="351"/>
      <c r="J312" s="621"/>
      <c r="K312" s="351"/>
      <c r="L312" s="615"/>
      <c r="M312" s="351"/>
      <c r="N312" s="610"/>
      <c r="O312" s="351"/>
      <c r="P312" s="615"/>
      <c r="Q312" s="351"/>
      <c r="R312" s="610"/>
      <c r="S312" s="351"/>
      <c r="T312" s="615"/>
      <c r="U312" s="351"/>
      <c r="V312" s="613" t="str">
        <f>'refer admin discharge'!H313</f>
        <v>00/00/0000</v>
      </c>
      <c r="W312" s="351"/>
      <c r="X312" s="616"/>
      <c r="Y312" s="351"/>
      <c r="Z312" s="617"/>
      <c r="AA312" s="351"/>
      <c r="AB312" s="616"/>
      <c r="AC312" s="351"/>
      <c r="AD312" s="607"/>
      <c r="AE312" s="351"/>
      <c r="AF312" s="616"/>
      <c r="AG312" s="351"/>
      <c r="AH312" s="607"/>
      <c r="AI312" s="351"/>
      <c r="AJ312" s="616"/>
      <c r="AK312" s="351"/>
      <c r="AL312" s="622"/>
      <c r="AM312" s="350"/>
      <c r="AN312" s="350"/>
      <c r="AO312" s="350"/>
      <c r="AP312" s="350"/>
      <c r="AQ312" s="350"/>
      <c r="AR312" s="350"/>
      <c r="AS312" s="350"/>
      <c r="AT312" s="350"/>
      <c r="AU312" s="350"/>
      <c r="AV312" s="350"/>
      <c r="AW312" s="350"/>
      <c r="AX312" s="350"/>
      <c r="AY312" s="350"/>
      <c r="AZ312" s="350"/>
      <c r="BA312" s="350"/>
      <c r="BB312" s="351"/>
    </row>
    <row r="313" spans="1:54" ht="15.75" customHeight="1">
      <c r="A313" s="25">
        <f t="shared" si="1"/>
        <v>300</v>
      </c>
      <c r="B313" s="599" t="str">
        <f>'refer admin discharge'!B309</f>
        <v>x</v>
      </c>
      <c r="C313" s="351"/>
      <c r="D313" s="600" t="str">
        <f>'refer admin discharge'!D309</f>
        <v>xx</v>
      </c>
      <c r="E313" s="351"/>
      <c r="F313" s="609" t="str">
        <f>'refer admin discharge'!H309</f>
        <v>00/00/0000</v>
      </c>
      <c r="G313" s="351"/>
      <c r="H313" s="610"/>
      <c r="I313" s="351"/>
      <c r="J313" s="611"/>
      <c r="K313" s="351"/>
      <c r="L313" s="610"/>
      <c r="M313" s="351"/>
      <c r="N313" s="612"/>
      <c r="O313" s="351"/>
      <c r="P313" s="610"/>
      <c r="Q313" s="351"/>
      <c r="R313" s="612"/>
      <c r="S313" s="351"/>
      <c r="T313" s="610"/>
      <c r="U313" s="351"/>
      <c r="V313" s="613" t="str">
        <f>'refer admin discharge'!H314</f>
        <v>00/00/0000</v>
      </c>
      <c r="W313" s="351"/>
      <c r="X313" s="607"/>
      <c r="Y313" s="351"/>
      <c r="Z313" s="614"/>
      <c r="AA313" s="351"/>
      <c r="AB313" s="607"/>
      <c r="AC313" s="351"/>
      <c r="AD313" s="606"/>
      <c r="AE313" s="351"/>
      <c r="AF313" s="607"/>
      <c r="AG313" s="351"/>
      <c r="AH313" s="606"/>
      <c r="AI313" s="351"/>
      <c r="AJ313" s="607"/>
      <c r="AK313" s="351"/>
      <c r="AL313" s="608"/>
      <c r="AM313" s="350"/>
      <c r="AN313" s="350"/>
      <c r="AO313" s="350"/>
      <c r="AP313" s="350"/>
      <c r="AQ313" s="350"/>
      <c r="AR313" s="350"/>
      <c r="AS313" s="350"/>
      <c r="AT313" s="350"/>
      <c r="AU313" s="350"/>
      <c r="AV313" s="350"/>
      <c r="AW313" s="350"/>
      <c r="AX313" s="350"/>
      <c r="AY313" s="350"/>
      <c r="AZ313" s="350"/>
      <c r="BA313" s="350"/>
      <c r="BB313" s="351"/>
    </row>
    <row r="314" spans="1:54" ht="15.75" customHeight="1">
      <c r="A314" s="25">
        <f t="shared" si="1"/>
        <v>301</v>
      </c>
      <c r="B314" s="618" t="str">
        <f>'refer admin discharge'!B310</f>
        <v>x</v>
      </c>
      <c r="C314" s="351"/>
      <c r="D314" s="619" t="str">
        <f>'refer admin discharge'!D310</f>
        <v>xx</v>
      </c>
      <c r="E314" s="351"/>
      <c r="F314" s="620" t="str">
        <f>'refer admin discharge'!H310</f>
        <v>00/00/0000</v>
      </c>
      <c r="G314" s="351"/>
      <c r="H314" s="615"/>
      <c r="I314" s="351"/>
      <c r="J314" s="621"/>
      <c r="K314" s="351"/>
      <c r="L314" s="615"/>
      <c r="M314" s="351"/>
      <c r="N314" s="610"/>
      <c r="O314" s="351"/>
      <c r="P314" s="615"/>
      <c r="Q314" s="351"/>
      <c r="R314" s="610"/>
      <c r="S314" s="351"/>
      <c r="T314" s="615"/>
      <c r="U314" s="351"/>
      <c r="V314" s="613" t="str">
        <f>'refer admin discharge'!H315</f>
        <v>00/00/0000</v>
      </c>
      <c r="W314" s="351"/>
      <c r="X314" s="616"/>
      <c r="Y314" s="351"/>
      <c r="Z314" s="617"/>
      <c r="AA314" s="351"/>
      <c r="AB314" s="616"/>
      <c r="AC314" s="351"/>
      <c r="AD314" s="607"/>
      <c r="AE314" s="351"/>
      <c r="AF314" s="616"/>
      <c r="AG314" s="351"/>
      <c r="AH314" s="607"/>
      <c r="AI314" s="351"/>
      <c r="AJ314" s="616"/>
      <c r="AK314" s="351"/>
      <c r="AL314" s="622"/>
      <c r="AM314" s="350"/>
      <c r="AN314" s="350"/>
      <c r="AO314" s="350"/>
      <c r="AP314" s="350"/>
      <c r="AQ314" s="350"/>
      <c r="AR314" s="350"/>
      <c r="AS314" s="350"/>
      <c r="AT314" s="350"/>
      <c r="AU314" s="350"/>
      <c r="AV314" s="350"/>
      <c r="AW314" s="350"/>
      <c r="AX314" s="350"/>
      <c r="AY314" s="350"/>
      <c r="AZ314" s="350"/>
      <c r="BA314" s="350"/>
      <c r="BB314" s="351"/>
    </row>
    <row r="315" spans="1:54" ht="15.75" customHeight="1">
      <c r="A315" s="25">
        <f t="shared" si="1"/>
        <v>302</v>
      </c>
      <c r="B315" s="599" t="str">
        <f>'refer admin discharge'!B311</f>
        <v>x</v>
      </c>
      <c r="C315" s="351"/>
      <c r="D315" s="600" t="str">
        <f>'refer admin discharge'!D311</f>
        <v>xx</v>
      </c>
      <c r="E315" s="351"/>
      <c r="F315" s="609" t="str">
        <f>'refer admin discharge'!H311</f>
        <v>00/00/0000</v>
      </c>
      <c r="G315" s="351"/>
      <c r="H315" s="610"/>
      <c r="I315" s="351"/>
      <c r="J315" s="611"/>
      <c r="K315" s="351"/>
      <c r="L315" s="610"/>
      <c r="M315" s="351"/>
      <c r="N315" s="612"/>
      <c r="O315" s="351"/>
      <c r="P315" s="610"/>
      <c r="Q315" s="351"/>
      <c r="R315" s="612"/>
      <c r="S315" s="351"/>
      <c r="T315" s="610"/>
      <c r="U315" s="351"/>
      <c r="V315" s="613" t="str">
        <f>'refer admin discharge'!H316</f>
        <v>00/00/0000</v>
      </c>
      <c r="W315" s="351"/>
      <c r="X315" s="607"/>
      <c r="Y315" s="351"/>
      <c r="Z315" s="614"/>
      <c r="AA315" s="351"/>
      <c r="AB315" s="607"/>
      <c r="AC315" s="351"/>
      <c r="AD315" s="606"/>
      <c r="AE315" s="351"/>
      <c r="AF315" s="607"/>
      <c r="AG315" s="351"/>
      <c r="AH315" s="606"/>
      <c r="AI315" s="351"/>
      <c r="AJ315" s="607"/>
      <c r="AK315" s="351"/>
      <c r="AL315" s="608"/>
      <c r="AM315" s="350"/>
      <c r="AN315" s="350"/>
      <c r="AO315" s="350"/>
      <c r="AP315" s="350"/>
      <c r="AQ315" s="350"/>
      <c r="AR315" s="350"/>
      <c r="AS315" s="350"/>
      <c r="AT315" s="350"/>
      <c r="AU315" s="350"/>
      <c r="AV315" s="350"/>
      <c r="AW315" s="350"/>
      <c r="AX315" s="350"/>
      <c r="AY315" s="350"/>
      <c r="AZ315" s="350"/>
      <c r="BA315" s="350"/>
      <c r="BB315" s="351"/>
    </row>
    <row r="316" spans="1:54" ht="15.75" customHeight="1">
      <c r="A316" s="25">
        <f t="shared" si="1"/>
        <v>303</v>
      </c>
      <c r="B316" s="618" t="str">
        <f>'refer admin discharge'!B312</f>
        <v>x</v>
      </c>
      <c r="C316" s="351"/>
      <c r="D316" s="619" t="str">
        <f>'refer admin discharge'!D312</f>
        <v>xx</v>
      </c>
      <c r="E316" s="351"/>
      <c r="F316" s="620" t="str">
        <f>'refer admin discharge'!H312</f>
        <v>00/00/0000</v>
      </c>
      <c r="G316" s="351"/>
      <c r="H316" s="615"/>
      <c r="I316" s="351"/>
      <c r="J316" s="621"/>
      <c r="K316" s="351"/>
      <c r="L316" s="615"/>
      <c r="M316" s="351"/>
      <c r="N316" s="610"/>
      <c r="O316" s="351"/>
      <c r="P316" s="615"/>
      <c r="Q316" s="351"/>
      <c r="R316" s="610"/>
      <c r="S316" s="351"/>
      <c r="T316" s="615"/>
      <c r="U316" s="351"/>
      <c r="V316" s="613" t="str">
        <f>'refer admin discharge'!H317</f>
        <v>00/00/0000</v>
      </c>
      <c r="W316" s="351"/>
      <c r="X316" s="616"/>
      <c r="Y316" s="351"/>
      <c r="Z316" s="617"/>
      <c r="AA316" s="351"/>
      <c r="AB316" s="616"/>
      <c r="AC316" s="351"/>
      <c r="AD316" s="607"/>
      <c r="AE316" s="351"/>
      <c r="AF316" s="616"/>
      <c r="AG316" s="351"/>
      <c r="AH316" s="607"/>
      <c r="AI316" s="351"/>
      <c r="AJ316" s="616"/>
      <c r="AK316" s="351"/>
      <c r="AL316" s="622"/>
      <c r="AM316" s="350"/>
      <c r="AN316" s="350"/>
      <c r="AO316" s="350"/>
      <c r="AP316" s="350"/>
      <c r="AQ316" s="350"/>
      <c r="AR316" s="350"/>
      <c r="AS316" s="350"/>
      <c r="AT316" s="350"/>
      <c r="AU316" s="350"/>
      <c r="AV316" s="350"/>
      <c r="AW316" s="350"/>
      <c r="AX316" s="350"/>
      <c r="AY316" s="350"/>
      <c r="AZ316" s="350"/>
      <c r="BA316" s="350"/>
      <c r="BB316" s="351"/>
    </row>
    <row r="317" spans="1:54" ht="15.75" customHeight="1">
      <c r="A317" s="25">
        <f t="shared" si="1"/>
        <v>304</v>
      </c>
      <c r="B317" s="599" t="str">
        <f>'refer admin discharge'!B313</f>
        <v>x</v>
      </c>
      <c r="C317" s="351"/>
      <c r="D317" s="600" t="str">
        <f>'refer admin discharge'!D313</f>
        <v>xx</v>
      </c>
      <c r="E317" s="351"/>
      <c r="F317" s="609" t="str">
        <f>'refer admin discharge'!H313</f>
        <v>00/00/0000</v>
      </c>
      <c r="G317" s="351"/>
      <c r="H317" s="610"/>
      <c r="I317" s="351"/>
      <c r="J317" s="611"/>
      <c r="K317" s="351"/>
      <c r="L317" s="610"/>
      <c r="M317" s="351"/>
      <c r="N317" s="612"/>
      <c r="O317" s="351"/>
      <c r="P317" s="610"/>
      <c r="Q317" s="351"/>
      <c r="R317" s="612"/>
      <c r="S317" s="351"/>
      <c r="T317" s="610"/>
      <c r="U317" s="351"/>
      <c r="V317" s="613" t="str">
        <f>'refer admin discharge'!H318</f>
        <v>00/00/0000</v>
      </c>
      <c r="W317" s="351"/>
      <c r="X317" s="607"/>
      <c r="Y317" s="351"/>
      <c r="Z317" s="614"/>
      <c r="AA317" s="351"/>
      <c r="AB317" s="607"/>
      <c r="AC317" s="351"/>
      <c r="AD317" s="606"/>
      <c r="AE317" s="351"/>
      <c r="AF317" s="607"/>
      <c r="AG317" s="351"/>
      <c r="AH317" s="606"/>
      <c r="AI317" s="351"/>
      <c r="AJ317" s="607"/>
      <c r="AK317" s="351"/>
      <c r="AL317" s="608"/>
      <c r="AM317" s="350"/>
      <c r="AN317" s="350"/>
      <c r="AO317" s="350"/>
      <c r="AP317" s="350"/>
      <c r="AQ317" s="350"/>
      <c r="AR317" s="350"/>
      <c r="AS317" s="350"/>
      <c r="AT317" s="350"/>
      <c r="AU317" s="350"/>
      <c r="AV317" s="350"/>
      <c r="AW317" s="350"/>
      <c r="AX317" s="350"/>
      <c r="AY317" s="350"/>
      <c r="AZ317" s="350"/>
      <c r="BA317" s="350"/>
      <c r="BB317" s="351"/>
    </row>
    <row r="318" spans="1:54" ht="15.75" customHeight="1">
      <c r="A318" s="25">
        <f t="shared" si="1"/>
        <v>305</v>
      </c>
      <c r="B318" s="618" t="str">
        <f>'refer admin discharge'!B314</f>
        <v>x</v>
      </c>
      <c r="C318" s="351"/>
      <c r="D318" s="619" t="str">
        <f>'refer admin discharge'!D314</f>
        <v>xx</v>
      </c>
      <c r="E318" s="351"/>
      <c r="F318" s="620" t="str">
        <f>'refer admin discharge'!H314</f>
        <v>00/00/0000</v>
      </c>
      <c r="G318" s="351"/>
      <c r="H318" s="615"/>
      <c r="I318" s="351"/>
      <c r="J318" s="621"/>
      <c r="K318" s="351"/>
      <c r="L318" s="615"/>
      <c r="M318" s="351"/>
      <c r="N318" s="610"/>
      <c r="O318" s="351"/>
      <c r="P318" s="615"/>
      <c r="Q318" s="351"/>
      <c r="R318" s="610"/>
      <c r="S318" s="351"/>
      <c r="T318" s="615"/>
      <c r="U318" s="351"/>
      <c r="V318" s="613" t="str">
        <f>'refer admin discharge'!H319</f>
        <v>00/00/0000</v>
      </c>
      <c r="W318" s="351"/>
      <c r="X318" s="616"/>
      <c r="Y318" s="351"/>
      <c r="Z318" s="617"/>
      <c r="AA318" s="351"/>
      <c r="AB318" s="616"/>
      <c r="AC318" s="351"/>
      <c r="AD318" s="607"/>
      <c r="AE318" s="351"/>
      <c r="AF318" s="616"/>
      <c r="AG318" s="351"/>
      <c r="AH318" s="607"/>
      <c r="AI318" s="351"/>
      <c r="AJ318" s="616"/>
      <c r="AK318" s="351"/>
      <c r="AL318" s="622"/>
      <c r="AM318" s="350"/>
      <c r="AN318" s="350"/>
      <c r="AO318" s="350"/>
      <c r="AP318" s="350"/>
      <c r="AQ318" s="350"/>
      <c r="AR318" s="350"/>
      <c r="AS318" s="350"/>
      <c r="AT318" s="350"/>
      <c r="AU318" s="350"/>
      <c r="AV318" s="350"/>
      <c r="AW318" s="350"/>
      <c r="AX318" s="350"/>
      <c r="AY318" s="350"/>
      <c r="AZ318" s="350"/>
      <c r="BA318" s="350"/>
      <c r="BB318" s="351"/>
    </row>
    <row r="319" spans="1:54" ht="15.75" customHeight="1">
      <c r="A319" s="25">
        <f t="shared" si="1"/>
        <v>306</v>
      </c>
      <c r="B319" s="599" t="str">
        <f>'refer admin discharge'!B315</f>
        <v>x</v>
      </c>
      <c r="C319" s="351"/>
      <c r="D319" s="600" t="str">
        <f>'refer admin discharge'!D315</f>
        <v>xx</v>
      </c>
      <c r="E319" s="351"/>
      <c r="F319" s="609" t="str">
        <f>'refer admin discharge'!H315</f>
        <v>00/00/0000</v>
      </c>
      <c r="G319" s="351"/>
      <c r="H319" s="610"/>
      <c r="I319" s="351"/>
      <c r="J319" s="611"/>
      <c r="K319" s="351"/>
      <c r="L319" s="610"/>
      <c r="M319" s="351"/>
      <c r="N319" s="612"/>
      <c r="O319" s="351"/>
      <c r="P319" s="610"/>
      <c r="Q319" s="351"/>
      <c r="R319" s="612"/>
      <c r="S319" s="351"/>
      <c r="T319" s="610"/>
      <c r="U319" s="351"/>
      <c r="V319" s="613" t="str">
        <f>'refer admin discharge'!H320</f>
        <v>00/00/0000</v>
      </c>
      <c r="W319" s="351"/>
      <c r="X319" s="607"/>
      <c r="Y319" s="351"/>
      <c r="Z319" s="614"/>
      <c r="AA319" s="351"/>
      <c r="AB319" s="607"/>
      <c r="AC319" s="351"/>
      <c r="AD319" s="606"/>
      <c r="AE319" s="351"/>
      <c r="AF319" s="607"/>
      <c r="AG319" s="351"/>
      <c r="AH319" s="606"/>
      <c r="AI319" s="351"/>
      <c r="AJ319" s="607"/>
      <c r="AK319" s="351"/>
      <c r="AL319" s="608"/>
      <c r="AM319" s="350"/>
      <c r="AN319" s="350"/>
      <c r="AO319" s="350"/>
      <c r="AP319" s="350"/>
      <c r="AQ319" s="350"/>
      <c r="AR319" s="350"/>
      <c r="AS319" s="350"/>
      <c r="AT319" s="350"/>
      <c r="AU319" s="350"/>
      <c r="AV319" s="350"/>
      <c r="AW319" s="350"/>
      <c r="AX319" s="350"/>
      <c r="AY319" s="350"/>
      <c r="AZ319" s="350"/>
      <c r="BA319" s="350"/>
      <c r="BB319" s="351"/>
    </row>
    <row r="320" spans="1:54" ht="15.75" customHeight="1">
      <c r="A320" s="25">
        <f t="shared" si="1"/>
        <v>307</v>
      </c>
      <c r="B320" s="618" t="str">
        <f>'refer admin discharge'!B316</f>
        <v>x</v>
      </c>
      <c r="C320" s="351"/>
      <c r="D320" s="619" t="str">
        <f>'refer admin discharge'!D316</f>
        <v>xx</v>
      </c>
      <c r="E320" s="351"/>
      <c r="F320" s="620" t="str">
        <f>'refer admin discharge'!H316</f>
        <v>00/00/0000</v>
      </c>
      <c r="G320" s="351"/>
      <c r="H320" s="615"/>
      <c r="I320" s="351"/>
      <c r="J320" s="621"/>
      <c r="K320" s="351"/>
      <c r="L320" s="615"/>
      <c r="M320" s="351"/>
      <c r="N320" s="610"/>
      <c r="O320" s="351"/>
      <c r="P320" s="615"/>
      <c r="Q320" s="351"/>
      <c r="R320" s="610"/>
      <c r="S320" s="351"/>
      <c r="T320" s="615"/>
      <c r="U320" s="351"/>
      <c r="V320" s="613" t="str">
        <f>'refer admin discharge'!H321</f>
        <v>00/00/0000</v>
      </c>
      <c r="W320" s="351"/>
      <c r="X320" s="616"/>
      <c r="Y320" s="351"/>
      <c r="Z320" s="617"/>
      <c r="AA320" s="351"/>
      <c r="AB320" s="616"/>
      <c r="AC320" s="351"/>
      <c r="AD320" s="607"/>
      <c r="AE320" s="351"/>
      <c r="AF320" s="616"/>
      <c r="AG320" s="351"/>
      <c r="AH320" s="607"/>
      <c r="AI320" s="351"/>
      <c r="AJ320" s="616"/>
      <c r="AK320" s="351"/>
      <c r="AL320" s="622"/>
      <c r="AM320" s="350"/>
      <c r="AN320" s="350"/>
      <c r="AO320" s="350"/>
      <c r="AP320" s="350"/>
      <c r="AQ320" s="350"/>
      <c r="AR320" s="350"/>
      <c r="AS320" s="350"/>
      <c r="AT320" s="350"/>
      <c r="AU320" s="350"/>
      <c r="AV320" s="350"/>
      <c r="AW320" s="350"/>
      <c r="AX320" s="350"/>
      <c r="AY320" s="350"/>
      <c r="AZ320" s="350"/>
      <c r="BA320" s="350"/>
      <c r="BB320" s="351"/>
    </row>
    <row r="321" spans="1:54" ht="15.75" customHeight="1">
      <c r="A321" s="25">
        <f t="shared" si="1"/>
        <v>308</v>
      </c>
      <c r="B321" s="599" t="str">
        <f>'refer admin discharge'!B317</f>
        <v>x</v>
      </c>
      <c r="C321" s="351"/>
      <c r="D321" s="600" t="str">
        <f>'refer admin discharge'!D317</f>
        <v>xx</v>
      </c>
      <c r="E321" s="351"/>
      <c r="F321" s="609" t="str">
        <f>'refer admin discharge'!H317</f>
        <v>00/00/0000</v>
      </c>
      <c r="G321" s="351"/>
      <c r="H321" s="610"/>
      <c r="I321" s="351"/>
      <c r="J321" s="611"/>
      <c r="K321" s="351"/>
      <c r="L321" s="610"/>
      <c r="M321" s="351"/>
      <c r="N321" s="612"/>
      <c r="O321" s="351"/>
      <c r="P321" s="610"/>
      <c r="Q321" s="351"/>
      <c r="R321" s="612"/>
      <c r="S321" s="351"/>
      <c r="T321" s="610"/>
      <c r="U321" s="351"/>
      <c r="V321" s="613" t="str">
        <f>'refer admin discharge'!H322</f>
        <v>00/00/0000</v>
      </c>
      <c r="W321" s="351"/>
      <c r="X321" s="607"/>
      <c r="Y321" s="351"/>
      <c r="Z321" s="614"/>
      <c r="AA321" s="351"/>
      <c r="AB321" s="607"/>
      <c r="AC321" s="351"/>
      <c r="AD321" s="606"/>
      <c r="AE321" s="351"/>
      <c r="AF321" s="607"/>
      <c r="AG321" s="351"/>
      <c r="AH321" s="606"/>
      <c r="AI321" s="351"/>
      <c r="AJ321" s="607"/>
      <c r="AK321" s="351"/>
      <c r="AL321" s="608"/>
      <c r="AM321" s="350"/>
      <c r="AN321" s="350"/>
      <c r="AO321" s="350"/>
      <c r="AP321" s="350"/>
      <c r="AQ321" s="350"/>
      <c r="AR321" s="350"/>
      <c r="AS321" s="350"/>
      <c r="AT321" s="350"/>
      <c r="AU321" s="350"/>
      <c r="AV321" s="350"/>
      <c r="AW321" s="350"/>
      <c r="AX321" s="350"/>
      <c r="AY321" s="350"/>
      <c r="AZ321" s="350"/>
      <c r="BA321" s="350"/>
      <c r="BB321" s="351"/>
    </row>
    <row r="322" spans="1:54" ht="15.75" customHeight="1">
      <c r="A322" s="25">
        <f t="shared" si="1"/>
        <v>309</v>
      </c>
      <c r="B322" s="618" t="str">
        <f>'refer admin discharge'!B318</f>
        <v>x</v>
      </c>
      <c r="C322" s="351"/>
      <c r="D322" s="619" t="str">
        <f>'refer admin discharge'!D318</f>
        <v>xx</v>
      </c>
      <c r="E322" s="351"/>
      <c r="F322" s="620" t="str">
        <f>'refer admin discharge'!H318</f>
        <v>00/00/0000</v>
      </c>
      <c r="G322" s="351"/>
      <c r="H322" s="615"/>
      <c r="I322" s="351"/>
      <c r="J322" s="621"/>
      <c r="K322" s="351"/>
      <c r="L322" s="615"/>
      <c r="M322" s="351"/>
      <c r="N322" s="610"/>
      <c r="O322" s="351"/>
      <c r="P322" s="615"/>
      <c r="Q322" s="351"/>
      <c r="R322" s="610"/>
      <c r="S322" s="351"/>
      <c r="T322" s="615"/>
      <c r="U322" s="351"/>
      <c r="V322" s="613" t="str">
        <f>'refer admin discharge'!H323</f>
        <v>00/00/0000</v>
      </c>
      <c r="W322" s="351"/>
      <c r="X322" s="616"/>
      <c r="Y322" s="351"/>
      <c r="Z322" s="617"/>
      <c r="AA322" s="351"/>
      <c r="AB322" s="616"/>
      <c r="AC322" s="351"/>
      <c r="AD322" s="607"/>
      <c r="AE322" s="351"/>
      <c r="AF322" s="616"/>
      <c r="AG322" s="351"/>
      <c r="AH322" s="607"/>
      <c r="AI322" s="351"/>
      <c r="AJ322" s="616"/>
      <c r="AK322" s="351"/>
      <c r="AL322" s="622"/>
      <c r="AM322" s="350"/>
      <c r="AN322" s="350"/>
      <c r="AO322" s="350"/>
      <c r="AP322" s="350"/>
      <c r="AQ322" s="350"/>
      <c r="AR322" s="350"/>
      <c r="AS322" s="350"/>
      <c r="AT322" s="350"/>
      <c r="AU322" s="350"/>
      <c r="AV322" s="350"/>
      <c r="AW322" s="350"/>
      <c r="AX322" s="350"/>
      <c r="AY322" s="350"/>
      <c r="AZ322" s="350"/>
      <c r="BA322" s="350"/>
      <c r="BB322" s="351"/>
    </row>
    <row r="323" spans="1:54" ht="15.75" customHeight="1">
      <c r="A323" s="25">
        <f t="shared" si="1"/>
        <v>310</v>
      </c>
      <c r="B323" s="599" t="str">
        <f>'refer admin discharge'!B319</f>
        <v>x</v>
      </c>
      <c r="C323" s="351"/>
      <c r="D323" s="600" t="str">
        <f>'refer admin discharge'!D319</f>
        <v>xx</v>
      </c>
      <c r="E323" s="351"/>
      <c r="F323" s="609" t="str">
        <f>'refer admin discharge'!H319</f>
        <v>00/00/0000</v>
      </c>
      <c r="G323" s="351"/>
      <c r="H323" s="610"/>
      <c r="I323" s="351"/>
      <c r="J323" s="611"/>
      <c r="K323" s="351"/>
      <c r="L323" s="610"/>
      <c r="M323" s="351"/>
      <c r="N323" s="612"/>
      <c r="O323" s="351"/>
      <c r="P323" s="610"/>
      <c r="Q323" s="351"/>
      <c r="R323" s="612"/>
      <c r="S323" s="351"/>
      <c r="T323" s="610"/>
      <c r="U323" s="351"/>
      <c r="V323" s="613" t="str">
        <f>'refer admin discharge'!H324</f>
        <v>00/00/0000</v>
      </c>
      <c r="W323" s="351"/>
      <c r="X323" s="607"/>
      <c r="Y323" s="351"/>
      <c r="Z323" s="614"/>
      <c r="AA323" s="351"/>
      <c r="AB323" s="607"/>
      <c r="AC323" s="351"/>
      <c r="AD323" s="606"/>
      <c r="AE323" s="351"/>
      <c r="AF323" s="607"/>
      <c r="AG323" s="351"/>
      <c r="AH323" s="606"/>
      <c r="AI323" s="351"/>
      <c r="AJ323" s="607"/>
      <c r="AK323" s="351"/>
      <c r="AL323" s="608"/>
      <c r="AM323" s="350"/>
      <c r="AN323" s="350"/>
      <c r="AO323" s="350"/>
      <c r="AP323" s="350"/>
      <c r="AQ323" s="350"/>
      <c r="AR323" s="350"/>
      <c r="AS323" s="350"/>
      <c r="AT323" s="350"/>
      <c r="AU323" s="350"/>
      <c r="AV323" s="350"/>
      <c r="AW323" s="350"/>
      <c r="AX323" s="350"/>
      <c r="AY323" s="350"/>
      <c r="AZ323" s="350"/>
      <c r="BA323" s="350"/>
      <c r="BB323" s="351"/>
    </row>
    <row r="324" spans="1:54" ht="15.75" customHeight="1">
      <c r="A324" s="25">
        <f t="shared" si="1"/>
        <v>311</v>
      </c>
      <c r="B324" s="618" t="str">
        <f>'refer admin discharge'!B320</f>
        <v>x</v>
      </c>
      <c r="C324" s="351"/>
      <c r="D324" s="619" t="str">
        <f>'refer admin discharge'!D320</f>
        <v>xx</v>
      </c>
      <c r="E324" s="351"/>
      <c r="F324" s="620" t="str">
        <f>'refer admin discharge'!H320</f>
        <v>00/00/0000</v>
      </c>
      <c r="G324" s="351"/>
      <c r="H324" s="615"/>
      <c r="I324" s="351"/>
      <c r="J324" s="621"/>
      <c r="K324" s="351"/>
      <c r="L324" s="615"/>
      <c r="M324" s="351"/>
      <c r="N324" s="610"/>
      <c r="O324" s="351"/>
      <c r="P324" s="615"/>
      <c r="Q324" s="351"/>
      <c r="R324" s="610"/>
      <c r="S324" s="351"/>
      <c r="T324" s="615"/>
      <c r="U324" s="351"/>
      <c r="V324" s="613" t="str">
        <f>'refer admin discharge'!H325</f>
        <v>00/00/0000</v>
      </c>
      <c r="W324" s="351"/>
      <c r="X324" s="616"/>
      <c r="Y324" s="351"/>
      <c r="Z324" s="617"/>
      <c r="AA324" s="351"/>
      <c r="AB324" s="616"/>
      <c r="AC324" s="351"/>
      <c r="AD324" s="607"/>
      <c r="AE324" s="351"/>
      <c r="AF324" s="616"/>
      <c r="AG324" s="351"/>
      <c r="AH324" s="607"/>
      <c r="AI324" s="351"/>
      <c r="AJ324" s="616"/>
      <c r="AK324" s="351"/>
      <c r="AL324" s="622"/>
      <c r="AM324" s="350"/>
      <c r="AN324" s="350"/>
      <c r="AO324" s="350"/>
      <c r="AP324" s="350"/>
      <c r="AQ324" s="350"/>
      <c r="AR324" s="350"/>
      <c r="AS324" s="350"/>
      <c r="AT324" s="350"/>
      <c r="AU324" s="350"/>
      <c r="AV324" s="350"/>
      <c r="AW324" s="350"/>
      <c r="AX324" s="350"/>
      <c r="AY324" s="350"/>
      <c r="AZ324" s="350"/>
      <c r="BA324" s="350"/>
      <c r="BB324" s="351"/>
    </row>
    <row r="325" spans="1:54" ht="15.75" customHeight="1">
      <c r="A325" s="25">
        <f t="shared" si="1"/>
        <v>312</v>
      </c>
      <c r="B325" s="599" t="str">
        <f>'refer admin discharge'!B321</f>
        <v>x</v>
      </c>
      <c r="C325" s="351"/>
      <c r="D325" s="600" t="str">
        <f>'refer admin discharge'!D321</f>
        <v>xx</v>
      </c>
      <c r="E325" s="351"/>
      <c r="F325" s="609" t="str">
        <f>'refer admin discharge'!H321</f>
        <v>00/00/0000</v>
      </c>
      <c r="G325" s="351"/>
      <c r="H325" s="610"/>
      <c r="I325" s="351"/>
      <c r="J325" s="611"/>
      <c r="K325" s="351"/>
      <c r="L325" s="610"/>
      <c r="M325" s="351"/>
      <c r="N325" s="612"/>
      <c r="O325" s="351"/>
      <c r="P325" s="610"/>
      <c r="Q325" s="351"/>
      <c r="R325" s="612"/>
      <c r="S325" s="351"/>
      <c r="T325" s="610"/>
      <c r="U325" s="351"/>
      <c r="V325" s="613" t="str">
        <f>'refer admin discharge'!H326</f>
        <v>00/00/0000</v>
      </c>
      <c r="W325" s="351"/>
      <c r="X325" s="607"/>
      <c r="Y325" s="351"/>
      <c r="Z325" s="614"/>
      <c r="AA325" s="351"/>
      <c r="AB325" s="607"/>
      <c r="AC325" s="351"/>
      <c r="AD325" s="606"/>
      <c r="AE325" s="351"/>
      <c r="AF325" s="607"/>
      <c r="AG325" s="351"/>
      <c r="AH325" s="606"/>
      <c r="AI325" s="351"/>
      <c r="AJ325" s="607"/>
      <c r="AK325" s="351"/>
      <c r="AL325" s="608"/>
      <c r="AM325" s="350"/>
      <c r="AN325" s="350"/>
      <c r="AO325" s="350"/>
      <c r="AP325" s="350"/>
      <c r="AQ325" s="350"/>
      <c r="AR325" s="350"/>
      <c r="AS325" s="350"/>
      <c r="AT325" s="350"/>
      <c r="AU325" s="350"/>
      <c r="AV325" s="350"/>
      <c r="AW325" s="350"/>
      <c r="AX325" s="350"/>
      <c r="AY325" s="350"/>
      <c r="AZ325" s="350"/>
      <c r="BA325" s="350"/>
      <c r="BB325" s="351"/>
    </row>
    <row r="326" spans="1:54" ht="15.75" customHeight="1">
      <c r="A326" s="25">
        <f t="shared" si="1"/>
        <v>313</v>
      </c>
      <c r="B326" s="618" t="str">
        <f>'refer admin discharge'!B322</f>
        <v>x</v>
      </c>
      <c r="C326" s="351"/>
      <c r="D326" s="619" t="str">
        <f>'refer admin discharge'!D322</f>
        <v>xx</v>
      </c>
      <c r="E326" s="351"/>
      <c r="F326" s="620" t="str">
        <f>'refer admin discharge'!H322</f>
        <v>00/00/0000</v>
      </c>
      <c r="G326" s="351"/>
      <c r="H326" s="615"/>
      <c r="I326" s="351"/>
      <c r="J326" s="621"/>
      <c r="K326" s="351"/>
      <c r="L326" s="615"/>
      <c r="M326" s="351"/>
      <c r="N326" s="610"/>
      <c r="O326" s="351"/>
      <c r="P326" s="615"/>
      <c r="Q326" s="351"/>
      <c r="R326" s="610"/>
      <c r="S326" s="351"/>
      <c r="T326" s="615"/>
      <c r="U326" s="351"/>
      <c r="V326" s="613" t="str">
        <f>'refer admin discharge'!H327</f>
        <v>00/00/0000</v>
      </c>
      <c r="W326" s="351"/>
      <c r="X326" s="616"/>
      <c r="Y326" s="351"/>
      <c r="Z326" s="617"/>
      <c r="AA326" s="351"/>
      <c r="AB326" s="616"/>
      <c r="AC326" s="351"/>
      <c r="AD326" s="607"/>
      <c r="AE326" s="351"/>
      <c r="AF326" s="616"/>
      <c r="AG326" s="351"/>
      <c r="AH326" s="607"/>
      <c r="AI326" s="351"/>
      <c r="AJ326" s="616"/>
      <c r="AK326" s="351"/>
      <c r="AL326" s="622"/>
      <c r="AM326" s="350"/>
      <c r="AN326" s="350"/>
      <c r="AO326" s="350"/>
      <c r="AP326" s="350"/>
      <c r="AQ326" s="350"/>
      <c r="AR326" s="350"/>
      <c r="AS326" s="350"/>
      <c r="AT326" s="350"/>
      <c r="AU326" s="350"/>
      <c r="AV326" s="350"/>
      <c r="AW326" s="350"/>
      <c r="AX326" s="350"/>
      <c r="AY326" s="350"/>
      <c r="AZ326" s="350"/>
      <c r="BA326" s="350"/>
      <c r="BB326" s="351"/>
    </row>
    <row r="327" spans="1:54" ht="15.75" customHeight="1">
      <c r="A327" s="25">
        <f t="shared" si="1"/>
        <v>314</v>
      </c>
      <c r="B327" s="599" t="str">
        <f>'refer admin discharge'!B323</f>
        <v>x</v>
      </c>
      <c r="C327" s="351"/>
      <c r="D327" s="600" t="str">
        <f>'refer admin discharge'!D323</f>
        <v>xx</v>
      </c>
      <c r="E327" s="351"/>
      <c r="F327" s="609" t="str">
        <f>'refer admin discharge'!H323</f>
        <v>00/00/0000</v>
      </c>
      <c r="G327" s="351"/>
      <c r="H327" s="610"/>
      <c r="I327" s="351"/>
      <c r="J327" s="611"/>
      <c r="K327" s="351"/>
      <c r="L327" s="610"/>
      <c r="M327" s="351"/>
      <c r="N327" s="612"/>
      <c r="O327" s="351"/>
      <c r="P327" s="610"/>
      <c r="Q327" s="351"/>
      <c r="R327" s="612"/>
      <c r="S327" s="351"/>
      <c r="T327" s="610"/>
      <c r="U327" s="351"/>
      <c r="V327" s="613" t="str">
        <f>'refer admin discharge'!H328</f>
        <v>00/00/0000</v>
      </c>
      <c r="W327" s="351"/>
      <c r="X327" s="607"/>
      <c r="Y327" s="351"/>
      <c r="Z327" s="614"/>
      <c r="AA327" s="351"/>
      <c r="AB327" s="607"/>
      <c r="AC327" s="351"/>
      <c r="AD327" s="606"/>
      <c r="AE327" s="351"/>
      <c r="AF327" s="607"/>
      <c r="AG327" s="351"/>
      <c r="AH327" s="606"/>
      <c r="AI327" s="351"/>
      <c r="AJ327" s="607"/>
      <c r="AK327" s="351"/>
      <c r="AL327" s="608"/>
      <c r="AM327" s="350"/>
      <c r="AN327" s="350"/>
      <c r="AO327" s="350"/>
      <c r="AP327" s="350"/>
      <c r="AQ327" s="350"/>
      <c r="AR327" s="350"/>
      <c r="AS327" s="350"/>
      <c r="AT327" s="350"/>
      <c r="AU327" s="350"/>
      <c r="AV327" s="350"/>
      <c r="AW327" s="350"/>
      <c r="AX327" s="350"/>
      <c r="AY327" s="350"/>
      <c r="AZ327" s="350"/>
      <c r="BA327" s="350"/>
      <c r="BB327" s="351"/>
    </row>
    <row r="328" spans="1:54" ht="15.75" customHeight="1">
      <c r="A328" s="25">
        <f t="shared" si="1"/>
        <v>315</v>
      </c>
      <c r="B328" s="618" t="str">
        <f>'refer admin discharge'!B324</f>
        <v>x</v>
      </c>
      <c r="C328" s="351"/>
      <c r="D328" s="619" t="str">
        <f>'refer admin discharge'!D324</f>
        <v>xx</v>
      </c>
      <c r="E328" s="351"/>
      <c r="F328" s="620" t="str">
        <f>'refer admin discharge'!H324</f>
        <v>00/00/0000</v>
      </c>
      <c r="G328" s="351"/>
      <c r="H328" s="615"/>
      <c r="I328" s="351"/>
      <c r="J328" s="621"/>
      <c r="K328" s="351"/>
      <c r="L328" s="615"/>
      <c r="M328" s="351"/>
      <c r="N328" s="610"/>
      <c r="O328" s="351"/>
      <c r="P328" s="615"/>
      <c r="Q328" s="351"/>
      <c r="R328" s="610"/>
      <c r="S328" s="351"/>
      <c r="T328" s="615"/>
      <c r="U328" s="351"/>
      <c r="V328" s="613" t="str">
        <f>'refer admin discharge'!H329</f>
        <v>00/00/0000</v>
      </c>
      <c r="W328" s="351"/>
      <c r="X328" s="616"/>
      <c r="Y328" s="351"/>
      <c r="Z328" s="617"/>
      <c r="AA328" s="351"/>
      <c r="AB328" s="616"/>
      <c r="AC328" s="351"/>
      <c r="AD328" s="607"/>
      <c r="AE328" s="351"/>
      <c r="AF328" s="616"/>
      <c r="AG328" s="351"/>
      <c r="AH328" s="607"/>
      <c r="AI328" s="351"/>
      <c r="AJ328" s="616"/>
      <c r="AK328" s="351"/>
      <c r="AL328" s="622"/>
      <c r="AM328" s="350"/>
      <c r="AN328" s="350"/>
      <c r="AO328" s="350"/>
      <c r="AP328" s="350"/>
      <c r="AQ328" s="350"/>
      <c r="AR328" s="350"/>
      <c r="AS328" s="350"/>
      <c r="AT328" s="350"/>
      <c r="AU328" s="350"/>
      <c r="AV328" s="350"/>
      <c r="AW328" s="350"/>
      <c r="AX328" s="350"/>
      <c r="AY328" s="350"/>
      <c r="AZ328" s="350"/>
      <c r="BA328" s="350"/>
      <c r="BB328" s="351"/>
    </row>
    <row r="329" spans="1:54" ht="15.75" customHeight="1">
      <c r="A329" s="25">
        <f t="shared" si="1"/>
        <v>316</v>
      </c>
      <c r="B329" s="599" t="str">
        <f>'refer admin discharge'!B325</f>
        <v>x</v>
      </c>
      <c r="C329" s="351"/>
      <c r="D329" s="600" t="str">
        <f>'refer admin discharge'!D325</f>
        <v>xx</v>
      </c>
      <c r="E329" s="351"/>
      <c r="F329" s="609" t="str">
        <f>'refer admin discharge'!H325</f>
        <v>00/00/0000</v>
      </c>
      <c r="G329" s="351"/>
      <c r="H329" s="610"/>
      <c r="I329" s="351"/>
      <c r="J329" s="611"/>
      <c r="K329" s="351"/>
      <c r="L329" s="610"/>
      <c r="M329" s="351"/>
      <c r="N329" s="612"/>
      <c r="O329" s="351"/>
      <c r="P329" s="610"/>
      <c r="Q329" s="351"/>
      <c r="R329" s="612"/>
      <c r="S329" s="351"/>
      <c r="T329" s="610"/>
      <c r="U329" s="351"/>
      <c r="V329" s="613" t="str">
        <f>'refer admin discharge'!H330</f>
        <v>00/00/0000</v>
      </c>
      <c r="W329" s="351"/>
      <c r="X329" s="607"/>
      <c r="Y329" s="351"/>
      <c r="Z329" s="614"/>
      <c r="AA329" s="351"/>
      <c r="AB329" s="607"/>
      <c r="AC329" s="351"/>
      <c r="AD329" s="606"/>
      <c r="AE329" s="351"/>
      <c r="AF329" s="607"/>
      <c r="AG329" s="351"/>
      <c r="AH329" s="606"/>
      <c r="AI329" s="351"/>
      <c r="AJ329" s="607"/>
      <c r="AK329" s="351"/>
      <c r="AL329" s="608"/>
      <c r="AM329" s="350"/>
      <c r="AN329" s="350"/>
      <c r="AO329" s="350"/>
      <c r="AP329" s="350"/>
      <c r="AQ329" s="350"/>
      <c r="AR329" s="350"/>
      <c r="AS329" s="350"/>
      <c r="AT329" s="350"/>
      <c r="AU329" s="350"/>
      <c r="AV329" s="350"/>
      <c r="AW329" s="350"/>
      <c r="AX329" s="350"/>
      <c r="AY329" s="350"/>
      <c r="AZ329" s="350"/>
      <c r="BA329" s="350"/>
      <c r="BB329" s="351"/>
    </row>
    <row r="330" spans="1:54" ht="15.75" customHeight="1">
      <c r="A330" s="25">
        <f t="shared" si="1"/>
        <v>317</v>
      </c>
      <c r="B330" s="618" t="str">
        <f>'refer admin discharge'!B326</f>
        <v>x</v>
      </c>
      <c r="C330" s="351"/>
      <c r="D330" s="619" t="str">
        <f>'refer admin discharge'!D326</f>
        <v>xx</v>
      </c>
      <c r="E330" s="351"/>
      <c r="F330" s="620" t="str">
        <f>'refer admin discharge'!H326</f>
        <v>00/00/0000</v>
      </c>
      <c r="G330" s="351"/>
      <c r="H330" s="615"/>
      <c r="I330" s="351"/>
      <c r="J330" s="621"/>
      <c r="K330" s="351"/>
      <c r="L330" s="615"/>
      <c r="M330" s="351"/>
      <c r="N330" s="610"/>
      <c r="O330" s="351"/>
      <c r="P330" s="615"/>
      <c r="Q330" s="351"/>
      <c r="R330" s="610"/>
      <c r="S330" s="351"/>
      <c r="T330" s="615"/>
      <c r="U330" s="351"/>
      <c r="V330" s="613" t="str">
        <f>'refer admin discharge'!H331</f>
        <v>00/00/0000</v>
      </c>
      <c r="W330" s="351"/>
      <c r="X330" s="616"/>
      <c r="Y330" s="351"/>
      <c r="Z330" s="617"/>
      <c r="AA330" s="351"/>
      <c r="AB330" s="616"/>
      <c r="AC330" s="351"/>
      <c r="AD330" s="607"/>
      <c r="AE330" s="351"/>
      <c r="AF330" s="616"/>
      <c r="AG330" s="351"/>
      <c r="AH330" s="607"/>
      <c r="AI330" s="351"/>
      <c r="AJ330" s="616"/>
      <c r="AK330" s="351"/>
      <c r="AL330" s="622"/>
      <c r="AM330" s="350"/>
      <c r="AN330" s="350"/>
      <c r="AO330" s="350"/>
      <c r="AP330" s="350"/>
      <c r="AQ330" s="350"/>
      <c r="AR330" s="350"/>
      <c r="AS330" s="350"/>
      <c r="AT330" s="350"/>
      <c r="AU330" s="350"/>
      <c r="AV330" s="350"/>
      <c r="AW330" s="350"/>
      <c r="AX330" s="350"/>
      <c r="AY330" s="350"/>
      <c r="AZ330" s="350"/>
      <c r="BA330" s="350"/>
      <c r="BB330" s="351"/>
    </row>
    <row r="331" spans="1:54" ht="15.75" customHeight="1">
      <c r="A331" s="25">
        <f t="shared" si="1"/>
        <v>318</v>
      </c>
      <c r="B331" s="599" t="str">
        <f>'refer admin discharge'!B327</f>
        <v>x</v>
      </c>
      <c r="C331" s="351"/>
      <c r="D331" s="600" t="str">
        <f>'refer admin discharge'!D327</f>
        <v>xx</v>
      </c>
      <c r="E331" s="351"/>
      <c r="F331" s="609" t="str">
        <f>'refer admin discharge'!H327</f>
        <v>00/00/0000</v>
      </c>
      <c r="G331" s="351"/>
      <c r="H331" s="610"/>
      <c r="I331" s="351"/>
      <c r="J331" s="611"/>
      <c r="K331" s="351"/>
      <c r="L331" s="610"/>
      <c r="M331" s="351"/>
      <c r="N331" s="612"/>
      <c r="O331" s="351"/>
      <c r="P331" s="610"/>
      <c r="Q331" s="351"/>
      <c r="R331" s="612"/>
      <c r="S331" s="351"/>
      <c r="T331" s="610"/>
      <c r="U331" s="351"/>
      <c r="V331" s="613" t="str">
        <f>'refer admin discharge'!H332</f>
        <v>00/00/0000</v>
      </c>
      <c r="W331" s="351"/>
      <c r="X331" s="607"/>
      <c r="Y331" s="351"/>
      <c r="Z331" s="614"/>
      <c r="AA331" s="351"/>
      <c r="AB331" s="607"/>
      <c r="AC331" s="351"/>
      <c r="AD331" s="606"/>
      <c r="AE331" s="351"/>
      <c r="AF331" s="607"/>
      <c r="AG331" s="351"/>
      <c r="AH331" s="606"/>
      <c r="AI331" s="351"/>
      <c r="AJ331" s="607"/>
      <c r="AK331" s="351"/>
      <c r="AL331" s="608"/>
      <c r="AM331" s="350"/>
      <c r="AN331" s="350"/>
      <c r="AO331" s="350"/>
      <c r="AP331" s="350"/>
      <c r="AQ331" s="350"/>
      <c r="AR331" s="350"/>
      <c r="AS331" s="350"/>
      <c r="AT331" s="350"/>
      <c r="AU331" s="350"/>
      <c r="AV331" s="350"/>
      <c r="AW331" s="350"/>
      <c r="AX331" s="350"/>
      <c r="AY331" s="350"/>
      <c r="AZ331" s="350"/>
      <c r="BA331" s="350"/>
      <c r="BB331" s="351"/>
    </row>
    <row r="332" spans="1:54" ht="15.75" customHeight="1">
      <c r="A332" s="25">
        <f t="shared" si="1"/>
        <v>319</v>
      </c>
      <c r="B332" s="618" t="str">
        <f>'refer admin discharge'!B328</f>
        <v>x</v>
      </c>
      <c r="C332" s="351"/>
      <c r="D332" s="619" t="str">
        <f>'refer admin discharge'!D328</f>
        <v>xx</v>
      </c>
      <c r="E332" s="351"/>
      <c r="F332" s="620" t="str">
        <f>'refer admin discharge'!H328</f>
        <v>00/00/0000</v>
      </c>
      <c r="G332" s="351"/>
      <c r="H332" s="615"/>
      <c r="I332" s="351"/>
      <c r="J332" s="621"/>
      <c r="K332" s="351"/>
      <c r="L332" s="615"/>
      <c r="M332" s="351"/>
      <c r="N332" s="610"/>
      <c r="O332" s="351"/>
      <c r="P332" s="615"/>
      <c r="Q332" s="351"/>
      <c r="R332" s="610"/>
      <c r="S332" s="351"/>
      <c r="T332" s="615"/>
      <c r="U332" s="351"/>
      <c r="V332" s="613" t="str">
        <f>'refer admin discharge'!H333</f>
        <v>00/00/0000</v>
      </c>
      <c r="W332" s="351"/>
      <c r="X332" s="616"/>
      <c r="Y332" s="351"/>
      <c r="Z332" s="617"/>
      <c r="AA332" s="351"/>
      <c r="AB332" s="616"/>
      <c r="AC332" s="351"/>
      <c r="AD332" s="607"/>
      <c r="AE332" s="351"/>
      <c r="AF332" s="616"/>
      <c r="AG332" s="351"/>
      <c r="AH332" s="607"/>
      <c r="AI332" s="351"/>
      <c r="AJ332" s="616"/>
      <c r="AK332" s="351"/>
      <c r="AL332" s="622"/>
      <c r="AM332" s="350"/>
      <c r="AN332" s="350"/>
      <c r="AO332" s="350"/>
      <c r="AP332" s="350"/>
      <c r="AQ332" s="350"/>
      <c r="AR332" s="350"/>
      <c r="AS332" s="350"/>
      <c r="AT332" s="350"/>
      <c r="AU332" s="350"/>
      <c r="AV332" s="350"/>
      <c r="AW332" s="350"/>
      <c r="AX332" s="350"/>
      <c r="AY332" s="350"/>
      <c r="AZ332" s="350"/>
      <c r="BA332" s="350"/>
      <c r="BB332" s="351"/>
    </row>
    <row r="333" spans="1:54" ht="15.75" customHeight="1">
      <c r="A333" s="25">
        <f t="shared" si="1"/>
        <v>320</v>
      </c>
      <c r="B333" s="599" t="str">
        <f>'refer admin discharge'!B329</f>
        <v>x</v>
      </c>
      <c r="C333" s="351"/>
      <c r="D333" s="600" t="str">
        <f>'refer admin discharge'!D329</f>
        <v>xx</v>
      </c>
      <c r="E333" s="351"/>
      <c r="F333" s="609" t="str">
        <f>'refer admin discharge'!H329</f>
        <v>00/00/0000</v>
      </c>
      <c r="G333" s="351"/>
      <c r="H333" s="610"/>
      <c r="I333" s="351"/>
      <c r="J333" s="611"/>
      <c r="K333" s="351"/>
      <c r="L333" s="610"/>
      <c r="M333" s="351"/>
      <c r="N333" s="612"/>
      <c r="O333" s="351"/>
      <c r="P333" s="610"/>
      <c r="Q333" s="351"/>
      <c r="R333" s="612"/>
      <c r="S333" s="351"/>
      <c r="T333" s="610"/>
      <c r="U333" s="351"/>
      <c r="V333" s="613" t="str">
        <f>'refer admin discharge'!H334</f>
        <v>00/00/0000</v>
      </c>
      <c r="W333" s="351"/>
      <c r="X333" s="607"/>
      <c r="Y333" s="351"/>
      <c r="Z333" s="614"/>
      <c r="AA333" s="351"/>
      <c r="AB333" s="607"/>
      <c r="AC333" s="351"/>
      <c r="AD333" s="606"/>
      <c r="AE333" s="351"/>
      <c r="AF333" s="607"/>
      <c r="AG333" s="351"/>
      <c r="AH333" s="606"/>
      <c r="AI333" s="351"/>
      <c r="AJ333" s="607"/>
      <c r="AK333" s="351"/>
      <c r="AL333" s="608"/>
      <c r="AM333" s="350"/>
      <c r="AN333" s="350"/>
      <c r="AO333" s="350"/>
      <c r="AP333" s="350"/>
      <c r="AQ333" s="350"/>
      <c r="AR333" s="350"/>
      <c r="AS333" s="350"/>
      <c r="AT333" s="350"/>
      <c r="AU333" s="350"/>
      <c r="AV333" s="350"/>
      <c r="AW333" s="350"/>
      <c r="AX333" s="350"/>
      <c r="AY333" s="350"/>
      <c r="AZ333" s="350"/>
      <c r="BA333" s="350"/>
      <c r="BB333" s="351"/>
    </row>
    <row r="334" spans="1:54" ht="15.75" customHeight="1">
      <c r="A334" s="25">
        <f t="shared" si="1"/>
        <v>321</v>
      </c>
      <c r="B334" s="618" t="str">
        <f>'refer admin discharge'!B330</f>
        <v>x</v>
      </c>
      <c r="C334" s="351"/>
      <c r="D334" s="619" t="str">
        <f>'refer admin discharge'!D330</f>
        <v>xx</v>
      </c>
      <c r="E334" s="351"/>
      <c r="F334" s="620" t="str">
        <f>'refer admin discharge'!H330</f>
        <v>00/00/0000</v>
      </c>
      <c r="G334" s="351"/>
      <c r="H334" s="615"/>
      <c r="I334" s="351"/>
      <c r="J334" s="621"/>
      <c r="K334" s="351"/>
      <c r="L334" s="615"/>
      <c r="M334" s="351"/>
      <c r="N334" s="610"/>
      <c r="O334" s="351"/>
      <c r="P334" s="615"/>
      <c r="Q334" s="351"/>
      <c r="R334" s="610"/>
      <c r="S334" s="351"/>
      <c r="T334" s="615"/>
      <c r="U334" s="351"/>
      <c r="V334" s="613" t="str">
        <f>'refer admin discharge'!H335</f>
        <v>00/00/0000</v>
      </c>
      <c r="W334" s="351"/>
      <c r="X334" s="616"/>
      <c r="Y334" s="351"/>
      <c r="Z334" s="617"/>
      <c r="AA334" s="351"/>
      <c r="AB334" s="616"/>
      <c r="AC334" s="351"/>
      <c r="AD334" s="607"/>
      <c r="AE334" s="351"/>
      <c r="AF334" s="616"/>
      <c r="AG334" s="351"/>
      <c r="AH334" s="607"/>
      <c r="AI334" s="351"/>
      <c r="AJ334" s="616"/>
      <c r="AK334" s="351"/>
      <c r="AL334" s="622"/>
      <c r="AM334" s="350"/>
      <c r="AN334" s="350"/>
      <c r="AO334" s="350"/>
      <c r="AP334" s="350"/>
      <c r="AQ334" s="350"/>
      <c r="AR334" s="350"/>
      <c r="AS334" s="350"/>
      <c r="AT334" s="350"/>
      <c r="AU334" s="350"/>
      <c r="AV334" s="350"/>
      <c r="AW334" s="350"/>
      <c r="AX334" s="350"/>
      <c r="AY334" s="350"/>
      <c r="AZ334" s="350"/>
      <c r="BA334" s="350"/>
      <c r="BB334" s="351"/>
    </row>
    <row r="335" spans="1:54" ht="15.75" customHeight="1">
      <c r="A335" s="25">
        <f t="shared" si="1"/>
        <v>322</v>
      </c>
      <c r="B335" s="599" t="str">
        <f>'refer admin discharge'!B331</f>
        <v>x</v>
      </c>
      <c r="C335" s="351"/>
      <c r="D335" s="600" t="str">
        <f>'refer admin discharge'!D331</f>
        <v>xx</v>
      </c>
      <c r="E335" s="351"/>
      <c r="F335" s="609" t="str">
        <f>'refer admin discharge'!H331</f>
        <v>00/00/0000</v>
      </c>
      <c r="G335" s="351"/>
      <c r="H335" s="610"/>
      <c r="I335" s="351"/>
      <c r="J335" s="611"/>
      <c r="K335" s="351"/>
      <c r="L335" s="610"/>
      <c r="M335" s="351"/>
      <c r="N335" s="612"/>
      <c r="O335" s="351"/>
      <c r="P335" s="610"/>
      <c r="Q335" s="351"/>
      <c r="R335" s="612"/>
      <c r="S335" s="351"/>
      <c r="T335" s="610"/>
      <c r="U335" s="351"/>
      <c r="V335" s="613" t="str">
        <f>'refer admin discharge'!H336</f>
        <v>00/00/0000</v>
      </c>
      <c r="W335" s="351"/>
      <c r="X335" s="607"/>
      <c r="Y335" s="351"/>
      <c r="Z335" s="614"/>
      <c r="AA335" s="351"/>
      <c r="AB335" s="607"/>
      <c r="AC335" s="351"/>
      <c r="AD335" s="606"/>
      <c r="AE335" s="351"/>
      <c r="AF335" s="607"/>
      <c r="AG335" s="351"/>
      <c r="AH335" s="606"/>
      <c r="AI335" s="351"/>
      <c r="AJ335" s="607"/>
      <c r="AK335" s="351"/>
      <c r="AL335" s="608"/>
      <c r="AM335" s="350"/>
      <c r="AN335" s="350"/>
      <c r="AO335" s="350"/>
      <c r="AP335" s="350"/>
      <c r="AQ335" s="350"/>
      <c r="AR335" s="350"/>
      <c r="AS335" s="350"/>
      <c r="AT335" s="350"/>
      <c r="AU335" s="350"/>
      <c r="AV335" s="350"/>
      <c r="AW335" s="350"/>
      <c r="AX335" s="350"/>
      <c r="AY335" s="350"/>
      <c r="AZ335" s="350"/>
      <c r="BA335" s="350"/>
      <c r="BB335" s="351"/>
    </row>
    <row r="336" spans="1:54" ht="15.75" customHeight="1">
      <c r="A336" s="25">
        <f t="shared" si="1"/>
        <v>323</v>
      </c>
      <c r="B336" s="618" t="str">
        <f>'refer admin discharge'!B332</f>
        <v>x</v>
      </c>
      <c r="C336" s="351"/>
      <c r="D336" s="619" t="str">
        <f>'refer admin discharge'!D332</f>
        <v>xx</v>
      </c>
      <c r="E336" s="351"/>
      <c r="F336" s="620" t="str">
        <f>'refer admin discharge'!H332</f>
        <v>00/00/0000</v>
      </c>
      <c r="G336" s="351"/>
      <c r="H336" s="615"/>
      <c r="I336" s="351"/>
      <c r="J336" s="621"/>
      <c r="K336" s="351"/>
      <c r="L336" s="615"/>
      <c r="M336" s="351"/>
      <c r="N336" s="610"/>
      <c r="O336" s="351"/>
      <c r="P336" s="615"/>
      <c r="Q336" s="351"/>
      <c r="R336" s="610"/>
      <c r="S336" s="351"/>
      <c r="T336" s="615"/>
      <c r="U336" s="351"/>
      <c r="V336" s="613" t="str">
        <f>'refer admin discharge'!H337</f>
        <v>00/00/0000</v>
      </c>
      <c r="W336" s="351"/>
      <c r="X336" s="616"/>
      <c r="Y336" s="351"/>
      <c r="Z336" s="617"/>
      <c r="AA336" s="351"/>
      <c r="AB336" s="616"/>
      <c r="AC336" s="351"/>
      <c r="AD336" s="607"/>
      <c r="AE336" s="351"/>
      <c r="AF336" s="616"/>
      <c r="AG336" s="351"/>
      <c r="AH336" s="607"/>
      <c r="AI336" s="351"/>
      <c r="AJ336" s="616"/>
      <c r="AK336" s="351"/>
      <c r="AL336" s="622"/>
      <c r="AM336" s="350"/>
      <c r="AN336" s="350"/>
      <c r="AO336" s="350"/>
      <c r="AP336" s="350"/>
      <c r="AQ336" s="350"/>
      <c r="AR336" s="350"/>
      <c r="AS336" s="350"/>
      <c r="AT336" s="350"/>
      <c r="AU336" s="350"/>
      <c r="AV336" s="350"/>
      <c r="AW336" s="350"/>
      <c r="AX336" s="350"/>
      <c r="AY336" s="350"/>
      <c r="AZ336" s="350"/>
      <c r="BA336" s="350"/>
      <c r="BB336" s="351"/>
    </row>
    <row r="337" spans="1:54" ht="15.75" customHeight="1">
      <c r="A337" s="25">
        <f t="shared" si="1"/>
        <v>324</v>
      </c>
      <c r="B337" s="599" t="str">
        <f>'refer admin discharge'!B333</f>
        <v>x</v>
      </c>
      <c r="C337" s="351"/>
      <c r="D337" s="600" t="str">
        <f>'refer admin discharge'!D333</f>
        <v>xx</v>
      </c>
      <c r="E337" s="351"/>
      <c r="F337" s="609" t="str">
        <f>'refer admin discharge'!H333</f>
        <v>00/00/0000</v>
      </c>
      <c r="G337" s="351"/>
      <c r="H337" s="610"/>
      <c r="I337" s="351"/>
      <c r="J337" s="611"/>
      <c r="K337" s="351"/>
      <c r="L337" s="610"/>
      <c r="M337" s="351"/>
      <c r="N337" s="612"/>
      <c r="O337" s="351"/>
      <c r="P337" s="610"/>
      <c r="Q337" s="351"/>
      <c r="R337" s="612"/>
      <c r="S337" s="351"/>
      <c r="T337" s="610"/>
      <c r="U337" s="351"/>
      <c r="V337" s="613" t="str">
        <f>'refer admin discharge'!H338</f>
        <v>00/00/0000</v>
      </c>
      <c r="W337" s="351"/>
      <c r="X337" s="607"/>
      <c r="Y337" s="351"/>
      <c r="Z337" s="614"/>
      <c r="AA337" s="351"/>
      <c r="AB337" s="607"/>
      <c r="AC337" s="351"/>
      <c r="AD337" s="606"/>
      <c r="AE337" s="351"/>
      <c r="AF337" s="607"/>
      <c r="AG337" s="351"/>
      <c r="AH337" s="606"/>
      <c r="AI337" s="351"/>
      <c r="AJ337" s="607"/>
      <c r="AK337" s="351"/>
      <c r="AL337" s="608"/>
      <c r="AM337" s="350"/>
      <c r="AN337" s="350"/>
      <c r="AO337" s="350"/>
      <c r="AP337" s="350"/>
      <c r="AQ337" s="350"/>
      <c r="AR337" s="350"/>
      <c r="AS337" s="350"/>
      <c r="AT337" s="350"/>
      <c r="AU337" s="350"/>
      <c r="AV337" s="350"/>
      <c r="AW337" s="350"/>
      <c r="AX337" s="350"/>
      <c r="AY337" s="350"/>
      <c r="AZ337" s="350"/>
      <c r="BA337" s="350"/>
      <c r="BB337" s="351"/>
    </row>
    <row r="338" spans="1:54" ht="15.75" customHeight="1">
      <c r="A338" s="25">
        <f t="shared" si="1"/>
        <v>325</v>
      </c>
      <c r="B338" s="618" t="str">
        <f>'refer admin discharge'!B334</f>
        <v>x</v>
      </c>
      <c r="C338" s="351"/>
      <c r="D338" s="619" t="str">
        <f>'refer admin discharge'!D334</f>
        <v>xx</v>
      </c>
      <c r="E338" s="351"/>
      <c r="F338" s="620" t="str">
        <f>'refer admin discharge'!H334</f>
        <v>00/00/0000</v>
      </c>
      <c r="G338" s="351"/>
      <c r="H338" s="615"/>
      <c r="I338" s="351"/>
      <c r="J338" s="621"/>
      <c r="K338" s="351"/>
      <c r="L338" s="615"/>
      <c r="M338" s="351"/>
      <c r="N338" s="610"/>
      <c r="O338" s="351"/>
      <c r="P338" s="615"/>
      <c r="Q338" s="351"/>
      <c r="R338" s="610"/>
      <c r="S338" s="351"/>
      <c r="T338" s="615"/>
      <c r="U338" s="351"/>
      <c r="V338" s="613" t="str">
        <f>'refer admin discharge'!H339</f>
        <v>00/00/0000</v>
      </c>
      <c r="W338" s="351"/>
      <c r="X338" s="616"/>
      <c r="Y338" s="351"/>
      <c r="Z338" s="617"/>
      <c r="AA338" s="351"/>
      <c r="AB338" s="616"/>
      <c r="AC338" s="351"/>
      <c r="AD338" s="607"/>
      <c r="AE338" s="351"/>
      <c r="AF338" s="616"/>
      <c r="AG338" s="351"/>
      <c r="AH338" s="607"/>
      <c r="AI338" s="351"/>
      <c r="AJ338" s="616"/>
      <c r="AK338" s="351"/>
      <c r="AL338" s="622"/>
      <c r="AM338" s="350"/>
      <c r="AN338" s="350"/>
      <c r="AO338" s="350"/>
      <c r="AP338" s="350"/>
      <c r="AQ338" s="350"/>
      <c r="AR338" s="350"/>
      <c r="AS338" s="350"/>
      <c r="AT338" s="350"/>
      <c r="AU338" s="350"/>
      <c r="AV338" s="350"/>
      <c r="AW338" s="350"/>
      <c r="AX338" s="350"/>
      <c r="AY338" s="350"/>
      <c r="AZ338" s="350"/>
      <c r="BA338" s="350"/>
      <c r="BB338" s="351"/>
    </row>
    <row r="339" spans="1:54" ht="15.75" customHeight="1">
      <c r="A339" s="25">
        <f t="shared" si="1"/>
        <v>326</v>
      </c>
      <c r="B339" s="599" t="str">
        <f>'refer admin discharge'!B335</f>
        <v>x</v>
      </c>
      <c r="C339" s="351"/>
      <c r="D339" s="600" t="str">
        <f>'refer admin discharge'!D335</f>
        <v>xx</v>
      </c>
      <c r="E339" s="351"/>
      <c r="F339" s="609" t="str">
        <f>'refer admin discharge'!H335</f>
        <v>00/00/0000</v>
      </c>
      <c r="G339" s="351"/>
      <c r="H339" s="610"/>
      <c r="I339" s="351"/>
      <c r="J339" s="611"/>
      <c r="K339" s="351"/>
      <c r="L339" s="610"/>
      <c r="M339" s="351"/>
      <c r="N339" s="612"/>
      <c r="O339" s="351"/>
      <c r="P339" s="610"/>
      <c r="Q339" s="351"/>
      <c r="R339" s="612"/>
      <c r="S339" s="351"/>
      <c r="T339" s="610"/>
      <c r="U339" s="351"/>
      <c r="V339" s="613" t="str">
        <f>'refer admin discharge'!H340</f>
        <v>00/00/0000</v>
      </c>
      <c r="W339" s="351"/>
      <c r="X339" s="607"/>
      <c r="Y339" s="351"/>
      <c r="Z339" s="614"/>
      <c r="AA339" s="351"/>
      <c r="AB339" s="607"/>
      <c r="AC339" s="351"/>
      <c r="AD339" s="606"/>
      <c r="AE339" s="351"/>
      <c r="AF339" s="607"/>
      <c r="AG339" s="351"/>
      <c r="AH339" s="606"/>
      <c r="AI339" s="351"/>
      <c r="AJ339" s="607"/>
      <c r="AK339" s="351"/>
      <c r="AL339" s="608"/>
      <c r="AM339" s="350"/>
      <c r="AN339" s="350"/>
      <c r="AO339" s="350"/>
      <c r="AP339" s="350"/>
      <c r="AQ339" s="350"/>
      <c r="AR339" s="350"/>
      <c r="AS339" s="350"/>
      <c r="AT339" s="350"/>
      <c r="AU339" s="350"/>
      <c r="AV339" s="350"/>
      <c r="AW339" s="350"/>
      <c r="AX339" s="350"/>
      <c r="AY339" s="350"/>
      <c r="AZ339" s="350"/>
      <c r="BA339" s="350"/>
      <c r="BB339" s="351"/>
    </row>
    <row r="340" spans="1:54" ht="15.75" customHeight="1">
      <c r="A340" s="25">
        <f t="shared" si="1"/>
        <v>327</v>
      </c>
      <c r="B340" s="618" t="str">
        <f>'refer admin discharge'!B336</f>
        <v>x</v>
      </c>
      <c r="C340" s="351"/>
      <c r="D340" s="619" t="str">
        <f>'refer admin discharge'!D336</f>
        <v>xx</v>
      </c>
      <c r="E340" s="351"/>
      <c r="F340" s="620" t="str">
        <f>'refer admin discharge'!H336</f>
        <v>00/00/0000</v>
      </c>
      <c r="G340" s="351"/>
      <c r="H340" s="615"/>
      <c r="I340" s="351"/>
      <c r="J340" s="621"/>
      <c r="K340" s="351"/>
      <c r="L340" s="615"/>
      <c r="M340" s="351"/>
      <c r="N340" s="610"/>
      <c r="O340" s="351"/>
      <c r="P340" s="615"/>
      <c r="Q340" s="351"/>
      <c r="R340" s="610"/>
      <c r="S340" s="351"/>
      <c r="T340" s="615"/>
      <c r="U340" s="351"/>
      <c r="V340" s="613" t="str">
        <f>'refer admin discharge'!H341</f>
        <v>00/00/0000</v>
      </c>
      <c r="W340" s="351"/>
      <c r="X340" s="616"/>
      <c r="Y340" s="351"/>
      <c r="Z340" s="617"/>
      <c r="AA340" s="351"/>
      <c r="AB340" s="616"/>
      <c r="AC340" s="351"/>
      <c r="AD340" s="607"/>
      <c r="AE340" s="351"/>
      <c r="AF340" s="616"/>
      <c r="AG340" s="351"/>
      <c r="AH340" s="607"/>
      <c r="AI340" s="351"/>
      <c r="AJ340" s="616"/>
      <c r="AK340" s="351"/>
      <c r="AL340" s="622"/>
      <c r="AM340" s="350"/>
      <c r="AN340" s="350"/>
      <c r="AO340" s="350"/>
      <c r="AP340" s="350"/>
      <c r="AQ340" s="350"/>
      <c r="AR340" s="350"/>
      <c r="AS340" s="350"/>
      <c r="AT340" s="350"/>
      <c r="AU340" s="350"/>
      <c r="AV340" s="350"/>
      <c r="AW340" s="350"/>
      <c r="AX340" s="350"/>
      <c r="AY340" s="350"/>
      <c r="AZ340" s="350"/>
      <c r="BA340" s="350"/>
      <c r="BB340" s="351"/>
    </row>
    <row r="341" spans="1:54" ht="15.75" customHeight="1">
      <c r="A341" s="25">
        <f t="shared" si="1"/>
        <v>328</v>
      </c>
      <c r="B341" s="599" t="str">
        <f>'refer admin discharge'!B337</f>
        <v>x</v>
      </c>
      <c r="C341" s="351"/>
      <c r="D341" s="600" t="str">
        <f>'refer admin discharge'!D337</f>
        <v>xx</v>
      </c>
      <c r="E341" s="351"/>
      <c r="F341" s="609" t="str">
        <f>'refer admin discharge'!H337</f>
        <v>00/00/0000</v>
      </c>
      <c r="G341" s="351"/>
      <c r="H341" s="610"/>
      <c r="I341" s="351"/>
      <c r="J341" s="611"/>
      <c r="K341" s="351"/>
      <c r="L341" s="610"/>
      <c r="M341" s="351"/>
      <c r="N341" s="612"/>
      <c r="O341" s="351"/>
      <c r="P341" s="610"/>
      <c r="Q341" s="351"/>
      <c r="R341" s="612"/>
      <c r="S341" s="351"/>
      <c r="T341" s="610"/>
      <c r="U341" s="351"/>
      <c r="V341" s="613" t="str">
        <f>'refer admin discharge'!H342</f>
        <v>00/00/0000</v>
      </c>
      <c r="W341" s="351"/>
      <c r="X341" s="607"/>
      <c r="Y341" s="351"/>
      <c r="Z341" s="614"/>
      <c r="AA341" s="351"/>
      <c r="AB341" s="607"/>
      <c r="AC341" s="351"/>
      <c r="AD341" s="606"/>
      <c r="AE341" s="351"/>
      <c r="AF341" s="607"/>
      <c r="AG341" s="351"/>
      <c r="AH341" s="606"/>
      <c r="AI341" s="351"/>
      <c r="AJ341" s="607"/>
      <c r="AK341" s="351"/>
      <c r="AL341" s="608"/>
      <c r="AM341" s="350"/>
      <c r="AN341" s="350"/>
      <c r="AO341" s="350"/>
      <c r="AP341" s="350"/>
      <c r="AQ341" s="350"/>
      <c r="AR341" s="350"/>
      <c r="AS341" s="350"/>
      <c r="AT341" s="350"/>
      <c r="AU341" s="350"/>
      <c r="AV341" s="350"/>
      <c r="AW341" s="350"/>
      <c r="AX341" s="350"/>
      <c r="AY341" s="350"/>
      <c r="AZ341" s="350"/>
      <c r="BA341" s="350"/>
      <c r="BB341" s="351"/>
    </row>
    <row r="342" spans="1:54" ht="15.75" customHeight="1">
      <c r="A342" s="25">
        <f t="shared" si="1"/>
        <v>329</v>
      </c>
      <c r="B342" s="618" t="str">
        <f>'refer admin discharge'!B338</f>
        <v>x</v>
      </c>
      <c r="C342" s="351"/>
      <c r="D342" s="619" t="str">
        <f>'refer admin discharge'!D338</f>
        <v>xx</v>
      </c>
      <c r="E342" s="351"/>
      <c r="F342" s="620" t="str">
        <f>'refer admin discharge'!H338</f>
        <v>00/00/0000</v>
      </c>
      <c r="G342" s="351"/>
      <c r="H342" s="615"/>
      <c r="I342" s="351"/>
      <c r="J342" s="621"/>
      <c r="K342" s="351"/>
      <c r="L342" s="615"/>
      <c r="M342" s="351"/>
      <c r="N342" s="610"/>
      <c r="O342" s="351"/>
      <c r="P342" s="615"/>
      <c r="Q342" s="351"/>
      <c r="R342" s="610"/>
      <c r="S342" s="351"/>
      <c r="T342" s="615"/>
      <c r="U342" s="351"/>
      <c r="V342" s="613" t="str">
        <f>'refer admin discharge'!H343</f>
        <v>00/00/0000</v>
      </c>
      <c r="W342" s="351"/>
      <c r="X342" s="616"/>
      <c r="Y342" s="351"/>
      <c r="Z342" s="617"/>
      <c r="AA342" s="351"/>
      <c r="AB342" s="616"/>
      <c r="AC342" s="351"/>
      <c r="AD342" s="607"/>
      <c r="AE342" s="351"/>
      <c r="AF342" s="616"/>
      <c r="AG342" s="351"/>
      <c r="AH342" s="607"/>
      <c r="AI342" s="351"/>
      <c r="AJ342" s="616"/>
      <c r="AK342" s="351"/>
      <c r="AL342" s="622"/>
      <c r="AM342" s="350"/>
      <c r="AN342" s="350"/>
      <c r="AO342" s="350"/>
      <c r="AP342" s="350"/>
      <c r="AQ342" s="350"/>
      <c r="AR342" s="350"/>
      <c r="AS342" s="350"/>
      <c r="AT342" s="350"/>
      <c r="AU342" s="350"/>
      <c r="AV342" s="350"/>
      <c r="AW342" s="350"/>
      <c r="AX342" s="350"/>
      <c r="AY342" s="350"/>
      <c r="AZ342" s="350"/>
      <c r="BA342" s="350"/>
      <c r="BB342" s="351"/>
    </row>
    <row r="343" spans="1:54" ht="15.75" customHeight="1">
      <c r="A343" s="25">
        <f t="shared" si="1"/>
        <v>330</v>
      </c>
      <c r="B343" s="599" t="str">
        <f>'refer admin discharge'!B339</f>
        <v>x</v>
      </c>
      <c r="C343" s="351"/>
      <c r="D343" s="600" t="str">
        <f>'refer admin discharge'!D339</f>
        <v>xx</v>
      </c>
      <c r="E343" s="351"/>
      <c r="F343" s="609" t="str">
        <f>'refer admin discharge'!H339</f>
        <v>00/00/0000</v>
      </c>
      <c r="G343" s="351"/>
      <c r="H343" s="610"/>
      <c r="I343" s="351"/>
      <c r="J343" s="611"/>
      <c r="K343" s="351"/>
      <c r="L343" s="610"/>
      <c r="M343" s="351"/>
      <c r="N343" s="612"/>
      <c r="O343" s="351"/>
      <c r="P343" s="610"/>
      <c r="Q343" s="351"/>
      <c r="R343" s="612"/>
      <c r="S343" s="351"/>
      <c r="T343" s="610"/>
      <c r="U343" s="351"/>
      <c r="V343" s="613" t="str">
        <f>'refer admin discharge'!H344</f>
        <v>00/00/0000</v>
      </c>
      <c r="W343" s="351"/>
      <c r="X343" s="607"/>
      <c r="Y343" s="351"/>
      <c r="Z343" s="614"/>
      <c r="AA343" s="351"/>
      <c r="AB343" s="607"/>
      <c r="AC343" s="351"/>
      <c r="AD343" s="606"/>
      <c r="AE343" s="351"/>
      <c r="AF343" s="607"/>
      <c r="AG343" s="351"/>
      <c r="AH343" s="606"/>
      <c r="AI343" s="351"/>
      <c r="AJ343" s="607"/>
      <c r="AK343" s="351"/>
      <c r="AL343" s="608"/>
      <c r="AM343" s="350"/>
      <c r="AN343" s="350"/>
      <c r="AO343" s="350"/>
      <c r="AP343" s="350"/>
      <c r="AQ343" s="350"/>
      <c r="AR343" s="350"/>
      <c r="AS343" s="350"/>
      <c r="AT343" s="350"/>
      <c r="AU343" s="350"/>
      <c r="AV343" s="350"/>
      <c r="AW343" s="350"/>
      <c r="AX343" s="350"/>
      <c r="AY343" s="350"/>
      <c r="AZ343" s="350"/>
      <c r="BA343" s="350"/>
      <c r="BB343" s="351"/>
    </row>
    <row r="344" spans="1:54" ht="15.75" customHeight="1">
      <c r="A344" s="25">
        <f t="shared" si="1"/>
        <v>331</v>
      </c>
      <c r="B344" s="618" t="str">
        <f>'refer admin discharge'!B340</f>
        <v>x</v>
      </c>
      <c r="C344" s="351"/>
      <c r="D344" s="619" t="str">
        <f>'refer admin discharge'!D340</f>
        <v>xx</v>
      </c>
      <c r="E344" s="351"/>
      <c r="F344" s="620" t="str">
        <f>'refer admin discharge'!H340</f>
        <v>00/00/0000</v>
      </c>
      <c r="G344" s="351"/>
      <c r="H344" s="615"/>
      <c r="I344" s="351"/>
      <c r="J344" s="621"/>
      <c r="K344" s="351"/>
      <c r="L344" s="615"/>
      <c r="M344" s="351"/>
      <c r="N344" s="610"/>
      <c r="O344" s="351"/>
      <c r="P344" s="615"/>
      <c r="Q344" s="351"/>
      <c r="R344" s="610"/>
      <c r="S344" s="351"/>
      <c r="T344" s="615"/>
      <c r="U344" s="351"/>
      <c r="V344" s="613" t="str">
        <f>'refer admin discharge'!H345</f>
        <v>00/00/0000</v>
      </c>
      <c r="W344" s="351"/>
      <c r="X344" s="616"/>
      <c r="Y344" s="351"/>
      <c r="Z344" s="617"/>
      <c r="AA344" s="351"/>
      <c r="AB344" s="616"/>
      <c r="AC344" s="351"/>
      <c r="AD344" s="607"/>
      <c r="AE344" s="351"/>
      <c r="AF344" s="616"/>
      <c r="AG344" s="351"/>
      <c r="AH344" s="607"/>
      <c r="AI344" s="351"/>
      <c r="AJ344" s="616"/>
      <c r="AK344" s="351"/>
      <c r="AL344" s="622"/>
      <c r="AM344" s="350"/>
      <c r="AN344" s="350"/>
      <c r="AO344" s="350"/>
      <c r="AP344" s="350"/>
      <c r="AQ344" s="350"/>
      <c r="AR344" s="350"/>
      <c r="AS344" s="350"/>
      <c r="AT344" s="350"/>
      <c r="AU344" s="350"/>
      <c r="AV344" s="350"/>
      <c r="AW344" s="350"/>
      <c r="AX344" s="350"/>
      <c r="AY344" s="350"/>
      <c r="AZ344" s="350"/>
      <c r="BA344" s="350"/>
      <c r="BB344" s="351"/>
    </row>
    <row r="345" spans="1:54" ht="15.75" customHeight="1">
      <c r="A345" s="25">
        <f t="shared" si="1"/>
        <v>332</v>
      </c>
      <c r="B345" s="599" t="str">
        <f>'refer admin discharge'!B341</f>
        <v>x</v>
      </c>
      <c r="C345" s="351"/>
      <c r="D345" s="600" t="str">
        <f>'refer admin discharge'!D341</f>
        <v>xx</v>
      </c>
      <c r="E345" s="351"/>
      <c r="F345" s="609" t="str">
        <f>'refer admin discharge'!H341</f>
        <v>00/00/0000</v>
      </c>
      <c r="G345" s="351"/>
      <c r="H345" s="610"/>
      <c r="I345" s="351"/>
      <c r="J345" s="611"/>
      <c r="K345" s="351"/>
      <c r="L345" s="610"/>
      <c r="M345" s="351"/>
      <c r="N345" s="612"/>
      <c r="O345" s="351"/>
      <c r="P345" s="610"/>
      <c r="Q345" s="351"/>
      <c r="R345" s="612"/>
      <c r="S345" s="351"/>
      <c r="T345" s="610"/>
      <c r="U345" s="351"/>
      <c r="V345" s="613" t="str">
        <f>'refer admin discharge'!H346</f>
        <v>00/00/0000</v>
      </c>
      <c r="W345" s="351"/>
      <c r="X345" s="607"/>
      <c r="Y345" s="351"/>
      <c r="Z345" s="614"/>
      <c r="AA345" s="351"/>
      <c r="AB345" s="607"/>
      <c r="AC345" s="351"/>
      <c r="AD345" s="606"/>
      <c r="AE345" s="351"/>
      <c r="AF345" s="607"/>
      <c r="AG345" s="351"/>
      <c r="AH345" s="606"/>
      <c r="AI345" s="351"/>
      <c r="AJ345" s="607"/>
      <c r="AK345" s="351"/>
      <c r="AL345" s="608"/>
      <c r="AM345" s="350"/>
      <c r="AN345" s="350"/>
      <c r="AO345" s="350"/>
      <c r="AP345" s="350"/>
      <c r="AQ345" s="350"/>
      <c r="AR345" s="350"/>
      <c r="AS345" s="350"/>
      <c r="AT345" s="350"/>
      <c r="AU345" s="350"/>
      <c r="AV345" s="350"/>
      <c r="AW345" s="350"/>
      <c r="AX345" s="350"/>
      <c r="AY345" s="350"/>
      <c r="AZ345" s="350"/>
      <c r="BA345" s="350"/>
      <c r="BB345" s="351"/>
    </row>
    <row r="346" spans="1:54" ht="15.75" customHeight="1">
      <c r="A346" s="25">
        <f t="shared" si="1"/>
        <v>333</v>
      </c>
      <c r="B346" s="618" t="str">
        <f>'refer admin discharge'!B342</f>
        <v>x</v>
      </c>
      <c r="C346" s="351"/>
      <c r="D346" s="619" t="str">
        <f>'refer admin discharge'!D342</f>
        <v>xx</v>
      </c>
      <c r="E346" s="351"/>
      <c r="F346" s="620" t="str">
        <f>'refer admin discharge'!H342</f>
        <v>00/00/0000</v>
      </c>
      <c r="G346" s="351"/>
      <c r="H346" s="615"/>
      <c r="I346" s="351"/>
      <c r="J346" s="621"/>
      <c r="K346" s="351"/>
      <c r="L346" s="615"/>
      <c r="M346" s="351"/>
      <c r="N346" s="610"/>
      <c r="O346" s="351"/>
      <c r="P346" s="615"/>
      <c r="Q346" s="351"/>
      <c r="R346" s="610"/>
      <c r="S346" s="351"/>
      <c r="T346" s="615"/>
      <c r="U346" s="351"/>
      <c r="V346" s="613" t="str">
        <f>'refer admin discharge'!H347</f>
        <v>00/00/0000</v>
      </c>
      <c r="W346" s="351"/>
      <c r="X346" s="616"/>
      <c r="Y346" s="351"/>
      <c r="Z346" s="617"/>
      <c r="AA346" s="351"/>
      <c r="AB346" s="616"/>
      <c r="AC346" s="351"/>
      <c r="AD346" s="607"/>
      <c r="AE346" s="351"/>
      <c r="AF346" s="616"/>
      <c r="AG346" s="351"/>
      <c r="AH346" s="607"/>
      <c r="AI346" s="351"/>
      <c r="AJ346" s="616"/>
      <c r="AK346" s="351"/>
      <c r="AL346" s="622"/>
      <c r="AM346" s="350"/>
      <c r="AN346" s="350"/>
      <c r="AO346" s="350"/>
      <c r="AP346" s="350"/>
      <c r="AQ346" s="350"/>
      <c r="AR346" s="350"/>
      <c r="AS346" s="350"/>
      <c r="AT346" s="350"/>
      <c r="AU346" s="350"/>
      <c r="AV346" s="350"/>
      <c r="AW346" s="350"/>
      <c r="AX346" s="350"/>
      <c r="AY346" s="350"/>
      <c r="AZ346" s="350"/>
      <c r="BA346" s="350"/>
      <c r="BB346" s="351"/>
    </row>
    <row r="347" spans="1:54" ht="15.75" customHeight="1">
      <c r="A347" s="25">
        <f t="shared" si="1"/>
        <v>334</v>
      </c>
      <c r="B347" s="599" t="str">
        <f>'refer admin discharge'!B343</f>
        <v>x</v>
      </c>
      <c r="C347" s="351"/>
      <c r="D347" s="600" t="str">
        <f>'refer admin discharge'!D343</f>
        <v>xx</v>
      </c>
      <c r="E347" s="351"/>
      <c r="F347" s="609" t="str">
        <f>'refer admin discharge'!H343</f>
        <v>00/00/0000</v>
      </c>
      <c r="G347" s="351"/>
      <c r="H347" s="610"/>
      <c r="I347" s="351"/>
      <c r="J347" s="611"/>
      <c r="K347" s="351"/>
      <c r="L347" s="610"/>
      <c r="M347" s="351"/>
      <c r="N347" s="612"/>
      <c r="O347" s="351"/>
      <c r="P347" s="610"/>
      <c r="Q347" s="351"/>
      <c r="R347" s="612"/>
      <c r="S347" s="351"/>
      <c r="T347" s="610"/>
      <c r="U347" s="351"/>
      <c r="V347" s="613" t="str">
        <f>'refer admin discharge'!H348</f>
        <v>00/00/0000</v>
      </c>
      <c r="W347" s="351"/>
      <c r="X347" s="607"/>
      <c r="Y347" s="351"/>
      <c r="Z347" s="614"/>
      <c r="AA347" s="351"/>
      <c r="AB347" s="607"/>
      <c r="AC347" s="351"/>
      <c r="AD347" s="606"/>
      <c r="AE347" s="351"/>
      <c r="AF347" s="607"/>
      <c r="AG347" s="351"/>
      <c r="AH347" s="606"/>
      <c r="AI347" s="351"/>
      <c r="AJ347" s="607"/>
      <c r="AK347" s="351"/>
      <c r="AL347" s="608"/>
      <c r="AM347" s="350"/>
      <c r="AN347" s="350"/>
      <c r="AO347" s="350"/>
      <c r="AP347" s="350"/>
      <c r="AQ347" s="350"/>
      <c r="AR347" s="350"/>
      <c r="AS347" s="350"/>
      <c r="AT347" s="350"/>
      <c r="AU347" s="350"/>
      <c r="AV347" s="350"/>
      <c r="AW347" s="350"/>
      <c r="AX347" s="350"/>
      <c r="AY347" s="350"/>
      <c r="AZ347" s="350"/>
      <c r="BA347" s="350"/>
      <c r="BB347" s="351"/>
    </row>
    <row r="348" spans="1:54" ht="15.75" customHeight="1">
      <c r="A348" s="25">
        <f t="shared" si="1"/>
        <v>335</v>
      </c>
      <c r="B348" s="618" t="str">
        <f>'refer admin discharge'!B344</f>
        <v>x</v>
      </c>
      <c r="C348" s="351"/>
      <c r="D348" s="619" t="str">
        <f>'refer admin discharge'!D344</f>
        <v>xx</v>
      </c>
      <c r="E348" s="351"/>
      <c r="F348" s="620" t="str">
        <f>'refer admin discharge'!H344</f>
        <v>00/00/0000</v>
      </c>
      <c r="G348" s="351"/>
      <c r="H348" s="615"/>
      <c r="I348" s="351"/>
      <c r="J348" s="621"/>
      <c r="K348" s="351"/>
      <c r="L348" s="615"/>
      <c r="M348" s="351"/>
      <c r="N348" s="610"/>
      <c r="O348" s="351"/>
      <c r="P348" s="615"/>
      <c r="Q348" s="351"/>
      <c r="R348" s="610"/>
      <c r="S348" s="351"/>
      <c r="T348" s="615"/>
      <c r="U348" s="351"/>
      <c r="V348" s="613" t="str">
        <f>'refer admin discharge'!H349</f>
        <v>00/00/0000</v>
      </c>
      <c r="W348" s="351"/>
      <c r="X348" s="616"/>
      <c r="Y348" s="351"/>
      <c r="Z348" s="617"/>
      <c r="AA348" s="351"/>
      <c r="AB348" s="616"/>
      <c r="AC348" s="351"/>
      <c r="AD348" s="607"/>
      <c r="AE348" s="351"/>
      <c r="AF348" s="616"/>
      <c r="AG348" s="351"/>
      <c r="AH348" s="607"/>
      <c r="AI348" s="351"/>
      <c r="AJ348" s="616"/>
      <c r="AK348" s="351"/>
      <c r="AL348" s="622"/>
      <c r="AM348" s="350"/>
      <c r="AN348" s="350"/>
      <c r="AO348" s="350"/>
      <c r="AP348" s="350"/>
      <c r="AQ348" s="350"/>
      <c r="AR348" s="350"/>
      <c r="AS348" s="350"/>
      <c r="AT348" s="350"/>
      <c r="AU348" s="350"/>
      <c r="AV348" s="350"/>
      <c r="AW348" s="350"/>
      <c r="AX348" s="350"/>
      <c r="AY348" s="350"/>
      <c r="AZ348" s="350"/>
      <c r="BA348" s="350"/>
      <c r="BB348" s="351"/>
    </row>
    <row r="349" spans="1:54" ht="15.75" customHeight="1">
      <c r="A349" s="25">
        <f t="shared" si="1"/>
        <v>336</v>
      </c>
      <c r="B349" s="599" t="str">
        <f>'refer admin discharge'!B345</f>
        <v>x</v>
      </c>
      <c r="C349" s="351"/>
      <c r="D349" s="600" t="str">
        <f>'refer admin discharge'!D345</f>
        <v>xx</v>
      </c>
      <c r="E349" s="351"/>
      <c r="F349" s="609" t="str">
        <f>'refer admin discharge'!H345</f>
        <v>00/00/0000</v>
      </c>
      <c r="G349" s="351"/>
      <c r="H349" s="610"/>
      <c r="I349" s="351"/>
      <c r="J349" s="611"/>
      <c r="K349" s="351"/>
      <c r="L349" s="610"/>
      <c r="M349" s="351"/>
      <c r="N349" s="612"/>
      <c r="O349" s="351"/>
      <c r="P349" s="610"/>
      <c r="Q349" s="351"/>
      <c r="R349" s="612"/>
      <c r="S349" s="351"/>
      <c r="T349" s="610"/>
      <c r="U349" s="351"/>
      <c r="V349" s="613" t="str">
        <f>'refer admin discharge'!H350</f>
        <v>00/00/0000</v>
      </c>
      <c r="W349" s="351"/>
      <c r="X349" s="607"/>
      <c r="Y349" s="351"/>
      <c r="Z349" s="614"/>
      <c r="AA349" s="351"/>
      <c r="AB349" s="607"/>
      <c r="AC349" s="351"/>
      <c r="AD349" s="606"/>
      <c r="AE349" s="351"/>
      <c r="AF349" s="607"/>
      <c r="AG349" s="351"/>
      <c r="AH349" s="606"/>
      <c r="AI349" s="351"/>
      <c r="AJ349" s="607"/>
      <c r="AK349" s="351"/>
      <c r="AL349" s="608"/>
      <c r="AM349" s="350"/>
      <c r="AN349" s="350"/>
      <c r="AO349" s="350"/>
      <c r="AP349" s="350"/>
      <c r="AQ349" s="350"/>
      <c r="AR349" s="350"/>
      <c r="AS349" s="350"/>
      <c r="AT349" s="350"/>
      <c r="AU349" s="350"/>
      <c r="AV349" s="350"/>
      <c r="AW349" s="350"/>
      <c r="AX349" s="350"/>
      <c r="AY349" s="350"/>
      <c r="AZ349" s="350"/>
      <c r="BA349" s="350"/>
      <c r="BB349" s="351"/>
    </row>
    <row r="350" spans="1:54" ht="15.75" customHeight="1">
      <c r="A350" s="25">
        <f t="shared" si="1"/>
        <v>337</v>
      </c>
      <c r="B350" s="618" t="str">
        <f>'refer admin discharge'!B346</f>
        <v>x</v>
      </c>
      <c r="C350" s="351"/>
      <c r="D350" s="619" t="str">
        <f>'refer admin discharge'!D346</f>
        <v>xx</v>
      </c>
      <c r="E350" s="351"/>
      <c r="F350" s="620" t="str">
        <f>'refer admin discharge'!H346</f>
        <v>00/00/0000</v>
      </c>
      <c r="G350" s="351"/>
      <c r="H350" s="615"/>
      <c r="I350" s="351"/>
      <c r="J350" s="621"/>
      <c r="K350" s="351"/>
      <c r="L350" s="615"/>
      <c r="M350" s="351"/>
      <c r="N350" s="610"/>
      <c r="O350" s="351"/>
      <c r="P350" s="615"/>
      <c r="Q350" s="351"/>
      <c r="R350" s="610"/>
      <c r="S350" s="351"/>
      <c r="T350" s="615"/>
      <c r="U350" s="351"/>
      <c r="V350" s="613" t="str">
        <f>'refer admin discharge'!H351</f>
        <v>00/00/0000</v>
      </c>
      <c r="W350" s="351"/>
      <c r="X350" s="616"/>
      <c r="Y350" s="351"/>
      <c r="Z350" s="617"/>
      <c r="AA350" s="351"/>
      <c r="AB350" s="616"/>
      <c r="AC350" s="351"/>
      <c r="AD350" s="607"/>
      <c r="AE350" s="351"/>
      <c r="AF350" s="616"/>
      <c r="AG350" s="351"/>
      <c r="AH350" s="607"/>
      <c r="AI350" s="351"/>
      <c r="AJ350" s="616"/>
      <c r="AK350" s="351"/>
      <c r="AL350" s="622"/>
      <c r="AM350" s="350"/>
      <c r="AN350" s="350"/>
      <c r="AO350" s="350"/>
      <c r="AP350" s="350"/>
      <c r="AQ350" s="350"/>
      <c r="AR350" s="350"/>
      <c r="AS350" s="350"/>
      <c r="AT350" s="350"/>
      <c r="AU350" s="350"/>
      <c r="AV350" s="350"/>
      <c r="AW350" s="350"/>
      <c r="AX350" s="350"/>
      <c r="AY350" s="350"/>
      <c r="AZ350" s="350"/>
      <c r="BA350" s="350"/>
      <c r="BB350" s="351"/>
    </row>
    <row r="351" spans="1:54" ht="15.75" customHeight="1">
      <c r="A351" s="25">
        <f t="shared" si="1"/>
        <v>338</v>
      </c>
      <c r="B351" s="599" t="str">
        <f>'refer admin discharge'!B347</f>
        <v>x</v>
      </c>
      <c r="C351" s="351"/>
      <c r="D351" s="600" t="str">
        <f>'refer admin discharge'!D347</f>
        <v>xx</v>
      </c>
      <c r="E351" s="351"/>
      <c r="F351" s="609" t="str">
        <f>'refer admin discharge'!H347</f>
        <v>00/00/0000</v>
      </c>
      <c r="G351" s="351"/>
      <c r="H351" s="610"/>
      <c r="I351" s="351"/>
      <c r="J351" s="611"/>
      <c r="K351" s="351"/>
      <c r="L351" s="610"/>
      <c r="M351" s="351"/>
      <c r="N351" s="612"/>
      <c r="O351" s="351"/>
      <c r="P351" s="610"/>
      <c r="Q351" s="351"/>
      <c r="R351" s="612"/>
      <c r="S351" s="351"/>
      <c r="T351" s="610"/>
      <c r="U351" s="351"/>
      <c r="V351" s="613" t="str">
        <f>'refer admin discharge'!H352</f>
        <v>00/00/0000</v>
      </c>
      <c r="W351" s="351"/>
      <c r="X351" s="607"/>
      <c r="Y351" s="351"/>
      <c r="Z351" s="614"/>
      <c r="AA351" s="351"/>
      <c r="AB351" s="607"/>
      <c r="AC351" s="351"/>
      <c r="AD351" s="606"/>
      <c r="AE351" s="351"/>
      <c r="AF351" s="607"/>
      <c r="AG351" s="351"/>
      <c r="AH351" s="606"/>
      <c r="AI351" s="351"/>
      <c r="AJ351" s="607"/>
      <c r="AK351" s="351"/>
      <c r="AL351" s="608"/>
      <c r="AM351" s="350"/>
      <c r="AN351" s="350"/>
      <c r="AO351" s="350"/>
      <c r="AP351" s="350"/>
      <c r="AQ351" s="350"/>
      <c r="AR351" s="350"/>
      <c r="AS351" s="350"/>
      <c r="AT351" s="350"/>
      <c r="AU351" s="350"/>
      <c r="AV351" s="350"/>
      <c r="AW351" s="350"/>
      <c r="AX351" s="350"/>
      <c r="AY351" s="350"/>
      <c r="AZ351" s="350"/>
      <c r="BA351" s="350"/>
      <c r="BB351" s="351"/>
    </row>
    <row r="352" spans="1:54" ht="15.75" customHeight="1">
      <c r="A352" s="25">
        <f t="shared" si="1"/>
        <v>339</v>
      </c>
      <c r="B352" s="618" t="str">
        <f>'refer admin discharge'!B348</f>
        <v>x</v>
      </c>
      <c r="C352" s="351"/>
      <c r="D352" s="619" t="str">
        <f>'refer admin discharge'!D348</f>
        <v>xx</v>
      </c>
      <c r="E352" s="351"/>
      <c r="F352" s="620" t="str">
        <f>'refer admin discharge'!H348</f>
        <v>00/00/0000</v>
      </c>
      <c r="G352" s="351"/>
      <c r="H352" s="615"/>
      <c r="I352" s="351"/>
      <c r="J352" s="621"/>
      <c r="K352" s="351"/>
      <c r="L352" s="615"/>
      <c r="M352" s="351"/>
      <c r="N352" s="610"/>
      <c r="O352" s="351"/>
      <c r="P352" s="615"/>
      <c r="Q352" s="351"/>
      <c r="R352" s="610"/>
      <c r="S352" s="351"/>
      <c r="T352" s="615"/>
      <c r="U352" s="351"/>
      <c r="V352" s="613" t="str">
        <f>'refer admin discharge'!H353</f>
        <v>00/00/0000</v>
      </c>
      <c r="W352" s="351"/>
      <c r="X352" s="616"/>
      <c r="Y352" s="351"/>
      <c r="Z352" s="617"/>
      <c r="AA352" s="351"/>
      <c r="AB352" s="616"/>
      <c r="AC352" s="351"/>
      <c r="AD352" s="607"/>
      <c r="AE352" s="351"/>
      <c r="AF352" s="616"/>
      <c r="AG352" s="351"/>
      <c r="AH352" s="607"/>
      <c r="AI352" s="351"/>
      <c r="AJ352" s="616"/>
      <c r="AK352" s="351"/>
      <c r="AL352" s="622"/>
      <c r="AM352" s="350"/>
      <c r="AN352" s="350"/>
      <c r="AO352" s="350"/>
      <c r="AP352" s="350"/>
      <c r="AQ352" s="350"/>
      <c r="AR352" s="350"/>
      <c r="AS352" s="350"/>
      <c r="AT352" s="350"/>
      <c r="AU352" s="350"/>
      <c r="AV352" s="350"/>
      <c r="AW352" s="350"/>
      <c r="AX352" s="350"/>
      <c r="AY352" s="350"/>
      <c r="AZ352" s="350"/>
      <c r="BA352" s="350"/>
      <c r="BB352" s="351"/>
    </row>
    <row r="353" spans="1:54" ht="15.75" customHeight="1">
      <c r="A353" s="25">
        <f t="shared" si="1"/>
        <v>340</v>
      </c>
      <c r="B353" s="599" t="str">
        <f>'refer admin discharge'!B349</f>
        <v>x</v>
      </c>
      <c r="C353" s="351"/>
      <c r="D353" s="600" t="str">
        <f>'refer admin discharge'!D349</f>
        <v>xx</v>
      </c>
      <c r="E353" s="351"/>
      <c r="F353" s="609" t="str">
        <f>'refer admin discharge'!H349</f>
        <v>00/00/0000</v>
      </c>
      <c r="G353" s="351"/>
      <c r="H353" s="610"/>
      <c r="I353" s="351"/>
      <c r="J353" s="611"/>
      <c r="K353" s="351"/>
      <c r="L353" s="610"/>
      <c r="M353" s="351"/>
      <c r="N353" s="612"/>
      <c r="O353" s="351"/>
      <c r="P353" s="610"/>
      <c r="Q353" s="351"/>
      <c r="R353" s="612"/>
      <c r="S353" s="351"/>
      <c r="T353" s="610"/>
      <c r="U353" s="351"/>
      <c r="V353" s="613" t="str">
        <f>'refer admin discharge'!H354</f>
        <v>00/00/0000</v>
      </c>
      <c r="W353" s="351"/>
      <c r="X353" s="607"/>
      <c r="Y353" s="351"/>
      <c r="Z353" s="614"/>
      <c r="AA353" s="351"/>
      <c r="AB353" s="607"/>
      <c r="AC353" s="351"/>
      <c r="AD353" s="606"/>
      <c r="AE353" s="351"/>
      <c r="AF353" s="607"/>
      <c r="AG353" s="351"/>
      <c r="AH353" s="606"/>
      <c r="AI353" s="351"/>
      <c r="AJ353" s="607"/>
      <c r="AK353" s="351"/>
      <c r="AL353" s="608"/>
      <c r="AM353" s="350"/>
      <c r="AN353" s="350"/>
      <c r="AO353" s="350"/>
      <c r="AP353" s="350"/>
      <c r="AQ353" s="350"/>
      <c r="AR353" s="350"/>
      <c r="AS353" s="350"/>
      <c r="AT353" s="350"/>
      <c r="AU353" s="350"/>
      <c r="AV353" s="350"/>
      <c r="AW353" s="350"/>
      <c r="AX353" s="350"/>
      <c r="AY353" s="350"/>
      <c r="AZ353" s="350"/>
      <c r="BA353" s="350"/>
      <c r="BB353" s="351"/>
    </row>
    <row r="354" spans="1:54" ht="15.75" customHeight="1">
      <c r="A354" s="25">
        <f t="shared" si="1"/>
        <v>341</v>
      </c>
      <c r="B354" s="618" t="str">
        <f>'refer admin discharge'!B350</f>
        <v>x</v>
      </c>
      <c r="C354" s="351"/>
      <c r="D354" s="619" t="str">
        <f>'refer admin discharge'!D350</f>
        <v>xx</v>
      </c>
      <c r="E354" s="351"/>
      <c r="F354" s="620" t="str">
        <f>'refer admin discharge'!H350</f>
        <v>00/00/0000</v>
      </c>
      <c r="G354" s="351"/>
      <c r="H354" s="615"/>
      <c r="I354" s="351"/>
      <c r="J354" s="621"/>
      <c r="K354" s="351"/>
      <c r="L354" s="615"/>
      <c r="M354" s="351"/>
      <c r="N354" s="610"/>
      <c r="O354" s="351"/>
      <c r="P354" s="615"/>
      <c r="Q354" s="351"/>
      <c r="R354" s="610"/>
      <c r="S354" s="351"/>
      <c r="T354" s="615"/>
      <c r="U354" s="351"/>
      <c r="V354" s="613" t="str">
        <f>'refer admin discharge'!H355</f>
        <v>00/00/0000</v>
      </c>
      <c r="W354" s="351"/>
      <c r="X354" s="616"/>
      <c r="Y354" s="351"/>
      <c r="Z354" s="617"/>
      <c r="AA354" s="351"/>
      <c r="AB354" s="616"/>
      <c r="AC354" s="351"/>
      <c r="AD354" s="607"/>
      <c r="AE354" s="351"/>
      <c r="AF354" s="616"/>
      <c r="AG354" s="351"/>
      <c r="AH354" s="607"/>
      <c r="AI354" s="351"/>
      <c r="AJ354" s="616"/>
      <c r="AK354" s="351"/>
      <c r="AL354" s="622"/>
      <c r="AM354" s="350"/>
      <c r="AN354" s="350"/>
      <c r="AO354" s="350"/>
      <c r="AP354" s="350"/>
      <c r="AQ354" s="350"/>
      <c r="AR354" s="350"/>
      <c r="AS354" s="350"/>
      <c r="AT354" s="350"/>
      <c r="AU354" s="350"/>
      <c r="AV354" s="350"/>
      <c r="AW354" s="350"/>
      <c r="AX354" s="350"/>
      <c r="AY354" s="350"/>
      <c r="AZ354" s="350"/>
      <c r="BA354" s="350"/>
      <c r="BB354" s="351"/>
    </row>
    <row r="355" spans="1:54" ht="15.75" customHeight="1">
      <c r="A355" s="25">
        <f t="shared" si="1"/>
        <v>342</v>
      </c>
      <c r="B355" s="599" t="str">
        <f>'refer admin discharge'!B351</f>
        <v>x</v>
      </c>
      <c r="C355" s="351"/>
      <c r="D355" s="600" t="str">
        <f>'refer admin discharge'!D351</f>
        <v>xx</v>
      </c>
      <c r="E355" s="351"/>
      <c r="F355" s="609" t="str">
        <f>'refer admin discharge'!H351</f>
        <v>00/00/0000</v>
      </c>
      <c r="G355" s="351"/>
      <c r="H355" s="610"/>
      <c r="I355" s="351"/>
      <c r="J355" s="611"/>
      <c r="K355" s="351"/>
      <c r="L355" s="610"/>
      <c r="M355" s="351"/>
      <c r="N355" s="612"/>
      <c r="O355" s="351"/>
      <c r="P355" s="610"/>
      <c r="Q355" s="351"/>
      <c r="R355" s="612"/>
      <c r="S355" s="351"/>
      <c r="T355" s="610"/>
      <c r="U355" s="351"/>
      <c r="V355" s="613" t="str">
        <f>'refer admin discharge'!H356</f>
        <v>00/00/0000</v>
      </c>
      <c r="W355" s="351"/>
      <c r="X355" s="607"/>
      <c r="Y355" s="351"/>
      <c r="Z355" s="614"/>
      <c r="AA355" s="351"/>
      <c r="AB355" s="607"/>
      <c r="AC355" s="351"/>
      <c r="AD355" s="606"/>
      <c r="AE355" s="351"/>
      <c r="AF355" s="607"/>
      <c r="AG355" s="351"/>
      <c r="AH355" s="606"/>
      <c r="AI355" s="351"/>
      <c r="AJ355" s="607"/>
      <c r="AK355" s="351"/>
      <c r="AL355" s="608"/>
      <c r="AM355" s="350"/>
      <c r="AN355" s="350"/>
      <c r="AO355" s="350"/>
      <c r="AP355" s="350"/>
      <c r="AQ355" s="350"/>
      <c r="AR355" s="350"/>
      <c r="AS355" s="350"/>
      <c r="AT355" s="350"/>
      <c r="AU355" s="350"/>
      <c r="AV355" s="350"/>
      <c r="AW355" s="350"/>
      <c r="AX355" s="350"/>
      <c r="AY355" s="350"/>
      <c r="AZ355" s="350"/>
      <c r="BA355" s="350"/>
      <c r="BB355" s="351"/>
    </row>
    <row r="356" spans="1:54" ht="15.75" customHeight="1">
      <c r="A356" s="25">
        <f t="shared" si="1"/>
        <v>343</v>
      </c>
      <c r="B356" s="618" t="str">
        <f>'refer admin discharge'!B352</f>
        <v>x</v>
      </c>
      <c r="C356" s="351"/>
      <c r="D356" s="619" t="str">
        <f>'refer admin discharge'!D352</f>
        <v>xx</v>
      </c>
      <c r="E356" s="351"/>
      <c r="F356" s="620" t="str">
        <f>'refer admin discharge'!H352</f>
        <v>00/00/0000</v>
      </c>
      <c r="G356" s="351"/>
      <c r="H356" s="615"/>
      <c r="I356" s="351"/>
      <c r="J356" s="621"/>
      <c r="K356" s="351"/>
      <c r="L356" s="615"/>
      <c r="M356" s="351"/>
      <c r="N356" s="610"/>
      <c r="O356" s="351"/>
      <c r="P356" s="615"/>
      <c r="Q356" s="351"/>
      <c r="R356" s="610"/>
      <c r="S356" s="351"/>
      <c r="T356" s="615"/>
      <c r="U356" s="351"/>
      <c r="V356" s="613" t="str">
        <f>'refer admin discharge'!H357</f>
        <v>00/00/0000</v>
      </c>
      <c r="W356" s="351"/>
      <c r="X356" s="616"/>
      <c r="Y356" s="351"/>
      <c r="Z356" s="617"/>
      <c r="AA356" s="351"/>
      <c r="AB356" s="616"/>
      <c r="AC356" s="351"/>
      <c r="AD356" s="607"/>
      <c r="AE356" s="351"/>
      <c r="AF356" s="616"/>
      <c r="AG356" s="351"/>
      <c r="AH356" s="607"/>
      <c r="AI356" s="351"/>
      <c r="AJ356" s="616"/>
      <c r="AK356" s="351"/>
      <c r="AL356" s="622"/>
      <c r="AM356" s="350"/>
      <c r="AN356" s="350"/>
      <c r="AO356" s="350"/>
      <c r="AP356" s="350"/>
      <c r="AQ356" s="350"/>
      <c r="AR356" s="350"/>
      <c r="AS356" s="350"/>
      <c r="AT356" s="350"/>
      <c r="AU356" s="350"/>
      <c r="AV356" s="350"/>
      <c r="AW356" s="350"/>
      <c r="AX356" s="350"/>
      <c r="AY356" s="350"/>
      <c r="AZ356" s="350"/>
      <c r="BA356" s="350"/>
      <c r="BB356" s="351"/>
    </row>
    <row r="357" spans="1:54" ht="15.75" customHeight="1">
      <c r="A357" s="25">
        <f t="shared" si="1"/>
        <v>344</v>
      </c>
      <c r="B357" s="599" t="str">
        <f>'refer admin discharge'!B353</f>
        <v>x</v>
      </c>
      <c r="C357" s="351"/>
      <c r="D357" s="600" t="str">
        <f>'refer admin discharge'!D353</f>
        <v>xx</v>
      </c>
      <c r="E357" s="351"/>
      <c r="F357" s="609" t="str">
        <f>'refer admin discharge'!H353</f>
        <v>00/00/0000</v>
      </c>
      <c r="G357" s="351"/>
      <c r="H357" s="610"/>
      <c r="I357" s="351"/>
      <c r="J357" s="611"/>
      <c r="K357" s="351"/>
      <c r="L357" s="610"/>
      <c r="M357" s="351"/>
      <c r="N357" s="612"/>
      <c r="O357" s="351"/>
      <c r="P357" s="610"/>
      <c r="Q357" s="351"/>
      <c r="R357" s="612"/>
      <c r="S357" s="351"/>
      <c r="T357" s="610"/>
      <c r="U357" s="351"/>
      <c r="V357" s="613" t="str">
        <f>'refer admin discharge'!H358</f>
        <v>00/00/0000</v>
      </c>
      <c r="W357" s="351"/>
      <c r="X357" s="607"/>
      <c r="Y357" s="351"/>
      <c r="Z357" s="614"/>
      <c r="AA357" s="351"/>
      <c r="AB357" s="607"/>
      <c r="AC357" s="351"/>
      <c r="AD357" s="606"/>
      <c r="AE357" s="351"/>
      <c r="AF357" s="607"/>
      <c r="AG357" s="351"/>
      <c r="AH357" s="606"/>
      <c r="AI357" s="351"/>
      <c r="AJ357" s="607"/>
      <c r="AK357" s="351"/>
      <c r="AL357" s="608"/>
      <c r="AM357" s="350"/>
      <c r="AN357" s="350"/>
      <c r="AO357" s="350"/>
      <c r="AP357" s="350"/>
      <c r="AQ357" s="350"/>
      <c r="AR357" s="350"/>
      <c r="AS357" s="350"/>
      <c r="AT357" s="350"/>
      <c r="AU357" s="350"/>
      <c r="AV357" s="350"/>
      <c r="AW357" s="350"/>
      <c r="AX357" s="350"/>
      <c r="AY357" s="350"/>
      <c r="AZ357" s="350"/>
      <c r="BA357" s="350"/>
      <c r="BB357" s="351"/>
    </row>
    <row r="358" spans="1:54" ht="15.75" customHeight="1">
      <c r="A358" s="25">
        <f t="shared" si="1"/>
        <v>345</v>
      </c>
      <c r="B358" s="618" t="str">
        <f>'refer admin discharge'!B354</f>
        <v>x</v>
      </c>
      <c r="C358" s="351"/>
      <c r="D358" s="619" t="str">
        <f>'refer admin discharge'!D354</f>
        <v>xx</v>
      </c>
      <c r="E358" s="351"/>
      <c r="F358" s="620" t="str">
        <f>'refer admin discharge'!H354</f>
        <v>00/00/0000</v>
      </c>
      <c r="G358" s="351"/>
      <c r="H358" s="615"/>
      <c r="I358" s="351"/>
      <c r="J358" s="621"/>
      <c r="K358" s="351"/>
      <c r="L358" s="615"/>
      <c r="M358" s="351"/>
      <c r="N358" s="610"/>
      <c r="O358" s="351"/>
      <c r="P358" s="615"/>
      <c r="Q358" s="351"/>
      <c r="R358" s="610"/>
      <c r="S358" s="351"/>
      <c r="T358" s="615"/>
      <c r="U358" s="351"/>
      <c r="V358" s="613" t="str">
        <f>'refer admin discharge'!H359</f>
        <v>00/00/0000</v>
      </c>
      <c r="W358" s="351"/>
      <c r="X358" s="616"/>
      <c r="Y358" s="351"/>
      <c r="Z358" s="617"/>
      <c r="AA358" s="351"/>
      <c r="AB358" s="616"/>
      <c r="AC358" s="351"/>
      <c r="AD358" s="607"/>
      <c r="AE358" s="351"/>
      <c r="AF358" s="616"/>
      <c r="AG358" s="351"/>
      <c r="AH358" s="607"/>
      <c r="AI358" s="351"/>
      <c r="AJ358" s="616"/>
      <c r="AK358" s="351"/>
      <c r="AL358" s="622"/>
      <c r="AM358" s="350"/>
      <c r="AN358" s="350"/>
      <c r="AO358" s="350"/>
      <c r="AP358" s="350"/>
      <c r="AQ358" s="350"/>
      <c r="AR358" s="350"/>
      <c r="AS358" s="350"/>
      <c r="AT358" s="350"/>
      <c r="AU358" s="350"/>
      <c r="AV358" s="350"/>
      <c r="AW358" s="350"/>
      <c r="AX358" s="350"/>
      <c r="AY358" s="350"/>
      <c r="AZ358" s="350"/>
      <c r="BA358" s="350"/>
      <c r="BB358" s="351"/>
    </row>
    <row r="359" spans="1:54" ht="15.75" customHeight="1">
      <c r="A359" s="25">
        <f t="shared" si="1"/>
        <v>346</v>
      </c>
      <c r="B359" s="599" t="str">
        <f>'refer admin discharge'!B355</f>
        <v>x</v>
      </c>
      <c r="C359" s="351"/>
      <c r="D359" s="600" t="str">
        <f>'refer admin discharge'!D355</f>
        <v>xx</v>
      </c>
      <c r="E359" s="351"/>
      <c r="F359" s="609" t="str">
        <f>'refer admin discharge'!H355</f>
        <v>00/00/0000</v>
      </c>
      <c r="G359" s="351"/>
      <c r="H359" s="610"/>
      <c r="I359" s="351"/>
      <c r="J359" s="611"/>
      <c r="K359" s="351"/>
      <c r="L359" s="610"/>
      <c r="M359" s="351"/>
      <c r="N359" s="612"/>
      <c r="O359" s="351"/>
      <c r="P359" s="610"/>
      <c r="Q359" s="351"/>
      <c r="R359" s="612"/>
      <c r="S359" s="351"/>
      <c r="T359" s="610"/>
      <c r="U359" s="351"/>
      <c r="V359" s="613" t="str">
        <f>'refer admin discharge'!H360</f>
        <v>00/00/0000</v>
      </c>
      <c r="W359" s="351"/>
      <c r="X359" s="607"/>
      <c r="Y359" s="351"/>
      <c r="Z359" s="614"/>
      <c r="AA359" s="351"/>
      <c r="AB359" s="607"/>
      <c r="AC359" s="351"/>
      <c r="AD359" s="606"/>
      <c r="AE359" s="351"/>
      <c r="AF359" s="607"/>
      <c r="AG359" s="351"/>
      <c r="AH359" s="606"/>
      <c r="AI359" s="351"/>
      <c r="AJ359" s="607"/>
      <c r="AK359" s="351"/>
      <c r="AL359" s="608"/>
      <c r="AM359" s="350"/>
      <c r="AN359" s="350"/>
      <c r="AO359" s="350"/>
      <c r="AP359" s="350"/>
      <c r="AQ359" s="350"/>
      <c r="AR359" s="350"/>
      <c r="AS359" s="350"/>
      <c r="AT359" s="350"/>
      <c r="AU359" s="350"/>
      <c r="AV359" s="350"/>
      <c r="AW359" s="350"/>
      <c r="AX359" s="350"/>
      <c r="AY359" s="350"/>
      <c r="AZ359" s="350"/>
      <c r="BA359" s="350"/>
      <c r="BB359" s="351"/>
    </row>
    <row r="360" spans="1:54" ht="15.75" customHeight="1">
      <c r="A360" s="25">
        <f t="shared" si="1"/>
        <v>347</v>
      </c>
      <c r="B360" s="618" t="str">
        <f>'refer admin discharge'!B356</f>
        <v>x</v>
      </c>
      <c r="C360" s="351"/>
      <c r="D360" s="619" t="str">
        <f>'refer admin discharge'!D356</f>
        <v>xx</v>
      </c>
      <c r="E360" s="351"/>
      <c r="F360" s="620" t="str">
        <f>'refer admin discharge'!H356</f>
        <v>00/00/0000</v>
      </c>
      <c r="G360" s="351"/>
      <c r="H360" s="615"/>
      <c r="I360" s="351"/>
      <c r="J360" s="621"/>
      <c r="K360" s="351"/>
      <c r="L360" s="615"/>
      <c r="M360" s="351"/>
      <c r="N360" s="610"/>
      <c r="O360" s="351"/>
      <c r="P360" s="615"/>
      <c r="Q360" s="351"/>
      <c r="R360" s="610"/>
      <c r="S360" s="351"/>
      <c r="T360" s="615"/>
      <c r="U360" s="351"/>
      <c r="V360" s="613" t="str">
        <f>'refer admin discharge'!H361</f>
        <v>00/00/0000</v>
      </c>
      <c r="W360" s="351"/>
      <c r="X360" s="616"/>
      <c r="Y360" s="351"/>
      <c r="Z360" s="617"/>
      <c r="AA360" s="351"/>
      <c r="AB360" s="616"/>
      <c r="AC360" s="351"/>
      <c r="AD360" s="607"/>
      <c r="AE360" s="351"/>
      <c r="AF360" s="616"/>
      <c r="AG360" s="351"/>
      <c r="AH360" s="607"/>
      <c r="AI360" s="351"/>
      <c r="AJ360" s="616"/>
      <c r="AK360" s="351"/>
      <c r="AL360" s="622"/>
      <c r="AM360" s="350"/>
      <c r="AN360" s="350"/>
      <c r="AO360" s="350"/>
      <c r="AP360" s="350"/>
      <c r="AQ360" s="350"/>
      <c r="AR360" s="350"/>
      <c r="AS360" s="350"/>
      <c r="AT360" s="350"/>
      <c r="AU360" s="350"/>
      <c r="AV360" s="350"/>
      <c r="AW360" s="350"/>
      <c r="AX360" s="350"/>
      <c r="AY360" s="350"/>
      <c r="AZ360" s="350"/>
      <c r="BA360" s="350"/>
      <c r="BB360" s="351"/>
    </row>
    <row r="361" spans="1:54" ht="15.75" customHeight="1">
      <c r="A361" s="25">
        <f t="shared" si="1"/>
        <v>348</v>
      </c>
      <c r="B361" s="599" t="str">
        <f>'refer admin discharge'!B357</f>
        <v>x</v>
      </c>
      <c r="C361" s="351"/>
      <c r="D361" s="600" t="str">
        <f>'refer admin discharge'!D357</f>
        <v>xx</v>
      </c>
      <c r="E361" s="351"/>
      <c r="F361" s="609" t="str">
        <f>'refer admin discharge'!H357</f>
        <v>00/00/0000</v>
      </c>
      <c r="G361" s="351"/>
      <c r="H361" s="610"/>
      <c r="I361" s="351"/>
      <c r="J361" s="611"/>
      <c r="K361" s="351"/>
      <c r="L361" s="610"/>
      <c r="M361" s="351"/>
      <c r="N361" s="612"/>
      <c r="O361" s="351"/>
      <c r="P361" s="610"/>
      <c r="Q361" s="351"/>
      <c r="R361" s="612"/>
      <c r="S361" s="351"/>
      <c r="T361" s="610"/>
      <c r="U361" s="351"/>
      <c r="V361" s="613" t="str">
        <f>'refer admin discharge'!H362</f>
        <v>00/00/0000</v>
      </c>
      <c r="W361" s="351"/>
      <c r="X361" s="607"/>
      <c r="Y361" s="351"/>
      <c r="Z361" s="614"/>
      <c r="AA361" s="351"/>
      <c r="AB361" s="607"/>
      <c r="AC361" s="351"/>
      <c r="AD361" s="606"/>
      <c r="AE361" s="351"/>
      <c r="AF361" s="607"/>
      <c r="AG361" s="351"/>
      <c r="AH361" s="606"/>
      <c r="AI361" s="351"/>
      <c r="AJ361" s="607"/>
      <c r="AK361" s="351"/>
      <c r="AL361" s="608"/>
      <c r="AM361" s="350"/>
      <c r="AN361" s="350"/>
      <c r="AO361" s="350"/>
      <c r="AP361" s="350"/>
      <c r="AQ361" s="350"/>
      <c r="AR361" s="350"/>
      <c r="AS361" s="350"/>
      <c r="AT361" s="350"/>
      <c r="AU361" s="350"/>
      <c r="AV361" s="350"/>
      <c r="AW361" s="350"/>
      <c r="AX361" s="350"/>
      <c r="AY361" s="350"/>
      <c r="AZ361" s="350"/>
      <c r="BA361" s="350"/>
      <c r="BB361" s="351"/>
    </row>
    <row r="362" spans="1:54" ht="15.75" customHeight="1">
      <c r="A362" s="25">
        <f t="shared" si="1"/>
        <v>349</v>
      </c>
      <c r="B362" s="618" t="str">
        <f>'refer admin discharge'!B358</f>
        <v>x</v>
      </c>
      <c r="C362" s="351"/>
      <c r="D362" s="619" t="str">
        <f>'refer admin discharge'!D358</f>
        <v>xx</v>
      </c>
      <c r="E362" s="351"/>
      <c r="F362" s="620" t="str">
        <f>'refer admin discharge'!H358</f>
        <v>00/00/0000</v>
      </c>
      <c r="G362" s="351"/>
      <c r="H362" s="615"/>
      <c r="I362" s="351"/>
      <c r="J362" s="621"/>
      <c r="K362" s="351"/>
      <c r="L362" s="615"/>
      <c r="M362" s="351"/>
      <c r="N362" s="610"/>
      <c r="O362" s="351"/>
      <c r="P362" s="615"/>
      <c r="Q362" s="351"/>
      <c r="R362" s="610"/>
      <c r="S362" s="351"/>
      <c r="T362" s="615"/>
      <c r="U362" s="351"/>
      <c r="V362" s="613" t="str">
        <f>'refer admin discharge'!H363</f>
        <v>00/00/0000</v>
      </c>
      <c r="W362" s="351"/>
      <c r="X362" s="616"/>
      <c r="Y362" s="351"/>
      <c r="Z362" s="617"/>
      <c r="AA362" s="351"/>
      <c r="AB362" s="616"/>
      <c r="AC362" s="351"/>
      <c r="AD362" s="607"/>
      <c r="AE362" s="351"/>
      <c r="AF362" s="616"/>
      <c r="AG362" s="351"/>
      <c r="AH362" s="607"/>
      <c r="AI362" s="351"/>
      <c r="AJ362" s="616"/>
      <c r="AK362" s="351"/>
      <c r="AL362" s="622"/>
      <c r="AM362" s="350"/>
      <c r="AN362" s="350"/>
      <c r="AO362" s="350"/>
      <c r="AP362" s="350"/>
      <c r="AQ362" s="350"/>
      <c r="AR362" s="350"/>
      <c r="AS362" s="350"/>
      <c r="AT362" s="350"/>
      <c r="AU362" s="350"/>
      <c r="AV362" s="350"/>
      <c r="AW362" s="350"/>
      <c r="AX362" s="350"/>
      <c r="AY362" s="350"/>
      <c r="AZ362" s="350"/>
      <c r="BA362" s="350"/>
      <c r="BB362" s="351"/>
    </row>
    <row r="363" spans="1:54" ht="15.75" customHeight="1">
      <c r="A363" s="25">
        <f t="shared" si="1"/>
        <v>350</v>
      </c>
      <c r="B363" s="599" t="str">
        <f>'refer admin discharge'!B359</f>
        <v>x</v>
      </c>
      <c r="C363" s="351"/>
      <c r="D363" s="600" t="str">
        <f>'refer admin discharge'!D359</f>
        <v>xx</v>
      </c>
      <c r="E363" s="351"/>
      <c r="F363" s="609" t="str">
        <f>'refer admin discharge'!H359</f>
        <v>00/00/0000</v>
      </c>
      <c r="G363" s="351"/>
      <c r="H363" s="610"/>
      <c r="I363" s="351"/>
      <c r="J363" s="611"/>
      <c r="K363" s="351"/>
      <c r="L363" s="610"/>
      <c r="M363" s="351"/>
      <c r="N363" s="612"/>
      <c r="O363" s="351"/>
      <c r="P363" s="610"/>
      <c r="Q363" s="351"/>
      <c r="R363" s="612"/>
      <c r="S363" s="351"/>
      <c r="T363" s="610"/>
      <c r="U363" s="351"/>
      <c r="V363" s="613" t="str">
        <f>'refer admin discharge'!H364</f>
        <v>00/00/0000</v>
      </c>
      <c r="W363" s="351"/>
      <c r="X363" s="607"/>
      <c r="Y363" s="351"/>
      <c r="Z363" s="614"/>
      <c r="AA363" s="351"/>
      <c r="AB363" s="607"/>
      <c r="AC363" s="351"/>
      <c r="AD363" s="606"/>
      <c r="AE363" s="351"/>
      <c r="AF363" s="607"/>
      <c r="AG363" s="351"/>
      <c r="AH363" s="606"/>
      <c r="AI363" s="351"/>
      <c r="AJ363" s="607"/>
      <c r="AK363" s="351"/>
      <c r="AL363" s="608"/>
      <c r="AM363" s="350"/>
      <c r="AN363" s="350"/>
      <c r="AO363" s="350"/>
      <c r="AP363" s="350"/>
      <c r="AQ363" s="350"/>
      <c r="AR363" s="350"/>
      <c r="AS363" s="350"/>
      <c r="AT363" s="350"/>
      <c r="AU363" s="350"/>
      <c r="AV363" s="350"/>
      <c r="AW363" s="350"/>
      <c r="AX363" s="350"/>
      <c r="AY363" s="350"/>
      <c r="AZ363" s="350"/>
      <c r="BA363" s="350"/>
      <c r="BB363" s="351"/>
    </row>
    <row r="364" spans="1:54" ht="15.75" customHeight="1">
      <c r="A364" s="25">
        <f t="shared" si="1"/>
        <v>351</v>
      </c>
      <c r="B364" s="618" t="str">
        <f>'refer admin discharge'!B360</f>
        <v>x</v>
      </c>
      <c r="C364" s="351"/>
      <c r="D364" s="619" t="str">
        <f>'refer admin discharge'!D360</f>
        <v>xx</v>
      </c>
      <c r="E364" s="351"/>
      <c r="F364" s="620" t="str">
        <f>'refer admin discharge'!H360</f>
        <v>00/00/0000</v>
      </c>
      <c r="G364" s="351"/>
      <c r="H364" s="615"/>
      <c r="I364" s="351"/>
      <c r="J364" s="621"/>
      <c r="K364" s="351"/>
      <c r="L364" s="615"/>
      <c r="M364" s="351"/>
      <c r="N364" s="610"/>
      <c r="O364" s="351"/>
      <c r="P364" s="615"/>
      <c r="Q364" s="351"/>
      <c r="R364" s="610"/>
      <c r="S364" s="351"/>
      <c r="T364" s="615"/>
      <c r="U364" s="351"/>
      <c r="V364" s="613" t="str">
        <f>'refer admin discharge'!H365</f>
        <v>00/00/0000</v>
      </c>
      <c r="W364" s="351"/>
      <c r="X364" s="616"/>
      <c r="Y364" s="351"/>
      <c r="Z364" s="617"/>
      <c r="AA364" s="351"/>
      <c r="AB364" s="616"/>
      <c r="AC364" s="351"/>
      <c r="AD364" s="607"/>
      <c r="AE364" s="351"/>
      <c r="AF364" s="616"/>
      <c r="AG364" s="351"/>
      <c r="AH364" s="607"/>
      <c r="AI364" s="351"/>
      <c r="AJ364" s="616"/>
      <c r="AK364" s="351"/>
      <c r="AL364" s="622"/>
      <c r="AM364" s="350"/>
      <c r="AN364" s="350"/>
      <c r="AO364" s="350"/>
      <c r="AP364" s="350"/>
      <c r="AQ364" s="350"/>
      <c r="AR364" s="350"/>
      <c r="AS364" s="350"/>
      <c r="AT364" s="350"/>
      <c r="AU364" s="350"/>
      <c r="AV364" s="350"/>
      <c r="AW364" s="350"/>
      <c r="AX364" s="350"/>
      <c r="AY364" s="350"/>
      <c r="AZ364" s="350"/>
      <c r="BA364" s="350"/>
      <c r="BB364" s="351"/>
    </row>
    <row r="365" spans="1:54" ht="15.75" customHeight="1">
      <c r="A365" s="25">
        <f t="shared" si="1"/>
        <v>352</v>
      </c>
      <c r="B365" s="599" t="str">
        <f>'refer admin discharge'!B361</f>
        <v>x</v>
      </c>
      <c r="C365" s="351"/>
      <c r="D365" s="600" t="str">
        <f>'refer admin discharge'!D361</f>
        <v>xx</v>
      </c>
      <c r="E365" s="351"/>
      <c r="F365" s="609" t="str">
        <f>'refer admin discharge'!H361</f>
        <v>00/00/0000</v>
      </c>
      <c r="G365" s="351"/>
      <c r="H365" s="610"/>
      <c r="I365" s="351"/>
      <c r="J365" s="611"/>
      <c r="K365" s="351"/>
      <c r="L365" s="610"/>
      <c r="M365" s="351"/>
      <c r="N365" s="612"/>
      <c r="O365" s="351"/>
      <c r="P365" s="610"/>
      <c r="Q365" s="351"/>
      <c r="R365" s="612"/>
      <c r="S365" s="351"/>
      <c r="T365" s="610"/>
      <c r="U365" s="351"/>
      <c r="V365" s="613" t="str">
        <f>'refer admin discharge'!H366</f>
        <v>00/00/0000</v>
      </c>
      <c r="W365" s="351"/>
      <c r="X365" s="607"/>
      <c r="Y365" s="351"/>
      <c r="Z365" s="614"/>
      <c r="AA365" s="351"/>
      <c r="AB365" s="607"/>
      <c r="AC365" s="351"/>
      <c r="AD365" s="606"/>
      <c r="AE365" s="351"/>
      <c r="AF365" s="607"/>
      <c r="AG365" s="351"/>
      <c r="AH365" s="606"/>
      <c r="AI365" s="351"/>
      <c r="AJ365" s="607"/>
      <c r="AK365" s="351"/>
      <c r="AL365" s="608"/>
      <c r="AM365" s="350"/>
      <c r="AN365" s="350"/>
      <c r="AO365" s="350"/>
      <c r="AP365" s="350"/>
      <c r="AQ365" s="350"/>
      <c r="AR365" s="350"/>
      <c r="AS365" s="350"/>
      <c r="AT365" s="350"/>
      <c r="AU365" s="350"/>
      <c r="AV365" s="350"/>
      <c r="AW365" s="350"/>
      <c r="AX365" s="350"/>
      <c r="AY365" s="350"/>
      <c r="AZ365" s="350"/>
      <c r="BA365" s="350"/>
      <c r="BB365" s="351"/>
    </row>
    <row r="366" spans="1:54" ht="15.75" customHeight="1">
      <c r="A366" s="25">
        <f t="shared" si="1"/>
        <v>353</v>
      </c>
      <c r="B366" s="618" t="str">
        <f>'refer admin discharge'!B362</f>
        <v>x</v>
      </c>
      <c r="C366" s="351"/>
      <c r="D366" s="619" t="str">
        <f>'refer admin discharge'!D362</f>
        <v>xx</v>
      </c>
      <c r="E366" s="351"/>
      <c r="F366" s="620" t="str">
        <f>'refer admin discharge'!H362</f>
        <v>00/00/0000</v>
      </c>
      <c r="G366" s="351"/>
      <c r="H366" s="615"/>
      <c r="I366" s="351"/>
      <c r="J366" s="621"/>
      <c r="K366" s="351"/>
      <c r="L366" s="615"/>
      <c r="M366" s="351"/>
      <c r="N366" s="610"/>
      <c r="O366" s="351"/>
      <c r="P366" s="615"/>
      <c r="Q366" s="351"/>
      <c r="R366" s="610"/>
      <c r="S366" s="351"/>
      <c r="T366" s="615"/>
      <c r="U366" s="351"/>
      <c r="V366" s="613" t="str">
        <f>'refer admin discharge'!H367</f>
        <v>00/00/0000</v>
      </c>
      <c r="W366" s="351"/>
      <c r="X366" s="616"/>
      <c r="Y366" s="351"/>
      <c r="Z366" s="617"/>
      <c r="AA366" s="351"/>
      <c r="AB366" s="616"/>
      <c r="AC366" s="351"/>
      <c r="AD366" s="607"/>
      <c r="AE366" s="351"/>
      <c r="AF366" s="616"/>
      <c r="AG366" s="351"/>
      <c r="AH366" s="607"/>
      <c r="AI366" s="351"/>
      <c r="AJ366" s="616"/>
      <c r="AK366" s="351"/>
      <c r="AL366" s="622"/>
      <c r="AM366" s="350"/>
      <c r="AN366" s="350"/>
      <c r="AO366" s="350"/>
      <c r="AP366" s="350"/>
      <c r="AQ366" s="350"/>
      <c r="AR366" s="350"/>
      <c r="AS366" s="350"/>
      <c r="AT366" s="350"/>
      <c r="AU366" s="350"/>
      <c r="AV366" s="350"/>
      <c r="AW366" s="350"/>
      <c r="AX366" s="350"/>
      <c r="AY366" s="350"/>
      <c r="AZ366" s="350"/>
      <c r="BA366" s="350"/>
      <c r="BB366" s="351"/>
    </row>
    <row r="367" spans="1:54" ht="15.75" customHeight="1">
      <c r="A367" s="25">
        <f t="shared" si="1"/>
        <v>354</v>
      </c>
      <c r="B367" s="599" t="str">
        <f>'refer admin discharge'!B363</f>
        <v>x</v>
      </c>
      <c r="C367" s="351"/>
      <c r="D367" s="600" t="str">
        <f>'refer admin discharge'!D363</f>
        <v>xx</v>
      </c>
      <c r="E367" s="351"/>
      <c r="F367" s="609" t="str">
        <f>'refer admin discharge'!H363</f>
        <v>00/00/0000</v>
      </c>
      <c r="G367" s="351"/>
      <c r="H367" s="610"/>
      <c r="I367" s="351"/>
      <c r="J367" s="611"/>
      <c r="K367" s="351"/>
      <c r="L367" s="610"/>
      <c r="M367" s="351"/>
      <c r="N367" s="612"/>
      <c r="O367" s="351"/>
      <c r="P367" s="610"/>
      <c r="Q367" s="351"/>
      <c r="R367" s="612"/>
      <c r="S367" s="351"/>
      <c r="T367" s="610"/>
      <c r="U367" s="351"/>
      <c r="V367" s="613" t="str">
        <f>'refer admin discharge'!H368</f>
        <v>00/00/0000</v>
      </c>
      <c r="W367" s="351"/>
      <c r="X367" s="607"/>
      <c r="Y367" s="351"/>
      <c r="Z367" s="614"/>
      <c r="AA367" s="351"/>
      <c r="AB367" s="607"/>
      <c r="AC367" s="351"/>
      <c r="AD367" s="606"/>
      <c r="AE367" s="351"/>
      <c r="AF367" s="607"/>
      <c r="AG367" s="351"/>
      <c r="AH367" s="606"/>
      <c r="AI367" s="351"/>
      <c r="AJ367" s="607"/>
      <c r="AK367" s="351"/>
      <c r="AL367" s="608"/>
      <c r="AM367" s="350"/>
      <c r="AN367" s="350"/>
      <c r="AO367" s="350"/>
      <c r="AP367" s="350"/>
      <c r="AQ367" s="350"/>
      <c r="AR367" s="350"/>
      <c r="AS367" s="350"/>
      <c r="AT367" s="350"/>
      <c r="AU367" s="350"/>
      <c r="AV367" s="350"/>
      <c r="AW367" s="350"/>
      <c r="AX367" s="350"/>
      <c r="AY367" s="350"/>
      <c r="AZ367" s="350"/>
      <c r="BA367" s="350"/>
      <c r="BB367" s="351"/>
    </row>
    <row r="368" spans="1:54" ht="15.75" customHeight="1">
      <c r="A368" s="25">
        <f t="shared" si="1"/>
        <v>355</v>
      </c>
      <c r="B368" s="618" t="str">
        <f>'refer admin discharge'!B364</f>
        <v>x</v>
      </c>
      <c r="C368" s="351"/>
      <c r="D368" s="619" t="str">
        <f>'refer admin discharge'!D364</f>
        <v>xx</v>
      </c>
      <c r="E368" s="351"/>
      <c r="F368" s="620" t="str">
        <f>'refer admin discharge'!H364</f>
        <v>00/00/0000</v>
      </c>
      <c r="G368" s="351"/>
      <c r="H368" s="615"/>
      <c r="I368" s="351"/>
      <c r="J368" s="621"/>
      <c r="K368" s="351"/>
      <c r="L368" s="615"/>
      <c r="M368" s="351"/>
      <c r="N368" s="610"/>
      <c r="O368" s="351"/>
      <c r="P368" s="615"/>
      <c r="Q368" s="351"/>
      <c r="R368" s="610"/>
      <c r="S368" s="351"/>
      <c r="T368" s="615"/>
      <c r="U368" s="351"/>
      <c r="V368" s="613" t="str">
        <f>'refer admin discharge'!H369</f>
        <v>00/00/0000</v>
      </c>
      <c r="W368" s="351"/>
      <c r="X368" s="616"/>
      <c r="Y368" s="351"/>
      <c r="Z368" s="617"/>
      <c r="AA368" s="351"/>
      <c r="AB368" s="616"/>
      <c r="AC368" s="351"/>
      <c r="AD368" s="607"/>
      <c r="AE368" s="351"/>
      <c r="AF368" s="616"/>
      <c r="AG368" s="351"/>
      <c r="AH368" s="607"/>
      <c r="AI368" s="351"/>
      <c r="AJ368" s="616"/>
      <c r="AK368" s="351"/>
      <c r="AL368" s="622"/>
      <c r="AM368" s="350"/>
      <c r="AN368" s="350"/>
      <c r="AO368" s="350"/>
      <c r="AP368" s="350"/>
      <c r="AQ368" s="350"/>
      <c r="AR368" s="350"/>
      <c r="AS368" s="350"/>
      <c r="AT368" s="350"/>
      <c r="AU368" s="350"/>
      <c r="AV368" s="350"/>
      <c r="AW368" s="350"/>
      <c r="AX368" s="350"/>
      <c r="AY368" s="350"/>
      <c r="AZ368" s="350"/>
      <c r="BA368" s="350"/>
      <c r="BB368" s="351"/>
    </row>
    <row r="369" spans="1:54" ht="15.75" customHeight="1">
      <c r="A369" s="25">
        <f t="shared" si="1"/>
        <v>356</v>
      </c>
      <c r="B369" s="599" t="str">
        <f>'refer admin discharge'!B365</f>
        <v>x</v>
      </c>
      <c r="C369" s="351"/>
      <c r="D369" s="600" t="str">
        <f>'refer admin discharge'!D365</f>
        <v>xx</v>
      </c>
      <c r="E369" s="351"/>
      <c r="F369" s="609" t="str">
        <f>'refer admin discharge'!H365</f>
        <v>00/00/0000</v>
      </c>
      <c r="G369" s="351"/>
      <c r="H369" s="610"/>
      <c r="I369" s="351"/>
      <c r="J369" s="611"/>
      <c r="K369" s="351"/>
      <c r="L369" s="610"/>
      <c r="M369" s="351"/>
      <c r="N369" s="612"/>
      <c r="O369" s="351"/>
      <c r="P369" s="610"/>
      <c r="Q369" s="351"/>
      <c r="R369" s="612"/>
      <c r="S369" s="351"/>
      <c r="T369" s="610"/>
      <c r="U369" s="351"/>
      <c r="V369" s="613" t="str">
        <f>'refer admin discharge'!H370</f>
        <v>00/00/0000</v>
      </c>
      <c r="W369" s="351"/>
      <c r="X369" s="607"/>
      <c r="Y369" s="351"/>
      <c r="Z369" s="614"/>
      <c r="AA369" s="351"/>
      <c r="AB369" s="607"/>
      <c r="AC369" s="351"/>
      <c r="AD369" s="606"/>
      <c r="AE369" s="351"/>
      <c r="AF369" s="607"/>
      <c r="AG369" s="351"/>
      <c r="AH369" s="606"/>
      <c r="AI369" s="351"/>
      <c r="AJ369" s="607"/>
      <c r="AK369" s="351"/>
      <c r="AL369" s="608"/>
      <c r="AM369" s="350"/>
      <c r="AN369" s="350"/>
      <c r="AO369" s="350"/>
      <c r="AP369" s="350"/>
      <c r="AQ369" s="350"/>
      <c r="AR369" s="350"/>
      <c r="AS369" s="350"/>
      <c r="AT369" s="350"/>
      <c r="AU369" s="350"/>
      <c r="AV369" s="350"/>
      <c r="AW369" s="350"/>
      <c r="AX369" s="350"/>
      <c r="AY369" s="350"/>
      <c r="AZ369" s="350"/>
      <c r="BA369" s="350"/>
      <c r="BB369" s="351"/>
    </row>
    <row r="370" spans="1:54" ht="15.75" customHeight="1">
      <c r="A370" s="25">
        <f t="shared" si="1"/>
        <v>357</v>
      </c>
      <c r="B370" s="618" t="str">
        <f>'refer admin discharge'!B366</f>
        <v>x</v>
      </c>
      <c r="C370" s="351"/>
      <c r="D370" s="619" t="str">
        <f>'refer admin discharge'!D366</f>
        <v>xx</v>
      </c>
      <c r="E370" s="351"/>
      <c r="F370" s="620" t="str">
        <f>'refer admin discharge'!H366</f>
        <v>00/00/0000</v>
      </c>
      <c r="G370" s="351"/>
      <c r="H370" s="615"/>
      <c r="I370" s="351"/>
      <c r="J370" s="621"/>
      <c r="K370" s="351"/>
      <c r="L370" s="615"/>
      <c r="M370" s="351"/>
      <c r="N370" s="610"/>
      <c r="O370" s="351"/>
      <c r="P370" s="615"/>
      <c r="Q370" s="351"/>
      <c r="R370" s="610"/>
      <c r="S370" s="351"/>
      <c r="T370" s="615"/>
      <c r="U370" s="351"/>
      <c r="V370" s="613" t="str">
        <f>'refer admin discharge'!H371</f>
        <v>00/00/0000</v>
      </c>
      <c r="W370" s="351"/>
      <c r="X370" s="616"/>
      <c r="Y370" s="351"/>
      <c r="Z370" s="617"/>
      <c r="AA370" s="351"/>
      <c r="AB370" s="616"/>
      <c r="AC370" s="351"/>
      <c r="AD370" s="607"/>
      <c r="AE370" s="351"/>
      <c r="AF370" s="616"/>
      <c r="AG370" s="351"/>
      <c r="AH370" s="607"/>
      <c r="AI370" s="351"/>
      <c r="AJ370" s="616"/>
      <c r="AK370" s="351"/>
      <c r="AL370" s="622"/>
      <c r="AM370" s="350"/>
      <c r="AN370" s="350"/>
      <c r="AO370" s="350"/>
      <c r="AP370" s="350"/>
      <c r="AQ370" s="350"/>
      <c r="AR370" s="350"/>
      <c r="AS370" s="350"/>
      <c r="AT370" s="350"/>
      <c r="AU370" s="350"/>
      <c r="AV370" s="350"/>
      <c r="AW370" s="350"/>
      <c r="AX370" s="350"/>
      <c r="AY370" s="350"/>
      <c r="AZ370" s="350"/>
      <c r="BA370" s="350"/>
      <c r="BB370" s="351"/>
    </row>
    <row r="371" spans="1:54" ht="15.75" customHeight="1">
      <c r="A371" s="25">
        <f t="shared" si="1"/>
        <v>358</v>
      </c>
      <c r="B371" s="599" t="str">
        <f>'refer admin discharge'!B367</f>
        <v>x</v>
      </c>
      <c r="C371" s="351"/>
      <c r="D371" s="600" t="str">
        <f>'refer admin discharge'!D367</f>
        <v>xx</v>
      </c>
      <c r="E371" s="351"/>
      <c r="F371" s="609" t="str">
        <f>'refer admin discharge'!H367</f>
        <v>00/00/0000</v>
      </c>
      <c r="G371" s="351"/>
      <c r="H371" s="610"/>
      <c r="I371" s="351"/>
      <c r="J371" s="611"/>
      <c r="K371" s="351"/>
      <c r="L371" s="610"/>
      <c r="M371" s="351"/>
      <c r="N371" s="612"/>
      <c r="O371" s="351"/>
      <c r="P371" s="610"/>
      <c r="Q371" s="351"/>
      <c r="R371" s="612"/>
      <c r="S371" s="351"/>
      <c r="T371" s="610"/>
      <c r="U371" s="351"/>
      <c r="V371" s="613" t="str">
        <f>'refer admin discharge'!H372</f>
        <v>00/00/0000</v>
      </c>
      <c r="W371" s="351"/>
      <c r="X371" s="607"/>
      <c r="Y371" s="351"/>
      <c r="Z371" s="614"/>
      <c r="AA371" s="351"/>
      <c r="AB371" s="607"/>
      <c r="AC371" s="351"/>
      <c r="AD371" s="606"/>
      <c r="AE371" s="351"/>
      <c r="AF371" s="607"/>
      <c r="AG371" s="351"/>
      <c r="AH371" s="606"/>
      <c r="AI371" s="351"/>
      <c r="AJ371" s="607"/>
      <c r="AK371" s="351"/>
      <c r="AL371" s="608"/>
      <c r="AM371" s="350"/>
      <c r="AN371" s="350"/>
      <c r="AO371" s="350"/>
      <c r="AP371" s="350"/>
      <c r="AQ371" s="350"/>
      <c r="AR371" s="350"/>
      <c r="AS371" s="350"/>
      <c r="AT371" s="350"/>
      <c r="AU371" s="350"/>
      <c r="AV371" s="350"/>
      <c r="AW371" s="350"/>
      <c r="AX371" s="350"/>
      <c r="AY371" s="350"/>
      <c r="AZ371" s="350"/>
      <c r="BA371" s="350"/>
      <c r="BB371" s="351"/>
    </row>
    <row r="372" spans="1:54" ht="15.75" customHeight="1">
      <c r="A372" s="25">
        <f t="shared" si="1"/>
        <v>359</v>
      </c>
      <c r="B372" s="618" t="str">
        <f>'refer admin discharge'!B368</f>
        <v>x</v>
      </c>
      <c r="C372" s="351"/>
      <c r="D372" s="619" t="str">
        <f>'refer admin discharge'!D368</f>
        <v>xx</v>
      </c>
      <c r="E372" s="351"/>
      <c r="F372" s="620" t="str">
        <f>'refer admin discharge'!H368</f>
        <v>00/00/0000</v>
      </c>
      <c r="G372" s="351"/>
      <c r="H372" s="615"/>
      <c r="I372" s="351"/>
      <c r="J372" s="621"/>
      <c r="K372" s="351"/>
      <c r="L372" s="615"/>
      <c r="M372" s="351"/>
      <c r="N372" s="610"/>
      <c r="O372" s="351"/>
      <c r="P372" s="615"/>
      <c r="Q372" s="351"/>
      <c r="R372" s="610"/>
      <c r="S372" s="351"/>
      <c r="T372" s="615"/>
      <c r="U372" s="351"/>
      <c r="V372" s="613" t="str">
        <f>'refer admin discharge'!H373</f>
        <v>00/00/0000</v>
      </c>
      <c r="W372" s="351"/>
      <c r="X372" s="616"/>
      <c r="Y372" s="351"/>
      <c r="Z372" s="617"/>
      <c r="AA372" s="351"/>
      <c r="AB372" s="616"/>
      <c r="AC372" s="351"/>
      <c r="AD372" s="607"/>
      <c r="AE372" s="351"/>
      <c r="AF372" s="616"/>
      <c r="AG372" s="351"/>
      <c r="AH372" s="607"/>
      <c r="AI372" s="351"/>
      <c r="AJ372" s="616"/>
      <c r="AK372" s="351"/>
      <c r="AL372" s="622"/>
      <c r="AM372" s="350"/>
      <c r="AN372" s="350"/>
      <c r="AO372" s="350"/>
      <c r="AP372" s="350"/>
      <c r="AQ372" s="350"/>
      <c r="AR372" s="350"/>
      <c r="AS372" s="350"/>
      <c r="AT372" s="350"/>
      <c r="AU372" s="350"/>
      <c r="AV372" s="350"/>
      <c r="AW372" s="350"/>
      <c r="AX372" s="350"/>
      <c r="AY372" s="350"/>
      <c r="AZ372" s="350"/>
      <c r="BA372" s="350"/>
      <c r="BB372" s="351"/>
    </row>
    <row r="373" spans="1:54" ht="15.75" customHeight="1">
      <c r="A373" s="25">
        <f t="shared" si="1"/>
        <v>360</v>
      </c>
      <c r="B373" s="599" t="str">
        <f>'refer admin discharge'!B369</f>
        <v>x</v>
      </c>
      <c r="C373" s="351"/>
      <c r="D373" s="600" t="str">
        <f>'refer admin discharge'!D369</f>
        <v>xx</v>
      </c>
      <c r="E373" s="351"/>
      <c r="F373" s="609" t="str">
        <f>'refer admin discharge'!H369</f>
        <v>00/00/0000</v>
      </c>
      <c r="G373" s="351"/>
      <c r="H373" s="610"/>
      <c r="I373" s="351"/>
      <c r="J373" s="611"/>
      <c r="K373" s="351"/>
      <c r="L373" s="610"/>
      <c r="M373" s="351"/>
      <c r="N373" s="612"/>
      <c r="O373" s="351"/>
      <c r="P373" s="610"/>
      <c r="Q373" s="351"/>
      <c r="R373" s="612"/>
      <c r="S373" s="351"/>
      <c r="T373" s="610"/>
      <c r="U373" s="351"/>
      <c r="V373" s="613" t="str">
        <f>'refer admin discharge'!H374</f>
        <v>00/00/0000</v>
      </c>
      <c r="W373" s="351"/>
      <c r="X373" s="607"/>
      <c r="Y373" s="351"/>
      <c r="Z373" s="614"/>
      <c r="AA373" s="351"/>
      <c r="AB373" s="607"/>
      <c r="AC373" s="351"/>
      <c r="AD373" s="606"/>
      <c r="AE373" s="351"/>
      <c r="AF373" s="607"/>
      <c r="AG373" s="351"/>
      <c r="AH373" s="606"/>
      <c r="AI373" s="351"/>
      <c r="AJ373" s="607"/>
      <c r="AK373" s="351"/>
      <c r="AL373" s="608"/>
      <c r="AM373" s="350"/>
      <c r="AN373" s="350"/>
      <c r="AO373" s="350"/>
      <c r="AP373" s="350"/>
      <c r="AQ373" s="350"/>
      <c r="AR373" s="350"/>
      <c r="AS373" s="350"/>
      <c r="AT373" s="350"/>
      <c r="AU373" s="350"/>
      <c r="AV373" s="350"/>
      <c r="AW373" s="350"/>
      <c r="AX373" s="350"/>
      <c r="AY373" s="350"/>
      <c r="AZ373" s="350"/>
      <c r="BA373" s="350"/>
      <c r="BB373" s="351"/>
    </row>
    <row r="374" spans="1:54" ht="15.75" customHeight="1">
      <c r="A374" s="25">
        <f t="shared" si="1"/>
        <v>361</v>
      </c>
      <c r="B374" s="618" t="str">
        <f>'refer admin discharge'!B370</f>
        <v>x</v>
      </c>
      <c r="C374" s="351"/>
      <c r="D374" s="619" t="str">
        <f>'refer admin discharge'!D370</f>
        <v>xx</v>
      </c>
      <c r="E374" s="351"/>
      <c r="F374" s="620" t="str">
        <f>'refer admin discharge'!H370</f>
        <v>00/00/0000</v>
      </c>
      <c r="G374" s="351"/>
      <c r="H374" s="615"/>
      <c r="I374" s="351"/>
      <c r="J374" s="621"/>
      <c r="K374" s="351"/>
      <c r="L374" s="615"/>
      <c r="M374" s="351"/>
      <c r="N374" s="610"/>
      <c r="O374" s="351"/>
      <c r="P374" s="615"/>
      <c r="Q374" s="351"/>
      <c r="R374" s="610"/>
      <c r="S374" s="351"/>
      <c r="T374" s="615"/>
      <c r="U374" s="351"/>
      <c r="V374" s="613" t="str">
        <f>'refer admin discharge'!H375</f>
        <v>00/00/0000</v>
      </c>
      <c r="W374" s="351"/>
      <c r="X374" s="616"/>
      <c r="Y374" s="351"/>
      <c r="Z374" s="617"/>
      <c r="AA374" s="351"/>
      <c r="AB374" s="616"/>
      <c r="AC374" s="351"/>
      <c r="AD374" s="607"/>
      <c r="AE374" s="351"/>
      <c r="AF374" s="616"/>
      <c r="AG374" s="351"/>
      <c r="AH374" s="607"/>
      <c r="AI374" s="351"/>
      <c r="AJ374" s="616"/>
      <c r="AK374" s="351"/>
      <c r="AL374" s="622"/>
      <c r="AM374" s="350"/>
      <c r="AN374" s="350"/>
      <c r="AO374" s="350"/>
      <c r="AP374" s="350"/>
      <c r="AQ374" s="350"/>
      <c r="AR374" s="350"/>
      <c r="AS374" s="350"/>
      <c r="AT374" s="350"/>
      <c r="AU374" s="350"/>
      <c r="AV374" s="350"/>
      <c r="AW374" s="350"/>
      <c r="AX374" s="350"/>
      <c r="AY374" s="350"/>
      <c r="AZ374" s="350"/>
      <c r="BA374" s="350"/>
      <c r="BB374" s="351"/>
    </row>
    <row r="375" spans="1:54" ht="15.75" customHeight="1">
      <c r="A375" s="25">
        <f t="shared" si="1"/>
        <v>362</v>
      </c>
      <c r="B375" s="599" t="str">
        <f>'refer admin discharge'!B371</f>
        <v>x</v>
      </c>
      <c r="C375" s="351"/>
      <c r="D375" s="600" t="str">
        <f>'refer admin discharge'!D371</f>
        <v>xx</v>
      </c>
      <c r="E375" s="351"/>
      <c r="F375" s="609" t="str">
        <f>'refer admin discharge'!H371</f>
        <v>00/00/0000</v>
      </c>
      <c r="G375" s="351"/>
      <c r="H375" s="610"/>
      <c r="I375" s="351"/>
      <c r="J375" s="611"/>
      <c r="K375" s="351"/>
      <c r="L375" s="610"/>
      <c r="M375" s="351"/>
      <c r="N375" s="612"/>
      <c r="O375" s="351"/>
      <c r="P375" s="610"/>
      <c r="Q375" s="351"/>
      <c r="R375" s="612"/>
      <c r="S375" s="351"/>
      <c r="T375" s="610"/>
      <c r="U375" s="351"/>
      <c r="V375" s="613" t="str">
        <f>'refer admin discharge'!H376</f>
        <v>00/00/0000</v>
      </c>
      <c r="W375" s="351"/>
      <c r="X375" s="607"/>
      <c r="Y375" s="351"/>
      <c r="Z375" s="614"/>
      <c r="AA375" s="351"/>
      <c r="AB375" s="607"/>
      <c r="AC375" s="351"/>
      <c r="AD375" s="606"/>
      <c r="AE375" s="351"/>
      <c r="AF375" s="607"/>
      <c r="AG375" s="351"/>
      <c r="AH375" s="606"/>
      <c r="AI375" s="351"/>
      <c r="AJ375" s="607"/>
      <c r="AK375" s="351"/>
      <c r="AL375" s="608"/>
      <c r="AM375" s="350"/>
      <c r="AN375" s="350"/>
      <c r="AO375" s="350"/>
      <c r="AP375" s="350"/>
      <c r="AQ375" s="350"/>
      <c r="AR375" s="350"/>
      <c r="AS375" s="350"/>
      <c r="AT375" s="350"/>
      <c r="AU375" s="350"/>
      <c r="AV375" s="350"/>
      <c r="AW375" s="350"/>
      <c r="AX375" s="350"/>
      <c r="AY375" s="350"/>
      <c r="AZ375" s="350"/>
      <c r="BA375" s="350"/>
      <c r="BB375" s="351"/>
    </row>
    <row r="376" spans="1:54" ht="15.75" customHeight="1">
      <c r="A376" s="25">
        <f t="shared" si="1"/>
        <v>363</v>
      </c>
      <c r="B376" s="618" t="str">
        <f>'refer admin discharge'!B372</f>
        <v>x</v>
      </c>
      <c r="C376" s="351"/>
      <c r="D376" s="619" t="str">
        <f>'refer admin discharge'!D372</f>
        <v>xx</v>
      </c>
      <c r="E376" s="351"/>
      <c r="F376" s="620" t="str">
        <f>'refer admin discharge'!H372</f>
        <v>00/00/0000</v>
      </c>
      <c r="G376" s="351"/>
      <c r="H376" s="615"/>
      <c r="I376" s="351"/>
      <c r="J376" s="621"/>
      <c r="K376" s="351"/>
      <c r="L376" s="615"/>
      <c r="M376" s="351"/>
      <c r="N376" s="610"/>
      <c r="O376" s="351"/>
      <c r="P376" s="615"/>
      <c r="Q376" s="351"/>
      <c r="R376" s="610"/>
      <c r="S376" s="351"/>
      <c r="T376" s="615"/>
      <c r="U376" s="351"/>
      <c r="V376" s="613" t="str">
        <f>'refer admin discharge'!H377</f>
        <v>00/00/0000</v>
      </c>
      <c r="W376" s="351"/>
      <c r="X376" s="616"/>
      <c r="Y376" s="351"/>
      <c r="Z376" s="617"/>
      <c r="AA376" s="351"/>
      <c r="AB376" s="616"/>
      <c r="AC376" s="351"/>
      <c r="AD376" s="607"/>
      <c r="AE376" s="351"/>
      <c r="AF376" s="616"/>
      <c r="AG376" s="351"/>
      <c r="AH376" s="607"/>
      <c r="AI376" s="351"/>
      <c r="AJ376" s="616"/>
      <c r="AK376" s="351"/>
      <c r="AL376" s="622"/>
      <c r="AM376" s="350"/>
      <c r="AN376" s="350"/>
      <c r="AO376" s="350"/>
      <c r="AP376" s="350"/>
      <c r="AQ376" s="350"/>
      <c r="AR376" s="350"/>
      <c r="AS376" s="350"/>
      <c r="AT376" s="350"/>
      <c r="AU376" s="350"/>
      <c r="AV376" s="350"/>
      <c r="AW376" s="350"/>
      <c r="AX376" s="350"/>
      <c r="AY376" s="350"/>
      <c r="AZ376" s="350"/>
      <c r="BA376" s="350"/>
      <c r="BB376" s="351"/>
    </row>
    <row r="377" spans="1:54" ht="15.75" customHeight="1">
      <c r="A377" s="25">
        <f t="shared" si="1"/>
        <v>364</v>
      </c>
      <c r="B377" s="599" t="str">
        <f>'refer admin discharge'!B373</f>
        <v>x</v>
      </c>
      <c r="C377" s="351"/>
      <c r="D377" s="600" t="str">
        <f>'refer admin discharge'!D373</f>
        <v>xx</v>
      </c>
      <c r="E377" s="351"/>
      <c r="F377" s="609" t="str">
        <f>'refer admin discharge'!H373</f>
        <v>00/00/0000</v>
      </c>
      <c r="G377" s="351"/>
      <c r="H377" s="610"/>
      <c r="I377" s="351"/>
      <c r="J377" s="611"/>
      <c r="K377" s="351"/>
      <c r="L377" s="610"/>
      <c r="M377" s="351"/>
      <c r="N377" s="612"/>
      <c r="O377" s="351"/>
      <c r="P377" s="610"/>
      <c r="Q377" s="351"/>
      <c r="R377" s="612"/>
      <c r="S377" s="351"/>
      <c r="T377" s="610"/>
      <c r="U377" s="351"/>
      <c r="V377" s="613" t="str">
        <f>'refer admin discharge'!H378</f>
        <v>00/00/0000</v>
      </c>
      <c r="W377" s="351"/>
      <c r="X377" s="607"/>
      <c r="Y377" s="351"/>
      <c r="Z377" s="614"/>
      <c r="AA377" s="351"/>
      <c r="AB377" s="607"/>
      <c r="AC377" s="351"/>
      <c r="AD377" s="606"/>
      <c r="AE377" s="351"/>
      <c r="AF377" s="607"/>
      <c r="AG377" s="351"/>
      <c r="AH377" s="606"/>
      <c r="AI377" s="351"/>
      <c r="AJ377" s="607"/>
      <c r="AK377" s="351"/>
      <c r="AL377" s="608"/>
      <c r="AM377" s="350"/>
      <c r="AN377" s="350"/>
      <c r="AO377" s="350"/>
      <c r="AP377" s="350"/>
      <c r="AQ377" s="350"/>
      <c r="AR377" s="350"/>
      <c r="AS377" s="350"/>
      <c r="AT377" s="350"/>
      <c r="AU377" s="350"/>
      <c r="AV377" s="350"/>
      <c r="AW377" s="350"/>
      <c r="AX377" s="350"/>
      <c r="AY377" s="350"/>
      <c r="AZ377" s="350"/>
      <c r="BA377" s="350"/>
      <c r="BB377" s="351"/>
    </row>
    <row r="378" spans="1:54" ht="15.75" customHeight="1">
      <c r="A378" s="25">
        <f t="shared" si="1"/>
        <v>365</v>
      </c>
      <c r="B378" s="618" t="str">
        <f>'refer admin discharge'!B374</f>
        <v>x</v>
      </c>
      <c r="C378" s="351"/>
      <c r="D378" s="619" t="str">
        <f>'refer admin discharge'!D374</f>
        <v>xx</v>
      </c>
      <c r="E378" s="351"/>
      <c r="F378" s="620" t="str">
        <f>'refer admin discharge'!H374</f>
        <v>00/00/0000</v>
      </c>
      <c r="G378" s="351"/>
      <c r="H378" s="615"/>
      <c r="I378" s="351"/>
      <c r="J378" s="621"/>
      <c r="K378" s="351"/>
      <c r="L378" s="615"/>
      <c r="M378" s="351"/>
      <c r="N378" s="610"/>
      <c r="O378" s="351"/>
      <c r="P378" s="615"/>
      <c r="Q378" s="351"/>
      <c r="R378" s="610"/>
      <c r="S378" s="351"/>
      <c r="T378" s="615"/>
      <c r="U378" s="351"/>
      <c r="V378" s="613" t="str">
        <f>'refer admin discharge'!H379</f>
        <v>00/00/0000</v>
      </c>
      <c r="W378" s="351"/>
      <c r="X378" s="616"/>
      <c r="Y378" s="351"/>
      <c r="Z378" s="617"/>
      <c r="AA378" s="351"/>
      <c r="AB378" s="616"/>
      <c r="AC378" s="351"/>
      <c r="AD378" s="607"/>
      <c r="AE378" s="351"/>
      <c r="AF378" s="616"/>
      <c r="AG378" s="351"/>
      <c r="AH378" s="607"/>
      <c r="AI378" s="351"/>
      <c r="AJ378" s="616"/>
      <c r="AK378" s="351"/>
      <c r="AL378" s="622"/>
      <c r="AM378" s="350"/>
      <c r="AN378" s="350"/>
      <c r="AO378" s="350"/>
      <c r="AP378" s="350"/>
      <c r="AQ378" s="350"/>
      <c r="AR378" s="350"/>
      <c r="AS378" s="350"/>
      <c r="AT378" s="350"/>
      <c r="AU378" s="350"/>
      <c r="AV378" s="350"/>
      <c r="AW378" s="350"/>
      <c r="AX378" s="350"/>
      <c r="AY378" s="350"/>
      <c r="AZ378" s="350"/>
      <c r="BA378" s="350"/>
      <c r="BB378" s="351"/>
    </row>
    <row r="379" spans="1:54" ht="15.75" customHeight="1">
      <c r="A379" s="25">
        <f t="shared" si="1"/>
        <v>366</v>
      </c>
      <c r="B379" s="599" t="str">
        <f>'refer admin discharge'!B375</f>
        <v>x</v>
      </c>
      <c r="C379" s="351"/>
      <c r="D379" s="600" t="str">
        <f>'refer admin discharge'!D375</f>
        <v>xx</v>
      </c>
      <c r="E379" s="351"/>
      <c r="F379" s="609" t="str">
        <f>'refer admin discharge'!H375</f>
        <v>00/00/0000</v>
      </c>
      <c r="G379" s="351"/>
      <c r="H379" s="610"/>
      <c r="I379" s="351"/>
      <c r="J379" s="611"/>
      <c r="K379" s="351"/>
      <c r="L379" s="610"/>
      <c r="M379" s="351"/>
      <c r="N379" s="612"/>
      <c r="O379" s="351"/>
      <c r="P379" s="610"/>
      <c r="Q379" s="351"/>
      <c r="R379" s="612"/>
      <c r="S379" s="351"/>
      <c r="T379" s="610"/>
      <c r="U379" s="351"/>
      <c r="V379" s="613" t="str">
        <f>'refer admin discharge'!H380</f>
        <v>00/00/0000</v>
      </c>
      <c r="W379" s="351"/>
      <c r="X379" s="607"/>
      <c r="Y379" s="351"/>
      <c r="Z379" s="614"/>
      <c r="AA379" s="351"/>
      <c r="AB379" s="607"/>
      <c r="AC379" s="351"/>
      <c r="AD379" s="606"/>
      <c r="AE379" s="351"/>
      <c r="AF379" s="607"/>
      <c r="AG379" s="351"/>
      <c r="AH379" s="606"/>
      <c r="AI379" s="351"/>
      <c r="AJ379" s="607"/>
      <c r="AK379" s="351"/>
      <c r="AL379" s="608"/>
      <c r="AM379" s="350"/>
      <c r="AN379" s="350"/>
      <c r="AO379" s="350"/>
      <c r="AP379" s="350"/>
      <c r="AQ379" s="350"/>
      <c r="AR379" s="350"/>
      <c r="AS379" s="350"/>
      <c r="AT379" s="350"/>
      <c r="AU379" s="350"/>
      <c r="AV379" s="350"/>
      <c r="AW379" s="350"/>
      <c r="AX379" s="350"/>
      <c r="AY379" s="350"/>
      <c r="AZ379" s="350"/>
      <c r="BA379" s="350"/>
      <c r="BB379" s="351"/>
    </row>
    <row r="380" spans="1:54" ht="15.75" customHeight="1">
      <c r="A380" s="25">
        <f t="shared" si="1"/>
        <v>367</v>
      </c>
      <c r="B380" s="618" t="str">
        <f>'refer admin discharge'!B376</f>
        <v>x</v>
      </c>
      <c r="C380" s="351"/>
      <c r="D380" s="619" t="str">
        <f>'refer admin discharge'!D376</f>
        <v>xx</v>
      </c>
      <c r="E380" s="351"/>
      <c r="F380" s="620" t="str">
        <f>'refer admin discharge'!H376</f>
        <v>00/00/0000</v>
      </c>
      <c r="G380" s="351"/>
      <c r="H380" s="615"/>
      <c r="I380" s="351"/>
      <c r="J380" s="621"/>
      <c r="K380" s="351"/>
      <c r="L380" s="615"/>
      <c r="M380" s="351"/>
      <c r="N380" s="610"/>
      <c r="O380" s="351"/>
      <c r="P380" s="615"/>
      <c r="Q380" s="351"/>
      <c r="R380" s="610"/>
      <c r="S380" s="351"/>
      <c r="T380" s="615"/>
      <c r="U380" s="351"/>
      <c r="V380" s="613" t="str">
        <f>'refer admin discharge'!H381</f>
        <v>00/00/0000</v>
      </c>
      <c r="W380" s="351"/>
      <c r="X380" s="616"/>
      <c r="Y380" s="351"/>
      <c r="Z380" s="617"/>
      <c r="AA380" s="351"/>
      <c r="AB380" s="616"/>
      <c r="AC380" s="351"/>
      <c r="AD380" s="607"/>
      <c r="AE380" s="351"/>
      <c r="AF380" s="616"/>
      <c r="AG380" s="351"/>
      <c r="AH380" s="607"/>
      <c r="AI380" s="351"/>
      <c r="AJ380" s="616"/>
      <c r="AK380" s="351"/>
      <c r="AL380" s="622"/>
      <c r="AM380" s="350"/>
      <c r="AN380" s="350"/>
      <c r="AO380" s="350"/>
      <c r="AP380" s="350"/>
      <c r="AQ380" s="350"/>
      <c r="AR380" s="350"/>
      <c r="AS380" s="350"/>
      <c r="AT380" s="350"/>
      <c r="AU380" s="350"/>
      <c r="AV380" s="350"/>
      <c r="AW380" s="350"/>
      <c r="AX380" s="350"/>
      <c r="AY380" s="350"/>
      <c r="AZ380" s="350"/>
      <c r="BA380" s="350"/>
      <c r="BB380" s="351"/>
    </row>
    <row r="381" spans="1:54" ht="15.75" customHeight="1">
      <c r="A381" s="25">
        <f t="shared" si="1"/>
        <v>368</v>
      </c>
      <c r="B381" s="599" t="str">
        <f>'refer admin discharge'!B377</f>
        <v>x</v>
      </c>
      <c r="C381" s="351"/>
      <c r="D381" s="600" t="str">
        <f>'refer admin discharge'!D377</f>
        <v>xx</v>
      </c>
      <c r="E381" s="351"/>
      <c r="F381" s="609" t="str">
        <f>'refer admin discharge'!H377</f>
        <v>00/00/0000</v>
      </c>
      <c r="G381" s="351"/>
      <c r="H381" s="610"/>
      <c r="I381" s="351"/>
      <c r="J381" s="611"/>
      <c r="K381" s="351"/>
      <c r="L381" s="610"/>
      <c r="M381" s="351"/>
      <c r="N381" s="612"/>
      <c r="O381" s="351"/>
      <c r="P381" s="610"/>
      <c r="Q381" s="351"/>
      <c r="R381" s="612"/>
      <c r="S381" s="351"/>
      <c r="T381" s="610"/>
      <c r="U381" s="351"/>
      <c r="V381" s="613" t="str">
        <f>'refer admin discharge'!H382</f>
        <v>00/00/0000</v>
      </c>
      <c r="W381" s="351"/>
      <c r="X381" s="607"/>
      <c r="Y381" s="351"/>
      <c r="Z381" s="614"/>
      <c r="AA381" s="351"/>
      <c r="AB381" s="607"/>
      <c r="AC381" s="351"/>
      <c r="AD381" s="606"/>
      <c r="AE381" s="351"/>
      <c r="AF381" s="607"/>
      <c r="AG381" s="351"/>
      <c r="AH381" s="606"/>
      <c r="AI381" s="351"/>
      <c r="AJ381" s="607"/>
      <c r="AK381" s="351"/>
      <c r="AL381" s="608"/>
      <c r="AM381" s="350"/>
      <c r="AN381" s="350"/>
      <c r="AO381" s="350"/>
      <c r="AP381" s="350"/>
      <c r="AQ381" s="350"/>
      <c r="AR381" s="350"/>
      <c r="AS381" s="350"/>
      <c r="AT381" s="350"/>
      <c r="AU381" s="350"/>
      <c r="AV381" s="350"/>
      <c r="AW381" s="350"/>
      <c r="AX381" s="350"/>
      <c r="AY381" s="350"/>
      <c r="AZ381" s="350"/>
      <c r="BA381" s="350"/>
      <c r="BB381" s="351"/>
    </row>
    <row r="382" spans="1:54" ht="15.75" customHeight="1">
      <c r="A382" s="25">
        <f t="shared" si="1"/>
        <v>369</v>
      </c>
      <c r="B382" s="618" t="str">
        <f>'refer admin discharge'!B378</f>
        <v>x</v>
      </c>
      <c r="C382" s="351"/>
      <c r="D382" s="619" t="str">
        <f>'refer admin discharge'!D378</f>
        <v>xx</v>
      </c>
      <c r="E382" s="351"/>
      <c r="F382" s="620" t="str">
        <f>'refer admin discharge'!H378</f>
        <v>00/00/0000</v>
      </c>
      <c r="G382" s="351"/>
      <c r="H382" s="615"/>
      <c r="I382" s="351"/>
      <c r="J382" s="621"/>
      <c r="K382" s="351"/>
      <c r="L382" s="615"/>
      <c r="M382" s="351"/>
      <c r="N382" s="610"/>
      <c r="O382" s="351"/>
      <c r="P382" s="615"/>
      <c r="Q382" s="351"/>
      <c r="R382" s="610"/>
      <c r="S382" s="351"/>
      <c r="T382" s="615"/>
      <c r="U382" s="351"/>
      <c r="V382" s="613" t="str">
        <f>'refer admin discharge'!H383</f>
        <v>00/00/0000</v>
      </c>
      <c r="W382" s="351"/>
      <c r="X382" s="616"/>
      <c r="Y382" s="351"/>
      <c r="Z382" s="617"/>
      <c r="AA382" s="351"/>
      <c r="AB382" s="616"/>
      <c r="AC382" s="351"/>
      <c r="AD382" s="607"/>
      <c r="AE382" s="351"/>
      <c r="AF382" s="616"/>
      <c r="AG382" s="351"/>
      <c r="AH382" s="607"/>
      <c r="AI382" s="351"/>
      <c r="AJ382" s="616"/>
      <c r="AK382" s="351"/>
      <c r="AL382" s="622"/>
      <c r="AM382" s="350"/>
      <c r="AN382" s="350"/>
      <c r="AO382" s="350"/>
      <c r="AP382" s="350"/>
      <c r="AQ382" s="350"/>
      <c r="AR382" s="350"/>
      <c r="AS382" s="350"/>
      <c r="AT382" s="350"/>
      <c r="AU382" s="350"/>
      <c r="AV382" s="350"/>
      <c r="AW382" s="350"/>
      <c r="AX382" s="350"/>
      <c r="AY382" s="350"/>
      <c r="AZ382" s="350"/>
      <c r="BA382" s="350"/>
      <c r="BB382" s="351"/>
    </row>
    <row r="383" spans="1:54" ht="15.75" customHeight="1">
      <c r="A383" s="25">
        <f t="shared" si="1"/>
        <v>370</v>
      </c>
      <c r="B383" s="599" t="str">
        <f>'refer admin discharge'!B379</f>
        <v>x</v>
      </c>
      <c r="C383" s="351"/>
      <c r="D383" s="600" t="str">
        <f>'refer admin discharge'!D379</f>
        <v>xx</v>
      </c>
      <c r="E383" s="351"/>
      <c r="F383" s="609" t="str">
        <f>'refer admin discharge'!H379</f>
        <v>00/00/0000</v>
      </c>
      <c r="G383" s="351"/>
      <c r="H383" s="610"/>
      <c r="I383" s="351"/>
      <c r="J383" s="611"/>
      <c r="K383" s="351"/>
      <c r="L383" s="610"/>
      <c r="M383" s="351"/>
      <c r="N383" s="612"/>
      <c r="O383" s="351"/>
      <c r="P383" s="610"/>
      <c r="Q383" s="351"/>
      <c r="R383" s="612"/>
      <c r="S383" s="351"/>
      <c r="T383" s="610"/>
      <c r="U383" s="351"/>
      <c r="V383" s="613" t="str">
        <f>'refer admin discharge'!H384</f>
        <v>00/00/0000</v>
      </c>
      <c r="W383" s="351"/>
      <c r="X383" s="607"/>
      <c r="Y383" s="351"/>
      <c r="Z383" s="614"/>
      <c r="AA383" s="351"/>
      <c r="AB383" s="607"/>
      <c r="AC383" s="351"/>
      <c r="AD383" s="606"/>
      <c r="AE383" s="351"/>
      <c r="AF383" s="607"/>
      <c r="AG383" s="351"/>
      <c r="AH383" s="606"/>
      <c r="AI383" s="351"/>
      <c r="AJ383" s="607"/>
      <c r="AK383" s="351"/>
      <c r="AL383" s="608"/>
      <c r="AM383" s="350"/>
      <c r="AN383" s="350"/>
      <c r="AO383" s="350"/>
      <c r="AP383" s="350"/>
      <c r="AQ383" s="350"/>
      <c r="AR383" s="350"/>
      <c r="AS383" s="350"/>
      <c r="AT383" s="350"/>
      <c r="AU383" s="350"/>
      <c r="AV383" s="350"/>
      <c r="AW383" s="350"/>
      <c r="AX383" s="350"/>
      <c r="AY383" s="350"/>
      <c r="AZ383" s="350"/>
      <c r="BA383" s="350"/>
      <c r="BB383" s="351"/>
    </row>
    <row r="384" spans="1:54" ht="15.75" customHeight="1">
      <c r="A384" s="25">
        <f t="shared" si="1"/>
        <v>371</v>
      </c>
      <c r="B384" s="618" t="str">
        <f>'refer admin discharge'!B380</f>
        <v>x</v>
      </c>
      <c r="C384" s="351"/>
      <c r="D384" s="619" t="str">
        <f>'refer admin discharge'!D380</f>
        <v>xx</v>
      </c>
      <c r="E384" s="351"/>
      <c r="F384" s="620" t="str">
        <f>'refer admin discharge'!H380</f>
        <v>00/00/0000</v>
      </c>
      <c r="G384" s="351"/>
      <c r="H384" s="615"/>
      <c r="I384" s="351"/>
      <c r="J384" s="621"/>
      <c r="K384" s="351"/>
      <c r="L384" s="615"/>
      <c r="M384" s="351"/>
      <c r="N384" s="610"/>
      <c r="O384" s="351"/>
      <c r="P384" s="615"/>
      <c r="Q384" s="351"/>
      <c r="R384" s="610"/>
      <c r="S384" s="351"/>
      <c r="T384" s="615"/>
      <c r="U384" s="351"/>
      <c r="V384" s="613" t="str">
        <f>'refer admin discharge'!H385</f>
        <v>00/00/0000</v>
      </c>
      <c r="W384" s="351"/>
      <c r="X384" s="616"/>
      <c r="Y384" s="351"/>
      <c r="Z384" s="617"/>
      <c r="AA384" s="351"/>
      <c r="AB384" s="616"/>
      <c r="AC384" s="351"/>
      <c r="AD384" s="607"/>
      <c r="AE384" s="351"/>
      <c r="AF384" s="616"/>
      <c r="AG384" s="351"/>
      <c r="AH384" s="607"/>
      <c r="AI384" s="351"/>
      <c r="AJ384" s="616"/>
      <c r="AK384" s="351"/>
      <c r="AL384" s="622"/>
      <c r="AM384" s="350"/>
      <c r="AN384" s="350"/>
      <c r="AO384" s="350"/>
      <c r="AP384" s="350"/>
      <c r="AQ384" s="350"/>
      <c r="AR384" s="350"/>
      <c r="AS384" s="350"/>
      <c r="AT384" s="350"/>
      <c r="AU384" s="350"/>
      <c r="AV384" s="350"/>
      <c r="AW384" s="350"/>
      <c r="AX384" s="350"/>
      <c r="AY384" s="350"/>
      <c r="AZ384" s="350"/>
      <c r="BA384" s="350"/>
      <c r="BB384" s="351"/>
    </row>
    <row r="385" spans="1:54" ht="15.75" customHeight="1">
      <c r="A385" s="25">
        <f t="shared" si="1"/>
        <v>372</v>
      </c>
      <c r="B385" s="599" t="str">
        <f>'refer admin discharge'!B381</f>
        <v>x</v>
      </c>
      <c r="C385" s="351"/>
      <c r="D385" s="600" t="str">
        <f>'refer admin discharge'!D381</f>
        <v>xx</v>
      </c>
      <c r="E385" s="351"/>
      <c r="F385" s="609" t="str">
        <f>'refer admin discharge'!H381</f>
        <v>00/00/0000</v>
      </c>
      <c r="G385" s="351"/>
      <c r="H385" s="610"/>
      <c r="I385" s="351"/>
      <c r="J385" s="611"/>
      <c r="K385" s="351"/>
      <c r="L385" s="610"/>
      <c r="M385" s="351"/>
      <c r="N385" s="612"/>
      <c r="O385" s="351"/>
      <c r="P385" s="610"/>
      <c r="Q385" s="351"/>
      <c r="R385" s="612"/>
      <c r="S385" s="351"/>
      <c r="T385" s="610"/>
      <c r="U385" s="351"/>
      <c r="V385" s="613" t="str">
        <f>'refer admin discharge'!H386</f>
        <v>00/00/0000</v>
      </c>
      <c r="W385" s="351"/>
      <c r="X385" s="607"/>
      <c r="Y385" s="351"/>
      <c r="Z385" s="614"/>
      <c r="AA385" s="351"/>
      <c r="AB385" s="607"/>
      <c r="AC385" s="351"/>
      <c r="AD385" s="606"/>
      <c r="AE385" s="351"/>
      <c r="AF385" s="607"/>
      <c r="AG385" s="351"/>
      <c r="AH385" s="606"/>
      <c r="AI385" s="351"/>
      <c r="AJ385" s="607"/>
      <c r="AK385" s="351"/>
      <c r="AL385" s="608"/>
      <c r="AM385" s="350"/>
      <c r="AN385" s="350"/>
      <c r="AO385" s="350"/>
      <c r="AP385" s="350"/>
      <c r="AQ385" s="350"/>
      <c r="AR385" s="350"/>
      <c r="AS385" s="350"/>
      <c r="AT385" s="350"/>
      <c r="AU385" s="350"/>
      <c r="AV385" s="350"/>
      <c r="AW385" s="350"/>
      <c r="AX385" s="350"/>
      <c r="AY385" s="350"/>
      <c r="AZ385" s="350"/>
      <c r="BA385" s="350"/>
      <c r="BB385" s="351"/>
    </row>
    <row r="386" spans="1:54" ht="15.75" customHeight="1">
      <c r="A386" s="25">
        <f t="shared" si="1"/>
        <v>373</v>
      </c>
      <c r="B386" s="618" t="str">
        <f>'refer admin discharge'!B382</f>
        <v>x</v>
      </c>
      <c r="C386" s="351"/>
      <c r="D386" s="619" t="str">
        <f>'refer admin discharge'!D382</f>
        <v>xx</v>
      </c>
      <c r="E386" s="351"/>
      <c r="F386" s="620" t="str">
        <f>'refer admin discharge'!H382</f>
        <v>00/00/0000</v>
      </c>
      <c r="G386" s="351"/>
      <c r="H386" s="615"/>
      <c r="I386" s="351"/>
      <c r="J386" s="621"/>
      <c r="K386" s="351"/>
      <c r="L386" s="615"/>
      <c r="M386" s="351"/>
      <c r="N386" s="610"/>
      <c r="O386" s="351"/>
      <c r="P386" s="615"/>
      <c r="Q386" s="351"/>
      <c r="R386" s="610"/>
      <c r="S386" s="351"/>
      <c r="T386" s="615"/>
      <c r="U386" s="351"/>
      <c r="V386" s="613" t="str">
        <f>'refer admin discharge'!H387</f>
        <v>00/00/0000</v>
      </c>
      <c r="W386" s="351"/>
      <c r="X386" s="616"/>
      <c r="Y386" s="351"/>
      <c r="Z386" s="617"/>
      <c r="AA386" s="351"/>
      <c r="AB386" s="616"/>
      <c r="AC386" s="351"/>
      <c r="AD386" s="607"/>
      <c r="AE386" s="351"/>
      <c r="AF386" s="616"/>
      <c r="AG386" s="351"/>
      <c r="AH386" s="607"/>
      <c r="AI386" s="351"/>
      <c r="AJ386" s="616"/>
      <c r="AK386" s="351"/>
      <c r="AL386" s="622"/>
      <c r="AM386" s="350"/>
      <c r="AN386" s="350"/>
      <c r="AO386" s="350"/>
      <c r="AP386" s="350"/>
      <c r="AQ386" s="350"/>
      <c r="AR386" s="350"/>
      <c r="AS386" s="350"/>
      <c r="AT386" s="350"/>
      <c r="AU386" s="350"/>
      <c r="AV386" s="350"/>
      <c r="AW386" s="350"/>
      <c r="AX386" s="350"/>
      <c r="AY386" s="350"/>
      <c r="AZ386" s="350"/>
      <c r="BA386" s="350"/>
      <c r="BB386" s="351"/>
    </row>
    <row r="387" spans="1:54" ht="15.75" customHeight="1">
      <c r="A387" s="25">
        <f t="shared" si="1"/>
        <v>374</v>
      </c>
      <c r="B387" s="599" t="str">
        <f>'refer admin discharge'!B383</f>
        <v>x</v>
      </c>
      <c r="C387" s="351"/>
      <c r="D387" s="600" t="str">
        <f>'refer admin discharge'!D383</f>
        <v>xx</v>
      </c>
      <c r="E387" s="351"/>
      <c r="F387" s="609" t="str">
        <f>'refer admin discharge'!H383</f>
        <v>00/00/0000</v>
      </c>
      <c r="G387" s="351"/>
      <c r="H387" s="610"/>
      <c r="I387" s="351"/>
      <c r="J387" s="611"/>
      <c r="K387" s="351"/>
      <c r="L387" s="610"/>
      <c r="M387" s="351"/>
      <c r="N387" s="612"/>
      <c r="O387" s="351"/>
      <c r="P387" s="610"/>
      <c r="Q387" s="351"/>
      <c r="R387" s="612"/>
      <c r="S387" s="351"/>
      <c r="T387" s="610"/>
      <c r="U387" s="351"/>
      <c r="V387" s="613" t="str">
        <f>'refer admin discharge'!H388</f>
        <v>00/00/0000</v>
      </c>
      <c r="W387" s="351"/>
      <c r="X387" s="607"/>
      <c r="Y387" s="351"/>
      <c r="Z387" s="614"/>
      <c r="AA387" s="351"/>
      <c r="AB387" s="607"/>
      <c r="AC387" s="351"/>
      <c r="AD387" s="606"/>
      <c r="AE387" s="351"/>
      <c r="AF387" s="607"/>
      <c r="AG387" s="351"/>
      <c r="AH387" s="606"/>
      <c r="AI387" s="351"/>
      <c r="AJ387" s="607"/>
      <c r="AK387" s="351"/>
      <c r="AL387" s="608"/>
      <c r="AM387" s="350"/>
      <c r="AN387" s="350"/>
      <c r="AO387" s="350"/>
      <c r="AP387" s="350"/>
      <c r="AQ387" s="350"/>
      <c r="AR387" s="350"/>
      <c r="AS387" s="350"/>
      <c r="AT387" s="350"/>
      <c r="AU387" s="350"/>
      <c r="AV387" s="350"/>
      <c r="AW387" s="350"/>
      <c r="AX387" s="350"/>
      <c r="AY387" s="350"/>
      <c r="AZ387" s="350"/>
      <c r="BA387" s="350"/>
      <c r="BB387" s="351"/>
    </row>
    <row r="388" spans="1:54" ht="15.75" customHeight="1">
      <c r="A388" s="25">
        <f t="shared" si="1"/>
        <v>375</v>
      </c>
      <c r="B388" s="618" t="str">
        <f>'refer admin discharge'!B384</f>
        <v>x</v>
      </c>
      <c r="C388" s="351"/>
      <c r="D388" s="619" t="str">
        <f>'refer admin discharge'!D384</f>
        <v>xx</v>
      </c>
      <c r="E388" s="351"/>
      <c r="F388" s="620" t="str">
        <f>'refer admin discharge'!H384</f>
        <v>00/00/0000</v>
      </c>
      <c r="G388" s="351"/>
      <c r="H388" s="615"/>
      <c r="I388" s="351"/>
      <c r="J388" s="621"/>
      <c r="K388" s="351"/>
      <c r="L388" s="615"/>
      <c r="M388" s="351"/>
      <c r="N388" s="610"/>
      <c r="O388" s="351"/>
      <c r="P388" s="615"/>
      <c r="Q388" s="351"/>
      <c r="R388" s="610"/>
      <c r="S388" s="351"/>
      <c r="T388" s="615"/>
      <c r="U388" s="351"/>
      <c r="V388" s="613" t="str">
        <f>'refer admin discharge'!H389</f>
        <v>00/00/0000</v>
      </c>
      <c r="W388" s="351"/>
      <c r="X388" s="616"/>
      <c r="Y388" s="351"/>
      <c r="Z388" s="617"/>
      <c r="AA388" s="351"/>
      <c r="AB388" s="616"/>
      <c r="AC388" s="351"/>
      <c r="AD388" s="607"/>
      <c r="AE388" s="351"/>
      <c r="AF388" s="616"/>
      <c r="AG388" s="351"/>
      <c r="AH388" s="607"/>
      <c r="AI388" s="351"/>
      <c r="AJ388" s="616"/>
      <c r="AK388" s="351"/>
      <c r="AL388" s="622"/>
      <c r="AM388" s="350"/>
      <c r="AN388" s="350"/>
      <c r="AO388" s="350"/>
      <c r="AP388" s="350"/>
      <c r="AQ388" s="350"/>
      <c r="AR388" s="350"/>
      <c r="AS388" s="350"/>
      <c r="AT388" s="350"/>
      <c r="AU388" s="350"/>
      <c r="AV388" s="350"/>
      <c r="AW388" s="350"/>
      <c r="AX388" s="350"/>
      <c r="AY388" s="350"/>
      <c r="AZ388" s="350"/>
      <c r="BA388" s="350"/>
      <c r="BB388" s="351"/>
    </row>
    <row r="389" spans="1:54" ht="15.75" customHeight="1">
      <c r="A389" s="25">
        <f t="shared" si="1"/>
        <v>376</v>
      </c>
      <c r="B389" s="599" t="str">
        <f>'refer admin discharge'!B385</f>
        <v>x</v>
      </c>
      <c r="C389" s="351"/>
      <c r="D389" s="600" t="str">
        <f>'refer admin discharge'!D385</f>
        <v>xx</v>
      </c>
      <c r="E389" s="351"/>
      <c r="F389" s="609" t="str">
        <f>'refer admin discharge'!H385</f>
        <v>00/00/0000</v>
      </c>
      <c r="G389" s="351"/>
      <c r="H389" s="610"/>
      <c r="I389" s="351"/>
      <c r="J389" s="611"/>
      <c r="K389" s="351"/>
      <c r="L389" s="610"/>
      <c r="M389" s="351"/>
      <c r="N389" s="612"/>
      <c r="O389" s="351"/>
      <c r="P389" s="610"/>
      <c r="Q389" s="351"/>
      <c r="R389" s="612"/>
      <c r="S389" s="351"/>
      <c r="T389" s="610"/>
      <c r="U389" s="351"/>
      <c r="V389" s="613" t="str">
        <f>'refer admin discharge'!H390</f>
        <v>00/00/0000</v>
      </c>
      <c r="W389" s="351"/>
      <c r="X389" s="607"/>
      <c r="Y389" s="351"/>
      <c r="Z389" s="614"/>
      <c r="AA389" s="351"/>
      <c r="AB389" s="607"/>
      <c r="AC389" s="351"/>
      <c r="AD389" s="606"/>
      <c r="AE389" s="351"/>
      <c r="AF389" s="607"/>
      <c r="AG389" s="351"/>
      <c r="AH389" s="606"/>
      <c r="AI389" s="351"/>
      <c r="AJ389" s="607"/>
      <c r="AK389" s="351"/>
      <c r="AL389" s="608"/>
      <c r="AM389" s="350"/>
      <c r="AN389" s="350"/>
      <c r="AO389" s="350"/>
      <c r="AP389" s="350"/>
      <c r="AQ389" s="350"/>
      <c r="AR389" s="350"/>
      <c r="AS389" s="350"/>
      <c r="AT389" s="350"/>
      <c r="AU389" s="350"/>
      <c r="AV389" s="350"/>
      <c r="AW389" s="350"/>
      <c r="AX389" s="350"/>
      <c r="AY389" s="350"/>
      <c r="AZ389" s="350"/>
      <c r="BA389" s="350"/>
      <c r="BB389" s="351"/>
    </row>
    <row r="390" spans="1:54" ht="15.75" customHeight="1">
      <c r="A390" s="25">
        <f t="shared" si="1"/>
        <v>377</v>
      </c>
      <c r="B390" s="618" t="str">
        <f>'refer admin discharge'!B386</f>
        <v>x</v>
      </c>
      <c r="C390" s="351"/>
      <c r="D390" s="619" t="str">
        <f>'refer admin discharge'!D386</f>
        <v>xx</v>
      </c>
      <c r="E390" s="351"/>
      <c r="F390" s="620" t="str">
        <f>'refer admin discharge'!H386</f>
        <v>00/00/0000</v>
      </c>
      <c r="G390" s="351"/>
      <c r="H390" s="615"/>
      <c r="I390" s="351"/>
      <c r="J390" s="621"/>
      <c r="K390" s="351"/>
      <c r="L390" s="615"/>
      <c r="M390" s="351"/>
      <c r="N390" s="610"/>
      <c r="O390" s="351"/>
      <c r="P390" s="615"/>
      <c r="Q390" s="351"/>
      <c r="R390" s="610"/>
      <c r="S390" s="351"/>
      <c r="T390" s="615"/>
      <c r="U390" s="351"/>
      <c r="V390" s="613" t="str">
        <f>'refer admin discharge'!H391</f>
        <v>00/00/0000</v>
      </c>
      <c r="W390" s="351"/>
      <c r="X390" s="616"/>
      <c r="Y390" s="351"/>
      <c r="Z390" s="617"/>
      <c r="AA390" s="351"/>
      <c r="AB390" s="616"/>
      <c r="AC390" s="351"/>
      <c r="AD390" s="607"/>
      <c r="AE390" s="351"/>
      <c r="AF390" s="616"/>
      <c r="AG390" s="351"/>
      <c r="AH390" s="607"/>
      <c r="AI390" s="351"/>
      <c r="AJ390" s="616"/>
      <c r="AK390" s="351"/>
      <c r="AL390" s="622"/>
      <c r="AM390" s="350"/>
      <c r="AN390" s="350"/>
      <c r="AO390" s="350"/>
      <c r="AP390" s="350"/>
      <c r="AQ390" s="350"/>
      <c r="AR390" s="350"/>
      <c r="AS390" s="350"/>
      <c r="AT390" s="350"/>
      <c r="AU390" s="350"/>
      <c r="AV390" s="350"/>
      <c r="AW390" s="350"/>
      <c r="AX390" s="350"/>
      <c r="AY390" s="350"/>
      <c r="AZ390" s="350"/>
      <c r="BA390" s="350"/>
      <c r="BB390" s="351"/>
    </row>
    <row r="391" spans="1:54" ht="15.75" customHeight="1">
      <c r="A391" s="25">
        <f t="shared" si="1"/>
        <v>378</v>
      </c>
      <c r="B391" s="599" t="str">
        <f>'refer admin discharge'!B387</f>
        <v>x</v>
      </c>
      <c r="C391" s="351"/>
      <c r="D391" s="600" t="str">
        <f>'refer admin discharge'!D387</f>
        <v>xx</v>
      </c>
      <c r="E391" s="351"/>
      <c r="F391" s="609" t="str">
        <f>'refer admin discharge'!H387</f>
        <v>00/00/0000</v>
      </c>
      <c r="G391" s="351"/>
      <c r="H391" s="610"/>
      <c r="I391" s="351"/>
      <c r="J391" s="611"/>
      <c r="K391" s="351"/>
      <c r="L391" s="610"/>
      <c r="M391" s="351"/>
      <c r="N391" s="612"/>
      <c r="O391" s="351"/>
      <c r="P391" s="610"/>
      <c r="Q391" s="351"/>
      <c r="R391" s="612"/>
      <c r="S391" s="351"/>
      <c r="T391" s="610"/>
      <c r="U391" s="351"/>
      <c r="V391" s="613" t="str">
        <f>'refer admin discharge'!H392</f>
        <v>00/00/0000</v>
      </c>
      <c r="W391" s="351"/>
      <c r="X391" s="607"/>
      <c r="Y391" s="351"/>
      <c r="Z391" s="614"/>
      <c r="AA391" s="351"/>
      <c r="AB391" s="607"/>
      <c r="AC391" s="351"/>
      <c r="AD391" s="606"/>
      <c r="AE391" s="351"/>
      <c r="AF391" s="607"/>
      <c r="AG391" s="351"/>
      <c r="AH391" s="606"/>
      <c r="AI391" s="351"/>
      <c r="AJ391" s="607"/>
      <c r="AK391" s="351"/>
      <c r="AL391" s="608"/>
      <c r="AM391" s="350"/>
      <c r="AN391" s="350"/>
      <c r="AO391" s="350"/>
      <c r="AP391" s="350"/>
      <c r="AQ391" s="350"/>
      <c r="AR391" s="350"/>
      <c r="AS391" s="350"/>
      <c r="AT391" s="350"/>
      <c r="AU391" s="350"/>
      <c r="AV391" s="350"/>
      <c r="AW391" s="350"/>
      <c r="AX391" s="350"/>
      <c r="AY391" s="350"/>
      <c r="AZ391" s="350"/>
      <c r="BA391" s="350"/>
      <c r="BB391" s="351"/>
    </row>
    <row r="392" spans="1:54" ht="15.75" customHeight="1">
      <c r="A392" s="25">
        <f t="shared" si="1"/>
        <v>379</v>
      </c>
      <c r="B392" s="618" t="str">
        <f>'refer admin discharge'!B388</f>
        <v>x</v>
      </c>
      <c r="C392" s="351"/>
      <c r="D392" s="619" t="str">
        <f>'refer admin discharge'!D388</f>
        <v>xx</v>
      </c>
      <c r="E392" s="351"/>
      <c r="F392" s="620" t="str">
        <f>'refer admin discharge'!H388</f>
        <v>00/00/0000</v>
      </c>
      <c r="G392" s="351"/>
      <c r="H392" s="615"/>
      <c r="I392" s="351"/>
      <c r="J392" s="621"/>
      <c r="K392" s="351"/>
      <c r="L392" s="615"/>
      <c r="M392" s="351"/>
      <c r="N392" s="610"/>
      <c r="O392" s="351"/>
      <c r="P392" s="615"/>
      <c r="Q392" s="351"/>
      <c r="R392" s="610"/>
      <c r="S392" s="351"/>
      <c r="T392" s="615"/>
      <c r="U392" s="351"/>
      <c r="V392" s="613" t="str">
        <f>'refer admin discharge'!H393</f>
        <v>00/00/0000</v>
      </c>
      <c r="W392" s="351"/>
      <c r="X392" s="616"/>
      <c r="Y392" s="351"/>
      <c r="Z392" s="617"/>
      <c r="AA392" s="351"/>
      <c r="AB392" s="616"/>
      <c r="AC392" s="351"/>
      <c r="AD392" s="607"/>
      <c r="AE392" s="351"/>
      <c r="AF392" s="616"/>
      <c r="AG392" s="351"/>
      <c r="AH392" s="607"/>
      <c r="AI392" s="351"/>
      <c r="AJ392" s="616"/>
      <c r="AK392" s="351"/>
      <c r="AL392" s="622"/>
      <c r="AM392" s="350"/>
      <c r="AN392" s="350"/>
      <c r="AO392" s="350"/>
      <c r="AP392" s="350"/>
      <c r="AQ392" s="350"/>
      <c r="AR392" s="350"/>
      <c r="AS392" s="350"/>
      <c r="AT392" s="350"/>
      <c r="AU392" s="350"/>
      <c r="AV392" s="350"/>
      <c r="AW392" s="350"/>
      <c r="AX392" s="350"/>
      <c r="AY392" s="350"/>
      <c r="AZ392" s="350"/>
      <c r="BA392" s="350"/>
      <c r="BB392" s="351"/>
    </row>
    <row r="393" spans="1:54" ht="15.75" customHeight="1">
      <c r="A393" s="25">
        <f t="shared" si="1"/>
        <v>380</v>
      </c>
      <c r="B393" s="599" t="str">
        <f>'refer admin discharge'!B389</f>
        <v>x</v>
      </c>
      <c r="C393" s="351"/>
      <c r="D393" s="600" t="str">
        <f>'refer admin discharge'!D389</f>
        <v>xx</v>
      </c>
      <c r="E393" s="351"/>
      <c r="F393" s="609" t="str">
        <f>'refer admin discharge'!H389</f>
        <v>00/00/0000</v>
      </c>
      <c r="G393" s="351"/>
      <c r="H393" s="610"/>
      <c r="I393" s="351"/>
      <c r="J393" s="611"/>
      <c r="K393" s="351"/>
      <c r="L393" s="610"/>
      <c r="M393" s="351"/>
      <c r="N393" s="612"/>
      <c r="O393" s="351"/>
      <c r="P393" s="610"/>
      <c r="Q393" s="351"/>
      <c r="R393" s="612"/>
      <c r="S393" s="351"/>
      <c r="T393" s="610"/>
      <c r="U393" s="351"/>
      <c r="V393" s="613" t="str">
        <f>'refer admin discharge'!H394</f>
        <v>00/00/0000</v>
      </c>
      <c r="W393" s="351"/>
      <c r="X393" s="607"/>
      <c r="Y393" s="351"/>
      <c r="Z393" s="614"/>
      <c r="AA393" s="351"/>
      <c r="AB393" s="607"/>
      <c r="AC393" s="351"/>
      <c r="AD393" s="606"/>
      <c r="AE393" s="351"/>
      <c r="AF393" s="607"/>
      <c r="AG393" s="351"/>
      <c r="AH393" s="606"/>
      <c r="AI393" s="351"/>
      <c r="AJ393" s="607"/>
      <c r="AK393" s="351"/>
      <c r="AL393" s="608"/>
      <c r="AM393" s="350"/>
      <c r="AN393" s="350"/>
      <c r="AO393" s="350"/>
      <c r="AP393" s="350"/>
      <c r="AQ393" s="350"/>
      <c r="AR393" s="350"/>
      <c r="AS393" s="350"/>
      <c r="AT393" s="350"/>
      <c r="AU393" s="350"/>
      <c r="AV393" s="350"/>
      <c r="AW393" s="350"/>
      <c r="AX393" s="350"/>
      <c r="AY393" s="350"/>
      <c r="AZ393" s="350"/>
      <c r="BA393" s="350"/>
      <c r="BB393" s="351"/>
    </row>
    <row r="394" spans="1:54" ht="15.75" customHeight="1">
      <c r="A394" s="25">
        <f t="shared" si="1"/>
        <v>381</v>
      </c>
      <c r="B394" s="618" t="str">
        <f>'refer admin discharge'!B390</f>
        <v>x</v>
      </c>
      <c r="C394" s="351"/>
      <c r="D394" s="619" t="str">
        <f>'refer admin discharge'!D390</f>
        <v>xx</v>
      </c>
      <c r="E394" s="351"/>
      <c r="F394" s="620" t="str">
        <f>'refer admin discharge'!H390</f>
        <v>00/00/0000</v>
      </c>
      <c r="G394" s="351"/>
      <c r="H394" s="615"/>
      <c r="I394" s="351"/>
      <c r="J394" s="621"/>
      <c r="K394" s="351"/>
      <c r="L394" s="615"/>
      <c r="M394" s="351"/>
      <c r="N394" s="610"/>
      <c r="O394" s="351"/>
      <c r="P394" s="615"/>
      <c r="Q394" s="351"/>
      <c r="R394" s="610"/>
      <c r="S394" s="351"/>
      <c r="T394" s="615"/>
      <c r="U394" s="351"/>
      <c r="V394" s="613" t="str">
        <f>'refer admin discharge'!H395</f>
        <v>00/00/0000</v>
      </c>
      <c r="W394" s="351"/>
      <c r="X394" s="616"/>
      <c r="Y394" s="351"/>
      <c r="Z394" s="617"/>
      <c r="AA394" s="351"/>
      <c r="AB394" s="616"/>
      <c r="AC394" s="351"/>
      <c r="AD394" s="607"/>
      <c r="AE394" s="351"/>
      <c r="AF394" s="616"/>
      <c r="AG394" s="351"/>
      <c r="AH394" s="607"/>
      <c r="AI394" s="351"/>
      <c r="AJ394" s="616"/>
      <c r="AK394" s="351"/>
      <c r="AL394" s="622"/>
      <c r="AM394" s="350"/>
      <c r="AN394" s="350"/>
      <c r="AO394" s="350"/>
      <c r="AP394" s="350"/>
      <c r="AQ394" s="350"/>
      <c r="AR394" s="350"/>
      <c r="AS394" s="350"/>
      <c r="AT394" s="350"/>
      <c r="AU394" s="350"/>
      <c r="AV394" s="350"/>
      <c r="AW394" s="350"/>
      <c r="AX394" s="350"/>
      <c r="AY394" s="350"/>
      <c r="AZ394" s="350"/>
      <c r="BA394" s="350"/>
      <c r="BB394" s="351"/>
    </row>
    <row r="395" spans="1:54" ht="15.75" customHeight="1">
      <c r="A395" s="25">
        <f t="shared" si="1"/>
        <v>382</v>
      </c>
      <c r="B395" s="599" t="str">
        <f>'refer admin discharge'!B391</f>
        <v>x</v>
      </c>
      <c r="C395" s="351"/>
      <c r="D395" s="600" t="str">
        <f>'refer admin discharge'!D391</f>
        <v>xx</v>
      </c>
      <c r="E395" s="351"/>
      <c r="F395" s="609" t="str">
        <f>'refer admin discharge'!H391</f>
        <v>00/00/0000</v>
      </c>
      <c r="G395" s="351"/>
      <c r="H395" s="610"/>
      <c r="I395" s="351"/>
      <c r="J395" s="611"/>
      <c r="K395" s="351"/>
      <c r="L395" s="610"/>
      <c r="M395" s="351"/>
      <c r="N395" s="612"/>
      <c r="O395" s="351"/>
      <c r="P395" s="610"/>
      <c r="Q395" s="351"/>
      <c r="R395" s="612"/>
      <c r="S395" s="351"/>
      <c r="T395" s="610"/>
      <c r="U395" s="351"/>
      <c r="V395" s="613" t="str">
        <f>'refer admin discharge'!H396</f>
        <v>00/00/0000</v>
      </c>
      <c r="W395" s="351"/>
      <c r="X395" s="607"/>
      <c r="Y395" s="351"/>
      <c r="Z395" s="614"/>
      <c r="AA395" s="351"/>
      <c r="AB395" s="607"/>
      <c r="AC395" s="351"/>
      <c r="AD395" s="606"/>
      <c r="AE395" s="351"/>
      <c r="AF395" s="607"/>
      <c r="AG395" s="351"/>
      <c r="AH395" s="606"/>
      <c r="AI395" s="351"/>
      <c r="AJ395" s="607"/>
      <c r="AK395" s="351"/>
      <c r="AL395" s="608"/>
      <c r="AM395" s="350"/>
      <c r="AN395" s="350"/>
      <c r="AO395" s="350"/>
      <c r="AP395" s="350"/>
      <c r="AQ395" s="350"/>
      <c r="AR395" s="350"/>
      <c r="AS395" s="350"/>
      <c r="AT395" s="350"/>
      <c r="AU395" s="350"/>
      <c r="AV395" s="350"/>
      <c r="AW395" s="350"/>
      <c r="AX395" s="350"/>
      <c r="AY395" s="350"/>
      <c r="AZ395" s="350"/>
      <c r="BA395" s="350"/>
      <c r="BB395" s="351"/>
    </row>
    <row r="396" spans="1:54" ht="15.75" customHeight="1">
      <c r="A396" s="25">
        <f t="shared" si="1"/>
        <v>383</v>
      </c>
      <c r="B396" s="618" t="str">
        <f>'refer admin discharge'!B392</f>
        <v>x</v>
      </c>
      <c r="C396" s="351"/>
      <c r="D396" s="619" t="str">
        <f>'refer admin discharge'!D392</f>
        <v>xx</v>
      </c>
      <c r="E396" s="351"/>
      <c r="F396" s="620" t="str">
        <f>'refer admin discharge'!H392</f>
        <v>00/00/0000</v>
      </c>
      <c r="G396" s="351"/>
      <c r="H396" s="615"/>
      <c r="I396" s="351"/>
      <c r="J396" s="621"/>
      <c r="K396" s="351"/>
      <c r="L396" s="615"/>
      <c r="M396" s="351"/>
      <c r="N396" s="610"/>
      <c r="O396" s="351"/>
      <c r="P396" s="615"/>
      <c r="Q396" s="351"/>
      <c r="R396" s="610"/>
      <c r="S396" s="351"/>
      <c r="T396" s="615"/>
      <c r="U396" s="351"/>
      <c r="V396" s="613" t="str">
        <f>'refer admin discharge'!H397</f>
        <v>00/00/0000</v>
      </c>
      <c r="W396" s="351"/>
      <c r="X396" s="616"/>
      <c r="Y396" s="351"/>
      <c r="Z396" s="617"/>
      <c r="AA396" s="351"/>
      <c r="AB396" s="616"/>
      <c r="AC396" s="351"/>
      <c r="AD396" s="607"/>
      <c r="AE396" s="351"/>
      <c r="AF396" s="616"/>
      <c r="AG396" s="351"/>
      <c r="AH396" s="607"/>
      <c r="AI396" s="351"/>
      <c r="AJ396" s="616"/>
      <c r="AK396" s="351"/>
      <c r="AL396" s="622"/>
      <c r="AM396" s="350"/>
      <c r="AN396" s="350"/>
      <c r="AO396" s="350"/>
      <c r="AP396" s="350"/>
      <c r="AQ396" s="350"/>
      <c r="AR396" s="350"/>
      <c r="AS396" s="350"/>
      <c r="AT396" s="350"/>
      <c r="AU396" s="350"/>
      <c r="AV396" s="350"/>
      <c r="AW396" s="350"/>
      <c r="AX396" s="350"/>
      <c r="AY396" s="350"/>
      <c r="AZ396" s="350"/>
      <c r="BA396" s="350"/>
      <c r="BB396" s="351"/>
    </row>
    <row r="397" spans="1:54" ht="15.75" customHeight="1">
      <c r="A397" s="25">
        <f t="shared" si="1"/>
        <v>384</v>
      </c>
      <c r="B397" s="599" t="str">
        <f>'refer admin discharge'!B393</f>
        <v>x</v>
      </c>
      <c r="C397" s="351"/>
      <c r="D397" s="600" t="str">
        <f>'refer admin discharge'!D393</f>
        <v>xx</v>
      </c>
      <c r="E397" s="351"/>
      <c r="F397" s="609" t="str">
        <f>'refer admin discharge'!H393</f>
        <v>00/00/0000</v>
      </c>
      <c r="G397" s="351"/>
      <c r="H397" s="610"/>
      <c r="I397" s="351"/>
      <c r="J397" s="611"/>
      <c r="K397" s="351"/>
      <c r="L397" s="610"/>
      <c r="M397" s="351"/>
      <c r="N397" s="612"/>
      <c r="O397" s="351"/>
      <c r="P397" s="610"/>
      <c r="Q397" s="351"/>
      <c r="R397" s="612"/>
      <c r="S397" s="351"/>
      <c r="T397" s="610"/>
      <c r="U397" s="351"/>
      <c r="V397" s="613" t="str">
        <f>'refer admin discharge'!H398</f>
        <v>00/00/0000</v>
      </c>
      <c r="W397" s="351"/>
      <c r="X397" s="607"/>
      <c r="Y397" s="351"/>
      <c r="Z397" s="614"/>
      <c r="AA397" s="351"/>
      <c r="AB397" s="607"/>
      <c r="AC397" s="351"/>
      <c r="AD397" s="606"/>
      <c r="AE397" s="351"/>
      <c r="AF397" s="607"/>
      <c r="AG397" s="351"/>
      <c r="AH397" s="606"/>
      <c r="AI397" s="351"/>
      <c r="AJ397" s="607"/>
      <c r="AK397" s="351"/>
      <c r="AL397" s="608"/>
      <c r="AM397" s="350"/>
      <c r="AN397" s="350"/>
      <c r="AO397" s="350"/>
      <c r="AP397" s="350"/>
      <c r="AQ397" s="350"/>
      <c r="AR397" s="350"/>
      <c r="AS397" s="350"/>
      <c r="AT397" s="350"/>
      <c r="AU397" s="350"/>
      <c r="AV397" s="350"/>
      <c r="AW397" s="350"/>
      <c r="AX397" s="350"/>
      <c r="AY397" s="350"/>
      <c r="AZ397" s="350"/>
      <c r="BA397" s="350"/>
      <c r="BB397" s="351"/>
    </row>
    <row r="398" spans="1:54" ht="15.75" customHeight="1">
      <c r="A398" s="25">
        <f t="shared" si="1"/>
        <v>385</v>
      </c>
      <c r="B398" s="618" t="str">
        <f>'refer admin discharge'!B394</f>
        <v>x</v>
      </c>
      <c r="C398" s="351"/>
      <c r="D398" s="619" t="str">
        <f>'refer admin discharge'!D394</f>
        <v>xx</v>
      </c>
      <c r="E398" s="351"/>
      <c r="F398" s="620" t="str">
        <f>'refer admin discharge'!H394</f>
        <v>00/00/0000</v>
      </c>
      <c r="G398" s="351"/>
      <c r="H398" s="615"/>
      <c r="I398" s="351"/>
      <c r="J398" s="621"/>
      <c r="K398" s="351"/>
      <c r="L398" s="615"/>
      <c r="M398" s="351"/>
      <c r="N398" s="610"/>
      <c r="O398" s="351"/>
      <c r="P398" s="615"/>
      <c r="Q398" s="351"/>
      <c r="R398" s="610"/>
      <c r="S398" s="351"/>
      <c r="T398" s="615"/>
      <c r="U398" s="351"/>
      <c r="V398" s="613" t="str">
        <f>'refer admin discharge'!H399</f>
        <v>00/00/0000</v>
      </c>
      <c r="W398" s="351"/>
      <c r="X398" s="616"/>
      <c r="Y398" s="351"/>
      <c r="Z398" s="617"/>
      <c r="AA398" s="351"/>
      <c r="AB398" s="616"/>
      <c r="AC398" s="351"/>
      <c r="AD398" s="607"/>
      <c r="AE398" s="351"/>
      <c r="AF398" s="616"/>
      <c r="AG398" s="351"/>
      <c r="AH398" s="607"/>
      <c r="AI398" s="351"/>
      <c r="AJ398" s="616"/>
      <c r="AK398" s="351"/>
      <c r="AL398" s="622"/>
      <c r="AM398" s="350"/>
      <c r="AN398" s="350"/>
      <c r="AO398" s="350"/>
      <c r="AP398" s="350"/>
      <c r="AQ398" s="350"/>
      <c r="AR398" s="350"/>
      <c r="AS398" s="350"/>
      <c r="AT398" s="350"/>
      <c r="AU398" s="350"/>
      <c r="AV398" s="350"/>
      <c r="AW398" s="350"/>
      <c r="AX398" s="350"/>
      <c r="AY398" s="350"/>
      <c r="AZ398" s="350"/>
      <c r="BA398" s="350"/>
      <c r="BB398" s="351"/>
    </row>
    <row r="399" spans="1:54" ht="15.75" customHeight="1">
      <c r="A399" s="25">
        <f t="shared" si="1"/>
        <v>386</v>
      </c>
      <c r="B399" s="599" t="str">
        <f>'refer admin discharge'!B395</f>
        <v>x</v>
      </c>
      <c r="C399" s="351"/>
      <c r="D399" s="600" t="str">
        <f>'refer admin discharge'!D395</f>
        <v>xx</v>
      </c>
      <c r="E399" s="351"/>
      <c r="F399" s="609" t="str">
        <f>'refer admin discharge'!H395</f>
        <v>00/00/0000</v>
      </c>
      <c r="G399" s="351"/>
      <c r="H399" s="610"/>
      <c r="I399" s="351"/>
      <c r="J399" s="611"/>
      <c r="K399" s="351"/>
      <c r="L399" s="610"/>
      <c r="M399" s="351"/>
      <c r="N399" s="612"/>
      <c r="O399" s="351"/>
      <c r="P399" s="610"/>
      <c r="Q399" s="351"/>
      <c r="R399" s="612"/>
      <c r="S399" s="351"/>
      <c r="T399" s="610"/>
      <c r="U399" s="351"/>
      <c r="V399" s="613" t="str">
        <f>'refer admin discharge'!H400</f>
        <v>00/00/0000</v>
      </c>
      <c r="W399" s="351"/>
      <c r="X399" s="607"/>
      <c r="Y399" s="351"/>
      <c r="Z399" s="614"/>
      <c r="AA399" s="351"/>
      <c r="AB399" s="607"/>
      <c r="AC399" s="351"/>
      <c r="AD399" s="606"/>
      <c r="AE399" s="351"/>
      <c r="AF399" s="607"/>
      <c r="AG399" s="351"/>
      <c r="AH399" s="606"/>
      <c r="AI399" s="351"/>
      <c r="AJ399" s="607"/>
      <c r="AK399" s="351"/>
      <c r="AL399" s="608"/>
      <c r="AM399" s="350"/>
      <c r="AN399" s="350"/>
      <c r="AO399" s="350"/>
      <c r="AP399" s="350"/>
      <c r="AQ399" s="350"/>
      <c r="AR399" s="350"/>
      <c r="AS399" s="350"/>
      <c r="AT399" s="350"/>
      <c r="AU399" s="350"/>
      <c r="AV399" s="350"/>
      <c r="AW399" s="350"/>
      <c r="AX399" s="350"/>
      <c r="AY399" s="350"/>
      <c r="AZ399" s="350"/>
      <c r="BA399" s="350"/>
      <c r="BB399" s="351"/>
    </row>
    <row r="400" spans="1:54" ht="15.75" customHeight="1">
      <c r="A400" s="25">
        <f t="shared" si="1"/>
        <v>387</v>
      </c>
      <c r="B400" s="618" t="str">
        <f>'refer admin discharge'!B396</f>
        <v>x</v>
      </c>
      <c r="C400" s="351"/>
      <c r="D400" s="619" t="str">
        <f>'refer admin discharge'!D396</f>
        <v>xx</v>
      </c>
      <c r="E400" s="351"/>
      <c r="F400" s="620" t="str">
        <f>'refer admin discharge'!H396</f>
        <v>00/00/0000</v>
      </c>
      <c r="G400" s="351"/>
      <c r="H400" s="615"/>
      <c r="I400" s="351"/>
      <c r="J400" s="621"/>
      <c r="K400" s="351"/>
      <c r="L400" s="615"/>
      <c r="M400" s="351"/>
      <c r="N400" s="610"/>
      <c r="O400" s="351"/>
      <c r="P400" s="615"/>
      <c r="Q400" s="351"/>
      <c r="R400" s="610"/>
      <c r="S400" s="351"/>
      <c r="T400" s="615"/>
      <c r="U400" s="351"/>
      <c r="V400" s="613" t="str">
        <f>'refer admin discharge'!H401</f>
        <v>00/00/0000</v>
      </c>
      <c r="W400" s="351"/>
      <c r="X400" s="616"/>
      <c r="Y400" s="351"/>
      <c r="Z400" s="617"/>
      <c r="AA400" s="351"/>
      <c r="AB400" s="616"/>
      <c r="AC400" s="351"/>
      <c r="AD400" s="607"/>
      <c r="AE400" s="351"/>
      <c r="AF400" s="616"/>
      <c r="AG400" s="351"/>
      <c r="AH400" s="607"/>
      <c r="AI400" s="351"/>
      <c r="AJ400" s="616"/>
      <c r="AK400" s="351"/>
      <c r="AL400" s="622"/>
      <c r="AM400" s="350"/>
      <c r="AN400" s="350"/>
      <c r="AO400" s="350"/>
      <c r="AP400" s="350"/>
      <c r="AQ400" s="350"/>
      <c r="AR400" s="350"/>
      <c r="AS400" s="350"/>
      <c r="AT400" s="350"/>
      <c r="AU400" s="350"/>
      <c r="AV400" s="350"/>
      <c r="AW400" s="350"/>
      <c r="AX400" s="350"/>
      <c r="AY400" s="350"/>
      <c r="AZ400" s="350"/>
      <c r="BA400" s="350"/>
      <c r="BB400" s="351"/>
    </row>
    <row r="401" spans="1:54" ht="15.75" customHeight="1">
      <c r="A401" s="25">
        <f t="shared" si="1"/>
        <v>388</v>
      </c>
      <c r="B401" s="599" t="str">
        <f>'refer admin discharge'!B397</f>
        <v>x</v>
      </c>
      <c r="C401" s="351"/>
      <c r="D401" s="600" t="str">
        <f>'refer admin discharge'!D397</f>
        <v>xx</v>
      </c>
      <c r="E401" s="351"/>
      <c r="F401" s="609" t="str">
        <f>'refer admin discharge'!H397</f>
        <v>00/00/0000</v>
      </c>
      <c r="G401" s="351"/>
      <c r="H401" s="610"/>
      <c r="I401" s="351"/>
      <c r="J401" s="611"/>
      <c r="K401" s="351"/>
      <c r="L401" s="610"/>
      <c r="M401" s="351"/>
      <c r="N401" s="612"/>
      <c r="O401" s="351"/>
      <c r="P401" s="610"/>
      <c r="Q401" s="351"/>
      <c r="R401" s="612"/>
      <c r="S401" s="351"/>
      <c r="T401" s="610"/>
      <c r="U401" s="351"/>
      <c r="V401" s="613" t="str">
        <f>'refer admin discharge'!H402</f>
        <v>00/00/0000</v>
      </c>
      <c r="W401" s="351"/>
      <c r="X401" s="607"/>
      <c r="Y401" s="351"/>
      <c r="Z401" s="614"/>
      <c r="AA401" s="351"/>
      <c r="AB401" s="607"/>
      <c r="AC401" s="351"/>
      <c r="AD401" s="606"/>
      <c r="AE401" s="351"/>
      <c r="AF401" s="607"/>
      <c r="AG401" s="351"/>
      <c r="AH401" s="606"/>
      <c r="AI401" s="351"/>
      <c r="AJ401" s="607"/>
      <c r="AK401" s="351"/>
      <c r="AL401" s="608"/>
      <c r="AM401" s="350"/>
      <c r="AN401" s="350"/>
      <c r="AO401" s="350"/>
      <c r="AP401" s="350"/>
      <c r="AQ401" s="350"/>
      <c r="AR401" s="350"/>
      <c r="AS401" s="350"/>
      <c r="AT401" s="350"/>
      <c r="AU401" s="350"/>
      <c r="AV401" s="350"/>
      <c r="AW401" s="350"/>
      <c r="AX401" s="350"/>
      <c r="AY401" s="350"/>
      <c r="AZ401" s="350"/>
      <c r="BA401" s="350"/>
      <c r="BB401" s="351"/>
    </row>
    <row r="402" spans="1:54" ht="15.75" customHeight="1">
      <c r="A402" s="25">
        <f t="shared" si="1"/>
        <v>389</v>
      </c>
      <c r="B402" s="618" t="str">
        <f>'refer admin discharge'!B398</f>
        <v>x</v>
      </c>
      <c r="C402" s="351"/>
      <c r="D402" s="619" t="str">
        <f>'refer admin discharge'!D398</f>
        <v>xx</v>
      </c>
      <c r="E402" s="351"/>
      <c r="F402" s="620" t="str">
        <f>'refer admin discharge'!H398</f>
        <v>00/00/0000</v>
      </c>
      <c r="G402" s="351"/>
      <c r="H402" s="615"/>
      <c r="I402" s="351"/>
      <c r="J402" s="621"/>
      <c r="K402" s="351"/>
      <c r="L402" s="615"/>
      <c r="M402" s="351"/>
      <c r="N402" s="610"/>
      <c r="O402" s="351"/>
      <c r="P402" s="615"/>
      <c r="Q402" s="351"/>
      <c r="R402" s="610"/>
      <c r="S402" s="351"/>
      <c r="T402" s="615"/>
      <c r="U402" s="351"/>
      <c r="V402" s="613" t="str">
        <f>'refer admin discharge'!H403</f>
        <v>00/00/0000</v>
      </c>
      <c r="W402" s="351"/>
      <c r="X402" s="616"/>
      <c r="Y402" s="351"/>
      <c r="Z402" s="617"/>
      <c r="AA402" s="351"/>
      <c r="AB402" s="616"/>
      <c r="AC402" s="351"/>
      <c r="AD402" s="607"/>
      <c r="AE402" s="351"/>
      <c r="AF402" s="616"/>
      <c r="AG402" s="351"/>
      <c r="AH402" s="607"/>
      <c r="AI402" s="351"/>
      <c r="AJ402" s="616"/>
      <c r="AK402" s="351"/>
      <c r="AL402" s="622"/>
      <c r="AM402" s="350"/>
      <c r="AN402" s="350"/>
      <c r="AO402" s="350"/>
      <c r="AP402" s="350"/>
      <c r="AQ402" s="350"/>
      <c r="AR402" s="350"/>
      <c r="AS402" s="350"/>
      <c r="AT402" s="350"/>
      <c r="AU402" s="350"/>
      <c r="AV402" s="350"/>
      <c r="AW402" s="350"/>
      <c r="AX402" s="350"/>
      <c r="AY402" s="350"/>
      <c r="AZ402" s="350"/>
      <c r="BA402" s="350"/>
      <c r="BB402" s="351"/>
    </row>
    <row r="403" spans="1:54" ht="15.75" customHeight="1">
      <c r="A403" s="25">
        <f t="shared" si="1"/>
        <v>390</v>
      </c>
      <c r="B403" s="599" t="str">
        <f>'refer admin discharge'!B399</f>
        <v>x</v>
      </c>
      <c r="C403" s="351"/>
      <c r="D403" s="600" t="str">
        <f>'refer admin discharge'!D399</f>
        <v>xx</v>
      </c>
      <c r="E403" s="351"/>
      <c r="F403" s="609" t="str">
        <f>'refer admin discharge'!H399</f>
        <v>00/00/0000</v>
      </c>
      <c r="G403" s="351"/>
      <c r="H403" s="610"/>
      <c r="I403" s="351"/>
      <c r="J403" s="611"/>
      <c r="K403" s="351"/>
      <c r="L403" s="610"/>
      <c r="M403" s="351"/>
      <c r="N403" s="612"/>
      <c r="O403" s="351"/>
      <c r="P403" s="610"/>
      <c r="Q403" s="351"/>
      <c r="R403" s="612"/>
      <c r="S403" s="351"/>
      <c r="T403" s="610"/>
      <c r="U403" s="351"/>
      <c r="V403" s="613" t="str">
        <f>'refer admin discharge'!H404</f>
        <v>00/00/0000</v>
      </c>
      <c r="W403" s="351"/>
      <c r="X403" s="607"/>
      <c r="Y403" s="351"/>
      <c r="Z403" s="614"/>
      <c r="AA403" s="351"/>
      <c r="AB403" s="607"/>
      <c r="AC403" s="351"/>
      <c r="AD403" s="606"/>
      <c r="AE403" s="351"/>
      <c r="AF403" s="607"/>
      <c r="AG403" s="351"/>
      <c r="AH403" s="606"/>
      <c r="AI403" s="351"/>
      <c r="AJ403" s="607"/>
      <c r="AK403" s="351"/>
      <c r="AL403" s="608"/>
      <c r="AM403" s="350"/>
      <c r="AN403" s="350"/>
      <c r="AO403" s="350"/>
      <c r="AP403" s="350"/>
      <c r="AQ403" s="350"/>
      <c r="AR403" s="350"/>
      <c r="AS403" s="350"/>
      <c r="AT403" s="350"/>
      <c r="AU403" s="350"/>
      <c r="AV403" s="350"/>
      <c r="AW403" s="350"/>
      <c r="AX403" s="350"/>
      <c r="AY403" s="350"/>
      <c r="AZ403" s="350"/>
      <c r="BA403" s="350"/>
      <c r="BB403" s="351"/>
    </row>
    <row r="404" spans="1:54" ht="15.75" customHeight="1">
      <c r="A404" s="25">
        <f t="shared" si="1"/>
        <v>391</v>
      </c>
      <c r="B404" s="618" t="str">
        <f>'refer admin discharge'!B400</f>
        <v>x</v>
      </c>
      <c r="C404" s="351"/>
      <c r="D404" s="619" t="str">
        <f>'refer admin discharge'!D400</f>
        <v>xx</v>
      </c>
      <c r="E404" s="351"/>
      <c r="F404" s="620" t="str">
        <f>'refer admin discharge'!H400</f>
        <v>00/00/0000</v>
      </c>
      <c r="G404" s="351"/>
      <c r="H404" s="615"/>
      <c r="I404" s="351"/>
      <c r="J404" s="621"/>
      <c r="K404" s="351"/>
      <c r="L404" s="615"/>
      <c r="M404" s="351"/>
      <c r="N404" s="610"/>
      <c r="O404" s="351"/>
      <c r="P404" s="615"/>
      <c r="Q404" s="351"/>
      <c r="R404" s="610"/>
      <c r="S404" s="351"/>
      <c r="T404" s="615"/>
      <c r="U404" s="351"/>
      <c r="V404" s="613" t="str">
        <f>'refer admin discharge'!H405</f>
        <v>00/00/0000</v>
      </c>
      <c r="W404" s="351"/>
      <c r="X404" s="616"/>
      <c r="Y404" s="351"/>
      <c r="Z404" s="617"/>
      <c r="AA404" s="351"/>
      <c r="AB404" s="616"/>
      <c r="AC404" s="351"/>
      <c r="AD404" s="607"/>
      <c r="AE404" s="351"/>
      <c r="AF404" s="616"/>
      <c r="AG404" s="351"/>
      <c r="AH404" s="607"/>
      <c r="AI404" s="351"/>
      <c r="AJ404" s="616"/>
      <c r="AK404" s="351"/>
      <c r="AL404" s="622"/>
      <c r="AM404" s="350"/>
      <c r="AN404" s="350"/>
      <c r="AO404" s="350"/>
      <c r="AP404" s="350"/>
      <c r="AQ404" s="350"/>
      <c r="AR404" s="350"/>
      <c r="AS404" s="350"/>
      <c r="AT404" s="350"/>
      <c r="AU404" s="350"/>
      <c r="AV404" s="350"/>
      <c r="AW404" s="350"/>
      <c r="AX404" s="350"/>
      <c r="AY404" s="350"/>
      <c r="AZ404" s="350"/>
      <c r="BA404" s="350"/>
      <c r="BB404" s="351"/>
    </row>
    <row r="405" spans="1:54" ht="15.75" customHeight="1">
      <c r="A405" s="25">
        <f t="shared" si="1"/>
        <v>392</v>
      </c>
      <c r="B405" s="599" t="str">
        <f>'refer admin discharge'!B401</f>
        <v>x</v>
      </c>
      <c r="C405" s="351"/>
      <c r="D405" s="600" t="str">
        <f>'refer admin discharge'!D401</f>
        <v>xx</v>
      </c>
      <c r="E405" s="351"/>
      <c r="F405" s="609" t="str">
        <f>'refer admin discharge'!H401</f>
        <v>00/00/0000</v>
      </c>
      <c r="G405" s="351"/>
      <c r="H405" s="610"/>
      <c r="I405" s="351"/>
      <c r="J405" s="611"/>
      <c r="K405" s="351"/>
      <c r="L405" s="610"/>
      <c r="M405" s="351"/>
      <c r="N405" s="612"/>
      <c r="O405" s="351"/>
      <c r="P405" s="610"/>
      <c r="Q405" s="351"/>
      <c r="R405" s="612"/>
      <c r="S405" s="351"/>
      <c r="T405" s="610"/>
      <c r="U405" s="351"/>
      <c r="V405" s="613" t="str">
        <f>'refer admin discharge'!H406</f>
        <v>00/00/0000</v>
      </c>
      <c r="W405" s="351"/>
      <c r="X405" s="607"/>
      <c r="Y405" s="351"/>
      <c r="Z405" s="614"/>
      <c r="AA405" s="351"/>
      <c r="AB405" s="607"/>
      <c r="AC405" s="351"/>
      <c r="AD405" s="606"/>
      <c r="AE405" s="351"/>
      <c r="AF405" s="607"/>
      <c r="AG405" s="351"/>
      <c r="AH405" s="606"/>
      <c r="AI405" s="351"/>
      <c r="AJ405" s="607"/>
      <c r="AK405" s="351"/>
      <c r="AL405" s="608"/>
      <c r="AM405" s="350"/>
      <c r="AN405" s="350"/>
      <c r="AO405" s="350"/>
      <c r="AP405" s="350"/>
      <c r="AQ405" s="350"/>
      <c r="AR405" s="350"/>
      <c r="AS405" s="350"/>
      <c r="AT405" s="350"/>
      <c r="AU405" s="350"/>
      <c r="AV405" s="350"/>
      <c r="AW405" s="350"/>
      <c r="AX405" s="350"/>
      <c r="AY405" s="350"/>
      <c r="AZ405" s="350"/>
      <c r="BA405" s="350"/>
      <c r="BB405" s="351"/>
    </row>
    <row r="406" spans="1:54" ht="15.75" customHeight="1">
      <c r="A406" s="25">
        <f t="shared" si="1"/>
        <v>393</v>
      </c>
      <c r="B406" s="618" t="str">
        <f>'refer admin discharge'!B402</f>
        <v>x</v>
      </c>
      <c r="C406" s="351"/>
      <c r="D406" s="619" t="str">
        <f>'refer admin discharge'!D402</f>
        <v>xx</v>
      </c>
      <c r="E406" s="351"/>
      <c r="F406" s="620" t="str">
        <f>'refer admin discharge'!H402</f>
        <v>00/00/0000</v>
      </c>
      <c r="G406" s="351"/>
      <c r="H406" s="615"/>
      <c r="I406" s="351"/>
      <c r="J406" s="621"/>
      <c r="K406" s="351"/>
      <c r="L406" s="615"/>
      <c r="M406" s="351"/>
      <c r="N406" s="610"/>
      <c r="O406" s="351"/>
      <c r="P406" s="615"/>
      <c r="Q406" s="351"/>
      <c r="R406" s="610"/>
      <c r="S406" s="351"/>
      <c r="T406" s="615"/>
      <c r="U406" s="351"/>
      <c r="V406" s="613" t="str">
        <f>'refer admin discharge'!H407</f>
        <v>00/00/0000</v>
      </c>
      <c r="W406" s="351"/>
      <c r="X406" s="616"/>
      <c r="Y406" s="351"/>
      <c r="Z406" s="617"/>
      <c r="AA406" s="351"/>
      <c r="AB406" s="616"/>
      <c r="AC406" s="351"/>
      <c r="AD406" s="607"/>
      <c r="AE406" s="351"/>
      <c r="AF406" s="616"/>
      <c r="AG406" s="351"/>
      <c r="AH406" s="607"/>
      <c r="AI406" s="351"/>
      <c r="AJ406" s="616"/>
      <c r="AK406" s="351"/>
      <c r="AL406" s="622"/>
      <c r="AM406" s="350"/>
      <c r="AN406" s="350"/>
      <c r="AO406" s="350"/>
      <c r="AP406" s="350"/>
      <c r="AQ406" s="350"/>
      <c r="AR406" s="350"/>
      <c r="AS406" s="350"/>
      <c r="AT406" s="350"/>
      <c r="AU406" s="350"/>
      <c r="AV406" s="350"/>
      <c r="AW406" s="350"/>
      <c r="AX406" s="350"/>
      <c r="AY406" s="350"/>
      <c r="AZ406" s="350"/>
      <c r="BA406" s="350"/>
      <c r="BB406" s="351"/>
    </row>
    <row r="407" spans="1:54" ht="15.75" customHeight="1">
      <c r="A407" s="25">
        <f t="shared" si="1"/>
        <v>394</v>
      </c>
      <c r="B407" s="599" t="str">
        <f>'refer admin discharge'!B403</f>
        <v>x</v>
      </c>
      <c r="C407" s="351"/>
      <c r="D407" s="600" t="str">
        <f>'refer admin discharge'!D403</f>
        <v>xx</v>
      </c>
      <c r="E407" s="351"/>
      <c r="F407" s="609" t="str">
        <f>'refer admin discharge'!H403</f>
        <v>00/00/0000</v>
      </c>
      <c r="G407" s="351"/>
      <c r="H407" s="610"/>
      <c r="I407" s="351"/>
      <c r="J407" s="611"/>
      <c r="K407" s="351"/>
      <c r="L407" s="610"/>
      <c r="M407" s="351"/>
      <c r="N407" s="612"/>
      <c r="O407" s="351"/>
      <c r="P407" s="610"/>
      <c r="Q407" s="351"/>
      <c r="R407" s="612"/>
      <c r="S407" s="351"/>
      <c r="T407" s="610"/>
      <c r="U407" s="351"/>
      <c r="V407" s="613" t="str">
        <f>'refer admin discharge'!H408</f>
        <v>00/00/0000</v>
      </c>
      <c r="W407" s="351"/>
      <c r="X407" s="607"/>
      <c r="Y407" s="351"/>
      <c r="Z407" s="614"/>
      <c r="AA407" s="351"/>
      <c r="AB407" s="607"/>
      <c r="AC407" s="351"/>
      <c r="AD407" s="606"/>
      <c r="AE407" s="351"/>
      <c r="AF407" s="607"/>
      <c r="AG407" s="351"/>
      <c r="AH407" s="606"/>
      <c r="AI407" s="351"/>
      <c r="AJ407" s="607"/>
      <c r="AK407" s="351"/>
      <c r="AL407" s="608"/>
      <c r="AM407" s="350"/>
      <c r="AN407" s="350"/>
      <c r="AO407" s="350"/>
      <c r="AP407" s="350"/>
      <c r="AQ407" s="350"/>
      <c r="AR407" s="350"/>
      <c r="AS407" s="350"/>
      <c r="AT407" s="350"/>
      <c r="AU407" s="350"/>
      <c r="AV407" s="350"/>
      <c r="AW407" s="350"/>
      <c r="AX407" s="350"/>
      <c r="AY407" s="350"/>
      <c r="AZ407" s="350"/>
      <c r="BA407" s="350"/>
      <c r="BB407" s="351"/>
    </row>
    <row r="408" spans="1:54" ht="15.75" customHeight="1">
      <c r="A408" s="25">
        <f t="shared" si="1"/>
        <v>395</v>
      </c>
      <c r="B408" s="618" t="str">
        <f>'refer admin discharge'!B404</f>
        <v>x</v>
      </c>
      <c r="C408" s="351"/>
      <c r="D408" s="619" t="str">
        <f>'refer admin discharge'!D404</f>
        <v>xx</v>
      </c>
      <c r="E408" s="351"/>
      <c r="F408" s="620" t="str">
        <f>'refer admin discharge'!H404</f>
        <v>00/00/0000</v>
      </c>
      <c r="G408" s="351"/>
      <c r="H408" s="615"/>
      <c r="I408" s="351"/>
      <c r="J408" s="621"/>
      <c r="K408" s="351"/>
      <c r="L408" s="615"/>
      <c r="M408" s="351"/>
      <c r="N408" s="610"/>
      <c r="O408" s="351"/>
      <c r="P408" s="615"/>
      <c r="Q408" s="351"/>
      <c r="R408" s="610"/>
      <c r="S408" s="351"/>
      <c r="T408" s="615"/>
      <c r="U408" s="351"/>
      <c r="V408" s="613" t="str">
        <f>'refer admin discharge'!H409</f>
        <v>00/00/0000</v>
      </c>
      <c r="W408" s="351"/>
      <c r="X408" s="616"/>
      <c r="Y408" s="351"/>
      <c r="Z408" s="617"/>
      <c r="AA408" s="351"/>
      <c r="AB408" s="616"/>
      <c r="AC408" s="351"/>
      <c r="AD408" s="607"/>
      <c r="AE408" s="351"/>
      <c r="AF408" s="616"/>
      <c r="AG408" s="351"/>
      <c r="AH408" s="607"/>
      <c r="AI408" s="351"/>
      <c r="AJ408" s="616"/>
      <c r="AK408" s="351"/>
      <c r="AL408" s="622"/>
      <c r="AM408" s="350"/>
      <c r="AN408" s="350"/>
      <c r="AO408" s="350"/>
      <c r="AP408" s="350"/>
      <c r="AQ408" s="350"/>
      <c r="AR408" s="350"/>
      <c r="AS408" s="350"/>
      <c r="AT408" s="350"/>
      <c r="AU408" s="350"/>
      <c r="AV408" s="350"/>
      <c r="AW408" s="350"/>
      <c r="AX408" s="350"/>
      <c r="AY408" s="350"/>
      <c r="AZ408" s="350"/>
      <c r="BA408" s="350"/>
      <c r="BB408" s="351"/>
    </row>
    <row r="409" spans="1:54" ht="15.75" customHeight="1">
      <c r="A409" s="25">
        <f t="shared" si="1"/>
        <v>396</v>
      </c>
      <c r="B409" s="599" t="str">
        <f>'refer admin discharge'!B405</f>
        <v>x</v>
      </c>
      <c r="C409" s="351"/>
      <c r="D409" s="600" t="str">
        <f>'refer admin discharge'!D405</f>
        <v>xx</v>
      </c>
      <c r="E409" s="351"/>
      <c r="F409" s="609" t="str">
        <f>'refer admin discharge'!H405</f>
        <v>00/00/0000</v>
      </c>
      <c r="G409" s="351"/>
      <c r="H409" s="610"/>
      <c r="I409" s="351"/>
      <c r="J409" s="611"/>
      <c r="K409" s="351"/>
      <c r="L409" s="610"/>
      <c r="M409" s="351"/>
      <c r="N409" s="612"/>
      <c r="O409" s="351"/>
      <c r="P409" s="610"/>
      <c r="Q409" s="351"/>
      <c r="R409" s="612"/>
      <c r="S409" s="351"/>
      <c r="T409" s="610"/>
      <c r="U409" s="351"/>
      <c r="V409" s="613" t="str">
        <f>'refer admin discharge'!H410</f>
        <v>00/00/0000</v>
      </c>
      <c r="W409" s="351"/>
      <c r="X409" s="607"/>
      <c r="Y409" s="351"/>
      <c r="Z409" s="614"/>
      <c r="AA409" s="351"/>
      <c r="AB409" s="607"/>
      <c r="AC409" s="351"/>
      <c r="AD409" s="606"/>
      <c r="AE409" s="351"/>
      <c r="AF409" s="607"/>
      <c r="AG409" s="351"/>
      <c r="AH409" s="606"/>
      <c r="AI409" s="351"/>
      <c r="AJ409" s="607"/>
      <c r="AK409" s="351"/>
      <c r="AL409" s="608"/>
      <c r="AM409" s="350"/>
      <c r="AN409" s="350"/>
      <c r="AO409" s="350"/>
      <c r="AP409" s="350"/>
      <c r="AQ409" s="350"/>
      <c r="AR409" s="350"/>
      <c r="AS409" s="350"/>
      <c r="AT409" s="350"/>
      <c r="AU409" s="350"/>
      <c r="AV409" s="350"/>
      <c r="AW409" s="350"/>
      <c r="AX409" s="350"/>
      <c r="AY409" s="350"/>
      <c r="AZ409" s="350"/>
      <c r="BA409" s="350"/>
      <c r="BB409" s="351"/>
    </row>
    <row r="410" spans="1:54" ht="15.75" customHeight="1">
      <c r="A410" s="25">
        <f t="shared" si="1"/>
        <v>397</v>
      </c>
      <c r="B410" s="618" t="str">
        <f>'refer admin discharge'!B406</f>
        <v>x</v>
      </c>
      <c r="C410" s="351"/>
      <c r="D410" s="619" t="str">
        <f>'refer admin discharge'!D406</f>
        <v>xx</v>
      </c>
      <c r="E410" s="351"/>
      <c r="F410" s="620" t="str">
        <f>'refer admin discharge'!H406</f>
        <v>00/00/0000</v>
      </c>
      <c r="G410" s="351"/>
      <c r="H410" s="615"/>
      <c r="I410" s="351"/>
      <c r="J410" s="621"/>
      <c r="K410" s="351"/>
      <c r="L410" s="615"/>
      <c r="M410" s="351"/>
      <c r="N410" s="610"/>
      <c r="O410" s="351"/>
      <c r="P410" s="615"/>
      <c r="Q410" s="351"/>
      <c r="R410" s="610"/>
      <c r="S410" s="351"/>
      <c r="T410" s="615"/>
      <c r="U410" s="351"/>
      <c r="V410" s="613" t="str">
        <f>'refer admin discharge'!H411</f>
        <v>00/00/0000</v>
      </c>
      <c r="W410" s="351"/>
      <c r="X410" s="616"/>
      <c r="Y410" s="351"/>
      <c r="Z410" s="617"/>
      <c r="AA410" s="351"/>
      <c r="AB410" s="616"/>
      <c r="AC410" s="351"/>
      <c r="AD410" s="607"/>
      <c r="AE410" s="351"/>
      <c r="AF410" s="616"/>
      <c r="AG410" s="351"/>
      <c r="AH410" s="607"/>
      <c r="AI410" s="351"/>
      <c r="AJ410" s="616"/>
      <c r="AK410" s="351"/>
      <c r="AL410" s="622"/>
      <c r="AM410" s="350"/>
      <c r="AN410" s="350"/>
      <c r="AO410" s="350"/>
      <c r="AP410" s="350"/>
      <c r="AQ410" s="350"/>
      <c r="AR410" s="350"/>
      <c r="AS410" s="350"/>
      <c r="AT410" s="350"/>
      <c r="AU410" s="350"/>
      <c r="AV410" s="350"/>
      <c r="AW410" s="350"/>
      <c r="AX410" s="350"/>
      <c r="AY410" s="350"/>
      <c r="AZ410" s="350"/>
      <c r="BA410" s="350"/>
      <c r="BB410" s="351"/>
    </row>
    <row r="411" spans="1:54" ht="15.75" customHeight="1">
      <c r="A411" s="25">
        <f t="shared" si="1"/>
        <v>398</v>
      </c>
      <c r="B411" s="599" t="str">
        <f>'refer admin discharge'!B407</f>
        <v>x</v>
      </c>
      <c r="C411" s="351"/>
      <c r="D411" s="600" t="str">
        <f>'refer admin discharge'!D407</f>
        <v>xx</v>
      </c>
      <c r="E411" s="351"/>
      <c r="F411" s="609" t="str">
        <f>'refer admin discharge'!H407</f>
        <v>00/00/0000</v>
      </c>
      <c r="G411" s="351"/>
      <c r="H411" s="610"/>
      <c r="I411" s="351"/>
      <c r="J411" s="611"/>
      <c r="K411" s="351"/>
      <c r="L411" s="610"/>
      <c r="M411" s="351"/>
      <c r="N411" s="612"/>
      <c r="O411" s="351"/>
      <c r="P411" s="610"/>
      <c r="Q411" s="351"/>
      <c r="R411" s="612"/>
      <c r="S411" s="351"/>
      <c r="T411" s="610"/>
      <c r="U411" s="351"/>
      <c r="V411" s="613" t="str">
        <f>'refer admin discharge'!H412</f>
        <v>00/00/0000</v>
      </c>
      <c r="W411" s="351"/>
      <c r="X411" s="607"/>
      <c r="Y411" s="351"/>
      <c r="Z411" s="614"/>
      <c r="AA411" s="351"/>
      <c r="AB411" s="607"/>
      <c r="AC411" s="351"/>
      <c r="AD411" s="606"/>
      <c r="AE411" s="351"/>
      <c r="AF411" s="607"/>
      <c r="AG411" s="351"/>
      <c r="AH411" s="606"/>
      <c r="AI411" s="351"/>
      <c r="AJ411" s="607"/>
      <c r="AK411" s="351"/>
      <c r="AL411" s="608"/>
      <c r="AM411" s="350"/>
      <c r="AN411" s="350"/>
      <c r="AO411" s="350"/>
      <c r="AP411" s="350"/>
      <c r="AQ411" s="350"/>
      <c r="AR411" s="350"/>
      <c r="AS411" s="350"/>
      <c r="AT411" s="350"/>
      <c r="AU411" s="350"/>
      <c r="AV411" s="350"/>
      <c r="AW411" s="350"/>
      <c r="AX411" s="350"/>
      <c r="AY411" s="350"/>
      <c r="AZ411" s="350"/>
      <c r="BA411" s="350"/>
      <c r="BB411" s="351"/>
    </row>
    <row r="412" spans="1:54" ht="15.75" customHeight="1">
      <c r="A412" s="25">
        <f t="shared" si="1"/>
        <v>399</v>
      </c>
      <c r="B412" s="618" t="str">
        <f>'refer admin discharge'!B408</f>
        <v>x</v>
      </c>
      <c r="C412" s="351"/>
      <c r="D412" s="619" t="str">
        <f>'refer admin discharge'!D408</f>
        <v>xx</v>
      </c>
      <c r="E412" s="351"/>
      <c r="F412" s="620" t="str">
        <f>'refer admin discharge'!H408</f>
        <v>00/00/0000</v>
      </c>
      <c r="G412" s="351"/>
      <c r="H412" s="615"/>
      <c r="I412" s="351"/>
      <c r="J412" s="621"/>
      <c r="K412" s="351"/>
      <c r="L412" s="615"/>
      <c r="M412" s="351"/>
      <c r="N412" s="610"/>
      <c r="O412" s="351"/>
      <c r="P412" s="615"/>
      <c r="Q412" s="351"/>
      <c r="R412" s="610"/>
      <c r="S412" s="351"/>
      <c r="T412" s="615"/>
      <c r="U412" s="351"/>
      <c r="V412" s="613" t="str">
        <f>'refer admin discharge'!H413</f>
        <v>00/00/0000</v>
      </c>
      <c r="W412" s="351"/>
      <c r="X412" s="616"/>
      <c r="Y412" s="351"/>
      <c r="Z412" s="617"/>
      <c r="AA412" s="351"/>
      <c r="AB412" s="616"/>
      <c r="AC412" s="351"/>
      <c r="AD412" s="607"/>
      <c r="AE412" s="351"/>
      <c r="AF412" s="616"/>
      <c r="AG412" s="351"/>
      <c r="AH412" s="607"/>
      <c r="AI412" s="351"/>
      <c r="AJ412" s="616"/>
      <c r="AK412" s="351"/>
      <c r="AL412" s="622"/>
      <c r="AM412" s="350"/>
      <c r="AN412" s="350"/>
      <c r="AO412" s="350"/>
      <c r="AP412" s="350"/>
      <c r="AQ412" s="350"/>
      <c r="AR412" s="350"/>
      <c r="AS412" s="350"/>
      <c r="AT412" s="350"/>
      <c r="AU412" s="350"/>
      <c r="AV412" s="350"/>
      <c r="AW412" s="350"/>
      <c r="AX412" s="350"/>
      <c r="AY412" s="350"/>
      <c r="AZ412" s="350"/>
      <c r="BA412" s="350"/>
      <c r="BB412" s="351"/>
    </row>
    <row r="413" spans="1:54" ht="15.75" customHeight="1">
      <c r="A413" s="25">
        <f t="shared" si="1"/>
        <v>400</v>
      </c>
      <c r="B413" s="599" t="str">
        <f>'refer admin discharge'!B409</f>
        <v>x</v>
      </c>
      <c r="C413" s="351"/>
      <c r="D413" s="600" t="str">
        <f>'refer admin discharge'!D409</f>
        <v>xx</v>
      </c>
      <c r="E413" s="351"/>
      <c r="F413" s="609" t="str">
        <f>'refer admin discharge'!H409</f>
        <v>00/00/0000</v>
      </c>
      <c r="G413" s="351"/>
      <c r="H413" s="610"/>
      <c r="I413" s="351"/>
      <c r="J413" s="611"/>
      <c r="K413" s="351"/>
      <c r="L413" s="610"/>
      <c r="M413" s="351"/>
      <c r="N413" s="612"/>
      <c r="O413" s="351"/>
      <c r="P413" s="610"/>
      <c r="Q413" s="351"/>
      <c r="R413" s="612"/>
      <c r="S413" s="351"/>
      <c r="T413" s="610"/>
      <c r="U413" s="351"/>
      <c r="V413" s="613" t="str">
        <f>'refer admin discharge'!H414</f>
        <v>00/00/0000</v>
      </c>
      <c r="W413" s="351"/>
      <c r="X413" s="607"/>
      <c r="Y413" s="351"/>
      <c r="Z413" s="614"/>
      <c r="AA413" s="351"/>
      <c r="AB413" s="607"/>
      <c r="AC413" s="351"/>
      <c r="AD413" s="606"/>
      <c r="AE413" s="351"/>
      <c r="AF413" s="607"/>
      <c r="AG413" s="351"/>
      <c r="AH413" s="606"/>
      <c r="AI413" s="351"/>
      <c r="AJ413" s="607"/>
      <c r="AK413" s="351"/>
      <c r="AL413" s="608"/>
      <c r="AM413" s="350"/>
      <c r="AN413" s="350"/>
      <c r="AO413" s="350"/>
      <c r="AP413" s="350"/>
      <c r="AQ413" s="350"/>
      <c r="AR413" s="350"/>
      <c r="AS413" s="350"/>
      <c r="AT413" s="350"/>
      <c r="AU413" s="350"/>
      <c r="AV413" s="350"/>
      <c r="AW413" s="350"/>
      <c r="AX413" s="350"/>
      <c r="AY413" s="350"/>
      <c r="AZ413" s="350"/>
      <c r="BA413" s="350"/>
      <c r="BB413" s="351"/>
    </row>
    <row r="414" spans="1:54" ht="15.75" customHeight="1">
      <c r="A414" s="25">
        <f t="shared" si="1"/>
        <v>401</v>
      </c>
      <c r="B414" s="618" t="str">
        <f>'refer admin discharge'!B410</f>
        <v>x</v>
      </c>
      <c r="C414" s="351"/>
      <c r="D414" s="619" t="str">
        <f>'refer admin discharge'!D410</f>
        <v>xx</v>
      </c>
      <c r="E414" s="351"/>
      <c r="F414" s="620" t="str">
        <f>'refer admin discharge'!H410</f>
        <v>00/00/0000</v>
      </c>
      <c r="G414" s="351"/>
      <c r="H414" s="615"/>
      <c r="I414" s="351"/>
      <c r="J414" s="621"/>
      <c r="K414" s="351"/>
      <c r="L414" s="615"/>
      <c r="M414" s="351"/>
      <c r="N414" s="610"/>
      <c r="O414" s="351"/>
      <c r="P414" s="615"/>
      <c r="Q414" s="351"/>
      <c r="R414" s="610"/>
      <c r="S414" s="351"/>
      <c r="T414" s="615"/>
      <c r="U414" s="351"/>
      <c r="V414" s="613" t="str">
        <f>'refer admin discharge'!H415</f>
        <v>00/00/0000</v>
      </c>
      <c r="W414" s="351"/>
      <c r="X414" s="616"/>
      <c r="Y414" s="351"/>
      <c r="Z414" s="617"/>
      <c r="AA414" s="351"/>
      <c r="AB414" s="616"/>
      <c r="AC414" s="351"/>
      <c r="AD414" s="607"/>
      <c r="AE414" s="351"/>
      <c r="AF414" s="616"/>
      <c r="AG414" s="351"/>
      <c r="AH414" s="607"/>
      <c r="AI414" s="351"/>
      <c r="AJ414" s="616"/>
      <c r="AK414" s="351"/>
      <c r="AL414" s="622"/>
      <c r="AM414" s="350"/>
      <c r="AN414" s="350"/>
      <c r="AO414" s="350"/>
      <c r="AP414" s="350"/>
      <c r="AQ414" s="350"/>
      <c r="AR414" s="350"/>
      <c r="AS414" s="350"/>
      <c r="AT414" s="350"/>
      <c r="AU414" s="350"/>
      <c r="AV414" s="350"/>
      <c r="AW414" s="350"/>
      <c r="AX414" s="350"/>
      <c r="AY414" s="350"/>
      <c r="AZ414" s="350"/>
      <c r="BA414" s="350"/>
      <c r="BB414" s="351"/>
    </row>
    <row r="415" spans="1:54" ht="15.75" customHeight="1">
      <c r="A415" s="25">
        <f t="shared" si="1"/>
        <v>402</v>
      </c>
      <c r="B415" s="599" t="str">
        <f>'refer admin discharge'!B411</f>
        <v>x</v>
      </c>
      <c r="C415" s="351"/>
      <c r="D415" s="600" t="str">
        <f>'refer admin discharge'!D411</f>
        <v>xx</v>
      </c>
      <c r="E415" s="351"/>
      <c r="F415" s="609" t="str">
        <f>'refer admin discharge'!H411</f>
        <v>00/00/0000</v>
      </c>
      <c r="G415" s="351"/>
      <c r="H415" s="610"/>
      <c r="I415" s="351"/>
      <c r="J415" s="611"/>
      <c r="K415" s="351"/>
      <c r="L415" s="610"/>
      <c r="M415" s="351"/>
      <c r="N415" s="612"/>
      <c r="O415" s="351"/>
      <c r="P415" s="610"/>
      <c r="Q415" s="351"/>
      <c r="R415" s="612"/>
      <c r="S415" s="351"/>
      <c r="T415" s="610"/>
      <c r="U415" s="351"/>
      <c r="V415" s="613" t="str">
        <f>'refer admin discharge'!H416</f>
        <v>00/00/0000</v>
      </c>
      <c r="W415" s="351"/>
      <c r="X415" s="607"/>
      <c r="Y415" s="351"/>
      <c r="Z415" s="614"/>
      <c r="AA415" s="351"/>
      <c r="AB415" s="607"/>
      <c r="AC415" s="351"/>
      <c r="AD415" s="606"/>
      <c r="AE415" s="351"/>
      <c r="AF415" s="607"/>
      <c r="AG415" s="351"/>
      <c r="AH415" s="606"/>
      <c r="AI415" s="351"/>
      <c r="AJ415" s="607"/>
      <c r="AK415" s="351"/>
      <c r="AL415" s="608"/>
      <c r="AM415" s="350"/>
      <c r="AN415" s="350"/>
      <c r="AO415" s="350"/>
      <c r="AP415" s="350"/>
      <c r="AQ415" s="350"/>
      <c r="AR415" s="350"/>
      <c r="AS415" s="350"/>
      <c r="AT415" s="350"/>
      <c r="AU415" s="350"/>
      <c r="AV415" s="350"/>
      <c r="AW415" s="350"/>
      <c r="AX415" s="350"/>
      <c r="AY415" s="350"/>
      <c r="AZ415" s="350"/>
      <c r="BA415" s="350"/>
      <c r="BB415" s="351"/>
    </row>
    <row r="416" spans="1:54" ht="15.75" customHeight="1">
      <c r="A416" s="25">
        <f t="shared" si="1"/>
        <v>403</v>
      </c>
      <c r="B416" s="618" t="str">
        <f>'refer admin discharge'!B412</f>
        <v>x</v>
      </c>
      <c r="C416" s="351"/>
      <c r="D416" s="619" t="str">
        <f>'refer admin discharge'!D412</f>
        <v>xx</v>
      </c>
      <c r="E416" s="351"/>
      <c r="F416" s="620" t="str">
        <f>'refer admin discharge'!H412</f>
        <v>00/00/0000</v>
      </c>
      <c r="G416" s="351"/>
      <c r="H416" s="615"/>
      <c r="I416" s="351"/>
      <c r="J416" s="621"/>
      <c r="K416" s="351"/>
      <c r="L416" s="615"/>
      <c r="M416" s="351"/>
      <c r="N416" s="610"/>
      <c r="O416" s="351"/>
      <c r="P416" s="615"/>
      <c r="Q416" s="351"/>
      <c r="R416" s="610"/>
      <c r="S416" s="351"/>
      <c r="T416" s="615"/>
      <c r="U416" s="351"/>
      <c r="V416" s="613" t="str">
        <f>'refer admin discharge'!H417</f>
        <v>00/00/0000</v>
      </c>
      <c r="W416" s="351"/>
      <c r="X416" s="616"/>
      <c r="Y416" s="351"/>
      <c r="Z416" s="617"/>
      <c r="AA416" s="351"/>
      <c r="AB416" s="616"/>
      <c r="AC416" s="351"/>
      <c r="AD416" s="607"/>
      <c r="AE416" s="351"/>
      <c r="AF416" s="616"/>
      <c r="AG416" s="351"/>
      <c r="AH416" s="607"/>
      <c r="AI416" s="351"/>
      <c r="AJ416" s="616"/>
      <c r="AK416" s="351"/>
      <c r="AL416" s="622"/>
      <c r="AM416" s="350"/>
      <c r="AN416" s="350"/>
      <c r="AO416" s="350"/>
      <c r="AP416" s="350"/>
      <c r="AQ416" s="350"/>
      <c r="AR416" s="350"/>
      <c r="AS416" s="350"/>
      <c r="AT416" s="350"/>
      <c r="AU416" s="350"/>
      <c r="AV416" s="350"/>
      <c r="AW416" s="350"/>
      <c r="AX416" s="350"/>
      <c r="AY416" s="350"/>
      <c r="AZ416" s="350"/>
      <c r="BA416" s="350"/>
      <c r="BB416" s="351"/>
    </row>
    <row r="417" spans="1:54" ht="15.75" customHeight="1">
      <c r="A417" s="25">
        <f t="shared" si="1"/>
        <v>404</v>
      </c>
      <c r="B417" s="599" t="str">
        <f>'refer admin discharge'!B413</f>
        <v>x</v>
      </c>
      <c r="C417" s="351"/>
      <c r="D417" s="600" t="str">
        <f>'refer admin discharge'!D413</f>
        <v>xx</v>
      </c>
      <c r="E417" s="351"/>
      <c r="F417" s="609" t="str">
        <f>'refer admin discharge'!H413</f>
        <v>00/00/0000</v>
      </c>
      <c r="G417" s="351"/>
      <c r="H417" s="610"/>
      <c r="I417" s="351"/>
      <c r="J417" s="611"/>
      <c r="K417" s="351"/>
      <c r="L417" s="610"/>
      <c r="M417" s="351"/>
      <c r="N417" s="612"/>
      <c r="O417" s="351"/>
      <c r="P417" s="610"/>
      <c r="Q417" s="351"/>
      <c r="R417" s="612"/>
      <c r="S417" s="351"/>
      <c r="T417" s="610"/>
      <c r="U417" s="351"/>
      <c r="V417" s="613" t="str">
        <f>'refer admin discharge'!H418</f>
        <v>00/00/0000</v>
      </c>
      <c r="W417" s="351"/>
      <c r="X417" s="607"/>
      <c r="Y417" s="351"/>
      <c r="Z417" s="614"/>
      <c r="AA417" s="351"/>
      <c r="AB417" s="607"/>
      <c r="AC417" s="351"/>
      <c r="AD417" s="606"/>
      <c r="AE417" s="351"/>
      <c r="AF417" s="607"/>
      <c r="AG417" s="351"/>
      <c r="AH417" s="606"/>
      <c r="AI417" s="351"/>
      <c r="AJ417" s="607"/>
      <c r="AK417" s="351"/>
      <c r="AL417" s="608"/>
      <c r="AM417" s="350"/>
      <c r="AN417" s="350"/>
      <c r="AO417" s="350"/>
      <c r="AP417" s="350"/>
      <c r="AQ417" s="350"/>
      <c r="AR417" s="350"/>
      <c r="AS417" s="350"/>
      <c r="AT417" s="350"/>
      <c r="AU417" s="350"/>
      <c r="AV417" s="350"/>
      <c r="AW417" s="350"/>
      <c r="AX417" s="350"/>
      <c r="AY417" s="350"/>
      <c r="AZ417" s="350"/>
      <c r="BA417" s="350"/>
      <c r="BB417" s="351"/>
    </row>
    <row r="418" spans="1:54" ht="15.75" customHeight="1">
      <c r="A418" s="25">
        <f t="shared" si="1"/>
        <v>405</v>
      </c>
      <c r="B418" s="618" t="str">
        <f>'refer admin discharge'!B414</f>
        <v>x</v>
      </c>
      <c r="C418" s="351"/>
      <c r="D418" s="619" t="str">
        <f>'refer admin discharge'!D414</f>
        <v>xx</v>
      </c>
      <c r="E418" s="351"/>
      <c r="F418" s="620" t="str">
        <f>'refer admin discharge'!H414</f>
        <v>00/00/0000</v>
      </c>
      <c r="G418" s="351"/>
      <c r="H418" s="615"/>
      <c r="I418" s="351"/>
      <c r="J418" s="621"/>
      <c r="K418" s="351"/>
      <c r="L418" s="615"/>
      <c r="M418" s="351"/>
      <c r="N418" s="610"/>
      <c r="O418" s="351"/>
      <c r="P418" s="615"/>
      <c r="Q418" s="351"/>
      <c r="R418" s="610"/>
      <c r="S418" s="351"/>
      <c r="T418" s="615"/>
      <c r="U418" s="351"/>
      <c r="V418" s="613" t="str">
        <f>'refer admin discharge'!H419</f>
        <v>00/00/0000</v>
      </c>
      <c r="W418" s="351"/>
      <c r="X418" s="616"/>
      <c r="Y418" s="351"/>
      <c r="Z418" s="617"/>
      <c r="AA418" s="351"/>
      <c r="AB418" s="616"/>
      <c r="AC418" s="351"/>
      <c r="AD418" s="607"/>
      <c r="AE418" s="351"/>
      <c r="AF418" s="616"/>
      <c r="AG418" s="351"/>
      <c r="AH418" s="607"/>
      <c r="AI418" s="351"/>
      <c r="AJ418" s="616"/>
      <c r="AK418" s="351"/>
      <c r="AL418" s="622"/>
      <c r="AM418" s="350"/>
      <c r="AN418" s="350"/>
      <c r="AO418" s="350"/>
      <c r="AP418" s="350"/>
      <c r="AQ418" s="350"/>
      <c r="AR418" s="350"/>
      <c r="AS418" s="350"/>
      <c r="AT418" s="350"/>
      <c r="AU418" s="350"/>
      <c r="AV418" s="350"/>
      <c r="AW418" s="350"/>
      <c r="AX418" s="350"/>
      <c r="AY418" s="350"/>
      <c r="AZ418" s="350"/>
      <c r="BA418" s="350"/>
      <c r="BB418" s="351"/>
    </row>
    <row r="419" spans="1:54" ht="15.75" customHeight="1">
      <c r="A419" s="25">
        <f t="shared" si="1"/>
        <v>406</v>
      </c>
      <c r="B419" s="599" t="str">
        <f>'refer admin discharge'!B415</f>
        <v>x</v>
      </c>
      <c r="C419" s="351"/>
      <c r="D419" s="600" t="str">
        <f>'refer admin discharge'!D415</f>
        <v>xx</v>
      </c>
      <c r="E419" s="351"/>
      <c r="F419" s="609" t="str">
        <f>'refer admin discharge'!H415</f>
        <v>00/00/0000</v>
      </c>
      <c r="G419" s="351"/>
      <c r="H419" s="610"/>
      <c r="I419" s="351"/>
      <c r="J419" s="611"/>
      <c r="K419" s="351"/>
      <c r="L419" s="610"/>
      <c r="M419" s="351"/>
      <c r="N419" s="612"/>
      <c r="O419" s="351"/>
      <c r="P419" s="610"/>
      <c r="Q419" s="351"/>
      <c r="R419" s="612"/>
      <c r="S419" s="351"/>
      <c r="T419" s="610"/>
      <c r="U419" s="351"/>
      <c r="V419" s="613" t="str">
        <f>'refer admin discharge'!H420</f>
        <v>00/00/0000</v>
      </c>
      <c r="W419" s="351"/>
      <c r="X419" s="607"/>
      <c r="Y419" s="351"/>
      <c r="Z419" s="614"/>
      <c r="AA419" s="351"/>
      <c r="AB419" s="607"/>
      <c r="AC419" s="351"/>
      <c r="AD419" s="606"/>
      <c r="AE419" s="351"/>
      <c r="AF419" s="607"/>
      <c r="AG419" s="351"/>
      <c r="AH419" s="606"/>
      <c r="AI419" s="351"/>
      <c r="AJ419" s="607"/>
      <c r="AK419" s="351"/>
      <c r="AL419" s="608"/>
      <c r="AM419" s="350"/>
      <c r="AN419" s="350"/>
      <c r="AO419" s="350"/>
      <c r="AP419" s="350"/>
      <c r="AQ419" s="350"/>
      <c r="AR419" s="350"/>
      <c r="AS419" s="350"/>
      <c r="AT419" s="350"/>
      <c r="AU419" s="350"/>
      <c r="AV419" s="350"/>
      <c r="AW419" s="350"/>
      <c r="AX419" s="350"/>
      <c r="AY419" s="350"/>
      <c r="AZ419" s="350"/>
      <c r="BA419" s="350"/>
      <c r="BB419" s="351"/>
    </row>
    <row r="420" spans="1:54" ht="15.75" customHeight="1">
      <c r="A420" s="25">
        <f t="shared" si="1"/>
        <v>407</v>
      </c>
      <c r="B420" s="618" t="str">
        <f>'refer admin discharge'!B416</f>
        <v>x</v>
      </c>
      <c r="C420" s="351"/>
      <c r="D420" s="619" t="str">
        <f>'refer admin discharge'!D416</f>
        <v>xx</v>
      </c>
      <c r="E420" s="351"/>
      <c r="F420" s="620" t="str">
        <f>'refer admin discharge'!H416</f>
        <v>00/00/0000</v>
      </c>
      <c r="G420" s="351"/>
      <c r="H420" s="615"/>
      <c r="I420" s="351"/>
      <c r="J420" s="621"/>
      <c r="K420" s="351"/>
      <c r="L420" s="615"/>
      <c r="M420" s="351"/>
      <c r="N420" s="610"/>
      <c r="O420" s="351"/>
      <c r="P420" s="615"/>
      <c r="Q420" s="351"/>
      <c r="R420" s="610"/>
      <c r="S420" s="351"/>
      <c r="T420" s="615"/>
      <c r="U420" s="351"/>
      <c r="V420" s="613" t="str">
        <f>'refer admin discharge'!H421</f>
        <v>00/00/0000</v>
      </c>
      <c r="W420" s="351"/>
      <c r="X420" s="616"/>
      <c r="Y420" s="351"/>
      <c r="Z420" s="617"/>
      <c r="AA420" s="351"/>
      <c r="AB420" s="616"/>
      <c r="AC420" s="351"/>
      <c r="AD420" s="607"/>
      <c r="AE420" s="351"/>
      <c r="AF420" s="616"/>
      <c r="AG420" s="351"/>
      <c r="AH420" s="607"/>
      <c r="AI420" s="351"/>
      <c r="AJ420" s="616"/>
      <c r="AK420" s="351"/>
      <c r="AL420" s="622"/>
      <c r="AM420" s="350"/>
      <c r="AN420" s="350"/>
      <c r="AO420" s="350"/>
      <c r="AP420" s="350"/>
      <c r="AQ420" s="350"/>
      <c r="AR420" s="350"/>
      <c r="AS420" s="350"/>
      <c r="AT420" s="350"/>
      <c r="AU420" s="350"/>
      <c r="AV420" s="350"/>
      <c r="AW420" s="350"/>
      <c r="AX420" s="350"/>
      <c r="AY420" s="350"/>
      <c r="AZ420" s="350"/>
      <c r="BA420" s="350"/>
      <c r="BB420" s="351"/>
    </row>
    <row r="421" spans="1:54" ht="15.75" customHeight="1">
      <c r="A421" s="25">
        <f t="shared" si="1"/>
        <v>408</v>
      </c>
      <c r="B421" s="599" t="str">
        <f>'refer admin discharge'!B417</f>
        <v>x</v>
      </c>
      <c r="C421" s="351"/>
      <c r="D421" s="600" t="str">
        <f>'refer admin discharge'!D417</f>
        <v>xx</v>
      </c>
      <c r="E421" s="351"/>
      <c r="F421" s="609" t="str">
        <f>'refer admin discharge'!H417</f>
        <v>00/00/0000</v>
      </c>
      <c r="G421" s="351"/>
      <c r="H421" s="610"/>
      <c r="I421" s="351"/>
      <c r="J421" s="611"/>
      <c r="K421" s="351"/>
      <c r="L421" s="610"/>
      <c r="M421" s="351"/>
      <c r="N421" s="612"/>
      <c r="O421" s="351"/>
      <c r="P421" s="610"/>
      <c r="Q421" s="351"/>
      <c r="R421" s="612"/>
      <c r="S421" s="351"/>
      <c r="T421" s="610"/>
      <c r="U421" s="351"/>
      <c r="V421" s="613" t="str">
        <f>'refer admin discharge'!H422</f>
        <v>00/00/0000</v>
      </c>
      <c r="W421" s="351"/>
      <c r="X421" s="607"/>
      <c r="Y421" s="351"/>
      <c r="Z421" s="614"/>
      <c r="AA421" s="351"/>
      <c r="AB421" s="607"/>
      <c r="AC421" s="351"/>
      <c r="AD421" s="606"/>
      <c r="AE421" s="351"/>
      <c r="AF421" s="607"/>
      <c r="AG421" s="351"/>
      <c r="AH421" s="606"/>
      <c r="AI421" s="351"/>
      <c r="AJ421" s="607"/>
      <c r="AK421" s="351"/>
      <c r="AL421" s="608"/>
      <c r="AM421" s="350"/>
      <c r="AN421" s="350"/>
      <c r="AO421" s="350"/>
      <c r="AP421" s="350"/>
      <c r="AQ421" s="350"/>
      <c r="AR421" s="350"/>
      <c r="AS421" s="350"/>
      <c r="AT421" s="350"/>
      <c r="AU421" s="350"/>
      <c r="AV421" s="350"/>
      <c r="AW421" s="350"/>
      <c r="AX421" s="350"/>
      <c r="AY421" s="350"/>
      <c r="AZ421" s="350"/>
      <c r="BA421" s="350"/>
      <c r="BB421" s="351"/>
    </row>
    <row r="422" spans="1:54" ht="15.75" customHeight="1">
      <c r="A422" s="25">
        <f t="shared" si="1"/>
        <v>409</v>
      </c>
      <c r="B422" s="618" t="str">
        <f>'refer admin discharge'!B418</f>
        <v>x</v>
      </c>
      <c r="C422" s="351"/>
      <c r="D422" s="619" t="str">
        <f>'refer admin discharge'!D418</f>
        <v>xx</v>
      </c>
      <c r="E422" s="351"/>
      <c r="F422" s="620" t="str">
        <f>'refer admin discharge'!H418</f>
        <v>00/00/0000</v>
      </c>
      <c r="G422" s="351"/>
      <c r="H422" s="615"/>
      <c r="I422" s="351"/>
      <c r="J422" s="621"/>
      <c r="K422" s="351"/>
      <c r="L422" s="615"/>
      <c r="M422" s="351"/>
      <c r="N422" s="610"/>
      <c r="O422" s="351"/>
      <c r="P422" s="615"/>
      <c r="Q422" s="351"/>
      <c r="R422" s="610"/>
      <c r="S422" s="351"/>
      <c r="T422" s="615"/>
      <c r="U422" s="351"/>
      <c r="V422" s="613" t="str">
        <f>'refer admin discharge'!H423</f>
        <v>00/00/0000</v>
      </c>
      <c r="W422" s="351"/>
      <c r="X422" s="616"/>
      <c r="Y422" s="351"/>
      <c r="Z422" s="617"/>
      <c r="AA422" s="351"/>
      <c r="AB422" s="616"/>
      <c r="AC422" s="351"/>
      <c r="AD422" s="607"/>
      <c r="AE422" s="351"/>
      <c r="AF422" s="616"/>
      <c r="AG422" s="351"/>
      <c r="AH422" s="607"/>
      <c r="AI422" s="351"/>
      <c r="AJ422" s="616"/>
      <c r="AK422" s="351"/>
      <c r="AL422" s="622"/>
      <c r="AM422" s="350"/>
      <c r="AN422" s="350"/>
      <c r="AO422" s="350"/>
      <c r="AP422" s="350"/>
      <c r="AQ422" s="350"/>
      <c r="AR422" s="350"/>
      <c r="AS422" s="350"/>
      <c r="AT422" s="350"/>
      <c r="AU422" s="350"/>
      <c r="AV422" s="350"/>
      <c r="AW422" s="350"/>
      <c r="AX422" s="350"/>
      <c r="AY422" s="350"/>
      <c r="AZ422" s="350"/>
      <c r="BA422" s="350"/>
      <c r="BB422" s="351"/>
    </row>
    <row r="423" spans="1:54" ht="15.75" customHeight="1">
      <c r="A423" s="25">
        <f t="shared" si="1"/>
        <v>410</v>
      </c>
      <c r="B423" s="599" t="str">
        <f>'refer admin discharge'!B419</f>
        <v>x</v>
      </c>
      <c r="C423" s="351"/>
      <c r="D423" s="600" t="str">
        <f>'refer admin discharge'!D419</f>
        <v>xx</v>
      </c>
      <c r="E423" s="351"/>
      <c r="F423" s="609" t="str">
        <f>'refer admin discharge'!H419</f>
        <v>00/00/0000</v>
      </c>
      <c r="G423" s="351"/>
      <c r="H423" s="610"/>
      <c r="I423" s="351"/>
      <c r="J423" s="611"/>
      <c r="K423" s="351"/>
      <c r="L423" s="610"/>
      <c r="M423" s="351"/>
      <c r="N423" s="612"/>
      <c r="O423" s="351"/>
      <c r="P423" s="610"/>
      <c r="Q423" s="351"/>
      <c r="R423" s="612"/>
      <c r="S423" s="351"/>
      <c r="T423" s="610"/>
      <c r="U423" s="351"/>
      <c r="V423" s="613" t="str">
        <f>'refer admin discharge'!H424</f>
        <v>00/00/0000</v>
      </c>
      <c r="W423" s="351"/>
      <c r="X423" s="607"/>
      <c r="Y423" s="351"/>
      <c r="Z423" s="614"/>
      <c r="AA423" s="351"/>
      <c r="AB423" s="607"/>
      <c r="AC423" s="351"/>
      <c r="AD423" s="606"/>
      <c r="AE423" s="351"/>
      <c r="AF423" s="607"/>
      <c r="AG423" s="351"/>
      <c r="AH423" s="606"/>
      <c r="AI423" s="351"/>
      <c r="AJ423" s="607"/>
      <c r="AK423" s="351"/>
      <c r="AL423" s="608"/>
      <c r="AM423" s="350"/>
      <c r="AN423" s="350"/>
      <c r="AO423" s="350"/>
      <c r="AP423" s="350"/>
      <c r="AQ423" s="350"/>
      <c r="AR423" s="350"/>
      <c r="AS423" s="350"/>
      <c r="AT423" s="350"/>
      <c r="AU423" s="350"/>
      <c r="AV423" s="350"/>
      <c r="AW423" s="350"/>
      <c r="AX423" s="350"/>
      <c r="AY423" s="350"/>
      <c r="AZ423" s="350"/>
      <c r="BA423" s="350"/>
      <c r="BB423" s="351"/>
    </row>
    <row r="424" spans="1:54" ht="15.75" customHeight="1">
      <c r="A424" s="25">
        <f t="shared" si="1"/>
        <v>411</v>
      </c>
      <c r="B424" s="618" t="str">
        <f>'refer admin discharge'!B420</f>
        <v>x</v>
      </c>
      <c r="C424" s="351"/>
      <c r="D424" s="619" t="str">
        <f>'refer admin discharge'!D420</f>
        <v>xx</v>
      </c>
      <c r="E424" s="351"/>
      <c r="F424" s="620" t="str">
        <f>'refer admin discharge'!H420</f>
        <v>00/00/0000</v>
      </c>
      <c r="G424" s="351"/>
      <c r="H424" s="615"/>
      <c r="I424" s="351"/>
      <c r="J424" s="621"/>
      <c r="K424" s="351"/>
      <c r="L424" s="615"/>
      <c r="M424" s="351"/>
      <c r="N424" s="610"/>
      <c r="O424" s="351"/>
      <c r="P424" s="615"/>
      <c r="Q424" s="351"/>
      <c r="R424" s="610"/>
      <c r="S424" s="351"/>
      <c r="T424" s="615"/>
      <c r="U424" s="351"/>
      <c r="V424" s="613" t="str">
        <f>'refer admin discharge'!H425</f>
        <v>00/00/0000</v>
      </c>
      <c r="W424" s="351"/>
      <c r="X424" s="616"/>
      <c r="Y424" s="351"/>
      <c r="Z424" s="617"/>
      <c r="AA424" s="351"/>
      <c r="AB424" s="616"/>
      <c r="AC424" s="351"/>
      <c r="AD424" s="607"/>
      <c r="AE424" s="351"/>
      <c r="AF424" s="616"/>
      <c r="AG424" s="351"/>
      <c r="AH424" s="607"/>
      <c r="AI424" s="351"/>
      <c r="AJ424" s="616"/>
      <c r="AK424" s="351"/>
      <c r="AL424" s="622"/>
      <c r="AM424" s="350"/>
      <c r="AN424" s="350"/>
      <c r="AO424" s="350"/>
      <c r="AP424" s="350"/>
      <c r="AQ424" s="350"/>
      <c r="AR424" s="350"/>
      <c r="AS424" s="350"/>
      <c r="AT424" s="350"/>
      <c r="AU424" s="350"/>
      <c r="AV424" s="350"/>
      <c r="AW424" s="350"/>
      <c r="AX424" s="350"/>
      <c r="AY424" s="350"/>
      <c r="AZ424" s="350"/>
      <c r="BA424" s="350"/>
      <c r="BB424" s="351"/>
    </row>
    <row r="425" spans="1:54" ht="15.75" customHeight="1">
      <c r="A425" s="25">
        <f t="shared" si="1"/>
        <v>412</v>
      </c>
      <c r="B425" s="599" t="str">
        <f>'refer admin discharge'!B421</f>
        <v>x</v>
      </c>
      <c r="C425" s="351"/>
      <c r="D425" s="600" t="str">
        <f>'refer admin discharge'!D421</f>
        <v>xx</v>
      </c>
      <c r="E425" s="351"/>
      <c r="F425" s="609" t="str">
        <f>'refer admin discharge'!H421</f>
        <v>00/00/0000</v>
      </c>
      <c r="G425" s="351"/>
      <c r="H425" s="610"/>
      <c r="I425" s="351"/>
      <c r="J425" s="611"/>
      <c r="K425" s="351"/>
      <c r="L425" s="610"/>
      <c r="M425" s="351"/>
      <c r="N425" s="612"/>
      <c r="O425" s="351"/>
      <c r="P425" s="610"/>
      <c r="Q425" s="351"/>
      <c r="R425" s="612"/>
      <c r="S425" s="351"/>
      <c r="T425" s="610"/>
      <c r="U425" s="351"/>
      <c r="V425" s="613" t="str">
        <f>'refer admin discharge'!H426</f>
        <v>00/00/0000</v>
      </c>
      <c r="W425" s="351"/>
      <c r="X425" s="607"/>
      <c r="Y425" s="351"/>
      <c r="Z425" s="614"/>
      <c r="AA425" s="351"/>
      <c r="AB425" s="607"/>
      <c r="AC425" s="351"/>
      <c r="AD425" s="606"/>
      <c r="AE425" s="351"/>
      <c r="AF425" s="607"/>
      <c r="AG425" s="351"/>
      <c r="AH425" s="606"/>
      <c r="AI425" s="351"/>
      <c r="AJ425" s="607"/>
      <c r="AK425" s="351"/>
      <c r="AL425" s="608"/>
      <c r="AM425" s="350"/>
      <c r="AN425" s="350"/>
      <c r="AO425" s="350"/>
      <c r="AP425" s="350"/>
      <c r="AQ425" s="350"/>
      <c r="AR425" s="350"/>
      <c r="AS425" s="350"/>
      <c r="AT425" s="350"/>
      <c r="AU425" s="350"/>
      <c r="AV425" s="350"/>
      <c r="AW425" s="350"/>
      <c r="AX425" s="350"/>
      <c r="AY425" s="350"/>
      <c r="AZ425" s="350"/>
      <c r="BA425" s="350"/>
      <c r="BB425" s="351"/>
    </row>
    <row r="426" spans="1:54" ht="15.75" customHeight="1">
      <c r="A426" s="25">
        <f t="shared" si="1"/>
        <v>413</v>
      </c>
      <c r="B426" s="618" t="str">
        <f>'refer admin discharge'!B422</f>
        <v>x</v>
      </c>
      <c r="C426" s="351"/>
      <c r="D426" s="619" t="str">
        <f>'refer admin discharge'!D422</f>
        <v>xx</v>
      </c>
      <c r="E426" s="351"/>
      <c r="F426" s="620" t="str">
        <f>'refer admin discharge'!H422</f>
        <v>00/00/0000</v>
      </c>
      <c r="G426" s="351"/>
      <c r="H426" s="615"/>
      <c r="I426" s="351"/>
      <c r="J426" s="621"/>
      <c r="K426" s="351"/>
      <c r="L426" s="615"/>
      <c r="M426" s="351"/>
      <c r="N426" s="610"/>
      <c r="O426" s="351"/>
      <c r="P426" s="615"/>
      <c r="Q426" s="351"/>
      <c r="R426" s="610"/>
      <c r="S426" s="351"/>
      <c r="T426" s="615"/>
      <c r="U426" s="351"/>
      <c r="V426" s="613" t="str">
        <f>'refer admin discharge'!H427</f>
        <v>00/00/0000</v>
      </c>
      <c r="W426" s="351"/>
      <c r="X426" s="616"/>
      <c r="Y426" s="351"/>
      <c r="Z426" s="617"/>
      <c r="AA426" s="351"/>
      <c r="AB426" s="616"/>
      <c r="AC426" s="351"/>
      <c r="AD426" s="607"/>
      <c r="AE426" s="351"/>
      <c r="AF426" s="616"/>
      <c r="AG426" s="351"/>
      <c r="AH426" s="607"/>
      <c r="AI426" s="351"/>
      <c r="AJ426" s="616"/>
      <c r="AK426" s="351"/>
      <c r="AL426" s="622"/>
      <c r="AM426" s="350"/>
      <c r="AN426" s="350"/>
      <c r="AO426" s="350"/>
      <c r="AP426" s="350"/>
      <c r="AQ426" s="350"/>
      <c r="AR426" s="350"/>
      <c r="AS426" s="350"/>
      <c r="AT426" s="350"/>
      <c r="AU426" s="350"/>
      <c r="AV426" s="350"/>
      <c r="AW426" s="350"/>
      <c r="AX426" s="350"/>
      <c r="AY426" s="350"/>
      <c r="AZ426" s="350"/>
      <c r="BA426" s="350"/>
      <c r="BB426" s="351"/>
    </row>
    <row r="427" spans="1:54" ht="15.75" customHeight="1">
      <c r="A427" s="25">
        <f t="shared" si="1"/>
        <v>414</v>
      </c>
      <c r="B427" s="599" t="str">
        <f>'refer admin discharge'!B423</f>
        <v>x</v>
      </c>
      <c r="C427" s="351"/>
      <c r="D427" s="600" t="str">
        <f>'refer admin discharge'!D423</f>
        <v>xx</v>
      </c>
      <c r="E427" s="351"/>
      <c r="F427" s="609" t="str">
        <f>'refer admin discharge'!H423</f>
        <v>00/00/0000</v>
      </c>
      <c r="G427" s="351"/>
      <c r="H427" s="610"/>
      <c r="I427" s="351"/>
      <c r="J427" s="611"/>
      <c r="K427" s="351"/>
      <c r="L427" s="610"/>
      <c r="M427" s="351"/>
      <c r="N427" s="612"/>
      <c r="O427" s="351"/>
      <c r="P427" s="610"/>
      <c r="Q427" s="351"/>
      <c r="R427" s="612"/>
      <c r="S427" s="351"/>
      <c r="T427" s="610"/>
      <c r="U427" s="351"/>
      <c r="V427" s="613" t="str">
        <f>'refer admin discharge'!H428</f>
        <v>00/00/0000</v>
      </c>
      <c r="W427" s="351"/>
      <c r="X427" s="607"/>
      <c r="Y427" s="351"/>
      <c r="Z427" s="614"/>
      <c r="AA427" s="351"/>
      <c r="AB427" s="607"/>
      <c r="AC427" s="351"/>
      <c r="AD427" s="606"/>
      <c r="AE427" s="351"/>
      <c r="AF427" s="607"/>
      <c r="AG427" s="351"/>
      <c r="AH427" s="606"/>
      <c r="AI427" s="351"/>
      <c r="AJ427" s="607"/>
      <c r="AK427" s="351"/>
      <c r="AL427" s="608"/>
      <c r="AM427" s="350"/>
      <c r="AN427" s="350"/>
      <c r="AO427" s="350"/>
      <c r="AP427" s="350"/>
      <c r="AQ427" s="350"/>
      <c r="AR427" s="350"/>
      <c r="AS427" s="350"/>
      <c r="AT427" s="350"/>
      <c r="AU427" s="350"/>
      <c r="AV427" s="350"/>
      <c r="AW427" s="350"/>
      <c r="AX427" s="350"/>
      <c r="AY427" s="350"/>
      <c r="AZ427" s="350"/>
      <c r="BA427" s="350"/>
      <c r="BB427" s="351"/>
    </row>
    <row r="428" spans="1:54" ht="15.75" customHeight="1">
      <c r="A428" s="25">
        <f t="shared" si="1"/>
        <v>415</v>
      </c>
      <c r="B428" s="618" t="str">
        <f>'refer admin discharge'!B424</f>
        <v>x</v>
      </c>
      <c r="C428" s="351"/>
      <c r="D428" s="619" t="str">
        <f>'refer admin discharge'!D424</f>
        <v>xx</v>
      </c>
      <c r="E428" s="351"/>
      <c r="F428" s="620" t="str">
        <f>'refer admin discharge'!H424</f>
        <v>00/00/0000</v>
      </c>
      <c r="G428" s="351"/>
      <c r="H428" s="615"/>
      <c r="I428" s="351"/>
      <c r="J428" s="621"/>
      <c r="K428" s="351"/>
      <c r="L428" s="615"/>
      <c r="M428" s="351"/>
      <c r="N428" s="610"/>
      <c r="O428" s="351"/>
      <c r="P428" s="615"/>
      <c r="Q428" s="351"/>
      <c r="R428" s="610"/>
      <c r="S428" s="351"/>
      <c r="T428" s="615"/>
      <c r="U428" s="351"/>
      <c r="V428" s="613" t="str">
        <f>'refer admin discharge'!H429</f>
        <v>00/00/0000</v>
      </c>
      <c r="W428" s="351"/>
      <c r="X428" s="616"/>
      <c r="Y428" s="351"/>
      <c r="Z428" s="617"/>
      <c r="AA428" s="351"/>
      <c r="AB428" s="616"/>
      <c r="AC428" s="351"/>
      <c r="AD428" s="607"/>
      <c r="AE428" s="351"/>
      <c r="AF428" s="616"/>
      <c r="AG428" s="351"/>
      <c r="AH428" s="607"/>
      <c r="AI428" s="351"/>
      <c r="AJ428" s="616"/>
      <c r="AK428" s="351"/>
      <c r="AL428" s="622"/>
      <c r="AM428" s="350"/>
      <c r="AN428" s="350"/>
      <c r="AO428" s="350"/>
      <c r="AP428" s="350"/>
      <c r="AQ428" s="350"/>
      <c r="AR428" s="350"/>
      <c r="AS428" s="350"/>
      <c r="AT428" s="350"/>
      <c r="AU428" s="350"/>
      <c r="AV428" s="350"/>
      <c r="AW428" s="350"/>
      <c r="AX428" s="350"/>
      <c r="AY428" s="350"/>
      <c r="AZ428" s="350"/>
      <c r="BA428" s="350"/>
      <c r="BB428" s="351"/>
    </row>
    <row r="429" spans="1:54" ht="15.75" customHeight="1">
      <c r="A429" s="25">
        <f t="shared" si="1"/>
        <v>416</v>
      </c>
      <c r="B429" s="599" t="str">
        <f>'refer admin discharge'!B425</f>
        <v>x</v>
      </c>
      <c r="C429" s="351"/>
      <c r="D429" s="600" t="str">
        <f>'refer admin discharge'!D425</f>
        <v>xx</v>
      </c>
      <c r="E429" s="351"/>
      <c r="F429" s="609" t="str">
        <f>'refer admin discharge'!H425</f>
        <v>00/00/0000</v>
      </c>
      <c r="G429" s="351"/>
      <c r="H429" s="610"/>
      <c r="I429" s="351"/>
      <c r="J429" s="611"/>
      <c r="K429" s="351"/>
      <c r="L429" s="610"/>
      <c r="M429" s="351"/>
      <c r="N429" s="612"/>
      <c r="O429" s="351"/>
      <c r="P429" s="610"/>
      <c r="Q429" s="351"/>
      <c r="R429" s="612"/>
      <c r="S429" s="351"/>
      <c r="T429" s="610"/>
      <c r="U429" s="351"/>
      <c r="V429" s="613" t="str">
        <f>'refer admin discharge'!H430</f>
        <v>00/00/0000</v>
      </c>
      <c r="W429" s="351"/>
      <c r="X429" s="607"/>
      <c r="Y429" s="351"/>
      <c r="Z429" s="614"/>
      <c r="AA429" s="351"/>
      <c r="AB429" s="607"/>
      <c r="AC429" s="351"/>
      <c r="AD429" s="606"/>
      <c r="AE429" s="351"/>
      <c r="AF429" s="607"/>
      <c r="AG429" s="351"/>
      <c r="AH429" s="606"/>
      <c r="AI429" s="351"/>
      <c r="AJ429" s="607"/>
      <c r="AK429" s="351"/>
      <c r="AL429" s="608"/>
      <c r="AM429" s="350"/>
      <c r="AN429" s="350"/>
      <c r="AO429" s="350"/>
      <c r="AP429" s="350"/>
      <c r="AQ429" s="350"/>
      <c r="AR429" s="350"/>
      <c r="AS429" s="350"/>
      <c r="AT429" s="350"/>
      <c r="AU429" s="350"/>
      <c r="AV429" s="350"/>
      <c r="AW429" s="350"/>
      <c r="AX429" s="350"/>
      <c r="AY429" s="350"/>
      <c r="AZ429" s="350"/>
      <c r="BA429" s="350"/>
      <c r="BB429" s="351"/>
    </row>
    <row r="430" spans="1:54" ht="15.75" customHeight="1">
      <c r="A430" s="25">
        <f t="shared" si="1"/>
        <v>417</v>
      </c>
      <c r="B430" s="618" t="str">
        <f>'refer admin discharge'!B426</f>
        <v>x</v>
      </c>
      <c r="C430" s="351"/>
      <c r="D430" s="619" t="str">
        <f>'refer admin discharge'!D426</f>
        <v>xx</v>
      </c>
      <c r="E430" s="351"/>
      <c r="F430" s="620" t="str">
        <f>'refer admin discharge'!H426</f>
        <v>00/00/0000</v>
      </c>
      <c r="G430" s="351"/>
      <c r="H430" s="615"/>
      <c r="I430" s="351"/>
      <c r="J430" s="621"/>
      <c r="K430" s="351"/>
      <c r="L430" s="615"/>
      <c r="M430" s="351"/>
      <c r="N430" s="610"/>
      <c r="O430" s="351"/>
      <c r="P430" s="615"/>
      <c r="Q430" s="351"/>
      <c r="R430" s="610"/>
      <c r="S430" s="351"/>
      <c r="T430" s="615"/>
      <c r="U430" s="351"/>
      <c r="V430" s="613" t="str">
        <f>'refer admin discharge'!H431</f>
        <v>00/00/0000</v>
      </c>
      <c r="W430" s="351"/>
      <c r="X430" s="616"/>
      <c r="Y430" s="351"/>
      <c r="Z430" s="617"/>
      <c r="AA430" s="351"/>
      <c r="AB430" s="616"/>
      <c r="AC430" s="351"/>
      <c r="AD430" s="607"/>
      <c r="AE430" s="351"/>
      <c r="AF430" s="616"/>
      <c r="AG430" s="351"/>
      <c r="AH430" s="607"/>
      <c r="AI430" s="351"/>
      <c r="AJ430" s="616"/>
      <c r="AK430" s="351"/>
      <c r="AL430" s="622"/>
      <c r="AM430" s="350"/>
      <c r="AN430" s="350"/>
      <c r="AO430" s="350"/>
      <c r="AP430" s="350"/>
      <c r="AQ430" s="350"/>
      <c r="AR430" s="350"/>
      <c r="AS430" s="350"/>
      <c r="AT430" s="350"/>
      <c r="AU430" s="350"/>
      <c r="AV430" s="350"/>
      <c r="AW430" s="350"/>
      <c r="AX430" s="350"/>
      <c r="AY430" s="350"/>
      <c r="AZ430" s="350"/>
      <c r="BA430" s="350"/>
      <c r="BB430" s="351"/>
    </row>
    <row r="431" spans="1:54" ht="15.75" customHeight="1">
      <c r="A431" s="25">
        <f t="shared" si="1"/>
        <v>418</v>
      </c>
      <c r="B431" s="599" t="str">
        <f>'refer admin discharge'!B427</f>
        <v>x</v>
      </c>
      <c r="C431" s="351"/>
      <c r="D431" s="600" t="str">
        <f>'refer admin discharge'!D427</f>
        <v>xx</v>
      </c>
      <c r="E431" s="351"/>
      <c r="F431" s="609" t="str">
        <f>'refer admin discharge'!H427</f>
        <v>00/00/0000</v>
      </c>
      <c r="G431" s="351"/>
      <c r="H431" s="610"/>
      <c r="I431" s="351"/>
      <c r="J431" s="611"/>
      <c r="K431" s="351"/>
      <c r="L431" s="610"/>
      <c r="M431" s="351"/>
      <c r="N431" s="612"/>
      <c r="O431" s="351"/>
      <c r="P431" s="610"/>
      <c r="Q431" s="351"/>
      <c r="R431" s="612"/>
      <c r="S431" s="351"/>
      <c r="T431" s="610"/>
      <c r="U431" s="351"/>
      <c r="V431" s="613" t="str">
        <f>'refer admin discharge'!H432</f>
        <v>00/00/0000</v>
      </c>
      <c r="W431" s="351"/>
      <c r="X431" s="607"/>
      <c r="Y431" s="351"/>
      <c r="Z431" s="614"/>
      <c r="AA431" s="351"/>
      <c r="AB431" s="607"/>
      <c r="AC431" s="351"/>
      <c r="AD431" s="606"/>
      <c r="AE431" s="351"/>
      <c r="AF431" s="607"/>
      <c r="AG431" s="351"/>
      <c r="AH431" s="606"/>
      <c r="AI431" s="351"/>
      <c r="AJ431" s="607"/>
      <c r="AK431" s="351"/>
      <c r="AL431" s="608"/>
      <c r="AM431" s="350"/>
      <c r="AN431" s="350"/>
      <c r="AO431" s="350"/>
      <c r="AP431" s="350"/>
      <c r="AQ431" s="350"/>
      <c r="AR431" s="350"/>
      <c r="AS431" s="350"/>
      <c r="AT431" s="350"/>
      <c r="AU431" s="350"/>
      <c r="AV431" s="350"/>
      <c r="AW431" s="350"/>
      <c r="AX431" s="350"/>
      <c r="AY431" s="350"/>
      <c r="AZ431" s="350"/>
      <c r="BA431" s="350"/>
      <c r="BB431" s="351"/>
    </row>
    <row r="432" spans="1:54" ht="15.75" customHeight="1">
      <c r="A432" s="25">
        <f t="shared" si="1"/>
        <v>419</v>
      </c>
      <c r="B432" s="618" t="str">
        <f>'refer admin discharge'!B428</f>
        <v>x</v>
      </c>
      <c r="C432" s="351"/>
      <c r="D432" s="619" t="str">
        <f>'refer admin discharge'!D428</f>
        <v>xx</v>
      </c>
      <c r="E432" s="351"/>
      <c r="F432" s="620" t="str">
        <f>'refer admin discharge'!H428</f>
        <v>00/00/0000</v>
      </c>
      <c r="G432" s="351"/>
      <c r="H432" s="615"/>
      <c r="I432" s="351"/>
      <c r="J432" s="621"/>
      <c r="K432" s="351"/>
      <c r="L432" s="615"/>
      <c r="M432" s="351"/>
      <c r="N432" s="610"/>
      <c r="O432" s="351"/>
      <c r="P432" s="615"/>
      <c r="Q432" s="351"/>
      <c r="R432" s="610"/>
      <c r="S432" s="351"/>
      <c r="T432" s="615"/>
      <c r="U432" s="351"/>
      <c r="V432" s="613" t="str">
        <f>'refer admin discharge'!H433</f>
        <v>00/00/0000</v>
      </c>
      <c r="W432" s="351"/>
      <c r="X432" s="616"/>
      <c r="Y432" s="351"/>
      <c r="Z432" s="617"/>
      <c r="AA432" s="351"/>
      <c r="AB432" s="616"/>
      <c r="AC432" s="351"/>
      <c r="AD432" s="607"/>
      <c r="AE432" s="351"/>
      <c r="AF432" s="616"/>
      <c r="AG432" s="351"/>
      <c r="AH432" s="607"/>
      <c r="AI432" s="351"/>
      <c r="AJ432" s="616"/>
      <c r="AK432" s="351"/>
      <c r="AL432" s="622"/>
      <c r="AM432" s="350"/>
      <c r="AN432" s="350"/>
      <c r="AO432" s="350"/>
      <c r="AP432" s="350"/>
      <c r="AQ432" s="350"/>
      <c r="AR432" s="350"/>
      <c r="AS432" s="350"/>
      <c r="AT432" s="350"/>
      <c r="AU432" s="350"/>
      <c r="AV432" s="350"/>
      <c r="AW432" s="350"/>
      <c r="AX432" s="350"/>
      <c r="AY432" s="350"/>
      <c r="AZ432" s="350"/>
      <c r="BA432" s="350"/>
      <c r="BB432" s="351"/>
    </row>
    <row r="433" spans="1:54" ht="15.75" customHeight="1">
      <c r="A433" s="25">
        <f t="shared" si="1"/>
        <v>420</v>
      </c>
      <c r="B433" s="599" t="str">
        <f>'refer admin discharge'!B429</f>
        <v>x</v>
      </c>
      <c r="C433" s="351"/>
      <c r="D433" s="600" t="str">
        <f>'refer admin discharge'!D429</f>
        <v>xx</v>
      </c>
      <c r="E433" s="351"/>
      <c r="F433" s="609" t="str">
        <f>'refer admin discharge'!H429</f>
        <v>00/00/0000</v>
      </c>
      <c r="G433" s="351"/>
      <c r="H433" s="610"/>
      <c r="I433" s="351"/>
      <c r="J433" s="611"/>
      <c r="K433" s="351"/>
      <c r="L433" s="610"/>
      <c r="M433" s="351"/>
      <c r="N433" s="612"/>
      <c r="O433" s="351"/>
      <c r="P433" s="610"/>
      <c r="Q433" s="351"/>
      <c r="R433" s="612"/>
      <c r="S433" s="351"/>
      <c r="T433" s="610"/>
      <c r="U433" s="351"/>
      <c r="V433" s="613" t="str">
        <f>'refer admin discharge'!H434</f>
        <v>00/00/0000</v>
      </c>
      <c r="W433" s="351"/>
      <c r="X433" s="607"/>
      <c r="Y433" s="351"/>
      <c r="Z433" s="614"/>
      <c r="AA433" s="351"/>
      <c r="AB433" s="607"/>
      <c r="AC433" s="351"/>
      <c r="AD433" s="606"/>
      <c r="AE433" s="351"/>
      <c r="AF433" s="607"/>
      <c r="AG433" s="351"/>
      <c r="AH433" s="606"/>
      <c r="AI433" s="351"/>
      <c r="AJ433" s="607"/>
      <c r="AK433" s="351"/>
      <c r="AL433" s="608"/>
      <c r="AM433" s="350"/>
      <c r="AN433" s="350"/>
      <c r="AO433" s="350"/>
      <c r="AP433" s="350"/>
      <c r="AQ433" s="350"/>
      <c r="AR433" s="350"/>
      <c r="AS433" s="350"/>
      <c r="AT433" s="350"/>
      <c r="AU433" s="350"/>
      <c r="AV433" s="350"/>
      <c r="AW433" s="350"/>
      <c r="AX433" s="350"/>
      <c r="AY433" s="350"/>
      <c r="AZ433" s="350"/>
      <c r="BA433" s="350"/>
      <c r="BB433" s="351"/>
    </row>
    <row r="434" spans="1:54" ht="15.75" customHeight="1">
      <c r="A434" s="25">
        <f t="shared" si="1"/>
        <v>421</v>
      </c>
      <c r="B434" s="618" t="str">
        <f>'refer admin discharge'!B430</f>
        <v>x</v>
      </c>
      <c r="C434" s="351"/>
      <c r="D434" s="619" t="str">
        <f>'refer admin discharge'!D430</f>
        <v>xx</v>
      </c>
      <c r="E434" s="351"/>
      <c r="F434" s="620" t="str">
        <f>'refer admin discharge'!H430</f>
        <v>00/00/0000</v>
      </c>
      <c r="G434" s="351"/>
      <c r="H434" s="615"/>
      <c r="I434" s="351"/>
      <c r="J434" s="621"/>
      <c r="K434" s="351"/>
      <c r="L434" s="615"/>
      <c r="M434" s="351"/>
      <c r="N434" s="610"/>
      <c r="O434" s="351"/>
      <c r="P434" s="615"/>
      <c r="Q434" s="351"/>
      <c r="R434" s="610"/>
      <c r="S434" s="351"/>
      <c r="T434" s="615"/>
      <c r="U434" s="351"/>
      <c r="V434" s="613" t="str">
        <f>'refer admin discharge'!H435</f>
        <v>00/00/0000</v>
      </c>
      <c r="W434" s="351"/>
      <c r="X434" s="616"/>
      <c r="Y434" s="351"/>
      <c r="Z434" s="617"/>
      <c r="AA434" s="351"/>
      <c r="AB434" s="616"/>
      <c r="AC434" s="351"/>
      <c r="AD434" s="607"/>
      <c r="AE434" s="351"/>
      <c r="AF434" s="616"/>
      <c r="AG434" s="351"/>
      <c r="AH434" s="607"/>
      <c r="AI434" s="351"/>
      <c r="AJ434" s="616"/>
      <c r="AK434" s="351"/>
      <c r="AL434" s="622"/>
      <c r="AM434" s="350"/>
      <c r="AN434" s="350"/>
      <c r="AO434" s="350"/>
      <c r="AP434" s="350"/>
      <c r="AQ434" s="350"/>
      <c r="AR434" s="350"/>
      <c r="AS434" s="350"/>
      <c r="AT434" s="350"/>
      <c r="AU434" s="350"/>
      <c r="AV434" s="350"/>
      <c r="AW434" s="350"/>
      <c r="AX434" s="350"/>
      <c r="AY434" s="350"/>
      <c r="AZ434" s="350"/>
      <c r="BA434" s="350"/>
      <c r="BB434" s="351"/>
    </row>
    <row r="435" spans="1:54" ht="15.75" customHeight="1">
      <c r="A435" s="25">
        <f t="shared" si="1"/>
        <v>422</v>
      </c>
      <c r="B435" s="599" t="str">
        <f>'refer admin discharge'!B431</f>
        <v>x</v>
      </c>
      <c r="C435" s="351"/>
      <c r="D435" s="600" t="str">
        <f>'refer admin discharge'!D431</f>
        <v>xx</v>
      </c>
      <c r="E435" s="351"/>
      <c r="F435" s="609" t="str">
        <f>'refer admin discharge'!H431</f>
        <v>00/00/0000</v>
      </c>
      <c r="G435" s="351"/>
      <c r="H435" s="610"/>
      <c r="I435" s="351"/>
      <c r="J435" s="611"/>
      <c r="K435" s="351"/>
      <c r="L435" s="610"/>
      <c r="M435" s="351"/>
      <c r="N435" s="612"/>
      <c r="O435" s="351"/>
      <c r="P435" s="610"/>
      <c r="Q435" s="351"/>
      <c r="R435" s="612"/>
      <c r="S435" s="351"/>
      <c r="T435" s="610"/>
      <c r="U435" s="351"/>
      <c r="V435" s="613" t="str">
        <f>'refer admin discharge'!H436</f>
        <v>00/00/0000</v>
      </c>
      <c r="W435" s="351"/>
      <c r="X435" s="607"/>
      <c r="Y435" s="351"/>
      <c r="Z435" s="614"/>
      <c r="AA435" s="351"/>
      <c r="AB435" s="607"/>
      <c r="AC435" s="351"/>
      <c r="AD435" s="606"/>
      <c r="AE435" s="351"/>
      <c r="AF435" s="607"/>
      <c r="AG435" s="351"/>
      <c r="AH435" s="606"/>
      <c r="AI435" s="351"/>
      <c r="AJ435" s="607"/>
      <c r="AK435" s="351"/>
      <c r="AL435" s="608"/>
      <c r="AM435" s="350"/>
      <c r="AN435" s="350"/>
      <c r="AO435" s="350"/>
      <c r="AP435" s="350"/>
      <c r="AQ435" s="350"/>
      <c r="AR435" s="350"/>
      <c r="AS435" s="350"/>
      <c r="AT435" s="350"/>
      <c r="AU435" s="350"/>
      <c r="AV435" s="350"/>
      <c r="AW435" s="350"/>
      <c r="AX435" s="350"/>
      <c r="AY435" s="350"/>
      <c r="AZ435" s="350"/>
      <c r="BA435" s="350"/>
      <c r="BB435" s="351"/>
    </row>
    <row r="436" spans="1:54" ht="15.75" customHeight="1">
      <c r="A436" s="25">
        <f t="shared" si="1"/>
        <v>423</v>
      </c>
      <c r="B436" s="618" t="str">
        <f>'refer admin discharge'!B432</f>
        <v>x</v>
      </c>
      <c r="C436" s="351"/>
      <c r="D436" s="619" t="str">
        <f>'refer admin discharge'!D432</f>
        <v>xx</v>
      </c>
      <c r="E436" s="351"/>
      <c r="F436" s="620" t="str">
        <f>'refer admin discharge'!H432</f>
        <v>00/00/0000</v>
      </c>
      <c r="G436" s="351"/>
      <c r="H436" s="615"/>
      <c r="I436" s="351"/>
      <c r="J436" s="621"/>
      <c r="K436" s="351"/>
      <c r="L436" s="615"/>
      <c r="M436" s="351"/>
      <c r="N436" s="610"/>
      <c r="O436" s="351"/>
      <c r="P436" s="615"/>
      <c r="Q436" s="351"/>
      <c r="R436" s="610"/>
      <c r="S436" s="351"/>
      <c r="T436" s="615"/>
      <c r="U436" s="351"/>
      <c r="V436" s="613" t="str">
        <f>'refer admin discharge'!H437</f>
        <v>00/00/0000</v>
      </c>
      <c r="W436" s="351"/>
      <c r="X436" s="616"/>
      <c r="Y436" s="351"/>
      <c r="Z436" s="617"/>
      <c r="AA436" s="351"/>
      <c r="AB436" s="616"/>
      <c r="AC436" s="351"/>
      <c r="AD436" s="607"/>
      <c r="AE436" s="351"/>
      <c r="AF436" s="616"/>
      <c r="AG436" s="351"/>
      <c r="AH436" s="607"/>
      <c r="AI436" s="351"/>
      <c r="AJ436" s="616"/>
      <c r="AK436" s="351"/>
      <c r="AL436" s="622"/>
      <c r="AM436" s="350"/>
      <c r="AN436" s="350"/>
      <c r="AO436" s="350"/>
      <c r="AP436" s="350"/>
      <c r="AQ436" s="350"/>
      <c r="AR436" s="350"/>
      <c r="AS436" s="350"/>
      <c r="AT436" s="350"/>
      <c r="AU436" s="350"/>
      <c r="AV436" s="350"/>
      <c r="AW436" s="350"/>
      <c r="AX436" s="350"/>
      <c r="AY436" s="350"/>
      <c r="AZ436" s="350"/>
      <c r="BA436" s="350"/>
      <c r="BB436" s="351"/>
    </row>
    <row r="437" spans="1:54" ht="15.75" customHeight="1">
      <c r="A437" s="25">
        <f t="shared" si="1"/>
        <v>424</v>
      </c>
      <c r="B437" s="599" t="str">
        <f>'refer admin discharge'!B433</f>
        <v>x</v>
      </c>
      <c r="C437" s="351"/>
      <c r="D437" s="600" t="str">
        <f>'refer admin discharge'!D433</f>
        <v>xx</v>
      </c>
      <c r="E437" s="351"/>
      <c r="F437" s="609" t="str">
        <f>'refer admin discharge'!H433</f>
        <v>00/00/0000</v>
      </c>
      <c r="G437" s="351"/>
      <c r="H437" s="610"/>
      <c r="I437" s="351"/>
      <c r="J437" s="611"/>
      <c r="K437" s="351"/>
      <c r="L437" s="610"/>
      <c r="M437" s="351"/>
      <c r="N437" s="612"/>
      <c r="O437" s="351"/>
      <c r="P437" s="610"/>
      <c r="Q437" s="351"/>
      <c r="R437" s="612"/>
      <c r="S437" s="351"/>
      <c r="T437" s="610"/>
      <c r="U437" s="351"/>
      <c r="V437" s="613" t="str">
        <f>'refer admin discharge'!H438</f>
        <v>00/00/0000</v>
      </c>
      <c r="W437" s="351"/>
      <c r="X437" s="607"/>
      <c r="Y437" s="351"/>
      <c r="Z437" s="614"/>
      <c r="AA437" s="351"/>
      <c r="AB437" s="607"/>
      <c r="AC437" s="351"/>
      <c r="AD437" s="606"/>
      <c r="AE437" s="351"/>
      <c r="AF437" s="607"/>
      <c r="AG437" s="351"/>
      <c r="AH437" s="606"/>
      <c r="AI437" s="351"/>
      <c r="AJ437" s="607"/>
      <c r="AK437" s="351"/>
      <c r="AL437" s="608"/>
      <c r="AM437" s="350"/>
      <c r="AN437" s="350"/>
      <c r="AO437" s="350"/>
      <c r="AP437" s="350"/>
      <c r="AQ437" s="350"/>
      <c r="AR437" s="350"/>
      <c r="AS437" s="350"/>
      <c r="AT437" s="350"/>
      <c r="AU437" s="350"/>
      <c r="AV437" s="350"/>
      <c r="AW437" s="350"/>
      <c r="AX437" s="350"/>
      <c r="AY437" s="350"/>
      <c r="AZ437" s="350"/>
      <c r="BA437" s="350"/>
      <c r="BB437" s="351"/>
    </row>
    <row r="438" spans="1:54" ht="15.75" customHeight="1">
      <c r="A438" s="25">
        <f t="shared" si="1"/>
        <v>425</v>
      </c>
      <c r="B438" s="618" t="str">
        <f>'refer admin discharge'!B434</f>
        <v>x</v>
      </c>
      <c r="C438" s="351"/>
      <c r="D438" s="619" t="str">
        <f>'refer admin discharge'!D434</f>
        <v>xx</v>
      </c>
      <c r="E438" s="351"/>
      <c r="F438" s="620" t="str">
        <f>'refer admin discharge'!H434</f>
        <v>00/00/0000</v>
      </c>
      <c r="G438" s="351"/>
      <c r="H438" s="615"/>
      <c r="I438" s="351"/>
      <c r="J438" s="621"/>
      <c r="K438" s="351"/>
      <c r="L438" s="615"/>
      <c r="M438" s="351"/>
      <c r="N438" s="610"/>
      <c r="O438" s="351"/>
      <c r="P438" s="615"/>
      <c r="Q438" s="351"/>
      <c r="R438" s="610"/>
      <c r="S438" s="351"/>
      <c r="T438" s="615"/>
      <c r="U438" s="351"/>
      <c r="V438" s="613" t="str">
        <f>'refer admin discharge'!H439</f>
        <v>00/00/0000</v>
      </c>
      <c r="W438" s="351"/>
      <c r="X438" s="616"/>
      <c r="Y438" s="351"/>
      <c r="Z438" s="617"/>
      <c r="AA438" s="351"/>
      <c r="AB438" s="616"/>
      <c r="AC438" s="351"/>
      <c r="AD438" s="607"/>
      <c r="AE438" s="351"/>
      <c r="AF438" s="616"/>
      <c r="AG438" s="351"/>
      <c r="AH438" s="607"/>
      <c r="AI438" s="351"/>
      <c r="AJ438" s="616"/>
      <c r="AK438" s="351"/>
      <c r="AL438" s="622"/>
      <c r="AM438" s="350"/>
      <c r="AN438" s="350"/>
      <c r="AO438" s="350"/>
      <c r="AP438" s="350"/>
      <c r="AQ438" s="350"/>
      <c r="AR438" s="350"/>
      <c r="AS438" s="350"/>
      <c r="AT438" s="350"/>
      <c r="AU438" s="350"/>
      <c r="AV438" s="350"/>
      <c r="AW438" s="350"/>
      <c r="AX438" s="350"/>
      <c r="AY438" s="350"/>
      <c r="AZ438" s="350"/>
      <c r="BA438" s="350"/>
      <c r="BB438" s="351"/>
    </row>
    <row r="439" spans="1:54" ht="15.75" customHeight="1">
      <c r="A439" s="25">
        <f t="shared" si="1"/>
        <v>426</v>
      </c>
      <c r="B439" s="599" t="str">
        <f>'refer admin discharge'!B435</f>
        <v>x</v>
      </c>
      <c r="C439" s="351"/>
      <c r="D439" s="600" t="str">
        <f>'refer admin discharge'!D435</f>
        <v>xx</v>
      </c>
      <c r="E439" s="351"/>
      <c r="F439" s="609" t="str">
        <f>'refer admin discharge'!H435</f>
        <v>00/00/0000</v>
      </c>
      <c r="G439" s="351"/>
      <c r="H439" s="610"/>
      <c r="I439" s="351"/>
      <c r="J439" s="611"/>
      <c r="K439" s="351"/>
      <c r="L439" s="610"/>
      <c r="M439" s="351"/>
      <c r="N439" s="612"/>
      <c r="O439" s="351"/>
      <c r="P439" s="610"/>
      <c r="Q439" s="351"/>
      <c r="R439" s="612"/>
      <c r="S439" s="351"/>
      <c r="T439" s="610"/>
      <c r="U439" s="351"/>
      <c r="V439" s="613" t="str">
        <f>'refer admin discharge'!H440</f>
        <v>00/00/0000</v>
      </c>
      <c r="W439" s="351"/>
      <c r="X439" s="607"/>
      <c r="Y439" s="351"/>
      <c r="Z439" s="614"/>
      <c r="AA439" s="351"/>
      <c r="AB439" s="607"/>
      <c r="AC439" s="351"/>
      <c r="AD439" s="606"/>
      <c r="AE439" s="351"/>
      <c r="AF439" s="607"/>
      <c r="AG439" s="351"/>
      <c r="AH439" s="606"/>
      <c r="AI439" s="351"/>
      <c r="AJ439" s="607"/>
      <c r="AK439" s="351"/>
      <c r="AL439" s="608"/>
      <c r="AM439" s="350"/>
      <c r="AN439" s="350"/>
      <c r="AO439" s="350"/>
      <c r="AP439" s="350"/>
      <c r="AQ439" s="350"/>
      <c r="AR439" s="350"/>
      <c r="AS439" s="350"/>
      <c r="AT439" s="350"/>
      <c r="AU439" s="350"/>
      <c r="AV439" s="350"/>
      <c r="AW439" s="350"/>
      <c r="AX439" s="350"/>
      <c r="AY439" s="350"/>
      <c r="AZ439" s="350"/>
      <c r="BA439" s="350"/>
      <c r="BB439" s="351"/>
    </row>
    <row r="440" spans="1:54" ht="15.75" customHeight="1">
      <c r="A440" s="25">
        <f t="shared" si="1"/>
        <v>427</v>
      </c>
      <c r="B440" s="618" t="str">
        <f>'refer admin discharge'!B436</f>
        <v>x</v>
      </c>
      <c r="C440" s="351"/>
      <c r="D440" s="619" t="str">
        <f>'refer admin discharge'!D436</f>
        <v>xx</v>
      </c>
      <c r="E440" s="351"/>
      <c r="F440" s="620" t="str">
        <f>'refer admin discharge'!H436</f>
        <v>00/00/0000</v>
      </c>
      <c r="G440" s="351"/>
      <c r="H440" s="615"/>
      <c r="I440" s="351"/>
      <c r="J440" s="621"/>
      <c r="K440" s="351"/>
      <c r="L440" s="615"/>
      <c r="M440" s="351"/>
      <c r="N440" s="610"/>
      <c r="O440" s="351"/>
      <c r="P440" s="615"/>
      <c r="Q440" s="351"/>
      <c r="R440" s="610"/>
      <c r="S440" s="351"/>
      <c r="T440" s="615"/>
      <c r="U440" s="351"/>
      <c r="V440" s="613" t="str">
        <f>'refer admin discharge'!H441</f>
        <v>00/00/0000</v>
      </c>
      <c r="W440" s="351"/>
      <c r="X440" s="616"/>
      <c r="Y440" s="351"/>
      <c r="Z440" s="617"/>
      <c r="AA440" s="351"/>
      <c r="AB440" s="616"/>
      <c r="AC440" s="351"/>
      <c r="AD440" s="607"/>
      <c r="AE440" s="351"/>
      <c r="AF440" s="616"/>
      <c r="AG440" s="351"/>
      <c r="AH440" s="607"/>
      <c r="AI440" s="351"/>
      <c r="AJ440" s="616"/>
      <c r="AK440" s="351"/>
      <c r="AL440" s="622"/>
      <c r="AM440" s="350"/>
      <c r="AN440" s="350"/>
      <c r="AO440" s="350"/>
      <c r="AP440" s="350"/>
      <c r="AQ440" s="350"/>
      <c r="AR440" s="350"/>
      <c r="AS440" s="350"/>
      <c r="AT440" s="350"/>
      <c r="AU440" s="350"/>
      <c r="AV440" s="350"/>
      <c r="AW440" s="350"/>
      <c r="AX440" s="350"/>
      <c r="AY440" s="350"/>
      <c r="AZ440" s="350"/>
      <c r="BA440" s="350"/>
      <c r="BB440" s="351"/>
    </row>
    <row r="441" spans="1:54" ht="15.75" customHeight="1">
      <c r="A441" s="25">
        <f t="shared" si="1"/>
        <v>428</v>
      </c>
      <c r="B441" s="599" t="str">
        <f>'refer admin discharge'!B437</f>
        <v>x</v>
      </c>
      <c r="C441" s="351"/>
      <c r="D441" s="600" t="str">
        <f>'refer admin discharge'!D437</f>
        <v>xx</v>
      </c>
      <c r="E441" s="351"/>
      <c r="F441" s="609" t="str">
        <f>'refer admin discharge'!H437</f>
        <v>00/00/0000</v>
      </c>
      <c r="G441" s="351"/>
      <c r="H441" s="610"/>
      <c r="I441" s="351"/>
      <c r="J441" s="611"/>
      <c r="K441" s="351"/>
      <c r="L441" s="610"/>
      <c r="M441" s="351"/>
      <c r="N441" s="612"/>
      <c r="O441" s="351"/>
      <c r="P441" s="610"/>
      <c r="Q441" s="351"/>
      <c r="R441" s="612"/>
      <c r="S441" s="351"/>
      <c r="T441" s="610"/>
      <c r="U441" s="351"/>
      <c r="V441" s="613" t="str">
        <f>'refer admin discharge'!H442</f>
        <v>00/00/0000</v>
      </c>
      <c r="W441" s="351"/>
      <c r="X441" s="607"/>
      <c r="Y441" s="351"/>
      <c r="Z441" s="614"/>
      <c r="AA441" s="351"/>
      <c r="AB441" s="607"/>
      <c r="AC441" s="351"/>
      <c r="AD441" s="606"/>
      <c r="AE441" s="351"/>
      <c r="AF441" s="607"/>
      <c r="AG441" s="351"/>
      <c r="AH441" s="606"/>
      <c r="AI441" s="351"/>
      <c r="AJ441" s="607"/>
      <c r="AK441" s="351"/>
      <c r="AL441" s="608"/>
      <c r="AM441" s="350"/>
      <c r="AN441" s="350"/>
      <c r="AO441" s="350"/>
      <c r="AP441" s="350"/>
      <c r="AQ441" s="350"/>
      <c r="AR441" s="350"/>
      <c r="AS441" s="350"/>
      <c r="AT441" s="350"/>
      <c r="AU441" s="350"/>
      <c r="AV441" s="350"/>
      <c r="AW441" s="350"/>
      <c r="AX441" s="350"/>
      <c r="AY441" s="350"/>
      <c r="AZ441" s="350"/>
      <c r="BA441" s="350"/>
      <c r="BB441" s="351"/>
    </row>
    <row r="442" spans="1:54" ht="15.75" customHeight="1">
      <c r="A442" s="25">
        <f t="shared" si="1"/>
        <v>429</v>
      </c>
      <c r="B442" s="618" t="str">
        <f>'refer admin discharge'!B438</f>
        <v>x</v>
      </c>
      <c r="C442" s="351"/>
      <c r="D442" s="619" t="str">
        <f>'refer admin discharge'!D438</f>
        <v>xx</v>
      </c>
      <c r="E442" s="351"/>
      <c r="F442" s="620" t="str">
        <f>'refer admin discharge'!H438</f>
        <v>00/00/0000</v>
      </c>
      <c r="G442" s="351"/>
      <c r="H442" s="615"/>
      <c r="I442" s="351"/>
      <c r="J442" s="621"/>
      <c r="K442" s="351"/>
      <c r="L442" s="615"/>
      <c r="M442" s="351"/>
      <c r="N442" s="610"/>
      <c r="O442" s="351"/>
      <c r="P442" s="615"/>
      <c r="Q442" s="351"/>
      <c r="R442" s="610"/>
      <c r="S442" s="351"/>
      <c r="T442" s="615"/>
      <c r="U442" s="351"/>
      <c r="V442" s="613" t="str">
        <f>'refer admin discharge'!H443</f>
        <v>00/00/0000</v>
      </c>
      <c r="W442" s="351"/>
      <c r="X442" s="616"/>
      <c r="Y442" s="351"/>
      <c r="Z442" s="617"/>
      <c r="AA442" s="351"/>
      <c r="AB442" s="616"/>
      <c r="AC442" s="351"/>
      <c r="AD442" s="607"/>
      <c r="AE442" s="351"/>
      <c r="AF442" s="616"/>
      <c r="AG442" s="351"/>
      <c r="AH442" s="607"/>
      <c r="AI442" s="351"/>
      <c r="AJ442" s="616"/>
      <c r="AK442" s="351"/>
      <c r="AL442" s="622"/>
      <c r="AM442" s="350"/>
      <c r="AN442" s="350"/>
      <c r="AO442" s="350"/>
      <c r="AP442" s="350"/>
      <c r="AQ442" s="350"/>
      <c r="AR442" s="350"/>
      <c r="AS442" s="350"/>
      <c r="AT442" s="350"/>
      <c r="AU442" s="350"/>
      <c r="AV442" s="350"/>
      <c r="AW442" s="350"/>
      <c r="AX442" s="350"/>
      <c r="AY442" s="350"/>
      <c r="AZ442" s="350"/>
      <c r="BA442" s="350"/>
      <c r="BB442" s="351"/>
    </row>
    <row r="443" spans="1:54" ht="15.75" customHeight="1">
      <c r="A443" s="25">
        <f t="shared" si="1"/>
        <v>430</v>
      </c>
      <c r="B443" s="599" t="str">
        <f>'refer admin discharge'!B439</f>
        <v>x</v>
      </c>
      <c r="C443" s="351"/>
      <c r="D443" s="600" t="str">
        <f>'refer admin discharge'!D439</f>
        <v>xx</v>
      </c>
      <c r="E443" s="351"/>
      <c r="F443" s="609" t="str">
        <f>'refer admin discharge'!H439</f>
        <v>00/00/0000</v>
      </c>
      <c r="G443" s="351"/>
      <c r="H443" s="610"/>
      <c r="I443" s="351"/>
      <c r="J443" s="611"/>
      <c r="K443" s="351"/>
      <c r="L443" s="610"/>
      <c r="M443" s="351"/>
      <c r="N443" s="612"/>
      <c r="O443" s="351"/>
      <c r="P443" s="610"/>
      <c r="Q443" s="351"/>
      <c r="R443" s="612"/>
      <c r="S443" s="351"/>
      <c r="T443" s="610"/>
      <c r="U443" s="351"/>
      <c r="V443" s="613" t="str">
        <f>'refer admin discharge'!H444</f>
        <v>00/00/0000</v>
      </c>
      <c r="W443" s="351"/>
      <c r="X443" s="607"/>
      <c r="Y443" s="351"/>
      <c r="Z443" s="614"/>
      <c r="AA443" s="351"/>
      <c r="AB443" s="607"/>
      <c r="AC443" s="351"/>
      <c r="AD443" s="606"/>
      <c r="AE443" s="351"/>
      <c r="AF443" s="607"/>
      <c r="AG443" s="351"/>
      <c r="AH443" s="606"/>
      <c r="AI443" s="351"/>
      <c r="AJ443" s="607"/>
      <c r="AK443" s="351"/>
      <c r="AL443" s="608"/>
      <c r="AM443" s="350"/>
      <c r="AN443" s="350"/>
      <c r="AO443" s="350"/>
      <c r="AP443" s="350"/>
      <c r="AQ443" s="350"/>
      <c r="AR443" s="350"/>
      <c r="AS443" s="350"/>
      <c r="AT443" s="350"/>
      <c r="AU443" s="350"/>
      <c r="AV443" s="350"/>
      <c r="AW443" s="350"/>
      <c r="AX443" s="350"/>
      <c r="AY443" s="350"/>
      <c r="AZ443" s="350"/>
      <c r="BA443" s="350"/>
      <c r="BB443" s="351"/>
    </row>
    <row r="444" spans="1:54" ht="15.75" customHeight="1">
      <c r="A444" s="25">
        <f t="shared" si="1"/>
        <v>431</v>
      </c>
      <c r="B444" s="618" t="str">
        <f>'refer admin discharge'!B440</f>
        <v>x</v>
      </c>
      <c r="C444" s="351"/>
      <c r="D444" s="619" t="str">
        <f>'refer admin discharge'!D440</f>
        <v>xx</v>
      </c>
      <c r="E444" s="351"/>
      <c r="F444" s="620" t="str">
        <f>'refer admin discharge'!H440</f>
        <v>00/00/0000</v>
      </c>
      <c r="G444" s="351"/>
      <c r="H444" s="615"/>
      <c r="I444" s="351"/>
      <c r="J444" s="621"/>
      <c r="K444" s="351"/>
      <c r="L444" s="615"/>
      <c r="M444" s="351"/>
      <c r="N444" s="610"/>
      <c r="O444" s="351"/>
      <c r="P444" s="615"/>
      <c r="Q444" s="351"/>
      <c r="R444" s="610"/>
      <c r="S444" s="351"/>
      <c r="T444" s="615"/>
      <c r="U444" s="351"/>
      <c r="V444" s="613" t="str">
        <f>'refer admin discharge'!H445</f>
        <v>00/00/0000</v>
      </c>
      <c r="W444" s="351"/>
      <c r="X444" s="616"/>
      <c r="Y444" s="351"/>
      <c r="Z444" s="617"/>
      <c r="AA444" s="351"/>
      <c r="AB444" s="616"/>
      <c r="AC444" s="351"/>
      <c r="AD444" s="607"/>
      <c r="AE444" s="351"/>
      <c r="AF444" s="616"/>
      <c r="AG444" s="351"/>
      <c r="AH444" s="607"/>
      <c r="AI444" s="351"/>
      <c r="AJ444" s="616"/>
      <c r="AK444" s="351"/>
      <c r="AL444" s="622"/>
      <c r="AM444" s="350"/>
      <c r="AN444" s="350"/>
      <c r="AO444" s="350"/>
      <c r="AP444" s="350"/>
      <c r="AQ444" s="350"/>
      <c r="AR444" s="350"/>
      <c r="AS444" s="350"/>
      <c r="AT444" s="350"/>
      <c r="AU444" s="350"/>
      <c r="AV444" s="350"/>
      <c r="AW444" s="350"/>
      <c r="AX444" s="350"/>
      <c r="AY444" s="350"/>
      <c r="AZ444" s="350"/>
      <c r="BA444" s="350"/>
      <c r="BB444" s="351"/>
    </row>
    <row r="445" spans="1:54" ht="15.75" customHeight="1">
      <c r="A445" s="25">
        <f t="shared" si="1"/>
        <v>432</v>
      </c>
      <c r="B445" s="599" t="str">
        <f>'refer admin discharge'!B441</f>
        <v>x</v>
      </c>
      <c r="C445" s="351"/>
      <c r="D445" s="600" t="str">
        <f>'refer admin discharge'!D441</f>
        <v>xx</v>
      </c>
      <c r="E445" s="351"/>
      <c r="F445" s="609" t="str">
        <f>'refer admin discharge'!H441</f>
        <v>00/00/0000</v>
      </c>
      <c r="G445" s="351"/>
      <c r="H445" s="610"/>
      <c r="I445" s="351"/>
      <c r="J445" s="611"/>
      <c r="K445" s="351"/>
      <c r="L445" s="610"/>
      <c r="M445" s="351"/>
      <c r="N445" s="612"/>
      <c r="O445" s="351"/>
      <c r="P445" s="610"/>
      <c r="Q445" s="351"/>
      <c r="R445" s="612"/>
      <c r="S445" s="351"/>
      <c r="T445" s="610"/>
      <c r="U445" s="351"/>
      <c r="V445" s="613" t="str">
        <f>'refer admin discharge'!H446</f>
        <v>00/00/0000</v>
      </c>
      <c r="W445" s="351"/>
      <c r="X445" s="607"/>
      <c r="Y445" s="351"/>
      <c r="Z445" s="614"/>
      <c r="AA445" s="351"/>
      <c r="AB445" s="607"/>
      <c r="AC445" s="351"/>
      <c r="AD445" s="606"/>
      <c r="AE445" s="351"/>
      <c r="AF445" s="607"/>
      <c r="AG445" s="351"/>
      <c r="AH445" s="606"/>
      <c r="AI445" s="351"/>
      <c r="AJ445" s="607"/>
      <c r="AK445" s="351"/>
      <c r="AL445" s="608"/>
      <c r="AM445" s="350"/>
      <c r="AN445" s="350"/>
      <c r="AO445" s="350"/>
      <c r="AP445" s="350"/>
      <c r="AQ445" s="350"/>
      <c r="AR445" s="350"/>
      <c r="AS445" s="350"/>
      <c r="AT445" s="350"/>
      <c r="AU445" s="350"/>
      <c r="AV445" s="350"/>
      <c r="AW445" s="350"/>
      <c r="AX445" s="350"/>
      <c r="AY445" s="350"/>
      <c r="AZ445" s="350"/>
      <c r="BA445" s="350"/>
      <c r="BB445" s="351"/>
    </row>
    <row r="446" spans="1:54" ht="15.75" customHeight="1">
      <c r="A446" s="25">
        <f t="shared" si="1"/>
        <v>433</v>
      </c>
      <c r="B446" s="618" t="str">
        <f>'refer admin discharge'!B442</f>
        <v>x</v>
      </c>
      <c r="C446" s="351"/>
      <c r="D446" s="619" t="str">
        <f>'refer admin discharge'!D442</f>
        <v>xx</v>
      </c>
      <c r="E446" s="351"/>
      <c r="F446" s="620" t="str">
        <f>'refer admin discharge'!H442</f>
        <v>00/00/0000</v>
      </c>
      <c r="G446" s="351"/>
      <c r="H446" s="615"/>
      <c r="I446" s="351"/>
      <c r="J446" s="621"/>
      <c r="K446" s="351"/>
      <c r="L446" s="615"/>
      <c r="M446" s="351"/>
      <c r="N446" s="610"/>
      <c r="O446" s="351"/>
      <c r="P446" s="615"/>
      <c r="Q446" s="351"/>
      <c r="R446" s="610"/>
      <c r="S446" s="351"/>
      <c r="T446" s="615"/>
      <c r="U446" s="351"/>
      <c r="V446" s="613" t="str">
        <f>'refer admin discharge'!H447</f>
        <v>00/00/0000</v>
      </c>
      <c r="W446" s="351"/>
      <c r="X446" s="616"/>
      <c r="Y446" s="351"/>
      <c r="Z446" s="617"/>
      <c r="AA446" s="351"/>
      <c r="AB446" s="616"/>
      <c r="AC446" s="351"/>
      <c r="AD446" s="607"/>
      <c r="AE446" s="351"/>
      <c r="AF446" s="616"/>
      <c r="AG446" s="351"/>
      <c r="AH446" s="607"/>
      <c r="AI446" s="351"/>
      <c r="AJ446" s="616"/>
      <c r="AK446" s="351"/>
      <c r="AL446" s="622"/>
      <c r="AM446" s="350"/>
      <c r="AN446" s="350"/>
      <c r="AO446" s="350"/>
      <c r="AP446" s="350"/>
      <c r="AQ446" s="350"/>
      <c r="AR446" s="350"/>
      <c r="AS446" s="350"/>
      <c r="AT446" s="350"/>
      <c r="AU446" s="350"/>
      <c r="AV446" s="350"/>
      <c r="AW446" s="350"/>
      <c r="AX446" s="350"/>
      <c r="AY446" s="350"/>
      <c r="AZ446" s="350"/>
      <c r="BA446" s="350"/>
      <c r="BB446" s="351"/>
    </row>
    <row r="447" spans="1:54" ht="15.75" customHeight="1">
      <c r="A447" s="25">
        <f t="shared" si="1"/>
        <v>434</v>
      </c>
      <c r="B447" s="599" t="str">
        <f>'refer admin discharge'!B443</f>
        <v>x</v>
      </c>
      <c r="C447" s="351"/>
      <c r="D447" s="600" t="str">
        <f>'refer admin discharge'!D443</f>
        <v>xx</v>
      </c>
      <c r="E447" s="351"/>
      <c r="F447" s="609" t="str">
        <f>'refer admin discharge'!H443</f>
        <v>00/00/0000</v>
      </c>
      <c r="G447" s="351"/>
      <c r="H447" s="610"/>
      <c r="I447" s="351"/>
      <c r="J447" s="611"/>
      <c r="K447" s="351"/>
      <c r="L447" s="610"/>
      <c r="M447" s="351"/>
      <c r="N447" s="612"/>
      <c r="O447" s="351"/>
      <c r="P447" s="610"/>
      <c r="Q447" s="351"/>
      <c r="R447" s="612"/>
      <c r="S447" s="351"/>
      <c r="T447" s="610"/>
      <c r="U447" s="351"/>
      <c r="V447" s="613" t="str">
        <f>'refer admin discharge'!H448</f>
        <v>00/00/0000</v>
      </c>
      <c r="W447" s="351"/>
      <c r="X447" s="607"/>
      <c r="Y447" s="351"/>
      <c r="Z447" s="614"/>
      <c r="AA447" s="351"/>
      <c r="AB447" s="607"/>
      <c r="AC447" s="351"/>
      <c r="AD447" s="606"/>
      <c r="AE447" s="351"/>
      <c r="AF447" s="607"/>
      <c r="AG447" s="351"/>
      <c r="AH447" s="606"/>
      <c r="AI447" s="351"/>
      <c r="AJ447" s="607"/>
      <c r="AK447" s="351"/>
      <c r="AL447" s="608"/>
      <c r="AM447" s="350"/>
      <c r="AN447" s="350"/>
      <c r="AO447" s="350"/>
      <c r="AP447" s="350"/>
      <c r="AQ447" s="350"/>
      <c r="AR447" s="350"/>
      <c r="AS447" s="350"/>
      <c r="AT447" s="350"/>
      <c r="AU447" s="350"/>
      <c r="AV447" s="350"/>
      <c r="AW447" s="350"/>
      <c r="AX447" s="350"/>
      <c r="AY447" s="350"/>
      <c r="AZ447" s="350"/>
      <c r="BA447" s="350"/>
      <c r="BB447" s="351"/>
    </row>
    <row r="448" spans="1:54" ht="15.75" customHeight="1">
      <c r="A448" s="25">
        <f t="shared" si="1"/>
        <v>435</v>
      </c>
      <c r="B448" s="618" t="str">
        <f>'refer admin discharge'!B444</f>
        <v>x</v>
      </c>
      <c r="C448" s="351"/>
      <c r="D448" s="619" t="str">
        <f>'refer admin discharge'!D444</f>
        <v>xx</v>
      </c>
      <c r="E448" s="351"/>
      <c r="F448" s="620" t="str">
        <f>'refer admin discharge'!H444</f>
        <v>00/00/0000</v>
      </c>
      <c r="G448" s="351"/>
      <c r="H448" s="615"/>
      <c r="I448" s="351"/>
      <c r="J448" s="621"/>
      <c r="K448" s="351"/>
      <c r="L448" s="615"/>
      <c r="M448" s="351"/>
      <c r="N448" s="610"/>
      <c r="O448" s="351"/>
      <c r="P448" s="615"/>
      <c r="Q448" s="351"/>
      <c r="R448" s="610"/>
      <c r="S448" s="351"/>
      <c r="T448" s="615"/>
      <c r="U448" s="351"/>
      <c r="V448" s="613" t="str">
        <f>'refer admin discharge'!H449</f>
        <v>00/00/0000</v>
      </c>
      <c r="W448" s="351"/>
      <c r="X448" s="616"/>
      <c r="Y448" s="351"/>
      <c r="Z448" s="617"/>
      <c r="AA448" s="351"/>
      <c r="AB448" s="616"/>
      <c r="AC448" s="351"/>
      <c r="AD448" s="607"/>
      <c r="AE448" s="351"/>
      <c r="AF448" s="616"/>
      <c r="AG448" s="351"/>
      <c r="AH448" s="607"/>
      <c r="AI448" s="351"/>
      <c r="AJ448" s="616"/>
      <c r="AK448" s="351"/>
      <c r="AL448" s="622"/>
      <c r="AM448" s="350"/>
      <c r="AN448" s="350"/>
      <c r="AO448" s="350"/>
      <c r="AP448" s="350"/>
      <c r="AQ448" s="350"/>
      <c r="AR448" s="350"/>
      <c r="AS448" s="350"/>
      <c r="AT448" s="350"/>
      <c r="AU448" s="350"/>
      <c r="AV448" s="350"/>
      <c r="AW448" s="350"/>
      <c r="AX448" s="350"/>
      <c r="AY448" s="350"/>
      <c r="AZ448" s="350"/>
      <c r="BA448" s="350"/>
      <c r="BB448" s="351"/>
    </row>
    <row r="449" spans="1:54" ht="15.75" customHeight="1">
      <c r="A449" s="25">
        <f t="shared" si="1"/>
        <v>436</v>
      </c>
      <c r="B449" s="599" t="str">
        <f>'refer admin discharge'!B445</f>
        <v>x</v>
      </c>
      <c r="C449" s="351"/>
      <c r="D449" s="600" t="str">
        <f>'refer admin discharge'!D445</f>
        <v>xx</v>
      </c>
      <c r="E449" s="351"/>
      <c r="F449" s="609" t="str">
        <f>'refer admin discharge'!H445</f>
        <v>00/00/0000</v>
      </c>
      <c r="G449" s="351"/>
      <c r="H449" s="610"/>
      <c r="I449" s="351"/>
      <c r="J449" s="611"/>
      <c r="K449" s="351"/>
      <c r="L449" s="610"/>
      <c r="M449" s="351"/>
      <c r="N449" s="612"/>
      <c r="O449" s="351"/>
      <c r="P449" s="610"/>
      <c r="Q449" s="351"/>
      <c r="R449" s="612"/>
      <c r="S449" s="351"/>
      <c r="T449" s="610"/>
      <c r="U449" s="351"/>
      <c r="V449" s="613" t="str">
        <f>'refer admin discharge'!H450</f>
        <v>00/00/0000</v>
      </c>
      <c r="W449" s="351"/>
      <c r="X449" s="607"/>
      <c r="Y449" s="351"/>
      <c r="Z449" s="614"/>
      <c r="AA449" s="351"/>
      <c r="AB449" s="607"/>
      <c r="AC449" s="351"/>
      <c r="AD449" s="606"/>
      <c r="AE449" s="351"/>
      <c r="AF449" s="607"/>
      <c r="AG449" s="351"/>
      <c r="AH449" s="606"/>
      <c r="AI449" s="351"/>
      <c r="AJ449" s="607"/>
      <c r="AK449" s="351"/>
      <c r="AL449" s="608"/>
      <c r="AM449" s="350"/>
      <c r="AN449" s="350"/>
      <c r="AO449" s="350"/>
      <c r="AP449" s="350"/>
      <c r="AQ449" s="350"/>
      <c r="AR449" s="350"/>
      <c r="AS449" s="350"/>
      <c r="AT449" s="350"/>
      <c r="AU449" s="350"/>
      <c r="AV449" s="350"/>
      <c r="AW449" s="350"/>
      <c r="AX449" s="350"/>
      <c r="AY449" s="350"/>
      <c r="AZ449" s="350"/>
      <c r="BA449" s="350"/>
      <c r="BB449" s="351"/>
    </row>
    <row r="450" spans="1:54" ht="15.75" customHeight="1">
      <c r="A450" s="25">
        <f t="shared" si="1"/>
        <v>437</v>
      </c>
      <c r="B450" s="618" t="str">
        <f>'refer admin discharge'!B446</f>
        <v>x</v>
      </c>
      <c r="C450" s="351"/>
      <c r="D450" s="619" t="str">
        <f>'refer admin discharge'!D446</f>
        <v>xx</v>
      </c>
      <c r="E450" s="351"/>
      <c r="F450" s="620" t="str">
        <f>'refer admin discharge'!H446</f>
        <v>00/00/0000</v>
      </c>
      <c r="G450" s="351"/>
      <c r="H450" s="615"/>
      <c r="I450" s="351"/>
      <c r="J450" s="621"/>
      <c r="K450" s="351"/>
      <c r="L450" s="615"/>
      <c r="M450" s="351"/>
      <c r="N450" s="610"/>
      <c r="O450" s="351"/>
      <c r="P450" s="615"/>
      <c r="Q450" s="351"/>
      <c r="R450" s="610"/>
      <c r="S450" s="351"/>
      <c r="T450" s="615"/>
      <c r="U450" s="351"/>
      <c r="V450" s="613" t="str">
        <f>'refer admin discharge'!H451</f>
        <v>00/00/0000</v>
      </c>
      <c r="W450" s="351"/>
      <c r="X450" s="616"/>
      <c r="Y450" s="351"/>
      <c r="Z450" s="617"/>
      <c r="AA450" s="351"/>
      <c r="AB450" s="616"/>
      <c r="AC450" s="351"/>
      <c r="AD450" s="607"/>
      <c r="AE450" s="351"/>
      <c r="AF450" s="616"/>
      <c r="AG450" s="351"/>
      <c r="AH450" s="607"/>
      <c r="AI450" s="351"/>
      <c r="AJ450" s="616"/>
      <c r="AK450" s="351"/>
      <c r="AL450" s="622"/>
      <c r="AM450" s="350"/>
      <c r="AN450" s="350"/>
      <c r="AO450" s="350"/>
      <c r="AP450" s="350"/>
      <c r="AQ450" s="350"/>
      <c r="AR450" s="350"/>
      <c r="AS450" s="350"/>
      <c r="AT450" s="350"/>
      <c r="AU450" s="350"/>
      <c r="AV450" s="350"/>
      <c r="AW450" s="350"/>
      <c r="AX450" s="350"/>
      <c r="AY450" s="350"/>
      <c r="AZ450" s="350"/>
      <c r="BA450" s="350"/>
      <c r="BB450" s="351"/>
    </row>
    <row r="451" spans="1:54" ht="15.75" customHeight="1">
      <c r="A451" s="25">
        <f t="shared" si="1"/>
        <v>438</v>
      </c>
      <c r="B451" s="599" t="str">
        <f>'refer admin discharge'!B447</f>
        <v>x</v>
      </c>
      <c r="C451" s="351"/>
      <c r="D451" s="600" t="str">
        <f>'refer admin discharge'!D447</f>
        <v>xx</v>
      </c>
      <c r="E451" s="351"/>
      <c r="F451" s="609" t="str">
        <f>'refer admin discharge'!H447</f>
        <v>00/00/0000</v>
      </c>
      <c r="G451" s="351"/>
      <c r="H451" s="610"/>
      <c r="I451" s="351"/>
      <c r="J451" s="611"/>
      <c r="K451" s="351"/>
      <c r="L451" s="610"/>
      <c r="M451" s="351"/>
      <c r="N451" s="612"/>
      <c r="O451" s="351"/>
      <c r="P451" s="610"/>
      <c r="Q451" s="351"/>
      <c r="R451" s="612"/>
      <c r="S451" s="351"/>
      <c r="T451" s="610"/>
      <c r="U451" s="351"/>
      <c r="V451" s="613" t="str">
        <f>'refer admin discharge'!H452</f>
        <v>00/00/0000</v>
      </c>
      <c r="W451" s="351"/>
      <c r="X451" s="607"/>
      <c r="Y451" s="351"/>
      <c r="Z451" s="614"/>
      <c r="AA451" s="351"/>
      <c r="AB451" s="607"/>
      <c r="AC451" s="351"/>
      <c r="AD451" s="606"/>
      <c r="AE451" s="351"/>
      <c r="AF451" s="607"/>
      <c r="AG451" s="351"/>
      <c r="AH451" s="606"/>
      <c r="AI451" s="351"/>
      <c r="AJ451" s="607"/>
      <c r="AK451" s="351"/>
      <c r="AL451" s="608"/>
      <c r="AM451" s="350"/>
      <c r="AN451" s="350"/>
      <c r="AO451" s="350"/>
      <c r="AP451" s="350"/>
      <c r="AQ451" s="350"/>
      <c r="AR451" s="350"/>
      <c r="AS451" s="350"/>
      <c r="AT451" s="350"/>
      <c r="AU451" s="350"/>
      <c r="AV451" s="350"/>
      <c r="AW451" s="350"/>
      <c r="AX451" s="350"/>
      <c r="AY451" s="350"/>
      <c r="AZ451" s="350"/>
      <c r="BA451" s="350"/>
      <c r="BB451" s="351"/>
    </row>
    <row r="452" spans="1:54" ht="15.75" customHeight="1">
      <c r="A452" s="25">
        <f t="shared" si="1"/>
        <v>439</v>
      </c>
      <c r="B452" s="618" t="str">
        <f>'refer admin discharge'!B448</f>
        <v>x</v>
      </c>
      <c r="C452" s="351"/>
      <c r="D452" s="619" t="str">
        <f>'refer admin discharge'!D448</f>
        <v>xx</v>
      </c>
      <c r="E452" s="351"/>
      <c r="F452" s="620" t="str">
        <f>'refer admin discharge'!H448</f>
        <v>00/00/0000</v>
      </c>
      <c r="G452" s="351"/>
      <c r="H452" s="615"/>
      <c r="I452" s="351"/>
      <c r="J452" s="621"/>
      <c r="K452" s="351"/>
      <c r="L452" s="615"/>
      <c r="M452" s="351"/>
      <c r="N452" s="610"/>
      <c r="O452" s="351"/>
      <c r="P452" s="615"/>
      <c r="Q452" s="351"/>
      <c r="R452" s="610"/>
      <c r="S452" s="351"/>
      <c r="T452" s="615"/>
      <c r="U452" s="351"/>
      <c r="V452" s="613" t="str">
        <f>'refer admin discharge'!H453</f>
        <v>00/00/0000</v>
      </c>
      <c r="W452" s="351"/>
      <c r="X452" s="616"/>
      <c r="Y452" s="351"/>
      <c r="Z452" s="617"/>
      <c r="AA452" s="351"/>
      <c r="AB452" s="616"/>
      <c r="AC452" s="351"/>
      <c r="AD452" s="607"/>
      <c r="AE452" s="351"/>
      <c r="AF452" s="616"/>
      <c r="AG452" s="351"/>
      <c r="AH452" s="607"/>
      <c r="AI452" s="351"/>
      <c r="AJ452" s="616"/>
      <c r="AK452" s="351"/>
      <c r="AL452" s="622"/>
      <c r="AM452" s="350"/>
      <c r="AN452" s="350"/>
      <c r="AO452" s="350"/>
      <c r="AP452" s="350"/>
      <c r="AQ452" s="350"/>
      <c r="AR452" s="350"/>
      <c r="AS452" s="350"/>
      <c r="AT452" s="350"/>
      <c r="AU452" s="350"/>
      <c r="AV452" s="350"/>
      <c r="AW452" s="350"/>
      <c r="AX452" s="350"/>
      <c r="AY452" s="350"/>
      <c r="AZ452" s="350"/>
      <c r="BA452" s="350"/>
      <c r="BB452" s="351"/>
    </row>
    <row r="453" spans="1:54" ht="15.75" customHeight="1">
      <c r="A453" s="25">
        <f t="shared" si="1"/>
        <v>440</v>
      </c>
      <c r="B453" s="599" t="str">
        <f>'refer admin discharge'!B449</f>
        <v>x</v>
      </c>
      <c r="C453" s="351"/>
      <c r="D453" s="600" t="str">
        <f>'refer admin discharge'!D449</f>
        <v>xx</v>
      </c>
      <c r="E453" s="351"/>
      <c r="F453" s="609" t="str">
        <f>'refer admin discharge'!H449</f>
        <v>00/00/0000</v>
      </c>
      <c r="G453" s="351"/>
      <c r="H453" s="610"/>
      <c r="I453" s="351"/>
      <c r="J453" s="611"/>
      <c r="K453" s="351"/>
      <c r="L453" s="610"/>
      <c r="M453" s="351"/>
      <c r="N453" s="612"/>
      <c r="O453" s="351"/>
      <c r="P453" s="610"/>
      <c r="Q453" s="351"/>
      <c r="R453" s="612"/>
      <c r="S453" s="351"/>
      <c r="T453" s="610"/>
      <c r="U453" s="351"/>
      <c r="V453" s="613" t="str">
        <f>'refer admin discharge'!H454</f>
        <v>00/00/0000</v>
      </c>
      <c r="W453" s="351"/>
      <c r="X453" s="607"/>
      <c r="Y453" s="351"/>
      <c r="Z453" s="614"/>
      <c r="AA453" s="351"/>
      <c r="AB453" s="607"/>
      <c r="AC453" s="351"/>
      <c r="AD453" s="606"/>
      <c r="AE453" s="351"/>
      <c r="AF453" s="607"/>
      <c r="AG453" s="351"/>
      <c r="AH453" s="606"/>
      <c r="AI453" s="351"/>
      <c r="AJ453" s="607"/>
      <c r="AK453" s="351"/>
      <c r="AL453" s="608"/>
      <c r="AM453" s="350"/>
      <c r="AN453" s="350"/>
      <c r="AO453" s="350"/>
      <c r="AP453" s="350"/>
      <c r="AQ453" s="350"/>
      <c r="AR453" s="350"/>
      <c r="AS453" s="350"/>
      <c r="AT453" s="350"/>
      <c r="AU453" s="350"/>
      <c r="AV453" s="350"/>
      <c r="AW453" s="350"/>
      <c r="AX453" s="350"/>
      <c r="AY453" s="350"/>
      <c r="AZ453" s="350"/>
      <c r="BA453" s="350"/>
      <c r="BB453" s="351"/>
    </row>
    <row r="454" spans="1:54" ht="15.75" customHeight="1">
      <c r="A454" s="25">
        <f t="shared" si="1"/>
        <v>441</v>
      </c>
      <c r="B454" s="618" t="str">
        <f>'refer admin discharge'!B450</f>
        <v>x</v>
      </c>
      <c r="C454" s="351"/>
      <c r="D454" s="619" t="str">
        <f>'refer admin discharge'!D450</f>
        <v>xx</v>
      </c>
      <c r="E454" s="351"/>
      <c r="F454" s="620" t="str">
        <f>'refer admin discharge'!H450</f>
        <v>00/00/0000</v>
      </c>
      <c r="G454" s="351"/>
      <c r="H454" s="615"/>
      <c r="I454" s="351"/>
      <c r="J454" s="621"/>
      <c r="K454" s="351"/>
      <c r="L454" s="615"/>
      <c r="M454" s="351"/>
      <c r="N454" s="610"/>
      <c r="O454" s="351"/>
      <c r="P454" s="615"/>
      <c r="Q454" s="351"/>
      <c r="R454" s="610"/>
      <c r="S454" s="351"/>
      <c r="T454" s="615"/>
      <c r="U454" s="351"/>
      <c r="V454" s="613" t="str">
        <f>'refer admin discharge'!H455</f>
        <v>00/00/0000</v>
      </c>
      <c r="W454" s="351"/>
      <c r="X454" s="616"/>
      <c r="Y454" s="351"/>
      <c r="Z454" s="617"/>
      <c r="AA454" s="351"/>
      <c r="AB454" s="616"/>
      <c r="AC454" s="351"/>
      <c r="AD454" s="607"/>
      <c r="AE454" s="351"/>
      <c r="AF454" s="616"/>
      <c r="AG454" s="351"/>
      <c r="AH454" s="607"/>
      <c r="AI454" s="351"/>
      <c r="AJ454" s="616"/>
      <c r="AK454" s="351"/>
      <c r="AL454" s="622"/>
      <c r="AM454" s="350"/>
      <c r="AN454" s="350"/>
      <c r="AO454" s="350"/>
      <c r="AP454" s="350"/>
      <c r="AQ454" s="350"/>
      <c r="AR454" s="350"/>
      <c r="AS454" s="350"/>
      <c r="AT454" s="350"/>
      <c r="AU454" s="350"/>
      <c r="AV454" s="350"/>
      <c r="AW454" s="350"/>
      <c r="AX454" s="350"/>
      <c r="AY454" s="350"/>
      <c r="AZ454" s="350"/>
      <c r="BA454" s="350"/>
      <c r="BB454" s="351"/>
    </row>
    <row r="455" spans="1:54" ht="15.75" customHeight="1">
      <c r="A455" s="25">
        <f t="shared" si="1"/>
        <v>442</v>
      </c>
      <c r="B455" s="599" t="str">
        <f>'refer admin discharge'!B451</f>
        <v>x</v>
      </c>
      <c r="C455" s="351"/>
      <c r="D455" s="600" t="str">
        <f>'refer admin discharge'!D451</f>
        <v>xx</v>
      </c>
      <c r="E455" s="351"/>
      <c r="F455" s="609" t="str">
        <f>'refer admin discharge'!H451</f>
        <v>00/00/0000</v>
      </c>
      <c r="G455" s="351"/>
      <c r="H455" s="610"/>
      <c r="I455" s="351"/>
      <c r="J455" s="611"/>
      <c r="K455" s="351"/>
      <c r="L455" s="610"/>
      <c r="M455" s="351"/>
      <c r="N455" s="612"/>
      <c r="O455" s="351"/>
      <c r="P455" s="610"/>
      <c r="Q455" s="351"/>
      <c r="R455" s="612"/>
      <c r="S455" s="351"/>
      <c r="T455" s="610"/>
      <c r="U455" s="351"/>
      <c r="V455" s="613" t="str">
        <f>'refer admin discharge'!H456</f>
        <v>00/00/0000</v>
      </c>
      <c r="W455" s="351"/>
      <c r="X455" s="607"/>
      <c r="Y455" s="351"/>
      <c r="Z455" s="614"/>
      <c r="AA455" s="351"/>
      <c r="AB455" s="607"/>
      <c r="AC455" s="351"/>
      <c r="AD455" s="606"/>
      <c r="AE455" s="351"/>
      <c r="AF455" s="607"/>
      <c r="AG455" s="351"/>
      <c r="AH455" s="606"/>
      <c r="AI455" s="351"/>
      <c r="AJ455" s="607"/>
      <c r="AK455" s="351"/>
      <c r="AL455" s="608"/>
      <c r="AM455" s="350"/>
      <c r="AN455" s="350"/>
      <c r="AO455" s="350"/>
      <c r="AP455" s="350"/>
      <c r="AQ455" s="350"/>
      <c r="AR455" s="350"/>
      <c r="AS455" s="350"/>
      <c r="AT455" s="350"/>
      <c r="AU455" s="350"/>
      <c r="AV455" s="350"/>
      <c r="AW455" s="350"/>
      <c r="AX455" s="350"/>
      <c r="AY455" s="350"/>
      <c r="AZ455" s="350"/>
      <c r="BA455" s="350"/>
      <c r="BB455" s="351"/>
    </row>
    <row r="456" spans="1:54" ht="15.75" customHeight="1">
      <c r="A456" s="25">
        <f t="shared" si="1"/>
        <v>443</v>
      </c>
      <c r="B456" s="618" t="str">
        <f>'refer admin discharge'!B452</f>
        <v>x</v>
      </c>
      <c r="C456" s="351"/>
      <c r="D456" s="619" t="str">
        <f>'refer admin discharge'!D452</f>
        <v>xx</v>
      </c>
      <c r="E456" s="351"/>
      <c r="F456" s="620" t="str">
        <f>'refer admin discharge'!H452</f>
        <v>00/00/0000</v>
      </c>
      <c r="G456" s="351"/>
      <c r="H456" s="615"/>
      <c r="I456" s="351"/>
      <c r="J456" s="621"/>
      <c r="K456" s="351"/>
      <c r="L456" s="615"/>
      <c r="M456" s="351"/>
      <c r="N456" s="610"/>
      <c r="O456" s="351"/>
      <c r="P456" s="615"/>
      <c r="Q456" s="351"/>
      <c r="R456" s="610"/>
      <c r="S456" s="351"/>
      <c r="T456" s="615"/>
      <c r="U456" s="351"/>
      <c r="V456" s="613" t="str">
        <f>'refer admin discharge'!H457</f>
        <v>00/00/0000</v>
      </c>
      <c r="W456" s="351"/>
      <c r="X456" s="616"/>
      <c r="Y456" s="351"/>
      <c r="Z456" s="617"/>
      <c r="AA456" s="351"/>
      <c r="AB456" s="616"/>
      <c r="AC456" s="351"/>
      <c r="AD456" s="607"/>
      <c r="AE456" s="351"/>
      <c r="AF456" s="616"/>
      <c r="AG456" s="351"/>
      <c r="AH456" s="607"/>
      <c r="AI456" s="351"/>
      <c r="AJ456" s="616"/>
      <c r="AK456" s="351"/>
      <c r="AL456" s="622"/>
      <c r="AM456" s="350"/>
      <c r="AN456" s="350"/>
      <c r="AO456" s="350"/>
      <c r="AP456" s="350"/>
      <c r="AQ456" s="350"/>
      <c r="AR456" s="350"/>
      <c r="AS456" s="350"/>
      <c r="AT456" s="350"/>
      <c r="AU456" s="350"/>
      <c r="AV456" s="350"/>
      <c r="AW456" s="350"/>
      <c r="AX456" s="350"/>
      <c r="AY456" s="350"/>
      <c r="AZ456" s="350"/>
      <c r="BA456" s="350"/>
      <c r="BB456" s="351"/>
    </row>
    <row r="457" spans="1:54" ht="15.75" customHeight="1">
      <c r="A457" s="25">
        <f t="shared" si="1"/>
        <v>444</v>
      </c>
      <c r="B457" s="599" t="str">
        <f>'refer admin discharge'!B453</f>
        <v>x</v>
      </c>
      <c r="C457" s="351"/>
      <c r="D457" s="600" t="str">
        <f>'refer admin discharge'!D453</f>
        <v>xx</v>
      </c>
      <c r="E457" s="351"/>
      <c r="F457" s="609" t="str">
        <f>'refer admin discharge'!H453</f>
        <v>00/00/0000</v>
      </c>
      <c r="G457" s="351"/>
      <c r="H457" s="610"/>
      <c r="I457" s="351"/>
      <c r="J457" s="611"/>
      <c r="K457" s="351"/>
      <c r="L457" s="610"/>
      <c r="M457" s="351"/>
      <c r="N457" s="612"/>
      <c r="O457" s="351"/>
      <c r="P457" s="610"/>
      <c r="Q457" s="351"/>
      <c r="R457" s="612"/>
      <c r="S457" s="351"/>
      <c r="T457" s="610"/>
      <c r="U457" s="351"/>
      <c r="V457" s="613" t="str">
        <f>'refer admin discharge'!H458</f>
        <v>00/00/0000</v>
      </c>
      <c r="W457" s="351"/>
      <c r="X457" s="607"/>
      <c r="Y457" s="351"/>
      <c r="Z457" s="614"/>
      <c r="AA457" s="351"/>
      <c r="AB457" s="607"/>
      <c r="AC457" s="351"/>
      <c r="AD457" s="606"/>
      <c r="AE457" s="351"/>
      <c r="AF457" s="607"/>
      <c r="AG457" s="351"/>
      <c r="AH457" s="606"/>
      <c r="AI457" s="351"/>
      <c r="AJ457" s="607"/>
      <c r="AK457" s="351"/>
      <c r="AL457" s="608"/>
      <c r="AM457" s="350"/>
      <c r="AN457" s="350"/>
      <c r="AO457" s="350"/>
      <c r="AP457" s="350"/>
      <c r="AQ457" s="350"/>
      <c r="AR457" s="350"/>
      <c r="AS457" s="350"/>
      <c r="AT457" s="350"/>
      <c r="AU457" s="350"/>
      <c r="AV457" s="350"/>
      <c r="AW457" s="350"/>
      <c r="AX457" s="350"/>
      <c r="AY457" s="350"/>
      <c r="AZ457" s="350"/>
      <c r="BA457" s="350"/>
      <c r="BB457" s="351"/>
    </row>
    <row r="458" spans="1:54" ht="15.75" customHeight="1">
      <c r="A458" s="25">
        <f t="shared" si="1"/>
        <v>445</v>
      </c>
      <c r="B458" s="618" t="str">
        <f>'refer admin discharge'!B454</f>
        <v>x</v>
      </c>
      <c r="C458" s="351"/>
      <c r="D458" s="619" t="str">
        <f>'refer admin discharge'!D454</f>
        <v>xx</v>
      </c>
      <c r="E458" s="351"/>
      <c r="F458" s="620" t="str">
        <f>'refer admin discharge'!H454</f>
        <v>00/00/0000</v>
      </c>
      <c r="G458" s="351"/>
      <c r="H458" s="615"/>
      <c r="I458" s="351"/>
      <c r="J458" s="621"/>
      <c r="K458" s="351"/>
      <c r="L458" s="615"/>
      <c r="M458" s="351"/>
      <c r="N458" s="610"/>
      <c r="O458" s="351"/>
      <c r="P458" s="615"/>
      <c r="Q458" s="351"/>
      <c r="R458" s="610"/>
      <c r="S458" s="351"/>
      <c r="T458" s="615"/>
      <c r="U458" s="351"/>
      <c r="V458" s="613" t="str">
        <f>'refer admin discharge'!H459</f>
        <v>00/00/0000</v>
      </c>
      <c r="W458" s="351"/>
      <c r="X458" s="616"/>
      <c r="Y458" s="351"/>
      <c r="Z458" s="617"/>
      <c r="AA458" s="351"/>
      <c r="AB458" s="616"/>
      <c r="AC458" s="351"/>
      <c r="AD458" s="607"/>
      <c r="AE458" s="351"/>
      <c r="AF458" s="616"/>
      <c r="AG458" s="351"/>
      <c r="AH458" s="607"/>
      <c r="AI458" s="351"/>
      <c r="AJ458" s="616"/>
      <c r="AK458" s="351"/>
      <c r="AL458" s="622"/>
      <c r="AM458" s="350"/>
      <c r="AN458" s="350"/>
      <c r="AO458" s="350"/>
      <c r="AP458" s="350"/>
      <c r="AQ458" s="350"/>
      <c r="AR458" s="350"/>
      <c r="AS458" s="350"/>
      <c r="AT458" s="350"/>
      <c r="AU458" s="350"/>
      <c r="AV458" s="350"/>
      <c r="AW458" s="350"/>
      <c r="AX458" s="350"/>
      <c r="AY458" s="350"/>
      <c r="AZ458" s="350"/>
      <c r="BA458" s="350"/>
      <c r="BB458" s="351"/>
    </row>
    <row r="459" spans="1:54" ht="15.75" customHeight="1">
      <c r="A459" s="25">
        <f t="shared" si="1"/>
        <v>446</v>
      </c>
      <c r="B459" s="599" t="str">
        <f>'refer admin discharge'!B455</f>
        <v>x</v>
      </c>
      <c r="C459" s="351"/>
      <c r="D459" s="600" t="str">
        <f>'refer admin discharge'!D455</f>
        <v>xx</v>
      </c>
      <c r="E459" s="351"/>
      <c r="F459" s="609" t="str">
        <f>'refer admin discharge'!H455</f>
        <v>00/00/0000</v>
      </c>
      <c r="G459" s="351"/>
      <c r="H459" s="610"/>
      <c r="I459" s="351"/>
      <c r="J459" s="611"/>
      <c r="K459" s="351"/>
      <c r="L459" s="610"/>
      <c r="M459" s="351"/>
      <c r="N459" s="612"/>
      <c r="O459" s="351"/>
      <c r="P459" s="610"/>
      <c r="Q459" s="351"/>
      <c r="R459" s="612"/>
      <c r="S459" s="351"/>
      <c r="T459" s="610"/>
      <c r="U459" s="351"/>
      <c r="V459" s="613" t="str">
        <f>'refer admin discharge'!H460</f>
        <v>00/00/0000</v>
      </c>
      <c r="W459" s="351"/>
      <c r="X459" s="607"/>
      <c r="Y459" s="351"/>
      <c r="Z459" s="614"/>
      <c r="AA459" s="351"/>
      <c r="AB459" s="607"/>
      <c r="AC459" s="351"/>
      <c r="AD459" s="606"/>
      <c r="AE459" s="351"/>
      <c r="AF459" s="607"/>
      <c r="AG459" s="351"/>
      <c r="AH459" s="606"/>
      <c r="AI459" s="351"/>
      <c r="AJ459" s="607"/>
      <c r="AK459" s="351"/>
      <c r="AL459" s="608"/>
      <c r="AM459" s="350"/>
      <c r="AN459" s="350"/>
      <c r="AO459" s="350"/>
      <c r="AP459" s="350"/>
      <c r="AQ459" s="350"/>
      <c r="AR459" s="350"/>
      <c r="AS459" s="350"/>
      <c r="AT459" s="350"/>
      <c r="AU459" s="350"/>
      <c r="AV459" s="350"/>
      <c r="AW459" s="350"/>
      <c r="AX459" s="350"/>
      <c r="AY459" s="350"/>
      <c r="AZ459" s="350"/>
      <c r="BA459" s="350"/>
      <c r="BB459" s="351"/>
    </row>
    <row r="460" spans="1:54" ht="15.75" customHeight="1">
      <c r="A460" s="25">
        <f t="shared" si="1"/>
        <v>447</v>
      </c>
      <c r="B460" s="618" t="str">
        <f>'refer admin discharge'!B456</f>
        <v>x</v>
      </c>
      <c r="C460" s="351"/>
      <c r="D460" s="619" t="str">
        <f>'refer admin discharge'!D456</f>
        <v>xx</v>
      </c>
      <c r="E460" s="351"/>
      <c r="F460" s="620" t="str">
        <f>'refer admin discharge'!H456</f>
        <v>00/00/0000</v>
      </c>
      <c r="G460" s="351"/>
      <c r="H460" s="615"/>
      <c r="I460" s="351"/>
      <c r="J460" s="621"/>
      <c r="K460" s="351"/>
      <c r="L460" s="615"/>
      <c r="M460" s="351"/>
      <c r="N460" s="610"/>
      <c r="O460" s="351"/>
      <c r="P460" s="615"/>
      <c r="Q460" s="351"/>
      <c r="R460" s="610"/>
      <c r="S460" s="351"/>
      <c r="T460" s="615"/>
      <c r="U460" s="351"/>
      <c r="V460" s="613" t="str">
        <f>'refer admin discharge'!H461</f>
        <v>00/00/0000</v>
      </c>
      <c r="W460" s="351"/>
      <c r="X460" s="616"/>
      <c r="Y460" s="351"/>
      <c r="Z460" s="617"/>
      <c r="AA460" s="351"/>
      <c r="AB460" s="616"/>
      <c r="AC460" s="351"/>
      <c r="AD460" s="607"/>
      <c r="AE460" s="351"/>
      <c r="AF460" s="616"/>
      <c r="AG460" s="351"/>
      <c r="AH460" s="607"/>
      <c r="AI460" s="351"/>
      <c r="AJ460" s="616"/>
      <c r="AK460" s="351"/>
      <c r="AL460" s="622"/>
      <c r="AM460" s="350"/>
      <c r="AN460" s="350"/>
      <c r="AO460" s="350"/>
      <c r="AP460" s="350"/>
      <c r="AQ460" s="350"/>
      <c r="AR460" s="350"/>
      <c r="AS460" s="350"/>
      <c r="AT460" s="350"/>
      <c r="AU460" s="350"/>
      <c r="AV460" s="350"/>
      <c r="AW460" s="350"/>
      <c r="AX460" s="350"/>
      <c r="AY460" s="350"/>
      <c r="AZ460" s="350"/>
      <c r="BA460" s="350"/>
      <c r="BB460" s="351"/>
    </row>
    <row r="461" spans="1:54" ht="15.75" customHeight="1">
      <c r="A461" s="25">
        <f t="shared" si="1"/>
        <v>448</v>
      </c>
      <c r="B461" s="599" t="str">
        <f>'refer admin discharge'!B457</f>
        <v>x</v>
      </c>
      <c r="C461" s="351"/>
      <c r="D461" s="600" t="str">
        <f>'refer admin discharge'!D457</f>
        <v>xx</v>
      </c>
      <c r="E461" s="351"/>
      <c r="F461" s="609" t="str">
        <f>'refer admin discharge'!H457</f>
        <v>00/00/0000</v>
      </c>
      <c r="G461" s="351"/>
      <c r="H461" s="610"/>
      <c r="I461" s="351"/>
      <c r="J461" s="611"/>
      <c r="K461" s="351"/>
      <c r="L461" s="610"/>
      <c r="M461" s="351"/>
      <c r="N461" s="612"/>
      <c r="O461" s="351"/>
      <c r="P461" s="610"/>
      <c r="Q461" s="351"/>
      <c r="R461" s="612"/>
      <c r="S461" s="351"/>
      <c r="T461" s="610"/>
      <c r="U461" s="351"/>
      <c r="V461" s="613" t="str">
        <f>'refer admin discharge'!H462</f>
        <v>00/00/0000</v>
      </c>
      <c r="W461" s="351"/>
      <c r="X461" s="607"/>
      <c r="Y461" s="351"/>
      <c r="Z461" s="614"/>
      <c r="AA461" s="351"/>
      <c r="AB461" s="607"/>
      <c r="AC461" s="351"/>
      <c r="AD461" s="606"/>
      <c r="AE461" s="351"/>
      <c r="AF461" s="607"/>
      <c r="AG461" s="351"/>
      <c r="AH461" s="606"/>
      <c r="AI461" s="351"/>
      <c r="AJ461" s="607"/>
      <c r="AK461" s="351"/>
      <c r="AL461" s="608"/>
      <c r="AM461" s="350"/>
      <c r="AN461" s="350"/>
      <c r="AO461" s="350"/>
      <c r="AP461" s="350"/>
      <c r="AQ461" s="350"/>
      <c r="AR461" s="350"/>
      <c r="AS461" s="350"/>
      <c r="AT461" s="350"/>
      <c r="AU461" s="350"/>
      <c r="AV461" s="350"/>
      <c r="AW461" s="350"/>
      <c r="AX461" s="350"/>
      <c r="AY461" s="350"/>
      <c r="AZ461" s="350"/>
      <c r="BA461" s="350"/>
      <c r="BB461" s="351"/>
    </row>
    <row r="462" spans="1:54" ht="15.75" customHeight="1">
      <c r="A462" s="25">
        <f t="shared" si="1"/>
        <v>449</v>
      </c>
      <c r="B462" s="618" t="str">
        <f>'refer admin discharge'!B458</f>
        <v>x</v>
      </c>
      <c r="C462" s="351"/>
      <c r="D462" s="619" t="str">
        <f>'refer admin discharge'!D458</f>
        <v>xx</v>
      </c>
      <c r="E462" s="351"/>
      <c r="F462" s="620" t="str">
        <f>'refer admin discharge'!H458</f>
        <v>00/00/0000</v>
      </c>
      <c r="G462" s="351"/>
      <c r="H462" s="615"/>
      <c r="I462" s="351"/>
      <c r="J462" s="621"/>
      <c r="K462" s="351"/>
      <c r="L462" s="615"/>
      <c r="M462" s="351"/>
      <c r="N462" s="610"/>
      <c r="O462" s="351"/>
      <c r="P462" s="615"/>
      <c r="Q462" s="351"/>
      <c r="R462" s="610"/>
      <c r="S462" s="351"/>
      <c r="T462" s="615"/>
      <c r="U462" s="351"/>
      <c r="V462" s="613" t="str">
        <f>'refer admin discharge'!H463</f>
        <v>00/00/0000</v>
      </c>
      <c r="W462" s="351"/>
      <c r="X462" s="616"/>
      <c r="Y462" s="351"/>
      <c r="Z462" s="617"/>
      <c r="AA462" s="351"/>
      <c r="AB462" s="616"/>
      <c r="AC462" s="351"/>
      <c r="AD462" s="607"/>
      <c r="AE462" s="351"/>
      <c r="AF462" s="616"/>
      <c r="AG462" s="351"/>
      <c r="AH462" s="607"/>
      <c r="AI462" s="351"/>
      <c r="AJ462" s="616"/>
      <c r="AK462" s="351"/>
      <c r="AL462" s="622"/>
      <c r="AM462" s="350"/>
      <c r="AN462" s="350"/>
      <c r="AO462" s="350"/>
      <c r="AP462" s="350"/>
      <c r="AQ462" s="350"/>
      <c r="AR462" s="350"/>
      <c r="AS462" s="350"/>
      <c r="AT462" s="350"/>
      <c r="AU462" s="350"/>
      <c r="AV462" s="350"/>
      <c r="AW462" s="350"/>
      <c r="AX462" s="350"/>
      <c r="AY462" s="350"/>
      <c r="AZ462" s="350"/>
      <c r="BA462" s="350"/>
      <c r="BB462" s="351"/>
    </row>
    <row r="463" spans="1:54" ht="15.75" customHeight="1">
      <c r="A463" s="25">
        <f t="shared" si="1"/>
        <v>450</v>
      </c>
      <c r="B463" s="599" t="str">
        <f>'refer admin discharge'!B459</f>
        <v>x</v>
      </c>
      <c r="C463" s="351"/>
      <c r="D463" s="600" t="str">
        <f>'refer admin discharge'!D459</f>
        <v>xx</v>
      </c>
      <c r="E463" s="351"/>
      <c r="F463" s="609" t="str">
        <f>'refer admin discharge'!H459</f>
        <v>00/00/0000</v>
      </c>
      <c r="G463" s="351"/>
      <c r="H463" s="610"/>
      <c r="I463" s="351"/>
      <c r="J463" s="611"/>
      <c r="K463" s="351"/>
      <c r="L463" s="610"/>
      <c r="M463" s="351"/>
      <c r="N463" s="612"/>
      <c r="O463" s="351"/>
      <c r="P463" s="610"/>
      <c r="Q463" s="351"/>
      <c r="R463" s="612"/>
      <c r="S463" s="351"/>
      <c r="T463" s="610"/>
      <c r="U463" s="351"/>
      <c r="V463" s="613" t="str">
        <f>'refer admin discharge'!H464</f>
        <v>00/00/0000</v>
      </c>
      <c r="W463" s="351"/>
      <c r="X463" s="607"/>
      <c r="Y463" s="351"/>
      <c r="Z463" s="614"/>
      <c r="AA463" s="351"/>
      <c r="AB463" s="607"/>
      <c r="AC463" s="351"/>
      <c r="AD463" s="606"/>
      <c r="AE463" s="351"/>
      <c r="AF463" s="607"/>
      <c r="AG463" s="351"/>
      <c r="AH463" s="606"/>
      <c r="AI463" s="351"/>
      <c r="AJ463" s="607"/>
      <c r="AK463" s="351"/>
      <c r="AL463" s="608"/>
      <c r="AM463" s="350"/>
      <c r="AN463" s="350"/>
      <c r="AO463" s="350"/>
      <c r="AP463" s="350"/>
      <c r="AQ463" s="350"/>
      <c r="AR463" s="350"/>
      <c r="AS463" s="350"/>
      <c r="AT463" s="350"/>
      <c r="AU463" s="350"/>
      <c r="AV463" s="350"/>
      <c r="AW463" s="350"/>
      <c r="AX463" s="350"/>
      <c r="AY463" s="350"/>
      <c r="AZ463" s="350"/>
      <c r="BA463" s="350"/>
      <c r="BB463" s="351"/>
    </row>
    <row r="464" spans="1:54" ht="15.75" customHeight="1">
      <c r="A464" s="25">
        <f t="shared" si="1"/>
        <v>451</v>
      </c>
      <c r="B464" s="618" t="str">
        <f>'refer admin discharge'!B460</f>
        <v>x</v>
      </c>
      <c r="C464" s="351"/>
      <c r="D464" s="619" t="str">
        <f>'refer admin discharge'!D460</f>
        <v>xx</v>
      </c>
      <c r="E464" s="351"/>
      <c r="F464" s="620" t="str">
        <f>'refer admin discharge'!H460</f>
        <v>00/00/0000</v>
      </c>
      <c r="G464" s="351"/>
      <c r="H464" s="615"/>
      <c r="I464" s="351"/>
      <c r="J464" s="621"/>
      <c r="K464" s="351"/>
      <c r="L464" s="615"/>
      <c r="M464" s="351"/>
      <c r="N464" s="610"/>
      <c r="O464" s="351"/>
      <c r="P464" s="615"/>
      <c r="Q464" s="351"/>
      <c r="R464" s="610"/>
      <c r="S464" s="351"/>
      <c r="T464" s="615"/>
      <c r="U464" s="351"/>
      <c r="V464" s="613" t="str">
        <f>'refer admin discharge'!H465</f>
        <v>00/00/0000</v>
      </c>
      <c r="W464" s="351"/>
      <c r="X464" s="616"/>
      <c r="Y464" s="351"/>
      <c r="Z464" s="617"/>
      <c r="AA464" s="351"/>
      <c r="AB464" s="616"/>
      <c r="AC464" s="351"/>
      <c r="AD464" s="607"/>
      <c r="AE464" s="351"/>
      <c r="AF464" s="616"/>
      <c r="AG464" s="351"/>
      <c r="AH464" s="607"/>
      <c r="AI464" s="351"/>
      <c r="AJ464" s="616"/>
      <c r="AK464" s="351"/>
      <c r="AL464" s="622"/>
      <c r="AM464" s="350"/>
      <c r="AN464" s="350"/>
      <c r="AO464" s="350"/>
      <c r="AP464" s="350"/>
      <c r="AQ464" s="350"/>
      <c r="AR464" s="350"/>
      <c r="AS464" s="350"/>
      <c r="AT464" s="350"/>
      <c r="AU464" s="350"/>
      <c r="AV464" s="350"/>
      <c r="AW464" s="350"/>
      <c r="AX464" s="350"/>
      <c r="AY464" s="350"/>
      <c r="AZ464" s="350"/>
      <c r="BA464" s="350"/>
      <c r="BB464" s="351"/>
    </row>
    <row r="465" spans="1:54" ht="15.75" customHeight="1">
      <c r="A465" s="25">
        <f t="shared" si="1"/>
        <v>452</v>
      </c>
      <c r="B465" s="599" t="str">
        <f>'refer admin discharge'!B461</f>
        <v>x</v>
      </c>
      <c r="C465" s="351"/>
      <c r="D465" s="600" t="str">
        <f>'refer admin discharge'!D461</f>
        <v>xx</v>
      </c>
      <c r="E465" s="351"/>
      <c r="F465" s="609" t="str">
        <f>'refer admin discharge'!H461</f>
        <v>00/00/0000</v>
      </c>
      <c r="G465" s="351"/>
      <c r="H465" s="610"/>
      <c r="I465" s="351"/>
      <c r="J465" s="611"/>
      <c r="K465" s="351"/>
      <c r="L465" s="610"/>
      <c r="M465" s="351"/>
      <c r="N465" s="612"/>
      <c r="O465" s="351"/>
      <c r="P465" s="610"/>
      <c r="Q465" s="351"/>
      <c r="R465" s="612"/>
      <c r="S465" s="351"/>
      <c r="T465" s="610"/>
      <c r="U465" s="351"/>
      <c r="V465" s="613" t="str">
        <f>'refer admin discharge'!H466</f>
        <v>00/00/0000</v>
      </c>
      <c r="W465" s="351"/>
      <c r="X465" s="607"/>
      <c r="Y465" s="351"/>
      <c r="Z465" s="614"/>
      <c r="AA465" s="351"/>
      <c r="AB465" s="607"/>
      <c r="AC465" s="351"/>
      <c r="AD465" s="606"/>
      <c r="AE465" s="351"/>
      <c r="AF465" s="607"/>
      <c r="AG465" s="351"/>
      <c r="AH465" s="606"/>
      <c r="AI465" s="351"/>
      <c r="AJ465" s="607"/>
      <c r="AK465" s="351"/>
      <c r="AL465" s="608"/>
      <c r="AM465" s="350"/>
      <c r="AN465" s="350"/>
      <c r="AO465" s="350"/>
      <c r="AP465" s="350"/>
      <c r="AQ465" s="350"/>
      <c r="AR465" s="350"/>
      <c r="AS465" s="350"/>
      <c r="AT465" s="350"/>
      <c r="AU465" s="350"/>
      <c r="AV465" s="350"/>
      <c r="AW465" s="350"/>
      <c r="AX465" s="350"/>
      <c r="AY465" s="350"/>
      <c r="AZ465" s="350"/>
      <c r="BA465" s="350"/>
      <c r="BB465" s="351"/>
    </row>
    <row r="466" spans="1:54" ht="15.75" customHeight="1">
      <c r="A466" s="25">
        <f t="shared" si="1"/>
        <v>453</v>
      </c>
      <c r="B466" s="618" t="str">
        <f>'refer admin discharge'!B462</f>
        <v>x</v>
      </c>
      <c r="C466" s="351"/>
      <c r="D466" s="619" t="str">
        <f>'refer admin discharge'!D462</f>
        <v>xx</v>
      </c>
      <c r="E466" s="351"/>
      <c r="F466" s="620" t="str">
        <f>'refer admin discharge'!H462</f>
        <v>00/00/0000</v>
      </c>
      <c r="G466" s="351"/>
      <c r="H466" s="615"/>
      <c r="I466" s="351"/>
      <c r="J466" s="621"/>
      <c r="K466" s="351"/>
      <c r="L466" s="615"/>
      <c r="M466" s="351"/>
      <c r="N466" s="610"/>
      <c r="O466" s="351"/>
      <c r="P466" s="615"/>
      <c r="Q466" s="351"/>
      <c r="R466" s="610"/>
      <c r="S466" s="351"/>
      <c r="T466" s="615"/>
      <c r="U466" s="351"/>
      <c r="V466" s="613" t="str">
        <f>'refer admin discharge'!H467</f>
        <v>00/00/0000</v>
      </c>
      <c r="W466" s="351"/>
      <c r="X466" s="616"/>
      <c r="Y466" s="351"/>
      <c r="Z466" s="617"/>
      <c r="AA466" s="351"/>
      <c r="AB466" s="616"/>
      <c r="AC466" s="351"/>
      <c r="AD466" s="607"/>
      <c r="AE466" s="351"/>
      <c r="AF466" s="616"/>
      <c r="AG466" s="351"/>
      <c r="AH466" s="607"/>
      <c r="AI466" s="351"/>
      <c r="AJ466" s="616"/>
      <c r="AK466" s="351"/>
      <c r="AL466" s="622"/>
      <c r="AM466" s="350"/>
      <c r="AN466" s="350"/>
      <c r="AO466" s="350"/>
      <c r="AP466" s="350"/>
      <c r="AQ466" s="350"/>
      <c r="AR466" s="350"/>
      <c r="AS466" s="350"/>
      <c r="AT466" s="350"/>
      <c r="AU466" s="350"/>
      <c r="AV466" s="350"/>
      <c r="AW466" s="350"/>
      <c r="AX466" s="350"/>
      <c r="AY466" s="350"/>
      <c r="AZ466" s="350"/>
      <c r="BA466" s="350"/>
      <c r="BB466" s="351"/>
    </row>
    <row r="467" spans="1:54" ht="15.75" customHeight="1">
      <c r="A467" s="25">
        <f t="shared" si="1"/>
        <v>454</v>
      </c>
      <c r="B467" s="599" t="str">
        <f>'refer admin discharge'!B463</f>
        <v>x</v>
      </c>
      <c r="C467" s="351"/>
      <c r="D467" s="600" t="str">
        <f>'refer admin discharge'!D463</f>
        <v>xx</v>
      </c>
      <c r="E467" s="351"/>
      <c r="F467" s="609" t="str">
        <f>'refer admin discharge'!H463</f>
        <v>00/00/0000</v>
      </c>
      <c r="G467" s="351"/>
      <c r="H467" s="610"/>
      <c r="I467" s="351"/>
      <c r="J467" s="611"/>
      <c r="K467" s="351"/>
      <c r="L467" s="610"/>
      <c r="M467" s="351"/>
      <c r="N467" s="612"/>
      <c r="O467" s="351"/>
      <c r="P467" s="610"/>
      <c r="Q467" s="351"/>
      <c r="R467" s="612"/>
      <c r="S467" s="351"/>
      <c r="T467" s="610"/>
      <c r="U467" s="351"/>
      <c r="V467" s="613" t="str">
        <f>'refer admin discharge'!H468</f>
        <v>00/00/0000</v>
      </c>
      <c r="W467" s="351"/>
      <c r="X467" s="607"/>
      <c r="Y467" s="351"/>
      <c r="Z467" s="614"/>
      <c r="AA467" s="351"/>
      <c r="AB467" s="607"/>
      <c r="AC467" s="351"/>
      <c r="AD467" s="606"/>
      <c r="AE467" s="351"/>
      <c r="AF467" s="607"/>
      <c r="AG467" s="351"/>
      <c r="AH467" s="606"/>
      <c r="AI467" s="351"/>
      <c r="AJ467" s="607"/>
      <c r="AK467" s="351"/>
      <c r="AL467" s="608"/>
      <c r="AM467" s="350"/>
      <c r="AN467" s="350"/>
      <c r="AO467" s="350"/>
      <c r="AP467" s="350"/>
      <c r="AQ467" s="350"/>
      <c r="AR467" s="350"/>
      <c r="AS467" s="350"/>
      <c r="AT467" s="350"/>
      <c r="AU467" s="350"/>
      <c r="AV467" s="350"/>
      <c r="AW467" s="350"/>
      <c r="AX467" s="350"/>
      <c r="AY467" s="350"/>
      <c r="AZ467" s="350"/>
      <c r="BA467" s="350"/>
      <c r="BB467" s="351"/>
    </row>
    <row r="468" spans="1:54" ht="15.75" customHeight="1">
      <c r="A468" s="25">
        <f t="shared" si="1"/>
        <v>455</v>
      </c>
      <c r="B468" s="618" t="str">
        <f>'refer admin discharge'!B464</f>
        <v>x</v>
      </c>
      <c r="C468" s="351"/>
      <c r="D468" s="619" t="str">
        <f>'refer admin discharge'!D464</f>
        <v>xx</v>
      </c>
      <c r="E468" s="351"/>
      <c r="F468" s="620" t="str">
        <f>'refer admin discharge'!H464</f>
        <v>00/00/0000</v>
      </c>
      <c r="G468" s="351"/>
      <c r="H468" s="615"/>
      <c r="I468" s="351"/>
      <c r="J468" s="621"/>
      <c r="K468" s="351"/>
      <c r="L468" s="615"/>
      <c r="M468" s="351"/>
      <c r="N468" s="610"/>
      <c r="O468" s="351"/>
      <c r="P468" s="615"/>
      <c r="Q468" s="351"/>
      <c r="R468" s="610"/>
      <c r="S468" s="351"/>
      <c r="T468" s="615"/>
      <c r="U468" s="351"/>
      <c r="V468" s="613" t="str">
        <f>'refer admin discharge'!H469</f>
        <v>00/00/0000</v>
      </c>
      <c r="W468" s="351"/>
      <c r="X468" s="616"/>
      <c r="Y468" s="351"/>
      <c r="Z468" s="617"/>
      <c r="AA468" s="351"/>
      <c r="AB468" s="616"/>
      <c r="AC468" s="351"/>
      <c r="AD468" s="607"/>
      <c r="AE468" s="351"/>
      <c r="AF468" s="616"/>
      <c r="AG468" s="351"/>
      <c r="AH468" s="607"/>
      <c r="AI468" s="351"/>
      <c r="AJ468" s="616"/>
      <c r="AK468" s="351"/>
      <c r="AL468" s="622"/>
      <c r="AM468" s="350"/>
      <c r="AN468" s="350"/>
      <c r="AO468" s="350"/>
      <c r="AP468" s="350"/>
      <c r="AQ468" s="350"/>
      <c r="AR468" s="350"/>
      <c r="AS468" s="350"/>
      <c r="AT468" s="350"/>
      <c r="AU468" s="350"/>
      <c r="AV468" s="350"/>
      <c r="AW468" s="350"/>
      <c r="AX468" s="350"/>
      <c r="AY468" s="350"/>
      <c r="AZ468" s="350"/>
      <c r="BA468" s="350"/>
      <c r="BB468" s="351"/>
    </row>
    <row r="469" spans="1:54" ht="15.75" customHeight="1">
      <c r="A469" s="25">
        <f t="shared" si="1"/>
        <v>456</v>
      </c>
      <c r="B469" s="599" t="str">
        <f>'refer admin discharge'!B465</f>
        <v>x</v>
      </c>
      <c r="C469" s="351"/>
      <c r="D469" s="600" t="str">
        <f>'refer admin discharge'!D465</f>
        <v>xx</v>
      </c>
      <c r="E469" s="351"/>
      <c r="F469" s="609" t="str">
        <f>'refer admin discharge'!H465</f>
        <v>00/00/0000</v>
      </c>
      <c r="G469" s="351"/>
      <c r="H469" s="610"/>
      <c r="I469" s="351"/>
      <c r="J469" s="611"/>
      <c r="K469" s="351"/>
      <c r="L469" s="610"/>
      <c r="M469" s="351"/>
      <c r="N469" s="612"/>
      <c r="O469" s="351"/>
      <c r="P469" s="610"/>
      <c r="Q469" s="351"/>
      <c r="R469" s="612"/>
      <c r="S469" s="351"/>
      <c r="T469" s="610"/>
      <c r="U469" s="351"/>
      <c r="V469" s="613" t="str">
        <f>'refer admin discharge'!H470</f>
        <v>00/00/0000</v>
      </c>
      <c r="W469" s="351"/>
      <c r="X469" s="607"/>
      <c r="Y469" s="351"/>
      <c r="Z469" s="614"/>
      <c r="AA469" s="351"/>
      <c r="AB469" s="607"/>
      <c r="AC469" s="351"/>
      <c r="AD469" s="606"/>
      <c r="AE469" s="351"/>
      <c r="AF469" s="607"/>
      <c r="AG469" s="351"/>
      <c r="AH469" s="606"/>
      <c r="AI469" s="351"/>
      <c r="AJ469" s="607"/>
      <c r="AK469" s="351"/>
      <c r="AL469" s="608"/>
      <c r="AM469" s="350"/>
      <c r="AN469" s="350"/>
      <c r="AO469" s="350"/>
      <c r="AP469" s="350"/>
      <c r="AQ469" s="350"/>
      <c r="AR469" s="350"/>
      <c r="AS469" s="350"/>
      <c r="AT469" s="350"/>
      <c r="AU469" s="350"/>
      <c r="AV469" s="350"/>
      <c r="AW469" s="350"/>
      <c r="AX469" s="350"/>
      <c r="AY469" s="350"/>
      <c r="AZ469" s="350"/>
      <c r="BA469" s="350"/>
      <c r="BB469" s="351"/>
    </row>
    <row r="470" spans="1:54" ht="15.75" customHeight="1">
      <c r="A470" s="25">
        <f t="shared" si="1"/>
        <v>457</v>
      </c>
      <c r="B470" s="618" t="str">
        <f>'refer admin discharge'!B466</f>
        <v>x</v>
      </c>
      <c r="C470" s="351"/>
      <c r="D470" s="619" t="str">
        <f>'refer admin discharge'!D466</f>
        <v>xx</v>
      </c>
      <c r="E470" s="351"/>
      <c r="F470" s="620" t="str">
        <f>'refer admin discharge'!H466</f>
        <v>00/00/0000</v>
      </c>
      <c r="G470" s="351"/>
      <c r="H470" s="615"/>
      <c r="I470" s="351"/>
      <c r="J470" s="621"/>
      <c r="K470" s="351"/>
      <c r="L470" s="615"/>
      <c r="M470" s="351"/>
      <c r="N470" s="610"/>
      <c r="O470" s="351"/>
      <c r="P470" s="615"/>
      <c r="Q470" s="351"/>
      <c r="R470" s="610"/>
      <c r="S470" s="351"/>
      <c r="T470" s="615"/>
      <c r="U470" s="351"/>
      <c r="V470" s="613" t="str">
        <f>'refer admin discharge'!H471</f>
        <v>00/00/0000</v>
      </c>
      <c r="W470" s="351"/>
      <c r="X470" s="616"/>
      <c r="Y470" s="351"/>
      <c r="Z470" s="617"/>
      <c r="AA470" s="351"/>
      <c r="AB470" s="616"/>
      <c r="AC470" s="351"/>
      <c r="AD470" s="607"/>
      <c r="AE470" s="351"/>
      <c r="AF470" s="616"/>
      <c r="AG470" s="351"/>
      <c r="AH470" s="607"/>
      <c r="AI470" s="351"/>
      <c r="AJ470" s="616"/>
      <c r="AK470" s="351"/>
      <c r="AL470" s="622"/>
      <c r="AM470" s="350"/>
      <c r="AN470" s="350"/>
      <c r="AO470" s="350"/>
      <c r="AP470" s="350"/>
      <c r="AQ470" s="350"/>
      <c r="AR470" s="350"/>
      <c r="AS470" s="350"/>
      <c r="AT470" s="350"/>
      <c r="AU470" s="350"/>
      <c r="AV470" s="350"/>
      <c r="AW470" s="350"/>
      <c r="AX470" s="350"/>
      <c r="AY470" s="350"/>
      <c r="AZ470" s="350"/>
      <c r="BA470" s="350"/>
      <c r="BB470" s="351"/>
    </row>
    <row r="471" spans="1:54" ht="15.75" customHeight="1">
      <c r="A471" s="25">
        <f t="shared" si="1"/>
        <v>458</v>
      </c>
      <c r="B471" s="599" t="str">
        <f>'refer admin discharge'!B467</f>
        <v>x</v>
      </c>
      <c r="C471" s="351"/>
      <c r="D471" s="600" t="str">
        <f>'refer admin discharge'!D467</f>
        <v>xx</v>
      </c>
      <c r="E471" s="351"/>
      <c r="F471" s="609" t="str">
        <f>'refer admin discharge'!H467</f>
        <v>00/00/0000</v>
      </c>
      <c r="G471" s="351"/>
      <c r="H471" s="610"/>
      <c r="I471" s="351"/>
      <c r="J471" s="611"/>
      <c r="K471" s="351"/>
      <c r="L471" s="610"/>
      <c r="M471" s="351"/>
      <c r="N471" s="612"/>
      <c r="O471" s="351"/>
      <c r="P471" s="610"/>
      <c r="Q471" s="351"/>
      <c r="R471" s="612"/>
      <c r="S471" s="351"/>
      <c r="T471" s="610"/>
      <c r="U471" s="351"/>
      <c r="V471" s="613" t="str">
        <f>'refer admin discharge'!H472</f>
        <v>00/00/0000</v>
      </c>
      <c r="W471" s="351"/>
      <c r="X471" s="607"/>
      <c r="Y471" s="351"/>
      <c r="Z471" s="614"/>
      <c r="AA471" s="351"/>
      <c r="AB471" s="607"/>
      <c r="AC471" s="351"/>
      <c r="AD471" s="606"/>
      <c r="AE471" s="351"/>
      <c r="AF471" s="607"/>
      <c r="AG471" s="351"/>
      <c r="AH471" s="606"/>
      <c r="AI471" s="351"/>
      <c r="AJ471" s="607"/>
      <c r="AK471" s="351"/>
      <c r="AL471" s="608"/>
      <c r="AM471" s="350"/>
      <c r="AN471" s="350"/>
      <c r="AO471" s="350"/>
      <c r="AP471" s="350"/>
      <c r="AQ471" s="350"/>
      <c r="AR471" s="350"/>
      <c r="AS471" s="350"/>
      <c r="AT471" s="350"/>
      <c r="AU471" s="350"/>
      <c r="AV471" s="350"/>
      <c r="AW471" s="350"/>
      <c r="AX471" s="350"/>
      <c r="AY471" s="350"/>
      <c r="AZ471" s="350"/>
      <c r="BA471" s="350"/>
      <c r="BB471" s="351"/>
    </row>
    <row r="472" spans="1:54" ht="15.75" customHeight="1">
      <c r="A472" s="25">
        <f t="shared" si="1"/>
        <v>459</v>
      </c>
      <c r="B472" s="618" t="str">
        <f>'refer admin discharge'!B468</f>
        <v>x</v>
      </c>
      <c r="C472" s="351"/>
      <c r="D472" s="619" t="str">
        <f>'refer admin discharge'!D468</f>
        <v>xx</v>
      </c>
      <c r="E472" s="351"/>
      <c r="F472" s="620" t="str">
        <f>'refer admin discharge'!H468</f>
        <v>00/00/0000</v>
      </c>
      <c r="G472" s="351"/>
      <c r="H472" s="615"/>
      <c r="I472" s="351"/>
      <c r="J472" s="621"/>
      <c r="K472" s="351"/>
      <c r="L472" s="615"/>
      <c r="M472" s="351"/>
      <c r="N472" s="610"/>
      <c r="O472" s="351"/>
      <c r="P472" s="615"/>
      <c r="Q472" s="351"/>
      <c r="R472" s="610"/>
      <c r="S472" s="351"/>
      <c r="T472" s="615"/>
      <c r="U472" s="351"/>
      <c r="V472" s="613" t="str">
        <f>'refer admin discharge'!H473</f>
        <v>00/00/0000</v>
      </c>
      <c r="W472" s="351"/>
      <c r="X472" s="616"/>
      <c r="Y472" s="351"/>
      <c r="Z472" s="617"/>
      <c r="AA472" s="351"/>
      <c r="AB472" s="616"/>
      <c r="AC472" s="351"/>
      <c r="AD472" s="607"/>
      <c r="AE472" s="351"/>
      <c r="AF472" s="616"/>
      <c r="AG472" s="351"/>
      <c r="AH472" s="607"/>
      <c r="AI472" s="351"/>
      <c r="AJ472" s="616"/>
      <c r="AK472" s="351"/>
      <c r="AL472" s="622"/>
      <c r="AM472" s="350"/>
      <c r="AN472" s="350"/>
      <c r="AO472" s="350"/>
      <c r="AP472" s="350"/>
      <c r="AQ472" s="350"/>
      <c r="AR472" s="350"/>
      <c r="AS472" s="350"/>
      <c r="AT472" s="350"/>
      <c r="AU472" s="350"/>
      <c r="AV472" s="350"/>
      <c r="AW472" s="350"/>
      <c r="AX472" s="350"/>
      <c r="AY472" s="350"/>
      <c r="AZ472" s="350"/>
      <c r="BA472" s="350"/>
      <c r="BB472" s="351"/>
    </row>
    <row r="473" spans="1:54" ht="15.75" customHeight="1">
      <c r="A473" s="25">
        <f t="shared" si="1"/>
        <v>460</v>
      </c>
      <c r="B473" s="599" t="str">
        <f>'refer admin discharge'!B469</f>
        <v>x</v>
      </c>
      <c r="C473" s="351"/>
      <c r="D473" s="600" t="str">
        <f>'refer admin discharge'!D469</f>
        <v>xx</v>
      </c>
      <c r="E473" s="351"/>
      <c r="F473" s="609" t="str">
        <f>'refer admin discharge'!H469</f>
        <v>00/00/0000</v>
      </c>
      <c r="G473" s="351"/>
      <c r="H473" s="610"/>
      <c r="I473" s="351"/>
      <c r="J473" s="611"/>
      <c r="K473" s="351"/>
      <c r="L473" s="610"/>
      <c r="M473" s="351"/>
      <c r="N473" s="612"/>
      <c r="O473" s="351"/>
      <c r="P473" s="610"/>
      <c r="Q473" s="351"/>
      <c r="R473" s="612"/>
      <c r="S473" s="351"/>
      <c r="T473" s="610"/>
      <c r="U473" s="351"/>
      <c r="V473" s="613" t="str">
        <f>'refer admin discharge'!H474</f>
        <v>00/00/0000</v>
      </c>
      <c r="W473" s="351"/>
      <c r="X473" s="607"/>
      <c r="Y473" s="351"/>
      <c r="Z473" s="614"/>
      <c r="AA473" s="351"/>
      <c r="AB473" s="607"/>
      <c r="AC473" s="351"/>
      <c r="AD473" s="606"/>
      <c r="AE473" s="351"/>
      <c r="AF473" s="607"/>
      <c r="AG473" s="351"/>
      <c r="AH473" s="606"/>
      <c r="AI473" s="351"/>
      <c r="AJ473" s="607"/>
      <c r="AK473" s="351"/>
      <c r="AL473" s="608"/>
      <c r="AM473" s="350"/>
      <c r="AN473" s="350"/>
      <c r="AO473" s="350"/>
      <c r="AP473" s="350"/>
      <c r="AQ473" s="350"/>
      <c r="AR473" s="350"/>
      <c r="AS473" s="350"/>
      <c r="AT473" s="350"/>
      <c r="AU473" s="350"/>
      <c r="AV473" s="350"/>
      <c r="AW473" s="350"/>
      <c r="AX473" s="350"/>
      <c r="AY473" s="350"/>
      <c r="AZ473" s="350"/>
      <c r="BA473" s="350"/>
      <c r="BB473" s="351"/>
    </row>
    <row r="474" spans="1:54" ht="15.75" customHeight="1">
      <c r="A474" s="25">
        <f t="shared" si="1"/>
        <v>461</v>
      </c>
      <c r="B474" s="618" t="str">
        <f>'refer admin discharge'!B470</f>
        <v>x</v>
      </c>
      <c r="C474" s="351"/>
      <c r="D474" s="619" t="str">
        <f>'refer admin discharge'!D470</f>
        <v>xx</v>
      </c>
      <c r="E474" s="351"/>
      <c r="F474" s="620" t="str">
        <f>'refer admin discharge'!H470</f>
        <v>00/00/0000</v>
      </c>
      <c r="G474" s="351"/>
      <c r="H474" s="615"/>
      <c r="I474" s="351"/>
      <c r="J474" s="621"/>
      <c r="K474" s="351"/>
      <c r="L474" s="615"/>
      <c r="M474" s="351"/>
      <c r="N474" s="610"/>
      <c r="O474" s="351"/>
      <c r="P474" s="615"/>
      <c r="Q474" s="351"/>
      <c r="R474" s="610"/>
      <c r="S474" s="351"/>
      <c r="T474" s="615"/>
      <c r="U474" s="351"/>
      <c r="V474" s="613" t="str">
        <f>'refer admin discharge'!H475</f>
        <v>00/00/0000</v>
      </c>
      <c r="W474" s="351"/>
      <c r="X474" s="616"/>
      <c r="Y474" s="351"/>
      <c r="Z474" s="617"/>
      <c r="AA474" s="351"/>
      <c r="AB474" s="616"/>
      <c r="AC474" s="351"/>
      <c r="AD474" s="607"/>
      <c r="AE474" s="351"/>
      <c r="AF474" s="616"/>
      <c r="AG474" s="351"/>
      <c r="AH474" s="607"/>
      <c r="AI474" s="351"/>
      <c r="AJ474" s="616"/>
      <c r="AK474" s="351"/>
      <c r="AL474" s="622"/>
      <c r="AM474" s="350"/>
      <c r="AN474" s="350"/>
      <c r="AO474" s="350"/>
      <c r="AP474" s="350"/>
      <c r="AQ474" s="350"/>
      <c r="AR474" s="350"/>
      <c r="AS474" s="350"/>
      <c r="AT474" s="350"/>
      <c r="AU474" s="350"/>
      <c r="AV474" s="350"/>
      <c r="AW474" s="350"/>
      <c r="AX474" s="350"/>
      <c r="AY474" s="350"/>
      <c r="AZ474" s="350"/>
      <c r="BA474" s="350"/>
      <c r="BB474" s="351"/>
    </row>
    <row r="475" spans="1:54" ht="15.75" customHeight="1">
      <c r="A475" s="25">
        <f t="shared" si="1"/>
        <v>462</v>
      </c>
      <c r="B475" s="599" t="str">
        <f>'refer admin discharge'!B471</f>
        <v>x</v>
      </c>
      <c r="C475" s="351"/>
      <c r="D475" s="600" t="str">
        <f>'refer admin discharge'!D471</f>
        <v>xx</v>
      </c>
      <c r="E475" s="351"/>
      <c r="F475" s="609" t="str">
        <f>'refer admin discharge'!H471</f>
        <v>00/00/0000</v>
      </c>
      <c r="G475" s="351"/>
      <c r="H475" s="610"/>
      <c r="I475" s="351"/>
      <c r="J475" s="611"/>
      <c r="K475" s="351"/>
      <c r="L475" s="610"/>
      <c r="M475" s="351"/>
      <c r="N475" s="612"/>
      <c r="O475" s="351"/>
      <c r="P475" s="610"/>
      <c r="Q475" s="351"/>
      <c r="R475" s="612"/>
      <c r="S475" s="351"/>
      <c r="T475" s="610"/>
      <c r="U475" s="351"/>
      <c r="V475" s="613" t="str">
        <f>'refer admin discharge'!H476</f>
        <v>00/00/0000</v>
      </c>
      <c r="W475" s="351"/>
      <c r="X475" s="607"/>
      <c r="Y475" s="351"/>
      <c r="Z475" s="614"/>
      <c r="AA475" s="351"/>
      <c r="AB475" s="607"/>
      <c r="AC475" s="351"/>
      <c r="AD475" s="606"/>
      <c r="AE475" s="351"/>
      <c r="AF475" s="607"/>
      <c r="AG475" s="351"/>
      <c r="AH475" s="606"/>
      <c r="AI475" s="351"/>
      <c r="AJ475" s="607"/>
      <c r="AK475" s="351"/>
      <c r="AL475" s="608"/>
      <c r="AM475" s="350"/>
      <c r="AN475" s="350"/>
      <c r="AO475" s="350"/>
      <c r="AP475" s="350"/>
      <c r="AQ475" s="350"/>
      <c r="AR475" s="350"/>
      <c r="AS475" s="350"/>
      <c r="AT475" s="350"/>
      <c r="AU475" s="350"/>
      <c r="AV475" s="350"/>
      <c r="AW475" s="350"/>
      <c r="AX475" s="350"/>
      <c r="AY475" s="350"/>
      <c r="AZ475" s="350"/>
      <c r="BA475" s="350"/>
      <c r="BB475" s="351"/>
    </row>
    <row r="476" spans="1:54" ht="15.75" customHeight="1">
      <c r="A476" s="25">
        <f t="shared" si="1"/>
        <v>463</v>
      </c>
      <c r="B476" s="618" t="str">
        <f>'refer admin discharge'!B472</f>
        <v>x</v>
      </c>
      <c r="C476" s="351"/>
      <c r="D476" s="619" t="str">
        <f>'refer admin discharge'!D472</f>
        <v>xx</v>
      </c>
      <c r="E476" s="351"/>
      <c r="F476" s="620" t="str">
        <f>'refer admin discharge'!H472</f>
        <v>00/00/0000</v>
      </c>
      <c r="G476" s="351"/>
      <c r="H476" s="615"/>
      <c r="I476" s="351"/>
      <c r="J476" s="621"/>
      <c r="K476" s="351"/>
      <c r="L476" s="615"/>
      <c r="M476" s="351"/>
      <c r="N476" s="610"/>
      <c r="O476" s="351"/>
      <c r="P476" s="615"/>
      <c r="Q476" s="351"/>
      <c r="R476" s="610"/>
      <c r="S476" s="351"/>
      <c r="T476" s="615"/>
      <c r="U476" s="351"/>
      <c r="V476" s="613" t="str">
        <f>'refer admin discharge'!H477</f>
        <v>00/00/0000</v>
      </c>
      <c r="W476" s="351"/>
      <c r="X476" s="616"/>
      <c r="Y476" s="351"/>
      <c r="Z476" s="617"/>
      <c r="AA476" s="351"/>
      <c r="AB476" s="616"/>
      <c r="AC476" s="351"/>
      <c r="AD476" s="607"/>
      <c r="AE476" s="351"/>
      <c r="AF476" s="616"/>
      <c r="AG476" s="351"/>
      <c r="AH476" s="607"/>
      <c r="AI476" s="351"/>
      <c r="AJ476" s="616"/>
      <c r="AK476" s="351"/>
      <c r="AL476" s="622"/>
      <c r="AM476" s="350"/>
      <c r="AN476" s="350"/>
      <c r="AO476" s="350"/>
      <c r="AP476" s="350"/>
      <c r="AQ476" s="350"/>
      <c r="AR476" s="350"/>
      <c r="AS476" s="350"/>
      <c r="AT476" s="350"/>
      <c r="AU476" s="350"/>
      <c r="AV476" s="350"/>
      <c r="AW476" s="350"/>
      <c r="AX476" s="350"/>
      <c r="AY476" s="350"/>
      <c r="AZ476" s="350"/>
      <c r="BA476" s="350"/>
      <c r="BB476" s="351"/>
    </row>
    <row r="477" spans="1:54" ht="15.75" customHeight="1">
      <c r="A477" s="25">
        <f t="shared" si="1"/>
        <v>464</v>
      </c>
      <c r="B477" s="599" t="str">
        <f>'refer admin discharge'!B473</f>
        <v>x</v>
      </c>
      <c r="C477" s="351"/>
      <c r="D477" s="600" t="str">
        <f>'refer admin discharge'!D473</f>
        <v>xx</v>
      </c>
      <c r="E477" s="351"/>
      <c r="F477" s="609" t="str">
        <f>'refer admin discharge'!H473</f>
        <v>00/00/0000</v>
      </c>
      <c r="G477" s="351"/>
      <c r="H477" s="610"/>
      <c r="I477" s="351"/>
      <c r="J477" s="611"/>
      <c r="K477" s="351"/>
      <c r="L477" s="610"/>
      <c r="M477" s="351"/>
      <c r="N477" s="612"/>
      <c r="O477" s="351"/>
      <c r="P477" s="610"/>
      <c r="Q477" s="351"/>
      <c r="R477" s="612"/>
      <c r="S477" s="351"/>
      <c r="T477" s="610"/>
      <c r="U477" s="351"/>
      <c r="V477" s="613" t="str">
        <f>'refer admin discharge'!H478</f>
        <v>00/00/0000</v>
      </c>
      <c r="W477" s="351"/>
      <c r="X477" s="607"/>
      <c r="Y477" s="351"/>
      <c r="Z477" s="614"/>
      <c r="AA477" s="351"/>
      <c r="AB477" s="607"/>
      <c r="AC477" s="351"/>
      <c r="AD477" s="606"/>
      <c r="AE477" s="351"/>
      <c r="AF477" s="607"/>
      <c r="AG477" s="351"/>
      <c r="AH477" s="606"/>
      <c r="AI477" s="351"/>
      <c r="AJ477" s="607"/>
      <c r="AK477" s="351"/>
      <c r="AL477" s="608"/>
      <c r="AM477" s="350"/>
      <c r="AN477" s="350"/>
      <c r="AO477" s="350"/>
      <c r="AP477" s="350"/>
      <c r="AQ477" s="350"/>
      <c r="AR477" s="350"/>
      <c r="AS477" s="350"/>
      <c r="AT477" s="350"/>
      <c r="AU477" s="350"/>
      <c r="AV477" s="350"/>
      <c r="AW477" s="350"/>
      <c r="AX477" s="350"/>
      <c r="AY477" s="350"/>
      <c r="AZ477" s="350"/>
      <c r="BA477" s="350"/>
      <c r="BB477" s="351"/>
    </row>
    <row r="478" spans="1:54" ht="15.75" customHeight="1">
      <c r="A478" s="25">
        <f t="shared" si="1"/>
        <v>465</v>
      </c>
      <c r="B478" s="618" t="str">
        <f>'refer admin discharge'!B474</f>
        <v>x</v>
      </c>
      <c r="C478" s="351"/>
      <c r="D478" s="619" t="str">
        <f>'refer admin discharge'!D474</f>
        <v>xx</v>
      </c>
      <c r="E478" s="351"/>
      <c r="F478" s="620" t="str">
        <f>'refer admin discharge'!H474</f>
        <v>00/00/0000</v>
      </c>
      <c r="G478" s="351"/>
      <c r="H478" s="615"/>
      <c r="I478" s="351"/>
      <c r="J478" s="621"/>
      <c r="K478" s="351"/>
      <c r="L478" s="615"/>
      <c r="M478" s="351"/>
      <c r="N478" s="610"/>
      <c r="O478" s="351"/>
      <c r="P478" s="615"/>
      <c r="Q478" s="351"/>
      <c r="R478" s="610"/>
      <c r="S478" s="351"/>
      <c r="T478" s="615"/>
      <c r="U478" s="351"/>
      <c r="V478" s="613" t="str">
        <f>'refer admin discharge'!H479</f>
        <v>00/00/0000</v>
      </c>
      <c r="W478" s="351"/>
      <c r="X478" s="616"/>
      <c r="Y478" s="351"/>
      <c r="Z478" s="617"/>
      <c r="AA478" s="351"/>
      <c r="AB478" s="616"/>
      <c r="AC478" s="351"/>
      <c r="AD478" s="607"/>
      <c r="AE478" s="351"/>
      <c r="AF478" s="616"/>
      <c r="AG478" s="351"/>
      <c r="AH478" s="607"/>
      <c r="AI478" s="351"/>
      <c r="AJ478" s="616"/>
      <c r="AK478" s="351"/>
      <c r="AL478" s="622"/>
      <c r="AM478" s="350"/>
      <c r="AN478" s="350"/>
      <c r="AO478" s="350"/>
      <c r="AP478" s="350"/>
      <c r="AQ478" s="350"/>
      <c r="AR478" s="350"/>
      <c r="AS478" s="350"/>
      <c r="AT478" s="350"/>
      <c r="AU478" s="350"/>
      <c r="AV478" s="350"/>
      <c r="AW478" s="350"/>
      <c r="AX478" s="350"/>
      <c r="AY478" s="350"/>
      <c r="AZ478" s="350"/>
      <c r="BA478" s="350"/>
      <c r="BB478" s="351"/>
    </row>
    <row r="479" spans="1:54" ht="15.75" customHeight="1">
      <c r="A479" s="25">
        <f t="shared" si="1"/>
        <v>466</v>
      </c>
      <c r="B479" s="599" t="str">
        <f>'refer admin discharge'!B475</f>
        <v>x</v>
      </c>
      <c r="C479" s="351"/>
      <c r="D479" s="600" t="str">
        <f>'refer admin discharge'!D475</f>
        <v>xx</v>
      </c>
      <c r="E479" s="351"/>
      <c r="F479" s="609" t="str">
        <f>'refer admin discharge'!H475</f>
        <v>00/00/0000</v>
      </c>
      <c r="G479" s="351"/>
      <c r="H479" s="610"/>
      <c r="I479" s="351"/>
      <c r="J479" s="611"/>
      <c r="K479" s="351"/>
      <c r="L479" s="610"/>
      <c r="M479" s="351"/>
      <c r="N479" s="612"/>
      <c r="O479" s="351"/>
      <c r="P479" s="610"/>
      <c r="Q479" s="351"/>
      <c r="R479" s="612"/>
      <c r="S479" s="351"/>
      <c r="T479" s="610"/>
      <c r="U479" s="351"/>
      <c r="V479" s="613" t="str">
        <f>'refer admin discharge'!H480</f>
        <v>00/00/0000</v>
      </c>
      <c r="W479" s="351"/>
      <c r="X479" s="607"/>
      <c r="Y479" s="351"/>
      <c r="Z479" s="614"/>
      <c r="AA479" s="351"/>
      <c r="AB479" s="607"/>
      <c r="AC479" s="351"/>
      <c r="AD479" s="606"/>
      <c r="AE479" s="351"/>
      <c r="AF479" s="607"/>
      <c r="AG479" s="351"/>
      <c r="AH479" s="606"/>
      <c r="AI479" s="351"/>
      <c r="AJ479" s="607"/>
      <c r="AK479" s="351"/>
      <c r="AL479" s="608"/>
      <c r="AM479" s="350"/>
      <c r="AN479" s="350"/>
      <c r="AO479" s="350"/>
      <c r="AP479" s="350"/>
      <c r="AQ479" s="350"/>
      <c r="AR479" s="350"/>
      <c r="AS479" s="350"/>
      <c r="AT479" s="350"/>
      <c r="AU479" s="350"/>
      <c r="AV479" s="350"/>
      <c r="AW479" s="350"/>
      <c r="AX479" s="350"/>
      <c r="AY479" s="350"/>
      <c r="AZ479" s="350"/>
      <c r="BA479" s="350"/>
      <c r="BB479" s="351"/>
    </row>
    <row r="480" spans="1:54" ht="15.75" customHeight="1">
      <c r="A480" s="25">
        <f t="shared" si="1"/>
        <v>467</v>
      </c>
      <c r="B480" s="618" t="str">
        <f>'refer admin discharge'!B476</f>
        <v>x</v>
      </c>
      <c r="C480" s="351"/>
      <c r="D480" s="619" t="str">
        <f>'refer admin discharge'!D476</f>
        <v>xx</v>
      </c>
      <c r="E480" s="351"/>
      <c r="F480" s="620" t="str">
        <f>'refer admin discharge'!H476</f>
        <v>00/00/0000</v>
      </c>
      <c r="G480" s="351"/>
      <c r="H480" s="615"/>
      <c r="I480" s="351"/>
      <c r="J480" s="621"/>
      <c r="K480" s="351"/>
      <c r="L480" s="615"/>
      <c r="M480" s="351"/>
      <c r="N480" s="610"/>
      <c r="O480" s="351"/>
      <c r="P480" s="615"/>
      <c r="Q480" s="351"/>
      <c r="R480" s="610"/>
      <c r="S480" s="351"/>
      <c r="T480" s="615"/>
      <c r="U480" s="351"/>
      <c r="V480" s="613" t="str">
        <f>'refer admin discharge'!H481</f>
        <v>00/00/0000</v>
      </c>
      <c r="W480" s="351"/>
      <c r="X480" s="616"/>
      <c r="Y480" s="351"/>
      <c r="Z480" s="617"/>
      <c r="AA480" s="351"/>
      <c r="AB480" s="616"/>
      <c r="AC480" s="351"/>
      <c r="AD480" s="607"/>
      <c r="AE480" s="351"/>
      <c r="AF480" s="616"/>
      <c r="AG480" s="351"/>
      <c r="AH480" s="607"/>
      <c r="AI480" s="351"/>
      <c r="AJ480" s="616"/>
      <c r="AK480" s="351"/>
      <c r="AL480" s="622"/>
      <c r="AM480" s="350"/>
      <c r="AN480" s="350"/>
      <c r="AO480" s="350"/>
      <c r="AP480" s="350"/>
      <c r="AQ480" s="350"/>
      <c r="AR480" s="350"/>
      <c r="AS480" s="350"/>
      <c r="AT480" s="350"/>
      <c r="AU480" s="350"/>
      <c r="AV480" s="350"/>
      <c r="AW480" s="350"/>
      <c r="AX480" s="350"/>
      <c r="AY480" s="350"/>
      <c r="AZ480" s="350"/>
      <c r="BA480" s="350"/>
      <c r="BB480" s="351"/>
    </row>
    <row r="481" spans="1:54" ht="15.75" customHeight="1">
      <c r="A481" s="25">
        <f t="shared" si="1"/>
        <v>468</v>
      </c>
      <c r="B481" s="599" t="str">
        <f>'refer admin discharge'!B477</f>
        <v>x</v>
      </c>
      <c r="C481" s="351"/>
      <c r="D481" s="600" t="str">
        <f>'refer admin discharge'!D477</f>
        <v>xx</v>
      </c>
      <c r="E481" s="351"/>
      <c r="F481" s="609" t="str">
        <f>'refer admin discharge'!H477</f>
        <v>00/00/0000</v>
      </c>
      <c r="G481" s="351"/>
      <c r="H481" s="610"/>
      <c r="I481" s="351"/>
      <c r="J481" s="611"/>
      <c r="K481" s="351"/>
      <c r="L481" s="610"/>
      <c r="M481" s="351"/>
      <c r="N481" s="612"/>
      <c r="O481" s="351"/>
      <c r="P481" s="610"/>
      <c r="Q481" s="351"/>
      <c r="R481" s="612"/>
      <c r="S481" s="351"/>
      <c r="T481" s="610"/>
      <c r="U481" s="351"/>
      <c r="V481" s="613" t="str">
        <f>'refer admin discharge'!H482</f>
        <v>00/00/0000</v>
      </c>
      <c r="W481" s="351"/>
      <c r="X481" s="607"/>
      <c r="Y481" s="351"/>
      <c r="Z481" s="614"/>
      <c r="AA481" s="351"/>
      <c r="AB481" s="607"/>
      <c r="AC481" s="351"/>
      <c r="AD481" s="606"/>
      <c r="AE481" s="351"/>
      <c r="AF481" s="607"/>
      <c r="AG481" s="351"/>
      <c r="AH481" s="606"/>
      <c r="AI481" s="351"/>
      <c r="AJ481" s="607"/>
      <c r="AK481" s="351"/>
      <c r="AL481" s="608"/>
      <c r="AM481" s="350"/>
      <c r="AN481" s="350"/>
      <c r="AO481" s="350"/>
      <c r="AP481" s="350"/>
      <c r="AQ481" s="350"/>
      <c r="AR481" s="350"/>
      <c r="AS481" s="350"/>
      <c r="AT481" s="350"/>
      <c r="AU481" s="350"/>
      <c r="AV481" s="350"/>
      <c r="AW481" s="350"/>
      <c r="AX481" s="350"/>
      <c r="AY481" s="350"/>
      <c r="AZ481" s="350"/>
      <c r="BA481" s="350"/>
      <c r="BB481" s="351"/>
    </row>
    <row r="482" spans="1:54" ht="15.75" customHeight="1">
      <c r="A482" s="25">
        <f t="shared" si="1"/>
        <v>469</v>
      </c>
      <c r="B482" s="618" t="str">
        <f>'refer admin discharge'!B478</f>
        <v>x</v>
      </c>
      <c r="C482" s="351"/>
      <c r="D482" s="619" t="str">
        <f>'refer admin discharge'!D478</f>
        <v>xx</v>
      </c>
      <c r="E482" s="351"/>
      <c r="F482" s="620" t="str">
        <f>'refer admin discharge'!H478</f>
        <v>00/00/0000</v>
      </c>
      <c r="G482" s="351"/>
      <c r="H482" s="615"/>
      <c r="I482" s="351"/>
      <c r="J482" s="621"/>
      <c r="K482" s="351"/>
      <c r="L482" s="615"/>
      <c r="M482" s="351"/>
      <c r="N482" s="610"/>
      <c r="O482" s="351"/>
      <c r="P482" s="615"/>
      <c r="Q482" s="351"/>
      <c r="R482" s="610"/>
      <c r="S482" s="351"/>
      <c r="T482" s="615"/>
      <c r="U482" s="351"/>
      <c r="V482" s="613" t="str">
        <f>'refer admin discharge'!H483</f>
        <v>00/00/0000</v>
      </c>
      <c r="W482" s="351"/>
      <c r="X482" s="616"/>
      <c r="Y482" s="351"/>
      <c r="Z482" s="617"/>
      <c r="AA482" s="351"/>
      <c r="AB482" s="616"/>
      <c r="AC482" s="351"/>
      <c r="AD482" s="607"/>
      <c r="AE482" s="351"/>
      <c r="AF482" s="616"/>
      <c r="AG482" s="351"/>
      <c r="AH482" s="607"/>
      <c r="AI482" s="351"/>
      <c r="AJ482" s="616"/>
      <c r="AK482" s="351"/>
      <c r="AL482" s="622"/>
      <c r="AM482" s="350"/>
      <c r="AN482" s="350"/>
      <c r="AO482" s="350"/>
      <c r="AP482" s="350"/>
      <c r="AQ482" s="350"/>
      <c r="AR482" s="350"/>
      <c r="AS482" s="350"/>
      <c r="AT482" s="350"/>
      <c r="AU482" s="350"/>
      <c r="AV482" s="350"/>
      <c r="AW482" s="350"/>
      <c r="AX482" s="350"/>
      <c r="AY482" s="350"/>
      <c r="AZ482" s="350"/>
      <c r="BA482" s="350"/>
      <c r="BB482" s="351"/>
    </row>
    <row r="483" spans="1:54" ht="15.75" customHeight="1">
      <c r="A483" s="25">
        <f t="shared" si="1"/>
        <v>470</v>
      </c>
      <c r="B483" s="599" t="str">
        <f>'refer admin discharge'!B479</f>
        <v>x</v>
      </c>
      <c r="C483" s="351"/>
      <c r="D483" s="600" t="str">
        <f>'refer admin discharge'!D479</f>
        <v>xx</v>
      </c>
      <c r="E483" s="351"/>
      <c r="F483" s="609" t="str">
        <f>'refer admin discharge'!H479</f>
        <v>00/00/0000</v>
      </c>
      <c r="G483" s="351"/>
      <c r="H483" s="610"/>
      <c r="I483" s="351"/>
      <c r="J483" s="611"/>
      <c r="K483" s="351"/>
      <c r="L483" s="610"/>
      <c r="M483" s="351"/>
      <c r="N483" s="612"/>
      <c r="O483" s="351"/>
      <c r="P483" s="610"/>
      <c r="Q483" s="351"/>
      <c r="R483" s="612"/>
      <c r="S483" s="351"/>
      <c r="T483" s="610"/>
      <c r="U483" s="351"/>
      <c r="V483" s="613" t="str">
        <f>'refer admin discharge'!H484</f>
        <v>00/00/0000</v>
      </c>
      <c r="W483" s="351"/>
      <c r="X483" s="607"/>
      <c r="Y483" s="351"/>
      <c r="Z483" s="614"/>
      <c r="AA483" s="351"/>
      <c r="AB483" s="607"/>
      <c r="AC483" s="351"/>
      <c r="AD483" s="606"/>
      <c r="AE483" s="351"/>
      <c r="AF483" s="607"/>
      <c r="AG483" s="351"/>
      <c r="AH483" s="606"/>
      <c r="AI483" s="351"/>
      <c r="AJ483" s="607"/>
      <c r="AK483" s="351"/>
      <c r="AL483" s="608"/>
      <c r="AM483" s="350"/>
      <c r="AN483" s="350"/>
      <c r="AO483" s="350"/>
      <c r="AP483" s="350"/>
      <c r="AQ483" s="350"/>
      <c r="AR483" s="350"/>
      <c r="AS483" s="350"/>
      <c r="AT483" s="350"/>
      <c r="AU483" s="350"/>
      <c r="AV483" s="350"/>
      <c r="AW483" s="350"/>
      <c r="AX483" s="350"/>
      <c r="AY483" s="350"/>
      <c r="AZ483" s="350"/>
      <c r="BA483" s="350"/>
      <c r="BB483" s="351"/>
    </row>
    <row r="484" spans="1:54" ht="15.75" customHeight="1">
      <c r="A484" s="25">
        <f t="shared" si="1"/>
        <v>471</v>
      </c>
      <c r="B484" s="618" t="str">
        <f>'refer admin discharge'!B480</f>
        <v>x</v>
      </c>
      <c r="C484" s="351"/>
      <c r="D484" s="619" t="str">
        <f>'refer admin discharge'!D480</f>
        <v>xx</v>
      </c>
      <c r="E484" s="351"/>
      <c r="F484" s="620" t="str">
        <f>'refer admin discharge'!H480</f>
        <v>00/00/0000</v>
      </c>
      <c r="G484" s="351"/>
      <c r="H484" s="615"/>
      <c r="I484" s="351"/>
      <c r="J484" s="621"/>
      <c r="K484" s="351"/>
      <c r="L484" s="615"/>
      <c r="M484" s="351"/>
      <c r="N484" s="610"/>
      <c r="O484" s="351"/>
      <c r="P484" s="615"/>
      <c r="Q484" s="351"/>
      <c r="R484" s="610"/>
      <c r="S484" s="351"/>
      <c r="T484" s="615"/>
      <c r="U484" s="351"/>
      <c r="V484" s="613" t="str">
        <f>'refer admin discharge'!H485</f>
        <v>00/00/0000</v>
      </c>
      <c r="W484" s="351"/>
      <c r="X484" s="616"/>
      <c r="Y484" s="351"/>
      <c r="Z484" s="617"/>
      <c r="AA484" s="351"/>
      <c r="AB484" s="616"/>
      <c r="AC484" s="351"/>
      <c r="AD484" s="607"/>
      <c r="AE484" s="351"/>
      <c r="AF484" s="616"/>
      <c r="AG484" s="351"/>
      <c r="AH484" s="607"/>
      <c r="AI484" s="351"/>
      <c r="AJ484" s="616"/>
      <c r="AK484" s="351"/>
      <c r="AL484" s="622"/>
      <c r="AM484" s="350"/>
      <c r="AN484" s="350"/>
      <c r="AO484" s="350"/>
      <c r="AP484" s="350"/>
      <c r="AQ484" s="350"/>
      <c r="AR484" s="350"/>
      <c r="AS484" s="350"/>
      <c r="AT484" s="350"/>
      <c r="AU484" s="350"/>
      <c r="AV484" s="350"/>
      <c r="AW484" s="350"/>
      <c r="AX484" s="350"/>
      <c r="AY484" s="350"/>
      <c r="AZ484" s="350"/>
      <c r="BA484" s="350"/>
      <c r="BB484" s="351"/>
    </row>
    <row r="485" spans="1:54" ht="15.75" customHeight="1">
      <c r="A485" s="25">
        <f t="shared" si="1"/>
        <v>472</v>
      </c>
      <c r="B485" s="599" t="str">
        <f>'refer admin discharge'!B481</f>
        <v>x</v>
      </c>
      <c r="C485" s="351"/>
      <c r="D485" s="600" t="str">
        <f>'refer admin discharge'!D481</f>
        <v>xx</v>
      </c>
      <c r="E485" s="351"/>
      <c r="F485" s="609" t="str">
        <f>'refer admin discharge'!H481</f>
        <v>00/00/0000</v>
      </c>
      <c r="G485" s="351"/>
      <c r="H485" s="610"/>
      <c r="I485" s="351"/>
      <c r="J485" s="611"/>
      <c r="K485" s="351"/>
      <c r="L485" s="610"/>
      <c r="M485" s="351"/>
      <c r="N485" s="612"/>
      <c r="O485" s="351"/>
      <c r="P485" s="610"/>
      <c r="Q485" s="351"/>
      <c r="R485" s="612"/>
      <c r="S485" s="351"/>
      <c r="T485" s="610"/>
      <c r="U485" s="351"/>
      <c r="V485" s="613" t="str">
        <f>'refer admin discharge'!H486</f>
        <v>00/00/0000</v>
      </c>
      <c r="W485" s="351"/>
      <c r="X485" s="607"/>
      <c r="Y485" s="351"/>
      <c r="Z485" s="614"/>
      <c r="AA485" s="351"/>
      <c r="AB485" s="607"/>
      <c r="AC485" s="351"/>
      <c r="AD485" s="606"/>
      <c r="AE485" s="351"/>
      <c r="AF485" s="607"/>
      <c r="AG485" s="351"/>
      <c r="AH485" s="606"/>
      <c r="AI485" s="351"/>
      <c r="AJ485" s="607"/>
      <c r="AK485" s="351"/>
      <c r="AL485" s="608"/>
      <c r="AM485" s="350"/>
      <c r="AN485" s="350"/>
      <c r="AO485" s="350"/>
      <c r="AP485" s="350"/>
      <c r="AQ485" s="350"/>
      <c r="AR485" s="350"/>
      <c r="AS485" s="350"/>
      <c r="AT485" s="350"/>
      <c r="AU485" s="350"/>
      <c r="AV485" s="350"/>
      <c r="AW485" s="350"/>
      <c r="AX485" s="350"/>
      <c r="AY485" s="350"/>
      <c r="AZ485" s="350"/>
      <c r="BA485" s="350"/>
      <c r="BB485" s="351"/>
    </row>
    <row r="486" spans="1:54" ht="15.75" customHeight="1">
      <c r="A486" s="25">
        <f t="shared" si="1"/>
        <v>473</v>
      </c>
      <c r="B486" s="618" t="str">
        <f>'refer admin discharge'!B482</f>
        <v>x</v>
      </c>
      <c r="C486" s="351"/>
      <c r="D486" s="619" t="str">
        <f>'refer admin discharge'!D482</f>
        <v>xx</v>
      </c>
      <c r="E486" s="351"/>
      <c r="F486" s="620" t="str">
        <f>'refer admin discharge'!H482</f>
        <v>00/00/0000</v>
      </c>
      <c r="G486" s="351"/>
      <c r="H486" s="615"/>
      <c r="I486" s="351"/>
      <c r="J486" s="621"/>
      <c r="K486" s="351"/>
      <c r="L486" s="615"/>
      <c r="M486" s="351"/>
      <c r="N486" s="610"/>
      <c r="O486" s="351"/>
      <c r="P486" s="615"/>
      <c r="Q486" s="351"/>
      <c r="R486" s="610"/>
      <c r="S486" s="351"/>
      <c r="T486" s="615"/>
      <c r="U486" s="351"/>
      <c r="V486" s="613" t="str">
        <f>'refer admin discharge'!H487</f>
        <v>00/00/0000</v>
      </c>
      <c r="W486" s="351"/>
      <c r="X486" s="616"/>
      <c r="Y486" s="351"/>
      <c r="Z486" s="617"/>
      <c r="AA486" s="351"/>
      <c r="AB486" s="616"/>
      <c r="AC486" s="351"/>
      <c r="AD486" s="607"/>
      <c r="AE486" s="351"/>
      <c r="AF486" s="616"/>
      <c r="AG486" s="351"/>
      <c r="AH486" s="607"/>
      <c r="AI486" s="351"/>
      <c r="AJ486" s="616"/>
      <c r="AK486" s="351"/>
      <c r="AL486" s="622"/>
      <c r="AM486" s="350"/>
      <c r="AN486" s="350"/>
      <c r="AO486" s="350"/>
      <c r="AP486" s="350"/>
      <c r="AQ486" s="350"/>
      <c r="AR486" s="350"/>
      <c r="AS486" s="350"/>
      <c r="AT486" s="350"/>
      <c r="AU486" s="350"/>
      <c r="AV486" s="350"/>
      <c r="AW486" s="350"/>
      <c r="AX486" s="350"/>
      <c r="AY486" s="350"/>
      <c r="AZ486" s="350"/>
      <c r="BA486" s="350"/>
      <c r="BB486" s="351"/>
    </row>
    <row r="487" spans="1:54" ht="15.75" customHeight="1">
      <c r="A487" s="25">
        <f t="shared" si="1"/>
        <v>474</v>
      </c>
      <c r="B487" s="599" t="str">
        <f>'refer admin discharge'!B483</f>
        <v>x</v>
      </c>
      <c r="C487" s="351"/>
      <c r="D487" s="600" t="str">
        <f>'refer admin discharge'!D483</f>
        <v>xx</v>
      </c>
      <c r="E487" s="351"/>
      <c r="F487" s="609" t="str">
        <f>'refer admin discharge'!H483</f>
        <v>00/00/0000</v>
      </c>
      <c r="G487" s="351"/>
      <c r="H487" s="610"/>
      <c r="I487" s="351"/>
      <c r="J487" s="611"/>
      <c r="K487" s="351"/>
      <c r="L487" s="610"/>
      <c r="M487" s="351"/>
      <c r="N487" s="612"/>
      <c r="O487" s="351"/>
      <c r="P487" s="610"/>
      <c r="Q487" s="351"/>
      <c r="R487" s="612"/>
      <c r="S487" s="351"/>
      <c r="T487" s="610"/>
      <c r="U487" s="351"/>
      <c r="V487" s="613" t="str">
        <f>'refer admin discharge'!H488</f>
        <v>00/00/0000</v>
      </c>
      <c r="W487" s="351"/>
      <c r="X487" s="607"/>
      <c r="Y487" s="351"/>
      <c r="Z487" s="614"/>
      <c r="AA487" s="351"/>
      <c r="AB487" s="607"/>
      <c r="AC487" s="351"/>
      <c r="AD487" s="606"/>
      <c r="AE487" s="351"/>
      <c r="AF487" s="607"/>
      <c r="AG487" s="351"/>
      <c r="AH487" s="606"/>
      <c r="AI487" s="351"/>
      <c r="AJ487" s="607"/>
      <c r="AK487" s="351"/>
      <c r="AL487" s="608"/>
      <c r="AM487" s="350"/>
      <c r="AN487" s="350"/>
      <c r="AO487" s="350"/>
      <c r="AP487" s="350"/>
      <c r="AQ487" s="350"/>
      <c r="AR487" s="350"/>
      <c r="AS487" s="350"/>
      <c r="AT487" s="350"/>
      <c r="AU487" s="350"/>
      <c r="AV487" s="350"/>
      <c r="AW487" s="350"/>
      <c r="AX487" s="350"/>
      <c r="AY487" s="350"/>
      <c r="AZ487" s="350"/>
      <c r="BA487" s="350"/>
      <c r="BB487" s="351"/>
    </row>
    <row r="488" spans="1:54" ht="15.75" customHeight="1">
      <c r="A488" s="25">
        <f t="shared" si="1"/>
        <v>475</v>
      </c>
      <c r="B488" s="618" t="str">
        <f>'refer admin discharge'!B484</f>
        <v>x</v>
      </c>
      <c r="C488" s="351"/>
      <c r="D488" s="619" t="str">
        <f>'refer admin discharge'!D484</f>
        <v>xx</v>
      </c>
      <c r="E488" s="351"/>
      <c r="F488" s="620" t="str">
        <f>'refer admin discharge'!H484</f>
        <v>00/00/0000</v>
      </c>
      <c r="G488" s="351"/>
      <c r="H488" s="615"/>
      <c r="I488" s="351"/>
      <c r="J488" s="621"/>
      <c r="K488" s="351"/>
      <c r="L488" s="615"/>
      <c r="M488" s="351"/>
      <c r="N488" s="610"/>
      <c r="O488" s="351"/>
      <c r="P488" s="615"/>
      <c r="Q488" s="351"/>
      <c r="R488" s="610"/>
      <c r="S488" s="351"/>
      <c r="T488" s="615"/>
      <c r="U488" s="351"/>
      <c r="V488" s="613" t="str">
        <f>'refer admin discharge'!H489</f>
        <v>00/00/0000</v>
      </c>
      <c r="W488" s="351"/>
      <c r="X488" s="616"/>
      <c r="Y488" s="351"/>
      <c r="Z488" s="617"/>
      <c r="AA488" s="351"/>
      <c r="AB488" s="616"/>
      <c r="AC488" s="351"/>
      <c r="AD488" s="607"/>
      <c r="AE488" s="351"/>
      <c r="AF488" s="616"/>
      <c r="AG488" s="351"/>
      <c r="AH488" s="607"/>
      <c r="AI488" s="351"/>
      <c r="AJ488" s="616"/>
      <c r="AK488" s="351"/>
      <c r="AL488" s="622"/>
      <c r="AM488" s="350"/>
      <c r="AN488" s="350"/>
      <c r="AO488" s="350"/>
      <c r="AP488" s="350"/>
      <c r="AQ488" s="350"/>
      <c r="AR488" s="350"/>
      <c r="AS488" s="350"/>
      <c r="AT488" s="350"/>
      <c r="AU488" s="350"/>
      <c r="AV488" s="350"/>
      <c r="AW488" s="350"/>
      <c r="AX488" s="350"/>
      <c r="AY488" s="350"/>
      <c r="AZ488" s="350"/>
      <c r="BA488" s="350"/>
      <c r="BB488" s="351"/>
    </row>
    <row r="489" spans="1:54" ht="15.75" customHeight="1">
      <c r="A489" s="25">
        <f t="shared" si="1"/>
        <v>476</v>
      </c>
      <c r="B489" s="599" t="str">
        <f>'refer admin discharge'!B485</f>
        <v>x</v>
      </c>
      <c r="C489" s="351"/>
      <c r="D489" s="600" t="str">
        <f>'refer admin discharge'!D485</f>
        <v>xx</v>
      </c>
      <c r="E489" s="351"/>
      <c r="F489" s="609" t="str">
        <f>'refer admin discharge'!H485</f>
        <v>00/00/0000</v>
      </c>
      <c r="G489" s="351"/>
      <c r="H489" s="610"/>
      <c r="I489" s="351"/>
      <c r="J489" s="611"/>
      <c r="K489" s="351"/>
      <c r="L489" s="610"/>
      <c r="M489" s="351"/>
      <c r="N489" s="612"/>
      <c r="O489" s="351"/>
      <c r="P489" s="610"/>
      <c r="Q489" s="351"/>
      <c r="R489" s="612"/>
      <c r="S489" s="351"/>
      <c r="T489" s="610"/>
      <c r="U489" s="351"/>
      <c r="V489" s="613" t="str">
        <f>'refer admin discharge'!H490</f>
        <v>00/00/0000</v>
      </c>
      <c r="W489" s="351"/>
      <c r="X489" s="607"/>
      <c r="Y489" s="351"/>
      <c r="Z489" s="614"/>
      <c r="AA489" s="351"/>
      <c r="AB489" s="607"/>
      <c r="AC489" s="351"/>
      <c r="AD489" s="606"/>
      <c r="AE489" s="351"/>
      <c r="AF489" s="607"/>
      <c r="AG489" s="351"/>
      <c r="AH489" s="606"/>
      <c r="AI489" s="351"/>
      <c r="AJ489" s="607"/>
      <c r="AK489" s="351"/>
      <c r="AL489" s="608"/>
      <c r="AM489" s="350"/>
      <c r="AN489" s="350"/>
      <c r="AO489" s="350"/>
      <c r="AP489" s="350"/>
      <c r="AQ489" s="350"/>
      <c r="AR489" s="350"/>
      <c r="AS489" s="350"/>
      <c r="AT489" s="350"/>
      <c r="AU489" s="350"/>
      <c r="AV489" s="350"/>
      <c r="AW489" s="350"/>
      <c r="AX489" s="350"/>
      <c r="AY489" s="350"/>
      <c r="AZ489" s="350"/>
      <c r="BA489" s="350"/>
      <c r="BB489" s="351"/>
    </row>
    <row r="490" spans="1:54" ht="15.75" customHeight="1">
      <c r="A490" s="25">
        <f t="shared" si="1"/>
        <v>477</v>
      </c>
      <c r="B490" s="618" t="str">
        <f>'refer admin discharge'!B486</f>
        <v>x</v>
      </c>
      <c r="C490" s="351"/>
      <c r="D490" s="619" t="str">
        <f>'refer admin discharge'!D486</f>
        <v>xx</v>
      </c>
      <c r="E490" s="351"/>
      <c r="F490" s="620" t="str">
        <f>'refer admin discharge'!H486</f>
        <v>00/00/0000</v>
      </c>
      <c r="G490" s="351"/>
      <c r="H490" s="615"/>
      <c r="I490" s="351"/>
      <c r="J490" s="621"/>
      <c r="K490" s="351"/>
      <c r="L490" s="615"/>
      <c r="M490" s="351"/>
      <c r="N490" s="610"/>
      <c r="O490" s="351"/>
      <c r="P490" s="615"/>
      <c r="Q490" s="351"/>
      <c r="R490" s="610"/>
      <c r="S490" s="351"/>
      <c r="T490" s="615"/>
      <c r="U490" s="351"/>
      <c r="V490" s="613" t="str">
        <f>'refer admin discharge'!H491</f>
        <v>00/00/0000</v>
      </c>
      <c r="W490" s="351"/>
      <c r="X490" s="616"/>
      <c r="Y490" s="351"/>
      <c r="Z490" s="617"/>
      <c r="AA490" s="351"/>
      <c r="AB490" s="616"/>
      <c r="AC490" s="351"/>
      <c r="AD490" s="607"/>
      <c r="AE490" s="351"/>
      <c r="AF490" s="616"/>
      <c r="AG490" s="351"/>
      <c r="AH490" s="607"/>
      <c r="AI490" s="351"/>
      <c r="AJ490" s="616"/>
      <c r="AK490" s="351"/>
      <c r="AL490" s="622"/>
      <c r="AM490" s="350"/>
      <c r="AN490" s="350"/>
      <c r="AO490" s="350"/>
      <c r="AP490" s="350"/>
      <c r="AQ490" s="350"/>
      <c r="AR490" s="350"/>
      <c r="AS490" s="350"/>
      <c r="AT490" s="350"/>
      <c r="AU490" s="350"/>
      <c r="AV490" s="350"/>
      <c r="AW490" s="350"/>
      <c r="AX490" s="350"/>
      <c r="AY490" s="350"/>
      <c r="AZ490" s="350"/>
      <c r="BA490" s="350"/>
      <c r="BB490" s="351"/>
    </row>
    <row r="491" spans="1:54" ht="15.75" customHeight="1">
      <c r="A491" s="25">
        <f t="shared" si="1"/>
        <v>478</v>
      </c>
      <c r="B491" s="599" t="str">
        <f>'refer admin discharge'!B487</f>
        <v>x</v>
      </c>
      <c r="C491" s="351"/>
      <c r="D491" s="600" t="str">
        <f>'refer admin discharge'!D487</f>
        <v>xx</v>
      </c>
      <c r="E491" s="351"/>
      <c r="F491" s="609" t="str">
        <f>'refer admin discharge'!H487</f>
        <v>00/00/0000</v>
      </c>
      <c r="G491" s="351"/>
      <c r="H491" s="610"/>
      <c r="I491" s="351"/>
      <c r="J491" s="611"/>
      <c r="K491" s="351"/>
      <c r="L491" s="610"/>
      <c r="M491" s="351"/>
      <c r="N491" s="612"/>
      <c r="O491" s="351"/>
      <c r="P491" s="610"/>
      <c r="Q491" s="351"/>
      <c r="R491" s="612"/>
      <c r="S491" s="351"/>
      <c r="T491" s="610"/>
      <c r="U491" s="351"/>
      <c r="V491" s="613" t="str">
        <f>'refer admin discharge'!H492</f>
        <v>00/00/0000</v>
      </c>
      <c r="W491" s="351"/>
      <c r="X491" s="607"/>
      <c r="Y491" s="351"/>
      <c r="Z491" s="614"/>
      <c r="AA491" s="351"/>
      <c r="AB491" s="607"/>
      <c r="AC491" s="351"/>
      <c r="AD491" s="606"/>
      <c r="AE491" s="351"/>
      <c r="AF491" s="607"/>
      <c r="AG491" s="351"/>
      <c r="AH491" s="606"/>
      <c r="AI491" s="351"/>
      <c r="AJ491" s="607"/>
      <c r="AK491" s="351"/>
      <c r="AL491" s="608"/>
      <c r="AM491" s="350"/>
      <c r="AN491" s="350"/>
      <c r="AO491" s="350"/>
      <c r="AP491" s="350"/>
      <c r="AQ491" s="350"/>
      <c r="AR491" s="350"/>
      <c r="AS491" s="350"/>
      <c r="AT491" s="350"/>
      <c r="AU491" s="350"/>
      <c r="AV491" s="350"/>
      <c r="AW491" s="350"/>
      <c r="AX491" s="350"/>
      <c r="AY491" s="350"/>
      <c r="AZ491" s="350"/>
      <c r="BA491" s="350"/>
      <c r="BB491" s="351"/>
    </row>
    <row r="492" spans="1:54" ht="15.75" customHeight="1">
      <c r="A492" s="25">
        <f t="shared" si="1"/>
        <v>479</v>
      </c>
      <c r="B492" s="618" t="str">
        <f>'refer admin discharge'!B488</f>
        <v>x</v>
      </c>
      <c r="C492" s="351"/>
      <c r="D492" s="619" t="str">
        <f>'refer admin discharge'!D488</f>
        <v>xx</v>
      </c>
      <c r="E492" s="351"/>
      <c r="F492" s="620" t="str">
        <f>'refer admin discharge'!H488</f>
        <v>00/00/0000</v>
      </c>
      <c r="G492" s="351"/>
      <c r="H492" s="615"/>
      <c r="I492" s="351"/>
      <c r="J492" s="621"/>
      <c r="K492" s="351"/>
      <c r="L492" s="615"/>
      <c r="M492" s="351"/>
      <c r="N492" s="610"/>
      <c r="O492" s="351"/>
      <c r="P492" s="615"/>
      <c r="Q492" s="351"/>
      <c r="R492" s="610"/>
      <c r="S492" s="351"/>
      <c r="T492" s="615"/>
      <c r="U492" s="351"/>
      <c r="V492" s="613" t="str">
        <f>'refer admin discharge'!H493</f>
        <v>00/00/0000</v>
      </c>
      <c r="W492" s="351"/>
      <c r="X492" s="616"/>
      <c r="Y492" s="351"/>
      <c r="Z492" s="617"/>
      <c r="AA492" s="351"/>
      <c r="AB492" s="616"/>
      <c r="AC492" s="351"/>
      <c r="AD492" s="607"/>
      <c r="AE492" s="351"/>
      <c r="AF492" s="616"/>
      <c r="AG492" s="351"/>
      <c r="AH492" s="607"/>
      <c r="AI492" s="351"/>
      <c r="AJ492" s="616"/>
      <c r="AK492" s="351"/>
      <c r="AL492" s="622"/>
      <c r="AM492" s="350"/>
      <c r="AN492" s="350"/>
      <c r="AO492" s="350"/>
      <c r="AP492" s="350"/>
      <c r="AQ492" s="350"/>
      <c r="AR492" s="350"/>
      <c r="AS492" s="350"/>
      <c r="AT492" s="350"/>
      <c r="AU492" s="350"/>
      <c r="AV492" s="350"/>
      <c r="AW492" s="350"/>
      <c r="AX492" s="350"/>
      <c r="AY492" s="350"/>
      <c r="AZ492" s="350"/>
      <c r="BA492" s="350"/>
      <c r="BB492" s="351"/>
    </row>
    <row r="493" spans="1:54" ht="15.75" customHeight="1">
      <c r="A493" s="25">
        <f t="shared" si="1"/>
        <v>480</v>
      </c>
      <c r="B493" s="599" t="str">
        <f>'refer admin discharge'!B489</f>
        <v>x</v>
      </c>
      <c r="C493" s="351"/>
      <c r="D493" s="600" t="str">
        <f>'refer admin discharge'!D489</f>
        <v>xx</v>
      </c>
      <c r="E493" s="351"/>
      <c r="F493" s="609" t="str">
        <f>'refer admin discharge'!H489</f>
        <v>00/00/0000</v>
      </c>
      <c r="G493" s="351"/>
      <c r="H493" s="610"/>
      <c r="I493" s="351"/>
      <c r="J493" s="611"/>
      <c r="K493" s="351"/>
      <c r="L493" s="610"/>
      <c r="M493" s="351"/>
      <c r="N493" s="612"/>
      <c r="O493" s="351"/>
      <c r="P493" s="610"/>
      <c r="Q493" s="351"/>
      <c r="R493" s="612"/>
      <c r="S493" s="351"/>
      <c r="T493" s="610"/>
      <c r="U493" s="351"/>
      <c r="V493" s="613" t="str">
        <f>'refer admin discharge'!H494</f>
        <v>00/00/0000</v>
      </c>
      <c r="W493" s="351"/>
      <c r="X493" s="607"/>
      <c r="Y493" s="351"/>
      <c r="Z493" s="614"/>
      <c r="AA493" s="351"/>
      <c r="AB493" s="607"/>
      <c r="AC493" s="351"/>
      <c r="AD493" s="606"/>
      <c r="AE493" s="351"/>
      <c r="AF493" s="607"/>
      <c r="AG493" s="351"/>
      <c r="AH493" s="606"/>
      <c r="AI493" s="351"/>
      <c r="AJ493" s="607"/>
      <c r="AK493" s="351"/>
      <c r="AL493" s="608"/>
      <c r="AM493" s="350"/>
      <c r="AN493" s="350"/>
      <c r="AO493" s="350"/>
      <c r="AP493" s="350"/>
      <c r="AQ493" s="350"/>
      <c r="AR493" s="350"/>
      <c r="AS493" s="350"/>
      <c r="AT493" s="350"/>
      <c r="AU493" s="350"/>
      <c r="AV493" s="350"/>
      <c r="AW493" s="350"/>
      <c r="AX493" s="350"/>
      <c r="AY493" s="350"/>
      <c r="AZ493" s="350"/>
      <c r="BA493" s="350"/>
      <c r="BB493" s="351"/>
    </row>
    <row r="494" spans="1:54" ht="15.75" customHeight="1">
      <c r="A494" s="25">
        <f t="shared" si="1"/>
        <v>481</v>
      </c>
      <c r="B494" s="618" t="str">
        <f>'refer admin discharge'!B490</f>
        <v>x</v>
      </c>
      <c r="C494" s="351"/>
      <c r="D494" s="619" t="str">
        <f>'refer admin discharge'!D490</f>
        <v>xx</v>
      </c>
      <c r="E494" s="351"/>
      <c r="F494" s="620" t="str">
        <f>'refer admin discharge'!H490</f>
        <v>00/00/0000</v>
      </c>
      <c r="G494" s="351"/>
      <c r="H494" s="615"/>
      <c r="I494" s="351"/>
      <c r="J494" s="621"/>
      <c r="K494" s="351"/>
      <c r="L494" s="615"/>
      <c r="M494" s="351"/>
      <c r="N494" s="610"/>
      <c r="O494" s="351"/>
      <c r="P494" s="615"/>
      <c r="Q494" s="351"/>
      <c r="R494" s="610"/>
      <c r="S494" s="351"/>
      <c r="T494" s="615"/>
      <c r="U494" s="351"/>
      <c r="V494" s="613" t="str">
        <f>'refer admin discharge'!H495</f>
        <v>00/00/0000</v>
      </c>
      <c r="W494" s="351"/>
      <c r="X494" s="616"/>
      <c r="Y494" s="351"/>
      <c r="Z494" s="617"/>
      <c r="AA494" s="351"/>
      <c r="AB494" s="616"/>
      <c r="AC494" s="351"/>
      <c r="AD494" s="607"/>
      <c r="AE494" s="351"/>
      <c r="AF494" s="616"/>
      <c r="AG494" s="351"/>
      <c r="AH494" s="607"/>
      <c r="AI494" s="351"/>
      <c r="AJ494" s="616"/>
      <c r="AK494" s="351"/>
      <c r="AL494" s="622"/>
      <c r="AM494" s="350"/>
      <c r="AN494" s="350"/>
      <c r="AO494" s="350"/>
      <c r="AP494" s="350"/>
      <c r="AQ494" s="350"/>
      <c r="AR494" s="350"/>
      <c r="AS494" s="350"/>
      <c r="AT494" s="350"/>
      <c r="AU494" s="350"/>
      <c r="AV494" s="350"/>
      <c r="AW494" s="350"/>
      <c r="AX494" s="350"/>
      <c r="AY494" s="350"/>
      <c r="AZ494" s="350"/>
      <c r="BA494" s="350"/>
      <c r="BB494" s="351"/>
    </row>
    <row r="495" spans="1:54" ht="15.75" customHeight="1">
      <c r="A495" s="25">
        <f t="shared" si="1"/>
        <v>482</v>
      </c>
      <c r="B495" s="599" t="str">
        <f>'refer admin discharge'!B491</f>
        <v>x</v>
      </c>
      <c r="C495" s="351"/>
      <c r="D495" s="600" t="str">
        <f>'refer admin discharge'!D491</f>
        <v>xx</v>
      </c>
      <c r="E495" s="351"/>
      <c r="F495" s="609" t="str">
        <f>'refer admin discharge'!H491</f>
        <v>00/00/0000</v>
      </c>
      <c r="G495" s="351"/>
      <c r="H495" s="610"/>
      <c r="I495" s="351"/>
      <c r="J495" s="611"/>
      <c r="K495" s="351"/>
      <c r="L495" s="610"/>
      <c r="M495" s="351"/>
      <c r="N495" s="612"/>
      <c r="O495" s="351"/>
      <c r="P495" s="610"/>
      <c r="Q495" s="351"/>
      <c r="R495" s="612"/>
      <c r="S495" s="351"/>
      <c r="T495" s="610"/>
      <c r="U495" s="351"/>
      <c r="V495" s="613" t="str">
        <f>'refer admin discharge'!H496</f>
        <v>00/00/0000</v>
      </c>
      <c r="W495" s="351"/>
      <c r="X495" s="607"/>
      <c r="Y495" s="351"/>
      <c r="Z495" s="614"/>
      <c r="AA495" s="351"/>
      <c r="AB495" s="607"/>
      <c r="AC495" s="351"/>
      <c r="AD495" s="606"/>
      <c r="AE495" s="351"/>
      <c r="AF495" s="607"/>
      <c r="AG495" s="351"/>
      <c r="AH495" s="606"/>
      <c r="AI495" s="351"/>
      <c r="AJ495" s="607"/>
      <c r="AK495" s="351"/>
      <c r="AL495" s="608"/>
      <c r="AM495" s="350"/>
      <c r="AN495" s="350"/>
      <c r="AO495" s="350"/>
      <c r="AP495" s="350"/>
      <c r="AQ495" s="350"/>
      <c r="AR495" s="350"/>
      <c r="AS495" s="350"/>
      <c r="AT495" s="350"/>
      <c r="AU495" s="350"/>
      <c r="AV495" s="350"/>
      <c r="AW495" s="350"/>
      <c r="AX495" s="350"/>
      <c r="AY495" s="350"/>
      <c r="AZ495" s="350"/>
      <c r="BA495" s="350"/>
      <c r="BB495" s="351"/>
    </row>
    <row r="496" spans="1:54" ht="15.75" customHeight="1">
      <c r="A496" s="25">
        <f t="shared" si="1"/>
        <v>483</v>
      </c>
      <c r="B496" s="618" t="str">
        <f>'refer admin discharge'!B492</f>
        <v>x</v>
      </c>
      <c r="C496" s="351"/>
      <c r="D496" s="619" t="str">
        <f>'refer admin discharge'!D492</f>
        <v>xx</v>
      </c>
      <c r="E496" s="351"/>
      <c r="F496" s="620" t="str">
        <f>'refer admin discharge'!H492</f>
        <v>00/00/0000</v>
      </c>
      <c r="G496" s="351"/>
      <c r="H496" s="615"/>
      <c r="I496" s="351"/>
      <c r="J496" s="621"/>
      <c r="K496" s="351"/>
      <c r="L496" s="615"/>
      <c r="M496" s="351"/>
      <c r="N496" s="610"/>
      <c r="O496" s="351"/>
      <c r="P496" s="615"/>
      <c r="Q496" s="351"/>
      <c r="R496" s="610"/>
      <c r="S496" s="351"/>
      <c r="T496" s="615"/>
      <c r="U496" s="351"/>
      <c r="V496" s="613" t="str">
        <f>'refer admin discharge'!H497</f>
        <v>00/00/0000</v>
      </c>
      <c r="W496" s="351"/>
      <c r="X496" s="616"/>
      <c r="Y496" s="351"/>
      <c r="Z496" s="617"/>
      <c r="AA496" s="351"/>
      <c r="AB496" s="616"/>
      <c r="AC496" s="351"/>
      <c r="AD496" s="607"/>
      <c r="AE496" s="351"/>
      <c r="AF496" s="616"/>
      <c r="AG496" s="351"/>
      <c r="AH496" s="607"/>
      <c r="AI496" s="351"/>
      <c r="AJ496" s="616"/>
      <c r="AK496" s="351"/>
      <c r="AL496" s="622"/>
      <c r="AM496" s="350"/>
      <c r="AN496" s="350"/>
      <c r="AO496" s="350"/>
      <c r="AP496" s="350"/>
      <c r="AQ496" s="350"/>
      <c r="AR496" s="350"/>
      <c r="AS496" s="350"/>
      <c r="AT496" s="350"/>
      <c r="AU496" s="350"/>
      <c r="AV496" s="350"/>
      <c r="AW496" s="350"/>
      <c r="AX496" s="350"/>
      <c r="AY496" s="350"/>
      <c r="AZ496" s="350"/>
      <c r="BA496" s="350"/>
      <c r="BB496" s="351"/>
    </row>
    <row r="497" spans="1:54" ht="15.75" customHeight="1">
      <c r="A497" s="25">
        <f t="shared" si="1"/>
        <v>484</v>
      </c>
      <c r="B497" s="599" t="str">
        <f>'refer admin discharge'!B493</f>
        <v>x</v>
      </c>
      <c r="C497" s="351"/>
      <c r="D497" s="600" t="str">
        <f>'refer admin discharge'!D493</f>
        <v>xx</v>
      </c>
      <c r="E497" s="351"/>
      <c r="F497" s="609" t="str">
        <f>'refer admin discharge'!H493</f>
        <v>00/00/0000</v>
      </c>
      <c r="G497" s="351"/>
      <c r="H497" s="610"/>
      <c r="I497" s="351"/>
      <c r="J497" s="611"/>
      <c r="K497" s="351"/>
      <c r="L497" s="610"/>
      <c r="M497" s="351"/>
      <c r="N497" s="612"/>
      <c r="O497" s="351"/>
      <c r="P497" s="610"/>
      <c r="Q497" s="351"/>
      <c r="R497" s="612"/>
      <c r="S497" s="351"/>
      <c r="T497" s="610"/>
      <c r="U497" s="351"/>
      <c r="V497" s="613" t="str">
        <f>'refer admin discharge'!H498</f>
        <v>00/00/0000</v>
      </c>
      <c r="W497" s="351"/>
      <c r="X497" s="607"/>
      <c r="Y497" s="351"/>
      <c r="Z497" s="614"/>
      <c r="AA497" s="351"/>
      <c r="AB497" s="607"/>
      <c r="AC497" s="351"/>
      <c r="AD497" s="606"/>
      <c r="AE497" s="351"/>
      <c r="AF497" s="607"/>
      <c r="AG497" s="351"/>
      <c r="AH497" s="606"/>
      <c r="AI497" s="351"/>
      <c r="AJ497" s="607"/>
      <c r="AK497" s="351"/>
      <c r="AL497" s="608"/>
      <c r="AM497" s="350"/>
      <c r="AN497" s="350"/>
      <c r="AO497" s="350"/>
      <c r="AP497" s="350"/>
      <c r="AQ497" s="350"/>
      <c r="AR497" s="350"/>
      <c r="AS497" s="350"/>
      <c r="AT497" s="350"/>
      <c r="AU497" s="350"/>
      <c r="AV497" s="350"/>
      <c r="AW497" s="350"/>
      <c r="AX497" s="350"/>
      <c r="AY497" s="350"/>
      <c r="AZ497" s="350"/>
      <c r="BA497" s="350"/>
      <c r="BB497" s="351"/>
    </row>
    <row r="498" spans="1:54" ht="15.75" customHeight="1">
      <c r="A498" s="25">
        <f t="shared" si="1"/>
        <v>485</v>
      </c>
      <c r="B498" s="618" t="str">
        <f>'refer admin discharge'!B494</f>
        <v>x</v>
      </c>
      <c r="C498" s="351"/>
      <c r="D498" s="619" t="str">
        <f>'refer admin discharge'!D494</f>
        <v>xx</v>
      </c>
      <c r="E498" s="351"/>
      <c r="F498" s="620" t="str">
        <f>'refer admin discharge'!H494</f>
        <v>00/00/0000</v>
      </c>
      <c r="G498" s="351"/>
      <c r="H498" s="615"/>
      <c r="I498" s="351"/>
      <c r="J498" s="621"/>
      <c r="K498" s="351"/>
      <c r="L498" s="615"/>
      <c r="M498" s="351"/>
      <c r="N498" s="610"/>
      <c r="O498" s="351"/>
      <c r="P498" s="615"/>
      <c r="Q498" s="351"/>
      <c r="R498" s="610"/>
      <c r="S498" s="351"/>
      <c r="T498" s="615"/>
      <c r="U498" s="351"/>
      <c r="V498" s="613" t="str">
        <f>'refer admin discharge'!H499</f>
        <v>00/00/0000</v>
      </c>
      <c r="W498" s="351"/>
      <c r="X498" s="616"/>
      <c r="Y498" s="351"/>
      <c r="Z498" s="617"/>
      <c r="AA498" s="351"/>
      <c r="AB498" s="616"/>
      <c r="AC498" s="351"/>
      <c r="AD498" s="607"/>
      <c r="AE498" s="351"/>
      <c r="AF498" s="616"/>
      <c r="AG498" s="351"/>
      <c r="AH498" s="607"/>
      <c r="AI498" s="351"/>
      <c r="AJ498" s="616"/>
      <c r="AK498" s="351"/>
      <c r="AL498" s="622"/>
      <c r="AM498" s="350"/>
      <c r="AN498" s="350"/>
      <c r="AO498" s="350"/>
      <c r="AP498" s="350"/>
      <c r="AQ498" s="350"/>
      <c r="AR498" s="350"/>
      <c r="AS498" s="350"/>
      <c r="AT498" s="350"/>
      <c r="AU498" s="350"/>
      <c r="AV498" s="350"/>
      <c r="AW498" s="350"/>
      <c r="AX498" s="350"/>
      <c r="AY498" s="350"/>
      <c r="AZ498" s="350"/>
      <c r="BA498" s="350"/>
      <c r="BB498" s="351"/>
    </row>
    <row r="499" spans="1:54" ht="15.75" customHeight="1">
      <c r="A499" s="25">
        <f t="shared" si="1"/>
        <v>486</v>
      </c>
      <c r="B499" s="599" t="str">
        <f>'refer admin discharge'!B495</f>
        <v>x</v>
      </c>
      <c r="C499" s="351"/>
      <c r="D499" s="600" t="str">
        <f>'refer admin discharge'!D495</f>
        <v>xx</v>
      </c>
      <c r="E499" s="351"/>
      <c r="F499" s="609" t="str">
        <f>'refer admin discharge'!H495</f>
        <v>00/00/0000</v>
      </c>
      <c r="G499" s="351"/>
      <c r="H499" s="610"/>
      <c r="I499" s="351"/>
      <c r="J499" s="611"/>
      <c r="K499" s="351"/>
      <c r="L499" s="610"/>
      <c r="M499" s="351"/>
      <c r="N499" s="612"/>
      <c r="O499" s="351"/>
      <c r="P499" s="610"/>
      <c r="Q499" s="351"/>
      <c r="R499" s="612"/>
      <c r="S499" s="351"/>
      <c r="T499" s="610"/>
      <c r="U499" s="351"/>
      <c r="V499" s="613" t="str">
        <f>'refer admin discharge'!H500</f>
        <v>00/00/0000</v>
      </c>
      <c r="W499" s="351"/>
      <c r="X499" s="607"/>
      <c r="Y499" s="351"/>
      <c r="Z499" s="614"/>
      <c r="AA499" s="351"/>
      <c r="AB499" s="607"/>
      <c r="AC499" s="351"/>
      <c r="AD499" s="606"/>
      <c r="AE499" s="351"/>
      <c r="AF499" s="607"/>
      <c r="AG499" s="351"/>
      <c r="AH499" s="606"/>
      <c r="AI499" s="351"/>
      <c r="AJ499" s="607"/>
      <c r="AK499" s="351"/>
      <c r="AL499" s="608"/>
      <c r="AM499" s="350"/>
      <c r="AN499" s="350"/>
      <c r="AO499" s="350"/>
      <c r="AP499" s="350"/>
      <c r="AQ499" s="350"/>
      <c r="AR499" s="350"/>
      <c r="AS499" s="350"/>
      <c r="AT499" s="350"/>
      <c r="AU499" s="350"/>
      <c r="AV499" s="350"/>
      <c r="AW499" s="350"/>
      <c r="AX499" s="350"/>
      <c r="AY499" s="350"/>
      <c r="AZ499" s="350"/>
      <c r="BA499" s="350"/>
      <c r="BB499" s="351"/>
    </row>
    <row r="500" spans="1:54" ht="15.75" customHeight="1">
      <c r="A500" s="25">
        <f t="shared" si="1"/>
        <v>487</v>
      </c>
      <c r="B500" s="618" t="str">
        <f>'refer admin discharge'!B496</f>
        <v>x</v>
      </c>
      <c r="C500" s="351"/>
      <c r="D500" s="619" t="str">
        <f>'refer admin discharge'!D496</f>
        <v>xx</v>
      </c>
      <c r="E500" s="351"/>
      <c r="F500" s="620" t="str">
        <f>'refer admin discharge'!H496</f>
        <v>00/00/0000</v>
      </c>
      <c r="G500" s="351"/>
      <c r="H500" s="615"/>
      <c r="I500" s="351"/>
      <c r="J500" s="621"/>
      <c r="K500" s="351"/>
      <c r="L500" s="615"/>
      <c r="M500" s="351"/>
      <c r="N500" s="610"/>
      <c r="O500" s="351"/>
      <c r="P500" s="615"/>
      <c r="Q500" s="351"/>
      <c r="R500" s="610"/>
      <c r="S500" s="351"/>
      <c r="T500" s="615"/>
      <c r="U500" s="351"/>
      <c r="V500" s="613" t="str">
        <f>'refer admin discharge'!H501</f>
        <v>00/00/0000</v>
      </c>
      <c r="W500" s="351"/>
      <c r="X500" s="616"/>
      <c r="Y500" s="351"/>
      <c r="Z500" s="617"/>
      <c r="AA500" s="351"/>
      <c r="AB500" s="616"/>
      <c r="AC500" s="351"/>
      <c r="AD500" s="607"/>
      <c r="AE500" s="351"/>
      <c r="AF500" s="616"/>
      <c r="AG500" s="351"/>
      <c r="AH500" s="607"/>
      <c r="AI500" s="351"/>
      <c r="AJ500" s="616"/>
      <c r="AK500" s="351"/>
      <c r="AL500" s="622"/>
      <c r="AM500" s="350"/>
      <c r="AN500" s="350"/>
      <c r="AO500" s="350"/>
      <c r="AP500" s="350"/>
      <c r="AQ500" s="350"/>
      <c r="AR500" s="350"/>
      <c r="AS500" s="350"/>
      <c r="AT500" s="350"/>
      <c r="AU500" s="350"/>
      <c r="AV500" s="350"/>
      <c r="AW500" s="350"/>
      <c r="AX500" s="350"/>
      <c r="AY500" s="350"/>
      <c r="AZ500" s="350"/>
      <c r="BA500" s="350"/>
      <c r="BB500" s="351"/>
    </row>
    <row r="501" spans="1:54" ht="15.75" customHeight="1">
      <c r="A501" s="25">
        <f t="shared" si="1"/>
        <v>488</v>
      </c>
      <c r="B501" s="599" t="str">
        <f>'refer admin discharge'!B497</f>
        <v>x</v>
      </c>
      <c r="C501" s="351"/>
      <c r="D501" s="600" t="str">
        <f>'refer admin discharge'!D497</f>
        <v>xx</v>
      </c>
      <c r="E501" s="351"/>
      <c r="F501" s="609" t="str">
        <f>'refer admin discharge'!H497</f>
        <v>00/00/0000</v>
      </c>
      <c r="G501" s="351"/>
      <c r="H501" s="610"/>
      <c r="I501" s="351"/>
      <c r="J501" s="611"/>
      <c r="K501" s="351"/>
      <c r="L501" s="610"/>
      <c r="M501" s="351"/>
      <c r="N501" s="612"/>
      <c r="O501" s="351"/>
      <c r="P501" s="610"/>
      <c r="Q501" s="351"/>
      <c r="R501" s="612"/>
      <c r="S501" s="351"/>
      <c r="T501" s="610"/>
      <c r="U501" s="351"/>
      <c r="V501" s="613" t="str">
        <f>'refer admin discharge'!H502</f>
        <v>00/00/0000</v>
      </c>
      <c r="W501" s="351"/>
      <c r="X501" s="607"/>
      <c r="Y501" s="351"/>
      <c r="Z501" s="614"/>
      <c r="AA501" s="351"/>
      <c r="AB501" s="607"/>
      <c r="AC501" s="351"/>
      <c r="AD501" s="606"/>
      <c r="AE501" s="351"/>
      <c r="AF501" s="607"/>
      <c r="AG501" s="351"/>
      <c r="AH501" s="606"/>
      <c r="AI501" s="351"/>
      <c r="AJ501" s="607"/>
      <c r="AK501" s="351"/>
      <c r="AL501" s="608"/>
      <c r="AM501" s="350"/>
      <c r="AN501" s="350"/>
      <c r="AO501" s="350"/>
      <c r="AP501" s="350"/>
      <c r="AQ501" s="350"/>
      <c r="AR501" s="350"/>
      <c r="AS501" s="350"/>
      <c r="AT501" s="350"/>
      <c r="AU501" s="350"/>
      <c r="AV501" s="350"/>
      <c r="AW501" s="350"/>
      <c r="AX501" s="350"/>
      <c r="AY501" s="350"/>
      <c r="AZ501" s="350"/>
      <c r="BA501" s="350"/>
      <c r="BB501" s="351"/>
    </row>
    <row r="502" spans="1:54" ht="15.75" customHeight="1">
      <c r="A502" s="25">
        <f t="shared" si="1"/>
        <v>489</v>
      </c>
      <c r="B502" s="618" t="str">
        <f>'refer admin discharge'!B498</f>
        <v>x</v>
      </c>
      <c r="C502" s="351"/>
      <c r="D502" s="619" t="str">
        <f>'refer admin discharge'!D498</f>
        <v>xx</v>
      </c>
      <c r="E502" s="351"/>
      <c r="F502" s="620" t="str">
        <f>'refer admin discharge'!H498</f>
        <v>00/00/0000</v>
      </c>
      <c r="G502" s="351"/>
      <c r="H502" s="615"/>
      <c r="I502" s="351"/>
      <c r="J502" s="621"/>
      <c r="K502" s="351"/>
      <c r="L502" s="615"/>
      <c r="M502" s="351"/>
      <c r="N502" s="610"/>
      <c r="O502" s="351"/>
      <c r="P502" s="615"/>
      <c r="Q502" s="351"/>
      <c r="R502" s="610"/>
      <c r="S502" s="351"/>
      <c r="T502" s="615"/>
      <c r="U502" s="351"/>
      <c r="V502" s="613" t="str">
        <f>'refer admin discharge'!H503</f>
        <v>00/00/0000</v>
      </c>
      <c r="W502" s="351"/>
      <c r="X502" s="616"/>
      <c r="Y502" s="351"/>
      <c r="Z502" s="617"/>
      <c r="AA502" s="351"/>
      <c r="AB502" s="616"/>
      <c r="AC502" s="351"/>
      <c r="AD502" s="607"/>
      <c r="AE502" s="351"/>
      <c r="AF502" s="616"/>
      <c r="AG502" s="351"/>
      <c r="AH502" s="607"/>
      <c r="AI502" s="351"/>
      <c r="AJ502" s="616"/>
      <c r="AK502" s="351"/>
      <c r="AL502" s="622"/>
      <c r="AM502" s="350"/>
      <c r="AN502" s="350"/>
      <c r="AO502" s="350"/>
      <c r="AP502" s="350"/>
      <c r="AQ502" s="350"/>
      <c r="AR502" s="350"/>
      <c r="AS502" s="350"/>
      <c r="AT502" s="350"/>
      <c r="AU502" s="350"/>
      <c r="AV502" s="350"/>
      <c r="AW502" s="350"/>
      <c r="AX502" s="350"/>
      <c r="AY502" s="350"/>
      <c r="AZ502" s="350"/>
      <c r="BA502" s="350"/>
      <c r="BB502" s="351"/>
    </row>
    <row r="503" spans="1:54" ht="15.75" customHeight="1">
      <c r="A503" s="25">
        <f t="shared" si="1"/>
        <v>490</v>
      </c>
      <c r="B503" s="599" t="str">
        <f>'refer admin discharge'!B499</f>
        <v>x</v>
      </c>
      <c r="C503" s="351"/>
      <c r="D503" s="600" t="str">
        <f>'refer admin discharge'!D499</f>
        <v>xx</v>
      </c>
      <c r="E503" s="351"/>
      <c r="F503" s="609" t="str">
        <f>'refer admin discharge'!H499</f>
        <v>00/00/0000</v>
      </c>
      <c r="G503" s="351"/>
      <c r="H503" s="610"/>
      <c r="I503" s="351"/>
      <c r="J503" s="611"/>
      <c r="K503" s="351"/>
      <c r="L503" s="610"/>
      <c r="M503" s="351"/>
      <c r="N503" s="612"/>
      <c r="O503" s="351"/>
      <c r="P503" s="610"/>
      <c r="Q503" s="351"/>
      <c r="R503" s="612"/>
      <c r="S503" s="351"/>
      <c r="T503" s="610"/>
      <c r="U503" s="351"/>
      <c r="V503" s="613" t="str">
        <f>'refer admin discharge'!H504</f>
        <v>00/00/0000</v>
      </c>
      <c r="W503" s="351"/>
      <c r="X503" s="607"/>
      <c r="Y503" s="351"/>
      <c r="Z503" s="614"/>
      <c r="AA503" s="351"/>
      <c r="AB503" s="607"/>
      <c r="AC503" s="351"/>
      <c r="AD503" s="606"/>
      <c r="AE503" s="351"/>
      <c r="AF503" s="607"/>
      <c r="AG503" s="351"/>
      <c r="AH503" s="606"/>
      <c r="AI503" s="351"/>
      <c r="AJ503" s="607"/>
      <c r="AK503" s="351"/>
      <c r="AL503" s="608"/>
      <c r="AM503" s="350"/>
      <c r="AN503" s="350"/>
      <c r="AO503" s="350"/>
      <c r="AP503" s="350"/>
      <c r="AQ503" s="350"/>
      <c r="AR503" s="350"/>
      <c r="AS503" s="350"/>
      <c r="AT503" s="350"/>
      <c r="AU503" s="350"/>
      <c r="AV503" s="350"/>
      <c r="AW503" s="350"/>
      <c r="AX503" s="350"/>
      <c r="AY503" s="350"/>
      <c r="AZ503" s="350"/>
      <c r="BA503" s="350"/>
      <c r="BB503" s="351"/>
    </row>
    <row r="504" spans="1:54" ht="15.75" customHeight="1">
      <c r="A504" s="25">
        <f t="shared" si="1"/>
        <v>491</v>
      </c>
      <c r="B504" s="618" t="str">
        <f>'refer admin discharge'!B500</f>
        <v>x</v>
      </c>
      <c r="C504" s="351"/>
      <c r="D504" s="619" t="str">
        <f>'refer admin discharge'!D500</f>
        <v>xx</v>
      </c>
      <c r="E504" s="351"/>
      <c r="F504" s="620" t="str">
        <f>'refer admin discharge'!H500</f>
        <v>00/00/0000</v>
      </c>
      <c r="G504" s="351"/>
      <c r="H504" s="615"/>
      <c r="I504" s="351"/>
      <c r="J504" s="621"/>
      <c r="K504" s="351"/>
      <c r="L504" s="615"/>
      <c r="M504" s="351"/>
      <c r="N504" s="610"/>
      <c r="O504" s="351"/>
      <c r="P504" s="615"/>
      <c r="Q504" s="351"/>
      <c r="R504" s="610"/>
      <c r="S504" s="351"/>
      <c r="T504" s="615"/>
      <c r="U504" s="351"/>
      <c r="V504" s="613" t="str">
        <f>'refer admin discharge'!H505</f>
        <v>00/00/0000</v>
      </c>
      <c r="W504" s="351"/>
      <c r="X504" s="616"/>
      <c r="Y504" s="351"/>
      <c r="Z504" s="617"/>
      <c r="AA504" s="351"/>
      <c r="AB504" s="616"/>
      <c r="AC504" s="351"/>
      <c r="AD504" s="607"/>
      <c r="AE504" s="351"/>
      <c r="AF504" s="616"/>
      <c r="AG504" s="351"/>
      <c r="AH504" s="607"/>
      <c r="AI504" s="351"/>
      <c r="AJ504" s="616"/>
      <c r="AK504" s="351"/>
      <c r="AL504" s="622"/>
      <c r="AM504" s="350"/>
      <c r="AN504" s="350"/>
      <c r="AO504" s="350"/>
      <c r="AP504" s="350"/>
      <c r="AQ504" s="350"/>
      <c r="AR504" s="350"/>
      <c r="AS504" s="350"/>
      <c r="AT504" s="350"/>
      <c r="AU504" s="350"/>
      <c r="AV504" s="350"/>
      <c r="AW504" s="350"/>
      <c r="AX504" s="350"/>
      <c r="AY504" s="350"/>
      <c r="AZ504" s="350"/>
      <c r="BA504" s="350"/>
      <c r="BB504" s="351"/>
    </row>
    <row r="505" spans="1:54" ht="15.75" customHeight="1">
      <c r="A505" s="25">
        <f t="shared" si="1"/>
        <v>492</v>
      </c>
      <c r="B505" s="599" t="str">
        <f>'refer admin discharge'!B501</f>
        <v>x</v>
      </c>
      <c r="C505" s="351"/>
      <c r="D505" s="600" t="str">
        <f>'refer admin discharge'!D501</f>
        <v>xx</v>
      </c>
      <c r="E505" s="351"/>
      <c r="F505" s="609" t="str">
        <f>'refer admin discharge'!H501</f>
        <v>00/00/0000</v>
      </c>
      <c r="G505" s="351"/>
      <c r="H505" s="610"/>
      <c r="I505" s="351"/>
      <c r="J505" s="611"/>
      <c r="K505" s="351"/>
      <c r="L505" s="610"/>
      <c r="M505" s="351"/>
      <c r="N505" s="612"/>
      <c r="O505" s="351"/>
      <c r="P505" s="610"/>
      <c r="Q505" s="351"/>
      <c r="R505" s="612"/>
      <c r="S505" s="351"/>
      <c r="T505" s="610"/>
      <c r="U505" s="351"/>
      <c r="V505" s="613" t="str">
        <f>'refer admin discharge'!H506</f>
        <v>00/00/0000</v>
      </c>
      <c r="W505" s="351"/>
      <c r="X505" s="607"/>
      <c r="Y505" s="351"/>
      <c r="Z505" s="614"/>
      <c r="AA505" s="351"/>
      <c r="AB505" s="607"/>
      <c r="AC505" s="351"/>
      <c r="AD505" s="606"/>
      <c r="AE505" s="351"/>
      <c r="AF505" s="607"/>
      <c r="AG505" s="351"/>
      <c r="AH505" s="606"/>
      <c r="AI505" s="351"/>
      <c r="AJ505" s="607"/>
      <c r="AK505" s="351"/>
      <c r="AL505" s="608"/>
      <c r="AM505" s="350"/>
      <c r="AN505" s="350"/>
      <c r="AO505" s="350"/>
      <c r="AP505" s="350"/>
      <c r="AQ505" s="350"/>
      <c r="AR505" s="350"/>
      <c r="AS505" s="350"/>
      <c r="AT505" s="350"/>
      <c r="AU505" s="350"/>
      <c r="AV505" s="350"/>
      <c r="AW505" s="350"/>
      <c r="AX505" s="350"/>
      <c r="AY505" s="350"/>
      <c r="AZ505" s="350"/>
      <c r="BA505" s="350"/>
      <c r="BB505" s="351"/>
    </row>
    <row r="506" spans="1:54" ht="15.75" customHeight="1">
      <c r="A506" s="25">
        <f t="shared" si="1"/>
        <v>493</v>
      </c>
      <c r="B506" s="618" t="str">
        <f>'refer admin discharge'!B502</f>
        <v>x</v>
      </c>
      <c r="C506" s="351"/>
      <c r="D506" s="619" t="str">
        <f>'refer admin discharge'!D502</f>
        <v>xx</v>
      </c>
      <c r="E506" s="351"/>
      <c r="F506" s="620" t="str">
        <f>'refer admin discharge'!H502</f>
        <v>00/00/0000</v>
      </c>
      <c r="G506" s="351"/>
      <c r="H506" s="615"/>
      <c r="I506" s="351"/>
      <c r="J506" s="621"/>
      <c r="K506" s="351"/>
      <c r="L506" s="615"/>
      <c r="M506" s="351"/>
      <c r="N506" s="610"/>
      <c r="O506" s="351"/>
      <c r="P506" s="615"/>
      <c r="Q506" s="351"/>
      <c r="R506" s="610"/>
      <c r="S506" s="351"/>
      <c r="T506" s="615"/>
      <c r="U506" s="351"/>
      <c r="V506" s="613" t="str">
        <f>'refer admin discharge'!H507</f>
        <v>00/00/0000</v>
      </c>
      <c r="W506" s="351"/>
      <c r="X506" s="616"/>
      <c r="Y506" s="351"/>
      <c r="Z506" s="617"/>
      <c r="AA506" s="351"/>
      <c r="AB506" s="616"/>
      <c r="AC506" s="351"/>
      <c r="AD506" s="607"/>
      <c r="AE506" s="351"/>
      <c r="AF506" s="616"/>
      <c r="AG506" s="351"/>
      <c r="AH506" s="607"/>
      <c r="AI506" s="351"/>
      <c r="AJ506" s="616"/>
      <c r="AK506" s="351"/>
      <c r="AL506" s="622"/>
      <c r="AM506" s="350"/>
      <c r="AN506" s="350"/>
      <c r="AO506" s="350"/>
      <c r="AP506" s="350"/>
      <c r="AQ506" s="350"/>
      <c r="AR506" s="350"/>
      <c r="AS506" s="350"/>
      <c r="AT506" s="350"/>
      <c r="AU506" s="350"/>
      <c r="AV506" s="350"/>
      <c r="AW506" s="350"/>
      <c r="AX506" s="350"/>
      <c r="AY506" s="350"/>
      <c r="AZ506" s="350"/>
      <c r="BA506" s="350"/>
      <c r="BB506" s="351"/>
    </row>
    <row r="507" spans="1:54" ht="15.75" customHeight="1">
      <c r="A507" s="25">
        <f t="shared" si="1"/>
        <v>494</v>
      </c>
      <c r="B507" s="599" t="str">
        <f>'refer admin discharge'!B503</f>
        <v>x</v>
      </c>
      <c r="C507" s="351"/>
      <c r="D507" s="600" t="str">
        <f>'refer admin discharge'!D503</f>
        <v>xx</v>
      </c>
      <c r="E507" s="351"/>
      <c r="F507" s="609" t="str">
        <f>'refer admin discharge'!H503</f>
        <v>00/00/0000</v>
      </c>
      <c r="G507" s="351"/>
      <c r="H507" s="610"/>
      <c r="I507" s="351"/>
      <c r="J507" s="611"/>
      <c r="K507" s="351"/>
      <c r="L507" s="610"/>
      <c r="M507" s="351"/>
      <c r="N507" s="612"/>
      <c r="O507" s="351"/>
      <c r="P507" s="610"/>
      <c r="Q507" s="351"/>
      <c r="R507" s="612"/>
      <c r="S507" s="351"/>
      <c r="T507" s="610"/>
      <c r="U507" s="351"/>
      <c r="V507" s="613" t="str">
        <f>'refer admin discharge'!H508</f>
        <v>00/00/0000</v>
      </c>
      <c r="W507" s="351"/>
      <c r="X507" s="607"/>
      <c r="Y507" s="351"/>
      <c r="Z507" s="614"/>
      <c r="AA507" s="351"/>
      <c r="AB507" s="607"/>
      <c r="AC507" s="351"/>
      <c r="AD507" s="606"/>
      <c r="AE507" s="351"/>
      <c r="AF507" s="607"/>
      <c r="AG507" s="351"/>
      <c r="AH507" s="606"/>
      <c r="AI507" s="351"/>
      <c r="AJ507" s="607"/>
      <c r="AK507" s="351"/>
      <c r="AL507" s="608"/>
      <c r="AM507" s="350"/>
      <c r="AN507" s="350"/>
      <c r="AO507" s="350"/>
      <c r="AP507" s="350"/>
      <c r="AQ507" s="350"/>
      <c r="AR507" s="350"/>
      <c r="AS507" s="350"/>
      <c r="AT507" s="350"/>
      <c r="AU507" s="350"/>
      <c r="AV507" s="350"/>
      <c r="AW507" s="350"/>
      <c r="AX507" s="350"/>
      <c r="AY507" s="350"/>
      <c r="AZ507" s="350"/>
      <c r="BA507" s="350"/>
      <c r="BB507" s="351"/>
    </row>
    <row r="508" spans="1:54" ht="15.75" customHeight="1">
      <c r="A508" s="25">
        <f t="shared" si="1"/>
        <v>495</v>
      </c>
      <c r="B508" s="618" t="str">
        <f>'refer admin discharge'!B504</f>
        <v>x</v>
      </c>
      <c r="C508" s="351"/>
      <c r="D508" s="619" t="str">
        <f>'refer admin discharge'!D504</f>
        <v>xx</v>
      </c>
      <c r="E508" s="351"/>
      <c r="F508" s="620" t="str">
        <f>'refer admin discharge'!H504</f>
        <v>00/00/0000</v>
      </c>
      <c r="G508" s="351"/>
      <c r="H508" s="615"/>
      <c r="I508" s="351"/>
      <c r="J508" s="621"/>
      <c r="K508" s="351"/>
      <c r="L508" s="615"/>
      <c r="M508" s="351"/>
      <c r="N508" s="610"/>
      <c r="O508" s="351"/>
      <c r="P508" s="615"/>
      <c r="Q508" s="351"/>
      <c r="R508" s="610"/>
      <c r="S508" s="351"/>
      <c r="T508" s="615"/>
      <c r="U508" s="351"/>
      <c r="V508" s="613" t="str">
        <f>'refer admin discharge'!H509</f>
        <v>00/00/0000</v>
      </c>
      <c r="W508" s="351"/>
      <c r="X508" s="616"/>
      <c r="Y508" s="351"/>
      <c r="Z508" s="617"/>
      <c r="AA508" s="351"/>
      <c r="AB508" s="616"/>
      <c r="AC508" s="351"/>
      <c r="AD508" s="607"/>
      <c r="AE508" s="351"/>
      <c r="AF508" s="616"/>
      <c r="AG508" s="351"/>
      <c r="AH508" s="607"/>
      <c r="AI508" s="351"/>
      <c r="AJ508" s="616"/>
      <c r="AK508" s="351"/>
      <c r="AL508" s="622"/>
      <c r="AM508" s="350"/>
      <c r="AN508" s="350"/>
      <c r="AO508" s="350"/>
      <c r="AP508" s="350"/>
      <c r="AQ508" s="350"/>
      <c r="AR508" s="350"/>
      <c r="AS508" s="350"/>
      <c r="AT508" s="350"/>
      <c r="AU508" s="350"/>
      <c r="AV508" s="350"/>
      <c r="AW508" s="350"/>
      <c r="AX508" s="350"/>
      <c r="AY508" s="350"/>
      <c r="AZ508" s="350"/>
      <c r="BA508" s="350"/>
      <c r="BB508" s="351"/>
    </row>
    <row r="509" spans="1:54" ht="15.75" customHeight="1">
      <c r="A509" s="25">
        <f t="shared" si="1"/>
        <v>496</v>
      </c>
      <c r="B509" s="599" t="str">
        <f>'refer admin discharge'!B505</f>
        <v>x</v>
      </c>
      <c r="C509" s="351"/>
      <c r="D509" s="600" t="str">
        <f>'refer admin discharge'!D505</f>
        <v>xx</v>
      </c>
      <c r="E509" s="351"/>
      <c r="F509" s="609" t="str">
        <f>'refer admin discharge'!H505</f>
        <v>00/00/0000</v>
      </c>
      <c r="G509" s="351"/>
      <c r="H509" s="610"/>
      <c r="I509" s="351"/>
      <c r="J509" s="611"/>
      <c r="K509" s="351"/>
      <c r="L509" s="610"/>
      <c r="M509" s="351"/>
      <c r="N509" s="612"/>
      <c r="O509" s="351"/>
      <c r="P509" s="610"/>
      <c r="Q509" s="351"/>
      <c r="R509" s="612"/>
      <c r="S509" s="351"/>
      <c r="T509" s="610"/>
      <c r="U509" s="351"/>
      <c r="V509" s="613" t="str">
        <f>'refer admin discharge'!H510</f>
        <v>00/00/0000</v>
      </c>
      <c r="W509" s="351"/>
      <c r="X509" s="607"/>
      <c r="Y509" s="351"/>
      <c r="Z509" s="614"/>
      <c r="AA509" s="351"/>
      <c r="AB509" s="607"/>
      <c r="AC509" s="351"/>
      <c r="AD509" s="606"/>
      <c r="AE509" s="351"/>
      <c r="AF509" s="607"/>
      <c r="AG509" s="351"/>
      <c r="AH509" s="606"/>
      <c r="AI509" s="351"/>
      <c r="AJ509" s="607"/>
      <c r="AK509" s="351"/>
      <c r="AL509" s="608"/>
      <c r="AM509" s="350"/>
      <c r="AN509" s="350"/>
      <c r="AO509" s="350"/>
      <c r="AP509" s="350"/>
      <c r="AQ509" s="350"/>
      <c r="AR509" s="350"/>
      <c r="AS509" s="350"/>
      <c r="AT509" s="350"/>
      <c r="AU509" s="350"/>
      <c r="AV509" s="350"/>
      <c r="AW509" s="350"/>
      <c r="AX509" s="350"/>
      <c r="AY509" s="350"/>
      <c r="AZ509" s="350"/>
      <c r="BA509" s="350"/>
      <c r="BB509" s="351"/>
    </row>
    <row r="510" spans="1:54" ht="15.75" customHeight="1">
      <c r="A510" s="25">
        <f t="shared" si="1"/>
        <v>497</v>
      </c>
      <c r="B510" s="618" t="str">
        <f>'refer admin discharge'!B506</f>
        <v>x</v>
      </c>
      <c r="C510" s="351"/>
      <c r="D510" s="619" t="str">
        <f>'refer admin discharge'!D506</f>
        <v>xx</v>
      </c>
      <c r="E510" s="351"/>
      <c r="F510" s="620" t="str">
        <f>'refer admin discharge'!H506</f>
        <v>00/00/0000</v>
      </c>
      <c r="G510" s="351"/>
      <c r="H510" s="615"/>
      <c r="I510" s="351"/>
      <c r="J510" s="621"/>
      <c r="K510" s="351"/>
      <c r="L510" s="615"/>
      <c r="M510" s="351"/>
      <c r="N510" s="610"/>
      <c r="O510" s="351"/>
      <c r="P510" s="615"/>
      <c r="Q510" s="351"/>
      <c r="R510" s="610"/>
      <c r="S510" s="351"/>
      <c r="T510" s="615"/>
      <c r="U510" s="351"/>
      <c r="V510" s="613" t="str">
        <f>'refer admin discharge'!H511</f>
        <v>00/00/0000</v>
      </c>
      <c r="W510" s="351"/>
      <c r="X510" s="616"/>
      <c r="Y510" s="351"/>
      <c r="Z510" s="617"/>
      <c r="AA510" s="351"/>
      <c r="AB510" s="616"/>
      <c r="AC510" s="351"/>
      <c r="AD510" s="607"/>
      <c r="AE510" s="351"/>
      <c r="AF510" s="616"/>
      <c r="AG510" s="351"/>
      <c r="AH510" s="607"/>
      <c r="AI510" s="351"/>
      <c r="AJ510" s="616"/>
      <c r="AK510" s="351"/>
      <c r="AL510" s="622"/>
      <c r="AM510" s="350"/>
      <c r="AN510" s="350"/>
      <c r="AO510" s="350"/>
      <c r="AP510" s="350"/>
      <c r="AQ510" s="350"/>
      <c r="AR510" s="350"/>
      <c r="AS510" s="350"/>
      <c r="AT510" s="350"/>
      <c r="AU510" s="350"/>
      <c r="AV510" s="350"/>
      <c r="AW510" s="350"/>
      <c r="AX510" s="350"/>
      <c r="AY510" s="350"/>
      <c r="AZ510" s="350"/>
      <c r="BA510" s="350"/>
      <c r="BB510" s="351"/>
    </row>
    <row r="511" spans="1:54" ht="15.75" customHeight="1">
      <c r="A511" s="25">
        <f t="shared" si="1"/>
        <v>498</v>
      </c>
      <c r="B511" s="599" t="str">
        <f>'refer admin discharge'!B507</f>
        <v>x</v>
      </c>
      <c r="C511" s="351"/>
      <c r="D511" s="600" t="str">
        <f>'refer admin discharge'!D507</f>
        <v>xx</v>
      </c>
      <c r="E511" s="351"/>
      <c r="F511" s="609" t="str">
        <f>'refer admin discharge'!H507</f>
        <v>00/00/0000</v>
      </c>
      <c r="G511" s="351"/>
      <c r="H511" s="610"/>
      <c r="I511" s="351"/>
      <c r="J511" s="611"/>
      <c r="K511" s="351"/>
      <c r="L511" s="610"/>
      <c r="M511" s="351"/>
      <c r="N511" s="612"/>
      <c r="O511" s="351"/>
      <c r="P511" s="610"/>
      <c r="Q511" s="351"/>
      <c r="R511" s="612"/>
      <c r="S511" s="351"/>
      <c r="T511" s="610"/>
      <c r="U511" s="351"/>
      <c r="V511" s="613" t="str">
        <f>'refer admin discharge'!H512</f>
        <v>00/00/0000</v>
      </c>
      <c r="W511" s="351"/>
      <c r="X511" s="607"/>
      <c r="Y511" s="351"/>
      <c r="Z511" s="614"/>
      <c r="AA511" s="351"/>
      <c r="AB511" s="607"/>
      <c r="AC511" s="351"/>
      <c r="AD511" s="606"/>
      <c r="AE511" s="351"/>
      <c r="AF511" s="607"/>
      <c r="AG511" s="351"/>
      <c r="AH511" s="606"/>
      <c r="AI511" s="351"/>
      <c r="AJ511" s="607"/>
      <c r="AK511" s="351"/>
      <c r="AL511" s="608"/>
      <c r="AM511" s="350"/>
      <c r="AN511" s="350"/>
      <c r="AO511" s="350"/>
      <c r="AP511" s="350"/>
      <c r="AQ511" s="350"/>
      <c r="AR511" s="350"/>
      <c r="AS511" s="350"/>
      <c r="AT511" s="350"/>
      <c r="AU511" s="350"/>
      <c r="AV511" s="350"/>
      <c r="AW511" s="350"/>
      <c r="AX511" s="350"/>
      <c r="AY511" s="350"/>
      <c r="AZ511" s="350"/>
      <c r="BA511" s="350"/>
      <c r="BB511" s="351"/>
    </row>
    <row r="512" spans="1:54" ht="15.75" customHeight="1">
      <c r="A512" s="25">
        <f t="shared" si="1"/>
        <v>499</v>
      </c>
      <c r="B512" s="618" t="str">
        <f>'refer admin discharge'!B508</f>
        <v>x</v>
      </c>
      <c r="C512" s="351"/>
      <c r="D512" s="619" t="str">
        <f>'refer admin discharge'!D508</f>
        <v>xx</v>
      </c>
      <c r="E512" s="351"/>
      <c r="F512" s="620" t="str">
        <f>'refer admin discharge'!H508</f>
        <v>00/00/0000</v>
      </c>
      <c r="G512" s="351"/>
      <c r="H512" s="615"/>
      <c r="I512" s="351"/>
      <c r="J512" s="621"/>
      <c r="K512" s="351"/>
      <c r="L512" s="615"/>
      <c r="M512" s="351"/>
      <c r="N512" s="610"/>
      <c r="O512" s="351"/>
      <c r="P512" s="615"/>
      <c r="Q512" s="351"/>
      <c r="R512" s="610"/>
      <c r="S512" s="351"/>
      <c r="T512" s="615"/>
      <c r="U512" s="351"/>
      <c r="V512" s="613" t="str">
        <f>'refer admin discharge'!H513</f>
        <v>00/00/0000</v>
      </c>
      <c r="W512" s="351"/>
      <c r="X512" s="616"/>
      <c r="Y512" s="351"/>
      <c r="Z512" s="617"/>
      <c r="AA512" s="351"/>
      <c r="AB512" s="616"/>
      <c r="AC512" s="351"/>
      <c r="AD512" s="607"/>
      <c r="AE512" s="351"/>
      <c r="AF512" s="616"/>
      <c r="AG512" s="351"/>
      <c r="AH512" s="607"/>
      <c r="AI512" s="351"/>
      <c r="AJ512" s="616"/>
      <c r="AK512" s="351"/>
      <c r="AL512" s="622"/>
      <c r="AM512" s="350"/>
      <c r="AN512" s="350"/>
      <c r="AO512" s="350"/>
      <c r="AP512" s="350"/>
      <c r="AQ512" s="350"/>
      <c r="AR512" s="350"/>
      <c r="AS512" s="350"/>
      <c r="AT512" s="350"/>
      <c r="AU512" s="350"/>
      <c r="AV512" s="350"/>
      <c r="AW512" s="350"/>
      <c r="AX512" s="350"/>
      <c r="AY512" s="350"/>
      <c r="AZ512" s="350"/>
      <c r="BA512" s="350"/>
      <c r="BB512" s="351"/>
    </row>
    <row r="513" spans="1:54" ht="15.75" customHeight="1">
      <c r="A513" s="25">
        <f t="shared" si="1"/>
        <v>500</v>
      </c>
      <c r="B513" s="599" t="str">
        <f>'refer admin discharge'!B509</f>
        <v>x</v>
      </c>
      <c r="C513" s="351"/>
      <c r="D513" s="600" t="str">
        <f>'refer admin discharge'!D509</f>
        <v>xx</v>
      </c>
      <c r="E513" s="351"/>
      <c r="F513" s="609" t="str">
        <f>'refer admin discharge'!H509</f>
        <v>00/00/0000</v>
      </c>
      <c r="G513" s="351"/>
      <c r="H513" s="610"/>
      <c r="I513" s="351"/>
      <c r="J513" s="611"/>
      <c r="K513" s="351"/>
      <c r="L513" s="610"/>
      <c r="M513" s="351"/>
      <c r="N513" s="612"/>
      <c r="O513" s="351"/>
      <c r="P513" s="610"/>
      <c r="Q513" s="351"/>
      <c r="R513" s="612"/>
      <c r="S513" s="351"/>
      <c r="T513" s="610"/>
      <c r="U513" s="351"/>
      <c r="V513" s="613" t="str">
        <f>'refer admin discharge'!H514</f>
        <v>00/00/0000</v>
      </c>
      <c r="W513" s="351"/>
      <c r="X513" s="607"/>
      <c r="Y513" s="351"/>
      <c r="Z513" s="614"/>
      <c r="AA513" s="351"/>
      <c r="AB513" s="607"/>
      <c r="AC513" s="351"/>
      <c r="AD513" s="606"/>
      <c r="AE513" s="351"/>
      <c r="AF513" s="607"/>
      <c r="AG513" s="351"/>
      <c r="AH513" s="606"/>
      <c r="AI513" s="351"/>
      <c r="AJ513" s="607"/>
      <c r="AK513" s="351"/>
      <c r="AL513" s="608"/>
      <c r="AM513" s="350"/>
      <c r="AN513" s="350"/>
      <c r="AO513" s="350"/>
      <c r="AP513" s="350"/>
      <c r="AQ513" s="350"/>
      <c r="AR513" s="350"/>
      <c r="AS513" s="350"/>
      <c r="AT513" s="350"/>
      <c r="AU513" s="350"/>
      <c r="AV513" s="350"/>
      <c r="AW513" s="350"/>
      <c r="AX513" s="350"/>
      <c r="AY513" s="350"/>
      <c r="AZ513" s="350"/>
      <c r="BA513" s="350"/>
      <c r="BB513" s="351"/>
    </row>
    <row r="514" spans="1:54" ht="15.75" customHeight="1">
      <c r="A514" s="25">
        <f t="shared" si="1"/>
        <v>501</v>
      </c>
      <c r="B514" s="618" t="str">
        <f>'refer admin discharge'!B510</f>
        <v>x</v>
      </c>
      <c r="C514" s="351"/>
      <c r="D514" s="619" t="str">
        <f>'refer admin discharge'!D510</f>
        <v>xx</v>
      </c>
      <c r="E514" s="351"/>
      <c r="F514" s="620" t="str">
        <f>'refer admin discharge'!H510</f>
        <v>00/00/0000</v>
      </c>
      <c r="G514" s="351"/>
      <c r="H514" s="615"/>
      <c r="I514" s="351"/>
      <c r="J514" s="621"/>
      <c r="K514" s="351"/>
      <c r="L514" s="615"/>
      <c r="M514" s="351"/>
      <c r="N514" s="610"/>
      <c r="O514" s="351"/>
      <c r="P514" s="615"/>
      <c r="Q514" s="351"/>
      <c r="R514" s="610"/>
      <c r="S514" s="351"/>
      <c r="T514" s="615"/>
      <c r="U514" s="351"/>
      <c r="V514" s="613" t="str">
        <f>'refer admin discharge'!H515</f>
        <v>00/00/0000</v>
      </c>
      <c r="W514" s="351"/>
      <c r="X514" s="616"/>
      <c r="Y514" s="351"/>
      <c r="Z514" s="617"/>
      <c r="AA514" s="351"/>
      <c r="AB514" s="616"/>
      <c r="AC514" s="351"/>
      <c r="AD514" s="607"/>
      <c r="AE514" s="351"/>
      <c r="AF514" s="616"/>
      <c r="AG514" s="351"/>
      <c r="AH514" s="607"/>
      <c r="AI514" s="351"/>
      <c r="AJ514" s="616"/>
      <c r="AK514" s="351"/>
      <c r="AL514" s="622"/>
      <c r="AM514" s="350"/>
      <c r="AN514" s="350"/>
      <c r="AO514" s="350"/>
      <c r="AP514" s="350"/>
      <c r="AQ514" s="350"/>
      <c r="AR514" s="350"/>
      <c r="AS514" s="350"/>
      <c r="AT514" s="350"/>
      <c r="AU514" s="350"/>
      <c r="AV514" s="350"/>
      <c r="AW514" s="350"/>
      <c r="AX514" s="350"/>
      <c r="AY514" s="350"/>
      <c r="AZ514" s="350"/>
      <c r="BA514" s="350"/>
      <c r="BB514" s="351"/>
    </row>
    <row r="515" spans="1:54" ht="15.75" customHeight="1">
      <c r="A515" s="25">
        <f t="shared" si="1"/>
        <v>502</v>
      </c>
      <c r="B515" s="599" t="str">
        <f>'refer admin discharge'!B511</f>
        <v>x</v>
      </c>
      <c r="C515" s="351"/>
      <c r="D515" s="600" t="str">
        <f>'refer admin discharge'!D511</f>
        <v>xx</v>
      </c>
      <c r="E515" s="351"/>
      <c r="F515" s="609" t="str">
        <f>'refer admin discharge'!H511</f>
        <v>00/00/0000</v>
      </c>
      <c r="G515" s="351"/>
      <c r="H515" s="610"/>
      <c r="I515" s="351"/>
      <c r="J515" s="611"/>
      <c r="K515" s="351"/>
      <c r="L515" s="610"/>
      <c r="M515" s="351"/>
      <c r="N515" s="612"/>
      <c r="O515" s="351"/>
      <c r="P515" s="610"/>
      <c r="Q515" s="351"/>
      <c r="R515" s="612"/>
      <c r="S515" s="351"/>
      <c r="T515" s="610"/>
      <c r="U515" s="351"/>
      <c r="V515" s="613" t="str">
        <f>'refer admin discharge'!H516</f>
        <v>00/00/0000</v>
      </c>
      <c r="W515" s="351"/>
      <c r="X515" s="607"/>
      <c r="Y515" s="351"/>
      <c r="Z515" s="614"/>
      <c r="AA515" s="351"/>
      <c r="AB515" s="607"/>
      <c r="AC515" s="351"/>
      <c r="AD515" s="606"/>
      <c r="AE515" s="351"/>
      <c r="AF515" s="607"/>
      <c r="AG515" s="351"/>
      <c r="AH515" s="606"/>
      <c r="AI515" s="351"/>
      <c r="AJ515" s="607"/>
      <c r="AK515" s="351"/>
      <c r="AL515" s="608"/>
      <c r="AM515" s="350"/>
      <c r="AN515" s="350"/>
      <c r="AO515" s="350"/>
      <c r="AP515" s="350"/>
      <c r="AQ515" s="350"/>
      <c r="AR515" s="350"/>
      <c r="AS515" s="350"/>
      <c r="AT515" s="350"/>
      <c r="AU515" s="350"/>
      <c r="AV515" s="350"/>
      <c r="AW515" s="350"/>
      <c r="AX515" s="350"/>
      <c r="AY515" s="350"/>
      <c r="AZ515" s="350"/>
      <c r="BA515" s="350"/>
      <c r="BB515" s="351"/>
    </row>
    <row r="516" spans="1:54" ht="15.75" customHeight="1">
      <c r="A516" s="25">
        <f t="shared" si="1"/>
        <v>503</v>
      </c>
      <c r="B516" s="618" t="str">
        <f>'refer admin discharge'!B512</f>
        <v>x</v>
      </c>
      <c r="C516" s="351"/>
      <c r="D516" s="619" t="str">
        <f>'refer admin discharge'!D512</f>
        <v>xx</v>
      </c>
      <c r="E516" s="351"/>
      <c r="F516" s="620" t="str">
        <f>'refer admin discharge'!H512</f>
        <v>00/00/0000</v>
      </c>
      <c r="G516" s="351"/>
      <c r="H516" s="615"/>
      <c r="I516" s="351"/>
      <c r="J516" s="621"/>
      <c r="K516" s="351"/>
      <c r="L516" s="615"/>
      <c r="M516" s="351"/>
      <c r="N516" s="610"/>
      <c r="O516" s="351"/>
      <c r="P516" s="615"/>
      <c r="Q516" s="351"/>
      <c r="R516" s="610"/>
      <c r="S516" s="351"/>
      <c r="T516" s="615"/>
      <c r="U516" s="351"/>
      <c r="V516" s="613" t="str">
        <f>'refer admin discharge'!H517</f>
        <v>00/00/0000</v>
      </c>
      <c r="W516" s="351"/>
      <c r="X516" s="616"/>
      <c r="Y516" s="351"/>
      <c r="Z516" s="617"/>
      <c r="AA516" s="351"/>
      <c r="AB516" s="616"/>
      <c r="AC516" s="351"/>
      <c r="AD516" s="607"/>
      <c r="AE516" s="351"/>
      <c r="AF516" s="616"/>
      <c r="AG516" s="351"/>
      <c r="AH516" s="607"/>
      <c r="AI516" s="351"/>
      <c r="AJ516" s="616"/>
      <c r="AK516" s="351"/>
      <c r="AL516" s="622"/>
      <c r="AM516" s="350"/>
      <c r="AN516" s="350"/>
      <c r="AO516" s="350"/>
      <c r="AP516" s="350"/>
      <c r="AQ516" s="350"/>
      <c r="AR516" s="350"/>
      <c r="AS516" s="350"/>
      <c r="AT516" s="350"/>
      <c r="AU516" s="350"/>
      <c r="AV516" s="350"/>
      <c r="AW516" s="350"/>
      <c r="AX516" s="350"/>
      <c r="AY516" s="350"/>
      <c r="AZ516" s="350"/>
      <c r="BA516" s="350"/>
      <c r="BB516" s="351"/>
    </row>
    <row r="517" spans="1:54" ht="15.75" customHeight="1">
      <c r="A517" s="25">
        <f t="shared" si="1"/>
        <v>504</v>
      </c>
      <c r="B517" s="599" t="str">
        <f>'refer admin discharge'!B513</f>
        <v>x</v>
      </c>
      <c r="C517" s="351"/>
      <c r="D517" s="600" t="str">
        <f>'refer admin discharge'!D513</f>
        <v>xx</v>
      </c>
      <c r="E517" s="351"/>
      <c r="F517" s="609" t="str">
        <f>'refer admin discharge'!H513</f>
        <v>00/00/0000</v>
      </c>
      <c r="G517" s="351"/>
      <c r="H517" s="610"/>
      <c r="I517" s="351"/>
      <c r="J517" s="611"/>
      <c r="K517" s="351"/>
      <c r="L517" s="610"/>
      <c r="M517" s="351"/>
      <c r="N517" s="612"/>
      <c r="O517" s="351"/>
      <c r="P517" s="610"/>
      <c r="Q517" s="351"/>
      <c r="R517" s="612"/>
      <c r="S517" s="351"/>
      <c r="T517" s="610"/>
      <c r="U517" s="351"/>
      <c r="V517" s="613" t="str">
        <f>'refer admin discharge'!H518</f>
        <v>00/00/0000</v>
      </c>
      <c r="W517" s="351"/>
      <c r="X517" s="607"/>
      <c r="Y517" s="351"/>
      <c r="Z517" s="614"/>
      <c r="AA517" s="351"/>
      <c r="AB517" s="607"/>
      <c r="AC517" s="351"/>
      <c r="AD517" s="606"/>
      <c r="AE517" s="351"/>
      <c r="AF517" s="607"/>
      <c r="AG517" s="351"/>
      <c r="AH517" s="606"/>
      <c r="AI517" s="351"/>
      <c r="AJ517" s="607"/>
      <c r="AK517" s="351"/>
      <c r="AL517" s="608"/>
      <c r="AM517" s="350"/>
      <c r="AN517" s="350"/>
      <c r="AO517" s="350"/>
      <c r="AP517" s="350"/>
      <c r="AQ517" s="350"/>
      <c r="AR517" s="350"/>
      <c r="AS517" s="350"/>
      <c r="AT517" s="350"/>
      <c r="AU517" s="350"/>
      <c r="AV517" s="350"/>
      <c r="AW517" s="350"/>
      <c r="AX517" s="350"/>
      <c r="AY517" s="350"/>
      <c r="AZ517" s="350"/>
      <c r="BA517" s="350"/>
      <c r="BB517" s="351"/>
    </row>
    <row r="518" spans="1:54" ht="15.75" customHeight="1">
      <c r="A518" s="25">
        <f t="shared" si="1"/>
        <v>505</v>
      </c>
      <c r="B518" s="618" t="str">
        <f>'refer admin discharge'!B514</f>
        <v>x</v>
      </c>
      <c r="C518" s="351"/>
      <c r="D518" s="619" t="str">
        <f>'refer admin discharge'!D514</f>
        <v>xx</v>
      </c>
      <c r="E518" s="351"/>
      <c r="F518" s="620" t="str">
        <f>'refer admin discharge'!H514</f>
        <v>00/00/0000</v>
      </c>
      <c r="G518" s="351"/>
      <c r="H518" s="615"/>
      <c r="I518" s="351"/>
      <c r="J518" s="621"/>
      <c r="K518" s="351"/>
      <c r="L518" s="615"/>
      <c r="M518" s="351"/>
      <c r="N518" s="610"/>
      <c r="O518" s="351"/>
      <c r="P518" s="615"/>
      <c r="Q518" s="351"/>
      <c r="R518" s="610"/>
      <c r="S518" s="351"/>
      <c r="T518" s="615"/>
      <c r="U518" s="351"/>
      <c r="V518" s="613" t="str">
        <f>'refer admin discharge'!H519</f>
        <v>00/00/0000</v>
      </c>
      <c r="W518" s="351"/>
      <c r="X518" s="616"/>
      <c r="Y518" s="351"/>
      <c r="Z518" s="617"/>
      <c r="AA518" s="351"/>
      <c r="AB518" s="616"/>
      <c r="AC518" s="351"/>
      <c r="AD518" s="607"/>
      <c r="AE518" s="351"/>
      <c r="AF518" s="616"/>
      <c r="AG518" s="351"/>
      <c r="AH518" s="607"/>
      <c r="AI518" s="351"/>
      <c r="AJ518" s="616"/>
      <c r="AK518" s="351"/>
      <c r="AL518" s="622"/>
      <c r="AM518" s="350"/>
      <c r="AN518" s="350"/>
      <c r="AO518" s="350"/>
      <c r="AP518" s="350"/>
      <c r="AQ518" s="350"/>
      <c r="AR518" s="350"/>
      <c r="AS518" s="350"/>
      <c r="AT518" s="350"/>
      <c r="AU518" s="350"/>
      <c r="AV518" s="350"/>
      <c r="AW518" s="350"/>
      <c r="AX518" s="350"/>
      <c r="AY518" s="350"/>
      <c r="AZ518" s="350"/>
      <c r="BA518" s="350"/>
      <c r="BB518" s="351"/>
    </row>
    <row r="519" spans="1:54" ht="15.75" customHeight="1">
      <c r="A519" s="25">
        <f t="shared" si="1"/>
        <v>506</v>
      </c>
      <c r="B519" s="599" t="str">
        <f>'refer admin discharge'!B515</f>
        <v>x</v>
      </c>
      <c r="C519" s="351"/>
      <c r="D519" s="600" t="str">
        <f>'refer admin discharge'!D515</f>
        <v>xx</v>
      </c>
      <c r="E519" s="351"/>
      <c r="F519" s="609" t="str">
        <f>'refer admin discharge'!H515</f>
        <v>00/00/0000</v>
      </c>
      <c r="G519" s="351"/>
      <c r="H519" s="610"/>
      <c r="I519" s="351"/>
      <c r="J519" s="611"/>
      <c r="K519" s="351"/>
      <c r="L519" s="610"/>
      <c r="M519" s="351"/>
      <c r="N519" s="612"/>
      <c r="O519" s="351"/>
      <c r="P519" s="610"/>
      <c r="Q519" s="351"/>
      <c r="R519" s="612"/>
      <c r="S519" s="351"/>
      <c r="T519" s="610"/>
      <c r="U519" s="351"/>
      <c r="V519" s="613" t="str">
        <f>'refer admin discharge'!H520</f>
        <v>00/00/0000</v>
      </c>
      <c r="W519" s="351"/>
      <c r="X519" s="607"/>
      <c r="Y519" s="351"/>
      <c r="Z519" s="614"/>
      <c r="AA519" s="351"/>
      <c r="AB519" s="607"/>
      <c r="AC519" s="351"/>
      <c r="AD519" s="606"/>
      <c r="AE519" s="351"/>
      <c r="AF519" s="607"/>
      <c r="AG519" s="351"/>
      <c r="AH519" s="606"/>
      <c r="AI519" s="351"/>
      <c r="AJ519" s="607"/>
      <c r="AK519" s="351"/>
      <c r="AL519" s="608"/>
      <c r="AM519" s="350"/>
      <c r="AN519" s="350"/>
      <c r="AO519" s="350"/>
      <c r="AP519" s="350"/>
      <c r="AQ519" s="350"/>
      <c r="AR519" s="350"/>
      <c r="AS519" s="350"/>
      <c r="AT519" s="350"/>
      <c r="AU519" s="350"/>
      <c r="AV519" s="350"/>
      <c r="AW519" s="350"/>
      <c r="AX519" s="350"/>
      <c r="AY519" s="350"/>
      <c r="AZ519" s="350"/>
      <c r="BA519" s="350"/>
      <c r="BB519" s="351"/>
    </row>
    <row r="520" spans="1:54" ht="15.75" customHeight="1">
      <c r="A520" s="25">
        <f t="shared" si="1"/>
        <v>507</v>
      </c>
      <c r="B520" s="618" t="str">
        <f>'refer admin discharge'!B516</f>
        <v>x</v>
      </c>
      <c r="C520" s="351"/>
      <c r="D520" s="619" t="str">
        <f>'refer admin discharge'!D516</f>
        <v>xx</v>
      </c>
      <c r="E520" s="351"/>
      <c r="F520" s="620" t="str">
        <f>'refer admin discharge'!H516</f>
        <v>00/00/0000</v>
      </c>
      <c r="G520" s="351"/>
      <c r="H520" s="615"/>
      <c r="I520" s="351"/>
      <c r="J520" s="621"/>
      <c r="K520" s="351"/>
      <c r="L520" s="615"/>
      <c r="M520" s="351"/>
      <c r="N520" s="610"/>
      <c r="O520" s="351"/>
      <c r="P520" s="615"/>
      <c r="Q520" s="351"/>
      <c r="R520" s="610"/>
      <c r="S520" s="351"/>
      <c r="T520" s="615"/>
      <c r="U520" s="351"/>
      <c r="V520" s="613" t="str">
        <f>'refer admin discharge'!H521</f>
        <v>00/00/0000</v>
      </c>
      <c r="W520" s="351"/>
      <c r="X520" s="616"/>
      <c r="Y520" s="351"/>
      <c r="Z520" s="617"/>
      <c r="AA520" s="351"/>
      <c r="AB520" s="616"/>
      <c r="AC520" s="351"/>
      <c r="AD520" s="607"/>
      <c r="AE520" s="351"/>
      <c r="AF520" s="616"/>
      <c r="AG520" s="351"/>
      <c r="AH520" s="607"/>
      <c r="AI520" s="351"/>
      <c r="AJ520" s="616"/>
      <c r="AK520" s="351"/>
      <c r="AL520" s="622"/>
      <c r="AM520" s="350"/>
      <c r="AN520" s="350"/>
      <c r="AO520" s="350"/>
      <c r="AP520" s="350"/>
      <c r="AQ520" s="350"/>
      <c r="AR520" s="350"/>
      <c r="AS520" s="350"/>
      <c r="AT520" s="350"/>
      <c r="AU520" s="350"/>
      <c r="AV520" s="350"/>
      <c r="AW520" s="350"/>
      <c r="AX520" s="350"/>
      <c r="AY520" s="350"/>
      <c r="AZ520" s="350"/>
      <c r="BA520" s="350"/>
      <c r="BB520" s="351"/>
    </row>
    <row r="521" spans="1:54" ht="15.75" customHeight="1">
      <c r="A521" s="25">
        <f t="shared" si="1"/>
        <v>508</v>
      </c>
      <c r="B521" s="599" t="str">
        <f>'refer admin discharge'!B517</f>
        <v>x</v>
      </c>
      <c r="C521" s="351"/>
      <c r="D521" s="600" t="str">
        <f>'refer admin discharge'!D517</f>
        <v>xx</v>
      </c>
      <c r="E521" s="351"/>
      <c r="F521" s="609" t="str">
        <f>'refer admin discharge'!H517</f>
        <v>00/00/0000</v>
      </c>
      <c r="G521" s="351"/>
      <c r="H521" s="610"/>
      <c r="I521" s="351"/>
      <c r="J521" s="611"/>
      <c r="K521" s="351"/>
      <c r="L521" s="610"/>
      <c r="M521" s="351"/>
      <c r="N521" s="612"/>
      <c r="O521" s="351"/>
      <c r="P521" s="610"/>
      <c r="Q521" s="351"/>
      <c r="R521" s="612"/>
      <c r="S521" s="351"/>
      <c r="T521" s="610"/>
      <c r="U521" s="351"/>
      <c r="V521" s="613" t="str">
        <f>'refer admin discharge'!H522</f>
        <v>00/00/0000</v>
      </c>
      <c r="W521" s="351"/>
      <c r="X521" s="607"/>
      <c r="Y521" s="351"/>
      <c r="Z521" s="614"/>
      <c r="AA521" s="351"/>
      <c r="AB521" s="607"/>
      <c r="AC521" s="351"/>
      <c r="AD521" s="606"/>
      <c r="AE521" s="351"/>
      <c r="AF521" s="607"/>
      <c r="AG521" s="351"/>
      <c r="AH521" s="606"/>
      <c r="AI521" s="351"/>
      <c r="AJ521" s="607"/>
      <c r="AK521" s="351"/>
      <c r="AL521" s="608"/>
      <c r="AM521" s="350"/>
      <c r="AN521" s="350"/>
      <c r="AO521" s="350"/>
      <c r="AP521" s="350"/>
      <c r="AQ521" s="350"/>
      <c r="AR521" s="350"/>
      <c r="AS521" s="350"/>
      <c r="AT521" s="350"/>
      <c r="AU521" s="350"/>
      <c r="AV521" s="350"/>
      <c r="AW521" s="350"/>
      <c r="AX521" s="350"/>
      <c r="AY521" s="350"/>
      <c r="AZ521" s="350"/>
      <c r="BA521" s="350"/>
      <c r="BB521" s="351"/>
    </row>
    <row r="522" spans="1:54" ht="15.75" customHeight="1">
      <c r="A522" s="25">
        <f t="shared" si="1"/>
        <v>509</v>
      </c>
      <c r="B522" s="618" t="str">
        <f>'refer admin discharge'!B518</f>
        <v>x</v>
      </c>
      <c r="C522" s="351"/>
      <c r="D522" s="619" t="str">
        <f>'refer admin discharge'!D518</f>
        <v>xx</v>
      </c>
      <c r="E522" s="351"/>
      <c r="F522" s="620" t="str">
        <f>'refer admin discharge'!H518</f>
        <v>00/00/0000</v>
      </c>
      <c r="G522" s="351"/>
      <c r="H522" s="615"/>
      <c r="I522" s="351"/>
      <c r="J522" s="621"/>
      <c r="K522" s="351"/>
      <c r="L522" s="615"/>
      <c r="M522" s="351"/>
      <c r="N522" s="610"/>
      <c r="O522" s="351"/>
      <c r="P522" s="615"/>
      <c r="Q522" s="351"/>
      <c r="R522" s="610"/>
      <c r="S522" s="351"/>
      <c r="T522" s="615"/>
      <c r="U522" s="351"/>
      <c r="V522" s="613" t="str">
        <f>'refer admin discharge'!H523</f>
        <v>00/00/0000</v>
      </c>
      <c r="W522" s="351"/>
      <c r="X522" s="616"/>
      <c r="Y522" s="351"/>
      <c r="Z522" s="617"/>
      <c r="AA522" s="351"/>
      <c r="AB522" s="616"/>
      <c r="AC522" s="351"/>
      <c r="AD522" s="607"/>
      <c r="AE522" s="351"/>
      <c r="AF522" s="616"/>
      <c r="AG522" s="351"/>
      <c r="AH522" s="607"/>
      <c r="AI522" s="351"/>
      <c r="AJ522" s="616"/>
      <c r="AK522" s="351"/>
      <c r="AL522" s="622"/>
      <c r="AM522" s="350"/>
      <c r="AN522" s="350"/>
      <c r="AO522" s="350"/>
      <c r="AP522" s="350"/>
      <c r="AQ522" s="350"/>
      <c r="AR522" s="350"/>
      <c r="AS522" s="350"/>
      <c r="AT522" s="350"/>
      <c r="AU522" s="350"/>
      <c r="AV522" s="350"/>
      <c r="AW522" s="350"/>
      <c r="AX522" s="350"/>
      <c r="AY522" s="350"/>
      <c r="AZ522" s="350"/>
      <c r="BA522" s="350"/>
      <c r="BB522" s="351"/>
    </row>
    <row r="523" spans="1:54" ht="15.75" customHeight="1">
      <c r="A523" s="25">
        <f t="shared" si="1"/>
        <v>510</v>
      </c>
      <c r="B523" s="599" t="str">
        <f>'refer admin discharge'!B519</f>
        <v>x</v>
      </c>
      <c r="C523" s="351"/>
      <c r="D523" s="600" t="str">
        <f>'refer admin discharge'!D519</f>
        <v>xx</v>
      </c>
      <c r="E523" s="351"/>
      <c r="F523" s="609" t="str">
        <f>'refer admin discharge'!H519</f>
        <v>00/00/0000</v>
      </c>
      <c r="G523" s="351"/>
      <c r="H523" s="610"/>
      <c r="I523" s="351"/>
      <c r="J523" s="611"/>
      <c r="K523" s="351"/>
      <c r="L523" s="610"/>
      <c r="M523" s="351"/>
      <c r="N523" s="612"/>
      <c r="O523" s="351"/>
      <c r="P523" s="610"/>
      <c r="Q523" s="351"/>
      <c r="R523" s="612"/>
      <c r="S523" s="351"/>
      <c r="T523" s="610"/>
      <c r="U523" s="351"/>
      <c r="V523" s="613" t="str">
        <f>'refer admin discharge'!H524</f>
        <v>00/00/0000</v>
      </c>
      <c r="W523" s="351"/>
      <c r="X523" s="607"/>
      <c r="Y523" s="351"/>
      <c r="Z523" s="614"/>
      <c r="AA523" s="351"/>
      <c r="AB523" s="607"/>
      <c r="AC523" s="351"/>
      <c r="AD523" s="606"/>
      <c r="AE523" s="351"/>
      <c r="AF523" s="607"/>
      <c r="AG523" s="351"/>
      <c r="AH523" s="606"/>
      <c r="AI523" s="351"/>
      <c r="AJ523" s="607"/>
      <c r="AK523" s="351"/>
      <c r="AL523" s="608"/>
      <c r="AM523" s="350"/>
      <c r="AN523" s="350"/>
      <c r="AO523" s="350"/>
      <c r="AP523" s="350"/>
      <c r="AQ523" s="350"/>
      <c r="AR523" s="350"/>
      <c r="AS523" s="350"/>
      <c r="AT523" s="350"/>
      <c r="AU523" s="350"/>
      <c r="AV523" s="350"/>
      <c r="AW523" s="350"/>
      <c r="AX523" s="350"/>
      <c r="AY523" s="350"/>
      <c r="AZ523" s="350"/>
      <c r="BA523" s="350"/>
      <c r="BB523" s="351"/>
    </row>
    <row r="524" spans="1:54" ht="15.75" customHeight="1">
      <c r="A524" s="25">
        <f t="shared" ref="A524:A778" si="2">ROW(A511)</f>
        <v>511</v>
      </c>
      <c r="B524" s="618" t="str">
        <f>'refer admin discharge'!B520</f>
        <v>x</v>
      </c>
      <c r="C524" s="351"/>
      <c r="D524" s="619" t="str">
        <f>'refer admin discharge'!D520</f>
        <v>xx</v>
      </c>
      <c r="E524" s="351"/>
      <c r="F524" s="620" t="str">
        <f>'refer admin discharge'!H520</f>
        <v>00/00/0000</v>
      </c>
      <c r="G524" s="351"/>
      <c r="H524" s="615"/>
      <c r="I524" s="351"/>
      <c r="J524" s="621"/>
      <c r="K524" s="351"/>
      <c r="L524" s="615"/>
      <c r="M524" s="351"/>
      <c r="N524" s="610"/>
      <c r="O524" s="351"/>
      <c r="P524" s="615"/>
      <c r="Q524" s="351"/>
      <c r="R524" s="610"/>
      <c r="S524" s="351"/>
      <c r="T524" s="615"/>
      <c r="U524" s="351"/>
      <c r="V524" s="613" t="str">
        <f>'refer admin discharge'!H525</f>
        <v>00/00/0000</v>
      </c>
      <c r="W524" s="351"/>
      <c r="X524" s="616"/>
      <c r="Y524" s="351"/>
      <c r="Z524" s="617"/>
      <c r="AA524" s="351"/>
      <c r="AB524" s="616"/>
      <c r="AC524" s="351"/>
      <c r="AD524" s="607"/>
      <c r="AE524" s="351"/>
      <c r="AF524" s="616"/>
      <c r="AG524" s="351"/>
      <c r="AH524" s="607"/>
      <c r="AI524" s="351"/>
      <c r="AJ524" s="616"/>
      <c r="AK524" s="351"/>
      <c r="AL524" s="622"/>
      <c r="AM524" s="350"/>
      <c r="AN524" s="350"/>
      <c r="AO524" s="350"/>
      <c r="AP524" s="350"/>
      <c r="AQ524" s="350"/>
      <c r="AR524" s="350"/>
      <c r="AS524" s="350"/>
      <c r="AT524" s="350"/>
      <c r="AU524" s="350"/>
      <c r="AV524" s="350"/>
      <c r="AW524" s="350"/>
      <c r="AX524" s="350"/>
      <c r="AY524" s="350"/>
      <c r="AZ524" s="350"/>
      <c r="BA524" s="350"/>
      <c r="BB524" s="351"/>
    </row>
    <row r="525" spans="1:54" ht="15.75" customHeight="1">
      <c r="A525" s="25">
        <f t="shared" si="2"/>
        <v>512</v>
      </c>
      <c r="B525" s="599" t="str">
        <f>'refer admin discharge'!B521</f>
        <v>x</v>
      </c>
      <c r="C525" s="351"/>
      <c r="D525" s="600" t="str">
        <f>'refer admin discharge'!D521</f>
        <v>xx</v>
      </c>
      <c r="E525" s="351"/>
      <c r="F525" s="609" t="str">
        <f>'refer admin discharge'!H521</f>
        <v>00/00/0000</v>
      </c>
      <c r="G525" s="351"/>
      <c r="H525" s="610"/>
      <c r="I525" s="351"/>
      <c r="J525" s="611"/>
      <c r="K525" s="351"/>
      <c r="L525" s="610"/>
      <c r="M525" s="351"/>
      <c r="N525" s="612"/>
      <c r="O525" s="351"/>
      <c r="P525" s="610"/>
      <c r="Q525" s="351"/>
      <c r="R525" s="612"/>
      <c r="S525" s="351"/>
      <c r="T525" s="610"/>
      <c r="U525" s="351"/>
      <c r="V525" s="613" t="str">
        <f>'refer admin discharge'!H526</f>
        <v>00/00/0000</v>
      </c>
      <c r="W525" s="351"/>
      <c r="X525" s="607"/>
      <c r="Y525" s="351"/>
      <c r="Z525" s="614"/>
      <c r="AA525" s="351"/>
      <c r="AB525" s="607"/>
      <c r="AC525" s="351"/>
      <c r="AD525" s="606"/>
      <c r="AE525" s="351"/>
      <c r="AF525" s="607"/>
      <c r="AG525" s="351"/>
      <c r="AH525" s="606"/>
      <c r="AI525" s="351"/>
      <c r="AJ525" s="607"/>
      <c r="AK525" s="351"/>
      <c r="AL525" s="608"/>
      <c r="AM525" s="350"/>
      <c r="AN525" s="350"/>
      <c r="AO525" s="350"/>
      <c r="AP525" s="350"/>
      <c r="AQ525" s="350"/>
      <c r="AR525" s="350"/>
      <c r="AS525" s="350"/>
      <c r="AT525" s="350"/>
      <c r="AU525" s="350"/>
      <c r="AV525" s="350"/>
      <c r="AW525" s="350"/>
      <c r="AX525" s="350"/>
      <c r="AY525" s="350"/>
      <c r="AZ525" s="350"/>
      <c r="BA525" s="350"/>
      <c r="BB525" s="351"/>
    </row>
    <row r="526" spans="1:54" ht="15.75" customHeight="1">
      <c r="A526" s="25">
        <f t="shared" si="2"/>
        <v>513</v>
      </c>
      <c r="B526" s="618" t="str">
        <f>'refer admin discharge'!B522</f>
        <v>x</v>
      </c>
      <c r="C526" s="351"/>
      <c r="D526" s="619" t="str">
        <f>'refer admin discharge'!D522</f>
        <v>xx</v>
      </c>
      <c r="E526" s="351"/>
      <c r="F526" s="620" t="str">
        <f>'refer admin discharge'!H522</f>
        <v>00/00/0000</v>
      </c>
      <c r="G526" s="351"/>
      <c r="H526" s="615"/>
      <c r="I526" s="351"/>
      <c r="J526" s="621"/>
      <c r="K526" s="351"/>
      <c r="L526" s="615"/>
      <c r="M526" s="351"/>
      <c r="N526" s="610"/>
      <c r="O526" s="351"/>
      <c r="P526" s="615"/>
      <c r="Q526" s="351"/>
      <c r="R526" s="610"/>
      <c r="S526" s="351"/>
      <c r="T526" s="615"/>
      <c r="U526" s="351"/>
      <c r="V526" s="613" t="str">
        <f>'refer admin discharge'!H527</f>
        <v>00/00/0000</v>
      </c>
      <c r="W526" s="351"/>
      <c r="X526" s="616"/>
      <c r="Y526" s="351"/>
      <c r="Z526" s="617"/>
      <c r="AA526" s="351"/>
      <c r="AB526" s="616"/>
      <c r="AC526" s="351"/>
      <c r="AD526" s="607"/>
      <c r="AE526" s="351"/>
      <c r="AF526" s="616"/>
      <c r="AG526" s="351"/>
      <c r="AH526" s="607"/>
      <c r="AI526" s="351"/>
      <c r="AJ526" s="616"/>
      <c r="AK526" s="351"/>
      <c r="AL526" s="622"/>
      <c r="AM526" s="350"/>
      <c r="AN526" s="350"/>
      <c r="AO526" s="350"/>
      <c r="AP526" s="350"/>
      <c r="AQ526" s="350"/>
      <c r="AR526" s="350"/>
      <c r="AS526" s="350"/>
      <c r="AT526" s="350"/>
      <c r="AU526" s="350"/>
      <c r="AV526" s="350"/>
      <c r="AW526" s="350"/>
      <c r="AX526" s="350"/>
      <c r="AY526" s="350"/>
      <c r="AZ526" s="350"/>
      <c r="BA526" s="350"/>
      <c r="BB526" s="351"/>
    </row>
    <row r="527" spans="1:54" ht="15.75" customHeight="1">
      <c r="A527" s="25">
        <f t="shared" si="2"/>
        <v>514</v>
      </c>
      <c r="B527" s="599" t="str">
        <f>'refer admin discharge'!B523</f>
        <v>x</v>
      </c>
      <c r="C527" s="351"/>
      <c r="D527" s="600" t="str">
        <f>'refer admin discharge'!D523</f>
        <v>xx</v>
      </c>
      <c r="E527" s="351"/>
      <c r="F527" s="609" t="str">
        <f>'refer admin discharge'!H523</f>
        <v>00/00/0000</v>
      </c>
      <c r="G527" s="351"/>
      <c r="H527" s="610"/>
      <c r="I527" s="351"/>
      <c r="J527" s="611"/>
      <c r="K527" s="351"/>
      <c r="L527" s="610"/>
      <c r="M527" s="351"/>
      <c r="N527" s="612"/>
      <c r="O527" s="351"/>
      <c r="P527" s="610"/>
      <c r="Q527" s="351"/>
      <c r="R527" s="612"/>
      <c r="S527" s="351"/>
      <c r="T527" s="610"/>
      <c r="U527" s="351"/>
      <c r="V527" s="613" t="str">
        <f>'refer admin discharge'!H528</f>
        <v>00/00/0000</v>
      </c>
      <c r="W527" s="351"/>
      <c r="X527" s="607"/>
      <c r="Y527" s="351"/>
      <c r="Z527" s="614"/>
      <c r="AA527" s="351"/>
      <c r="AB527" s="607"/>
      <c r="AC527" s="351"/>
      <c r="AD527" s="606"/>
      <c r="AE527" s="351"/>
      <c r="AF527" s="607"/>
      <c r="AG527" s="351"/>
      <c r="AH527" s="606"/>
      <c r="AI527" s="351"/>
      <c r="AJ527" s="607"/>
      <c r="AK527" s="351"/>
      <c r="AL527" s="608"/>
      <c r="AM527" s="350"/>
      <c r="AN527" s="350"/>
      <c r="AO527" s="350"/>
      <c r="AP527" s="350"/>
      <c r="AQ527" s="350"/>
      <c r="AR527" s="350"/>
      <c r="AS527" s="350"/>
      <c r="AT527" s="350"/>
      <c r="AU527" s="350"/>
      <c r="AV527" s="350"/>
      <c r="AW527" s="350"/>
      <c r="AX527" s="350"/>
      <c r="AY527" s="350"/>
      <c r="AZ527" s="350"/>
      <c r="BA527" s="350"/>
      <c r="BB527" s="351"/>
    </row>
    <row r="528" spans="1:54" ht="15.75" customHeight="1">
      <c r="A528" s="25">
        <f t="shared" si="2"/>
        <v>515</v>
      </c>
      <c r="B528" s="618" t="str">
        <f>'refer admin discharge'!B524</f>
        <v>x</v>
      </c>
      <c r="C528" s="351"/>
      <c r="D528" s="619" t="str">
        <f>'refer admin discharge'!D524</f>
        <v>xx</v>
      </c>
      <c r="E528" s="351"/>
      <c r="F528" s="620" t="str">
        <f>'refer admin discharge'!H524</f>
        <v>00/00/0000</v>
      </c>
      <c r="G528" s="351"/>
      <c r="H528" s="615"/>
      <c r="I528" s="351"/>
      <c r="J528" s="621"/>
      <c r="K528" s="351"/>
      <c r="L528" s="615"/>
      <c r="M528" s="351"/>
      <c r="N528" s="610"/>
      <c r="O528" s="351"/>
      <c r="P528" s="615"/>
      <c r="Q528" s="351"/>
      <c r="R528" s="610"/>
      <c r="S528" s="351"/>
      <c r="T528" s="615"/>
      <c r="U528" s="351"/>
      <c r="V528" s="613" t="str">
        <f>'refer admin discharge'!H529</f>
        <v>00/00/0000</v>
      </c>
      <c r="W528" s="351"/>
      <c r="X528" s="616"/>
      <c r="Y528" s="351"/>
      <c r="Z528" s="617"/>
      <c r="AA528" s="351"/>
      <c r="AB528" s="616"/>
      <c r="AC528" s="351"/>
      <c r="AD528" s="607"/>
      <c r="AE528" s="351"/>
      <c r="AF528" s="616"/>
      <c r="AG528" s="351"/>
      <c r="AH528" s="607"/>
      <c r="AI528" s="351"/>
      <c r="AJ528" s="616"/>
      <c r="AK528" s="351"/>
      <c r="AL528" s="622"/>
      <c r="AM528" s="350"/>
      <c r="AN528" s="350"/>
      <c r="AO528" s="350"/>
      <c r="AP528" s="350"/>
      <c r="AQ528" s="350"/>
      <c r="AR528" s="350"/>
      <c r="AS528" s="350"/>
      <c r="AT528" s="350"/>
      <c r="AU528" s="350"/>
      <c r="AV528" s="350"/>
      <c r="AW528" s="350"/>
      <c r="AX528" s="350"/>
      <c r="AY528" s="350"/>
      <c r="AZ528" s="350"/>
      <c r="BA528" s="350"/>
      <c r="BB528" s="351"/>
    </row>
    <row r="529" spans="1:54" ht="15.75" customHeight="1">
      <c r="A529" s="25">
        <f t="shared" si="2"/>
        <v>516</v>
      </c>
      <c r="B529" s="599" t="str">
        <f>'refer admin discharge'!B525</f>
        <v>x</v>
      </c>
      <c r="C529" s="351"/>
      <c r="D529" s="600" t="str">
        <f>'refer admin discharge'!D525</f>
        <v>xx</v>
      </c>
      <c r="E529" s="351"/>
      <c r="F529" s="609" t="str">
        <f>'refer admin discharge'!H525</f>
        <v>00/00/0000</v>
      </c>
      <c r="G529" s="351"/>
      <c r="H529" s="610"/>
      <c r="I529" s="351"/>
      <c r="J529" s="611"/>
      <c r="K529" s="351"/>
      <c r="L529" s="610"/>
      <c r="M529" s="351"/>
      <c r="N529" s="612"/>
      <c r="O529" s="351"/>
      <c r="P529" s="610"/>
      <c r="Q529" s="351"/>
      <c r="R529" s="612"/>
      <c r="S529" s="351"/>
      <c r="T529" s="610"/>
      <c r="U529" s="351"/>
      <c r="V529" s="613" t="str">
        <f>'refer admin discharge'!H530</f>
        <v>00/00/0000</v>
      </c>
      <c r="W529" s="351"/>
      <c r="X529" s="607"/>
      <c r="Y529" s="351"/>
      <c r="Z529" s="614"/>
      <c r="AA529" s="351"/>
      <c r="AB529" s="607"/>
      <c r="AC529" s="351"/>
      <c r="AD529" s="606"/>
      <c r="AE529" s="351"/>
      <c r="AF529" s="607"/>
      <c r="AG529" s="351"/>
      <c r="AH529" s="606"/>
      <c r="AI529" s="351"/>
      <c r="AJ529" s="607"/>
      <c r="AK529" s="351"/>
      <c r="AL529" s="608"/>
      <c r="AM529" s="350"/>
      <c r="AN529" s="350"/>
      <c r="AO529" s="350"/>
      <c r="AP529" s="350"/>
      <c r="AQ529" s="350"/>
      <c r="AR529" s="350"/>
      <c r="AS529" s="350"/>
      <c r="AT529" s="350"/>
      <c r="AU529" s="350"/>
      <c r="AV529" s="350"/>
      <c r="AW529" s="350"/>
      <c r="AX529" s="350"/>
      <c r="AY529" s="350"/>
      <c r="AZ529" s="350"/>
      <c r="BA529" s="350"/>
      <c r="BB529" s="351"/>
    </row>
    <row r="530" spans="1:54" ht="15.75" customHeight="1">
      <c r="A530" s="25">
        <f t="shared" si="2"/>
        <v>517</v>
      </c>
      <c r="B530" s="618" t="str">
        <f>'refer admin discharge'!B526</f>
        <v>x</v>
      </c>
      <c r="C530" s="351"/>
      <c r="D530" s="619" t="str">
        <f>'refer admin discharge'!D526</f>
        <v>xx</v>
      </c>
      <c r="E530" s="351"/>
      <c r="F530" s="620" t="str">
        <f>'refer admin discharge'!H526</f>
        <v>00/00/0000</v>
      </c>
      <c r="G530" s="351"/>
      <c r="H530" s="615"/>
      <c r="I530" s="351"/>
      <c r="J530" s="621"/>
      <c r="K530" s="351"/>
      <c r="L530" s="615"/>
      <c r="M530" s="351"/>
      <c r="N530" s="610"/>
      <c r="O530" s="351"/>
      <c r="P530" s="615"/>
      <c r="Q530" s="351"/>
      <c r="R530" s="610"/>
      <c r="S530" s="351"/>
      <c r="T530" s="615"/>
      <c r="U530" s="351"/>
      <c r="V530" s="613" t="str">
        <f>'refer admin discharge'!H531</f>
        <v>00/00/0000</v>
      </c>
      <c r="W530" s="351"/>
      <c r="X530" s="616"/>
      <c r="Y530" s="351"/>
      <c r="Z530" s="617"/>
      <c r="AA530" s="351"/>
      <c r="AB530" s="616"/>
      <c r="AC530" s="351"/>
      <c r="AD530" s="607"/>
      <c r="AE530" s="351"/>
      <c r="AF530" s="616"/>
      <c r="AG530" s="351"/>
      <c r="AH530" s="607"/>
      <c r="AI530" s="351"/>
      <c r="AJ530" s="616"/>
      <c r="AK530" s="351"/>
      <c r="AL530" s="622"/>
      <c r="AM530" s="350"/>
      <c r="AN530" s="350"/>
      <c r="AO530" s="350"/>
      <c r="AP530" s="350"/>
      <c r="AQ530" s="350"/>
      <c r="AR530" s="350"/>
      <c r="AS530" s="350"/>
      <c r="AT530" s="350"/>
      <c r="AU530" s="350"/>
      <c r="AV530" s="350"/>
      <c r="AW530" s="350"/>
      <c r="AX530" s="350"/>
      <c r="AY530" s="350"/>
      <c r="AZ530" s="350"/>
      <c r="BA530" s="350"/>
      <c r="BB530" s="351"/>
    </row>
    <row r="531" spans="1:54" ht="15.75" customHeight="1">
      <c r="A531" s="25">
        <f t="shared" si="2"/>
        <v>518</v>
      </c>
      <c r="B531" s="599" t="str">
        <f>'refer admin discharge'!B527</f>
        <v>x</v>
      </c>
      <c r="C531" s="351"/>
      <c r="D531" s="600" t="str">
        <f>'refer admin discharge'!D527</f>
        <v>xx</v>
      </c>
      <c r="E531" s="351"/>
      <c r="F531" s="609" t="str">
        <f>'refer admin discharge'!H527</f>
        <v>00/00/0000</v>
      </c>
      <c r="G531" s="351"/>
      <c r="H531" s="610"/>
      <c r="I531" s="351"/>
      <c r="J531" s="611"/>
      <c r="K531" s="351"/>
      <c r="L531" s="610"/>
      <c r="M531" s="351"/>
      <c r="N531" s="612"/>
      <c r="O531" s="351"/>
      <c r="P531" s="610"/>
      <c r="Q531" s="351"/>
      <c r="R531" s="612"/>
      <c r="S531" s="351"/>
      <c r="T531" s="610"/>
      <c r="U531" s="351"/>
      <c r="V531" s="613" t="str">
        <f>'refer admin discharge'!H532</f>
        <v>00/00/0000</v>
      </c>
      <c r="W531" s="351"/>
      <c r="X531" s="607"/>
      <c r="Y531" s="351"/>
      <c r="Z531" s="614"/>
      <c r="AA531" s="351"/>
      <c r="AB531" s="607"/>
      <c r="AC531" s="351"/>
      <c r="AD531" s="606"/>
      <c r="AE531" s="351"/>
      <c r="AF531" s="607"/>
      <c r="AG531" s="351"/>
      <c r="AH531" s="606"/>
      <c r="AI531" s="351"/>
      <c r="AJ531" s="607"/>
      <c r="AK531" s="351"/>
      <c r="AL531" s="608"/>
      <c r="AM531" s="350"/>
      <c r="AN531" s="350"/>
      <c r="AO531" s="350"/>
      <c r="AP531" s="350"/>
      <c r="AQ531" s="350"/>
      <c r="AR531" s="350"/>
      <c r="AS531" s="350"/>
      <c r="AT531" s="350"/>
      <c r="AU531" s="350"/>
      <c r="AV531" s="350"/>
      <c r="AW531" s="350"/>
      <c r="AX531" s="350"/>
      <c r="AY531" s="350"/>
      <c r="AZ531" s="350"/>
      <c r="BA531" s="350"/>
      <c r="BB531" s="351"/>
    </row>
    <row r="532" spans="1:54" ht="15.75" customHeight="1">
      <c r="A532" s="25">
        <f t="shared" si="2"/>
        <v>519</v>
      </c>
      <c r="B532" s="618" t="str">
        <f>'refer admin discharge'!B528</f>
        <v>x</v>
      </c>
      <c r="C532" s="351"/>
      <c r="D532" s="619" t="str">
        <f>'refer admin discharge'!D528</f>
        <v>xx</v>
      </c>
      <c r="E532" s="351"/>
      <c r="F532" s="620" t="str">
        <f>'refer admin discharge'!H528</f>
        <v>00/00/0000</v>
      </c>
      <c r="G532" s="351"/>
      <c r="H532" s="615"/>
      <c r="I532" s="351"/>
      <c r="J532" s="621"/>
      <c r="K532" s="351"/>
      <c r="L532" s="615"/>
      <c r="M532" s="351"/>
      <c r="N532" s="610"/>
      <c r="O532" s="351"/>
      <c r="P532" s="615"/>
      <c r="Q532" s="351"/>
      <c r="R532" s="610"/>
      <c r="S532" s="351"/>
      <c r="T532" s="615"/>
      <c r="U532" s="351"/>
      <c r="V532" s="613" t="str">
        <f>'refer admin discharge'!H533</f>
        <v>00/00/0000</v>
      </c>
      <c r="W532" s="351"/>
      <c r="X532" s="616"/>
      <c r="Y532" s="351"/>
      <c r="Z532" s="617"/>
      <c r="AA532" s="351"/>
      <c r="AB532" s="616"/>
      <c r="AC532" s="351"/>
      <c r="AD532" s="607"/>
      <c r="AE532" s="351"/>
      <c r="AF532" s="616"/>
      <c r="AG532" s="351"/>
      <c r="AH532" s="607"/>
      <c r="AI532" s="351"/>
      <c r="AJ532" s="616"/>
      <c r="AK532" s="351"/>
      <c r="AL532" s="622"/>
      <c r="AM532" s="350"/>
      <c r="AN532" s="350"/>
      <c r="AO532" s="350"/>
      <c r="AP532" s="350"/>
      <c r="AQ532" s="350"/>
      <c r="AR532" s="350"/>
      <c r="AS532" s="350"/>
      <c r="AT532" s="350"/>
      <c r="AU532" s="350"/>
      <c r="AV532" s="350"/>
      <c r="AW532" s="350"/>
      <c r="AX532" s="350"/>
      <c r="AY532" s="350"/>
      <c r="AZ532" s="350"/>
      <c r="BA532" s="350"/>
      <c r="BB532" s="351"/>
    </row>
    <row r="533" spans="1:54" ht="15.75" customHeight="1">
      <c r="A533" s="25">
        <f t="shared" si="2"/>
        <v>520</v>
      </c>
      <c r="B533" s="599" t="str">
        <f>'refer admin discharge'!B529</f>
        <v>x</v>
      </c>
      <c r="C533" s="351"/>
      <c r="D533" s="600" t="str">
        <f>'refer admin discharge'!D529</f>
        <v>xx</v>
      </c>
      <c r="E533" s="351"/>
      <c r="F533" s="609" t="str">
        <f>'refer admin discharge'!H529</f>
        <v>00/00/0000</v>
      </c>
      <c r="G533" s="351"/>
      <c r="H533" s="610"/>
      <c r="I533" s="351"/>
      <c r="J533" s="611"/>
      <c r="K533" s="351"/>
      <c r="L533" s="610"/>
      <c r="M533" s="351"/>
      <c r="N533" s="612"/>
      <c r="O533" s="351"/>
      <c r="P533" s="610"/>
      <c r="Q533" s="351"/>
      <c r="R533" s="612"/>
      <c r="S533" s="351"/>
      <c r="T533" s="610"/>
      <c r="U533" s="351"/>
      <c r="V533" s="613" t="str">
        <f>'refer admin discharge'!H534</f>
        <v>00/00/0000</v>
      </c>
      <c r="W533" s="351"/>
      <c r="X533" s="607"/>
      <c r="Y533" s="351"/>
      <c r="Z533" s="614"/>
      <c r="AA533" s="351"/>
      <c r="AB533" s="607"/>
      <c r="AC533" s="351"/>
      <c r="AD533" s="606"/>
      <c r="AE533" s="351"/>
      <c r="AF533" s="607"/>
      <c r="AG533" s="351"/>
      <c r="AH533" s="606"/>
      <c r="AI533" s="351"/>
      <c r="AJ533" s="607"/>
      <c r="AK533" s="351"/>
      <c r="AL533" s="608"/>
      <c r="AM533" s="350"/>
      <c r="AN533" s="350"/>
      <c r="AO533" s="350"/>
      <c r="AP533" s="350"/>
      <c r="AQ533" s="350"/>
      <c r="AR533" s="350"/>
      <c r="AS533" s="350"/>
      <c r="AT533" s="350"/>
      <c r="AU533" s="350"/>
      <c r="AV533" s="350"/>
      <c r="AW533" s="350"/>
      <c r="AX533" s="350"/>
      <c r="AY533" s="350"/>
      <c r="AZ533" s="350"/>
      <c r="BA533" s="350"/>
      <c r="BB533" s="351"/>
    </row>
    <row r="534" spans="1:54" ht="15.75" customHeight="1">
      <c r="A534" s="25">
        <f t="shared" si="2"/>
        <v>521</v>
      </c>
      <c r="B534" s="618" t="str">
        <f>'refer admin discharge'!B530</f>
        <v>x</v>
      </c>
      <c r="C534" s="351"/>
      <c r="D534" s="619" t="str">
        <f>'refer admin discharge'!D530</f>
        <v>xx</v>
      </c>
      <c r="E534" s="351"/>
      <c r="F534" s="620" t="str">
        <f>'refer admin discharge'!H530</f>
        <v>00/00/0000</v>
      </c>
      <c r="G534" s="351"/>
      <c r="H534" s="615"/>
      <c r="I534" s="351"/>
      <c r="J534" s="621"/>
      <c r="K534" s="351"/>
      <c r="L534" s="615"/>
      <c r="M534" s="351"/>
      <c r="N534" s="610"/>
      <c r="O534" s="351"/>
      <c r="P534" s="615"/>
      <c r="Q534" s="351"/>
      <c r="R534" s="610"/>
      <c r="S534" s="351"/>
      <c r="T534" s="615"/>
      <c r="U534" s="351"/>
      <c r="V534" s="613" t="str">
        <f>'refer admin discharge'!H535</f>
        <v>00/00/0000</v>
      </c>
      <c r="W534" s="351"/>
      <c r="X534" s="616"/>
      <c r="Y534" s="351"/>
      <c r="Z534" s="617"/>
      <c r="AA534" s="351"/>
      <c r="AB534" s="616"/>
      <c r="AC534" s="351"/>
      <c r="AD534" s="607"/>
      <c r="AE534" s="351"/>
      <c r="AF534" s="616"/>
      <c r="AG534" s="351"/>
      <c r="AH534" s="607"/>
      <c r="AI534" s="351"/>
      <c r="AJ534" s="616"/>
      <c r="AK534" s="351"/>
      <c r="AL534" s="622"/>
      <c r="AM534" s="350"/>
      <c r="AN534" s="350"/>
      <c r="AO534" s="350"/>
      <c r="AP534" s="350"/>
      <c r="AQ534" s="350"/>
      <c r="AR534" s="350"/>
      <c r="AS534" s="350"/>
      <c r="AT534" s="350"/>
      <c r="AU534" s="350"/>
      <c r="AV534" s="350"/>
      <c r="AW534" s="350"/>
      <c r="AX534" s="350"/>
      <c r="AY534" s="350"/>
      <c r="AZ534" s="350"/>
      <c r="BA534" s="350"/>
      <c r="BB534" s="351"/>
    </row>
    <row r="535" spans="1:54" ht="15.75" customHeight="1">
      <c r="A535" s="25">
        <f t="shared" si="2"/>
        <v>522</v>
      </c>
      <c r="B535" s="599" t="str">
        <f>'refer admin discharge'!B531</f>
        <v>x</v>
      </c>
      <c r="C535" s="351"/>
      <c r="D535" s="600" t="str">
        <f>'refer admin discharge'!D531</f>
        <v>xx</v>
      </c>
      <c r="E535" s="351"/>
      <c r="F535" s="609" t="str">
        <f>'refer admin discharge'!H531</f>
        <v>00/00/0000</v>
      </c>
      <c r="G535" s="351"/>
      <c r="H535" s="610"/>
      <c r="I535" s="351"/>
      <c r="J535" s="611"/>
      <c r="K535" s="351"/>
      <c r="L535" s="610"/>
      <c r="M535" s="351"/>
      <c r="N535" s="612"/>
      <c r="O535" s="351"/>
      <c r="P535" s="610"/>
      <c r="Q535" s="351"/>
      <c r="R535" s="612"/>
      <c r="S535" s="351"/>
      <c r="T535" s="610"/>
      <c r="U535" s="351"/>
      <c r="V535" s="613" t="str">
        <f>'refer admin discharge'!H536</f>
        <v>00/00/0000</v>
      </c>
      <c r="W535" s="351"/>
      <c r="X535" s="607"/>
      <c r="Y535" s="351"/>
      <c r="Z535" s="614"/>
      <c r="AA535" s="351"/>
      <c r="AB535" s="607"/>
      <c r="AC535" s="351"/>
      <c r="AD535" s="606"/>
      <c r="AE535" s="351"/>
      <c r="AF535" s="607"/>
      <c r="AG535" s="351"/>
      <c r="AH535" s="606"/>
      <c r="AI535" s="351"/>
      <c r="AJ535" s="607"/>
      <c r="AK535" s="351"/>
      <c r="AL535" s="608"/>
      <c r="AM535" s="350"/>
      <c r="AN535" s="350"/>
      <c r="AO535" s="350"/>
      <c r="AP535" s="350"/>
      <c r="AQ535" s="350"/>
      <c r="AR535" s="350"/>
      <c r="AS535" s="350"/>
      <c r="AT535" s="350"/>
      <c r="AU535" s="350"/>
      <c r="AV535" s="350"/>
      <c r="AW535" s="350"/>
      <c r="AX535" s="350"/>
      <c r="AY535" s="350"/>
      <c r="AZ535" s="350"/>
      <c r="BA535" s="350"/>
      <c r="BB535" s="351"/>
    </row>
    <row r="536" spans="1:54" ht="15.75" customHeight="1">
      <c r="A536" s="25">
        <f t="shared" si="2"/>
        <v>523</v>
      </c>
      <c r="B536" s="618" t="str">
        <f>'refer admin discharge'!B532</f>
        <v>x</v>
      </c>
      <c r="C536" s="351"/>
      <c r="D536" s="619" t="str">
        <f>'refer admin discharge'!D532</f>
        <v>xx</v>
      </c>
      <c r="E536" s="351"/>
      <c r="F536" s="620" t="str">
        <f>'refer admin discharge'!H532</f>
        <v>00/00/0000</v>
      </c>
      <c r="G536" s="351"/>
      <c r="H536" s="615"/>
      <c r="I536" s="351"/>
      <c r="J536" s="621"/>
      <c r="K536" s="351"/>
      <c r="L536" s="615"/>
      <c r="M536" s="351"/>
      <c r="N536" s="610"/>
      <c r="O536" s="351"/>
      <c r="P536" s="615"/>
      <c r="Q536" s="351"/>
      <c r="R536" s="610"/>
      <c r="S536" s="351"/>
      <c r="T536" s="615"/>
      <c r="U536" s="351"/>
      <c r="V536" s="613" t="str">
        <f>'refer admin discharge'!H537</f>
        <v>00/00/0000</v>
      </c>
      <c r="W536" s="351"/>
      <c r="X536" s="616"/>
      <c r="Y536" s="351"/>
      <c r="Z536" s="617"/>
      <c r="AA536" s="351"/>
      <c r="AB536" s="616"/>
      <c r="AC536" s="351"/>
      <c r="AD536" s="607"/>
      <c r="AE536" s="351"/>
      <c r="AF536" s="616"/>
      <c r="AG536" s="351"/>
      <c r="AH536" s="607"/>
      <c r="AI536" s="351"/>
      <c r="AJ536" s="616"/>
      <c r="AK536" s="351"/>
      <c r="AL536" s="622"/>
      <c r="AM536" s="350"/>
      <c r="AN536" s="350"/>
      <c r="AO536" s="350"/>
      <c r="AP536" s="350"/>
      <c r="AQ536" s="350"/>
      <c r="AR536" s="350"/>
      <c r="AS536" s="350"/>
      <c r="AT536" s="350"/>
      <c r="AU536" s="350"/>
      <c r="AV536" s="350"/>
      <c r="AW536" s="350"/>
      <c r="AX536" s="350"/>
      <c r="AY536" s="350"/>
      <c r="AZ536" s="350"/>
      <c r="BA536" s="350"/>
      <c r="BB536" s="351"/>
    </row>
    <row r="537" spans="1:54" ht="15.75" customHeight="1">
      <c r="A537" s="25">
        <f t="shared" si="2"/>
        <v>524</v>
      </c>
      <c r="B537" s="599" t="str">
        <f>'refer admin discharge'!B533</f>
        <v>x</v>
      </c>
      <c r="C537" s="351"/>
      <c r="D537" s="600" t="str">
        <f>'refer admin discharge'!D533</f>
        <v>xx</v>
      </c>
      <c r="E537" s="351"/>
      <c r="F537" s="609" t="str">
        <f>'refer admin discharge'!H533</f>
        <v>00/00/0000</v>
      </c>
      <c r="G537" s="351"/>
      <c r="H537" s="610"/>
      <c r="I537" s="351"/>
      <c r="J537" s="611"/>
      <c r="K537" s="351"/>
      <c r="L537" s="610"/>
      <c r="M537" s="351"/>
      <c r="N537" s="612"/>
      <c r="O537" s="351"/>
      <c r="P537" s="610"/>
      <c r="Q537" s="351"/>
      <c r="R537" s="612"/>
      <c r="S537" s="351"/>
      <c r="T537" s="610"/>
      <c r="U537" s="351"/>
      <c r="V537" s="613" t="str">
        <f>'refer admin discharge'!H538</f>
        <v>00/00/0000</v>
      </c>
      <c r="W537" s="351"/>
      <c r="X537" s="607"/>
      <c r="Y537" s="351"/>
      <c r="Z537" s="614"/>
      <c r="AA537" s="351"/>
      <c r="AB537" s="607"/>
      <c r="AC537" s="351"/>
      <c r="AD537" s="606"/>
      <c r="AE537" s="351"/>
      <c r="AF537" s="607"/>
      <c r="AG537" s="351"/>
      <c r="AH537" s="606"/>
      <c r="AI537" s="351"/>
      <c r="AJ537" s="607"/>
      <c r="AK537" s="351"/>
      <c r="AL537" s="608"/>
      <c r="AM537" s="350"/>
      <c r="AN537" s="350"/>
      <c r="AO537" s="350"/>
      <c r="AP537" s="350"/>
      <c r="AQ537" s="350"/>
      <c r="AR537" s="350"/>
      <c r="AS537" s="350"/>
      <c r="AT537" s="350"/>
      <c r="AU537" s="350"/>
      <c r="AV537" s="350"/>
      <c r="AW537" s="350"/>
      <c r="AX537" s="350"/>
      <c r="AY537" s="350"/>
      <c r="AZ537" s="350"/>
      <c r="BA537" s="350"/>
      <c r="BB537" s="351"/>
    </row>
    <row r="538" spans="1:54" ht="15.75" customHeight="1">
      <c r="A538" s="25">
        <f t="shared" si="2"/>
        <v>525</v>
      </c>
      <c r="B538" s="618" t="str">
        <f>'refer admin discharge'!B534</f>
        <v>x</v>
      </c>
      <c r="C538" s="351"/>
      <c r="D538" s="619" t="str">
        <f>'refer admin discharge'!D534</f>
        <v>xx</v>
      </c>
      <c r="E538" s="351"/>
      <c r="F538" s="620" t="str">
        <f>'refer admin discharge'!H534</f>
        <v>00/00/0000</v>
      </c>
      <c r="G538" s="351"/>
      <c r="H538" s="615"/>
      <c r="I538" s="351"/>
      <c r="J538" s="621"/>
      <c r="K538" s="351"/>
      <c r="L538" s="615"/>
      <c r="M538" s="351"/>
      <c r="N538" s="610"/>
      <c r="O538" s="351"/>
      <c r="P538" s="615"/>
      <c r="Q538" s="351"/>
      <c r="R538" s="610"/>
      <c r="S538" s="351"/>
      <c r="T538" s="615"/>
      <c r="U538" s="351"/>
      <c r="V538" s="613" t="str">
        <f>'refer admin discharge'!H539</f>
        <v>00/00/0000</v>
      </c>
      <c r="W538" s="351"/>
      <c r="X538" s="616"/>
      <c r="Y538" s="351"/>
      <c r="Z538" s="617"/>
      <c r="AA538" s="351"/>
      <c r="AB538" s="616"/>
      <c r="AC538" s="351"/>
      <c r="AD538" s="607"/>
      <c r="AE538" s="351"/>
      <c r="AF538" s="616"/>
      <c r="AG538" s="351"/>
      <c r="AH538" s="607"/>
      <c r="AI538" s="351"/>
      <c r="AJ538" s="616"/>
      <c r="AK538" s="351"/>
      <c r="AL538" s="622"/>
      <c r="AM538" s="350"/>
      <c r="AN538" s="350"/>
      <c r="AO538" s="350"/>
      <c r="AP538" s="350"/>
      <c r="AQ538" s="350"/>
      <c r="AR538" s="350"/>
      <c r="AS538" s="350"/>
      <c r="AT538" s="350"/>
      <c r="AU538" s="350"/>
      <c r="AV538" s="350"/>
      <c r="AW538" s="350"/>
      <c r="AX538" s="350"/>
      <c r="AY538" s="350"/>
      <c r="AZ538" s="350"/>
      <c r="BA538" s="350"/>
      <c r="BB538" s="351"/>
    </row>
    <row r="539" spans="1:54" ht="15.75" customHeight="1">
      <c r="A539" s="25">
        <f t="shared" si="2"/>
        <v>526</v>
      </c>
      <c r="B539" s="599" t="str">
        <f>'refer admin discharge'!B535</f>
        <v>x</v>
      </c>
      <c r="C539" s="351"/>
      <c r="D539" s="600" t="str">
        <f>'refer admin discharge'!D535</f>
        <v>xx</v>
      </c>
      <c r="E539" s="351"/>
      <c r="F539" s="609" t="str">
        <f>'refer admin discharge'!H535</f>
        <v>00/00/0000</v>
      </c>
      <c r="G539" s="351"/>
      <c r="H539" s="610"/>
      <c r="I539" s="351"/>
      <c r="J539" s="611"/>
      <c r="K539" s="351"/>
      <c r="L539" s="610"/>
      <c r="M539" s="351"/>
      <c r="N539" s="612"/>
      <c r="O539" s="351"/>
      <c r="P539" s="610"/>
      <c r="Q539" s="351"/>
      <c r="R539" s="612"/>
      <c r="S539" s="351"/>
      <c r="T539" s="610"/>
      <c r="U539" s="351"/>
      <c r="V539" s="613" t="str">
        <f>'refer admin discharge'!H540</f>
        <v>00/00/0000</v>
      </c>
      <c r="W539" s="351"/>
      <c r="X539" s="607"/>
      <c r="Y539" s="351"/>
      <c r="Z539" s="614"/>
      <c r="AA539" s="351"/>
      <c r="AB539" s="607"/>
      <c r="AC539" s="351"/>
      <c r="AD539" s="606"/>
      <c r="AE539" s="351"/>
      <c r="AF539" s="607"/>
      <c r="AG539" s="351"/>
      <c r="AH539" s="606"/>
      <c r="AI539" s="351"/>
      <c r="AJ539" s="607"/>
      <c r="AK539" s="351"/>
      <c r="AL539" s="608"/>
      <c r="AM539" s="350"/>
      <c r="AN539" s="350"/>
      <c r="AO539" s="350"/>
      <c r="AP539" s="350"/>
      <c r="AQ539" s="350"/>
      <c r="AR539" s="350"/>
      <c r="AS539" s="350"/>
      <c r="AT539" s="350"/>
      <c r="AU539" s="350"/>
      <c r="AV539" s="350"/>
      <c r="AW539" s="350"/>
      <c r="AX539" s="350"/>
      <c r="AY539" s="350"/>
      <c r="AZ539" s="350"/>
      <c r="BA539" s="350"/>
      <c r="BB539" s="351"/>
    </row>
    <row r="540" spans="1:54" ht="15.75" customHeight="1">
      <c r="A540" s="25">
        <f t="shared" si="2"/>
        <v>527</v>
      </c>
      <c r="B540" s="618" t="str">
        <f>'refer admin discharge'!B536</f>
        <v>x</v>
      </c>
      <c r="C540" s="351"/>
      <c r="D540" s="619" t="str">
        <f>'refer admin discharge'!D536</f>
        <v>xx</v>
      </c>
      <c r="E540" s="351"/>
      <c r="F540" s="620" t="str">
        <f>'refer admin discharge'!H536</f>
        <v>00/00/0000</v>
      </c>
      <c r="G540" s="351"/>
      <c r="H540" s="615"/>
      <c r="I540" s="351"/>
      <c r="J540" s="621"/>
      <c r="K540" s="351"/>
      <c r="L540" s="615"/>
      <c r="M540" s="351"/>
      <c r="N540" s="610"/>
      <c r="O540" s="351"/>
      <c r="P540" s="615"/>
      <c r="Q540" s="351"/>
      <c r="R540" s="610"/>
      <c r="S540" s="351"/>
      <c r="T540" s="615"/>
      <c r="U540" s="351"/>
      <c r="V540" s="613" t="str">
        <f>'refer admin discharge'!H541</f>
        <v>00/00/0000</v>
      </c>
      <c r="W540" s="351"/>
      <c r="X540" s="616"/>
      <c r="Y540" s="351"/>
      <c r="Z540" s="617"/>
      <c r="AA540" s="351"/>
      <c r="AB540" s="616"/>
      <c r="AC540" s="351"/>
      <c r="AD540" s="607"/>
      <c r="AE540" s="351"/>
      <c r="AF540" s="616"/>
      <c r="AG540" s="351"/>
      <c r="AH540" s="607"/>
      <c r="AI540" s="351"/>
      <c r="AJ540" s="616"/>
      <c r="AK540" s="351"/>
      <c r="AL540" s="622"/>
      <c r="AM540" s="350"/>
      <c r="AN540" s="350"/>
      <c r="AO540" s="350"/>
      <c r="AP540" s="350"/>
      <c r="AQ540" s="350"/>
      <c r="AR540" s="350"/>
      <c r="AS540" s="350"/>
      <c r="AT540" s="350"/>
      <c r="AU540" s="350"/>
      <c r="AV540" s="350"/>
      <c r="AW540" s="350"/>
      <c r="AX540" s="350"/>
      <c r="AY540" s="350"/>
      <c r="AZ540" s="350"/>
      <c r="BA540" s="350"/>
      <c r="BB540" s="351"/>
    </row>
    <row r="541" spans="1:54" ht="15.75" customHeight="1">
      <c r="A541" s="25">
        <f t="shared" si="2"/>
        <v>528</v>
      </c>
      <c r="B541" s="599" t="str">
        <f>'refer admin discharge'!B537</f>
        <v>x</v>
      </c>
      <c r="C541" s="351"/>
      <c r="D541" s="600" t="str">
        <f>'refer admin discharge'!D537</f>
        <v>xx</v>
      </c>
      <c r="E541" s="351"/>
      <c r="F541" s="609" t="str">
        <f>'refer admin discharge'!H537</f>
        <v>00/00/0000</v>
      </c>
      <c r="G541" s="351"/>
      <c r="H541" s="610"/>
      <c r="I541" s="351"/>
      <c r="J541" s="611"/>
      <c r="K541" s="351"/>
      <c r="L541" s="610"/>
      <c r="M541" s="351"/>
      <c r="N541" s="612"/>
      <c r="O541" s="351"/>
      <c r="P541" s="610"/>
      <c r="Q541" s="351"/>
      <c r="R541" s="612"/>
      <c r="S541" s="351"/>
      <c r="T541" s="610"/>
      <c r="U541" s="351"/>
      <c r="V541" s="613" t="str">
        <f>'refer admin discharge'!H542</f>
        <v>00/00/0000</v>
      </c>
      <c r="W541" s="351"/>
      <c r="X541" s="607"/>
      <c r="Y541" s="351"/>
      <c r="Z541" s="614"/>
      <c r="AA541" s="351"/>
      <c r="AB541" s="607"/>
      <c r="AC541" s="351"/>
      <c r="AD541" s="606"/>
      <c r="AE541" s="351"/>
      <c r="AF541" s="607"/>
      <c r="AG541" s="351"/>
      <c r="AH541" s="606"/>
      <c r="AI541" s="351"/>
      <c r="AJ541" s="607"/>
      <c r="AK541" s="351"/>
      <c r="AL541" s="608"/>
      <c r="AM541" s="350"/>
      <c r="AN541" s="350"/>
      <c r="AO541" s="350"/>
      <c r="AP541" s="350"/>
      <c r="AQ541" s="350"/>
      <c r="AR541" s="350"/>
      <c r="AS541" s="350"/>
      <c r="AT541" s="350"/>
      <c r="AU541" s="350"/>
      <c r="AV541" s="350"/>
      <c r="AW541" s="350"/>
      <c r="AX541" s="350"/>
      <c r="AY541" s="350"/>
      <c r="AZ541" s="350"/>
      <c r="BA541" s="350"/>
      <c r="BB541" s="351"/>
    </row>
    <row r="542" spans="1:54" ht="15.75" customHeight="1">
      <c r="A542" s="25">
        <f t="shared" si="2"/>
        <v>529</v>
      </c>
      <c r="B542" s="618" t="str">
        <f>'refer admin discharge'!B538</f>
        <v>x</v>
      </c>
      <c r="C542" s="351"/>
      <c r="D542" s="619" t="str">
        <f>'refer admin discharge'!D538</f>
        <v>xx</v>
      </c>
      <c r="E542" s="351"/>
      <c r="F542" s="620" t="str">
        <f>'refer admin discharge'!H538</f>
        <v>00/00/0000</v>
      </c>
      <c r="G542" s="351"/>
      <c r="H542" s="615"/>
      <c r="I542" s="351"/>
      <c r="J542" s="621"/>
      <c r="K542" s="351"/>
      <c r="L542" s="615"/>
      <c r="M542" s="351"/>
      <c r="N542" s="610"/>
      <c r="O542" s="351"/>
      <c r="P542" s="615"/>
      <c r="Q542" s="351"/>
      <c r="R542" s="610"/>
      <c r="S542" s="351"/>
      <c r="T542" s="615"/>
      <c r="U542" s="351"/>
      <c r="V542" s="613" t="str">
        <f>'refer admin discharge'!H543</f>
        <v>00/00/0000</v>
      </c>
      <c r="W542" s="351"/>
      <c r="X542" s="616"/>
      <c r="Y542" s="351"/>
      <c r="Z542" s="617"/>
      <c r="AA542" s="351"/>
      <c r="AB542" s="616"/>
      <c r="AC542" s="351"/>
      <c r="AD542" s="607"/>
      <c r="AE542" s="351"/>
      <c r="AF542" s="616"/>
      <c r="AG542" s="351"/>
      <c r="AH542" s="607"/>
      <c r="AI542" s="351"/>
      <c r="AJ542" s="616"/>
      <c r="AK542" s="351"/>
      <c r="AL542" s="622"/>
      <c r="AM542" s="350"/>
      <c r="AN542" s="350"/>
      <c r="AO542" s="350"/>
      <c r="AP542" s="350"/>
      <c r="AQ542" s="350"/>
      <c r="AR542" s="350"/>
      <c r="AS542" s="350"/>
      <c r="AT542" s="350"/>
      <c r="AU542" s="350"/>
      <c r="AV542" s="350"/>
      <c r="AW542" s="350"/>
      <c r="AX542" s="350"/>
      <c r="AY542" s="350"/>
      <c r="AZ542" s="350"/>
      <c r="BA542" s="350"/>
      <c r="BB542" s="351"/>
    </row>
    <row r="543" spans="1:54" ht="15.75" customHeight="1">
      <c r="A543" s="25">
        <f t="shared" si="2"/>
        <v>530</v>
      </c>
      <c r="B543" s="599" t="str">
        <f>'refer admin discharge'!B539</f>
        <v>x</v>
      </c>
      <c r="C543" s="351"/>
      <c r="D543" s="600" t="str">
        <f>'refer admin discharge'!D539</f>
        <v>xx</v>
      </c>
      <c r="E543" s="351"/>
      <c r="F543" s="609" t="str">
        <f>'refer admin discharge'!H539</f>
        <v>00/00/0000</v>
      </c>
      <c r="G543" s="351"/>
      <c r="H543" s="610"/>
      <c r="I543" s="351"/>
      <c r="J543" s="611"/>
      <c r="K543" s="351"/>
      <c r="L543" s="610"/>
      <c r="M543" s="351"/>
      <c r="N543" s="612"/>
      <c r="O543" s="351"/>
      <c r="P543" s="610"/>
      <c r="Q543" s="351"/>
      <c r="R543" s="612"/>
      <c r="S543" s="351"/>
      <c r="T543" s="610"/>
      <c r="U543" s="351"/>
      <c r="V543" s="613" t="str">
        <f>'refer admin discharge'!H544</f>
        <v>00/00/0000</v>
      </c>
      <c r="W543" s="351"/>
      <c r="X543" s="607"/>
      <c r="Y543" s="351"/>
      <c r="Z543" s="614"/>
      <c r="AA543" s="351"/>
      <c r="AB543" s="607"/>
      <c r="AC543" s="351"/>
      <c r="AD543" s="606"/>
      <c r="AE543" s="351"/>
      <c r="AF543" s="607"/>
      <c r="AG543" s="351"/>
      <c r="AH543" s="606"/>
      <c r="AI543" s="351"/>
      <c r="AJ543" s="607"/>
      <c r="AK543" s="351"/>
      <c r="AL543" s="608"/>
      <c r="AM543" s="350"/>
      <c r="AN543" s="350"/>
      <c r="AO543" s="350"/>
      <c r="AP543" s="350"/>
      <c r="AQ543" s="350"/>
      <c r="AR543" s="350"/>
      <c r="AS543" s="350"/>
      <c r="AT543" s="350"/>
      <c r="AU543" s="350"/>
      <c r="AV543" s="350"/>
      <c r="AW543" s="350"/>
      <c r="AX543" s="350"/>
      <c r="AY543" s="350"/>
      <c r="AZ543" s="350"/>
      <c r="BA543" s="350"/>
      <c r="BB543" s="351"/>
    </row>
    <row r="544" spans="1:54" ht="15.75" customHeight="1">
      <c r="A544" s="25">
        <f t="shared" si="2"/>
        <v>531</v>
      </c>
      <c r="B544" s="618" t="str">
        <f>'refer admin discharge'!B540</f>
        <v>x</v>
      </c>
      <c r="C544" s="351"/>
      <c r="D544" s="619" t="str">
        <f>'refer admin discharge'!D540</f>
        <v>xx</v>
      </c>
      <c r="E544" s="351"/>
      <c r="F544" s="620" t="str">
        <f>'refer admin discharge'!H540</f>
        <v>00/00/0000</v>
      </c>
      <c r="G544" s="351"/>
      <c r="H544" s="615"/>
      <c r="I544" s="351"/>
      <c r="J544" s="621"/>
      <c r="K544" s="351"/>
      <c r="L544" s="615"/>
      <c r="M544" s="351"/>
      <c r="N544" s="610"/>
      <c r="O544" s="351"/>
      <c r="P544" s="615"/>
      <c r="Q544" s="351"/>
      <c r="R544" s="610"/>
      <c r="S544" s="351"/>
      <c r="T544" s="615"/>
      <c r="U544" s="351"/>
      <c r="V544" s="613" t="str">
        <f>'refer admin discharge'!H545</f>
        <v>00/00/0000</v>
      </c>
      <c r="W544" s="351"/>
      <c r="X544" s="616"/>
      <c r="Y544" s="351"/>
      <c r="Z544" s="617"/>
      <c r="AA544" s="351"/>
      <c r="AB544" s="616"/>
      <c r="AC544" s="351"/>
      <c r="AD544" s="607"/>
      <c r="AE544" s="351"/>
      <c r="AF544" s="616"/>
      <c r="AG544" s="351"/>
      <c r="AH544" s="607"/>
      <c r="AI544" s="351"/>
      <c r="AJ544" s="616"/>
      <c r="AK544" s="351"/>
      <c r="AL544" s="622"/>
      <c r="AM544" s="350"/>
      <c r="AN544" s="350"/>
      <c r="AO544" s="350"/>
      <c r="AP544" s="350"/>
      <c r="AQ544" s="350"/>
      <c r="AR544" s="350"/>
      <c r="AS544" s="350"/>
      <c r="AT544" s="350"/>
      <c r="AU544" s="350"/>
      <c r="AV544" s="350"/>
      <c r="AW544" s="350"/>
      <c r="AX544" s="350"/>
      <c r="AY544" s="350"/>
      <c r="AZ544" s="350"/>
      <c r="BA544" s="350"/>
      <c r="BB544" s="351"/>
    </row>
    <row r="545" spans="1:54" ht="15.75" customHeight="1">
      <c r="A545" s="25">
        <f t="shared" si="2"/>
        <v>532</v>
      </c>
      <c r="B545" s="599" t="str">
        <f>'refer admin discharge'!B541</f>
        <v>x</v>
      </c>
      <c r="C545" s="351"/>
      <c r="D545" s="600" t="str">
        <f>'refer admin discharge'!D541</f>
        <v>xx</v>
      </c>
      <c r="E545" s="351"/>
      <c r="F545" s="609" t="str">
        <f>'refer admin discharge'!H541</f>
        <v>00/00/0000</v>
      </c>
      <c r="G545" s="351"/>
      <c r="H545" s="610"/>
      <c r="I545" s="351"/>
      <c r="J545" s="611"/>
      <c r="K545" s="351"/>
      <c r="L545" s="610"/>
      <c r="M545" s="351"/>
      <c r="N545" s="612"/>
      <c r="O545" s="351"/>
      <c r="P545" s="610"/>
      <c r="Q545" s="351"/>
      <c r="R545" s="612"/>
      <c r="S545" s="351"/>
      <c r="T545" s="610"/>
      <c r="U545" s="351"/>
      <c r="V545" s="613" t="str">
        <f>'refer admin discharge'!H546</f>
        <v>00/00/0000</v>
      </c>
      <c r="W545" s="351"/>
      <c r="X545" s="607"/>
      <c r="Y545" s="351"/>
      <c r="Z545" s="614"/>
      <c r="AA545" s="351"/>
      <c r="AB545" s="607"/>
      <c r="AC545" s="351"/>
      <c r="AD545" s="606"/>
      <c r="AE545" s="351"/>
      <c r="AF545" s="607"/>
      <c r="AG545" s="351"/>
      <c r="AH545" s="606"/>
      <c r="AI545" s="351"/>
      <c r="AJ545" s="607"/>
      <c r="AK545" s="351"/>
      <c r="AL545" s="608"/>
      <c r="AM545" s="350"/>
      <c r="AN545" s="350"/>
      <c r="AO545" s="350"/>
      <c r="AP545" s="350"/>
      <c r="AQ545" s="350"/>
      <c r="AR545" s="350"/>
      <c r="AS545" s="350"/>
      <c r="AT545" s="350"/>
      <c r="AU545" s="350"/>
      <c r="AV545" s="350"/>
      <c r="AW545" s="350"/>
      <c r="AX545" s="350"/>
      <c r="AY545" s="350"/>
      <c r="AZ545" s="350"/>
      <c r="BA545" s="350"/>
      <c r="BB545" s="351"/>
    </row>
    <row r="546" spans="1:54" ht="15.75" customHeight="1">
      <c r="A546" s="25">
        <f t="shared" si="2"/>
        <v>533</v>
      </c>
      <c r="B546" s="618" t="str">
        <f>'refer admin discharge'!B542</f>
        <v>x</v>
      </c>
      <c r="C546" s="351"/>
      <c r="D546" s="619" t="str">
        <f>'refer admin discharge'!D542</f>
        <v>xx</v>
      </c>
      <c r="E546" s="351"/>
      <c r="F546" s="620" t="str">
        <f>'refer admin discharge'!H542</f>
        <v>00/00/0000</v>
      </c>
      <c r="G546" s="351"/>
      <c r="H546" s="615"/>
      <c r="I546" s="351"/>
      <c r="J546" s="621"/>
      <c r="K546" s="351"/>
      <c r="L546" s="615"/>
      <c r="M546" s="351"/>
      <c r="N546" s="610"/>
      <c r="O546" s="351"/>
      <c r="P546" s="615"/>
      <c r="Q546" s="351"/>
      <c r="R546" s="610"/>
      <c r="S546" s="351"/>
      <c r="T546" s="615"/>
      <c r="U546" s="351"/>
      <c r="V546" s="613" t="str">
        <f>'refer admin discharge'!H547</f>
        <v>00/00/0000</v>
      </c>
      <c r="W546" s="351"/>
      <c r="X546" s="616"/>
      <c r="Y546" s="351"/>
      <c r="Z546" s="617"/>
      <c r="AA546" s="351"/>
      <c r="AB546" s="616"/>
      <c r="AC546" s="351"/>
      <c r="AD546" s="607"/>
      <c r="AE546" s="351"/>
      <c r="AF546" s="616"/>
      <c r="AG546" s="351"/>
      <c r="AH546" s="607"/>
      <c r="AI546" s="351"/>
      <c r="AJ546" s="616"/>
      <c r="AK546" s="351"/>
      <c r="AL546" s="622"/>
      <c r="AM546" s="350"/>
      <c r="AN546" s="350"/>
      <c r="AO546" s="350"/>
      <c r="AP546" s="350"/>
      <c r="AQ546" s="350"/>
      <c r="AR546" s="350"/>
      <c r="AS546" s="350"/>
      <c r="AT546" s="350"/>
      <c r="AU546" s="350"/>
      <c r="AV546" s="350"/>
      <c r="AW546" s="350"/>
      <c r="AX546" s="350"/>
      <c r="AY546" s="350"/>
      <c r="AZ546" s="350"/>
      <c r="BA546" s="350"/>
      <c r="BB546" s="351"/>
    </row>
    <row r="547" spans="1:54" ht="15.75" customHeight="1">
      <c r="A547" s="25">
        <f t="shared" si="2"/>
        <v>534</v>
      </c>
      <c r="B547" s="599" t="str">
        <f>'refer admin discharge'!B543</f>
        <v>x</v>
      </c>
      <c r="C547" s="351"/>
      <c r="D547" s="600" t="str">
        <f>'refer admin discharge'!D543</f>
        <v>xx</v>
      </c>
      <c r="E547" s="351"/>
      <c r="F547" s="609" t="str">
        <f>'refer admin discharge'!H543</f>
        <v>00/00/0000</v>
      </c>
      <c r="G547" s="351"/>
      <c r="H547" s="610"/>
      <c r="I547" s="351"/>
      <c r="J547" s="611"/>
      <c r="K547" s="351"/>
      <c r="L547" s="610"/>
      <c r="M547" s="351"/>
      <c r="N547" s="612"/>
      <c r="O547" s="351"/>
      <c r="P547" s="610"/>
      <c r="Q547" s="351"/>
      <c r="R547" s="612"/>
      <c r="S547" s="351"/>
      <c r="T547" s="610"/>
      <c r="U547" s="351"/>
      <c r="V547" s="613" t="str">
        <f>'refer admin discharge'!H548</f>
        <v>00/00/0000</v>
      </c>
      <c r="W547" s="351"/>
      <c r="X547" s="607"/>
      <c r="Y547" s="351"/>
      <c r="Z547" s="614"/>
      <c r="AA547" s="351"/>
      <c r="AB547" s="607"/>
      <c r="AC547" s="351"/>
      <c r="AD547" s="606"/>
      <c r="AE547" s="351"/>
      <c r="AF547" s="607"/>
      <c r="AG547" s="351"/>
      <c r="AH547" s="606"/>
      <c r="AI547" s="351"/>
      <c r="AJ547" s="607"/>
      <c r="AK547" s="351"/>
      <c r="AL547" s="608"/>
      <c r="AM547" s="350"/>
      <c r="AN547" s="350"/>
      <c r="AO547" s="350"/>
      <c r="AP547" s="350"/>
      <c r="AQ547" s="350"/>
      <c r="AR547" s="350"/>
      <c r="AS547" s="350"/>
      <c r="AT547" s="350"/>
      <c r="AU547" s="350"/>
      <c r="AV547" s="350"/>
      <c r="AW547" s="350"/>
      <c r="AX547" s="350"/>
      <c r="AY547" s="350"/>
      <c r="AZ547" s="350"/>
      <c r="BA547" s="350"/>
      <c r="BB547" s="351"/>
    </row>
    <row r="548" spans="1:54" ht="15.75" customHeight="1">
      <c r="A548" s="25">
        <f t="shared" si="2"/>
        <v>535</v>
      </c>
      <c r="B548" s="618" t="str">
        <f>'refer admin discharge'!B544</f>
        <v>x</v>
      </c>
      <c r="C548" s="351"/>
      <c r="D548" s="619" t="str">
        <f>'refer admin discharge'!D544</f>
        <v>xx</v>
      </c>
      <c r="E548" s="351"/>
      <c r="F548" s="620" t="str">
        <f>'refer admin discharge'!H544</f>
        <v>00/00/0000</v>
      </c>
      <c r="G548" s="351"/>
      <c r="H548" s="615"/>
      <c r="I548" s="351"/>
      <c r="J548" s="621"/>
      <c r="K548" s="351"/>
      <c r="L548" s="615"/>
      <c r="M548" s="351"/>
      <c r="N548" s="610"/>
      <c r="O548" s="351"/>
      <c r="P548" s="615"/>
      <c r="Q548" s="351"/>
      <c r="R548" s="610"/>
      <c r="S548" s="351"/>
      <c r="T548" s="615"/>
      <c r="U548" s="351"/>
      <c r="V548" s="613" t="str">
        <f>'refer admin discharge'!H549</f>
        <v>00/00/0000</v>
      </c>
      <c r="W548" s="351"/>
      <c r="X548" s="616"/>
      <c r="Y548" s="351"/>
      <c r="Z548" s="617"/>
      <c r="AA548" s="351"/>
      <c r="AB548" s="616"/>
      <c r="AC548" s="351"/>
      <c r="AD548" s="607"/>
      <c r="AE548" s="351"/>
      <c r="AF548" s="616"/>
      <c r="AG548" s="351"/>
      <c r="AH548" s="607"/>
      <c r="AI548" s="351"/>
      <c r="AJ548" s="616"/>
      <c r="AK548" s="351"/>
      <c r="AL548" s="622"/>
      <c r="AM548" s="350"/>
      <c r="AN548" s="350"/>
      <c r="AO548" s="350"/>
      <c r="AP548" s="350"/>
      <c r="AQ548" s="350"/>
      <c r="AR548" s="350"/>
      <c r="AS548" s="350"/>
      <c r="AT548" s="350"/>
      <c r="AU548" s="350"/>
      <c r="AV548" s="350"/>
      <c r="AW548" s="350"/>
      <c r="AX548" s="350"/>
      <c r="AY548" s="350"/>
      <c r="AZ548" s="350"/>
      <c r="BA548" s="350"/>
      <c r="BB548" s="351"/>
    </row>
    <row r="549" spans="1:54" ht="15.75" customHeight="1">
      <c r="A549" s="25">
        <f t="shared" si="2"/>
        <v>536</v>
      </c>
      <c r="B549" s="599" t="str">
        <f>'refer admin discharge'!B545</f>
        <v>x</v>
      </c>
      <c r="C549" s="351"/>
      <c r="D549" s="600" t="str">
        <f>'refer admin discharge'!D545</f>
        <v>xx</v>
      </c>
      <c r="E549" s="351"/>
      <c r="F549" s="609" t="str">
        <f>'refer admin discharge'!H545</f>
        <v>00/00/0000</v>
      </c>
      <c r="G549" s="351"/>
      <c r="H549" s="610"/>
      <c r="I549" s="351"/>
      <c r="J549" s="611"/>
      <c r="K549" s="351"/>
      <c r="L549" s="610"/>
      <c r="M549" s="351"/>
      <c r="N549" s="612"/>
      <c r="O549" s="351"/>
      <c r="P549" s="610"/>
      <c r="Q549" s="351"/>
      <c r="R549" s="612"/>
      <c r="S549" s="351"/>
      <c r="T549" s="610"/>
      <c r="U549" s="351"/>
      <c r="V549" s="613" t="str">
        <f>'refer admin discharge'!H550</f>
        <v>00/00/0000</v>
      </c>
      <c r="W549" s="351"/>
      <c r="X549" s="607"/>
      <c r="Y549" s="351"/>
      <c r="Z549" s="614"/>
      <c r="AA549" s="351"/>
      <c r="AB549" s="607"/>
      <c r="AC549" s="351"/>
      <c r="AD549" s="606"/>
      <c r="AE549" s="351"/>
      <c r="AF549" s="607"/>
      <c r="AG549" s="351"/>
      <c r="AH549" s="606"/>
      <c r="AI549" s="351"/>
      <c r="AJ549" s="607"/>
      <c r="AK549" s="351"/>
      <c r="AL549" s="608"/>
      <c r="AM549" s="350"/>
      <c r="AN549" s="350"/>
      <c r="AO549" s="350"/>
      <c r="AP549" s="350"/>
      <c r="AQ549" s="350"/>
      <c r="AR549" s="350"/>
      <c r="AS549" s="350"/>
      <c r="AT549" s="350"/>
      <c r="AU549" s="350"/>
      <c r="AV549" s="350"/>
      <c r="AW549" s="350"/>
      <c r="AX549" s="350"/>
      <c r="AY549" s="350"/>
      <c r="AZ549" s="350"/>
      <c r="BA549" s="350"/>
      <c r="BB549" s="351"/>
    </row>
    <row r="550" spans="1:54" ht="15.75" customHeight="1">
      <c r="A550" s="25">
        <f t="shared" si="2"/>
        <v>537</v>
      </c>
      <c r="B550" s="618" t="str">
        <f>'refer admin discharge'!B546</f>
        <v>x</v>
      </c>
      <c r="C550" s="351"/>
      <c r="D550" s="619" t="str">
        <f>'refer admin discharge'!D546</f>
        <v>xx</v>
      </c>
      <c r="E550" s="351"/>
      <c r="F550" s="620" t="str">
        <f>'refer admin discharge'!H546</f>
        <v>00/00/0000</v>
      </c>
      <c r="G550" s="351"/>
      <c r="H550" s="615"/>
      <c r="I550" s="351"/>
      <c r="J550" s="621"/>
      <c r="K550" s="351"/>
      <c r="L550" s="615"/>
      <c r="M550" s="351"/>
      <c r="N550" s="610"/>
      <c r="O550" s="351"/>
      <c r="P550" s="615"/>
      <c r="Q550" s="351"/>
      <c r="R550" s="610"/>
      <c r="S550" s="351"/>
      <c r="T550" s="615"/>
      <c r="U550" s="351"/>
      <c r="V550" s="613" t="str">
        <f>'refer admin discharge'!H551</f>
        <v>00/00/0000</v>
      </c>
      <c r="W550" s="351"/>
      <c r="X550" s="616"/>
      <c r="Y550" s="351"/>
      <c r="Z550" s="617"/>
      <c r="AA550" s="351"/>
      <c r="AB550" s="616"/>
      <c r="AC550" s="351"/>
      <c r="AD550" s="607"/>
      <c r="AE550" s="351"/>
      <c r="AF550" s="616"/>
      <c r="AG550" s="351"/>
      <c r="AH550" s="607"/>
      <c r="AI550" s="351"/>
      <c r="AJ550" s="616"/>
      <c r="AK550" s="351"/>
      <c r="AL550" s="622"/>
      <c r="AM550" s="350"/>
      <c r="AN550" s="350"/>
      <c r="AO550" s="350"/>
      <c r="AP550" s="350"/>
      <c r="AQ550" s="350"/>
      <c r="AR550" s="350"/>
      <c r="AS550" s="350"/>
      <c r="AT550" s="350"/>
      <c r="AU550" s="350"/>
      <c r="AV550" s="350"/>
      <c r="AW550" s="350"/>
      <c r="AX550" s="350"/>
      <c r="AY550" s="350"/>
      <c r="AZ550" s="350"/>
      <c r="BA550" s="350"/>
      <c r="BB550" s="351"/>
    </row>
    <row r="551" spans="1:54" ht="15.75" customHeight="1">
      <c r="A551" s="25">
        <f t="shared" si="2"/>
        <v>538</v>
      </c>
      <c r="B551" s="599" t="str">
        <f>'refer admin discharge'!B547</f>
        <v>x</v>
      </c>
      <c r="C551" s="351"/>
      <c r="D551" s="600" t="str">
        <f>'refer admin discharge'!D547</f>
        <v>xx</v>
      </c>
      <c r="E551" s="351"/>
      <c r="F551" s="609" t="str">
        <f>'refer admin discharge'!H547</f>
        <v>00/00/0000</v>
      </c>
      <c r="G551" s="351"/>
      <c r="H551" s="610"/>
      <c r="I551" s="351"/>
      <c r="J551" s="611"/>
      <c r="K551" s="351"/>
      <c r="L551" s="610"/>
      <c r="M551" s="351"/>
      <c r="N551" s="612"/>
      <c r="O551" s="351"/>
      <c r="P551" s="610"/>
      <c r="Q551" s="351"/>
      <c r="R551" s="612"/>
      <c r="S551" s="351"/>
      <c r="T551" s="610"/>
      <c r="U551" s="351"/>
      <c r="V551" s="613" t="str">
        <f>'refer admin discharge'!H552</f>
        <v>00/00/0000</v>
      </c>
      <c r="W551" s="351"/>
      <c r="X551" s="607"/>
      <c r="Y551" s="351"/>
      <c r="Z551" s="614"/>
      <c r="AA551" s="351"/>
      <c r="AB551" s="607"/>
      <c r="AC551" s="351"/>
      <c r="AD551" s="606"/>
      <c r="AE551" s="351"/>
      <c r="AF551" s="607"/>
      <c r="AG551" s="351"/>
      <c r="AH551" s="606"/>
      <c r="AI551" s="351"/>
      <c r="AJ551" s="607"/>
      <c r="AK551" s="351"/>
      <c r="AL551" s="608"/>
      <c r="AM551" s="350"/>
      <c r="AN551" s="350"/>
      <c r="AO551" s="350"/>
      <c r="AP551" s="350"/>
      <c r="AQ551" s="350"/>
      <c r="AR551" s="350"/>
      <c r="AS551" s="350"/>
      <c r="AT551" s="350"/>
      <c r="AU551" s="350"/>
      <c r="AV551" s="350"/>
      <c r="AW551" s="350"/>
      <c r="AX551" s="350"/>
      <c r="AY551" s="350"/>
      <c r="AZ551" s="350"/>
      <c r="BA551" s="350"/>
      <c r="BB551" s="351"/>
    </row>
    <row r="552" spans="1:54" ht="15.75" customHeight="1">
      <c r="A552" s="25">
        <f t="shared" si="2"/>
        <v>539</v>
      </c>
      <c r="B552" s="618" t="str">
        <f>'refer admin discharge'!B548</f>
        <v>x</v>
      </c>
      <c r="C552" s="351"/>
      <c r="D552" s="619" t="str">
        <f>'refer admin discharge'!D548</f>
        <v>xx</v>
      </c>
      <c r="E552" s="351"/>
      <c r="F552" s="620" t="str">
        <f>'refer admin discharge'!H548</f>
        <v>00/00/0000</v>
      </c>
      <c r="G552" s="351"/>
      <c r="H552" s="615"/>
      <c r="I552" s="351"/>
      <c r="J552" s="621"/>
      <c r="K552" s="351"/>
      <c r="L552" s="615"/>
      <c r="M552" s="351"/>
      <c r="N552" s="610"/>
      <c r="O552" s="351"/>
      <c r="P552" s="615"/>
      <c r="Q552" s="351"/>
      <c r="R552" s="610"/>
      <c r="S552" s="351"/>
      <c r="T552" s="615"/>
      <c r="U552" s="351"/>
      <c r="V552" s="613" t="str">
        <f>'refer admin discharge'!H553</f>
        <v>00/00/0000</v>
      </c>
      <c r="W552" s="351"/>
      <c r="X552" s="616"/>
      <c r="Y552" s="351"/>
      <c r="Z552" s="617"/>
      <c r="AA552" s="351"/>
      <c r="AB552" s="616"/>
      <c r="AC552" s="351"/>
      <c r="AD552" s="607"/>
      <c r="AE552" s="351"/>
      <c r="AF552" s="616"/>
      <c r="AG552" s="351"/>
      <c r="AH552" s="607"/>
      <c r="AI552" s="351"/>
      <c r="AJ552" s="616"/>
      <c r="AK552" s="351"/>
      <c r="AL552" s="622"/>
      <c r="AM552" s="350"/>
      <c r="AN552" s="350"/>
      <c r="AO552" s="350"/>
      <c r="AP552" s="350"/>
      <c r="AQ552" s="350"/>
      <c r="AR552" s="350"/>
      <c r="AS552" s="350"/>
      <c r="AT552" s="350"/>
      <c r="AU552" s="350"/>
      <c r="AV552" s="350"/>
      <c r="AW552" s="350"/>
      <c r="AX552" s="350"/>
      <c r="AY552" s="350"/>
      <c r="AZ552" s="350"/>
      <c r="BA552" s="350"/>
      <c r="BB552" s="351"/>
    </row>
    <row r="553" spans="1:54" ht="15.75" customHeight="1">
      <c r="A553" s="25">
        <f t="shared" si="2"/>
        <v>540</v>
      </c>
      <c r="B553" s="599" t="str">
        <f>'refer admin discharge'!B549</f>
        <v>x</v>
      </c>
      <c r="C553" s="351"/>
      <c r="D553" s="600" t="str">
        <f>'refer admin discharge'!D549</f>
        <v>xx</v>
      </c>
      <c r="E553" s="351"/>
      <c r="F553" s="609" t="str">
        <f>'refer admin discharge'!H549</f>
        <v>00/00/0000</v>
      </c>
      <c r="G553" s="351"/>
      <c r="H553" s="610"/>
      <c r="I553" s="351"/>
      <c r="J553" s="611"/>
      <c r="K553" s="351"/>
      <c r="L553" s="610"/>
      <c r="M553" s="351"/>
      <c r="N553" s="612"/>
      <c r="O553" s="351"/>
      <c r="P553" s="610"/>
      <c r="Q553" s="351"/>
      <c r="R553" s="612"/>
      <c r="S553" s="351"/>
      <c r="T553" s="610"/>
      <c r="U553" s="351"/>
      <c r="V553" s="613" t="str">
        <f>'refer admin discharge'!H554</f>
        <v>00/00/0000</v>
      </c>
      <c r="W553" s="351"/>
      <c r="X553" s="607"/>
      <c r="Y553" s="351"/>
      <c r="Z553" s="614"/>
      <c r="AA553" s="351"/>
      <c r="AB553" s="607"/>
      <c r="AC553" s="351"/>
      <c r="AD553" s="606"/>
      <c r="AE553" s="351"/>
      <c r="AF553" s="607"/>
      <c r="AG553" s="351"/>
      <c r="AH553" s="606"/>
      <c r="AI553" s="351"/>
      <c r="AJ553" s="607"/>
      <c r="AK553" s="351"/>
      <c r="AL553" s="608"/>
      <c r="AM553" s="350"/>
      <c r="AN553" s="350"/>
      <c r="AO553" s="350"/>
      <c r="AP553" s="350"/>
      <c r="AQ553" s="350"/>
      <c r="AR553" s="350"/>
      <c r="AS553" s="350"/>
      <c r="AT553" s="350"/>
      <c r="AU553" s="350"/>
      <c r="AV553" s="350"/>
      <c r="AW553" s="350"/>
      <c r="AX553" s="350"/>
      <c r="AY553" s="350"/>
      <c r="AZ553" s="350"/>
      <c r="BA553" s="350"/>
      <c r="BB553" s="351"/>
    </row>
    <row r="554" spans="1:54" ht="15.75" customHeight="1">
      <c r="A554" s="25">
        <f t="shared" si="2"/>
        <v>541</v>
      </c>
      <c r="B554" s="618" t="str">
        <f>'refer admin discharge'!B550</f>
        <v>x</v>
      </c>
      <c r="C554" s="351"/>
      <c r="D554" s="619" t="str">
        <f>'refer admin discharge'!D550</f>
        <v>xx</v>
      </c>
      <c r="E554" s="351"/>
      <c r="F554" s="620" t="str">
        <f>'refer admin discharge'!H550</f>
        <v>00/00/0000</v>
      </c>
      <c r="G554" s="351"/>
      <c r="H554" s="615"/>
      <c r="I554" s="351"/>
      <c r="J554" s="621"/>
      <c r="K554" s="351"/>
      <c r="L554" s="615"/>
      <c r="M554" s="351"/>
      <c r="N554" s="610"/>
      <c r="O554" s="351"/>
      <c r="P554" s="615"/>
      <c r="Q554" s="351"/>
      <c r="R554" s="610"/>
      <c r="S554" s="351"/>
      <c r="T554" s="615"/>
      <c r="U554" s="351"/>
      <c r="V554" s="613" t="str">
        <f>'refer admin discharge'!H555</f>
        <v>00/00/0000</v>
      </c>
      <c r="W554" s="351"/>
      <c r="X554" s="616"/>
      <c r="Y554" s="351"/>
      <c r="Z554" s="617"/>
      <c r="AA554" s="351"/>
      <c r="AB554" s="616"/>
      <c r="AC554" s="351"/>
      <c r="AD554" s="607"/>
      <c r="AE554" s="351"/>
      <c r="AF554" s="616"/>
      <c r="AG554" s="351"/>
      <c r="AH554" s="607"/>
      <c r="AI554" s="351"/>
      <c r="AJ554" s="616"/>
      <c r="AK554" s="351"/>
      <c r="AL554" s="622"/>
      <c r="AM554" s="350"/>
      <c r="AN554" s="350"/>
      <c r="AO554" s="350"/>
      <c r="AP554" s="350"/>
      <c r="AQ554" s="350"/>
      <c r="AR554" s="350"/>
      <c r="AS554" s="350"/>
      <c r="AT554" s="350"/>
      <c r="AU554" s="350"/>
      <c r="AV554" s="350"/>
      <c r="AW554" s="350"/>
      <c r="AX554" s="350"/>
      <c r="AY554" s="350"/>
      <c r="AZ554" s="350"/>
      <c r="BA554" s="350"/>
      <c r="BB554" s="351"/>
    </row>
    <row r="555" spans="1:54" ht="15.75" customHeight="1">
      <c r="A555" s="25">
        <f t="shared" si="2"/>
        <v>542</v>
      </c>
      <c r="B555" s="599" t="str">
        <f>'refer admin discharge'!B551</f>
        <v>x</v>
      </c>
      <c r="C555" s="351"/>
      <c r="D555" s="600" t="str">
        <f>'refer admin discharge'!D551</f>
        <v>xx</v>
      </c>
      <c r="E555" s="351"/>
      <c r="F555" s="609" t="str">
        <f>'refer admin discharge'!H551</f>
        <v>00/00/0000</v>
      </c>
      <c r="G555" s="351"/>
      <c r="H555" s="610"/>
      <c r="I555" s="351"/>
      <c r="J555" s="611"/>
      <c r="K555" s="351"/>
      <c r="L555" s="610"/>
      <c r="M555" s="351"/>
      <c r="N555" s="612"/>
      <c r="O555" s="351"/>
      <c r="P555" s="610"/>
      <c r="Q555" s="351"/>
      <c r="R555" s="612"/>
      <c r="S555" s="351"/>
      <c r="T555" s="610"/>
      <c r="U555" s="351"/>
      <c r="V555" s="613" t="str">
        <f>'refer admin discharge'!H556</f>
        <v>00/00/0000</v>
      </c>
      <c r="W555" s="351"/>
      <c r="X555" s="607"/>
      <c r="Y555" s="351"/>
      <c r="Z555" s="614"/>
      <c r="AA555" s="351"/>
      <c r="AB555" s="607"/>
      <c r="AC555" s="351"/>
      <c r="AD555" s="606"/>
      <c r="AE555" s="351"/>
      <c r="AF555" s="607"/>
      <c r="AG555" s="351"/>
      <c r="AH555" s="606"/>
      <c r="AI555" s="351"/>
      <c r="AJ555" s="607"/>
      <c r="AK555" s="351"/>
      <c r="AL555" s="608"/>
      <c r="AM555" s="350"/>
      <c r="AN555" s="350"/>
      <c r="AO555" s="350"/>
      <c r="AP555" s="350"/>
      <c r="AQ555" s="350"/>
      <c r="AR555" s="350"/>
      <c r="AS555" s="350"/>
      <c r="AT555" s="350"/>
      <c r="AU555" s="350"/>
      <c r="AV555" s="350"/>
      <c r="AW555" s="350"/>
      <c r="AX555" s="350"/>
      <c r="AY555" s="350"/>
      <c r="AZ555" s="350"/>
      <c r="BA555" s="350"/>
      <c r="BB555" s="351"/>
    </row>
    <row r="556" spans="1:54" ht="15.75" customHeight="1">
      <c r="A556" s="25">
        <f t="shared" si="2"/>
        <v>543</v>
      </c>
      <c r="B556" s="618" t="str">
        <f>'refer admin discharge'!B552</f>
        <v>x</v>
      </c>
      <c r="C556" s="351"/>
      <c r="D556" s="619" t="str">
        <f>'refer admin discharge'!D552</f>
        <v>xx</v>
      </c>
      <c r="E556" s="351"/>
      <c r="F556" s="620" t="str">
        <f>'refer admin discharge'!H552</f>
        <v>00/00/0000</v>
      </c>
      <c r="G556" s="351"/>
      <c r="H556" s="615"/>
      <c r="I556" s="351"/>
      <c r="J556" s="621"/>
      <c r="K556" s="351"/>
      <c r="L556" s="615"/>
      <c r="M556" s="351"/>
      <c r="N556" s="610"/>
      <c r="O556" s="351"/>
      <c r="P556" s="615"/>
      <c r="Q556" s="351"/>
      <c r="R556" s="610"/>
      <c r="S556" s="351"/>
      <c r="T556" s="615"/>
      <c r="U556" s="351"/>
      <c r="V556" s="613" t="str">
        <f>'refer admin discharge'!H557</f>
        <v>00/00/0000</v>
      </c>
      <c r="W556" s="351"/>
      <c r="X556" s="616"/>
      <c r="Y556" s="351"/>
      <c r="Z556" s="617"/>
      <c r="AA556" s="351"/>
      <c r="AB556" s="616"/>
      <c r="AC556" s="351"/>
      <c r="AD556" s="607"/>
      <c r="AE556" s="351"/>
      <c r="AF556" s="616"/>
      <c r="AG556" s="351"/>
      <c r="AH556" s="607"/>
      <c r="AI556" s="351"/>
      <c r="AJ556" s="616"/>
      <c r="AK556" s="351"/>
      <c r="AL556" s="622"/>
      <c r="AM556" s="350"/>
      <c r="AN556" s="350"/>
      <c r="AO556" s="350"/>
      <c r="AP556" s="350"/>
      <c r="AQ556" s="350"/>
      <c r="AR556" s="350"/>
      <c r="AS556" s="350"/>
      <c r="AT556" s="350"/>
      <c r="AU556" s="350"/>
      <c r="AV556" s="350"/>
      <c r="AW556" s="350"/>
      <c r="AX556" s="350"/>
      <c r="AY556" s="350"/>
      <c r="AZ556" s="350"/>
      <c r="BA556" s="350"/>
      <c r="BB556" s="351"/>
    </row>
    <row r="557" spans="1:54" ht="15.75" customHeight="1">
      <c r="A557" s="25">
        <f t="shared" si="2"/>
        <v>544</v>
      </c>
      <c r="B557" s="599" t="str">
        <f>'refer admin discharge'!B553</f>
        <v>x</v>
      </c>
      <c r="C557" s="351"/>
      <c r="D557" s="600" t="str">
        <f>'refer admin discharge'!D553</f>
        <v>xx</v>
      </c>
      <c r="E557" s="351"/>
      <c r="F557" s="609" t="str">
        <f>'refer admin discharge'!H553</f>
        <v>00/00/0000</v>
      </c>
      <c r="G557" s="351"/>
      <c r="H557" s="610"/>
      <c r="I557" s="351"/>
      <c r="J557" s="611"/>
      <c r="K557" s="351"/>
      <c r="L557" s="610"/>
      <c r="M557" s="351"/>
      <c r="N557" s="612"/>
      <c r="O557" s="351"/>
      <c r="P557" s="610"/>
      <c r="Q557" s="351"/>
      <c r="R557" s="612"/>
      <c r="S557" s="351"/>
      <c r="T557" s="610"/>
      <c r="U557" s="351"/>
      <c r="V557" s="613" t="str">
        <f>'refer admin discharge'!H558</f>
        <v>00/00/0000</v>
      </c>
      <c r="W557" s="351"/>
      <c r="X557" s="607"/>
      <c r="Y557" s="351"/>
      <c r="Z557" s="614"/>
      <c r="AA557" s="351"/>
      <c r="AB557" s="607"/>
      <c r="AC557" s="351"/>
      <c r="AD557" s="606"/>
      <c r="AE557" s="351"/>
      <c r="AF557" s="607"/>
      <c r="AG557" s="351"/>
      <c r="AH557" s="606"/>
      <c r="AI557" s="351"/>
      <c r="AJ557" s="607"/>
      <c r="AK557" s="351"/>
      <c r="AL557" s="608"/>
      <c r="AM557" s="350"/>
      <c r="AN557" s="350"/>
      <c r="AO557" s="350"/>
      <c r="AP557" s="350"/>
      <c r="AQ557" s="350"/>
      <c r="AR557" s="350"/>
      <c r="AS557" s="350"/>
      <c r="AT557" s="350"/>
      <c r="AU557" s="350"/>
      <c r="AV557" s="350"/>
      <c r="AW557" s="350"/>
      <c r="AX557" s="350"/>
      <c r="AY557" s="350"/>
      <c r="AZ557" s="350"/>
      <c r="BA557" s="350"/>
      <c r="BB557" s="351"/>
    </row>
    <row r="558" spans="1:54" ht="15.75" customHeight="1">
      <c r="A558" s="25">
        <f t="shared" si="2"/>
        <v>545</v>
      </c>
      <c r="B558" s="618" t="str">
        <f>'refer admin discharge'!B554</f>
        <v>x</v>
      </c>
      <c r="C558" s="351"/>
      <c r="D558" s="619" t="str">
        <f>'refer admin discharge'!D554</f>
        <v>xx</v>
      </c>
      <c r="E558" s="351"/>
      <c r="F558" s="620" t="str">
        <f>'refer admin discharge'!H554</f>
        <v>00/00/0000</v>
      </c>
      <c r="G558" s="351"/>
      <c r="H558" s="615"/>
      <c r="I558" s="351"/>
      <c r="J558" s="621"/>
      <c r="K558" s="351"/>
      <c r="L558" s="615"/>
      <c r="M558" s="351"/>
      <c r="N558" s="610"/>
      <c r="O558" s="351"/>
      <c r="P558" s="615"/>
      <c r="Q558" s="351"/>
      <c r="R558" s="610"/>
      <c r="S558" s="351"/>
      <c r="T558" s="615"/>
      <c r="U558" s="351"/>
      <c r="V558" s="613" t="str">
        <f>'refer admin discharge'!H559</f>
        <v>00/00/0000</v>
      </c>
      <c r="W558" s="351"/>
      <c r="X558" s="616"/>
      <c r="Y558" s="351"/>
      <c r="Z558" s="617"/>
      <c r="AA558" s="351"/>
      <c r="AB558" s="616"/>
      <c r="AC558" s="351"/>
      <c r="AD558" s="607"/>
      <c r="AE558" s="351"/>
      <c r="AF558" s="616"/>
      <c r="AG558" s="351"/>
      <c r="AH558" s="607"/>
      <c r="AI558" s="351"/>
      <c r="AJ558" s="616"/>
      <c r="AK558" s="351"/>
      <c r="AL558" s="622"/>
      <c r="AM558" s="350"/>
      <c r="AN558" s="350"/>
      <c r="AO558" s="350"/>
      <c r="AP558" s="350"/>
      <c r="AQ558" s="350"/>
      <c r="AR558" s="350"/>
      <c r="AS558" s="350"/>
      <c r="AT558" s="350"/>
      <c r="AU558" s="350"/>
      <c r="AV558" s="350"/>
      <c r="AW558" s="350"/>
      <c r="AX558" s="350"/>
      <c r="AY558" s="350"/>
      <c r="AZ558" s="350"/>
      <c r="BA558" s="350"/>
      <c r="BB558" s="351"/>
    </row>
    <row r="559" spans="1:54" ht="15.75" customHeight="1">
      <c r="A559" s="25">
        <f t="shared" si="2"/>
        <v>546</v>
      </c>
      <c r="B559" s="599" t="str">
        <f>'refer admin discharge'!B555</f>
        <v>x</v>
      </c>
      <c r="C559" s="351"/>
      <c r="D559" s="600" t="str">
        <f>'refer admin discharge'!D555</f>
        <v>xx</v>
      </c>
      <c r="E559" s="351"/>
      <c r="F559" s="609" t="str">
        <f>'refer admin discharge'!H555</f>
        <v>00/00/0000</v>
      </c>
      <c r="G559" s="351"/>
      <c r="H559" s="610"/>
      <c r="I559" s="351"/>
      <c r="J559" s="611"/>
      <c r="K559" s="351"/>
      <c r="L559" s="610"/>
      <c r="M559" s="351"/>
      <c r="N559" s="612"/>
      <c r="O559" s="351"/>
      <c r="P559" s="610"/>
      <c r="Q559" s="351"/>
      <c r="R559" s="612"/>
      <c r="S559" s="351"/>
      <c r="T559" s="610"/>
      <c r="U559" s="351"/>
      <c r="V559" s="613" t="str">
        <f>'refer admin discharge'!H560</f>
        <v>00/00/0000</v>
      </c>
      <c r="W559" s="351"/>
      <c r="X559" s="607"/>
      <c r="Y559" s="351"/>
      <c r="Z559" s="614"/>
      <c r="AA559" s="351"/>
      <c r="AB559" s="607"/>
      <c r="AC559" s="351"/>
      <c r="AD559" s="606"/>
      <c r="AE559" s="351"/>
      <c r="AF559" s="607"/>
      <c r="AG559" s="351"/>
      <c r="AH559" s="606"/>
      <c r="AI559" s="351"/>
      <c r="AJ559" s="607"/>
      <c r="AK559" s="351"/>
      <c r="AL559" s="608"/>
      <c r="AM559" s="350"/>
      <c r="AN559" s="350"/>
      <c r="AO559" s="350"/>
      <c r="AP559" s="350"/>
      <c r="AQ559" s="350"/>
      <c r="AR559" s="350"/>
      <c r="AS559" s="350"/>
      <c r="AT559" s="350"/>
      <c r="AU559" s="350"/>
      <c r="AV559" s="350"/>
      <c r="AW559" s="350"/>
      <c r="AX559" s="350"/>
      <c r="AY559" s="350"/>
      <c r="AZ559" s="350"/>
      <c r="BA559" s="350"/>
      <c r="BB559" s="351"/>
    </row>
    <row r="560" spans="1:54" ht="15.75" customHeight="1">
      <c r="A560" s="25">
        <f t="shared" si="2"/>
        <v>547</v>
      </c>
      <c r="B560" s="618" t="str">
        <f>'refer admin discharge'!B556</f>
        <v>x</v>
      </c>
      <c r="C560" s="351"/>
      <c r="D560" s="619" t="str">
        <f>'refer admin discharge'!D556</f>
        <v>xx</v>
      </c>
      <c r="E560" s="351"/>
      <c r="F560" s="620" t="str">
        <f>'refer admin discharge'!H556</f>
        <v>00/00/0000</v>
      </c>
      <c r="G560" s="351"/>
      <c r="H560" s="615"/>
      <c r="I560" s="351"/>
      <c r="J560" s="621"/>
      <c r="K560" s="351"/>
      <c r="L560" s="615"/>
      <c r="M560" s="351"/>
      <c r="N560" s="610"/>
      <c r="O560" s="351"/>
      <c r="P560" s="615"/>
      <c r="Q560" s="351"/>
      <c r="R560" s="610"/>
      <c r="S560" s="351"/>
      <c r="T560" s="615"/>
      <c r="U560" s="351"/>
      <c r="V560" s="613" t="str">
        <f>'refer admin discharge'!H561</f>
        <v>00/00/0000</v>
      </c>
      <c r="W560" s="351"/>
      <c r="X560" s="616"/>
      <c r="Y560" s="351"/>
      <c r="Z560" s="617"/>
      <c r="AA560" s="351"/>
      <c r="AB560" s="616"/>
      <c r="AC560" s="351"/>
      <c r="AD560" s="607"/>
      <c r="AE560" s="351"/>
      <c r="AF560" s="616"/>
      <c r="AG560" s="351"/>
      <c r="AH560" s="607"/>
      <c r="AI560" s="351"/>
      <c r="AJ560" s="616"/>
      <c r="AK560" s="351"/>
      <c r="AL560" s="622"/>
      <c r="AM560" s="350"/>
      <c r="AN560" s="350"/>
      <c r="AO560" s="350"/>
      <c r="AP560" s="350"/>
      <c r="AQ560" s="350"/>
      <c r="AR560" s="350"/>
      <c r="AS560" s="350"/>
      <c r="AT560" s="350"/>
      <c r="AU560" s="350"/>
      <c r="AV560" s="350"/>
      <c r="AW560" s="350"/>
      <c r="AX560" s="350"/>
      <c r="AY560" s="350"/>
      <c r="AZ560" s="350"/>
      <c r="BA560" s="350"/>
      <c r="BB560" s="351"/>
    </row>
    <row r="561" spans="1:54" ht="15.75" customHeight="1">
      <c r="A561" s="25">
        <f t="shared" si="2"/>
        <v>548</v>
      </c>
      <c r="B561" s="599" t="str">
        <f>'refer admin discharge'!B557</f>
        <v>x</v>
      </c>
      <c r="C561" s="351"/>
      <c r="D561" s="600" t="str">
        <f>'refer admin discharge'!D557</f>
        <v>xx</v>
      </c>
      <c r="E561" s="351"/>
      <c r="F561" s="609" t="str">
        <f>'refer admin discharge'!H557</f>
        <v>00/00/0000</v>
      </c>
      <c r="G561" s="351"/>
      <c r="H561" s="610"/>
      <c r="I561" s="351"/>
      <c r="J561" s="611"/>
      <c r="K561" s="351"/>
      <c r="L561" s="610"/>
      <c r="M561" s="351"/>
      <c r="N561" s="612"/>
      <c r="O561" s="351"/>
      <c r="P561" s="610"/>
      <c r="Q561" s="351"/>
      <c r="R561" s="612"/>
      <c r="S561" s="351"/>
      <c r="T561" s="610"/>
      <c r="U561" s="351"/>
      <c r="V561" s="613" t="str">
        <f>'refer admin discharge'!H562</f>
        <v>00/00/0000</v>
      </c>
      <c r="W561" s="351"/>
      <c r="X561" s="607"/>
      <c r="Y561" s="351"/>
      <c r="Z561" s="614"/>
      <c r="AA561" s="351"/>
      <c r="AB561" s="607"/>
      <c r="AC561" s="351"/>
      <c r="AD561" s="606"/>
      <c r="AE561" s="351"/>
      <c r="AF561" s="607"/>
      <c r="AG561" s="351"/>
      <c r="AH561" s="606"/>
      <c r="AI561" s="351"/>
      <c r="AJ561" s="607"/>
      <c r="AK561" s="351"/>
      <c r="AL561" s="608"/>
      <c r="AM561" s="350"/>
      <c r="AN561" s="350"/>
      <c r="AO561" s="350"/>
      <c r="AP561" s="350"/>
      <c r="AQ561" s="350"/>
      <c r="AR561" s="350"/>
      <c r="AS561" s="350"/>
      <c r="AT561" s="350"/>
      <c r="AU561" s="350"/>
      <c r="AV561" s="350"/>
      <c r="AW561" s="350"/>
      <c r="AX561" s="350"/>
      <c r="AY561" s="350"/>
      <c r="AZ561" s="350"/>
      <c r="BA561" s="350"/>
      <c r="BB561" s="351"/>
    </row>
    <row r="562" spans="1:54" ht="15.75" customHeight="1">
      <c r="A562" s="25">
        <f t="shared" si="2"/>
        <v>549</v>
      </c>
      <c r="B562" s="618" t="str">
        <f>'refer admin discharge'!B558</f>
        <v>x</v>
      </c>
      <c r="C562" s="351"/>
      <c r="D562" s="619" t="str">
        <f>'refer admin discharge'!D558</f>
        <v>xx</v>
      </c>
      <c r="E562" s="351"/>
      <c r="F562" s="620" t="str">
        <f>'refer admin discharge'!H558</f>
        <v>00/00/0000</v>
      </c>
      <c r="G562" s="351"/>
      <c r="H562" s="615"/>
      <c r="I562" s="351"/>
      <c r="J562" s="621"/>
      <c r="K562" s="351"/>
      <c r="L562" s="615"/>
      <c r="M562" s="351"/>
      <c r="N562" s="610"/>
      <c r="O562" s="351"/>
      <c r="P562" s="615"/>
      <c r="Q562" s="351"/>
      <c r="R562" s="610"/>
      <c r="S562" s="351"/>
      <c r="T562" s="615"/>
      <c r="U562" s="351"/>
      <c r="V562" s="613" t="str">
        <f>'refer admin discharge'!H563</f>
        <v>00/00/0000</v>
      </c>
      <c r="W562" s="351"/>
      <c r="X562" s="616"/>
      <c r="Y562" s="351"/>
      <c r="Z562" s="617"/>
      <c r="AA562" s="351"/>
      <c r="AB562" s="616"/>
      <c r="AC562" s="351"/>
      <c r="AD562" s="607"/>
      <c r="AE562" s="351"/>
      <c r="AF562" s="616"/>
      <c r="AG562" s="351"/>
      <c r="AH562" s="607"/>
      <c r="AI562" s="351"/>
      <c r="AJ562" s="616"/>
      <c r="AK562" s="351"/>
      <c r="AL562" s="622"/>
      <c r="AM562" s="350"/>
      <c r="AN562" s="350"/>
      <c r="AO562" s="350"/>
      <c r="AP562" s="350"/>
      <c r="AQ562" s="350"/>
      <c r="AR562" s="350"/>
      <c r="AS562" s="350"/>
      <c r="AT562" s="350"/>
      <c r="AU562" s="350"/>
      <c r="AV562" s="350"/>
      <c r="AW562" s="350"/>
      <c r="AX562" s="350"/>
      <c r="AY562" s="350"/>
      <c r="AZ562" s="350"/>
      <c r="BA562" s="350"/>
      <c r="BB562" s="351"/>
    </row>
    <row r="563" spans="1:54" ht="15.75" customHeight="1">
      <c r="A563" s="25">
        <f t="shared" si="2"/>
        <v>550</v>
      </c>
      <c r="B563" s="599" t="str">
        <f>'refer admin discharge'!B559</f>
        <v>x</v>
      </c>
      <c r="C563" s="351"/>
      <c r="D563" s="600" t="str">
        <f>'refer admin discharge'!D559</f>
        <v>xx</v>
      </c>
      <c r="E563" s="351"/>
      <c r="F563" s="609" t="str">
        <f>'refer admin discharge'!H559</f>
        <v>00/00/0000</v>
      </c>
      <c r="G563" s="351"/>
      <c r="H563" s="610"/>
      <c r="I563" s="351"/>
      <c r="J563" s="611"/>
      <c r="K563" s="351"/>
      <c r="L563" s="610"/>
      <c r="M563" s="351"/>
      <c r="N563" s="612"/>
      <c r="O563" s="351"/>
      <c r="P563" s="610"/>
      <c r="Q563" s="351"/>
      <c r="R563" s="612"/>
      <c r="S563" s="351"/>
      <c r="T563" s="610"/>
      <c r="U563" s="351"/>
      <c r="V563" s="613" t="str">
        <f>'refer admin discharge'!H564</f>
        <v>00/00/0000</v>
      </c>
      <c r="W563" s="351"/>
      <c r="X563" s="607"/>
      <c r="Y563" s="351"/>
      <c r="Z563" s="614"/>
      <c r="AA563" s="351"/>
      <c r="AB563" s="607"/>
      <c r="AC563" s="351"/>
      <c r="AD563" s="606"/>
      <c r="AE563" s="351"/>
      <c r="AF563" s="607"/>
      <c r="AG563" s="351"/>
      <c r="AH563" s="606"/>
      <c r="AI563" s="351"/>
      <c r="AJ563" s="607"/>
      <c r="AK563" s="351"/>
      <c r="AL563" s="608"/>
      <c r="AM563" s="350"/>
      <c r="AN563" s="350"/>
      <c r="AO563" s="350"/>
      <c r="AP563" s="350"/>
      <c r="AQ563" s="350"/>
      <c r="AR563" s="350"/>
      <c r="AS563" s="350"/>
      <c r="AT563" s="350"/>
      <c r="AU563" s="350"/>
      <c r="AV563" s="350"/>
      <c r="AW563" s="350"/>
      <c r="AX563" s="350"/>
      <c r="AY563" s="350"/>
      <c r="AZ563" s="350"/>
      <c r="BA563" s="350"/>
      <c r="BB563" s="351"/>
    </row>
    <row r="564" spans="1:54" ht="15.75" customHeight="1">
      <c r="A564" s="25">
        <f t="shared" si="2"/>
        <v>551</v>
      </c>
      <c r="B564" s="618" t="str">
        <f>'refer admin discharge'!B560</f>
        <v>x</v>
      </c>
      <c r="C564" s="351"/>
      <c r="D564" s="619" t="str">
        <f>'refer admin discharge'!D560</f>
        <v>xx</v>
      </c>
      <c r="E564" s="351"/>
      <c r="F564" s="620" t="str">
        <f>'refer admin discharge'!H560</f>
        <v>00/00/0000</v>
      </c>
      <c r="G564" s="351"/>
      <c r="H564" s="615"/>
      <c r="I564" s="351"/>
      <c r="J564" s="621"/>
      <c r="K564" s="351"/>
      <c r="L564" s="615"/>
      <c r="M564" s="351"/>
      <c r="N564" s="610"/>
      <c r="O564" s="351"/>
      <c r="P564" s="615"/>
      <c r="Q564" s="351"/>
      <c r="R564" s="610"/>
      <c r="S564" s="351"/>
      <c r="T564" s="615"/>
      <c r="U564" s="351"/>
      <c r="V564" s="613" t="str">
        <f>'refer admin discharge'!H565</f>
        <v>00/00/0000</v>
      </c>
      <c r="W564" s="351"/>
      <c r="X564" s="616"/>
      <c r="Y564" s="351"/>
      <c r="Z564" s="617"/>
      <c r="AA564" s="351"/>
      <c r="AB564" s="616"/>
      <c r="AC564" s="351"/>
      <c r="AD564" s="607"/>
      <c r="AE564" s="351"/>
      <c r="AF564" s="616"/>
      <c r="AG564" s="351"/>
      <c r="AH564" s="607"/>
      <c r="AI564" s="351"/>
      <c r="AJ564" s="616"/>
      <c r="AK564" s="351"/>
      <c r="AL564" s="622"/>
      <c r="AM564" s="350"/>
      <c r="AN564" s="350"/>
      <c r="AO564" s="350"/>
      <c r="AP564" s="350"/>
      <c r="AQ564" s="350"/>
      <c r="AR564" s="350"/>
      <c r="AS564" s="350"/>
      <c r="AT564" s="350"/>
      <c r="AU564" s="350"/>
      <c r="AV564" s="350"/>
      <c r="AW564" s="350"/>
      <c r="AX564" s="350"/>
      <c r="AY564" s="350"/>
      <c r="AZ564" s="350"/>
      <c r="BA564" s="350"/>
      <c r="BB564" s="351"/>
    </row>
    <row r="565" spans="1:54" ht="15.75" customHeight="1">
      <c r="A565" s="25">
        <f t="shared" si="2"/>
        <v>552</v>
      </c>
      <c r="B565" s="599" t="str">
        <f>'refer admin discharge'!B561</f>
        <v>x</v>
      </c>
      <c r="C565" s="351"/>
      <c r="D565" s="600" t="str">
        <f>'refer admin discharge'!D561</f>
        <v>xx</v>
      </c>
      <c r="E565" s="351"/>
      <c r="F565" s="609" t="str">
        <f>'refer admin discharge'!H561</f>
        <v>00/00/0000</v>
      </c>
      <c r="G565" s="351"/>
      <c r="H565" s="610"/>
      <c r="I565" s="351"/>
      <c r="J565" s="611"/>
      <c r="K565" s="351"/>
      <c r="L565" s="610"/>
      <c r="M565" s="351"/>
      <c r="N565" s="612"/>
      <c r="O565" s="351"/>
      <c r="P565" s="610"/>
      <c r="Q565" s="351"/>
      <c r="R565" s="612"/>
      <c r="S565" s="351"/>
      <c r="T565" s="610"/>
      <c r="U565" s="351"/>
      <c r="V565" s="613" t="str">
        <f>'refer admin discharge'!H566</f>
        <v>00/00/0000</v>
      </c>
      <c r="W565" s="351"/>
      <c r="X565" s="607"/>
      <c r="Y565" s="351"/>
      <c r="Z565" s="614"/>
      <c r="AA565" s="351"/>
      <c r="AB565" s="607"/>
      <c r="AC565" s="351"/>
      <c r="AD565" s="606"/>
      <c r="AE565" s="351"/>
      <c r="AF565" s="607"/>
      <c r="AG565" s="351"/>
      <c r="AH565" s="606"/>
      <c r="AI565" s="351"/>
      <c r="AJ565" s="607"/>
      <c r="AK565" s="351"/>
      <c r="AL565" s="608"/>
      <c r="AM565" s="350"/>
      <c r="AN565" s="350"/>
      <c r="AO565" s="350"/>
      <c r="AP565" s="350"/>
      <c r="AQ565" s="350"/>
      <c r="AR565" s="350"/>
      <c r="AS565" s="350"/>
      <c r="AT565" s="350"/>
      <c r="AU565" s="350"/>
      <c r="AV565" s="350"/>
      <c r="AW565" s="350"/>
      <c r="AX565" s="350"/>
      <c r="AY565" s="350"/>
      <c r="AZ565" s="350"/>
      <c r="BA565" s="350"/>
      <c r="BB565" s="351"/>
    </row>
    <row r="566" spans="1:54" ht="15.75" customHeight="1">
      <c r="A566" s="25">
        <f t="shared" si="2"/>
        <v>553</v>
      </c>
      <c r="B566" s="618" t="str">
        <f>'refer admin discharge'!B562</f>
        <v>x</v>
      </c>
      <c r="C566" s="351"/>
      <c r="D566" s="619" t="str">
        <f>'refer admin discharge'!D562</f>
        <v>xx</v>
      </c>
      <c r="E566" s="351"/>
      <c r="F566" s="620" t="str">
        <f>'refer admin discharge'!H562</f>
        <v>00/00/0000</v>
      </c>
      <c r="G566" s="351"/>
      <c r="H566" s="615"/>
      <c r="I566" s="351"/>
      <c r="J566" s="621"/>
      <c r="K566" s="351"/>
      <c r="L566" s="615"/>
      <c r="M566" s="351"/>
      <c r="N566" s="610"/>
      <c r="O566" s="351"/>
      <c r="P566" s="615"/>
      <c r="Q566" s="351"/>
      <c r="R566" s="610"/>
      <c r="S566" s="351"/>
      <c r="T566" s="615"/>
      <c r="U566" s="351"/>
      <c r="V566" s="613" t="str">
        <f>'refer admin discharge'!H567</f>
        <v>00/00/0000</v>
      </c>
      <c r="W566" s="351"/>
      <c r="X566" s="616"/>
      <c r="Y566" s="351"/>
      <c r="Z566" s="617"/>
      <c r="AA566" s="351"/>
      <c r="AB566" s="616"/>
      <c r="AC566" s="351"/>
      <c r="AD566" s="607"/>
      <c r="AE566" s="351"/>
      <c r="AF566" s="616"/>
      <c r="AG566" s="351"/>
      <c r="AH566" s="607"/>
      <c r="AI566" s="351"/>
      <c r="AJ566" s="616"/>
      <c r="AK566" s="351"/>
      <c r="AL566" s="622"/>
      <c r="AM566" s="350"/>
      <c r="AN566" s="350"/>
      <c r="AO566" s="350"/>
      <c r="AP566" s="350"/>
      <c r="AQ566" s="350"/>
      <c r="AR566" s="350"/>
      <c r="AS566" s="350"/>
      <c r="AT566" s="350"/>
      <c r="AU566" s="350"/>
      <c r="AV566" s="350"/>
      <c r="AW566" s="350"/>
      <c r="AX566" s="350"/>
      <c r="AY566" s="350"/>
      <c r="AZ566" s="350"/>
      <c r="BA566" s="350"/>
      <c r="BB566" s="351"/>
    </row>
    <row r="567" spans="1:54" ht="15.75" customHeight="1">
      <c r="A567" s="25">
        <f t="shared" si="2"/>
        <v>554</v>
      </c>
      <c r="B567" s="599" t="str">
        <f>'refer admin discharge'!B563</f>
        <v>x</v>
      </c>
      <c r="C567" s="351"/>
      <c r="D567" s="600" t="str">
        <f>'refer admin discharge'!D563</f>
        <v>xx</v>
      </c>
      <c r="E567" s="351"/>
      <c r="F567" s="609" t="str">
        <f>'refer admin discharge'!H563</f>
        <v>00/00/0000</v>
      </c>
      <c r="G567" s="351"/>
      <c r="H567" s="610"/>
      <c r="I567" s="351"/>
      <c r="J567" s="611"/>
      <c r="K567" s="351"/>
      <c r="L567" s="610"/>
      <c r="M567" s="351"/>
      <c r="N567" s="612"/>
      <c r="O567" s="351"/>
      <c r="P567" s="610"/>
      <c r="Q567" s="351"/>
      <c r="R567" s="612"/>
      <c r="S567" s="351"/>
      <c r="T567" s="610"/>
      <c r="U567" s="351"/>
      <c r="V567" s="613" t="str">
        <f>'refer admin discharge'!H568</f>
        <v>00/00/0000</v>
      </c>
      <c r="W567" s="351"/>
      <c r="X567" s="607"/>
      <c r="Y567" s="351"/>
      <c r="Z567" s="614"/>
      <c r="AA567" s="351"/>
      <c r="AB567" s="607"/>
      <c r="AC567" s="351"/>
      <c r="AD567" s="606"/>
      <c r="AE567" s="351"/>
      <c r="AF567" s="607"/>
      <c r="AG567" s="351"/>
      <c r="AH567" s="606"/>
      <c r="AI567" s="351"/>
      <c r="AJ567" s="607"/>
      <c r="AK567" s="351"/>
      <c r="AL567" s="608"/>
      <c r="AM567" s="350"/>
      <c r="AN567" s="350"/>
      <c r="AO567" s="350"/>
      <c r="AP567" s="350"/>
      <c r="AQ567" s="350"/>
      <c r="AR567" s="350"/>
      <c r="AS567" s="350"/>
      <c r="AT567" s="350"/>
      <c r="AU567" s="350"/>
      <c r="AV567" s="350"/>
      <c r="AW567" s="350"/>
      <c r="AX567" s="350"/>
      <c r="AY567" s="350"/>
      <c r="AZ567" s="350"/>
      <c r="BA567" s="350"/>
      <c r="BB567" s="351"/>
    </row>
    <row r="568" spans="1:54" ht="15.75" customHeight="1">
      <c r="A568" s="25">
        <f t="shared" si="2"/>
        <v>555</v>
      </c>
      <c r="B568" s="618" t="str">
        <f>'refer admin discharge'!B564</f>
        <v>x</v>
      </c>
      <c r="C568" s="351"/>
      <c r="D568" s="619" t="str">
        <f>'refer admin discharge'!D564</f>
        <v>xx</v>
      </c>
      <c r="E568" s="351"/>
      <c r="F568" s="620" t="str">
        <f>'refer admin discharge'!H564</f>
        <v>00/00/0000</v>
      </c>
      <c r="G568" s="351"/>
      <c r="H568" s="615"/>
      <c r="I568" s="351"/>
      <c r="J568" s="621"/>
      <c r="K568" s="351"/>
      <c r="L568" s="615"/>
      <c r="M568" s="351"/>
      <c r="N568" s="610"/>
      <c r="O568" s="351"/>
      <c r="P568" s="615"/>
      <c r="Q568" s="351"/>
      <c r="R568" s="610"/>
      <c r="S568" s="351"/>
      <c r="T568" s="615"/>
      <c r="U568" s="351"/>
      <c r="V568" s="613" t="str">
        <f>'refer admin discharge'!H569</f>
        <v>00/00/0000</v>
      </c>
      <c r="W568" s="351"/>
      <c r="X568" s="616"/>
      <c r="Y568" s="351"/>
      <c r="Z568" s="617"/>
      <c r="AA568" s="351"/>
      <c r="AB568" s="616"/>
      <c r="AC568" s="351"/>
      <c r="AD568" s="607"/>
      <c r="AE568" s="351"/>
      <c r="AF568" s="616"/>
      <c r="AG568" s="351"/>
      <c r="AH568" s="607"/>
      <c r="AI568" s="351"/>
      <c r="AJ568" s="616"/>
      <c r="AK568" s="351"/>
      <c r="AL568" s="622"/>
      <c r="AM568" s="350"/>
      <c r="AN568" s="350"/>
      <c r="AO568" s="350"/>
      <c r="AP568" s="350"/>
      <c r="AQ568" s="350"/>
      <c r="AR568" s="350"/>
      <c r="AS568" s="350"/>
      <c r="AT568" s="350"/>
      <c r="AU568" s="350"/>
      <c r="AV568" s="350"/>
      <c r="AW568" s="350"/>
      <c r="AX568" s="350"/>
      <c r="AY568" s="350"/>
      <c r="AZ568" s="350"/>
      <c r="BA568" s="350"/>
      <c r="BB568" s="351"/>
    </row>
    <row r="569" spans="1:54" ht="15.75" customHeight="1">
      <c r="A569" s="25">
        <f t="shared" si="2"/>
        <v>556</v>
      </c>
      <c r="B569" s="599" t="str">
        <f>'refer admin discharge'!B565</f>
        <v>x</v>
      </c>
      <c r="C569" s="351"/>
      <c r="D569" s="600" t="str">
        <f>'refer admin discharge'!D565</f>
        <v>xx</v>
      </c>
      <c r="E569" s="351"/>
      <c r="F569" s="609" t="str">
        <f>'refer admin discharge'!H565</f>
        <v>00/00/0000</v>
      </c>
      <c r="G569" s="351"/>
      <c r="H569" s="610"/>
      <c r="I569" s="351"/>
      <c r="J569" s="611"/>
      <c r="K569" s="351"/>
      <c r="L569" s="610"/>
      <c r="M569" s="351"/>
      <c r="N569" s="612"/>
      <c r="O569" s="351"/>
      <c r="P569" s="610"/>
      <c r="Q569" s="351"/>
      <c r="R569" s="612"/>
      <c r="S569" s="351"/>
      <c r="T569" s="610"/>
      <c r="U569" s="351"/>
      <c r="V569" s="613" t="str">
        <f>'refer admin discharge'!H570</f>
        <v>00/00/0000</v>
      </c>
      <c r="W569" s="351"/>
      <c r="X569" s="607"/>
      <c r="Y569" s="351"/>
      <c r="Z569" s="614"/>
      <c r="AA569" s="351"/>
      <c r="AB569" s="607"/>
      <c r="AC569" s="351"/>
      <c r="AD569" s="606"/>
      <c r="AE569" s="351"/>
      <c r="AF569" s="607"/>
      <c r="AG569" s="351"/>
      <c r="AH569" s="606"/>
      <c r="AI569" s="351"/>
      <c r="AJ569" s="607"/>
      <c r="AK569" s="351"/>
      <c r="AL569" s="608"/>
      <c r="AM569" s="350"/>
      <c r="AN569" s="350"/>
      <c r="AO569" s="350"/>
      <c r="AP569" s="350"/>
      <c r="AQ569" s="350"/>
      <c r="AR569" s="350"/>
      <c r="AS569" s="350"/>
      <c r="AT569" s="350"/>
      <c r="AU569" s="350"/>
      <c r="AV569" s="350"/>
      <c r="AW569" s="350"/>
      <c r="AX569" s="350"/>
      <c r="AY569" s="350"/>
      <c r="AZ569" s="350"/>
      <c r="BA569" s="350"/>
      <c r="BB569" s="351"/>
    </row>
    <row r="570" spans="1:54" ht="15.75" customHeight="1">
      <c r="A570" s="25">
        <f t="shared" si="2"/>
        <v>557</v>
      </c>
      <c r="B570" s="618" t="str">
        <f>'refer admin discharge'!B566</f>
        <v>x</v>
      </c>
      <c r="C570" s="351"/>
      <c r="D570" s="619" t="str">
        <f>'refer admin discharge'!D566</f>
        <v>xx</v>
      </c>
      <c r="E570" s="351"/>
      <c r="F570" s="620" t="str">
        <f>'refer admin discharge'!H566</f>
        <v>00/00/0000</v>
      </c>
      <c r="G570" s="351"/>
      <c r="H570" s="615"/>
      <c r="I570" s="351"/>
      <c r="J570" s="621"/>
      <c r="K570" s="351"/>
      <c r="L570" s="615"/>
      <c r="M570" s="351"/>
      <c r="N570" s="610"/>
      <c r="O570" s="351"/>
      <c r="P570" s="615"/>
      <c r="Q570" s="351"/>
      <c r="R570" s="610"/>
      <c r="S570" s="351"/>
      <c r="T570" s="615"/>
      <c r="U570" s="351"/>
      <c r="V570" s="613" t="str">
        <f>'refer admin discharge'!H571</f>
        <v>00/00/0000</v>
      </c>
      <c r="W570" s="351"/>
      <c r="X570" s="616"/>
      <c r="Y570" s="351"/>
      <c r="Z570" s="617"/>
      <c r="AA570" s="351"/>
      <c r="AB570" s="616"/>
      <c r="AC570" s="351"/>
      <c r="AD570" s="607"/>
      <c r="AE570" s="351"/>
      <c r="AF570" s="616"/>
      <c r="AG570" s="351"/>
      <c r="AH570" s="607"/>
      <c r="AI570" s="351"/>
      <c r="AJ570" s="616"/>
      <c r="AK570" s="351"/>
      <c r="AL570" s="622"/>
      <c r="AM570" s="350"/>
      <c r="AN570" s="350"/>
      <c r="AO570" s="350"/>
      <c r="AP570" s="350"/>
      <c r="AQ570" s="350"/>
      <c r="AR570" s="350"/>
      <c r="AS570" s="350"/>
      <c r="AT570" s="350"/>
      <c r="AU570" s="350"/>
      <c r="AV570" s="350"/>
      <c r="AW570" s="350"/>
      <c r="AX570" s="350"/>
      <c r="AY570" s="350"/>
      <c r="AZ570" s="350"/>
      <c r="BA570" s="350"/>
      <c r="BB570" s="351"/>
    </row>
    <row r="571" spans="1:54" ht="15.75" customHeight="1">
      <c r="A571" s="25">
        <f t="shared" si="2"/>
        <v>558</v>
      </c>
      <c r="B571" s="599" t="str">
        <f>'refer admin discharge'!B567</f>
        <v>x</v>
      </c>
      <c r="C571" s="351"/>
      <c r="D571" s="600" t="str">
        <f>'refer admin discharge'!D567</f>
        <v>xx</v>
      </c>
      <c r="E571" s="351"/>
      <c r="F571" s="609" t="str">
        <f>'refer admin discharge'!H567</f>
        <v>00/00/0000</v>
      </c>
      <c r="G571" s="351"/>
      <c r="H571" s="610"/>
      <c r="I571" s="351"/>
      <c r="J571" s="611"/>
      <c r="K571" s="351"/>
      <c r="L571" s="610"/>
      <c r="M571" s="351"/>
      <c r="N571" s="612"/>
      <c r="O571" s="351"/>
      <c r="P571" s="610"/>
      <c r="Q571" s="351"/>
      <c r="R571" s="612"/>
      <c r="S571" s="351"/>
      <c r="T571" s="610"/>
      <c r="U571" s="351"/>
      <c r="V571" s="613" t="str">
        <f>'refer admin discharge'!H572</f>
        <v>00/00/0000</v>
      </c>
      <c r="W571" s="351"/>
      <c r="X571" s="607"/>
      <c r="Y571" s="351"/>
      <c r="Z571" s="614"/>
      <c r="AA571" s="351"/>
      <c r="AB571" s="607"/>
      <c r="AC571" s="351"/>
      <c r="AD571" s="606"/>
      <c r="AE571" s="351"/>
      <c r="AF571" s="607"/>
      <c r="AG571" s="351"/>
      <c r="AH571" s="606"/>
      <c r="AI571" s="351"/>
      <c r="AJ571" s="607"/>
      <c r="AK571" s="351"/>
      <c r="AL571" s="608"/>
      <c r="AM571" s="350"/>
      <c r="AN571" s="350"/>
      <c r="AO571" s="350"/>
      <c r="AP571" s="350"/>
      <c r="AQ571" s="350"/>
      <c r="AR571" s="350"/>
      <c r="AS571" s="350"/>
      <c r="AT571" s="350"/>
      <c r="AU571" s="350"/>
      <c r="AV571" s="350"/>
      <c r="AW571" s="350"/>
      <c r="AX571" s="350"/>
      <c r="AY571" s="350"/>
      <c r="AZ571" s="350"/>
      <c r="BA571" s="350"/>
      <c r="BB571" s="351"/>
    </row>
    <row r="572" spans="1:54" ht="15.75" customHeight="1">
      <c r="A572" s="25">
        <f t="shared" si="2"/>
        <v>559</v>
      </c>
      <c r="B572" s="618" t="str">
        <f>'refer admin discharge'!B568</f>
        <v>x</v>
      </c>
      <c r="C572" s="351"/>
      <c r="D572" s="619" t="str">
        <f>'refer admin discharge'!D568</f>
        <v>xx</v>
      </c>
      <c r="E572" s="351"/>
      <c r="F572" s="620" t="str">
        <f>'refer admin discharge'!H568</f>
        <v>00/00/0000</v>
      </c>
      <c r="G572" s="351"/>
      <c r="H572" s="615"/>
      <c r="I572" s="351"/>
      <c r="J572" s="621"/>
      <c r="K572" s="351"/>
      <c r="L572" s="615"/>
      <c r="M572" s="351"/>
      <c r="N572" s="610"/>
      <c r="O572" s="351"/>
      <c r="P572" s="615"/>
      <c r="Q572" s="351"/>
      <c r="R572" s="610"/>
      <c r="S572" s="351"/>
      <c r="T572" s="615"/>
      <c r="U572" s="351"/>
      <c r="V572" s="613" t="str">
        <f>'refer admin discharge'!H573</f>
        <v>00/00/0000</v>
      </c>
      <c r="W572" s="351"/>
      <c r="X572" s="616"/>
      <c r="Y572" s="351"/>
      <c r="Z572" s="617"/>
      <c r="AA572" s="351"/>
      <c r="AB572" s="616"/>
      <c r="AC572" s="351"/>
      <c r="AD572" s="607"/>
      <c r="AE572" s="351"/>
      <c r="AF572" s="616"/>
      <c r="AG572" s="351"/>
      <c r="AH572" s="607"/>
      <c r="AI572" s="351"/>
      <c r="AJ572" s="616"/>
      <c r="AK572" s="351"/>
      <c r="AL572" s="622"/>
      <c r="AM572" s="350"/>
      <c r="AN572" s="350"/>
      <c r="AO572" s="350"/>
      <c r="AP572" s="350"/>
      <c r="AQ572" s="350"/>
      <c r="AR572" s="350"/>
      <c r="AS572" s="350"/>
      <c r="AT572" s="350"/>
      <c r="AU572" s="350"/>
      <c r="AV572" s="350"/>
      <c r="AW572" s="350"/>
      <c r="AX572" s="350"/>
      <c r="AY572" s="350"/>
      <c r="AZ572" s="350"/>
      <c r="BA572" s="350"/>
      <c r="BB572" s="351"/>
    </row>
    <row r="573" spans="1:54" ht="15.75" customHeight="1">
      <c r="A573" s="25">
        <f t="shared" si="2"/>
        <v>560</v>
      </c>
      <c r="B573" s="599" t="str">
        <f>'refer admin discharge'!B569</f>
        <v>x</v>
      </c>
      <c r="C573" s="351"/>
      <c r="D573" s="600" t="str">
        <f>'refer admin discharge'!D569</f>
        <v>xx</v>
      </c>
      <c r="E573" s="351"/>
      <c r="F573" s="609" t="str">
        <f>'refer admin discharge'!H569</f>
        <v>00/00/0000</v>
      </c>
      <c r="G573" s="351"/>
      <c r="H573" s="610"/>
      <c r="I573" s="351"/>
      <c r="J573" s="611"/>
      <c r="K573" s="351"/>
      <c r="L573" s="610"/>
      <c r="M573" s="351"/>
      <c r="N573" s="612"/>
      <c r="O573" s="351"/>
      <c r="P573" s="610"/>
      <c r="Q573" s="351"/>
      <c r="R573" s="612"/>
      <c r="S573" s="351"/>
      <c r="T573" s="610"/>
      <c r="U573" s="351"/>
      <c r="V573" s="613" t="str">
        <f>'refer admin discharge'!H574</f>
        <v>00/00/0000</v>
      </c>
      <c r="W573" s="351"/>
      <c r="X573" s="607"/>
      <c r="Y573" s="351"/>
      <c r="Z573" s="614"/>
      <c r="AA573" s="351"/>
      <c r="AB573" s="607"/>
      <c r="AC573" s="351"/>
      <c r="AD573" s="606"/>
      <c r="AE573" s="351"/>
      <c r="AF573" s="607"/>
      <c r="AG573" s="351"/>
      <c r="AH573" s="606"/>
      <c r="AI573" s="351"/>
      <c r="AJ573" s="607"/>
      <c r="AK573" s="351"/>
      <c r="AL573" s="608"/>
      <c r="AM573" s="350"/>
      <c r="AN573" s="350"/>
      <c r="AO573" s="350"/>
      <c r="AP573" s="350"/>
      <c r="AQ573" s="350"/>
      <c r="AR573" s="350"/>
      <c r="AS573" s="350"/>
      <c r="AT573" s="350"/>
      <c r="AU573" s="350"/>
      <c r="AV573" s="350"/>
      <c r="AW573" s="350"/>
      <c r="AX573" s="350"/>
      <c r="AY573" s="350"/>
      <c r="AZ573" s="350"/>
      <c r="BA573" s="350"/>
      <c r="BB573" s="351"/>
    </row>
    <row r="574" spans="1:54" ht="15.75" customHeight="1">
      <c r="A574" s="25">
        <f t="shared" si="2"/>
        <v>561</v>
      </c>
      <c r="B574" s="618" t="str">
        <f>'refer admin discharge'!B570</f>
        <v>x</v>
      </c>
      <c r="C574" s="351"/>
      <c r="D574" s="619" t="str">
        <f>'refer admin discharge'!D570</f>
        <v>xx</v>
      </c>
      <c r="E574" s="351"/>
      <c r="F574" s="620" t="str">
        <f>'refer admin discharge'!H570</f>
        <v>00/00/0000</v>
      </c>
      <c r="G574" s="351"/>
      <c r="H574" s="615"/>
      <c r="I574" s="351"/>
      <c r="J574" s="621"/>
      <c r="K574" s="351"/>
      <c r="L574" s="615"/>
      <c r="M574" s="351"/>
      <c r="N574" s="610"/>
      <c r="O574" s="351"/>
      <c r="P574" s="615"/>
      <c r="Q574" s="351"/>
      <c r="R574" s="610"/>
      <c r="S574" s="351"/>
      <c r="T574" s="615"/>
      <c r="U574" s="351"/>
      <c r="V574" s="613" t="str">
        <f>'refer admin discharge'!H575</f>
        <v>00/00/0000</v>
      </c>
      <c r="W574" s="351"/>
      <c r="X574" s="616"/>
      <c r="Y574" s="351"/>
      <c r="Z574" s="617"/>
      <c r="AA574" s="351"/>
      <c r="AB574" s="616"/>
      <c r="AC574" s="351"/>
      <c r="AD574" s="607"/>
      <c r="AE574" s="351"/>
      <c r="AF574" s="616"/>
      <c r="AG574" s="351"/>
      <c r="AH574" s="607"/>
      <c r="AI574" s="351"/>
      <c r="AJ574" s="616"/>
      <c r="AK574" s="351"/>
      <c r="AL574" s="622"/>
      <c r="AM574" s="350"/>
      <c r="AN574" s="350"/>
      <c r="AO574" s="350"/>
      <c r="AP574" s="350"/>
      <c r="AQ574" s="350"/>
      <c r="AR574" s="350"/>
      <c r="AS574" s="350"/>
      <c r="AT574" s="350"/>
      <c r="AU574" s="350"/>
      <c r="AV574" s="350"/>
      <c r="AW574" s="350"/>
      <c r="AX574" s="350"/>
      <c r="AY574" s="350"/>
      <c r="AZ574" s="350"/>
      <c r="BA574" s="350"/>
      <c r="BB574" s="351"/>
    </row>
    <row r="575" spans="1:54" ht="15.75" customHeight="1">
      <c r="A575" s="25">
        <f t="shared" si="2"/>
        <v>562</v>
      </c>
      <c r="B575" s="599" t="str">
        <f>'refer admin discharge'!B571</f>
        <v>x</v>
      </c>
      <c r="C575" s="351"/>
      <c r="D575" s="600" t="str">
        <f>'refer admin discharge'!D571</f>
        <v>xx</v>
      </c>
      <c r="E575" s="351"/>
      <c r="F575" s="609" t="str">
        <f>'refer admin discharge'!H571</f>
        <v>00/00/0000</v>
      </c>
      <c r="G575" s="351"/>
      <c r="H575" s="610"/>
      <c r="I575" s="351"/>
      <c r="J575" s="611"/>
      <c r="K575" s="351"/>
      <c r="L575" s="610"/>
      <c r="M575" s="351"/>
      <c r="N575" s="612"/>
      <c r="O575" s="351"/>
      <c r="P575" s="610"/>
      <c r="Q575" s="351"/>
      <c r="R575" s="612"/>
      <c r="S575" s="351"/>
      <c r="T575" s="610"/>
      <c r="U575" s="351"/>
      <c r="V575" s="613" t="str">
        <f>'refer admin discharge'!H576</f>
        <v>00/00/0000</v>
      </c>
      <c r="W575" s="351"/>
      <c r="X575" s="607"/>
      <c r="Y575" s="351"/>
      <c r="Z575" s="614"/>
      <c r="AA575" s="351"/>
      <c r="AB575" s="607"/>
      <c r="AC575" s="351"/>
      <c r="AD575" s="606"/>
      <c r="AE575" s="351"/>
      <c r="AF575" s="607"/>
      <c r="AG575" s="351"/>
      <c r="AH575" s="606"/>
      <c r="AI575" s="351"/>
      <c r="AJ575" s="607"/>
      <c r="AK575" s="351"/>
      <c r="AL575" s="608"/>
      <c r="AM575" s="350"/>
      <c r="AN575" s="350"/>
      <c r="AO575" s="350"/>
      <c r="AP575" s="350"/>
      <c r="AQ575" s="350"/>
      <c r="AR575" s="350"/>
      <c r="AS575" s="350"/>
      <c r="AT575" s="350"/>
      <c r="AU575" s="350"/>
      <c r="AV575" s="350"/>
      <c r="AW575" s="350"/>
      <c r="AX575" s="350"/>
      <c r="AY575" s="350"/>
      <c r="AZ575" s="350"/>
      <c r="BA575" s="350"/>
      <c r="BB575" s="351"/>
    </row>
    <row r="576" spans="1:54" ht="15.75" customHeight="1">
      <c r="A576" s="25">
        <f t="shared" si="2"/>
        <v>563</v>
      </c>
      <c r="B576" s="618" t="str">
        <f>'refer admin discharge'!B572</f>
        <v>x</v>
      </c>
      <c r="C576" s="351"/>
      <c r="D576" s="619" t="str">
        <f>'refer admin discharge'!D572</f>
        <v>xx</v>
      </c>
      <c r="E576" s="351"/>
      <c r="F576" s="620" t="str">
        <f>'refer admin discharge'!H572</f>
        <v>00/00/0000</v>
      </c>
      <c r="G576" s="351"/>
      <c r="H576" s="615"/>
      <c r="I576" s="351"/>
      <c r="J576" s="621"/>
      <c r="K576" s="351"/>
      <c r="L576" s="615"/>
      <c r="M576" s="351"/>
      <c r="N576" s="610"/>
      <c r="O576" s="351"/>
      <c r="P576" s="615"/>
      <c r="Q576" s="351"/>
      <c r="R576" s="610"/>
      <c r="S576" s="351"/>
      <c r="T576" s="615"/>
      <c r="U576" s="351"/>
      <c r="V576" s="613" t="str">
        <f>'refer admin discharge'!H577</f>
        <v>00/00/0000</v>
      </c>
      <c r="W576" s="351"/>
      <c r="X576" s="616"/>
      <c r="Y576" s="351"/>
      <c r="Z576" s="617"/>
      <c r="AA576" s="351"/>
      <c r="AB576" s="616"/>
      <c r="AC576" s="351"/>
      <c r="AD576" s="607"/>
      <c r="AE576" s="351"/>
      <c r="AF576" s="616"/>
      <c r="AG576" s="351"/>
      <c r="AH576" s="607"/>
      <c r="AI576" s="351"/>
      <c r="AJ576" s="616"/>
      <c r="AK576" s="351"/>
      <c r="AL576" s="622"/>
      <c r="AM576" s="350"/>
      <c r="AN576" s="350"/>
      <c r="AO576" s="350"/>
      <c r="AP576" s="350"/>
      <c r="AQ576" s="350"/>
      <c r="AR576" s="350"/>
      <c r="AS576" s="350"/>
      <c r="AT576" s="350"/>
      <c r="AU576" s="350"/>
      <c r="AV576" s="350"/>
      <c r="AW576" s="350"/>
      <c r="AX576" s="350"/>
      <c r="AY576" s="350"/>
      <c r="AZ576" s="350"/>
      <c r="BA576" s="350"/>
      <c r="BB576" s="351"/>
    </row>
    <row r="577" spans="1:54" ht="15.75" customHeight="1">
      <c r="A577" s="25">
        <f t="shared" si="2"/>
        <v>564</v>
      </c>
      <c r="B577" s="599" t="str">
        <f>'refer admin discharge'!B573</f>
        <v>x</v>
      </c>
      <c r="C577" s="351"/>
      <c r="D577" s="600" t="str">
        <f>'refer admin discharge'!D573</f>
        <v>xx</v>
      </c>
      <c r="E577" s="351"/>
      <c r="F577" s="609" t="str">
        <f>'refer admin discharge'!H573</f>
        <v>00/00/0000</v>
      </c>
      <c r="G577" s="351"/>
      <c r="H577" s="610"/>
      <c r="I577" s="351"/>
      <c r="J577" s="611"/>
      <c r="K577" s="351"/>
      <c r="L577" s="610"/>
      <c r="M577" s="351"/>
      <c r="N577" s="612"/>
      <c r="O577" s="351"/>
      <c r="P577" s="610"/>
      <c r="Q577" s="351"/>
      <c r="R577" s="612"/>
      <c r="S577" s="351"/>
      <c r="T577" s="610"/>
      <c r="U577" s="351"/>
      <c r="V577" s="613" t="str">
        <f>'refer admin discharge'!H578</f>
        <v>00/00/0000</v>
      </c>
      <c r="W577" s="351"/>
      <c r="X577" s="607"/>
      <c r="Y577" s="351"/>
      <c r="Z577" s="614"/>
      <c r="AA577" s="351"/>
      <c r="AB577" s="607"/>
      <c r="AC577" s="351"/>
      <c r="AD577" s="606"/>
      <c r="AE577" s="351"/>
      <c r="AF577" s="607"/>
      <c r="AG577" s="351"/>
      <c r="AH577" s="606"/>
      <c r="AI577" s="351"/>
      <c r="AJ577" s="607"/>
      <c r="AK577" s="351"/>
      <c r="AL577" s="608"/>
      <c r="AM577" s="350"/>
      <c r="AN577" s="350"/>
      <c r="AO577" s="350"/>
      <c r="AP577" s="350"/>
      <c r="AQ577" s="350"/>
      <c r="AR577" s="350"/>
      <c r="AS577" s="350"/>
      <c r="AT577" s="350"/>
      <c r="AU577" s="350"/>
      <c r="AV577" s="350"/>
      <c r="AW577" s="350"/>
      <c r="AX577" s="350"/>
      <c r="AY577" s="350"/>
      <c r="AZ577" s="350"/>
      <c r="BA577" s="350"/>
      <c r="BB577" s="351"/>
    </row>
    <row r="578" spans="1:54" ht="15.75" customHeight="1">
      <c r="A578" s="25">
        <f t="shared" si="2"/>
        <v>565</v>
      </c>
      <c r="B578" s="618" t="str">
        <f>'refer admin discharge'!B574</f>
        <v>x</v>
      </c>
      <c r="C578" s="351"/>
      <c r="D578" s="619" t="str">
        <f>'refer admin discharge'!D574</f>
        <v>xx</v>
      </c>
      <c r="E578" s="351"/>
      <c r="F578" s="620" t="str">
        <f>'refer admin discharge'!H574</f>
        <v>00/00/0000</v>
      </c>
      <c r="G578" s="351"/>
      <c r="H578" s="615"/>
      <c r="I578" s="351"/>
      <c r="J578" s="621"/>
      <c r="K578" s="351"/>
      <c r="L578" s="615"/>
      <c r="M578" s="351"/>
      <c r="N578" s="610"/>
      <c r="O578" s="351"/>
      <c r="P578" s="615"/>
      <c r="Q578" s="351"/>
      <c r="R578" s="610"/>
      <c r="S578" s="351"/>
      <c r="T578" s="615"/>
      <c r="U578" s="351"/>
      <c r="V578" s="613" t="str">
        <f>'refer admin discharge'!H579</f>
        <v>00/00/0000</v>
      </c>
      <c r="W578" s="351"/>
      <c r="X578" s="616"/>
      <c r="Y578" s="351"/>
      <c r="Z578" s="617"/>
      <c r="AA578" s="351"/>
      <c r="AB578" s="616"/>
      <c r="AC578" s="351"/>
      <c r="AD578" s="607"/>
      <c r="AE578" s="351"/>
      <c r="AF578" s="616"/>
      <c r="AG578" s="351"/>
      <c r="AH578" s="607"/>
      <c r="AI578" s="351"/>
      <c r="AJ578" s="616"/>
      <c r="AK578" s="351"/>
      <c r="AL578" s="622"/>
      <c r="AM578" s="350"/>
      <c r="AN578" s="350"/>
      <c r="AO578" s="350"/>
      <c r="AP578" s="350"/>
      <c r="AQ578" s="350"/>
      <c r="AR578" s="350"/>
      <c r="AS578" s="350"/>
      <c r="AT578" s="350"/>
      <c r="AU578" s="350"/>
      <c r="AV578" s="350"/>
      <c r="AW578" s="350"/>
      <c r="AX578" s="350"/>
      <c r="AY578" s="350"/>
      <c r="AZ578" s="350"/>
      <c r="BA578" s="350"/>
      <c r="BB578" s="351"/>
    </row>
    <row r="579" spans="1:54" ht="15.75" customHeight="1">
      <c r="A579" s="25">
        <f t="shared" si="2"/>
        <v>566</v>
      </c>
      <c r="B579" s="599" t="str">
        <f>'refer admin discharge'!B575</f>
        <v>x</v>
      </c>
      <c r="C579" s="351"/>
      <c r="D579" s="600" t="str">
        <f>'refer admin discharge'!D575</f>
        <v>xx</v>
      </c>
      <c r="E579" s="351"/>
      <c r="F579" s="609" t="str">
        <f>'refer admin discharge'!H575</f>
        <v>00/00/0000</v>
      </c>
      <c r="G579" s="351"/>
      <c r="H579" s="610"/>
      <c r="I579" s="351"/>
      <c r="J579" s="611"/>
      <c r="K579" s="351"/>
      <c r="L579" s="610"/>
      <c r="M579" s="351"/>
      <c r="N579" s="612"/>
      <c r="O579" s="351"/>
      <c r="P579" s="610"/>
      <c r="Q579" s="351"/>
      <c r="R579" s="612"/>
      <c r="S579" s="351"/>
      <c r="T579" s="610"/>
      <c r="U579" s="351"/>
      <c r="V579" s="613" t="str">
        <f>'refer admin discharge'!H580</f>
        <v>00/00/0000</v>
      </c>
      <c r="W579" s="351"/>
      <c r="X579" s="607"/>
      <c r="Y579" s="351"/>
      <c r="Z579" s="614"/>
      <c r="AA579" s="351"/>
      <c r="AB579" s="607"/>
      <c r="AC579" s="351"/>
      <c r="AD579" s="606"/>
      <c r="AE579" s="351"/>
      <c r="AF579" s="607"/>
      <c r="AG579" s="351"/>
      <c r="AH579" s="606"/>
      <c r="AI579" s="351"/>
      <c r="AJ579" s="607"/>
      <c r="AK579" s="351"/>
      <c r="AL579" s="608"/>
      <c r="AM579" s="350"/>
      <c r="AN579" s="350"/>
      <c r="AO579" s="350"/>
      <c r="AP579" s="350"/>
      <c r="AQ579" s="350"/>
      <c r="AR579" s="350"/>
      <c r="AS579" s="350"/>
      <c r="AT579" s="350"/>
      <c r="AU579" s="350"/>
      <c r="AV579" s="350"/>
      <c r="AW579" s="350"/>
      <c r="AX579" s="350"/>
      <c r="AY579" s="350"/>
      <c r="AZ579" s="350"/>
      <c r="BA579" s="350"/>
      <c r="BB579" s="351"/>
    </row>
    <row r="580" spans="1:54" ht="15.75" customHeight="1">
      <c r="A580" s="25">
        <f t="shared" si="2"/>
        <v>567</v>
      </c>
      <c r="B580" s="618" t="str">
        <f>'refer admin discharge'!B576</f>
        <v>x</v>
      </c>
      <c r="C580" s="351"/>
      <c r="D580" s="619" t="str">
        <f>'refer admin discharge'!D576</f>
        <v>xx</v>
      </c>
      <c r="E580" s="351"/>
      <c r="F580" s="620" t="str">
        <f>'refer admin discharge'!H576</f>
        <v>00/00/0000</v>
      </c>
      <c r="G580" s="351"/>
      <c r="H580" s="615"/>
      <c r="I580" s="351"/>
      <c r="J580" s="621"/>
      <c r="K580" s="351"/>
      <c r="L580" s="615"/>
      <c r="M580" s="351"/>
      <c r="N580" s="610"/>
      <c r="O580" s="351"/>
      <c r="P580" s="615"/>
      <c r="Q580" s="351"/>
      <c r="R580" s="610"/>
      <c r="S580" s="351"/>
      <c r="T580" s="615"/>
      <c r="U580" s="351"/>
      <c r="V580" s="613" t="str">
        <f>'refer admin discharge'!H581</f>
        <v>00/00/0000</v>
      </c>
      <c r="W580" s="351"/>
      <c r="X580" s="616"/>
      <c r="Y580" s="351"/>
      <c r="Z580" s="617"/>
      <c r="AA580" s="351"/>
      <c r="AB580" s="616"/>
      <c r="AC580" s="351"/>
      <c r="AD580" s="607"/>
      <c r="AE580" s="351"/>
      <c r="AF580" s="616"/>
      <c r="AG580" s="351"/>
      <c r="AH580" s="607"/>
      <c r="AI580" s="351"/>
      <c r="AJ580" s="616"/>
      <c r="AK580" s="351"/>
      <c r="AL580" s="622"/>
      <c r="AM580" s="350"/>
      <c r="AN580" s="350"/>
      <c r="AO580" s="350"/>
      <c r="AP580" s="350"/>
      <c r="AQ580" s="350"/>
      <c r="AR580" s="350"/>
      <c r="AS580" s="350"/>
      <c r="AT580" s="350"/>
      <c r="AU580" s="350"/>
      <c r="AV580" s="350"/>
      <c r="AW580" s="350"/>
      <c r="AX580" s="350"/>
      <c r="AY580" s="350"/>
      <c r="AZ580" s="350"/>
      <c r="BA580" s="350"/>
      <c r="BB580" s="351"/>
    </row>
    <row r="581" spans="1:54" ht="15.75" customHeight="1">
      <c r="A581" s="25">
        <f t="shared" si="2"/>
        <v>568</v>
      </c>
      <c r="B581" s="599" t="str">
        <f>'refer admin discharge'!B577</f>
        <v>x</v>
      </c>
      <c r="C581" s="351"/>
      <c r="D581" s="600" t="str">
        <f>'refer admin discharge'!D577</f>
        <v>xx</v>
      </c>
      <c r="E581" s="351"/>
      <c r="F581" s="609" t="str">
        <f>'refer admin discharge'!H577</f>
        <v>00/00/0000</v>
      </c>
      <c r="G581" s="351"/>
      <c r="H581" s="610"/>
      <c r="I581" s="351"/>
      <c r="J581" s="611"/>
      <c r="K581" s="351"/>
      <c r="L581" s="610"/>
      <c r="M581" s="351"/>
      <c r="N581" s="612"/>
      <c r="O581" s="351"/>
      <c r="P581" s="610"/>
      <c r="Q581" s="351"/>
      <c r="R581" s="612"/>
      <c r="S581" s="351"/>
      <c r="T581" s="610"/>
      <c r="U581" s="351"/>
      <c r="V581" s="613" t="str">
        <f>'refer admin discharge'!H582</f>
        <v>00/00/0000</v>
      </c>
      <c r="W581" s="351"/>
      <c r="X581" s="607"/>
      <c r="Y581" s="351"/>
      <c r="Z581" s="614"/>
      <c r="AA581" s="351"/>
      <c r="AB581" s="607"/>
      <c r="AC581" s="351"/>
      <c r="AD581" s="606"/>
      <c r="AE581" s="351"/>
      <c r="AF581" s="607"/>
      <c r="AG581" s="351"/>
      <c r="AH581" s="606"/>
      <c r="AI581" s="351"/>
      <c r="AJ581" s="607"/>
      <c r="AK581" s="351"/>
      <c r="AL581" s="608"/>
      <c r="AM581" s="350"/>
      <c r="AN581" s="350"/>
      <c r="AO581" s="350"/>
      <c r="AP581" s="350"/>
      <c r="AQ581" s="350"/>
      <c r="AR581" s="350"/>
      <c r="AS581" s="350"/>
      <c r="AT581" s="350"/>
      <c r="AU581" s="350"/>
      <c r="AV581" s="350"/>
      <c r="AW581" s="350"/>
      <c r="AX581" s="350"/>
      <c r="AY581" s="350"/>
      <c r="AZ581" s="350"/>
      <c r="BA581" s="350"/>
      <c r="BB581" s="351"/>
    </row>
    <row r="582" spans="1:54" ht="15.75" customHeight="1">
      <c r="A582" s="25">
        <f t="shared" si="2"/>
        <v>569</v>
      </c>
      <c r="B582" s="618" t="str">
        <f>'refer admin discharge'!B578</f>
        <v>x</v>
      </c>
      <c r="C582" s="351"/>
      <c r="D582" s="619" t="str">
        <f>'refer admin discharge'!D578</f>
        <v>xx</v>
      </c>
      <c r="E582" s="351"/>
      <c r="F582" s="620" t="str">
        <f>'refer admin discharge'!H578</f>
        <v>00/00/0000</v>
      </c>
      <c r="G582" s="351"/>
      <c r="H582" s="615"/>
      <c r="I582" s="351"/>
      <c r="J582" s="621"/>
      <c r="K582" s="351"/>
      <c r="L582" s="615"/>
      <c r="M582" s="351"/>
      <c r="N582" s="610"/>
      <c r="O582" s="351"/>
      <c r="P582" s="615"/>
      <c r="Q582" s="351"/>
      <c r="R582" s="610"/>
      <c r="S582" s="351"/>
      <c r="T582" s="615"/>
      <c r="U582" s="351"/>
      <c r="V582" s="613" t="str">
        <f>'refer admin discharge'!H583</f>
        <v>00/00/0000</v>
      </c>
      <c r="W582" s="351"/>
      <c r="X582" s="616"/>
      <c r="Y582" s="351"/>
      <c r="Z582" s="617"/>
      <c r="AA582" s="351"/>
      <c r="AB582" s="616"/>
      <c r="AC582" s="351"/>
      <c r="AD582" s="607"/>
      <c r="AE582" s="351"/>
      <c r="AF582" s="616"/>
      <c r="AG582" s="351"/>
      <c r="AH582" s="607"/>
      <c r="AI582" s="351"/>
      <c r="AJ582" s="616"/>
      <c r="AK582" s="351"/>
      <c r="AL582" s="622"/>
      <c r="AM582" s="350"/>
      <c r="AN582" s="350"/>
      <c r="AO582" s="350"/>
      <c r="AP582" s="350"/>
      <c r="AQ582" s="350"/>
      <c r="AR582" s="350"/>
      <c r="AS582" s="350"/>
      <c r="AT582" s="350"/>
      <c r="AU582" s="350"/>
      <c r="AV582" s="350"/>
      <c r="AW582" s="350"/>
      <c r="AX582" s="350"/>
      <c r="AY582" s="350"/>
      <c r="AZ582" s="350"/>
      <c r="BA582" s="350"/>
      <c r="BB582" s="351"/>
    </row>
    <row r="583" spans="1:54" ht="15.75" customHeight="1">
      <c r="A583" s="25">
        <f t="shared" si="2"/>
        <v>570</v>
      </c>
      <c r="B583" s="599" t="str">
        <f>'refer admin discharge'!B579</f>
        <v>x</v>
      </c>
      <c r="C583" s="351"/>
      <c r="D583" s="600" t="str">
        <f>'refer admin discharge'!D579</f>
        <v>xx</v>
      </c>
      <c r="E583" s="351"/>
      <c r="F583" s="609" t="str">
        <f>'refer admin discharge'!H579</f>
        <v>00/00/0000</v>
      </c>
      <c r="G583" s="351"/>
      <c r="H583" s="610"/>
      <c r="I583" s="351"/>
      <c r="J583" s="611"/>
      <c r="K583" s="351"/>
      <c r="L583" s="610"/>
      <c r="M583" s="351"/>
      <c r="N583" s="612"/>
      <c r="O583" s="351"/>
      <c r="P583" s="610"/>
      <c r="Q583" s="351"/>
      <c r="R583" s="612"/>
      <c r="S583" s="351"/>
      <c r="T583" s="610"/>
      <c r="U583" s="351"/>
      <c r="V583" s="613" t="str">
        <f>'refer admin discharge'!H584</f>
        <v>00/00/0000</v>
      </c>
      <c r="W583" s="351"/>
      <c r="X583" s="607"/>
      <c r="Y583" s="351"/>
      <c r="Z583" s="614"/>
      <c r="AA583" s="351"/>
      <c r="AB583" s="607"/>
      <c r="AC583" s="351"/>
      <c r="AD583" s="606"/>
      <c r="AE583" s="351"/>
      <c r="AF583" s="607"/>
      <c r="AG583" s="351"/>
      <c r="AH583" s="606"/>
      <c r="AI583" s="351"/>
      <c r="AJ583" s="607"/>
      <c r="AK583" s="351"/>
      <c r="AL583" s="608"/>
      <c r="AM583" s="350"/>
      <c r="AN583" s="350"/>
      <c r="AO583" s="350"/>
      <c r="AP583" s="350"/>
      <c r="AQ583" s="350"/>
      <c r="AR583" s="350"/>
      <c r="AS583" s="350"/>
      <c r="AT583" s="350"/>
      <c r="AU583" s="350"/>
      <c r="AV583" s="350"/>
      <c r="AW583" s="350"/>
      <c r="AX583" s="350"/>
      <c r="AY583" s="350"/>
      <c r="AZ583" s="350"/>
      <c r="BA583" s="350"/>
      <c r="BB583" s="351"/>
    </row>
    <row r="584" spans="1:54" ht="15.75" customHeight="1">
      <c r="A584" s="25">
        <f t="shared" si="2"/>
        <v>571</v>
      </c>
      <c r="B584" s="618" t="str">
        <f>'refer admin discharge'!B580</f>
        <v>x</v>
      </c>
      <c r="C584" s="351"/>
      <c r="D584" s="619" t="str">
        <f>'refer admin discharge'!D580</f>
        <v>xx</v>
      </c>
      <c r="E584" s="351"/>
      <c r="F584" s="620" t="str">
        <f>'refer admin discharge'!H580</f>
        <v>00/00/0000</v>
      </c>
      <c r="G584" s="351"/>
      <c r="H584" s="615"/>
      <c r="I584" s="351"/>
      <c r="J584" s="621"/>
      <c r="K584" s="351"/>
      <c r="L584" s="615"/>
      <c r="M584" s="351"/>
      <c r="N584" s="610"/>
      <c r="O584" s="351"/>
      <c r="P584" s="615"/>
      <c r="Q584" s="351"/>
      <c r="R584" s="610"/>
      <c r="S584" s="351"/>
      <c r="T584" s="615"/>
      <c r="U584" s="351"/>
      <c r="V584" s="613" t="str">
        <f>'refer admin discharge'!H585</f>
        <v>00/00/0000</v>
      </c>
      <c r="W584" s="351"/>
      <c r="X584" s="616"/>
      <c r="Y584" s="351"/>
      <c r="Z584" s="617"/>
      <c r="AA584" s="351"/>
      <c r="AB584" s="616"/>
      <c r="AC584" s="351"/>
      <c r="AD584" s="607"/>
      <c r="AE584" s="351"/>
      <c r="AF584" s="616"/>
      <c r="AG584" s="351"/>
      <c r="AH584" s="607"/>
      <c r="AI584" s="351"/>
      <c r="AJ584" s="616"/>
      <c r="AK584" s="351"/>
      <c r="AL584" s="622"/>
      <c r="AM584" s="350"/>
      <c r="AN584" s="350"/>
      <c r="AO584" s="350"/>
      <c r="AP584" s="350"/>
      <c r="AQ584" s="350"/>
      <c r="AR584" s="350"/>
      <c r="AS584" s="350"/>
      <c r="AT584" s="350"/>
      <c r="AU584" s="350"/>
      <c r="AV584" s="350"/>
      <c r="AW584" s="350"/>
      <c r="AX584" s="350"/>
      <c r="AY584" s="350"/>
      <c r="AZ584" s="350"/>
      <c r="BA584" s="350"/>
      <c r="BB584" s="351"/>
    </row>
    <row r="585" spans="1:54" ht="15.75" customHeight="1">
      <c r="A585" s="25">
        <f t="shared" si="2"/>
        <v>572</v>
      </c>
      <c r="B585" s="599" t="str">
        <f>'refer admin discharge'!B581</f>
        <v>x</v>
      </c>
      <c r="C585" s="351"/>
      <c r="D585" s="600" t="str">
        <f>'refer admin discharge'!D581</f>
        <v>xx</v>
      </c>
      <c r="E585" s="351"/>
      <c r="F585" s="609" t="str">
        <f>'refer admin discharge'!H581</f>
        <v>00/00/0000</v>
      </c>
      <c r="G585" s="351"/>
      <c r="H585" s="610"/>
      <c r="I585" s="351"/>
      <c r="J585" s="611"/>
      <c r="K585" s="351"/>
      <c r="L585" s="610"/>
      <c r="M585" s="351"/>
      <c r="N585" s="612"/>
      <c r="O585" s="351"/>
      <c r="P585" s="610"/>
      <c r="Q585" s="351"/>
      <c r="R585" s="612"/>
      <c r="S585" s="351"/>
      <c r="T585" s="610"/>
      <c r="U585" s="351"/>
      <c r="V585" s="613" t="str">
        <f>'refer admin discharge'!H586</f>
        <v>00/00/0000</v>
      </c>
      <c r="W585" s="351"/>
      <c r="X585" s="607"/>
      <c r="Y585" s="351"/>
      <c r="Z585" s="614"/>
      <c r="AA585" s="351"/>
      <c r="AB585" s="607"/>
      <c r="AC585" s="351"/>
      <c r="AD585" s="606"/>
      <c r="AE585" s="351"/>
      <c r="AF585" s="607"/>
      <c r="AG585" s="351"/>
      <c r="AH585" s="606"/>
      <c r="AI585" s="351"/>
      <c r="AJ585" s="607"/>
      <c r="AK585" s="351"/>
      <c r="AL585" s="608"/>
      <c r="AM585" s="350"/>
      <c r="AN585" s="350"/>
      <c r="AO585" s="350"/>
      <c r="AP585" s="350"/>
      <c r="AQ585" s="350"/>
      <c r="AR585" s="350"/>
      <c r="AS585" s="350"/>
      <c r="AT585" s="350"/>
      <c r="AU585" s="350"/>
      <c r="AV585" s="350"/>
      <c r="AW585" s="350"/>
      <c r="AX585" s="350"/>
      <c r="AY585" s="350"/>
      <c r="AZ585" s="350"/>
      <c r="BA585" s="350"/>
      <c r="BB585" s="351"/>
    </row>
    <row r="586" spans="1:54" ht="15.75" customHeight="1">
      <c r="A586" s="25">
        <f t="shared" si="2"/>
        <v>573</v>
      </c>
      <c r="B586" s="618" t="str">
        <f>'refer admin discharge'!B582</f>
        <v>x</v>
      </c>
      <c r="C586" s="351"/>
      <c r="D586" s="619" t="str">
        <f>'refer admin discharge'!D582</f>
        <v>xx</v>
      </c>
      <c r="E586" s="351"/>
      <c r="F586" s="620" t="str">
        <f>'refer admin discharge'!H582</f>
        <v>00/00/0000</v>
      </c>
      <c r="G586" s="351"/>
      <c r="H586" s="615"/>
      <c r="I586" s="351"/>
      <c r="J586" s="621"/>
      <c r="K586" s="351"/>
      <c r="L586" s="615"/>
      <c r="M586" s="351"/>
      <c r="N586" s="610"/>
      <c r="O586" s="351"/>
      <c r="P586" s="615"/>
      <c r="Q586" s="351"/>
      <c r="R586" s="610"/>
      <c r="S586" s="351"/>
      <c r="T586" s="615"/>
      <c r="U586" s="351"/>
      <c r="V586" s="613" t="str">
        <f>'refer admin discharge'!H587</f>
        <v>00/00/0000</v>
      </c>
      <c r="W586" s="351"/>
      <c r="X586" s="616"/>
      <c r="Y586" s="351"/>
      <c r="Z586" s="617"/>
      <c r="AA586" s="351"/>
      <c r="AB586" s="616"/>
      <c r="AC586" s="351"/>
      <c r="AD586" s="607"/>
      <c r="AE586" s="351"/>
      <c r="AF586" s="616"/>
      <c r="AG586" s="351"/>
      <c r="AH586" s="607"/>
      <c r="AI586" s="351"/>
      <c r="AJ586" s="616"/>
      <c r="AK586" s="351"/>
      <c r="AL586" s="622"/>
      <c r="AM586" s="350"/>
      <c r="AN586" s="350"/>
      <c r="AO586" s="350"/>
      <c r="AP586" s="350"/>
      <c r="AQ586" s="350"/>
      <c r="AR586" s="350"/>
      <c r="AS586" s="350"/>
      <c r="AT586" s="350"/>
      <c r="AU586" s="350"/>
      <c r="AV586" s="350"/>
      <c r="AW586" s="350"/>
      <c r="AX586" s="350"/>
      <c r="AY586" s="350"/>
      <c r="AZ586" s="350"/>
      <c r="BA586" s="350"/>
      <c r="BB586" s="351"/>
    </row>
    <row r="587" spans="1:54" ht="15.75" customHeight="1">
      <c r="A587" s="25">
        <f t="shared" si="2"/>
        <v>574</v>
      </c>
      <c r="B587" s="599" t="str">
        <f>'refer admin discharge'!B583</f>
        <v>x</v>
      </c>
      <c r="C587" s="351"/>
      <c r="D587" s="600" t="str">
        <f>'refer admin discharge'!D583</f>
        <v>xx</v>
      </c>
      <c r="E587" s="351"/>
      <c r="F587" s="609" t="str">
        <f>'refer admin discharge'!H583</f>
        <v>00/00/0000</v>
      </c>
      <c r="G587" s="351"/>
      <c r="H587" s="610"/>
      <c r="I587" s="351"/>
      <c r="J587" s="611"/>
      <c r="K587" s="351"/>
      <c r="L587" s="610"/>
      <c r="M587" s="351"/>
      <c r="N587" s="612"/>
      <c r="O587" s="351"/>
      <c r="P587" s="610"/>
      <c r="Q587" s="351"/>
      <c r="R587" s="612"/>
      <c r="S587" s="351"/>
      <c r="T587" s="610"/>
      <c r="U587" s="351"/>
      <c r="V587" s="613" t="str">
        <f>'refer admin discharge'!H588</f>
        <v>00/00/0000</v>
      </c>
      <c r="W587" s="351"/>
      <c r="X587" s="607"/>
      <c r="Y587" s="351"/>
      <c r="Z587" s="614"/>
      <c r="AA587" s="351"/>
      <c r="AB587" s="607"/>
      <c r="AC587" s="351"/>
      <c r="AD587" s="606"/>
      <c r="AE587" s="351"/>
      <c r="AF587" s="607"/>
      <c r="AG587" s="351"/>
      <c r="AH587" s="606"/>
      <c r="AI587" s="351"/>
      <c r="AJ587" s="607"/>
      <c r="AK587" s="351"/>
      <c r="AL587" s="608"/>
      <c r="AM587" s="350"/>
      <c r="AN587" s="350"/>
      <c r="AO587" s="350"/>
      <c r="AP587" s="350"/>
      <c r="AQ587" s="350"/>
      <c r="AR587" s="350"/>
      <c r="AS587" s="350"/>
      <c r="AT587" s="350"/>
      <c r="AU587" s="350"/>
      <c r="AV587" s="350"/>
      <c r="AW587" s="350"/>
      <c r="AX587" s="350"/>
      <c r="AY587" s="350"/>
      <c r="AZ587" s="350"/>
      <c r="BA587" s="350"/>
      <c r="BB587" s="351"/>
    </row>
    <row r="588" spans="1:54" ht="15.75" customHeight="1">
      <c r="A588" s="25">
        <f t="shared" si="2"/>
        <v>575</v>
      </c>
      <c r="B588" s="618" t="str">
        <f>'refer admin discharge'!B584</f>
        <v>x</v>
      </c>
      <c r="C588" s="351"/>
      <c r="D588" s="619" t="str">
        <f>'refer admin discharge'!D584</f>
        <v>xx</v>
      </c>
      <c r="E588" s="351"/>
      <c r="F588" s="620" t="str">
        <f>'refer admin discharge'!H584</f>
        <v>00/00/0000</v>
      </c>
      <c r="G588" s="351"/>
      <c r="H588" s="615"/>
      <c r="I588" s="351"/>
      <c r="J588" s="621"/>
      <c r="K588" s="351"/>
      <c r="L588" s="615"/>
      <c r="M588" s="351"/>
      <c r="N588" s="610"/>
      <c r="O588" s="351"/>
      <c r="P588" s="615"/>
      <c r="Q588" s="351"/>
      <c r="R588" s="610"/>
      <c r="S588" s="351"/>
      <c r="T588" s="615"/>
      <c r="U588" s="351"/>
      <c r="V588" s="613" t="str">
        <f>'refer admin discharge'!H589</f>
        <v>00/00/0000</v>
      </c>
      <c r="W588" s="351"/>
      <c r="X588" s="616"/>
      <c r="Y588" s="351"/>
      <c r="Z588" s="617"/>
      <c r="AA588" s="351"/>
      <c r="AB588" s="616"/>
      <c r="AC588" s="351"/>
      <c r="AD588" s="607"/>
      <c r="AE588" s="351"/>
      <c r="AF588" s="616"/>
      <c r="AG588" s="351"/>
      <c r="AH588" s="607"/>
      <c r="AI588" s="351"/>
      <c r="AJ588" s="616"/>
      <c r="AK588" s="351"/>
      <c r="AL588" s="622"/>
      <c r="AM588" s="350"/>
      <c r="AN588" s="350"/>
      <c r="AO588" s="350"/>
      <c r="AP588" s="350"/>
      <c r="AQ588" s="350"/>
      <c r="AR588" s="350"/>
      <c r="AS588" s="350"/>
      <c r="AT588" s="350"/>
      <c r="AU588" s="350"/>
      <c r="AV588" s="350"/>
      <c r="AW588" s="350"/>
      <c r="AX588" s="350"/>
      <c r="AY588" s="350"/>
      <c r="AZ588" s="350"/>
      <c r="BA588" s="350"/>
      <c r="BB588" s="351"/>
    </row>
    <row r="589" spans="1:54" ht="15.75" customHeight="1">
      <c r="A589" s="25">
        <f t="shared" si="2"/>
        <v>576</v>
      </c>
      <c r="B589" s="599" t="str">
        <f>'refer admin discharge'!B585</f>
        <v>x</v>
      </c>
      <c r="C589" s="351"/>
      <c r="D589" s="600" t="str">
        <f>'refer admin discharge'!D585</f>
        <v>xx</v>
      </c>
      <c r="E589" s="351"/>
      <c r="F589" s="609" t="str">
        <f>'refer admin discharge'!H585</f>
        <v>00/00/0000</v>
      </c>
      <c r="G589" s="351"/>
      <c r="H589" s="610"/>
      <c r="I589" s="351"/>
      <c r="J589" s="611"/>
      <c r="K589" s="351"/>
      <c r="L589" s="610"/>
      <c r="M589" s="351"/>
      <c r="N589" s="612"/>
      <c r="O589" s="351"/>
      <c r="P589" s="610"/>
      <c r="Q589" s="351"/>
      <c r="R589" s="612"/>
      <c r="S589" s="351"/>
      <c r="T589" s="610"/>
      <c r="U589" s="351"/>
      <c r="V589" s="613" t="str">
        <f>'refer admin discharge'!H590</f>
        <v>00/00/0000</v>
      </c>
      <c r="W589" s="351"/>
      <c r="X589" s="607"/>
      <c r="Y589" s="351"/>
      <c r="Z589" s="614"/>
      <c r="AA589" s="351"/>
      <c r="AB589" s="607"/>
      <c r="AC589" s="351"/>
      <c r="AD589" s="606"/>
      <c r="AE589" s="351"/>
      <c r="AF589" s="607"/>
      <c r="AG589" s="351"/>
      <c r="AH589" s="606"/>
      <c r="AI589" s="351"/>
      <c r="AJ589" s="607"/>
      <c r="AK589" s="351"/>
      <c r="AL589" s="608"/>
      <c r="AM589" s="350"/>
      <c r="AN589" s="350"/>
      <c r="AO589" s="350"/>
      <c r="AP589" s="350"/>
      <c r="AQ589" s="350"/>
      <c r="AR589" s="350"/>
      <c r="AS589" s="350"/>
      <c r="AT589" s="350"/>
      <c r="AU589" s="350"/>
      <c r="AV589" s="350"/>
      <c r="AW589" s="350"/>
      <c r="AX589" s="350"/>
      <c r="AY589" s="350"/>
      <c r="AZ589" s="350"/>
      <c r="BA589" s="350"/>
      <c r="BB589" s="351"/>
    </row>
    <row r="590" spans="1:54" ht="15.75" customHeight="1">
      <c r="A590" s="25">
        <f t="shared" si="2"/>
        <v>577</v>
      </c>
      <c r="B590" s="618" t="str">
        <f>'refer admin discharge'!B586</f>
        <v>x</v>
      </c>
      <c r="C590" s="351"/>
      <c r="D590" s="619" t="str">
        <f>'refer admin discharge'!D586</f>
        <v>xx</v>
      </c>
      <c r="E590" s="351"/>
      <c r="F590" s="620" t="str">
        <f>'refer admin discharge'!H586</f>
        <v>00/00/0000</v>
      </c>
      <c r="G590" s="351"/>
      <c r="H590" s="615"/>
      <c r="I590" s="351"/>
      <c r="J590" s="621"/>
      <c r="K590" s="351"/>
      <c r="L590" s="615"/>
      <c r="M590" s="351"/>
      <c r="N590" s="610"/>
      <c r="O590" s="351"/>
      <c r="P590" s="615"/>
      <c r="Q590" s="351"/>
      <c r="R590" s="610"/>
      <c r="S590" s="351"/>
      <c r="T590" s="615"/>
      <c r="U590" s="351"/>
      <c r="V590" s="613" t="str">
        <f>'refer admin discharge'!H591</f>
        <v>00/00/0000</v>
      </c>
      <c r="W590" s="351"/>
      <c r="X590" s="616"/>
      <c r="Y590" s="351"/>
      <c r="Z590" s="617"/>
      <c r="AA590" s="351"/>
      <c r="AB590" s="616"/>
      <c r="AC590" s="351"/>
      <c r="AD590" s="607"/>
      <c r="AE590" s="351"/>
      <c r="AF590" s="616"/>
      <c r="AG590" s="351"/>
      <c r="AH590" s="607"/>
      <c r="AI590" s="351"/>
      <c r="AJ590" s="616"/>
      <c r="AK590" s="351"/>
      <c r="AL590" s="622"/>
      <c r="AM590" s="350"/>
      <c r="AN590" s="350"/>
      <c r="AO590" s="350"/>
      <c r="AP590" s="350"/>
      <c r="AQ590" s="350"/>
      <c r="AR590" s="350"/>
      <c r="AS590" s="350"/>
      <c r="AT590" s="350"/>
      <c r="AU590" s="350"/>
      <c r="AV590" s="350"/>
      <c r="AW590" s="350"/>
      <c r="AX590" s="350"/>
      <c r="AY590" s="350"/>
      <c r="AZ590" s="350"/>
      <c r="BA590" s="350"/>
      <c r="BB590" s="351"/>
    </row>
    <row r="591" spans="1:54" ht="15.75" customHeight="1">
      <c r="A591" s="25">
        <f t="shared" si="2"/>
        <v>578</v>
      </c>
      <c r="B591" s="599" t="str">
        <f>'refer admin discharge'!B587</f>
        <v>x</v>
      </c>
      <c r="C591" s="351"/>
      <c r="D591" s="600" t="str">
        <f>'refer admin discharge'!D587</f>
        <v>xx</v>
      </c>
      <c r="E591" s="351"/>
      <c r="F591" s="609" t="str">
        <f>'refer admin discharge'!H587</f>
        <v>00/00/0000</v>
      </c>
      <c r="G591" s="351"/>
      <c r="H591" s="610"/>
      <c r="I591" s="351"/>
      <c r="J591" s="611"/>
      <c r="K591" s="351"/>
      <c r="L591" s="610"/>
      <c r="M591" s="351"/>
      <c r="N591" s="612"/>
      <c r="O591" s="351"/>
      <c r="P591" s="610"/>
      <c r="Q591" s="351"/>
      <c r="R591" s="612"/>
      <c r="S591" s="351"/>
      <c r="T591" s="610"/>
      <c r="U591" s="351"/>
      <c r="V591" s="613" t="str">
        <f>'refer admin discharge'!H592</f>
        <v>00/00/0000</v>
      </c>
      <c r="W591" s="351"/>
      <c r="X591" s="607"/>
      <c r="Y591" s="351"/>
      <c r="Z591" s="614"/>
      <c r="AA591" s="351"/>
      <c r="AB591" s="607"/>
      <c r="AC591" s="351"/>
      <c r="AD591" s="606"/>
      <c r="AE591" s="351"/>
      <c r="AF591" s="607"/>
      <c r="AG591" s="351"/>
      <c r="AH591" s="606"/>
      <c r="AI591" s="351"/>
      <c r="AJ591" s="607"/>
      <c r="AK591" s="351"/>
      <c r="AL591" s="608"/>
      <c r="AM591" s="350"/>
      <c r="AN591" s="350"/>
      <c r="AO591" s="350"/>
      <c r="AP591" s="350"/>
      <c r="AQ591" s="350"/>
      <c r="AR591" s="350"/>
      <c r="AS591" s="350"/>
      <c r="AT591" s="350"/>
      <c r="AU591" s="350"/>
      <c r="AV591" s="350"/>
      <c r="AW591" s="350"/>
      <c r="AX591" s="350"/>
      <c r="AY591" s="350"/>
      <c r="AZ591" s="350"/>
      <c r="BA591" s="350"/>
      <c r="BB591" s="351"/>
    </row>
    <row r="592" spans="1:54" ht="15.75" customHeight="1">
      <c r="A592" s="25">
        <f t="shared" si="2"/>
        <v>579</v>
      </c>
      <c r="B592" s="618" t="str">
        <f>'refer admin discharge'!B588</f>
        <v>x</v>
      </c>
      <c r="C592" s="351"/>
      <c r="D592" s="619" t="str">
        <f>'refer admin discharge'!D588</f>
        <v>xx</v>
      </c>
      <c r="E592" s="351"/>
      <c r="F592" s="620" t="str">
        <f>'refer admin discharge'!H588</f>
        <v>00/00/0000</v>
      </c>
      <c r="G592" s="351"/>
      <c r="H592" s="615"/>
      <c r="I592" s="351"/>
      <c r="J592" s="621"/>
      <c r="K592" s="351"/>
      <c r="L592" s="615"/>
      <c r="M592" s="351"/>
      <c r="N592" s="610"/>
      <c r="O592" s="351"/>
      <c r="P592" s="615"/>
      <c r="Q592" s="351"/>
      <c r="R592" s="610"/>
      <c r="S592" s="351"/>
      <c r="T592" s="615"/>
      <c r="U592" s="351"/>
      <c r="V592" s="613" t="str">
        <f>'refer admin discharge'!H593</f>
        <v>00/00/0000</v>
      </c>
      <c r="W592" s="351"/>
      <c r="X592" s="616"/>
      <c r="Y592" s="351"/>
      <c r="Z592" s="617"/>
      <c r="AA592" s="351"/>
      <c r="AB592" s="616"/>
      <c r="AC592" s="351"/>
      <c r="AD592" s="607"/>
      <c r="AE592" s="351"/>
      <c r="AF592" s="616"/>
      <c r="AG592" s="351"/>
      <c r="AH592" s="607"/>
      <c r="AI592" s="351"/>
      <c r="AJ592" s="616"/>
      <c r="AK592" s="351"/>
      <c r="AL592" s="622"/>
      <c r="AM592" s="350"/>
      <c r="AN592" s="350"/>
      <c r="AO592" s="350"/>
      <c r="AP592" s="350"/>
      <c r="AQ592" s="350"/>
      <c r="AR592" s="350"/>
      <c r="AS592" s="350"/>
      <c r="AT592" s="350"/>
      <c r="AU592" s="350"/>
      <c r="AV592" s="350"/>
      <c r="AW592" s="350"/>
      <c r="AX592" s="350"/>
      <c r="AY592" s="350"/>
      <c r="AZ592" s="350"/>
      <c r="BA592" s="350"/>
      <c r="BB592" s="351"/>
    </row>
    <row r="593" spans="1:54" ht="15.75" customHeight="1">
      <c r="A593" s="25">
        <f t="shared" si="2"/>
        <v>580</v>
      </c>
      <c r="B593" s="599" t="str">
        <f>'refer admin discharge'!B589</f>
        <v>x</v>
      </c>
      <c r="C593" s="351"/>
      <c r="D593" s="600" t="str">
        <f>'refer admin discharge'!D589</f>
        <v>xx</v>
      </c>
      <c r="E593" s="351"/>
      <c r="F593" s="609" t="str">
        <f>'refer admin discharge'!H589</f>
        <v>00/00/0000</v>
      </c>
      <c r="G593" s="351"/>
      <c r="H593" s="610"/>
      <c r="I593" s="351"/>
      <c r="J593" s="611"/>
      <c r="K593" s="351"/>
      <c r="L593" s="610"/>
      <c r="M593" s="351"/>
      <c r="N593" s="612"/>
      <c r="O593" s="351"/>
      <c r="P593" s="610"/>
      <c r="Q593" s="351"/>
      <c r="R593" s="612"/>
      <c r="S593" s="351"/>
      <c r="T593" s="610"/>
      <c r="U593" s="351"/>
      <c r="V593" s="613" t="str">
        <f>'refer admin discharge'!H594</f>
        <v>00/00/0000</v>
      </c>
      <c r="W593" s="351"/>
      <c r="X593" s="607"/>
      <c r="Y593" s="351"/>
      <c r="Z593" s="614"/>
      <c r="AA593" s="351"/>
      <c r="AB593" s="607"/>
      <c r="AC593" s="351"/>
      <c r="AD593" s="606"/>
      <c r="AE593" s="351"/>
      <c r="AF593" s="607"/>
      <c r="AG593" s="351"/>
      <c r="AH593" s="606"/>
      <c r="AI593" s="351"/>
      <c r="AJ593" s="607"/>
      <c r="AK593" s="351"/>
      <c r="AL593" s="608"/>
      <c r="AM593" s="350"/>
      <c r="AN593" s="350"/>
      <c r="AO593" s="350"/>
      <c r="AP593" s="350"/>
      <c r="AQ593" s="350"/>
      <c r="AR593" s="350"/>
      <c r="AS593" s="350"/>
      <c r="AT593" s="350"/>
      <c r="AU593" s="350"/>
      <c r="AV593" s="350"/>
      <c r="AW593" s="350"/>
      <c r="AX593" s="350"/>
      <c r="AY593" s="350"/>
      <c r="AZ593" s="350"/>
      <c r="BA593" s="350"/>
      <c r="BB593" s="351"/>
    </row>
    <row r="594" spans="1:54" ht="15.75" customHeight="1">
      <c r="A594" s="25">
        <f t="shared" si="2"/>
        <v>581</v>
      </c>
      <c r="B594" s="618" t="str">
        <f>'refer admin discharge'!B590</f>
        <v>x</v>
      </c>
      <c r="C594" s="351"/>
      <c r="D594" s="619" t="str">
        <f>'refer admin discharge'!D590</f>
        <v>xx</v>
      </c>
      <c r="E594" s="351"/>
      <c r="F594" s="620" t="str">
        <f>'refer admin discharge'!H590</f>
        <v>00/00/0000</v>
      </c>
      <c r="G594" s="351"/>
      <c r="H594" s="615"/>
      <c r="I594" s="351"/>
      <c r="J594" s="621"/>
      <c r="K594" s="351"/>
      <c r="L594" s="615"/>
      <c r="M594" s="351"/>
      <c r="N594" s="610"/>
      <c r="O594" s="351"/>
      <c r="P594" s="615"/>
      <c r="Q594" s="351"/>
      <c r="R594" s="610"/>
      <c r="S594" s="351"/>
      <c r="T594" s="615"/>
      <c r="U594" s="351"/>
      <c r="V594" s="613" t="str">
        <f>'refer admin discharge'!H595</f>
        <v>00/00/0000</v>
      </c>
      <c r="W594" s="351"/>
      <c r="X594" s="616"/>
      <c r="Y594" s="351"/>
      <c r="Z594" s="617"/>
      <c r="AA594" s="351"/>
      <c r="AB594" s="616"/>
      <c r="AC594" s="351"/>
      <c r="AD594" s="607"/>
      <c r="AE594" s="351"/>
      <c r="AF594" s="616"/>
      <c r="AG594" s="351"/>
      <c r="AH594" s="607"/>
      <c r="AI594" s="351"/>
      <c r="AJ594" s="616"/>
      <c r="AK594" s="351"/>
      <c r="AL594" s="622"/>
      <c r="AM594" s="350"/>
      <c r="AN594" s="350"/>
      <c r="AO594" s="350"/>
      <c r="AP594" s="350"/>
      <c r="AQ594" s="350"/>
      <c r="AR594" s="350"/>
      <c r="AS594" s="350"/>
      <c r="AT594" s="350"/>
      <c r="AU594" s="350"/>
      <c r="AV594" s="350"/>
      <c r="AW594" s="350"/>
      <c r="AX594" s="350"/>
      <c r="AY594" s="350"/>
      <c r="AZ594" s="350"/>
      <c r="BA594" s="350"/>
      <c r="BB594" s="351"/>
    </row>
    <row r="595" spans="1:54" ht="15.75" customHeight="1">
      <c r="A595" s="25">
        <f t="shared" si="2"/>
        <v>582</v>
      </c>
      <c r="B595" s="599" t="str">
        <f>'refer admin discharge'!B591</f>
        <v>x</v>
      </c>
      <c r="C595" s="351"/>
      <c r="D595" s="600" t="str">
        <f>'refer admin discharge'!D591</f>
        <v>xx</v>
      </c>
      <c r="E595" s="351"/>
      <c r="F595" s="609" t="str">
        <f>'refer admin discharge'!H591</f>
        <v>00/00/0000</v>
      </c>
      <c r="G595" s="351"/>
      <c r="H595" s="610"/>
      <c r="I595" s="351"/>
      <c r="J595" s="611"/>
      <c r="K595" s="351"/>
      <c r="L595" s="610"/>
      <c r="M595" s="351"/>
      <c r="N595" s="612"/>
      <c r="O595" s="351"/>
      <c r="P595" s="610"/>
      <c r="Q595" s="351"/>
      <c r="R595" s="612"/>
      <c r="S595" s="351"/>
      <c r="T595" s="610"/>
      <c r="U595" s="351"/>
      <c r="V595" s="613" t="str">
        <f>'refer admin discharge'!H596</f>
        <v>00/00/0000</v>
      </c>
      <c r="W595" s="351"/>
      <c r="X595" s="607"/>
      <c r="Y595" s="351"/>
      <c r="Z595" s="614"/>
      <c r="AA595" s="351"/>
      <c r="AB595" s="607"/>
      <c r="AC595" s="351"/>
      <c r="AD595" s="606"/>
      <c r="AE595" s="351"/>
      <c r="AF595" s="607"/>
      <c r="AG595" s="351"/>
      <c r="AH595" s="606"/>
      <c r="AI595" s="351"/>
      <c r="AJ595" s="607"/>
      <c r="AK595" s="351"/>
      <c r="AL595" s="608"/>
      <c r="AM595" s="350"/>
      <c r="AN595" s="350"/>
      <c r="AO595" s="350"/>
      <c r="AP595" s="350"/>
      <c r="AQ595" s="350"/>
      <c r="AR595" s="350"/>
      <c r="AS595" s="350"/>
      <c r="AT595" s="350"/>
      <c r="AU595" s="350"/>
      <c r="AV595" s="350"/>
      <c r="AW595" s="350"/>
      <c r="AX595" s="350"/>
      <c r="AY595" s="350"/>
      <c r="AZ595" s="350"/>
      <c r="BA595" s="350"/>
      <c r="BB595" s="351"/>
    </row>
    <row r="596" spans="1:54" ht="15.75" customHeight="1">
      <c r="A596" s="25">
        <f t="shared" si="2"/>
        <v>583</v>
      </c>
      <c r="B596" s="618" t="str">
        <f>'refer admin discharge'!B592</f>
        <v>x</v>
      </c>
      <c r="C596" s="351"/>
      <c r="D596" s="619" t="str">
        <f>'refer admin discharge'!D592</f>
        <v>xx</v>
      </c>
      <c r="E596" s="351"/>
      <c r="F596" s="620" t="str">
        <f>'refer admin discharge'!H592</f>
        <v>00/00/0000</v>
      </c>
      <c r="G596" s="351"/>
      <c r="H596" s="615"/>
      <c r="I596" s="351"/>
      <c r="J596" s="621"/>
      <c r="K596" s="351"/>
      <c r="L596" s="615"/>
      <c r="M596" s="351"/>
      <c r="N596" s="610"/>
      <c r="O596" s="351"/>
      <c r="P596" s="615"/>
      <c r="Q596" s="351"/>
      <c r="R596" s="610"/>
      <c r="S596" s="351"/>
      <c r="T596" s="615"/>
      <c r="U596" s="351"/>
      <c r="V596" s="613" t="str">
        <f>'refer admin discharge'!H597</f>
        <v>00/00/0000</v>
      </c>
      <c r="W596" s="351"/>
      <c r="X596" s="616"/>
      <c r="Y596" s="351"/>
      <c r="Z596" s="617"/>
      <c r="AA596" s="351"/>
      <c r="AB596" s="616"/>
      <c r="AC596" s="351"/>
      <c r="AD596" s="607"/>
      <c r="AE596" s="351"/>
      <c r="AF596" s="616"/>
      <c r="AG596" s="351"/>
      <c r="AH596" s="607"/>
      <c r="AI596" s="351"/>
      <c r="AJ596" s="616"/>
      <c r="AK596" s="351"/>
      <c r="AL596" s="622"/>
      <c r="AM596" s="350"/>
      <c r="AN596" s="350"/>
      <c r="AO596" s="350"/>
      <c r="AP596" s="350"/>
      <c r="AQ596" s="350"/>
      <c r="AR596" s="350"/>
      <c r="AS596" s="350"/>
      <c r="AT596" s="350"/>
      <c r="AU596" s="350"/>
      <c r="AV596" s="350"/>
      <c r="AW596" s="350"/>
      <c r="AX596" s="350"/>
      <c r="AY596" s="350"/>
      <c r="AZ596" s="350"/>
      <c r="BA596" s="350"/>
      <c r="BB596" s="351"/>
    </row>
    <row r="597" spans="1:54" ht="15.75" customHeight="1">
      <c r="A597" s="25">
        <f t="shared" si="2"/>
        <v>584</v>
      </c>
      <c r="B597" s="599" t="str">
        <f>'refer admin discharge'!B593</f>
        <v>x</v>
      </c>
      <c r="C597" s="351"/>
      <c r="D597" s="600" t="str">
        <f>'refer admin discharge'!D593</f>
        <v>xx</v>
      </c>
      <c r="E597" s="351"/>
      <c r="F597" s="609" t="str">
        <f>'refer admin discharge'!H593</f>
        <v>00/00/0000</v>
      </c>
      <c r="G597" s="351"/>
      <c r="H597" s="610"/>
      <c r="I597" s="351"/>
      <c r="J597" s="611"/>
      <c r="K597" s="351"/>
      <c r="L597" s="610"/>
      <c r="M597" s="351"/>
      <c r="N597" s="612"/>
      <c r="O597" s="351"/>
      <c r="P597" s="610"/>
      <c r="Q597" s="351"/>
      <c r="R597" s="612"/>
      <c r="S597" s="351"/>
      <c r="T597" s="610"/>
      <c r="U597" s="351"/>
      <c r="V597" s="613" t="str">
        <f>'refer admin discharge'!H598</f>
        <v>00/00/0000</v>
      </c>
      <c r="W597" s="351"/>
      <c r="X597" s="607"/>
      <c r="Y597" s="351"/>
      <c r="Z597" s="614"/>
      <c r="AA597" s="351"/>
      <c r="AB597" s="607"/>
      <c r="AC597" s="351"/>
      <c r="AD597" s="606"/>
      <c r="AE597" s="351"/>
      <c r="AF597" s="607"/>
      <c r="AG597" s="351"/>
      <c r="AH597" s="606"/>
      <c r="AI597" s="351"/>
      <c r="AJ597" s="607"/>
      <c r="AK597" s="351"/>
      <c r="AL597" s="608"/>
      <c r="AM597" s="350"/>
      <c r="AN597" s="350"/>
      <c r="AO597" s="350"/>
      <c r="AP597" s="350"/>
      <c r="AQ597" s="350"/>
      <c r="AR597" s="350"/>
      <c r="AS597" s="350"/>
      <c r="AT597" s="350"/>
      <c r="AU597" s="350"/>
      <c r="AV597" s="350"/>
      <c r="AW597" s="350"/>
      <c r="AX597" s="350"/>
      <c r="AY597" s="350"/>
      <c r="AZ597" s="350"/>
      <c r="BA597" s="350"/>
      <c r="BB597" s="351"/>
    </row>
    <row r="598" spans="1:54" ht="15.75" customHeight="1">
      <c r="A598" s="25">
        <f t="shared" si="2"/>
        <v>585</v>
      </c>
      <c r="B598" s="618" t="str">
        <f>'refer admin discharge'!B594</f>
        <v>x</v>
      </c>
      <c r="C598" s="351"/>
      <c r="D598" s="619" t="str">
        <f>'refer admin discharge'!D594</f>
        <v>xx</v>
      </c>
      <c r="E598" s="351"/>
      <c r="F598" s="620" t="str">
        <f>'refer admin discharge'!H594</f>
        <v>00/00/0000</v>
      </c>
      <c r="G598" s="351"/>
      <c r="H598" s="615"/>
      <c r="I598" s="351"/>
      <c r="J598" s="621"/>
      <c r="K598" s="351"/>
      <c r="L598" s="615"/>
      <c r="M598" s="351"/>
      <c r="N598" s="610"/>
      <c r="O598" s="351"/>
      <c r="P598" s="615"/>
      <c r="Q598" s="351"/>
      <c r="R598" s="610"/>
      <c r="S598" s="351"/>
      <c r="T598" s="615"/>
      <c r="U598" s="351"/>
      <c r="V598" s="613" t="str">
        <f>'refer admin discharge'!H599</f>
        <v>00/00/0000</v>
      </c>
      <c r="W598" s="351"/>
      <c r="X598" s="616"/>
      <c r="Y598" s="351"/>
      <c r="Z598" s="617"/>
      <c r="AA598" s="351"/>
      <c r="AB598" s="616"/>
      <c r="AC598" s="351"/>
      <c r="AD598" s="607"/>
      <c r="AE598" s="351"/>
      <c r="AF598" s="616"/>
      <c r="AG598" s="351"/>
      <c r="AH598" s="607"/>
      <c r="AI598" s="351"/>
      <c r="AJ598" s="616"/>
      <c r="AK598" s="351"/>
      <c r="AL598" s="622"/>
      <c r="AM598" s="350"/>
      <c r="AN598" s="350"/>
      <c r="AO598" s="350"/>
      <c r="AP598" s="350"/>
      <c r="AQ598" s="350"/>
      <c r="AR598" s="350"/>
      <c r="AS598" s="350"/>
      <c r="AT598" s="350"/>
      <c r="AU598" s="350"/>
      <c r="AV598" s="350"/>
      <c r="AW598" s="350"/>
      <c r="AX598" s="350"/>
      <c r="AY598" s="350"/>
      <c r="AZ598" s="350"/>
      <c r="BA598" s="350"/>
      <c r="BB598" s="351"/>
    </row>
    <row r="599" spans="1:54" ht="15.75" customHeight="1">
      <c r="A599" s="25">
        <f t="shared" si="2"/>
        <v>586</v>
      </c>
      <c r="B599" s="599" t="str">
        <f>'refer admin discharge'!B595</f>
        <v>x</v>
      </c>
      <c r="C599" s="351"/>
      <c r="D599" s="600" t="str">
        <f>'refer admin discharge'!D595</f>
        <v>xx</v>
      </c>
      <c r="E599" s="351"/>
      <c r="F599" s="609" t="str">
        <f>'refer admin discharge'!H595</f>
        <v>00/00/0000</v>
      </c>
      <c r="G599" s="351"/>
      <c r="H599" s="610"/>
      <c r="I599" s="351"/>
      <c r="J599" s="611"/>
      <c r="K599" s="351"/>
      <c r="L599" s="610"/>
      <c r="M599" s="351"/>
      <c r="N599" s="612"/>
      <c r="O599" s="351"/>
      <c r="P599" s="610"/>
      <c r="Q599" s="351"/>
      <c r="R599" s="612"/>
      <c r="S599" s="351"/>
      <c r="T599" s="610"/>
      <c r="U599" s="351"/>
      <c r="V599" s="613" t="str">
        <f>'refer admin discharge'!H600</f>
        <v>00/00/0000</v>
      </c>
      <c r="W599" s="351"/>
      <c r="X599" s="607"/>
      <c r="Y599" s="351"/>
      <c r="Z599" s="614"/>
      <c r="AA599" s="351"/>
      <c r="AB599" s="607"/>
      <c r="AC599" s="351"/>
      <c r="AD599" s="606"/>
      <c r="AE599" s="351"/>
      <c r="AF599" s="607"/>
      <c r="AG599" s="351"/>
      <c r="AH599" s="606"/>
      <c r="AI599" s="351"/>
      <c r="AJ599" s="607"/>
      <c r="AK599" s="351"/>
      <c r="AL599" s="608"/>
      <c r="AM599" s="350"/>
      <c r="AN599" s="350"/>
      <c r="AO599" s="350"/>
      <c r="AP599" s="350"/>
      <c r="AQ599" s="350"/>
      <c r="AR599" s="350"/>
      <c r="AS599" s="350"/>
      <c r="AT599" s="350"/>
      <c r="AU599" s="350"/>
      <c r="AV599" s="350"/>
      <c r="AW599" s="350"/>
      <c r="AX599" s="350"/>
      <c r="AY599" s="350"/>
      <c r="AZ599" s="350"/>
      <c r="BA599" s="350"/>
      <c r="BB599" s="351"/>
    </row>
    <row r="600" spans="1:54" ht="15.75" customHeight="1">
      <c r="A600" s="25">
        <f t="shared" si="2"/>
        <v>587</v>
      </c>
      <c r="B600" s="618" t="str">
        <f>'refer admin discharge'!B596</f>
        <v>x</v>
      </c>
      <c r="C600" s="351"/>
      <c r="D600" s="619" t="str">
        <f>'refer admin discharge'!D596</f>
        <v>xx</v>
      </c>
      <c r="E600" s="351"/>
      <c r="F600" s="620" t="str">
        <f>'refer admin discharge'!H596</f>
        <v>00/00/0000</v>
      </c>
      <c r="G600" s="351"/>
      <c r="H600" s="615"/>
      <c r="I600" s="351"/>
      <c r="J600" s="621"/>
      <c r="K600" s="351"/>
      <c r="L600" s="615"/>
      <c r="M600" s="351"/>
      <c r="N600" s="610"/>
      <c r="O600" s="351"/>
      <c r="P600" s="615"/>
      <c r="Q600" s="351"/>
      <c r="R600" s="610"/>
      <c r="S600" s="351"/>
      <c r="T600" s="615"/>
      <c r="U600" s="351"/>
      <c r="V600" s="613" t="str">
        <f>'refer admin discharge'!H601</f>
        <v>00/00/0000</v>
      </c>
      <c r="W600" s="351"/>
      <c r="X600" s="616"/>
      <c r="Y600" s="351"/>
      <c r="Z600" s="617"/>
      <c r="AA600" s="351"/>
      <c r="AB600" s="616"/>
      <c r="AC600" s="351"/>
      <c r="AD600" s="607"/>
      <c r="AE600" s="351"/>
      <c r="AF600" s="616"/>
      <c r="AG600" s="351"/>
      <c r="AH600" s="607"/>
      <c r="AI600" s="351"/>
      <c r="AJ600" s="616"/>
      <c r="AK600" s="351"/>
      <c r="AL600" s="622"/>
      <c r="AM600" s="350"/>
      <c r="AN600" s="350"/>
      <c r="AO600" s="350"/>
      <c r="AP600" s="350"/>
      <c r="AQ600" s="350"/>
      <c r="AR600" s="350"/>
      <c r="AS600" s="350"/>
      <c r="AT600" s="350"/>
      <c r="AU600" s="350"/>
      <c r="AV600" s="350"/>
      <c r="AW600" s="350"/>
      <c r="AX600" s="350"/>
      <c r="AY600" s="350"/>
      <c r="AZ600" s="350"/>
      <c r="BA600" s="350"/>
      <c r="BB600" s="351"/>
    </row>
    <row r="601" spans="1:54" ht="15.75" customHeight="1">
      <c r="A601" s="25">
        <f t="shared" si="2"/>
        <v>588</v>
      </c>
      <c r="B601" s="599" t="str">
        <f>'refer admin discharge'!B597</f>
        <v>x</v>
      </c>
      <c r="C601" s="351"/>
      <c r="D601" s="600" t="str">
        <f>'refer admin discharge'!D597</f>
        <v>xx</v>
      </c>
      <c r="E601" s="351"/>
      <c r="F601" s="609" t="str">
        <f>'refer admin discharge'!H597</f>
        <v>00/00/0000</v>
      </c>
      <c r="G601" s="351"/>
      <c r="H601" s="610"/>
      <c r="I601" s="351"/>
      <c r="J601" s="611"/>
      <c r="K601" s="351"/>
      <c r="L601" s="610"/>
      <c r="M601" s="351"/>
      <c r="N601" s="612"/>
      <c r="O601" s="351"/>
      <c r="P601" s="610"/>
      <c r="Q601" s="351"/>
      <c r="R601" s="612"/>
      <c r="S601" s="351"/>
      <c r="T601" s="610"/>
      <c r="U601" s="351"/>
      <c r="V601" s="613" t="str">
        <f>'refer admin discharge'!H602</f>
        <v>00/00/0000</v>
      </c>
      <c r="W601" s="351"/>
      <c r="X601" s="607"/>
      <c r="Y601" s="351"/>
      <c r="Z601" s="614"/>
      <c r="AA601" s="351"/>
      <c r="AB601" s="607"/>
      <c r="AC601" s="351"/>
      <c r="AD601" s="606"/>
      <c r="AE601" s="351"/>
      <c r="AF601" s="607"/>
      <c r="AG601" s="351"/>
      <c r="AH601" s="606"/>
      <c r="AI601" s="351"/>
      <c r="AJ601" s="607"/>
      <c r="AK601" s="351"/>
      <c r="AL601" s="608"/>
      <c r="AM601" s="350"/>
      <c r="AN601" s="350"/>
      <c r="AO601" s="350"/>
      <c r="AP601" s="350"/>
      <c r="AQ601" s="350"/>
      <c r="AR601" s="350"/>
      <c r="AS601" s="350"/>
      <c r="AT601" s="350"/>
      <c r="AU601" s="350"/>
      <c r="AV601" s="350"/>
      <c r="AW601" s="350"/>
      <c r="AX601" s="350"/>
      <c r="AY601" s="350"/>
      <c r="AZ601" s="350"/>
      <c r="BA601" s="350"/>
      <c r="BB601" s="351"/>
    </row>
    <row r="602" spans="1:54" ht="15.75" customHeight="1">
      <c r="A602" s="25">
        <f t="shared" si="2"/>
        <v>589</v>
      </c>
      <c r="B602" s="618" t="str">
        <f>'refer admin discharge'!B598</f>
        <v>x</v>
      </c>
      <c r="C602" s="351"/>
      <c r="D602" s="619" t="str">
        <f>'refer admin discharge'!D598</f>
        <v>xx</v>
      </c>
      <c r="E602" s="351"/>
      <c r="F602" s="620" t="str">
        <f>'refer admin discharge'!H598</f>
        <v>00/00/0000</v>
      </c>
      <c r="G602" s="351"/>
      <c r="H602" s="615"/>
      <c r="I602" s="351"/>
      <c r="J602" s="621"/>
      <c r="K602" s="351"/>
      <c r="L602" s="615"/>
      <c r="M602" s="351"/>
      <c r="N602" s="610"/>
      <c r="O602" s="351"/>
      <c r="P602" s="615"/>
      <c r="Q602" s="351"/>
      <c r="R602" s="610"/>
      <c r="S602" s="351"/>
      <c r="T602" s="615"/>
      <c r="U602" s="351"/>
      <c r="V602" s="613" t="str">
        <f>'refer admin discharge'!H603</f>
        <v>00/00/0000</v>
      </c>
      <c r="W602" s="351"/>
      <c r="X602" s="616"/>
      <c r="Y602" s="351"/>
      <c r="Z602" s="617"/>
      <c r="AA602" s="351"/>
      <c r="AB602" s="616"/>
      <c r="AC602" s="351"/>
      <c r="AD602" s="607"/>
      <c r="AE602" s="351"/>
      <c r="AF602" s="616"/>
      <c r="AG602" s="351"/>
      <c r="AH602" s="607"/>
      <c r="AI602" s="351"/>
      <c r="AJ602" s="616"/>
      <c r="AK602" s="351"/>
      <c r="AL602" s="622"/>
      <c r="AM602" s="350"/>
      <c r="AN602" s="350"/>
      <c r="AO602" s="350"/>
      <c r="AP602" s="350"/>
      <c r="AQ602" s="350"/>
      <c r="AR602" s="350"/>
      <c r="AS602" s="350"/>
      <c r="AT602" s="350"/>
      <c r="AU602" s="350"/>
      <c r="AV602" s="350"/>
      <c r="AW602" s="350"/>
      <c r="AX602" s="350"/>
      <c r="AY602" s="350"/>
      <c r="AZ602" s="350"/>
      <c r="BA602" s="350"/>
      <c r="BB602" s="351"/>
    </row>
    <row r="603" spans="1:54" ht="15.75" customHeight="1">
      <c r="A603" s="25">
        <f t="shared" si="2"/>
        <v>590</v>
      </c>
      <c r="B603" s="599" t="str">
        <f>'refer admin discharge'!B599</f>
        <v>x</v>
      </c>
      <c r="C603" s="351"/>
      <c r="D603" s="600" t="str">
        <f>'refer admin discharge'!D599</f>
        <v>xx</v>
      </c>
      <c r="E603" s="351"/>
      <c r="F603" s="609" t="str">
        <f>'refer admin discharge'!H599</f>
        <v>00/00/0000</v>
      </c>
      <c r="G603" s="351"/>
      <c r="H603" s="610"/>
      <c r="I603" s="351"/>
      <c r="J603" s="611"/>
      <c r="K603" s="351"/>
      <c r="L603" s="610"/>
      <c r="M603" s="351"/>
      <c r="N603" s="612"/>
      <c r="O603" s="351"/>
      <c r="P603" s="610"/>
      <c r="Q603" s="351"/>
      <c r="R603" s="612"/>
      <c r="S603" s="351"/>
      <c r="T603" s="610"/>
      <c r="U603" s="351"/>
      <c r="V603" s="613" t="str">
        <f>'refer admin discharge'!H604</f>
        <v>00/00/0000</v>
      </c>
      <c r="W603" s="351"/>
      <c r="X603" s="607"/>
      <c r="Y603" s="351"/>
      <c r="Z603" s="614"/>
      <c r="AA603" s="351"/>
      <c r="AB603" s="607"/>
      <c r="AC603" s="351"/>
      <c r="AD603" s="606"/>
      <c r="AE603" s="351"/>
      <c r="AF603" s="607"/>
      <c r="AG603" s="351"/>
      <c r="AH603" s="606"/>
      <c r="AI603" s="351"/>
      <c r="AJ603" s="607"/>
      <c r="AK603" s="351"/>
      <c r="AL603" s="608"/>
      <c r="AM603" s="350"/>
      <c r="AN603" s="350"/>
      <c r="AO603" s="350"/>
      <c r="AP603" s="350"/>
      <c r="AQ603" s="350"/>
      <c r="AR603" s="350"/>
      <c r="AS603" s="350"/>
      <c r="AT603" s="350"/>
      <c r="AU603" s="350"/>
      <c r="AV603" s="350"/>
      <c r="AW603" s="350"/>
      <c r="AX603" s="350"/>
      <c r="AY603" s="350"/>
      <c r="AZ603" s="350"/>
      <c r="BA603" s="350"/>
      <c r="BB603" s="351"/>
    </row>
    <row r="604" spans="1:54" ht="15.75" customHeight="1">
      <c r="A604" s="25">
        <f t="shared" si="2"/>
        <v>591</v>
      </c>
      <c r="B604" s="618" t="str">
        <f>'refer admin discharge'!B600</f>
        <v>x</v>
      </c>
      <c r="C604" s="351"/>
      <c r="D604" s="619" t="str">
        <f>'refer admin discharge'!D600</f>
        <v>xx</v>
      </c>
      <c r="E604" s="351"/>
      <c r="F604" s="620" t="str">
        <f>'refer admin discharge'!H600</f>
        <v>00/00/0000</v>
      </c>
      <c r="G604" s="351"/>
      <c r="H604" s="615"/>
      <c r="I604" s="351"/>
      <c r="J604" s="621"/>
      <c r="K604" s="351"/>
      <c r="L604" s="615"/>
      <c r="M604" s="351"/>
      <c r="N604" s="610"/>
      <c r="O604" s="351"/>
      <c r="P604" s="615"/>
      <c r="Q604" s="351"/>
      <c r="R604" s="610"/>
      <c r="S604" s="351"/>
      <c r="T604" s="615"/>
      <c r="U604" s="351"/>
      <c r="V604" s="613" t="str">
        <f>'refer admin discharge'!H605</f>
        <v>00/00/0000</v>
      </c>
      <c r="W604" s="351"/>
      <c r="X604" s="616"/>
      <c r="Y604" s="351"/>
      <c r="Z604" s="617"/>
      <c r="AA604" s="351"/>
      <c r="AB604" s="616"/>
      <c r="AC604" s="351"/>
      <c r="AD604" s="607"/>
      <c r="AE604" s="351"/>
      <c r="AF604" s="616"/>
      <c r="AG604" s="351"/>
      <c r="AH604" s="607"/>
      <c r="AI604" s="351"/>
      <c r="AJ604" s="616"/>
      <c r="AK604" s="351"/>
      <c r="AL604" s="622"/>
      <c r="AM604" s="350"/>
      <c r="AN604" s="350"/>
      <c r="AO604" s="350"/>
      <c r="AP604" s="350"/>
      <c r="AQ604" s="350"/>
      <c r="AR604" s="350"/>
      <c r="AS604" s="350"/>
      <c r="AT604" s="350"/>
      <c r="AU604" s="350"/>
      <c r="AV604" s="350"/>
      <c r="AW604" s="350"/>
      <c r="AX604" s="350"/>
      <c r="AY604" s="350"/>
      <c r="AZ604" s="350"/>
      <c r="BA604" s="350"/>
      <c r="BB604" s="351"/>
    </row>
    <row r="605" spans="1:54" ht="15.75" customHeight="1">
      <c r="A605" s="25">
        <f t="shared" si="2"/>
        <v>592</v>
      </c>
      <c r="B605" s="599" t="str">
        <f>'refer admin discharge'!B601</f>
        <v>x</v>
      </c>
      <c r="C605" s="351"/>
      <c r="D605" s="600" t="str">
        <f>'refer admin discharge'!D601</f>
        <v>xx</v>
      </c>
      <c r="E605" s="351"/>
      <c r="F605" s="609" t="str">
        <f>'refer admin discharge'!H601</f>
        <v>00/00/0000</v>
      </c>
      <c r="G605" s="351"/>
      <c r="H605" s="610"/>
      <c r="I605" s="351"/>
      <c r="J605" s="611"/>
      <c r="K605" s="351"/>
      <c r="L605" s="610"/>
      <c r="M605" s="351"/>
      <c r="N605" s="612"/>
      <c r="O605" s="351"/>
      <c r="P605" s="610"/>
      <c r="Q605" s="351"/>
      <c r="R605" s="612"/>
      <c r="S605" s="351"/>
      <c r="T605" s="610"/>
      <c r="U605" s="351"/>
      <c r="V605" s="613" t="str">
        <f>'refer admin discharge'!H606</f>
        <v>00/00/0000</v>
      </c>
      <c r="W605" s="351"/>
      <c r="X605" s="607"/>
      <c r="Y605" s="351"/>
      <c r="Z605" s="614"/>
      <c r="AA605" s="351"/>
      <c r="AB605" s="607"/>
      <c r="AC605" s="351"/>
      <c r="AD605" s="606"/>
      <c r="AE605" s="351"/>
      <c r="AF605" s="607"/>
      <c r="AG605" s="351"/>
      <c r="AH605" s="606"/>
      <c r="AI605" s="351"/>
      <c r="AJ605" s="607"/>
      <c r="AK605" s="351"/>
      <c r="AL605" s="608"/>
      <c r="AM605" s="350"/>
      <c r="AN605" s="350"/>
      <c r="AO605" s="350"/>
      <c r="AP605" s="350"/>
      <c r="AQ605" s="350"/>
      <c r="AR605" s="350"/>
      <c r="AS605" s="350"/>
      <c r="AT605" s="350"/>
      <c r="AU605" s="350"/>
      <c r="AV605" s="350"/>
      <c r="AW605" s="350"/>
      <c r="AX605" s="350"/>
      <c r="AY605" s="350"/>
      <c r="AZ605" s="350"/>
      <c r="BA605" s="350"/>
      <c r="BB605" s="351"/>
    </row>
    <row r="606" spans="1:54" ht="15.75" customHeight="1">
      <c r="A606" s="25">
        <f t="shared" si="2"/>
        <v>593</v>
      </c>
      <c r="B606" s="618" t="str">
        <f>'refer admin discharge'!B602</f>
        <v>x</v>
      </c>
      <c r="C606" s="351"/>
      <c r="D606" s="619" t="str">
        <f>'refer admin discharge'!D602</f>
        <v>xx</v>
      </c>
      <c r="E606" s="351"/>
      <c r="F606" s="620" t="str">
        <f>'refer admin discharge'!H602</f>
        <v>00/00/0000</v>
      </c>
      <c r="G606" s="351"/>
      <c r="H606" s="615"/>
      <c r="I606" s="351"/>
      <c r="J606" s="621"/>
      <c r="K606" s="351"/>
      <c r="L606" s="615"/>
      <c r="M606" s="351"/>
      <c r="N606" s="610"/>
      <c r="O606" s="351"/>
      <c r="P606" s="615"/>
      <c r="Q606" s="351"/>
      <c r="R606" s="610"/>
      <c r="S606" s="351"/>
      <c r="T606" s="615"/>
      <c r="U606" s="351"/>
      <c r="V606" s="613" t="str">
        <f>'refer admin discharge'!H607</f>
        <v>00/00/0000</v>
      </c>
      <c r="W606" s="351"/>
      <c r="X606" s="616"/>
      <c r="Y606" s="351"/>
      <c r="Z606" s="617"/>
      <c r="AA606" s="351"/>
      <c r="AB606" s="616"/>
      <c r="AC606" s="351"/>
      <c r="AD606" s="607"/>
      <c r="AE606" s="351"/>
      <c r="AF606" s="616"/>
      <c r="AG606" s="351"/>
      <c r="AH606" s="607"/>
      <c r="AI606" s="351"/>
      <c r="AJ606" s="616"/>
      <c r="AK606" s="351"/>
      <c r="AL606" s="622"/>
      <c r="AM606" s="350"/>
      <c r="AN606" s="350"/>
      <c r="AO606" s="350"/>
      <c r="AP606" s="350"/>
      <c r="AQ606" s="350"/>
      <c r="AR606" s="350"/>
      <c r="AS606" s="350"/>
      <c r="AT606" s="350"/>
      <c r="AU606" s="350"/>
      <c r="AV606" s="350"/>
      <c r="AW606" s="350"/>
      <c r="AX606" s="350"/>
      <c r="AY606" s="350"/>
      <c r="AZ606" s="350"/>
      <c r="BA606" s="350"/>
      <c r="BB606" s="351"/>
    </row>
    <row r="607" spans="1:54" ht="15.75" customHeight="1">
      <c r="A607" s="25">
        <f t="shared" si="2"/>
        <v>594</v>
      </c>
      <c r="B607" s="599" t="str">
        <f>'refer admin discharge'!B603</f>
        <v>x</v>
      </c>
      <c r="C607" s="351"/>
      <c r="D607" s="600" t="str">
        <f>'refer admin discharge'!D603</f>
        <v>xx</v>
      </c>
      <c r="E607" s="351"/>
      <c r="F607" s="609" t="str">
        <f>'refer admin discharge'!H603</f>
        <v>00/00/0000</v>
      </c>
      <c r="G607" s="351"/>
      <c r="H607" s="610"/>
      <c r="I607" s="351"/>
      <c r="J607" s="611"/>
      <c r="K607" s="351"/>
      <c r="L607" s="610"/>
      <c r="M607" s="351"/>
      <c r="N607" s="612"/>
      <c r="O607" s="351"/>
      <c r="P607" s="610"/>
      <c r="Q607" s="351"/>
      <c r="R607" s="612"/>
      <c r="S607" s="351"/>
      <c r="T607" s="610"/>
      <c r="U607" s="351"/>
      <c r="V607" s="613" t="str">
        <f>'refer admin discharge'!H608</f>
        <v>00/00/0000</v>
      </c>
      <c r="W607" s="351"/>
      <c r="X607" s="607"/>
      <c r="Y607" s="351"/>
      <c r="Z607" s="614"/>
      <c r="AA607" s="351"/>
      <c r="AB607" s="607"/>
      <c r="AC607" s="351"/>
      <c r="AD607" s="606"/>
      <c r="AE607" s="351"/>
      <c r="AF607" s="607"/>
      <c r="AG607" s="351"/>
      <c r="AH607" s="606"/>
      <c r="AI607" s="351"/>
      <c r="AJ607" s="607"/>
      <c r="AK607" s="351"/>
      <c r="AL607" s="608"/>
      <c r="AM607" s="350"/>
      <c r="AN607" s="350"/>
      <c r="AO607" s="350"/>
      <c r="AP607" s="350"/>
      <c r="AQ607" s="350"/>
      <c r="AR607" s="350"/>
      <c r="AS607" s="350"/>
      <c r="AT607" s="350"/>
      <c r="AU607" s="350"/>
      <c r="AV607" s="350"/>
      <c r="AW607" s="350"/>
      <c r="AX607" s="350"/>
      <c r="AY607" s="350"/>
      <c r="AZ607" s="350"/>
      <c r="BA607" s="350"/>
      <c r="BB607" s="351"/>
    </row>
    <row r="608" spans="1:54" ht="15.75" customHeight="1">
      <c r="A608" s="25">
        <f t="shared" si="2"/>
        <v>595</v>
      </c>
      <c r="B608" s="618" t="str">
        <f>'refer admin discharge'!B604</f>
        <v>x</v>
      </c>
      <c r="C608" s="351"/>
      <c r="D608" s="619" t="str">
        <f>'refer admin discharge'!D604</f>
        <v>xx</v>
      </c>
      <c r="E608" s="351"/>
      <c r="F608" s="620" t="str">
        <f>'refer admin discharge'!H604</f>
        <v>00/00/0000</v>
      </c>
      <c r="G608" s="351"/>
      <c r="H608" s="615"/>
      <c r="I608" s="351"/>
      <c r="J608" s="621"/>
      <c r="K608" s="351"/>
      <c r="L608" s="615"/>
      <c r="M608" s="351"/>
      <c r="N608" s="610"/>
      <c r="O608" s="351"/>
      <c r="P608" s="615"/>
      <c r="Q608" s="351"/>
      <c r="R608" s="610"/>
      <c r="S608" s="351"/>
      <c r="T608" s="615"/>
      <c r="U608" s="351"/>
      <c r="V608" s="613" t="str">
        <f>'refer admin discharge'!H609</f>
        <v>00/00/0000</v>
      </c>
      <c r="W608" s="351"/>
      <c r="X608" s="616"/>
      <c r="Y608" s="351"/>
      <c r="Z608" s="617"/>
      <c r="AA608" s="351"/>
      <c r="AB608" s="616"/>
      <c r="AC608" s="351"/>
      <c r="AD608" s="607"/>
      <c r="AE608" s="351"/>
      <c r="AF608" s="616"/>
      <c r="AG608" s="351"/>
      <c r="AH608" s="607"/>
      <c r="AI608" s="351"/>
      <c r="AJ608" s="616"/>
      <c r="AK608" s="351"/>
      <c r="AL608" s="622"/>
      <c r="AM608" s="350"/>
      <c r="AN608" s="350"/>
      <c r="AO608" s="350"/>
      <c r="AP608" s="350"/>
      <c r="AQ608" s="350"/>
      <c r="AR608" s="350"/>
      <c r="AS608" s="350"/>
      <c r="AT608" s="350"/>
      <c r="AU608" s="350"/>
      <c r="AV608" s="350"/>
      <c r="AW608" s="350"/>
      <c r="AX608" s="350"/>
      <c r="AY608" s="350"/>
      <c r="AZ608" s="350"/>
      <c r="BA608" s="350"/>
      <c r="BB608" s="351"/>
    </row>
    <row r="609" spans="1:54" ht="15.75" customHeight="1">
      <c r="A609" s="25">
        <f t="shared" si="2"/>
        <v>596</v>
      </c>
      <c r="B609" s="599" t="str">
        <f>'refer admin discharge'!B605</f>
        <v>x</v>
      </c>
      <c r="C609" s="351"/>
      <c r="D609" s="600" t="str">
        <f>'refer admin discharge'!D605</f>
        <v>xx</v>
      </c>
      <c r="E609" s="351"/>
      <c r="F609" s="609" t="str">
        <f>'refer admin discharge'!H605</f>
        <v>00/00/0000</v>
      </c>
      <c r="G609" s="351"/>
      <c r="H609" s="610"/>
      <c r="I609" s="351"/>
      <c r="J609" s="611"/>
      <c r="K609" s="351"/>
      <c r="L609" s="610"/>
      <c r="M609" s="351"/>
      <c r="N609" s="612"/>
      <c r="O609" s="351"/>
      <c r="P609" s="610"/>
      <c r="Q609" s="351"/>
      <c r="R609" s="612"/>
      <c r="S609" s="351"/>
      <c r="T609" s="610"/>
      <c r="U609" s="351"/>
      <c r="V609" s="613" t="str">
        <f>'refer admin discharge'!H610</f>
        <v>00/00/0000</v>
      </c>
      <c r="W609" s="351"/>
      <c r="X609" s="607"/>
      <c r="Y609" s="351"/>
      <c r="Z609" s="614"/>
      <c r="AA609" s="351"/>
      <c r="AB609" s="607"/>
      <c r="AC609" s="351"/>
      <c r="AD609" s="606"/>
      <c r="AE609" s="351"/>
      <c r="AF609" s="607"/>
      <c r="AG609" s="351"/>
      <c r="AH609" s="606"/>
      <c r="AI609" s="351"/>
      <c r="AJ609" s="607"/>
      <c r="AK609" s="351"/>
      <c r="AL609" s="608"/>
      <c r="AM609" s="350"/>
      <c r="AN609" s="350"/>
      <c r="AO609" s="350"/>
      <c r="AP609" s="350"/>
      <c r="AQ609" s="350"/>
      <c r="AR609" s="350"/>
      <c r="AS609" s="350"/>
      <c r="AT609" s="350"/>
      <c r="AU609" s="350"/>
      <c r="AV609" s="350"/>
      <c r="AW609" s="350"/>
      <c r="AX609" s="350"/>
      <c r="AY609" s="350"/>
      <c r="AZ609" s="350"/>
      <c r="BA609" s="350"/>
      <c r="BB609" s="351"/>
    </row>
    <row r="610" spans="1:54" ht="15.75" customHeight="1">
      <c r="A610" s="25">
        <f t="shared" si="2"/>
        <v>597</v>
      </c>
      <c r="B610" s="618" t="str">
        <f>'refer admin discharge'!B606</f>
        <v>x</v>
      </c>
      <c r="C610" s="351"/>
      <c r="D610" s="619" t="str">
        <f>'refer admin discharge'!D606</f>
        <v>xx</v>
      </c>
      <c r="E610" s="351"/>
      <c r="F610" s="620" t="str">
        <f>'refer admin discharge'!H606</f>
        <v>00/00/0000</v>
      </c>
      <c r="G610" s="351"/>
      <c r="H610" s="615"/>
      <c r="I610" s="351"/>
      <c r="J610" s="621"/>
      <c r="K610" s="351"/>
      <c r="L610" s="615"/>
      <c r="M610" s="351"/>
      <c r="N610" s="610"/>
      <c r="O610" s="351"/>
      <c r="P610" s="615"/>
      <c r="Q610" s="351"/>
      <c r="R610" s="610"/>
      <c r="S610" s="351"/>
      <c r="T610" s="615"/>
      <c r="U610" s="351"/>
      <c r="V610" s="613" t="str">
        <f>'refer admin discharge'!H611</f>
        <v>00/00/0000</v>
      </c>
      <c r="W610" s="351"/>
      <c r="X610" s="616"/>
      <c r="Y610" s="351"/>
      <c r="Z610" s="617"/>
      <c r="AA610" s="351"/>
      <c r="AB610" s="616"/>
      <c r="AC610" s="351"/>
      <c r="AD610" s="607"/>
      <c r="AE610" s="351"/>
      <c r="AF610" s="616"/>
      <c r="AG610" s="351"/>
      <c r="AH610" s="607"/>
      <c r="AI610" s="351"/>
      <c r="AJ610" s="616"/>
      <c r="AK610" s="351"/>
      <c r="AL610" s="622"/>
      <c r="AM610" s="350"/>
      <c r="AN610" s="350"/>
      <c r="AO610" s="350"/>
      <c r="AP610" s="350"/>
      <c r="AQ610" s="350"/>
      <c r="AR610" s="350"/>
      <c r="AS610" s="350"/>
      <c r="AT610" s="350"/>
      <c r="AU610" s="350"/>
      <c r="AV610" s="350"/>
      <c r="AW610" s="350"/>
      <c r="AX610" s="350"/>
      <c r="AY610" s="350"/>
      <c r="AZ610" s="350"/>
      <c r="BA610" s="350"/>
      <c r="BB610" s="351"/>
    </row>
    <row r="611" spans="1:54" ht="15.75" customHeight="1">
      <c r="A611" s="25">
        <f t="shared" si="2"/>
        <v>598</v>
      </c>
      <c r="B611" s="599" t="str">
        <f>'refer admin discharge'!B607</f>
        <v>x</v>
      </c>
      <c r="C611" s="351"/>
      <c r="D611" s="600" t="str">
        <f>'refer admin discharge'!D607</f>
        <v>xx</v>
      </c>
      <c r="E611" s="351"/>
      <c r="F611" s="609" t="str">
        <f>'refer admin discharge'!H607</f>
        <v>00/00/0000</v>
      </c>
      <c r="G611" s="351"/>
      <c r="H611" s="610"/>
      <c r="I611" s="351"/>
      <c r="J611" s="611"/>
      <c r="K611" s="351"/>
      <c r="L611" s="610"/>
      <c r="M611" s="351"/>
      <c r="N611" s="612"/>
      <c r="O611" s="351"/>
      <c r="P611" s="610"/>
      <c r="Q611" s="351"/>
      <c r="R611" s="612"/>
      <c r="S611" s="351"/>
      <c r="T611" s="610"/>
      <c r="U611" s="351"/>
      <c r="V611" s="613" t="str">
        <f>'refer admin discharge'!H612</f>
        <v>00/00/0000</v>
      </c>
      <c r="W611" s="351"/>
      <c r="X611" s="607"/>
      <c r="Y611" s="351"/>
      <c r="Z611" s="614"/>
      <c r="AA611" s="351"/>
      <c r="AB611" s="607"/>
      <c r="AC611" s="351"/>
      <c r="AD611" s="606"/>
      <c r="AE611" s="351"/>
      <c r="AF611" s="607"/>
      <c r="AG611" s="351"/>
      <c r="AH611" s="606"/>
      <c r="AI611" s="351"/>
      <c r="AJ611" s="607"/>
      <c r="AK611" s="351"/>
      <c r="AL611" s="608"/>
      <c r="AM611" s="350"/>
      <c r="AN611" s="350"/>
      <c r="AO611" s="350"/>
      <c r="AP611" s="350"/>
      <c r="AQ611" s="350"/>
      <c r="AR611" s="350"/>
      <c r="AS611" s="350"/>
      <c r="AT611" s="350"/>
      <c r="AU611" s="350"/>
      <c r="AV611" s="350"/>
      <c r="AW611" s="350"/>
      <c r="AX611" s="350"/>
      <c r="AY611" s="350"/>
      <c r="AZ611" s="350"/>
      <c r="BA611" s="350"/>
      <c r="BB611" s="351"/>
    </row>
    <row r="612" spans="1:54" ht="15.75" customHeight="1">
      <c r="A612" s="25">
        <f t="shared" si="2"/>
        <v>599</v>
      </c>
      <c r="B612" s="618" t="str">
        <f>'refer admin discharge'!B608</f>
        <v>x</v>
      </c>
      <c r="C612" s="351"/>
      <c r="D612" s="619" t="str">
        <f>'refer admin discharge'!D608</f>
        <v>xx</v>
      </c>
      <c r="E612" s="351"/>
      <c r="F612" s="620" t="str">
        <f>'refer admin discharge'!H608</f>
        <v>00/00/0000</v>
      </c>
      <c r="G612" s="351"/>
      <c r="H612" s="615"/>
      <c r="I612" s="351"/>
      <c r="J612" s="621"/>
      <c r="K612" s="351"/>
      <c r="L612" s="615"/>
      <c r="M612" s="351"/>
      <c r="N612" s="610"/>
      <c r="O612" s="351"/>
      <c r="P612" s="615"/>
      <c r="Q612" s="351"/>
      <c r="R612" s="610"/>
      <c r="S612" s="351"/>
      <c r="T612" s="615"/>
      <c r="U612" s="351"/>
      <c r="V612" s="613" t="str">
        <f>'refer admin discharge'!H613</f>
        <v>00/00/0000</v>
      </c>
      <c r="W612" s="351"/>
      <c r="X612" s="616"/>
      <c r="Y612" s="351"/>
      <c r="Z612" s="617"/>
      <c r="AA612" s="351"/>
      <c r="AB612" s="616"/>
      <c r="AC612" s="351"/>
      <c r="AD612" s="607"/>
      <c r="AE612" s="351"/>
      <c r="AF612" s="616"/>
      <c r="AG612" s="351"/>
      <c r="AH612" s="607"/>
      <c r="AI612" s="351"/>
      <c r="AJ612" s="616"/>
      <c r="AK612" s="351"/>
      <c r="AL612" s="622"/>
      <c r="AM612" s="350"/>
      <c r="AN612" s="350"/>
      <c r="AO612" s="350"/>
      <c r="AP612" s="350"/>
      <c r="AQ612" s="350"/>
      <c r="AR612" s="350"/>
      <c r="AS612" s="350"/>
      <c r="AT612" s="350"/>
      <c r="AU612" s="350"/>
      <c r="AV612" s="350"/>
      <c r="AW612" s="350"/>
      <c r="AX612" s="350"/>
      <c r="AY612" s="350"/>
      <c r="AZ612" s="350"/>
      <c r="BA612" s="350"/>
      <c r="BB612" s="351"/>
    </row>
    <row r="613" spans="1:54" ht="15.75" customHeight="1">
      <c r="A613" s="25">
        <f t="shared" si="2"/>
        <v>600</v>
      </c>
      <c r="B613" s="599" t="str">
        <f>'refer admin discharge'!B609</f>
        <v>x</v>
      </c>
      <c r="C613" s="351"/>
      <c r="D613" s="600" t="str">
        <f>'refer admin discharge'!D609</f>
        <v>xx</v>
      </c>
      <c r="E613" s="351"/>
      <c r="F613" s="609" t="str">
        <f>'refer admin discharge'!H609</f>
        <v>00/00/0000</v>
      </c>
      <c r="G613" s="351"/>
      <c r="H613" s="610"/>
      <c r="I613" s="351"/>
      <c r="J613" s="611"/>
      <c r="K613" s="351"/>
      <c r="L613" s="610"/>
      <c r="M613" s="351"/>
      <c r="N613" s="612"/>
      <c r="O613" s="351"/>
      <c r="P613" s="610"/>
      <c r="Q613" s="351"/>
      <c r="R613" s="612"/>
      <c r="S613" s="351"/>
      <c r="T613" s="610"/>
      <c r="U613" s="351"/>
      <c r="V613" s="613" t="str">
        <f>'refer admin discharge'!H614</f>
        <v>00/00/0000</v>
      </c>
      <c r="W613" s="351"/>
      <c r="X613" s="607"/>
      <c r="Y613" s="351"/>
      <c r="Z613" s="614"/>
      <c r="AA613" s="351"/>
      <c r="AB613" s="607"/>
      <c r="AC613" s="351"/>
      <c r="AD613" s="606"/>
      <c r="AE613" s="351"/>
      <c r="AF613" s="607"/>
      <c r="AG613" s="351"/>
      <c r="AH613" s="606"/>
      <c r="AI613" s="351"/>
      <c r="AJ613" s="607"/>
      <c r="AK613" s="351"/>
      <c r="AL613" s="608"/>
      <c r="AM613" s="350"/>
      <c r="AN613" s="350"/>
      <c r="AO613" s="350"/>
      <c r="AP613" s="350"/>
      <c r="AQ613" s="350"/>
      <c r="AR613" s="350"/>
      <c r="AS613" s="350"/>
      <c r="AT613" s="350"/>
      <c r="AU613" s="350"/>
      <c r="AV613" s="350"/>
      <c r="AW613" s="350"/>
      <c r="AX613" s="350"/>
      <c r="AY613" s="350"/>
      <c r="AZ613" s="350"/>
      <c r="BA613" s="350"/>
      <c r="BB613" s="351"/>
    </row>
    <row r="614" spans="1:54" ht="15.75" customHeight="1">
      <c r="A614" s="25">
        <f t="shared" si="2"/>
        <v>601</v>
      </c>
      <c r="B614" s="618" t="str">
        <f>'refer admin discharge'!B610</f>
        <v>x</v>
      </c>
      <c r="C614" s="351"/>
      <c r="D614" s="619" t="str">
        <f>'refer admin discharge'!D610</f>
        <v>xx</v>
      </c>
      <c r="E614" s="351"/>
      <c r="F614" s="620" t="str">
        <f>'refer admin discharge'!H610</f>
        <v>00/00/0000</v>
      </c>
      <c r="G614" s="351"/>
      <c r="H614" s="615"/>
      <c r="I614" s="351"/>
      <c r="J614" s="621"/>
      <c r="K614" s="351"/>
      <c r="L614" s="615"/>
      <c r="M614" s="351"/>
      <c r="N614" s="610"/>
      <c r="O614" s="351"/>
      <c r="P614" s="615"/>
      <c r="Q614" s="351"/>
      <c r="R614" s="610"/>
      <c r="S614" s="351"/>
      <c r="T614" s="615"/>
      <c r="U614" s="351"/>
      <c r="V614" s="613" t="str">
        <f>'refer admin discharge'!H615</f>
        <v>00/00/0000</v>
      </c>
      <c r="W614" s="351"/>
      <c r="X614" s="616"/>
      <c r="Y614" s="351"/>
      <c r="Z614" s="617"/>
      <c r="AA614" s="351"/>
      <c r="AB614" s="616"/>
      <c r="AC614" s="351"/>
      <c r="AD614" s="607"/>
      <c r="AE614" s="351"/>
      <c r="AF614" s="616"/>
      <c r="AG614" s="351"/>
      <c r="AH614" s="607"/>
      <c r="AI614" s="351"/>
      <c r="AJ614" s="616"/>
      <c r="AK614" s="351"/>
      <c r="AL614" s="622"/>
      <c r="AM614" s="350"/>
      <c r="AN614" s="350"/>
      <c r="AO614" s="350"/>
      <c r="AP614" s="350"/>
      <c r="AQ614" s="350"/>
      <c r="AR614" s="350"/>
      <c r="AS614" s="350"/>
      <c r="AT614" s="350"/>
      <c r="AU614" s="350"/>
      <c r="AV614" s="350"/>
      <c r="AW614" s="350"/>
      <c r="AX614" s="350"/>
      <c r="AY614" s="350"/>
      <c r="AZ614" s="350"/>
      <c r="BA614" s="350"/>
      <c r="BB614" s="351"/>
    </row>
    <row r="615" spans="1:54" ht="15.75" customHeight="1">
      <c r="A615" s="25">
        <f t="shared" si="2"/>
        <v>602</v>
      </c>
      <c r="B615" s="599" t="str">
        <f>'refer admin discharge'!B611</f>
        <v>x</v>
      </c>
      <c r="C615" s="351"/>
      <c r="D615" s="600" t="str">
        <f>'refer admin discharge'!D611</f>
        <v>xx</v>
      </c>
      <c r="E615" s="351"/>
      <c r="F615" s="609" t="str">
        <f>'refer admin discharge'!H611</f>
        <v>00/00/0000</v>
      </c>
      <c r="G615" s="351"/>
      <c r="H615" s="610"/>
      <c r="I615" s="351"/>
      <c r="J615" s="611"/>
      <c r="K615" s="351"/>
      <c r="L615" s="610"/>
      <c r="M615" s="351"/>
      <c r="N615" s="612"/>
      <c r="O615" s="351"/>
      <c r="P615" s="610"/>
      <c r="Q615" s="351"/>
      <c r="R615" s="612"/>
      <c r="S615" s="351"/>
      <c r="T615" s="610"/>
      <c r="U615" s="351"/>
      <c r="V615" s="613" t="str">
        <f>'refer admin discharge'!H616</f>
        <v>00/00/0000</v>
      </c>
      <c r="W615" s="351"/>
      <c r="X615" s="607"/>
      <c r="Y615" s="351"/>
      <c r="Z615" s="614"/>
      <c r="AA615" s="351"/>
      <c r="AB615" s="607"/>
      <c r="AC615" s="351"/>
      <c r="AD615" s="606"/>
      <c r="AE615" s="351"/>
      <c r="AF615" s="607"/>
      <c r="AG615" s="351"/>
      <c r="AH615" s="606"/>
      <c r="AI615" s="351"/>
      <c r="AJ615" s="607"/>
      <c r="AK615" s="351"/>
      <c r="AL615" s="608"/>
      <c r="AM615" s="350"/>
      <c r="AN615" s="350"/>
      <c r="AO615" s="350"/>
      <c r="AP615" s="350"/>
      <c r="AQ615" s="350"/>
      <c r="AR615" s="350"/>
      <c r="AS615" s="350"/>
      <c r="AT615" s="350"/>
      <c r="AU615" s="350"/>
      <c r="AV615" s="350"/>
      <c r="AW615" s="350"/>
      <c r="AX615" s="350"/>
      <c r="AY615" s="350"/>
      <c r="AZ615" s="350"/>
      <c r="BA615" s="350"/>
      <c r="BB615" s="351"/>
    </row>
    <row r="616" spans="1:54" ht="15.75" customHeight="1">
      <c r="A616" s="25">
        <f t="shared" si="2"/>
        <v>603</v>
      </c>
      <c r="B616" s="618" t="str">
        <f>'refer admin discharge'!B612</f>
        <v>x</v>
      </c>
      <c r="C616" s="351"/>
      <c r="D616" s="619" t="str">
        <f>'refer admin discharge'!D612</f>
        <v>xx</v>
      </c>
      <c r="E616" s="351"/>
      <c r="F616" s="620" t="str">
        <f>'refer admin discharge'!H612</f>
        <v>00/00/0000</v>
      </c>
      <c r="G616" s="351"/>
      <c r="H616" s="615"/>
      <c r="I616" s="351"/>
      <c r="J616" s="621"/>
      <c r="K616" s="351"/>
      <c r="L616" s="615"/>
      <c r="M616" s="351"/>
      <c r="N616" s="610"/>
      <c r="O616" s="351"/>
      <c r="P616" s="615"/>
      <c r="Q616" s="351"/>
      <c r="R616" s="610"/>
      <c r="S616" s="351"/>
      <c r="T616" s="615"/>
      <c r="U616" s="351"/>
      <c r="V616" s="613" t="str">
        <f>'refer admin discharge'!H617</f>
        <v>00/00/0000</v>
      </c>
      <c r="W616" s="351"/>
      <c r="X616" s="616"/>
      <c r="Y616" s="351"/>
      <c r="Z616" s="617"/>
      <c r="AA616" s="351"/>
      <c r="AB616" s="616"/>
      <c r="AC616" s="351"/>
      <c r="AD616" s="607"/>
      <c r="AE616" s="351"/>
      <c r="AF616" s="616"/>
      <c r="AG616" s="351"/>
      <c r="AH616" s="607"/>
      <c r="AI616" s="351"/>
      <c r="AJ616" s="616"/>
      <c r="AK616" s="351"/>
      <c r="AL616" s="622"/>
      <c r="AM616" s="350"/>
      <c r="AN616" s="350"/>
      <c r="AO616" s="350"/>
      <c r="AP616" s="350"/>
      <c r="AQ616" s="350"/>
      <c r="AR616" s="350"/>
      <c r="AS616" s="350"/>
      <c r="AT616" s="350"/>
      <c r="AU616" s="350"/>
      <c r="AV616" s="350"/>
      <c r="AW616" s="350"/>
      <c r="AX616" s="350"/>
      <c r="AY616" s="350"/>
      <c r="AZ616" s="350"/>
      <c r="BA616" s="350"/>
      <c r="BB616" s="351"/>
    </row>
    <row r="617" spans="1:54" ht="15.75" customHeight="1">
      <c r="A617" s="25">
        <f t="shared" si="2"/>
        <v>604</v>
      </c>
      <c r="B617" s="599" t="str">
        <f>'refer admin discharge'!B613</f>
        <v>x</v>
      </c>
      <c r="C617" s="351"/>
      <c r="D617" s="600" t="str">
        <f>'refer admin discharge'!D613</f>
        <v>xx</v>
      </c>
      <c r="E617" s="351"/>
      <c r="F617" s="609" t="str">
        <f>'refer admin discharge'!H613</f>
        <v>00/00/0000</v>
      </c>
      <c r="G617" s="351"/>
      <c r="H617" s="610"/>
      <c r="I617" s="351"/>
      <c r="J617" s="611"/>
      <c r="K617" s="351"/>
      <c r="L617" s="610"/>
      <c r="M617" s="351"/>
      <c r="N617" s="612"/>
      <c r="O617" s="351"/>
      <c r="P617" s="610"/>
      <c r="Q617" s="351"/>
      <c r="R617" s="612"/>
      <c r="S617" s="351"/>
      <c r="T617" s="610"/>
      <c r="U617" s="351"/>
      <c r="V617" s="613" t="str">
        <f>'refer admin discharge'!H618</f>
        <v>00/00/0000</v>
      </c>
      <c r="W617" s="351"/>
      <c r="X617" s="607"/>
      <c r="Y617" s="351"/>
      <c r="Z617" s="614"/>
      <c r="AA617" s="351"/>
      <c r="AB617" s="607"/>
      <c r="AC617" s="351"/>
      <c r="AD617" s="606"/>
      <c r="AE617" s="351"/>
      <c r="AF617" s="607"/>
      <c r="AG617" s="351"/>
      <c r="AH617" s="606"/>
      <c r="AI617" s="351"/>
      <c r="AJ617" s="607"/>
      <c r="AK617" s="351"/>
      <c r="AL617" s="608"/>
      <c r="AM617" s="350"/>
      <c r="AN617" s="350"/>
      <c r="AO617" s="350"/>
      <c r="AP617" s="350"/>
      <c r="AQ617" s="350"/>
      <c r="AR617" s="350"/>
      <c r="AS617" s="350"/>
      <c r="AT617" s="350"/>
      <c r="AU617" s="350"/>
      <c r="AV617" s="350"/>
      <c r="AW617" s="350"/>
      <c r="AX617" s="350"/>
      <c r="AY617" s="350"/>
      <c r="AZ617" s="350"/>
      <c r="BA617" s="350"/>
      <c r="BB617" s="351"/>
    </row>
    <row r="618" spans="1:54" ht="15.75" customHeight="1">
      <c r="A618" s="25">
        <f t="shared" si="2"/>
        <v>605</v>
      </c>
      <c r="B618" s="618" t="str">
        <f>'refer admin discharge'!B614</f>
        <v>x</v>
      </c>
      <c r="C618" s="351"/>
      <c r="D618" s="619" t="str">
        <f>'refer admin discharge'!D614</f>
        <v>xx</v>
      </c>
      <c r="E618" s="351"/>
      <c r="F618" s="620" t="str">
        <f>'refer admin discharge'!H614</f>
        <v>00/00/0000</v>
      </c>
      <c r="G618" s="351"/>
      <c r="H618" s="615"/>
      <c r="I618" s="351"/>
      <c r="J618" s="621"/>
      <c r="K618" s="351"/>
      <c r="L618" s="615"/>
      <c r="M618" s="351"/>
      <c r="N618" s="610"/>
      <c r="O618" s="351"/>
      <c r="P618" s="615"/>
      <c r="Q618" s="351"/>
      <c r="R618" s="610"/>
      <c r="S618" s="351"/>
      <c r="T618" s="615"/>
      <c r="U618" s="351"/>
      <c r="V618" s="613" t="str">
        <f>'refer admin discharge'!H619</f>
        <v>00/00/0000</v>
      </c>
      <c r="W618" s="351"/>
      <c r="X618" s="616"/>
      <c r="Y618" s="351"/>
      <c r="Z618" s="617"/>
      <c r="AA618" s="351"/>
      <c r="AB618" s="616"/>
      <c r="AC618" s="351"/>
      <c r="AD618" s="607"/>
      <c r="AE618" s="351"/>
      <c r="AF618" s="616"/>
      <c r="AG618" s="351"/>
      <c r="AH618" s="607"/>
      <c r="AI618" s="351"/>
      <c r="AJ618" s="616"/>
      <c r="AK618" s="351"/>
      <c r="AL618" s="622"/>
      <c r="AM618" s="350"/>
      <c r="AN618" s="350"/>
      <c r="AO618" s="350"/>
      <c r="AP618" s="350"/>
      <c r="AQ618" s="350"/>
      <c r="AR618" s="350"/>
      <c r="AS618" s="350"/>
      <c r="AT618" s="350"/>
      <c r="AU618" s="350"/>
      <c r="AV618" s="350"/>
      <c r="AW618" s="350"/>
      <c r="AX618" s="350"/>
      <c r="AY618" s="350"/>
      <c r="AZ618" s="350"/>
      <c r="BA618" s="350"/>
      <c r="BB618" s="351"/>
    </row>
    <row r="619" spans="1:54" ht="15.75" customHeight="1">
      <c r="A619" s="25">
        <f t="shared" si="2"/>
        <v>606</v>
      </c>
      <c r="B619" s="599" t="str">
        <f>'refer admin discharge'!B615</f>
        <v>x</v>
      </c>
      <c r="C619" s="351"/>
      <c r="D619" s="600" t="str">
        <f>'refer admin discharge'!D615</f>
        <v>xx</v>
      </c>
      <c r="E619" s="351"/>
      <c r="F619" s="609" t="str">
        <f>'refer admin discharge'!H615</f>
        <v>00/00/0000</v>
      </c>
      <c r="G619" s="351"/>
      <c r="H619" s="610"/>
      <c r="I619" s="351"/>
      <c r="J619" s="611"/>
      <c r="K619" s="351"/>
      <c r="L619" s="610"/>
      <c r="M619" s="351"/>
      <c r="N619" s="612"/>
      <c r="O619" s="351"/>
      <c r="P619" s="610"/>
      <c r="Q619" s="351"/>
      <c r="R619" s="612"/>
      <c r="S619" s="351"/>
      <c r="T619" s="610"/>
      <c r="U619" s="351"/>
      <c r="V619" s="613" t="str">
        <f>'refer admin discharge'!H620</f>
        <v>00/00/0000</v>
      </c>
      <c r="W619" s="351"/>
      <c r="X619" s="607"/>
      <c r="Y619" s="351"/>
      <c r="Z619" s="614"/>
      <c r="AA619" s="351"/>
      <c r="AB619" s="607"/>
      <c r="AC619" s="351"/>
      <c r="AD619" s="606"/>
      <c r="AE619" s="351"/>
      <c r="AF619" s="607"/>
      <c r="AG619" s="351"/>
      <c r="AH619" s="606"/>
      <c r="AI619" s="351"/>
      <c r="AJ619" s="607"/>
      <c r="AK619" s="351"/>
      <c r="AL619" s="608"/>
      <c r="AM619" s="350"/>
      <c r="AN619" s="350"/>
      <c r="AO619" s="350"/>
      <c r="AP619" s="350"/>
      <c r="AQ619" s="350"/>
      <c r="AR619" s="350"/>
      <c r="AS619" s="350"/>
      <c r="AT619" s="350"/>
      <c r="AU619" s="350"/>
      <c r="AV619" s="350"/>
      <c r="AW619" s="350"/>
      <c r="AX619" s="350"/>
      <c r="AY619" s="350"/>
      <c r="AZ619" s="350"/>
      <c r="BA619" s="350"/>
      <c r="BB619" s="351"/>
    </row>
    <row r="620" spans="1:54" ht="15.75" customHeight="1">
      <c r="A620" s="25">
        <f t="shared" si="2"/>
        <v>607</v>
      </c>
      <c r="B620" s="618" t="str">
        <f>'refer admin discharge'!B616</f>
        <v>x</v>
      </c>
      <c r="C620" s="351"/>
      <c r="D620" s="619" t="str">
        <f>'refer admin discharge'!D616</f>
        <v>xx</v>
      </c>
      <c r="E620" s="351"/>
      <c r="F620" s="620" t="str">
        <f>'refer admin discharge'!H616</f>
        <v>00/00/0000</v>
      </c>
      <c r="G620" s="351"/>
      <c r="H620" s="615"/>
      <c r="I620" s="351"/>
      <c r="J620" s="621"/>
      <c r="K620" s="351"/>
      <c r="L620" s="615"/>
      <c r="M620" s="351"/>
      <c r="N620" s="610"/>
      <c r="O620" s="351"/>
      <c r="P620" s="615"/>
      <c r="Q620" s="351"/>
      <c r="R620" s="610"/>
      <c r="S620" s="351"/>
      <c r="T620" s="615"/>
      <c r="U620" s="351"/>
      <c r="V620" s="613" t="str">
        <f>'refer admin discharge'!H621</f>
        <v>00/00/0000</v>
      </c>
      <c r="W620" s="351"/>
      <c r="X620" s="616"/>
      <c r="Y620" s="351"/>
      <c r="Z620" s="617"/>
      <c r="AA620" s="351"/>
      <c r="AB620" s="616"/>
      <c r="AC620" s="351"/>
      <c r="AD620" s="607"/>
      <c r="AE620" s="351"/>
      <c r="AF620" s="616"/>
      <c r="AG620" s="351"/>
      <c r="AH620" s="607"/>
      <c r="AI620" s="351"/>
      <c r="AJ620" s="616"/>
      <c r="AK620" s="351"/>
      <c r="AL620" s="622"/>
      <c r="AM620" s="350"/>
      <c r="AN620" s="350"/>
      <c r="AO620" s="350"/>
      <c r="AP620" s="350"/>
      <c r="AQ620" s="350"/>
      <c r="AR620" s="350"/>
      <c r="AS620" s="350"/>
      <c r="AT620" s="350"/>
      <c r="AU620" s="350"/>
      <c r="AV620" s="350"/>
      <c r="AW620" s="350"/>
      <c r="AX620" s="350"/>
      <c r="AY620" s="350"/>
      <c r="AZ620" s="350"/>
      <c r="BA620" s="350"/>
      <c r="BB620" s="351"/>
    </row>
    <row r="621" spans="1:54" ht="15.75" customHeight="1">
      <c r="A621" s="25">
        <f t="shared" si="2"/>
        <v>608</v>
      </c>
      <c r="B621" s="599" t="str">
        <f>'refer admin discharge'!B617</f>
        <v>x</v>
      </c>
      <c r="C621" s="351"/>
      <c r="D621" s="600" t="str">
        <f>'refer admin discharge'!D617</f>
        <v>xx</v>
      </c>
      <c r="E621" s="351"/>
      <c r="F621" s="609" t="str">
        <f>'refer admin discharge'!H617</f>
        <v>00/00/0000</v>
      </c>
      <c r="G621" s="351"/>
      <c r="H621" s="610"/>
      <c r="I621" s="351"/>
      <c r="J621" s="611"/>
      <c r="K621" s="351"/>
      <c r="L621" s="610"/>
      <c r="M621" s="351"/>
      <c r="N621" s="612"/>
      <c r="O621" s="351"/>
      <c r="P621" s="610"/>
      <c r="Q621" s="351"/>
      <c r="R621" s="612"/>
      <c r="S621" s="351"/>
      <c r="T621" s="610"/>
      <c r="U621" s="351"/>
      <c r="V621" s="613" t="str">
        <f>'refer admin discharge'!H622</f>
        <v>00/00/0000</v>
      </c>
      <c r="W621" s="351"/>
      <c r="X621" s="607"/>
      <c r="Y621" s="351"/>
      <c r="Z621" s="614"/>
      <c r="AA621" s="351"/>
      <c r="AB621" s="607"/>
      <c r="AC621" s="351"/>
      <c r="AD621" s="606"/>
      <c r="AE621" s="351"/>
      <c r="AF621" s="607"/>
      <c r="AG621" s="351"/>
      <c r="AH621" s="606"/>
      <c r="AI621" s="351"/>
      <c r="AJ621" s="607"/>
      <c r="AK621" s="351"/>
      <c r="AL621" s="608"/>
      <c r="AM621" s="350"/>
      <c r="AN621" s="350"/>
      <c r="AO621" s="350"/>
      <c r="AP621" s="350"/>
      <c r="AQ621" s="350"/>
      <c r="AR621" s="350"/>
      <c r="AS621" s="350"/>
      <c r="AT621" s="350"/>
      <c r="AU621" s="350"/>
      <c r="AV621" s="350"/>
      <c r="AW621" s="350"/>
      <c r="AX621" s="350"/>
      <c r="AY621" s="350"/>
      <c r="AZ621" s="350"/>
      <c r="BA621" s="350"/>
      <c r="BB621" s="351"/>
    </row>
    <row r="622" spans="1:54" ht="15.75" customHeight="1">
      <c r="A622" s="25">
        <f t="shared" si="2"/>
        <v>609</v>
      </c>
      <c r="B622" s="618" t="str">
        <f>'refer admin discharge'!B618</f>
        <v>x</v>
      </c>
      <c r="C622" s="351"/>
      <c r="D622" s="619" t="str">
        <f>'refer admin discharge'!D618</f>
        <v>xx</v>
      </c>
      <c r="E622" s="351"/>
      <c r="F622" s="620" t="str">
        <f>'refer admin discharge'!H618</f>
        <v>00/00/0000</v>
      </c>
      <c r="G622" s="351"/>
      <c r="H622" s="615"/>
      <c r="I622" s="351"/>
      <c r="J622" s="621"/>
      <c r="K622" s="351"/>
      <c r="L622" s="615"/>
      <c r="M622" s="351"/>
      <c r="N622" s="610"/>
      <c r="O622" s="351"/>
      <c r="P622" s="615"/>
      <c r="Q622" s="351"/>
      <c r="R622" s="610"/>
      <c r="S622" s="351"/>
      <c r="T622" s="615"/>
      <c r="U622" s="351"/>
      <c r="V622" s="613" t="str">
        <f>'refer admin discharge'!H623</f>
        <v>00/00/0000</v>
      </c>
      <c r="W622" s="351"/>
      <c r="X622" s="616"/>
      <c r="Y622" s="351"/>
      <c r="Z622" s="617"/>
      <c r="AA622" s="351"/>
      <c r="AB622" s="616"/>
      <c r="AC622" s="351"/>
      <c r="AD622" s="607"/>
      <c r="AE622" s="351"/>
      <c r="AF622" s="616"/>
      <c r="AG622" s="351"/>
      <c r="AH622" s="607"/>
      <c r="AI622" s="351"/>
      <c r="AJ622" s="616"/>
      <c r="AK622" s="351"/>
      <c r="AL622" s="622"/>
      <c r="AM622" s="350"/>
      <c r="AN622" s="350"/>
      <c r="AO622" s="350"/>
      <c r="AP622" s="350"/>
      <c r="AQ622" s="350"/>
      <c r="AR622" s="350"/>
      <c r="AS622" s="350"/>
      <c r="AT622" s="350"/>
      <c r="AU622" s="350"/>
      <c r="AV622" s="350"/>
      <c r="AW622" s="350"/>
      <c r="AX622" s="350"/>
      <c r="AY622" s="350"/>
      <c r="AZ622" s="350"/>
      <c r="BA622" s="350"/>
      <c r="BB622" s="351"/>
    </row>
    <row r="623" spans="1:54" ht="15.75" customHeight="1">
      <c r="A623" s="25">
        <f t="shared" si="2"/>
        <v>610</v>
      </c>
      <c r="B623" s="599" t="str">
        <f>'refer admin discharge'!B619</f>
        <v>x</v>
      </c>
      <c r="C623" s="351"/>
      <c r="D623" s="600" t="str">
        <f>'refer admin discharge'!D619</f>
        <v>xx</v>
      </c>
      <c r="E623" s="351"/>
      <c r="F623" s="609" t="str">
        <f>'refer admin discharge'!H619</f>
        <v>00/00/0000</v>
      </c>
      <c r="G623" s="351"/>
      <c r="H623" s="610"/>
      <c r="I623" s="351"/>
      <c r="J623" s="611"/>
      <c r="K623" s="351"/>
      <c r="L623" s="610"/>
      <c r="M623" s="351"/>
      <c r="N623" s="612"/>
      <c r="O623" s="351"/>
      <c r="P623" s="610"/>
      <c r="Q623" s="351"/>
      <c r="R623" s="612"/>
      <c r="S623" s="351"/>
      <c r="T623" s="610"/>
      <c r="U623" s="351"/>
      <c r="V623" s="613" t="str">
        <f>'refer admin discharge'!H624</f>
        <v>00/00/0000</v>
      </c>
      <c r="W623" s="351"/>
      <c r="X623" s="607"/>
      <c r="Y623" s="351"/>
      <c r="Z623" s="614"/>
      <c r="AA623" s="351"/>
      <c r="AB623" s="607"/>
      <c r="AC623" s="351"/>
      <c r="AD623" s="606"/>
      <c r="AE623" s="351"/>
      <c r="AF623" s="607"/>
      <c r="AG623" s="351"/>
      <c r="AH623" s="606"/>
      <c r="AI623" s="351"/>
      <c r="AJ623" s="607"/>
      <c r="AK623" s="351"/>
      <c r="AL623" s="608"/>
      <c r="AM623" s="350"/>
      <c r="AN623" s="350"/>
      <c r="AO623" s="350"/>
      <c r="AP623" s="350"/>
      <c r="AQ623" s="350"/>
      <c r="AR623" s="350"/>
      <c r="AS623" s="350"/>
      <c r="AT623" s="350"/>
      <c r="AU623" s="350"/>
      <c r="AV623" s="350"/>
      <c r="AW623" s="350"/>
      <c r="AX623" s="350"/>
      <c r="AY623" s="350"/>
      <c r="AZ623" s="350"/>
      <c r="BA623" s="350"/>
      <c r="BB623" s="351"/>
    </row>
    <row r="624" spans="1:54" ht="15.75" customHeight="1">
      <c r="A624" s="25">
        <f t="shared" si="2"/>
        <v>611</v>
      </c>
      <c r="B624" s="618" t="str">
        <f>'refer admin discharge'!B620</f>
        <v>x</v>
      </c>
      <c r="C624" s="351"/>
      <c r="D624" s="619" t="str">
        <f>'refer admin discharge'!D620</f>
        <v>xx</v>
      </c>
      <c r="E624" s="351"/>
      <c r="F624" s="620" t="str">
        <f>'refer admin discharge'!H620</f>
        <v>00/00/0000</v>
      </c>
      <c r="G624" s="351"/>
      <c r="H624" s="615"/>
      <c r="I624" s="351"/>
      <c r="J624" s="621"/>
      <c r="K624" s="351"/>
      <c r="L624" s="615"/>
      <c r="M624" s="351"/>
      <c r="N624" s="610"/>
      <c r="O624" s="351"/>
      <c r="P624" s="615"/>
      <c r="Q624" s="351"/>
      <c r="R624" s="610"/>
      <c r="S624" s="351"/>
      <c r="T624" s="615"/>
      <c r="U624" s="351"/>
      <c r="V624" s="613" t="str">
        <f>'refer admin discharge'!H625</f>
        <v>00/00/0000</v>
      </c>
      <c r="W624" s="351"/>
      <c r="X624" s="616"/>
      <c r="Y624" s="351"/>
      <c r="Z624" s="617"/>
      <c r="AA624" s="351"/>
      <c r="AB624" s="616"/>
      <c r="AC624" s="351"/>
      <c r="AD624" s="607"/>
      <c r="AE624" s="351"/>
      <c r="AF624" s="616"/>
      <c r="AG624" s="351"/>
      <c r="AH624" s="607"/>
      <c r="AI624" s="351"/>
      <c r="AJ624" s="616"/>
      <c r="AK624" s="351"/>
      <c r="AL624" s="622"/>
      <c r="AM624" s="350"/>
      <c r="AN624" s="350"/>
      <c r="AO624" s="350"/>
      <c r="AP624" s="350"/>
      <c r="AQ624" s="350"/>
      <c r="AR624" s="350"/>
      <c r="AS624" s="350"/>
      <c r="AT624" s="350"/>
      <c r="AU624" s="350"/>
      <c r="AV624" s="350"/>
      <c r="AW624" s="350"/>
      <c r="AX624" s="350"/>
      <c r="AY624" s="350"/>
      <c r="AZ624" s="350"/>
      <c r="BA624" s="350"/>
      <c r="BB624" s="351"/>
    </row>
    <row r="625" spans="1:54" ht="15.75" customHeight="1">
      <c r="A625" s="25">
        <f t="shared" si="2"/>
        <v>612</v>
      </c>
      <c r="B625" s="599" t="str">
        <f>'refer admin discharge'!B621</f>
        <v>x</v>
      </c>
      <c r="C625" s="351"/>
      <c r="D625" s="600" t="str">
        <f>'refer admin discharge'!D621</f>
        <v>xx</v>
      </c>
      <c r="E625" s="351"/>
      <c r="F625" s="609" t="str">
        <f>'refer admin discharge'!H621</f>
        <v>00/00/0000</v>
      </c>
      <c r="G625" s="351"/>
      <c r="H625" s="610"/>
      <c r="I625" s="351"/>
      <c r="J625" s="611"/>
      <c r="K625" s="351"/>
      <c r="L625" s="610"/>
      <c r="M625" s="351"/>
      <c r="N625" s="612"/>
      <c r="O625" s="351"/>
      <c r="P625" s="610"/>
      <c r="Q625" s="351"/>
      <c r="R625" s="612"/>
      <c r="S625" s="351"/>
      <c r="T625" s="610"/>
      <c r="U625" s="351"/>
      <c r="V625" s="613" t="str">
        <f>'refer admin discharge'!H626</f>
        <v>00/00/0000</v>
      </c>
      <c r="W625" s="351"/>
      <c r="X625" s="607"/>
      <c r="Y625" s="351"/>
      <c r="Z625" s="614"/>
      <c r="AA625" s="351"/>
      <c r="AB625" s="607"/>
      <c r="AC625" s="351"/>
      <c r="AD625" s="606"/>
      <c r="AE625" s="351"/>
      <c r="AF625" s="607"/>
      <c r="AG625" s="351"/>
      <c r="AH625" s="606"/>
      <c r="AI625" s="351"/>
      <c r="AJ625" s="607"/>
      <c r="AK625" s="351"/>
      <c r="AL625" s="608"/>
      <c r="AM625" s="350"/>
      <c r="AN625" s="350"/>
      <c r="AO625" s="350"/>
      <c r="AP625" s="350"/>
      <c r="AQ625" s="350"/>
      <c r="AR625" s="350"/>
      <c r="AS625" s="350"/>
      <c r="AT625" s="350"/>
      <c r="AU625" s="350"/>
      <c r="AV625" s="350"/>
      <c r="AW625" s="350"/>
      <c r="AX625" s="350"/>
      <c r="AY625" s="350"/>
      <c r="AZ625" s="350"/>
      <c r="BA625" s="350"/>
      <c r="BB625" s="351"/>
    </row>
    <row r="626" spans="1:54" ht="15.75" customHeight="1">
      <c r="A626" s="25">
        <f t="shared" si="2"/>
        <v>613</v>
      </c>
      <c r="B626" s="618" t="str">
        <f>'refer admin discharge'!B622</f>
        <v>x</v>
      </c>
      <c r="C626" s="351"/>
      <c r="D626" s="619" t="str">
        <f>'refer admin discharge'!D622</f>
        <v>xx</v>
      </c>
      <c r="E626" s="351"/>
      <c r="F626" s="620" t="str">
        <f>'refer admin discharge'!H622</f>
        <v>00/00/0000</v>
      </c>
      <c r="G626" s="351"/>
      <c r="H626" s="615"/>
      <c r="I626" s="351"/>
      <c r="J626" s="621"/>
      <c r="K626" s="351"/>
      <c r="L626" s="615"/>
      <c r="M626" s="351"/>
      <c r="N626" s="610"/>
      <c r="O626" s="351"/>
      <c r="P626" s="615"/>
      <c r="Q626" s="351"/>
      <c r="R626" s="610"/>
      <c r="S626" s="351"/>
      <c r="T626" s="615"/>
      <c r="U626" s="351"/>
      <c r="V626" s="613" t="str">
        <f>'refer admin discharge'!H627</f>
        <v>00/00/0000</v>
      </c>
      <c r="W626" s="351"/>
      <c r="X626" s="616"/>
      <c r="Y626" s="351"/>
      <c r="Z626" s="617"/>
      <c r="AA626" s="351"/>
      <c r="AB626" s="616"/>
      <c r="AC626" s="351"/>
      <c r="AD626" s="607"/>
      <c r="AE626" s="351"/>
      <c r="AF626" s="616"/>
      <c r="AG626" s="351"/>
      <c r="AH626" s="607"/>
      <c r="AI626" s="351"/>
      <c r="AJ626" s="616"/>
      <c r="AK626" s="351"/>
      <c r="AL626" s="622"/>
      <c r="AM626" s="350"/>
      <c r="AN626" s="350"/>
      <c r="AO626" s="350"/>
      <c r="AP626" s="350"/>
      <c r="AQ626" s="350"/>
      <c r="AR626" s="350"/>
      <c r="AS626" s="350"/>
      <c r="AT626" s="350"/>
      <c r="AU626" s="350"/>
      <c r="AV626" s="350"/>
      <c r="AW626" s="350"/>
      <c r="AX626" s="350"/>
      <c r="AY626" s="350"/>
      <c r="AZ626" s="350"/>
      <c r="BA626" s="350"/>
      <c r="BB626" s="351"/>
    </row>
    <row r="627" spans="1:54" ht="15.75" customHeight="1">
      <c r="A627" s="25">
        <f t="shared" si="2"/>
        <v>614</v>
      </c>
      <c r="B627" s="599" t="str">
        <f>'refer admin discharge'!B623</f>
        <v>x</v>
      </c>
      <c r="C627" s="351"/>
      <c r="D627" s="600" t="str">
        <f>'refer admin discharge'!D623</f>
        <v>xx</v>
      </c>
      <c r="E627" s="351"/>
      <c r="F627" s="609" t="str">
        <f>'refer admin discharge'!H623</f>
        <v>00/00/0000</v>
      </c>
      <c r="G627" s="351"/>
      <c r="H627" s="610"/>
      <c r="I627" s="351"/>
      <c r="J627" s="611"/>
      <c r="K627" s="351"/>
      <c r="L627" s="610"/>
      <c r="M627" s="351"/>
      <c r="N627" s="612"/>
      <c r="O627" s="351"/>
      <c r="P627" s="610"/>
      <c r="Q627" s="351"/>
      <c r="R627" s="612"/>
      <c r="S627" s="351"/>
      <c r="T627" s="610"/>
      <c r="U627" s="351"/>
      <c r="V627" s="613" t="str">
        <f>'refer admin discharge'!H628</f>
        <v>00/00/0000</v>
      </c>
      <c r="W627" s="351"/>
      <c r="X627" s="607"/>
      <c r="Y627" s="351"/>
      <c r="Z627" s="614"/>
      <c r="AA627" s="351"/>
      <c r="AB627" s="607"/>
      <c r="AC627" s="351"/>
      <c r="AD627" s="606"/>
      <c r="AE627" s="351"/>
      <c r="AF627" s="607"/>
      <c r="AG627" s="351"/>
      <c r="AH627" s="606"/>
      <c r="AI627" s="351"/>
      <c r="AJ627" s="607"/>
      <c r="AK627" s="351"/>
      <c r="AL627" s="608"/>
      <c r="AM627" s="350"/>
      <c r="AN627" s="350"/>
      <c r="AO627" s="350"/>
      <c r="AP627" s="350"/>
      <c r="AQ627" s="350"/>
      <c r="AR627" s="350"/>
      <c r="AS627" s="350"/>
      <c r="AT627" s="350"/>
      <c r="AU627" s="350"/>
      <c r="AV627" s="350"/>
      <c r="AW627" s="350"/>
      <c r="AX627" s="350"/>
      <c r="AY627" s="350"/>
      <c r="AZ627" s="350"/>
      <c r="BA627" s="350"/>
      <c r="BB627" s="351"/>
    </row>
    <row r="628" spans="1:54" ht="15.75" customHeight="1">
      <c r="A628" s="25">
        <f t="shared" si="2"/>
        <v>615</v>
      </c>
      <c r="B628" s="618" t="str">
        <f>'refer admin discharge'!B624</f>
        <v>x</v>
      </c>
      <c r="C628" s="351"/>
      <c r="D628" s="619" t="str">
        <f>'refer admin discharge'!D624</f>
        <v>xx</v>
      </c>
      <c r="E628" s="351"/>
      <c r="F628" s="620" t="str">
        <f>'refer admin discharge'!H624</f>
        <v>00/00/0000</v>
      </c>
      <c r="G628" s="351"/>
      <c r="H628" s="615"/>
      <c r="I628" s="351"/>
      <c r="J628" s="621"/>
      <c r="K628" s="351"/>
      <c r="L628" s="615"/>
      <c r="M628" s="351"/>
      <c r="N628" s="610"/>
      <c r="O628" s="351"/>
      <c r="P628" s="615"/>
      <c r="Q628" s="351"/>
      <c r="R628" s="610"/>
      <c r="S628" s="351"/>
      <c r="T628" s="615"/>
      <c r="U628" s="351"/>
      <c r="V628" s="613" t="str">
        <f>'refer admin discharge'!H629</f>
        <v>00/00/0000</v>
      </c>
      <c r="W628" s="351"/>
      <c r="X628" s="616"/>
      <c r="Y628" s="351"/>
      <c r="Z628" s="617"/>
      <c r="AA628" s="351"/>
      <c r="AB628" s="616"/>
      <c r="AC628" s="351"/>
      <c r="AD628" s="607"/>
      <c r="AE628" s="351"/>
      <c r="AF628" s="616"/>
      <c r="AG628" s="351"/>
      <c r="AH628" s="607"/>
      <c r="AI628" s="351"/>
      <c r="AJ628" s="616"/>
      <c r="AK628" s="351"/>
      <c r="AL628" s="622"/>
      <c r="AM628" s="350"/>
      <c r="AN628" s="350"/>
      <c r="AO628" s="350"/>
      <c r="AP628" s="350"/>
      <c r="AQ628" s="350"/>
      <c r="AR628" s="350"/>
      <c r="AS628" s="350"/>
      <c r="AT628" s="350"/>
      <c r="AU628" s="350"/>
      <c r="AV628" s="350"/>
      <c r="AW628" s="350"/>
      <c r="AX628" s="350"/>
      <c r="AY628" s="350"/>
      <c r="AZ628" s="350"/>
      <c r="BA628" s="350"/>
      <c r="BB628" s="351"/>
    </row>
    <row r="629" spans="1:54" ht="15.75" customHeight="1">
      <c r="A629" s="25">
        <f t="shared" si="2"/>
        <v>616</v>
      </c>
      <c r="B629" s="599" t="str">
        <f>'refer admin discharge'!B625</f>
        <v>x</v>
      </c>
      <c r="C629" s="351"/>
      <c r="D629" s="600" t="str">
        <f>'refer admin discharge'!D625</f>
        <v>xx</v>
      </c>
      <c r="E629" s="351"/>
      <c r="F629" s="609" t="str">
        <f>'refer admin discharge'!H625</f>
        <v>00/00/0000</v>
      </c>
      <c r="G629" s="351"/>
      <c r="H629" s="610"/>
      <c r="I629" s="351"/>
      <c r="J629" s="611"/>
      <c r="K629" s="351"/>
      <c r="L629" s="610"/>
      <c r="M629" s="351"/>
      <c r="N629" s="612"/>
      <c r="O629" s="351"/>
      <c r="P629" s="610"/>
      <c r="Q629" s="351"/>
      <c r="R629" s="612"/>
      <c r="S629" s="351"/>
      <c r="T629" s="610"/>
      <c r="U629" s="351"/>
      <c r="V629" s="613" t="str">
        <f>'refer admin discharge'!H630</f>
        <v>00/00/0000</v>
      </c>
      <c r="W629" s="351"/>
      <c r="X629" s="607"/>
      <c r="Y629" s="351"/>
      <c r="Z629" s="614"/>
      <c r="AA629" s="351"/>
      <c r="AB629" s="607"/>
      <c r="AC629" s="351"/>
      <c r="AD629" s="606"/>
      <c r="AE629" s="351"/>
      <c r="AF629" s="607"/>
      <c r="AG629" s="351"/>
      <c r="AH629" s="606"/>
      <c r="AI629" s="351"/>
      <c r="AJ629" s="607"/>
      <c r="AK629" s="351"/>
      <c r="AL629" s="608"/>
      <c r="AM629" s="350"/>
      <c r="AN629" s="350"/>
      <c r="AO629" s="350"/>
      <c r="AP629" s="350"/>
      <c r="AQ629" s="350"/>
      <c r="AR629" s="350"/>
      <c r="AS629" s="350"/>
      <c r="AT629" s="350"/>
      <c r="AU629" s="350"/>
      <c r="AV629" s="350"/>
      <c r="AW629" s="350"/>
      <c r="AX629" s="350"/>
      <c r="AY629" s="350"/>
      <c r="AZ629" s="350"/>
      <c r="BA629" s="350"/>
      <c r="BB629" s="351"/>
    </row>
    <row r="630" spans="1:54" ht="15.75" customHeight="1">
      <c r="A630" s="25">
        <f t="shared" si="2"/>
        <v>617</v>
      </c>
      <c r="B630" s="618" t="str">
        <f>'refer admin discharge'!B626</f>
        <v>x</v>
      </c>
      <c r="C630" s="351"/>
      <c r="D630" s="619" t="str">
        <f>'refer admin discharge'!D626</f>
        <v>xx</v>
      </c>
      <c r="E630" s="351"/>
      <c r="F630" s="620" t="str">
        <f>'refer admin discharge'!H626</f>
        <v>00/00/0000</v>
      </c>
      <c r="G630" s="351"/>
      <c r="H630" s="615"/>
      <c r="I630" s="351"/>
      <c r="J630" s="621"/>
      <c r="K630" s="351"/>
      <c r="L630" s="615"/>
      <c r="M630" s="351"/>
      <c r="N630" s="610"/>
      <c r="O630" s="351"/>
      <c r="P630" s="615"/>
      <c r="Q630" s="351"/>
      <c r="R630" s="610"/>
      <c r="S630" s="351"/>
      <c r="T630" s="615"/>
      <c r="U630" s="351"/>
      <c r="V630" s="613" t="str">
        <f>'refer admin discharge'!H631</f>
        <v>00/00/0000</v>
      </c>
      <c r="W630" s="351"/>
      <c r="X630" s="616"/>
      <c r="Y630" s="351"/>
      <c r="Z630" s="617"/>
      <c r="AA630" s="351"/>
      <c r="AB630" s="616"/>
      <c r="AC630" s="351"/>
      <c r="AD630" s="607"/>
      <c r="AE630" s="351"/>
      <c r="AF630" s="616"/>
      <c r="AG630" s="351"/>
      <c r="AH630" s="607"/>
      <c r="AI630" s="351"/>
      <c r="AJ630" s="616"/>
      <c r="AK630" s="351"/>
      <c r="AL630" s="622"/>
      <c r="AM630" s="350"/>
      <c r="AN630" s="350"/>
      <c r="AO630" s="350"/>
      <c r="AP630" s="350"/>
      <c r="AQ630" s="350"/>
      <c r="AR630" s="350"/>
      <c r="AS630" s="350"/>
      <c r="AT630" s="350"/>
      <c r="AU630" s="350"/>
      <c r="AV630" s="350"/>
      <c r="AW630" s="350"/>
      <c r="AX630" s="350"/>
      <c r="AY630" s="350"/>
      <c r="AZ630" s="350"/>
      <c r="BA630" s="350"/>
      <c r="BB630" s="351"/>
    </row>
    <row r="631" spans="1:54" ht="15.75" customHeight="1">
      <c r="A631" s="25">
        <f t="shared" si="2"/>
        <v>618</v>
      </c>
      <c r="B631" s="599" t="str">
        <f>'refer admin discharge'!B627</f>
        <v>x</v>
      </c>
      <c r="C631" s="351"/>
      <c r="D631" s="600" t="str">
        <f>'refer admin discharge'!D627</f>
        <v>xx</v>
      </c>
      <c r="E631" s="351"/>
      <c r="F631" s="609" t="str">
        <f>'refer admin discharge'!H627</f>
        <v>00/00/0000</v>
      </c>
      <c r="G631" s="351"/>
      <c r="H631" s="610"/>
      <c r="I631" s="351"/>
      <c r="J631" s="611"/>
      <c r="K631" s="351"/>
      <c r="L631" s="610"/>
      <c r="M631" s="351"/>
      <c r="N631" s="612"/>
      <c r="O631" s="351"/>
      <c r="P631" s="610"/>
      <c r="Q631" s="351"/>
      <c r="R631" s="612"/>
      <c r="S631" s="351"/>
      <c r="T631" s="610"/>
      <c r="U631" s="351"/>
      <c r="V631" s="613" t="str">
        <f>'refer admin discharge'!H632</f>
        <v>00/00/0000</v>
      </c>
      <c r="W631" s="351"/>
      <c r="X631" s="607"/>
      <c r="Y631" s="351"/>
      <c r="Z631" s="614"/>
      <c r="AA631" s="351"/>
      <c r="AB631" s="607"/>
      <c r="AC631" s="351"/>
      <c r="AD631" s="606"/>
      <c r="AE631" s="351"/>
      <c r="AF631" s="607"/>
      <c r="AG631" s="351"/>
      <c r="AH631" s="606"/>
      <c r="AI631" s="351"/>
      <c r="AJ631" s="607"/>
      <c r="AK631" s="351"/>
      <c r="AL631" s="608"/>
      <c r="AM631" s="350"/>
      <c r="AN631" s="350"/>
      <c r="AO631" s="350"/>
      <c r="AP631" s="350"/>
      <c r="AQ631" s="350"/>
      <c r="AR631" s="350"/>
      <c r="AS631" s="350"/>
      <c r="AT631" s="350"/>
      <c r="AU631" s="350"/>
      <c r="AV631" s="350"/>
      <c r="AW631" s="350"/>
      <c r="AX631" s="350"/>
      <c r="AY631" s="350"/>
      <c r="AZ631" s="350"/>
      <c r="BA631" s="350"/>
      <c r="BB631" s="351"/>
    </row>
    <row r="632" spans="1:54" ht="15.75" customHeight="1">
      <c r="A632" s="25">
        <f t="shared" si="2"/>
        <v>619</v>
      </c>
      <c r="B632" s="618" t="str">
        <f>'refer admin discharge'!B628</f>
        <v>x</v>
      </c>
      <c r="C632" s="351"/>
      <c r="D632" s="619" t="str">
        <f>'refer admin discharge'!D628</f>
        <v>xx</v>
      </c>
      <c r="E632" s="351"/>
      <c r="F632" s="620" t="str">
        <f>'refer admin discharge'!H628</f>
        <v>00/00/0000</v>
      </c>
      <c r="G632" s="351"/>
      <c r="H632" s="615"/>
      <c r="I632" s="351"/>
      <c r="J632" s="621"/>
      <c r="K632" s="351"/>
      <c r="L632" s="615"/>
      <c r="M632" s="351"/>
      <c r="N632" s="610"/>
      <c r="O632" s="351"/>
      <c r="P632" s="615"/>
      <c r="Q632" s="351"/>
      <c r="R632" s="610"/>
      <c r="S632" s="351"/>
      <c r="T632" s="615"/>
      <c r="U632" s="351"/>
      <c r="V632" s="613" t="str">
        <f>'refer admin discharge'!H633</f>
        <v>00/00/0000</v>
      </c>
      <c r="W632" s="351"/>
      <c r="X632" s="616"/>
      <c r="Y632" s="351"/>
      <c r="Z632" s="617"/>
      <c r="AA632" s="351"/>
      <c r="AB632" s="616"/>
      <c r="AC632" s="351"/>
      <c r="AD632" s="607"/>
      <c r="AE632" s="351"/>
      <c r="AF632" s="616"/>
      <c r="AG632" s="351"/>
      <c r="AH632" s="607"/>
      <c r="AI632" s="351"/>
      <c r="AJ632" s="616"/>
      <c r="AK632" s="351"/>
      <c r="AL632" s="622"/>
      <c r="AM632" s="350"/>
      <c r="AN632" s="350"/>
      <c r="AO632" s="350"/>
      <c r="AP632" s="350"/>
      <c r="AQ632" s="350"/>
      <c r="AR632" s="350"/>
      <c r="AS632" s="350"/>
      <c r="AT632" s="350"/>
      <c r="AU632" s="350"/>
      <c r="AV632" s="350"/>
      <c r="AW632" s="350"/>
      <c r="AX632" s="350"/>
      <c r="AY632" s="350"/>
      <c r="AZ632" s="350"/>
      <c r="BA632" s="350"/>
      <c r="BB632" s="351"/>
    </row>
    <row r="633" spans="1:54" ht="15.75" customHeight="1">
      <c r="A633" s="25">
        <f t="shared" si="2"/>
        <v>620</v>
      </c>
      <c r="B633" s="599" t="str">
        <f>'refer admin discharge'!B629</f>
        <v>x</v>
      </c>
      <c r="C633" s="351"/>
      <c r="D633" s="600" t="str">
        <f>'refer admin discharge'!D629</f>
        <v>xx</v>
      </c>
      <c r="E633" s="351"/>
      <c r="F633" s="609" t="str">
        <f>'refer admin discharge'!H629</f>
        <v>00/00/0000</v>
      </c>
      <c r="G633" s="351"/>
      <c r="H633" s="610"/>
      <c r="I633" s="351"/>
      <c r="J633" s="611"/>
      <c r="K633" s="351"/>
      <c r="L633" s="610"/>
      <c r="M633" s="351"/>
      <c r="N633" s="612"/>
      <c r="O633" s="351"/>
      <c r="P633" s="610"/>
      <c r="Q633" s="351"/>
      <c r="R633" s="612"/>
      <c r="S633" s="351"/>
      <c r="T633" s="610"/>
      <c r="U633" s="351"/>
      <c r="V633" s="613" t="str">
        <f>'refer admin discharge'!H634</f>
        <v>00/00/0000</v>
      </c>
      <c r="W633" s="351"/>
      <c r="X633" s="607"/>
      <c r="Y633" s="351"/>
      <c r="Z633" s="614"/>
      <c r="AA633" s="351"/>
      <c r="AB633" s="607"/>
      <c r="AC633" s="351"/>
      <c r="AD633" s="606"/>
      <c r="AE633" s="351"/>
      <c r="AF633" s="607"/>
      <c r="AG633" s="351"/>
      <c r="AH633" s="606"/>
      <c r="AI633" s="351"/>
      <c r="AJ633" s="607"/>
      <c r="AK633" s="351"/>
      <c r="AL633" s="608"/>
      <c r="AM633" s="350"/>
      <c r="AN633" s="350"/>
      <c r="AO633" s="350"/>
      <c r="AP633" s="350"/>
      <c r="AQ633" s="350"/>
      <c r="AR633" s="350"/>
      <c r="AS633" s="350"/>
      <c r="AT633" s="350"/>
      <c r="AU633" s="350"/>
      <c r="AV633" s="350"/>
      <c r="AW633" s="350"/>
      <c r="AX633" s="350"/>
      <c r="AY633" s="350"/>
      <c r="AZ633" s="350"/>
      <c r="BA633" s="350"/>
      <c r="BB633" s="351"/>
    </row>
    <row r="634" spans="1:54" ht="15.75" customHeight="1">
      <c r="A634" s="25">
        <f t="shared" si="2"/>
        <v>621</v>
      </c>
      <c r="B634" s="618" t="str">
        <f>'refer admin discharge'!B630</f>
        <v>x</v>
      </c>
      <c r="C634" s="351"/>
      <c r="D634" s="619" t="str">
        <f>'refer admin discharge'!D630</f>
        <v>xx</v>
      </c>
      <c r="E634" s="351"/>
      <c r="F634" s="620" t="str">
        <f>'refer admin discharge'!H630</f>
        <v>00/00/0000</v>
      </c>
      <c r="G634" s="351"/>
      <c r="H634" s="615"/>
      <c r="I634" s="351"/>
      <c r="J634" s="621"/>
      <c r="K634" s="351"/>
      <c r="L634" s="615"/>
      <c r="M634" s="351"/>
      <c r="N634" s="610"/>
      <c r="O634" s="351"/>
      <c r="P634" s="615"/>
      <c r="Q634" s="351"/>
      <c r="R634" s="610"/>
      <c r="S634" s="351"/>
      <c r="T634" s="615"/>
      <c r="U634" s="351"/>
      <c r="V634" s="613" t="str">
        <f>'refer admin discharge'!H635</f>
        <v>00/00/0000</v>
      </c>
      <c r="W634" s="351"/>
      <c r="X634" s="616"/>
      <c r="Y634" s="351"/>
      <c r="Z634" s="617"/>
      <c r="AA634" s="351"/>
      <c r="AB634" s="616"/>
      <c r="AC634" s="351"/>
      <c r="AD634" s="607"/>
      <c r="AE634" s="351"/>
      <c r="AF634" s="616"/>
      <c r="AG634" s="351"/>
      <c r="AH634" s="607"/>
      <c r="AI634" s="351"/>
      <c r="AJ634" s="616"/>
      <c r="AK634" s="351"/>
      <c r="AL634" s="622"/>
      <c r="AM634" s="350"/>
      <c r="AN634" s="350"/>
      <c r="AO634" s="350"/>
      <c r="AP634" s="350"/>
      <c r="AQ634" s="350"/>
      <c r="AR634" s="350"/>
      <c r="AS634" s="350"/>
      <c r="AT634" s="350"/>
      <c r="AU634" s="350"/>
      <c r="AV634" s="350"/>
      <c r="AW634" s="350"/>
      <c r="AX634" s="350"/>
      <c r="AY634" s="350"/>
      <c r="AZ634" s="350"/>
      <c r="BA634" s="350"/>
      <c r="BB634" s="351"/>
    </row>
    <row r="635" spans="1:54" ht="15.75" customHeight="1">
      <c r="A635" s="25">
        <f t="shared" si="2"/>
        <v>622</v>
      </c>
      <c r="B635" s="599" t="str">
        <f>'refer admin discharge'!B631</f>
        <v>x</v>
      </c>
      <c r="C635" s="351"/>
      <c r="D635" s="600" t="str">
        <f>'refer admin discharge'!D631</f>
        <v>xx</v>
      </c>
      <c r="E635" s="351"/>
      <c r="F635" s="609" t="str">
        <f>'refer admin discharge'!H631</f>
        <v>00/00/0000</v>
      </c>
      <c r="G635" s="351"/>
      <c r="H635" s="610"/>
      <c r="I635" s="351"/>
      <c r="J635" s="611"/>
      <c r="K635" s="351"/>
      <c r="L635" s="610"/>
      <c r="M635" s="351"/>
      <c r="N635" s="612"/>
      <c r="O635" s="351"/>
      <c r="P635" s="610"/>
      <c r="Q635" s="351"/>
      <c r="R635" s="612"/>
      <c r="S635" s="351"/>
      <c r="T635" s="610"/>
      <c r="U635" s="351"/>
      <c r="V635" s="613" t="str">
        <f>'refer admin discharge'!H636</f>
        <v>00/00/0000</v>
      </c>
      <c r="W635" s="351"/>
      <c r="X635" s="607"/>
      <c r="Y635" s="351"/>
      <c r="Z635" s="614"/>
      <c r="AA635" s="351"/>
      <c r="AB635" s="607"/>
      <c r="AC635" s="351"/>
      <c r="AD635" s="606"/>
      <c r="AE635" s="351"/>
      <c r="AF635" s="607"/>
      <c r="AG635" s="351"/>
      <c r="AH635" s="606"/>
      <c r="AI635" s="351"/>
      <c r="AJ635" s="607"/>
      <c r="AK635" s="351"/>
      <c r="AL635" s="608"/>
      <c r="AM635" s="350"/>
      <c r="AN635" s="350"/>
      <c r="AO635" s="350"/>
      <c r="AP635" s="350"/>
      <c r="AQ635" s="350"/>
      <c r="AR635" s="350"/>
      <c r="AS635" s="350"/>
      <c r="AT635" s="350"/>
      <c r="AU635" s="350"/>
      <c r="AV635" s="350"/>
      <c r="AW635" s="350"/>
      <c r="AX635" s="350"/>
      <c r="AY635" s="350"/>
      <c r="AZ635" s="350"/>
      <c r="BA635" s="350"/>
      <c r="BB635" s="351"/>
    </row>
    <row r="636" spans="1:54" ht="15.75" customHeight="1">
      <c r="A636" s="25">
        <f t="shared" si="2"/>
        <v>623</v>
      </c>
      <c r="B636" s="618" t="str">
        <f>'refer admin discharge'!B632</f>
        <v>x</v>
      </c>
      <c r="C636" s="351"/>
      <c r="D636" s="619" t="str">
        <f>'refer admin discharge'!D632</f>
        <v>xx</v>
      </c>
      <c r="E636" s="351"/>
      <c r="F636" s="620" t="str">
        <f>'refer admin discharge'!H632</f>
        <v>00/00/0000</v>
      </c>
      <c r="G636" s="351"/>
      <c r="H636" s="615"/>
      <c r="I636" s="351"/>
      <c r="J636" s="621"/>
      <c r="K636" s="351"/>
      <c r="L636" s="615"/>
      <c r="M636" s="351"/>
      <c r="N636" s="610"/>
      <c r="O636" s="351"/>
      <c r="P636" s="615"/>
      <c r="Q636" s="351"/>
      <c r="R636" s="610"/>
      <c r="S636" s="351"/>
      <c r="T636" s="615"/>
      <c r="U636" s="351"/>
      <c r="V636" s="613" t="str">
        <f>'refer admin discharge'!H637</f>
        <v>00/00/0000</v>
      </c>
      <c r="W636" s="351"/>
      <c r="X636" s="616"/>
      <c r="Y636" s="351"/>
      <c r="Z636" s="617"/>
      <c r="AA636" s="351"/>
      <c r="AB636" s="616"/>
      <c r="AC636" s="351"/>
      <c r="AD636" s="607"/>
      <c r="AE636" s="351"/>
      <c r="AF636" s="616"/>
      <c r="AG636" s="351"/>
      <c r="AH636" s="607"/>
      <c r="AI636" s="351"/>
      <c r="AJ636" s="616"/>
      <c r="AK636" s="351"/>
      <c r="AL636" s="622"/>
      <c r="AM636" s="350"/>
      <c r="AN636" s="350"/>
      <c r="AO636" s="350"/>
      <c r="AP636" s="350"/>
      <c r="AQ636" s="350"/>
      <c r="AR636" s="350"/>
      <c r="AS636" s="350"/>
      <c r="AT636" s="350"/>
      <c r="AU636" s="350"/>
      <c r="AV636" s="350"/>
      <c r="AW636" s="350"/>
      <c r="AX636" s="350"/>
      <c r="AY636" s="350"/>
      <c r="AZ636" s="350"/>
      <c r="BA636" s="350"/>
      <c r="BB636" s="351"/>
    </row>
    <row r="637" spans="1:54" ht="15.75" customHeight="1">
      <c r="A637" s="25">
        <f t="shared" si="2"/>
        <v>624</v>
      </c>
      <c r="B637" s="599" t="str">
        <f>'refer admin discharge'!B633</f>
        <v>x</v>
      </c>
      <c r="C637" s="351"/>
      <c r="D637" s="600" t="str">
        <f>'refer admin discharge'!D633</f>
        <v>xx</v>
      </c>
      <c r="E637" s="351"/>
      <c r="F637" s="609" t="str">
        <f>'refer admin discharge'!H633</f>
        <v>00/00/0000</v>
      </c>
      <c r="G637" s="351"/>
      <c r="H637" s="610"/>
      <c r="I637" s="351"/>
      <c r="J637" s="611"/>
      <c r="K637" s="351"/>
      <c r="L637" s="610"/>
      <c r="M637" s="351"/>
      <c r="N637" s="612"/>
      <c r="O637" s="351"/>
      <c r="P637" s="610"/>
      <c r="Q637" s="351"/>
      <c r="R637" s="612"/>
      <c r="S637" s="351"/>
      <c r="T637" s="610"/>
      <c r="U637" s="351"/>
      <c r="V637" s="613" t="str">
        <f>'refer admin discharge'!H638</f>
        <v>00/00/0000</v>
      </c>
      <c r="W637" s="351"/>
      <c r="X637" s="607"/>
      <c r="Y637" s="351"/>
      <c r="Z637" s="614"/>
      <c r="AA637" s="351"/>
      <c r="AB637" s="607"/>
      <c r="AC637" s="351"/>
      <c r="AD637" s="606"/>
      <c r="AE637" s="351"/>
      <c r="AF637" s="607"/>
      <c r="AG637" s="351"/>
      <c r="AH637" s="606"/>
      <c r="AI637" s="351"/>
      <c r="AJ637" s="607"/>
      <c r="AK637" s="351"/>
      <c r="AL637" s="608"/>
      <c r="AM637" s="350"/>
      <c r="AN637" s="350"/>
      <c r="AO637" s="350"/>
      <c r="AP637" s="350"/>
      <c r="AQ637" s="350"/>
      <c r="AR637" s="350"/>
      <c r="AS637" s="350"/>
      <c r="AT637" s="350"/>
      <c r="AU637" s="350"/>
      <c r="AV637" s="350"/>
      <c r="AW637" s="350"/>
      <c r="AX637" s="350"/>
      <c r="AY637" s="350"/>
      <c r="AZ637" s="350"/>
      <c r="BA637" s="350"/>
      <c r="BB637" s="351"/>
    </row>
    <row r="638" spans="1:54" ht="15.75" customHeight="1">
      <c r="A638" s="25">
        <f t="shared" si="2"/>
        <v>625</v>
      </c>
      <c r="B638" s="618" t="str">
        <f>'refer admin discharge'!B634</f>
        <v>x</v>
      </c>
      <c r="C638" s="351"/>
      <c r="D638" s="619" t="str">
        <f>'refer admin discharge'!D634</f>
        <v>xx</v>
      </c>
      <c r="E638" s="351"/>
      <c r="F638" s="620" t="str">
        <f>'refer admin discharge'!H634</f>
        <v>00/00/0000</v>
      </c>
      <c r="G638" s="351"/>
      <c r="H638" s="615"/>
      <c r="I638" s="351"/>
      <c r="J638" s="621"/>
      <c r="K638" s="351"/>
      <c r="L638" s="615"/>
      <c r="M638" s="351"/>
      <c r="N638" s="610"/>
      <c r="O638" s="351"/>
      <c r="P638" s="615"/>
      <c r="Q638" s="351"/>
      <c r="R638" s="610"/>
      <c r="S638" s="351"/>
      <c r="T638" s="615"/>
      <c r="U638" s="351"/>
      <c r="V638" s="613" t="str">
        <f>'refer admin discharge'!H639</f>
        <v>00/00/0000</v>
      </c>
      <c r="W638" s="351"/>
      <c r="X638" s="616"/>
      <c r="Y638" s="351"/>
      <c r="Z638" s="617"/>
      <c r="AA638" s="351"/>
      <c r="AB638" s="616"/>
      <c r="AC638" s="351"/>
      <c r="AD638" s="607"/>
      <c r="AE638" s="351"/>
      <c r="AF638" s="616"/>
      <c r="AG638" s="351"/>
      <c r="AH638" s="607"/>
      <c r="AI638" s="351"/>
      <c r="AJ638" s="616"/>
      <c r="AK638" s="351"/>
      <c r="AL638" s="622"/>
      <c r="AM638" s="350"/>
      <c r="AN638" s="350"/>
      <c r="AO638" s="350"/>
      <c r="AP638" s="350"/>
      <c r="AQ638" s="350"/>
      <c r="AR638" s="350"/>
      <c r="AS638" s="350"/>
      <c r="AT638" s="350"/>
      <c r="AU638" s="350"/>
      <c r="AV638" s="350"/>
      <c r="AW638" s="350"/>
      <c r="AX638" s="350"/>
      <c r="AY638" s="350"/>
      <c r="AZ638" s="350"/>
      <c r="BA638" s="350"/>
      <c r="BB638" s="351"/>
    </row>
    <row r="639" spans="1:54" ht="15.75" customHeight="1">
      <c r="A639" s="25">
        <f t="shared" si="2"/>
        <v>626</v>
      </c>
      <c r="B639" s="599" t="str">
        <f>'refer admin discharge'!B635</f>
        <v>x</v>
      </c>
      <c r="C639" s="351"/>
      <c r="D639" s="600" t="str">
        <f>'refer admin discharge'!D635</f>
        <v>xx</v>
      </c>
      <c r="E639" s="351"/>
      <c r="F639" s="609" t="str">
        <f>'refer admin discharge'!H635</f>
        <v>00/00/0000</v>
      </c>
      <c r="G639" s="351"/>
      <c r="H639" s="610"/>
      <c r="I639" s="351"/>
      <c r="J639" s="611"/>
      <c r="K639" s="351"/>
      <c r="L639" s="610"/>
      <c r="M639" s="351"/>
      <c r="N639" s="612"/>
      <c r="O639" s="351"/>
      <c r="P639" s="610"/>
      <c r="Q639" s="351"/>
      <c r="R639" s="612"/>
      <c r="S639" s="351"/>
      <c r="T639" s="610"/>
      <c r="U639" s="351"/>
      <c r="V639" s="613" t="str">
        <f>'refer admin discharge'!H640</f>
        <v>00/00/0000</v>
      </c>
      <c r="W639" s="351"/>
      <c r="X639" s="607"/>
      <c r="Y639" s="351"/>
      <c r="Z639" s="614"/>
      <c r="AA639" s="351"/>
      <c r="AB639" s="607"/>
      <c r="AC639" s="351"/>
      <c r="AD639" s="606"/>
      <c r="AE639" s="351"/>
      <c r="AF639" s="607"/>
      <c r="AG639" s="351"/>
      <c r="AH639" s="606"/>
      <c r="AI639" s="351"/>
      <c r="AJ639" s="607"/>
      <c r="AK639" s="351"/>
      <c r="AL639" s="608"/>
      <c r="AM639" s="350"/>
      <c r="AN639" s="350"/>
      <c r="AO639" s="350"/>
      <c r="AP639" s="350"/>
      <c r="AQ639" s="350"/>
      <c r="AR639" s="350"/>
      <c r="AS639" s="350"/>
      <c r="AT639" s="350"/>
      <c r="AU639" s="350"/>
      <c r="AV639" s="350"/>
      <c r="AW639" s="350"/>
      <c r="AX639" s="350"/>
      <c r="AY639" s="350"/>
      <c r="AZ639" s="350"/>
      <c r="BA639" s="350"/>
      <c r="BB639" s="351"/>
    </row>
    <row r="640" spans="1:54" ht="15.75" customHeight="1">
      <c r="A640" s="25">
        <f t="shared" si="2"/>
        <v>627</v>
      </c>
      <c r="B640" s="618" t="str">
        <f>'refer admin discharge'!B636</f>
        <v>x</v>
      </c>
      <c r="C640" s="351"/>
      <c r="D640" s="619" t="str">
        <f>'refer admin discharge'!D636</f>
        <v>xx</v>
      </c>
      <c r="E640" s="351"/>
      <c r="F640" s="620" t="str">
        <f>'refer admin discharge'!H636</f>
        <v>00/00/0000</v>
      </c>
      <c r="G640" s="351"/>
      <c r="H640" s="615"/>
      <c r="I640" s="351"/>
      <c r="J640" s="621"/>
      <c r="K640" s="351"/>
      <c r="L640" s="615"/>
      <c r="M640" s="351"/>
      <c r="N640" s="610"/>
      <c r="O640" s="351"/>
      <c r="P640" s="615"/>
      <c r="Q640" s="351"/>
      <c r="R640" s="610"/>
      <c r="S640" s="351"/>
      <c r="T640" s="615"/>
      <c r="U640" s="351"/>
      <c r="V640" s="613" t="str">
        <f>'refer admin discharge'!H641</f>
        <v>00/00/0000</v>
      </c>
      <c r="W640" s="351"/>
      <c r="X640" s="616"/>
      <c r="Y640" s="351"/>
      <c r="Z640" s="617"/>
      <c r="AA640" s="351"/>
      <c r="AB640" s="616"/>
      <c r="AC640" s="351"/>
      <c r="AD640" s="607"/>
      <c r="AE640" s="351"/>
      <c r="AF640" s="616"/>
      <c r="AG640" s="351"/>
      <c r="AH640" s="607"/>
      <c r="AI640" s="351"/>
      <c r="AJ640" s="616"/>
      <c r="AK640" s="351"/>
      <c r="AL640" s="622"/>
      <c r="AM640" s="350"/>
      <c r="AN640" s="350"/>
      <c r="AO640" s="350"/>
      <c r="AP640" s="350"/>
      <c r="AQ640" s="350"/>
      <c r="AR640" s="350"/>
      <c r="AS640" s="350"/>
      <c r="AT640" s="350"/>
      <c r="AU640" s="350"/>
      <c r="AV640" s="350"/>
      <c r="AW640" s="350"/>
      <c r="AX640" s="350"/>
      <c r="AY640" s="350"/>
      <c r="AZ640" s="350"/>
      <c r="BA640" s="350"/>
      <c r="BB640" s="351"/>
    </row>
    <row r="641" spans="1:54" ht="15.75" customHeight="1">
      <c r="A641" s="25">
        <f t="shared" si="2"/>
        <v>628</v>
      </c>
      <c r="B641" s="599" t="str">
        <f>'refer admin discharge'!B637</f>
        <v>x</v>
      </c>
      <c r="C641" s="351"/>
      <c r="D641" s="600" t="str">
        <f>'refer admin discharge'!D637</f>
        <v>xx</v>
      </c>
      <c r="E641" s="351"/>
      <c r="F641" s="609" t="str">
        <f>'refer admin discharge'!H637</f>
        <v>00/00/0000</v>
      </c>
      <c r="G641" s="351"/>
      <c r="H641" s="610"/>
      <c r="I641" s="351"/>
      <c r="J641" s="611"/>
      <c r="K641" s="351"/>
      <c r="L641" s="610"/>
      <c r="M641" s="351"/>
      <c r="N641" s="612"/>
      <c r="O641" s="351"/>
      <c r="P641" s="610"/>
      <c r="Q641" s="351"/>
      <c r="R641" s="612"/>
      <c r="S641" s="351"/>
      <c r="T641" s="610"/>
      <c r="U641" s="351"/>
      <c r="V641" s="613" t="str">
        <f>'refer admin discharge'!H642</f>
        <v>00/00/0000</v>
      </c>
      <c r="W641" s="351"/>
      <c r="X641" s="607"/>
      <c r="Y641" s="351"/>
      <c r="Z641" s="614"/>
      <c r="AA641" s="351"/>
      <c r="AB641" s="607"/>
      <c r="AC641" s="351"/>
      <c r="AD641" s="606"/>
      <c r="AE641" s="351"/>
      <c r="AF641" s="607"/>
      <c r="AG641" s="351"/>
      <c r="AH641" s="606"/>
      <c r="AI641" s="351"/>
      <c r="AJ641" s="607"/>
      <c r="AK641" s="351"/>
      <c r="AL641" s="608"/>
      <c r="AM641" s="350"/>
      <c r="AN641" s="350"/>
      <c r="AO641" s="350"/>
      <c r="AP641" s="350"/>
      <c r="AQ641" s="350"/>
      <c r="AR641" s="350"/>
      <c r="AS641" s="350"/>
      <c r="AT641" s="350"/>
      <c r="AU641" s="350"/>
      <c r="AV641" s="350"/>
      <c r="AW641" s="350"/>
      <c r="AX641" s="350"/>
      <c r="AY641" s="350"/>
      <c r="AZ641" s="350"/>
      <c r="BA641" s="350"/>
      <c r="BB641" s="351"/>
    </row>
    <row r="642" spans="1:54" ht="15.75" customHeight="1">
      <c r="A642" s="25">
        <f t="shared" si="2"/>
        <v>629</v>
      </c>
      <c r="B642" s="618" t="str">
        <f>'refer admin discharge'!B638</f>
        <v>x</v>
      </c>
      <c r="C642" s="351"/>
      <c r="D642" s="619" t="str">
        <f>'refer admin discharge'!D638</f>
        <v>xx</v>
      </c>
      <c r="E642" s="351"/>
      <c r="F642" s="620" t="str">
        <f>'refer admin discharge'!H638</f>
        <v>00/00/0000</v>
      </c>
      <c r="G642" s="351"/>
      <c r="H642" s="615"/>
      <c r="I642" s="351"/>
      <c r="J642" s="621"/>
      <c r="K642" s="351"/>
      <c r="L642" s="615"/>
      <c r="M642" s="351"/>
      <c r="N642" s="610"/>
      <c r="O642" s="351"/>
      <c r="P642" s="615"/>
      <c r="Q642" s="351"/>
      <c r="R642" s="610"/>
      <c r="S642" s="351"/>
      <c r="T642" s="615"/>
      <c r="U642" s="351"/>
      <c r="V642" s="613" t="str">
        <f>'refer admin discharge'!H643</f>
        <v>00/00/0000</v>
      </c>
      <c r="W642" s="351"/>
      <c r="X642" s="616"/>
      <c r="Y642" s="351"/>
      <c r="Z642" s="617"/>
      <c r="AA642" s="351"/>
      <c r="AB642" s="616"/>
      <c r="AC642" s="351"/>
      <c r="AD642" s="607"/>
      <c r="AE642" s="351"/>
      <c r="AF642" s="616"/>
      <c r="AG642" s="351"/>
      <c r="AH642" s="607"/>
      <c r="AI642" s="351"/>
      <c r="AJ642" s="616"/>
      <c r="AK642" s="351"/>
      <c r="AL642" s="622"/>
      <c r="AM642" s="350"/>
      <c r="AN642" s="350"/>
      <c r="AO642" s="350"/>
      <c r="AP642" s="350"/>
      <c r="AQ642" s="350"/>
      <c r="AR642" s="350"/>
      <c r="AS642" s="350"/>
      <c r="AT642" s="350"/>
      <c r="AU642" s="350"/>
      <c r="AV642" s="350"/>
      <c r="AW642" s="350"/>
      <c r="AX642" s="350"/>
      <c r="AY642" s="350"/>
      <c r="AZ642" s="350"/>
      <c r="BA642" s="350"/>
      <c r="BB642" s="351"/>
    </row>
    <row r="643" spans="1:54" ht="15.75" customHeight="1">
      <c r="A643" s="25">
        <f t="shared" si="2"/>
        <v>630</v>
      </c>
      <c r="B643" s="599" t="str">
        <f>'refer admin discharge'!B639</f>
        <v>x</v>
      </c>
      <c r="C643" s="351"/>
      <c r="D643" s="600" t="str">
        <f>'refer admin discharge'!D639</f>
        <v>xx</v>
      </c>
      <c r="E643" s="351"/>
      <c r="F643" s="609" t="str">
        <f>'refer admin discharge'!H639</f>
        <v>00/00/0000</v>
      </c>
      <c r="G643" s="351"/>
      <c r="H643" s="610"/>
      <c r="I643" s="351"/>
      <c r="J643" s="611"/>
      <c r="K643" s="351"/>
      <c r="L643" s="610"/>
      <c r="M643" s="351"/>
      <c r="N643" s="612"/>
      <c r="O643" s="351"/>
      <c r="P643" s="610"/>
      <c r="Q643" s="351"/>
      <c r="R643" s="612"/>
      <c r="S643" s="351"/>
      <c r="T643" s="610"/>
      <c r="U643" s="351"/>
      <c r="V643" s="613" t="str">
        <f>'refer admin discharge'!H644</f>
        <v>00/00/0000</v>
      </c>
      <c r="W643" s="351"/>
      <c r="X643" s="607"/>
      <c r="Y643" s="351"/>
      <c r="Z643" s="614"/>
      <c r="AA643" s="351"/>
      <c r="AB643" s="607"/>
      <c r="AC643" s="351"/>
      <c r="AD643" s="606"/>
      <c r="AE643" s="351"/>
      <c r="AF643" s="607"/>
      <c r="AG643" s="351"/>
      <c r="AH643" s="606"/>
      <c r="AI643" s="351"/>
      <c r="AJ643" s="607"/>
      <c r="AK643" s="351"/>
      <c r="AL643" s="608"/>
      <c r="AM643" s="350"/>
      <c r="AN643" s="350"/>
      <c r="AO643" s="350"/>
      <c r="AP643" s="350"/>
      <c r="AQ643" s="350"/>
      <c r="AR643" s="350"/>
      <c r="AS643" s="350"/>
      <c r="AT643" s="350"/>
      <c r="AU643" s="350"/>
      <c r="AV643" s="350"/>
      <c r="AW643" s="350"/>
      <c r="AX643" s="350"/>
      <c r="AY643" s="350"/>
      <c r="AZ643" s="350"/>
      <c r="BA643" s="350"/>
      <c r="BB643" s="351"/>
    </row>
    <row r="644" spans="1:54" ht="15.75" customHeight="1">
      <c r="A644" s="25">
        <f t="shared" si="2"/>
        <v>631</v>
      </c>
      <c r="B644" s="618" t="str">
        <f>'refer admin discharge'!B640</f>
        <v>x</v>
      </c>
      <c r="C644" s="351"/>
      <c r="D644" s="619" t="str">
        <f>'refer admin discharge'!D640</f>
        <v>xx</v>
      </c>
      <c r="E644" s="351"/>
      <c r="F644" s="620" t="str">
        <f>'refer admin discharge'!H640</f>
        <v>00/00/0000</v>
      </c>
      <c r="G644" s="351"/>
      <c r="H644" s="615"/>
      <c r="I644" s="351"/>
      <c r="J644" s="621"/>
      <c r="K644" s="351"/>
      <c r="L644" s="615"/>
      <c r="M644" s="351"/>
      <c r="N644" s="610"/>
      <c r="O644" s="351"/>
      <c r="P644" s="615"/>
      <c r="Q644" s="351"/>
      <c r="R644" s="610"/>
      <c r="S644" s="351"/>
      <c r="T644" s="615"/>
      <c r="U644" s="351"/>
      <c r="V644" s="613" t="str">
        <f>'refer admin discharge'!H645</f>
        <v>00/00/0000</v>
      </c>
      <c r="W644" s="351"/>
      <c r="X644" s="616"/>
      <c r="Y644" s="351"/>
      <c r="Z644" s="617"/>
      <c r="AA644" s="351"/>
      <c r="AB644" s="616"/>
      <c r="AC644" s="351"/>
      <c r="AD644" s="607"/>
      <c r="AE644" s="351"/>
      <c r="AF644" s="616"/>
      <c r="AG644" s="351"/>
      <c r="AH644" s="607"/>
      <c r="AI644" s="351"/>
      <c r="AJ644" s="616"/>
      <c r="AK644" s="351"/>
      <c r="AL644" s="622"/>
      <c r="AM644" s="350"/>
      <c r="AN644" s="350"/>
      <c r="AO644" s="350"/>
      <c r="AP644" s="350"/>
      <c r="AQ644" s="350"/>
      <c r="AR644" s="350"/>
      <c r="AS644" s="350"/>
      <c r="AT644" s="350"/>
      <c r="AU644" s="350"/>
      <c r="AV644" s="350"/>
      <c r="AW644" s="350"/>
      <c r="AX644" s="350"/>
      <c r="AY644" s="350"/>
      <c r="AZ644" s="350"/>
      <c r="BA644" s="350"/>
      <c r="BB644" s="351"/>
    </row>
    <row r="645" spans="1:54" ht="15.75" customHeight="1">
      <c r="A645" s="25">
        <f t="shared" si="2"/>
        <v>632</v>
      </c>
      <c r="B645" s="599" t="str">
        <f>'refer admin discharge'!B641</f>
        <v>x</v>
      </c>
      <c r="C645" s="351"/>
      <c r="D645" s="600" t="str">
        <f>'refer admin discharge'!D641</f>
        <v>xx</v>
      </c>
      <c r="E645" s="351"/>
      <c r="F645" s="609" t="str">
        <f>'refer admin discharge'!H641</f>
        <v>00/00/0000</v>
      </c>
      <c r="G645" s="351"/>
      <c r="H645" s="610"/>
      <c r="I645" s="351"/>
      <c r="J645" s="611"/>
      <c r="K645" s="351"/>
      <c r="L645" s="610"/>
      <c r="M645" s="351"/>
      <c r="N645" s="612"/>
      <c r="O645" s="351"/>
      <c r="P645" s="610"/>
      <c r="Q645" s="351"/>
      <c r="R645" s="612"/>
      <c r="S645" s="351"/>
      <c r="T645" s="610"/>
      <c r="U645" s="351"/>
      <c r="V645" s="613" t="str">
        <f>'refer admin discharge'!H646</f>
        <v>00/00/0000</v>
      </c>
      <c r="W645" s="351"/>
      <c r="X645" s="607"/>
      <c r="Y645" s="351"/>
      <c r="Z645" s="614"/>
      <c r="AA645" s="351"/>
      <c r="AB645" s="607"/>
      <c r="AC645" s="351"/>
      <c r="AD645" s="606"/>
      <c r="AE645" s="351"/>
      <c r="AF645" s="607"/>
      <c r="AG645" s="351"/>
      <c r="AH645" s="606"/>
      <c r="AI645" s="351"/>
      <c r="AJ645" s="607"/>
      <c r="AK645" s="351"/>
      <c r="AL645" s="608"/>
      <c r="AM645" s="350"/>
      <c r="AN645" s="350"/>
      <c r="AO645" s="350"/>
      <c r="AP645" s="350"/>
      <c r="AQ645" s="350"/>
      <c r="AR645" s="350"/>
      <c r="AS645" s="350"/>
      <c r="AT645" s="350"/>
      <c r="AU645" s="350"/>
      <c r="AV645" s="350"/>
      <c r="AW645" s="350"/>
      <c r="AX645" s="350"/>
      <c r="AY645" s="350"/>
      <c r="AZ645" s="350"/>
      <c r="BA645" s="350"/>
      <c r="BB645" s="351"/>
    </row>
    <row r="646" spans="1:54" ht="15.75" customHeight="1">
      <c r="A646" s="25">
        <f t="shared" si="2"/>
        <v>633</v>
      </c>
      <c r="B646" s="618" t="str">
        <f>'refer admin discharge'!B642</f>
        <v>x</v>
      </c>
      <c r="C646" s="351"/>
      <c r="D646" s="619" t="str">
        <f>'refer admin discharge'!D642</f>
        <v>xx</v>
      </c>
      <c r="E646" s="351"/>
      <c r="F646" s="620" t="str">
        <f>'refer admin discharge'!H642</f>
        <v>00/00/0000</v>
      </c>
      <c r="G646" s="351"/>
      <c r="H646" s="615"/>
      <c r="I646" s="351"/>
      <c r="J646" s="621"/>
      <c r="K646" s="351"/>
      <c r="L646" s="615"/>
      <c r="M646" s="351"/>
      <c r="N646" s="610"/>
      <c r="O646" s="351"/>
      <c r="P646" s="615"/>
      <c r="Q646" s="351"/>
      <c r="R646" s="610"/>
      <c r="S646" s="351"/>
      <c r="T646" s="615"/>
      <c r="U646" s="351"/>
      <c r="V646" s="613" t="str">
        <f>'refer admin discharge'!H647</f>
        <v>00/00/0000</v>
      </c>
      <c r="W646" s="351"/>
      <c r="X646" s="616"/>
      <c r="Y646" s="351"/>
      <c r="Z646" s="617"/>
      <c r="AA646" s="351"/>
      <c r="AB646" s="616"/>
      <c r="AC646" s="351"/>
      <c r="AD646" s="607"/>
      <c r="AE646" s="351"/>
      <c r="AF646" s="616"/>
      <c r="AG646" s="351"/>
      <c r="AH646" s="607"/>
      <c r="AI646" s="351"/>
      <c r="AJ646" s="616"/>
      <c r="AK646" s="351"/>
      <c r="AL646" s="622"/>
      <c r="AM646" s="350"/>
      <c r="AN646" s="350"/>
      <c r="AO646" s="350"/>
      <c r="AP646" s="350"/>
      <c r="AQ646" s="350"/>
      <c r="AR646" s="350"/>
      <c r="AS646" s="350"/>
      <c r="AT646" s="350"/>
      <c r="AU646" s="350"/>
      <c r="AV646" s="350"/>
      <c r="AW646" s="350"/>
      <c r="AX646" s="350"/>
      <c r="AY646" s="350"/>
      <c r="AZ646" s="350"/>
      <c r="BA646" s="350"/>
      <c r="BB646" s="351"/>
    </row>
    <row r="647" spans="1:54" ht="15.75" customHeight="1">
      <c r="A647" s="25">
        <f t="shared" si="2"/>
        <v>634</v>
      </c>
      <c r="B647" s="599" t="str">
        <f>'refer admin discharge'!B643</f>
        <v>x</v>
      </c>
      <c r="C647" s="351"/>
      <c r="D647" s="600" t="str">
        <f>'refer admin discharge'!D643</f>
        <v>xx</v>
      </c>
      <c r="E647" s="351"/>
      <c r="F647" s="609" t="str">
        <f>'refer admin discharge'!H643</f>
        <v>00/00/0000</v>
      </c>
      <c r="G647" s="351"/>
      <c r="H647" s="610"/>
      <c r="I647" s="351"/>
      <c r="J647" s="611"/>
      <c r="K647" s="351"/>
      <c r="L647" s="610"/>
      <c r="M647" s="351"/>
      <c r="N647" s="612"/>
      <c r="O647" s="351"/>
      <c r="P647" s="610"/>
      <c r="Q647" s="351"/>
      <c r="R647" s="612"/>
      <c r="S647" s="351"/>
      <c r="T647" s="610"/>
      <c r="U647" s="351"/>
      <c r="V647" s="613" t="str">
        <f>'refer admin discharge'!H648</f>
        <v>00/00/0000</v>
      </c>
      <c r="W647" s="351"/>
      <c r="X647" s="607"/>
      <c r="Y647" s="351"/>
      <c r="Z647" s="614"/>
      <c r="AA647" s="351"/>
      <c r="AB647" s="607"/>
      <c r="AC647" s="351"/>
      <c r="AD647" s="606"/>
      <c r="AE647" s="351"/>
      <c r="AF647" s="607"/>
      <c r="AG647" s="351"/>
      <c r="AH647" s="606"/>
      <c r="AI647" s="351"/>
      <c r="AJ647" s="607"/>
      <c r="AK647" s="351"/>
      <c r="AL647" s="608"/>
      <c r="AM647" s="350"/>
      <c r="AN647" s="350"/>
      <c r="AO647" s="350"/>
      <c r="AP647" s="350"/>
      <c r="AQ647" s="350"/>
      <c r="AR647" s="350"/>
      <c r="AS647" s="350"/>
      <c r="AT647" s="350"/>
      <c r="AU647" s="350"/>
      <c r="AV647" s="350"/>
      <c r="AW647" s="350"/>
      <c r="AX647" s="350"/>
      <c r="AY647" s="350"/>
      <c r="AZ647" s="350"/>
      <c r="BA647" s="350"/>
      <c r="BB647" s="351"/>
    </row>
    <row r="648" spans="1:54" ht="15.75" customHeight="1">
      <c r="A648" s="25">
        <f t="shared" si="2"/>
        <v>635</v>
      </c>
      <c r="B648" s="618" t="str">
        <f>'refer admin discharge'!B644</f>
        <v>x</v>
      </c>
      <c r="C648" s="351"/>
      <c r="D648" s="619" t="str">
        <f>'refer admin discharge'!D644</f>
        <v>xx</v>
      </c>
      <c r="E648" s="351"/>
      <c r="F648" s="620" t="str">
        <f>'refer admin discharge'!H644</f>
        <v>00/00/0000</v>
      </c>
      <c r="G648" s="351"/>
      <c r="H648" s="615"/>
      <c r="I648" s="351"/>
      <c r="J648" s="621"/>
      <c r="K648" s="351"/>
      <c r="L648" s="615"/>
      <c r="M648" s="351"/>
      <c r="N648" s="610"/>
      <c r="O648" s="351"/>
      <c r="P648" s="615"/>
      <c r="Q648" s="351"/>
      <c r="R648" s="610"/>
      <c r="S648" s="351"/>
      <c r="T648" s="615"/>
      <c r="U648" s="351"/>
      <c r="V648" s="613" t="str">
        <f>'refer admin discharge'!H649</f>
        <v>00/00/0000</v>
      </c>
      <c r="W648" s="351"/>
      <c r="X648" s="616"/>
      <c r="Y648" s="351"/>
      <c r="Z648" s="617"/>
      <c r="AA648" s="351"/>
      <c r="AB648" s="616"/>
      <c r="AC648" s="351"/>
      <c r="AD648" s="607"/>
      <c r="AE648" s="351"/>
      <c r="AF648" s="616"/>
      <c r="AG648" s="351"/>
      <c r="AH648" s="607"/>
      <c r="AI648" s="351"/>
      <c r="AJ648" s="616"/>
      <c r="AK648" s="351"/>
      <c r="AL648" s="622"/>
      <c r="AM648" s="350"/>
      <c r="AN648" s="350"/>
      <c r="AO648" s="350"/>
      <c r="AP648" s="350"/>
      <c r="AQ648" s="350"/>
      <c r="AR648" s="350"/>
      <c r="AS648" s="350"/>
      <c r="AT648" s="350"/>
      <c r="AU648" s="350"/>
      <c r="AV648" s="350"/>
      <c r="AW648" s="350"/>
      <c r="AX648" s="350"/>
      <c r="AY648" s="350"/>
      <c r="AZ648" s="350"/>
      <c r="BA648" s="350"/>
      <c r="BB648" s="351"/>
    </row>
    <row r="649" spans="1:54" ht="15.75" customHeight="1">
      <c r="A649" s="25">
        <f t="shared" si="2"/>
        <v>636</v>
      </c>
      <c r="B649" s="599" t="str">
        <f>'refer admin discharge'!B645</f>
        <v>x</v>
      </c>
      <c r="C649" s="351"/>
      <c r="D649" s="600" t="str">
        <f>'refer admin discharge'!D645</f>
        <v>xx</v>
      </c>
      <c r="E649" s="351"/>
      <c r="F649" s="609" t="str">
        <f>'refer admin discharge'!H645</f>
        <v>00/00/0000</v>
      </c>
      <c r="G649" s="351"/>
      <c r="H649" s="610"/>
      <c r="I649" s="351"/>
      <c r="J649" s="611"/>
      <c r="K649" s="351"/>
      <c r="L649" s="610"/>
      <c r="M649" s="351"/>
      <c r="N649" s="612"/>
      <c r="O649" s="351"/>
      <c r="P649" s="610"/>
      <c r="Q649" s="351"/>
      <c r="R649" s="612"/>
      <c r="S649" s="351"/>
      <c r="T649" s="610"/>
      <c r="U649" s="351"/>
      <c r="V649" s="613" t="str">
        <f>'refer admin discharge'!H650</f>
        <v>00/00/0000</v>
      </c>
      <c r="W649" s="351"/>
      <c r="X649" s="607"/>
      <c r="Y649" s="351"/>
      <c r="Z649" s="614"/>
      <c r="AA649" s="351"/>
      <c r="AB649" s="607"/>
      <c r="AC649" s="351"/>
      <c r="AD649" s="606"/>
      <c r="AE649" s="351"/>
      <c r="AF649" s="607"/>
      <c r="AG649" s="351"/>
      <c r="AH649" s="606"/>
      <c r="AI649" s="351"/>
      <c r="AJ649" s="607"/>
      <c r="AK649" s="351"/>
      <c r="AL649" s="608"/>
      <c r="AM649" s="350"/>
      <c r="AN649" s="350"/>
      <c r="AO649" s="350"/>
      <c r="AP649" s="350"/>
      <c r="AQ649" s="350"/>
      <c r="AR649" s="350"/>
      <c r="AS649" s="350"/>
      <c r="AT649" s="350"/>
      <c r="AU649" s="350"/>
      <c r="AV649" s="350"/>
      <c r="AW649" s="350"/>
      <c r="AX649" s="350"/>
      <c r="AY649" s="350"/>
      <c r="AZ649" s="350"/>
      <c r="BA649" s="350"/>
      <c r="BB649" s="351"/>
    </row>
    <row r="650" spans="1:54" ht="15.75" customHeight="1">
      <c r="A650" s="25">
        <f t="shared" si="2"/>
        <v>637</v>
      </c>
      <c r="B650" s="618" t="str">
        <f>'refer admin discharge'!B646</f>
        <v>x</v>
      </c>
      <c r="C650" s="351"/>
      <c r="D650" s="619" t="str">
        <f>'refer admin discharge'!D646</f>
        <v>xx</v>
      </c>
      <c r="E650" s="351"/>
      <c r="F650" s="620" t="str">
        <f>'refer admin discharge'!H646</f>
        <v>00/00/0000</v>
      </c>
      <c r="G650" s="351"/>
      <c r="H650" s="615"/>
      <c r="I650" s="351"/>
      <c r="J650" s="621"/>
      <c r="K650" s="351"/>
      <c r="L650" s="615"/>
      <c r="M650" s="351"/>
      <c r="N650" s="610"/>
      <c r="O650" s="351"/>
      <c r="P650" s="615"/>
      <c r="Q650" s="351"/>
      <c r="R650" s="610"/>
      <c r="S650" s="351"/>
      <c r="T650" s="615"/>
      <c r="U650" s="351"/>
      <c r="V650" s="613" t="str">
        <f>'refer admin discharge'!H651</f>
        <v>00/00/0000</v>
      </c>
      <c r="W650" s="351"/>
      <c r="X650" s="616"/>
      <c r="Y650" s="351"/>
      <c r="Z650" s="617"/>
      <c r="AA650" s="351"/>
      <c r="AB650" s="616"/>
      <c r="AC650" s="351"/>
      <c r="AD650" s="607"/>
      <c r="AE650" s="351"/>
      <c r="AF650" s="616"/>
      <c r="AG650" s="351"/>
      <c r="AH650" s="607"/>
      <c r="AI650" s="351"/>
      <c r="AJ650" s="616"/>
      <c r="AK650" s="351"/>
      <c r="AL650" s="622"/>
      <c r="AM650" s="350"/>
      <c r="AN650" s="350"/>
      <c r="AO650" s="350"/>
      <c r="AP650" s="350"/>
      <c r="AQ650" s="350"/>
      <c r="AR650" s="350"/>
      <c r="AS650" s="350"/>
      <c r="AT650" s="350"/>
      <c r="AU650" s="350"/>
      <c r="AV650" s="350"/>
      <c r="AW650" s="350"/>
      <c r="AX650" s="350"/>
      <c r="AY650" s="350"/>
      <c r="AZ650" s="350"/>
      <c r="BA650" s="350"/>
      <c r="BB650" s="351"/>
    </row>
    <row r="651" spans="1:54" ht="15.75" customHeight="1">
      <c r="A651" s="25">
        <f t="shared" si="2"/>
        <v>638</v>
      </c>
      <c r="B651" s="599" t="str">
        <f>'refer admin discharge'!B647</f>
        <v>x</v>
      </c>
      <c r="C651" s="351"/>
      <c r="D651" s="600" t="str">
        <f>'refer admin discharge'!D647</f>
        <v>xx</v>
      </c>
      <c r="E651" s="351"/>
      <c r="F651" s="609" t="str">
        <f>'refer admin discharge'!H647</f>
        <v>00/00/0000</v>
      </c>
      <c r="G651" s="351"/>
      <c r="H651" s="610"/>
      <c r="I651" s="351"/>
      <c r="J651" s="611"/>
      <c r="K651" s="351"/>
      <c r="L651" s="610"/>
      <c r="M651" s="351"/>
      <c r="N651" s="612"/>
      <c r="O651" s="351"/>
      <c r="P651" s="610"/>
      <c r="Q651" s="351"/>
      <c r="R651" s="612"/>
      <c r="S651" s="351"/>
      <c r="T651" s="610"/>
      <c r="U651" s="351"/>
      <c r="V651" s="613" t="str">
        <f>'refer admin discharge'!H652</f>
        <v>00/00/0000</v>
      </c>
      <c r="W651" s="351"/>
      <c r="X651" s="607"/>
      <c r="Y651" s="351"/>
      <c r="Z651" s="614"/>
      <c r="AA651" s="351"/>
      <c r="AB651" s="607"/>
      <c r="AC651" s="351"/>
      <c r="AD651" s="606"/>
      <c r="AE651" s="351"/>
      <c r="AF651" s="607"/>
      <c r="AG651" s="351"/>
      <c r="AH651" s="606"/>
      <c r="AI651" s="351"/>
      <c r="AJ651" s="607"/>
      <c r="AK651" s="351"/>
      <c r="AL651" s="608"/>
      <c r="AM651" s="350"/>
      <c r="AN651" s="350"/>
      <c r="AO651" s="350"/>
      <c r="AP651" s="350"/>
      <c r="AQ651" s="350"/>
      <c r="AR651" s="350"/>
      <c r="AS651" s="350"/>
      <c r="AT651" s="350"/>
      <c r="AU651" s="350"/>
      <c r="AV651" s="350"/>
      <c r="AW651" s="350"/>
      <c r="AX651" s="350"/>
      <c r="AY651" s="350"/>
      <c r="AZ651" s="350"/>
      <c r="BA651" s="350"/>
      <c r="BB651" s="351"/>
    </row>
    <row r="652" spans="1:54" ht="15.75" customHeight="1">
      <c r="A652" s="25">
        <f t="shared" si="2"/>
        <v>639</v>
      </c>
      <c r="B652" s="618" t="str">
        <f>'refer admin discharge'!B648</f>
        <v>x</v>
      </c>
      <c r="C652" s="351"/>
      <c r="D652" s="619" t="str">
        <f>'refer admin discharge'!D648</f>
        <v>xx</v>
      </c>
      <c r="E652" s="351"/>
      <c r="F652" s="620" t="str">
        <f>'refer admin discharge'!H648</f>
        <v>00/00/0000</v>
      </c>
      <c r="G652" s="351"/>
      <c r="H652" s="615"/>
      <c r="I652" s="351"/>
      <c r="J652" s="621"/>
      <c r="K652" s="351"/>
      <c r="L652" s="615"/>
      <c r="M652" s="351"/>
      <c r="N652" s="610"/>
      <c r="O652" s="351"/>
      <c r="P652" s="615"/>
      <c r="Q652" s="351"/>
      <c r="R652" s="610"/>
      <c r="S652" s="351"/>
      <c r="T652" s="615"/>
      <c r="U652" s="351"/>
      <c r="V652" s="613" t="str">
        <f>'refer admin discharge'!H653</f>
        <v>00/00/0000</v>
      </c>
      <c r="W652" s="351"/>
      <c r="X652" s="616"/>
      <c r="Y652" s="351"/>
      <c r="Z652" s="617"/>
      <c r="AA652" s="351"/>
      <c r="AB652" s="616"/>
      <c r="AC652" s="351"/>
      <c r="AD652" s="607"/>
      <c r="AE652" s="351"/>
      <c r="AF652" s="616"/>
      <c r="AG652" s="351"/>
      <c r="AH652" s="607"/>
      <c r="AI652" s="351"/>
      <c r="AJ652" s="616"/>
      <c r="AK652" s="351"/>
      <c r="AL652" s="622"/>
      <c r="AM652" s="350"/>
      <c r="AN652" s="350"/>
      <c r="AO652" s="350"/>
      <c r="AP652" s="350"/>
      <c r="AQ652" s="350"/>
      <c r="AR652" s="350"/>
      <c r="AS652" s="350"/>
      <c r="AT652" s="350"/>
      <c r="AU652" s="350"/>
      <c r="AV652" s="350"/>
      <c r="AW652" s="350"/>
      <c r="AX652" s="350"/>
      <c r="AY652" s="350"/>
      <c r="AZ652" s="350"/>
      <c r="BA652" s="350"/>
      <c r="BB652" s="351"/>
    </row>
    <row r="653" spans="1:54" ht="15.75" customHeight="1">
      <c r="A653" s="25">
        <f t="shared" si="2"/>
        <v>640</v>
      </c>
      <c r="B653" s="599" t="str">
        <f>'refer admin discharge'!B649</f>
        <v>x</v>
      </c>
      <c r="C653" s="351"/>
      <c r="D653" s="600" t="str">
        <f>'refer admin discharge'!D649</f>
        <v>xx</v>
      </c>
      <c r="E653" s="351"/>
      <c r="F653" s="609" t="str">
        <f>'refer admin discharge'!H649</f>
        <v>00/00/0000</v>
      </c>
      <c r="G653" s="351"/>
      <c r="H653" s="610"/>
      <c r="I653" s="351"/>
      <c r="J653" s="611"/>
      <c r="K653" s="351"/>
      <c r="L653" s="610"/>
      <c r="M653" s="351"/>
      <c r="N653" s="612"/>
      <c r="O653" s="351"/>
      <c r="P653" s="610"/>
      <c r="Q653" s="351"/>
      <c r="R653" s="612"/>
      <c r="S653" s="351"/>
      <c r="T653" s="610"/>
      <c r="U653" s="351"/>
      <c r="V653" s="613" t="str">
        <f>'refer admin discharge'!H654</f>
        <v>00/00/0000</v>
      </c>
      <c r="W653" s="351"/>
      <c r="X653" s="607"/>
      <c r="Y653" s="351"/>
      <c r="Z653" s="614"/>
      <c r="AA653" s="351"/>
      <c r="AB653" s="607"/>
      <c r="AC653" s="351"/>
      <c r="AD653" s="606"/>
      <c r="AE653" s="351"/>
      <c r="AF653" s="607"/>
      <c r="AG653" s="351"/>
      <c r="AH653" s="606"/>
      <c r="AI653" s="351"/>
      <c r="AJ653" s="607"/>
      <c r="AK653" s="351"/>
      <c r="AL653" s="608"/>
      <c r="AM653" s="350"/>
      <c r="AN653" s="350"/>
      <c r="AO653" s="350"/>
      <c r="AP653" s="350"/>
      <c r="AQ653" s="350"/>
      <c r="AR653" s="350"/>
      <c r="AS653" s="350"/>
      <c r="AT653" s="350"/>
      <c r="AU653" s="350"/>
      <c r="AV653" s="350"/>
      <c r="AW653" s="350"/>
      <c r="AX653" s="350"/>
      <c r="AY653" s="350"/>
      <c r="AZ653" s="350"/>
      <c r="BA653" s="350"/>
      <c r="BB653" s="351"/>
    </row>
    <row r="654" spans="1:54" ht="15.75" customHeight="1">
      <c r="A654" s="25">
        <f t="shared" si="2"/>
        <v>641</v>
      </c>
      <c r="B654" s="618" t="str">
        <f>'refer admin discharge'!B650</f>
        <v>x</v>
      </c>
      <c r="C654" s="351"/>
      <c r="D654" s="619" t="str">
        <f>'refer admin discharge'!D650</f>
        <v>xx</v>
      </c>
      <c r="E654" s="351"/>
      <c r="F654" s="620" t="str">
        <f>'refer admin discharge'!H650</f>
        <v>00/00/0000</v>
      </c>
      <c r="G654" s="351"/>
      <c r="H654" s="615"/>
      <c r="I654" s="351"/>
      <c r="J654" s="621"/>
      <c r="K654" s="351"/>
      <c r="L654" s="615"/>
      <c r="M654" s="351"/>
      <c r="N654" s="610"/>
      <c r="O654" s="351"/>
      <c r="P654" s="615"/>
      <c r="Q654" s="351"/>
      <c r="R654" s="610"/>
      <c r="S654" s="351"/>
      <c r="T654" s="615"/>
      <c r="U654" s="351"/>
      <c r="V654" s="613" t="str">
        <f>'refer admin discharge'!H655</f>
        <v>00/00/0000</v>
      </c>
      <c r="W654" s="351"/>
      <c r="X654" s="616"/>
      <c r="Y654" s="351"/>
      <c r="Z654" s="617"/>
      <c r="AA654" s="351"/>
      <c r="AB654" s="616"/>
      <c r="AC654" s="351"/>
      <c r="AD654" s="607"/>
      <c r="AE654" s="351"/>
      <c r="AF654" s="616"/>
      <c r="AG654" s="351"/>
      <c r="AH654" s="607"/>
      <c r="AI654" s="351"/>
      <c r="AJ654" s="616"/>
      <c r="AK654" s="351"/>
      <c r="AL654" s="622"/>
      <c r="AM654" s="350"/>
      <c r="AN654" s="350"/>
      <c r="AO654" s="350"/>
      <c r="AP654" s="350"/>
      <c r="AQ654" s="350"/>
      <c r="AR654" s="350"/>
      <c r="AS654" s="350"/>
      <c r="AT654" s="350"/>
      <c r="AU654" s="350"/>
      <c r="AV654" s="350"/>
      <c r="AW654" s="350"/>
      <c r="AX654" s="350"/>
      <c r="AY654" s="350"/>
      <c r="AZ654" s="350"/>
      <c r="BA654" s="350"/>
      <c r="BB654" s="351"/>
    </row>
    <row r="655" spans="1:54" ht="15.75" customHeight="1">
      <c r="A655" s="25">
        <f t="shared" si="2"/>
        <v>642</v>
      </c>
      <c r="B655" s="599" t="str">
        <f>'refer admin discharge'!B651</f>
        <v>x</v>
      </c>
      <c r="C655" s="351"/>
      <c r="D655" s="600" t="str">
        <f>'refer admin discharge'!D651</f>
        <v>xx</v>
      </c>
      <c r="E655" s="351"/>
      <c r="F655" s="609" t="str">
        <f>'refer admin discharge'!H651</f>
        <v>00/00/0000</v>
      </c>
      <c r="G655" s="351"/>
      <c r="H655" s="610"/>
      <c r="I655" s="351"/>
      <c r="J655" s="611"/>
      <c r="K655" s="351"/>
      <c r="L655" s="610"/>
      <c r="M655" s="351"/>
      <c r="N655" s="612"/>
      <c r="O655" s="351"/>
      <c r="P655" s="610"/>
      <c r="Q655" s="351"/>
      <c r="R655" s="612"/>
      <c r="S655" s="351"/>
      <c r="T655" s="610"/>
      <c r="U655" s="351"/>
      <c r="V655" s="613" t="str">
        <f>'refer admin discharge'!H656</f>
        <v>00/00/0000</v>
      </c>
      <c r="W655" s="351"/>
      <c r="X655" s="607"/>
      <c r="Y655" s="351"/>
      <c r="Z655" s="614"/>
      <c r="AA655" s="351"/>
      <c r="AB655" s="607"/>
      <c r="AC655" s="351"/>
      <c r="AD655" s="606"/>
      <c r="AE655" s="351"/>
      <c r="AF655" s="607"/>
      <c r="AG655" s="351"/>
      <c r="AH655" s="606"/>
      <c r="AI655" s="351"/>
      <c r="AJ655" s="607"/>
      <c r="AK655" s="351"/>
      <c r="AL655" s="608"/>
      <c r="AM655" s="350"/>
      <c r="AN655" s="350"/>
      <c r="AO655" s="350"/>
      <c r="AP655" s="350"/>
      <c r="AQ655" s="350"/>
      <c r="AR655" s="350"/>
      <c r="AS655" s="350"/>
      <c r="AT655" s="350"/>
      <c r="AU655" s="350"/>
      <c r="AV655" s="350"/>
      <c r="AW655" s="350"/>
      <c r="AX655" s="350"/>
      <c r="AY655" s="350"/>
      <c r="AZ655" s="350"/>
      <c r="BA655" s="350"/>
      <c r="BB655" s="351"/>
    </row>
    <row r="656" spans="1:54" ht="15.75" customHeight="1">
      <c r="A656" s="25">
        <f t="shared" si="2"/>
        <v>643</v>
      </c>
      <c r="B656" s="618" t="str">
        <f>'refer admin discharge'!B652</f>
        <v>x</v>
      </c>
      <c r="C656" s="351"/>
      <c r="D656" s="619" t="str">
        <f>'refer admin discharge'!D652</f>
        <v>xx</v>
      </c>
      <c r="E656" s="351"/>
      <c r="F656" s="620" t="str">
        <f>'refer admin discharge'!H652</f>
        <v>00/00/0000</v>
      </c>
      <c r="G656" s="351"/>
      <c r="H656" s="615"/>
      <c r="I656" s="351"/>
      <c r="J656" s="621"/>
      <c r="K656" s="351"/>
      <c r="L656" s="615"/>
      <c r="M656" s="351"/>
      <c r="N656" s="610"/>
      <c r="O656" s="351"/>
      <c r="P656" s="615"/>
      <c r="Q656" s="351"/>
      <c r="R656" s="610"/>
      <c r="S656" s="351"/>
      <c r="T656" s="615"/>
      <c r="U656" s="351"/>
      <c r="V656" s="613" t="str">
        <f>'refer admin discharge'!H657</f>
        <v>00/00/0000</v>
      </c>
      <c r="W656" s="351"/>
      <c r="X656" s="616"/>
      <c r="Y656" s="351"/>
      <c r="Z656" s="617"/>
      <c r="AA656" s="351"/>
      <c r="AB656" s="616"/>
      <c r="AC656" s="351"/>
      <c r="AD656" s="607"/>
      <c r="AE656" s="351"/>
      <c r="AF656" s="616"/>
      <c r="AG656" s="351"/>
      <c r="AH656" s="607"/>
      <c r="AI656" s="351"/>
      <c r="AJ656" s="616"/>
      <c r="AK656" s="351"/>
      <c r="AL656" s="622"/>
      <c r="AM656" s="350"/>
      <c r="AN656" s="350"/>
      <c r="AO656" s="350"/>
      <c r="AP656" s="350"/>
      <c r="AQ656" s="350"/>
      <c r="AR656" s="350"/>
      <c r="AS656" s="350"/>
      <c r="AT656" s="350"/>
      <c r="AU656" s="350"/>
      <c r="AV656" s="350"/>
      <c r="AW656" s="350"/>
      <c r="AX656" s="350"/>
      <c r="AY656" s="350"/>
      <c r="AZ656" s="350"/>
      <c r="BA656" s="350"/>
      <c r="BB656" s="351"/>
    </row>
    <row r="657" spans="1:54" ht="15.75" customHeight="1">
      <c r="A657" s="25">
        <f t="shared" si="2"/>
        <v>644</v>
      </c>
      <c r="B657" s="599" t="str">
        <f>'refer admin discharge'!B653</f>
        <v>x</v>
      </c>
      <c r="C657" s="351"/>
      <c r="D657" s="600" t="str">
        <f>'refer admin discharge'!D653</f>
        <v>xx</v>
      </c>
      <c r="E657" s="351"/>
      <c r="F657" s="609" t="str">
        <f>'refer admin discharge'!H653</f>
        <v>00/00/0000</v>
      </c>
      <c r="G657" s="351"/>
      <c r="H657" s="610"/>
      <c r="I657" s="351"/>
      <c r="J657" s="611"/>
      <c r="K657" s="351"/>
      <c r="L657" s="610"/>
      <c r="M657" s="351"/>
      <c r="N657" s="612"/>
      <c r="O657" s="351"/>
      <c r="P657" s="610"/>
      <c r="Q657" s="351"/>
      <c r="R657" s="612"/>
      <c r="S657" s="351"/>
      <c r="T657" s="610"/>
      <c r="U657" s="351"/>
      <c r="V657" s="613" t="str">
        <f>'refer admin discharge'!H658</f>
        <v>00/00/0000</v>
      </c>
      <c r="W657" s="351"/>
      <c r="X657" s="607"/>
      <c r="Y657" s="351"/>
      <c r="Z657" s="614"/>
      <c r="AA657" s="351"/>
      <c r="AB657" s="607"/>
      <c r="AC657" s="351"/>
      <c r="AD657" s="606"/>
      <c r="AE657" s="351"/>
      <c r="AF657" s="607"/>
      <c r="AG657" s="351"/>
      <c r="AH657" s="606"/>
      <c r="AI657" s="351"/>
      <c r="AJ657" s="607"/>
      <c r="AK657" s="351"/>
      <c r="AL657" s="608"/>
      <c r="AM657" s="350"/>
      <c r="AN657" s="350"/>
      <c r="AO657" s="350"/>
      <c r="AP657" s="350"/>
      <c r="AQ657" s="350"/>
      <c r="AR657" s="350"/>
      <c r="AS657" s="350"/>
      <c r="AT657" s="350"/>
      <c r="AU657" s="350"/>
      <c r="AV657" s="350"/>
      <c r="AW657" s="350"/>
      <c r="AX657" s="350"/>
      <c r="AY657" s="350"/>
      <c r="AZ657" s="350"/>
      <c r="BA657" s="350"/>
      <c r="BB657" s="351"/>
    </row>
    <row r="658" spans="1:54" ht="15.75" customHeight="1">
      <c r="A658" s="25">
        <f t="shared" si="2"/>
        <v>645</v>
      </c>
      <c r="B658" s="618" t="str">
        <f>'refer admin discharge'!B654</f>
        <v>x</v>
      </c>
      <c r="C658" s="351"/>
      <c r="D658" s="619" t="str">
        <f>'refer admin discharge'!D654</f>
        <v>xx</v>
      </c>
      <c r="E658" s="351"/>
      <c r="F658" s="620" t="str">
        <f>'refer admin discharge'!H654</f>
        <v>00/00/0000</v>
      </c>
      <c r="G658" s="351"/>
      <c r="H658" s="615"/>
      <c r="I658" s="351"/>
      <c r="J658" s="621"/>
      <c r="K658" s="351"/>
      <c r="L658" s="615"/>
      <c r="M658" s="351"/>
      <c r="N658" s="610"/>
      <c r="O658" s="351"/>
      <c r="P658" s="615"/>
      <c r="Q658" s="351"/>
      <c r="R658" s="610"/>
      <c r="S658" s="351"/>
      <c r="T658" s="615"/>
      <c r="U658" s="351"/>
      <c r="V658" s="613" t="str">
        <f>'refer admin discharge'!H659</f>
        <v>00/00/0000</v>
      </c>
      <c r="W658" s="351"/>
      <c r="X658" s="616"/>
      <c r="Y658" s="351"/>
      <c r="Z658" s="617"/>
      <c r="AA658" s="351"/>
      <c r="AB658" s="616"/>
      <c r="AC658" s="351"/>
      <c r="AD658" s="607"/>
      <c r="AE658" s="351"/>
      <c r="AF658" s="616"/>
      <c r="AG658" s="351"/>
      <c r="AH658" s="607"/>
      <c r="AI658" s="351"/>
      <c r="AJ658" s="616"/>
      <c r="AK658" s="351"/>
      <c r="AL658" s="622"/>
      <c r="AM658" s="350"/>
      <c r="AN658" s="350"/>
      <c r="AO658" s="350"/>
      <c r="AP658" s="350"/>
      <c r="AQ658" s="350"/>
      <c r="AR658" s="350"/>
      <c r="AS658" s="350"/>
      <c r="AT658" s="350"/>
      <c r="AU658" s="350"/>
      <c r="AV658" s="350"/>
      <c r="AW658" s="350"/>
      <c r="AX658" s="350"/>
      <c r="AY658" s="350"/>
      <c r="AZ658" s="350"/>
      <c r="BA658" s="350"/>
      <c r="BB658" s="351"/>
    </row>
    <row r="659" spans="1:54" ht="15.75" customHeight="1">
      <c r="A659" s="25">
        <f t="shared" si="2"/>
        <v>646</v>
      </c>
      <c r="B659" s="599" t="str">
        <f>'refer admin discharge'!B655</f>
        <v>x</v>
      </c>
      <c r="C659" s="351"/>
      <c r="D659" s="600" t="str">
        <f>'refer admin discharge'!D655</f>
        <v>xx</v>
      </c>
      <c r="E659" s="351"/>
      <c r="F659" s="609" t="str">
        <f>'refer admin discharge'!H655</f>
        <v>00/00/0000</v>
      </c>
      <c r="G659" s="351"/>
      <c r="H659" s="610"/>
      <c r="I659" s="351"/>
      <c r="J659" s="611"/>
      <c r="K659" s="351"/>
      <c r="L659" s="610"/>
      <c r="M659" s="351"/>
      <c r="N659" s="612"/>
      <c r="O659" s="351"/>
      <c r="P659" s="610"/>
      <c r="Q659" s="351"/>
      <c r="R659" s="612"/>
      <c r="S659" s="351"/>
      <c r="T659" s="610"/>
      <c r="U659" s="351"/>
      <c r="V659" s="613" t="str">
        <f>'refer admin discharge'!H660</f>
        <v>00/00/0000</v>
      </c>
      <c r="W659" s="351"/>
      <c r="X659" s="607"/>
      <c r="Y659" s="351"/>
      <c r="Z659" s="614"/>
      <c r="AA659" s="351"/>
      <c r="AB659" s="607"/>
      <c r="AC659" s="351"/>
      <c r="AD659" s="606"/>
      <c r="AE659" s="351"/>
      <c r="AF659" s="607"/>
      <c r="AG659" s="351"/>
      <c r="AH659" s="606"/>
      <c r="AI659" s="351"/>
      <c r="AJ659" s="607"/>
      <c r="AK659" s="351"/>
      <c r="AL659" s="608"/>
      <c r="AM659" s="350"/>
      <c r="AN659" s="350"/>
      <c r="AO659" s="350"/>
      <c r="AP659" s="350"/>
      <c r="AQ659" s="350"/>
      <c r="AR659" s="350"/>
      <c r="AS659" s="350"/>
      <c r="AT659" s="350"/>
      <c r="AU659" s="350"/>
      <c r="AV659" s="350"/>
      <c r="AW659" s="350"/>
      <c r="AX659" s="350"/>
      <c r="AY659" s="350"/>
      <c r="AZ659" s="350"/>
      <c r="BA659" s="350"/>
      <c r="BB659" s="351"/>
    </row>
    <row r="660" spans="1:54" ht="15.75" customHeight="1">
      <c r="A660" s="25">
        <f t="shared" si="2"/>
        <v>647</v>
      </c>
      <c r="B660" s="618" t="str">
        <f>'refer admin discharge'!B656</f>
        <v>x</v>
      </c>
      <c r="C660" s="351"/>
      <c r="D660" s="619" t="str">
        <f>'refer admin discharge'!D656</f>
        <v>xx</v>
      </c>
      <c r="E660" s="351"/>
      <c r="F660" s="620" t="str">
        <f>'refer admin discharge'!H656</f>
        <v>00/00/0000</v>
      </c>
      <c r="G660" s="351"/>
      <c r="H660" s="615"/>
      <c r="I660" s="351"/>
      <c r="J660" s="621"/>
      <c r="K660" s="351"/>
      <c r="L660" s="615"/>
      <c r="M660" s="351"/>
      <c r="N660" s="610"/>
      <c r="O660" s="351"/>
      <c r="P660" s="615"/>
      <c r="Q660" s="351"/>
      <c r="R660" s="610"/>
      <c r="S660" s="351"/>
      <c r="T660" s="615"/>
      <c r="U660" s="351"/>
      <c r="V660" s="613" t="str">
        <f>'refer admin discharge'!H661</f>
        <v>00/00/0000</v>
      </c>
      <c r="W660" s="351"/>
      <c r="X660" s="616"/>
      <c r="Y660" s="351"/>
      <c r="Z660" s="617"/>
      <c r="AA660" s="351"/>
      <c r="AB660" s="616"/>
      <c r="AC660" s="351"/>
      <c r="AD660" s="607"/>
      <c r="AE660" s="351"/>
      <c r="AF660" s="616"/>
      <c r="AG660" s="351"/>
      <c r="AH660" s="607"/>
      <c r="AI660" s="351"/>
      <c r="AJ660" s="616"/>
      <c r="AK660" s="351"/>
      <c r="AL660" s="622"/>
      <c r="AM660" s="350"/>
      <c r="AN660" s="350"/>
      <c r="AO660" s="350"/>
      <c r="AP660" s="350"/>
      <c r="AQ660" s="350"/>
      <c r="AR660" s="350"/>
      <c r="AS660" s="350"/>
      <c r="AT660" s="350"/>
      <c r="AU660" s="350"/>
      <c r="AV660" s="350"/>
      <c r="AW660" s="350"/>
      <c r="AX660" s="350"/>
      <c r="AY660" s="350"/>
      <c r="AZ660" s="350"/>
      <c r="BA660" s="350"/>
      <c r="BB660" s="351"/>
    </row>
    <row r="661" spans="1:54" ht="15.75" customHeight="1">
      <c r="A661" s="25">
        <f t="shared" si="2"/>
        <v>648</v>
      </c>
      <c r="B661" s="599" t="str">
        <f>'refer admin discharge'!B657</f>
        <v>x</v>
      </c>
      <c r="C661" s="351"/>
      <c r="D661" s="600" t="str">
        <f>'refer admin discharge'!D657</f>
        <v>xx</v>
      </c>
      <c r="E661" s="351"/>
      <c r="F661" s="609" t="str">
        <f>'refer admin discharge'!H657</f>
        <v>00/00/0000</v>
      </c>
      <c r="G661" s="351"/>
      <c r="H661" s="610"/>
      <c r="I661" s="351"/>
      <c r="J661" s="611"/>
      <c r="K661" s="351"/>
      <c r="L661" s="610"/>
      <c r="M661" s="351"/>
      <c r="N661" s="612"/>
      <c r="O661" s="351"/>
      <c r="P661" s="610"/>
      <c r="Q661" s="351"/>
      <c r="R661" s="612"/>
      <c r="S661" s="351"/>
      <c r="T661" s="610"/>
      <c r="U661" s="351"/>
      <c r="V661" s="613" t="str">
        <f>'refer admin discharge'!H662</f>
        <v>00/00/0000</v>
      </c>
      <c r="W661" s="351"/>
      <c r="X661" s="607"/>
      <c r="Y661" s="351"/>
      <c r="Z661" s="614"/>
      <c r="AA661" s="351"/>
      <c r="AB661" s="607"/>
      <c r="AC661" s="351"/>
      <c r="AD661" s="606"/>
      <c r="AE661" s="351"/>
      <c r="AF661" s="607"/>
      <c r="AG661" s="351"/>
      <c r="AH661" s="606"/>
      <c r="AI661" s="351"/>
      <c r="AJ661" s="607"/>
      <c r="AK661" s="351"/>
      <c r="AL661" s="608"/>
      <c r="AM661" s="350"/>
      <c r="AN661" s="350"/>
      <c r="AO661" s="350"/>
      <c r="AP661" s="350"/>
      <c r="AQ661" s="350"/>
      <c r="AR661" s="350"/>
      <c r="AS661" s="350"/>
      <c r="AT661" s="350"/>
      <c r="AU661" s="350"/>
      <c r="AV661" s="350"/>
      <c r="AW661" s="350"/>
      <c r="AX661" s="350"/>
      <c r="AY661" s="350"/>
      <c r="AZ661" s="350"/>
      <c r="BA661" s="350"/>
      <c r="BB661" s="351"/>
    </row>
    <row r="662" spans="1:54" ht="15.75" customHeight="1">
      <c r="A662" s="25">
        <f t="shared" si="2"/>
        <v>649</v>
      </c>
      <c r="B662" s="618" t="str">
        <f>'refer admin discharge'!B658</f>
        <v>x</v>
      </c>
      <c r="C662" s="351"/>
      <c r="D662" s="619" t="str">
        <f>'refer admin discharge'!D658</f>
        <v>xx</v>
      </c>
      <c r="E662" s="351"/>
      <c r="F662" s="620" t="str">
        <f>'refer admin discharge'!H658</f>
        <v>00/00/0000</v>
      </c>
      <c r="G662" s="351"/>
      <c r="H662" s="615"/>
      <c r="I662" s="351"/>
      <c r="J662" s="621"/>
      <c r="K662" s="351"/>
      <c r="L662" s="615"/>
      <c r="M662" s="351"/>
      <c r="N662" s="610"/>
      <c r="O662" s="351"/>
      <c r="P662" s="615"/>
      <c r="Q662" s="351"/>
      <c r="R662" s="610"/>
      <c r="S662" s="351"/>
      <c r="T662" s="615"/>
      <c r="U662" s="351"/>
      <c r="V662" s="613" t="str">
        <f>'refer admin discharge'!H663</f>
        <v>00/00/0000</v>
      </c>
      <c r="W662" s="351"/>
      <c r="X662" s="616"/>
      <c r="Y662" s="351"/>
      <c r="Z662" s="617"/>
      <c r="AA662" s="351"/>
      <c r="AB662" s="616"/>
      <c r="AC662" s="351"/>
      <c r="AD662" s="607"/>
      <c r="AE662" s="351"/>
      <c r="AF662" s="616"/>
      <c r="AG662" s="351"/>
      <c r="AH662" s="607"/>
      <c r="AI662" s="351"/>
      <c r="AJ662" s="616"/>
      <c r="AK662" s="351"/>
      <c r="AL662" s="622"/>
      <c r="AM662" s="350"/>
      <c r="AN662" s="350"/>
      <c r="AO662" s="350"/>
      <c r="AP662" s="350"/>
      <c r="AQ662" s="350"/>
      <c r="AR662" s="350"/>
      <c r="AS662" s="350"/>
      <c r="AT662" s="350"/>
      <c r="AU662" s="350"/>
      <c r="AV662" s="350"/>
      <c r="AW662" s="350"/>
      <c r="AX662" s="350"/>
      <c r="AY662" s="350"/>
      <c r="AZ662" s="350"/>
      <c r="BA662" s="350"/>
      <c r="BB662" s="351"/>
    </row>
    <row r="663" spans="1:54" ht="15.75" customHeight="1">
      <c r="A663" s="25">
        <f t="shared" si="2"/>
        <v>650</v>
      </c>
      <c r="B663" s="599" t="str">
        <f>'refer admin discharge'!B659</f>
        <v>x</v>
      </c>
      <c r="C663" s="351"/>
      <c r="D663" s="600" t="str">
        <f>'refer admin discharge'!D659</f>
        <v>xx</v>
      </c>
      <c r="E663" s="351"/>
      <c r="F663" s="609" t="str">
        <f>'refer admin discharge'!H659</f>
        <v>00/00/0000</v>
      </c>
      <c r="G663" s="351"/>
      <c r="H663" s="610"/>
      <c r="I663" s="351"/>
      <c r="J663" s="611"/>
      <c r="K663" s="351"/>
      <c r="L663" s="610"/>
      <c r="M663" s="351"/>
      <c r="N663" s="612"/>
      <c r="O663" s="351"/>
      <c r="P663" s="610"/>
      <c r="Q663" s="351"/>
      <c r="R663" s="612"/>
      <c r="S663" s="351"/>
      <c r="T663" s="610"/>
      <c r="U663" s="351"/>
      <c r="V663" s="613" t="str">
        <f>'refer admin discharge'!H664</f>
        <v>00/00/0000</v>
      </c>
      <c r="W663" s="351"/>
      <c r="X663" s="607"/>
      <c r="Y663" s="351"/>
      <c r="Z663" s="614"/>
      <c r="AA663" s="351"/>
      <c r="AB663" s="607"/>
      <c r="AC663" s="351"/>
      <c r="AD663" s="606"/>
      <c r="AE663" s="351"/>
      <c r="AF663" s="607"/>
      <c r="AG663" s="351"/>
      <c r="AH663" s="606"/>
      <c r="AI663" s="351"/>
      <c r="AJ663" s="607"/>
      <c r="AK663" s="351"/>
      <c r="AL663" s="608"/>
      <c r="AM663" s="350"/>
      <c r="AN663" s="350"/>
      <c r="AO663" s="350"/>
      <c r="AP663" s="350"/>
      <c r="AQ663" s="350"/>
      <c r="AR663" s="350"/>
      <c r="AS663" s="350"/>
      <c r="AT663" s="350"/>
      <c r="AU663" s="350"/>
      <c r="AV663" s="350"/>
      <c r="AW663" s="350"/>
      <c r="AX663" s="350"/>
      <c r="AY663" s="350"/>
      <c r="AZ663" s="350"/>
      <c r="BA663" s="350"/>
      <c r="BB663" s="351"/>
    </row>
    <row r="664" spans="1:54" ht="15.75" customHeight="1">
      <c r="A664" s="25">
        <f t="shared" si="2"/>
        <v>651</v>
      </c>
      <c r="B664" s="618" t="str">
        <f>'refer admin discharge'!B660</f>
        <v>x</v>
      </c>
      <c r="C664" s="351"/>
      <c r="D664" s="619" t="str">
        <f>'refer admin discharge'!D660</f>
        <v>xx</v>
      </c>
      <c r="E664" s="351"/>
      <c r="F664" s="620" t="str">
        <f>'refer admin discharge'!H660</f>
        <v>00/00/0000</v>
      </c>
      <c r="G664" s="351"/>
      <c r="H664" s="615"/>
      <c r="I664" s="351"/>
      <c r="J664" s="621"/>
      <c r="K664" s="351"/>
      <c r="L664" s="615"/>
      <c r="M664" s="351"/>
      <c r="N664" s="610"/>
      <c r="O664" s="351"/>
      <c r="P664" s="615"/>
      <c r="Q664" s="351"/>
      <c r="R664" s="610"/>
      <c r="S664" s="351"/>
      <c r="T664" s="615"/>
      <c r="U664" s="351"/>
      <c r="V664" s="613" t="str">
        <f>'refer admin discharge'!H665</f>
        <v>00/00/0000</v>
      </c>
      <c r="W664" s="351"/>
      <c r="X664" s="616"/>
      <c r="Y664" s="351"/>
      <c r="Z664" s="617"/>
      <c r="AA664" s="351"/>
      <c r="AB664" s="616"/>
      <c r="AC664" s="351"/>
      <c r="AD664" s="607"/>
      <c r="AE664" s="351"/>
      <c r="AF664" s="616"/>
      <c r="AG664" s="351"/>
      <c r="AH664" s="607"/>
      <c r="AI664" s="351"/>
      <c r="AJ664" s="616"/>
      <c r="AK664" s="351"/>
      <c r="AL664" s="622"/>
      <c r="AM664" s="350"/>
      <c r="AN664" s="350"/>
      <c r="AO664" s="350"/>
      <c r="AP664" s="350"/>
      <c r="AQ664" s="350"/>
      <c r="AR664" s="350"/>
      <c r="AS664" s="350"/>
      <c r="AT664" s="350"/>
      <c r="AU664" s="350"/>
      <c r="AV664" s="350"/>
      <c r="AW664" s="350"/>
      <c r="AX664" s="350"/>
      <c r="AY664" s="350"/>
      <c r="AZ664" s="350"/>
      <c r="BA664" s="350"/>
      <c r="BB664" s="351"/>
    </row>
    <row r="665" spans="1:54" ht="15.75" customHeight="1">
      <c r="A665" s="25">
        <f t="shared" si="2"/>
        <v>652</v>
      </c>
      <c r="B665" s="599" t="str">
        <f>'refer admin discharge'!B661</f>
        <v>x</v>
      </c>
      <c r="C665" s="351"/>
      <c r="D665" s="600" t="str">
        <f>'refer admin discharge'!D661</f>
        <v>xx</v>
      </c>
      <c r="E665" s="351"/>
      <c r="F665" s="609" t="str">
        <f>'refer admin discharge'!H661</f>
        <v>00/00/0000</v>
      </c>
      <c r="G665" s="351"/>
      <c r="H665" s="610"/>
      <c r="I665" s="351"/>
      <c r="J665" s="611"/>
      <c r="K665" s="351"/>
      <c r="L665" s="610"/>
      <c r="M665" s="351"/>
      <c r="N665" s="612"/>
      <c r="O665" s="351"/>
      <c r="P665" s="610"/>
      <c r="Q665" s="351"/>
      <c r="R665" s="612"/>
      <c r="S665" s="351"/>
      <c r="T665" s="610"/>
      <c r="U665" s="351"/>
      <c r="V665" s="613" t="str">
        <f>'refer admin discharge'!H666</f>
        <v>00/00/0000</v>
      </c>
      <c r="W665" s="351"/>
      <c r="X665" s="607"/>
      <c r="Y665" s="351"/>
      <c r="Z665" s="614"/>
      <c r="AA665" s="351"/>
      <c r="AB665" s="607"/>
      <c r="AC665" s="351"/>
      <c r="AD665" s="606"/>
      <c r="AE665" s="351"/>
      <c r="AF665" s="607"/>
      <c r="AG665" s="351"/>
      <c r="AH665" s="606"/>
      <c r="AI665" s="351"/>
      <c r="AJ665" s="607"/>
      <c r="AK665" s="351"/>
      <c r="AL665" s="608"/>
      <c r="AM665" s="350"/>
      <c r="AN665" s="350"/>
      <c r="AO665" s="350"/>
      <c r="AP665" s="350"/>
      <c r="AQ665" s="350"/>
      <c r="AR665" s="350"/>
      <c r="AS665" s="350"/>
      <c r="AT665" s="350"/>
      <c r="AU665" s="350"/>
      <c r="AV665" s="350"/>
      <c r="AW665" s="350"/>
      <c r="AX665" s="350"/>
      <c r="AY665" s="350"/>
      <c r="AZ665" s="350"/>
      <c r="BA665" s="350"/>
      <c r="BB665" s="351"/>
    </row>
    <row r="666" spans="1:54" ht="15.75" customHeight="1">
      <c r="A666" s="25">
        <f t="shared" si="2"/>
        <v>653</v>
      </c>
      <c r="B666" s="618" t="str">
        <f>'refer admin discharge'!B662</f>
        <v>x</v>
      </c>
      <c r="C666" s="351"/>
      <c r="D666" s="619" t="str">
        <f>'refer admin discharge'!D662</f>
        <v>xx</v>
      </c>
      <c r="E666" s="351"/>
      <c r="F666" s="620" t="str">
        <f>'refer admin discharge'!H662</f>
        <v>00/00/0000</v>
      </c>
      <c r="G666" s="351"/>
      <c r="H666" s="615"/>
      <c r="I666" s="351"/>
      <c r="J666" s="621"/>
      <c r="K666" s="351"/>
      <c r="L666" s="615"/>
      <c r="M666" s="351"/>
      <c r="N666" s="610"/>
      <c r="O666" s="351"/>
      <c r="P666" s="615"/>
      <c r="Q666" s="351"/>
      <c r="R666" s="610"/>
      <c r="S666" s="351"/>
      <c r="T666" s="615"/>
      <c r="U666" s="351"/>
      <c r="V666" s="613" t="str">
        <f>'refer admin discharge'!H667</f>
        <v>00/00/0000</v>
      </c>
      <c r="W666" s="351"/>
      <c r="X666" s="616"/>
      <c r="Y666" s="351"/>
      <c r="Z666" s="617"/>
      <c r="AA666" s="351"/>
      <c r="AB666" s="616"/>
      <c r="AC666" s="351"/>
      <c r="AD666" s="607"/>
      <c r="AE666" s="351"/>
      <c r="AF666" s="616"/>
      <c r="AG666" s="351"/>
      <c r="AH666" s="607"/>
      <c r="AI666" s="351"/>
      <c r="AJ666" s="616"/>
      <c r="AK666" s="351"/>
      <c r="AL666" s="622"/>
      <c r="AM666" s="350"/>
      <c r="AN666" s="350"/>
      <c r="AO666" s="350"/>
      <c r="AP666" s="350"/>
      <c r="AQ666" s="350"/>
      <c r="AR666" s="350"/>
      <c r="AS666" s="350"/>
      <c r="AT666" s="350"/>
      <c r="AU666" s="350"/>
      <c r="AV666" s="350"/>
      <c r="AW666" s="350"/>
      <c r="AX666" s="350"/>
      <c r="AY666" s="350"/>
      <c r="AZ666" s="350"/>
      <c r="BA666" s="350"/>
      <c r="BB666" s="351"/>
    </row>
    <row r="667" spans="1:54" ht="15.75" customHeight="1">
      <c r="A667" s="25">
        <f t="shared" si="2"/>
        <v>654</v>
      </c>
      <c r="B667" s="599" t="str">
        <f>'refer admin discharge'!B663</f>
        <v>x</v>
      </c>
      <c r="C667" s="351"/>
      <c r="D667" s="600" t="str">
        <f>'refer admin discharge'!D663</f>
        <v>xx</v>
      </c>
      <c r="E667" s="351"/>
      <c r="F667" s="609" t="str">
        <f>'refer admin discharge'!H663</f>
        <v>00/00/0000</v>
      </c>
      <c r="G667" s="351"/>
      <c r="H667" s="610"/>
      <c r="I667" s="351"/>
      <c r="J667" s="611"/>
      <c r="K667" s="351"/>
      <c r="L667" s="610"/>
      <c r="M667" s="351"/>
      <c r="N667" s="612"/>
      <c r="O667" s="351"/>
      <c r="P667" s="610"/>
      <c r="Q667" s="351"/>
      <c r="R667" s="612"/>
      <c r="S667" s="351"/>
      <c r="T667" s="610"/>
      <c r="U667" s="351"/>
      <c r="V667" s="613" t="str">
        <f>'refer admin discharge'!H668</f>
        <v>00/00/0000</v>
      </c>
      <c r="W667" s="351"/>
      <c r="X667" s="607"/>
      <c r="Y667" s="351"/>
      <c r="Z667" s="614"/>
      <c r="AA667" s="351"/>
      <c r="AB667" s="607"/>
      <c r="AC667" s="351"/>
      <c r="AD667" s="606"/>
      <c r="AE667" s="351"/>
      <c r="AF667" s="607"/>
      <c r="AG667" s="351"/>
      <c r="AH667" s="606"/>
      <c r="AI667" s="351"/>
      <c r="AJ667" s="607"/>
      <c r="AK667" s="351"/>
      <c r="AL667" s="608"/>
      <c r="AM667" s="350"/>
      <c r="AN667" s="350"/>
      <c r="AO667" s="350"/>
      <c r="AP667" s="350"/>
      <c r="AQ667" s="350"/>
      <c r="AR667" s="350"/>
      <c r="AS667" s="350"/>
      <c r="AT667" s="350"/>
      <c r="AU667" s="350"/>
      <c r="AV667" s="350"/>
      <c r="AW667" s="350"/>
      <c r="AX667" s="350"/>
      <c r="AY667" s="350"/>
      <c r="AZ667" s="350"/>
      <c r="BA667" s="350"/>
      <c r="BB667" s="351"/>
    </row>
    <row r="668" spans="1:54" ht="15.75" customHeight="1">
      <c r="A668" s="25">
        <f t="shared" si="2"/>
        <v>655</v>
      </c>
      <c r="B668" s="618" t="str">
        <f>'refer admin discharge'!B664</f>
        <v>x</v>
      </c>
      <c r="C668" s="351"/>
      <c r="D668" s="619" t="str">
        <f>'refer admin discharge'!D664</f>
        <v>xx</v>
      </c>
      <c r="E668" s="351"/>
      <c r="F668" s="620" t="str">
        <f>'refer admin discharge'!H664</f>
        <v>00/00/0000</v>
      </c>
      <c r="G668" s="351"/>
      <c r="H668" s="615"/>
      <c r="I668" s="351"/>
      <c r="J668" s="621"/>
      <c r="K668" s="351"/>
      <c r="L668" s="615"/>
      <c r="M668" s="351"/>
      <c r="N668" s="610"/>
      <c r="O668" s="351"/>
      <c r="P668" s="615"/>
      <c r="Q668" s="351"/>
      <c r="R668" s="610"/>
      <c r="S668" s="351"/>
      <c r="T668" s="615"/>
      <c r="U668" s="351"/>
      <c r="V668" s="613" t="str">
        <f>'refer admin discharge'!H669</f>
        <v>00/00/0000</v>
      </c>
      <c r="W668" s="351"/>
      <c r="X668" s="616"/>
      <c r="Y668" s="351"/>
      <c r="Z668" s="617"/>
      <c r="AA668" s="351"/>
      <c r="AB668" s="616"/>
      <c r="AC668" s="351"/>
      <c r="AD668" s="607"/>
      <c r="AE668" s="351"/>
      <c r="AF668" s="616"/>
      <c r="AG668" s="351"/>
      <c r="AH668" s="607"/>
      <c r="AI668" s="351"/>
      <c r="AJ668" s="616"/>
      <c r="AK668" s="351"/>
      <c r="AL668" s="622"/>
      <c r="AM668" s="350"/>
      <c r="AN668" s="350"/>
      <c r="AO668" s="350"/>
      <c r="AP668" s="350"/>
      <c r="AQ668" s="350"/>
      <c r="AR668" s="350"/>
      <c r="AS668" s="350"/>
      <c r="AT668" s="350"/>
      <c r="AU668" s="350"/>
      <c r="AV668" s="350"/>
      <c r="AW668" s="350"/>
      <c r="AX668" s="350"/>
      <c r="AY668" s="350"/>
      <c r="AZ668" s="350"/>
      <c r="BA668" s="350"/>
      <c r="BB668" s="351"/>
    </row>
    <row r="669" spans="1:54" ht="15.75" customHeight="1">
      <c r="A669" s="25">
        <f t="shared" si="2"/>
        <v>656</v>
      </c>
      <c r="B669" s="599" t="str">
        <f>'refer admin discharge'!B665</f>
        <v>x</v>
      </c>
      <c r="C669" s="351"/>
      <c r="D669" s="600" t="str">
        <f>'refer admin discharge'!D665</f>
        <v>xx</v>
      </c>
      <c r="E669" s="351"/>
      <c r="F669" s="609" t="str">
        <f>'refer admin discharge'!H665</f>
        <v>00/00/0000</v>
      </c>
      <c r="G669" s="351"/>
      <c r="H669" s="610"/>
      <c r="I669" s="351"/>
      <c r="J669" s="611"/>
      <c r="K669" s="351"/>
      <c r="L669" s="610"/>
      <c r="M669" s="351"/>
      <c r="N669" s="612"/>
      <c r="O669" s="351"/>
      <c r="P669" s="610"/>
      <c r="Q669" s="351"/>
      <c r="R669" s="612"/>
      <c r="S669" s="351"/>
      <c r="T669" s="610"/>
      <c r="U669" s="351"/>
      <c r="V669" s="613" t="str">
        <f>'refer admin discharge'!H670</f>
        <v>00/00/0000</v>
      </c>
      <c r="W669" s="351"/>
      <c r="X669" s="607"/>
      <c r="Y669" s="351"/>
      <c r="Z669" s="614"/>
      <c r="AA669" s="351"/>
      <c r="AB669" s="607"/>
      <c r="AC669" s="351"/>
      <c r="AD669" s="606"/>
      <c r="AE669" s="351"/>
      <c r="AF669" s="607"/>
      <c r="AG669" s="351"/>
      <c r="AH669" s="606"/>
      <c r="AI669" s="351"/>
      <c r="AJ669" s="607"/>
      <c r="AK669" s="351"/>
      <c r="AL669" s="608"/>
      <c r="AM669" s="350"/>
      <c r="AN669" s="350"/>
      <c r="AO669" s="350"/>
      <c r="AP669" s="350"/>
      <c r="AQ669" s="350"/>
      <c r="AR669" s="350"/>
      <c r="AS669" s="350"/>
      <c r="AT669" s="350"/>
      <c r="AU669" s="350"/>
      <c r="AV669" s="350"/>
      <c r="AW669" s="350"/>
      <c r="AX669" s="350"/>
      <c r="AY669" s="350"/>
      <c r="AZ669" s="350"/>
      <c r="BA669" s="350"/>
      <c r="BB669" s="351"/>
    </row>
    <row r="670" spans="1:54" ht="15.75" customHeight="1">
      <c r="A670" s="25">
        <f t="shared" si="2"/>
        <v>657</v>
      </c>
      <c r="B670" s="618" t="str">
        <f>'refer admin discharge'!B666</f>
        <v>x</v>
      </c>
      <c r="C670" s="351"/>
      <c r="D670" s="619" t="str">
        <f>'refer admin discharge'!D666</f>
        <v>xx</v>
      </c>
      <c r="E670" s="351"/>
      <c r="F670" s="620" t="str">
        <f>'refer admin discharge'!H666</f>
        <v>00/00/0000</v>
      </c>
      <c r="G670" s="351"/>
      <c r="H670" s="615"/>
      <c r="I670" s="351"/>
      <c r="J670" s="621"/>
      <c r="K670" s="351"/>
      <c r="L670" s="615"/>
      <c r="M670" s="351"/>
      <c r="N670" s="610"/>
      <c r="O670" s="351"/>
      <c r="P670" s="615"/>
      <c r="Q670" s="351"/>
      <c r="R670" s="610"/>
      <c r="S670" s="351"/>
      <c r="T670" s="615"/>
      <c r="U670" s="351"/>
      <c r="V670" s="613" t="str">
        <f>'refer admin discharge'!H671</f>
        <v>00/00/0000</v>
      </c>
      <c r="W670" s="351"/>
      <c r="X670" s="616"/>
      <c r="Y670" s="351"/>
      <c r="Z670" s="617"/>
      <c r="AA670" s="351"/>
      <c r="AB670" s="616"/>
      <c r="AC670" s="351"/>
      <c r="AD670" s="607"/>
      <c r="AE670" s="351"/>
      <c r="AF670" s="616"/>
      <c r="AG670" s="351"/>
      <c r="AH670" s="607"/>
      <c r="AI670" s="351"/>
      <c r="AJ670" s="616"/>
      <c r="AK670" s="351"/>
      <c r="AL670" s="622"/>
      <c r="AM670" s="350"/>
      <c r="AN670" s="350"/>
      <c r="AO670" s="350"/>
      <c r="AP670" s="350"/>
      <c r="AQ670" s="350"/>
      <c r="AR670" s="350"/>
      <c r="AS670" s="350"/>
      <c r="AT670" s="350"/>
      <c r="AU670" s="350"/>
      <c r="AV670" s="350"/>
      <c r="AW670" s="350"/>
      <c r="AX670" s="350"/>
      <c r="AY670" s="350"/>
      <c r="AZ670" s="350"/>
      <c r="BA670" s="350"/>
      <c r="BB670" s="351"/>
    </row>
    <row r="671" spans="1:54" ht="15.75" customHeight="1">
      <c r="A671" s="25">
        <f t="shared" si="2"/>
        <v>658</v>
      </c>
      <c r="B671" s="599" t="str">
        <f>'refer admin discharge'!B667</f>
        <v>x</v>
      </c>
      <c r="C671" s="351"/>
      <c r="D671" s="600" t="str">
        <f>'refer admin discharge'!D667</f>
        <v>xx</v>
      </c>
      <c r="E671" s="351"/>
      <c r="F671" s="609" t="str">
        <f>'refer admin discharge'!H667</f>
        <v>00/00/0000</v>
      </c>
      <c r="G671" s="351"/>
      <c r="H671" s="610"/>
      <c r="I671" s="351"/>
      <c r="J671" s="611"/>
      <c r="K671" s="351"/>
      <c r="L671" s="610"/>
      <c r="M671" s="351"/>
      <c r="N671" s="612"/>
      <c r="O671" s="351"/>
      <c r="P671" s="610"/>
      <c r="Q671" s="351"/>
      <c r="R671" s="612"/>
      <c r="S671" s="351"/>
      <c r="T671" s="610"/>
      <c r="U671" s="351"/>
      <c r="V671" s="613" t="str">
        <f>'refer admin discharge'!H672</f>
        <v>00/00/0000</v>
      </c>
      <c r="W671" s="351"/>
      <c r="X671" s="607"/>
      <c r="Y671" s="351"/>
      <c r="Z671" s="614"/>
      <c r="AA671" s="351"/>
      <c r="AB671" s="607"/>
      <c r="AC671" s="351"/>
      <c r="AD671" s="606"/>
      <c r="AE671" s="351"/>
      <c r="AF671" s="607"/>
      <c r="AG671" s="351"/>
      <c r="AH671" s="606"/>
      <c r="AI671" s="351"/>
      <c r="AJ671" s="607"/>
      <c r="AK671" s="351"/>
      <c r="AL671" s="608"/>
      <c r="AM671" s="350"/>
      <c r="AN671" s="350"/>
      <c r="AO671" s="350"/>
      <c r="AP671" s="350"/>
      <c r="AQ671" s="350"/>
      <c r="AR671" s="350"/>
      <c r="AS671" s="350"/>
      <c r="AT671" s="350"/>
      <c r="AU671" s="350"/>
      <c r="AV671" s="350"/>
      <c r="AW671" s="350"/>
      <c r="AX671" s="350"/>
      <c r="AY671" s="350"/>
      <c r="AZ671" s="350"/>
      <c r="BA671" s="350"/>
      <c r="BB671" s="351"/>
    </row>
    <row r="672" spans="1:54" ht="15.75" customHeight="1">
      <c r="A672" s="25">
        <f t="shared" si="2"/>
        <v>659</v>
      </c>
      <c r="B672" s="618" t="str">
        <f>'refer admin discharge'!B668</f>
        <v>x</v>
      </c>
      <c r="C672" s="351"/>
      <c r="D672" s="619" t="str">
        <f>'refer admin discharge'!D668</f>
        <v>xx</v>
      </c>
      <c r="E672" s="351"/>
      <c r="F672" s="620" t="str">
        <f>'refer admin discharge'!H668</f>
        <v>00/00/0000</v>
      </c>
      <c r="G672" s="351"/>
      <c r="H672" s="615"/>
      <c r="I672" s="351"/>
      <c r="J672" s="621"/>
      <c r="K672" s="351"/>
      <c r="L672" s="615"/>
      <c r="M672" s="351"/>
      <c r="N672" s="610"/>
      <c r="O672" s="351"/>
      <c r="P672" s="615"/>
      <c r="Q672" s="351"/>
      <c r="R672" s="610"/>
      <c r="S672" s="351"/>
      <c r="T672" s="615"/>
      <c r="U672" s="351"/>
      <c r="V672" s="613" t="str">
        <f>'refer admin discharge'!H673</f>
        <v>00/00/0000</v>
      </c>
      <c r="W672" s="351"/>
      <c r="X672" s="616"/>
      <c r="Y672" s="351"/>
      <c r="Z672" s="617"/>
      <c r="AA672" s="351"/>
      <c r="AB672" s="616"/>
      <c r="AC672" s="351"/>
      <c r="AD672" s="607"/>
      <c r="AE672" s="351"/>
      <c r="AF672" s="616"/>
      <c r="AG672" s="351"/>
      <c r="AH672" s="607"/>
      <c r="AI672" s="351"/>
      <c r="AJ672" s="616"/>
      <c r="AK672" s="351"/>
      <c r="AL672" s="622"/>
      <c r="AM672" s="350"/>
      <c r="AN672" s="350"/>
      <c r="AO672" s="350"/>
      <c r="AP672" s="350"/>
      <c r="AQ672" s="350"/>
      <c r="AR672" s="350"/>
      <c r="AS672" s="350"/>
      <c r="AT672" s="350"/>
      <c r="AU672" s="350"/>
      <c r="AV672" s="350"/>
      <c r="AW672" s="350"/>
      <c r="AX672" s="350"/>
      <c r="AY672" s="350"/>
      <c r="AZ672" s="350"/>
      <c r="BA672" s="350"/>
      <c r="BB672" s="351"/>
    </row>
    <row r="673" spans="1:54" ht="15.75" customHeight="1">
      <c r="A673" s="25">
        <f t="shared" si="2"/>
        <v>660</v>
      </c>
      <c r="B673" s="599" t="str">
        <f>'refer admin discharge'!B669</f>
        <v>x</v>
      </c>
      <c r="C673" s="351"/>
      <c r="D673" s="600" t="str">
        <f>'refer admin discharge'!D669</f>
        <v>xx</v>
      </c>
      <c r="E673" s="351"/>
      <c r="F673" s="609" t="str">
        <f>'refer admin discharge'!H669</f>
        <v>00/00/0000</v>
      </c>
      <c r="G673" s="351"/>
      <c r="H673" s="610"/>
      <c r="I673" s="351"/>
      <c r="J673" s="611"/>
      <c r="K673" s="351"/>
      <c r="L673" s="610"/>
      <c r="M673" s="351"/>
      <c r="N673" s="612"/>
      <c r="O673" s="351"/>
      <c r="P673" s="610"/>
      <c r="Q673" s="351"/>
      <c r="R673" s="612"/>
      <c r="S673" s="351"/>
      <c r="T673" s="610"/>
      <c r="U673" s="351"/>
      <c r="V673" s="613" t="str">
        <f>'refer admin discharge'!H674</f>
        <v>00/00/0000</v>
      </c>
      <c r="W673" s="351"/>
      <c r="X673" s="607"/>
      <c r="Y673" s="351"/>
      <c r="Z673" s="614"/>
      <c r="AA673" s="351"/>
      <c r="AB673" s="607"/>
      <c r="AC673" s="351"/>
      <c r="AD673" s="606"/>
      <c r="AE673" s="351"/>
      <c r="AF673" s="607"/>
      <c r="AG673" s="351"/>
      <c r="AH673" s="606"/>
      <c r="AI673" s="351"/>
      <c r="AJ673" s="607"/>
      <c r="AK673" s="351"/>
      <c r="AL673" s="608"/>
      <c r="AM673" s="350"/>
      <c r="AN673" s="350"/>
      <c r="AO673" s="350"/>
      <c r="AP673" s="350"/>
      <c r="AQ673" s="350"/>
      <c r="AR673" s="350"/>
      <c r="AS673" s="350"/>
      <c r="AT673" s="350"/>
      <c r="AU673" s="350"/>
      <c r="AV673" s="350"/>
      <c r="AW673" s="350"/>
      <c r="AX673" s="350"/>
      <c r="AY673" s="350"/>
      <c r="AZ673" s="350"/>
      <c r="BA673" s="350"/>
      <c r="BB673" s="351"/>
    </row>
    <row r="674" spans="1:54" ht="15.75" customHeight="1">
      <c r="A674" s="25">
        <f t="shared" si="2"/>
        <v>661</v>
      </c>
      <c r="B674" s="618" t="str">
        <f>'refer admin discharge'!B670</f>
        <v>x</v>
      </c>
      <c r="C674" s="351"/>
      <c r="D674" s="619" t="str">
        <f>'refer admin discharge'!D670</f>
        <v>xx</v>
      </c>
      <c r="E674" s="351"/>
      <c r="F674" s="620" t="str">
        <f>'refer admin discharge'!H670</f>
        <v>00/00/0000</v>
      </c>
      <c r="G674" s="351"/>
      <c r="H674" s="615"/>
      <c r="I674" s="351"/>
      <c r="J674" s="621"/>
      <c r="K674" s="351"/>
      <c r="L674" s="615"/>
      <c r="M674" s="351"/>
      <c r="N674" s="610"/>
      <c r="O674" s="351"/>
      <c r="P674" s="615"/>
      <c r="Q674" s="351"/>
      <c r="R674" s="610"/>
      <c r="S674" s="351"/>
      <c r="T674" s="615"/>
      <c r="U674" s="351"/>
      <c r="V674" s="613" t="str">
        <f>'refer admin discharge'!H675</f>
        <v>00/00/0000</v>
      </c>
      <c r="W674" s="351"/>
      <c r="X674" s="616"/>
      <c r="Y674" s="351"/>
      <c r="Z674" s="617"/>
      <c r="AA674" s="351"/>
      <c r="AB674" s="616"/>
      <c r="AC674" s="351"/>
      <c r="AD674" s="607"/>
      <c r="AE674" s="351"/>
      <c r="AF674" s="616"/>
      <c r="AG674" s="351"/>
      <c r="AH674" s="607"/>
      <c r="AI674" s="351"/>
      <c r="AJ674" s="616"/>
      <c r="AK674" s="351"/>
      <c r="AL674" s="622"/>
      <c r="AM674" s="350"/>
      <c r="AN674" s="350"/>
      <c r="AO674" s="350"/>
      <c r="AP674" s="350"/>
      <c r="AQ674" s="350"/>
      <c r="AR674" s="350"/>
      <c r="AS674" s="350"/>
      <c r="AT674" s="350"/>
      <c r="AU674" s="350"/>
      <c r="AV674" s="350"/>
      <c r="AW674" s="350"/>
      <c r="AX674" s="350"/>
      <c r="AY674" s="350"/>
      <c r="AZ674" s="350"/>
      <c r="BA674" s="350"/>
      <c r="BB674" s="351"/>
    </row>
    <row r="675" spans="1:54" ht="15.75" customHeight="1">
      <c r="A675" s="25">
        <f t="shared" si="2"/>
        <v>662</v>
      </c>
      <c r="B675" s="599" t="str">
        <f>'refer admin discharge'!B671</f>
        <v>x</v>
      </c>
      <c r="C675" s="351"/>
      <c r="D675" s="600" t="str">
        <f>'refer admin discharge'!D671</f>
        <v>xx</v>
      </c>
      <c r="E675" s="351"/>
      <c r="F675" s="609" t="str">
        <f>'refer admin discharge'!H671</f>
        <v>00/00/0000</v>
      </c>
      <c r="G675" s="351"/>
      <c r="H675" s="610"/>
      <c r="I675" s="351"/>
      <c r="J675" s="611"/>
      <c r="K675" s="351"/>
      <c r="L675" s="610"/>
      <c r="M675" s="351"/>
      <c r="N675" s="612"/>
      <c r="O675" s="351"/>
      <c r="P675" s="610"/>
      <c r="Q675" s="351"/>
      <c r="R675" s="612"/>
      <c r="S675" s="351"/>
      <c r="T675" s="610"/>
      <c r="U675" s="351"/>
      <c r="V675" s="613" t="str">
        <f>'refer admin discharge'!H676</f>
        <v>00/00/0000</v>
      </c>
      <c r="W675" s="351"/>
      <c r="X675" s="607"/>
      <c r="Y675" s="351"/>
      <c r="Z675" s="614"/>
      <c r="AA675" s="351"/>
      <c r="AB675" s="607"/>
      <c r="AC675" s="351"/>
      <c r="AD675" s="606"/>
      <c r="AE675" s="351"/>
      <c r="AF675" s="607"/>
      <c r="AG675" s="351"/>
      <c r="AH675" s="606"/>
      <c r="AI675" s="351"/>
      <c r="AJ675" s="607"/>
      <c r="AK675" s="351"/>
      <c r="AL675" s="608"/>
      <c r="AM675" s="350"/>
      <c r="AN675" s="350"/>
      <c r="AO675" s="350"/>
      <c r="AP675" s="350"/>
      <c r="AQ675" s="350"/>
      <c r="AR675" s="350"/>
      <c r="AS675" s="350"/>
      <c r="AT675" s="350"/>
      <c r="AU675" s="350"/>
      <c r="AV675" s="350"/>
      <c r="AW675" s="350"/>
      <c r="AX675" s="350"/>
      <c r="AY675" s="350"/>
      <c r="AZ675" s="350"/>
      <c r="BA675" s="350"/>
      <c r="BB675" s="351"/>
    </row>
    <row r="676" spans="1:54" ht="15.75" customHeight="1">
      <c r="A676" s="25">
        <f t="shared" si="2"/>
        <v>663</v>
      </c>
      <c r="B676" s="618" t="str">
        <f>'refer admin discharge'!B672</f>
        <v>x</v>
      </c>
      <c r="C676" s="351"/>
      <c r="D676" s="619" t="str">
        <f>'refer admin discharge'!D672</f>
        <v>xx</v>
      </c>
      <c r="E676" s="351"/>
      <c r="F676" s="620" t="str">
        <f>'refer admin discharge'!H672</f>
        <v>00/00/0000</v>
      </c>
      <c r="G676" s="351"/>
      <c r="H676" s="615"/>
      <c r="I676" s="351"/>
      <c r="J676" s="621"/>
      <c r="K676" s="351"/>
      <c r="L676" s="615"/>
      <c r="M676" s="351"/>
      <c r="N676" s="610"/>
      <c r="O676" s="351"/>
      <c r="P676" s="615"/>
      <c r="Q676" s="351"/>
      <c r="R676" s="610"/>
      <c r="S676" s="351"/>
      <c r="T676" s="615"/>
      <c r="U676" s="351"/>
      <c r="V676" s="613" t="str">
        <f>'refer admin discharge'!H677</f>
        <v>00/00/0000</v>
      </c>
      <c r="W676" s="351"/>
      <c r="X676" s="616"/>
      <c r="Y676" s="351"/>
      <c r="Z676" s="617"/>
      <c r="AA676" s="351"/>
      <c r="AB676" s="616"/>
      <c r="AC676" s="351"/>
      <c r="AD676" s="607"/>
      <c r="AE676" s="351"/>
      <c r="AF676" s="616"/>
      <c r="AG676" s="351"/>
      <c r="AH676" s="607"/>
      <c r="AI676" s="351"/>
      <c r="AJ676" s="616"/>
      <c r="AK676" s="351"/>
      <c r="AL676" s="622"/>
      <c r="AM676" s="350"/>
      <c r="AN676" s="350"/>
      <c r="AO676" s="350"/>
      <c r="AP676" s="350"/>
      <c r="AQ676" s="350"/>
      <c r="AR676" s="350"/>
      <c r="AS676" s="350"/>
      <c r="AT676" s="350"/>
      <c r="AU676" s="350"/>
      <c r="AV676" s="350"/>
      <c r="AW676" s="350"/>
      <c r="AX676" s="350"/>
      <c r="AY676" s="350"/>
      <c r="AZ676" s="350"/>
      <c r="BA676" s="350"/>
      <c r="BB676" s="351"/>
    </row>
    <row r="677" spans="1:54" ht="15.75" customHeight="1">
      <c r="A677" s="25">
        <f t="shared" si="2"/>
        <v>664</v>
      </c>
      <c r="B677" s="599" t="str">
        <f>'refer admin discharge'!B673</f>
        <v>x</v>
      </c>
      <c r="C677" s="351"/>
      <c r="D677" s="600" t="str">
        <f>'refer admin discharge'!D673</f>
        <v>xx</v>
      </c>
      <c r="E677" s="351"/>
      <c r="F677" s="609" t="str">
        <f>'refer admin discharge'!H673</f>
        <v>00/00/0000</v>
      </c>
      <c r="G677" s="351"/>
      <c r="H677" s="610"/>
      <c r="I677" s="351"/>
      <c r="J677" s="611"/>
      <c r="K677" s="351"/>
      <c r="L677" s="610"/>
      <c r="M677" s="351"/>
      <c r="N677" s="612"/>
      <c r="O677" s="351"/>
      <c r="P677" s="610"/>
      <c r="Q677" s="351"/>
      <c r="R677" s="612"/>
      <c r="S677" s="351"/>
      <c r="T677" s="610"/>
      <c r="U677" s="351"/>
      <c r="V677" s="613" t="str">
        <f>'refer admin discharge'!H678</f>
        <v>00/00/0000</v>
      </c>
      <c r="W677" s="351"/>
      <c r="X677" s="607"/>
      <c r="Y677" s="351"/>
      <c r="Z677" s="614"/>
      <c r="AA677" s="351"/>
      <c r="AB677" s="607"/>
      <c r="AC677" s="351"/>
      <c r="AD677" s="606"/>
      <c r="AE677" s="351"/>
      <c r="AF677" s="607"/>
      <c r="AG677" s="351"/>
      <c r="AH677" s="606"/>
      <c r="AI677" s="351"/>
      <c r="AJ677" s="607"/>
      <c r="AK677" s="351"/>
      <c r="AL677" s="608"/>
      <c r="AM677" s="350"/>
      <c r="AN677" s="350"/>
      <c r="AO677" s="350"/>
      <c r="AP677" s="350"/>
      <c r="AQ677" s="350"/>
      <c r="AR677" s="350"/>
      <c r="AS677" s="350"/>
      <c r="AT677" s="350"/>
      <c r="AU677" s="350"/>
      <c r="AV677" s="350"/>
      <c r="AW677" s="350"/>
      <c r="AX677" s="350"/>
      <c r="AY677" s="350"/>
      <c r="AZ677" s="350"/>
      <c r="BA677" s="350"/>
      <c r="BB677" s="351"/>
    </row>
    <row r="678" spans="1:54" ht="15.75" customHeight="1">
      <c r="A678" s="25">
        <f t="shared" si="2"/>
        <v>665</v>
      </c>
      <c r="B678" s="618" t="str">
        <f>'refer admin discharge'!B674</f>
        <v>x</v>
      </c>
      <c r="C678" s="351"/>
      <c r="D678" s="619" t="str">
        <f>'refer admin discharge'!D674</f>
        <v>xx</v>
      </c>
      <c r="E678" s="351"/>
      <c r="F678" s="620" t="str">
        <f>'refer admin discharge'!H674</f>
        <v>00/00/0000</v>
      </c>
      <c r="G678" s="351"/>
      <c r="H678" s="615"/>
      <c r="I678" s="351"/>
      <c r="J678" s="621"/>
      <c r="K678" s="351"/>
      <c r="L678" s="615"/>
      <c r="M678" s="351"/>
      <c r="N678" s="610"/>
      <c r="O678" s="351"/>
      <c r="P678" s="615"/>
      <c r="Q678" s="351"/>
      <c r="R678" s="610"/>
      <c r="S678" s="351"/>
      <c r="T678" s="615"/>
      <c r="U678" s="351"/>
      <c r="V678" s="613" t="str">
        <f>'refer admin discharge'!H679</f>
        <v>00/00/0000</v>
      </c>
      <c r="W678" s="351"/>
      <c r="X678" s="616"/>
      <c r="Y678" s="351"/>
      <c r="Z678" s="617"/>
      <c r="AA678" s="351"/>
      <c r="AB678" s="616"/>
      <c r="AC678" s="351"/>
      <c r="AD678" s="607"/>
      <c r="AE678" s="351"/>
      <c r="AF678" s="616"/>
      <c r="AG678" s="351"/>
      <c r="AH678" s="607"/>
      <c r="AI678" s="351"/>
      <c r="AJ678" s="616"/>
      <c r="AK678" s="351"/>
      <c r="AL678" s="622"/>
      <c r="AM678" s="350"/>
      <c r="AN678" s="350"/>
      <c r="AO678" s="350"/>
      <c r="AP678" s="350"/>
      <c r="AQ678" s="350"/>
      <c r="AR678" s="350"/>
      <c r="AS678" s="350"/>
      <c r="AT678" s="350"/>
      <c r="AU678" s="350"/>
      <c r="AV678" s="350"/>
      <c r="AW678" s="350"/>
      <c r="AX678" s="350"/>
      <c r="AY678" s="350"/>
      <c r="AZ678" s="350"/>
      <c r="BA678" s="350"/>
      <c r="BB678" s="351"/>
    </row>
    <row r="679" spans="1:54" ht="15.75" customHeight="1">
      <c r="A679" s="25">
        <f t="shared" si="2"/>
        <v>666</v>
      </c>
      <c r="B679" s="599" t="str">
        <f>'refer admin discharge'!B675</f>
        <v>x</v>
      </c>
      <c r="C679" s="351"/>
      <c r="D679" s="600" t="str">
        <f>'refer admin discharge'!D675</f>
        <v>xx</v>
      </c>
      <c r="E679" s="351"/>
      <c r="F679" s="609" t="str">
        <f>'refer admin discharge'!H675</f>
        <v>00/00/0000</v>
      </c>
      <c r="G679" s="351"/>
      <c r="H679" s="610"/>
      <c r="I679" s="351"/>
      <c r="J679" s="611"/>
      <c r="K679" s="351"/>
      <c r="L679" s="610"/>
      <c r="M679" s="351"/>
      <c r="N679" s="612"/>
      <c r="O679" s="351"/>
      <c r="P679" s="610"/>
      <c r="Q679" s="351"/>
      <c r="R679" s="612"/>
      <c r="S679" s="351"/>
      <c r="T679" s="610"/>
      <c r="U679" s="351"/>
      <c r="V679" s="613" t="str">
        <f>'refer admin discharge'!H680</f>
        <v>00/00/0000</v>
      </c>
      <c r="W679" s="351"/>
      <c r="X679" s="607"/>
      <c r="Y679" s="351"/>
      <c r="Z679" s="614"/>
      <c r="AA679" s="351"/>
      <c r="AB679" s="607"/>
      <c r="AC679" s="351"/>
      <c r="AD679" s="606"/>
      <c r="AE679" s="351"/>
      <c r="AF679" s="607"/>
      <c r="AG679" s="351"/>
      <c r="AH679" s="606"/>
      <c r="AI679" s="351"/>
      <c r="AJ679" s="607"/>
      <c r="AK679" s="351"/>
      <c r="AL679" s="608"/>
      <c r="AM679" s="350"/>
      <c r="AN679" s="350"/>
      <c r="AO679" s="350"/>
      <c r="AP679" s="350"/>
      <c r="AQ679" s="350"/>
      <c r="AR679" s="350"/>
      <c r="AS679" s="350"/>
      <c r="AT679" s="350"/>
      <c r="AU679" s="350"/>
      <c r="AV679" s="350"/>
      <c r="AW679" s="350"/>
      <c r="AX679" s="350"/>
      <c r="AY679" s="350"/>
      <c r="AZ679" s="350"/>
      <c r="BA679" s="350"/>
      <c r="BB679" s="351"/>
    </row>
    <row r="680" spans="1:54" ht="15.75" customHeight="1">
      <c r="A680" s="25">
        <f t="shared" si="2"/>
        <v>667</v>
      </c>
      <c r="B680" s="618" t="str">
        <f>'refer admin discharge'!B676</f>
        <v>x</v>
      </c>
      <c r="C680" s="351"/>
      <c r="D680" s="619" t="str">
        <f>'refer admin discharge'!D676</f>
        <v>xx</v>
      </c>
      <c r="E680" s="351"/>
      <c r="F680" s="620" t="str">
        <f>'refer admin discharge'!H676</f>
        <v>00/00/0000</v>
      </c>
      <c r="G680" s="351"/>
      <c r="H680" s="615"/>
      <c r="I680" s="351"/>
      <c r="J680" s="621"/>
      <c r="K680" s="351"/>
      <c r="L680" s="615"/>
      <c r="M680" s="351"/>
      <c r="N680" s="610"/>
      <c r="O680" s="351"/>
      <c r="P680" s="615"/>
      <c r="Q680" s="351"/>
      <c r="R680" s="610"/>
      <c r="S680" s="351"/>
      <c r="T680" s="615"/>
      <c r="U680" s="351"/>
      <c r="V680" s="613" t="str">
        <f>'refer admin discharge'!H681</f>
        <v>00/00/0000</v>
      </c>
      <c r="W680" s="351"/>
      <c r="X680" s="616"/>
      <c r="Y680" s="351"/>
      <c r="Z680" s="617"/>
      <c r="AA680" s="351"/>
      <c r="AB680" s="616"/>
      <c r="AC680" s="351"/>
      <c r="AD680" s="607"/>
      <c r="AE680" s="351"/>
      <c r="AF680" s="616"/>
      <c r="AG680" s="351"/>
      <c r="AH680" s="607"/>
      <c r="AI680" s="351"/>
      <c r="AJ680" s="616"/>
      <c r="AK680" s="351"/>
      <c r="AL680" s="622"/>
      <c r="AM680" s="350"/>
      <c r="AN680" s="350"/>
      <c r="AO680" s="350"/>
      <c r="AP680" s="350"/>
      <c r="AQ680" s="350"/>
      <c r="AR680" s="350"/>
      <c r="AS680" s="350"/>
      <c r="AT680" s="350"/>
      <c r="AU680" s="350"/>
      <c r="AV680" s="350"/>
      <c r="AW680" s="350"/>
      <c r="AX680" s="350"/>
      <c r="AY680" s="350"/>
      <c r="AZ680" s="350"/>
      <c r="BA680" s="350"/>
      <c r="BB680" s="351"/>
    </row>
    <row r="681" spans="1:54" ht="15.75" customHeight="1">
      <c r="A681" s="25">
        <f t="shared" si="2"/>
        <v>668</v>
      </c>
      <c r="B681" s="599" t="str">
        <f>'refer admin discharge'!B677</f>
        <v>x</v>
      </c>
      <c r="C681" s="351"/>
      <c r="D681" s="600" t="str">
        <f>'refer admin discharge'!D677</f>
        <v>xx</v>
      </c>
      <c r="E681" s="351"/>
      <c r="F681" s="609" t="str">
        <f>'refer admin discharge'!H677</f>
        <v>00/00/0000</v>
      </c>
      <c r="G681" s="351"/>
      <c r="H681" s="610"/>
      <c r="I681" s="351"/>
      <c r="J681" s="611"/>
      <c r="K681" s="351"/>
      <c r="L681" s="610"/>
      <c r="M681" s="351"/>
      <c r="N681" s="612"/>
      <c r="O681" s="351"/>
      <c r="P681" s="610"/>
      <c r="Q681" s="351"/>
      <c r="R681" s="612"/>
      <c r="S681" s="351"/>
      <c r="T681" s="610"/>
      <c r="U681" s="351"/>
      <c r="V681" s="613" t="str">
        <f>'refer admin discharge'!H682</f>
        <v>00/00/0000</v>
      </c>
      <c r="W681" s="351"/>
      <c r="X681" s="607"/>
      <c r="Y681" s="351"/>
      <c r="Z681" s="614"/>
      <c r="AA681" s="351"/>
      <c r="AB681" s="607"/>
      <c r="AC681" s="351"/>
      <c r="AD681" s="606"/>
      <c r="AE681" s="351"/>
      <c r="AF681" s="607"/>
      <c r="AG681" s="351"/>
      <c r="AH681" s="606"/>
      <c r="AI681" s="351"/>
      <c r="AJ681" s="607"/>
      <c r="AK681" s="351"/>
      <c r="AL681" s="608"/>
      <c r="AM681" s="350"/>
      <c r="AN681" s="350"/>
      <c r="AO681" s="350"/>
      <c r="AP681" s="350"/>
      <c r="AQ681" s="350"/>
      <c r="AR681" s="350"/>
      <c r="AS681" s="350"/>
      <c r="AT681" s="350"/>
      <c r="AU681" s="350"/>
      <c r="AV681" s="350"/>
      <c r="AW681" s="350"/>
      <c r="AX681" s="350"/>
      <c r="AY681" s="350"/>
      <c r="AZ681" s="350"/>
      <c r="BA681" s="350"/>
      <c r="BB681" s="351"/>
    </row>
    <row r="682" spans="1:54" ht="15.75" customHeight="1">
      <c r="A682" s="25">
        <f t="shared" si="2"/>
        <v>669</v>
      </c>
      <c r="B682" s="618" t="str">
        <f>'refer admin discharge'!B678</f>
        <v>x</v>
      </c>
      <c r="C682" s="351"/>
      <c r="D682" s="619" t="str">
        <f>'refer admin discharge'!D678</f>
        <v>xx</v>
      </c>
      <c r="E682" s="351"/>
      <c r="F682" s="620" t="str">
        <f>'refer admin discharge'!H678</f>
        <v>00/00/0000</v>
      </c>
      <c r="G682" s="351"/>
      <c r="H682" s="615"/>
      <c r="I682" s="351"/>
      <c r="J682" s="621"/>
      <c r="K682" s="351"/>
      <c r="L682" s="615"/>
      <c r="M682" s="351"/>
      <c r="N682" s="610"/>
      <c r="O682" s="351"/>
      <c r="P682" s="615"/>
      <c r="Q682" s="351"/>
      <c r="R682" s="610"/>
      <c r="S682" s="351"/>
      <c r="T682" s="615"/>
      <c r="U682" s="351"/>
      <c r="V682" s="613" t="str">
        <f>'refer admin discharge'!H683</f>
        <v>00/00/0000</v>
      </c>
      <c r="W682" s="351"/>
      <c r="X682" s="616"/>
      <c r="Y682" s="351"/>
      <c r="Z682" s="617"/>
      <c r="AA682" s="351"/>
      <c r="AB682" s="616"/>
      <c r="AC682" s="351"/>
      <c r="AD682" s="607"/>
      <c r="AE682" s="351"/>
      <c r="AF682" s="616"/>
      <c r="AG682" s="351"/>
      <c r="AH682" s="607"/>
      <c r="AI682" s="351"/>
      <c r="AJ682" s="616"/>
      <c r="AK682" s="351"/>
      <c r="AL682" s="622"/>
      <c r="AM682" s="350"/>
      <c r="AN682" s="350"/>
      <c r="AO682" s="350"/>
      <c r="AP682" s="350"/>
      <c r="AQ682" s="350"/>
      <c r="AR682" s="350"/>
      <c r="AS682" s="350"/>
      <c r="AT682" s="350"/>
      <c r="AU682" s="350"/>
      <c r="AV682" s="350"/>
      <c r="AW682" s="350"/>
      <c r="AX682" s="350"/>
      <c r="AY682" s="350"/>
      <c r="AZ682" s="350"/>
      <c r="BA682" s="350"/>
      <c r="BB682" s="351"/>
    </row>
    <row r="683" spans="1:54" ht="15.75" customHeight="1">
      <c r="A683" s="25">
        <f t="shared" si="2"/>
        <v>670</v>
      </c>
      <c r="B683" s="599" t="str">
        <f>'refer admin discharge'!B679</f>
        <v>x</v>
      </c>
      <c r="C683" s="351"/>
      <c r="D683" s="600" t="str">
        <f>'refer admin discharge'!D679</f>
        <v>xx</v>
      </c>
      <c r="E683" s="351"/>
      <c r="F683" s="609" t="str">
        <f>'refer admin discharge'!H679</f>
        <v>00/00/0000</v>
      </c>
      <c r="G683" s="351"/>
      <c r="H683" s="610"/>
      <c r="I683" s="351"/>
      <c r="J683" s="611"/>
      <c r="K683" s="351"/>
      <c r="L683" s="610"/>
      <c r="M683" s="351"/>
      <c r="N683" s="612"/>
      <c r="O683" s="351"/>
      <c r="P683" s="610"/>
      <c r="Q683" s="351"/>
      <c r="R683" s="612"/>
      <c r="S683" s="351"/>
      <c r="T683" s="610"/>
      <c r="U683" s="351"/>
      <c r="V683" s="613" t="str">
        <f>'refer admin discharge'!H684</f>
        <v>00/00/0000</v>
      </c>
      <c r="W683" s="351"/>
      <c r="X683" s="607"/>
      <c r="Y683" s="351"/>
      <c r="Z683" s="614"/>
      <c r="AA683" s="351"/>
      <c r="AB683" s="607"/>
      <c r="AC683" s="351"/>
      <c r="AD683" s="606"/>
      <c r="AE683" s="351"/>
      <c r="AF683" s="607"/>
      <c r="AG683" s="351"/>
      <c r="AH683" s="606"/>
      <c r="AI683" s="351"/>
      <c r="AJ683" s="607"/>
      <c r="AK683" s="351"/>
      <c r="AL683" s="608"/>
      <c r="AM683" s="350"/>
      <c r="AN683" s="350"/>
      <c r="AO683" s="350"/>
      <c r="AP683" s="350"/>
      <c r="AQ683" s="350"/>
      <c r="AR683" s="350"/>
      <c r="AS683" s="350"/>
      <c r="AT683" s="350"/>
      <c r="AU683" s="350"/>
      <c r="AV683" s="350"/>
      <c r="AW683" s="350"/>
      <c r="AX683" s="350"/>
      <c r="AY683" s="350"/>
      <c r="AZ683" s="350"/>
      <c r="BA683" s="350"/>
      <c r="BB683" s="351"/>
    </row>
    <row r="684" spans="1:54" ht="15.75" customHeight="1">
      <c r="A684" s="25">
        <f t="shared" si="2"/>
        <v>671</v>
      </c>
      <c r="B684" s="618" t="str">
        <f>'refer admin discharge'!B680</f>
        <v>x</v>
      </c>
      <c r="C684" s="351"/>
      <c r="D684" s="619" t="str">
        <f>'refer admin discharge'!D680</f>
        <v>xx</v>
      </c>
      <c r="E684" s="351"/>
      <c r="F684" s="620" t="str">
        <f>'refer admin discharge'!H680</f>
        <v>00/00/0000</v>
      </c>
      <c r="G684" s="351"/>
      <c r="H684" s="615"/>
      <c r="I684" s="351"/>
      <c r="J684" s="621"/>
      <c r="K684" s="351"/>
      <c r="L684" s="615"/>
      <c r="M684" s="351"/>
      <c r="N684" s="610"/>
      <c r="O684" s="351"/>
      <c r="P684" s="615"/>
      <c r="Q684" s="351"/>
      <c r="R684" s="610"/>
      <c r="S684" s="351"/>
      <c r="T684" s="615"/>
      <c r="U684" s="351"/>
      <c r="V684" s="613" t="str">
        <f>'refer admin discharge'!H685</f>
        <v>00/00/0000</v>
      </c>
      <c r="W684" s="351"/>
      <c r="X684" s="616"/>
      <c r="Y684" s="351"/>
      <c r="Z684" s="617"/>
      <c r="AA684" s="351"/>
      <c r="AB684" s="616"/>
      <c r="AC684" s="351"/>
      <c r="AD684" s="607"/>
      <c r="AE684" s="351"/>
      <c r="AF684" s="616"/>
      <c r="AG684" s="351"/>
      <c r="AH684" s="607"/>
      <c r="AI684" s="351"/>
      <c r="AJ684" s="616"/>
      <c r="AK684" s="351"/>
      <c r="AL684" s="622"/>
      <c r="AM684" s="350"/>
      <c r="AN684" s="350"/>
      <c r="AO684" s="350"/>
      <c r="AP684" s="350"/>
      <c r="AQ684" s="350"/>
      <c r="AR684" s="350"/>
      <c r="AS684" s="350"/>
      <c r="AT684" s="350"/>
      <c r="AU684" s="350"/>
      <c r="AV684" s="350"/>
      <c r="AW684" s="350"/>
      <c r="AX684" s="350"/>
      <c r="AY684" s="350"/>
      <c r="AZ684" s="350"/>
      <c r="BA684" s="350"/>
      <c r="BB684" s="351"/>
    </row>
    <row r="685" spans="1:54" ht="15.75" customHeight="1">
      <c r="A685" s="25">
        <f t="shared" si="2"/>
        <v>672</v>
      </c>
      <c r="B685" s="599" t="str">
        <f>'refer admin discharge'!B681</f>
        <v>x</v>
      </c>
      <c r="C685" s="351"/>
      <c r="D685" s="600" t="str">
        <f>'refer admin discharge'!D681</f>
        <v>xx</v>
      </c>
      <c r="E685" s="351"/>
      <c r="F685" s="609" t="str">
        <f>'refer admin discharge'!H681</f>
        <v>00/00/0000</v>
      </c>
      <c r="G685" s="351"/>
      <c r="H685" s="610"/>
      <c r="I685" s="351"/>
      <c r="J685" s="611"/>
      <c r="K685" s="351"/>
      <c r="L685" s="610"/>
      <c r="M685" s="351"/>
      <c r="N685" s="612"/>
      <c r="O685" s="351"/>
      <c r="P685" s="610"/>
      <c r="Q685" s="351"/>
      <c r="R685" s="612"/>
      <c r="S685" s="351"/>
      <c r="T685" s="610"/>
      <c r="U685" s="351"/>
      <c r="V685" s="613" t="str">
        <f>'refer admin discharge'!H686</f>
        <v>00/00/0000</v>
      </c>
      <c r="W685" s="351"/>
      <c r="X685" s="607"/>
      <c r="Y685" s="351"/>
      <c r="Z685" s="614"/>
      <c r="AA685" s="351"/>
      <c r="AB685" s="607"/>
      <c r="AC685" s="351"/>
      <c r="AD685" s="606"/>
      <c r="AE685" s="351"/>
      <c r="AF685" s="607"/>
      <c r="AG685" s="351"/>
      <c r="AH685" s="606"/>
      <c r="AI685" s="351"/>
      <c r="AJ685" s="607"/>
      <c r="AK685" s="351"/>
      <c r="AL685" s="608"/>
      <c r="AM685" s="350"/>
      <c r="AN685" s="350"/>
      <c r="AO685" s="350"/>
      <c r="AP685" s="350"/>
      <c r="AQ685" s="350"/>
      <c r="AR685" s="350"/>
      <c r="AS685" s="350"/>
      <c r="AT685" s="350"/>
      <c r="AU685" s="350"/>
      <c r="AV685" s="350"/>
      <c r="AW685" s="350"/>
      <c r="AX685" s="350"/>
      <c r="AY685" s="350"/>
      <c r="AZ685" s="350"/>
      <c r="BA685" s="350"/>
      <c r="BB685" s="351"/>
    </row>
    <row r="686" spans="1:54" ht="15.75" customHeight="1">
      <c r="A686" s="25">
        <f t="shared" si="2"/>
        <v>673</v>
      </c>
      <c r="B686" s="618" t="str">
        <f>'refer admin discharge'!B682</f>
        <v>x</v>
      </c>
      <c r="C686" s="351"/>
      <c r="D686" s="619" t="str">
        <f>'refer admin discharge'!D682</f>
        <v>xx</v>
      </c>
      <c r="E686" s="351"/>
      <c r="F686" s="620" t="str">
        <f>'refer admin discharge'!H682</f>
        <v>00/00/0000</v>
      </c>
      <c r="G686" s="351"/>
      <c r="H686" s="615"/>
      <c r="I686" s="351"/>
      <c r="J686" s="621"/>
      <c r="K686" s="351"/>
      <c r="L686" s="615"/>
      <c r="M686" s="351"/>
      <c r="N686" s="610"/>
      <c r="O686" s="351"/>
      <c r="P686" s="615"/>
      <c r="Q686" s="351"/>
      <c r="R686" s="610"/>
      <c r="S686" s="351"/>
      <c r="T686" s="615"/>
      <c r="U686" s="351"/>
      <c r="V686" s="613" t="str">
        <f>'refer admin discharge'!H687</f>
        <v>00/00/0000</v>
      </c>
      <c r="W686" s="351"/>
      <c r="X686" s="616"/>
      <c r="Y686" s="351"/>
      <c r="Z686" s="617"/>
      <c r="AA686" s="351"/>
      <c r="AB686" s="616"/>
      <c r="AC686" s="351"/>
      <c r="AD686" s="607"/>
      <c r="AE686" s="351"/>
      <c r="AF686" s="616"/>
      <c r="AG686" s="351"/>
      <c r="AH686" s="607"/>
      <c r="AI686" s="351"/>
      <c r="AJ686" s="616"/>
      <c r="AK686" s="351"/>
      <c r="AL686" s="622"/>
      <c r="AM686" s="350"/>
      <c r="AN686" s="350"/>
      <c r="AO686" s="350"/>
      <c r="AP686" s="350"/>
      <c r="AQ686" s="350"/>
      <c r="AR686" s="350"/>
      <c r="AS686" s="350"/>
      <c r="AT686" s="350"/>
      <c r="AU686" s="350"/>
      <c r="AV686" s="350"/>
      <c r="AW686" s="350"/>
      <c r="AX686" s="350"/>
      <c r="AY686" s="350"/>
      <c r="AZ686" s="350"/>
      <c r="BA686" s="350"/>
      <c r="BB686" s="351"/>
    </row>
    <row r="687" spans="1:54" ht="15.75" customHeight="1">
      <c r="A687" s="25">
        <f t="shared" si="2"/>
        <v>674</v>
      </c>
      <c r="B687" s="599" t="str">
        <f>'refer admin discharge'!B683</f>
        <v>x</v>
      </c>
      <c r="C687" s="351"/>
      <c r="D687" s="600" t="str">
        <f>'refer admin discharge'!D683</f>
        <v>xx</v>
      </c>
      <c r="E687" s="351"/>
      <c r="F687" s="609" t="str">
        <f>'refer admin discharge'!H683</f>
        <v>00/00/0000</v>
      </c>
      <c r="G687" s="351"/>
      <c r="H687" s="610"/>
      <c r="I687" s="351"/>
      <c r="J687" s="611"/>
      <c r="K687" s="351"/>
      <c r="L687" s="610"/>
      <c r="M687" s="351"/>
      <c r="N687" s="612"/>
      <c r="O687" s="351"/>
      <c r="P687" s="610"/>
      <c r="Q687" s="351"/>
      <c r="R687" s="612"/>
      <c r="S687" s="351"/>
      <c r="T687" s="610"/>
      <c r="U687" s="351"/>
      <c r="V687" s="613" t="str">
        <f>'refer admin discharge'!H688</f>
        <v>00/00/0000</v>
      </c>
      <c r="W687" s="351"/>
      <c r="X687" s="607"/>
      <c r="Y687" s="351"/>
      <c r="Z687" s="614"/>
      <c r="AA687" s="351"/>
      <c r="AB687" s="607"/>
      <c r="AC687" s="351"/>
      <c r="AD687" s="606"/>
      <c r="AE687" s="351"/>
      <c r="AF687" s="607"/>
      <c r="AG687" s="351"/>
      <c r="AH687" s="606"/>
      <c r="AI687" s="351"/>
      <c r="AJ687" s="607"/>
      <c r="AK687" s="351"/>
      <c r="AL687" s="608"/>
      <c r="AM687" s="350"/>
      <c r="AN687" s="350"/>
      <c r="AO687" s="350"/>
      <c r="AP687" s="350"/>
      <c r="AQ687" s="350"/>
      <c r="AR687" s="350"/>
      <c r="AS687" s="350"/>
      <c r="AT687" s="350"/>
      <c r="AU687" s="350"/>
      <c r="AV687" s="350"/>
      <c r="AW687" s="350"/>
      <c r="AX687" s="350"/>
      <c r="AY687" s="350"/>
      <c r="AZ687" s="350"/>
      <c r="BA687" s="350"/>
      <c r="BB687" s="351"/>
    </row>
    <row r="688" spans="1:54" ht="15.75" customHeight="1">
      <c r="A688" s="25">
        <f t="shared" si="2"/>
        <v>675</v>
      </c>
      <c r="B688" s="618" t="str">
        <f>'refer admin discharge'!B684</f>
        <v>x</v>
      </c>
      <c r="C688" s="351"/>
      <c r="D688" s="619" t="str">
        <f>'refer admin discharge'!D684</f>
        <v>xx</v>
      </c>
      <c r="E688" s="351"/>
      <c r="F688" s="620" t="str">
        <f>'refer admin discharge'!H684</f>
        <v>00/00/0000</v>
      </c>
      <c r="G688" s="351"/>
      <c r="H688" s="615"/>
      <c r="I688" s="351"/>
      <c r="J688" s="621"/>
      <c r="K688" s="351"/>
      <c r="L688" s="615"/>
      <c r="M688" s="351"/>
      <c r="N688" s="610"/>
      <c r="O688" s="351"/>
      <c r="P688" s="615"/>
      <c r="Q688" s="351"/>
      <c r="R688" s="610"/>
      <c r="S688" s="351"/>
      <c r="T688" s="615"/>
      <c r="U688" s="351"/>
      <c r="V688" s="613" t="str">
        <f>'refer admin discharge'!H689</f>
        <v>00/00/0000</v>
      </c>
      <c r="W688" s="351"/>
      <c r="X688" s="616"/>
      <c r="Y688" s="351"/>
      <c r="Z688" s="617"/>
      <c r="AA688" s="351"/>
      <c r="AB688" s="616"/>
      <c r="AC688" s="351"/>
      <c r="AD688" s="607"/>
      <c r="AE688" s="351"/>
      <c r="AF688" s="616"/>
      <c r="AG688" s="351"/>
      <c r="AH688" s="607"/>
      <c r="AI688" s="351"/>
      <c r="AJ688" s="616"/>
      <c r="AK688" s="351"/>
      <c r="AL688" s="622"/>
      <c r="AM688" s="350"/>
      <c r="AN688" s="350"/>
      <c r="AO688" s="350"/>
      <c r="AP688" s="350"/>
      <c r="AQ688" s="350"/>
      <c r="AR688" s="350"/>
      <c r="AS688" s="350"/>
      <c r="AT688" s="350"/>
      <c r="AU688" s="350"/>
      <c r="AV688" s="350"/>
      <c r="AW688" s="350"/>
      <c r="AX688" s="350"/>
      <c r="AY688" s="350"/>
      <c r="AZ688" s="350"/>
      <c r="BA688" s="350"/>
      <c r="BB688" s="351"/>
    </row>
    <row r="689" spans="1:54" ht="15.75" customHeight="1">
      <c r="A689" s="25">
        <f t="shared" si="2"/>
        <v>676</v>
      </c>
      <c r="B689" s="599" t="str">
        <f>'refer admin discharge'!B685</f>
        <v>x</v>
      </c>
      <c r="C689" s="351"/>
      <c r="D689" s="600" t="str">
        <f>'refer admin discharge'!D685</f>
        <v>xx</v>
      </c>
      <c r="E689" s="351"/>
      <c r="F689" s="609" t="str">
        <f>'refer admin discharge'!H685</f>
        <v>00/00/0000</v>
      </c>
      <c r="G689" s="351"/>
      <c r="H689" s="610"/>
      <c r="I689" s="351"/>
      <c r="J689" s="611"/>
      <c r="K689" s="351"/>
      <c r="L689" s="610"/>
      <c r="M689" s="351"/>
      <c r="N689" s="612"/>
      <c r="O689" s="351"/>
      <c r="P689" s="610"/>
      <c r="Q689" s="351"/>
      <c r="R689" s="612"/>
      <c r="S689" s="351"/>
      <c r="T689" s="610"/>
      <c r="U689" s="351"/>
      <c r="V689" s="613" t="str">
        <f>'refer admin discharge'!H690</f>
        <v>00/00/0000</v>
      </c>
      <c r="W689" s="351"/>
      <c r="X689" s="607"/>
      <c r="Y689" s="351"/>
      <c r="Z689" s="614"/>
      <c r="AA689" s="351"/>
      <c r="AB689" s="607"/>
      <c r="AC689" s="351"/>
      <c r="AD689" s="606"/>
      <c r="AE689" s="351"/>
      <c r="AF689" s="607"/>
      <c r="AG689" s="351"/>
      <c r="AH689" s="606"/>
      <c r="AI689" s="351"/>
      <c r="AJ689" s="607"/>
      <c r="AK689" s="351"/>
      <c r="AL689" s="608"/>
      <c r="AM689" s="350"/>
      <c r="AN689" s="350"/>
      <c r="AO689" s="350"/>
      <c r="AP689" s="350"/>
      <c r="AQ689" s="350"/>
      <c r="AR689" s="350"/>
      <c r="AS689" s="350"/>
      <c r="AT689" s="350"/>
      <c r="AU689" s="350"/>
      <c r="AV689" s="350"/>
      <c r="AW689" s="350"/>
      <c r="AX689" s="350"/>
      <c r="AY689" s="350"/>
      <c r="AZ689" s="350"/>
      <c r="BA689" s="350"/>
      <c r="BB689" s="351"/>
    </row>
    <row r="690" spans="1:54" ht="15.75" customHeight="1">
      <c r="A690" s="25">
        <f t="shared" si="2"/>
        <v>677</v>
      </c>
      <c r="B690" s="618" t="str">
        <f>'refer admin discharge'!B686</f>
        <v>x</v>
      </c>
      <c r="C690" s="351"/>
      <c r="D690" s="619" t="str">
        <f>'refer admin discharge'!D686</f>
        <v>xx</v>
      </c>
      <c r="E690" s="351"/>
      <c r="F690" s="620" t="str">
        <f>'refer admin discharge'!H686</f>
        <v>00/00/0000</v>
      </c>
      <c r="G690" s="351"/>
      <c r="H690" s="615"/>
      <c r="I690" s="351"/>
      <c r="J690" s="621"/>
      <c r="K690" s="351"/>
      <c r="L690" s="615"/>
      <c r="M690" s="351"/>
      <c r="N690" s="610"/>
      <c r="O690" s="351"/>
      <c r="P690" s="615"/>
      <c r="Q690" s="351"/>
      <c r="R690" s="610"/>
      <c r="S690" s="351"/>
      <c r="T690" s="615"/>
      <c r="U690" s="351"/>
      <c r="V690" s="613" t="str">
        <f>'refer admin discharge'!H691</f>
        <v>00/00/0000</v>
      </c>
      <c r="W690" s="351"/>
      <c r="X690" s="616"/>
      <c r="Y690" s="351"/>
      <c r="Z690" s="617"/>
      <c r="AA690" s="351"/>
      <c r="AB690" s="616"/>
      <c r="AC690" s="351"/>
      <c r="AD690" s="607"/>
      <c r="AE690" s="351"/>
      <c r="AF690" s="616"/>
      <c r="AG690" s="351"/>
      <c r="AH690" s="607"/>
      <c r="AI690" s="351"/>
      <c r="AJ690" s="616"/>
      <c r="AK690" s="351"/>
      <c r="AL690" s="622"/>
      <c r="AM690" s="350"/>
      <c r="AN690" s="350"/>
      <c r="AO690" s="350"/>
      <c r="AP690" s="350"/>
      <c r="AQ690" s="350"/>
      <c r="AR690" s="350"/>
      <c r="AS690" s="350"/>
      <c r="AT690" s="350"/>
      <c r="AU690" s="350"/>
      <c r="AV690" s="350"/>
      <c r="AW690" s="350"/>
      <c r="AX690" s="350"/>
      <c r="AY690" s="350"/>
      <c r="AZ690" s="350"/>
      <c r="BA690" s="350"/>
      <c r="BB690" s="351"/>
    </row>
    <row r="691" spans="1:54" ht="15.75" customHeight="1">
      <c r="A691" s="25">
        <f t="shared" si="2"/>
        <v>678</v>
      </c>
      <c r="B691" s="599" t="str">
        <f>'refer admin discharge'!B687</f>
        <v>x</v>
      </c>
      <c r="C691" s="351"/>
      <c r="D691" s="600" t="str">
        <f>'refer admin discharge'!D687</f>
        <v>xx</v>
      </c>
      <c r="E691" s="351"/>
      <c r="F691" s="609" t="str">
        <f>'refer admin discharge'!H687</f>
        <v>00/00/0000</v>
      </c>
      <c r="G691" s="351"/>
      <c r="H691" s="610"/>
      <c r="I691" s="351"/>
      <c r="J691" s="611"/>
      <c r="K691" s="351"/>
      <c r="L691" s="610"/>
      <c r="M691" s="351"/>
      <c r="N691" s="612"/>
      <c r="O691" s="351"/>
      <c r="P691" s="610"/>
      <c r="Q691" s="351"/>
      <c r="R691" s="612"/>
      <c r="S691" s="351"/>
      <c r="T691" s="610"/>
      <c r="U691" s="351"/>
      <c r="V691" s="613" t="str">
        <f>'refer admin discharge'!H692</f>
        <v>00/00/0000</v>
      </c>
      <c r="W691" s="351"/>
      <c r="X691" s="607"/>
      <c r="Y691" s="351"/>
      <c r="Z691" s="614"/>
      <c r="AA691" s="351"/>
      <c r="AB691" s="607"/>
      <c r="AC691" s="351"/>
      <c r="AD691" s="606"/>
      <c r="AE691" s="351"/>
      <c r="AF691" s="607"/>
      <c r="AG691" s="351"/>
      <c r="AH691" s="606"/>
      <c r="AI691" s="351"/>
      <c r="AJ691" s="607"/>
      <c r="AK691" s="351"/>
      <c r="AL691" s="608"/>
      <c r="AM691" s="350"/>
      <c r="AN691" s="350"/>
      <c r="AO691" s="350"/>
      <c r="AP691" s="350"/>
      <c r="AQ691" s="350"/>
      <c r="AR691" s="350"/>
      <c r="AS691" s="350"/>
      <c r="AT691" s="350"/>
      <c r="AU691" s="350"/>
      <c r="AV691" s="350"/>
      <c r="AW691" s="350"/>
      <c r="AX691" s="350"/>
      <c r="AY691" s="350"/>
      <c r="AZ691" s="350"/>
      <c r="BA691" s="350"/>
      <c r="BB691" s="351"/>
    </row>
    <row r="692" spans="1:54" ht="15.75" customHeight="1">
      <c r="A692" s="25">
        <f t="shared" si="2"/>
        <v>679</v>
      </c>
      <c r="B692" s="618" t="str">
        <f>'refer admin discharge'!B688</f>
        <v>x</v>
      </c>
      <c r="C692" s="351"/>
      <c r="D692" s="619" t="str">
        <f>'refer admin discharge'!D688</f>
        <v>xx</v>
      </c>
      <c r="E692" s="351"/>
      <c r="F692" s="620" t="str">
        <f>'refer admin discharge'!H688</f>
        <v>00/00/0000</v>
      </c>
      <c r="G692" s="351"/>
      <c r="H692" s="615"/>
      <c r="I692" s="351"/>
      <c r="J692" s="621"/>
      <c r="K692" s="351"/>
      <c r="L692" s="615"/>
      <c r="M692" s="351"/>
      <c r="N692" s="610"/>
      <c r="O692" s="351"/>
      <c r="P692" s="615"/>
      <c r="Q692" s="351"/>
      <c r="R692" s="610"/>
      <c r="S692" s="351"/>
      <c r="T692" s="615"/>
      <c r="U692" s="351"/>
      <c r="V692" s="613" t="str">
        <f>'refer admin discharge'!H693</f>
        <v>00/00/0000</v>
      </c>
      <c r="W692" s="351"/>
      <c r="X692" s="616"/>
      <c r="Y692" s="351"/>
      <c r="Z692" s="617"/>
      <c r="AA692" s="351"/>
      <c r="AB692" s="616"/>
      <c r="AC692" s="351"/>
      <c r="AD692" s="607"/>
      <c r="AE692" s="351"/>
      <c r="AF692" s="616"/>
      <c r="AG692" s="351"/>
      <c r="AH692" s="607"/>
      <c r="AI692" s="351"/>
      <c r="AJ692" s="616"/>
      <c r="AK692" s="351"/>
      <c r="AL692" s="622"/>
      <c r="AM692" s="350"/>
      <c r="AN692" s="350"/>
      <c r="AO692" s="350"/>
      <c r="AP692" s="350"/>
      <c r="AQ692" s="350"/>
      <c r="AR692" s="350"/>
      <c r="AS692" s="350"/>
      <c r="AT692" s="350"/>
      <c r="AU692" s="350"/>
      <c r="AV692" s="350"/>
      <c r="AW692" s="350"/>
      <c r="AX692" s="350"/>
      <c r="AY692" s="350"/>
      <c r="AZ692" s="350"/>
      <c r="BA692" s="350"/>
      <c r="BB692" s="351"/>
    </row>
    <row r="693" spans="1:54" ht="15.75" customHeight="1">
      <c r="A693" s="25">
        <f t="shared" si="2"/>
        <v>680</v>
      </c>
      <c r="B693" s="599" t="str">
        <f>'refer admin discharge'!B689</f>
        <v>x</v>
      </c>
      <c r="C693" s="351"/>
      <c r="D693" s="600" t="str">
        <f>'refer admin discharge'!D689</f>
        <v>xx</v>
      </c>
      <c r="E693" s="351"/>
      <c r="F693" s="609" t="str">
        <f>'refer admin discharge'!H689</f>
        <v>00/00/0000</v>
      </c>
      <c r="G693" s="351"/>
      <c r="H693" s="610"/>
      <c r="I693" s="351"/>
      <c r="J693" s="611"/>
      <c r="K693" s="351"/>
      <c r="L693" s="610"/>
      <c r="M693" s="351"/>
      <c r="N693" s="612"/>
      <c r="O693" s="351"/>
      <c r="P693" s="610"/>
      <c r="Q693" s="351"/>
      <c r="R693" s="612"/>
      <c r="S693" s="351"/>
      <c r="T693" s="610"/>
      <c r="U693" s="351"/>
      <c r="V693" s="613" t="str">
        <f>'refer admin discharge'!H694</f>
        <v>00/00/0000</v>
      </c>
      <c r="W693" s="351"/>
      <c r="X693" s="607"/>
      <c r="Y693" s="351"/>
      <c r="Z693" s="614"/>
      <c r="AA693" s="351"/>
      <c r="AB693" s="607"/>
      <c r="AC693" s="351"/>
      <c r="AD693" s="606"/>
      <c r="AE693" s="351"/>
      <c r="AF693" s="607"/>
      <c r="AG693" s="351"/>
      <c r="AH693" s="606"/>
      <c r="AI693" s="351"/>
      <c r="AJ693" s="607"/>
      <c r="AK693" s="351"/>
      <c r="AL693" s="608"/>
      <c r="AM693" s="350"/>
      <c r="AN693" s="350"/>
      <c r="AO693" s="350"/>
      <c r="AP693" s="350"/>
      <c r="AQ693" s="350"/>
      <c r="AR693" s="350"/>
      <c r="AS693" s="350"/>
      <c r="AT693" s="350"/>
      <c r="AU693" s="350"/>
      <c r="AV693" s="350"/>
      <c r="AW693" s="350"/>
      <c r="AX693" s="350"/>
      <c r="AY693" s="350"/>
      <c r="AZ693" s="350"/>
      <c r="BA693" s="350"/>
      <c r="BB693" s="351"/>
    </row>
    <row r="694" spans="1:54" ht="15.75" customHeight="1">
      <c r="A694" s="25">
        <f t="shared" si="2"/>
        <v>681</v>
      </c>
      <c r="B694" s="618" t="str">
        <f>'refer admin discharge'!B690</f>
        <v>x</v>
      </c>
      <c r="C694" s="351"/>
      <c r="D694" s="619" t="str">
        <f>'refer admin discharge'!D690</f>
        <v>xx</v>
      </c>
      <c r="E694" s="351"/>
      <c r="F694" s="620" t="str">
        <f>'refer admin discharge'!H690</f>
        <v>00/00/0000</v>
      </c>
      <c r="G694" s="351"/>
      <c r="H694" s="615"/>
      <c r="I694" s="351"/>
      <c r="J694" s="621"/>
      <c r="K694" s="351"/>
      <c r="L694" s="615"/>
      <c r="M694" s="351"/>
      <c r="N694" s="610"/>
      <c r="O694" s="351"/>
      <c r="P694" s="615"/>
      <c r="Q694" s="351"/>
      <c r="R694" s="610"/>
      <c r="S694" s="351"/>
      <c r="T694" s="615"/>
      <c r="U694" s="351"/>
      <c r="V694" s="613" t="str">
        <f>'refer admin discharge'!H695</f>
        <v>00/00/0000</v>
      </c>
      <c r="W694" s="351"/>
      <c r="X694" s="616"/>
      <c r="Y694" s="351"/>
      <c r="Z694" s="617"/>
      <c r="AA694" s="351"/>
      <c r="AB694" s="616"/>
      <c r="AC694" s="351"/>
      <c r="AD694" s="607"/>
      <c r="AE694" s="351"/>
      <c r="AF694" s="616"/>
      <c r="AG694" s="351"/>
      <c r="AH694" s="607"/>
      <c r="AI694" s="351"/>
      <c r="AJ694" s="616"/>
      <c r="AK694" s="351"/>
      <c r="AL694" s="622"/>
      <c r="AM694" s="350"/>
      <c r="AN694" s="350"/>
      <c r="AO694" s="350"/>
      <c r="AP694" s="350"/>
      <c r="AQ694" s="350"/>
      <c r="AR694" s="350"/>
      <c r="AS694" s="350"/>
      <c r="AT694" s="350"/>
      <c r="AU694" s="350"/>
      <c r="AV694" s="350"/>
      <c r="AW694" s="350"/>
      <c r="AX694" s="350"/>
      <c r="AY694" s="350"/>
      <c r="AZ694" s="350"/>
      <c r="BA694" s="350"/>
      <c r="BB694" s="351"/>
    </row>
    <row r="695" spans="1:54" ht="15.75" customHeight="1">
      <c r="A695" s="25">
        <f t="shared" si="2"/>
        <v>682</v>
      </c>
      <c r="B695" s="599" t="str">
        <f>'refer admin discharge'!B691</f>
        <v>x</v>
      </c>
      <c r="C695" s="351"/>
      <c r="D695" s="600" t="str">
        <f>'refer admin discharge'!D691</f>
        <v>xx</v>
      </c>
      <c r="E695" s="351"/>
      <c r="F695" s="609" t="str">
        <f>'refer admin discharge'!H691</f>
        <v>00/00/0000</v>
      </c>
      <c r="G695" s="351"/>
      <c r="H695" s="610"/>
      <c r="I695" s="351"/>
      <c r="J695" s="611"/>
      <c r="K695" s="351"/>
      <c r="L695" s="610"/>
      <c r="M695" s="351"/>
      <c r="N695" s="612"/>
      <c r="O695" s="351"/>
      <c r="P695" s="610"/>
      <c r="Q695" s="351"/>
      <c r="R695" s="612"/>
      <c r="S695" s="351"/>
      <c r="T695" s="610"/>
      <c r="U695" s="351"/>
      <c r="V695" s="613" t="str">
        <f>'refer admin discharge'!H696</f>
        <v>00/00/0000</v>
      </c>
      <c r="W695" s="351"/>
      <c r="X695" s="607"/>
      <c r="Y695" s="351"/>
      <c r="Z695" s="614"/>
      <c r="AA695" s="351"/>
      <c r="AB695" s="607"/>
      <c r="AC695" s="351"/>
      <c r="AD695" s="606"/>
      <c r="AE695" s="351"/>
      <c r="AF695" s="607"/>
      <c r="AG695" s="351"/>
      <c r="AH695" s="606"/>
      <c r="AI695" s="351"/>
      <c r="AJ695" s="607"/>
      <c r="AK695" s="351"/>
      <c r="AL695" s="608"/>
      <c r="AM695" s="350"/>
      <c r="AN695" s="350"/>
      <c r="AO695" s="350"/>
      <c r="AP695" s="350"/>
      <c r="AQ695" s="350"/>
      <c r="AR695" s="350"/>
      <c r="AS695" s="350"/>
      <c r="AT695" s="350"/>
      <c r="AU695" s="350"/>
      <c r="AV695" s="350"/>
      <c r="AW695" s="350"/>
      <c r="AX695" s="350"/>
      <c r="AY695" s="350"/>
      <c r="AZ695" s="350"/>
      <c r="BA695" s="350"/>
      <c r="BB695" s="351"/>
    </row>
    <row r="696" spans="1:54" ht="15.75" customHeight="1">
      <c r="A696" s="25">
        <f t="shared" si="2"/>
        <v>683</v>
      </c>
      <c r="B696" s="618" t="str">
        <f>'refer admin discharge'!B692</f>
        <v>x</v>
      </c>
      <c r="C696" s="351"/>
      <c r="D696" s="619" t="str">
        <f>'refer admin discharge'!D692</f>
        <v>xx</v>
      </c>
      <c r="E696" s="351"/>
      <c r="F696" s="620" t="str">
        <f>'refer admin discharge'!H692</f>
        <v>00/00/0000</v>
      </c>
      <c r="G696" s="351"/>
      <c r="H696" s="615"/>
      <c r="I696" s="351"/>
      <c r="J696" s="621"/>
      <c r="K696" s="351"/>
      <c r="L696" s="615"/>
      <c r="M696" s="351"/>
      <c r="N696" s="610"/>
      <c r="O696" s="351"/>
      <c r="P696" s="615"/>
      <c r="Q696" s="351"/>
      <c r="R696" s="610"/>
      <c r="S696" s="351"/>
      <c r="T696" s="615"/>
      <c r="U696" s="351"/>
      <c r="V696" s="613" t="str">
        <f>'refer admin discharge'!H697</f>
        <v>00/00/0000</v>
      </c>
      <c r="W696" s="351"/>
      <c r="X696" s="616"/>
      <c r="Y696" s="351"/>
      <c r="Z696" s="617"/>
      <c r="AA696" s="351"/>
      <c r="AB696" s="616"/>
      <c r="AC696" s="351"/>
      <c r="AD696" s="607"/>
      <c r="AE696" s="351"/>
      <c r="AF696" s="616"/>
      <c r="AG696" s="351"/>
      <c r="AH696" s="607"/>
      <c r="AI696" s="351"/>
      <c r="AJ696" s="616"/>
      <c r="AK696" s="351"/>
      <c r="AL696" s="622"/>
      <c r="AM696" s="350"/>
      <c r="AN696" s="350"/>
      <c r="AO696" s="350"/>
      <c r="AP696" s="350"/>
      <c r="AQ696" s="350"/>
      <c r="AR696" s="350"/>
      <c r="AS696" s="350"/>
      <c r="AT696" s="350"/>
      <c r="AU696" s="350"/>
      <c r="AV696" s="350"/>
      <c r="AW696" s="350"/>
      <c r="AX696" s="350"/>
      <c r="AY696" s="350"/>
      <c r="AZ696" s="350"/>
      <c r="BA696" s="350"/>
      <c r="BB696" s="351"/>
    </row>
    <row r="697" spans="1:54" ht="15.75" customHeight="1">
      <c r="A697" s="25">
        <f t="shared" si="2"/>
        <v>684</v>
      </c>
      <c r="B697" s="599" t="str">
        <f>'refer admin discharge'!B693</f>
        <v>x</v>
      </c>
      <c r="C697" s="351"/>
      <c r="D697" s="600" t="str">
        <f>'refer admin discharge'!D693</f>
        <v>xx</v>
      </c>
      <c r="E697" s="351"/>
      <c r="F697" s="609" t="str">
        <f>'refer admin discharge'!H693</f>
        <v>00/00/0000</v>
      </c>
      <c r="G697" s="351"/>
      <c r="H697" s="610"/>
      <c r="I697" s="351"/>
      <c r="J697" s="611"/>
      <c r="K697" s="351"/>
      <c r="L697" s="610"/>
      <c r="M697" s="351"/>
      <c r="N697" s="612"/>
      <c r="O697" s="351"/>
      <c r="P697" s="610"/>
      <c r="Q697" s="351"/>
      <c r="R697" s="612"/>
      <c r="S697" s="351"/>
      <c r="T697" s="610"/>
      <c r="U697" s="351"/>
      <c r="V697" s="613" t="str">
        <f>'refer admin discharge'!H698</f>
        <v>00/00/0000</v>
      </c>
      <c r="W697" s="351"/>
      <c r="X697" s="607"/>
      <c r="Y697" s="351"/>
      <c r="Z697" s="614"/>
      <c r="AA697" s="351"/>
      <c r="AB697" s="607"/>
      <c r="AC697" s="351"/>
      <c r="AD697" s="606"/>
      <c r="AE697" s="351"/>
      <c r="AF697" s="607"/>
      <c r="AG697" s="351"/>
      <c r="AH697" s="606"/>
      <c r="AI697" s="351"/>
      <c r="AJ697" s="607"/>
      <c r="AK697" s="351"/>
      <c r="AL697" s="608"/>
      <c r="AM697" s="350"/>
      <c r="AN697" s="350"/>
      <c r="AO697" s="350"/>
      <c r="AP697" s="350"/>
      <c r="AQ697" s="350"/>
      <c r="AR697" s="350"/>
      <c r="AS697" s="350"/>
      <c r="AT697" s="350"/>
      <c r="AU697" s="350"/>
      <c r="AV697" s="350"/>
      <c r="AW697" s="350"/>
      <c r="AX697" s="350"/>
      <c r="AY697" s="350"/>
      <c r="AZ697" s="350"/>
      <c r="BA697" s="350"/>
      <c r="BB697" s="351"/>
    </row>
    <row r="698" spans="1:54" ht="15.75" customHeight="1">
      <c r="A698" s="25">
        <f t="shared" si="2"/>
        <v>685</v>
      </c>
      <c r="B698" s="618" t="str">
        <f>'refer admin discharge'!B694</f>
        <v>x</v>
      </c>
      <c r="C698" s="351"/>
      <c r="D698" s="619" t="str">
        <f>'refer admin discharge'!D694</f>
        <v>xx</v>
      </c>
      <c r="E698" s="351"/>
      <c r="F698" s="620" t="str">
        <f>'refer admin discharge'!H694</f>
        <v>00/00/0000</v>
      </c>
      <c r="G698" s="351"/>
      <c r="H698" s="615"/>
      <c r="I698" s="351"/>
      <c r="J698" s="621"/>
      <c r="K698" s="351"/>
      <c r="L698" s="615"/>
      <c r="M698" s="351"/>
      <c r="N698" s="610"/>
      <c r="O698" s="351"/>
      <c r="P698" s="615"/>
      <c r="Q698" s="351"/>
      <c r="R698" s="610"/>
      <c r="S698" s="351"/>
      <c r="T698" s="615"/>
      <c r="U698" s="351"/>
      <c r="V698" s="613" t="str">
        <f>'refer admin discharge'!H699</f>
        <v>00/00/0000</v>
      </c>
      <c r="W698" s="351"/>
      <c r="X698" s="616"/>
      <c r="Y698" s="351"/>
      <c r="Z698" s="617"/>
      <c r="AA698" s="351"/>
      <c r="AB698" s="616"/>
      <c r="AC698" s="351"/>
      <c r="AD698" s="607"/>
      <c r="AE698" s="351"/>
      <c r="AF698" s="616"/>
      <c r="AG698" s="351"/>
      <c r="AH698" s="607"/>
      <c r="AI698" s="351"/>
      <c r="AJ698" s="616"/>
      <c r="AK698" s="351"/>
      <c r="AL698" s="622"/>
      <c r="AM698" s="350"/>
      <c r="AN698" s="350"/>
      <c r="AO698" s="350"/>
      <c r="AP698" s="350"/>
      <c r="AQ698" s="350"/>
      <c r="AR698" s="350"/>
      <c r="AS698" s="350"/>
      <c r="AT698" s="350"/>
      <c r="AU698" s="350"/>
      <c r="AV698" s="350"/>
      <c r="AW698" s="350"/>
      <c r="AX698" s="350"/>
      <c r="AY698" s="350"/>
      <c r="AZ698" s="350"/>
      <c r="BA698" s="350"/>
      <c r="BB698" s="351"/>
    </row>
    <row r="699" spans="1:54" ht="15.75" customHeight="1">
      <c r="A699" s="25">
        <f t="shared" si="2"/>
        <v>686</v>
      </c>
      <c r="B699" s="599" t="str">
        <f>'refer admin discharge'!B695</f>
        <v>x</v>
      </c>
      <c r="C699" s="351"/>
      <c r="D699" s="600" t="str">
        <f>'refer admin discharge'!D695</f>
        <v>xx</v>
      </c>
      <c r="E699" s="351"/>
      <c r="F699" s="609" t="str">
        <f>'refer admin discharge'!H695</f>
        <v>00/00/0000</v>
      </c>
      <c r="G699" s="351"/>
      <c r="H699" s="610"/>
      <c r="I699" s="351"/>
      <c r="J699" s="611"/>
      <c r="K699" s="351"/>
      <c r="L699" s="610"/>
      <c r="M699" s="351"/>
      <c r="N699" s="612"/>
      <c r="O699" s="351"/>
      <c r="P699" s="610"/>
      <c r="Q699" s="351"/>
      <c r="R699" s="612"/>
      <c r="S699" s="351"/>
      <c r="T699" s="610"/>
      <c r="U699" s="351"/>
      <c r="V699" s="613" t="str">
        <f>'refer admin discharge'!H700</f>
        <v>00/00/0000</v>
      </c>
      <c r="W699" s="351"/>
      <c r="X699" s="607"/>
      <c r="Y699" s="351"/>
      <c r="Z699" s="614"/>
      <c r="AA699" s="351"/>
      <c r="AB699" s="607"/>
      <c r="AC699" s="351"/>
      <c r="AD699" s="606"/>
      <c r="AE699" s="351"/>
      <c r="AF699" s="607"/>
      <c r="AG699" s="351"/>
      <c r="AH699" s="606"/>
      <c r="AI699" s="351"/>
      <c r="AJ699" s="607"/>
      <c r="AK699" s="351"/>
      <c r="AL699" s="608"/>
      <c r="AM699" s="350"/>
      <c r="AN699" s="350"/>
      <c r="AO699" s="350"/>
      <c r="AP699" s="350"/>
      <c r="AQ699" s="350"/>
      <c r="AR699" s="350"/>
      <c r="AS699" s="350"/>
      <c r="AT699" s="350"/>
      <c r="AU699" s="350"/>
      <c r="AV699" s="350"/>
      <c r="AW699" s="350"/>
      <c r="AX699" s="350"/>
      <c r="AY699" s="350"/>
      <c r="AZ699" s="350"/>
      <c r="BA699" s="350"/>
      <c r="BB699" s="351"/>
    </row>
    <row r="700" spans="1:54" ht="15.75" customHeight="1">
      <c r="A700" s="25">
        <f t="shared" si="2"/>
        <v>687</v>
      </c>
      <c r="B700" s="618" t="str">
        <f>'refer admin discharge'!B696</f>
        <v>x</v>
      </c>
      <c r="C700" s="351"/>
      <c r="D700" s="619" t="str">
        <f>'refer admin discharge'!D696</f>
        <v>xx</v>
      </c>
      <c r="E700" s="351"/>
      <c r="F700" s="620" t="str">
        <f>'refer admin discharge'!H696</f>
        <v>00/00/0000</v>
      </c>
      <c r="G700" s="351"/>
      <c r="H700" s="615"/>
      <c r="I700" s="351"/>
      <c r="J700" s="621"/>
      <c r="K700" s="351"/>
      <c r="L700" s="615"/>
      <c r="M700" s="351"/>
      <c r="N700" s="610"/>
      <c r="O700" s="351"/>
      <c r="P700" s="615"/>
      <c r="Q700" s="351"/>
      <c r="R700" s="610"/>
      <c r="S700" s="351"/>
      <c r="T700" s="615"/>
      <c r="U700" s="351"/>
      <c r="V700" s="613" t="str">
        <f>'refer admin discharge'!H701</f>
        <v>00/00/0000</v>
      </c>
      <c r="W700" s="351"/>
      <c r="X700" s="616"/>
      <c r="Y700" s="351"/>
      <c r="Z700" s="617"/>
      <c r="AA700" s="351"/>
      <c r="AB700" s="616"/>
      <c r="AC700" s="351"/>
      <c r="AD700" s="607"/>
      <c r="AE700" s="351"/>
      <c r="AF700" s="616"/>
      <c r="AG700" s="351"/>
      <c r="AH700" s="607"/>
      <c r="AI700" s="351"/>
      <c r="AJ700" s="616"/>
      <c r="AK700" s="351"/>
      <c r="AL700" s="622"/>
      <c r="AM700" s="350"/>
      <c r="AN700" s="350"/>
      <c r="AO700" s="350"/>
      <c r="AP700" s="350"/>
      <c r="AQ700" s="350"/>
      <c r="AR700" s="350"/>
      <c r="AS700" s="350"/>
      <c r="AT700" s="350"/>
      <c r="AU700" s="350"/>
      <c r="AV700" s="350"/>
      <c r="AW700" s="350"/>
      <c r="AX700" s="350"/>
      <c r="AY700" s="350"/>
      <c r="AZ700" s="350"/>
      <c r="BA700" s="350"/>
      <c r="BB700" s="351"/>
    </row>
    <row r="701" spans="1:54" ht="15.75" customHeight="1">
      <c r="A701" s="25">
        <f t="shared" si="2"/>
        <v>688</v>
      </c>
      <c r="B701" s="599" t="str">
        <f>'refer admin discharge'!B697</f>
        <v>x</v>
      </c>
      <c r="C701" s="351"/>
      <c r="D701" s="600" t="str">
        <f>'refer admin discharge'!D697</f>
        <v>xx</v>
      </c>
      <c r="E701" s="351"/>
      <c r="F701" s="609" t="str">
        <f>'refer admin discharge'!H697</f>
        <v>00/00/0000</v>
      </c>
      <c r="G701" s="351"/>
      <c r="H701" s="610"/>
      <c r="I701" s="351"/>
      <c r="J701" s="611"/>
      <c r="K701" s="351"/>
      <c r="L701" s="610"/>
      <c r="M701" s="351"/>
      <c r="N701" s="612"/>
      <c r="O701" s="351"/>
      <c r="P701" s="610"/>
      <c r="Q701" s="351"/>
      <c r="R701" s="612"/>
      <c r="S701" s="351"/>
      <c r="T701" s="610"/>
      <c r="U701" s="351"/>
      <c r="V701" s="613" t="str">
        <f>'refer admin discharge'!H702</f>
        <v>00/00/0000</v>
      </c>
      <c r="W701" s="351"/>
      <c r="X701" s="607"/>
      <c r="Y701" s="351"/>
      <c r="Z701" s="614"/>
      <c r="AA701" s="351"/>
      <c r="AB701" s="607"/>
      <c r="AC701" s="351"/>
      <c r="AD701" s="606"/>
      <c r="AE701" s="351"/>
      <c r="AF701" s="607"/>
      <c r="AG701" s="351"/>
      <c r="AH701" s="606"/>
      <c r="AI701" s="351"/>
      <c r="AJ701" s="607"/>
      <c r="AK701" s="351"/>
      <c r="AL701" s="608"/>
      <c r="AM701" s="350"/>
      <c r="AN701" s="350"/>
      <c r="AO701" s="350"/>
      <c r="AP701" s="350"/>
      <c r="AQ701" s="350"/>
      <c r="AR701" s="350"/>
      <c r="AS701" s="350"/>
      <c r="AT701" s="350"/>
      <c r="AU701" s="350"/>
      <c r="AV701" s="350"/>
      <c r="AW701" s="350"/>
      <c r="AX701" s="350"/>
      <c r="AY701" s="350"/>
      <c r="AZ701" s="350"/>
      <c r="BA701" s="350"/>
      <c r="BB701" s="351"/>
    </row>
    <row r="702" spans="1:54" ht="15.75" customHeight="1">
      <c r="A702" s="25">
        <f t="shared" si="2"/>
        <v>689</v>
      </c>
      <c r="B702" s="618" t="str">
        <f>'refer admin discharge'!B698</f>
        <v>x</v>
      </c>
      <c r="C702" s="351"/>
      <c r="D702" s="619" t="str">
        <f>'refer admin discharge'!D698</f>
        <v>xx</v>
      </c>
      <c r="E702" s="351"/>
      <c r="F702" s="620" t="str">
        <f>'refer admin discharge'!H698</f>
        <v>00/00/0000</v>
      </c>
      <c r="G702" s="351"/>
      <c r="H702" s="615"/>
      <c r="I702" s="351"/>
      <c r="J702" s="621"/>
      <c r="K702" s="351"/>
      <c r="L702" s="615"/>
      <c r="M702" s="351"/>
      <c r="N702" s="610"/>
      <c r="O702" s="351"/>
      <c r="P702" s="615"/>
      <c r="Q702" s="351"/>
      <c r="R702" s="610"/>
      <c r="S702" s="351"/>
      <c r="T702" s="615"/>
      <c r="U702" s="351"/>
      <c r="V702" s="613" t="str">
        <f>'refer admin discharge'!H703</f>
        <v>00/00/0000</v>
      </c>
      <c r="W702" s="351"/>
      <c r="X702" s="616"/>
      <c r="Y702" s="351"/>
      <c r="Z702" s="617"/>
      <c r="AA702" s="351"/>
      <c r="AB702" s="616"/>
      <c r="AC702" s="351"/>
      <c r="AD702" s="607"/>
      <c r="AE702" s="351"/>
      <c r="AF702" s="616"/>
      <c r="AG702" s="351"/>
      <c r="AH702" s="607"/>
      <c r="AI702" s="351"/>
      <c r="AJ702" s="616"/>
      <c r="AK702" s="351"/>
      <c r="AL702" s="622"/>
      <c r="AM702" s="350"/>
      <c r="AN702" s="350"/>
      <c r="AO702" s="350"/>
      <c r="AP702" s="350"/>
      <c r="AQ702" s="350"/>
      <c r="AR702" s="350"/>
      <c r="AS702" s="350"/>
      <c r="AT702" s="350"/>
      <c r="AU702" s="350"/>
      <c r="AV702" s="350"/>
      <c r="AW702" s="350"/>
      <c r="AX702" s="350"/>
      <c r="AY702" s="350"/>
      <c r="AZ702" s="350"/>
      <c r="BA702" s="350"/>
      <c r="BB702" s="351"/>
    </row>
    <row r="703" spans="1:54" ht="15.75" customHeight="1">
      <c r="A703" s="25">
        <f t="shared" si="2"/>
        <v>690</v>
      </c>
      <c r="B703" s="599" t="str">
        <f>'refer admin discharge'!B699</f>
        <v>x</v>
      </c>
      <c r="C703" s="351"/>
      <c r="D703" s="600" t="str">
        <f>'refer admin discharge'!D699</f>
        <v>xx</v>
      </c>
      <c r="E703" s="351"/>
      <c r="F703" s="609" t="str">
        <f>'refer admin discharge'!H699</f>
        <v>00/00/0000</v>
      </c>
      <c r="G703" s="351"/>
      <c r="H703" s="610"/>
      <c r="I703" s="351"/>
      <c r="J703" s="611"/>
      <c r="K703" s="351"/>
      <c r="L703" s="610"/>
      <c r="M703" s="351"/>
      <c r="N703" s="612"/>
      <c r="O703" s="351"/>
      <c r="P703" s="610"/>
      <c r="Q703" s="351"/>
      <c r="R703" s="612"/>
      <c r="S703" s="351"/>
      <c r="T703" s="610"/>
      <c r="U703" s="351"/>
      <c r="V703" s="613" t="str">
        <f>'refer admin discharge'!H704</f>
        <v>00/00/0000</v>
      </c>
      <c r="W703" s="351"/>
      <c r="X703" s="607"/>
      <c r="Y703" s="351"/>
      <c r="Z703" s="614"/>
      <c r="AA703" s="351"/>
      <c r="AB703" s="607"/>
      <c r="AC703" s="351"/>
      <c r="AD703" s="606"/>
      <c r="AE703" s="351"/>
      <c r="AF703" s="607"/>
      <c r="AG703" s="351"/>
      <c r="AH703" s="606"/>
      <c r="AI703" s="351"/>
      <c r="AJ703" s="607"/>
      <c r="AK703" s="351"/>
      <c r="AL703" s="608"/>
      <c r="AM703" s="350"/>
      <c r="AN703" s="350"/>
      <c r="AO703" s="350"/>
      <c r="AP703" s="350"/>
      <c r="AQ703" s="350"/>
      <c r="AR703" s="350"/>
      <c r="AS703" s="350"/>
      <c r="AT703" s="350"/>
      <c r="AU703" s="350"/>
      <c r="AV703" s="350"/>
      <c r="AW703" s="350"/>
      <c r="AX703" s="350"/>
      <c r="AY703" s="350"/>
      <c r="AZ703" s="350"/>
      <c r="BA703" s="350"/>
      <c r="BB703" s="351"/>
    </row>
    <row r="704" spans="1:54" ht="15.75" customHeight="1">
      <c r="A704" s="25">
        <f t="shared" si="2"/>
        <v>691</v>
      </c>
      <c r="B704" s="618" t="str">
        <f>'refer admin discharge'!B700</f>
        <v>x</v>
      </c>
      <c r="C704" s="351"/>
      <c r="D704" s="619" t="str">
        <f>'refer admin discharge'!D700</f>
        <v>xx</v>
      </c>
      <c r="E704" s="351"/>
      <c r="F704" s="620" t="str">
        <f>'refer admin discharge'!H700</f>
        <v>00/00/0000</v>
      </c>
      <c r="G704" s="351"/>
      <c r="H704" s="615"/>
      <c r="I704" s="351"/>
      <c r="J704" s="621"/>
      <c r="K704" s="351"/>
      <c r="L704" s="615"/>
      <c r="M704" s="351"/>
      <c r="N704" s="610"/>
      <c r="O704" s="351"/>
      <c r="P704" s="615"/>
      <c r="Q704" s="351"/>
      <c r="R704" s="610"/>
      <c r="S704" s="351"/>
      <c r="T704" s="615"/>
      <c r="U704" s="351"/>
      <c r="V704" s="613" t="str">
        <f>'refer admin discharge'!H705</f>
        <v>00/00/0000</v>
      </c>
      <c r="W704" s="351"/>
      <c r="X704" s="616"/>
      <c r="Y704" s="351"/>
      <c r="Z704" s="617"/>
      <c r="AA704" s="351"/>
      <c r="AB704" s="616"/>
      <c r="AC704" s="351"/>
      <c r="AD704" s="607"/>
      <c r="AE704" s="351"/>
      <c r="AF704" s="616"/>
      <c r="AG704" s="351"/>
      <c r="AH704" s="607"/>
      <c r="AI704" s="351"/>
      <c r="AJ704" s="616"/>
      <c r="AK704" s="351"/>
      <c r="AL704" s="622"/>
      <c r="AM704" s="350"/>
      <c r="AN704" s="350"/>
      <c r="AO704" s="350"/>
      <c r="AP704" s="350"/>
      <c r="AQ704" s="350"/>
      <c r="AR704" s="350"/>
      <c r="AS704" s="350"/>
      <c r="AT704" s="350"/>
      <c r="AU704" s="350"/>
      <c r="AV704" s="350"/>
      <c r="AW704" s="350"/>
      <c r="AX704" s="350"/>
      <c r="AY704" s="350"/>
      <c r="AZ704" s="350"/>
      <c r="BA704" s="350"/>
      <c r="BB704" s="351"/>
    </row>
    <row r="705" spans="1:54" ht="15.75" customHeight="1">
      <c r="A705" s="25">
        <f t="shared" si="2"/>
        <v>692</v>
      </c>
      <c r="B705" s="599" t="str">
        <f>'refer admin discharge'!B701</f>
        <v>x</v>
      </c>
      <c r="C705" s="351"/>
      <c r="D705" s="600" t="str">
        <f>'refer admin discharge'!D701</f>
        <v>xx</v>
      </c>
      <c r="E705" s="351"/>
      <c r="F705" s="609" t="str">
        <f>'refer admin discharge'!H701</f>
        <v>00/00/0000</v>
      </c>
      <c r="G705" s="351"/>
      <c r="H705" s="610"/>
      <c r="I705" s="351"/>
      <c r="J705" s="611"/>
      <c r="K705" s="351"/>
      <c r="L705" s="610"/>
      <c r="M705" s="351"/>
      <c r="N705" s="612"/>
      <c r="O705" s="351"/>
      <c r="P705" s="610"/>
      <c r="Q705" s="351"/>
      <c r="R705" s="612"/>
      <c r="S705" s="351"/>
      <c r="T705" s="610"/>
      <c r="U705" s="351"/>
      <c r="V705" s="613" t="str">
        <f>'refer admin discharge'!H706</f>
        <v>00/00/0000</v>
      </c>
      <c r="W705" s="351"/>
      <c r="X705" s="607"/>
      <c r="Y705" s="351"/>
      <c r="Z705" s="614"/>
      <c r="AA705" s="351"/>
      <c r="AB705" s="607"/>
      <c r="AC705" s="351"/>
      <c r="AD705" s="606"/>
      <c r="AE705" s="351"/>
      <c r="AF705" s="607"/>
      <c r="AG705" s="351"/>
      <c r="AH705" s="606"/>
      <c r="AI705" s="351"/>
      <c r="AJ705" s="607"/>
      <c r="AK705" s="351"/>
      <c r="AL705" s="608"/>
      <c r="AM705" s="350"/>
      <c r="AN705" s="350"/>
      <c r="AO705" s="350"/>
      <c r="AP705" s="350"/>
      <c r="AQ705" s="350"/>
      <c r="AR705" s="350"/>
      <c r="AS705" s="350"/>
      <c r="AT705" s="350"/>
      <c r="AU705" s="350"/>
      <c r="AV705" s="350"/>
      <c r="AW705" s="350"/>
      <c r="AX705" s="350"/>
      <c r="AY705" s="350"/>
      <c r="AZ705" s="350"/>
      <c r="BA705" s="350"/>
      <c r="BB705" s="351"/>
    </row>
    <row r="706" spans="1:54" ht="15.75" customHeight="1">
      <c r="A706" s="25">
        <f t="shared" si="2"/>
        <v>693</v>
      </c>
      <c r="B706" s="618" t="str">
        <f>'refer admin discharge'!B702</f>
        <v>x</v>
      </c>
      <c r="C706" s="351"/>
      <c r="D706" s="619" t="str">
        <f>'refer admin discharge'!D702</f>
        <v>xx</v>
      </c>
      <c r="E706" s="351"/>
      <c r="F706" s="620" t="str">
        <f>'refer admin discharge'!H702</f>
        <v>00/00/0000</v>
      </c>
      <c r="G706" s="351"/>
      <c r="H706" s="615"/>
      <c r="I706" s="351"/>
      <c r="J706" s="621"/>
      <c r="K706" s="351"/>
      <c r="L706" s="615"/>
      <c r="M706" s="351"/>
      <c r="N706" s="610"/>
      <c r="O706" s="351"/>
      <c r="P706" s="615"/>
      <c r="Q706" s="351"/>
      <c r="R706" s="610"/>
      <c r="S706" s="351"/>
      <c r="T706" s="615"/>
      <c r="U706" s="351"/>
      <c r="V706" s="613" t="str">
        <f>'refer admin discharge'!H707</f>
        <v>00/00/0000</v>
      </c>
      <c r="W706" s="351"/>
      <c r="X706" s="616"/>
      <c r="Y706" s="351"/>
      <c r="Z706" s="617"/>
      <c r="AA706" s="351"/>
      <c r="AB706" s="616"/>
      <c r="AC706" s="351"/>
      <c r="AD706" s="607"/>
      <c r="AE706" s="351"/>
      <c r="AF706" s="616"/>
      <c r="AG706" s="351"/>
      <c r="AH706" s="607"/>
      <c r="AI706" s="351"/>
      <c r="AJ706" s="616"/>
      <c r="AK706" s="351"/>
      <c r="AL706" s="622"/>
      <c r="AM706" s="350"/>
      <c r="AN706" s="350"/>
      <c r="AO706" s="350"/>
      <c r="AP706" s="350"/>
      <c r="AQ706" s="350"/>
      <c r="AR706" s="350"/>
      <c r="AS706" s="350"/>
      <c r="AT706" s="350"/>
      <c r="AU706" s="350"/>
      <c r="AV706" s="350"/>
      <c r="AW706" s="350"/>
      <c r="AX706" s="350"/>
      <c r="AY706" s="350"/>
      <c r="AZ706" s="350"/>
      <c r="BA706" s="350"/>
      <c r="BB706" s="351"/>
    </row>
    <row r="707" spans="1:54" ht="15.75" customHeight="1">
      <c r="A707" s="25">
        <f t="shared" si="2"/>
        <v>694</v>
      </c>
      <c r="B707" s="599" t="str">
        <f>'refer admin discharge'!B703</f>
        <v>x</v>
      </c>
      <c r="C707" s="351"/>
      <c r="D707" s="600" t="str">
        <f>'refer admin discharge'!D703</f>
        <v>xx</v>
      </c>
      <c r="E707" s="351"/>
      <c r="F707" s="609" t="str">
        <f>'refer admin discharge'!H703</f>
        <v>00/00/0000</v>
      </c>
      <c r="G707" s="351"/>
      <c r="H707" s="610"/>
      <c r="I707" s="351"/>
      <c r="J707" s="611"/>
      <c r="K707" s="351"/>
      <c r="L707" s="610"/>
      <c r="M707" s="351"/>
      <c r="N707" s="612"/>
      <c r="O707" s="351"/>
      <c r="P707" s="610"/>
      <c r="Q707" s="351"/>
      <c r="R707" s="612"/>
      <c r="S707" s="351"/>
      <c r="T707" s="610"/>
      <c r="U707" s="351"/>
      <c r="V707" s="613" t="str">
        <f>'refer admin discharge'!H708</f>
        <v>00/00/0000</v>
      </c>
      <c r="W707" s="351"/>
      <c r="X707" s="607"/>
      <c r="Y707" s="351"/>
      <c r="Z707" s="614"/>
      <c r="AA707" s="351"/>
      <c r="AB707" s="607"/>
      <c r="AC707" s="351"/>
      <c r="AD707" s="606"/>
      <c r="AE707" s="351"/>
      <c r="AF707" s="607"/>
      <c r="AG707" s="351"/>
      <c r="AH707" s="606"/>
      <c r="AI707" s="351"/>
      <c r="AJ707" s="607"/>
      <c r="AK707" s="351"/>
      <c r="AL707" s="608"/>
      <c r="AM707" s="350"/>
      <c r="AN707" s="350"/>
      <c r="AO707" s="350"/>
      <c r="AP707" s="350"/>
      <c r="AQ707" s="350"/>
      <c r="AR707" s="350"/>
      <c r="AS707" s="350"/>
      <c r="AT707" s="350"/>
      <c r="AU707" s="350"/>
      <c r="AV707" s="350"/>
      <c r="AW707" s="350"/>
      <c r="AX707" s="350"/>
      <c r="AY707" s="350"/>
      <c r="AZ707" s="350"/>
      <c r="BA707" s="350"/>
      <c r="BB707" s="351"/>
    </row>
    <row r="708" spans="1:54" ht="15.75" customHeight="1">
      <c r="A708" s="25">
        <f t="shared" si="2"/>
        <v>695</v>
      </c>
      <c r="B708" s="618" t="str">
        <f>'refer admin discharge'!B704</f>
        <v>x</v>
      </c>
      <c r="C708" s="351"/>
      <c r="D708" s="619" t="str">
        <f>'refer admin discharge'!D704</f>
        <v>xx</v>
      </c>
      <c r="E708" s="351"/>
      <c r="F708" s="620" t="str">
        <f>'refer admin discharge'!H704</f>
        <v>00/00/0000</v>
      </c>
      <c r="G708" s="351"/>
      <c r="H708" s="615"/>
      <c r="I708" s="351"/>
      <c r="J708" s="621"/>
      <c r="K708" s="351"/>
      <c r="L708" s="615"/>
      <c r="M708" s="351"/>
      <c r="N708" s="610"/>
      <c r="O708" s="351"/>
      <c r="P708" s="615"/>
      <c r="Q708" s="351"/>
      <c r="R708" s="610"/>
      <c r="S708" s="351"/>
      <c r="T708" s="615"/>
      <c r="U708" s="351"/>
      <c r="V708" s="613" t="str">
        <f>'refer admin discharge'!H709</f>
        <v>00/00/0000</v>
      </c>
      <c r="W708" s="351"/>
      <c r="X708" s="616"/>
      <c r="Y708" s="351"/>
      <c r="Z708" s="617"/>
      <c r="AA708" s="351"/>
      <c r="AB708" s="616"/>
      <c r="AC708" s="351"/>
      <c r="AD708" s="607"/>
      <c r="AE708" s="351"/>
      <c r="AF708" s="616"/>
      <c r="AG708" s="351"/>
      <c r="AH708" s="607"/>
      <c r="AI708" s="351"/>
      <c r="AJ708" s="616"/>
      <c r="AK708" s="351"/>
      <c r="AL708" s="622"/>
      <c r="AM708" s="350"/>
      <c r="AN708" s="350"/>
      <c r="AO708" s="350"/>
      <c r="AP708" s="350"/>
      <c r="AQ708" s="350"/>
      <c r="AR708" s="350"/>
      <c r="AS708" s="350"/>
      <c r="AT708" s="350"/>
      <c r="AU708" s="350"/>
      <c r="AV708" s="350"/>
      <c r="AW708" s="350"/>
      <c r="AX708" s="350"/>
      <c r="AY708" s="350"/>
      <c r="AZ708" s="350"/>
      <c r="BA708" s="350"/>
      <c r="BB708" s="351"/>
    </row>
    <row r="709" spans="1:54" ht="15.75" customHeight="1">
      <c r="A709" s="25">
        <f t="shared" si="2"/>
        <v>696</v>
      </c>
      <c r="B709" s="599" t="str">
        <f>'refer admin discharge'!B705</f>
        <v>x</v>
      </c>
      <c r="C709" s="351"/>
      <c r="D709" s="600" t="str">
        <f>'refer admin discharge'!D705</f>
        <v>xx</v>
      </c>
      <c r="E709" s="351"/>
      <c r="F709" s="609" t="str">
        <f>'refer admin discharge'!H705</f>
        <v>00/00/0000</v>
      </c>
      <c r="G709" s="351"/>
      <c r="H709" s="610"/>
      <c r="I709" s="351"/>
      <c r="J709" s="611"/>
      <c r="K709" s="351"/>
      <c r="L709" s="610"/>
      <c r="M709" s="351"/>
      <c r="N709" s="612"/>
      <c r="O709" s="351"/>
      <c r="P709" s="610"/>
      <c r="Q709" s="351"/>
      <c r="R709" s="612"/>
      <c r="S709" s="351"/>
      <c r="T709" s="610"/>
      <c r="U709" s="351"/>
      <c r="V709" s="613" t="str">
        <f>'refer admin discharge'!H710</f>
        <v>00/00/0000</v>
      </c>
      <c r="W709" s="351"/>
      <c r="X709" s="607"/>
      <c r="Y709" s="351"/>
      <c r="Z709" s="614"/>
      <c r="AA709" s="351"/>
      <c r="AB709" s="607"/>
      <c r="AC709" s="351"/>
      <c r="AD709" s="606"/>
      <c r="AE709" s="351"/>
      <c r="AF709" s="607"/>
      <c r="AG709" s="351"/>
      <c r="AH709" s="606"/>
      <c r="AI709" s="351"/>
      <c r="AJ709" s="607"/>
      <c r="AK709" s="351"/>
      <c r="AL709" s="608"/>
      <c r="AM709" s="350"/>
      <c r="AN709" s="350"/>
      <c r="AO709" s="350"/>
      <c r="AP709" s="350"/>
      <c r="AQ709" s="350"/>
      <c r="AR709" s="350"/>
      <c r="AS709" s="350"/>
      <c r="AT709" s="350"/>
      <c r="AU709" s="350"/>
      <c r="AV709" s="350"/>
      <c r="AW709" s="350"/>
      <c r="AX709" s="350"/>
      <c r="AY709" s="350"/>
      <c r="AZ709" s="350"/>
      <c r="BA709" s="350"/>
      <c r="BB709" s="351"/>
    </row>
    <row r="710" spans="1:54" ht="15.75" customHeight="1">
      <c r="A710" s="25">
        <f t="shared" si="2"/>
        <v>697</v>
      </c>
      <c r="B710" s="618" t="str">
        <f>'refer admin discharge'!B706</f>
        <v>x</v>
      </c>
      <c r="C710" s="351"/>
      <c r="D710" s="619" t="str">
        <f>'refer admin discharge'!D706</f>
        <v>xx</v>
      </c>
      <c r="E710" s="351"/>
      <c r="F710" s="620" t="str">
        <f>'refer admin discharge'!H706</f>
        <v>00/00/0000</v>
      </c>
      <c r="G710" s="351"/>
      <c r="H710" s="615"/>
      <c r="I710" s="351"/>
      <c r="J710" s="621"/>
      <c r="K710" s="351"/>
      <c r="L710" s="615"/>
      <c r="M710" s="351"/>
      <c r="N710" s="610"/>
      <c r="O710" s="351"/>
      <c r="P710" s="615"/>
      <c r="Q710" s="351"/>
      <c r="R710" s="610"/>
      <c r="S710" s="351"/>
      <c r="T710" s="615"/>
      <c r="U710" s="351"/>
      <c r="V710" s="613" t="str">
        <f>'refer admin discharge'!H711</f>
        <v>00/00/0000</v>
      </c>
      <c r="W710" s="351"/>
      <c r="X710" s="616"/>
      <c r="Y710" s="351"/>
      <c r="Z710" s="617"/>
      <c r="AA710" s="351"/>
      <c r="AB710" s="616"/>
      <c r="AC710" s="351"/>
      <c r="AD710" s="607"/>
      <c r="AE710" s="351"/>
      <c r="AF710" s="616"/>
      <c r="AG710" s="351"/>
      <c r="AH710" s="607"/>
      <c r="AI710" s="351"/>
      <c r="AJ710" s="616"/>
      <c r="AK710" s="351"/>
      <c r="AL710" s="622"/>
      <c r="AM710" s="350"/>
      <c r="AN710" s="350"/>
      <c r="AO710" s="350"/>
      <c r="AP710" s="350"/>
      <c r="AQ710" s="350"/>
      <c r="AR710" s="350"/>
      <c r="AS710" s="350"/>
      <c r="AT710" s="350"/>
      <c r="AU710" s="350"/>
      <c r="AV710" s="350"/>
      <c r="AW710" s="350"/>
      <c r="AX710" s="350"/>
      <c r="AY710" s="350"/>
      <c r="AZ710" s="350"/>
      <c r="BA710" s="350"/>
      <c r="BB710" s="351"/>
    </row>
    <row r="711" spans="1:54" ht="15.75" customHeight="1">
      <c r="A711" s="25">
        <f t="shared" si="2"/>
        <v>698</v>
      </c>
      <c r="B711" s="599" t="str">
        <f>'refer admin discharge'!B707</f>
        <v>x</v>
      </c>
      <c r="C711" s="351"/>
      <c r="D711" s="600" t="str">
        <f>'refer admin discharge'!D707</f>
        <v>xx</v>
      </c>
      <c r="E711" s="351"/>
      <c r="F711" s="609" t="str">
        <f>'refer admin discharge'!H707</f>
        <v>00/00/0000</v>
      </c>
      <c r="G711" s="351"/>
      <c r="H711" s="610"/>
      <c r="I711" s="351"/>
      <c r="J711" s="611"/>
      <c r="K711" s="351"/>
      <c r="L711" s="610"/>
      <c r="M711" s="351"/>
      <c r="N711" s="612"/>
      <c r="O711" s="351"/>
      <c r="P711" s="610"/>
      <c r="Q711" s="351"/>
      <c r="R711" s="612"/>
      <c r="S711" s="351"/>
      <c r="T711" s="610"/>
      <c r="U711" s="351"/>
      <c r="V711" s="613" t="str">
        <f>'refer admin discharge'!H712</f>
        <v>00/00/0000</v>
      </c>
      <c r="W711" s="351"/>
      <c r="X711" s="607"/>
      <c r="Y711" s="351"/>
      <c r="Z711" s="614"/>
      <c r="AA711" s="351"/>
      <c r="AB711" s="607"/>
      <c r="AC711" s="351"/>
      <c r="AD711" s="606"/>
      <c r="AE711" s="351"/>
      <c r="AF711" s="607"/>
      <c r="AG711" s="351"/>
      <c r="AH711" s="606"/>
      <c r="AI711" s="351"/>
      <c r="AJ711" s="607"/>
      <c r="AK711" s="351"/>
      <c r="AL711" s="608"/>
      <c r="AM711" s="350"/>
      <c r="AN711" s="350"/>
      <c r="AO711" s="350"/>
      <c r="AP711" s="350"/>
      <c r="AQ711" s="350"/>
      <c r="AR711" s="350"/>
      <c r="AS711" s="350"/>
      <c r="AT711" s="350"/>
      <c r="AU711" s="350"/>
      <c r="AV711" s="350"/>
      <c r="AW711" s="350"/>
      <c r="AX711" s="350"/>
      <c r="AY711" s="350"/>
      <c r="AZ711" s="350"/>
      <c r="BA711" s="350"/>
      <c r="BB711" s="351"/>
    </row>
    <row r="712" spans="1:54" ht="15.75" customHeight="1">
      <c r="A712" s="25">
        <f t="shared" si="2"/>
        <v>699</v>
      </c>
      <c r="B712" s="618" t="str">
        <f>'refer admin discharge'!B708</f>
        <v>x</v>
      </c>
      <c r="C712" s="351"/>
      <c r="D712" s="619" t="str">
        <f>'refer admin discharge'!D708</f>
        <v>xx</v>
      </c>
      <c r="E712" s="351"/>
      <c r="F712" s="620" t="str">
        <f>'refer admin discharge'!H708</f>
        <v>00/00/0000</v>
      </c>
      <c r="G712" s="351"/>
      <c r="H712" s="615"/>
      <c r="I712" s="351"/>
      <c r="J712" s="621"/>
      <c r="K712" s="351"/>
      <c r="L712" s="615"/>
      <c r="M712" s="351"/>
      <c r="N712" s="610"/>
      <c r="O712" s="351"/>
      <c r="P712" s="615"/>
      <c r="Q712" s="351"/>
      <c r="R712" s="610"/>
      <c r="S712" s="351"/>
      <c r="T712" s="615"/>
      <c r="U712" s="351"/>
      <c r="V712" s="613" t="str">
        <f>'refer admin discharge'!H713</f>
        <v>00/00/0000</v>
      </c>
      <c r="W712" s="351"/>
      <c r="X712" s="616"/>
      <c r="Y712" s="351"/>
      <c r="Z712" s="617"/>
      <c r="AA712" s="351"/>
      <c r="AB712" s="616"/>
      <c r="AC712" s="351"/>
      <c r="AD712" s="607"/>
      <c r="AE712" s="351"/>
      <c r="AF712" s="616"/>
      <c r="AG712" s="351"/>
      <c r="AH712" s="607"/>
      <c r="AI712" s="351"/>
      <c r="AJ712" s="616"/>
      <c r="AK712" s="351"/>
      <c r="AL712" s="622"/>
      <c r="AM712" s="350"/>
      <c r="AN712" s="350"/>
      <c r="AO712" s="350"/>
      <c r="AP712" s="350"/>
      <c r="AQ712" s="350"/>
      <c r="AR712" s="350"/>
      <c r="AS712" s="350"/>
      <c r="AT712" s="350"/>
      <c r="AU712" s="350"/>
      <c r="AV712" s="350"/>
      <c r="AW712" s="350"/>
      <c r="AX712" s="350"/>
      <c r="AY712" s="350"/>
      <c r="AZ712" s="350"/>
      <c r="BA712" s="350"/>
      <c r="BB712" s="351"/>
    </row>
    <row r="713" spans="1:54" ht="15.75" customHeight="1">
      <c r="A713" s="25">
        <f t="shared" si="2"/>
        <v>700</v>
      </c>
      <c r="B713" s="599" t="str">
        <f>'refer admin discharge'!B709</f>
        <v>x</v>
      </c>
      <c r="C713" s="351"/>
      <c r="D713" s="600" t="str">
        <f>'refer admin discharge'!D709</f>
        <v>xx</v>
      </c>
      <c r="E713" s="351"/>
      <c r="F713" s="609" t="str">
        <f>'refer admin discharge'!H709</f>
        <v>00/00/0000</v>
      </c>
      <c r="G713" s="351"/>
      <c r="H713" s="610"/>
      <c r="I713" s="351"/>
      <c r="J713" s="611"/>
      <c r="K713" s="351"/>
      <c r="L713" s="610"/>
      <c r="M713" s="351"/>
      <c r="N713" s="612"/>
      <c r="O713" s="351"/>
      <c r="P713" s="610"/>
      <c r="Q713" s="351"/>
      <c r="R713" s="612"/>
      <c r="S713" s="351"/>
      <c r="T713" s="610"/>
      <c r="U713" s="351"/>
      <c r="V713" s="613" t="str">
        <f>'refer admin discharge'!H714</f>
        <v>00/00/0000</v>
      </c>
      <c r="W713" s="351"/>
      <c r="X713" s="607"/>
      <c r="Y713" s="351"/>
      <c r="Z713" s="614"/>
      <c r="AA713" s="351"/>
      <c r="AB713" s="607"/>
      <c r="AC713" s="351"/>
      <c r="AD713" s="606"/>
      <c r="AE713" s="351"/>
      <c r="AF713" s="607"/>
      <c r="AG713" s="351"/>
      <c r="AH713" s="606"/>
      <c r="AI713" s="351"/>
      <c r="AJ713" s="607"/>
      <c r="AK713" s="351"/>
      <c r="AL713" s="608"/>
      <c r="AM713" s="350"/>
      <c r="AN713" s="350"/>
      <c r="AO713" s="350"/>
      <c r="AP713" s="350"/>
      <c r="AQ713" s="350"/>
      <c r="AR713" s="350"/>
      <c r="AS713" s="350"/>
      <c r="AT713" s="350"/>
      <c r="AU713" s="350"/>
      <c r="AV713" s="350"/>
      <c r="AW713" s="350"/>
      <c r="AX713" s="350"/>
      <c r="AY713" s="350"/>
      <c r="AZ713" s="350"/>
      <c r="BA713" s="350"/>
      <c r="BB713" s="351"/>
    </row>
    <row r="714" spans="1:54" ht="15.75" customHeight="1">
      <c r="A714" s="25">
        <f t="shared" si="2"/>
        <v>701</v>
      </c>
      <c r="B714" s="618" t="str">
        <f>'refer admin discharge'!B710</f>
        <v>x</v>
      </c>
      <c r="C714" s="351"/>
      <c r="D714" s="619" t="str">
        <f>'refer admin discharge'!D710</f>
        <v>xx</v>
      </c>
      <c r="E714" s="351"/>
      <c r="F714" s="620" t="str">
        <f>'refer admin discharge'!H710</f>
        <v>00/00/0000</v>
      </c>
      <c r="G714" s="351"/>
      <c r="H714" s="615"/>
      <c r="I714" s="351"/>
      <c r="J714" s="621"/>
      <c r="K714" s="351"/>
      <c r="L714" s="615"/>
      <c r="M714" s="351"/>
      <c r="N714" s="610"/>
      <c r="O714" s="351"/>
      <c r="P714" s="615"/>
      <c r="Q714" s="351"/>
      <c r="R714" s="610"/>
      <c r="S714" s="351"/>
      <c r="T714" s="615"/>
      <c r="U714" s="351"/>
      <c r="V714" s="613" t="str">
        <f>'refer admin discharge'!H715</f>
        <v>00/00/0000</v>
      </c>
      <c r="W714" s="351"/>
      <c r="X714" s="616"/>
      <c r="Y714" s="351"/>
      <c r="Z714" s="617"/>
      <c r="AA714" s="351"/>
      <c r="AB714" s="616"/>
      <c r="AC714" s="351"/>
      <c r="AD714" s="607"/>
      <c r="AE714" s="351"/>
      <c r="AF714" s="616"/>
      <c r="AG714" s="351"/>
      <c r="AH714" s="607"/>
      <c r="AI714" s="351"/>
      <c r="AJ714" s="616"/>
      <c r="AK714" s="351"/>
      <c r="AL714" s="622"/>
      <c r="AM714" s="350"/>
      <c r="AN714" s="350"/>
      <c r="AO714" s="350"/>
      <c r="AP714" s="350"/>
      <c r="AQ714" s="350"/>
      <c r="AR714" s="350"/>
      <c r="AS714" s="350"/>
      <c r="AT714" s="350"/>
      <c r="AU714" s="350"/>
      <c r="AV714" s="350"/>
      <c r="AW714" s="350"/>
      <c r="AX714" s="350"/>
      <c r="AY714" s="350"/>
      <c r="AZ714" s="350"/>
      <c r="BA714" s="350"/>
      <c r="BB714" s="351"/>
    </row>
    <row r="715" spans="1:54" ht="15.75" customHeight="1">
      <c r="A715" s="25">
        <f t="shared" si="2"/>
        <v>702</v>
      </c>
      <c r="B715" s="599" t="str">
        <f>'refer admin discharge'!B711</f>
        <v>x</v>
      </c>
      <c r="C715" s="351"/>
      <c r="D715" s="600" t="str">
        <f>'refer admin discharge'!D711</f>
        <v>xx</v>
      </c>
      <c r="E715" s="351"/>
      <c r="F715" s="609" t="str">
        <f>'refer admin discharge'!H711</f>
        <v>00/00/0000</v>
      </c>
      <c r="G715" s="351"/>
      <c r="H715" s="610"/>
      <c r="I715" s="351"/>
      <c r="J715" s="611"/>
      <c r="K715" s="351"/>
      <c r="L715" s="610"/>
      <c r="M715" s="351"/>
      <c r="N715" s="612"/>
      <c r="O715" s="351"/>
      <c r="P715" s="610"/>
      <c r="Q715" s="351"/>
      <c r="R715" s="612"/>
      <c r="S715" s="351"/>
      <c r="T715" s="610"/>
      <c r="U715" s="351"/>
      <c r="V715" s="613" t="str">
        <f>'refer admin discharge'!H716</f>
        <v>00/00/0000</v>
      </c>
      <c r="W715" s="351"/>
      <c r="X715" s="607"/>
      <c r="Y715" s="351"/>
      <c r="Z715" s="614"/>
      <c r="AA715" s="351"/>
      <c r="AB715" s="607"/>
      <c r="AC715" s="351"/>
      <c r="AD715" s="606"/>
      <c r="AE715" s="351"/>
      <c r="AF715" s="607"/>
      <c r="AG715" s="351"/>
      <c r="AH715" s="606"/>
      <c r="AI715" s="351"/>
      <c r="AJ715" s="607"/>
      <c r="AK715" s="351"/>
      <c r="AL715" s="608"/>
      <c r="AM715" s="350"/>
      <c r="AN715" s="350"/>
      <c r="AO715" s="350"/>
      <c r="AP715" s="350"/>
      <c r="AQ715" s="350"/>
      <c r="AR715" s="350"/>
      <c r="AS715" s="350"/>
      <c r="AT715" s="350"/>
      <c r="AU715" s="350"/>
      <c r="AV715" s="350"/>
      <c r="AW715" s="350"/>
      <c r="AX715" s="350"/>
      <c r="AY715" s="350"/>
      <c r="AZ715" s="350"/>
      <c r="BA715" s="350"/>
      <c r="BB715" s="351"/>
    </row>
    <row r="716" spans="1:54" ht="15.75" customHeight="1">
      <c r="A716" s="25">
        <f t="shared" si="2"/>
        <v>703</v>
      </c>
      <c r="B716" s="618" t="str">
        <f>'refer admin discharge'!B712</f>
        <v>x</v>
      </c>
      <c r="C716" s="351"/>
      <c r="D716" s="619" t="str">
        <f>'refer admin discharge'!D712</f>
        <v>xx</v>
      </c>
      <c r="E716" s="351"/>
      <c r="F716" s="620" t="str">
        <f>'refer admin discharge'!H712</f>
        <v>00/00/0000</v>
      </c>
      <c r="G716" s="351"/>
      <c r="H716" s="615"/>
      <c r="I716" s="351"/>
      <c r="J716" s="621"/>
      <c r="K716" s="351"/>
      <c r="L716" s="615"/>
      <c r="M716" s="351"/>
      <c r="N716" s="610"/>
      <c r="O716" s="351"/>
      <c r="P716" s="615"/>
      <c r="Q716" s="351"/>
      <c r="R716" s="610"/>
      <c r="S716" s="351"/>
      <c r="T716" s="615"/>
      <c r="U716" s="351"/>
      <c r="V716" s="613" t="str">
        <f>'refer admin discharge'!H717</f>
        <v>00/00/0000</v>
      </c>
      <c r="W716" s="351"/>
      <c r="X716" s="616"/>
      <c r="Y716" s="351"/>
      <c r="Z716" s="617"/>
      <c r="AA716" s="351"/>
      <c r="AB716" s="616"/>
      <c r="AC716" s="351"/>
      <c r="AD716" s="607"/>
      <c r="AE716" s="351"/>
      <c r="AF716" s="616"/>
      <c r="AG716" s="351"/>
      <c r="AH716" s="607"/>
      <c r="AI716" s="351"/>
      <c r="AJ716" s="616"/>
      <c r="AK716" s="351"/>
      <c r="AL716" s="622"/>
      <c r="AM716" s="350"/>
      <c r="AN716" s="350"/>
      <c r="AO716" s="350"/>
      <c r="AP716" s="350"/>
      <c r="AQ716" s="350"/>
      <c r="AR716" s="350"/>
      <c r="AS716" s="350"/>
      <c r="AT716" s="350"/>
      <c r="AU716" s="350"/>
      <c r="AV716" s="350"/>
      <c r="AW716" s="350"/>
      <c r="AX716" s="350"/>
      <c r="AY716" s="350"/>
      <c r="AZ716" s="350"/>
      <c r="BA716" s="350"/>
      <c r="BB716" s="351"/>
    </row>
    <row r="717" spans="1:54" ht="15.75" customHeight="1">
      <c r="A717" s="25">
        <f t="shared" si="2"/>
        <v>704</v>
      </c>
      <c r="B717" s="599" t="str">
        <f>'refer admin discharge'!B713</f>
        <v>x</v>
      </c>
      <c r="C717" s="351"/>
      <c r="D717" s="600" t="str">
        <f>'refer admin discharge'!D713</f>
        <v>xx</v>
      </c>
      <c r="E717" s="351"/>
      <c r="F717" s="609" t="str">
        <f>'refer admin discharge'!H713</f>
        <v>00/00/0000</v>
      </c>
      <c r="G717" s="351"/>
      <c r="H717" s="610"/>
      <c r="I717" s="351"/>
      <c r="J717" s="611"/>
      <c r="K717" s="351"/>
      <c r="L717" s="610"/>
      <c r="M717" s="351"/>
      <c r="N717" s="612"/>
      <c r="O717" s="351"/>
      <c r="P717" s="610"/>
      <c r="Q717" s="351"/>
      <c r="R717" s="612"/>
      <c r="S717" s="351"/>
      <c r="T717" s="610"/>
      <c r="U717" s="351"/>
      <c r="V717" s="613" t="str">
        <f>'refer admin discharge'!H718</f>
        <v>00/00/0000</v>
      </c>
      <c r="W717" s="351"/>
      <c r="X717" s="607"/>
      <c r="Y717" s="351"/>
      <c r="Z717" s="614"/>
      <c r="AA717" s="351"/>
      <c r="AB717" s="607"/>
      <c r="AC717" s="351"/>
      <c r="AD717" s="606"/>
      <c r="AE717" s="351"/>
      <c r="AF717" s="607"/>
      <c r="AG717" s="351"/>
      <c r="AH717" s="606"/>
      <c r="AI717" s="351"/>
      <c r="AJ717" s="607"/>
      <c r="AK717" s="351"/>
      <c r="AL717" s="608"/>
      <c r="AM717" s="350"/>
      <c r="AN717" s="350"/>
      <c r="AO717" s="350"/>
      <c r="AP717" s="350"/>
      <c r="AQ717" s="350"/>
      <c r="AR717" s="350"/>
      <c r="AS717" s="350"/>
      <c r="AT717" s="350"/>
      <c r="AU717" s="350"/>
      <c r="AV717" s="350"/>
      <c r="AW717" s="350"/>
      <c r="AX717" s="350"/>
      <c r="AY717" s="350"/>
      <c r="AZ717" s="350"/>
      <c r="BA717" s="350"/>
      <c r="BB717" s="351"/>
    </row>
    <row r="718" spans="1:54" ht="15.75" customHeight="1">
      <c r="A718" s="25">
        <f t="shared" si="2"/>
        <v>705</v>
      </c>
      <c r="B718" s="618" t="str">
        <f>'refer admin discharge'!B714</f>
        <v>x</v>
      </c>
      <c r="C718" s="351"/>
      <c r="D718" s="619" t="str">
        <f>'refer admin discharge'!D714</f>
        <v>xx</v>
      </c>
      <c r="E718" s="351"/>
      <c r="F718" s="620" t="str">
        <f>'refer admin discharge'!H714</f>
        <v>00/00/0000</v>
      </c>
      <c r="G718" s="351"/>
      <c r="H718" s="615"/>
      <c r="I718" s="351"/>
      <c r="J718" s="621"/>
      <c r="K718" s="351"/>
      <c r="L718" s="615"/>
      <c r="M718" s="351"/>
      <c r="N718" s="610"/>
      <c r="O718" s="351"/>
      <c r="P718" s="615"/>
      <c r="Q718" s="351"/>
      <c r="R718" s="610"/>
      <c r="S718" s="351"/>
      <c r="T718" s="615"/>
      <c r="U718" s="351"/>
      <c r="V718" s="613" t="str">
        <f>'refer admin discharge'!H719</f>
        <v>00/00/0000</v>
      </c>
      <c r="W718" s="351"/>
      <c r="X718" s="616"/>
      <c r="Y718" s="351"/>
      <c r="Z718" s="617"/>
      <c r="AA718" s="351"/>
      <c r="AB718" s="616"/>
      <c r="AC718" s="351"/>
      <c r="AD718" s="607"/>
      <c r="AE718" s="351"/>
      <c r="AF718" s="616"/>
      <c r="AG718" s="351"/>
      <c r="AH718" s="607"/>
      <c r="AI718" s="351"/>
      <c r="AJ718" s="616"/>
      <c r="AK718" s="351"/>
      <c r="AL718" s="622"/>
      <c r="AM718" s="350"/>
      <c r="AN718" s="350"/>
      <c r="AO718" s="350"/>
      <c r="AP718" s="350"/>
      <c r="AQ718" s="350"/>
      <c r="AR718" s="350"/>
      <c r="AS718" s="350"/>
      <c r="AT718" s="350"/>
      <c r="AU718" s="350"/>
      <c r="AV718" s="350"/>
      <c r="AW718" s="350"/>
      <c r="AX718" s="350"/>
      <c r="AY718" s="350"/>
      <c r="AZ718" s="350"/>
      <c r="BA718" s="350"/>
      <c r="BB718" s="351"/>
    </row>
    <row r="719" spans="1:54" ht="15.75" customHeight="1">
      <c r="A719" s="25">
        <f t="shared" si="2"/>
        <v>706</v>
      </c>
      <c r="B719" s="599" t="str">
        <f>'refer admin discharge'!B715</f>
        <v>x</v>
      </c>
      <c r="C719" s="351"/>
      <c r="D719" s="600" t="str">
        <f>'refer admin discharge'!D715</f>
        <v>xx</v>
      </c>
      <c r="E719" s="351"/>
      <c r="F719" s="609" t="str">
        <f>'refer admin discharge'!H715</f>
        <v>00/00/0000</v>
      </c>
      <c r="G719" s="351"/>
      <c r="H719" s="610"/>
      <c r="I719" s="351"/>
      <c r="J719" s="611"/>
      <c r="K719" s="351"/>
      <c r="L719" s="610"/>
      <c r="M719" s="351"/>
      <c r="N719" s="612"/>
      <c r="O719" s="351"/>
      <c r="P719" s="610"/>
      <c r="Q719" s="351"/>
      <c r="R719" s="612"/>
      <c r="S719" s="351"/>
      <c r="T719" s="610"/>
      <c r="U719" s="351"/>
      <c r="V719" s="613" t="str">
        <f>'refer admin discharge'!H720</f>
        <v>00/00/0000</v>
      </c>
      <c r="W719" s="351"/>
      <c r="X719" s="607"/>
      <c r="Y719" s="351"/>
      <c r="Z719" s="614"/>
      <c r="AA719" s="351"/>
      <c r="AB719" s="607"/>
      <c r="AC719" s="351"/>
      <c r="AD719" s="606"/>
      <c r="AE719" s="351"/>
      <c r="AF719" s="607"/>
      <c r="AG719" s="351"/>
      <c r="AH719" s="606"/>
      <c r="AI719" s="351"/>
      <c r="AJ719" s="607"/>
      <c r="AK719" s="351"/>
      <c r="AL719" s="608"/>
      <c r="AM719" s="350"/>
      <c r="AN719" s="350"/>
      <c r="AO719" s="350"/>
      <c r="AP719" s="350"/>
      <c r="AQ719" s="350"/>
      <c r="AR719" s="350"/>
      <c r="AS719" s="350"/>
      <c r="AT719" s="350"/>
      <c r="AU719" s="350"/>
      <c r="AV719" s="350"/>
      <c r="AW719" s="350"/>
      <c r="AX719" s="350"/>
      <c r="AY719" s="350"/>
      <c r="AZ719" s="350"/>
      <c r="BA719" s="350"/>
      <c r="BB719" s="351"/>
    </row>
    <row r="720" spans="1:54" ht="15.75" customHeight="1">
      <c r="A720" s="25">
        <f t="shared" si="2"/>
        <v>707</v>
      </c>
      <c r="B720" s="618" t="str">
        <f>'refer admin discharge'!B716</f>
        <v>x</v>
      </c>
      <c r="C720" s="351"/>
      <c r="D720" s="619" t="str">
        <f>'refer admin discharge'!D716</f>
        <v>xx</v>
      </c>
      <c r="E720" s="351"/>
      <c r="F720" s="620" t="str">
        <f>'refer admin discharge'!H716</f>
        <v>00/00/0000</v>
      </c>
      <c r="G720" s="351"/>
      <c r="H720" s="615"/>
      <c r="I720" s="351"/>
      <c r="J720" s="621"/>
      <c r="K720" s="351"/>
      <c r="L720" s="615"/>
      <c r="M720" s="351"/>
      <c r="N720" s="610"/>
      <c r="O720" s="351"/>
      <c r="P720" s="615"/>
      <c r="Q720" s="351"/>
      <c r="R720" s="610"/>
      <c r="S720" s="351"/>
      <c r="T720" s="615"/>
      <c r="U720" s="351"/>
      <c r="V720" s="613" t="str">
        <f>'refer admin discharge'!H721</f>
        <v>00/00/0000</v>
      </c>
      <c r="W720" s="351"/>
      <c r="X720" s="616"/>
      <c r="Y720" s="351"/>
      <c r="Z720" s="617"/>
      <c r="AA720" s="351"/>
      <c r="AB720" s="616"/>
      <c r="AC720" s="351"/>
      <c r="AD720" s="607"/>
      <c r="AE720" s="351"/>
      <c r="AF720" s="616"/>
      <c r="AG720" s="351"/>
      <c r="AH720" s="607"/>
      <c r="AI720" s="351"/>
      <c r="AJ720" s="616"/>
      <c r="AK720" s="351"/>
      <c r="AL720" s="622"/>
      <c r="AM720" s="350"/>
      <c r="AN720" s="350"/>
      <c r="AO720" s="350"/>
      <c r="AP720" s="350"/>
      <c r="AQ720" s="350"/>
      <c r="AR720" s="350"/>
      <c r="AS720" s="350"/>
      <c r="AT720" s="350"/>
      <c r="AU720" s="350"/>
      <c r="AV720" s="350"/>
      <c r="AW720" s="350"/>
      <c r="AX720" s="350"/>
      <c r="AY720" s="350"/>
      <c r="AZ720" s="350"/>
      <c r="BA720" s="350"/>
      <c r="BB720" s="351"/>
    </row>
    <row r="721" spans="1:54" ht="15.75" customHeight="1">
      <c r="A721" s="25">
        <f t="shared" si="2"/>
        <v>708</v>
      </c>
      <c r="B721" s="599" t="str">
        <f>'refer admin discharge'!B717</f>
        <v>x</v>
      </c>
      <c r="C721" s="351"/>
      <c r="D721" s="600" t="str">
        <f>'refer admin discharge'!D717</f>
        <v>xx</v>
      </c>
      <c r="E721" s="351"/>
      <c r="F721" s="609" t="str">
        <f>'refer admin discharge'!H717</f>
        <v>00/00/0000</v>
      </c>
      <c r="G721" s="351"/>
      <c r="H721" s="610"/>
      <c r="I721" s="351"/>
      <c r="J721" s="611"/>
      <c r="K721" s="351"/>
      <c r="L721" s="610"/>
      <c r="M721" s="351"/>
      <c r="N721" s="612"/>
      <c r="O721" s="351"/>
      <c r="P721" s="610"/>
      <c r="Q721" s="351"/>
      <c r="R721" s="612"/>
      <c r="S721" s="351"/>
      <c r="T721" s="610"/>
      <c r="U721" s="351"/>
      <c r="V721" s="613" t="str">
        <f>'refer admin discharge'!H722</f>
        <v>00/00/0000</v>
      </c>
      <c r="W721" s="351"/>
      <c r="X721" s="607"/>
      <c r="Y721" s="351"/>
      <c r="Z721" s="614"/>
      <c r="AA721" s="351"/>
      <c r="AB721" s="607"/>
      <c r="AC721" s="351"/>
      <c r="AD721" s="606"/>
      <c r="AE721" s="351"/>
      <c r="AF721" s="607"/>
      <c r="AG721" s="351"/>
      <c r="AH721" s="606"/>
      <c r="AI721" s="351"/>
      <c r="AJ721" s="607"/>
      <c r="AK721" s="351"/>
      <c r="AL721" s="608"/>
      <c r="AM721" s="350"/>
      <c r="AN721" s="350"/>
      <c r="AO721" s="350"/>
      <c r="AP721" s="350"/>
      <c r="AQ721" s="350"/>
      <c r="AR721" s="350"/>
      <c r="AS721" s="350"/>
      <c r="AT721" s="350"/>
      <c r="AU721" s="350"/>
      <c r="AV721" s="350"/>
      <c r="AW721" s="350"/>
      <c r="AX721" s="350"/>
      <c r="AY721" s="350"/>
      <c r="AZ721" s="350"/>
      <c r="BA721" s="350"/>
      <c r="BB721" s="351"/>
    </row>
    <row r="722" spans="1:54" ht="15.75" customHeight="1">
      <c r="A722" s="25">
        <f t="shared" si="2"/>
        <v>709</v>
      </c>
      <c r="B722" s="618" t="str">
        <f>'refer admin discharge'!B718</f>
        <v>x</v>
      </c>
      <c r="C722" s="351"/>
      <c r="D722" s="619" t="str">
        <f>'refer admin discharge'!D718</f>
        <v>xx</v>
      </c>
      <c r="E722" s="351"/>
      <c r="F722" s="620" t="str">
        <f>'refer admin discharge'!H718</f>
        <v>00/00/0000</v>
      </c>
      <c r="G722" s="351"/>
      <c r="H722" s="615"/>
      <c r="I722" s="351"/>
      <c r="J722" s="621"/>
      <c r="K722" s="351"/>
      <c r="L722" s="615"/>
      <c r="M722" s="351"/>
      <c r="N722" s="610"/>
      <c r="O722" s="351"/>
      <c r="P722" s="615"/>
      <c r="Q722" s="351"/>
      <c r="R722" s="610"/>
      <c r="S722" s="351"/>
      <c r="T722" s="615"/>
      <c r="U722" s="351"/>
      <c r="V722" s="613" t="str">
        <f>'refer admin discharge'!H723</f>
        <v>00/00/0000</v>
      </c>
      <c r="W722" s="351"/>
      <c r="X722" s="616"/>
      <c r="Y722" s="351"/>
      <c r="Z722" s="617"/>
      <c r="AA722" s="351"/>
      <c r="AB722" s="616"/>
      <c r="AC722" s="351"/>
      <c r="AD722" s="607"/>
      <c r="AE722" s="351"/>
      <c r="AF722" s="616"/>
      <c r="AG722" s="351"/>
      <c r="AH722" s="607"/>
      <c r="AI722" s="351"/>
      <c r="AJ722" s="616"/>
      <c r="AK722" s="351"/>
      <c r="AL722" s="622"/>
      <c r="AM722" s="350"/>
      <c r="AN722" s="350"/>
      <c r="AO722" s="350"/>
      <c r="AP722" s="350"/>
      <c r="AQ722" s="350"/>
      <c r="AR722" s="350"/>
      <c r="AS722" s="350"/>
      <c r="AT722" s="350"/>
      <c r="AU722" s="350"/>
      <c r="AV722" s="350"/>
      <c r="AW722" s="350"/>
      <c r="AX722" s="350"/>
      <c r="AY722" s="350"/>
      <c r="AZ722" s="350"/>
      <c r="BA722" s="350"/>
      <c r="BB722" s="351"/>
    </row>
    <row r="723" spans="1:54" ht="15.75" customHeight="1">
      <c r="A723" s="25">
        <f t="shared" si="2"/>
        <v>710</v>
      </c>
      <c r="B723" s="599" t="str">
        <f>'refer admin discharge'!B719</f>
        <v>x</v>
      </c>
      <c r="C723" s="351"/>
      <c r="D723" s="600" t="str">
        <f>'refer admin discharge'!D719</f>
        <v>xx</v>
      </c>
      <c r="E723" s="351"/>
      <c r="F723" s="609" t="str">
        <f>'refer admin discharge'!H719</f>
        <v>00/00/0000</v>
      </c>
      <c r="G723" s="351"/>
      <c r="H723" s="610"/>
      <c r="I723" s="351"/>
      <c r="J723" s="611"/>
      <c r="K723" s="351"/>
      <c r="L723" s="610"/>
      <c r="M723" s="351"/>
      <c r="N723" s="612"/>
      <c r="O723" s="351"/>
      <c r="P723" s="610"/>
      <c r="Q723" s="351"/>
      <c r="R723" s="612"/>
      <c r="S723" s="351"/>
      <c r="T723" s="610"/>
      <c r="U723" s="351"/>
      <c r="V723" s="613" t="str">
        <f>'refer admin discharge'!H724</f>
        <v>00/00/0000</v>
      </c>
      <c r="W723" s="351"/>
      <c r="X723" s="607"/>
      <c r="Y723" s="351"/>
      <c r="Z723" s="614"/>
      <c r="AA723" s="351"/>
      <c r="AB723" s="607"/>
      <c r="AC723" s="351"/>
      <c r="AD723" s="606"/>
      <c r="AE723" s="351"/>
      <c r="AF723" s="607"/>
      <c r="AG723" s="351"/>
      <c r="AH723" s="606"/>
      <c r="AI723" s="351"/>
      <c r="AJ723" s="607"/>
      <c r="AK723" s="351"/>
      <c r="AL723" s="608"/>
      <c r="AM723" s="350"/>
      <c r="AN723" s="350"/>
      <c r="AO723" s="350"/>
      <c r="AP723" s="350"/>
      <c r="AQ723" s="350"/>
      <c r="AR723" s="350"/>
      <c r="AS723" s="350"/>
      <c r="AT723" s="350"/>
      <c r="AU723" s="350"/>
      <c r="AV723" s="350"/>
      <c r="AW723" s="350"/>
      <c r="AX723" s="350"/>
      <c r="AY723" s="350"/>
      <c r="AZ723" s="350"/>
      <c r="BA723" s="350"/>
      <c r="BB723" s="351"/>
    </row>
    <row r="724" spans="1:54" ht="15.75" customHeight="1">
      <c r="A724" s="25">
        <f t="shared" si="2"/>
        <v>711</v>
      </c>
      <c r="B724" s="618" t="str">
        <f>'refer admin discharge'!B720</f>
        <v>x</v>
      </c>
      <c r="C724" s="351"/>
      <c r="D724" s="619" t="str">
        <f>'refer admin discharge'!D720</f>
        <v>xx</v>
      </c>
      <c r="E724" s="351"/>
      <c r="F724" s="620" t="str">
        <f>'refer admin discharge'!H720</f>
        <v>00/00/0000</v>
      </c>
      <c r="G724" s="351"/>
      <c r="H724" s="615"/>
      <c r="I724" s="351"/>
      <c r="J724" s="621"/>
      <c r="K724" s="351"/>
      <c r="L724" s="615"/>
      <c r="M724" s="351"/>
      <c r="N724" s="610"/>
      <c r="O724" s="351"/>
      <c r="P724" s="615"/>
      <c r="Q724" s="351"/>
      <c r="R724" s="610"/>
      <c r="S724" s="351"/>
      <c r="T724" s="615"/>
      <c r="U724" s="351"/>
      <c r="V724" s="613" t="str">
        <f>'refer admin discharge'!H725</f>
        <v>00/00/0000</v>
      </c>
      <c r="W724" s="351"/>
      <c r="X724" s="616"/>
      <c r="Y724" s="351"/>
      <c r="Z724" s="617"/>
      <c r="AA724" s="351"/>
      <c r="AB724" s="616"/>
      <c r="AC724" s="351"/>
      <c r="AD724" s="607"/>
      <c r="AE724" s="351"/>
      <c r="AF724" s="616"/>
      <c r="AG724" s="351"/>
      <c r="AH724" s="607"/>
      <c r="AI724" s="351"/>
      <c r="AJ724" s="616"/>
      <c r="AK724" s="351"/>
      <c r="AL724" s="622"/>
      <c r="AM724" s="350"/>
      <c r="AN724" s="350"/>
      <c r="AO724" s="350"/>
      <c r="AP724" s="350"/>
      <c r="AQ724" s="350"/>
      <c r="AR724" s="350"/>
      <c r="AS724" s="350"/>
      <c r="AT724" s="350"/>
      <c r="AU724" s="350"/>
      <c r="AV724" s="350"/>
      <c r="AW724" s="350"/>
      <c r="AX724" s="350"/>
      <c r="AY724" s="350"/>
      <c r="AZ724" s="350"/>
      <c r="BA724" s="350"/>
      <c r="BB724" s="351"/>
    </row>
    <row r="725" spans="1:54" ht="15.75" customHeight="1">
      <c r="A725" s="25">
        <f t="shared" si="2"/>
        <v>712</v>
      </c>
      <c r="B725" s="599" t="str">
        <f>'refer admin discharge'!B721</f>
        <v>x</v>
      </c>
      <c r="C725" s="351"/>
      <c r="D725" s="600" t="str">
        <f>'refer admin discharge'!D721</f>
        <v>xx</v>
      </c>
      <c r="E725" s="351"/>
      <c r="F725" s="609" t="str">
        <f>'refer admin discharge'!H721</f>
        <v>00/00/0000</v>
      </c>
      <c r="G725" s="351"/>
      <c r="H725" s="610"/>
      <c r="I725" s="351"/>
      <c r="J725" s="611"/>
      <c r="K725" s="351"/>
      <c r="L725" s="610"/>
      <c r="M725" s="351"/>
      <c r="N725" s="612"/>
      <c r="O725" s="351"/>
      <c r="P725" s="610"/>
      <c r="Q725" s="351"/>
      <c r="R725" s="612"/>
      <c r="S725" s="351"/>
      <c r="T725" s="610"/>
      <c r="U725" s="351"/>
      <c r="V725" s="613" t="str">
        <f>'refer admin discharge'!H726</f>
        <v>00/00/0000</v>
      </c>
      <c r="W725" s="351"/>
      <c r="X725" s="607"/>
      <c r="Y725" s="351"/>
      <c r="Z725" s="614"/>
      <c r="AA725" s="351"/>
      <c r="AB725" s="607"/>
      <c r="AC725" s="351"/>
      <c r="AD725" s="606"/>
      <c r="AE725" s="351"/>
      <c r="AF725" s="607"/>
      <c r="AG725" s="351"/>
      <c r="AH725" s="606"/>
      <c r="AI725" s="351"/>
      <c r="AJ725" s="607"/>
      <c r="AK725" s="351"/>
      <c r="AL725" s="608"/>
      <c r="AM725" s="350"/>
      <c r="AN725" s="350"/>
      <c r="AO725" s="350"/>
      <c r="AP725" s="350"/>
      <c r="AQ725" s="350"/>
      <c r="AR725" s="350"/>
      <c r="AS725" s="350"/>
      <c r="AT725" s="350"/>
      <c r="AU725" s="350"/>
      <c r="AV725" s="350"/>
      <c r="AW725" s="350"/>
      <c r="AX725" s="350"/>
      <c r="AY725" s="350"/>
      <c r="AZ725" s="350"/>
      <c r="BA725" s="350"/>
      <c r="BB725" s="351"/>
    </row>
    <row r="726" spans="1:54" ht="15.75" customHeight="1">
      <c r="A726" s="25">
        <f t="shared" si="2"/>
        <v>713</v>
      </c>
      <c r="B726" s="618" t="str">
        <f>'refer admin discharge'!B722</f>
        <v>x</v>
      </c>
      <c r="C726" s="351"/>
      <c r="D726" s="619" t="str">
        <f>'refer admin discharge'!D722</f>
        <v>xx</v>
      </c>
      <c r="E726" s="351"/>
      <c r="F726" s="620" t="str">
        <f>'refer admin discharge'!H722</f>
        <v>00/00/0000</v>
      </c>
      <c r="G726" s="351"/>
      <c r="H726" s="615"/>
      <c r="I726" s="351"/>
      <c r="J726" s="621"/>
      <c r="K726" s="351"/>
      <c r="L726" s="615"/>
      <c r="M726" s="351"/>
      <c r="N726" s="610"/>
      <c r="O726" s="351"/>
      <c r="P726" s="615"/>
      <c r="Q726" s="351"/>
      <c r="R726" s="610"/>
      <c r="S726" s="351"/>
      <c r="T726" s="615"/>
      <c r="U726" s="351"/>
      <c r="V726" s="613" t="str">
        <f>'refer admin discharge'!H727</f>
        <v>00/00/0000</v>
      </c>
      <c r="W726" s="351"/>
      <c r="X726" s="616"/>
      <c r="Y726" s="351"/>
      <c r="Z726" s="617"/>
      <c r="AA726" s="351"/>
      <c r="AB726" s="616"/>
      <c r="AC726" s="351"/>
      <c r="AD726" s="607"/>
      <c r="AE726" s="351"/>
      <c r="AF726" s="616"/>
      <c r="AG726" s="351"/>
      <c r="AH726" s="607"/>
      <c r="AI726" s="351"/>
      <c r="AJ726" s="616"/>
      <c r="AK726" s="351"/>
      <c r="AL726" s="622"/>
      <c r="AM726" s="350"/>
      <c r="AN726" s="350"/>
      <c r="AO726" s="350"/>
      <c r="AP726" s="350"/>
      <c r="AQ726" s="350"/>
      <c r="AR726" s="350"/>
      <c r="AS726" s="350"/>
      <c r="AT726" s="350"/>
      <c r="AU726" s="350"/>
      <c r="AV726" s="350"/>
      <c r="AW726" s="350"/>
      <c r="AX726" s="350"/>
      <c r="AY726" s="350"/>
      <c r="AZ726" s="350"/>
      <c r="BA726" s="350"/>
      <c r="BB726" s="351"/>
    </row>
    <row r="727" spans="1:54" ht="15.75" customHeight="1">
      <c r="A727" s="25">
        <f t="shared" si="2"/>
        <v>714</v>
      </c>
      <c r="B727" s="599" t="str">
        <f>'refer admin discharge'!B723</f>
        <v>x</v>
      </c>
      <c r="C727" s="351"/>
      <c r="D727" s="600" t="str">
        <f>'refer admin discharge'!D723</f>
        <v>xx</v>
      </c>
      <c r="E727" s="351"/>
      <c r="F727" s="609" t="str">
        <f>'refer admin discharge'!H723</f>
        <v>00/00/0000</v>
      </c>
      <c r="G727" s="351"/>
      <c r="H727" s="610"/>
      <c r="I727" s="351"/>
      <c r="J727" s="611"/>
      <c r="K727" s="351"/>
      <c r="L727" s="610"/>
      <c r="M727" s="351"/>
      <c r="N727" s="612"/>
      <c r="O727" s="351"/>
      <c r="P727" s="610"/>
      <c r="Q727" s="351"/>
      <c r="R727" s="612"/>
      <c r="S727" s="351"/>
      <c r="T727" s="610"/>
      <c r="U727" s="351"/>
      <c r="V727" s="613" t="str">
        <f>'refer admin discharge'!H728</f>
        <v>00/00/0000</v>
      </c>
      <c r="W727" s="351"/>
      <c r="X727" s="607"/>
      <c r="Y727" s="351"/>
      <c r="Z727" s="614"/>
      <c r="AA727" s="351"/>
      <c r="AB727" s="607"/>
      <c r="AC727" s="351"/>
      <c r="AD727" s="606"/>
      <c r="AE727" s="351"/>
      <c r="AF727" s="607"/>
      <c r="AG727" s="351"/>
      <c r="AH727" s="606"/>
      <c r="AI727" s="351"/>
      <c r="AJ727" s="607"/>
      <c r="AK727" s="351"/>
      <c r="AL727" s="608"/>
      <c r="AM727" s="350"/>
      <c r="AN727" s="350"/>
      <c r="AO727" s="350"/>
      <c r="AP727" s="350"/>
      <c r="AQ727" s="350"/>
      <c r="AR727" s="350"/>
      <c r="AS727" s="350"/>
      <c r="AT727" s="350"/>
      <c r="AU727" s="350"/>
      <c r="AV727" s="350"/>
      <c r="AW727" s="350"/>
      <c r="AX727" s="350"/>
      <c r="AY727" s="350"/>
      <c r="AZ727" s="350"/>
      <c r="BA727" s="350"/>
      <c r="BB727" s="351"/>
    </row>
    <row r="728" spans="1:54" ht="15.75" customHeight="1">
      <c r="A728" s="25">
        <f t="shared" si="2"/>
        <v>715</v>
      </c>
      <c r="B728" s="618" t="str">
        <f>'refer admin discharge'!B724</f>
        <v>x</v>
      </c>
      <c r="C728" s="351"/>
      <c r="D728" s="619" t="str">
        <f>'refer admin discharge'!D724</f>
        <v>xx</v>
      </c>
      <c r="E728" s="351"/>
      <c r="F728" s="620" t="str">
        <f>'refer admin discharge'!H724</f>
        <v>00/00/0000</v>
      </c>
      <c r="G728" s="351"/>
      <c r="H728" s="615"/>
      <c r="I728" s="351"/>
      <c r="J728" s="621"/>
      <c r="K728" s="351"/>
      <c r="L728" s="615"/>
      <c r="M728" s="351"/>
      <c r="N728" s="610"/>
      <c r="O728" s="351"/>
      <c r="P728" s="615"/>
      <c r="Q728" s="351"/>
      <c r="R728" s="610"/>
      <c r="S728" s="351"/>
      <c r="T728" s="615"/>
      <c r="U728" s="351"/>
      <c r="V728" s="613" t="str">
        <f>'refer admin discharge'!H729</f>
        <v>00/00/0000</v>
      </c>
      <c r="W728" s="351"/>
      <c r="X728" s="616"/>
      <c r="Y728" s="351"/>
      <c r="Z728" s="617"/>
      <c r="AA728" s="351"/>
      <c r="AB728" s="616"/>
      <c r="AC728" s="351"/>
      <c r="AD728" s="607"/>
      <c r="AE728" s="351"/>
      <c r="AF728" s="616"/>
      <c r="AG728" s="351"/>
      <c r="AH728" s="607"/>
      <c r="AI728" s="351"/>
      <c r="AJ728" s="616"/>
      <c r="AK728" s="351"/>
      <c r="AL728" s="622"/>
      <c r="AM728" s="350"/>
      <c r="AN728" s="350"/>
      <c r="AO728" s="350"/>
      <c r="AP728" s="350"/>
      <c r="AQ728" s="350"/>
      <c r="AR728" s="350"/>
      <c r="AS728" s="350"/>
      <c r="AT728" s="350"/>
      <c r="AU728" s="350"/>
      <c r="AV728" s="350"/>
      <c r="AW728" s="350"/>
      <c r="AX728" s="350"/>
      <c r="AY728" s="350"/>
      <c r="AZ728" s="350"/>
      <c r="BA728" s="350"/>
      <c r="BB728" s="351"/>
    </row>
    <row r="729" spans="1:54" ht="15.75" customHeight="1">
      <c r="A729" s="25">
        <f t="shared" si="2"/>
        <v>716</v>
      </c>
      <c r="B729" s="599" t="str">
        <f>'refer admin discharge'!B725</f>
        <v>x</v>
      </c>
      <c r="C729" s="351"/>
      <c r="D729" s="600" t="str">
        <f>'refer admin discharge'!D725</f>
        <v>xx</v>
      </c>
      <c r="E729" s="351"/>
      <c r="F729" s="609" t="str">
        <f>'refer admin discharge'!H725</f>
        <v>00/00/0000</v>
      </c>
      <c r="G729" s="351"/>
      <c r="H729" s="610"/>
      <c r="I729" s="351"/>
      <c r="J729" s="611"/>
      <c r="K729" s="351"/>
      <c r="L729" s="610"/>
      <c r="M729" s="351"/>
      <c r="N729" s="612"/>
      <c r="O729" s="351"/>
      <c r="P729" s="610"/>
      <c r="Q729" s="351"/>
      <c r="R729" s="612"/>
      <c r="S729" s="351"/>
      <c r="T729" s="610"/>
      <c r="U729" s="351"/>
      <c r="V729" s="613" t="str">
        <f>'refer admin discharge'!H730</f>
        <v>00/00/0000</v>
      </c>
      <c r="W729" s="351"/>
      <c r="X729" s="607"/>
      <c r="Y729" s="351"/>
      <c r="Z729" s="614"/>
      <c r="AA729" s="351"/>
      <c r="AB729" s="607"/>
      <c r="AC729" s="351"/>
      <c r="AD729" s="606"/>
      <c r="AE729" s="351"/>
      <c r="AF729" s="607"/>
      <c r="AG729" s="351"/>
      <c r="AH729" s="606"/>
      <c r="AI729" s="351"/>
      <c r="AJ729" s="607"/>
      <c r="AK729" s="351"/>
      <c r="AL729" s="608"/>
      <c r="AM729" s="350"/>
      <c r="AN729" s="350"/>
      <c r="AO729" s="350"/>
      <c r="AP729" s="350"/>
      <c r="AQ729" s="350"/>
      <c r="AR729" s="350"/>
      <c r="AS729" s="350"/>
      <c r="AT729" s="350"/>
      <c r="AU729" s="350"/>
      <c r="AV729" s="350"/>
      <c r="AW729" s="350"/>
      <c r="AX729" s="350"/>
      <c r="AY729" s="350"/>
      <c r="AZ729" s="350"/>
      <c r="BA729" s="350"/>
      <c r="BB729" s="351"/>
    </row>
    <row r="730" spans="1:54" ht="15.75" customHeight="1">
      <c r="A730" s="25">
        <f t="shared" si="2"/>
        <v>717</v>
      </c>
      <c r="B730" s="618" t="str">
        <f>'refer admin discharge'!B726</f>
        <v>x</v>
      </c>
      <c r="C730" s="351"/>
      <c r="D730" s="619" t="str">
        <f>'refer admin discharge'!D726</f>
        <v>xx</v>
      </c>
      <c r="E730" s="351"/>
      <c r="F730" s="620" t="str">
        <f>'refer admin discharge'!H726</f>
        <v>00/00/0000</v>
      </c>
      <c r="G730" s="351"/>
      <c r="H730" s="615"/>
      <c r="I730" s="351"/>
      <c r="J730" s="621"/>
      <c r="K730" s="351"/>
      <c r="L730" s="615"/>
      <c r="M730" s="351"/>
      <c r="N730" s="610"/>
      <c r="O730" s="351"/>
      <c r="P730" s="615"/>
      <c r="Q730" s="351"/>
      <c r="R730" s="610"/>
      <c r="S730" s="351"/>
      <c r="T730" s="615"/>
      <c r="U730" s="351"/>
      <c r="V730" s="613" t="str">
        <f>'refer admin discharge'!H731</f>
        <v>00/00/0000</v>
      </c>
      <c r="W730" s="351"/>
      <c r="X730" s="616"/>
      <c r="Y730" s="351"/>
      <c r="Z730" s="617"/>
      <c r="AA730" s="351"/>
      <c r="AB730" s="616"/>
      <c r="AC730" s="351"/>
      <c r="AD730" s="607"/>
      <c r="AE730" s="351"/>
      <c r="AF730" s="616"/>
      <c r="AG730" s="351"/>
      <c r="AH730" s="607"/>
      <c r="AI730" s="351"/>
      <c r="AJ730" s="616"/>
      <c r="AK730" s="351"/>
      <c r="AL730" s="622"/>
      <c r="AM730" s="350"/>
      <c r="AN730" s="350"/>
      <c r="AO730" s="350"/>
      <c r="AP730" s="350"/>
      <c r="AQ730" s="350"/>
      <c r="AR730" s="350"/>
      <c r="AS730" s="350"/>
      <c r="AT730" s="350"/>
      <c r="AU730" s="350"/>
      <c r="AV730" s="350"/>
      <c r="AW730" s="350"/>
      <c r="AX730" s="350"/>
      <c r="AY730" s="350"/>
      <c r="AZ730" s="350"/>
      <c r="BA730" s="350"/>
      <c r="BB730" s="351"/>
    </row>
    <row r="731" spans="1:54" ht="15.75" customHeight="1">
      <c r="A731" s="25">
        <f t="shared" si="2"/>
        <v>718</v>
      </c>
      <c r="B731" s="599" t="str">
        <f>'refer admin discharge'!B727</f>
        <v>x</v>
      </c>
      <c r="C731" s="351"/>
      <c r="D731" s="600" t="str">
        <f>'refer admin discharge'!D727</f>
        <v>xx</v>
      </c>
      <c r="E731" s="351"/>
      <c r="F731" s="609" t="str">
        <f>'refer admin discharge'!H727</f>
        <v>00/00/0000</v>
      </c>
      <c r="G731" s="351"/>
      <c r="H731" s="610"/>
      <c r="I731" s="351"/>
      <c r="J731" s="611"/>
      <c r="K731" s="351"/>
      <c r="L731" s="610"/>
      <c r="M731" s="351"/>
      <c r="N731" s="612"/>
      <c r="O731" s="351"/>
      <c r="P731" s="610"/>
      <c r="Q731" s="351"/>
      <c r="R731" s="612"/>
      <c r="S731" s="351"/>
      <c r="T731" s="610"/>
      <c r="U731" s="351"/>
      <c r="V731" s="613" t="str">
        <f>'refer admin discharge'!H732</f>
        <v>00/00/0000</v>
      </c>
      <c r="W731" s="351"/>
      <c r="X731" s="607"/>
      <c r="Y731" s="351"/>
      <c r="Z731" s="614"/>
      <c r="AA731" s="351"/>
      <c r="AB731" s="607"/>
      <c r="AC731" s="351"/>
      <c r="AD731" s="606"/>
      <c r="AE731" s="351"/>
      <c r="AF731" s="607"/>
      <c r="AG731" s="351"/>
      <c r="AH731" s="606"/>
      <c r="AI731" s="351"/>
      <c r="AJ731" s="607"/>
      <c r="AK731" s="351"/>
      <c r="AL731" s="608"/>
      <c r="AM731" s="350"/>
      <c r="AN731" s="350"/>
      <c r="AO731" s="350"/>
      <c r="AP731" s="350"/>
      <c r="AQ731" s="350"/>
      <c r="AR731" s="350"/>
      <c r="AS731" s="350"/>
      <c r="AT731" s="350"/>
      <c r="AU731" s="350"/>
      <c r="AV731" s="350"/>
      <c r="AW731" s="350"/>
      <c r="AX731" s="350"/>
      <c r="AY731" s="350"/>
      <c r="AZ731" s="350"/>
      <c r="BA731" s="350"/>
      <c r="BB731" s="351"/>
    </row>
    <row r="732" spans="1:54" ht="15.75" customHeight="1">
      <c r="A732" s="25">
        <f t="shared" si="2"/>
        <v>719</v>
      </c>
      <c r="B732" s="618" t="str">
        <f>'refer admin discharge'!B728</f>
        <v>x</v>
      </c>
      <c r="C732" s="351"/>
      <c r="D732" s="619" t="str">
        <f>'refer admin discharge'!D728</f>
        <v>xx</v>
      </c>
      <c r="E732" s="351"/>
      <c r="F732" s="620" t="str">
        <f>'refer admin discharge'!H728</f>
        <v>00/00/0000</v>
      </c>
      <c r="G732" s="351"/>
      <c r="H732" s="615"/>
      <c r="I732" s="351"/>
      <c r="J732" s="621"/>
      <c r="K732" s="351"/>
      <c r="L732" s="615"/>
      <c r="M732" s="351"/>
      <c r="N732" s="610"/>
      <c r="O732" s="351"/>
      <c r="P732" s="615"/>
      <c r="Q732" s="351"/>
      <c r="R732" s="610"/>
      <c r="S732" s="351"/>
      <c r="T732" s="615"/>
      <c r="U732" s="351"/>
      <c r="V732" s="613" t="str">
        <f>'refer admin discharge'!H733</f>
        <v>00/00/0000</v>
      </c>
      <c r="W732" s="351"/>
      <c r="X732" s="616"/>
      <c r="Y732" s="351"/>
      <c r="Z732" s="617"/>
      <c r="AA732" s="351"/>
      <c r="AB732" s="616"/>
      <c r="AC732" s="351"/>
      <c r="AD732" s="607"/>
      <c r="AE732" s="351"/>
      <c r="AF732" s="616"/>
      <c r="AG732" s="351"/>
      <c r="AH732" s="607"/>
      <c r="AI732" s="351"/>
      <c r="AJ732" s="616"/>
      <c r="AK732" s="351"/>
      <c r="AL732" s="622"/>
      <c r="AM732" s="350"/>
      <c r="AN732" s="350"/>
      <c r="AO732" s="350"/>
      <c r="AP732" s="350"/>
      <c r="AQ732" s="350"/>
      <c r="AR732" s="350"/>
      <c r="AS732" s="350"/>
      <c r="AT732" s="350"/>
      <c r="AU732" s="350"/>
      <c r="AV732" s="350"/>
      <c r="AW732" s="350"/>
      <c r="AX732" s="350"/>
      <c r="AY732" s="350"/>
      <c r="AZ732" s="350"/>
      <c r="BA732" s="350"/>
      <c r="BB732" s="351"/>
    </row>
    <row r="733" spans="1:54" ht="15.75" customHeight="1">
      <c r="A733" s="25">
        <f t="shared" si="2"/>
        <v>720</v>
      </c>
      <c r="B733" s="599" t="str">
        <f>'refer admin discharge'!B729</f>
        <v>x</v>
      </c>
      <c r="C733" s="351"/>
      <c r="D733" s="600" t="str">
        <f>'refer admin discharge'!D729</f>
        <v>xx</v>
      </c>
      <c r="E733" s="351"/>
      <c r="F733" s="609" t="str">
        <f>'refer admin discharge'!H729</f>
        <v>00/00/0000</v>
      </c>
      <c r="G733" s="351"/>
      <c r="H733" s="610"/>
      <c r="I733" s="351"/>
      <c r="J733" s="611"/>
      <c r="K733" s="351"/>
      <c r="L733" s="610"/>
      <c r="M733" s="351"/>
      <c r="N733" s="612"/>
      <c r="O733" s="351"/>
      <c r="P733" s="610"/>
      <c r="Q733" s="351"/>
      <c r="R733" s="612"/>
      <c r="S733" s="351"/>
      <c r="T733" s="610"/>
      <c r="U733" s="351"/>
      <c r="V733" s="613" t="str">
        <f>'refer admin discharge'!H734</f>
        <v>00/00/0000</v>
      </c>
      <c r="W733" s="351"/>
      <c r="X733" s="607"/>
      <c r="Y733" s="351"/>
      <c r="Z733" s="614"/>
      <c r="AA733" s="351"/>
      <c r="AB733" s="607"/>
      <c r="AC733" s="351"/>
      <c r="AD733" s="606"/>
      <c r="AE733" s="351"/>
      <c r="AF733" s="607"/>
      <c r="AG733" s="351"/>
      <c r="AH733" s="606"/>
      <c r="AI733" s="351"/>
      <c r="AJ733" s="607"/>
      <c r="AK733" s="351"/>
      <c r="AL733" s="608"/>
      <c r="AM733" s="350"/>
      <c r="AN733" s="350"/>
      <c r="AO733" s="350"/>
      <c r="AP733" s="350"/>
      <c r="AQ733" s="350"/>
      <c r="AR733" s="350"/>
      <c r="AS733" s="350"/>
      <c r="AT733" s="350"/>
      <c r="AU733" s="350"/>
      <c r="AV733" s="350"/>
      <c r="AW733" s="350"/>
      <c r="AX733" s="350"/>
      <c r="AY733" s="350"/>
      <c r="AZ733" s="350"/>
      <c r="BA733" s="350"/>
      <c r="BB733" s="351"/>
    </row>
    <row r="734" spans="1:54" ht="15.75" customHeight="1">
      <c r="A734" s="25">
        <f t="shared" si="2"/>
        <v>721</v>
      </c>
      <c r="B734" s="618" t="str">
        <f>'refer admin discharge'!B730</f>
        <v>x</v>
      </c>
      <c r="C734" s="351"/>
      <c r="D734" s="619" t="str">
        <f>'refer admin discharge'!D730</f>
        <v>xx</v>
      </c>
      <c r="E734" s="351"/>
      <c r="F734" s="620" t="str">
        <f>'refer admin discharge'!H730</f>
        <v>00/00/0000</v>
      </c>
      <c r="G734" s="351"/>
      <c r="H734" s="615"/>
      <c r="I734" s="351"/>
      <c r="J734" s="621"/>
      <c r="K734" s="351"/>
      <c r="L734" s="615"/>
      <c r="M734" s="351"/>
      <c r="N734" s="610"/>
      <c r="O734" s="351"/>
      <c r="P734" s="615"/>
      <c r="Q734" s="351"/>
      <c r="R734" s="610"/>
      <c r="S734" s="351"/>
      <c r="T734" s="615"/>
      <c r="U734" s="351"/>
      <c r="V734" s="613" t="str">
        <f>'refer admin discharge'!H735</f>
        <v>00/00/0000</v>
      </c>
      <c r="W734" s="351"/>
      <c r="X734" s="616"/>
      <c r="Y734" s="351"/>
      <c r="Z734" s="617"/>
      <c r="AA734" s="351"/>
      <c r="AB734" s="616"/>
      <c r="AC734" s="351"/>
      <c r="AD734" s="607"/>
      <c r="AE734" s="351"/>
      <c r="AF734" s="616"/>
      <c r="AG734" s="351"/>
      <c r="AH734" s="607"/>
      <c r="AI734" s="351"/>
      <c r="AJ734" s="616"/>
      <c r="AK734" s="351"/>
      <c r="AL734" s="622"/>
      <c r="AM734" s="350"/>
      <c r="AN734" s="350"/>
      <c r="AO734" s="350"/>
      <c r="AP734" s="350"/>
      <c r="AQ734" s="350"/>
      <c r="AR734" s="350"/>
      <c r="AS734" s="350"/>
      <c r="AT734" s="350"/>
      <c r="AU734" s="350"/>
      <c r="AV734" s="350"/>
      <c r="AW734" s="350"/>
      <c r="AX734" s="350"/>
      <c r="AY734" s="350"/>
      <c r="AZ734" s="350"/>
      <c r="BA734" s="350"/>
      <c r="BB734" s="351"/>
    </row>
    <row r="735" spans="1:54" ht="15.75" customHeight="1">
      <c r="A735" s="25">
        <f t="shared" si="2"/>
        <v>722</v>
      </c>
      <c r="B735" s="599" t="str">
        <f>'refer admin discharge'!B731</f>
        <v>x</v>
      </c>
      <c r="C735" s="351"/>
      <c r="D735" s="600" t="str">
        <f>'refer admin discharge'!D731</f>
        <v>xx</v>
      </c>
      <c r="E735" s="351"/>
      <c r="F735" s="609" t="str">
        <f>'refer admin discharge'!H731</f>
        <v>00/00/0000</v>
      </c>
      <c r="G735" s="351"/>
      <c r="H735" s="610"/>
      <c r="I735" s="351"/>
      <c r="J735" s="611"/>
      <c r="K735" s="351"/>
      <c r="L735" s="610"/>
      <c r="M735" s="351"/>
      <c r="N735" s="612"/>
      <c r="O735" s="351"/>
      <c r="P735" s="610"/>
      <c r="Q735" s="351"/>
      <c r="R735" s="612"/>
      <c r="S735" s="351"/>
      <c r="T735" s="610"/>
      <c r="U735" s="351"/>
      <c r="V735" s="613" t="str">
        <f>'refer admin discharge'!H736</f>
        <v>00/00/0000</v>
      </c>
      <c r="W735" s="351"/>
      <c r="X735" s="607"/>
      <c r="Y735" s="351"/>
      <c r="Z735" s="614"/>
      <c r="AA735" s="351"/>
      <c r="AB735" s="607"/>
      <c r="AC735" s="351"/>
      <c r="AD735" s="606"/>
      <c r="AE735" s="351"/>
      <c r="AF735" s="607"/>
      <c r="AG735" s="351"/>
      <c r="AH735" s="606"/>
      <c r="AI735" s="351"/>
      <c r="AJ735" s="607"/>
      <c r="AK735" s="351"/>
      <c r="AL735" s="608"/>
      <c r="AM735" s="350"/>
      <c r="AN735" s="350"/>
      <c r="AO735" s="350"/>
      <c r="AP735" s="350"/>
      <c r="AQ735" s="350"/>
      <c r="AR735" s="350"/>
      <c r="AS735" s="350"/>
      <c r="AT735" s="350"/>
      <c r="AU735" s="350"/>
      <c r="AV735" s="350"/>
      <c r="AW735" s="350"/>
      <c r="AX735" s="350"/>
      <c r="AY735" s="350"/>
      <c r="AZ735" s="350"/>
      <c r="BA735" s="350"/>
      <c r="BB735" s="351"/>
    </row>
    <row r="736" spans="1:54" ht="15.75" customHeight="1">
      <c r="A736" s="25">
        <f t="shared" si="2"/>
        <v>723</v>
      </c>
      <c r="B736" s="618" t="str">
        <f>'refer admin discharge'!B732</f>
        <v>x</v>
      </c>
      <c r="C736" s="351"/>
      <c r="D736" s="619" t="str">
        <f>'refer admin discharge'!D732</f>
        <v>xx</v>
      </c>
      <c r="E736" s="351"/>
      <c r="F736" s="620" t="str">
        <f>'refer admin discharge'!H732</f>
        <v>00/00/0000</v>
      </c>
      <c r="G736" s="351"/>
      <c r="H736" s="615"/>
      <c r="I736" s="351"/>
      <c r="J736" s="621"/>
      <c r="K736" s="351"/>
      <c r="L736" s="615"/>
      <c r="M736" s="351"/>
      <c r="N736" s="610"/>
      <c r="O736" s="351"/>
      <c r="P736" s="615"/>
      <c r="Q736" s="351"/>
      <c r="R736" s="610"/>
      <c r="S736" s="351"/>
      <c r="T736" s="615"/>
      <c r="U736" s="351"/>
      <c r="V736" s="613" t="str">
        <f>'refer admin discharge'!H737</f>
        <v>00/00/0000</v>
      </c>
      <c r="W736" s="351"/>
      <c r="X736" s="616"/>
      <c r="Y736" s="351"/>
      <c r="Z736" s="617"/>
      <c r="AA736" s="351"/>
      <c r="AB736" s="616"/>
      <c r="AC736" s="351"/>
      <c r="AD736" s="607"/>
      <c r="AE736" s="351"/>
      <c r="AF736" s="616"/>
      <c r="AG736" s="351"/>
      <c r="AH736" s="607"/>
      <c r="AI736" s="351"/>
      <c r="AJ736" s="616"/>
      <c r="AK736" s="351"/>
      <c r="AL736" s="622"/>
      <c r="AM736" s="350"/>
      <c r="AN736" s="350"/>
      <c r="AO736" s="350"/>
      <c r="AP736" s="350"/>
      <c r="AQ736" s="350"/>
      <c r="AR736" s="350"/>
      <c r="AS736" s="350"/>
      <c r="AT736" s="350"/>
      <c r="AU736" s="350"/>
      <c r="AV736" s="350"/>
      <c r="AW736" s="350"/>
      <c r="AX736" s="350"/>
      <c r="AY736" s="350"/>
      <c r="AZ736" s="350"/>
      <c r="BA736" s="350"/>
      <c r="BB736" s="351"/>
    </row>
    <row r="737" spans="1:54" ht="15.75" customHeight="1">
      <c r="A737" s="25">
        <f t="shared" si="2"/>
        <v>724</v>
      </c>
      <c r="B737" s="599" t="str">
        <f>'refer admin discharge'!B733</f>
        <v>x</v>
      </c>
      <c r="C737" s="351"/>
      <c r="D737" s="600" t="str">
        <f>'refer admin discharge'!D733</f>
        <v>xx</v>
      </c>
      <c r="E737" s="351"/>
      <c r="F737" s="609" t="str">
        <f>'refer admin discharge'!H733</f>
        <v>00/00/0000</v>
      </c>
      <c r="G737" s="351"/>
      <c r="H737" s="610"/>
      <c r="I737" s="351"/>
      <c r="J737" s="611"/>
      <c r="K737" s="351"/>
      <c r="L737" s="610"/>
      <c r="M737" s="351"/>
      <c r="N737" s="612"/>
      <c r="O737" s="351"/>
      <c r="P737" s="610"/>
      <c r="Q737" s="351"/>
      <c r="R737" s="612"/>
      <c r="S737" s="351"/>
      <c r="T737" s="610"/>
      <c r="U737" s="351"/>
      <c r="V737" s="613" t="str">
        <f>'refer admin discharge'!H738</f>
        <v>00/00/0000</v>
      </c>
      <c r="W737" s="351"/>
      <c r="X737" s="607"/>
      <c r="Y737" s="351"/>
      <c r="Z737" s="614"/>
      <c r="AA737" s="351"/>
      <c r="AB737" s="607"/>
      <c r="AC737" s="351"/>
      <c r="AD737" s="606"/>
      <c r="AE737" s="351"/>
      <c r="AF737" s="607"/>
      <c r="AG737" s="351"/>
      <c r="AH737" s="606"/>
      <c r="AI737" s="351"/>
      <c r="AJ737" s="607"/>
      <c r="AK737" s="351"/>
      <c r="AL737" s="608"/>
      <c r="AM737" s="350"/>
      <c r="AN737" s="350"/>
      <c r="AO737" s="350"/>
      <c r="AP737" s="350"/>
      <c r="AQ737" s="350"/>
      <c r="AR737" s="350"/>
      <c r="AS737" s="350"/>
      <c r="AT737" s="350"/>
      <c r="AU737" s="350"/>
      <c r="AV737" s="350"/>
      <c r="AW737" s="350"/>
      <c r="AX737" s="350"/>
      <c r="AY737" s="350"/>
      <c r="AZ737" s="350"/>
      <c r="BA737" s="350"/>
      <c r="BB737" s="351"/>
    </row>
    <row r="738" spans="1:54" ht="15.75" customHeight="1">
      <c r="A738" s="25">
        <f t="shared" si="2"/>
        <v>725</v>
      </c>
      <c r="B738" s="618" t="str">
        <f>'refer admin discharge'!B734</f>
        <v>x</v>
      </c>
      <c r="C738" s="351"/>
      <c r="D738" s="619" t="str">
        <f>'refer admin discharge'!D734</f>
        <v>xx</v>
      </c>
      <c r="E738" s="351"/>
      <c r="F738" s="620" t="str">
        <f>'refer admin discharge'!H734</f>
        <v>00/00/0000</v>
      </c>
      <c r="G738" s="351"/>
      <c r="H738" s="615"/>
      <c r="I738" s="351"/>
      <c r="J738" s="621"/>
      <c r="K738" s="351"/>
      <c r="L738" s="615"/>
      <c r="M738" s="351"/>
      <c r="N738" s="610"/>
      <c r="O738" s="351"/>
      <c r="P738" s="615"/>
      <c r="Q738" s="351"/>
      <c r="R738" s="610"/>
      <c r="S738" s="351"/>
      <c r="T738" s="615"/>
      <c r="U738" s="351"/>
      <c r="V738" s="613" t="str">
        <f>'refer admin discharge'!H739</f>
        <v>00/00/0000</v>
      </c>
      <c r="W738" s="351"/>
      <c r="X738" s="616"/>
      <c r="Y738" s="351"/>
      <c r="Z738" s="617"/>
      <c r="AA738" s="351"/>
      <c r="AB738" s="616"/>
      <c r="AC738" s="351"/>
      <c r="AD738" s="607"/>
      <c r="AE738" s="351"/>
      <c r="AF738" s="616"/>
      <c r="AG738" s="351"/>
      <c r="AH738" s="607"/>
      <c r="AI738" s="351"/>
      <c r="AJ738" s="616"/>
      <c r="AK738" s="351"/>
      <c r="AL738" s="622"/>
      <c r="AM738" s="350"/>
      <c r="AN738" s="350"/>
      <c r="AO738" s="350"/>
      <c r="AP738" s="350"/>
      <c r="AQ738" s="350"/>
      <c r="AR738" s="350"/>
      <c r="AS738" s="350"/>
      <c r="AT738" s="350"/>
      <c r="AU738" s="350"/>
      <c r="AV738" s="350"/>
      <c r="AW738" s="350"/>
      <c r="AX738" s="350"/>
      <c r="AY738" s="350"/>
      <c r="AZ738" s="350"/>
      <c r="BA738" s="350"/>
      <c r="BB738" s="351"/>
    </row>
    <row r="739" spans="1:54" ht="15.75" customHeight="1">
      <c r="A739" s="25">
        <f t="shared" si="2"/>
        <v>726</v>
      </c>
      <c r="B739" s="599" t="str">
        <f>'refer admin discharge'!B735</f>
        <v>x</v>
      </c>
      <c r="C739" s="351"/>
      <c r="D739" s="600" t="str">
        <f>'refer admin discharge'!D735</f>
        <v>xx</v>
      </c>
      <c r="E739" s="351"/>
      <c r="F739" s="609" t="str">
        <f>'refer admin discharge'!H735</f>
        <v>00/00/0000</v>
      </c>
      <c r="G739" s="351"/>
      <c r="H739" s="610"/>
      <c r="I739" s="351"/>
      <c r="J739" s="611"/>
      <c r="K739" s="351"/>
      <c r="L739" s="610"/>
      <c r="M739" s="351"/>
      <c r="N739" s="612"/>
      <c r="O739" s="351"/>
      <c r="P739" s="610"/>
      <c r="Q739" s="351"/>
      <c r="R739" s="612"/>
      <c r="S739" s="351"/>
      <c r="T739" s="610"/>
      <c r="U739" s="351"/>
      <c r="V739" s="613" t="str">
        <f>'refer admin discharge'!H740</f>
        <v>00/00/0000</v>
      </c>
      <c r="W739" s="351"/>
      <c r="X739" s="607"/>
      <c r="Y739" s="351"/>
      <c r="Z739" s="614"/>
      <c r="AA739" s="351"/>
      <c r="AB739" s="607"/>
      <c r="AC739" s="351"/>
      <c r="AD739" s="606"/>
      <c r="AE739" s="351"/>
      <c r="AF739" s="607"/>
      <c r="AG739" s="351"/>
      <c r="AH739" s="606"/>
      <c r="AI739" s="351"/>
      <c r="AJ739" s="607"/>
      <c r="AK739" s="351"/>
      <c r="AL739" s="608"/>
      <c r="AM739" s="350"/>
      <c r="AN739" s="350"/>
      <c r="AO739" s="350"/>
      <c r="AP739" s="350"/>
      <c r="AQ739" s="350"/>
      <c r="AR739" s="350"/>
      <c r="AS739" s="350"/>
      <c r="AT739" s="350"/>
      <c r="AU739" s="350"/>
      <c r="AV739" s="350"/>
      <c r="AW739" s="350"/>
      <c r="AX739" s="350"/>
      <c r="AY739" s="350"/>
      <c r="AZ739" s="350"/>
      <c r="BA739" s="350"/>
      <c r="BB739" s="351"/>
    </row>
    <row r="740" spans="1:54" ht="15.75" customHeight="1">
      <c r="A740" s="25">
        <f t="shared" si="2"/>
        <v>727</v>
      </c>
      <c r="B740" s="618" t="str">
        <f>'refer admin discharge'!B736</f>
        <v>x</v>
      </c>
      <c r="C740" s="351"/>
      <c r="D740" s="619" t="str">
        <f>'refer admin discharge'!D736</f>
        <v>xx</v>
      </c>
      <c r="E740" s="351"/>
      <c r="F740" s="620" t="str">
        <f>'refer admin discharge'!H736</f>
        <v>00/00/0000</v>
      </c>
      <c r="G740" s="351"/>
      <c r="H740" s="615"/>
      <c r="I740" s="351"/>
      <c r="J740" s="621"/>
      <c r="K740" s="351"/>
      <c r="L740" s="615"/>
      <c r="M740" s="351"/>
      <c r="N740" s="610"/>
      <c r="O740" s="351"/>
      <c r="P740" s="615"/>
      <c r="Q740" s="351"/>
      <c r="R740" s="610"/>
      <c r="S740" s="351"/>
      <c r="T740" s="615"/>
      <c r="U740" s="351"/>
      <c r="V740" s="613" t="str">
        <f>'refer admin discharge'!H741</f>
        <v>00/00/0000</v>
      </c>
      <c r="W740" s="351"/>
      <c r="X740" s="616"/>
      <c r="Y740" s="351"/>
      <c r="Z740" s="617"/>
      <c r="AA740" s="351"/>
      <c r="AB740" s="616"/>
      <c r="AC740" s="351"/>
      <c r="AD740" s="607"/>
      <c r="AE740" s="351"/>
      <c r="AF740" s="616"/>
      <c r="AG740" s="351"/>
      <c r="AH740" s="607"/>
      <c r="AI740" s="351"/>
      <c r="AJ740" s="616"/>
      <c r="AK740" s="351"/>
      <c r="AL740" s="622"/>
      <c r="AM740" s="350"/>
      <c r="AN740" s="350"/>
      <c r="AO740" s="350"/>
      <c r="AP740" s="350"/>
      <c r="AQ740" s="350"/>
      <c r="AR740" s="350"/>
      <c r="AS740" s="350"/>
      <c r="AT740" s="350"/>
      <c r="AU740" s="350"/>
      <c r="AV740" s="350"/>
      <c r="AW740" s="350"/>
      <c r="AX740" s="350"/>
      <c r="AY740" s="350"/>
      <c r="AZ740" s="350"/>
      <c r="BA740" s="350"/>
      <c r="BB740" s="351"/>
    </row>
    <row r="741" spans="1:54" ht="15.75" customHeight="1">
      <c r="A741" s="25">
        <f t="shared" si="2"/>
        <v>728</v>
      </c>
      <c r="B741" s="599" t="str">
        <f>'refer admin discharge'!B737</f>
        <v>x</v>
      </c>
      <c r="C741" s="351"/>
      <c r="D741" s="600" t="str">
        <f>'refer admin discharge'!D737</f>
        <v>xx</v>
      </c>
      <c r="E741" s="351"/>
      <c r="F741" s="609" t="str">
        <f>'refer admin discharge'!H737</f>
        <v>00/00/0000</v>
      </c>
      <c r="G741" s="351"/>
      <c r="H741" s="610"/>
      <c r="I741" s="351"/>
      <c r="J741" s="611"/>
      <c r="K741" s="351"/>
      <c r="L741" s="610"/>
      <c r="M741" s="351"/>
      <c r="N741" s="612"/>
      <c r="O741" s="351"/>
      <c r="P741" s="610"/>
      <c r="Q741" s="351"/>
      <c r="R741" s="612"/>
      <c r="S741" s="351"/>
      <c r="T741" s="610"/>
      <c r="U741" s="351"/>
      <c r="V741" s="613" t="str">
        <f>'refer admin discharge'!H742</f>
        <v>00/00/0000</v>
      </c>
      <c r="W741" s="351"/>
      <c r="X741" s="607"/>
      <c r="Y741" s="351"/>
      <c r="Z741" s="614"/>
      <c r="AA741" s="351"/>
      <c r="AB741" s="607"/>
      <c r="AC741" s="351"/>
      <c r="AD741" s="606"/>
      <c r="AE741" s="351"/>
      <c r="AF741" s="607"/>
      <c r="AG741" s="351"/>
      <c r="AH741" s="606"/>
      <c r="AI741" s="351"/>
      <c r="AJ741" s="607"/>
      <c r="AK741" s="351"/>
      <c r="AL741" s="608"/>
      <c r="AM741" s="350"/>
      <c r="AN741" s="350"/>
      <c r="AO741" s="350"/>
      <c r="AP741" s="350"/>
      <c r="AQ741" s="350"/>
      <c r="AR741" s="350"/>
      <c r="AS741" s="350"/>
      <c r="AT741" s="350"/>
      <c r="AU741" s="350"/>
      <c r="AV741" s="350"/>
      <c r="AW741" s="350"/>
      <c r="AX741" s="350"/>
      <c r="AY741" s="350"/>
      <c r="AZ741" s="350"/>
      <c r="BA741" s="350"/>
      <c r="BB741" s="351"/>
    </row>
    <row r="742" spans="1:54" ht="15.75" customHeight="1">
      <c r="A742" s="25">
        <f t="shared" si="2"/>
        <v>729</v>
      </c>
      <c r="B742" s="618" t="str">
        <f>'refer admin discharge'!B738</f>
        <v>x</v>
      </c>
      <c r="C742" s="351"/>
      <c r="D742" s="619" t="str">
        <f>'refer admin discharge'!D738</f>
        <v>xx</v>
      </c>
      <c r="E742" s="351"/>
      <c r="F742" s="620" t="str">
        <f>'refer admin discharge'!H738</f>
        <v>00/00/0000</v>
      </c>
      <c r="G742" s="351"/>
      <c r="H742" s="615"/>
      <c r="I742" s="351"/>
      <c r="J742" s="621"/>
      <c r="K742" s="351"/>
      <c r="L742" s="615"/>
      <c r="M742" s="351"/>
      <c r="N742" s="610"/>
      <c r="O742" s="351"/>
      <c r="P742" s="615"/>
      <c r="Q742" s="351"/>
      <c r="R742" s="610"/>
      <c r="S742" s="351"/>
      <c r="T742" s="615"/>
      <c r="U742" s="351"/>
      <c r="V742" s="613" t="str">
        <f>'refer admin discharge'!H743</f>
        <v>00/00/0000</v>
      </c>
      <c r="W742" s="351"/>
      <c r="X742" s="616"/>
      <c r="Y742" s="351"/>
      <c r="Z742" s="617"/>
      <c r="AA742" s="351"/>
      <c r="AB742" s="616"/>
      <c r="AC742" s="351"/>
      <c r="AD742" s="607"/>
      <c r="AE742" s="351"/>
      <c r="AF742" s="616"/>
      <c r="AG742" s="351"/>
      <c r="AH742" s="607"/>
      <c r="AI742" s="351"/>
      <c r="AJ742" s="616"/>
      <c r="AK742" s="351"/>
      <c r="AL742" s="622"/>
      <c r="AM742" s="350"/>
      <c r="AN742" s="350"/>
      <c r="AO742" s="350"/>
      <c r="AP742" s="350"/>
      <c r="AQ742" s="350"/>
      <c r="AR742" s="350"/>
      <c r="AS742" s="350"/>
      <c r="AT742" s="350"/>
      <c r="AU742" s="350"/>
      <c r="AV742" s="350"/>
      <c r="AW742" s="350"/>
      <c r="AX742" s="350"/>
      <c r="AY742" s="350"/>
      <c r="AZ742" s="350"/>
      <c r="BA742" s="350"/>
      <c r="BB742" s="351"/>
    </row>
    <row r="743" spans="1:54" ht="15.75" customHeight="1">
      <c r="A743" s="25">
        <f t="shared" si="2"/>
        <v>730</v>
      </c>
      <c r="B743" s="599" t="str">
        <f>'refer admin discharge'!B739</f>
        <v>x</v>
      </c>
      <c r="C743" s="351"/>
      <c r="D743" s="600" t="str">
        <f>'refer admin discharge'!D739</f>
        <v>xx</v>
      </c>
      <c r="E743" s="351"/>
      <c r="F743" s="609" t="str">
        <f>'refer admin discharge'!H739</f>
        <v>00/00/0000</v>
      </c>
      <c r="G743" s="351"/>
      <c r="H743" s="610"/>
      <c r="I743" s="351"/>
      <c r="J743" s="611"/>
      <c r="K743" s="351"/>
      <c r="L743" s="610"/>
      <c r="M743" s="351"/>
      <c r="N743" s="612"/>
      <c r="O743" s="351"/>
      <c r="P743" s="610"/>
      <c r="Q743" s="351"/>
      <c r="R743" s="612"/>
      <c r="S743" s="351"/>
      <c r="T743" s="610"/>
      <c r="U743" s="351"/>
      <c r="V743" s="613" t="str">
        <f>'refer admin discharge'!H744</f>
        <v>00/00/0000</v>
      </c>
      <c r="W743" s="351"/>
      <c r="X743" s="607"/>
      <c r="Y743" s="351"/>
      <c r="Z743" s="614"/>
      <c r="AA743" s="351"/>
      <c r="AB743" s="607"/>
      <c r="AC743" s="351"/>
      <c r="AD743" s="606"/>
      <c r="AE743" s="351"/>
      <c r="AF743" s="607"/>
      <c r="AG743" s="351"/>
      <c r="AH743" s="606"/>
      <c r="AI743" s="351"/>
      <c r="AJ743" s="607"/>
      <c r="AK743" s="351"/>
      <c r="AL743" s="608"/>
      <c r="AM743" s="350"/>
      <c r="AN743" s="350"/>
      <c r="AO743" s="350"/>
      <c r="AP743" s="350"/>
      <c r="AQ743" s="350"/>
      <c r="AR743" s="350"/>
      <c r="AS743" s="350"/>
      <c r="AT743" s="350"/>
      <c r="AU743" s="350"/>
      <c r="AV743" s="350"/>
      <c r="AW743" s="350"/>
      <c r="AX743" s="350"/>
      <c r="AY743" s="350"/>
      <c r="AZ743" s="350"/>
      <c r="BA743" s="350"/>
      <c r="BB743" s="351"/>
    </row>
    <row r="744" spans="1:54" ht="15.75" customHeight="1">
      <c r="A744" s="25">
        <f t="shared" si="2"/>
        <v>731</v>
      </c>
      <c r="B744" s="618" t="str">
        <f>'refer admin discharge'!B740</f>
        <v>x</v>
      </c>
      <c r="C744" s="351"/>
      <c r="D744" s="619" t="str">
        <f>'refer admin discharge'!D740</f>
        <v>xx</v>
      </c>
      <c r="E744" s="351"/>
      <c r="F744" s="620" t="str">
        <f>'refer admin discharge'!H740</f>
        <v>00/00/0000</v>
      </c>
      <c r="G744" s="351"/>
      <c r="H744" s="615"/>
      <c r="I744" s="351"/>
      <c r="J744" s="621"/>
      <c r="K744" s="351"/>
      <c r="L744" s="615"/>
      <c r="M744" s="351"/>
      <c r="N744" s="610"/>
      <c r="O744" s="351"/>
      <c r="P744" s="615"/>
      <c r="Q744" s="351"/>
      <c r="R744" s="610"/>
      <c r="S744" s="351"/>
      <c r="T744" s="615"/>
      <c r="U744" s="351"/>
      <c r="V744" s="613" t="str">
        <f>'refer admin discharge'!H745</f>
        <v>00/00/0000</v>
      </c>
      <c r="W744" s="351"/>
      <c r="X744" s="616"/>
      <c r="Y744" s="351"/>
      <c r="Z744" s="617"/>
      <c r="AA744" s="351"/>
      <c r="AB744" s="616"/>
      <c r="AC744" s="351"/>
      <c r="AD744" s="607"/>
      <c r="AE744" s="351"/>
      <c r="AF744" s="616"/>
      <c r="AG744" s="351"/>
      <c r="AH744" s="607"/>
      <c r="AI744" s="351"/>
      <c r="AJ744" s="616"/>
      <c r="AK744" s="351"/>
      <c r="AL744" s="622"/>
      <c r="AM744" s="350"/>
      <c r="AN744" s="350"/>
      <c r="AO744" s="350"/>
      <c r="AP744" s="350"/>
      <c r="AQ744" s="350"/>
      <c r="AR744" s="350"/>
      <c r="AS744" s="350"/>
      <c r="AT744" s="350"/>
      <c r="AU744" s="350"/>
      <c r="AV744" s="350"/>
      <c r="AW744" s="350"/>
      <c r="AX744" s="350"/>
      <c r="AY744" s="350"/>
      <c r="AZ744" s="350"/>
      <c r="BA744" s="350"/>
      <c r="BB744" s="351"/>
    </row>
    <row r="745" spans="1:54" ht="15.75" customHeight="1">
      <c r="A745" s="25">
        <f t="shared" si="2"/>
        <v>732</v>
      </c>
      <c r="B745" s="599" t="str">
        <f>'refer admin discharge'!B741</f>
        <v>x</v>
      </c>
      <c r="C745" s="351"/>
      <c r="D745" s="600" t="str">
        <f>'refer admin discharge'!D741</f>
        <v>xx</v>
      </c>
      <c r="E745" s="351"/>
      <c r="F745" s="609" t="str">
        <f>'refer admin discharge'!H741</f>
        <v>00/00/0000</v>
      </c>
      <c r="G745" s="351"/>
      <c r="H745" s="610"/>
      <c r="I745" s="351"/>
      <c r="J745" s="611"/>
      <c r="K745" s="351"/>
      <c r="L745" s="610"/>
      <c r="M745" s="351"/>
      <c r="N745" s="612"/>
      <c r="O745" s="351"/>
      <c r="P745" s="610"/>
      <c r="Q745" s="351"/>
      <c r="R745" s="612"/>
      <c r="S745" s="351"/>
      <c r="T745" s="610"/>
      <c r="U745" s="351"/>
      <c r="V745" s="613" t="str">
        <f>'refer admin discharge'!H746</f>
        <v>00/00/0000</v>
      </c>
      <c r="W745" s="351"/>
      <c r="X745" s="607"/>
      <c r="Y745" s="351"/>
      <c r="Z745" s="614"/>
      <c r="AA745" s="351"/>
      <c r="AB745" s="607"/>
      <c r="AC745" s="351"/>
      <c r="AD745" s="606"/>
      <c r="AE745" s="351"/>
      <c r="AF745" s="607"/>
      <c r="AG745" s="351"/>
      <c r="AH745" s="606"/>
      <c r="AI745" s="351"/>
      <c r="AJ745" s="607"/>
      <c r="AK745" s="351"/>
      <c r="AL745" s="608"/>
      <c r="AM745" s="350"/>
      <c r="AN745" s="350"/>
      <c r="AO745" s="350"/>
      <c r="AP745" s="350"/>
      <c r="AQ745" s="350"/>
      <c r="AR745" s="350"/>
      <c r="AS745" s="350"/>
      <c r="AT745" s="350"/>
      <c r="AU745" s="350"/>
      <c r="AV745" s="350"/>
      <c r="AW745" s="350"/>
      <c r="AX745" s="350"/>
      <c r="AY745" s="350"/>
      <c r="AZ745" s="350"/>
      <c r="BA745" s="350"/>
      <c r="BB745" s="351"/>
    </row>
    <row r="746" spans="1:54" ht="15.75" customHeight="1">
      <c r="A746" s="25">
        <f t="shared" si="2"/>
        <v>733</v>
      </c>
      <c r="B746" s="618" t="str">
        <f>'refer admin discharge'!B742</f>
        <v>x</v>
      </c>
      <c r="C746" s="351"/>
      <c r="D746" s="619" t="str">
        <f>'refer admin discharge'!D742</f>
        <v>xx</v>
      </c>
      <c r="E746" s="351"/>
      <c r="F746" s="620" t="str">
        <f>'refer admin discharge'!H742</f>
        <v>00/00/0000</v>
      </c>
      <c r="G746" s="351"/>
      <c r="H746" s="615"/>
      <c r="I746" s="351"/>
      <c r="J746" s="621"/>
      <c r="K746" s="351"/>
      <c r="L746" s="615"/>
      <c r="M746" s="351"/>
      <c r="N746" s="610"/>
      <c r="O746" s="351"/>
      <c r="P746" s="615"/>
      <c r="Q746" s="351"/>
      <c r="R746" s="610"/>
      <c r="S746" s="351"/>
      <c r="T746" s="615"/>
      <c r="U746" s="351"/>
      <c r="V746" s="613" t="str">
        <f>'refer admin discharge'!H747</f>
        <v>00/00/0000</v>
      </c>
      <c r="W746" s="351"/>
      <c r="X746" s="616"/>
      <c r="Y746" s="351"/>
      <c r="Z746" s="617"/>
      <c r="AA746" s="351"/>
      <c r="AB746" s="616"/>
      <c r="AC746" s="351"/>
      <c r="AD746" s="607"/>
      <c r="AE746" s="351"/>
      <c r="AF746" s="616"/>
      <c r="AG746" s="351"/>
      <c r="AH746" s="607"/>
      <c r="AI746" s="351"/>
      <c r="AJ746" s="616"/>
      <c r="AK746" s="351"/>
      <c r="AL746" s="622"/>
      <c r="AM746" s="350"/>
      <c r="AN746" s="350"/>
      <c r="AO746" s="350"/>
      <c r="AP746" s="350"/>
      <c r="AQ746" s="350"/>
      <c r="AR746" s="350"/>
      <c r="AS746" s="350"/>
      <c r="AT746" s="350"/>
      <c r="AU746" s="350"/>
      <c r="AV746" s="350"/>
      <c r="AW746" s="350"/>
      <c r="AX746" s="350"/>
      <c r="AY746" s="350"/>
      <c r="AZ746" s="350"/>
      <c r="BA746" s="350"/>
      <c r="BB746" s="351"/>
    </row>
    <row r="747" spans="1:54" ht="15.75" customHeight="1">
      <c r="A747" s="25">
        <f t="shared" si="2"/>
        <v>734</v>
      </c>
      <c r="B747" s="599" t="str">
        <f>'refer admin discharge'!B743</f>
        <v>x</v>
      </c>
      <c r="C747" s="351"/>
      <c r="D747" s="600" t="str">
        <f>'refer admin discharge'!D743</f>
        <v>xx</v>
      </c>
      <c r="E747" s="351"/>
      <c r="F747" s="609" t="str">
        <f>'refer admin discharge'!H743</f>
        <v>00/00/0000</v>
      </c>
      <c r="G747" s="351"/>
      <c r="H747" s="610"/>
      <c r="I747" s="351"/>
      <c r="J747" s="611"/>
      <c r="K747" s="351"/>
      <c r="L747" s="610"/>
      <c r="M747" s="351"/>
      <c r="N747" s="612"/>
      <c r="O747" s="351"/>
      <c r="P747" s="610"/>
      <c r="Q747" s="351"/>
      <c r="R747" s="612"/>
      <c r="S747" s="351"/>
      <c r="T747" s="610"/>
      <c r="U747" s="351"/>
      <c r="V747" s="613" t="str">
        <f>'refer admin discharge'!H748</f>
        <v>00/00/0000</v>
      </c>
      <c r="W747" s="351"/>
      <c r="X747" s="607"/>
      <c r="Y747" s="351"/>
      <c r="Z747" s="614"/>
      <c r="AA747" s="351"/>
      <c r="AB747" s="607"/>
      <c r="AC747" s="351"/>
      <c r="AD747" s="606"/>
      <c r="AE747" s="351"/>
      <c r="AF747" s="607"/>
      <c r="AG747" s="351"/>
      <c r="AH747" s="606"/>
      <c r="AI747" s="351"/>
      <c r="AJ747" s="607"/>
      <c r="AK747" s="351"/>
      <c r="AL747" s="608"/>
      <c r="AM747" s="350"/>
      <c r="AN747" s="350"/>
      <c r="AO747" s="350"/>
      <c r="AP747" s="350"/>
      <c r="AQ747" s="350"/>
      <c r="AR747" s="350"/>
      <c r="AS747" s="350"/>
      <c r="AT747" s="350"/>
      <c r="AU747" s="350"/>
      <c r="AV747" s="350"/>
      <c r="AW747" s="350"/>
      <c r="AX747" s="350"/>
      <c r="AY747" s="350"/>
      <c r="AZ747" s="350"/>
      <c r="BA747" s="350"/>
      <c r="BB747" s="351"/>
    </row>
    <row r="748" spans="1:54" ht="15.75" customHeight="1">
      <c r="A748" s="25">
        <f t="shared" si="2"/>
        <v>735</v>
      </c>
      <c r="B748" s="618" t="str">
        <f>'refer admin discharge'!B744</f>
        <v>x</v>
      </c>
      <c r="C748" s="351"/>
      <c r="D748" s="619" t="str">
        <f>'refer admin discharge'!D744</f>
        <v>xx</v>
      </c>
      <c r="E748" s="351"/>
      <c r="F748" s="620" t="str">
        <f>'refer admin discharge'!H744</f>
        <v>00/00/0000</v>
      </c>
      <c r="G748" s="351"/>
      <c r="H748" s="615"/>
      <c r="I748" s="351"/>
      <c r="J748" s="621"/>
      <c r="K748" s="351"/>
      <c r="L748" s="615"/>
      <c r="M748" s="351"/>
      <c r="N748" s="610"/>
      <c r="O748" s="351"/>
      <c r="P748" s="615"/>
      <c r="Q748" s="351"/>
      <c r="R748" s="610"/>
      <c r="S748" s="351"/>
      <c r="T748" s="615"/>
      <c r="U748" s="351"/>
      <c r="V748" s="613" t="str">
        <f>'refer admin discharge'!H749</f>
        <v>00/00/0000</v>
      </c>
      <c r="W748" s="351"/>
      <c r="X748" s="616"/>
      <c r="Y748" s="351"/>
      <c r="Z748" s="617"/>
      <c r="AA748" s="351"/>
      <c r="AB748" s="616"/>
      <c r="AC748" s="351"/>
      <c r="AD748" s="607"/>
      <c r="AE748" s="351"/>
      <c r="AF748" s="616"/>
      <c r="AG748" s="351"/>
      <c r="AH748" s="607"/>
      <c r="AI748" s="351"/>
      <c r="AJ748" s="616"/>
      <c r="AK748" s="351"/>
      <c r="AL748" s="622"/>
      <c r="AM748" s="350"/>
      <c r="AN748" s="350"/>
      <c r="AO748" s="350"/>
      <c r="AP748" s="350"/>
      <c r="AQ748" s="350"/>
      <c r="AR748" s="350"/>
      <c r="AS748" s="350"/>
      <c r="AT748" s="350"/>
      <c r="AU748" s="350"/>
      <c r="AV748" s="350"/>
      <c r="AW748" s="350"/>
      <c r="AX748" s="350"/>
      <c r="AY748" s="350"/>
      <c r="AZ748" s="350"/>
      <c r="BA748" s="350"/>
      <c r="BB748" s="351"/>
    </row>
    <row r="749" spans="1:54" ht="15.75" customHeight="1">
      <c r="A749" s="25">
        <f t="shared" si="2"/>
        <v>736</v>
      </c>
      <c r="B749" s="599" t="str">
        <f>'refer admin discharge'!B745</f>
        <v>x</v>
      </c>
      <c r="C749" s="351"/>
      <c r="D749" s="600" t="str">
        <f>'refer admin discharge'!D745</f>
        <v>xx</v>
      </c>
      <c r="E749" s="351"/>
      <c r="F749" s="609" t="str">
        <f>'refer admin discharge'!H745</f>
        <v>00/00/0000</v>
      </c>
      <c r="G749" s="351"/>
      <c r="H749" s="610"/>
      <c r="I749" s="351"/>
      <c r="J749" s="611"/>
      <c r="K749" s="351"/>
      <c r="L749" s="610"/>
      <c r="M749" s="351"/>
      <c r="N749" s="612"/>
      <c r="O749" s="351"/>
      <c r="P749" s="610"/>
      <c r="Q749" s="351"/>
      <c r="R749" s="612"/>
      <c r="S749" s="351"/>
      <c r="T749" s="610"/>
      <c r="U749" s="351"/>
      <c r="V749" s="613" t="str">
        <f>'refer admin discharge'!H750</f>
        <v>00/00/0000</v>
      </c>
      <c r="W749" s="351"/>
      <c r="X749" s="607"/>
      <c r="Y749" s="351"/>
      <c r="Z749" s="614"/>
      <c r="AA749" s="351"/>
      <c r="AB749" s="607"/>
      <c r="AC749" s="351"/>
      <c r="AD749" s="606"/>
      <c r="AE749" s="351"/>
      <c r="AF749" s="607"/>
      <c r="AG749" s="351"/>
      <c r="AH749" s="606"/>
      <c r="AI749" s="351"/>
      <c r="AJ749" s="607"/>
      <c r="AK749" s="351"/>
      <c r="AL749" s="608"/>
      <c r="AM749" s="350"/>
      <c r="AN749" s="350"/>
      <c r="AO749" s="350"/>
      <c r="AP749" s="350"/>
      <c r="AQ749" s="350"/>
      <c r="AR749" s="350"/>
      <c r="AS749" s="350"/>
      <c r="AT749" s="350"/>
      <c r="AU749" s="350"/>
      <c r="AV749" s="350"/>
      <c r="AW749" s="350"/>
      <c r="AX749" s="350"/>
      <c r="AY749" s="350"/>
      <c r="AZ749" s="350"/>
      <c r="BA749" s="350"/>
      <c r="BB749" s="351"/>
    </row>
    <row r="750" spans="1:54" ht="15.75" customHeight="1">
      <c r="A750" s="25">
        <f t="shared" si="2"/>
        <v>737</v>
      </c>
      <c r="B750" s="618" t="str">
        <f>'refer admin discharge'!B746</f>
        <v>x</v>
      </c>
      <c r="C750" s="351"/>
      <c r="D750" s="619" t="str">
        <f>'refer admin discharge'!D746</f>
        <v>xx</v>
      </c>
      <c r="E750" s="351"/>
      <c r="F750" s="620" t="str">
        <f>'refer admin discharge'!H746</f>
        <v>00/00/0000</v>
      </c>
      <c r="G750" s="351"/>
      <c r="H750" s="615"/>
      <c r="I750" s="351"/>
      <c r="J750" s="621"/>
      <c r="K750" s="351"/>
      <c r="L750" s="615"/>
      <c r="M750" s="351"/>
      <c r="N750" s="610"/>
      <c r="O750" s="351"/>
      <c r="P750" s="615"/>
      <c r="Q750" s="351"/>
      <c r="R750" s="610"/>
      <c r="S750" s="351"/>
      <c r="T750" s="615"/>
      <c r="U750" s="351"/>
      <c r="V750" s="613" t="str">
        <f>'refer admin discharge'!H751</f>
        <v>00/00/0000</v>
      </c>
      <c r="W750" s="351"/>
      <c r="X750" s="616"/>
      <c r="Y750" s="351"/>
      <c r="Z750" s="617"/>
      <c r="AA750" s="351"/>
      <c r="AB750" s="616"/>
      <c r="AC750" s="351"/>
      <c r="AD750" s="607"/>
      <c r="AE750" s="351"/>
      <c r="AF750" s="616"/>
      <c r="AG750" s="351"/>
      <c r="AH750" s="607"/>
      <c r="AI750" s="351"/>
      <c r="AJ750" s="616"/>
      <c r="AK750" s="351"/>
      <c r="AL750" s="622"/>
      <c r="AM750" s="350"/>
      <c r="AN750" s="350"/>
      <c r="AO750" s="350"/>
      <c r="AP750" s="350"/>
      <c r="AQ750" s="350"/>
      <c r="AR750" s="350"/>
      <c r="AS750" s="350"/>
      <c r="AT750" s="350"/>
      <c r="AU750" s="350"/>
      <c r="AV750" s="350"/>
      <c r="AW750" s="350"/>
      <c r="AX750" s="350"/>
      <c r="AY750" s="350"/>
      <c r="AZ750" s="350"/>
      <c r="BA750" s="350"/>
      <c r="BB750" s="351"/>
    </row>
    <row r="751" spans="1:54" ht="15.75" customHeight="1">
      <c r="A751" s="25">
        <f t="shared" si="2"/>
        <v>738</v>
      </c>
      <c r="B751" s="599" t="str">
        <f>'refer admin discharge'!B747</f>
        <v>x</v>
      </c>
      <c r="C751" s="351"/>
      <c r="D751" s="600" t="str">
        <f>'refer admin discharge'!D747</f>
        <v>xx</v>
      </c>
      <c r="E751" s="351"/>
      <c r="F751" s="609" t="str">
        <f>'refer admin discharge'!H747</f>
        <v>00/00/0000</v>
      </c>
      <c r="G751" s="351"/>
      <c r="H751" s="610"/>
      <c r="I751" s="351"/>
      <c r="J751" s="611"/>
      <c r="K751" s="351"/>
      <c r="L751" s="610"/>
      <c r="M751" s="351"/>
      <c r="N751" s="612"/>
      <c r="O751" s="351"/>
      <c r="P751" s="610"/>
      <c r="Q751" s="351"/>
      <c r="R751" s="612"/>
      <c r="S751" s="351"/>
      <c r="T751" s="610"/>
      <c r="U751" s="351"/>
      <c r="V751" s="613" t="str">
        <f>'refer admin discharge'!H752</f>
        <v>00/00/0000</v>
      </c>
      <c r="W751" s="351"/>
      <c r="X751" s="607"/>
      <c r="Y751" s="351"/>
      <c r="Z751" s="614"/>
      <c r="AA751" s="351"/>
      <c r="AB751" s="607"/>
      <c r="AC751" s="351"/>
      <c r="AD751" s="606"/>
      <c r="AE751" s="351"/>
      <c r="AF751" s="607"/>
      <c r="AG751" s="351"/>
      <c r="AH751" s="606"/>
      <c r="AI751" s="351"/>
      <c r="AJ751" s="607"/>
      <c r="AK751" s="351"/>
      <c r="AL751" s="608"/>
      <c r="AM751" s="350"/>
      <c r="AN751" s="350"/>
      <c r="AO751" s="350"/>
      <c r="AP751" s="350"/>
      <c r="AQ751" s="350"/>
      <c r="AR751" s="350"/>
      <c r="AS751" s="350"/>
      <c r="AT751" s="350"/>
      <c r="AU751" s="350"/>
      <c r="AV751" s="350"/>
      <c r="AW751" s="350"/>
      <c r="AX751" s="350"/>
      <c r="AY751" s="350"/>
      <c r="AZ751" s="350"/>
      <c r="BA751" s="350"/>
      <c r="BB751" s="351"/>
    </row>
    <row r="752" spans="1:54" ht="15.75" customHeight="1">
      <c r="A752" s="25">
        <f t="shared" si="2"/>
        <v>739</v>
      </c>
      <c r="B752" s="618" t="str">
        <f>'refer admin discharge'!B748</f>
        <v>x</v>
      </c>
      <c r="C752" s="351"/>
      <c r="D752" s="619" t="str">
        <f>'refer admin discharge'!D748</f>
        <v>xx</v>
      </c>
      <c r="E752" s="351"/>
      <c r="F752" s="620" t="str">
        <f>'refer admin discharge'!H748</f>
        <v>00/00/0000</v>
      </c>
      <c r="G752" s="351"/>
      <c r="H752" s="615"/>
      <c r="I752" s="351"/>
      <c r="J752" s="621"/>
      <c r="K752" s="351"/>
      <c r="L752" s="615"/>
      <c r="M752" s="351"/>
      <c r="N752" s="610"/>
      <c r="O752" s="351"/>
      <c r="P752" s="615"/>
      <c r="Q752" s="351"/>
      <c r="R752" s="610"/>
      <c r="S752" s="351"/>
      <c r="T752" s="615"/>
      <c r="U752" s="351"/>
      <c r="V752" s="613" t="str">
        <f>'refer admin discharge'!H753</f>
        <v>00/00/0000</v>
      </c>
      <c r="W752" s="351"/>
      <c r="X752" s="616"/>
      <c r="Y752" s="351"/>
      <c r="Z752" s="617"/>
      <c r="AA752" s="351"/>
      <c r="AB752" s="616"/>
      <c r="AC752" s="351"/>
      <c r="AD752" s="607"/>
      <c r="AE752" s="351"/>
      <c r="AF752" s="616"/>
      <c r="AG752" s="351"/>
      <c r="AH752" s="607"/>
      <c r="AI752" s="351"/>
      <c r="AJ752" s="616"/>
      <c r="AK752" s="351"/>
      <c r="AL752" s="622"/>
      <c r="AM752" s="350"/>
      <c r="AN752" s="350"/>
      <c r="AO752" s="350"/>
      <c r="AP752" s="350"/>
      <c r="AQ752" s="350"/>
      <c r="AR752" s="350"/>
      <c r="AS752" s="350"/>
      <c r="AT752" s="350"/>
      <c r="AU752" s="350"/>
      <c r="AV752" s="350"/>
      <c r="AW752" s="350"/>
      <c r="AX752" s="350"/>
      <c r="AY752" s="350"/>
      <c r="AZ752" s="350"/>
      <c r="BA752" s="350"/>
      <c r="BB752" s="351"/>
    </row>
    <row r="753" spans="1:54" ht="15.75" customHeight="1">
      <c r="A753" s="25">
        <f t="shared" si="2"/>
        <v>740</v>
      </c>
      <c r="B753" s="599" t="str">
        <f>'refer admin discharge'!B749</f>
        <v>x</v>
      </c>
      <c r="C753" s="351"/>
      <c r="D753" s="600" t="str">
        <f>'refer admin discharge'!D749</f>
        <v>xx</v>
      </c>
      <c r="E753" s="351"/>
      <c r="F753" s="609" t="str">
        <f>'refer admin discharge'!H749</f>
        <v>00/00/0000</v>
      </c>
      <c r="G753" s="351"/>
      <c r="H753" s="610"/>
      <c r="I753" s="351"/>
      <c r="J753" s="611"/>
      <c r="K753" s="351"/>
      <c r="L753" s="610"/>
      <c r="M753" s="351"/>
      <c r="N753" s="612"/>
      <c r="O753" s="351"/>
      <c r="P753" s="610"/>
      <c r="Q753" s="351"/>
      <c r="R753" s="612"/>
      <c r="S753" s="351"/>
      <c r="T753" s="610"/>
      <c r="U753" s="351"/>
      <c r="V753" s="613" t="str">
        <f>'refer admin discharge'!H754</f>
        <v>00/00/0000</v>
      </c>
      <c r="W753" s="351"/>
      <c r="X753" s="607"/>
      <c r="Y753" s="351"/>
      <c r="Z753" s="614"/>
      <c r="AA753" s="351"/>
      <c r="AB753" s="607"/>
      <c r="AC753" s="351"/>
      <c r="AD753" s="606"/>
      <c r="AE753" s="351"/>
      <c r="AF753" s="607"/>
      <c r="AG753" s="351"/>
      <c r="AH753" s="606"/>
      <c r="AI753" s="351"/>
      <c r="AJ753" s="607"/>
      <c r="AK753" s="351"/>
      <c r="AL753" s="608"/>
      <c r="AM753" s="350"/>
      <c r="AN753" s="350"/>
      <c r="AO753" s="350"/>
      <c r="AP753" s="350"/>
      <c r="AQ753" s="350"/>
      <c r="AR753" s="350"/>
      <c r="AS753" s="350"/>
      <c r="AT753" s="350"/>
      <c r="AU753" s="350"/>
      <c r="AV753" s="350"/>
      <c r="AW753" s="350"/>
      <c r="AX753" s="350"/>
      <c r="AY753" s="350"/>
      <c r="AZ753" s="350"/>
      <c r="BA753" s="350"/>
      <c r="BB753" s="351"/>
    </row>
    <row r="754" spans="1:54" ht="15.75" customHeight="1">
      <c r="A754" s="25">
        <f t="shared" si="2"/>
        <v>741</v>
      </c>
      <c r="B754" s="618" t="str">
        <f>'refer admin discharge'!B750</f>
        <v>x</v>
      </c>
      <c r="C754" s="351"/>
      <c r="D754" s="619" t="str">
        <f>'refer admin discharge'!D750</f>
        <v>xx</v>
      </c>
      <c r="E754" s="351"/>
      <c r="F754" s="620" t="str">
        <f>'refer admin discharge'!H750</f>
        <v>00/00/0000</v>
      </c>
      <c r="G754" s="351"/>
      <c r="H754" s="615"/>
      <c r="I754" s="351"/>
      <c r="J754" s="621"/>
      <c r="K754" s="351"/>
      <c r="L754" s="615"/>
      <c r="M754" s="351"/>
      <c r="N754" s="610"/>
      <c r="O754" s="351"/>
      <c r="P754" s="615"/>
      <c r="Q754" s="351"/>
      <c r="R754" s="610"/>
      <c r="S754" s="351"/>
      <c r="T754" s="615"/>
      <c r="U754" s="351"/>
      <c r="V754" s="613" t="str">
        <f>'refer admin discharge'!H755</f>
        <v>00/00/0000</v>
      </c>
      <c r="W754" s="351"/>
      <c r="X754" s="616"/>
      <c r="Y754" s="351"/>
      <c r="Z754" s="617"/>
      <c r="AA754" s="351"/>
      <c r="AB754" s="616"/>
      <c r="AC754" s="351"/>
      <c r="AD754" s="607"/>
      <c r="AE754" s="351"/>
      <c r="AF754" s="616"/>
      <c r="AG754" s="351"/>
      <c r="AH754" s="607"/>
      <c r="AI754" s="351"/>
      <c r="AJ754" s="616"/>
      <c r="AK754" s="351"/>
      <c r="AL754" s="622"/>
      <c r="AM754" s="350"/>
      <c r="AN754" s="350"/>
      <c r="AO754" s="350"/>
      <c r="AP754" s="350"/>
      <c r="AQ754" s="350"/>
      <c r="AR754" s="350"/>
      <c r="AS754" s="350"/>
      <c r="AT754" s="350"/>
      <c r="AU754" s="350"/>
      <c r="AV754" s="350"/>
      <c r="AW754" s="350"/>
      <c r="AX754" s="350"/>
      <c r="AY754" s="350"/>
      <c r="AZ754" s="350"/>
      <c r="BA754" s="350"/>
      <c r="BB754" s="351"/>
    </row>
    <row r="755" spans="1:54" ht="15.75" customHeight="1">
      <c r="A755" s="25">
        <f t="shared" si="2"/>
        <v>742</v>
      </c>
      <c r="B755" s="599" t="str">
        <f>'refer admin discharge'!B751</f>
        <v>x</v>
      </c>
      <c r="C755" s="351"/>
      <c r="D755" s="600" t="str">
        <f>'refer admin discharge'!D751</f>
        <v>xx</v>
      </c>
      <c r="E755" s="351"/>
      <c r="F755" s="609" t="str">
        <f>'refer admin discharge'!H751</f>
        <v>00/00/0000</v>
      </c>
      <c r="G755" s="351"/>
      <c r="H755" s="610"/>
      <c r="I755" s="351"/>
      <c r="J755" s="611"/>
      <c r="K755" s="351"/>
      <c r="L755" s="610"/>
      <c r="M755" s="351"/>
      <c r="N755" s="612"/>
      <c r="O755" s="351"/>
      <c r="P755" s="610"/>
      <c r="Q755" s="351"/>
      <c r="R755" s="612"/>
      <c r="S755" s="351"/>
      <c r="T755" s="610"/>
      <c r="U755" s="351"/>
      <c r="V755" s="613" t="str">
        <f>'refer admin discharge'!H756</f>
        <v>00/00/0000</v>
      </c>
      <c r="W755" s="351"/>
      <c r="X755" s="607"/>
      <c r="Y755" s="351"/>
      <c r="Z755" s="614"/>
      <c r="AA755" s="351"/>
      <c r="AB755" s="607"/>
      <c r="AC755" s="351"/>
      <c r="AD755" s="606"/>
      <c r="AE755" s="351"/>
      <c r="AF755" s="607"/>
      <c r="AG755" s="351"/>
      <c r="AH755" s="606"/>
      <c r="AI755" s="351"/>
      <c r="AJ755" s="607"/>
      <c r="AK755" s="351"/>
      <c r="AL755" s="608"/>
      <c r="AM755" s="350"/>
      <c r="AN755" s="350"/>
      <c r="AO755" s="350"/>
      <c r="AP755" s="350"/>
      <c r="AQ755" s="350"/>
      <c r="AR755" s="350"/>
      <c r="AS755" s="350"/>
      <c r="AT755" s="350"/>
      <c r="AU755" s="350"/>
      <c r="AV755" s="350"/>
      <c r="AW755" s="350"/>
      <c r="AX755" s="350"/>
      <c r="AY755" s="350"/>
      <c r="AZ755" s="350"/>
      <c r="BA755" s="350"/>
      <c r="BB755" s="351"/>
    </row>
    <row r="756" spans="1:54" ht="15.75" customHeight="1">
      <c r="A756" s="25">
        <f t="shared" si="2"/>
        <v>743</v>
      </c>
      <c r="B756" s="618" t="str">
        <f>'refer admin discharge'!B752</f>
        <v>x</v>
      </c>
      <c r="C756" s="351"/>
      <c r="D756" s="619" t="str">
        <f>'refer admin discharge'!D752</f>
        <v>xx</v>
      </c>
      <c r="E756" s="351"/>
      <c r="F756" s="620" t="str">
        <f>'refer admin discharge'!H752</f>
        <v>00/00/0000</v>
      </c>
      <c r="G756" s="351"/>
      <c r="H756" s="615"/>
      <c r="I756" s="351"/>
      <c r="J756" s="621"/>
      <c r="K756" s="351"/>
      <c r="L756" s="615"/>
      <c r="M756" s="351"/>
      <c r="N756" s="610"/>
      <c r="O756" s="351"/>
      <c r="P756" s="615"/>
      <c r="Q756" s="351"/>
      <c r="R756" s="610"/>
      <c r="S756" s="351"/>
      <c r="T756" s="615"/>
      <c r="U756" s="351"/>
      <c r="V756" s="613" t="str">
        <f>'refer admin discharge'!H757</f>
        <v>00/00/0000</v>
      </c>
      <c r="W756" s="351"/>
      <c r="X756" s="616"/>
      <c r="Y756" s="351"/>
      <c r="Z756" s="617"/>
      <c r="AA756" s="351"/>
      <c r="AB756" s="616"/>
      <c r="AC756" s="351"/>
      <c r="AD756" s="607"/>
      <c r="AE756" s="351"/>
      <c r="AF756" s="616"/>
      <c r="AG756" s="351"/>
      <c r="AH756" s="607"/>
      <c r="AI756" s="351"/>
      <c r="AJ756" s="616"/>
      <c r="AK756" s="351"/>
      <c r="AL756" s="622"/>
      <c r="AM756" s="350"/>
      <c r="AN756" s="350"/>
      <c r="AO756" s="350"/>
      <c r="AP756" s="350"/>
      <c r="AQ756" s="350"/>
      <c r="AR756" s="350"/>
      <c r="AS756" s="350"/>
      <c r="AT756" s="350"/>
      <c r="AU756" s="350"/>
      <c r="AV756" s="350"/>
      <c r="AW756" s="350"/>
      <c r="AX756" s="350"/>
      <c r="AY756" s="350"/>
      <c r="AZ756" s="350"/>
      <c r="BA756" s="350"/>
      <c r="BB756" s="351"/>
    </row>
    <row r="757" spans="1:54" ht="15.75" customHeight="1">
      <c r="A757" s="25">
        <f t="shared" si="2"/>
        <v>744</v>
      </c>
      <c r="B757" s="599" t="str">
        <f>'refer admin discharge'!B753</f>
        <v>x</v>
      </c>
      <c r="C757" s="351"/>
      <c r="D757" s="600" t="str">
        <f>'refer admin discharge'!D753</f>
        <v>xx</v>
      </c>
      <c r="E757" s="351"/>
      <c r="F757" s="609" t="str">
        <f>'refer admin discharge'!H753</f>
        <v>00/00/0000</v>
      </c>
      <c r="G757" s="351"/>
      <c r="H757" s="610"/>
      <c r="I757" s="351"/>
      <c r="J757" s="611"/>
      <c r="K757" s="351"/>
      <c r="L757" s="610"/>
      <c r="M757" s="351"/>
      <c r="N757" s="612"/>
      <c r="O757" s="351"/>
      <c r="P757" s="610"/>
      <c r="Q757" s="351"/>
      <c r="R757" s="612"/>
      <c r="S757" s="351"/>
      <c r="T757" s="610"/>
      <c r="U757" s="351"/>
      <c r="V757" s="613" t="str">
        <f>'refer admin discharge'!H758</f>
        <v>00/00/0000</v>
      </c>
      <c r="W757" s="351"/>
      <c r="X757" s="607"/>
      <c r="Y757" s="351"/>
      <c r="Z757" s="614"/>
      <c r="AA757" s="351"/>
      <c r="AB757" s="607"/>
      <c r="AC757" s="351"/>
      <c r="AD757" s="606"/>
      <c r="AE757" s="351"/>
      <c r="AF757" s="607"/>
      <c r="AG757" s="351"/>
      <c r="AH757" s="606"/>
      <c r="AI757" s="351"/>
      <c r="AJ757" s="607"/>
      <c r="AK757" s="351"/>
      <c r="AL757" s="608"/>
      <c r="AM757" s="350"/>
      <c r="AN757" s="350"/>
      <c r="AO757" s="350"/>
      <c r="AP757" s="350"/>
      <c r="AQ757" s="350"/>
      <c r="AR757" s="350"/>
      <c r="AS757" s="350"/>
      <c r="AT757" s="350"/>
      <c r="AU757" s="350"/>
      <c r="AV757" s="350"/>
      <c r="AW757" s="350"/>
      <c r="AX757" s="350"/>
      <c r="AY757" s="350"/>
      <c r="AZ757" s="350"/>
      <c r="BA757" s="350"/>
      <c r="BB757" s="351"/>
    </row>
    <row r="758" spans="1:54" ht="15.75" customHeight="1">
      <c r="A758" s="25">
        <f t="shared" si="2"/>
        <v>745</v>
      </c>
      <c r="B758" s="618" t="str">
        <f>'refer admin discharge'!B754</f>
        <v>x</v>
      </c>
      <c r="C758" s="351"/>
      <c r="D758" s="619" t="str">
        <f>'refer admin discharge'!D754</f>
        <v>xx</v>
      </c>
      <c r="E758" s="351"/>
      <c r="F758" s="620" t="str">
        <f>'refer admin discharge'!H754</f>
        <v>00/00/0000</v>
      </c>
      <c r="G758" s="351"/>
      <c r="H758" s="615"/>
      <c r="I758" s="351"/>
      <c r="J758" s="621"/>
      <c r="K758" s="351"/>
      <c r="L758" s="615"/>
      <c r="M758" s="351"/>
      <c r="N758" s="610"/>
      <c r="O758" s="351"/>
      <c r="P758" s="615"/>
      <c r="Q758" s="351"/>
      <c r="R758" s="610"/>
      <c r="S758" s="351"/>
      <c r="T758" s="615"/>
      <c r="U758" s="351"/>
      <c r="V758" s="613" t="str">
        <f>'refer admin discharge'!H759</f>
        <v>00/00/0000</v>
      </c>
      <c r="W758" s="351"/>
      <c r="X758" s="616"/>
      <c r="Y758" s="351"/>
      <c r="Z758" s="617"/>
      <c r="AA758" s="351"/>
      <c r="AB758" s="616"/>
      <c r="AC758" s="351"/>
      <c r="AD758" s="607"/>
      <c r="AE758" s="351"/>
      <c r="AF758" s="616"/>
      <c r="AG758" s="351"/>
      <c r="AH758" s="607"/>
      <c r="AI758" s="351"/>
      <c r="AJ758" s="616"/>
      <c r="AK758" s="351"/>
      <c r="AL758" s="622"/>
      <c r="AM758" s="350"/>
      <c r="AN758" s="350"/>
      <c r="AO758" s="350"/>
      <c r="AP758" s="350"/>
      <c r="AQ758" s="350"/>
      <c r="AR758" s="350"/>
      <c r="AS758" s="350"/>
      <c r="AT758" s="350"/>
      <c r="AU758" s="350"/>
      <c r="AV758" s="350"/>
      <c r="AW758" s="350"/>
      <c r="AX758" s="350"/>
      <c r="AY758" s="350"/>
      <c r="AZ758" s="350"/>
      <c r="BA758" s="350"/>
      <c r="BB758" s="351"/>
    </row>
    <row r="759" spans="1:54" ht="15.75" customHeight="1">
      <c r="A759" s="25">
        <f t="shared" si="2"/>
        <v>746</v>
      </c>
      <c r="B759" s="599" t="str">
        <f>'refer admin discharge'!B755</f>
        <v>x</v>
      </c>
      <c r="C759" s="351"/>
      <c r="D759" s="600" t="str">
        <f>'refer admin discharge'!D755</f>
        <v>xx</v>
      </c>
      <c r="E759" s="351"/>
      <c r="F759" s="609" t="str">
        <f>'refer admin discharge'!H755</f>
        <v>00/00/0000</v>
      </c>
      <c r="G759" s="351"/>
      <c r="H759" s="610"/>
      <c r="I759" s="351"/>
      <c r="J759" s="611"/>
      <c r="K759" s="351"/>
      <c r="L759" s="610"/>
      <c r="M759" s="351"/>
      <c r="N759" s="612"/>
      <c r="O759" s="351"/>
      <c r="P759" s="610"/>
      <c r="Q759" s="351"/>
      <c r="R759" s="612"/>
      <c r="S759" s="351"/>
      <c r="T759" s="610"/>
      <c r="U759" s="351"/>
      <c r="V759" s="613" t="str">
        <f>'refer admin discharge'!H760</f>
        <v>00/00/0000</v>
      </c>
      <c r="W759" s="351"/>
      <c r="X759" s="607"/>
      <c r="Y759" s="351"/>
      <c r="Z759" s="614"/>
      <c r="AA759" s="351"/>
      <c r="AB759" s="607"/>
      <c r="AC759" s="351"/>
      <c r="AD759" s="606"/>
      <c r="AE759" s="351"/>
      <c r="AF759" s="607"/>
      <c r="AG759" s="351"/>
      <c r="AH759" s="606"/>
      <c r="AI759" s="351"/>
      <c r="AJ759" s="607"/>
      <c r="AK759" s="351"/>
      <c r="AL759" s="608"/>
      <c r="AM759" s="350"/>
      <c r="AN759" s="350"/>
      <c r="AO759" s="350"/>
      <c r="AP759" s="350"/>
      <c r="AQ759" s="350"/>
      <c r="AR759" s="350"/>
      <c r="AS759" s="350"/>
      <c r="AT759" s="350"/>
      <c r="AU759" s="350"/>
      <c r="AV759" s="350"/>
      <c r="AW759" s="350"/>
      <c r="AX759" s="350"/>
      <c r="AY759" s="350"/>
      <c r="AZ759" s="350"/>
      <c r="BA759" s="350"/>
      <c r="BB759" s="351"/>
    </row>
    <row r="760" spans="1:54" ht="15.75" customHeight="1">
      <c r="A760" s="25">
        <f t="shared" si="2"/>
        <v>747</v>
      </c>
      <c r="B760" s="618" t="str">
        <f>'refer admin discharge'!B756</f>
        <v>x</v>
      </c>
      <c r="C760" s="351"/>
      <c r="D760" s="619" t="str">
        <f>'refer admin discharge'!D756</f>
        <v>xx</v>
      </c>
      <c r="E760" s="351"/>
      <c r="F760" s="620" t="str">
        <f>'refer admin discharge'!H756</f>
        <v>00/00/0000</v>
      </c>
      <c r="G760" s="351"/>
      <c r="H760" s="615"/>
      <c r="I760" s="351"/>
      <c r="J760" s="621"/>
      <c r="K760" s="351"/>
      <c r="L760" s="615"/>
      <c r="M760" s="351"/>
      <c r="N760" s="610"/>
      <c r="O760" s="351"/>
      <c r="P760" s="615"/>
      <c r="Q760" s="351"/>
      <c r="R760" s="610"/>
      <c r="S760" s="351"/>
      <c r="T760" s="615"/>
      <c r="U760" s="351"/>
      <c r="V760" s="613" t="str">
        <f>'refer admin discharge'!H761</f>
        <v>00/00/0000</v>
      </c>
      <c r="W760" s="351"/>
      <c r="X760" s="616"/>
      <c r="Y760" s="351"/>
      <c r="Z760" s="617"/>
      <c r="AA760" s="351"/>
      <c r="AB760" s="616"/>
      <c r="AC760" s="351"/>
      <c r="AD760" s="607"/>
      <c r="AE760" s="351"/>
      <c r="AF760" s="616"/>
      <c r="AG760" s="351"/>
      <c r="AH760" s="607"/>
      <c r="AI760" s="351"/>
      <c r="AJ760" s="616"/>
      <c r="AK760" s="351"/>
      <c r="AL760" s="622"/>
      <c r="AM760" s="350"/>
      <c r="AN760" s="350"/>
      <c r="AO760" s="350"/>
      <c r="AP760" s="350"/>
      <c r="AQ760" s="350"/>
      <c r="AR760" s="350"/>
      <c r="AS760" s="350"/>
      <c r="AT760" s="350"/>
      <c r="AU760" s="350"/>
      <c r="AV760" s="350"/>
      <c r="AW760" s="350"/>
      <c r="AX760" s="350"/>
      <c r="AY760" s="350"/>
      <c r="AZ760" s="350"/>
      <c r="BA760" s="350"/>
      <c r="BB760" s="351"/>
    </row>
    <row r="761" spans="1:54" ht="15.75" customHeight="1">
      <c r="A761" s="25">
        <f t="shared" si="2"/>
        <v>748</v>
      </c>
      <c r="B761" s="599" t="str">
        <f>'refer admin discharge'!B757</f>
        <v>x</v>
      </c>
      <c r="C761" s="351"/>
      <c r="D761" s="600" t="str">
        <f>'refer admin discharge'!D757</f>
        <v>xx</v>
      </c>
      <c r="E761" s="351"/>
      <c r="F761" s="609" t="str">
        <f>'refer admin discharge'!H757</f>
        <v>00/00/0000</v>
      </c>
      <c r="G761" s="351"/>
      <c r="H761" s="610"/>
      <c r="I761" s="351"/>
      <c r="J761" s="611"/>
      <c r="K761" s="351"/>
      <c r="L761" s="610"/>
      <c r="M761" s="351"/>
      <c r="N761" s="612"/>
      <c r="O761" s="351"/>
      <c r="P761" s="610"/>
      <c r="Q761" s="351"/>
      <c r="R761" s="612"/>
      <c r="S761" s="351"/>
      <c r="T761" s="610"/>
      <c r="U761" s="351"/>
      <c r="V761" s="613" t="str">
        <f>'refer admin discharge'!H762</f>
        <v>00/00/0000</v>
      </c>
      <c r="W761" s="351"/>
      <c r="X761" s="607"/>
      <c r="Y761" s="351"/>
      <c r="Z761" s="614"/>
      <c r="AA761" s="351"/>
      <c r="AB761" s="607"/>
      <c r="AC761" s="351"/>
      <c r="AD761" s="606"/>
      <c r="AE761" s="351"/>
      <c r="AF761" s="607"/>
      <c r="AG761" s="351"/>
      <c r="AH761" s="606"/>
      <c r="AI761" s="351"/>
      <c r="AJ761" s="607"/>
      <c r="AK761" s="351"/>
      <c r="AL761" s="608"/>
      <c r="AM761" s="350"/>
      <c r="AN761" s="350"/>
      <c r="AO761" s="350"/>
      <c r="AP761" s="350"/>
      <c r="AQ761" s="350"/>
      <c r="AR761" s="350"/>
      <c r="AS761" s="350"/>
      <c r="AT761" s="350"/>
      <c r="AU761" s="350"/>
      <c r="AV761" s="350"/>
      <c r="AW761" s="350"/>
      <c r="AX761" s="350"/>
      <c r="AY761" s="350"/>
      <c r="AZ761" s="350"/>
      <c r="BA761" s="350"/>
      <c r="BB761" s="351"/>
    </row>
    <row r="762" spans="1:54" ht="15.75" customHeight="1">
      <c r="A762" s="25">
        <f t="shared" si="2"/>
        <v>749</v>
      </c>
      <c r="B762" s="618" t="str">
        <f>'refer admin discharge'!B758</f>
        <v>x</v>
      </c>
      <c r="C762" s="351"/>
      <c r="D762" s="619" t="str">
        <f>'refer admin discharge'!D758</f>
        <v>xx</v>
      </c>
      <c r="E762" s="351"/>
      <c r="F762" s="620" t="str">
        <f>'refer admin discharge'!H758</f>
        <v>00/00/0000</v>
      </c>
      <c r="G762" s="351"/>
      <c r="H762" s="615"/>
      <c r="I762" s="351"/>
      <c r="J762" s="621"/>
      <c r="K762" s="351"/>
      <c r="L762" s="615"/>
      <c r="M762" s="351"/>
      <c r="N762" s="610"/>
      <c r="O762" s="351"/>
      <c r="P762" s="615"/>
      <c r="Q762" s="351"/>
      <c r="R762" s="610"/>
      <c r="S762" s="351"/>
      <c r="T762" s="615"/>
      <c r="U762" s="351"/>
      <c r="V762" s="613" t="str">
        <f>'refer admin discharge'!H763</f>
        <v>00/00/0000</v>
      </c>
      <c r="W762" s="351"/>
      <c r="X762" s="616"/>
      <c r="Y762" s="351"/>
      <c r="Z762" s="617"/>
      <c r="AA762" s="351"/>
      <c r="AB762" s="616"/>
      <c r="AC762" s="351"/>
      <c r="AD762" s="607"/>
      <c r="AE762" s="351"/>
      <c r="AF762" s="616"/>
      <c r="AG762" s="351"/>
      <c r="AH762" s="607"/>
      <c r="AI762" s="351"/>
      <c r="AJ762" s="616"/>
      <c r="AK762" s="351"/>
      <c r="AL762" s="622"/>
      <c r="AM762" s="350"/>
      <c r="AN762" s="350"/>
      <c r="AO762" s="350"/>
      <c r="AP762" s="350"/>
      <c r="AQ762" s="350"/>
      <c r="AR762" s="350"/>
      <c r="AS762" s="350"/>
      <c r="AT762" s="350"/>
      <c r="AU762" s="350"/>
      <c r="AV762" s="350"/>
      <c r="AW762" s="350"/>
      <c r="AX762" s="350"/>
      <c r="AY762" s="350"/>
      <c r="AZ762" s="350"/>
      <c r="BA762" s="350"/>
      <c r="BB762" s="351"/>
    </row>
    <row r="763" spans="1:54" ht="15.75" customHeight="1">
      <c r="A763" s="25">
        <f t="shared" si="2"/>
        <v>750</v>
      </c>
      <c r="B763" s="599" t="str">
        <f>'refer admin discharge'!B759</f>
        <v>x</v>
      </c>
      <c r="C763" s="351"/>
      <c r="D763" s="600" t="str">
        <f>'refer admin discharge'!D759</f>
        <v>xx</v>
      </c>
      <c r="E763" s="351"/>
      <c r="F763" s="609" t="str">
        <f>'refer admin discharge'!H759</f>
        <v>00/00/0000</v>
      </c>
      <c r="G763" s="351"/>
      <c r="H763" s="610"/>
      <c r="I763" s="351"/>
      <c r="J763" s="611"/>
      <c r="K763" s="351"/>
      <c r="L763" s="610"/>
      <c r="M763" s="351"/>
      <c r="N763" s="612"/>
      <c r="O763" s="351"/>
      <c r="P763" s="610"/>
      <c r="Q763" s="351"/>
      <c r="R763" s="612"/>
      <c r="S763" s="351"/>
      <c r="T763" s="610"/>
      <c r="U763" s="351"/>
      <c r="V763" s="613" t="str">
        <f>'refer admin discharge'!H764</f>
        <v>00/00/0000</v>
      </c>
      <c r="W763" s="351"/>
      <c r="X763" s="607"/>
      <c r="Y763" s="351"/>
      <c r="Z763" s="614"/>
      <c r="AA763" s="351"/>
      <c r="AB763" s="607"/>
      <c r="AC763" s="351"/>
      <c r="AD763" s="606"/>
      <c r="AE763" s="351"/>
      <c r="AF763" s="607"/>
      <c r="AG763" s="351"/>
      <c r="AH763" s="606"/>
      <c r="AI763" s="351"/>
      <c r="AJ763" s="607"/>
      <c r="AK763" s="351"/>
      <c r="AL763" s="608"/>
      <c r="AM763" s="350"/>
      <c r="AN763" s="350"/>
      <c r="AO763" s="350"/>
      <c r="AP763" s="350"/>
      <c r="AQ763" s="350"/>
      <c r="AR763" s="350"/>
      <c r="AS763" s="350"/>
      <c r="AT763" s="350"/>
      <c r="AU763" s="350"/>
      <c r="AV763" s="350"/>
      <c r="AW763" s="350"/>
      <c r="AX763" s="350"/>
      <c r="AY763" s="350"/>
      <c r="AZ763" s="350"/>
      <c r="BA763" s="350"/>
      <c r="BB763" s="351"/>
    </row>
    <row r="764" spans="1:54" ht="15.75" customHeight="1">
      <c r="A764" s="25">
        <f t="shared" si="2"/>
        <v>751</v>
      </c>
      <c r="B764" s="618" t="str">
        <f>'refer admin discharge'!B760</f>
        <v>x</v>
      </c>
      <c r="C764" s="351"/>
      <c r="D764" s="619" t="str">
        <f>'refer admin discharge'!D760</f>
        <v>xx</v>
      </c>
      <c r="E764" s="351"/>
      <c r="F764" s="620" t="str">
        <f>'refer admin discharge'!H760</f>
        <v>00/00/0000</v>
      </c>
      <c r="G764" s="351"/>
      <c r="H764" s="615"/>
      <c r="I764" s="351"/>
      <c r="J764" s="621"/>
      <c r="K764" s="351"/>
      <c r="L764" s="615"/>
      <c r="M764" s="351"/>
      <c r="N764" s="610"/>
      <c r="O764" s="351"/>
      <c r="P764" s="615"/>
      <c r="Q764" s="351"/>
      <c r="R764" s="610"/>
      <c r="S764" s="351"/>
      <c r="T764" s="615"/>
      <c r="U764" s="351"/>
      <c r="V764" s="613" t="str">
        <f>'refer admin discharge'!H765</f>
        <v>00/00/0000</v>
      </c>
      <c r="W764" s="351"/>
      <c r="X764" s="616"/>
      <c r="Y764" s="351"/>
      <c r="Z764" s="617"/>
      <c r="AA764" s="351"/>
      <c r="AB764" s="616"/>
      <c r="AC764" s="351"/>
      <c r="AD764" s="607"/>
      <c r="AE764" s="351"/>
      <c r="AF764" s="616"/>
      <c r="AG764" s="351"/>
      <c r="AH764" s="607"/>
      <c r="AI764" s="351"/>
      <c r="AJ764" s="616"/>
      <c r="AK764" s="351"/>
      <c r="AL764" s="622"/>
      <c r="AM764" s="350"/>
      <c r="AN764" s="350"/>
      <c r="AO764" s="350"/>
      <c r="AP764" s="350"/>
      <c r="AQ764" s="350"/>
      <c r="AR764" s="350"/>
      <c r="AS764" s="350"/>
      <c r="AT764" s="350"/>
      <c r="AU764" s="350"/>
      <c r="AV764" s="350"/>
      <c r="AW764" s="350"/>
      <c r="AX764" s="350"/>
      <c r="AY764" s="350"/>
      <c r="AZ764" s="350"/>
      <c r="BA764" s="350"/>
      <c r="BB764" s="351"/>
    </row>
    <row r="765" spans="1:54" ht="15.75" customHeight="1">
      <c r="A765" s="25">
        <f t="shared" si="2"/>
        <v>752</v>
      </c>
      <c r="B765" s="599" t="str">
        <f>'refer admin discharge'!B761</f>
        <v>x</v>
      </c>
      <c r="C765" s="351"/>
      <c r="D765" s="600" t="str">
        <f>'refer admin discharge'!D761</f>
        <v>xx</v>
      </c>
      <c r="E765" s="351"/>
      <c r="F765" s="609" t="str">
        <f>'refer admin discharge'!H761</f>
        <v>00/00/0000</v>
      </c>
      <c r="G765" s="351"/>
      <c r="H765" s="610"/>
      <c r="I765" s="351"/>
      <c r="J765" s="611"/>
      <c r="K765" s="351"/>
      <c r="L765" s="610"/>
      <c r="M765" s="351"/>
      <c r="N765" s="612"/>
      <c r="O765" s="351"/>
      <c r="P765" s="610"/>
      <c r="Q765" s="351"/>
      <c r="R765" s="612"/>
      <c r="S765" s="351"/>
      <c r="T765" s="610"/>
      <c r="U765" s="351"/>
      <c r="V765" s="613" t="str">
        <f>'refer admin discharge'!H766</f>
        <v>00/00/0000</v>
      </c>
      <c r="W765" s="351"/>
      <c r="X765" s="607"/>
      <c r="Y765" s="351"/>
      <c r="Z765" s="614"/>
      <c r="AA765" s="351"/>
      <c r="AB765" s="607"/>
      <c r="AC765" s="351"/>
      <c r="AD765" s="606"/>
      <c r="AE765" s="351"/>
      <c r="AF765" s="607"/>
      <c r="AG765" s="351"/>
      <c r="AH765" s="606"/>
      <c r="AI765" s="351"/>
      <c r="AJ765" s="607"/>
      <c r="AK765" s="351"/>
      <c r="AL765" s="608"/>
      <c r="AM765" s="350"/>
      <c r="AN765" s="350"/>
      <c r="AO765" s="350"/>
      <c r="AP765" s="350"/>
      <c r="AQ765" s="350"/>
      <c r="AR765" s="350"/>
      <c r="AS765" s="350"/>
      <c r="AT765" s="350"/>
      <c r="AU765" s="350"/>
      <c r="AV765" s="350"/>
      <c r="AW765" s="350"/>
      <c r="AX765" s="350"/>
      <c r="AY765" s="350"/>
      <c r="AZ765" s="350"/>
      <c r="BA765" s="350"/>
      <c r="BB765" s="351"/>
    </row>
    <row r="766" spans="1:54" ht="15.75" customHeight="1">
      <c r="A766" s="25">
        <f t="shared" si="2"/>
        <v>753</v>
      </c>
      <c r="B766" s="618" t="str">
        <f>'refer admin discharge'!B762</f>
        <v>x</v>
      </c>
      <c r="C766" s="351"/>
      <c r="D766" s="619" t="str">
        <f>'refer admin discharge'!D762</f>
        <v>xx</v>
      </c>
      <c r="E766" s="351"/>
      <c r="F766" s="620" t="str">
        <f>'refer admin discharge'!H762</f>
        <v>00/00/0000</v>
      </c>
      <c r="G766" s="351"/>
      <c r="H766" s="615"/>
      <c r="I766" s="351"/>
      <c r="J766" s="621"/>
      <c r="K766" s="351"/>
      <c r="L766" s="615"/>
      <c r="M766" s="351"/>
      <c r="N766" s="610"/>
      <c r="O766" s="351"/>
      <c r="P766" s="615"/>
      <c r="Q766" s="351"/>
      <c r="R766" s="610"/>
      <c r="S766" s="351"/>
      <c r="T766" s="615"/>
      <c r="U766" s="351"/>
      <c r="V766" s="613" t="str">
        <f>'refer admin discharge'!H767</f>
        <v>00/00/0000</v>
      </c>
      <c r="W766" s="351"/>
      <c r="X766" s="616"/>
      <c r="Y766" s="351"/>
      <c r="Z766" s="617"/>
      <c r="AA766" s="351"/>
      <c r="AB766" s="616"/>
      <c r="AC766" s="351"/>
      <c r="AD766" s="607"/>
      <c r="AE766" s="351"/>
      <c r="AF766" s="616"/>
      <c r="AG766" s="351"/>
      <c r="AH766" s="607"/>
      <c r="AI766" s="351"/>
      <c r="AJ766" s="616"/>
      <c r="AK766" s="351"/>
      <c r="AL766" s="622"/>
      <c r="AM766" s="350"/>
      <c r="AN766" s="350"/>
      <c r="AO766" s="350"/>
      <c r="AP766" s="350"/>
      <c r="AQ766" s="350"/>
      <c r="AR766" s="350"/>
      <c r="AS766" s="350"/>
      <c r="AT766" s="350"/>
      <c r="AU766" s="350"/>
      <c r="AV766" s="350"/>
      <c r="AW766" s="350"/>
      <c r="AX766" s="350"/>
      <c r="AY766" s="350"/>
      <c r="AZ766" s="350"/>
      <c r="BA766" s="350"/>
      <c r="BB766" s="351"/>
    </row>
    <row r="767" spans="1:54" ht="15.75" customHeight="1">
      <c r="A767" s="25">
        <f t="shared" si="2"/>
        <v>754</v>
      </c>
      <c r="B767" s="599" t="str">
        <f>'refer admin discharge'!B763</f>
        <v>x</v>
      </c>
      <c r="C767" s="351"/>
      <c r="D767" s="600" t="str">
        <f>'refer admin discharge'!D763</f>
        <v>xx</v>
      </c>
      <c r="E767" s="351"/>
      <c r="F767" s="609" t="str">
        <f>'refer admin discharge'!H763</f>
        <v>00/00/0000</v>
      </c>
      <c r="G767" s="351"/>
      <c r="H767" s="610"/>
      <c r="I767" s="351"/>
      <c r="J767" s="611"/>
      <c r="K767" s="351"/>
      <c r="L767" s="610"/>
      <c r="M767" s="351"/>
      <c r="N767" s="612"/>
      <c r="O767" s="351"/>
      <c r="P767" s="610"/>
      <c r="Q767" s="351"/>
      <c r="R767" s="612"/>
      <c r="S767" s="351"/>
      <c r="T767" s="610"/>
      <c r="U767" s="351"/>
      <c r="V767" s="613" t="str">
        <f>'refer admin discharge'!H768</f>
        <v>00/00/0000</v>
      </c>
      <c r="W767" s="351"/>
      <c r="X767" s="607"/>
      <c r="Y767" s="351"/>
      <c r="Z767" s="614"/>
      <c r="AA767" s="351"/>
      <c r="AB767" s="607"/>
      <c r="AC767" s="351"/>
      <c r="AD767" s="606"/>
      <c r="AE767" s="351"/>
      <c r="AF767" s="607"/>
      <c r="AG767" s="351"/>
      <c r="AH767" s="606"/>
      <c r="AI767" s="351"/>
      <c r="AJ767" s="607"/>
      <c r="AK767" s="351"/>
      <c r="AL767" s="608"/>
      <c r="AM767" s="350"/>
      <c r="AN767" s="350"/>
      <c r="AO767" s="350"/>
      <c r="AP767" s="350"/>
      <c r="AQ767" s="350"/>
      <c r="AR767" s="350"/>
      <c r="AS767" s="350"/>
      <c r="AT767" s="350"/>
      <c r="AU767" s="350"/>
      <c r="AV767" s="350"/>
      <c r="AW767" s="350"/>
      <c r="AX767" s="350"/>
      <c r="AY767" s="350"/>
      <c r="AZ767" s="350"/>
      <c r="BA767" s="350"/>
      <c r="BB767" s="351"/>
    </row>
    <row r="768" spans="1:54" ht="15.75" customHeight="1">
      <c r="A768" s="25">
        <f t="shared" si="2"/>
        <v>755</v>
      </c>
      <c r="B768" s="618" t="str">
        <f>'refer admin discharge'!B764</f>
        <v>x</v>
      </c>
      <c r="C768" s="351"/>
      <c r="D768" s="619" t="str">
        <f>'refer admin discharge'!D764</f>
        <v>xx</v>
      </c>
      <c r="E768" s="351"/>
      <c r="F768" s="620" t="str">
        <f>'refer admin discharge'!H764</f>
        <v>00/00/0000</v>
      </c>
      <c r="G768" s="351"/>
      <c r="H768" s="615"/>
      <c r="I768" s="351"/>
      <c r="J768" s="621"/>
      <c r="K768" s="351"/>
      <c r="L768" s="615"/>
      <c r="M768" s="351"/>
      <c r="N768" s="610"/>
      <c r="O768" s="351"/>
      <c r="P768" s="615"/>
      <c r="Q768" s="351"/>
      <c r="R768" s="610"/>
      <c r="S768" s="351"/>
      <c r="T768" s="615"/>
      <c r="U768" s="351"/>
      <c r="V768" s="613" t="str">
        <f>'refer admin discharge'!H769</f>
        <v>00/00/0000</v>
      </c>
      <c r="W768" s="351"/>
      <c r="X768" s="616"/>
      <c r="Y768" s="351"/>
      <c r="Z768" s="617"/>
      <c r="AA768" s="351"/>
      <c r="AB768" s="616"/>
      <c r="AC768" s="351"/>
      <c r="AD768" s="607"/>
      <c r="AE768" s="351"/>
      <c r="AF768" s="616"/>
      <c r="AG768" s="351"/>
      <c r="AH768" s="607"/>
      <c r="AI768" s="351"/>
      <c r="AJ768" s="616"/>
      <c r="AK768" s="351"/>
      <c r="AL768" s="622"/>
      <c r="AM768" s="350"/>
      <c r="AN768" s="350"/>
      <c r="AO768" s="350"/>
      <c r="AP768" s="350"/>
      <c r="AQ768" s="350"/>
      <c r="AR768" s="350"/>
      <c r="AS768" s="350"/>
      <c r="AT768" s="350"/>
      <c r="AU768" s="350"/>
      <c r="AV768" s="350"/>
      <c r="AW768" s="350"/>
      <c r="AX768" s="350"/>
      <c r="AY768" s="350"/>
      <c r="AZ768" s="350"/>
      <c r="BA768" s="350"/>
      <c r="BB768" s="351"/>
    </row>
    <row r="769" spans="1:54" ht="15.75" customHeight="1">
      <c r="A769" s="25">
        <f t="shared" si="2"/>
        <v>756</v>
      </c>
      <c r="B769" s="599" t="str">
        <f>'refer admin discharge'!B765</f>
        <v>x</v>
      </c>
      <c r="C769" s="351"/>
      <c r="D769" s="600" t="str">
        <f>'refer admin discharge'!D765</f>
        <v>xx</v>
      </c>
      <c r="E769" s="351"/>
      <c r="F769" s="609" t="str">
        <f>'refer admin discharge'!H765</f>
        <v>00/00/0000</v>
      </c>
      <c r="G769" s="351"/>
      <c r="H769" s="610"/>
      <c r="I769" s="351"/>
      <c r="J769" s="611"/>
      <c r="K769" s="351"/>
      <c r="L769" s="610"/>
      <c r="M769" s="351"/>
      <c r="N769" s="612"/>
      <c r="O769" s="351"/>
      <c r="P769" s="610"/>
      <c r="Q769" s="351"/>
      <c r="R769" s="612"/>
      <c r="S769" s="351"/>
      <c r="T769" s="610"/>
      <c r="U769" s="351"/>
      <c r="V769" s="613" t="str">
        <f>'refer admin discharge'!H770</f>
        <v>00/00/0000</v>
      </c>
      <c r="W769" s="351"/>
      <c r="X769" s="607"/>
      <c r="Y769" s="351"/>
      <c r="Z769" s="614"/>
      <c r="AA769" s="351"/>
      <c r="AB769" s="607"/>
      <c r="AC769" s="351"/>
      <c r="AD769" s="606"/>
      <c r="AE769" s="351"/>
      <c r="AF769" s="607"/>
      <c r="AG769" s="351"/>
      <c r="AH769" s="606"/>
      <c r="AI769" s="351"/>
      <c r="AJ769" s="607"/>
      <c r="AK769" s="351"/>
      <c r="AL769" s="608"/>
      <c r="AM769" s="350"/>
      <c r="AN769" s="350"/>
      <c r="AO769" s="350"/>
      <c r="AP769" s="350"/>
      <c r="AQ769" s="350"/>
      <c r="AR769" s="350"/>
      <c r="AS769" s="350"/>
      <c r="AT769" s="350"/>
      <c r="AU769" s="350"/>
      <c r="AV769" s="350"/>
      <c r="AW769" s="350"/>
      <c r="AX769" s="350"/>
      <c r="AY769" s="350"/>
      <c r="AZ769" s="350"/>
      <c r="BA769" s="350"/>
      <c r="BB769" s="351"/>
    </row>
    <row r="770" spans="1:54" ht="15.75" customHeight="1">
      <c r="A770" s="25">
        <f t="shared" si="2"/>
        <v>757</v>
      </c>
      <c r="B770" s="618" t="str">
        <f>'refer admin discharge'!B766</f>
        <v>x</v>
      </c>
      <c r="C770" s="351"/>
      <c r="D770" s="619" t="str">
        <f>'refer admin discharge'!D766</f>
        <v>xx</v>
      </c>
      <c r="E770" s="351"/>
      <c r="F770" s="620" t="str">
        <f>'refer admin discharge'!H766</f>
        <v>00/00/0000</v>
      </c>
      <c r="G770" s="351"/>
      <c r="H770" s="615"/>
      <c r="I770" s="351"/>
      <c r="J770" s="621"/>
      <c r="K770" s="351"/>
      <c r="L770" s="615"/>
      <c r="M770" s="351"/>
      <c r="N770" s="610"/>
      <c r="O770" s="351"/>
      <c r="P770" s="615"/>
      <c r="Q770" s="351"/>
      <c r="R770" s="610"/>
      <c r="S770" s="351"/>
      <c r="T770" s="615"/>
      <c r="U770" s="351"/>
      <c r="V770" s="613" t="str">
        <f>'refer admin discharge'!H771</f>
        <v>00/00/0000</v>
      </c>
      <c r="W770" s="351"/>
      <c r="X770" s="616"/>
      <c r="Y770" s="351"/>
      <c r="Z770" s="617"/>
      <c r="AA770" s="351"/>
      <c r="AB770" s="616"/>
      <c r="AC770" s="351"/>
      <c r="AD770" s="607"/>
      <c r="AE770" s="351"/>
      <c r="AF770" s="616"/>
      <c r="AG770" s="351"/>
      <c r="AH770" s="607"/>
      <c r="AI770" s="351"/>
      <c r="AJ770" s="616"/>
      <c r="AK770" s="351"/>
      <c r="AL770" s="622"/>
      <c r="AM770" s="350"/>
      <c r="AN770" s="350"/>
      <c r="AO770" s="350"/>
      <c r="AP770" s="350"/>
      <c r="AQ770" s="350"/>
      <c r="AR770" s="350"/>
      <c r="AS770" s="350"/>
      <c r="AT770" s="350"/>
      <c r="AU770" s="350"/>
      <c r="AV770" s="350"/>
      <c r="AW770" s="350"/>
      <c r="AX770" s="350"/>
      <c r="AY770" s="350"/>
      <c r="AZ770" s="350"/>
      <c r="BA770" s="350"/>
      <c r="BB770" s="351"/>
    </row>
    <row r="771" spans="1:54" ht="15.75" customHeight="1">
      <c r="A771" s="25">
        <f t="shared" si="2"/>
        <v>758</v>
      </c>
      <c r="B771" s="599" t="str">
        <f>'refer admin discharge'!B767</f>
        <v>x</v>
      </c>
      <c r="C771" s="351"/>
      <c r="D771" s="600" t="str">
        <f>'refer admin discharge'!D767</f>
        <v>xx</v>
      </c>
      <c r="E771" s="351"/>
      <c r="F771" s="609" t="str">
        <f>'refer admin discharge'!H767</f>
        <v>00/00/0000</v>
      </c>
      <c r="G771" s="351"/>
      <c r="H771" s="610"/>
      <c r="I771" s="351"/>
      <c r="J771" s="611"/>
      <c r="K771" s="351"/>
      <c r="L771" s="610"/>
      <c r="M771" s="351"/>
      <c r="N771" s="612"/>
      <c r="O771" s="351"/>
      <c r="P771" s="610"/>
      <c r="Q771" s="351"/>
      <c r="R771" s="612"/>
      <c r="S771" s="351"/>
      <c r="T771" s="610"/>
      <c r="U771" s="351"/>
      <c r="V771" s="613" t="str">
        <f>'refer admin discharge'!H772</f>
        <v>00/00/0000</v>
      </c>
      <c r="W771" s="351"/>
      <c r="X771" s="607"/>
      <c r="Y771" s="351"/>
      <c r="Z771" s="614"/>
      <c r="AA771" s="351"/>
      <c r="AB771" s="607"/>
      <c r="AC771" s="351"/>
      <c r="AD771" s="606"/>
      <c r="AE771" s="351"/>
      <c r="AF771" s="607"/>
      <c r="AG771" s="351"/>
      <c r="AH771" s="606"/>
      <c r="AI771" s="351"/>
      <c r="AJ771" s="607"/>
      <c r="AK771" s="351"/>
      <c r="AL771" s="608"/>
      <c r="AM771" s="350"/>
      <c r="AN771" s="350"/>
      <c r="AO771" s="350"/>
      <c r="AP771" s="350"/>
      <c r="AQ771" s="350"/>
      <c r="AR771" s="350"/>
      <c r="AS771" s="350"/>
      <c r="AT771" s="350"/>
      <c r="AU771" s="350"/>
      <c r="AV771" s="350"/>
      <c r="AW771" s="350"/>
      <c r="AX771" s="350"/>
      <c r="AY771" s="350"/>
      <c r="AZ771" s="350"/>
      <c r="BA771" s="350"/>
      <c r="BB771" s="351"/>
    </row>
    <row r="772" spans="1:54" ht="15.75" customHeight="1">
      <c r="A772" s="25">
        <f t="shared" si="2"/>
        <v>759</v>
      </c>
      <c r="B772" s="618" t="str">
        <f>'refer admin discharge'!B768</f>
        <v>x</v>
      </c>
      <c r="C772" s="351"/>
      <c r="D772" s="619" t="str">
        <f>'refer admin discharge'!D768</f>
        <v>xx</v>
      </c>
      <c r="E772" s="351"/>
      <c r="F772" s="620" t="str">
        <f>'refer admin discharge'!H768</f>
        <v>00/00/0000</v>
      </c>
      <c r="G772" s="351"/>
      <c r="H772" s="615"/>
      <c r="I772" s="351"/>
      <c r="J772" s="621"/>
      <c r="K772" s="351"/>
      <c r="L772" s="615"/>
      <c r="M772" s="351"/>
      <c r="N772" s="610"/>
      <c r="O772" s="351"/>
      <c r="P772" s="615"/>
      <c r="Q772" s="351"/>
      <c r="R772" s="610"/>
      <c r="S772" s="351"/>
      <c r="T772" s="615"/>
      <c r="U772" s="351"/>
      <c r="V772" s="613" t="str">
        <f>'refer admin discharge'!H773</f>
        <v>00/00/0000</v>
      </c>
      <c r="W772" s="351"/>
      <c r="X772" s="616"/>
      <c r="Y772" s="351"/>
      <c r="Z772" s="617"/>
      <c r="AA772" s="351"/>
      <c r="AB772" s="616"/>
      <c r="AC772" s="351"/>
      <c r="AD772" s="607"/>
      <c r="AE772" s="351"/>
      <c r="AF772" s="616"/>
      <c r="AG772" s="351"/>
      <c r="AH772" s="607"/>
      <c r="AI772" s="351"/>
      <c r="AJ772" s="616"/>
      <c r="AK772" s="351"/>
      <c r="AL772" s="622"/>
      <c r="AM772" s="350"/>
      <c r="AN772" s="350"/>
      <c r="AO772" s="350"/>
      <c r="AP772" s="350"/>
      <c r="AQ772" s="350"/>
      <c r="AR772" s="350"/>
      <c r="AS772" s="350"/>
      <c r="AT772" s="350"/>
      <c r="AU772" s="350"/>
      <c r="AV772" s="350"/>
      <c r="AW772" s="350"/>
      <c r="AX772" s="350"/>
      <c r="AY772" s="350"/>
      <c r="AZ772" s="350"/>
      <c r="BA772" s="350"/>
      <c r="BB772" s="351"/>
    </row>
    <row r="773" spans="1:54" ht="15.75" customHeight="1">
      <c r="A773" s="25">
        <f t="shared" si="2"/>
        <v>760</v>
      </c>
      <c r="B773" s="599" t="str">
        <f>'refer admin discharge'!B769</f>
        <v>x</v>
      </c>
      <c r="C773" s="351"/>
      <c r="D773" s="600" t="str">
        <f>'refer admin discharge'!D769</f>
        <v>xx</v>
      </c>
      <c r="E773" s="351"/>
      <c r="F773" s="609" t="str">
        <f>'refer admin discharge'!H769</f>
        <v>00/00/0000</v>
      </c>
      <c r="G773" s="351"/>
      <c r="H773" s="610"/>
      <c r="I773" s="351"/>
      <c r="J773" s="611"/>
      <c r="K773" s="351"/>
      <c r="L773" s="610"/>
      <c r="M773" s="351"/>
      <c r="N773" s="612"/>
      <c r="O773" s="351"/>
      <c r="P773" s="610"/>
      <c r="Q773" s="351"/>
      <c r="R773" s="612"/>
      <c r="S773" s="351"/>
      <c r="T773" s="610"/>
      <c r="U773" s="351"/>
      <c r="V773" s="613" t="str">
        <f>'refer admin discharge'!H774</f>
        <v>00/00/0000</v>
      </c>
      <c r="W773" s="351"/>
      <c r="X773" s="607"/>
      <c r="Y773" s="351"/>
      <c r="Z773" s="614"/>
      <c r="AA773" s="351"/>
      <c r="AB773" s="607"/>
      <c r="AC773" s="351"/>
      <c r="AD773" s="606"/>
      <c r="AE773" s="351"/>
      <c r="AF773" s="607"/>
      <c r="AG773" s="351"/>
      <c r="AH773" s="606"/>
      <c r="AI773" s="351"/>
      <c r="AJ773" s="607"/>
      <c r="AK773" s="351"/>
      <c r="AL773" s="608"/>
      <c r="AM773" s="350"/>
      <c r="AN773" s="350"/>
      <c r="AO773" s="350"/>
      <c r="AP773" s="350"/>
      <c r="AQ773" s="350"/>
      <c r="AR773" s="350"/>
      <c r="AS773" s="350"/>
      <c r="AT773" s="350"/>
      <c r="AU773" s="350"/>
      <c r="AV773" s="350"/>
      <c r="AW773" s="350"/>
      <c r="AX773" s="350"/>
      <c r="AY773" s="350"/>
      <c r="AZ773" s="350"/>
      <c r="BA773" s="350"/>
      <c r="BB773" s="351"/>
    </row>
    <row r="774" spans="1:54" ht="15.75" customHeight="1">
      <c r="A774" s="25">
        <f t="shared" si="2"/>
        <v>761</v>
      </c>
      <c r="B774" s="618" t="str">
        <f>'refer admin discharge'!B770</f>
        <v>x</v>
      </c>
      <c r="C774" s="351"/>
      <c r="D774" s="619" t="str">
        <f>'refer admin discharge'!D770</f>
        <v>xx</v>
      </c>
      <c r="E774" s="351"/>
      <c r="F774" s="620" t="str">
        <f>'refer admin discharge'!H770</f>
        <v>00/00/0000</v>
      </c>
      <c r="G774" s="351"/>
      <c r="H774" s="615"/>
      <c r="I774" s="351"/>
      <c r="J774" s="621"/>
      <c r="K774" s="351"/>
      <c r="L774" s="615"/>
      <c r="M774" s="351"/>
      <c r="N774" s="610"/>
      <c r="O774" s="351"/>
      <c r="P774" s="615"/>
      <c r="Q774" s="351"/>
      <c r="R774" s="610"/>
      <c r="S774" s="351"/>
      <c r="T774" s="615"/>
      <c r="U774" s="351"/>
      <c r="V774" s="613" t="str">
        <f>'refer admin discharge'!H775</f>
        <v>00/00/0000</v>
      </c>
      <c r="W774" s="351"/>
      <c r="X774" s="616"/>
      <c r="Y774" s="351"/>
      <c r="Z774" s="617"/>
      <c r="AA774" s="351"/>
      <c r="AB774" s="616"/>
      <c r="AC774" s="351"/>
      <c r="AD774" s="607"/>
      <c r="AE774" s="351"/>
      <c r="AF774" s="616"/>
      <c r="AG774" s="351"/>
      <c r="AH774" s="607"/>
      <c r="AI774" s="351"/>
      <c r="AJ774" s="616"/>
      <c r="AK774" s="351"/>
      <c r="AL774" s="622"/>
      <c r="AM774" s="350"/>
      <c r="AN774" s="350"/>
      <c r="AO774" s="350"/>
      <c r="AP774" s="350"/>
      <c r="AQ774" s="350"/>
      <c r="AR774" s="350"/>
      <c r="AS774" s="350"/>
      <c r="AT774" s="350"/>
      <c r="AU774" s="350"/>
      <c r="AV774" s="350"/>
      <c r="AW774" s="350"/>
      <c r="AX774" s="350"/>
      <c r="AY774" s="350"/>
      <c r="AZ774" s="350"/>
      <c r="BA774" s="350"/>
      <c r="BB774" s="351"/>
    </row>
    <row r="775" spans="1:54" ht="15.75" customHeight="1">
      <c r="A775" s="25">
        <f t="shared" si="2"/>
        <v>762</v>
      </c>
      <c r="B775" s="599" t="str">
        <f>'refer admin discharge'!B771</f>
        <v>x</v>
      </c>
      <c r="C775" s="351"/>
      <c r="D775" s="600" t="str">
        <f>'refer admin discharge'!D771</f>
        <v>xx</v>
      </c>
      <c r="E775" s="351"/>
      <c r="F775" s="609" t="str">
        <f>'refer admin discharge'!H771</f>
        <v>00/00/0000</v>
      </c>
      <c r="G775" s="351"/>
      <c r="H775" s="610"/>
      <c r="I775" s="351"/>
      <c r="J775" s="611"/>
      <c r="K775" s="351"/>
      <c r="L775" s="610"/>
      <c r="M775" s="351"/>
      <c r="N775" s="612"/>
      <c r="O775" s="351"/>
      <c r="P775" s="610"/>
      <c r="Q775" s="351"/>
      <c r="R775" s="612"/>
      <c r="S775" s="351"/>
      <c r="T775" s="610"/>
      <c r="U775" s="351"/>
      <c r="V775" s="613" t="str">
        <f>'refer admin discharge'!H776</f>
        <v>00/00/0000</v>
      </c>
      <c r="W775" s="351"/>
      <c r="X775" s="607"/>
      <c r="Y775" s="351"/>
      <c r="Z775" s="614"/>
      <c r="AA775" s="351"/>
      <c r="AB775" s="607"/>
      <c r="AC775" s="351"/>
      <c r="AD775" s="606"/>
      <c r="AE775" s="351"/>
      <c r="AF775" s="607"/>
      <c r="AG775" s="351"/>
      <c r="AH775" s="606"/>
      <c r="AI775" s="351"/>
      <c r="AJ775" s="607"/>
      <c r="AK775" s="351"/>
      <c r="AL775" s="608"/>
      <c r="AM775" s="350"/>
      <c r="AN775" s="350"/>
      <c r="AO775" s="350"/>
      <c r="AP775" s="350"/>
      <c r="AQ775" s="350"/>
      <c r="AR775" s="350"/>
      <c r="AS775" s="350"/>
      <c r="AT775" s="350"/>
      <c r="AU775" s="350"/>
      <c r="AV775" s="350"/>
      <c r="AW775" s="350"/>
      <c r="AX775" s="350"/>
      <c r="AY775" s="350"/>
      <c r="AZ775" s="350"/>
      <c r="BA775" s="350"/>
      <c r="BB775" s="351"/>
    </row>
    <row r="776" spans="1:54" ht="15.75" customHeight="1">
      <c r="A776" s="25">
        <f t="shared" si="2"/>
        <v>763</v>
      </c>
      <c r="B776" s="618" t="str">
        <f>'refer admin discharge'!B772</f>
        <v>x</v>
      </c>
      <c r="C776" s="351"/>
      <c r="D776" s="619" t="str">
        <f>'refer admin discharge'!D772</f>
        <v>xx</v>
      </c>
      <c r="E776" s="351"/>
      <c r="F776" s="620" t="str">
        <f>'refer admin discharge'!H772</f>
        <v>00/00/0000</v>
      </c>
      <c r="G776" s="351"/>
      <c r="H776" s="615"/>
      <c r="I776" s="351"/>
      <c r="J776" s="621"/>
      <c r="K776" s="351"/>
      <c r="L776" s="615"/>
      <c r="M776" s="351"/>
      <c r="N776" s="610"/>
      <c r="O776" s="351"/>
      <c r="P776" s="615"/>
      <c r="Q776" s="351"/>
      <c r="R776" s="610"/>
      <c r="S776" s="351"/>
      <c r="T776" s="615"/>
      <c r="U776" s="351"/>
      <c r="V776" s="613" t="str">
        <f>'refer admin discharge'!H777</f>
        <v>00/00/0000</v>
      </c>
      <c r="W776" s="351"/>
      <c r="X776" s="616"/>
      <c r="Y776" s="351"/>
      <c r="Z776" s="617"/>
      <c r="AA776" s="351"/>
      <c r="AB776" s="616"/>
      <c r="AC776" s="351"/>
      <c r="AD776" s="607"/>
      <c r="AE776" s="351"/>
      <c r="AF776" s="616"/>
      <c r="AG776" s="351"/>
      <c r="AH776" s="607"/>
      <c r="AI776" s="351"/>
      <c r="AJ776" s="616"/>
      <c r="AK776" s="351"/>
      <c r="AL776" s="622"/>
      <c r="AM776" s="350"/>
      <c r="AN776" s="350"/>
      <c r="AO776" s="350"/>
      <c r="AP776" s="350"/>
      <c r="AQ776" s="350"/>
      <c r="AR776" s="350"/>
      <c r="AS776" s="350"/>
      <c r="AT776" s="350"/>
      <c r="AU776" s="350"/>
      <c r="AV776" s="350"/>
      <c r="AW776" s="350"/>
      <c r="AX776" s="350"/>
      <c r="AY776" s="350"/>
      <c r="AZ776" s="350"/>
      <c r="BA776" s="350"/>
      <c r="BB776" s="351"/>
    </row>
    <row r="777" spans="1:54" ht="15.75" customHeight="1">
      <c r="A777" s="25">
        <f t="shared" si="2"/>
        <v>764</v>
      </c>
      <c r="B777" s="599" t="str">
        <f>'refer admin discharge'!B773</f>
        <v>x</v>
      </c>
      <c r="C777" s="351"/>
      <c r="D777" s="600" t="str">
        <f>'refer admin discharge'!D773</f>
        <v>xx</v>
      </c>
      <c r="E777" s="351"/>
      <c r="F777" s="609" t="str">
        <f>'refer admin discharge'!H773</f>
        <v>00/00/0000</v>
      </c>
      <c r="G777" s="351"/>
      <c r="H777" s="610"/>
      <c r="I777" s="351"/>
      <c r="J777" s="611"/>
      <c r="K777" s="351"/>
      <c r="L777" s="610"/>
      <c r="M777" s="351"/>
      <c r="N777" s="612"/>
      <c r="O777" s="351"/>
      <c r="P777" s="610"/>
      <c r="Q777" s="351"/>
      <c r="R777" s="612"/>
      <c r="S777" s="351"/>
      <c r="T777" s="610"/>
      <c r="U777" s="351"/>
      <c r="V777" s="613" t="str">
        <f>'refer admin discharge'!H778</f>
        <v>00/00/0000</v>
      </c>
      <c r="W777" s="351"/>
      <c r="X777" s="607"/>
      <c r="Y777" s="351"/>
      <c r="Z777" s="614"/>
      <c r="AA777" s="351"/>
      <c r="AB777" s="607"/>
      <c r="AC777" s="351"/>
      <c r="AD777" s="606"/>
      <c r="AE777" s="351"/>
      <c r="AF777" s="607"/>
      <c r="AG777" s="351"/>
      <c r="AH777" s="606"/>
      <c r="AI777" s="351"/>
      <c r="AJ777" s="607"/>
      <c r="AK777" s="351"/>
      <c r="AL777" s="608"/>
      <c r="AM777" s="350"/>
      <c r="AN777" s="350"/>
      <c r="AO777" s="350"/>
      <c r="AP777" s="350"/>
      <c r="AQ777" s="350"/>
      <c r="AR777" s="350"/>
      <c r="AS777" s="350"/>
      <c r="AT777" s="350"/>
      <c r="AU777" s="350"/>
      <c r="AV777" s="350"/>
      <c r="AW777" s="350"/>
      <c r="AX777" s="350"/>
      <c r="AY777" s="350"/>
      <c r="AZ777" s="350"/>
      <c r="BA777" s="350"/>
      <c r="BB777" s="351"/>
    </row>
    <row r="778" spans="1:54" ht="15.75" customHeight="1">
      <c r="A778" s="25">
        <f t="shared" si="2"/>
        <v>765</v>
      </c>
      <c r="B778" s="618" t="str">
        <f>'refer admin discharge'!B774</f>
        <v>x</v>
      </c>
      <c r="C778" s="351"/>
      <c r="D778" s="619" t="str">
        <f>'refer admin discharge'!D774</f>
        <v>xx</v>
      </c>
      <c r="E778" s="351"/>
      <c r="F778" s="620" t="str">
        <f>'refer admin discharge'!H774</f>
        <v>00/00/0000</v>
      </c>
      <c r="G778" s="351"/>
      <c r="H778" s="615"/>
      <c r="I778" s="351"/>
      <c r="J778" s="621"/>
      <c r="K778" s="351"/>
      <c r="L778" s="615"/>
      <c r="M778" s="351"/>
      <c r="N778" s="610"/>
      <c r="O778" s="351"/>
      <c r="P778" s="615"/>
      <c r="Q778" s="351"/>
      <c r="R778" s="610"/>
      <c r="S778" s="351"/>
      <c r="T778" s="615"/>
      <c r="U778" s="351"/>
      <c r="V778" s="613" t="str">
        <f>'refer admin discharge'!H779</f>
        <v>00/00/0000</v>
      </c>
      <c r="W778" s="351"/>
      <c r="X778" s="616"/>
      <c r="Y778" s="351"/>
      <c r="Z778" s="617"/>
      <c r="AA778" s="351"/>
      <c r="AB778" s="616"/>
      <c r="AC778" s="351"/>
      <c r="AD778" s="607"/>
      <c r="AE778" s="351"/>
      <c r="AF778" s="616"/>
      <c r="AG778" s="351"/>
      <c r="AH778" s="607"/>
      <c r="AI778" s="351"/>
      <c r="AJ778" s="616"/>
      <c r="AK778" s="351"/>
      <c r="AL778" s="622"/>
      <c r="AM778" s="350"/>
      <c r="AN778" s="350"/>
      <c r="AO778" s="350"/>
      <c r="AP778" s="350"/>
      <c r="AQ778" s="350"/>
      <c r="AR778" s="350"/>
      <c r="AS778" s="350"/>
      <c r="AT778" s="350"/>
      <c r="AU778" s="350"/>
      <c r="AV778" s="350"/>
      <c r="AW778" s="350"/>
      <c r="AX778" s="350"/>
      <c r="AY778" s="350"/>
      <c r="AZ778" s="350"/>
      <c r="BA778" s="350"/>
      <c r="BB778" s="351"/>
    </row>
    <row r="779" spans="1:54" ht="15.75" customHeight="1">
      <c r="A779" s="25">
        <f t="shared" ref="A779:A1033" si="3">ROW(A766)</f>
        <v>766</v>
      </c>
      <c r="B779" s="599" t="str">
        <f>'refer admin discharge'!B775</f>
        <v>x</v>
      </c>
      <c r="C779" s="351"/>
      <c r="D779" s="600" t="str">
        <f>'refer admin discharge'!D775</f>
        <v>xx</v>
      </c>
      <c r="E779" s="351"/>
      <c r="F779" s="609" t="str">
        <f>'refer admin discharge'!H775</f>
        <v>00/00/0000</v>
      </c>
      <c r="G779" s="351"/>
      <c r="H779" s="610"/>
      <c r="I779" s="351"/>
      <c r="J779" s="611"/>
      <c r="K779" s="351"/>
      <c r="L779" s="610"/>
      <c r="M779" s="351"/>
      <c r="N779" s="612"/>
      <c r="O779" s="351"/>
      <c r="P779" s="610"/>
      <c r="Q779" s="351"/>
      <c r="R779" s="612"/>
      <c r="S779" s="351"/>
      <c r="T779" s="610"/>
      <c r="U779" s="351"/>
      <c r="V779" s="613" t="str">
        <f>'refer admin discharge'!H780</f>
        <v>00/00/0000</v>
      </c>
      <c r="W779" s="351"/>
      <c r="X779" s="607"/>
      <c r="Y779" s="351"/>
      <c r="Z779" s="614"/>
      <c r="AA779" s="351"/>
      <c r="AB779" s="607"/>
      <c r="AC779" s="351"/>
      <c r="AD779" s="606"/>
      <c r="AE779" s="351"/>
      <c r="AF779" s="607"/>
      <c r="AG779" s="351"/>
      <c r="AH779" s="606"/>
      <c r="AI779" s="351"/>
      <c r="AJ779" s="607"/>
      <c r="AK779" s="351"/>
      <c r="AL779" s="608"/>
      <c r="AM779" s="350"/>
      <c r="AN779" s="350"/>
      <c r="AO779" s="350"/>
      <c r="AP779" s="350"/>
      <c r="AQ779" s="350"/>
      <c r="AR779" s="350"/>
      <c r="AS779" s="350"/>
      <c r="AT779" s="350"/>
      <c r="AU779" s="350"/>
      <c r="AV779" s="350"/>
      <c r="AW779" s="350"/>
      <c r="AX779" s="350"/>
      <c r="AY779" s="350"/>
      <c r="AZ779" s="350"/>
      <c r="BA779" s="350"/>
      <c r="BB779" s="351"/>
    </row>
    <row r="780" spans="1:54" ht="15.75" customHeight="1">
      <c r="A780" s="25">
        <f t="shared" si="3"/>
        <v>767</v>
      </c>
      <c r="B780" s="618" t="str">
        <f>'refer admin discharge'!B776</f>
        <v>x</v>
      </c>
      <c r="C780" s="351"/>
      <c r="D780" s="619" t="str">
        <f>'refer admin discharge'!D776</f>
        <v>xx</v>
      </c>
      <c r="E780" s="351"/>
      <c r="F780" s="620" t="str">
        <f>'refer admin discharge'!H776</f>
        <v>00/00/0000</v>
      </c>
      <c r="G780" s="351"/>
      <c r="H780" s="615"/>
      <c r="I780" s="351"/>
      <c r="J780" s="621"/>
      <c r="K780" s="351"/>
      <c r="L780" s="615"/>
      <c r="M780" s="351"/>
      <c r="N780" s="610"/>
      <c r="O780" s="351"/>
      <c r="P780" s="615"/>
      <c r="Q780" s="351"/>
      <c r="R780" s="610"/>
      <c r="S780" s="351"/>
      <c r="T780" s="615"/>
      <c r="U780" s="351"/>
      <c r="V780" s="613" t="str">
        <f>'refer admin discharge'!H781</f>
        <v>00/00/0000</v>
      </c>
      <c r="W780" s="351"/>
      <c r="X780" s="616"/>
      <c r="Y780" s="351"/>
      <c r="Z780" s="617"/>
      <c r="AA780" s="351"/>
      <c r="AB780" s="616"/>
      <c r="AC780" s="351"/>
      <c r="AD780" s="607"/>
      <c r="AE780" s="351"/>
      <c r="AF780" s="616"/>
      <c r="AG780" s="351"/>
      <c r="AH780" s="607"/>
      <c r="AI780" s="351"/>
      <c r="AJ780" s="616"/>
      <c r="AK780" s="351"/>
      <c r="AL780" s="622"/>
      <c r="AM780" s="350"/>
      <c r="AN780" s="350"/>
      <c r="AO780" s="350"/>
      <c r="AP780" s="350"/>
      <c r="AQ780" s="350"/>
      <c r="AR780" s="350"/>
      <c r="AS780" s="350"/>
      <c r="AT780" s="350"/>
      <c r="AU780" s="350"/>
      <c r="AV780" s="350"/>
      <c r="AW780" s="350"/>
      <c r="AX780" s="350"/>
      <c r="AY780" s="350"/>
      <c r="AZ780" s="350"/>
      <c r="BA780" s="350"/>
      <c r="BB780" s="351"/>
    </row>
    <row r="781" spans="1:54" ht="15.75" customHeight="1">
      <c r="A781" s="25">
        <f t="shared" si="3"/>
        <v>768</v>
      </c>
      <c r="B781" s="599" t="str">
        <f>'refer admin discharge'!B777</f>
        <v>x</v>
      </c>
      <c r="C781" s="351"/>
      <c r="D781" s="600" t="str">
        <f>'refer admin discharge'!D777</f>
        <v>xx</v>
      </c>
      <c r="E781" s="351"/>
      <c r="F781" s="609" t="str">
        <f>'refer admin discharge'!H777</f>
        <v>00/00/0000</v>
      </c>
      <c r="G781" s="351"/>
      <c r="H781" s="610"/>
      <c r="I781" s="351"/>
      <c r="J781" s="611"/>
      <c r="K781" s="351"/>
      <c r="L781" s="610"/>
      <c r="M781" s="351"/>
      <c r="N781" s="612"/>
      <c r="O781" s="351"/>
      <c r="P781" s="610"/>
      <c r="Q781" s="351"/>
      <c r="R781" s="612"/>
      <c r="S781" s="351"/>
      <c r="T781" s="610"/>
      <c r="U781" s="351"/>
      <c r="V781" s="613" t="str">
        <f>'refer admin discharge'!H782</f>
        <v>00/00/0000</v>
      </c>
      <c r="W781" s="351"/>
      <c r="X781" s="607"/>
      <c r="Y781" s="351"/>
      <c r="Z781" s="614"/>
      <c r="AA781" s="351"/>
      <c r="AB781" s="607"/>
      <c r="AC781" s="351"/>
      <c r="AD781" s="606"/>
      <c r="AE781" s="351"/>
      <c r="AF781" s="607"/>
      <c r="AG781" s="351"/>
      <c r="AH781" s="606"/>
      <c r="AI781" s="351"/>
      <c r="AJ781" s="607"/>
      <c r="AK781" s="351"/>
      <c r="AL781" s="608"/>
      <c r="AM781" s="350"/>
      <c r="AN781" s="350"/>
      <c r="AO781" s="350"/>
      <c r="AP781" s="350"/>
      <c r="AQ781" s="350"/>
      <c r="AR781" s="350"/>
      <c r="AS781" s="350"/>
      <c r="AT781" s="350"/>
      <c r="AU781" s="350"/>
      <c r="AV781" s="350"/>
      <c r="AW781" s="350"/>
      <c r="AX781" s="350"/>
      <c r="AY781" s="350"/>
      <c r="AZ781" s="350"/>
      <c r="BA781" s="350"/>
      <c r="BB781" s="351"/>
    </row>
    <row r="782" spans="1:54" ht="15.75" customHeight="1">
      <c r="A782" s="25">
        <f t="shared" si="3"/>
        <v>769</v>
      </c>
      <c r="B782" s="618" t="str">
        <f>'refer admin discharge'!B778</f>
        <v>x</v>
      </c>
      <c r="C782" s="351"/>
      <c r="D782" s="619" t="str">
        <f>'refer admin discharge'!D778</f>
        <v>xx</v>
      </c>
      <c r="E782" s="351"/>
      <c r="F782" s="620" t="str">
        <f>'refer admin discharge'!H778</f>
        <v>00/00/0000</v>
      </c>
      <c r="G782" s="351"/>
      <c r="H782" s="615"/>
      <c r="I782" s="351"/>
      <c r="J782" s="621"/>
      <c r="K782" s="351"/>
      <c r="L782" s="615"/>
      <c r="M782" s="351"/>
      <c r="N782" s="610"/>
      <c r="O782" s="351"/>
      <c r="P782" s="615"/>
      <c r="Q782" s="351"/>
      <c r="R782" s="610"/>
      <c r="S782" s="351"/>
      <c r="T782" s="615"/>
      <c r="U782" s="351"/>
      <c r="V782" s="613" t="str">
        <f>'refer admin discharge'!H783</f>
        <v>00/00/0000</v>
      </c>
      <c r="W782" s="351"/>
      <c r="X782" s="616"/>
      <c r="Y782" s="351"/>
      <c r="Z782" s="617"/>
      <c r="AA782" s="351"/>
      <c r="AB782" s="616"/>
      <c r="AC782" s="351"/>
      <c r="AD782" s="607"/>
      <c r="AE782" s="351"/>
      <c r="AF782" s="616"/>
      <c r="AG782" s="351"/>
      <c r="AH782" s="607"/>
      <c r="AI782" s="351"/>
      <c r="AJ782" s="616"/>
      <c r="AK782" s="351"/>
      <c r="AL782" s="622"/>
      <c r="AM782" s="350"/>
      <c r="AN782" s="350"/>
      <c r="AO782" s="350"/>
      <c r="AP782" s="350"/>
      <c r="AQ782" s="350"/>
      <c r="AR782" s="350"/>
      <c r="AS782" s="350"/>
      <c r="AT782" s="350"/>
      <c r="AU782" s="350"/>
      <c r="AV782" s="350"/>
      <c r="AW782" s="350"/>
      <c r="AX782" s="350"/>
      <c r="AY782" s="350"/>
      <c r="AZ782" s="350"/>
      <c r="BA782" s="350"/>
      <c r="BB782" s="351"/>
    </row>
    <row r="783" spans="1:54" ht="15.75" customHeight="1">
      <c r="A783" s="25">
        <f t="shared" si="3"/>
        <v>770</v>
      </c>
      <c r="B783" s="599" t="str">
        <f>'refer admin discharge'!B779</f>
        <v>x</v>
      </c>
      <c r="C783" s="351"/>
      <c r="D783" s="600" t="str">
        <f>'refer admin discharge'!D779</f>
        <v>xx</v>
      </c>
      <c r="E783" s="351"/>
      <c r="F783" s="609" t="str">
        <f>'refer admin discharge'!H779</f>
        <v>00/00/0000</v>
      </c>
      <c r="G783" s="351"/>
      <c r="H783" s="610"/>
      <c r="I783" s="351"/>
      <c r="J783" s="611"/>
      <c r="K783" s="351"/>
      <c r="L783" s="610"/>
      <c r="M783" s="351"/>
      <c r="N783" s="612"/>
      <c r="O783" s="351"/>
      <c r="P783" s="610"/>
      <c r="Q783" s="351"/>
      <c r="R783" s="612"/>
      <c r="S783" s="351"/>
      <c r="T783" s="610"/>
      <c r="U783" s="351"/>
      <c r="V783" s="613" t="str">
        <f>'refer admin discharge'!H784</f>
        <v>00/00/0000</v>
      </c>
      <c r="W783" s="351"/>
      <c r="X783" s="607"/>
      <c r="Y783" s="351"/>
      <c r="Z783" s="614"/>
      <c r="AA783" s="351"/>
      <c r="AB783" s="607"/>
      <c r="AC783" s="351"/>
      <c r="AD783" s="606"/>
      <c r="AE783" s="351"/>
      <c r="AF783" s="607"/>
      <c r="AG783" s="351"/>
      <c r="AH783" s="606"/>
      <c r="AI783" s="351"/>
      <c r="AJ783" s="607"/>
      <c r="AK783" s="351"/>
      <c r="AL783" s="608"/>
      <c r="AM783" s="350"/>
      <c r="AN783" s="350"/>
      <c r="AO783" s="350"/>
      <c r="AP783" s="350"/>
      <c r="AQ783" s="350"/>
      <c r="AR783" s="350"/>
      <c r="AS783" s="350"/>
      <c r="AT783" s="350"/>
      <c r="AU783" s="350"/>
      <c r="AV783" s="350"/>
      <c r="AW783" s="350"/>
      <c r="AX783" s="350"/>
      <c r="AY783" s="350"/>
      <c r="AZ783" s="350"/>
      <c r="BA783" s="350"/>
      <c r="BB783" s="351"/>
    </row>
    <row r="784" spans="1:54" ht="15.75" customHeight="1">
      <c r="A784" s="25">
        <f t="shared" si="3"/>
        <v>771</v>
      </c>
      <c r="B784" s="618" t="str">
        <f>'refer admin discharge'!B780</f>
        <v>x</v>
      </c>
      <c r="C784" s="351"/>
      <c r="D784" s="619" t="str">
        <f>'refer admin discharge'!D780</f>
        <v>xx</v>
      </c>
      <c r="E784" s="351"/>
      <c r="F784" s="620" t="str">
        <f>'refer admin discharge'!H780</f>
        <v>00/00/0000</v>
      </c>
      <c r="G784" s="351"/>
      <c r="H784" s="615"/>
      <c r="I784" s="351"/>
      <c r="J784" s="621"/>
      <c r="K784" s="351"/>
      <c r="L784" s="615"/>
      <c r="M784" s="351"/>
      <c r="N784" s="610"/>
      <c r="O784" s="351"/>
      <c r="P784" s="615"/>
      <c r="Q784" s="351"/>
      <c r="R784" s="610"/>
      <c r="S784" s="351"/>
      <c r="T784" s="615"/>
      <c r="U784" s="351"/>
      <c r="V784" s="613" t="str">
        <f>'refer admin discharge'!H785</f>
        <v>00/00/0000</v>
      </c>
      <c r="W784" s="351"/>
      <c r="X784" s="616"/>
      <c r="Y784" s="351"/>
      <c r="Z784" s="617"/>
      <c r="AA784" s="351"/>
      <c r="AB784" s="616"/>
      <c r="AC784" s="351"/>
      <c r="AD784" s="607"/>
      <c r="AE784" s="351"/>
      <c r="AF784" s="616"/>
      <c r="AG784" s="351"/>
      <c r="AH784" s="607"/>
      <c r="AI784" s="351"/>
      <c r="AJ784" s="616"/>
      <c r="AK784" s="351"/>
      <c r="AL784" s="622"/>
      <c r="AM784" s="350"/>
      <c r="AN784" s="350"/>
      <c r="AO784" s="350"/>
      <c r="AP784" s="350"/>
      <c r="AQ784" s="350"/>
      <c r="AR784" s="350"/>
      <c r="AS784" s="350"/>
      <c r="AT784" s="350"/>
      <c r="AU784" s="350"/>
      <c r="AV784" s="350"/>
      <c r="AW784" s="350"/>
      <c r="AX784" s="350"/>
      <c r="AY784" s="350"/>
      <c r="AZ784" s="350"/>
      <c r="BA784" s="350"/>
      <c r="BB784" s="351"/>
    </row>
    <row r="785" spans="1:54" ht="15.75" customHeight="1">
      <c r="A785" s="25">
        <f t="shared" si="3"/>
        <v>772</v>
      </c>
      <c r="B785" s="599" t="str">
        <f>'refer admin discharge'!B781</f>
        <v>x</v>
      </c>
      <c r="C785" s="351"/>
      <c r="D785" s="600" t="str">
        <f>'refer admin discharge'!D781</f>
        <v>xx</v>
      </c>
      <c r="E785" s="351"/>
      <c r="F785" s="609" t="str">
        <f>'refer admin discharge'!H781</f>
        <v>00/00/0000</v>
      </c>
      <c r="G785" s="351"/>
      <c r="H785" s="610"/>
      <c r="I785" s="351"/>
      <c r="J785" s="611"/>
      <c r="K785" s="351"/>
      <c r="L785" s="610"/>
      <c r="M785" s="351"/>
      <c r="N785" s="612"/>
      <c r="O785" s="351"/>
      <c r="P785" s="610"/>
      <c r="Q785" s="351"/>
      <c r="R785" s="612"/>
      <c r="S785" s="351"/>
      <c r="T785" s="610"/>
      <c r="U785" s="351"/>
      <c r="V785" s="613" t="str">
        <f>'refer admin discharge'!H786</f>
        <v>00/00/0000</v>
      </c>
      <c r="W785" s="351"/>
      <c r="X785" s="607"/>
      <c r="Y785" s="351"/>
      <c r="Z785" s="614"/>
      <c r="AA785" s="351"/>
      <c r="AB785" s="607"/>
      <c r="AC785" s="351"/>
      <c r="AD785" s="606"/>
      <c r="AE785" s="351"/>
      <c r="AF785" s="607"/>
      <c r="AG785" s="351"/>
      <c r="AH785" s="606"/>
      <c r="AI785" s="351"/>
      <c r="AJ785" s="607"/>
      <c r="AK785" s="351"/>
      <c r="AL785" s="608"/>
      <c r="AM785" s="350"/>
      <c r="AN785" s="350"/>
      <c r="AO785" s="350"/>
      <c r="AP785" s="350"/>
      <c r="AQ785" s="350"/>
      <c r="AR785" s="350"/>
      <c r="AS785" s="350"/>
      <c r="AT785" s="350"/>
      <c r="AU785" s="350"/>
      <c r="AV785" s="350"/>
      <c r="AW785" s="350"/>
      <c r="AX785" s="350"/>
      <c r="AY785" s="350"/>
      <c r="AZ785" s="350"/>
      <c r="BA785" s="350"/>
      <c r="BB785" s="351"/>
    </row>
    <row r="786" spans="1:54" ht="15.75" customHeight="1">
      <c r="A786" s="25">
        <f t="shared" si="3"/>
        <v>773</v>
      </c>
      <c r="B786" s="618" t="str">
        <f>'refer admin discharge'!B782</f>
        <v>x</v>
      </c>
      <c r="C786" s="351"/>
      <c r="D786" s="619" t="str">
        <f>'refer admin discharge'!D782</f>
        <v>xx</v>
      </c>
      <c r="E786" s="351"/>
      <c r="F786" s="620" t="str">
        <f>'refer admin discharge'!H782</f>
        <v>00/00/0000</v>
      </c>
      <c r="G786" s="351"/>
      <c r="H786" s="615"/>
      <c r="I786" s="351"/>
      <c r="J786" s="621"/>
      <c r="K786" s="351"/>
      <c r="L786" s="615"/>
      <c r="M786" s="351"/>
      <c r="N786" s="610"/>
      <c r="O786" s="351"/>
      <c r="P786" s="615"/>
      <c r="Q786" s="351"/>
      <c r="R786" s="610"/>
      <c r="S786" s="351"/>
      <c r="T786" s="615"/>
      <c r="U786" s="351"/>
      <c r="V786" s="613" t="str">
        <f>'refer admin discharge'!H787</f>
        <v>00/00/0000</v>
      </c>
      <c r="W786" s="351"/>
      <c r="X786" s="616"/>
      <c r="Y786" s="351"/>
      <c r="Z786" s="617"/>
      <c r="AA786" s="351"/>
      <c r="AB786" s="616"/>
      <c r="AC786" s="351"/>
      <c r="AD786" s="607"/>
      <c r="AE786" s="351"/>
      <c r="AF786" s="616"/>
      <c r="AG786" s="351"/>
      <c r="AH786" s="607"/>
      <c r="AI786" s="351"/>
      <c r="AJ786" s="616"/>
      <c r="AK786" s="351"/>
      <c r="AL786" s="622"/>
      <c r="AM786" s="350"/>
      <c r="AN786" s="350"/>
      <c r="AO786" s="350"/>
      <c r="AP786" s="350"/>
      <c r="AQ786" s="350"/>
      <c r="AR786" s="350"/>
      <c r="AS786" s="350"/>
      <c r="AT786" s="350"/>
      <c r="AU786" s="350"/>
      <c r="AV786" s="350"/>
      <c r="AW786" s="350"/>
      <c r="AX786" s="350"/>
      <c r="AY786" s="350"/>
      <c r="AZ786" s="350"/>
      <c r="BA786" s="350"/>
      <c r="BB786" s="351"/>
    </row>
    <row r="787" spans="1:54" ht="15.75" customHeight="1">
      <c r="A787" s="25">
        <f t="shared" si="3"/>
        <v>774</v>
      </c>
      <c r="B787" s="599" t="str">
        <f>'refer admin discharge'!B783</f>
        <v>x</v>
      </c>
      <c r="C787" s="351"/>
      <c r="D787" s="600" t="str">
        <f>'refer admin discharge'!D783</f>
        <v>xx</v>
      </c>
      <c r="E787" s="351"/>
      <c r="F787" s="609" t="str">
        <f>'refer admin discharge'!H783</f>
        <v>00/00/0000</v>
      </c>
      <c r="G787" s="351"/>
      <c r="H787" s="610"/>
      <c r="I787" s="351"/>
      <c r="J787" s="611"/>
      <c r="K787" s="351"/>
      <c r="L787" s="610"/>
      <c r="M787" s="351"/>
      <c r="N787" s="612"/>
      <c r="O787" s="351"/>
      <c r="P787" s="610"/>
      <c r="Q787" s="351"/>
      <c r="R787" s="612"/>
      <c r="S787" s="351"/>
      <c r="T787" s="610"/>
      <c r="U787" s="351"/>
      <c r="V787" s="613" t="str">
        <f>'refer admin discharge'!H788</f>
        <v>00/00/0000</v>
      </c>
      <c r="W787" s="351"/>
      <c r="X787" s="607"/>
      <c r="Y787" s="351"/>
      <c r="Z787" s="614"/>
      <c r="AA787" s="351"/>
      <c r="AB787" s="607"/>
      <c r="AC787" s="351"/>
      <c r="AD787" s="606"/>
      <c r="AE787" s="351"/>
      <c r="AF787" s="607"/>
      <c r="AG787" s="351"/>
      <c r="AH787" s="606"/>
      <c r="AI787" s="351"/>
      <c r="AJ787" s="607"/>
      <c r="AK787" s="351"/>
      <c r="AL787" s="608"/>
      <c r="AM787" s="350"/>
      <c r="AN787" s="350"/>
      <c r="AO787" s="350"/>
      <c r="AP787" s="350"/>
      <c r="AQ787" s="350"/>
      <c r="AR787" s="350"/>
      <c r="AS787" s="350"/>
      <c r="AT787" s="350"/>
      <c r="AU787" s="350"/>
      <c r="AV787" s="350"/>
      <c r="AW787" s="350"/>
      <c r="AX787" s="350"/>
      <c r="AY787" s="350"/>
      <c r="AZ787" s="350"/>
      <c r="BA787" s="350"/>
      <c r="BB787" s="351"/>
    </row>
    <row r="788" spans="1:54" ht="15.75" customHeight="1">
      <c r="A788" s="25">
        <f t="shared" si="3"/>
        <v>775</v>
      </c>
      <c r="B788" s="618" t="str">
        <f>'refer admin discharge'!B784</f>
        <v>x</v>
      </c>
      <c r="C788" s="351"/>
      <c r="D788" s="619" t="str">
        <f>'refer admin discharge'!D784</f>
        <v>xx</v>
      </c>
      <c r="E788" s="351"/>
      <c r="F788" s="620" t="str">
        <f>'refer admin discharge'!H784</f>
        <v>00/00/0000</v>
      </c>
      <c r="G788" s="351"/>
      <c r="H788" s="615"/>
      <c r="I788" s="351"/>
      <c r="J788" s="621"/>
      <c r="K788" s="351"/>
      <c r="L788" s="615"/>
      <c r="M788" s="351"/>
      <c r="N788" s="610"/>
      <c r="O788" s="351"/>
      <c r="P788" s="615"/>
      <c r="Q788" s="351"/>
      <c r="R788" s="610"/>
      <c r="S788" s="351"/>
      <c r="T788" s="615"/>
      <c r="U788" s="351"/>
      <c r="V788" s="613" t="str">
        <f>'refer admin discharge'!H789</f>
        <v>00/00/0000</v>
      </c>
      <c r="W788" s="351"/>
      <c r="X788" s="616"/>
      <c r="Y788" s="351"/>
      <c r="Z788" s="617"/>
      <c r="AA788" s="351"/>
      <c r="AB788" s="616"/>
      <c r="AC788" s="351"/>
      <c r="AD788" s="607"/>
      <c r="AE788" s="351"/>
      <c r="AF788" s="616"/>
      <c r="AG788" s="351"/>
      <c r="AH788" s="607"/>
      <c r="AI788" s="351"/>
      <c r="AJ788" s="616"/>
      <c r="AK788" s="351"/>
      <c r="AL788" s="622"/>
      <c r="AM788" s="350"/>
      <c r="AN788" s="350"/>
      <c r="AO788" s="350"/>
      <c r="AP788" s="350"/>
      <c r="AQ788" s="350"/>
      <c r="AR788" s="350"/>
      <c r="AS788" s="350"/>
      <c r="AT788" s="350"/>
      <c r="AU788" s="350"/>
      <c r="AV788" s="350"/>
      <c r="AW788" s="350"/>
      <c r="AX788" s="350"/>
      <c r="AY788" s="350"/>
      <c r="AZ788" s="350"/>
      <c r="BA788" s="350"/>
      <c r="BB788" s="351"/>
    </row>
    <row r="789" spans="1:54" ht="15.75" customHeight="1">
      <c r="A789" s="25">
        <f t="shared" si="3"/>
        <v>776</v>
      </c>
      <c r="B789" s="599" t="str">
        <f>'refer admin discharge'!B785</f>
        <v>x</v>
      </c>
      <c r="C789" s="351"/>
      <c r="D789" s="600" t="str">
        <f>'refer admin discharge'!D785</f>
        <v>xx</v>
      </c>
      <c r="E789" s="351"/>
      <c r="F789" s="609" t="str">
        <f>'refer admin discharge'!H785</f>
        <v>00/00/0000</v>
      </c>
      <c r="G789" s="351"/>
      <c r="H789" s="610"/>
      <c r="I789" s="351"/>
      <c r="J789" s="611"/>
      <c r="K789" s="351"/>
      <c r="L789" s="610"/>
      <c r="M789" s="351"/>
      <c r="N789" s="612"/>
      <c r="O789" s="351"/>
      <c r="P789" s="610"/>
      <c r="Q789" s="351"/>
      <c r="R789" s="612"/>
      <c r="S789" s="351"/>
      <c r="T789" s="610"/>
      <c r="U789" s="351"/>
      <c r="V789" s="613" t="str">
        <f>'refer admin discharge'!H790</f>
        <v>00/00/0000</v>
      </c>
      <c r="W789" s="351"/>
      <c r="X789" s="607"/>
      <c r="Y789" s="351"/>
      <c r="Z789" s="614"/>
      <c r="AA789" s="351"/>
      <c r="AB789" s="607"/>
      <c r="AC789" s="351"/>
      <c r="AD789" s="606"/>
      <c r="AE789" s="351"/>
      <c r="AF789" s="607"/>
      <c r="AG789" s="351"/>
      <c r="AH789" s="606"/>
      <c r="AI789" s="351"/>
      <c r="AJ789" s="607"/>
      <c r="AK789" s="351"/>
      <c r="AL789" s="608"/>
      <c r="AM789" s="350"/>
      <c r="AN789" s="350"/>
      <c r="AO789" s="350"/>
      <c r="AP789" s="350"/>
      <c r="AQ789" s="350"/>
      <c r="AR789" s="350"/>
      <c r="AS789" s="350"/>
      <c r="AT789" s="350"/>
      <c r="AU789" s="350"/>
      <c r="AV789" s="350"/>
      <c r="AW789" s="350"/>
      <c r="AX789" s="350"/>
      <c r="AY789" s="350"/>
      <c r="AZ789" s="350"/>
      <c r="BA789" s="350"/>
      <c r="BB789" s="351"/>
    </row>
    <row r="790" spans="1:54" ht="15.75" customHeight="1">
      <c r="A790" s="25">
        <f t="shared" si="3"/>
        <v>777</v>
      </c>
      <c r="B790" s="618" t="str">
        <f>'refer admin discharge'!B786</f>
        <v>x</v>
      </c>
      <c r="C790" s="351"/>
      <c r="D790" s="619" t="str">
        <f>'refer admin discharge'!D786</f>
        <v>xx</v>
      </c>
      <c r="E790" s="351"/>
      <c r="F790" s="620" t="str">
        <f>'refer admin discharge'!H786</f>
        <v>00/00/0000</v>
      </c>
      <c r="G790" s="351"/>
      <c r="H790" s="615"/>
      <c r="I790" s="351"/>
      <c r="J790" s="621"/>
      <c r="K790" s="351"/>
      <c r="L790" s="615"/>
      <c r="M790" s="351"/>
      <c r="N790" s="610"/>
      <c r="O790" s="351"/>
      <c r="P790" s="615"/>
      <c r="Q790" s="351"/>
      <c r="R790" s="610"/>
      <c r="S790" s="351"/>
      <c r="T790" s="615"/>
      <c r="U790" s="351"/>
      <c r="V790" s="613" t="str">
        <f>'refer admin discharge'!H791</f>
        <v>00/00/0000</v>
      </c>
      <c r="W790" s="351"/>
      <c r="X790" s="616"/>
      <c r="Y790" s="351"/>
      <c r="Z790" s="617"/>
      <c r="AA790" s="351"/>
      <c r="AB790" s="616"/>
      <c r="AC790" s="351"/>
      <c r="AD790" s="607"/>
      <c r="AE790" s="351"/>
      <c r="AF790" s="616"/>
      <c r="AG790" s="351"/>
      <c r="AH790" s="607"/>
      <c r="AI790" s="351"/>
      <c r="AJ790" s="616"/>
      <c r="AK790" s="351"/>
      <c r="AL790" s="622"/>
      <c r="AM790" s="350"/>
      <c r="AN790" s="350"/>
      <c r="AO790" s="350"/>
      <c r="AP790" s="350"/>
      <c r="AQ790" s="350"/>
      <c r="AR790" s="350"/>
      <c r="AS790" s="350"/>
      <c r="AT790" s="350"/>
      <c r="AU790" s="350"/>
      <c r="AV790" s="350"/>
      <c r="AW790" s="350"/>
      <c r="AX790" s="350"/>
      <c r="AY790" s="350"/>
      <c r="AZ790" s="350"/>
      <c r="BA790" s="350"/>
      <c r="BB790" s="351"/>
    </row>
    <row r="791" spans="1:54" ht="15.75" customHeight="1">
      <c r="A791" s="25">
        <f t="shared" si="3"/>
        <v>778</v>
      </c>
      <c r="B791" s="599" t="str">
        <f>'refer admin discharge'!B787</f>
        <v>x</v>
      </c>
      <c r="C791" s="351"/>
      <c r="D791" s="600" t="str">
        <f>'refer admin discharge'!D787</f>
        <v>xx</v>
      </c>
      <c r="E791" s="351"/>
      <c r="F791" s="609" t="str">
        <f>'refer admin discharge'!H787</f>
        <v>00/00/0000</v>
      </c>
      <c r="G791" s="351"/>
      <c r="H791" s="610"/>
      <c r="I791" s="351"/>
      <c r="J791" s="611"/>
      <c r="K791" s="351"/>
      <c r="L791" s="610"/>
      <c r="M791" s="351"/>
      <c r="N791" s="612"/>
      <c r="O791" s="351"/>
      <c r="P791" s="610"/>
      <c r="Q791" s="351"/>
      <c r="R791" s="612"/>
      <c r="S791" s="351"/>
      <c r="T791" s="610"/>
      <c r="U791" s="351"/>
      <c r="V791" s="613" t="str">
        <f>'refer admin discharge'!H792</f>
        <v>00/00/0000</v>
      </c>
      <c r="W791" s="351"/>
      <c r="X791" s="607"/>
      <c r="Y791" s="351"/>
      <c r="Z791" s="614"/>
      <c r="AA791" s="351"/>
      <c r="AB791" s="607"/>
      <c r="AC791" s="351"/>
      <c r="AD791" s="606"/>
      <c r="AE791" s="351"/>
      <c r="AF791" s="607"/>
      <c r="AG791" s="351"/>
      <c r="AH791" s="606"/>
      <c r="AI791" s="351"/>
      <c r="AJ791" s="607"/>
      <c r="AK791" s="351"/>
      <c r="AL791" s="608"/>
      <c r="AM791" s="350"/>
      <c r="AN791" s="350"/>
      <c r="AO791" s="350"/>
      <c r="AP791" s="350"/>
      <c r="AQ791" s="350"/>
      <c r="AR791" s="350"/>
      <c r="AS791" s="350"/>
      <c r="AT791" s="350"/>
      <c r="AU791" s="350"/>
      <c r="AV791" s="350"/>
      <c r="AW791" s="350"/>
      <c r="AX791" s="350"/>
      <c r="AY791" s="350"/>
      <c r="AZ791" s="350"/>
      <c r="BA791" s="350"/>
      <c r="BB791" s="351"/>
    </row>
    <row r="792" spans="1:54" ht="15.75" customHeight="1">
      <c r="A792" s="25">
        <f t="shared" si="3"/>
        <v>779</v>
      </c>
      <c r="B792" s="618" t="str">
        <f>'refer admin discharge'!B788</f>
        <v>x</v>
      </c>
      <c r="C792" s="351"/>
      <c r="D792" s="619" t="str">
        <f>'refer admin discharge'!D788</f>
        <v>xx</v>
      </c>
      <c r="E792" s="351"/>
      <c r="F792" s="620" t="str">
        <f>'refer admin discharge'!H788</f>
        <v>00/00/0000</v>
      </c>
      <c r="G792" s="351"/>
      <c r="H792" s="615"/>
      <c r="I792" s="351"/>
      <c r="J792" s="621"/>
      <c r="K792" s="351"/>
      <c r="L792" s="615"/>
      <c r="M792" s="351"/>
      <c r="N792" s="610"/>
      <c r="O792" s="351"/>
      <c r="P792" s="615"/>
      <c r="Q792" s="351"/>
      <c r="R792" s="610"/>
      <c r="S792" s="351"/>
      <c r="T792" s="615"/>
      <c r="U792" s="351"/>
      <c r="V792" s="613" t="str">
        <f>'refer admin discharge'!H793</f>
        <v>00/00/0000</v>
      </c>
      <c r="W792" s="351"/>
      <c r="X792" s="616"/>
      <c r="Y792" s="351"/>
      <c r="Z792" s="617"/>
      <c r="AA792" s="351"/>
      <c r="AB792" s="616"/>
      <c r="AC792" s="351"/>
      <c r="AD792" s="607"/>
      <c r="AE792" s="351"/>
      <c r="AF792" s="616"/>
      <c r="AG792" s="351"/>
      <c r="AH792" s="607"/>
      <c r="AI792" s="351"/>
      <c r="AJ792" s="616"/>
      <c r="AK792" s="351"/>
      <c r="AL792" s="622"/>
      <c r="AM792" s="350"/>
      <c r="AN792" s="350"/>
      <c r="AO792" s="350"/>
      <c r="AP792" s="350"/>
      <c r="AQ792" s="350"/>
      <c r="AR792" s="350"/>
      <c r="AS792" s="350"/>
      <c r="AT792" s="350"/>
      <c r="AU792" s="350"/>
      <c r="AV792" s="350"/>
      <c r="AW792" s="350"/>
      <c r="AX792" s="350"/>
      <c r="AY792" s="350"/>
      <c r="AZ792" s="350"/>
      <c r="BA792" s="350"/>
      <c r="BB792" s="351"/>
    </row>
    <row r="793" spans="1:54" ht="15.75" customHeight="1">
      <c r="A793" s="25">
        <f t="shared" si="3"/>
        <v>780</v>
      </c>
      <c r="B793" s="599" t="str">
        <f>'refer admin discharge'!B789</f>
        <v>x</v>
      </c>
      <c r="C793" s="351"/>
      <c r="D793" s="600" t="str">
        <f>'refer admin discharge'!D789</f>
        <v>xx</v>
      </c>
      <c r="E793" s="351"/>
      <c r="F793" s="609" t="str">
        <f>'refer admin discharge'!H789</f>
        <v>00/00/0000</v>
      </c>
      <c r="G793" s="351"/>
      <c r="H793" s="610"/>
      <c r="I793" s="351"/>
      <c r="J793" s="611"/>
      <c r="K793" s="351"/>
      <c r="L793" s="610"/>
      <c r="M793" s="351"/>
      <c r="N793" s="612"/>
      <c r="O793" s="351"/>
      <c r="P793" s="610"/>
      <c r="Q793" s="351"/>
      <c r="R793" s="612"/>
      <c r="S793" s="351"/>
      <c r="T793" s="610"/>
      <c r="U793" s="351"/>
      <c r="V793" s="613" t="str">
        <f>'refer admin discharge'!H794</f>
        <v>00/00/0000</v>
      </c>
      <c r="W793" s="351"/>
      <c r="X793" s="607"/>
      <c r="Y793" s="351"/>
      <c r="Z793" s="614"/>
      <c r="AA793" s="351"/>
      <c r="AB793" s="607"/>
      <c r="AC793" s="351"/>
      <c r="AD793" s="606"/>
      <c r="AE793" s="351"/>
      <c r="AF793" s="607"/>
      <c r="AG793" s="351"/>
      <c r="AH793" s="606"/>
      <c r="AI793" s="351"/>
      <c r="AJ793" s="607"/>
      <c r="AK793" s="351"/>
      <c r="AL793" s="608"/>
      <c r="AM793" s="350"/>
      <c r="AN793" s="350"/>
      <c r="AO793" s="350"/>
      <c r="AP793" s="350"/>
      <c r="AQ793" s="350"/>
      <c r="AR793" s="350"/>
      <c r="AS793" s="350"/>
      <c r="AT793" s="350"/>
      <c r="AU793" s="350"/>
      <c r="AV793" s="350"/>
      <c r="AW793" s="350"/>
      <c r="AX793" s="350"/>
      <c r="AY793" s="350"/>
      <c r="AZ793" s="350"/>
      <c r="BA793" s="350"/>
      <c r="BB793" s="351"/>
    </row>
    <row r="794" spans="1:54" ht="15.75" customHeight="1">
      <c r="A794" s="25">
        <f t="shared" si="3"/>
        <v>781</v>
      </c>
      <c r="B794" s="618" t="str">
        <f>'refer admin discharge'!B790</f>
        <v>x</v>
      </c>
      <c r="C794" s="351"/>
      <c r="D794" s="619" t="str">
        <f>'refer admin discharge'!D790</f>
        <v>xx</v>
      </c>
      <c r="E794" s="351"/>
      <c r="F794" s="620" t="str">
        <f>'refer admin discharge'!H790</f>
        <v>00/00/0000</v>
      </c>
      <c r="G794" s="351"/>
      <c r="H794" s="615"/>
      <c r="I794" s="351"/>
      <c r="J794" s="621"/>
      <c r="K794" s="351"/>
      <c r="L794" s="615"/>
      <c r="M794" s="351"/>
      <c r="N794" s="610"/>
      <c r="O794" s="351"/>
      <c r="P794" s="615"/>
      <c r="Q794" s="351"/>
      <c r="R794" s="610"/>
      <c r="S794" s="351"/>
      <c r="T794" s="615"/>
      <c r="U794" s="351"/>
      <c r="V794" s="613" t="str">
        <f>'refer admin discharge'!H795</f>
        <v>00/00/0000</v>
      </c>
      <c r="W794" s="351"/>
      <c r="X794" s="616"/>
      <c r="Y794" s="351"/>
      <c r="Z794" s="617"/>
      <c r="AA794" s="351"/>
      <c r="AB794" s="616"/>
      <c r="AC794" s="351"/>
      <c r="AD794" s="607"/>
      <c r="AE794" s="351"/>
      <c r="AF794" s="616"/>
      <c r="AG794" s="351"/>
      <c r="AH794" s="607"/>
      <c r="AI794" s="351"/>
      <c r="AJ794" s="616"/>
      <c r="AK794" s="351"/>
      <c r="AL794" s="622"/>
      <c r="AM794" s="350"/>
      <c r="AN794" s="350"/>
      <c r="AO794" s="350"/>
      <c r="AP794" s="350"/>
      <c r="AQ794" s="350"/>
      <c r="AR794" s="350"/>
      <c r="AS794" s="350"/>
      <c r="AT794" s="350"/>
      <c r="AU794" s="350"/>
      <c r="AV794" s="350"/>
      <c r="AW794" s="350"/>
      <c r="AX794" s="350"/>
      <c r="AY794" s="350"/>
      <c r="AZ794" s="350"/>
      <c r="BA794" s="350"/>
      <c r="BB794" s="351"/>
    </row>
    <row r="795" spans="1:54" ht="15.75" customHeight="1">
      <c r="A795" s="25">
        <f t="shared" si="3"/>
        <v>782</v>
      </c>
      <c r="B795" s="599" t="str">
        <f>'refer admin discharge'!B791</f>
        <v>x</v>
      </c>
      <c r="C795" s="351"/>
      <c r="D795" s="600" t="str">
        <f>'refer admin discharge'!D791</f>
        <v>xx</v>
      </c>
      <c r="E795" s="351"/>
      <c r="F795" s="609" t="str">
        <f>'refer admin discharge'!H791</f>
        <v>00/00/0000</v>
      </c>
      <c r="G795" s="351"/>
      <c r="H795" s="610"/>
      <c r="I795" s="351"/>
      <c r="J795" s="611"/>
      <c r="K795" s="351"/>
      <c r="L795" s="610"/>
      <c r="M795" s="351"/>
      <c r="N795" s="612"/>
      <c r="O795" s="351"/>
      <c r="P795" s="610"/>
      <c r="Q795" s="351"/>
      <c r="R795" s="612"/>
      <c r="S795" s="351"/>
      <c r="T795" s="610"/>
      <c r="U795" s="351"/>
      <c r="V795" s="613" t="str">
        <f>'refer admin discharge'!H796</f>
        <v>00/00/0000</v>
      </c>
      <c r="W795" s="351"/>
      <c r="X795" s="607"/>
      <c r="Y795" s="351"/>
      <c r="Z795" s="614"/>
      <c r="AA795" s="351"/>
      <c r="AB795" s="607"/>
      <c r="AC795" s="351"/>
      <c r="AD795" s="606"/>
      <c r="AE795" s="351"/>
      <c r="AF795" s="607"/>
      <c r="AG795" s="351"/>
      <c r="AH795" s="606"/>
      <c r="AI795" s="351"/>
      <c r="AJ795" s="607"/>
      <c r="AK795" s="351"/>
      <c r="AL795" s="608"/>
      <c r="AM795" s="350"/>
      <c r="AN795" s="350"/>
      <c r="AO795" s="350"/>
      <c r="AP795" s="350"/>
      <c r="AQ795" s="350"/>
      <c r="AR795" s="350"/>
      <c r="AS795" s="350"/>
      <c r="AT795" s="350"/>
      <c r="AU795" s="350"/>
      <c r="AV795" s="350"/>
      <c r="AW795" s="350"/>
      <c r="AX795" s="350"/>
      <c r="AY795" s="350"/>
      <c r="AZ795" s="350"/>
      <c r="BA795" s="350"/>
      <c r="BB795" s="351"/>
    </row>
    <row r="796" spans="1:54" ht="15.75" customHeight="1">
      <c r="A796" s="25">
        <f t="shared" si="3"/>
        <v>783</v>
      </c>
      <c r="B796" s="618" t="str">
        <f>'refer admin discharge'!B792</f>
        <v>x</v>
      </c>
      <c r="C796" s="351"/>
      <c r="D796" s="619" t="str">
        <f>'refer admin discharge'!D792</f>
        <v>xx</v>
      </c>
      <c r="E796" s="351"/>
      <c r="F796" s="620" t="str">
        <f>'refer admin discharge'!H792</f>
        <v>00/00/0000</v>
      </c>
      <c r="G796" s="351"/>
      <c r="H796" s="615"/>
      <c r="I796" s="351"/>
      <c r="J796" s="621"/>
      <c r="K796" s="351"/>
      <c r="L796" s="615"/>
      <c r="M796" s="351"/>
      <c r="N796" s="610"/>
      <c r="O796" s="351"/>
      <c r="P796" s="615"/>
      <c r="Q796" s="351"/>
      <c r="R796" s="610"/>
      <c r="S796" s="351"/>
      <c r="T796" s="615"/>
      <c r="U796" s="351"/>
      <c r="V796" s="613" t="str">
        <f>'refer admin discharge'!H797</f>
        <v>00/00/0000</v>
      </c>
      <c r="W796" s="351"/>
      <c r="X796" s="616"/>
      <c r="Y796" s="351"/>
      <c r="Z796" s="617"/>
      <c r="AA796" s="351"/>
      <c r="AB796" s="616"/>
      <c r="AC796" s="351"/>
      <c r="AD796" s="607"/>
      <c r="AE796" s="351"/>
      <c r="AF796" s="616"/>
      <c r="AG796" s="351"/>
      <c r="AH796" s="607"/>
      <c r="AI796" s="351"/>
      <c r="AJ796" s="616"/>
      <c r="AK796" s="351"/>
      <c r="AL796" s="622"/>
      <c r="AM796" s="350"/>
      <c r="AN796" s="350"/>
      <c r="AO796" s="350"/>
      <c r="AP796" s="350"/>
      <c r="AQ796" s="350"/>
      <c r="AR796" s="350"/>
      <c r="AS796" s="350"/>
      <c r="AT796" s="350"/>
      <c r="AU796" s="350"/>
      <c r="AV796" s="350"/>
      <c r="AW796" s="350"/>
      <c r="AX796" s="350"/>
      <c r="AY796" s="350"/>
      <c r="AZ796" s="350"/>
      <c r="BA796" s="350"/>
      <c r="BB796" s="351"/>
    </row>
    <row r="797" spans="1:54" ht="15.75" customHeight="1">
      <c r="A797" s="25">
        <f t="shared" si="3"/>
        <v>784</v>
      </c>
      <c r="B797" s="599" t="str">
        <f>'refer admin discharge'!B793</f>
        <v>x</v>
      </c>
      <c r="C797" s="351"/>
      <c r="D797" s="600" t="str">
        <f>'refer admin discharge'!D793</f>
        <v>xx</v>
      </c>
      <c r="E797" s="351"/>
      <c r="F797" s="609" t="str">
        <f>'refer admin discharge'!H793</f>
        <v>00/00/0000</v>
      </c>
      <c r="G797" s="351"/>
      <c r="H797" s="610"/>
      <c r="I797" s="351"/>
      <c r="J797" s="611"/>
      <c r="K797" s="351"/>
      <c r="L797" s="610"/>
      <c r="M797" s="351"/>
      <c r="N797" s="612"/>
      <c r="O797" s="351"/>
      <c r="P797" s="610"/>
      <c r="Q797" s="351"/>
      <c r="R797" s="612"/>
      <c r="S797" s="351"/>
      <c r="T797" s="610"/>
      <c r="U797" s="351"/>
      <c r="V797" s="613" t="str">
        <f>'refer admin discharge'!H798</f>
        <v>00/00/0000</v>
      </c>
      <c r="W797" s="351"/>
      <c r="X797" s="607"/>
      <c r="Y797" s="351"/>
      <c r="Z797" s="614"/>
      <c r="AA797" s="351"/>
      <c r="AB797" s="607"/>
      <c r="AC797" s="351"/>
      <c r="AD797" s="606"/>
      <c r="AE797" s="351"/>
      <c r="AF797" s="607"/>
      <c r="AG797" s="351"/>
      <c r="AH797" s="606"/>
      <c r="AI797" s="351"/>
      <c r="AJ797" s="607"/>
      <c r="AK797" s="351"/>
      <c r="AL797" s="608"/>
      <c r="AM797" s="350"/>
      <c r="AN797" s="350"/>
      <c r="AO797" s="350"/>
      <c r="AP797" s="350"/>
      <c r="AQ797" s="350"/>
      <c r="AR797" s="350"/>
      <c r="AS797" s="350"/>
      <c r="AT797" s="350"/>
      <c r="AU797" s="350"/>
      <c r="AV797" s="350"/>
      <c r="AW797" s="350"/>
      <c r="AX797" s="350"/>
      <c r="AY797" s="350"/>
      <c r="AZ797" s="350"/>
      <c r="BA797" s="350"/>
      <c r="BB797" s="351"/>
    </row>
    <row r="798" spans="1:54" ht="15.75" customHeight="1">
      <c r="A798" s="25">
        <f t="shared" si="3"/>
        <v>785</v>
      </c>
      <c r="B798" s="618" t="str">
        <f>'refer admin discharge'!B794</f>
        <v>x</v>
      </c>
      <c r="C798" s="351"/>
      <c r="D798" s="619" t="str">
        <f>'refer admin discharge'!D794</f>
        <v>xx</v>
      </c>
      <c r="E798" s="351"/>
      <c r="F798" s="620" t="str">
        <f>'refer admin discharge'!H794</f>
        <v>00/00/0000</v>
      </c>
      <c r="G798" s="351"/>
      <c r="H798" s="615"/>
      <c r="I798" s="351"/>
      <c r="J798" s="621"/>
      <c r="K798" s="351"/>
      <c r="L798" s="615"/>
      <c r="M798" s="351"/>
      <c r="N798" s="610"/>
      <c r="O798" s="351"/>
      <c r="P798" s="615"/>
      <c r="Q798" s="351"/>
      <c r="R798" s="610"/>
      <c r="S798" s="351"/>
      <c r="T798" s="615"/>
      <c r="U798" s="351"/>
      <c r="V798" s="613" t="str">
        <f>'refer admin discharge'!H799</f>
        <v>00/00/0000</v>
      </c>
      <c r="W798" s="351"/>
      <c r="X798" s="616"/>
      <c r="Y798" s="351"/>
      <c r="Z798" s="617"/>
      <c r="AA798" s="351"/>
      <c r="AB798" s="616"/>
      <c r="AC798" s="351"/>
      <c r="AD798" s="607"/>
      <c r="AE798" s="351"/>
      <c r="AF798" s="616"/>
      <c r="AG798" s="351"/>
      <c r="AH798" s="607"/>
      <c r="AI798" s="351"/>
      <c r="AJ798" s="616"/>
      <c r="AK798" s="351"/>
      <c r="AL798" s="622"/>
      <c r="AM798" s="350"/>
      <c r="AN798" s="350"/>
      <c r="AO798" s="350"/>
      <c r="AP798" s="350"/>
      <c r="AQ798" s="350"/>
      <c r="AR798" s="350"/>
      <c r="AS798" s="350"/>
      <c r="AT798" s="350"/>
      <c r="AU798" s="350"/>
      <c r="AV798" s="350"/>
      <c r="AW798" s="350"/>
      <c r="AX798" s="350"/>
      <c r="AY798" s="350"/>
      <c r="AZ798" s="350"/>
      <c r="BA798" s="350"/>
      <c r="BB798" s="351"/>
    </row>
    <row r="799" spans="1:54" ht="15.75" customHeight="1">
      <c r="A799" s="25">
        <f t="shared" si="3"/>
        <v>786</v>
      </c>
      <c r="B799" s="599" t="str">
        <f>'refer admin discharge'!B795</f>
        <v>x</v>
      </c>
      <c r="C799" s="351"/>
      <c r="D799" s="600" t="str">
        <f>'refer admin discharge'!D795</f>
        <v>xx</v>
      </c>
      <c r="E799" s="351"/>
      <c r="F799" s="609" t="str">
        <f>'refer admin discharge'!H795</f>
        <v>00/00/0000</v>
      </c>
      <c r="G799" s="351"/>
      <c r="H799" s="610"/>
      <c r="I799" s="351"/>
      <c r="J799" s="611"/>
      <c r="K799" s="351"/>
      <c r="L799" s="610"/>
      <c r="M799" s="351"/>
      <c r="N799" s="612"/>
      <c r="O799" s="351"/>
      <c r="P799" s="610"/>
      <c r="Q799" s="351"/>
      <c r="R799" s="612"/>
      <c r="S799" s="351"/>
      <c r="T799" s="610"/>
      <c r="U799" s="351"/>
      <c r="V799" s="613" t="str">
        <f>'refer admin discharge'!H800</f>
        <v>00/00/0000</v>
      </c>
      <c r="W799" s="351"/>
      <c r="X799" s="607"/>
      <c r="Y799" s="351"/>
      <c r="Z799" s="614"/>
      <c r="AA799" s="351"/>
      <c r="AB799" s="607"/>
      <c r="AC799" s="351"/>
      <c r="AD799" s="606"/>
      <c r="AE799" s="351"/>
      <c r="AF799" s="607"/>
      <c r="AG799" s="351"/>
      <c r="AH799" s="606"/>
      <c r="AI799" s="351"/>
      <c r="AJ799" s="607"/>
      <c r="AK799" s="351"/>
      <c r="AL799" s="608"/>
      <c r="AM799" s="350"/>
      <c r="AN799" s="350"/>
      <c r="AO799" s="350"/>
      <c r="AP799" s="350"/>
      <c r="AQ799" s="350"/>
      <c r="AR799" s="350"/>
      <c r="AS799" s="350"/>
      <c r="AT799" s="350"/>
      <c r="AU799" s="350"/>
      <c r="AV799" s="350"/>
      <c r="AW799" s="350"/>
      <c r="AX799" s="350"/>
      <c r="AY799" s="350"/>
      <c r="AZ799" s="350"/>
      <c r="BA799" s="350"/>
      <c r="BB799" s="351"/>
    </row>
    <row r="800" spans="1:54" ht="15.75" customHeight="1">
      <c r="A800" s="25">
        <f t="shared" si="3"/>
        <v>787</v>
      </c>
      <c r="B800" s="618" t="str">
        <f>'refer admin discharge'!B796</f>
        <v>x</v>
      </c>
      <c r="C800" s="351"/>
      <c r="D800" s="619" t="str">
        <f>'refer admin discharge'!D796</f>
        <v>xx</v>
      </c>
      <c r="E800" s="351"/>
      <c r="F800" s="620" t="str">
        <f>'refer admin discharge'!H796</f>
        <v>00/00/0000</v>
      </c>
      <c r="G800" s="351"/>
      <c r="H800" s="615"/>
      <c r="I800" s="351"/>
      <c r="J800" s="621"/>
      <c r="K800" s="351"/>
      <c r="L800" s="615"/>
      <c r="M800" s="351"/>
      <c r="N800" s="610"/>
      <c r="O800" s="351"/>
      <c r="P800" s="615"/>
      <c r="Q800" s="351"/>
      <c r="R800" s="610"/>
      <c r="S800" s="351"/>
      <c r="T800" s="615"/>
      <c r="U800" s="351"/>
      <c r="V800" s="613" t="str">
        <f>'refer admin discharge'!H801</f>
        <v>00/00/0000</v>
      </c>
      <c r="W800" s="351"/>
      <c r="X800" s="616"/>
      <c r="Y800" s="351"/>
      <c r="Z800" s="617"/>
      <c r="AA800" s="351"/>
      <c r="AB800" s="616"/>
      <c r="AC800" s="351"/>
      <c r="AD800" s="607"/>
      <c r="AE800" s="351"/>
      <c r="AF800" s="616"/>
      <c r="AG800" s="351"/>
      <c r="AH800" s="607"/>
      <c r="AI800" s="351"/>
      <c r="AJ800" s="616"/>
      <c r="AK800" s="351"/>
      <c r="AL800" s="622"/>
      <c r="AM800" s="350"/>
      <c r="AN800" s="350"/>
      <c r="AO800" s="350"/>
      <c r="AP800" s="350"/>
      <c r="AQ800" s="350"/>
      <c r="AR800" s="350"/>
      <c r="AS800" s="350"/>
      <c r="AT800" s="350"/>
      <c r="AU800" s="350"/>
      <c r="AV800" s="350"/>
      <c r="AW800" s="350"/>
      <c r="AX800" s="350"/>
      <c r="AY800" s="350"/>
      <c r="AZ800" s="350"/>
      <c r="BA800" s="350"/>
      <c r="BB800" s="351"/>
    </row>
    <row r="801" spans="1:54" ht="15.75" customHeight="1">
      <c r="A801" s="25">
        <f t="shared" si="3"/>
        <v>788</v>
      </c>
      <c r="B801" s="599" t="str">
        <f>'refer admin discharge'!B797</f>
        <v>x</v>
      </c>
      <c r="C801" s="351"/>
      <c r="D801" s="600" t="str">
        <f>'refer admin discharge'!D797</f>
        <v>xx</v>
      </c>
      <c r="E801" s="351"/>
      <c r="F801" s="609" t="str">
        <f>'refer admin discharge'!H797</f>
        <v>00/00/0000</v>
      </c>
      <c r="G801" s="351"/>
      <c r="H801" s="610"/>
      <c r="I801" s="351"/>
      <c r="J801" s="611"/>
      <c r="K801" s="351"/>
      <c r="L801" s="610"/>
      <c r="M801" s="351"/>
      <c r="N801" s="612"/>
      <c r="O801" s="351"/>
      <c r="P801" s="610"/>
      <c r="Q801" s="351"/>
      <c r="R801" s="612"/>
      <c r="S801" s="351"/>
      <c r="T801" s="610"/>
      <c r="U801" s="351"/>
      <c r="V801" s="613" t="str">
        <f>'refer admin discharge'!H802</f>
        <v>00/00/0000</v>
      </c>
      <c r="W801" s="351"/>
      <c r="X801" s="607"/>
      <c r="Y801" s="351"/>
      <c r="Z801" s="614"/>
      <c r="AA801" s="351"/>
      <c r="AB801" s="607"/>
      <c r="AC801" s="351"/>
      <c r="AD801" s="606"/>
      <c r="AE801" s="351"/>
      <c r="AF801" s="607"/>
      <c r="AG801" s="351"/>
      <c r="AH801" s="606"/>
      <c r="AI801" s="351"/>
      <c r="AJ801" s="607"/>
      <c r="AK801" s="351"/>
      <c r="AL801" s="608"/>
      <c r="AM801" s="350"/>
      <c r="AN801" s="350"/>
      <c r="AO801" s="350"/>
      <c r="AP801" s="350"/>
      <c r="AQ801" s="350"/>
      <c r="AR801" s="350"/>
      <c r="AS801" s="350"/>
      <c r="AT801" s="350"/>
      <c r="AU801" s="350"/>
      <c r="AV801" s="350"/>
      <c r="AW801" s="350"/>
      <c r="AX801" s="350"/>
      <c r="AY801" s="350"/>
      <c r="AZ801" s="350"/>
      <c r="BA801" s="350"/>
      <c r="BB801" s="351"/>
    </row>
    <row r="802" spans="1:54" ht="15.75" customHeight="1">
      <c r="A802" s="25">
        <f t="shared" si="3"/>
        <v>789</v>
      </c>
      <c r="B802" s="618" t="str">
        <f>'refer admin discharge'!B798</f>
        <v>x</v>
      </c>
      <c r="C802" s="351"/>
      <c r="D802" s="619" t="str">
        <f>'refer admin discharge'!D798</f>
        <v>xx</v>
      </c>
      <c r="E802" s="351"/>
      <c r="F802" s="620" t="str">
        <f>'refer admin discharge'!H798</f>
        <v>00/00/0000</v>
      </c>
      <c r="G802" s="351"/>
      <c r="H802" s="615"/>
      <c r="I802" s="351"/>
      <c r="J802" s="621"/>
      <c r="K802" s="351"/>
      <c r="L802" s="615"/>
      <c r="M802" s="351"/>
      <c r="N802" s="610"/>
      <c r="O802" s="351"/>
      <c r="P802" s="615"/>
      <c r="Q802" s="351"/>
      <c r="R802" s="610"/>
      <c r="S802" s="351"/>
      <c r="T802" s="615"/>
      <c r="U802" s="351"/>
      <c r="V802" s="613" t="str">
        <f>'refer admin discharge'!H803</f>
        <v>00/00/0000</v>
      </c>
      <c r="W802" s="351"/>
      <c r="X802" s="616"/>
      <c r="Y802" s="351"/>
      <c r="Z802" s="617"/>
      <c r="AA802" s="351"/>
      <c r="AB802" s="616"/>
      <c r="AC802" s="351"/>
      <c r="AD802" s="607"/>
      <c r="AE802" s="351"/>
      <c r="AF802" s="616"/>
      <c r="AG802" s="351"/>
      <c r="AH802" s="607"/>
      <c r="AI802" s="351"/>
      <c r="AJ802" s="616"/>
      <c r="AK802" s="351"/>
      <c r="AL802" s="622"/>
      <c r="AM802" s="350"/>
      <c r="AN802" s="350"/>
      <c r="AO802" s="350"/>
      <c r="AP802" s="350"/>
      <c r="AQ802" s="350"/>
      <c r="AR802" s="350"/>
      <c r="AS802" s="350"/>
      <c r="AT802" s="350"/>
      <c r="AU802" s="350"/>
      <c r="AV802" s="350"/>
      <c r="AW802" s="350"/>
      <c r="AX802" s="350"/>
      <c r="AY802" s="350"/>
      <c r="AZ802" s="350"/>
      <c r="BA802" s="350"/>
      <c r="BB802" s="351"/>
    </row>
    <row r="803" spans="1:54" ht="15.75" customHeight="1">
      <c r="A803" s="25">
        <f t="shared" si="3"/>
        <v>790</v>
      </c>
      <c r="B803" s="599" t="str">
        <f>'refer admin discharge'!B799</f>
        <v>x</v>
      </c>
      <c r="C803" s="351"/>
      <c r="D803" s="600" t="str">
        <f>'refer admin discharge'!D799</f>
        <v>xx</v>
      </c>
      <c r="E803" s="351"/>
      <c r="F803" s="609" t="str">
        <f>'refer admin discharge'!H799</f>
        <v>00/00/0000</v>
      </c>
      <c r="G803" s="351"/>
      <c r="H803" s="610"/>
      <c r="I803" s="351"/>
      <c r="J803" s="611"/>
      <c r="K803" s="351"/>
      <c r="L803" s="610"/>
      <c r="M803" s="351"/>
      <c r="N803" s="612"/>
      <c r="O803" s="351"/>
      <c r="P803" s="610"/>
      <c r="Q803" s="351"/>
      <c r="R803" s="612"/>
      <c r="S803" s="351"/>
      <c r="T803" s="610"/>
      <c r="U803" s="351"/>
      <c r="V803" s="613" t="str">
        <f>'refer admin discharge'!H804</f>
        <v>00/00/0000</v>
      </c>
      <c r="W803" s="351"/>
      <c r="X803" s="607"/>
      <c r="Y803" s="351"/>
      <c r="Z803" s="614"/>
      <c r="AA803" s="351"/>
      <c r="AB803" s="607"/>
      <c r="AC803" s="351"/>
      <c r="AD803" s="606"/>
      <c r="AE803" s="351"/>
      <c r="AF803" s="607"/>
      <c r="AG803" s="351"/>
      <c r="AH803" s="606"/>
      <c r="AI803" s="351"/>
      <c r="AJ803" s="607"/>
      <c r="AK803" s="351"/>
      <c r="AL803" s="608"/>
      <c r="AM803" s="350"/>
      <c r="AN803" s="350"/>
      <c r="AO803" s="350"/>
      <c r="AP803" s="350"/>
      <c r="AQ803" s="350"/>
      <c r="AR803" s="350"/>
      <c r="AS803" s="350"/>
      <c r="AT803" s="350"/>
      <c r="AU803" s="350"/>
      <c r="AV803" s="350"/>
      <c r="AW803" s="350"/>
      <c r="AX803" s="350"/>
      <c r="AY803" s="350"/>
      <c r="AZ803" s="350"/>
      <c r="BA803" s="350"/>
      <c r="BB803" s="351"/>
    </row>
    <row r="804" spans="1:54" ht="15.75" customHeight="1">
      <c r="A804" s="25">
        <f t="shared" si="3"/>
        <v>791</v>
      </c>
      <c r="B804" s="618" t="str">
        <f>'refer admin discharge'!B800</f>
        <v>x</v>
      </c>
      <c r="C804" s="351"/>
      <c r="D804" s="619" t="str">
        <f>'refer admin discharge'!D800</f>
        <v>xx</v>
      </c>
      <c r="E804" s="351"/>
      <c r="F804" s="620" t="str">
        <f>'refer admin discharge'!H800</f>
        <v>00/00/0000</v>
      </c>
      <c r="G804" s="351"/>
      <c r="H804" s="615"/>
      <c r="I804" s="351"/>
      <c r="J804" s="621"/>
      <c r="K804" s="351"/>
      <c r="L804" s="615"/>
      <c r="M804" s="351"/>
      <c r="N804" s="610"/>
      <c r="O804" s="351"/>
      <c r="P804" s="615"/>
      <c r="Q804" s="351"/>
      <c r="R804" s="610"/>
      <c r="S804" s="351"/>
      <c r="T804" s="615"/>
      <c r="U804" s="351"/>
      <c r="V804" s="613" t="str">
        <f>'refer admin discharge'!H805</f>
        <v>00/00/0000</v>
      </c>
      <c r="W804" s="351"/>
      <c r="X804" s="616"/>
      <c r="Y804" s="351"/>
      <c r="Z804" s="617"/>
      <c r="AA804" s="351"/>
      <c r="AB804" s="616"/>
      <c r="AC804" s="351"/>
      <c r="AD804" s="607"/>
      <c r="AE804" s="351"/>
      <c r="AF804" s="616"/>
      <c r="AG804" s="351"/>
      <c r="AH804" s="607"/>
      <c r="AI804" s="351"/>
      <c r="AJ804" s="616"/>
      <c r="AK804" s="351"/>
      <c r="AL804" s="622"/>
      <c r="AM804" s="350"/>
      <c r="AN804" s="350"/>
      <c r="AO804" s="350"/>
      <c r="AP804" s="350"/>
      <c r="AQ804" s="350"/>
      <c r="AR804" s="350"/>
      <c r="AS804" s="350"/>
      <c r="AT804" s="350"/>
      <c r="AU804" s="350"/>
      <c r="AV804" s="350"/>
      <c r="AW804" s="350"/>
      <c r="AX804" s="350"/>
      <c r="AY804" s="350"/>
      <c r="AZ804" s="350"/>
      <c r="BA804" s="350"/>
      <c r="BB804" s="351"/>
    </row>
    <row r="805" spans="1:54" ht="15.75" customHeight="1">
      <c r="A805" s="25">
        <f t="shared" si="3"/>
        <v>792</v>
      </c>
      <c r="B805" s="599" t="str">
        <f>'refer admin discharge'!B801</f>
        <v>x</v>
      </c>
      <c r="C805" s="351"/>
      <c r="D805" s="600" t="str">
        <f>'refer admin discharge'!D801</f>
        <v>xx</v>
      </c>
      <c r="E805" s="351"/>
      <c r="F805" s="609" t="str">
        <f>'refer admin discharge'!H801</f>
        <v>00/00/0000</v>
      </c>
      <c r="G805" s="351"/>
      <c r="H805" s="610"/>
      <c r="I805" s="351"/>
      <c r="J805" s="611"/>
      <c r="K805" s="351"/>
      <c r="L805" s="610"/>
      <c r="M805" s="351"/>
      <c r="N805" s="612"/>
      <c r="O805" s="351"/>
      <c r="P805" s="610"/>
      <c r="Q805" s="351"/>
      <c r="R805" s="612"/>
      <c r="S805" s="351"/>
      <c r="T805" s="610"/>
      <c r="U805" s="351"/>
      <c r="V805" s="613" t="str">
        <f>'refer admin discharge'!H806</f>
        <v>00/00/0000</v>
      </c>
      <c r="W805" s="351"/>
      <c r="X805" s="607"/>
      <c r="Y805" s="351"/>
      <c r="Z805" s="614"/>
      <c r="AA805" s="351"/>
      <c r="AB805" s="607"/>
      <c r="AC805" s="351"/>
      <c r="AD805" s="606"/>
      <c r="AE805" s="351"/>
      <c r="AF805" s="607"/>
      <c r="AG805" s="351"/>
      <c r="AH805" s="606"/>
      <c r="AI805" s="351"/>
      <c r="AJ805" s="607"/>
      <c r="AK805" s="351"/>
      <c r="AL805" s="608"/>
      <c r="AM805" s="350"/>
      <c r="AN805" s="350"/>
      <c r="AO805" s="350"/>
      <c r="AP805" s="350"/>
      <c r="AQ805" s="350"/>
      <c r="AR805" s="350"/>
      <c r="AS805" s="350"/>
      <c r="AT805" s="350"/>
      <c r="AU805" s="350"/>
      <c r="AV805" s="350"/>
      <c r="AW805" s="350"/>
      <c r="AX805" s="350"/>
      <c r="AY805" s="350"/>
      <c r="AZ805" s="350"/>
      <c r="BA805" s="350"/>
      <c r="BB805" s="351"/>
    </row>
    <row r="806" spans="1:54" ht="15.75" customHeight="1">
      <c r="A806" s="25">
        <f t="shared" si="3"/>
        <v>793</v>
      </c>
      <c r="B806" s="618" t="str">
        <f>'refer admin discharge'!B802</f>
        <v>x</v>
      </c>
      <c r="C806" s="351"/>
      <c r="D806" s="619" t="str">
        <f>'refer admin discharge'!D802</f>
        <v>xx</v>
      </c>
      <c r="E806" s="351"/>
      <c r="F806" s="620" t="str">
        <f>'refer admin discharge'!H802</f>
        <v>00/00/0000</v>
      </c>
      <c r="G806" s="351"/>
      <c r="H806" s="615"/>
      <c r="I806" s="351"/>
      <c r="J806" s="621"/>
      <c r="K806" s="351"/>
      <c r="L806" s="615"/>
      <c r="M806" s="351"/>
      <c r="N806" s="610"/>
      <c r="O806" s="351"/>
      <c r="P806" s="615"/>
      <c r="Q806" s="351"/>
      <c r="R806" s="610"/>
      <c r="S806" s="351"/>
      <c r="T806" s="615"/>
      <c r="U806" s="351"/>
      <c r="V806" s="613" t="str">
        <f>'refer admin discharge'!H807</f>
        <v>00/00/0000</v>
      </c>
      <c r="W806" s="351"/>
      <c r="X806" s="616"/>
      <c r="Y806" s="351"/>
      <c r="Z806" s="617"/>
      <c r="AA806" s="351"/>
      <c r="AB806" s="616"/>
      <c r="AC806" s="351"/>
      <c r="AD806" s="607"/>
      <c r="AE806" s="351"/>
      <c r="AF806" s="616"/>
      <c r="AG806" s="351"/>
      <c r="AH806" s="607"/>
      <c r="AI806" s="351"/>
      <c r="AJ806" s="616"/>
      <c r="AK806" s="351"/>
      <c r="AL806" s="622"/>
      <c r="AM806" s="350"/>
      <c r="AN806" s="350"/>
      <c r="AO806" s="350"/>
      <c r="AP806" s="350"/>
      <c r="AQ806" s="350"/>
      <c r="AR806" s="350"/>
      <c r="AS806" s="350"/>
      <c r="AT806" s="350"/>
      <c r="AU806" s="350"/>
      <c r="AV806" s="350"/>
      <c r="AW806" s="350"/>
      <c r="AX806" s="350"/>
      <c r="AY806" s="350"/>
      <c r="AZ806" s="350"/>
      <c r="BA806" s="350"/>
      <c r="BB806" s="351"/>
    </row>
    <row r="807" spans="1:54" ht="15.75" customHeight="1">
      <c r="A807" s="25">
        <f t="shared" si="3"/>
        <v>794</v>
      </c>
      <c r="B807" s="599" t="str">
        <f>'refer admin discharge'!B803</f>
        <v>x</v>
      </c>
      <c r="C807" s="351"/>
      <c r="D807" s="600" t="str">
        <f>'refer admin discharge'!D803</f>
        <v>xx</v>
      </c>
      <c r="E807" s="351"/>
      <c r="F807" s="609" t="str">
        <f>'refer admin discharge'!H803</f>
        <v>00/00/0000</v>
      </c>
      <c r="G807" s="351"/>
      <c r="H807" s="610"/>
      <c r="I807" s="351"/>
      <c r="J807" s="611"/>
      <c r="K807" s="351"/>
      <c r="L807" s="610"/>
      <c r="M807" s="351"/>
      <c r="N807" s="612"/>
      <c r="O807" s="351"/>
      <c r="P807" s="610"/>
      <c r="Q807" s="351"/>
      <c r="R807" s="612"/>
      <c r="S807" s="351"/>
      <c r="T807" s="610"/>
      <c r="U807" s="351"/>
      <c r="V807" s="613" t="str">
        <f>'refer admin discharge'!H808</f>
        <v>00/00/0000</v>
      </c>
      <c r="W807" s="351"/>
      <c r="X807" s="607"/>
      <c r="Y807" s="351"/>
      <c r="Z807" s="614"/>
      <c r="AA807" s="351"/>
      <c r="AB807" s="607"/>
      <c r="AC807" s="351"/>
      <c r="AD807" s="606"/>
      <c r="AE807" s="351"/>
      <c r="AF807" s="607"/>
      <c r="AG807" s="351"/>
      <c r="AH807" s="606"/>
      <c r="AI807" s="351"/>
      <c r="AJ807" s="607"/>
      <c r="AK807" s="351"/>
      <c r="AL807" s="608"/>
      <c r="AM807" s="350"/>
      <c r="AN807" s="350"/>
      <c r="AO807" s="350"/>
      <c r="AP807" s="350"/>
      <c r="AQ807" s="350"/>
      <c r="AR807" s="350"/>
      <c r="AS807" s="350"/>
      <c r="AT807" s="350"/>
      <c r="AU807" s="350"/>
      <c r="AV807" s="350"/>
      <c r="AW807" s="350"/>
      <c r="AX807" s="350"/>
      <c r="AY807" s="350"/>
      <c r="AZ807" s="350"/>
      <c r="BA807" s="350"/>
      <c r="BB807" s="351"/>
    </row>
    <row r="808" spans="1:54" ht="15.75" customHeight="1">
      <c r="A808" s="25">
        <f t="shared" si="3"/>
        <v>795</v>
      </c>
      <c r="B808" s="618" t="str">
        <f>'refer admin discharge'!B804</f>
        <v>x</v>
      </c>
      <c r="C808" s="351"/>
      <c r="D808" s="619" t="str">
        <f>'refer admin discharge'!D804</f>
        <v>xx</v>
      </c>
      <c r="E808" s="351"/>
      <c r="F808" s="620" t="str">
        <f>'refer admin discharge'!H804</f>
        <v>00/00/0000</v>
      </c>
      <c r="G808" s="351"/>
      <c r="H808" s="615"/>
      <c r="I808" s="351"/>
      <c r="J808" s="621"/>
      <c r="K808" s="351"/>
      <c r="L808" s="615"/>
      <c r="M808" s="351"/>
      <c r="N808" s="610"/>
      <c r="O808" s="351"/>
      <c r="P808" s="615"/>
      <c r="Q808" s="351"/>
      <c r="R808" s="610"/>
      <c r="S808" s="351"/>
      <c r="T808" s="615"/>
      <c r="U808" s="351"/>
      <c r="V808" s="613" t="str">
        <f>'refer admin discharge'!H809</f>
        <v>00/00/0000</v>
      </c>
      <c r="W808" s="351"/>
      <c r="X808" s="616"/>
      <c r="Y808" s="351"/>
      <c r="Z808" s="617"/>
      <c r="AA808" s="351"/>
      <c r="AB808" s="616"/>
      <c r="AC808" s="351"/>
      <c r="AD808" s="607"/>
      <c r="AE808" s="351"/>
      <c r="AF808" s="616"/>
      <c r="AG808" s="351"/>
      <c r="AH808" s="607"/>
      <c r="AI808" s="351"/>
      <c r="AJ808" s="616"/>
      <c r="AK808" s="351"/>
      <c r="AL808" s="622"/>
      <c r="AM808" s="350"/>
      <c r="AN808" s="350"/>
      <c r="AO808" s="350"/>
      <c r="AP808" s="350"/>
      <c r="AQ808" s="350"/>
      <c r="AR808" s="350"/>
      <c r="AS808" s="350"/>
      <c r="AT808" s="350"/>
      <c r="AU808" s="350"/>
      <c r="AV808" s="350"/>
      <c r="AW808" s="350"/>
      <c r="AX808" s="350"/>
      <c r="AY808" s="350"/>
      <c r="AZ808" s="350"/>
      <c r="BA808" s="350"/>
      <c r="BB808" s="351"/>
    </row>
    <row r="809" spans="1:54" ht="15.75" customHeight="1">
      <c r="A809" s="25">
        <f t="shared" si="3"/>
        <v>796</v>
      </c>
      <c r="B809" s="599" t="str">
        <f>'refer admin discharge'!B805</f>
        <v>x</v>
      </c>
      <c r="C809" s="351"/>
      <c r="D809" s="600" t="str">
        <f>'refer admin discharge'!D805</f>
        <v>xx</v>
      </c>
      <c r="E809" s="351"/>
      <c r="F809" s="609" t="str">
        <f>'refer admin discharge'!H805</f>
        <v>00/00/0000</v>
      </c>
      <c r="G809" s="351"/>
      <c r="H809" s="610"/>
      <c r="I809" s="351"/>
      <c r="J809" s="611"/>
      <c r="K809" s="351"/>
      <c r="L809" s="610"/>
      <c r="M809" s="351"/>
      <c r="N809" s="612"/>
      <c r="O809" s="351"/>
      <c r="P809" s="610"/>
      <c r="Q809" s="351"/>
      <c r="R809" s="612"/>
      <c r="S809" s="351"/>
      <c r="T809" s="610"/>
      <c r="U809" s="351"/>
      <c r="V809" s="613" t="str">
        <f>'refer admin discharge'!H810</f>
        <v>00/00/0000</v>
      </c>
      <c r="W809" s="351"/>
      <c r="X809" s="607"/>
      <c r="Y809" s="351"/>
      <c r="Z809" s="614"/>
      <c r="AA809" s="351"/>
      <c r="AB809" s="607"/>
      <c r="AC809" s="351"/>
      <c r="AD809" s="606"/>
      <c r="AE809" s="351"/>
      <c r="AF809" s="607"/>
      <c r="AG809" s="351"/>
      <c r="AH809" s="606"/>
      <c r="AI809" s="351"/>
      <c r="AJ809" s="607"/>
      <c r="AK809" s="351"/>
      <c r="AL809" s="608"/>
      <c r="AM809" s="350"/>
      <c r="AN809" s="350"/>
      <c r="AO809" s="350"/>
      <c r="AP809" s="350"/>
      <c r="AQ809" s="350"/>
      <c r="AR809" s="350"/>
      <c r="AS809" s="350"/>
      <c r="AT809" s="350"/>
      <c r="AU809" s="350"/>
      <c r="AV809" s="350"/>
      <c r="AW809" s="350"/>
      <c r="AX809" s="350"/>
      <c r="AY809" s="350"/>
      <c r="AZ809" s="350"/>
      <c r="BA809" s="350"/>
      <c r="BB809" s="351"/>
    </row>
    <row r="810" spans="1:54" ht="15.75" customHeight="1">
      <c r="A810" s="25">
        <f t="shared" si="3"/>
        <v>797</v>
      </c>
      <c r="B810" s="618" t="str">
        <f>'refer admin discharge'!B806</f>
        <v>x</v>
      </c>
      <c r="C810" s="351"/>
      <c r="D810" s="619" t="str">
        <f>'refer admin discharge'!D806</f>
        <v>xx</v>
      </c>
      <c r="E810" s="351"/>
      <c r="F810" s="620" t="str">
        <f>'refer admin discharge'!H806</f>
        <v>00/00/0000</v>
      </c>
      <c r="G810" s="351"/>
      <c r="H810" s="615"/>
      <c r="I810" s="351"/>
      <c r="J810" s="621"/>
      <c r="K810" s="351"/>
      <c r="L810" s="615"/>
      <c r="M810" s="351"/>
      <c r="N810" s="610"/>
      <c r="O810" s="351"/>
      <c r="P810" s="615"/>
      <c r="Q810" s="351"/>
      <c r="R810" s="610"/>
      <c r="S810" s="351"/>
      <c r="T810" s="615"/>
      <c r="U810" s="351"/>
      <c r="V810" s="613" t="str">
        <f>'refer admin discharge'!H811</f>
        <v>00/00/0000</v>
      </c>
      <c r="W810" s="351"/>
      <c r="X810" s="616"/>
      <c r="Y810" s="351"/>
      <c r="Z810" s="617"/>
      <c r="AA810" s="351"/>
      <c r="AB810" s="616"/>
      <c r="AC810" s="351"/>
      <c r="AD810" s="607"/>
      <c r="AE810" s="351"/>
      <c r="AF810" s="616"/>
      <c r="AG810" s="351"/>
      <c r="AH810" s="607"/>
      <c r="AI810" s="351"/>
      <c r="AJ810" s="616"/>
      <c r="AK810" s="351"/>
      <c r="AL810" s="622"/>
      <c r="AM810" s="350"/>
      <c r="AN810" s="350"/>
      <c r="AO810" s="350"/>
      <c r="AP810" s="350"/>
      <c r="AQ810" s="350"/>
      <c r="AR810" s="350"/>
      <c r="AS810" s="350"/>
      <c r="AT810" s="350"/>
      <c r="AU810" s="350"/>
      <c r="AV810" s="350"/>
      <c r="AW810" s="350"/>
      <c r="AX810" s="350"/>
      <c r="AY810" s="350"/>
      <c r="AZ810" s="350"/>
      <c r="BA810" s="350"/>
      <c r="BB810" s="351"/>
    </row>
    <row r="811" spans="1:54" ht="15.75" customHeight="1">
      <c r="A811" s="25">
        <f t="shared" si="3"/>
        <v>798</v>
      </c>
      <c r="B811" s="599" t="str">
        <f>'refer admin discharge'!B807</f>
        <v>x</v>
      </c>
      <c r="C811" s="351"/>
      <c r="D811" s="600" t="str">
        <f>'refer admin discharge'!D807</f>
        <v>xx</v>
      </c>
      <c r="E811" s="351"/>
      <c r="F811" s="609" t="str">
        <f>'refer admin discharge'!H807</f>
        <v>00/00/0000</v>
      </c>
      <c r="G811" s="351"/>
      <c r="H811" s="610"/>
      <c r="I811" s="351"/>
      <c r="J811" s="611"/>
      <c r="K811" s="351"/>
      <c r="L811" s="610"/>
      <c r="M811" s="351"/>
      <c r="N811" s="612"/>
      <c r="O811" s="351"/>
      <c r="P811" s="610"/>
      <c r="Q811" s="351"/>
      <c r="R811" s="612"/>
      <c r="S811" s="351"/>
      <c r="T811" s="610"/>
      <c r="U811" s="351"/>
      <c r="V811" s="613" t="str">
        <f>'refer admin discharge'!H812</f>
        <v>00/00/0000</v>
      </c>
      <c r="W811" s="351"/>
      <c r="X811" s="607"/>
      <c r="Y811" s="351"/>
      <c r="Z811" s="614"/>
      <c r="AA811" s="351"/>
      <c r="AB811" s="607"/>
      <c r="AC811" s="351"/>
      <c r="AD811" s="606"/>
      <c r="AE811" s="351"/>
      <c r="AF811" s="607"/>
      <c r="AG811" s="351"/>
      <c r="AH811" s="606"/>
      <c r="AI811" s="351"/>
      <c r="AJ811" s="607"/>
      <c r="AK811" s="351"/>
      <c r="AL811" s="608"/>
      <c r="AM811" s="350"/>
      <c r="AN811" s="350"/>
      <c r="AO811" s="350"/>
      <c r="AP811" s="350"/>
      <c r="AQ811" s="350"/>
      <c r="AR811" s="350"/>
      <c r="AS811" s="350"/>
      <c r="AT811" s="350"/>
      <c r="AU811" s="350"/>
      <c r="AV811" s="350"/>
      <c r="AW811" s="350"/>
      <c r="AX811" s="350"/>
      <c r="AY811" s="350"/>
      <c r="AZ811" s="350"/>
      <c r="BA811" s="350"/>
      <c r="BB811" s="351"/>
    </row>
    <row r="812" spans="1:54" ht="15.75" customHeight="1">
      <c r="A812" s="25">
        <f t="shared" si="3"/>
        <v>799</v>
      </c>
      <c r="B812" s="618" t="str">
        <f>'refer admin discharge'!B808</f>
        <v>x</v>
      </c>
      <c r="C812" s="351"/>
      <c r="D812" s="619" t="str">
        <f>'refer admin discharge'!D808</f>
        <v>xx</v>
      </c>
      <c r="E812" s="351"/>
      <c r="F812" s="620" t="str">
        <f>'refer admin discharge'!H808</f>
        <v>00/00/0000</v>
      </c>
      <c r="G812" s="351"/>
      <c r="H812" s="615"/>
      <c r="I812" s="351"/>
      <c r="J812" s="621"/>
      <c r="K812" s="351"/>
      <c r="L812" s="615"/>
      <c r="M812" s="351"/>
      <c r="N812" s="610"/>
      <c r="O812" s="351"/>
      <c r="P812" s="615"/>
      <c r="Q812" s="351"/>
      <c r="R812" s="610"/>
      <c r="S812" s="351"/>
      <c r="T812" s="615"/>
      <c r="U812" s="351"/>
      <c r="V812" s="613" t="str">
        <f>'refer admin discharge'!H813</f>
        <v>00/00/0000</v>
      </c>
      <c r="W812" s="351"/>
      <c r="X812" s="616"/>
      <c r="Y812" s="351"/>
      <c r="Z812" s="617"/>
      <c r="AA812" s="351"/>
      <c r="AB812" s="616"/>
      <c r="AC812" s="351"/>
      <c r="AD812" s="607"/>
      <c r="AE812" s="351"/>
      <c r="AF812" s="616"/>
      <c r="AG812" s="351"/>
      <c r="AH812" s="607"/>
      <c r="AI812" s="351"/>
      <c r="AJ812" s="616"/>
      <c r="AK812" s="351"/>
      <c r="AL812" s="622"/>
      <c r="AM812" s="350"/>
      <c r="AN812" s="350"/>
      <c r="AO812" s="350"/>
      <c r="AP812" s="350"/>
      <c r="AQ812" s="350"/>
      <c r="AR812" s="350"/>
      <c r="AS812" s="350"/>
      <c r="AT812" s="350"/>
      <c r="AU812" s="350"/>
      <c r="AV812" s="350"/>
      <c r="AW812" s="350"/>
      <c r="AX812" s="350"/>
      <c r="AY812" s="350"/>
      <c r="AZ812" s="350"/>
      <c r="BA812" s="350"/>
      <c r="BB812" s="351"/>
    </row>
    <row r="813" spans="1:54" ht="15.75" customHeight="1">
      <c r="A813" s="25">
        <f t="shared" si="3"/>
        <v>800</v>
      </c>
      <c r="B813" s="599" t="str">
        <f>'refer admin discharge'!B809</f>
        <v>x</v>
      </c>
      <c r="C813" s="351"/>
      <c r="D813" s="600" t="str">
        <f>'refer admin discharge'!D809</f>
        <v>xx</v>
      </c>
      <c r="E813" s="351"/>
      <c r="F813" s="609" t="str">
        <f>'refer admin discharge'!H809</f>
        <v>00/00/0000</v>
      </c>
      <c r="G813" s="351"/>
      <c r="H813" s="610"/>
      <c r="I813" s="351"/>
      <c r="J813" s="611"/>
      <c r="K813" s="351"/>
      <c r="L813" s="610"/>
      <c r="M813" s="351"/>
      <c r="N813" s="612"/>
      <c r="O813" s="351"/>
      <c r="P813" s="610"/>
      <c r="Q813" s="351"/>
      <c r="R813" s="612"/>
      <c r="S813" s="351"/>
      <c r="T813" s="610"/>
      <c r="U813" s="351"/>
      <c r="V813" s="613" t="str">
        <f>'refer admin discharge'!H814</f>
        <v>00/00/0000</v>
      </c>
      <c r="W813" s="351"/>
      <c r="X813" s="607"/>
      <c r="Y813" s="351"/>
      <c r="Z813" s="614"/>
      <c r="AA813" s="351"/>
      <c r="AB813" s="607"/>
      <c r="AC813" s="351"/>
      <c r="AD813" s="606"/>
      <c r="AE813" s="351"/>
      <c r="AF813" s="607"/>
      <c r="AG813" s="351"/>
      <c r="AH813" s="606"/>
      <c r="AI813" s="351"/>
      <c r="AJ813" s="607"/>
      <c r="AK813" s="351"/>
      <c r="AL813" s="608"/>
      <c r="AM813" s="350"/>
      <c r="AN813" s="350"/>
      <c r="AO813" s="350"/>
      <c r="AP813" s="350"/>
      <c r="AQ813" s="350"/>
      <c r="AR813" s="350"/>
      <c r="AS813" s="350"/>
      <c r="AT813" s="350"/>
      <c r="AU813" s="350"/>
      <c r="AV813" s="350"/>
      <c r="AW813" s="350"/>
      <c r="AX813" s="350"/>
      <c r="AY813" s="350"/>
      <c r="AZ813" s="350"/>
      <c r="BA813" s="350"/>
      <c r="BB813" s="351"/>
    </row>
    <row r="814" spans="1:54" ht="15.75" customHeight="1">
      <c r="A814" s="25">
        <f t="shared" si="3"/>
        <v>801</v>
      </c>
      <c r="B814" s="618" t="str">
        <f>'refer admin discharge'!B810</f>
        <v>x</v>
      </c>
      <c r="C814" s="351"/>
      <c r="D814" s="619" t="str">
        <f>'refer admin discharge'!D810</f>
        <v>xx</v>
      </c>
      <c r="E814" s="351"/>
      <c r="F814" s="620" t="str">
        <f>'refer admin discharge'!H810</f>
        <v>00/00/0000</v>
      </c>
      <c r="G814" s="351"/>
      <c r="H814" s="615"/>
      <c r="I814" s="351"/>
      <c r="J814" s="621"/>
      <c r="K814" s="351"/>
      <c r="L814" s="615"/>
      <c r="M814" s="351"/>
      <c r="N814" s="610"/>
      <c r="O814" s="351"/>
      <c r="P814" s="615"/>
      <c r="Q814" s="351"/>
      <c r="R814" s="610"/>
      <c r="S814" s="351"/>
      <c r="T814" s="615"/>
      <c r="U814" s="351"/>
      <c r="V814" s="613" t="str">
        <f>'refer admin discharge'!H815</f>
        <v>00/00/0000</v>
      </c>
      <c r="W814" s="351"/>
      <c r="X814" s="616"/>
      <c r="Y814" s="351"/>
      <c r="Z814" s="617"/>
      <c r="AA814" s="351"/>
      <c r="AB814" s="616"/>
      <c r="AC814" s="351"/>
      <c r="AD814" s="607"/>
      <c r="AE814" s="351"/>
      <c r="AF814" s="616"/>
      <c r="AG814" s="351"/>
      <c r="AH814" s="607"/>
      <c r="AI814" s="351"/>
      <c r="AJ814" s="616"/>
      <c r="AK814" s="351"/>
      <c r="AL814" s="622"/>
      <c r="AM814" s="350"/>
      <c r="AN814" s="350"/>
      <c r="AO814" s="350"/>
      <c r="AP814" s="350"/>
      <c r="AQ814" s="350"/>
      <c r="AR814" s="350"/>
      <c r="AS814" s="350"/>
      <c r="AT814" s="350"/>
      <c r="AU814" s="350"/>
      <c r="AV814" s="350"/>
      <c r="AW814" s="350"/>
      <c r="AX814" s="350"/>
      <c r="AY814" s="350"/>
      <c r="AZ814" s="350"/>
      <c r="BA814" s="350"/>
      <c r="BB814" s="351"/>
    </row>
    <row r="815" spans="1:54" ht="15.75" customHeight="1">
      <c r="A815" s="25">
        <f t="shared" si="3"/>
        <v>802</v>
      </c>
      <c r="B815" s="599" t="str">
        <f>'refer admin discharge'!B811</f>
        <v>x</v>
      </c>
      <c r="C815" s="351"/>
      <c r="D815" s="600" t="str">
        <f>'refer admin discharge'!D811</f>
        <v>xx</v>
      </c>
      <c r="E815" s="351"/>
      <c r="F815" s="609" t="str">
        <f>'refer admin discharge'!H811</f>
        <v>00/00/0000</v>
      </c>
      <c r="G815" s="351"/>
      <c r="H815" s="610"/>
      <c r="I815" s="351"/>
      <c r="J815" s="611"/>
      <c r="K815" s="351"/>
      <c r="L815" s="610"/>
      <c r="M815" s="351"/>
      <c r="N815" s="612"/>
      <c r="O815" s="351"/>
      <c r="P815" s="610"/>
      <c r="Q815" s="351"/>
      <c r="R815" s="612"/>
      <c r="S815" s="351"/>
      <c r="T815" s="610"/>
      <c r="U815" s="351"/>
      <c r="V815" s="613" t="str">
        <f>'refer admin discharge'!H816</f>
        <v>00/00/0000</v>
      </c>
      <c r="W815" s="351"/>
      <c r="X815" s="607"/>
      <c r="Y815" s="351"/>
      <c r="Z815" s="614"/>
      <c r="AA815" s="351"/>
      <c r="AB815" s="607"/>
      <c r="AC815" s="351"/>
      <c r="AD815" s="606"/>
      <c r="AE815" s="351"/>
      <c r="AF815" s="607"/>
      <c r="AG815" s="351"/>
      <c r="AH815" s="606"/>
      <c r="AI815" s="351"/>
      <c r="AJ815" s="607"/>
      <c r="AK815" s="351"/>
      <c r="AL815" s="608"/>
      <c r="AM815" s="350"/>
      <c r="AN815" s="350"/>
      <c r="AO815" s="350"/>
      <c r="AP815" s="350"/>
      <c r="AQ815" s="350"/>
      <c r="AR815" s="350"/>
      <c r="AS815" s="350"/>
      <c r="AT815" s="350"/>
      <c r="AU815" s="350"/>
      <c r="AV815" s="350"/>
      <c r="AW815" s="350"/>
      <c r="AX815" s="350"/>
      <c r="AY815" s="350"/>
      <c r="AZ815" s="350"/>
      <c r="BA815" s="350"/>
      <c r="BB815" s="351"/>
    </row>
    <row r="816" spans="1:54" ht="15.75" customHeight="1">
      <c r="A816" s="25">
        <f t="shared" si="3"/>
        <v>803</v>
      </c>
      <c r="B816" s="618" t="str">
        <f>'refer admin discharge'!B812</f>
        <v>x</v>
      </c>
      <c r="C816" s="351"/>
      <c r="D816" s="619" t="str">
        <f>'refer admin discharge'!D812</f>
        <v>xx</v>
      </c>
      <c r="E816" s="351"/>
      <c r="F816" s="620" t="str">
        <f>'refer admin discharge'!H812</f>
        <v>00/00/0000</v>
      </c>
      <c r="G816" s="351"/>
      <c r="H816" s="615"/>
      <c r="I816" s="351"/>
      <c r="J816" s="621"/>
      <c r="K816" s="351"/>
      <c r="L816" s="615"/>
      <c r="M816" s="351"/>
      <c r="N816" s="610"/>
      <c r="O816" s="351"/>
      <c r="P816" s="615"/>
      <c r="Q816" s="351"/>
      <c r="R816" s="610"/>
      <c r="S816" s="351"/>
      <c r="T816" s="615"/>
      <c r="U816" s="351"/>
      <c r="V816" s="613" t="str">
        <f>'refer admin discharge'!H817</f>
        <v>00/00/0000</v>
      </c>
      <c r="W816" s="351"/>
      <c r="X816" s="616"/>
      <c r="Y816" s="351"/>
      <c r="Z816" s="617"/>
      <c r="AA816" s="351"/>
      <c r="AB816" s="616"/>
      <c r="AC816" s="351"/>
      <c r="AD816" s="607"/>
      <c r="AE816" s="351"/>
      <c r="AF816" s="616"/>
      <c r="AG816" s="351"/>
      <c r="AH816" s="607"/>
      <c r="AI816" s="351"/>
      <c r="AJ816" s="616"/>
      <c r="AK816" s="351"/>
      <c r="AL816" s="622"/>
      <c r="AM816" s="350"/>
      <c r="AN816" s="350"/>
      <c r="AO816" s="350"/>
      <c r="AP816" s="350"/>
      <c r="AQ816" s="350"/>
      <c r="AR816" s="350"/>
      <c r="AS816" s="350"/>
      <c r="AT816" s="350"/>
      <c r="AU816" s="350"/>
      <c r="AV816" s="350"/>
      <c r="AW816" s="350"/>
      <c r="AX816" s="350"/>
      <c r="AY816" s="350"/>
      <c r="AZ816" s="350"/>
      <c r="BA816" s="350"/>
      <c r="BB816" s="351"/>
    </row>
    <row r="817" spans="1:54" ht="15.75" customHeight="1">
      <c r="A817" s="25">
        <f t="shared" si="3"/>
        <v>804</v>
      </c>
      <c r="B817" s="599" t="str">
        <f>'refer admin discharge'!B813</f>
        <v>x</v>
      </c>
      <c r="C817" s="351"/>
      <c r="D817" s="600" t="str">
        <f>'refer admin discharge'!D813</f>
        <v>xx</v>
      </c>
      <c r="E817" s="351"/>
      <c r="F817" s="609" t="str">
        <f>'refer admin discharge'!H813</f>
        <v>00/00/0000</v>
      </c>
      <c r="G817" s="351"/>
      <c r="H817" s="610"/>
      <c r="I817" s="351"/>
      <c r="J817" s="611"/>
      <c r="K817" s="351"/>
      <c r="L817" s="610"/>
      <c r="M817" s="351"/>
      <c r="N817" s="612"/>
      <c r="O817" s="351"/>
      <c r="P817" s="610"/>
      <c r="Q817" s="351"/>
      <c r="R817" s="612"/>
      <c r="S817" s="351"/>
      <c r="T817" s="610"/>
      <c r="U817" s="351"/>
      <c r="V817" s="613" t="str">
        <f>'refer admin discharge'!H818</f>
        <v>00/00/0000</v>
      </c>
      <c r="W817" s="351"/>
      <c r="X817" s="607"/>
      <c r="Y817" s="351"/>
      <c r="Z817" s="614"/>
      <c r="AA817" s="351"/>
      <c r="AB817" s="607"/>
      <c r="AC817" s="351"/>
      <c r="AD817" s="606"/>
      <c r="AE817" s="351"/>
      <c r="AF817" s="607"/>
      <c r="AG817" s="351"/>
      <c r="AH817" s="606"/>
      <c r="AI817" s="351"/>
      <c r="AJ817" s="607"/>
      <c r="AK817" s="351"/>
      <c r="AL817" s="608"/>
      <c r="AM817" s="350"/>
      <c r="AN817" s="350"/>
      <c r="AO817" s="350"/>
      <c r="AP817" s="350"/>
      <c r="AQ817" s="350"/>
      <c r="AR817" s="350"/>
      <c r="AS817" s="350"/>
      <c r="AT817" s="350"/>
      <c r="AU817" s="350"/>
      <c r="AV817" s="350"/>
      <c r="AW817" s="350"/>
      <c r="AX817" s="350"/>
      <c r="AY817" s="350"/>
      <c r="AZ817" s="350"/>
      <c r="BA817" s="350"/>
      <c r="BB817" s="351"/>
    </row>
    <row r="818" spans="1:54" ht="15.75" customHeight="1">
      <c r="A818" s="25">
        <f t="shared" si="3"/>
        <v>805</v>
      </c>
      <c r="B818" s="618" t="str">
        <f>'refer admin discharge'!B814</f>
        <v>x</v>
      </c>
      <c r="C818" s="351"/>
      <c r="D818" s="619" t="str">
        <f>'refer admin discharge'!D814</f>
        <v>xx</v>
      </c>
      <c r="E818" s="351"/>
      <c r="F818" s="620" t="str">
        <f>'refer admin discharge'!H814</f>
        <v>00/00/0000</v>
      </c>
      <c r="G818" s="351"/>
      <c r="H818" s="615"/>
      <c r="I818" s="351"/>
      <c r="J818" s="621"/>
      <c r="K818" s="351"/>
      <c r="L818" s="615"/>
      <c r="M818" s="351"/>
      <c r="N818" s="610"/>
      <c r="O818" s="351"/>
      <c r="P818" s="615"/>
      <c r="Q818" s="351"/>
      <c r="R818" s="610"/>
      <c r="S818" s="351"/>
      <c r="T818" s="615"/>
      <c r="U818" s="351"/>
      <c r="V818" s="613" t="str">
        <f>'refer admin discharge'!H819</f>
        <v>00/00/0000</v>
      </c>
      <c r="W818" s="351"/>
      <c r="X818" s="616"/>
      <c r="Y818" s="351"/>
      <c r="Z818" s="617"/>
      <c r="AA818" s="351"/>
      <c r="AB818" s="616"/>
      <c r="AC818" s="351"/>
      <c r="AD818" s="607"/>
      <c r="AE818" s="351"/>
      <c r="AF818" s="616"/>
      <c r="AG818" s="351"/>
      <c r="AH818" s="607"/>
      <c r="AI818" s="351"/>
      <c r="AJ818" s="616"/>
      <c r="AK818" s="351"/>
      <c r="AL818" s="622"/>
      <c r="AM818" s="350"/>
      <c r="AN818" s="350"/>
      <c r="AO818" s="350"/>
      <c r="AP818" s="350"/>
      <c r="AQ818" s="350"/>
      <c r="AR818" s="350"/>
      <c r="AS818" s="350"/>
      <c r="AT818" s="350"/>
      <c r="AU818" s="350"/>
      <c r="AV818" s="350"/>
      <c r="AW818" s="350"/>
      <c r="AX818" s="350"/>
      <c r="AY818" s="350"/>
      <c r="AZ818" s="350"/>
      <c r="BA818" s="350"/>
      <c r="BB818" s="351"/>
    </row>
    <row r="819" spans="1:54" ht="15.75" customHeight="1">
      <c r="A819" s="25">
        <f t="shared" si="3"/>
        <v>806</v>
      </c>
      <c r="B819" s="599" t="str">
        <f>'refer admin discharge'!B815</f>
        <v>x</v>
      </c>
      <c r="C819" s="351"/>
      <c r="D819" s="600" t="str">
        <f>'refer admin discharge'!D815</f>
        <v>xx</v>
      </c>
      <c r="E819" s="351"/>
      <c r="F819" s="609" t="str">
        <f>'refer admin discharge'!H815</f>
        <v>00/00/0000</v>
      </c>
      <c r="G819" s="351"/>
      <c r="H819" s="610"/>
      <c r="I819" s="351"/>
      <c r="J819" s="611"/>
      <c r="K819" s="351"/>
      <c r="L819" s="610"/>
      <c r="M819" s="351"/>
      <c r="N819" s="612"/>
      <c r="O819" s="351"/>
      <c r="P819" s="610"/>
      <c r="Q819" s="351"/>
      <c r="R819" s="612"/>
      <c r="S819" s="351"/>
      <c r="T819" s="610"/>
      <c r="U819" s="351"/>
      <c r="V819" s="613" t="str">
        <f>'refer admin discharge'!H820</f>
        <v>00/00/0000</v>
      </c>
      <c r="W819" s="351"/>
      <c r="X819" s="607"/>
      <c r="Y819" s="351"/>
      <c r="Z819" s="614"/>
      <c r="AA819" s="351"/>
      <c r="AB819" s="607"/>
      <c r="AC819" s="351"/>
      <c r="AD819" s="606"/>
      <c r="AE819" s="351"/>
      <c r="AF819" s="607"/>
      <c r="AG819" s="351"/>
      <c r="AH819" s="606"/>
      <c r="AI819" s="351"/>
      <c r="AJ819" s="607"/>
      <c r="AK819" s="351"/>
      <c r="AL819" s="608"/>
      <c r="AM819" s="350"/>
      <c r="AN819" s="350"/>
      <c r="AO819" s="350"/>
      <c r="AP819" s="350"/>
      <c r="AQ819" s="350"/>
      <c r="AR819" s="350"/>
      <c r="AS819" s="350"/>
      <c r="AT819" s="350"/>
      <c r="AU819" s="350"/>
      <c r="AV819" s="350"/>
      <c r="AW819" s="350"/>
      <c r="AX819" s="350"/>
      <c r="AY819" s="350"/>
      <c r="AZ819" s="350"/>
      <c r="BA819" s="350"/>
      <c r="BB819" s="351"/>
    </row>
    <row r="820" spans="1:54" ht="15.75" customHeight="1">
      <c r="A820" s="25">
        <f t="shared" si="3"/>
        <v>807</v>
      </c>
      <c r="B820" s="618" t="str">
        <f>'refer admin discharge'!B816</f>
        <v>x</v>
      </c>
      <c r="C820" s="351"/>
      <c r="D820" s="619" t="str">
        <f>'refer admin discharge'!D816</f>
        <v>xx</v>
      </c>
      <c r="E820" s="351"/>
      <c r="F820" s="620" t="str">
        <f>'refer admin discharge'!H816</f>
        <v>00/00/0000</v>
      </c>
      <c r="G820" s="351"/>
      <c r="H820" s="615"/>
      <c r="I820" s="351"/>
      <c r="J820" s="621"/>
      <c r="K820" s="351"/>
      <c r="L820" s="615"/>
      <c r="M820" s="351"/>
      <c r="N820" s="610"/>
      <c r="O820" s="351"/>
      <c r="P820" s="615"/>
      <c r="Q820" s="351"/>
      <c r="R820" s="610"/>
      <c r="S820" s="351"/>
      <c r="T820" s="615"/>
      <c r="U820" s="351"/>
      <c r="V820" s="613" t="str">
        <f>'refer admin discharge'!H821</f>
        <v>00/00/0000</v>
      </c>
      <c r="W820" s="351"/>
      <c r="X820" s="616"/>
      <c r="Y820" s="351"/>
      <c r="Z820" s="617"/>
      <c r="AA820" s="351"/>
      <c r="AB820" s="616"/>
      <c r="AC820" s="351"/>
      <c r="AD820" s="607"/>
      <c r="AE820" s="351"/>
      <c r="AF820" s="616"/>
      <c r="AG820" s="351"/>
      <c r="AH820" s="607"/>
      <c r="AI820" s="351"/>
      <c r="AJ820" s="616"/>
      <c r="AK820" s="351"/>
      <c r="AL820" s="622"/>
      <c r="AM820" s="350"/>
      <c r="AN820" s="350"/>
      <c r="AO820" s="350"/>
      <c r="AP820" s="350"/>
      <c r="AQ820" s="350"/>
      <c r="AR820" s="350"/>
      <c r="AS820" s="350"/>
      <c r="AT820" s="350"/>
      <c r="AU820" s="350"/>
      <c r="AV820" s="350"/>
      <c r="AW820" s="350"/>
      <c r="AX820" s="350"/>
      <c r="AY820" s="350"/>
      <c r="AZ820" s="350"/>
      <c r="BA820" s="350"/>
      <c r="BB820" s="351"/>
    </row>
    <row r="821" spans="1:54" ht="15.75" customHeight="1">
      <c r="A821" s="25">
        <f t="shared" si="3"/>
        <v>808</v>
      </c>
      <c r="B821" s="599" t="str">
        <f>'refer admin discharge'!B817</f>
        <v>x</v>
      </c>
      <c r="C821" s="351"/>
      <c r="D821" s="600" t="str">
        <f>'refer admin discharge'!D817</f>
        <v>xx</v>
      </c>
      <c r="E821" s="351"/>
      <c r="F821" s="609" t="str">
        <f>'refer admin discharge'!H817</f>
        <v>00/00/0000</v>
      </c>
      <c r="G821" s="351"/>
      <c r="H821" s="610"/>
      <c r="I821" s="351"/>
      <c r="J821" s="611"/>
      <c r="K821" s="351"/>
      <c r="L821" s="610"/>
      <c r="M821" s="351"/>
      <c r="N821" s="612"/>
      <c r="O821" s="351"/>
      <c r="P821" s="610"/>
      <c r="Q821" s="351"/>
      <c r="R821" s="612"/>
      <c r="S821" s="351"/>
      <c r="T821" s="610"/>
      <c r="U821" s="351"/>
      <c r="V821" s="613" t="str">
        <f>'refer admin discharge'!H822</f>
        <v>00/00/0000</v>
      </c>
      <c r="W821" s="351"/>
      <c r="X821" s="607"/>
      <c r="Y821" s="351"/>
      <c r="Z821" s="614"/>
      <c r="AA821" s="351"/>
      <c r="AB821" s="607"/>
      <c r="AC821" s="351"/>
      <c r="AD821" s="606"/>
      <c r="AE821" s="351"/>
      <c r="AF821" s="607"/>
      <c r="AG821" s="351"/>
      <c r="AH821" s="606"/>
      <c r="AI821" s="351"/>
      <c r="AJ821" s="607"/>
      <c r="AK821" s="351"/>
      <c r="AL821" s="608"/>
      <c r="AM821" s="350"/>
      <c r="AN821" s="350"/>
      <c r="AO821" s="350"/>
      <c r="AP821" s="350"/>
      <c r="AQ821" s="350"/>
      <c r="AR821" s="350"/>
      <c r="AS821" s="350"/>
      <c r="AT821" s="350"/>
      <c r="AU821" s="350"/>
      <c r="AV821" s="350"/>
      <c r="AW821" s="350"/>
      <c r="AX821" s="350"/>
      <c r="AY821" s="350"/>
      <c r="AZ821" s="350"/>
      <c r="BA821" s="350"/>
      <c r="BB821" s="351"/>
    </row>
    <row r="822" spans="1:54" ht="15.75" customHeight="1">
      <c r="A822" s="25">
        <f t="shared" si="3"/>
        <v>809</v>
      </c>
      <c r="B822" s="618" t="str">
        <f>'refer admin discharge'!B818</f>
        <v>x</v>
      </c>
      <c r="C822" s="351"/>
      <c r="D822" s="619" t="str">
        <f>'refer admin discharge'!D818</f>
        <v>xx</v>
      </c>
      <c r="E822" s="351"/>
      <c r="F822" s="620" t="str">
        <f>'refer admin discharge'!H818</f>
        <v>00/00/0000</v>
      </c>
      <c r="G822" s="351"/>
      <c r="H822" s="615"/>
      <c r="I822" s="351"/>
      <c r="J822" s="621"/>
      <c r="K822" s="351"/>
      <c r="L822" s="615"/>
      <c r="M822" s="351"/>
      <c r="N822" s="610"/>
      <c r="O822" s="351"/>
      <c r="P822" s="615"/>
      <c r="Q822" s="351"/>
      <c r="R822" s="610"/>
      <c r="S822" s="351"/>
      <c r="T822" s="615"/>
      <c r="U822" s="351"/>
      <c r="V822" s="613" t="str">
        <f>'refer admin discharge'!H823</f>
        <v>00/00/0000</v>
      </c>
      <c r="W822" s="351"/>
      <c r="X822" s="616"/>
      <c r="Y822" s="351"/>
      <c r="Z822" s="617"/>
      <c r="AA822" s="351"/>
      <c r="AB822" s="616"/>
      <c r="AC822" s="351"/>
      <c r="AD822" s="607"/>
      <c r="AE822" s="351"/>
      <c r="AF822" s="616"/>
      <c r="AG822" s="351"/>
      <c r="AH822" s="607"/>
      <c r="AI822" s="351"/>
      <c r="AJ822" s="616"/>
      <c r="AK822" s="351"/>
      <c r="AL822" s="622"/>
      <c r="AM822" s="350"/>
      <c r="AN822" s="350"/>
      <c r="AO822" s="350"/>
      <c r="AP822" s="350"/>
      <c r="AQ822" s="350"/>
      <c r="AR822" s="350"/>
      <c r="AS822" s="350"/>
      <c r="AT822" s="350"/>
      <c r="AU822" s="350"/>
      <c r="AV822" s="350"/>
      <c r="AW822" s="350"/>
      <c r="AX822" s="350"/>
      <c r="AY822" s="350"/>
      <c r="AZ822" s="350"/>
      <c r="BA822" s="350"/>
      <c r="BB822" s="351"/>
    </row>
    <row r="823" spans="1:54" ht="15.75" customHeight="1">
      <c r="A823" s="25">
        <f t="shared" si="3"/>
        <v>810</v>
      </c>
      <c r="B823" s="599" t="str">
        <f>'refer admin discharge'!B819</f>
        <v>x</v>
      </c>
      <c r="C823" s="351"/>
      <c r="D823" s="600" t="str">
        <f>'refer admin discharge'!D819</f>
        <v>xx</v>
      </c>
      <c r="E823" s="351"/>
      <c r="F823" s="609" t="str">
        <f>'refer admin discharge'!H819</f>
        <v>00/00/0000</v>
      </c>
      <c r="G823" s="351"/>
      <c r="H823" s="610"/>
      <c r="I823" s="351"/>
      <c r="J823" s="611"/>
      <c r="K823" s="351"/>
      <c r="L823" s="610"/>
      <c r="M823" s="351"/>
      <c r="N823" s="612"/>
      <c r="O823" s="351"/>
      <c r="P823" s="610"/>
      <c r="Q823" s="351"/>
      <c r="R823" s="612"/>
      <c r="S823" s="351"/>
      <c r="T823" s="610"/>
      <c r="U823" s="351"/>
      <c r="V823" s="613" t="str">
        <f>'refer admin discharge'!H824</f>
        <v>00/00/0000</v>
      </c>
      <c r="W823" s="351"/>
      <c r="X823" s="607"/>
      <c r="Y823" s="351"/>
      <c r="Z823" s="614"/>
      <c r="AA823" s="351"/>
      <c r="AB823" s="607"/>
      <c r="AC823" s="351"/>
      <c r="AD823" s="606"/>
      <c r="AE823" s="351"/>
      <c r="AF823" s="607"/>
      <c r="AG823" s="351"/>
      <c r="AH823" s="606"/>
      <c r="AI823" s="351"/>
      <c r="AJ823" s="607"/>
      <c r="AK823" s="351"/>
      <c r="AL823" s="608"/>
      <c r="AM823" s="350"/>
      <c r="AN823" s="350"/>
      <c r="AO823" s="350"/>
      <c r="AP823" s="350"/>
      <c r="AQ823" s="350"/>
      <c r="AR823" s="350"/>
      <c r="AS823" s="350"/>
      <c r="AT823" s="350"/>
      <c r="AU823" s="350"/>
      <c r="AV823" s="350"/>
      <c r="AW823" s="350"/>
      <c r="AX823" s="350"/>
      <c r="AY823" s="350"/>
      <c r="AZ823" s="350"/>
      <c r="BA823" s="350"/>
      <c r="BB823" s="351"/>
    </row>
    <row r="824" spans="1:54" ht="15.75" customHeight="1">
      <c r="A824" s="25">
        <f t="shared" si="3"/>
        <v>811</v>
      </c>
      <c r="B824" s="618" t="str">
        <f>'refer admin discharge'!B820</f>
        <v>x</v>
      </c>
      <c r="C824" s="351"/>
      <c r="D824" s="619" t="str">
        <f>'refer admin discharge'!D820</f>
        <v>xx</v>
      </c>
      <c r="E824" s="351"/>
      <c r="F824" s="620" t="str">
        <f>'refer admin discharge'!H820</f>
        <v>00/00/0000</v>
      </c>
      <c r="G824" s="351"/>
      <c r="H824" s="615"/>
      <c r="I824" s="351"/>
      <c r="J824" s="621"/>
      <c r="K824" s="351"/>
      <c r="L824" s="615"/>
      <c r="M824" s="351"/>
      <c r="N824" s="610"/>
      <c r="O824" s="351"/>
      <c r="P824" s="615"/>
      <c r="Q824" s="351"/>
      <c r="R824" s="610"/>
      <c r="S824" s="351"/>
      <c r="T824" s="615"/>
      <c r="U824" s="351"/>
      <c r="V824" s="613" t="str">
        <f>'refer admin discharge'!H825</f>
        <v>00/00/0000</v>
      </c>
      <c r="W824" s="351"/>
      <c r="X824" s="616"/>
      <c r="Y824" s="351"/>
      <c r="Z824" s="617"/>
      <c r="AA824" s="351"/>
      <c r="AB824" s="616"/>
      <c r="AC824" s="351"/>
      <c r="AD824" s="607"/>
      <c r="AE824" s="351"/>
      <c r="AF824" s="616"/>
      <c r="AG824" s="351"/>
      <c r="AH824" s="607"/>
      <c r="AI824" s="351"/>
      <c r="AJ824" s="616"/>
      <c r="AK824" s="351"/>
      <c r="AL824" s="622"/>
      <c r="AM824" s="350"/>
      <c r="AN824" s="350"/>
      <c r="AO824" s="350"/>
      <c r="AP824" s="350"/>
      <c r="AQ824" s="350"/>
      <c r="AR824" s="350"/>
      <c r="AS824" s="350"/>
      <c r="AT824" s="350"/>
      <c r="AU824" s="350"/>
      <c r="AV824" s="350"/>
      <c r="AW824" s="350"/>
      <c r="AX824" s="350"/>
      <c r="AY824" s="350"/>
      <c r="AZ824" s="350"/>
      <c r="BA824" s="350"/>
      <c r="BB824" s="351"/>
    </row>
    <row r="825" spans="1:54" ht="15.75" customHeight="1">
      <c r="A825" s="25">
        <f t="shared" si="3"/>
        <v>812</v>
      </c>
      <c r="B825" s="599" t="str">
        <f>'refer admin discharge'!B821</f>
        <v>x</v>
      </c>
      <c r="C825" s="351"/>
      <c r="D825" s="600" t="str">
        <f>'refer admin discharge'!D821</f>
        <v>xx</v>
      </c>
      <c r="E825" s="351"/>
      <c r="F825" s="609" t="str">
        <f>'refer admin discharge'!H821</f>
        <v>00/00/0000</v>
      </c>
      <c r="G825" s="351"/>
      <c r="H825" s="610"/>
      <c r="I825" s="351"/>
      <c r="J825" s="611"/>
      <c r="K825" s="351"/>
      <c r="L825" s="610"/>
      <c r="M825" s="351"/>
      <c r="N825" s="612"/>
      <c r="O825" s="351"/>
      <c r="P825" s="610"/>
      <c r="Q825" s="351"/>
      <c r="R825" s="612"/>
      <c r="S825" s="351"/>
      <c r="T825" s="610"/>
      <c r="U825" s="351"/>
      <c r="V825" s="613" t="str">
        <f>'refer admin discharge'!H826</f>
        <v>00/00/0000</v>
      </c>
      <c r="W825" s="351"/>
      <c r="X825" s="607"/>
      <c r="Y825" s="351"/>
      <c r="Z825" s="614"/>
      <c r="AA825" s="351"/>
      <c r="AB825" s="607"/>
      <c r="AC825" s="351"/>
      <c r="AD825" s="606"/>
      <c r="AE825" s="351"/>
      <c r="AF825" s="607"/>
      <c r="AG825" s="351"/>
      <c r="AH825" s="606"/>
      <c r="AI825" s="351"/>
      <c r="AJ825" s="607"/>
      <c r="AK825" s="351"/>
      <c r="AL825" s="608"/>
      <c r="AM825" s="350"/>
      <c r="AN825" s="350"/>
      <c r="AO825" s="350"/>
      <c r="AP825" s="350"/>
      <c r="AQ825" s="350"/>
      <c r="AR825" s="350"/>
      <c r="AS825" s="350"/>
      <c r="AT825" s="350"/>
      <c r="AU825" s="350"/>
      <c r="AV825" s="350"/>
      <c r="AW825" s="350"/>
      <c r="AX825" s="350"/>
      <c r="AY825" s="350"/>
      <c r="AZ825" s="350"/>
      <c r="BA825" s="350"/>
      <c r="BB825" s="351"/>
    </row>
    <row r="826" spans="1:54" ht="15.75" customHeight="1">
      <c r="A826" s="25">
        <f t="shared" si="3"/>
        <v>813</v>
      </c>
      <c r="B826" s="618" t="str">
        <f>'refer admin discharge'!B822</f>
        <v>x</v>
      </c>
      <c r="C826" s="351"/>
      <c r="D826" s="619" t="str">
        <f>'refer admin discharge'!D822</f>
        <v>xx</v>
      </c>
      <c r="E826" s="351"/>
      <c r="F826" s="620" t="str">
        <f>'refer admin discharge'!H822</f>
        <v>00/00/0000</v>
      </c>
      <c r="G826" s="351"/>
      <c r="H826" s="615"/>
      <c r="I826" s="351"/>
      <c r="J826" s="621"/>
      <c r="K826" s="351"/>
      <c r="L826" s="615"/>
      <c r="M826" s="351"/>
      <c r="N826" s="610"/>
      <c r="O826" s="351"/>
      <c r="P826" s="615"/>
      <c r="Q826" s="351"/>
      <c r="R826" s="610"/>
      <c r="S826" s="351"/>
      <c r="T826" s="615"/>
      <c r="U826" s="351"/>
      <c r="V826" s="613" t="str">
        <f>'refer admin discharge'!H827</f>
        <v>00/00/0000</v>
      </c>
      <c r="W826" s="351"/>
      <c r="X826" s="616"/>
      <c r="Y826" s="351"/>
      <c r="Z826" s="617"/>
      <c r="AA826" s="351"/>
      <c r="AB826" s="616"/>
      <c r="AC826" s="351"/>
      <c r="AD826" s="607"/>
      <c r="AE826" s="351"/>
      <c r="AF826" s="616"/>
      <c r="AG826" s="351"/>
      <c r="AH826" s="607"/>
      <c r="AI826" s="351"/>
      <c r="AJ826" s="616"/>
      <c r="AK826" s="351"/>
      <c r="AL826" s="622"/>
      <c r="AM826" s="350"/>
      <c r="AN826" s="350"/>
      <c r="AO826" s="350"/>
      <c r="AP826" s="350"/>
      <c r="AQ826" s="350"/>
      <c r="AR826" s="350"/>
      <c r="AS826" s="350"/>
      <c r="AT826" s="350"/>
      <c r="AU826" s="350"/>
      <c r="AV826" s="350"/>
      <c r="AW826" s="350"/>
      <c r="AX826" s="350"/>
      <c r="AY826" s="350"/>
      <c r="AZ826" s="350"/>
      <c r="BA826" s="350"/>
      <c r="BB826" s="351"/>
    </row>
    <row r="827" spans="1:54" ht="15.75" customHeight="1">
      <c r="A827" s="25">
        <f t="shared" si="3"/>
        <v>814</v>
      </c>
      <c r="B827" s="599" t="str">
        <f>'refer admin discharge'!B823</f>
        <v>x</v>
      </c>
      <c r="C827" s="351"/>
      <c r="D827" s="600" t="str">
        <f>'refer admin discharge'!D823</f>
        <v>xx</v>
      </c>
      <c r="E827" s="351"/>
      <c r="F827" s="609" t="str">
        <f>'refer admin discharge'!H823</f>
        <v>00/00/0000</v>
      </c>
      <c r="G827" s="351"/>
      <c r="H827" s="610"/>
      <c r="I827" s="351"/>
      <c r="J827" s="611"/>
      <c r="K827" s="351"/>
      <c r="L827" s="610"/>
      <c r="M827" s="351"/>
      <c r="N827" s="612"/>
      <c r="O827" s="351"/>
      <c r="P827" s="610"/>
      <c r="Q827" s="351"/>
      <c r="R827" s="612"/>
      <c r="S827" s="351"/>
      <c r="T827" s="610"/>
      <c r="U827" s="351"/>
      <c r="V827" s="613" t="str">
        <f>'refer admin discharge'!H828</f>
        <v>00/00/0000</v>
      </c>
      <c r="W827" s="351"/>
      <c r="X827" s="607"/>
      <c r="Y827" s="351"/>
      <c r="Z827" s="614"/>
      <c r="AA827" s="351"/>
      <c r="AB827" s="607"/>
      <c r="AC827" s="351"/>
      <c r="AD827" s="606"/>
      <c r="AE827" s="351"/>
      <c r="AF827" s="607"/>
      <c r="AG827" s="351"/>
      <c r="AH827" s="606"/>
      <c r="AI827" s="351"/>
      <c r="AJ827" s="607"/>
      <c r="AK827" s="351"/>
      <c r="AL827" s="608"/>
      <c r="AM827" s="350"/>
      <c r="AN827" s="350"/>
      <c r="AO827" s="350"/>
      <c r="AP827" s="350"/>
      <c r="AQ827" s="350"/>
      <c r="AR827" s="350"/>
      <c r="AS827" s="350"/>
      <c r="AT827" s="350"/>
      <c r="AU827" s="350"/>
      <c r="AV827" s="350"/>
      <c r="AW827" s="350"/>
      <c r="AX827" s="350"/>
      <c r="AY827" s="350"/>
      <c r="AZ827" s="350"/>
      <c r="BA827" s="350"/>
      <c r="BB827" s="351"/>
    </row>
    <row r="828" spans="1:54" ht="15.75" customHeight="1">
      <c r="A828" s="25">
        <f t="shared" si="3"/>
        <v>815</v>
      </c>
      <c r="B828" s="618" t="str">
        <f>'refer admin discharge'!B824</f>
        <v>x</v>
      </c>
      <c r="C828" s="351"/>
      <c r="D828" s="619" t="str">
        <f>'refer admin discharge'!D824</f>
        <v>xx</v>
      </c>
      <c r="E828" s="351"/>
      <c r="F828" s="620" t="str">
        <f>'refer admin discharge'!H824</f>
        <v>00/00/0000</v>
      </c>
      <c r="G828" s="351"/>
      <c r="H828" s="615"/>
      <c r="I828" s="351"/>
      <c r="J828" s="621"/>
      <c r="K828" s="351"/>
      <c r="L828" s="615"/>
      <c r="M828" s="351"/>
      <c r="N828" s="610"/>
      <c r="O828" s="351"/>
      <c r="P828" s="615"/>
      <c r="Q828" s="351"/>
      <c r="R828" s="610"/>
      <c r="S828" s="351"/>
      <c r="T828" s="615"/>
      <c r="U828" s="351"/>
      <c r="V828" s="613" t="str">
        <f>'refer admin discharge'!H829</f>
        <v>00/00/0000</v>
      </c>
      <c r="W828" s="351"/>
      <c r="X828" s="616"/>
      <c r="Y828" s="351"/>
      <c r="Z828" s="617"/>
      <c r="AA828" s="351"/>
      <c r="AB828" s="616"/>
      <c r="AC828" s="351"/>
      <c r="AD828" s="607"/>
      <c r="AE828" s="351"/>
      <c r="AF828" s="616"/>
      <c r="AG828" s="351"/>
      <c r="AH828" s="607"/>
      <c r="AI828" s="351"/>
      <c r="AJ828" s="616"/>
      <c r="AK828" s="351"/>
      <c r="AL828" s="622"/>
      <c r="AM828" s="350"/>
      <c r="AN828" s="350"/>
      <c r="AO828" s="350"/>
      <c r="AP828" s="350"/>
      <c r="AQ828" s="350"/>
      <c r="AR828" s="350"/>
      <c r="AS828" s="350"/>
      <c r="AT828" s="350"/>
      <c r="AU828" s="350"/>
      <c r="AV828" s="350"/>
      <c r="AW828" s="350"/>
      <c r="AX828" s="350"/>
      <c r="AY828" s="350"/>
      <c r="AZ828" s="350"/>
      <c r="BA828" s="350"/>
      <c r="BB828" s="351"/>
    </row>
    <row r="829" spans="1:54" ht="15.75" customHeight="1">
      <c r="A829" s="25">
        <f t="shared" si="3"/>
        <v>816</v>
      </c>
      <c r="B829" s="599" t="str">
        <f>'refer admin discharge'!B825</f>
        <v>x</v>
      </c>
      <c r="C829" s="351"/>
      <c r="D829" s="600" t="str">
        <f>'refer admin discharge'!D825</f>
        <v>xx</v>
      </c>
      <c r="E829" s="351"/>
      <c r="F829" s="609" t="str">
        <f>'refer admin discharge'!H825</f>
        <v>00/00/0000</v>
      </c>
      <c r="G829" s="351"/>
      <c r="H829" s="610"/>
      <c r="I829" s="351"/>
      <c r="J829" s="611"/>
      <c r="K829" s="351"/>
      <c r="L829" s="610"/>
      <c r="M829" s="351"/>
      <c r="N829" s="612"/>
      <c r="O829" s="351"/>
      <c r="P829" s="610"/>
      <c r="Q829" s="351"/>
      <c r="R829" s="612"/>
      <c r="S829" s="351"/>
      <c r="T829" s="610"/>
      <c r="U829" s="351"/>
      <c r="V829" s="613" t="str">
        <f>'refer admin discharge'!H830</f>
        <v>00/00/0000</v>
      </c>
      <c r="W829" s="351"/>
      <c r="X829" s="607"/>
      <c r="Y829" s="351"/>
      <c r="Z829" s="614"/>
      <c r="AA829" s="351"/>
      <c r="AB829" s="607"/>
      <c r="AC829" s="351"/>
      <c r="AD829" s="606"/>
      <c r="AE829" s="351"/>
      <c r="AF829" s="607"/>
      <c r="AG829" s="351"/>
      <c r="AH829" s="606"/>
      <c r="AI829" s="351"/>
      <c r="AJ829" s="607"/>
      <c r="AK829" s="351"/>
      <c r="AL829" s="608"/>
      <c r="AM829" s="350"/>
      <c r="AN829" s="350"/>
      <c r="AO829" s="350"/>
      <c r="AP829" s="350"/>
      <c r="AQ829" s="350"/>
      <c r="AR829" s="350"/>
      <c r="AS829" s="350"/>
      <c r="AT829" s="350"/>
      <c r="AU829" s="350"/>
      <c r="AV829" s="350"/>
      <c r="AW829" s="350"/>
      <c r="AX829" s="350"/>
      <c r="AY829" s="350"/>
      <c r="AZ829" s="350"/>
      <c r="BA829" s="350"/>
      <c r="BB829" s="351"/>
    </row>
    <row r="830" spans="1:54" ht="15.75" customHeight="1">
      <c r="A830" s="25">
        <f t="shared" si="3"/>
        <v>817</v>
      </c>
      <c r="B830" s="618" t="str">
        <f>'refer admin discharge'!B826</f>
        <v>x</v>
      </c>
      <c r="C830" s="351"/>
      <c r="D830" s="619" t="str">
        <f>'refer admin discharge'!D826</f>
        <v>xx</v>
      </c>
      <c r="E830" s="351"/>
      <c r="F830" s="620" t="str">
        <f>'refer admin discharge'!H826</f>
        <v>00/00/0000</v>
      </c>
      <c r="G830" s="351"/>
      <c r="H830" s="615"/>
      <c r="I830" s="351"/>
      <c r="J830" s="621"/>
      <c r="K830" s="351"/>
      <c r="L830" s="615"/>
      <c r="M830" s="351"/>
      <c r="N830" s="610"/>
      <c r="O830" s="351"/>
      <c r="P830" s="615"/>
      <c r="Q830" s="351"/>
      <c r="R830" s="610"/>
      <c r="S830" s="351"/>
      <c r="T830" s="615"/>
      <c r="U830" s="351"/>
      <c r="V830" s="613" t="str">
        <f>'refer admin discharge'!H831</f>
        <v>00/00/0000</v>
      </c>
      <c r="W830" s="351"/>
      <c r="X830" s="616"/>
      <c r="Y830" s="351"/>
      <c r="Z830" s="617"/>
      <c r="AA830" s="351"/>
      <c r="AB830" s="616"/>
      <c r="AC830" s="351"/>
      <c r="AD830" s="607"/>
      <c r="AE830" s="351"/>
      <c r="AF830" s="616"/>
      <c r="AG830" s="351"/>
      <c r="AH830" s="607"/>
      <c r="AI830" s="351"/>
      <c r="AJ830" s="616"/>
      <c r="AK830" s="351"/>
      <c r="AL830" s="622"/>
      <c r="AM830" s="350"/>
      <c r="AN830" s="350"/>
      <c r="AO830" s="350"/>
      <c r="AP830" s="350"/>
      <c r="AQ830" s="350"/>
      <c r="AR830" s="350"/>
      <c r="AS830" s="350"/>
      <c r="AT830" s="350"/>
      <c r="AU830" s="350"/>
      <c r="AV830" s="350"/>
      <c r="AW830" s="350"/>
      <c r="AX830" s="350"/>
      <c r="AY830" s="350"/>
      <c r="AZ830" s="350"/>
      <c r="BA830" s="350"/>
      <c r="BB830" s="351"/>
    </row>
    <row r="831" spans="1:54" ht="15.75" customHeight="1">
      <c r="A831" s="25">
        <f t="shared" si="3"/>
        <v>818</v>
      </c>
      <c r="B831" s="599" t="str">
        <f>'refer admin discharge'!B827</f>
        <v>x</v>
      </c>
      <c r="C831" s="351"/>
      <c r="D831" s="600" t="str">
        <f>'refer admin discharge'!D827</f>
        <v>xx</v>
      </c>
      <c r="E831" s="351"/>
      <c r="F831" s="609" t="str">
        <f>'refer admin discharge'!H827</f>
        <v>00/00/0000</v>
      </c>
      <c r="G831" s="351"/>
      <c r="H831" s="610"/>
      <c r="I831" s="351"/>
      <c r="J831" s="611"/>
      <c r="K831" s="351"/>
      <c r="L831" s="610"/>
      <c r="M831" s="351"/>
      <c r="N831" s="612"/>
      <c r="O831" s="351"/>
      <c r="P831" s="610"/>
      <c r="Q831" s="351"/>
      <c r="R831" s="612"/>
      <c r="S831" s="351"/>
      <c r="T831" s="610"/>
      <c r="U831" s="351"/>
      <c r="V831" s="613" t="str">
        <f>'refer admin discharge'!H832</f>
        <v>00/00/0000</v>
      </c>
      <c r="W831" s="351"/>
      <c r="X831" s="607"/>
      <c r="Y831" s="351"/>
      <c r="Z831" s="614"/>
      <c r="AA831" s="351"/>
      <c r="AB831" s="607"/>
      <c r="AC831" s="351"/>
      <c r="AD831" s="606"/>
      <c r="AE831" s="351"/>
      <c r="AF831" s="607"/>
      <c r="AG831" s="351"/>
      <c r="AH831" s="606"/>
      <c r="AI831" s="351"/>
      <c r="AJ831" s="607"/>
      <c r="AK831" s="351"/>
      <c r="AL831" s="608"/>
      <c r="AM831" s="350"/>
      <c r="AN831" s="350"/>
      <c r="AO831" s="350"/>
      <c r="AP831" s="350"/>
      <c r="AQ831" s="350"/>
      <c r="AR831" s="350"/>
      <c r="AS831" s="350"/>
      <c r="AT831" s="350"/>
      <c r="AU831" s="350"/>
      <c r="AV831" s="350"/>
      <c r="AW831" s="350"/>
      <c r="AX831" s="350"/>
      <c r="AY831" s="350"/>
      <c r="AZ831" s="350"/>
      <c r="BA831" s="350"/>
      <c r="BB831" s="351"/>
    </row>
    <row r="832" spans="1:54" ht="15.75" customHeight="1">
      <c r="A832" s="25">
        <f t="shared" si="3"/>
        <v>819</v>
      </c>
      <c r="B832" s="618" t="str">
        <f>'refer admin discharge'!B828</f>
        <v>x</v>
      </c>
      <c r="C832" s="351"/>
      <c r="D832" s="619" t="str">
        <f>'refer admin discharge'!D828</f>
        <v>xx</v>
      </c>
      <c r="E832" s="351"/>
      <c r="F832" s="620" t="str">
        <f>'refer admin discharge'!H828</f>
        <v>00/00/0000</v>
      </c>
      <c r="G832" s="351"/>
      <c r="H832" s="615"/>
      <c r="I832" s="351"/>
      <c r="J832" s="621"/>
      <c r="K832" s="351"/>
      <c r="L832" s="615"/>
      <c r="M832" s="351"/>
      <c r="N832" s="610"/>
      <c r="O832" s="351"/>
      <c r="P832" s="615"/>
      <c r="Q832" s="351"/>
      <c r="R832" s="610"/>
      <c r="S832" s="351"/>
      <c r="T832" s="615"/>
      <c r="U832" s="351"/>
      <c r="V832" s="613" t="str">
        <f>'refer admin discharge'!H833</f>
        <v>00/00/0000</v>
      </c>
      <c r="W832" s="351"/>
      <c r="X832" s="616"/>
      <c r="Y832" s="351"/>
      <c r="Z832" s="617"/>
      <c r="AA832" s="351"/>
      <c r="AB832" s="616"/>
      <c r="AC832" s="351"/>
      <c r="AD832" s="607"/>
      <c r="AE832" s="351"/>
      <c r="AF832" s="616"/>
      <c r="AG832" s="351"/>
      <c r="AH832" s="607"/>
      <c r="AI832" s="351"/>
      <c r="AJ832" s="616"/>
      <c r="AK832" s="351"/>
      <c r="AL832" s="622"/>
      <c r="AM832" s="350"/>
      <c r="AN832" s="350"/>
      <c r="AO832" s="350"/>
      <c r="AP832" s="350"/>
      <c r="AQ832" s="350"/>
      <c r="AR832" s="350"/>
      <c r="AS832" s="350"/>
      <c r="AT832" s="350"/>
      <c r="AU832" s="350"/>
      <c r="AV832" s="350"/>
      <c r="AW832" s="350"/>
      <c r="AX832" s="350"/>
      <c r="AY832" s="350"/>
      <c r="AZ832" s="350"/>
      <c r="BA832" s="350"/>
      <c r="BB832" s="351"/>
    </row>
    <row r="833" spans="1:54" ht="15.75" customHeight="1">
      <c r="A833" s="25">
        <f t="shared" si="3"/>
        <v>820</v>
      </c>
      <c r="B833" s="599" t="str">
        <f>'refer admin discharge'!B829</f>
        <v>x</v>
      </c>
      <c r="C833" s="351"/>
      <c r="D833" s="600" t="str">
        <f>'refer admin discharge'!D829</f>
        <v>xx</v>
      </c>
      <c r="E833" s="351"/>
      <c r="F833" s="609" t="str">
        <f>'refer admin discharge'!H829</f>
        <v>00/00/0000</v>
      </c>
      <c r="G833" s="351"/>
      <c r="H833" s="610"/>
      <c r="I833" s="351"/>
      <c r="J833" s="611"/>
      <c r="K833" s="351"/>
      <c r="L833" s="610"/>
      <c r="M833" s="351"/>
      <c r="N833" s="612"/>
      <c r="O833" s="351"/>
      <c r="P833" s="610"/>
      <c r="Q833" s="351"/>
      <c r="R833" s="612"/>
      <c r="S833" s="351"/>
      <c r="T833" s="610"/>
      <c r="U833" s="351"/>
      <c r="V833" s="613" t="str">
        <f>'refer admin discharge'!H834</f>
        <v>00/00/0000</v>
      </c>
      <c r="W833" s="351"/>
      <c r="X833" s="607"/>
      <c r="Y833" s="351"/>
      <c r="Z833" s="614"/>
      <c r="AA833" s="351"/>
      <c r="AB833" s="607"/>
      <c r="AC833" s="351"/>
      <c r="AD833" s="606"/>
      <c r="AE833" s="351"/>
      <c r="AF833" s="607"/>
      <c r="AG833" s="351"/>
      <c r="AH833" s="606"/>
      <c r="AI833" s="351"/>
      <c r="AJ833" s="607"/>
      <c r="AK833" s="351"/>
      <c r="AL833" s="608"/>
      <c r="AM833" s="350"/>
      <c r="AN833" s="350"/>
      <c r="AO833" s="350"/>
      <c r="AP833" s="350"/>
      <c r="AQ833" s="350"/>
      <c r="AR833" s="350"/>
      <c r="AS833" s="350"/>
      <c r="AT833" s="350"/>
      <c r="AU833" s="350"/>
      <c r="AV833" s="350"/>
      <c r="AW833" s="350"/>
      <c r="AX833" s="350"/>
      <c r="AY833" s="350"/>
      <c r="AZ833" s="350"/>
      <c r="BA833" s="350"/>
      <c r="BB833" s="351"/>
    </row>
    <row r="834" spans="1:54" ht="15.75" customHeight="1">
      <c r="A834" s="25">
        <f t="shared" si="3"/>
        <v>821</v>
      </c>
      <c r="B834" s="618" t="str">
        <f>'refer admin discharge'!B830</f>
        <v>x</v>
      </c>
      <c r="C834" s="351"/>
      <c r="D834" s="619" t="str">
        <f>'refer admin discharge'!D830</f>
        <v>xx</v>
      </c>
      <c r="E834" s="351"/>
      <c r="F834" s="620" t="str">
        <f>'refer admin discharge'!H830</f>
        <v>00/00/0000</v>
      </c>
      <c r="G834" s="351"/>
      <c r="H834" s="615"/>
      <c r="I834" s="351"/>
      <c r="J834" s="621"/>
      <c r="K834" s="351"/>
      <c r="L834" s="615"/>
      <c r="M834" s="351"/>
      <c r="N834" s="610"/>
      <c r="O834" s="351"/>
      <c r="P834" s="615"/>
      <c r="Q834" s="351"/>
      <c r="R834" s="610"/>
      <c r="S834" s="351"/>
      <c r="T834" s="615"/>
      <c r="U834" s="351"/>
      <c r="V834" s="613" t="str">
        <f>'refer admin discharge'!H835</f>
        <v>00/00/0000</v>
      </c>
      <c r="W834" s="351"/>
      <c r="X834" s="616"/>
      <c r="Y834" s="351"/>
      <c r="Z834" s="617"/>
      <c r="AA834" s="351"/>
      <c r="AB834" s="616"/>
      <c r="AC834" s="351"/>
      <c r="AD834" s="607"/>
      <c r="AE834" s="351"/>
      <c r="AF834" s="616"/>
      <c r="AG834" s="351"/>
      <c r="AH834" s="607"/>
      <c r="AI834" s="351"/>
      <c r="AJ834" s="616"/>
      <c r="AK834" s="351"/>
      <c r="AL834" s="622"/>
      <c r="AM834" s="350"/>
      <c r="AN834" s="350"/>
      <c r="AO834" s="350"/>
      <c r="AP834" s="350"/>
      <c r="AQ834" s="350"/>
      <c r="AR834" s="350"/>
      <c r="AS834" s="350"/>
      <c r="AT834" s="350"/>
      <c r="AU834" s="350"/>
      <c r="AV834" s="350"/>
      <c r="AW834" s="350"/>
      <c r="AX834" s="350"/>
      <c r="AY834" s="350"/>
      <c r="AZ834" s="350"/>
      <c r="BA834" s="350"/>
      <c r="BB834" s="351"/>
    </row>
    <row r="835" spans="1:54" ht="15.75" customHeight="1">
      <c r="A835" s="25">
        <f t="shared" si="3"/>
        <v>822</v>
      </c>
      <c r="B835" s="599" t="str">
        <f>'refer admin discharge'!B831</f>
        <v>x</v>
      </c>
      <c r="C835" s="351"/>
      <c r="D835" s="600" t="str">
        <f>'refer admin discharge'!D831</f>
        <v>xx</v>
      </c>
      <c r="E835" s="351"/>
      <c r="F835" s="609" t="str">
        <f>'refer admin discharge'!H831</f>
        <v>00/00/0000</v>
      </c>
      <c r="G835" s="351"/>
      <c r="H835" s="610"/>
      <c r="I835" s="351"/>
      <c r="J835" s="611"/>
      <c r="K835" s="351"/>
      <c r="L835" s="610"/>
      <c r="M835" s="351"/>
      <c r="N835" s="612"/>
      <c r="O835" s="351"/>
      <c r="P835" s="610"/>
      <c r="Q835" s="351"/>
      <c r="R835" s="612"/>
      <c r="S835" s="351"/>
      <c r="T835" s="610"/>
      <c r="U835" s="351"/>
      <c r="V835" s="613" t="str">
        <f>'refer admin discharge'!H836</f>
        <v>00/00/0000</v>
      </c>
      <c r="W835" s="351"/>
      <c r="X835" s="607"/>
      <c r="Y835" s="351"/>
      <c r="Z835" s="614"/>
      <c r="AA835" s="351"/>
      <c r="AB835" s="607"/>
      <c r="AC835" s="351"/>
      <c r="AD835" s="606"/>
      <c r="AE835" s="351"/>
      <c r="AF835" s="607"/>
      <c r="AG835" s="351"/>
      <c r="AH835" s="606"/>
      <c r="AI835" s="351"/>
      <c r="AJ835" s="607"/>
      <c r="AK835" s="351"/>
      <c r="AL835" s="608"/>
      <c r="AM835" s="350"/>
      <c r="AN835" s="350"/>
      <c r="AO835" s="350"/>
      <c r="AP835" s="350"/>
      <c r="AQ835" s="350"/>
      <c r="AR835" s="350"/>
      <c r="AS835" s="350"/>
      <c r="AT835" s="350"/>
      <c r="AU835" s="350"/>
      <c r="AV835" s="350"/>
      <c r="AW835" s="350"/>
      <c r="AX835" s="350"/>
      <c r="AY835" s="350"/>
      <c r="AZ835" s="350"/>
      <c r="BA835" s="350"/>
      <c r="BB835" s="351"/>
    </row>
    <row r="836" spans="1:54" ht="15.75" customHeight="1">
      <c r="A836" s="25">
        <f t="shared" si="3"/>
        <v>823</v>
      </c>
      <c r="B836" s="618" t="str">
        <f>'refer admin discharge'!B832</f>
        <v>x</v>
      </c>
      <c r="C836" s="351"/>
      <c r="D836" s="619" t="str">
        <f>'refer admin discharge'!D832</f>
        <v>xx</v>
      </c>
      <c r="E836" s="351"/>
      <c r="F836" s="620" t="str">
        <f>'refer admin discharge'!H832</f>
        <v>00/00/0000</v>
      </c>
      <c r="G836" s="351"/>
      <c r="H836" s="615"/>
      <c r="I836" s="351"/>
      <c r="J836" s="621"/>
      <c r="K836" s="351"/>
      <c r="L836" s="615"/>
      <c r="M836" s="351"/>
      <c r="N836" s="610"/>
      <c r="O836" s="351"/>
      <c r="P836" s="615"/>
      <c r="Q836" s="351"/>
      <c r="R836" s="610"/>
      <c r="S836" s="351"/>
      <c r="T836" s="615"/>
      <c r="U836" s="351"/>
      <c r="V836" s="613" t="str">
        <f>'refer admin discharge'!H837</f>
        <v>00/00/0000</v>
      </c>
      <c r="W836" s="351"/>
      <c r="X836" s="616"/>
      <c r="Y836" s="351"/>
      <c r="Z836" s="617"/>
      <c r="AA836" s="351"/>
      <c r="AB836" s="616"/>
      <c r="AC836" s="351"/>
      <c r="AD836" s="607"/>
      <c r="AE836" s="351"/>
      <c r="AF836" s="616"/>
      <c r="AG836" s="351"/>
      <c r="AH836" s="607"/>
      <c r="AI836" s="351"/>
      <c r="AJ836" s="616"/>
      <c r="AK836" s="351"/>
      <c r="AL836" s="622"/>
      <c r="AM836" s="350"/>
      <c r="AN836" s="350"/>
      <c r="AO836" s="350"/>
      <c r="AP836" s="350"/>
      <c r="AQ836" s="350"/>
      <c r="AR836" s="350"/>
      <c r="AS836" s="350"/>
      <c r="AT836" s="350"/>
      <c r="AU836" s="350"/>
      <c r="AV836" s="350"/>
      <c r="AW836" s="350"/>
      <c r="AX836" s="350"/>
      <c r="AY836" s="350"/>
      <c r="AZ836" s="350"/>
      <c r="BA836" s="350"/>
      <c r="BB836" s="351"/>
    </row>
    <row r="837" spans="1:54" ht="15.75" customHeight="1">
      <c r="A837" s="25">
        <f t="shared" si="3"/>
        <v>824</v>
      </c>
      <c r="B837" s="599" t="str">
        <f>'refer admin discharge'!B833</f>
        <v>x</v>
      </c>
      <c r="C837" s="351"/>
      <c r="D837" s="600" t="str">
        <f>'refer admin discharge'!D833</f>
        <v>xx</v>
      </c>
      <c r="E837" s="351"/>
      <c r="F837" s="609" t="str">
        <f>'refer admin discharge'!H833</f>
        <v>00/00/0000</v>
      </c>
      <c r="G837" s="351"/>
      <c r="H837" s="610"/>
      <c r="I837" s="351"/>
      <c r="J837" s="611"/>
      <c r="K837" s="351"/>
      <c r="L837" s="610"/>
      <c r="M837" s="351"/>
      <c r="N837" s="612"/>
      <c r="O837" s="351"/>
      <c r="P837" s="610"/>
      <c r="Q837" s="351"/>
      <c r="R837" s="612"/>
      <c r="S837" s="351"/>
      <c r="T837" s="610"/>
      <c r="U837" s="351"/>
      <c r="V837" s="613" t="str">
        <f>'refer admin discharge'!H838</f>
        <v>00/00/0000</v>
      </c>
      <c r="W837" s="351"/>
      <c r="X837" s="607"/>
      <c r="Y837" s="351"/>
      <c r="Z837" s="614"/>
      <c r="AA837" s="351"/>
      <c r="AB837" s="607"/>
      <c r="AC837" s="351"/>
      <c r="AD837" s="606"/>
      <c r="AE837" s="351"/>
      <c r="AF837" s="607"/>
      <c r="AG837" s="351"/>
      <c r="AH837" s="606"/>
      <c r="AI837" s="351"/>
      <c r="AJ837" s="607"/>
      <c r="AK837" s="351"/>
      <c r="AL837" s="608"/>
      <c r="AM837" s="350"/>
      <c r="AN837" s="350"/>
      <c r="AO837" s="350"/>
      <c r="AP837" s="350"/>
      <c r="AQ837" s="350"/>
      <c r="AR837" s="350"/>
      <c r="AS837" s="350"/>
      <c r="AT837" s="350"/>
      <c r="AU837" s="350"/>
      <c r="AV837" s="350"/>
      <c r="AW837" s="350"/>
      <c r="AX837" s="350"/>
      <c r="AY837" s="350"/>
      <c r="AZ837" s="350"/>
      <c r="BA837" s="350"/>
      <c r="BB837" s="351"/>
    </row>
    <row r="838" spans="1:54" ht="15.75" customHeight="1">
      <c r="A838" s="25">
        <f t="shared" si="3"/>
        <v>825</v>
      </c>
      <c r="B838" s="618" t="str">
        <f>'refer admin discharge'!B834</f>
        <v>x</v>
      </c>
      <c r="C838" s="351"/>
      <c r="D838" s="619" t="str">
        <f>'refer admin discharge'!D834</f>
        <v>xx</v>
      </c>
      <c r="E838" s="351"/>
      <c r="F838" s="620" t="str">
        <f>'refer admin discharge'!H834</f>
        <v>00/00/0000</v>
      </c>
      <c r="G838" s="351"/>
      <c r="H838" s="615"/>
      <c r="I838" s="351"/>
      <c r="J838" s="621"/>
      <c r="K838" s="351"/>
      <c r="L838" s="615"/>
      <c r="M838" s="351"/>
      <c r="N838" s="610"/>
      <c r="O838" s="351"/>
      <c r="P838" s="615"/>
      <c r="Q838" s="351"/>
      <c r="R838" s="610"/>
      <c r="S838" s="351"/>
      <c r="T838" s="615"/>
      <c r="U838" s="351"/>
      <c r="V838" s="613" t="str">
        <f>'refer admin discharge'!H839</f>
        <v>00/00/0000</v>
      </c>
      <c r="W838" s="351"/>
      <c r="X838" s="616"/>
      <c r="Y838" s="351"/>
      <c r="Z838" s="617"/>
      <c r="AA838" s="351"/>
      <c r="AB838" s="616"/>
      <c r="AC838" s="351"/>
      <c r="AD838" s="607"/>
      <c r="AE838" s="351"/>
      <c r="AF838" s="616"/>
      <c r="AG838" s="351"/>
      <c r="AH838" s="607"/>
      <c r="AI838" s="351"/>
      <c r="AJ838" s="616"/>
      <c r="AK838" s="351"/>
      <c r="AL838" s="622"/>
      <c r="AM838" s="350"/>
      <c r="AN838" s="350"/>
      <c r="AO838" s="350"/>
      <c r="AP838" s="350"/>
      <c r="AQ838" s="350"/>
      <c r="AR838" s="350"/>
      <c r="AS838" s="350"/>
      <c r="AT838" s="350"/>
      <c r="AU838" s="350"/>
      <c r="AV838" s="350"/>
      <c r="AW838" s="350"/>
      <c r="AX838" s="350"/>
      <c r="AY838" s="350"/>
      <c r="AZ838" s="350"/>
      <c r="BA838" s="350"/>
      <c r="BB838" s="351"/>
    </row>
    <row r="839" spans="1:54" ht="15.75" customHeight="1">
      <c r="A839" s="25">
        <f t="shared" si="3"/>
        <v>826</v>
      </c>
      <c r="B839" s="599" t="str">
        <f>'refer admin discharge'!B835</f>
        <v>x</v>
      </c>
      <c r="C839" s="351"/>
      <c r="D839" s="600" t="str">
        <f>'refer admin discharge'!D835</f>
        <v>xx</v>
      </c>
      <c r="E839" s="351"/>
      <c r="F839" s="609" t="str">
        <f>'refer admin discharge'!H835</f>
        <v>00/00/0000</v>
      </c>
      <c r="G839" s="351"/>
      <c r="H839" s="610"/>
      <c r="I839" s="351"/>
      <c r="J839" s="611"/>
      <c r="K839" s="351"/>
      <c r="L839" s="610"/>
      <c r="M839" s="351"/>
      <c r="N839" s="612"/>
      <c r="O839" s="351"/>
      <c r="P839" s="610"/>
      <c r="Q839" s="351"/>
      <c r="R839" s="612"/>
      <c r="S839" s="351"/>
      <c r="T839" s="610"/>
      <c r="U839" s="351"/>
      <c r="V839" s="613" t="str">
        <f>'refer admin discharge'!H840</f>
        <v>00/00/0000</v>
      </c>
      <c r="W839" s="351"/>
      <c r="X839" s="607"/>
      <c r="Y839" s="351"/>
      <c r="Z839" s="614"/>
      <c r="AA839" s="351"/>
      <c r="AB839" s="607"/>
      <c r="AC839" s="351"/>
      <c r="AD839" s="606"/>
      <c r="AE839" s="351"/>
      <c r="AF839" s="607"/>
      <c r="AG839" s="351"/>
      <c r="AH839" s="606"/>
      <c r="AI839" s="351"/>
      <c r="AJ839" s="607"/>
      <c r="AK839" s="351"/>
      <c r="AL839" s="608"/>
      <c r="AM839" s="350"/>
      <c r="AN839" s="350"/>
      <c r="AO839" s="350"/>
      <c r="AP839" s="350"/>
      <c r="AQ839" s="350"/>
      <c r="AR839" s="350"/>
      <c r="AS839" s="350"/>
      <c r="AT839" s="350"/>
      <c r="AU839" s="350"/>
      <c r="AV839" s="350"/>
      <c r="AW839" s="350"/>
      <c r="AX839" s="350"/>
      <c r="AY839" s="350"/>
      <c r="AZ839" s="350"/>
      <c r="BA839" s="350"/>
      <c r="BB839" s="351"/>
    </row>
    <row r="840" spans="1:54" ht="15.75" customHeight="1">
      <c r="A840" s="25">
        <f t="shared" si="3"/>
        <v>827</v>
      </c>
      <c r="B840" s="618" t="str">
        <f>'refer admin discharge'!B836</f>
        <v>x</v>
      </c>
      <c r="C840" s="351"/>
      <c r="D840" s="619" t="str">
        <f>'refer admin discharge'!D836</f>
        <v>xx</v>
      </c>
      <c r="E840" s="351"/>
      <c r="F840" s="620" t="str">
        <f>'refer admin discharge'!H836</f>
        <v>00/00/0000</v>
      </c>
      <c r="G840" s="351"/>
      <c r="H840" s="615"/>
      <c r="I840" s="351"/>
      <c r="J840" s="621"/>
      <c r="K840" s="351"/>
      <c r="L840" s="615"/>
      <c r="M840" s="351"/>
      <c r="N840" s="610"/>
      <c r="O840" s="351"/>
      <c r="P840" s="615"/>
      <c r="Q840" s="351"/>
      <c r="R840" s="610"/>
      <c r="S840" s="351"/>
      <c r="T840" s="615"/>
      <c r="U840" s="351"/>
      <c r="V840" s="613" t="str">
        <f>'refer admin discharge'!H841</f>
        <v>00/00/0000</v>
      </c>
      <c r="W840" s="351"/>
      <c r="X840" s="616"/>
      <c r="Y840" s="351"/>
      <c r="Z840" s="617"/>
      <c r="AA840" s="351"/>
      <c r="AB840" s="616"/>
      <c r="AC840" s="351"/>
      <c r="AD840" s="607"/>
      <c r="AE840" s="351"/>
      <c r="AF840" s="616"/>
      <c r="AG840" s="351"/>
      <c r="AH840" s="607"/>
      <c r="AI840" s="351"/>
      <c r="AJ840" s="616"/>
      <c r="AK840" s="351"/>
      <c r="AL840" s="622"/>
      <c r="AM840" s="350"/>
      <c r="AN840" s="350"/>
      <c r="AO840" s="350"/>
      <c r="AP840" s="350"/>
      <c r="AQ840" s="350"/>
      <c r="AR840" s="350"/>
      <c r="AS840" s="350"/>
      <c r="AT840" s="350"/>
      <c r="AU840" s="350"/>
      <c r="AV840" s="350"/>
      <c r="AW840" s="350"/>
      <c r="AX840" s="350"/>
      <c r="AY840" s="350"/>
      <c r="AZ840" s="350"/>
      <c r="BA840" s="350"/>
      <c r="BB840" s="351"/>
    </row>
    <row r="841" spans="1:54" ht="15.75" customHeight="1">
      <c r="A841" s="25">
        <f t="shared" si="3"/>
        <v>828</v>
      </c>
      <c r="B841" s="599" t="str">
        <f>'refer admin discharge'!B837</f>
        <v>x</v>
      </c>
      <c r="C841" s="351"/>
      <c r="D841" s="600" t="str">
        <f>'refer admin discharge'!D837</f>
        <v>xx</v>
      </c>
      <c r="E841" s="351"/>
      <c r="F841" s="609" t="str">
        <f>'refer admin discharge'!H837</f>
        <v>00/00/0000</v>
      </c>
      <c r="G841" s="351"/>
      <c r="H841" s="610"/>
      <c r="I841" s="351"/>
      <c r="J841" s="611"/>
      <c r="K841" s="351"/>
      <c r="L841" s="610"/>
      <c r="M841" s="351"/>
      <c r="N841" s="612"/>
      <c r="O841" s="351"/>
      <c r="P841" s="610"/>
      <c r="Q841" s="351"/>
      <c r="R841" s="612"/>
      <c r="S841" s="351"/>
      <c r="T841" s="610"/>
      <c r="U841" s="351"/>
      <c r="V841" s="613" t="str">
        <f>'refer admin discharge'!H842</f>
        <v>00/00/0000</v>
      </c>
      <c r="W841" s="351"/>
      <c r="X841" s="607"/>
      <c r="Y841" s="351"/>
      <c r="Z841" s="614"/>
      <c r="AA841" s="351"/>
      <c r="AB841" s="607"/>
      <c r="AC841" s="351"/>
      <c r="AD841" s="606"/>
      <c r="AE841" s="351"/>
      <c r="AF841" s="607"/>
      <c r="AG841" s="351"/>
      <c r="AH841" s="606"/>
      <c r="AI841" s="351"/>
      <c r="AJ841" s="607"/>
      <c r="AK841" s="351"/>
      <c r="AL841" s="608"/>
      <c r="AM841" s="350"/>
      <c r="AN841" s="350"/>
      <c r="AO841" s="350"/>
      <c r="AP841" s="350"/>
      <c r="AQ841" s="350"/>
      <c r="AR841" s="350"/>
      <c r="AS841" s="350"/>
      <c r="AT841" s="350"/>
      <c r="AU841" s="350"/>
      <c r="AV841" s="350"/>
      <c r="AW841" s="350"/>
      <c r="AX841" s="350"/>
      <c r="AY841" s="350"/>
      <c r="AZ841" s="350"/>
      <c r="BA841" s="350"/>
      <c r="BB841" s="351"/>
    </row>
    <row r="842" spans="1:54" ht="15.75" customHeight="1">
      <c r="A842" s="25">
        <f t="shared" si="3"/>
        <v>829</v>
      </c>
      <c r="B842" s="618" t="str">
        <f>'refer admin discharge'!B838</f>
        <v>x</v>
      </c>
      <c r="C842" s="351"/>
      <c r="D842" s="619" t="str">
        <f>'refer admin discharge'!D838</f>
        <v>xx</v>
      </c>
      <c r="E842" s="351"/>
      <c r="F842" s="620" t="str">
        <f>'refer admin discharge'!H838</f>
        <v>00/00/0000</v>
      </c>
      <c r="G842" s="351"/>
      <c r="H842" s="615"/>
      <c r="I842" s="351"/>
      <c r="J842" s="621"/>
      <c r="K842" s="351"/>
      <c r="L842" s="615"/>
      <c r="M842" s="351"/>
      <c r="N842" s="610"/>
      <c r="O842" s="351"/>
      <c r="P842" s="615"/>
      <c r="Q842" s="351"/>
      <c r="R842" s="610"/>
      <c r="S842" s="351"/>
      <c r="T842" s="615"/>
      <c r="U842" s="351"/>
      <c r="V842" s="613" t="str">
        <f>'refer admin discharge'!H843</f>
        <v>00/00/0000</v>
      </c>
      <c r="W842" s="351"/>
      <c r="X842" s="616"/>
      <c r="Y842" s="351"/>
      <c r="Z842" s="617"/>
      <c r="AA842" s="351"/>
      <c r="AB842" s="616"/>
      <c r="AC842" s="351"/>
      <c r="AD842" s="607"/>
      <c r="AE842" s="351"/>
      <c r="AF842" s="616"/>
      <c r="AG842" s="351"/>
      <c r="AH842" s="607"/>
      <c r="AI842" s="351"/>
      <c r="AJ842" s="616"/>
      <c r="AK842" s="351"/>
      <c r="AL842" s="622"/>
      <c r="AM842" s="350"/>
      <c r="AN842" s="350"/>
      <c r="AO842" s="350"/>
      <c r="AP842" s="350"/>
      <c r="AQ842" s="350"/>
      <c r="AR842" s="350"/>
      <c r="AS842" s="350"/>
      <c r="AT842" s="350"/>
      <c r="AU842" s="350"/>
      <c r="AV842" s="350"/>
      <c r="AW842" s="350"/>
      <c r="AX842" s="350"/>
      <c r="AY842" s="350"/>
      <c r="AZ842" s="350"/>
      <c r="BA842" s="350"/>
      <c r="BB842" s="351"/>
    </row>
    <row r="843" spans="1:54" ht="15.75" customHeight="1">
      <c r="A843" s="25">
        <f t="shared" si="3"/>
        <v>830</v>
      </c>
      <c r="B843" s="599" t="str">
        <f>'refer admin discharge'!B839</f>
        <v>x</v>
      </c>
      <c r="C843" s="351"/>
      <c r="D843" s="600" t="str">
        <f>'refer admin discharge'!D839</f>
        <v>xx</v>
      </c>
      <c r="E843" s="351"/>
      <c r="F843" s="609" t="str">
        <f>'refer admin discharge'!H839</f>
        <v>00/00/0000</v>
      </c>
      <c r="G843" s="351"/>
      <c r="H843" s="610"/>
      <c r="I843" s="351"/>
      <c r="J843" s="611"/>
      <c r="K843" s="351"/>
      <c r="L843" s="610"/>
      <c r="M843" s="351"/>
      <c r="N843" s="612"/>
      <c r="O843" s="351"/>
      <c r="P843" s="610"/>
      <c r="Q843" s="351"/>
      <c r="R843" s="612"/>
      <c r="S843" s="351"/>
      <c r="T843" s="610"/>
      <c r="U843" s="351"/>
      <c r="V843" s="613" t="str">
        <f>'refer admin discharge'!H844</f>
        <v>00/00/0000</v>
      </c>
      <c r="W843" s="351"/>
      <c r="X843" s="607"/>
      <c r="Y843" s="351"/>
      <c r="Z843" s="614"/>
      <c r="AA843" s="351"/>
      <c r="AB843" s="607"/>
      <c r="AC843" s="351"/>
      <c r="AD843" s="606"/>
      <c r="AE843" s="351"/>
      <c r="AF843" s="607"/>
      <c r="AG843" s="351"/>
      <c r="AH843" s="606"/>
      <c r="AI843" s="351"/>
      <c r="AJ843" s="607"/>
      <c r="AK843" s="351"/>
      <c r="AL843" s="608"/>
      <c r="AM843" s="350"/>
      <c r="AN843" s="350"/>
      <c r="AO843" s="350"/>
      <c r="AP843" s="350"/>
      <c r="AQ843" s="350"/>
      <c r="AR843" s="350"/>
      <c r="AS843" s="350"/>
      <c r="AT843" s="350"/>
      <c r="AU843" s="350"/>
      <c r="AV843" s="350"/>
      <c r="AW843" s="350"/>
      <c r="AX843" s="350"/>
      <c r="AY843" s="350"/>
      <c r="AZ843" s="350"/>
      <c r="BA843" s="350"/>
      <c r="BB843" s="351"/>
    </row>
    <row r="844" spans="1:54" ht="15.75" customHeight="1">
      <c r="A844" s="25">
        <f t="shared" si="3"/>
        <v>831</v>
      </c>
      <c r="B844" s="618" t="str">
        <f>'refer admin discharge'!B840</f>
        <v>x</v>
      </c>
      <c r="C844" s="351"/>
      <c r="D844" s="619" t="str">
        <f>'refer admin discharge'!D840</f>
        <v>xx</v>
      </c>
      <c r="E844" s="351"/>
      <c r="F844" s="620" t="str">
        <f>'refer admin discharge'!H840</f>
        <v>00/00/0000</v>
      </c>
      <c r="G844" s="351"/>
      <c r="H844" s="615"/>
      <c r="I844" s="351"/>
      <c r="J844" s="621"/>
      <c r="K844" s="351"/>
      <c r="L844" s="615"/>
      <c r="M844" s="351"/>
      <c r="N844" s="610"/>
      <c r="O844" s="351"/>
      <c r="P844" s="615"/>
      <c r="Q844" s="351"/>
      <c r="R844" s="610"/>
      <c r="S844" s="351"/>
      <c r="T844" s="615"/>
      <c r="U844" s="351"/>
      <c r="V844" s="613" t="str">
        <f>'refer admin discharge'!H845</f>
        <v>00/00/0000</v>
      </c>
      <c r="W844" s="351"/>
      <c r="X844" s="616"/>
      <c r="Y844" s="351"/>
      <c r="Z844" s="617"/>
      <c r="AA844" s="351"/>
      <c r="AB844" s="616"/>
      <c r="AC844" s="351"/>
      <c r="AD844" s="607"/>
      <c r="AE844" s="351"/>
      <c r="AF844" s="616"/>
      <c r="AG844" s="351"/>
      <c r="AH844" s="607"/>
      <c r="AI844" s="351"/>
      <c r="AJ844" s="616"/>
      <c r="AK844" s="351"/>
      <c r="AL844" s="622"/>
      <c r="AM844" s="350"/>
      <c r="AN844" s="350"/>
      <c r="AO844" s="350"/>
      <c r="AP844" s="350"/>
      <c r="AQ844" s="350"/>
      <c r="AR844" s="350"/>
      <c r="AS844" s="350"/>
      <c r="AT844" s="350"/>
      <c r="AU844" s="350"/>
      <c r="AV844" s="350"/>
      <c r="AW844" s="350"/>
      <c r="AX844" s="350"/>
      <c r="AY844" s="350"/>
      <c r="AZ844" s="350"/>
      <c r="BA844" s="350"/>
      <c r="BB844" s="351"/>
    </row>
    <row r="845" spans="1:54" ht="15.75" customHeight="1">
      <c r="A845" s="25">
        <f t="shared" si="3"/>
        <v>832</v>
      </c>
      <c r="B845" s="599" t="str">
        <f>'refer admin discharge'!B841</f>
        <v>x</v>
      </c>
      <c r="C845" s="351"/>
      <c r="D845" s="600" t="str">
        <f>'refer admin discharge'!D841</f>
        <v>xx</v>
      </c>
      <c r="E845" s="351"/>
      <c r="F845" s="609" t="str">
        <f>'refer admin discharge'!H841</f>
        <v>00/00/0000</v>
      </c>
      <c r="G845" s="351"/>
      <c r="H845" s="610"/>
      <c r="I845" s="351"/>
      <c r="J845" s="611"/>
      <c r="K845" s="351"/>
      <c r="L845" s="610"/>
      <c r="M845" s="351"/>
      <c r="N845" s="612"/>
      <c r="O845" s="351"/>
      <c r="P845" s="610"/>
      <c r="Q845" s="351"/>
      <c r="R845" s="612"/>
      <c r="S845" s="351"/>
      <c r="T845" s="610"/>
      <c r="U845" s="351"/>
      <c r="V845" s="613" t="str">
        <f>'refer admin discharge'!H846</f>
        <v>00/00/0000</v>
      </c>
      <c r="W845" s="351"/>
      <c r="X845" s="607"/>
      <c r="Y845" s="351"/>
      <c r="Z845" s="614"/>
      <c r="AA845" s="351"/>
      <c r="AB845" s="607"/>
      <c r="AC845" s="351"/>
      <c r="AD845" s="606"/>
      <c r="AE845" s="351"/>
      <c r="AF845" s="607"/>
      <c r="AG845" s="351"/>
      <c r="AH845" s="606"/>
      <c r="AI845" s="351"/>
      <c r="AJ845" s="607"/>
      <c r="AK845" s="351"/>
      <c r="AL845" s="608"/>
      <c r="AM845" s="350"/>
      <c r="AN845" s="350"/>
      <c r="AO845" s="350"/>
      <c r="AP845" s="350"/>
      <c r="AQ845" s="350"/>
      <c r="AR845" s="350"/>
      <c r="AS845" s="350"/>
      <c r="AT845" s="350"/>
      <c r="AU845" s="350"/>
      <c r="AV845" s="350"/>
      <c r="AW845" s="350"/>
      <c r="AX845" s="350"/>
      <c r="AY845" s="350"/>
      <c r="AZ845" s="350"/>
      <c r="BA845" s="350"/>
      <c r="BB845" s="351"/>
    </row>
    <row r="846" spans="1:54" ht="15.75" customHeight="1">
      <c r="A846" s="25">
        <f t="shared" si="3"/>
        <v>833</v>
      </c>
      <c r="B846" s="618" t="str">
        <f>'refer admin discharge'!B842</f>
        <v>x</v>
      </c>
      <c r="C846" s="351"/>
      <c r="D846" s="619" t="str">
        <f>'refer admin discharge'!D842</f>
        <v>xx</v>
      </c>
      <c r="E846" s="351"/>
      <c r="F846" s="620" t="str">
        <f>'refer admin discharge'!H842</f>
        <v>00/00/0000</v>
      </c>
      <c r="G846" s="351"/>
      <c r="H846" s="615"/>
      <c r="I846" s="351"/>
      <c r="J846" s="621"/>
      <c r="K846" s="351"/>
      <c r="L846" s="615"/>
      <c r="M846" s="351"/>
      <c r="N846" s="610"/>
      <c r="O846" s="351"/>
      <c r="P846" s="615"/>
      <c r="Q846" s="351"/>
      <c r="R846" s="610"/>
      <c r="S846" s="351"/>
      <c r="T846" s="615"/>
      <c r="U846" s="351"/>
      <c r="V846" s="613" t="str">
        <f>'refer admin discharge'!H847</f>
        <v>00/00/0000</v>
      </c>
      <c r="W846" s="351"/>
      <c r="X846" s="616"/>
      <c r="Y846" s="351"/>
      <c r="Z846" s="617"/>
      <c r="AA846" s="351"/>
      <c r="AB846" s="616"/>
      <c r="AC846" s="351"/>
      <c r="AD846" s="607"/>
      <c r="AE846" s="351"/>
      <c r="AF846" s="616"/>
      <c r="AG846" s="351"/>
      <c r="AH846" s="607"/>
      <c r="AI846" s="351"/>
      <c r="AJ846" s="616"/>
      <c r="AK846" s="351"/>
      <c r="AL846" s="622"/>
      <c r="AM846" s="350"/>
      <c r="AN846" s="350"/>
      <c r="AO846" s="350"/>
      <c r="AP846" s="350"/>
      <c r="AQ846" s="350"/>
      <c r="AR846" s="350"/>
      <c r="AS846" s="350"/>
      <c r="AT846" s="350"/>
      <c r="AU846" s="350"/>
      <c r="AV846" s="350"/>
      <c r="AW846" s="350"/>
      <c r="AX846" s="350"/>
      <c r="AY846" s="350"/>
      <c r="AZ846" s="350"/>
      <c r="BA846" s="350"/>
      <c r="BB846" s="351"/>
    </row>
    <row r="847" spans="1:54" ht="15.75" customHeight="1">
      <c r="A847" s="25">
        <f t="shared" si="3"/>
        <v>834</v>
      </c>
      <c r="B847" s="599" t="str">
        <f>'refer admin discharge'!B843</f>
        <v>x</v>
      </c>
      <c r="C847" s="351"/>
      <c r="D847" s="600" t="str">
        <f>'refer admin discharge'!D843</f>
        <v>xx</v>
      </c>
      <c r="E847" s="351"/>
      <c r="F847" s="609" t="str">
        <f>'refer admin discharge'!H843</f>
        <v>00/00/0000</v>
      </c>
      <c r="G847" s="351"/>
      <c r="H847" s="610"/>
      <c r="I847" s="351"/>
      <c r="J847" s="611"/>
      <c r="K847" s="351"/>
      <c r="L847" s="610"/>
      <c r="M847" s="351"/>
      <c r="N847" s="612"/>
      <c r="O847" s="351"/>
      <c r="P847" s="610"/>
      <c r="Q847" s="351"/>
      <c r="R847" s="612"/>
      <c r="S847" s="351"/>
      <c r="T847" s="610"/>
      <c r="U847" s="351"/>
      <c r="V847" s="613" t="str">
        <f>'refer admin discharge'!H848</f>
        <v>00/00/0000</v>
      </c>
      <c r="W847" s="351"/>
      <c r="X847" s="607"/>
      <c r="Y847" s="351"/>
      <c r="Z847" s="614"/>
      <c r="AA847" s="351"/>
      <c r="AB847" s="607"/>
      <c r="AC847" s="351"/>
      <c r="AD847" s="606"/>
      <c r="AE847" s="351"/>
      <c r="AF847" s="607"/>
      <c r="AG847" s="351"/>
      <c r="AH847" s="606"/>
      <c r="AI847" s="351"/>
      <c r="AJ847" s="607"/>
      <c r="AK847" s="351"/>
      <c r="AL847" s="608"/>
      <c r="AM847" s="350"/>
      <c r="AN847" s="350"/>
      <c r="AO847" s="350"/>
      <c r="AP847" s="350"/>
      <c r="AQ847" s="350"/>
      <c r="AR847" s="350"/>
      <c r="AS847" s="350"/>
      <c r="AT847" s="350"/>
      <c r="AU847" s="350"/>
      <c r="AV847" s="350"/>
      <c r="AW847" s="350"/>
      <c r="AX847" s="350"/>
      <c r="AY847" s="350"/>
      <c r="AZ847" s="350"/>
      <c r="BA847" s="350"/>
      <c r="BB847" s="351"/>
    </row>
    <row r="848" spans="1:54" ht="15.75" customHeight="1">
      <c r="A848" s="25">
        <f t="shared" si="3"/>
        <v>835</v>
      </c>
      <c r="B848" s="618" t="str">
        <f>'refer admin discharge'!B844</f>
        <v>x</v>
      </c>
      <c r="C848" s="351"/>
      <c r="D848" s="619" t="str">
        <f>'refer admin discharge'!D844</f>
        <v>xx</v>
      </c>
      <c r="E848" s="351"/>
      <c r="F848" s="620" t="str">
        <f>'refer admin discharge'!H844</f>
        <v>00/00/0000</v>
      </c>
      <c r="G848" s="351"/>
      <c r="H848" s="615"/>
      <c r="I848" s="351"/>
      <c r="J848" s="621"/>
      <c r="K848" s="351"/>
      <c r="L848" s="615"/>
      <c r="M848" s="351"/>
      <c r="N848" s="610"/>
      <c r="O848" s="351"/>
      <c r="P848" s="615"/>
      <c r="Q848" s="351"/>
      <c r="R848" s="610"/>
      <c r="S848" s="351"/>
      <c r="T848" s="615"/>
      <c r="U848" s="351"/>
      <c r="V848" s="613" t="str">
        <f>'refer admin discharge'!H849</f>
        <v>00/00/0000</v>
      </c>
      <c r="W848" s="351"/>
      <c r="X848" s="616"/>
      <c r="Y848" s="351"/>
      <c r="Z848" s="617"/>
      <c r="AA848" s="351"/>
      <c r="AB848" s="616"/>
      <c r="AC848" s="351"/>
      <c r="AD848" s="607"/>
      <c r="AE848" s="351"/>
      <c r="AF848" s="616"/>
      <c r="AG848" s="351"/>
      <c r="AH848" s="607"/>
      <c r="AI848" s="351"/>
      <c r="AJ848" s="616"/>
      <c r="AK848" s="351"/>
      <c r="AL848" s="622"/>
      <c r="AM848" s="350"/>
      <c r="AN848" s="350"/>
      <c r="AO848" s="350"/>
      <c r="AP848" s="350"/>
      <c r="AQ848" s="350"/>
      <c r="AR848" s="350"/>
      <c r="AS848" s="350"/>
      <c r="AT848" s="350"/>
      <c r="AU848" s="350"/>
      <c r="AV848" s="350"/>
      <c r="AW848" s="350"/>
      <c r="AX848" s="350"/>
      <c r="AY848" s="350"/>
      <c r="AZ848" s="350"/>
      <c r="BA848" s="350"/>
      <c r="BB848" s="351"/>
    </row>
    <row r="849" spans="1:54" ht="15.75" customHeight="1">
      <c r="A849" s="25">
        <f t="shared" si="3"/>
        <v>836</v>
      </c>
      <c r="B849" s="599" t="str">
        <f>'refer admin discharge'!B845</f>
        <v>x</v>
      </c>
      <c r="C849" s="351"/>
      <c r="D849" s="600" t="str">
        <f>'refer admin discharge'!D845</f>
        <v>xx</v>
      </c>
      <c r="E849" s="351"/>
      <c r="F849" s="609" t="str">
        <f>'refer admin discharge'!H845</f>
        <v>00/00/0000</v>
      </c>
      <c r="G849" s="351"/>
      <c r="H849" s="610"/>
      <c r="I849" s="351"/>
      <c r="J849" s="611"/>
      <c r="K849" s="351"/>
      <c r="L849" s="610"/>
      <c r="M849" s="351"/>
      <c r="N849" s="612"/>
      <c r="O849" s="351"/>
      <c r="P849" s="610"/>
      <c r="Q849" s="351"/>
      <c r="R849" s="612"/>
      <c r="S849" s="351"/>
      <c r="T849" s="610"/>
      <c r="U849" s="351"/>
      <c r="V849" s="613" t="str">
        <f>'refer admin discharge'!H850</f>
        <v>00/00/0000</v>
      </c>
      <c r="W849" s="351"/>
      <c r="X849" s="607"/>
      <c r="Y849" s="351"/>
      <c r="Z849" s="614"/>
      <c r="AA849" s="351"/>
      <c r="AB849" s="607"/>
      <c r="AC849" s="351"/>
      <c r="AD849" s="606"/>
      <c r="AE849" s="351"/>
      <c r="AF849" s="607"/>
      <c r="AG849" s="351"/>
      <c r="AH849" s="606"/>
      <c r="AI849" s="351"/>
      <c r="AJ849" s="607"/>
      <c r="AK849" s="351"/>
      <c r="AL849" s="608"/>
      <c r="AM849" s="350"/>
      <c r="AN849" s="350"/>
      <c r="AO849" s="350"/>
      <c r="AP849" s="350"/>
      <c r="AQ849" s="350"/>
      <c r="AR849" s="350"/>
      <c r="AS849" s="350"/>
      <c r="AT849" s="350"/>
      <c r="AU849" s="350"/>
      <c r="AV849" s="350"/>
      <c r="AW849" s="350"/>
      <c r="AX849" s="350"/>
      <c r="AY849" s="350"/>
      <c r="AZ849" s="350"/>
      <c r="BA849" s="350"/>
      <c r="BB849" s="351"/>
    </row>
    <row r="850" spans="1:54" ht="15.75" customHeight="1">
      <c r="A850" s="25">
        <f t="shared" si="3"/>
        <v>837</v>
      </c>
      <c r="B850" s="618" t="str">
        <f>'refer admin discharge'!B846</f>
        <v>x</v>
      </c>
      <c r="C850" s="351"/>
      <c r="D850" s="619" t="str">
        <f>'refer admin discharge'!D846</f>
        <v>xx</v>
      </c>
      <c r="E850" s="351"/>
      <c r="F850" s="620" t="str">
        <f>'refer admin discharge'!H846</f>
        <v>00/00/0000</v>
      </c>
      <c r="G850" s="351"/>
      <c r="H850" s="615"/>
      <c r="I850" s="351"/>
      <c r="J850" s="621"/>
      <c r="K850" s="351"/>
      <c r="L850" s="615"/>
      <c r="M850" s="351"/>
      <c r="N850" s="610"/>
      <c r="O850" s="351"/>
      <c r="P850" s="615"/>
      <c r="Q850" s="351"/>
      <c r="R850" s="610"/>
      <c r="S850" s="351"/>
      <c r="T850" s="615"/>
      <c r="U850" s="351"/>
      <c r="V850" s="613" t="str">
        <f>'refer admin discharge'!H851</f>
        <v>00/00/0000</v>
      </c>
      <c r="W850" s="351"/>
      <c r="X850" s="616"/>
      <c r="Y850" s="351"/>
      <c r="Z850" s="617"/>
      <c r="AA850" s="351"/>
      <c r="AB850" s="616"/>
      <c r="AC850" s="351"/>
      <c r="AD850" s="607"/>
      <c r="AE850" s="351"/>
      <c r="AF850" s="616"/>
      <c r="AG850" s="351"/>
      <c r="AH850" s="607"/>
      <c r="AI850" s="351"/>
      <c r="AJ850" s="616"/>
      <c r="AK850" s="351"/>
      <c r="AL850" s="622"/>
      <c r="AM850" s="350"/>
      <c r="AN850" s="350"/>
      <c r="AO850" s="350"/>
      <c r="AP850" s="350"/>
      <c r="AQ850" s="350"/>
      <c r="AR850" s="350"/>
      <c r="AS850" s="350"/>
      <c r="AT850" s="350"/>
      <c r="AU850" s="350"/>
      <c r="AV850" s="350"/>
      <c r="AW850" s="350"/>
      <c r="AX850" s="350"/>
      <c r="AY850" s="350"/>
      <c r="AZ850" s="350"/>
      <c r="BA850" s="350"/>
      <c r="BB850" s="351"/>
    </row>
    <row r="851" spans="1:54" ht="15.75" customHeight="1">
      <c r="A851" s="25">
        <f t="shared" si="3"/>
        <v>838</v>
      </c>
      <c r="B851" s="599" t="str">
        <f>'refer admin discharge'!B847</f>
        <v>x</v>
      </c>
      <c r="C851" s="351"/>
      <c r="D851" s="600" t="str">
        <f>'refer admin discharge'!D847</f>
        <v>xx</v>
      </c>
      <c r="E851" s="351"/>
      <c r="F851" s="609" t="str">
        <f>'refer admin discharge'!H847</f>
        <v>00/00/0000</v>
      </c>
      <c r="G851" s="351"/>
      <c r="H851" s="610"/>
      <c r="I851" s="351"/>
      <c r="J851" s="611"/>
      <c r="K851" s="351"/>
      <c r="L851" s="610"/>
      <c r="M851" s="351"/>
      <c r="N851" s="612"/>
      <c r="O851" s="351"/>
      <c r="P851" s="610"/>
      <c r="Q851" s="351"/>
      <c r="R851" s="612"/>
      <c r="S851" s="351"/>
      <c r="T851" s="610"/>
      <c r="U851" s="351"/>
      <c r="V851" s="613" t="str">
        <f>'refer admin discharge'!H852</f>
        <v>00/00/0000</v>
      </c>
      <c r="W851" s="351"/>
      <c r="X851" s="607"/>
      <c r="Y851" s="351"/>
      <c r="Z851" s="614"/>
      <c r="AA851" s="351"/>
      <c r="AB851" s="607"/>
      <c r="AC851" s="351"/>
      <c r="AD851" s="606"/>
      <c r="AE851" s="351"/>
      <c r="AF851" s="607"/>
      <c r="AG851" s="351"/>
      <c r="AH851" s="606"/>
      <c r="AI851" s="351"/>
      <c r="AJ851" s="607"/>
      <c r="AK851" s="351"/>
      <c r="AL851" s="608"/>
      <c r="AM851" s="350"/>
      <c r="AN851" s="350"/>
      <c r="AO851" s="350"/>
      <c r="AP851" s="350"/>
      <c r="AQ851" s="350"/>
      <c r="AR851" s="350"/>
      <c r="AS851" s="350"/>
      <c r="AT851" s="350"/>
      <c r="AU851" s="350"/>
      <c r="AV851" s="350"/>
      <c r="AW851" s="350"/>
      <c r="AX851" s="350"/>
      <c r="AY851" s="350"/>
      <c r="AZ851" s="350"/>
      <c r="BA851" s="350"/>
      <c r="BB851" s="351"/>
    </row>
    <row r="852" spans="1:54" ht="15.75" customHeight="1">
      <c r="A852" s="25">
        <f t="shared" si="3"/>
        <v>839</v>
      </c>
      <c r="B852" s="618" t="str">
        <f>'refer admin discharge'!B848</f>
        <v>x</v>
      </c>
      <c r="C852" s="351"/>
      <c r="D852" s="619" t="str">
        <f>'refer admin discharge'!D848</f>
        <v>xx</v>
      </c>
      <c r="E852" s="351"/>
      <c r="F852" s="620" t="str">
        <f>'refer admin discharge'!H848</f>
        <v>00/00/0000</v>
      </c>
      <c r="G852" s="351"/>
      <c r="H852" s="615"/>
      <c r="I852" s="351"/>
      <c r="J852" s="621"/>
      <c r="K852" s="351"/>
      <c r="L852" s="615"/>
      <c r="M852" s="351"/>
      <c r="N852" s="610"/>
      <c r="O852" s="351"/>
      <c r="P852" s="615"/>
      <c r="Q852" s="351"/>
      <c r="R852" s="610"/>
      <c r="S852" s="351"/>
      <c r="T852" s="615"/>
      <c r="U852" s="351"/>
      <c r="V852" s="613" t="str">
        <f>'refer admin discharge'!H853</f>
        <v>00/00/0000</v>
      </c>
      <c r="W852" s="351"/>
      <c r="X852" s="616"/>
      <c r="Y852" s="351"/>
      <c r="Z852" s="617"/>
      <c r="AA852" s="351"/>
      <c r="AB852" s="616"/>
      <c r="AC852" s="351"/>
      <c r="AD852" s="607"/>
      <c r="AE852" s="351"/>
      <c r="AF852" s="616"/>
      <c r="AG852" s="351"/>
      <c r="AH852" s="607"/>
      <c r="AI852" s="351"/>
      <c r="AJ852" s="616"/>
      <c r="AK852" s="351"/>
      <c r="AL852" s="622"/>
      <c r="AM852" s="350"/>
      <c r="AN852" s="350"/>
      <c r="AO852" s="350"/>
      <c r="AP852" s="350"/>
      <c r="AQ852" s="350"/>
      <c r="AR852" s="350"/>
      <c r="AS852" s="350"/>
      <c r="AT852" s="350"/>
      <c r="AU852" s="350"/>
      <c r="AV852" s="350"/>
      <c r="AW852" s="350"/>
      <c r="AX852" s="350"/>
      <c r="AY852" s="350"/>
      <c r="AZ852" s="350"/>
      <c r="BA852" s="350"/>
      <c r="BB852" s="351"/>
    </row>
    <row r="853" spans="1:54" ht="15.75" customHeight="1">
      <c r="A853" s="25">
        <f t="shared" si="3"/>
        <v>840</v>
      </c>
      <c r="B853" s="599" t="str">
        <f>'refer admin discharge'!B849</f>
        <v>x</v>
      </c>
      <c r="C853" s="351"/>
      <c r="D853" s="600" t="str">
        <f>'refer admin discharge'!D849</f>
        <v>xx</v>
      </c>
      <c r="E853" s="351"/>
      <c r="F853" s="609" t="str">
        <f>'refer admin discharge'!H849</f>
        <v>00/00/0000</v>
      </c>
      <c r="G853" s="351"/>
      <c r="H853" s="610"/>
      <c r="I853" s="351"/>
      <c r="J853" s="611"/>
      <c r="K853" s="351"/>
      <c r="L853" s="610"/>
      <c r="M853" s="351"/>
      <c r="N853" s="612"/>
      <c r="O853" s="351"/>
      <c r="P853" s="610"/>
      <c r="Q853" s="351"/>
      <c r="R853" s="612"/>
      <c r="S853" s="351"/>
      <c r="T853" s="610"/>
      <c r="U853" s="351"/>
      <c r="V853" s="613" t="str">
        <f>'refer admin discharge'!H854</f>
        <v>00/00/0000</v>
      </c>
      <c r="W853" s="351"/>
      <c r="X853" s="607"/>
      <c r="Y853" s="351"/>
      <c r="Z853" s="614"/>
      <c r="AA853" s="351"/>
      <c r="AB853" s="607"/>
      <c r="AC853" s="351"/>
      <c r="AD853" s="606"/>
      <c r="AE853" s="351"/>
      <c r="AF853" s="607"/>
      <c r="AG853" s="351"/>
      <c r="AH853" s="606"/>
      <c r="AI853" s="351"/>
      <c r="AJ853" s="607"/>
      <c r="AK853" s="351"/>
      <c r="AL853" s="608"/>
      <c r="AM853" s="350"/>
      <c r="AN853" s="350"/>
      <c r="AO853" s="350"/>
      <c r="AP853" s="350"/>
      <c r="AQ853" s="350"/>
      <c r="AR853" s="350"/>
      <c r="AS853" s="350"/>
      <c r="AT853" s="350"/>
      <c r="AU853" s="350"/>
      <c r="AV853" s="350"/>
      <c r="AW853" s="350"/>
      <c r="AX853" s="350"/>
      <c r="AY853" s="350"/>
      <c r="AZ853" s="350"/>
      <c r="BA853" s="350"/>
      <c r="BB853" s="351"/>
    </row>
    <row r="854" spans="1:54" ht="15.75" customHeight="1">
      <c r="A854" s="25">
        <f t="shared" si="3"/>
        <v>841</v>
      </c>
      <c r="B854" s="618" t="str">
        <f>'refer admin discharge'!B850</f>
        <v>x</v>
      </c>
      <c r="C854" s="351"/>
      <c r="D854" s="619" t="str">
        <f>'refer admin discharge'!D850</f>
        <v>xx</v>
      </c>
      <c r="E854" s="351"/>
      <c r="F854" s="620" t="str">
        <f>'refer admin discharge'!H850</f>
        <v>00/00/0000</v>
      </c>
      <c r="G854" s="351"/>
      <c r="H854" s="615"/>
      <c r="I854" s="351"/>
      <c r="J854" s="621"/>
      <c r="K854" s="351"/>
      <c r="L854" s="615"/>
      <c r="M854" s="351"/>
      <c r="N854" s="610"/>
      <c r="O854" s="351"/>
      <c r="P854" s="615"/>
      <c r="Q854" s="351"/>
      <c r="R854" s="610"/>
      <c r="S854" s="351"/>
      <c r="T854" s="615"/>
      <c r="U854" s="351"/>
      <c r="V854" s="613" t="str">
        <f>'refer admin discharge'!H855</f>
        <v>00/00/0000</v>
      </c>
      <c r="W854" s="351"/>
      <c r="X854" s="616"/>
      <c r="Y854" s="351"/>
      <c r="Z854" s="617"/>
      <c r="AA854" s="351"/>
      <c r="AB854" s="616"/>
      <c r="AC854" s="351"/>
      <c r="AD854" s="607"/>
      <c r="AE854" s="351"/>
      <c r="AF854" s="616"/>
      <c r="AG854" s="351"/>
      <c r="AH854" s="607"/>
      <c r="AI854" s="351"/>
      <c r="AJ854" s="616"/>
      <c r="AK854" s="351"/>
      <c r="AL854" s="622"/>
      <c r="AM854" s="350"/>
      <c r="AN854" s="350"/>
      <c r="AO854" s="350"/>
      <c r="AP854" s="350"/>
      <c r="AQ854" s="350"/>
      <c r="AR854" s="350"/>
      <c r="AS854" s="350"/>
      <c r="AT854" s="350"/>
      <c r="AU854" s="350"/>
      <c r="AV854" s="350"/>
      <c r="AW854" s="350"/>
      <c r="AX854" s="350"/>
      <c r="AY854" s="350"/>
      <c r="AZ854" s="350"/>
      <c r="BA854" s="350"/>
      <c r="BB854" s="351"/>
    </row>
    <row r="855" spans="1:54" ht="15.75" customHeight="1">
      <c r="A855" s="25">
        <f t="shared" si="3"/>
        <v>842</v>
      </c>
      <c r="B855" s="599" t="str">
        <f>'refer admin discharge'!B851</f>
        <v>x</v>
      </c>
      <c r="C855" s="351"/>
      <c r="D855" s="600" t="str">
        <f>'refer admin discharge'!D851</f>
        <v>xx</v>
      </c>
      <c r="E855" s="351"/>
      <c r="F855" s="609" t="str">
        <f>'refer admin discharge'!H851</f>
        <v>00/00/0000</v>
      </c>
      <c r="G855" s="351"/>
      <c r="H855" s="610"/>
      <c r="I855" s="351"/>
      <c r="J855" s="611"/>
      <c r="K855" s="351"/>
      <c r="L855" s="610"/>
      <c r="M855" s="351"/>
      <c r="N855" s="612"/>
      <c r="O855" s="351"/>
      <c r="P855" s="610"/>
      <c r="Q855" s="351"/>
      <c r="R855" s="612"/>
      <c r="S855" s="351"/>
      <c r="T855" s="610"/>
      <c r="U855" s="351"/>
      <c r="V855" s="613" t="str">
        <f>'refer admin discharge'!H856</f>
        <v>00/00/0000</v>
      </c>
      <c r="W855" s="351"/>
      <c r="X855" s="607"/>
      <c r="Y855" s="351"/>
      <c r="Z855" s="614"/>
      <c r="AA855" s="351"/>
      <c r="AB855" s="607"/>
      <c r="AC855" s="351"/>
      <c r="AD855" s="606"/>
      <c r="AE855" s="351"/>
      <c r="AF855" s="607"/>
      <c r="AG855" s="351"/>
      <c r="AH855" s="606"/>
      <c r="AI855" s="351"/>
      <c r="AJ855" s="607"/>
      <c r="AK855" s="351"/>
      <c r="AL855" s="608"/>
      <c r="AM855" s="350"/>
      <c r="AN855" s="350"/>
      <c r="AO855" s="350"/>
      <c r="AP855" s="350"/>
      <c r="AQ855" s="350"/>
      <c r="AR855" s="350"/>
      <c r="AS855" s="350"/>
      <c r="AT855" s="350"/>
      <c r="AU855" s="350"/>
      <c r="AV855" s="350"/>
      <c r="AW855" s="350"/>
      <c r="AX855" s="350"/>
      <c r="AY855" s="350"/>
      <c r="AZ855" s="350"/>
      <c r="BA855" s="350"/>
      <c r="BB855" s="351"/>
    </row>
    <row r="856" spans="1:54" ht="15.75" customHeight="1">
      <c r="A856" s="25">
        <f t="shared" si="3"/>
        <v>843</v>
      </c>
      <c r="B856" s="618" t="str">
        <f>'refer admin discharge'!B852</f>
        <v>x</v>
      </c>
      <c r="C856" s="351"/>
      <c r="D856" s="619" t="str">
        <f>'refer admin discharge'!D852</f>
        <v>xx</v>
      </c>
      <c r="E856" s="351"/>
      <c r="F856" s="620" t="str">
        <f>'refer admin discharge'!H852</f>
        <v>00/00/0000</v>
      </c>
      <c r="G856" s="351"/>
      <c r="H856" s="615"/>
      <c r="I856" s="351"/>
      <c r="J856" s="621"/>
      <c r="K856" s="351"/>
      <c r="L856" s="615"/>
      <c r="M856" s="351"/>
      <c r="N856" s="610"/>
      <c r="O856" s="351"/>
      <c r="P856" s="615"/>
      <c r="Q856" s="351"/>
      <c r="R856" s="610"/>
      <c r="S856" s="351"/>
      <c r="T856" s="615"/>
      <c r="U856" s="351"/>
      <c r="V856" s="613" t="str">
        <f>'refer admin discharge'!H857</f>
        <v>00/00/0000</v>
      </c>
      <c r="W856" s="351"/>
      <c r="X856" s="616"/>
      <c r="Y856" s="351"/>
      <c r="Z856" s="617"/>
      <c r="AA856" s="351"/>
      <c r="AB856" s="616"/>
      <c r="AC856" s="351"/>
      <c r="AD856" s="607"/>
      <c r="AE856" s="351"/>
      <c r="AF856" s="616"/>
      <c r="AG856" s="351"/>
      <c r="AH856" s="607"/>
      <c r="AI856" s="351"/>
      <c r="AJ856" s="616"/>
      <c r="AK856" s="351"/>
      <c r="AL856" s="622"/>
      <c r="AM856" s="350"/>
      <c r="AN856" s="350"/>
      <c r="AO856" s="350"/>
      <c r="AP856" s="350"/>
      <c r="AQ856" s="350"/>
      <c r="AR856" s="350"/>
      <c r="AS856" s="350"/>
      <c r="AT856" s="350"/>
      <c r="AU856" s="350"/>
      <c r="AV856" s="350"/>
      <c r="AW856" s="350"/>
      <c r="AX856" s="350"/>
      <c r="AY856" s="350"/>
      <c r="AZ856" s="350"/>
      <c r="BA856" s="350"/>
      <c r="BB856" s="351"/>
    </row>
    <row r="857" spans="1:54" ht="15.75" customHeight="1">
      <c r="A857" s="25">
        <f t="shared" si="3"/>
        <v>844</v>
      </c>
      <c r="B857" s="599" t="str">
        <f>'refer admin discharge'!B853</f>
        <v>x</v>
      </c>
      <c r="C857" s="351"/>
      <c r="D857" s="600" t="str">
        <f>'refer admin discharge'!D853</f>
        <v>xx</v>
      </c>
      <c r="E857" s="351"/>
      <c r="F857" s="609" t="str">
        <f>'refer admin discharge'!H853</f>
        <v>00/00/0000</v>
      </c>
      <c r="G857" s="351"/>
      <c r="H857" s="610"/>
      <c r="I857" s="351"/>
      <c r="J857" s="611"/>
      <c r="K857" s="351"/>
      <c r="L857" s="610"/>
      <c r="M857" s="351"/>
      <c r="N857" s="612"/>
      <c r="O857" s="351"/>
      <c r="P857" s="610"/>
      <c r="Q857" s="351"/>
      <c r="R857" s="612"/>
      <c r="S857" s="351"/>
      <c r="T857" s="610"/>
      <c r="U857" s="351"/>
      <c r="V857" s="613" t="str">
        <f>'refer admin discharge'!H858</f>
        <v>00/00/0000</v>
      </c>
      <c r="W857" s="351"/>
      <c r="X857" s="607"/>
      <c r="Y857" s="351"/>
      <c r="Z857" s="614"/>
      <c r="AA857" s="351"/>
      <c r="AB857" s="607"/>
      <c r="AC857" s="351"/>
      <c r="AD857" s="606"/>
      <c r="AE857" s="351"/>
      <c r="AF857" s="607"/>
      <c r="AG857" s="351"/>
      <c r="AH857" s="606"/>
      <c r="AI857" s="351"/>
      <c r="AJ857" s="607"/>
      <c r="AK857" s="351"/>
      <c r="AL857" s="608"/>
      <c r="AM857" s="350"/>
      <c r="AN857" s="350"/>
      <c r="AO857" s="350"/>
      <c r="AP857" s="350"/>
      <c r="AQ857" s="350"/>
      <c r="AR857" s="350"/>
      <c r="AS857" s="350"/>
      <c r="AT857" s="350"/>
      <c r="AU857" s="350"/>
      <c r="AV857" s="350"/>
      <c r="AW857" s="350"/>
      <c r="AX857" s="350"/>
      <c r="AY857" s="350"/>
      <c r="AZ857" s="350"/>
      <c r="BA857" s="350"/>
      <c r="BB857" s="351"/>
    </row>
    <row r="858" spans="1:54" ht="15.75" customHeight="1">
      <c r="A858" s="25">
        <f t="shared" si="3"/>
        <v>845</v>
      </c>
      <c r="B858" s="618" t="str">
        <f>'refer admin discharge'!B854</f>
        <v>x</v>
      </c>
      <c r="C858" s="351"/>
      <c r="D858" s="619" t="str">
        <f>'refer admin discharge'!D854</f>
        <v>xx</v>
      </c>
      <c r="E858" s="351"/>
      <c r="F858" s="620" t="str">
        <f>'refer admin discharge'!H854</f>
        <v>00/00/0000</v>
      </c>
      <c r="G858" s="351"/>
      <c r="H858" s="615"/>
      <c r="I858" s="351"/>
      <c r="J858" s="621"/>
      <c r="K858" s="351"/>
      <c r="L858" s="615"/>
      <c r="M858" s="351"/>
      <c r="N858" s="610"/>
      <c r="O858" s="351"/>
      <c r="P858" s="615"/>
      <c r="Q858" s="351"/>
      <c r="R858" s="610"/>
      <c r="S858" s="351"/>
      <c r="T858" s="615"/>
      <c r="U858" s="351"/>
      <c r="V858" s="613" t="str">
        <f>'refer admin discharge'!H859</f>
        <v>00/00/0000</v>
      </c>
      <c r="W858" s="351"/>
      <c r="X858" s="616"/>
      <c r="Y858" s="351"/>
      <c r="Z858" s="617"/>
      <c r="AA858" s="351"/>
      <c r="AB858" s="616"/>
      <c r="AC858" s="351"/>
      <c r="AD858" s="607"/>
      <c r="AE858" s="351"/>
      <c r="AF858" s="616"/>
      <c r="AG858" s="351"/>
      <c r="AH858" s="607"/>
      <c r="AI858" s="351"/>
      <c r="AJ858" s="616"/>
      <c r="AK858" s="351"/>
      <c r="AL858" s="622"/>
      <c r="AM858" s="350"/>
      <c r="AN858" s="350"/>
      <c r="AO858" s="350"/>
      <c r="AP858" s="350"/>
      <c r="AQ858" s="350"/>
      <c r="AR858" s="350"/>
      <c r="AS858" s="350"/>
      <c r="AT858" s="350"/>
      <c r="AU858" s="350"/>
      <c r="AV858" s="350"/>
      <c r="AW858" s="350"/>
      <c r="AX858" s="350"/>
      <c r="AY858" s="350"/>
      <c r="AZ858" s="350"/>
      <c r="BA858" s="350"/>
      <c r="BB858" s="351"/>
    </row>
    <row r="859" spans="1:54" ht="15.75" customHeight="1">
      <c r="A859" s="25">
        <f t="shared" si="3"/>
        <v>846</v>
      </c>
      <c r="B859" s="599" t="str">
        <f>'refer admin discharge'!B855</f>
        <v>x</v>
      </c>
      <c r="C859" s="351"/>
      <c r="D859" s="600" t="str">
        <f>'refer admin discharge'!D855</f>
        <v>xx</v>
      </c>
      <c r="E859" s="351"/>
      <c r="F859" s="609" t="str">
        <f>'refer admin discharge'!H855</f>
        <v>00/00/0000</v>
      </c>
      <c r="G859" s="351"/>
      <c r="H859" s="610"/>
      <c r="I859" s="351"/>
      <c r="J859" s="611"/>
      <c r="K859" s="351"/>
      <c r="L859" s="610"/>
      <c r="M859" s="351"/>
      <c r="N859" s="612"/>
      <c r="O859" s="351"/>
      <c r="P859" s="610"/>
      <c r="Q859" s="351"/>
      <c r="R859" s="612"/>
      <c r="S859" s="351"/>
      <c r="T859" s="610"/>
      <c r="U859" s="351"/>
      <c r="V859" s="613" t="str">
        <f>'refer admin discharge'!H860</f>
        <v>00/00/0000</v>
      </c>
      <c r="W859" s="351"/>
      <c r="X859" s="607"/>
      <c r="Y859" s="351"/>
      <c r="Z859" s="614"/>
      <c r="AA859" s="351"/>
      <c r="AB859" s="607"/>
      <c r="AC859" s="351"/>
      <c r="AD859" s="606"/>
      <c r="AE859" s="351"/>
      <c r="AF859" s="607"/>
      <c r="AG859" s="351"/>
      <c r="AH859" s="606"/>
      <c r="AI859" s="351"/>
      <c r="AJ859" s="607"/>
      <c r="AK859" s="351"/>
      <c r="AL859" s="608"/>
      <c r="AM859" s="350"/>
      <c r="AN859" s="350"/>
      <c r="AO859" s="350"/>
      <c r="AP859" s="350"/>
      <c r="AQ859" s="350"/>
      <c r="AR859" s="350"/>
      <c r="AS859" s="350"/>
      <c r="AT859" s="350"/>
      <c r="AU859" s="350"/>
      <c r="AV859" s="350"/>
      <c r="AW859" s="350"/>
      <c r="AX859" s="350"/>
      <c r="AY859" s="350"/>
      <c r="AZ859" s="350"/>
      <c r="BA859" s="350"/>
      <c r="BB859" s="351"/>
    </row>
    <row r="860" spans="1:54" ht="15.75" customHeight="1">
      <c r="A860" s="25">
        <f t="shared" si="3"/>
        <v>847</v>
      </c>
      <c r="B860" s="618" t="str">
        <f>'refer admin discharge'!B856</f>
        <v>x</v>
      </c>
      <c r="C860" s="351"/>
      <c r="D860" s="619" t="str">
        <f>'refer admin discharge'!D856</f>
        <v>xx</v>
      </c>
      <c r="E860" s="351"/>
      <c r="F860" s="620" t="str">
        <f>'refer admin discharge'!H856</f>
        <v>00/00/0000</v>
      </c>
      <c r="G860" s="351"/>
      <c r="H860" s="615"/>
      <c r="I860" s="351"/>
      <c r="J860" s="621"/>
      <c r="K860" s="351"/>
      <c r="L860" s="615"/>
      <c r="M860" s="351"/>
      <c r="N860" s="610"/>
      <c r="O860" s="351"/>
      <c r="P860" s="615"/>
      <c r="Q860" s="351"/>
      <c r="R860" s="610"/>
      <c r="S860" s="351"/>
      <c r="T860" s="615"/>
      <c r="U860" s="351"/>
      <c r="V860" s="613" t="str">
        <f>'refer admin discharge'!H861</f>
        <v>00/00/0000</v>
      </c>
      <c r="W860" s="351"/>
      <c r="X860" s="616"/>
      <c r="Y860" s="351"/>
      <c r="Z860" s="617"/>
      <c r="AA860" s="351"/>
      <c r="AB860" s="616"/>
      <c r="AC860" s="351"/>
      <c r="AD860" s="607"/>
      <c r="AE860" s="351"/>
      <c r="AF860" s="616"/>
      <c r="AG860" s="351"/>
      <c r="AH860" s="607"/>
      <c r="AI860" s="351"/>
      <c r="AJ860" s="616"/>
      <c r="AK860" s="351"/>
      <c r="AL860" s="622"/>
      <c r="AM860" s="350"/>
      <c r="AN860" s="350"/>
      <c r="AO860" s="350"/>
      <c r="AP860" s="350"/>
      <c r="AQ860" s="350"/>
      <c r="AR860" s="350"/>
      <c r="AS860" s="350"/>
      <c r="AT860" s="350"/>
      <c r="AU860" s="350"/>
      <c r="AV860" s="350"/>
      <c r="AW860" s="350"/>
      <c r="AX860" s="350"/>
      <c r="AY860" s="350"/>
      <c r="AZ860" s="350"/>
      <c r="BA860" s="350"/>
      <c r="BB860" s="351"/>
    </row>
    <row r="861" spans="1:54" ht="15.75" customHeight="1">
      <c r="A861" s="25">
        <f t="shared" si="3"/>
        <v>848</v>
      </c>
      <c r="B861" s="599" t="str">
        <f>'refer admin discharge'!B857</f>
        <v>x</v>
      </c>
      <c r="C861" s="351"/>
      <c r="D861" s="600" t="str">
        <f>'refer admin discharge'!D857</f>
        <v>xx</v>
      </c>
      <c r="E861" s="351"/>
      <c r="F861" s="609" t="str">
        <f>'refer admin discharge'!H857</f>
        <v>00/00/0000</v>
      </c>
      <c r="G861" s="351"/>
      <c r="H861" s="610"/>
      <c r="I861" s="351"/>
      <c r="J861" s="611"/>
      <c r="K861" s="351"/>
      <c r="L861" s="610"/>
      <c r="M861" s="351"/>
      <c r="N861" s="612"/>
      <c r="O861" s="351"/>
      <c r="P861" s="610"/>
      <c r="Q861" s="351"/>
      <c r="R861" s="612"/>
      <c r="S861" s="351"/>
      <c r="T861" s="610"/>
      <c r="U861" s="351"/>
      <c r="V861" s="613" t="str">
        <f>'refer admin discharge'!H862</f>
        <v>00/00/0000</v>
      </c>
      <c r="W861" s="351"/>
      <c r="X861" s="607"/>
      <c r="Y861" s="351"/>
      <c r="Z861" s="614"/>
      <c r="AA861" s="351"/>
      <c r="AB861" s="607"/>
      <c r="AC861" s="351"/>
      <c r="AD861" s="606"/>
      <c r="AE861" s="351"/>
      <c r="AF861" s="607"/>
      <c r="AG861" s="351"/>
      <c r="AH861" s="606"/>
      <c r="AI861" s="351"/>
      <c r="AJ861" s="607"/>
      <c r="AK861" s="351"/>
      <c r="AL861" s="608"/>
      <c r="AM861" s="350"/>
      <c r="AN861" s="350"/>
      <c r="AO861" s="350"/>
      <c r="AP861" s="350"/>
      <c r="AQ861" s="350"/>
      <c r="AR861" s="350"/>
      <c r="AS861" s="350"/>
      <c r="AT861" s="350"/>
      <c r="AU861" s="350"/>
      <c r="AV861" s="350"/>
      <c r="AW861" s="350"/>
      <c r="AX861" s="350"/>
      <c r="AY861" s="350"/>
      <c r="AZ861" s="350"/>
      <c r="BA861" s="350"/>
      <c r="BB861" s="351"/>
    </row>
    <row r="862" spans="1:54" ht="15.75" customHeight="1">
      <c r="A862" s="25">
        <f t="shared" si="3"/>
        <v>849</v>
      </c>
      <c r="B862" s="618" t="str">
        <f>'refer admin discharge'!B858</f>
        <v>x</v>
      </c>
      <c r="C862" s="351"/>
      <c r="D862" s="619" t="str">
        <f>'refer admin discharge'!D858</f>
        <v>xx</v>
      </c>
      <c r="E862" s="351"/>
      <c r="F862" s="620" t="str">
        <f>'refer admin discharge'!H858</f>
        <v>00/00/0000</v>
      </c>
      <c r="G862" s="351"/>
      <c r="H862" s="615"/>
      <c r="I862" s="351"/>
      <c r="J862" s="621"/>
      <c r="K862" s="351"/>
      <c r="L862" s="615"/>
      <c r="M862" s="351"/>
      <c r="N862" s="610"/>
      <c r="O862" s="351"/>
      <c r="P862" s="615"/>
      <c r="Q862" s="351"/>
      <c r="R862" s="610"/>
      <c r="S862" s="351"/>
      <c r="T862" s="615"/>
      <c r="U862" s="351"/>
      <c r="V862" s="613" t="str">
        <f>'refer admin discharge'!H863</f>
        <v>00/00/0000</v>
      </c>
      <c r="W862" s="351"/>
      <c r="X862" s="616"/>
      <c r="Y862" s="351"/>
      <c r="Z862" s="617"/>
      <c r="AA862" s="351"/>
      <c r="AB862" s="616"/>
      <c r="AC862" s="351"/>
      <c r="AD862" s="607"/>
      <c r="AE862" s="351"/>
      <c r="AF862" s="616"/>
      <c r="AG862" s="351"/>
      <c r="AH862" s="607"/>
      <c r="AI862" s="351"/>
      <c r="AJ862" s="616"/>
      <c r="AK862" s="351"/>
      <c r="AL862" s="622"/>
      <c r="AM862" s="350"/>
      <c r="AN862" s="350"/>
      <c r="AO862" s="350"/>
      <c r="AP862" s="350"/>
      <c r="AQ862" s="350"/>
      <c r="AR862" s="350"/>
      <c r="AS862" s="350"/>
      <c r="AT862" s="350"/>
      <c r="AU862" s="350"/>
      <c r="AV862" s="350"/>
      <c r="AW862" s="350"/>
      <c r="AX862" s="350"/>
      <c r="AY862" s="350"/>
      <c r="AZ862" s="350"/>
      <c r="BA862" s="350"/>
      <c r="BB862" s="351"/>
    </row>
    <row r="863" spans="1:54" ht="15.75" customHeight="1">
      <c r="A863" s="25">
        <f t="shared" si="3"/>
        <v>850</v>
      </c>
      <c r="B863" s="599" t="str">
        <f>'refer admin discharge'!B859</f>
        <v>x</v>
      </c>
      <c r="C863" s="351"/>
      <c r="D863" s="600" t="str">
        <f>'refer admin discharge'!D859</f>
        <v>xx</v>
      </c>
      <c r="E863" s="351"/>
      <c r="F863" s="609" t="str">
        <f>'refer admin discharge'!H859</f>
        <v>00/00/0000</v>
      </c>
      <c r="G863" s="351"/>
      <c r="H863" s="610"/>
      <c r="I863" s="351"/>
      <c r="J863" s="611"/>
      <c r="K863" s="351"/>
      <c r="L863" s="610"/>
      <c r="M863" s="351"/>
      <c r="N863" s="612"/>
      <c r="O863" s="351"/>
      <c r="P863" s="610"/>
      <c r="Q863" s="351"/>
      <c r="R863" s="612"/>
      <c r="S863" s="351"/>
      <c r="T863" s="610"/>
      <c r="U863" s="351"/>
      <c r="V863" s="613" t="str">
        <f>'refer admin discharge'!H864</f>
        <v>00/00/0000</v>
      </c>
      <c r="W863" s="351"/>
      <c r="X863" s="607"/>
      <c r="Y863" s="351"/>
      <c r="Z863" s="614"/>
      <c r="AA863" s="351"/>
      <c r="AB863" s="607"/>
      <c r="AC863" s="351"/>
      <c r="AD863" s="606"/>
      <c r="AE863" s="351"/>
      <c r="AF863" s="607"/>
      <c r="AG863" s="351"/>
      <c r="AH863" s="606"/>
      <c r="AI863" s="351"/>
      <c r="AJ863" s="607"/>
      <c r="AK863" s="351"/>
      <c r="AL863" s="608"/>
      <c r="AM863" s="350"/>
      <c r="AN863" s="350"/>
      <c r="AO863" s="350"/>
      <c r="AP863" s="350"/>
      <c r="AQ863" s="350"/>
      <c r="AR863" s="350"/>
      <c r="AS863" s="350"/>
      <c r="AT863" s="350"/>
      <c r="AU863" s="350"/>
      <c r="AV863" s="350"/>
      <c r="AW863" s="350"/>
      <c r="AX863" s="350"/>
      <c r="AY863" s="350"/>
      <c r="AZ863" s="350"/>
      <c r="BA863" s="350"/>
      <c r="BB863" s="351"/>
    </row>
    <row r="864" spans="1:54" ht="15.75" customHeight="1">
      <c r="A864" s="25">
        <f t="shared" si="3"/>
        <v>851</v>
      </c>
      <c r="B864" s="618" t="str">
        <f>'refer admin discharge'!B860</f>
        <v>x</v>
      </c>
      <c r="C864" s="351"/>
      <c r="D864" s="619" t="str">
        <f>'refer admin discharge'!D860</f>
        <v>xx</v>
      </c>
      <c r="E864" s="351"/>
      <c r="F864" s="620" t="str">
        <f>'refer admin discharge'!H860</f>
        <v>00/00/0000</v>
      </c>
      <c r="G864" s="351"/>
      <c r="H864" s="615"/>
      <c r="I864" s="351"/>
      <c r="J864" s="621"/>
      <c r="K864" s="351"/>
      <c r="L864" s="615"/>
      <c r="M864" s="351"/>
      <c r="N864" s="610"/>
      <c r="O864" s="351"/>
      <c r="P864" s="615"/>
      <c r="Q864" s="351"/>
      <c r="R864" s="610"/>
      <c r="S864" s="351"/>
      <c r="T864" s="615"/>
      <c r="U864" s="351"/>
      <c r="V864" s="613" t="str">
        <f>'refer admin discharge'!H865</f>
        <v>00/00/0000</v>
      </c>
      <c r="W864" s="351"/>
      <c r="X864" s="616"/>
      <c r="Y864" s="351"/>
      <c r="Z864" s="617"/>
      <c r="AA864" s="351"/>
      <c r="AB864" s="616"/>
      <c r="AC864" s="351"/>
      <c r="AD864" s="607"/>
      <c r="AE864" s="351"/>
      <c r="AF864" s="616"/>
      <c r="AG864" s="351"/>
      <c r="AH864" s="607"/>
      <c r="AI864" s="351"/>
      <c r="AJ864" s="616"/>
      <c r="AK864" s="351"/>
      <c r="AL864" s="622"/>
      <c r="AM864" s="350"/>
      <c r="AN864" s="350"/>
      <c r="AO864" s="350"/>
      <c r="AP864" s="350"/>
      <c r="AQ864" s="350"/>
      <c r="AR864" s="350"/>
      <c r="AS864" s="350"/>
      <c r="AT864" s="350"/>
      <c r="AU864" s="350"/>
      <c r="AV864" s="350"/>
      <c r="AW864" s="350"/>
      <c r="AX864" s="350"/>
      <c r="AY864" s="350"/>
      <c r="AZ864" s="350"/>
      <c r="BA864" s="350"/>
      <c r="BB864" s="351"/>
    </row>
    <row r="865" spans="1:54" ht="15.75" customHeight="1">
      <c r="A865" s="25">
        <f t="shared" si="3"/>
        <v>852</v>
      </c>
      <c r="B865" s="599" t="str">
        <f>'refer admin discharge'!B861</f>
        <v>x</v>
      </c>
      <c r="C865" s="351"/>
      <c r="D865" s="600" t="str">
        <f>'refer admin discharge'!D861</f>
        <v>xx</v>
      </c>
      <c r="E865" s="351"/>
      <c r="F865" s="609" t="str">
        <f>'refer admin discharge'!H861</f>
        <v>00/00/0000</v>
      </c>
      <c r="G865" s="351"/>
      <c r="H865" s="610"/>
      <c r="I865" s="351"/>
      <c r="J865" s="611"/>
      <c r="K865" s="351"/>
      <c r="L865" s="610"/>
      <c r="M865" s="351"/>
      <c r="N865" s="612"/>
      <c r="O865" s="351"/>
      <c r="P865" s="610"/>
      <c r="Q865" s="351"/>
      <c r="R865" s="612"/>
      <c r="S865" s="351"/>
      <c r="T865" s="610"/>
      <c r="U865" s="351"/>
      <c r="V865" s="613" t="str">
        <f>'refer admin discharge'!H866</f>
        <v>00/00/0000</v>
      </c>
      <c r="W865" s="351"/>
      <c r="X865" s="607"/>
      <c r="Y865" s="351"/>
      <c r="Z865" s="614"/>
      <c r="AA865" s="351"/>
      <c r="AB865" s="607"/>
      <c r="AC865" s="351"/>
      <c r="AD865" s="606"/>
      <c r="AE865" s="351"/>
      <c r="AF865" s="607"/>
      <c r="AG865" s="351"/>
      <c r="AH865" s="606"/>
      <c r="AI865" s="351"/>
      <c r="AJ865" s="607"/>
      <c r="AK865" s="351"/>
      <c r="AL865" s="608"/>
      <c r="AM865" s="350"/>
      <c r="AN865" s="350"/>
      <c r="AO865" s="350"/>
      <c r="AP865" s="350"/>
      <c r="AQ865" s="350"/>
      <c r="AR865" s="350"/>
      <c r="AS865" s="350"/>
      <c r="AT865" s="350"/>
      <c r="AU865" s="350"/>
      <c r="AV865" s="350"/>
      <c r="AW865" s="350"/>
      <c r="AX865" s="350"/>
      <c r="AY865" s="350"/>
      <c r="AZ865" s="350"/>
      <c r="BA865" s="350"/>
      <c r="BB865" s="351"/>
    </row>
    <row r="866" spans="1:54" ht="15.75" customHeight="1">
      <c r="A866" s="25">
        <f t="shared" si="3"/>
        <v>853</v>
      </c>
      <c r="B866" s="618" t="str">
        <f>'refer admin discharge'!B862</f>
        <v>x</v>
      </c>
      <c r="C866" s="351"/>
      <c r="D866" s="619" t="str">
        <f>'refer admin discharge'!D862</f>
        <v>xx</v>
      </c>
      <c r="E866" s="351"/>
      <c r="F866" s="620" t="str">
        <f>'refer admin discharge'!H862</f>
        <v>00/00/0000</v>
      </c>
      <c r="G866" s="351"/>
      <c r="H866" s="615"/>
      <c r="I866" s="351"/>
      <c r="J866" s="621"/>
      <c r="K866" s="351"/>
      <c r="L866" s="615"/>
      <c r="M866" s="351"/>
      <c r="N866" s="610"/>
      <c r="O866" s="351"/>
      <c r="P866" s="615"/>
      <c r="Q866" s="351"/>
      <c r="R866" s="610"/>
      <c r="S866" s="351"/>
      <c r="T866" s="615"/>
      <c r="U866" s="351"/>
      <c r="V866" s="613" t="str">
        <f>'refer admin discharge'!H867</f>
        <v>00/00/0000</v>
      </c>
      <c r="W866" s="351"/>
      <c r="X866" s="616"/>
      <c r="Y866" s="351"/>
      <c r="Z866" s="617"/>
      <c r="AA866" s="351"/>
      <c r="AB866" s="616"/>
      <c r="AC866" s="351"/>
      <c r="AD866" s="607"/>
      <c r="AE866" s="351"/>
      <c r="AF866" s="616"/>
      <c r="AG866" s="351"/>
      <c r="AH866" s="607"/>
      <c r="AI866" s="351"/>
      <c r="AJ866" s="616"/>
      <c r="AK866" s="351"/>
      <c r="AL866" s="622"/>
      <c r="AM866" s="350"/>
      <c r="AN866" s="350"/>
      <c r="AO866" s="350"/>
      <c r="AP866" s="350"/>
      <c r="AQ866" s="350"/>
      <c r="AR866" s="350"/>
      <c r="AS866" s="350"/>
      <c r="AT866" s="350"/>
      <c r="AU866" s="350"/>
      <c r="AV866" s="350"/>
      <c r="AW866" s="350"/>
      <c r="AX866" s="350"/>
      <c r="AY866" s="350"/>
      <c r="AZ866" s="350"/>
      <c r="BA866" s="350"/>
      <c r="BB866" s="351"/>
    </row>
    <row r="867" spans="1:54" ht="15.75" customHeight="1">
      <c r="A867" s="25">
        <f t="shared" si="3"/>
        <v>854</v>
      </c>
      <c r="B867" s="599" t="str">
        <f>'refer admin discharge'!B863</f>
        <v>x</v>
      </c>
      <c r="C867" s="351"/>
      <c r="D867" s="600" t="str">
        <f>'refer admin discharge'!D863</f>
        <v>xx</v>
      </c>
      <c r="E867" s="351"/>
      <c r="F867" s="609" t="str">
        <f>'refer admin discharge'!H863</f>
        <v>00/00/0000</v>
      </c>
      <c r="G867" s="351"/>
      <c r="H867" s="610"/>
      <c r="I867" s="351"/>
      <c r="J867" s="611"/>
      <c r="K867" s="351"/>
      <c r="L867" s="610"/>
      <c r="M867" s="351"/>
      <c r="N867" s="612"/>
      <c r="O867" s="351"/>
      <c r="P867" s="610"/>
      <c r="Q867" s="351"/>
      <c r="R867" s="612"/>
      <c r="S867" s="351"/>
      <c r="T867" s="610"/>
      <c r="U867" s="351"/>
      <c r="V867" s="613" t="str">
        <f>'refer admin discharge'!H868</f>
        <v>00/00/0000</v>
      </c>
      <c r="W867" s="351"/>
      <c r="X867" s="607"/>
      <c r="Y867" s="351"/>
      <c r="Z867" s="614"/>
      <c r="AA867" s="351"/>
      <c r="AB867" s="607"/>
      <c r="AC867" s="351"/>
      <c r="AD867" s="606"/>
      <c r="AE867" s="351"/>
      <c r="AF867" s="607"/>
      <c r="AG867" s="351"/>
      <c r="AH867" s="606"/>
      <c r="AI867" s="351"/>
      <c r="AJ867" s="607"/>
      <c r="AK867" s="351"/>
      <c r="AL867" s="608"/>
      <c r="AM867" s="350"/>
      <c r="AN867" s="350"/>
      <c r="AO867" s="350"/>
      <c r="AP867" s="350"/>
      <c r="AQ867" s="350"/>
      <c r="AR867" s="350"/>
      <c r="AS867" s="350"/>
      <c r="AT867" s="350"/>
      <c r="AU867" s="350"/>
      <c r="AV867" s="350"/>
      <c r="AW867" s="350"/>
      <c r="AX867" s="350"/>
      <c r="AY867" s="350"/>
      <c r="AZ867" s="350"/>
      <c r="BA867" s="350"/>
      <c r="BB867" s="351"/>
    </row>
    <row r="868" spans="1:54" ht="15.75" customHeight="1">
      <c r="A868" s="25">
        <f t="shared" si="3"/>
        <v>855</v>
      </c>
      <c r="B868" s="618" t="str">
        <f>'refer admin discharge'!B864</f>
        <v>x</v>
      </c>
      <c r="C868" s="351"/>
      <c r="D868" s="619" t="str">
        <f>'refer admin discharge'!D864</f>
        <v>xx</v>
      </c>
      <c r="E868" s="351"/>
      <c r="F868" s="620" t="str">
        <f>'refer admin discharge'!H864</f>
        <v>00/00/0000</v>
      </c>
      <c r="G868" s="351"/>
      <c r="H868" s="615"/>
      <c r="I868" s="351"/>
      <c r="J868" s="621"/>
      <c r="K868" s="351"/>
      <c r="L868" s="615"/>
      <c r="M868" s="351"/>
      <c r="N868" s="610"/>
      <c r="O868" s="351"/>
      <c r="P868" s="615"/>
      <c r="Q868" s="351"/>
      <c r="R868" s="610"/>
      <c r="S868" s="351"/>
      <c r="T868" s="615"/>
      <c r="U868" s="351"/>
      <c r="V868" s="613" t="str">
        <f>'refer admin discharge'!H869</f>
        <v>00/00/0000</v>
      </c>
      <c r="W868" s="351"/>
      <c r="X868" s="616"/>
      <c r="Y868" s="351"/>
      <c r="Z868" s="617"/>
      <c r="AA868" s="351"/>
      <c r="AB868" s="616"/>
      <c r="AC868" s="351"/>
      <c r="AD868" s="607"/>
      <c r="AE868" s="351"/>
      <c r="AF868" s="616"/>
      <c r="AG868" s="351"/>
      <c r="AH868" s="607"/>
      <c r="AI868" s="351"/>
      <c r="AJ868" s="616"/>
      <c r="AK868" s="351"/>
      <c r="AL868" s="622"/>
      <c r="AM868" s="350"/>
      <c r="AN868" s="350"/>
      <c r="AO868" s="350"/>
      <c r="AP868" s="350"/>
      <c r="AQ868" s="350"/>
      <c r="AR868" s="350"/>
      <c r="AS868" s="350"/>
      <c r="AT868" s="350"/>
      <c r="AU868" s="350"/>
      <c r="AV868" s="350"/>
      <c r="AW868" s="350"/>
      <c r="AX868" s="350"/>
      <c r="AY868" s="350"/>
      <c r="AZ868" s="350"/>
      <c r="BA868" s="350"/>
      <c r="BB868" s="351"/>
    </row>
    <row r="869" spans="1:54" ht="15.75" customHeight="1">
      <c r="A869" s="25">
        <f t="shared" si="3"/>
        <v>856</v>
      </c>
      <c r="B869" s="599" t="str">
        <f>'refer admin discharge'!B865</f>
        <v>x</v>
      </c>
      <c r="C869" s="351"/>
      <c r="D869" s="600" t="str">
        <f>'refer admin discharge'!D865</f>
        <v>xx</v>
      </c>
      <c r="E869" s="351"/>
      <c r="F869" s="609" t="str">
        <f>'refer admin discharge'!H865</f>
        <v>00/00/0000</v>
      </c>
      <c r="G869" s="351"/>
      <c r="H869" s="610"/>
      <c r="I869" s="351"/>
      <c r="J869" s="611"/>
      <c r="K869" s="351"/>
      <c r="L869" s="610"/>
      <c r="M869" s="351"/>
      <c r="N869" s="612"/>
      <c r="O869" s="351"/>
      <c r="P869" s="610"/>
      <c r="Q869" s="351"/>
      <c r="R869" s="612"/>
      <c r="S869" s="351"/>
      <c r="T869" s="610"/>
      <c r="U869" s="351"/>
      <c r="V869" s="613" t="str">
        <f>'refer admin discharge'!H870</f>
        <v>00/00/0000</v>
      </c>
      <c r="W869" s="351"/>
      <c r="X869" s="607"/>
      <c r="Y869" s="351"/>
      <c r="Z869" s="614"/>
      <c r="AA869" s="351"/>
      <c r="AB869" s="607"/>
      <c r="AC869" s="351"/>
      <c r="AD869" s="606"/>
      <c r="AE869" s="351"/>
      <c r="AF869" s="607"/>
      <c r="AG869" s="351"/>
      <c r="AH869" s="606"/>
      <c r="AI869" s="351"/>
      <c r="AJ869" s="607"/>
      <c r="AK869" s="351"/>
      <c r="AL869" s="608"/>
      <c r="AM869" s="350"/>
      <c r="AN869" s="350"/>
      <c r="AO869" s="350"/>
      <c r="AP869" s="350"/>
      <c r="AQ869" s="350"/>
      <c r="AR869" s="350"/>
      <c r="AS869" s="350"/>
      <c r="AT869" s="350"/>
      <c r="AU869" s="350"/>
      <c r="AV869" s="350"/>
      <c r="AW869" s="350"/>
      <c r="AX869" s="350"/>
      <c r="AY869" s="350"/>
      <c r="AZ869" s="350"/>
      <c r="BA869" s="350"/>
      <c r="BB869" s="351"/>
    </row>
    <row r="870" spans="1:54" ht="15.75" customHeight="1">
      <c r="A870" s="25">
        <f t="shared" si="3"/>
        <v>857</v>
      </c>
      <c r="B870" s="618" t="str">
        <f>'refer admin discharge'!B866</f>
        <v>x</v>
      </c>
      <c r="C870" s="351"/>
      <c r="D870" s="619" t="str">
        <f>'refer admin discharge'!D866</f>
        <v>xx</v>
      </c>
      <c r="E870" s="351"/>
      <c r="F870" s="620" t="str">
        <f>'refer admin discharge'!H866</f>
        <v>00/00/0000</v>
      </c>
      <c r="G870" s="351"/>
      <c r="H870" s="615"/>
      <c r="I870" s="351"/>
      <c r="J870" s="621"/>
      <c r="K870" s="351"/>
      <c r="L870" s="615"/>
      <c r="M870" s="351"/>
      <c r="N870" s="610"/>
      <c r="O870" s="351"/>
      <c r="P870" s="615"/>
      <c r="Q870" s="351"/>
      <c r="R870" s="610"/>
      <c r="S870" s="351"/>
      <c r="T870" s="615"/>
      <c r="U870" s="351"/>
      <c r="V870" s="613" t="str">
        <f>'refer admin discharge'!H871</f>
        <v>00/00/0000</v>
      </c>
      <c r="W870" s="351"/>
      <c r="X870" s="616"/>
      <c r="Y870" s="351"/>
      <c r="Z870" s="617"/>
      <c r="AA870" s="351"/>
      <c r="AB870" s="616"/>
      <c r="AC870" s="351"/>
      <c r="AD870" s="607"/>
      <c r="AE870" s="351"/>
      <c r="AF870" s="616"/>
      <c r="AG870" s="351"/>
      <c r="AH870" s="607"/>
      <c r="AI870" s="351"/>
      <c r="AJ870" s="616"/>
      <c r="AK870" s="351"/>
      <c r="AL870" s="622"/>
      <c r="AM870" s="350"/>
      <c r="AN870" s="350"/>
      <c r="AO870" s="350"/>
      <c r="AP870" s="350"/>
      <c r="AQ870" s="350"/>
      <c r="AR870" s="350"/>
      <c r="AS870" s="350"/>
      <c r="AT870" s="350"/>
      <c r="AU870" s="350"/>
      <c r="AV870" s="350"/>
      <c r="AW870" s="350"/>
      <c r="AX870" s="350"/>
      <c r="AY870" s="350"/>
      <c r="AZ870" s="350"/>
      <c r="BA870" s="350"/>
      <c r="BB870" s="351"/>
    </row>
    <row r="871" spans="1:54" ht="15.75" customHeight="1">
      <c r="A871" s="25">
        <f t="shared" si="3"/>
        <v>858</v>
      </c>
      <c r="B871" s="599" t="str">
        <f>'refer admin discharge'!B867</f>
        <v>x</v>
      </c>
      <c r="C871" s="351"/>
      <c r="D871" s="600" t="str">
        <f>'refer admin discharge'!D867</f>
        <v>xx</v>
      </c>
      <c r="E871" s="351"/>
      <c r="F871" s="609" t="str">
        <f>'refer admin discharge'!H867</f>
        <v>00/00/0000</v>
      </c>
      <c r="G871" s="351"/>
      <c r="H871" s="610"/>
      <c r="I871" s="351"/>
      <c r="J871" s="611"/>
      <c r="K871" s="351"/>
      <c r="L871" s="610"/>
      <c r="M871" s="351"/>
      <c r="N871" s="612"/>
      <c r="O871" s="351"/>
      <c r="P871" s="610"/>
      <c r="Q871" s="351"/>
      <c r="R871" s="612"/>
      <c r="S871" s="351"/>
      <c r="T871" s="610"/>
      <c r="U871" s="351"/>
      <c r="V871" s="613" t="str">
        <f>'refer admin discharge'!H872</f>
        <v>00/00/0000</v>
      </c>
      <c r="W871" s="351"/>
      <c r="X871" s="607"/>
      <c r="Y871" s="351"/>
      <c r="Z871" s="614"/>
      <c r="AA871" s="351"/>
      <c r="AB871" s="607"/>
      <c r="AC871" s="351"/>
      <c r="AD871" s="606"/>
      <c r="AE871" s="351"/>
      <c r="AF871" s="607"/>
      <c r="AG871" s="351"/>
      <c r="AH871" s="606"/>
      <c r="AI871" s="351"/>
      <c r="AJ871" s="607"/>
      <c r="AK871" s="351"/>
      <c r="AL871" s="608"/>
      <c r="AM871" s="350"/>
      <c r="AN871" s="350"/>
      <c r="AO871" s="350"/>
      <c r="AP871" s="350"/>
      <c r="AQ871" s="350"/>
      <c r="AR871" s="350"/>
      <c r="AS871" s="350"/>
      <c r="AT871" s="350"/>
      <c r="AU871" s="350"/>
      <c r="AV871" s="350"/>
      <c r="AW871" s="350"/>
      <c r="AX871" s="350"/>
      <c r="AY871" s="350"/>
      <c r="AZ871" s="350"/>
      <c r="BA871" s="350"/>
      <c r="BB871" s="351"/>
    </row>
    <row r="872" spans="1:54" ht="15.75" customHeight="1">
      <c r="A872" s="25">
        <f t="shared" si="3"/>
        <v>859</v>
      </c>
      <c r="B872" s="618" t="str">
        <f>'refer admin discharge'!B868</f>
        <v>x</v>
      </c>
      <c r="C872" s="351"/>
      <c r="D872" s="619" t="str">
        <f>'refer admin discharge'!D868</f>
        <v>xx</v>
      </c>
      <c r="E872" s="351"/>
      <c r="F872" s="620" t="str">
        <f>'refer admin discharge'!H868</f>
        <v>00/00/0000</v>
      </c>
      <c r="G872" s="351"/>
      <c r="H872" s="615"/>
      <c r="I872" s="351"/>
      <c r="J872" s="621"/>
      <c r="K872" s="351"/>
      <c r="L872" s="615"/>
      <c r="M872" s="351"/>
      <c r="N872" s="610"/>
      <c r="O872" s="351"/>
      <c r="P872" s="615"/>
      <c r="Q872" s="351"/>
      <c r="R872" s="610"/>
      <c r="S872" s="351"/>
      <c r="T872" s="615"/>
      <c r="U872" s="351"/>
      <c r="V872" s="613" t="str">
        <f>'refer admin discharge'!H873</f>
        <v>00/00/0000</v>
      </c>
      <c r="W872" s="351"/>
      <c r="X872" s="616"/>
      <c r="Y872" s="351"/>
      <c r="Z872" s="617"/>
      <c r="AA872" s="351"/>
      <c r="AB872" s="616"/>
      <c r="AC872" s="351"/>
      <c r="AD872" s="607"/>
      <c r="AE872" s="351"/>
      <c r="AF872" s="616"/>
      <c r="AG872" s="351"/>
      <c r="AH872" s="607"/>
      <c r="AI872" s="351"/>
      <c r="AJ872" s="616"/>
      <c r="AK872" s="351"/>
      <c r="AL872" s="622"/>
      <c r="AM872" s="350"/>
      <c r="AN872" s="350"/>
      <c r="AO872" s="350"/>
      <c r="AP872" s="350"/>
      <c r="AQ872" s="350"/>
      <c r="AR872" s="350"/>
      <c r="AS872" s="350"/>
      <c r="AT872" s="350"/>
      <c r="AU872" s="350"/>
      <c r="AV872" s="350"/>
      <c r="AW872" s="350"/>
      <c r="AX872" s="350"/>
      <c r="AY872" s="350"/>
      <c r="AZ872" s="350"/>
      <c r="BA872" s="350"/>
      <c r="BB872" s="351"/>
    </row>
    <row r="873" spans="1:54" ht="15.75" customHeight="1">
      <c r="A873" s="25">
        <f t="shared" si="3"/>
        <v>860</v>
      </c>
      <c r="B873" s="599" t="str">
        <f>'refer admin discharge'!B869</f>
        <v>x</v>
      </c>
      <c r="C873" s="351"/>
      <c r="D873" s="600" t="str">
        <f>'refer admin discharge'!D869</f>
        <v>xx</v>
      </c>
      <c r="E873" s="351"/>
      <c r="F873" s="609" t="str">
        <f>'refer admin discharge'!H869</f>
        <v>00/00/0000</v>
      </c>
      <c r="G873" s="351"/>
      <c r="H873" s="610"/>
      <c r="I873" s="351"/>
      <c r="J873" s="611"/>
      <c r="K873" s="351"/>
      <c r="L873" s="610"/>
      <c r="M873" s="351"/>
      <c r="N873" s="612"/>
      <c r="O873" s="351"/>
      <c r="P873" s="610"/>
      <c r="Q873" s="351"/>
      <c r="R873" s="612"/>
      <c r="S873" s="351"/>
      <c r="T873" s="610"/>
      <c r="U873" s="351"/>
      <c r="V873" s="613" t="str">
        <f>'refer admin discharge'!H874</f>
        <v>00/00/0000</v>
      </c>
      <c r="W873" s="351"/>
      <c r="X873" s="607"/>
      <c r="Y873" s="351"/>
      <c r="Z873" s="614"/>
      <c r="AA873" s="351"/>
      <c r="AB873" s="607"/>
      <c r="AC873" s="351"/>
      <c r="AD873" s="606"/>
      <c r="AE873" s="351"/>
      <c r="AF873" s="607"/>
      <c r="AG873" s="351"/>
      <c r="AH873" s="606"/>
      <c r="AI873" s="351"/>
      <c r="AJ873" s="607"/>
      <c r="AK873" s="351"/>
      <c r="AL873" s="608"/>
      <c r="AM873" s="350"/>
      <c r="AN873" s="350"/>
      <c r="AO873" s="350"/>
      <c r="AP873" s="350"/>
      <c r="AQ873" s="350"/>
      <c r="AR873" s="350"/>
      <c r="AS873" s="350"/>
      <c r="AT873" s="350"/>
      <c r="AU873" s="350"/>
      <c r="AV873" s="350"/>
      <c r="AW873" s="350"/>
      <c r="AX873" s="350"/>
      <c r="AY873" s="350"/>
      <c r="AZ873" s="350"/>
      <c r="BA873" s="350"/>
      <c r="BB873" s="351"/>
    </row>
    <row r="874" spans="1:54" ht="15.75" customHeight="1">
      <c r="A874" s="25">
        <f t="shared" si="3"/>
        <v>861</v>
      </c>
      <c r="B874" s="618" t="str">
        <f>'refer admin discharge'!B870</f>
        <v>x</v>
      </c>
      <c r="C874" s="351"/>
      <c r="D874" s="619" t="str">
        <f>'refer admin discharge'!D870</f>
        <v>xx</v>
      </c>
      <c r="E874" s="351"/>
      <c r="F874" s="620" t="str">
        <f>'refer admin discharge'!H870</f>
        <v>00/00/0000</v>
      </c>
      <c r="G874" s="351"/>
      <c r="H874" s="615"/>
      <c r="I874" s="351"/>
      <c r="J874" s="621"/>
      <c r="K874" s="351"/>
      <c r="L874" s="615"/>
      <c r="M874" s="351"/>
      <c r="N874" s="610"/>
      <c r="O874" s="351"/>
      <c r="P874" s="615"/>
      <c r="Q874" s="351"/>
      <c r="R874" s="610"/>
      <c r="S874" s="351"/>
      <c r="T874" s="615"/>
      <c r="U874" s="351"/>
      <c r="V874" s="613" t="str">
        <f>'refer admin discharge'!H875</f>
        <v>00/00/0000</v>
      </c>
      <c r="W874" s="351"/>
      <c r="X874" s="616"/>
      <c r="Y874" s="351"/>
      <c r="Z874" s="617"/>
      <c r="AA874" s="351"/>
      <c r="AB874" s="616"/>
      <c r="AC874" s="351"/>
      <c r="AD874" s="607"/>
      <c r="AE874" s="351"/>
      <c r="AF874" s="616"/>
      <c r="AG874" s="351"/>
      <c r="AH874" s="607"/>
      <c r="AI874" s="351"/>
      <c r="AJ874" s="616"/>
      <c r="AK874" s="351"/>
      <c r="AL874" s="622"/>
      <c r="AM874" s="350"/>
      <c r="AN874" s="350"/>
      <c r="AO874" s="350"/>
      <c r="AP874" s="350"/>
      <c r="AQ874" s="350"/>
      <c r="AR874" s="350"/>
      <c r="AS874" s="350"/>
      <c r="AT874" s="350"/>
      <c r="AU874" s="350"/>
      <c r="AV874" s="350"/>
      <c r="AW874" s="350"/>
      <c r="AX874" s="350"/>
      <c r="AY874" s="350"/>
      <c r="AZ874" s="350"/>
      <c r="BA874" s="350"/>
      <c r="BB874" s="351"/>
    </row>
    <row r="875" spans="1:54" ht="15.75" customHeight="1">
      <c r="A875" s="25">
        <f t="shared" si="3"/>
        <v>862</v>
      </c>
      <c r="B875" s="599" t="str">
        <f>'refer admin discharge'!B871</f>
        <v>x</v>
      </c>
      <c r="C875" s="351"/>
      <c r="D875" s="600" t="str">
        <f>'refer admin discharge'!D871</f>
        <v>xx</v>
      </c>
      <c r="E875" s="351"/>
      <c r="F875" s="609" t="str">
        <f>'refer admin discharge'!H871</f>
        <v>00/00/0000</v>
      </c>
      <c r="G875" s="351"/>
      <c r="H875" s="610"/>
      <c r="I875" s="351"/>
      <c r="J875" s="611"/>
      <c r="K875" s="351"/>
      <c r="L875" s="610"/>
      <c r="M875" s="351"/>
      <c r="N875" s="612"/>
      <c r="O875" s="351"/>
      <c r="P875" s="610"/>
      <c r="Q875" s="351"/>
      <c r="R875" s="612"/>
      <c r="S875" s="351"/>
      <c r="T875" s="610"/>
      <c r="U875" s="351"/>
      <c r="V875" s="613" t="str">
        <f>'refer admin discharge'!H876</f>
        <v>00/00/0000</v>
      </c>
      <c r="W875" s="351"/>
      <c r="X875" s="607"/>
      <c r="Y875" s="351"/>
      <c r="Z875" s="614"/>
      <c r="AA875" s="351"/>
      <c r="AB875" s="607"/>
      <c r="AC875" s="351"/>
      <c r="AD875" s="606"/>
      <c r="AE875" s="351"/>
      <c r="AF875" s="607"/>
      <c r="AG875" s="351"/>
      <c r="AH875" s="606"/>
      <c r="AI875" s="351"/>
      <c r="AJ875" s="607"/>
      <c r="AK875" s="351"/>
      <c r="AL875" s="608"/>
      <c r="AM875" s="350"/>
      <c r="AN875" s="350"/>
      <c r="AO875" s="350"/>
      <c r="AP875" s="350"/>
      <c r="AQ875" s="350"/>
      <c r="AR875" s="350"/>
      <c r="AS875" s="350"/>
      <c r="AT875" s="350"/>
      <c r="AU875" s="350"/>
      <c r="AV875" s="350"/>
      <c r="AW875" s="350"/>
      <c r="AX875" s="350"/>
      <c r="AY875" s="350"/>
      <c r="AZ875" s="350"/>
      <c r="BA875" s="350"/>
      <c r="BB875" s="351"/>
    </row>
    <row r="876" spans="1:54" ht="15.75" customHeight="1">
      <c r="A876" s="25">
        <f t="shared" si="3"/>
        <v>863</v>
      </c>
      <c r="B876" s="618" t="str">
        <f>'refer admin discharge'!B872</f>
        <v>x</v>
      </c>
      <c r="C876" s="351"/>
      <c r="D876" s="619" t="str">
        <f>'refer admin discharge'!D872</f>
        <v>xx</v>
      </c>
      <c r="E876" s="351"/>
      <c r="F876" s="620" t="str">
        <f>'refer admin discharge'!H872</f>
        <v>00/00/0000</v>
      </c>
      <c r="G876" s="351"/>
      <c r="H876" s="615"/>
      <c r="I876" s="351"/>
      <c r="J876" s="621"/>
      <c r="K876" s="351"/>
      <c r="L876" s="615"/>
      <c r="M876" s="351"/>
      <c r="N876" s="610"/>
      <c r="O876" s="351"/>
      <c r="P876" s="615"/>
      <c r="Q876" s="351"/>
      <c r="R876" s="610"/>
      <c r="S876" s="351"/>
      <c r="T876" s="615"/>
      <c r="U876" s="351"/>
      <c r="V876" s="613" t="str">
        <f>'refer admin discharge'!H877</f>
        <v>00/00/0000</v>
      </c>
      <c r="W876" s="351"/>
      <c r="X876" s="616"/>
      <c r="Y876" s="351"/>
      <c r="Z876" s="617"/>
      <c r="AA876" s="351"/>
      <c r="AB876" s="616"/>
      <c r="AC876" s="351"/>
      <c r="AD876" s="607"/>
      <c r="AE876" s="351"/>
      <c r="AF876" s="616"/>
      <c r="AG876" s="351"/>
      <c r="AH876" s="607"/>
      <c r="AI876" s="351"/>
      <c r="AJ876" s="616"/>
      <c r="AK876" s="351"/>
      <c r="AL876" s="622"/>
      <c r="AM876" s="350"/>
      <c r="AN876" s="350"/>
      <c r="AO876" s="350"/>
      <c r="AP876" s="350"/>
      <c r="AQ876" s="350"/>
      <c r="AR876" s="350"/>
      <c r="AS876" s="350"/>
      <c r="AT876" s="350"/>
      <c r="AU876" s="350"/>
      <c r="AV876" s="350"/>
      <c r="AW876" s="350"/>
      <c r="AX876" s="350"/>
      <c r="AY876" s="350"/>
      <c r="AZ876" s="350"/>
      <c r="BA876" s="350"/>
      <c r="BB876" s="351"/>
    </row>
    <row r="877" spans="1:54" ht="15.75" customHeight="1">
      <c r="A877" s="25">
        <f t="shared" si="3"/>
        <v>864</v>
      </c>
      <c r="B877" s="599" t="str">
        <f>'refer admin discharge'!B873</f>
        <v>x</v>
      </c>
      <c r="C877" s="351"/>
      <c r="D877" s="600" t="str">
        <f>'refer admin discharge'!D873</f>
        <v>xx</v>
      </c>
      <c r="E877" s="351"/>
      <c r="F877" s="609" t="str">
        <f>'refer admin discharge'!H873</f>
        <v>00/00/0000</v>
      </c>
      <c r="G877" s="351"/>
      <c r="H877" s="610"/>
      <c r="I877" s="351"/>
      <c r="J877" s="611"/>
      <c r="K877" s="351"/>
      <c r="L877" s="610"/>
      <c r="M877" s="351"/>
      <c r="N877" s="612"/>
      <c r="O877" s="351"/>
      <c r="P877" s="610"/>
      <c r="Q877" s="351"/>
      <c r="R877" s="612"/>
      <c r="S877" s="351"/>
      <c r="T877" s="610"/>
      <c r="U877" s="351"/>
      <c r="V877" s="613" t="str">
        <f>'refer admin discharge'!H878</f>
        <v>00/00/0000</v>
      </c>
      <c r="W877" s="351"/>
      <c r="X877" s="607"/>
      <c r="Y877" s="351"/>
      <c r="Z877" s="614"/>
      <c r="AA877" s="351"/>
      <c r="AB877" s="607"/>
      <c r="AC877" s="351"/>
      <c r="AD877" s="606"/>
      <c r="AE877" s="351"/>
      <c r="AF877" s="607"/>
      <c r="AG877" s="351"/>
      <c r="AH877" s="606"/>
      <c r="AI877" s="351"/>
      <c r="AJ877" s="607"/>
      <c r="AK877" s="351"/>
      <c r="AL877" s="608"/>
      <c r="AM877" s="350"/>
      <c r="AN877" s="350"/>
      <c r="AO877" s="350"/>
      <c r="AP877" s="350"/>
      <c r="AQ877" s="350"/>
      <c r="AR877" s="350"/>
      <c r="AS877" s="350"/>
      <c r="AT877" s="350"/>
      <c r="AU877" s="350"/>
      <c r="AV877" s="350"/>
      <c r="AW877" s="350"/>
      <c r="AX877" s="350"/>
      <c r="AY877" s="350"/>
      <c r="AZ877" s="350"/>
      <c r="BA877" s="350"/>
      <c r="BB877" s="351"/>
    </row>
    <row r="878" spans="1:54" ht="15.75" customHeight="1">
      <c r="A878" s="25">
        <f t="shared" si="3"/>
        <v>865</v>
      </c>
      <c r="B878" s="618" t="str">
        <f>'refer admin discharge'!B874</f>
        <v>x</v>
      </c>
      <c r="C878" s="351"/>
      <c r="D878" s="619" t="str">
        <f>'refer admin discharge'!D874</f>
        <v>xx</v>
      </c>
      <c r="E878" s="351"/>
      <c r="F878" s="620" t="str">
        <f>'refer admin discharge'!H874</f>
        <v>00/00/0000</v>
      </c>
      <c r="G878" s="351"/>
      <c r="H878" s="615"/>
      <c r="I878" s="351"/>
      <c r="J878" s="621"/>
      <c r="K878" s="351"/>
      <c r="L878" s="615"/>
      <c r="M878" s="351"/>
      <c r="N878" s="610"/>
      <c r="O878" s="351"/>
      <c r="P878" s="615"/>
      <c r="Q878" s="351"/>
      <c r="R878" s="610"/>
      <c r="S878" s="351"/>
      <c r="T878" s="615"/>
      <c r="U878" s="351"/>
      <c r="V878" s="613" t="str">
        <f>'refer admin discharge'!H879</f>
        <v>00/00/0000</v>
      </c>
      <c r="W878" s="351"/>
      <c r="X878" s="616"/>
      <c r="Y878" s="351"/>
      <c r="Z878" s="617"/>
      <c r="AA878" s="351"/>
      <c r="AB878" s="616"/>
      <c r="AC878" s="351"/>
      <c r="AD878" s="607"/>
      <c r="AE878" s="351"/>
      <c r="AF878" s="616"/>
      <c r="AG878" s="351"/>
      <c r="AH878" s="607"/>
      <c r="AI878" s="351"/>
      <c r="AJ878" s="616"/>
      <c r="AK878" s="351"/>
      <c r="AL878" s="622"/>
      <c r="AM878" s="350"/>
      <c r="AN878" s="350"/>
      <c r="AO878" s="350"/>
      <c r="AP878" s="350"/>
      <c r="AQ878" s="350"/>
      <c r="AR878" s="350"/>
      <c r="AS878" s="350"/>
      <c r="AT878" s="350"/>
      <c r="AU878" s="350"/>
      <c r="AV878" s="350"/>
      <c r="AW878" s="350"/>
      <c r="AX878" s="350"/>
      <c r="AY878" s="350"/>
      <c r="AZ878" s="350"/>
      <c r="BA878" s="350"/>
      <c r="BB878" s="351"/>
    </row>
    <row r="879" spans="1:54" ht="15.75" customHeight="1">
      <c r="A879" s="25">
        <f t="shared" si="3"/>
        <v>866</v>
      </c>
      <c r="B879" s="599" t="str">
        <f>'refer admin discharge'!B875</f>
        <v>x</v>
      </c>
      <c r="C879" s="351"/>
      <c r="D879" s="600" t="str">
        <f>'refer admin discharge'!D875</f>
        <v>xx</v>
      </c>
      <c r="E879" s="351"/>
      <c r="F879" s="609" t="str">
        <f>'refer admin discharge'!H875</f>
        <v>00/00/0000</v>
      </c>
      <c r="G879" s="351"/>
      <c r="H879" s="610"/>
      <c r="I879" s="351"/>
      <c r="J879" s="611"/>
      <c r="K879" s="351"/>
      <c r="L879" s="610"/>
      <c r="M879" s="351"/>
      <c r="N879" s="612"/>
      <c r="O879" s="351"/>
      <c r="P879" s="610"/>
      <c r="Q879" s="351"/>
      <c r="R879" s="612"/>
      <c r="S879" s="351"/>
      <c r="T879" s="610"/>
      <c r="U879" s="351"/>
      <c r="V879" s="613" t="str">
        <f>'refer admin discharge'!H880</f>
        <v>00/00/0000</v>
      </c>
      <c r="W879" s="351"/>
      <c r="X879" s="607"/>
      <c r="Y879" s="351"/>
      <c r="Z879" s="614"/>
      <c r="AA879" s="351"/>
      <c r="AB879" s="607"/>
      <c r="AC879" s="351"/>
      <c r="AD879" s="606"/>
      <c r="AE879" s="351"/>
      <c r="AF879" s="607"/>
      <c r="AG879" s="351"/>
      <c r="AH879" s="606"/>
      <c r="AI879" s="351"/>
      <c r="AJ879" s="607"/>
      <c r="AK879" s="351"/>
      <c r="AL879" s="608"/>
      <c r="AM879" s="350"/>
      <c r="AN879" s="350"/>
      <c r="AO879" s="350"/>
      <c r="AP879" s="350"/>
      <c r="AQ879" s="350"/>
      <c r="AR879" s="350"/>
      <c r="AS879" s="350"/>
      <c r="AT879" s="350"/>
      <c r="AU879" s="350"/>
      <c r="AV879" s="350"/>
      <c r="AW879" s="350"/>
      <c r="AX879" s="350"/>
      <c r="AY879" s="350"/>
      <c r="AZ879" s="350"/>
      <c r="BA879" s="350"/>
      <c r="BB879" s="351"/>
    </row>
    <row r="880" spans="1:54" ht="15.75" customHeight="1">
      <c r="A880" s="25">
        <f t="shared" si="3"/>
        <v>867</v>
      </c>
      <c r="B880" s="618" t="str">
        <f>'refer admin discharge'!B876</f>
        <v>x</v>
      </c>
      <c r="C880" s="351"/>
      <c r="D880" s="619" t="str">
        <f>'refer admin discharge'!D876</f>
        <v>xx</v>
      </c>
      <c r="E880" s="351"/>
      <c r="F880" s="620" t="str">
        <f>'refer admin discharge'!H876</f>
        <v>00/00/0000</v>
      </c>
      <c r="G880" s="351"/>
      <c r="H880" s="615"/>
      <c r="I880" s="351"/>
      <c r="J880" s="621"/>
      <c r="K880" s="351"/>
      <c r="L880" s="615"/>
      <c r="M880" s="351"/>
      <c r="N880" s="610"/>
      <c r="O880" s="351"/>
      <c r="P880" s="615"/>
      <c r="Q880" s="351"/>
      <c r="R880" s="610"/>
      <c r="S880" s="351"/>
      <c r="T880" s="615"/>
      <c r="U880" s="351"/>
      <c r="V880" s="613" t="str">
        <f>'refer admin discharge'!H881</f>
        <v>00/00/0000</v>
      </c>
      <c r="W880" s="351"/>
      <c r="X880" s="616"/>
      <c r="Y880" s="351"/>
      <c r="Z880" s="617"/>
      <c r="AA880" s="351"/>
      <c r="AB880" s="616"/>
      <c r="AC880" s="351"/>
      <c r="AD880" s="607"/>
      <c r="AE880" s="351"/>
      <c r="AF880" s="616"/>
      <c r="AG880" s="351"/>
      <c r="AH880" s="607"/>
      <c r="AI880" s="351"/>
      <c r="AJ880" s="616"/>
      <c r="AK880" s="351"/>
      <c r="AL880" s="622"/>
      <c r="AM880" s="350"/>
      <c r="AN880" s="350"/>
      <c r="AO880" s="350"/>
      <c r="AP880" s="350"/>
      <c r="AQ880" s="350"/>
      <c r="AR880" s="350"/>
      <c r="AS880" s="350"/>
      <c r="AT880" s="350"/>
      <c r="AU880" s="350"/>
      <c r="AV880" s="350"/>
      <c r="AW880" s="350"/>
      <c r="AX880" s="350"/>
      <c r="AY880" s="350"/>
      <c r="AZ880" s="350"/>
      <c r="BA880" s="350"/>
      <c r="BB880" s="351"/>
    </row>
    <row r="881" spans="1:54" ht="15.75" customHeight="1">
      <c r="A881" s="25">
        <f t="shared" si="3"/>
        <v>868</v>
      </c>
      <c r="B881" s="599" t="str">
        <f>'refer admin discharge'!B877</f>
        <v>x</v>
      </c>
      <c r="C881" s="351"/>
      <c r="D881" s="600" t="str">
        <f>'refer admin discharge'!D877</f>
        <v>xx</v>
      </c>
      <c r="E881" s="351"/>
      <c r="F881" s="609" t="str">
        <f>'refer admin discharge'!H877</f>
        <v>00/00/0000</v>
      </c>
      <c r="G881" s="351"/>
      <c r="H881" s="610"/>
      <c r="I881" s="351"/>
      <c r="J881" s="611"/>
      <c r="K881" s="351"/>
      <c r="L881" s="610"/>
      <c r="M881" s="351"/>
      <c r="N881" s="612"/>
      <c r="O881" s="351"/>
      <c r="P881" s="610"/>
      <c r="Q881" s="351"/>
      <c r="R881" s="612"/>
      <c r="S881" s="351"/>
      <c r="T881" s="610"/>
      <c r="U881" s="351"/>
      <c r="V881" s="613" t="str">
        <f>'refer admin discharge'!H882</f>
        <v>00/00/0000</v>
      </c>
      <c r="W881" s="351"/>
      <c r="X881" s="607"/>
      <c r="Y881" s="351"/>
      <c r="Z881" s="614"/>
      <c r="AA881" s="351"/>
      <c r="AB881" s="607"/>
      <c r="AC881" s="351"/>
      <c r="AD881" s="606"/>
      <c r="AE881" s="351"/>
      <c r="AF881" s="607"/>
      <c r="AG881" s="351"/>
      <c r="AH881" s="606"/>
      <c r="AI881" s="351"/>
      <c r="AJ881" s="607"/>
      <c r="AK881" s="351"/>
      <c r="AL881" s="608"/>
      <c r="AM881" s="350"/>
      <c r="AN881" s="350"/>
      <c r="AO881" s="350"/>
      <c r="AP881" s="350"/>
      <c r="AQ881" s="350"/>
      <c r="AR881" s="350"/>
      <c r="AS881" s="350"/>
      <c r="AT881" s="350"/>
      <c r="AU881" s="350"/>
      <c r="AV881" s="350"/>
      <c r="AW881" s="350"/>
      <c r="AX881" s="350"/>
      <c r="AY881" s="350"/>
      <c r="AZ881" s="350"/>
      <c r="BA881" s="350"/>
      <c r="BB881" s="351"/>
    </row>
    <row r="882" spans="1:54" ht="15.75" customHeight="1">
      <c r="A882" s="25">
        <f t="shared" si="3"/>
        <v>869</v>
      </c>
      <c r="B882" s="618" t="str">
        <f>'refer admin discharge'!B878</f>
        <v>x</v>
      </c>
      <c r="C882" s="351"/>
      <c r="D882" s="619" t="str">
        <f>'refer admin discharge'!D878</f>
        <v>xx</v>
      </c>
      <c r="E882" s="351"/>
      <c r="F882" s="620" t="str">
        <f>'refer admin discharge'!H878</f>
        <v>00/00/0000</v>
      </c>
      <c r="G882" s="351"/>
      <c r="H882" s="615"/>
      <c r="I882" s="351"/>
      <c r="J882" s="621"/>
      <c r="K882" s="351"/>
      <c r="L882" s="615"/>
      <c r="M882" s="351"/>
      <c r="N882" s="610"/>
      <c r="O882" s="351"/>
      <c r="P882" s="615"/>
      <c r="Q882" s="351"/>
      <c r="R882" s="610"/>
      <c r="S882" s="351"/>
      <c r="T882" s="615"/>
      <c r="U882" s="351"/>
      <c r="V882" s="613" t="str">
        <f>'refer admin discharge'!H883</f>
        <v>00/00/0000</v>
      </c>
      <c r="W882" s="351"/>
      <c r="X882" s="616"/>
      <c r="Y882" s="351"/>
      <c r="Z882" s="617"/>
      <c r="AA882" s="351"/>
      <c r="AB882" s="616"/>
      <c r="AC882" s="351"/>
      <c r="AD882" s="607"/>
      <c r="AE882" s="351"/>
      <c r="AF882" s="616"/>
      <c r="AG882" s="351"/>
      <c r="AH882" s="607"/>
      <c r="AI882" s="351"/>
      <c r="AJ882" s="616"/>
      <c r="AK882" s="351"/>
      <c r="AL882" s="622"/>
      <c r="AM882" s="350"/>
      <c r="AN882" s="350"/>
      <c r="AO882" s="350"/>
      <c r="AP882" s="350"/>
      <c r="AQ882" s="350"/>
      <c r="AR882" s="350"/>
      <c r="AS882" s="350"/>
      <c r="AT882" s="350"/>
      <c r="AU882" s="350"/>
      <c r="AV882" s="350"/>
      <c r="AW882" s="350"/>
      <c r="AX882" s="350"/>
      <c r="AY882" s="350"/>
      <c r="AZ882" s="350"/>
      <c r="BA882" s="350"/>
      <c r="BB882" s="351"/>
    </row>
    <row r="883" spans="1:54" ht="15.75" customHeight="1">
      <c r="A883" s="25">
        <f t="shared" si="3"/>
        <v>870</v>
      </c>
      <c r="B883" s="599" t="str">
        <f>'refer admin discharge'!B879</f>
        <v>x</v>
      </c>
      <c r="C883" s="351"/>
      <c r="D883" s="600" t="str">
        <f>'refer admin discharge'!D879</f>
        <v>xx</v>
      </c>
      <c r="E883" s="351"/>
      <c r="F883" s="609" t="str">
        <f>'refer admin discharge'!H879</f>
        <v>00/00/0000</v>
      </c>
      <c r="G883" s="351"/>
      <c r="H883" s="610"/>
      <c r="I883" s="351"/>
      <c r="J883" s="611"/>
      <c r="K883" s="351"/>
      <c r="L883" s="610"/>
      <c r="M883" s="351"/>
      <c r="N883" s="612"/>
      <c r="O883" s="351"/>
      <c r="P883" s="610"/>
      <c r="Q883" s="351"/>
      <c r="R883" s="612"/>
      <c r="S883" s="351"/>
      <c r="T883" s="610"/>
      <c r="U883" s="351"/>
      <c r="V883" s="613" t="str">
        <f>'refer admin discharge'!H884</f>
        <v>00/00/0000</v>
      </c>
      <c r="W883" s="351"/>
      <c r="X883" s="607"/>
      <c r="Y883" s="351"/>
      <c r="Z883" s="614"/>
      <c r="AA883" s="351"/>
      <c r="AB883" s="607"/>
      <c r="AC883" s="351"/>
      <c r="AD883" s="606"/>
      <c r="AE883" s="351"/>
      <c r="AF883" s="607"/>
      <c r="AG883" s="351"/>
      <c r="AH883" s="606"/>
      <c r="AI883" s="351"/>
      <c r="AJ883" s="607"/>
      <c r="AK883" s="351"/>
      <c r="AL883" s="608"/>
      <c r="AM883" s="350"/>
      <c r="AN883" s="350"/>
      <c r="AO883" s="350"/>
      <c r="AP883" s="350"/>
      <c r="AQ883" s="350"/>
      <c r="AR883" s="350"/>
      <c r="AS883" s="350"/>
      <c r="AT883" s="350"/>
      <c r="AU883" s="350"/>
      <c r="AV883" s="350"/>
      <c r="AW883" s="350"/>
      <c r="AX883" s="350"/>
      <c r="AY883" s="350"/>
      <c r="AZ883" s="350"/>
      <c r="BA883" s="350"/>
      <c r="BB883" s="351"/>
    </row>
    <row r="884" spans="1:54" ht="15.75" customHeight="1">
      <c r="A884" s="25">
        <f t="shared" si="3"/>
        <v>871</v>
      </c>
      <c r="B884" s="618" t="str">
        <f>'refer admin discharge'!B880</f>
        <v>x</v>
      </c>
      <c r="C884" s="351"/>
      <c r="D884" s="619" t="str">
        <f>'refer admin discharge'!D880</f>
        <v>xx</v>
      </c>
      <c r="E884" s="351"/>
      <c r="F884" s="620" t="str">
        <f>'refer admin discharge'!H880</f>
        <v>00/00/0000</v>
      </c>
      <c r="G884" s="351"/>
      <c r="H884" s="615"/>
      <c r="I884" s="351"/>
      <c r="J884" s="621"/>
      <c r="K884" s="351"/>
      <c r="L884" s="615"/>
      <c r="M884" s="351"/>
      <c r="N884" s="610"/>
      <c r="O884" s="351"/>
      <c r="P884" s="615"/>
      <c r="Q884" s="351"/>
      <c r="R884" s="610"/>
      <c r="S884" s="351"/>
      <c r="T884" s="615"/>
      <c r="U884" s="351"/>
      <c r="V884" s="613" t="str">
        <f>'refer admin discharge'!H885</f>
        <v>00/00/0000</v>
      </c>
      <c r="W884" s="351"/>
      <c r="X884" s="616"/>
      <c r="Y884" s="351"/>
      <c r="Z884" s="617"/>
      <c r="AA884" s="351"/>
      <c r="AB884" s="616"/>
      <c r="AC884" s="351"/>
      <c r="AD884" s="607"/>
      <c r="AE884" s="351"/>
      <c r="AF884" s="616"/>
      <c r="AG884" s="351"/>
      <c r="AH884" s="607"/>
      <c r="AI884" s="351"/>
      <c r="AJ884" s="616"/>
      <c r="AK884" s="351"/>
      <c r="AL884" s="622"/>
      <c r="AM884" s="350"/>
      <c r="AN884" s="350"/>
      <c r="AO884" s="350"/>
      <c r="AP884" s="350"/>
      <c r="AQ884" s="350"/>
      <c r="AR884" s="350"/>
      <c r="AS884" s="350"/>
      <c r="AT884" s="350"/>
      <c r="AU884" s="350"/>
      <c r="AV884" s="350"/>
      <c r="AW884" s="350"/>
      <c r="AX884" s="350"/>
      <c r="AY884" s="350"/>
      <c r="AZ884" s="350"/>
      <c r="BA884" s="350"/>
      <c r="BB884" s="351"/>
    </row>
    <row r="885" spans="1:54" ht="15.75" customHeight="1">
      <c r="A885" s="25">
        <f t="shared" si="3"/>
        <v>872</v>
      </c>
      <c r="B885" s="599" t="str">
        <f>'refer admin discharge'!B881</f>
        <v>x</v>
      </c>
      <c r="C885" s="351"/>
      <c r="D885" s="600" t="str">
        <f>'refer admin discharge'!D881</f>
        <v>xx</v>
      </c>
      <c r="E885" s="351"/>
      <c r="F885" s="609" t="str">
        <f>'refer admin discharge'!H881</f>
        <v>00/00/0000</v>
      </c>
      <c r="G885" s="351"/>
      <c r="H885" s="610"/>
      <c r="I885" s="351"/>
      <c r="J885" s="611"/>
      <c r="K885" s="351"/>
      <c r="L885" s="610"/>
      <c r="M885" s="351"/>
      <c r="N885" s="612"/>
      <c r="O885" s="351"/>
      <c r="P885" s="610"/>
      <c r="Q885" s="351"/>
      <c r="R885" s="612"/>
      <c r="S885" s="351"/>
      <c r="T885" s="610"/>
      <c r="U885" s="351"/>
      <c r="V885" s="613" t="str">
        <f>'refer admin discharge'!H886</f>
        <v>00/00/0000</v>
      </c>
      <c r="W885" s="351"/>
      <c r="X885" s="607"/>
      <c r="Y885" s="351"/>
      <c r="Z885" s="614"/>
      <c r="AA885" s="351"/>
      <c r="AB885" s="607"/>
      <c r="AC885" s="351"/>
      <c r="AD885" s="606"/>
      <c r="AE885" s="351"/>
      <c r="AF885" s="607"/>
      <c r="AG885" s="351"/>
      <c r="AH885" s="606"/>
      <c r="AI885" s="351"/>
      <c r="AJ885" s="607"/>
      <c r="AK885" s="351"/>
      <c r="AL885" s="608"/>
      <c r="AM885" s="350"/>
      <c r="AN885" s="350"/>
      <c r="AO885" s="350"/>
      <c r="AP885" s="350"/>
      <c r="AQ885" s="350"/>
      <c r="AR885" s="350"/>
      <c r="AS885" s="350"/>
      <c r="AT885" s="350"/>
      <c r="AU885" s="350"/>
      <c r="AV885" s="350"/>
      <c r="AW885" s="350"/>
      <c r="AX885" s="350"/>
      <c r="AY885" s="350"/>
      <c r="AZ885" s="350"/>
      <c r="BA885" s="350"/>
      <c r="BB885" s="351"/>
    </row>
    <row r="886" spans="1:54" ht="15.75" customHeight="1">
      <c r="A886" s="25">
        <f t="shared" si="3"/>
        <v>873</v>
      </c>
      <c r="B886" s="618" t="str">
        <f>'refer admin discharge'!B882</f>
        <v>x</v>
      </c>
      <c r="C886" s="351"/>
      <c r="D886" s="619" t="str">
        <f>'refer admin discharge'!D882</f>
        <v>xx</v>
      </c>
      <c r="E886" s="351"/>
      <c r="F886" s="620" t="str">
        <f>'refer admin discharge'!H882</f>
        <v>00/00/0000</v>
      </c>
      <c r="G886" s="351"/>
      <c r="H886" s="615"/>
      <c r="I886" s="351"/>
      <c r="J886" s="621"/>
      <c r="K886" s="351"/>
      <c r="L886" s="615"/>
      <c r="M886" s="351"/>
      <c r="N886" s="610"/>
      <c r="O886" s="351"/>
      <c r="P886" s="615"/>
      <c r="Q886" s="351"/>
      <c r="R886" s="610"/>
      <c r="S886" s="351"/>
      <c r="T886" s="615"/>
      <c r="U886" s="351"/>
      <c r="V886" s="613" t="str">
        <f>'refer admin discharge'!H887</f>
        <v>00/00/0000</v>
      </c>
      <c r="W886" s="351"/>
      <c r="X886" s="616"/>
      <c r="Y886" s="351"/>
      <c r="Z886" s="617"/>
      <c r="AA886" s="351"/>
      <c r="AB886" s="616"/>
      <c r="AC886" s="351"/>
      <c r="AD886" s="607"/>
      <c r="AE886" s="351"/>
      <c r="AF886" s="616"/>
      <c r="AG886" s="351"/>
      <c r="AH886" s="607"/>
      <c r="AI886" s="351"/>
      <c r="AJ886" s="616"/>
      <c r="AK886" s="351"/>
      <c r="AL886" s="622"/>
      <c r="AM886" s="350"/>
      <c r="AN886" s="350"/>
      <c r="AO886" s="350"/>
      <c r="AP886" s="350"/>
      <c r="AQ886" s="350"/>
      <c r="AR886" s="350"/>
      <c r="AS886" s="350"/>
      <c r="AT886" s="350"/>
      <c r="AU886" s="350"/>
      <c r="AV886" s="350"/>
      <c r="AW886" s="350"/>
      <c r="AX886" s="350"/>
      <c r="AY886" s="350"/>
      <c r="AZ886" s="350"/>
      <c r="BA886" s="350"/>
      <c r="BB886" s="351"/>
    </row>
    <row r="887" spans="1:54" ht="15.75" customHeight="1">
      <c r="A887" s="25">
        <f t="shared" si="3"/>
        <v>874</v>
      </c>
      <c r="B887" s="599" t="str">
        <f>'refer admin discharge'!B883</f>
        <v>x</v>
      </c>
      <c r="C887" s="351"/>
      <c r="D887" s="600" t="str">
        <f>'refer admin discharge'!D883</f>
        <v>xx</v>
      </c>
      <c r="E887" s="351"/>
      <c r="F887" s="609" t="str">
        <f>'refer admin discharge'!H883</f>
        <v>00/00/0000</v>
      </c>
      <c r="G887" s="351"/>
      <c r="H887" s="610"/>
      <c r="I887" s="351"/>
      <c r="J887" s="611"/>
      <c r="K887" s="351"/>
      <c r="L887" s="610"/>
      <c r="M887" s="351"/>
      <c r="N887" s="612"/>
      <c r="O887" s="351"/>
      <c r="P887" s="610"/>
      <c r="Q887" s="351"/>
      <c r="R887" s="612"/>
      <c r="S887" s="351"/>
      <c r="T887" s="610"/>
      <c r="U887" s="351"/>
      <c r="V887" s="613" t="str">
        <f>'refer admin discharge'!H888</f>
        <v>00/00/0000</v>
      </c>
      <c r="W887" s="351"/>
      <c r="X887" s="607"/>
      <c r="Y887" s="351"/>
      <c r="Z887" s="614"/>
      <c r="AA887" s="351"/>
      <c r="AB887" s="607"/>
      <c r="AC887" s="351"/>
      <c r="AD887" s="606"/>
      <c r="AE887" s="351"/>
      <c r="AF887" s="607"/>
      <c r="AG887" s="351"/>
      <c r="AH887" s="606"/>
      <c r="AI887" s="351"/>
      <c r="AJ887" s="607"/>
      <c r="AK887" s="351"/>
      <c r="AL887" s="608"/>
      <c r="AM887" s="350"/>
      <c r="AN887" s="350"/>
      <c r="AO887" s="350"/>
      <c r="AP887" s="350"/>
      <c r="AQ887" s="350"/>
      <c r="AR887" s="350"/>
      <c r="AS887" s="350"/>
      <c r="AT887" s="350"/>
      <c r="AU887" s="350"/>
      <c r="AV887" s="350"/>
      <c r="AW887" s="350"/>
      <c r="AX887" s="350"/>
      <c r="AY887" s="350"/>
      <c r="AZ887" s="350"/>
      <c r="BA887" s="350"/>
      <c r="BB887" s="351"/>
    </row>
    <row r="888" spans="1:54" ht="15.75" customHeight="1">
      <c r="A888" s="25">
        <f t="shared" si="3"/>
        <v>875</v>
      </c>
      <c r="B888" s="618" t="str">
        <f>'refer admin discharge'!B884</f>
        <v>x</v>
      </c>
      <c r="C888" s="351"/>
      <c r="D888" s="619" t="str">
        <f>'refer admin discharge'!D884</f>
        <v>xx</v>
      </c>
      <c r="E888" s="351"/>
      <c r="F888" s="620" t="str">
        <f>'refer admin discharge'!H884</f>
        <v>00/00/0000</v>
      </c>
      <c r="G888" s="351"/>
      <c r="H888" s="615"/>
      <c r="I888" s="351"/>
      <c r="J888" s="621"/>
      <c r="K888" s="351"/>
      <c r="L888" s="615"/>
      <c r="M888" s="351"/>
      <c r="N888" s="610"/>
      <c r="O888" s="351"/>
      <c r="P888" s="615"/>
      <c r="Q888" s="351"/>
      <c r="R888" s="610"/>
      <c r="S888" s="351"/>
      <c r="T888" s="615"/>
      <c r="U888" s="351"/>
      <c r="V888" s="613" t="str">
        <f>'refer admin discharge'!H889</f>
        <v>00/00/0000</v>
      </c>
      <c r="W888" s="351"/>
      <c r="X888" s="616"/>
      <c r="Y888" s="351"/>
      <c r="Z888" s="617"/>
      <c r="AA888" s="351"/>
      <c r="AB888" s="616"/>
      <c r="AC888" s="351"/>
      <c r="AD888" s="607"/>
      <c r="AE888" s="351"/>
      <c r="AF888" s="616"/>
      <c r="AG888" s="351"/>
      <c r="AH888" s="607"/>
      <c r="AI888" s="351"/>
      <c r="AJ888" s="616"/>
      <c r="AK888" s="351"/>
      <c r="AL888" s="622"/>
      <c r="AM888" s="350"/>
      <c r="AN888" s="350"/>
      <c r="AO888" s="350"/>
      <c r="AP888" s="350"/>
      <c r="AQ888" s="350"/>
      <c r="AR888" s="350"/>
      <c r="AS888" s="350"/>
      <c r="AT888" s="350"/>
      <c r="AU888" s="350"/>
      <c r="AV888" s="350"/>
      <c r="AW888" s="350"/>
      <c r="AX888" s="350"/>
      <c r="AY888" s="350"/>
      <c r="AZ888" s="350"/>
      <c r="BA888" s="350"/>
      <c r="BB888" s="351"/>
    </row>
    <row r="889" spans="1:54" ht="15.75" customHeight="1">
      <c r="A889" s="25">
        <f t="shared" si="3"/>
        <v>876</v>
      </c>
      <c r="B889" s="599" t="str">
        <f>'refer admin discharge'!B885</f>
        <v>x</v>
      </c>
      <c r="C889" s="351"/>
      <c r="D889" s="600" t="str">
        <f>'refer admin discharge'!D885</f>
        <v>xx</v>
      </c>
      <c r="E889" s="351"/>
      <c r="F889" s="609" t="str">
        <f>'refer admin discharge'!H885</f>
        <v>00/00/0000</v>
      </c>
      <c r="G889" s="351"/>
      <c r="H889" s="610"/>
      <c r="I889" s="351"/>
      <c r="J889" s="611"/>
      <c r="K889" s="351"/>
      <c r="L889" s="610"/>
      <c r="M889" s="351"/>
      <c r="N889" s="612"/>
      <c r="O889" s="351"/>
      <c r="P889" s="610"/>
      <c r="Q889" s="351"/>
      <c r="R889" s="612"/>
      <c r="S889" s="351"/>
      <c r="T889" s="610"/>
      <c r="U889" s="351"/>
      <c r="V889" s="613" t="str">
        <f>'refer admin discharge'!H890</f>
        <v>00/00/0000</v>
      </c>
      <c r="W889" s="351"/>
      <c r="X889" s="607"/>
      <c r="Y889" s="351"/>
      <c r="Z889" s="614"/>
      <c r="AA889" s="351"/>
      <c r="AB889" s="607"/>
      <c r="AC889" s="351"/>
      <c r="AD889" s="606"/>
      <c r="AE889" s="351"/>
      <c r="AF889" s="607"/>
      <c r="AG889" s="351"/>
      <c r="AH889" s="606"/>
      <c r="AI889" s="351"/>
      <c r="AJ889" s="607"/>
      <c r="AK889" s="351"/>
      <c r="AL889" s="608"/>
      <c r="AM889" s="350"/>
      <c r="AN889" s="350"/>
      <c r="AO889" s="350"/>
      <c r="AP889" s="350"/>
      <c r="AQ889" s="350"/>
      <c r="AR889" s="350"/>
      <c r="AS889" s="350"/>
      <c r="AT889" s="350"/>
      <c r="AU889" s="350"/>
      <c r="AV889" s="350"/>
      <c r="AW889" s="350"/>
      <c r="AX889" s="350"/>
      <c r="AY889" s="350"/>
      <c r="AZ889" s="350"/>
      <c r="BA889" s="350"/>
      <c r="BB889" s="351"/>
    </row>
    <row r="890" spans="1:54" ht="15.75" customHeight="1">
      <c r="A890" s="25">
        <f t="shared" si="3"/>
        <v>877</v>
      </c>
      <c r="B890" s="618" t="str">
        <f>'refer admin discharge'!B886</f>
        <v>x</v>
      </c>
      <c r="C890" s="351"/>
      <c r="D890" s="619" t="str">
        <f>'refer admin discharge'!D886</f>
        <v>xx</v>
      </c>
      <c r="E890" s="351"/>
      <c r="F890" s="620" t="str">
        <f>'refer admin discharge'!H886</f>
        <v>00/00/0000</v>
      </c>
      <c r="G890" s="351"/>
      <c r="H890" s="615"/>
      <c r="I890" s="351"/>
      <c r="J890" s="621"/>
      <c r="K890" s="351"/>
      <c r="L890" s="615"/>
      <c r="M890" s="351"/>
      <c r="N890" s="610"/>
      <c r="O890" s="351"/>
      <c r="P890" s="615"/>
      <c r="Q890" s="351"/>
      <c r="R890" s="610"/>
      <c r="S890" s="351"/>
      <c r="T890" s="615"/>
      <c r="U890" s="351"/>
      <c r="V890" s="613" t="str">
        <f>'refer admin discharge'!H891</f>
        <v>00/00/0000</v>
      </c>
      <c r="W890" s="351"/>
      <c r="X890" s="616"/>
      <c r="Y890" s="351"/>
      <c r="Z890" s="617"/>
      <c r="AA890" s="351"/>
      <c r="AB890" s="616"/>
      <c r="AC890" s="351"/>
      <c r="AD890" s="607"/>
      <c r="AE890" s="351"/>
      <c r="AF890" s="616"/>
      <c r="AG890" s="351"/>
      <c r="AH890" s="607"/>
      <c r="AI890" s="351"/>
      <c r="AJ890" s="616"/>
      <c r="AK890" s="351"/>
      <c r="AL890" s="622"/>
      <c r="AM890" s="350"/>
      <c r="AN890" s="350"/>
      <c r="AO890" s="350"/>
      <c r="AP890" s="350"/>
      <c r="AQ890" s="350"/>
      <c r="AR890" s="350"/>
      <c r="AS890" s="350"/>
      <c r="AT890" s="350"/>
      <c r="AU890" s="350"/>
      <c r="AV890" s="350"/>
      <c r="AW890" s="350"/>
      <c r="AX890" s="350"/>
      <c r="AY890" s="350"/>
      <c r="AZ890" s="350"/>
      <c r="BA890" s="350"/>
      <c r="BB890" s="351"/>
    </row>
    <row r="891" spans="1:54" ht="15.75" customHeight="1">
      <c r="A891" s="25">
        <f t="shared" si="3"/>
        <v>878</v>
      </c>
      <c r="B891" s="599" t="str">
        <f>'refer admin discharge'!B887</f>
        <v>x</v>
      </c>
      <c r="C891" s="351"/>
      <c r="D891" s="600" t="str">
        <f>'refer admin discharge'!D887</f>
        <v>xx</v>
      </c>
      <c r="E891" s="351"/>
      <c r="F891" s="609" t="str">
        <f>'refer admin discharge'!H887</f>
        <v>00/00/0000</v>
      </c>
      <c r="G891" s="351"/>
      <c r="H891" s="610"/>
      <c r="I891" s="351"/>
      <c r="J891" s="611"/>
      <c r="K891" s="351"/>
      <c r="L891" s="610"/>
      <c r="M891" s="351"/>
      <c r="N891" s="612"/>
      <c r="O891" s="351"/>
      <c r="P891" s="610"/>
      <c r="Q891" s="351"/>
      <c r="R891" s="612"/>
      <c r="S891" s="351"/>
      <c r="T891" s="610"/>
      <c r="U891" s="351"/>
      <c r="V891" s="613" t="str">
        <f>'refer admin discharge'!H892</f>
        <v>00/00/0000</v>
      </c>
      <c r="W891" s="351"/>
      <c r="X891" s="607"/>
      <c r="Y891" s="351"/>
      <c r="Z891" s="614"/>
      <c r="AA891" s="351"/>
      <c r="AB891" s="607"/>
      <c r="AC891" s="351"/>
      <c r="AD891" s="606"/>
      <c r="AE891" s="351"/>
      <c r="AF891" s="607"/>
      <c r="AG891" s="351"/>
      <c r="AH891" s="606"/>
      <c r="AI891" s="351"/>
      <c r="AJ891" s="607"/>
      <c r="AK891" s="351"/>
      <c r="AL891" s="608"/>
      <c r="AM891" s="350"/>
      <c r="AN891" s="350"/>
      <c r="AO891" s="350"/>
      <c r="AP891" s="350"/>
      <c r="AQ891" s="350"/>
      <c r="AR891" s="350"/>
      <c r="AS891" s="350"/>
      <c r="AT891" s="350"/>
      <c r="AU891" s="350"/>
      <c r="AV891" s="350"/>
      <c r="AW891" s="350"/>
      <c r="AX891" s="350"/>
      <c r="AY891" s="350"/>
      <c r="AZ891" s="350"/>
      <c r="BA891" s="350"/>
      <c r="BB891" s="351"/>
    </row>
    <row r="892" spans="1:54" ht="15.75" customHeight="1">
      <c r="A892" s="25">
        <f t="shared" si="3"/>
        <v>879</v>
      </c>
      <c r="B892" s="618" t="str">
        <f>'refer admin discharge'!B888</f>
        <v>x</v>
      </c>
      <c r="C892" s="351"/>
      <c r="D892" s="619" t="str">
        <f>'refer admin discharge'!D888</f>
        <v>xx</v>
      </c>
      <c r="E892" s="351"/>
      <c r="F892" s="620" t="str">
        <f>'refer admin discharge'!H888</f>
        <v>00/00/0000</v>
      </c>
      <c r="G892" s="351"/>
      <c r="H892" s="615"/>
      <c r="I892" s="351"/>
      <c r="J892" s="621"/>
      <c r="K892" s="351"/>
      <c r="L892" s="615"/>
      <c r="M892" s="351"/>
      <c r="N892" s="610"/>
      <c r="O892" s="351"/>
      <c r="P892" s="615"/>
      <c r="Q892" s="351"/>
      <c r="R892" s="610"/>
      <c r="S892" s="351"/>
      <c r="T892" s="615"/>
      <c r="U892" s="351"/>
      <c r="V892" s="613" t="str">
        <f>'refer admin discharge'!H893</f>
        <v>00/00/0000</v>
      </c>
      <c r="W892" s="351"/>
      <c r="X892" s="616"/>
      <c r="Y892" s="351"/>
      <c r="Z892" s="617"/>
      <c r="AA892" s="351"/>
      <c r="AB892" s="616"/>
      <c r="AC892" s="351"/>
      <c r="AD892" s="607"/>
      <c r="AE892" s="351"/>
      <c r="AF892" s="616"/>
      <c r="AG892" s="351"/>
      <c r="AH892" s="607"/>
      <c r="AI892" s="351"/>
      <c r="AJ892" s="616"/>
      <c r="AK892" s="351"/>
      <c r="AL892" s="622"/>
      <c r="AM892" s="350"/>
      <c r="AN892" s="350"/>
      <c r="AO892" s="350"/>
      <c r="AP892" s="350"/>
      <c r="AQ892" s="350"/>
      <c r="AR892" s="350"/>
      <c r="AS892" s="350"/>
      <c r="AT892" s="350"/>
      <c r="AU892" s="350"/>
      <c r="AV892" s="350"/>
      <c r="AW892" s="350"/>
      <c r="AX892" s="350"/>
      <c r="AY892" s="350"/>
      <c r="AZ892" s="350"/>
      <c r="BA892" s="350"/>
      <c r="BB892" s="351"/>
    </row>
    <row r="893" spans="1:54" ht="15.75" customHeight="1">
      <c r="A893" s="25">
        <f t="shared" si="3"/>
        <v>880</v>
      </c>
      <c r="B893" s="599" t="str">
        <f>'refer admin discharge'!B889</f>
        <v>x</v>
      </c>
      <c r="C893" s="351"/>
      <c r="D893" s="600" t="str">
        <f>'refer admin discharge'!D889</f>
        <v>xx</v>
      </c>
      <c r="E893" s="351"/>
      <c r="F893" s="609" t="str">
        <f>'refer admin discharge'!H889</f>
        <v>00/00/0000</v>
      </c>
      <c r="G893" s="351"/>
      <c r="H893" s="610"/>
      <c r="I893" s="351"/>
      <c r="J893" s="611"/>
      <c r="K893" s="351"/>
      <c r="L893" s="610"/>
      <c r="M893" s="351"/>
      <c r="N893" s="612"/>
      <c r="O893" s="351"/>
      <c r="P893" s="610"/>
      <c r="Q893" s="351"/>
      <c r="R893" s="612"/>
      <c r="S893" s="351"/>
      <c r="T893" s="610"/>
      <c r="U893" s="351"/>
      <c r="V893" s="613" t="str">
        <f>'refer admin discharge'!H894</f>
        <v>00/00/0000</v>
      </c>
      <c r="W893" s="351"/>
      <c r="X893" s="607"/>
      <c r="Y893" s="351"/>
      <c r="Z893" s="614"/>
      <c r="AA893" s="351"/>
      <c r="AB893" s="607"/>
      <c r="AC893" s="351"/>
      <c r="AD893" s="606"/>
      <c r="AE893" s="351"/>
      <c r="AF893" s="607"/>
      <c r="AG893" s="351"/>
      <c r="AH893" s="606"/>
      <c r="AI893" s="351"/>
      <c r="AJ893" s="607"/>
      <c r="AK893" s="351"/>
      <c r="AL893" s="608"/>
      <c r="AM893" s="350"/>
      <c r="AN893" s="350"/>
      <c r="AO893" s="350"/>
      <c r="AP893" s="350"/>
      <c r="AQ893" s="350"/>
      <c r="AR893" s="350"/>
      <c r="AS893" s="350"/>
      <c r="AT893" s="350"/>
      <c r="AU893" s="350"/>
      <c r="AV893" s="350"/>
      <c r="AW893" s="350"/>
      <c r="AX893" s="350"/>
      <c r="AY893" s="350"/>
      <c r="AZ893" s="350"/>
      <c r="BA893" s="350"/>
      <c r="BB893" s="351"/>
    </row>
    <row r="894" spans="1:54" ht="15.75" customHeight="1">
      <c r="A894" s="25">
        <f t="shared" si="3"/>
        <v>881</v>
      </c>
      <c r="B894" s="618" t="str">
        <f>'refer admin discharge'!B890</f>
        <v>x</v>
      </c>
      <c r="C894" s="351"/>
      <c r="D894" s="619" t="str">
        <f>'refer admin discharge'!D890</f>
        <v>xx</v>
      </c>
      <c r="E894" s="351"/>
      <c r="F894" s="620" t="str">
        <f>'refer admin discharge'!H890</f>
        <v>00/00/0000</v>
      </c>
      <c r="G894" s="351"/>
      <c r="H894" s="615"/>
      <c r="I894" s="351"/>
      <c r="J894" s="621"/>
      <c r="K894" s="351"/>
      <c r="L894" s="615"/>
      <c r="M894" s="351"/>
      <c r="N894" s="610"/>
      <c r="O894" s="351"/>
      <c r="P894" s="615"/>
      <c r="Q894" s="351"/>
      <c r="R894" s="610"/>
      <c r="S894" s="351"/>
      <c r="T894" s="615"/>
      <c r="U894" s="351"/>
      <c r="V894" s="613" t="str">
        <f>'refer admin discharge'!H895</f>
        <v>00/00/0000</v>
      </c>
      <c r="W894" s="351"/>
      <c r="X894" s="616"/>
      <c r="Y894" s="351"/>
      <c r="Z894" s="617"/>
      <c r="AA894" s="351"/>
      <c r="AB894" s="616"/>
      <c r="AC894" s="351"/>
      <c r="AD894" s="607"/>
      <c r="AE894" s="351"/>
      <c r="AF894" s="616"/>
      <c r="AG894" s="351"/>
      <c r="AH894" s="607"/>
      <c r="AI894" s="351"/>
      <c r="AJ894" s="616"/>
      <c r="AK894" s="351"/>
      <c r="AL894" s="622"/>
      <c r="AM894" s="350"/>
      <c r="AN894" s="350"/>
      <c r="AO894" s="350"/>
      <c r="AP894" s="350"/>
      <c r="AQ894" s="350"/>
      <c r="AR894" s="350"/>
      <c r="AS894" s="350"/>
      <c r="AT894" s="350"/>
      <c r="AU894" s="350"/>
      <c r="AV894" s="350"/>
      <c r="AW894" s="350"/>
      <c r="AX894" s="350"/>
      <c r="AY894" s="350"/>
      <c r="AZ894" s="350"/>
      <c r="BA894" s="350"/>
      <c r="BB894" s="351"/>
    </row>
    <row r="895" spans="1:54" ht="15.75" customHeight="1">
      <c r="A895" s="25">
        <f t="shared" si="3"/>
        <v>882</v>
      </c>
      <c r="B895" s="599" t="str">
        <f>'refer admin discharge'!B891</f>
        <v>x</v>
      </c>
      <c r="C895" s="351"/>
      <c r="D895" s="600" t="str">
        <f>'refer admin discharge'!D891</f>
        <v>xx</v>
      </c>
      <c r="E895" s="351"/>
      <c r="F895" s="609" t="str">
        <f>'refer admin discharge'!H891</f>
        <v>00/00/0000</v>
      </c>
      <c r="G895" s="351"/>
      <c r="H895" s="610"/>
      <c r="I895" s="351"/>
      <c r="J895" s="611"/>
      <c r="K895" s="351"/>
      <c r="L895" s="610"/>
      <c r="M895" s="351"/>
      <c r="N895" s="612"/>
      <c r="O895" s="351"/>
      <c r="P895" s="610"/>
      <c r="Q895" s="351"/>
      <c r="R895" s="612"/>
      <c r="S895" s="351"/>
      <c r="T895" s="610"/>
      <c r="U895" s="351"/>
      <c r="V895" s="613" t="str">
        <f>'refer admin discharge'!H896</f>
        <v>00/00/0000</v>
      </c>
      <c r="W895" s="351"/>
      <c r="X895" s="607"/>
      <c r="Y895" s="351"/>
      <c r="Z895" s="614"/>
      <c r="AA895" s="351"/>
      <c r="AB895" s="607"/>
      <c r="AC895" s="351"/>
      <c r="AD895" s="606"/>
      <c r="AE895" s="351"/>
      <c r="AF895" s="607"/>
      <c r="AG895" s="351"/>
      <c r="AH895" s="606"/>
      <c r="AI895" s="351"/>
      <c r="AJ895" s="607"/>
      <c r="AK895" s="351"/>
      <c r="AL895" s="608"/>
      <c r="AM895" s="350"/>
      <c r="AN895" s="350"/>
      <c r="AO895" s="350"/>
      <c r="AP895" s="350"/>
      <c r="AQ895" s="350"/>
      <c r="AR895" s="350"/>
      <c r="AS895" s="350"/>
      <c r="AT895" s="350"/>
      <c r="AU895" s="350"/>
      <c r="AV895" s="350"/>
      <c r="AW895" s="350"/>
      <c r="AX895" s="350"/>
      <c r="AY895" s="350"/>
      <c r="AZ895" s="350"/>
      <c r="BA895" s="350"/>
      <c r="BB895" s="351"/>
    </row>
    <row r="896" spans="1:54" ht="15.75" customHeight="1">
      <c r="A896" s="25">
        <f t="shared" si="3"/>
        <v>883</v>
      </c>
      <c r="B896" s="618" t="str">
        <f>'refer admin discharge'!B892</f>
        <v>x</v>
      </c>
      <c r="C896" s="351"/>
      <c r="D896" s="619" t="str">
        <f>'refer admin discharge'!D892</f>
        <v>xx</v>
      </c>
      <c r="E896" s="351"/>
      <c r="F896" s="620" t="str">
        <f>'refer admin discharge'!H892</f>
        <v>00/00/0000</v>
      </c>
      <c r="G896" s="351"/>
      <c r="H896" s="615"/>
      <c r="I896" s="351"/>
      <c r="J896" s="621"/>
      <c r="K896" s="351"/>
      <c r="L896" s="615"/>
      <c r="M896" s="351"/>
      <c r="N896" s="610"/>
      <c r="O896" s="351"/>
      <c r="P896" s="615"/>
      <c r="Q896" s="351"/>
      <c r="R896" s="610"/>
      <c r="S896" s="351"/>
      <c r="T896" s="615"/>
      <c r="U896" s="351"/>
      <c r="V896" s="613" t="str">
        <f>'refer admin discharge'!H897</f>
        <v>00/00/0000</v>
      </c>
      <c r="W896" s="351"/>
      <c r="X896" s="616"/>
      <c r="Y896" s="351"/>
      <c r="Z896" s="617"/>
      <c r="AA896" s="351"/>
      <c r="AB896" s="616"/>
      <c r="AC896" s="351"/>
      <c r="AD896" s="607"/>
      <c r="AE896" s="351"/>
      <c r="AF896" s="616"/>
      <c r="AG896" s="351"/>
      <c r="AH896" s="607"/>
      <c r="AI896" s="351"/>
      <c r="AJ896" s="616"/>
      <c r="AK896" s="351"/>
      <c r="AL896" s="622"/>
      <c r="AM896" s="350"/>
      <c r="AN896" s="350"/>
      <c r="AO896" s="350"/>
      <c r="AP896" s="350"/>
      <c r="AQ896" s="350"/>
      <c r="AR896" s="350"/>
      <c r="AS896" s="350"/>
      <c r="AT896" s="350"/>
      <c r="AU896" s="350"/>
      <c r="AV896" s="350"/>
      <c r="AW896" s="350"/>
      <c r="AX896" s="350"/>
      <c r="AY896" s="350"/>
      <c r="AZ896" s="350"/>
      <c r="BA896" s="350"/>
      <c r="BB896" s="351"/>
    </row>
    <row r="897" spans="1:54" ht="15.75" customHeight="1">
      <c r="A897" s="25">
        <f t="shared" si="3"/>
        <v>884</v>
      </c>
      <c r="B897" s="599" t="str">
        <f>'refer admin discharge'!B893</f>
        <v>x</v>
      </c>
      <c r="C897" s="351"/>
      <c r="D897" s="600" t="str">
        <f>'refer admin discharge'!D893</f>
        <v>xx</v>
      </c>
      <c r="E897" s="351"/>
      <c r="F897" s="609" t="str">
        <f>'refer admin discharge'!H893</f>
        <v>00/00/0000</v>
      </c>
      <c r="G897" s="351"/>
      <c r="H897" s="610"/>
      <c r="I897" s="351"/>
      <c r="J897" s="611"/>
      <c r="K897" s="351"/>
      <c r="L897" s="610"/>
      <c r="M897" s="351"/>
      <c r="N897" s="612"/>
      <c r="O897" s="351"/>
      <c r="P897" s="610"/>
      <c r="Q897" s="351"/>
      <c r="R897" s="612"/>
      <c r="S897" s="351"/>
      <c r="T897" s="610"/>
      <c r="U897" s="351"/>
      <c r="V897" s="613" t="str">
        <f>'refer admin discharge'!H898</f>
        <v>00/00/0000</v>
      </c>
      <c r="W897" s="351"/>
      <c r="X897" s="607"/>
      <c r="Y897" s="351"/>
      <c r="Z897" s="614"/>
      <c r="AA897" s="351"/>
      <c r="AB897" s="607"/>
      <c r="AC897" s="351"/>
      <c r="AD897" s="606"/>
      <c r="AE897" s="351"/>
      <c r="AF897" s="607"/>
      <c r="AG897" s="351"/>
      <c r="AH897" s="606"/>
      <c r="AI897" s="351"/>
      <c r="AJ897" s="607"/>
      <c r="AK897" s="351"/>
      <c r="AL897" s="608"/>
      <c r="AM897" s="350"/>
      <c r="AN897" s="350"/>
      <c r="AO897" s="350"/>
      <c r="AP897" s="350"/>
      <c r="AQ897" s="350"/>
      <c r="AR897" s="350"/>
      <c r="AS897" s="350"/>
      <c r="AT897" s="350"/>
      <c r="AU897" s="350"/>
      <c r="AV897" s="350"/>
      <c r="AW897" s="350"/>
      <c r="AX897" s="350"/>
      <c r="AY897" s="350"/>
      <c r="AZ897" s="350"/>
      <c r="BA897" s="350"/>
      <c r="BB897" s="351"/>
    </row>
    <row r="898" spans="1:54" ht="15.75" customHeight="1">
      <c r="A898" s="25">
        <f t="shared" si="3"/>
        <v>885</v>
      </c>
      <c r="B898" s="618" t="str">
        <f>'refer admin discharge'!B894</f>
        <v>x</v>
      </c>
      <c r="C898" s="351"/>
      <c r="D898" s="619" t="str">
        <f>'refer admin discharge'!D894</f>
        <v>xx</v>
      </c>
      <c r="E898" s="351"/>
      <c r="F898" s="620" t="str">
        <f>'refer admin discharge'!H894</f>
        <v>00/00/0000</v>
      </c>
      <c r="G898" s="351"/>
      <c r="H898" s="615"/>
      <c r="I898" s="351"/>
      <c r="J898" s="621"/>
      <c r="K898" s="351"/>
      <c r="L898" s="615"/>
      <c r="M898" s="351"/>
      <c r="N898" s="610"/>
      <c r="O898" s="351"/>
      <c r="P898" s="615"/>
      <c r="Q898" s="351"/>
      <c r="R898" s="610"/>
      <c r="S898" s="351"/>
      <c r="T898" s="615"/>
      <c r="U898" s="351"/>
      <c r="V898" s="613" t="str">
        <f>'refer admin discharge'!H899</f>
        <v>00/00/0000</v>
      </c>
      <c r="W898" s="351"/>
      <c r="X898" s="616"/>
      <c r="Y898" s="351"/>
      <c r="Z898" s="617"/>
      <c r="AA898" s="351"/>
      <c r="AB898" s="616"/>
      <c r="AC898" s="351"/>
      <c r="AD898" s="607"/>
      <c r="AE898" s="351"/>
      <c r="AF898" s="616"/>
      <c r="AG898" s="351"/>
      <c r="AH898" s="607"/>
      <c r="AI898" s="351"/>
      <c r="AJ898" s="616"/>
      <c r="AK898" s="351"/>
      <c r="AL898" s="622"/>
      <c r="AM898" s="350"/>
      <c r="AN898" s="350"/>
      <c r="AO898" s="350"/>
      <c r="AP898" s="350"/>
      <c r="AQ898" s="350"/>
      <c r="AR898" s="350"/>
      <c r="AS898" s="350"/>
      <c r="AT898" s="350"/>
      <c r="AU898" s="350"/>
      <c r="AV898" s="350"/>
      <c r="AW898" s="350"/>
      <c r="AX898" s="350"/>
      <c r="AY898" s="350"/>
      <c r="AZ898" s="350"/>
      <c r="BA898" s="350"/>
      <c r="BB898" s="351"/>
    </row>
    <row r="899" spans="1:54" ht="15.75" customHeight="1">
      <c r="A899" s="25">
        <f t="shared" si="3"/>
        <v>886</v>
      </c>
      <c r="B899" s="599" t="str">
        <f>'refer admin discharge'!B895</f>
        <v>x</v>
      </c>
      <c r="C899" s="351"/>
      <c r="D899" s="600" t="str">
        <f>'refer admin discharge'!D895</f>
        <v>xx</v>
      </c>
      <c r="E899" s="351"/>
      <c r="F899" s="609" t="str">
        <f>'refer admin discharge'!H895</f>
        <v>00/00/0000</v>
      </c>
      <c r="G899" s="351"/>
      <c r="H899" s="610"/>
      <c r="I899" s="351"/>
      <c r="J899" s="611"/>
      <c r="K899" s="351"/>
      <c r="L899" s="610"/>
      <c r="M899" s="351"/>
      <c r="N899" s="612"/>
      <c r="O899" s="351"/>
      <c r="P899" s="610"/>
      <c r="Q899" s="351"/>
      <c r="R899" s="612"/>
      <c r="S899" s="351"/>
      <c r="T899" s="610"/>
      <c r="U899" s="351"/>
      <c r="V899" s="613" t="str">
        <f>'refer admin discharge'!H900</f>
        <v>00/00/0000</v>
      </c>
      <c r="W899" s="351"/>
      <c r="X899" s="607"/>
      <c r="Y899" s="351"/>
      <c r="Z899" s="614"/>
      <c r="AA899" s="351"/>
      <c r="AB899" s="607"/>
      <c r="AC899" s="351"/>
      <c r="AD899" s="606"/>
      <c r="AE899" s="351"/>
      <c r="AF899" s="607"/>
      <c r="AG899" s="351"/>
      <c r="AH899" s="606"/>
      <c r="AI899" s="351"/>
      <c r="AJ899" s="607"/>
      <c r="AK899" s="351"/>
      <c r="AL899" s="608"/>
      <c r="AM899" s="350"/>
      <c r="AN899" s="350"/>
      <c r="AO899" s="350"/>
      <c r="AP899" s="350"/>
      <c r="AQ899" s="350"/>
      <c r="AR899" s="350"/>
      <c r="AS899" s="350"/>
      <c r="AT899" s="350"/>
      <c r="AU899" s="350"/>
      <c r="AV899" s="350"/>
      <c r="AW899" s="350"/>
      <c r="AX899" s="350"/>
      <c r="AY899" s="350"/>
      <c r="AZ899" s="350"/>
      <c r="BA899" s="350"/>
      <c r="BB899" s="351"/>
    </row>
    <row r="900" spans="1:54" ht="15.75" customHeight="1">
      <c r="A900" s="25">
        <f t="shared" si="3"/>
        <v>887</v>
      </c>
      <c r="B900" s="618" t="str">
        <f>'refer admin discharge'!B896</f>
        <v>x</v>
      </c>
      <c r="C900" s="351"/>
      <c r="D900" s="619" t="str">
        <f>'refer admin discharge'!D896</f>
        <v>xx</v>
      </c>
      <c r="E900" s="351"/>
      <c r="F900" s="620" t="str">
        <f>'refer admin discharge'!H896</f>
        <v>00/00/0000</v>
      </c>
      <c r="G900" s="351"/>
      <c r="H900" s="615"/>
      <c r="I900" s="351"/>
      <c r="J900" s="621"/>
      <c r="K900" s="351"/>
      <c r="L900" s="615"/>
      <c r="M900" s="351"/>
      <c r="N900" s="610"/>
      <c r="O900" s="351"/>
      <c r="P900" s="615"/>
      <c r="Q900" s="351"/>
      <c r="R900" s="610"/>
      <c r="S900" s="351"/>
      <c r="T900" s="615"/>
      <c r="U900" s="351"/>
      <c r="V900" s="613" t="str">
        <f>'refer admin discharge'!H901</f>
        <v>00/00/0000</v>
      </c>
      <c r="W900" s="351"/>
      <c r="X900" s="616"/>
      <c r="Y900" s="351"/>
      <c r="Z900" s="617"/>
      <c r="AA900" s="351"/>
      <c r="AB900" s="616"/>
      <c r="AC900" s="351"/>
      <c r="AD900" s="607"/>
      <c r="AE900" s="351"/>
      <c r="AF900" s="616"/>
      <c r="AG900" s="351"/>
      <c r="AH900" s="607"/>
      <c r="AI900" s="351"/>
      <c r="AJ900" s="616"/>
      <c r="AK900" s="351"/>
      <c r="AL900" s="622"/>
      <c r="AM900" s="350"/>
      <c r="AN900" s="350"/>
      <c r="AO900" s="350"/>
      <c r="AP900" s="350"/>
      <c r="AQ900" s="350"/>
      <c r="AR900" s="350"/>
      <c r="AS900" s="350"/>
      <c r="AT900" s="350"/>
      <c r="AU900" s="350"/>
      <c r="AV900" s="350"/>
      <c r="AW900" s="350"/>
      <c r="AX900" s="350"/>
      <c r="AY900" s="350"/>
      <c r="AZ900" s="350"/>
      <c r="BA900" s="350"/>
      <c r="BB900" s="351"/>
    </row>
    <row r="901" spans="1:54" ht="15.75" customHeight="1">
      <c r="A901" s="25">
        <f t="shared" si="3"/>
        <v>888</v>
      </c>
      <c r="B901" s="599" t="str">
        <f>'refer admin discharge'!B897</f>
        <v>x</v>
      </c>
      <c r="C901" s="351"/>
      <c r="D901" s="600" t="str">
        <f>'refer admin discharge'!D897</f>
        <v>xx</v>
      </c>
      <c r="E901" s="351"/>
      <c r="F901" s="609" t="str">
        <f>'refer admin discharge'!H897</f>
        <v>00/00/0000</v>
      </c>
      <c r="G901" s="351"/>
      <c r="H901" s="610"/>
      <c r="I901" s="351"/>
      <c r="J901" s="611"/>
      <c r="K901" s="351"/>
      <c r="L901" s="610"/>
      <c r="M901" s="351"/>
      <c r="N901" s="612"/>
      <c r="O901" s="351"/>
      <c r="P901" s="610"/>
      <c r="Q901" s="351"/>
      <c r="R901" s="612"/>
      <c r="S901" s="351"/>
      <c r="T901" s="610"/>
      <c r="U901" s="351"/>
      <c r="V901" s="613" t="str">
        <f>'refer admin discharge'!H902</f>
        <v>00/00/0000</v>
      </c>
      <c r="W901" s="351"/>
      <c r="X901" s="607"/>
      <c r="Y901" s="351"/>
      <c r="Z901" s="614"/>
      <c r="AA901" s="351"/>
      <c r="AB901" s="607"/>
      <c r="AC901" s="351"/>
      <c r="AD901" s="606"/>
      <c r="AE901" s="351"/>
      <c r="AF901" s="607"/>
      <c r="AG901" s="351"/>
      <c r="AH901" s="606"/>
      <c r="AI901" s="351"/>
      <c r="AJ901" s="607"/>
      <c r="AK901" s="351"/>
      <c r="AL901" s="608"/>
      <c r="AM901" s="350"/>
      <c r="AN901" s="350"/>
      <c r="AO901" s="350"/>
      <c r="AP901" s="350"/>
      <c r="AQ901" s="350"/>
      <c r="AR901" s="350"/>
      <c r="AS901" s="350"/>
      <c r="AT901" s="350"/>
      <c r="AU901" s="350"/>
      <c r="AV901" s="350"/>
      <c r="AW901" s="350"/>
      <c r="AX901" s="350"/>
      <c r="AY901" s="350"/>
      <c r="AZ901" s="350"/>
      <c r="BA901" s="350"/>
      <c r="BB901" s="351"/>
    </row>
    <row r="902" spans="1:54" ht="15.75" customHeight="1">
      <c r="A902" s="25">
        <f t="shared" si="3"/>
        <v>889</v>
      </c>
      <c r="B902" s="618" t="str">
        <f>'refer admin discharge'!B898</f>
        <v>x</v>
      </c>
      <c r="C902" s="351"/>
      <c r="D902" s="619" t="str">
        <f>'refer admin discharge'!D898</f>
        <v>xx</v>
      </c>
      <c r="E902" s="351"/>
      <c r="F902" s="620" t="str">
        <f>'refer admin discharge'!H898</f>
        <v>00/00/0000</v>
      </c>
      <c r="G902" s="351"/>
      <c r="H902" s="615"/>
      <c r="I902" s="351"/>
      <c r="J902" s="621"/>
      <c r="K902" s="351"/>
      <c r="L902" s="615"/>
      <c r="M902" s="351"/>
      <c r="N902" s="610"/>
      <c r="O902" s="351"/>
      <c r="P902" s="615"/>
      <c r="Q902" s="351"/>
      <c r="R902" s="610"/>
      <c r="S902" s="351"/>
      <c r="T902" s="615"/>
      <c r="U902" s="351"/>
      <c r="V902" s="613" t="str">
        <f>'refer admin discharge'!H903</f>
        <v>00/00/0000</v>
      </c>
      <c r="W902" s="351"/>
      <c r="X902" s="616"/>
      <c r="Y902" s="351"/>
      <c r="Z902" s="617"/>
      <c r="AA902" s="351"/>
      <c r="AB902" s="616"/>
      <c r="AC902" s="351"/>
      <c r="AD902" s="607"/>
      <c r="AE902" s="351"/>
      <c r="AF902" s="616"/>
      <c r="AG902" s="351"/>
      <c r="AH902" s="607"/>
      <c r="AI902" s="351"/>
      <c r="AJ902" s="616"/>
      <c r="AK902" s="351"/>
      <c r="AL902" s="622"/>
      <c r="AM902" s="350"/>
      <c r="AN902" s="350"/>
      <c r="AO902" s="350"/>
      <c r="AP902" s="350"/>
      <c r="AQ902" s="350"/>
      <c r="AR902" s="350"/>
      <c r="AS902" s="350"/>
      <c r="AT902" s="350"/>
      <c r="AU902" s="350"/>
      <c r="AV902" s="350"/>
      <c r="AW902" s="350"/>
      <c r="AX902" s="350"/>
      <c r="AY902" s="350"/>
      <c r="AZ902" s="350"/>
      <c r="BA902" s="350"/>
      <c r="BB902" s="351"/>
    </row>
    <row r="903" spans="1:54" ht="15.75" customHeight="1">
      <c r="A903" s="25">
        <f t="shared" si="3"/>
        <v>890</v>
      </c>
      <c r="B903" s="599" t="str">
        <f>'refer admin discharge'!B899</f>
        <v>x</v>
      </c>
      <c r="C903" s="351"/>
      <c r="D903" s="600" t="str">
        <f>'refer admin discharge'!D899</f>
        <v>xx</v>
      </c>
      <c r="E903" s="351"/>
      <c r="F903" s="609" t="str">
        <f>'refer admin discharge'!H899</f>
        <v>00/00/0000</v>
      </c>
      <c r="G903" s="351"/>
      <c r="H903" s="610"/>
      <c r="I903" s="351"/>
      <c r="J903" s="611"/>
      <c r="K903" s="351"/>
      <c r="L903" s="610"/>
      <c r="M903" s="351"/>
      <c r="N903" s="612"/>
      <c r="O903" s="351"/>
      <c r="P903" s="610"/>
      <c r="Q903" s="351"/>
      <c r="R903" s="612"/>
      <c r="S903" s="351"/>
      <c r="T903" s="610"/>
      <c r="U903" s="351"/>
      <c r="V903" s="613" t="str">
        <f>'refer admin discharge'!H904</f>
        <v>00/00/0000</v>
      </c>
      <c r="W903" s="351"/>
      <c r="X903" s="607"/>
      <c r="Y903" s="351"/>
      <c r="Z903" s="614"/>
      <c r="AA903" s="351"/>
      <c r="AB903" s="607"/>
      <c r="AC903" s="351"/>
      <c r="AD903" s="606"/>
      <c r="AE903" s="351"/>
      <c r="AF903" s="607"/>
      <c r="AG903" s="351"/>
      <c r="AH903" s="606"/>
      <c r="AI903" s="351"/>
      <c r="AJ903" s="607"/>
      <c r="AK903" s="351"/>
      <c r="AL903" s="608"/>
      <c r="AM903" s="350"/>
      <c r="AN903" s="350"/>
      <c r="AO903" s="350"/>
      <c r="AP903" s="350"/>
      <c r="AQ903" s="350"/>
      <c r="AR903" s="350"/>
      <c r="AS903" s="350"/>
      <c r="AT903" s="350"/>
      <c r="AU903" s="350"/>
      <c r="AV903" s="350"/>
      <c r="AW903" s="350"/>
      <c r="AX903" s="350"/>
      <c r="AY903" s="350"/>
      <c r="AZ903" s="350"/>
      <c r="BA903" s="350"/>
      <c r="BB903" s="351"/>
    </row>
    <row r="904" spans="1:54" ht="15.75" customHeight="1">
      <c r="A904" s="25">
        <f t="shared" si="3"/>
        <v>891</v>
      </c>
      <c r="B904" s="618" t="str">
        <f>'refer admin discharge'!B900</f>
        <v>x</v>
      </c>
      <c r="C904" s="351"/>
      <c r="D904" s="619" t="str">
        <f>'refer admin discharge'!D900</f>
        <v>xx</v>
      </c>
      <c r="E904" s="351"/>
      <c r="F904" s="620" t="str">
        <f>'refer admin discharge'!H900</f>
        <v>00/00/0000</v>
      </c>
      <c r="G904" s="351"/>
      <c r="H904" s="615"/>
      <c r="I904" s="351"/>
      <c r="J904" s="621"/>
      <c r="K904" s="351"/>
      <c r="L904" s="615"/>
      <c r="M904" s="351"/>
      <c r="N904" s="610"/>
      <c r="O904" s="351"/>
      <c r="P904" s="615"/>
      <c r="Q904" s="351"/>
      <c r="R904" s="610"/>
      <c r="S904" s="351"/>
      <c r="T904" s="615"/>
      <c r="U904" s="351"/>
      <c r="V904" s="613" t="str">
        <f>'refer admin discharge'!H905</f>
        <v>00/00/0000</v>
      </c>
      <c r="W904" s="351"/>
      <c r="X904" s="616"/>
      <c r="Y904" s="351"/>
      <c r="Z904" s="617"/>
      <c r="AA904" s="351"/>
      <c r="AB904" s="616"/>
      <c r="AC904" s="351"/>
      <c r="AD904" s="607"/>
      <c r="AE904" s="351"/>
      <c r="AF904" s="616"/>
      <c r="AG904" s="351"/>
      <c r="AH904" s="607"/>
      <c r="AI904" s="351"/>
      <c r="AJ904" s="616"/>
      <c r="AK904" s="351"/>
      <c r="AL904" s="622"/>
      <c r="AM904" s="350"/>
      <c r="AN904" s="350"/>
      <c r="AO904" s="350"/>
      <c r="AP904" s="350"/>
      <c r="AQ904" s="350"/>
      <c r="AR904" s="350"/>
      <c r="AS904" s="350"/>
      <c r="AT904" s="350"/>
      <c r="AU904" s="350"/>
      <c r="AV904" s="350"/>
      <c r="AW904" s="350"/>
      <c r="AX904" s="350"/>
      <c r="AY904" s="350"/>
      <c r="AZ904" s="350"/>
      <c r="BA904" s="350"/>
      <c r="BB904" s="351"/>
    </row>
    <row r="905" spans="1:54" ht="15.75" customHeight="1">
      <c r="A905" s="25">
        <f t="shared" si="3"/>
        <v>892</v>
      </c>
      <c r="B905" s="599" t="str">
        <f>'refer admin discharge'!B901</f>
        <v>x</v>
      </c>
      <c r="C905" s="351"/>
      <c r="D905" s="600" t="str">
        <f>'refer admin discharge'!D901</f>
        <v>xx</v>
      </c>
      <c r="E905" s="351"/>
      <c r="F905" s="609" t="str">
        <f>'refer admin discharge'!H901</f>
        <v>00/00/0000</v>
      </c>
      <c r="G905" s="351"/>
      <c r="H905" s="610"/>
      <c r="I905" s="351"/>
      <c r="J905" s="611"/>
      <c r="K905" s="351"/>
      <c r="L905" s="610"/>
      <c r="M905" s="351"/>
      <c r="N905" s="612"/>
      <c r="O905" s="351"/>
      <c r="P905" s="610"/>
      <c r="Q905" s="351"/>
      <c r="R905" s="612"/>
      <c r="S905" s="351"/>
      <c r="T905" s="610"/>
      <c r="U905" s="351"/>
      <c r="V905" s="613" t="str">
        <f>'refer admin discharge'!H906</f>
        <v>00/00/0000</v>
      </c>
      <c r="W905" s="351"/>
      <c r="X905" s="607"/>
      <c r="Y905" s="351"/>
      <c r="Z905" s="614"/>
      <c r="AA905" s="351"/>
      <c r="AB905" s="607"/>
      <c r="AC905" s="351"/>
      <c r="AD905" s="606"/>
      <c r="AE905" s="351"/>
      <c r="AF905" s="607"/>
      <c r="AG905" s="351"/>
      <c r="AH905" s="606"/>
      <c r="AI905" s="351"/>
      <c r="AJ905" s="607"/>
      <c r="AK905" s="351"/>
      <c r="AL905" s="608"/>
      <c r="AM905" s="350"/>
      <c r="AN905" s="350"/>
      <c r="AO905" s="350"/>
      <c r="AP905" s="350"/>
      <c r="AQ905" s="350"/>
      <c r="AR905" s="350"/>
      <c r="AS905" s="350"/>
      <c r="AT905" s="350"/>
      <c r="AU905" s="350"/>
      <c r="AV905" s="350"/>
      <c r="AW905" s="350"/>
      <c r="AX905" s="350"/>
      <c r="AY905" s="350"/>
      <c r="AZ905" s="350"/>
      <c r="BA905" s="350"/>
      <c r="BB905" s="351"/>
    </row>
    <row r="906" spans="1:54" ht="15.75" customHeight="1">
      <c r="A906" s="25">
        <f t="shared" si="3"/>
        <v>893</v>
      </c>
      <c r="B906" s="618" t="str">
        <f>'refer admin discharge'!B902</f>
        <v>x</v>
      </c>
      <c r="C906" s="351"/>
      <c r="D906" s="619" t="str">
        <f>'refer admin discharge'!D902</f>
        <v>xx</v>
      </c>
      <c r="E906" s="351"/>
      <c r="F906" s="620" t="str">
        <f>'refer admin discharge'!H902</f>
        <v>00/00/0000</v>
      </c>
      <c r="G906" s="351"/>
      <c r="H906" s="615"/>
      <c r="I906" s="351"/>
      <c r="J906" s="621"/>
      <c r="K906" s="351"/>
      <c r="L906" s="615"/>
      <c r="M906" s="351"/>
      <c r="N906" s="610"/>
      <c r="O906" s="351"/>
      <c r="P906" s="615"/>
      <c r="Q906" s="351"/>
      <c r="R906" s="610"/>
      <c r="S906" s="351"/>
      <c r="T906" s="615"/>
      <c r="U906" s="351"/>
      <c r="V906" s="613" t="str">
        <f>'refer admin discharge'!H907</f>
        <v>00/00/0000</v>
      </c>
      <c r="W906" s="351"/>
      <c r="X906" s="616"/>
      <c r="Y906" s="351"/>
      <c r="Z906" s="617"/>
      <c r="AA906" s="351"/>
      <c r="AB906" s="616"/>
      <c r="AC906" s="351"/>
      <c r="AD906" s="607"/>
      <c r="AE906" s="351"/>
      <c r="AF906" s="616"/>
      <c r="AG906" s="351"/>
      <c r="AH906" s="607"/>
      <c r="AI906" s="351"/>
      <c r="AJ906" s="616"/>
      <c r="AK906" s="351"/>
      <c r="AL906" s="622"/>
      <c r="AM906" s="350"/>
      <c r="AN906" s="350"/>
      <c r="AO906" s="350"/>
      <c r="AP906" s="350"/>
      <c r="AQ906" s="350"/>
      <c r="AR906" s="350"/>
      <c r="AS906" s="350"/>
      <c r="AT906" s="350"/>
      <c r="AU906" s="350"/>
      <c r="AV906" s="350"/>
      <c r="AW906" s="350"/>
      <c r="AX906" s="350"/>
      <c r="AY906" s="350"/>
      <c r="AZ906" s="350"/>
      <c r="BA906" s="350"/>
      <c r="BB906" s="351"/>
    </row>
    <row r="907" spans="1:54" ht="15.75" customHeight="1">
      <c r="A907" s="25">
        <f t="shared" si="3"/>
        <v>894</v>
      </c>
      <c r="B907" s="599" t="str">
        <f>'refer admin discharge'!B903</f>
        <v>x</v>
      </c>
      <c r="C907" s="351"/>
      <c r="D907" s="600" t="str">
        <f>'refer admin discharge'!D903</f>
        <v>xx</v>
      </c>
      <c r="E907" s="351"/>
      <c r="F907" s="609" t="str">
        <f>'refer admin discharge'!H903</f>
        <v>00/00/0000</v>
      </c>
      <c r="G907" s="351"/>
      <c r="H907" s="610"/>
      <c r="I907" s="351"/>
      <c r="J907" s="611"/>
      <c r="K907" s="351"/>
      <c r="L907" s="610"/>
      <c r="M907" s="351"/>
      <c r="N907" s="612"/>
      <c r="O907" s="351"/>
      <c r="P907" s="610"/>
      <c r="Q907" s="351"/>
      <c r="R907" s="612"/>
      <c r="S907" s="351"/>
      <c r="T907" s="610"/>
      <c r="U907" s="351"/>
      <c r="V907" s="613" t="str">
        <f>'refer admin discharge'!H908</f>
        <v>00/00/0000</v>
      </c>
      <c r="W907" s="351"/>
      <c r="X907" s="607"/>
      <c r="Y907" s="351"/>
      <c r="Z907" s="614"/>
      <c r="AA907" s="351"/>
      <c r="AB907" s="607"/>
      <c r="AC907" s="351"/>
      <c r="AD907" s="606"/>
      <c r="AE907" s="351"/>
      <c r="AF907" s="607"/>
      <c r="AG907" s="351"/>
      <c r="AH907" s="606"/>
      <c r="AI907" s="351"/>
      <c r="AJ907" s="607"/>
      <c r="AK907" s="351"/>
      <c r="AL907" s="608"/>
      <c r="AM907" s="350"/>
      <c r="AN907" s="350"/>
      <c r="AO907" s="350"/>
      <c r="AP907" s="350"/>
      <c r="AQ907" s="350"/>
      <c r="AR907" s="350"/>
      <c r="AS907" s="350"/>
      <c r="AT907" s="350"/>
      <c r="AU907" s="350"/>
      <c r="AV907" s="350"/>
      <c r="AW907" s="350"/>
      <c r="AX907" s="350"/>
      <c r="AY907" s="350"/>
      <c r="AZ907" s="350"/>
      <c r="BA907" s="350"/>
      <c r="BB907" s="351"/>
    </row>
    <row r="908" spans="1:54" ht="15.75" customHeight="1">
      <c r="A908" s="25">
        <f t="shared" si="3"/>
        <v>895</v>
      </c>
      <c r="B908" s="618" t="str">
        <f>'refer admin discharge'!B904</f>
        <v>x</v>
      </c>
      <c r="C908" s="351"/>
      <c r="D908" s="619" t="str">
        <f>'refer admin discharge'!D904</f>
        <v>xx</v>
      </c>
      <c r="E908" s="351"/>
      <c r="F908" s="620" t="str">
        <f>'refer admin discharge'!H904</f>
        <v>00/00/0000</v>
      </c>
      <c r="G908" s="351"/>
      <c r="H908" s="615"/>
      <c r="I908" s="351"/>
      <c r="J908" s="621"/>
      <c r="K908" s="351"/>
      <c r="L908" s="615"/>
      <c r="M908" s="351"/>
      <c r="N908" s="610"/>
      <c r="O908" s="351"/>
      <c r="P908" s="615"/>
      <c r="Q908" s="351"/>
      <c r="R908" s="610"/>
      <c r="S908" s="351"/>
      <c r="T908" s="615"/>
      <c r="U908" s="351"/>
      <c r="V908" s="613" t="str">
        <f>'refer admin discharge'!H909</f>
        <v>00/00/0000</v>
      </c>
      <c r="W908" s="351"/>
      <c r="X908" s="616"/>
      <c r="Y908" s="351"/>
      <c r="Z908" s="617"/>
      <c r="AA908" s="351"/>
      <c r="AB908" s="616"/>
      <c r="AC908" s="351"/>
      <c r="AD908" s="607"/>
      <c r="AE908" s="351"/>
      <c r="AF908" s="616"/>
      <c r="AG908" s="351"/>
      <c r="AH908" s="607"/>
      <c r="AI908" s="351"/>
      <c r="AJ908" s="616"/>
      <c r="AK908" s="351"/>
      <c r="AL908" s="622"/>
      <c r="AM908" s="350"/>
      <c r="AN908" s="350"/>
      <c r="AO908" s="350"/>
      <c r="AP908" s="350"/>
      <c r="AQ908" s="350"/>
      <c r="AR908" s="350"/>
      <c r="AS908" s="350"/>
      <c r="AT908" s="350"/>
      <c r="AU908" s="350"/>
      <c r="AV908" s="350"/>
      <c r="AW908" s="350"/>
      <c r="AX908" s="350"/>
      <c r="AY908" s="350"/>
      <c r="AZ908" s="350"/>
      <c r="BA908" s="350"/>
      <c r="BB908" s="351"/>
    </row>
    <row r="909" spans="1:54" ht="15.75" customHeight="1">
      <c r="A909" s="25">
        <f t="shared" si="3"/>
        <v>896</v>
      </c>
      <c r="B909" s="599" t="str">
        <f>'refer admin discharge'!B905</f>
        <v>x</v>
      </c>
      <c r="C909" s="351"/>
      <c r="D909" s="600" t="str">
        <f>'refer admin discharge'!D905</f>
        <v>xx</v>
      </c>
      <c r="E909" s="351"/>
      <c r="F909" s="609" t="str">
        <f>'refer admin discharge'!H905</f>
        <v>00/00/0000</v>
      </c>
      <c r="G909" s="351"/>
      <c r="H909" s="610"/>
      <c r="I909" s="351"/>
      <c r="J909" s="611"/>
      <c r="K909" s="351"/>
      <c r="L909" s="610"/>
      <c r="M909" s="351"/>
      <c r="N909" s="612"/>
      <c r="O909" s="351"/>
      <c r="P909" s="610"/>
      <c r="Q909" s="351"/>
      <c r="R909" s="612"/>
      <c r="S909" s="351"/>
      <c r="T909" s="610"/>
      <c r="U909" s="351"/>
      <c r="V909" s="613" t="str">
        <f>'refer admin discharge'!H910</f>
        <v>00/00/0000</v>
      </c>
      <c r="W909" s="351"/>
      <c r="X909" s="607"/>
      <c r="Y909" s="351"/>
      <c r="Z909" s="614"/>
      <c r="AA909" s="351"/>
      <c r="AB909" s="607"/>
      <c r="AC909" s="351"/>
      <c r="AD909" s="606"/>
      <c r="AE909" s="351"/>
      <c r="AF909" s="607"/>
      <c r="AG909" s="351"/>
      <c r="AH909" s="606"/>
      <c r="AI909" s="351"/>
      <c r="AJ909" s="607"/>
      <c r="AK909" s="351"/>
      <c r="AL909" s="608"/>
      <c r="AM909" s="350"/>
      <c r="AN909" s="350"/>
      <c r="AO909" s="350"/>
      <c r="AP909" s="350"/>
      <c r="AQ909" s="350"/>
      <c r="AR909" s="350"/>
      <c r="AS909" s="350"/>
      <c r="AT909" s="350"/>
      <c r="AU909" s="350"/>
      <c r="AV909" s="350"/>
      <c r="AW909" s="350"/>
      <c r="AX909" s="350"/>
      <c r="AY909" s="350"/>
      <c r="AZ909" s="350"/>
      <c r="BA909" s="350"/>
      <c r="BB909" s="351"/>
    </row>
    <row r="910" spans="1:54" ht="15.75" customHeight="1">
      <c r="A910" s="25">
        <f t="shared" si="3"/>
        <v>897</v>
      </c>
      <c r="B910" s="618" t="str">
        <f>'refer admin discharge'!B906</f>
        <v>x</v>
      </c>
      <c r="C910" s="351"/>
      <c r="D910" s="619" t="str">
        <f>'refer admin discharge'!D906</f>
        <v>xx</v>
      </c>
      <c r="E910" s="351"/>
      <c r="F910" s="620" t="str">
        <f>'refer admin discharge'!H906</f>
        <v>00/00/0000</v>
      </c>
      <c r="G910" s="351"/>
      <c r="H910" s="615"/>
      <c r="I910" s="351"/>
      <c r="J910" s="621"/>
      <c r="K910" s="351"/>
      <c r="L910" s="615"/>
      <c r="M910" s="351"/>
      <c r="N910" s="610"/>
      <c r="O910" s="351"/>
      <c r="P910" s="615"/>
      <c r="Q910" s="351"/>
      <c r="R910" s="610"/>
      <c r="S910" s="351"/>
      <c r="T910" s="615"/>
      <c r="U910" s="351"/>
      <c r="V910" s="613" t="str">
        <f>'refer admin discharge'!H911</f>
        <v>00/00/0000</v>
      </c>
      <c r="W910" s="351"/>
      <c r="X910" s="616"/>
      <c r="Y910" s="351"/>
      <c r="Z910" s="617"/>
      <c r="AA910" s="351"/>
      <c r="AB910" s="616"/>
      <c r="AC910" s="351"/>
      <c r="AD910" s="607"/>
      <c r="AE910" s="351"/>
      <c r="AF910" s="616"/>
      <c r="AG910" s="351"/>
      <c r="AH910" s="607"/>
      <c r="AI910" s="351"/>
      <c r="AJ910" s="616"/>
      <c r="AK910" s="351"/>
      <c r="AL910" s="622"/>
      <c r="AM910" s="350"/>
      <c r="AN910" s="350"/>
      <c r="AO910" s="350"/>
      <c r="AP910" s="350"/>
      <c r="AQ910" s="350"/>
      <c r="AR910" s="350"/>
      <c r="AS910" s="350"/>
      <c r="AT910" s="350"/>
      <c r="AU910" s="350"/>
      <c r="AV910" s="350"/>
      <c r="AW910" s="350"/>
      <c r="AX910" s="350"/>
      <c r="AY910" s="350"/>
      <c r="AZ910" s="350"/>
      <c r="BA910" s="350"/>
      <c r="BB910" s="351"/>
    </row>
    <row r="911" spans="1:54" ht="15.75" customHeight="1">
      <c r="A911" s="25">
        <f t="shared" si="3"/>
        <v>898</v>
      </c>
      <c r="B911" s="599" t="str">
        <f>'refer admin discharge'!B907</f>
        <v>x</v>
      </c>
      <c r="C911" s="351"/>
      <c r="D911" s="600" t="str">
        <f>'refer admin discharge'!D907</f>
        <v>xx</v>
      </c>
      <c r="E911" s="351"/>
      <c r="F911" s="609" t="str">
        <f>'refer admin discharge'!H907</f>
        <v>00/00/0000</v>
      </c>
      <c r="G911" s="351"/>
      <c r="H911" s="610"/>
      <c r="I911" s="351"/>
      <c r="J911" s="611"/>
      <c r="K911" s="351"/>
      <c r="L911" s="610"/>
      <c r="M911" s="351"/>
      <c r="N911" s="612"/>
      <c r="O911" s="351"/>
      <c r="P911" s="610"/>
      <c r="Q911" s="351"/>
      <c r="R911" s="612"/>
      <c r="S911" s="351"/>
      <c r="T911" s="610"/>
      <c r="U911" s="351"/>
      <c r="V911" s="613" t="str">
        <f>'refer admin discharge'!H912</f>
        <v>00/00/0000</v>
      </c>
      <c r="W911" s="351"/>
      <c r="X911" s="607"/>
      <c r="Y911" s="351"/>
      <c r="Z911" s="614"/>
      <c r="AA911" s="351"/>
      <c r="AB911" s="607"/>
      <c r="AC911" s="351"/>
      <c r="AD911" s="606"/>
      <c r="AE911" s="351"/>
      <c r="AF911" s="607"/>
      <c r="AG911" s="351"/>
      <c r="AH911" s="606"/>
      <c r="AI911" s="351"/>
      <c r="AJ911" s="607"/>
      <c r="AK911" s="351"/>
      <c r="AL911" s="608"/>
      <c r="AM911" s="350"/>
      <c r="AN911" s="350"/>
      <c r="AO911" s="350"/>
      <c r="AP911" s="350"/>
      <c r="AQ911" s="350"/>
      <c r="AR911" s="350"/>
      <c r="AS911" s="350"/>
      <c r="AT911" s="350"/>
      <c r="AU911" s="350"/>
      <c r="AV911" s="350"/>
      <c r="AW911" s="350"/>
      <c r="AX911" s="350"/>
      <c r="AY911" s="350"/>
      <c r="AZ911" s="350"/>
      <c r="BA911" s="350"/>
      <c r="BB911" s="351"/>
    </row>
    <row r="912" spans="1:54" ht="15.75" customHeight="1">
      <c r="A912" s="25">
        <f t="shared" si="3"/>
        <v>899</v>
      </c>
      <c r="B912" s="618" t="str">
        <f>'refer admin discharge'!B908</f>
        <v>x</v>
      </c>
      <c r="C912" s="351"/>
      <c r="D912" s="619" t="str">
        <f>'refer admin discharge'!D908</f>
        <v>xx</v>
      </c>
      <c r="E912" s="351"/>
      <c r="F912" s="620" t="str">
        <f>'refer admin discharge'!H908</f>
        <v>00/00/0000</v>
      </c>
      <c r="G912" s="351"/>
      <c r="H912" s="615"/>
      <c r="I912" s="351"/>
      <c r="J912" s="621"/>
      <c r="K912" s="351"/>
      <c r="L912" s="615"/>
      <c r="M912" s="351"/>
      <c r="N912" s="610"/>
      <c r="O912" s="351"/>
      <c r="P912" s="615"/>
      <c r="Q912" s="351"/>
      <c r="R912" s="610"/>
      <c r="S912" s="351"/>
      <c r="T912" s="615"/>
      <c r="U912" s="351"/>
      <c r="V912" s="613" t="str">
        <f>'refer admin discharge'!H913</f>
        <v>00/00/0000</v>
      </c>
      <c r="W912" s="351"/>
      <c r="X912" s="616"/>
      <c r="Y912" s="351"/>
      <c r="Z912" s="617"/>
      <c r="AA912" s="351"/>
      <c r="AB912" s="616"/>
      <c r="AC912" s="351"/>
      <c r="AD912" s="607"/>
      <c r="AE912" s="351"/>
      <c r="AF912" s="616"/>
      <c r="AG912" s="351"/>
      <c r="AH912" s="607"/>
      <c r="AI912" s="351"/>
      <c r="AJ912" s="616"/>
      <c r="AK912" s="351"/>
      <c r="AL912" s="622"/>
      <c r="AM912" s="350"/>
      <c r="AN912" s="350"/>
      <c r="AO912" s="350"/>
      <c r="AP912" s="350"/>
      <c r="AQ912" s="350"/>
      <c r="AR912" s="350"/>
      <c r="AS912" s="350"/>
      <c r="AT912" s="350"/>
      <c r="AU912" s="350"/>
      <c r="AV912" s="350"/>
      <c r="AW912" s="350"/>
      <c r="AX912" s="350"/>
      <c r="AY912" s="350"/>
      <c r="AZ912" s="350"/>
      <c r="BA912" s="350"/>
      <c r="BB912" s="351"/>
    </row>
    <row r="913" spans="1:54" ht="15.75" customHeight="1">
      <c r="A913" s="25">
        <f t="shared" si="3"/>
        <v>900</v>
      </c>
      <c r="B913" s="599" t="str">
        <f>'refer admin discharge'!B909</f>
        <v>x</v>
      </c>
      <c r="C913" s="351"/>
      <c r="D913" s="600" t="str">
        <f>'refer admin discharge'!D909</f>
        <v>xx</v>
      </c>
      <c r="E913" s="351"/>
      <c r="F913" s="609" t="str">
        <f>'refer admin discharge'!H909</f>
        <v>00/00/0000</v>
      </c>
      <c r="G913" s="351"/>
      <c r="H913" s="610"/>
      <c r="I913" s="351"/>
      <c r="J913" s="611"/>
      <c r="K913" s="351"/>
      <c r="L913" s="610"/>
      <c r="M913" s="351"/>
      <c r="N913" s="612"/>
      <c r="O913" s="351"/>
      <c r="P913" s="610"/>
      <c r="Q913" s="351"/>
      <c r="R913" s="612"/>
      <c r="S913" s="351"/>
      <c r="T913" s="610"/>
      <c r="U913" s="351"/>
      <c r="V913" s="613" t="str">
        <f>'refer admin discharge'!H914</f>
        <v>00/00/0000</v>
      </c>
      <c r="W913" s="351"/>
      <c r="X913" s="607"/>
      <c r="Y913" s="351"/>
      <c r="Z913" s="614"/>
      <c r="AA913" s="351"/>
      <c r="AB913" s="607"/>
      <c r="AC913" s="351"/>
      <c r="AD913" s="606"/>
      <c r="AE913" s="351"/>
      <c r="AF913" s="607"/>
      <c r="AG913" s="351"/>
      <c r="AH913" s="606"/>
      <c r="AI913" s="351"/>
      <c r="AJ913" s="607"/>
      <c r="AK913" s="351"/>
      <c r="AL913" s="608"/>
      <c r="AM913" s="350"/>
      <c r="AN913" s="350"/>
      <c r="AO913" s="350"/>
      <c r="AP913" s="350"/>
      <c r="AQ913" s="350"/>
      <c r="AR913" s="350"/>
      <c r="AS913" s="350"/>
      <c r="AT913" s="350"/>
      <c r="AU913" s="350"/>
      <c r="AV913" s="350"/>
      <c r="AW913" s="350"/>
      <c r="AX913" s="350"/>
      <c r="AY913" s="350"/>
      <c r="AZ913" s="350"/>
      <c r="BA913" s="350"/>
      <c r="BB913" s="351"/>
    </row>
    <row r="914" spans="1:54" ht="15.75" customHeight="1">
      <c r="A914" s="25">
        <f t="shared" si="3"/>
        <v>901</v>
      </c>
      <c r="B914" s="618" t="str">
        <f>'refer admin discharge'!B910</f>
        <v>x</v>
      </c>
      <c r="C914" s="351"/>
      <c r="D914" s="619" t="str">
        <f>'refer admin discharge'!D910</f>
        <v>xx</v>
      </c>
      <c r="E914" s="351"/>
      <c r="F914" s="620" t="str">
        <f>'refer admin discharge'!H910</f>
        <v>00/00/0000</v>
      </c>
      <c r="G914" s="351"/>
      <c r="H914" s="615"/>
      <c r="I914" s="351"/>
      <c r="J914" s="621"/>
      <c r="K914" s="351"/>
      <c r="L914" s="615"/>
      <c r="M914" s="351"/>
      <c r="N914" s="610"/>
      <c r="O914" s="351"/>
      <c r="P914" s="615"/>
      <c r="Q914" s="351"/>
      <c r="R914" s="610"/>
      <c r="S914" s="351"/>
      <c r="T914" s="615"/>
      <c r="U914" s="351"/>
      <c r="V914" s="613" t="str">
        <f>'refer admin discharge'!H915</f>
        <v>00/00/0000</v>
      </c>
      <c r="W914" s="351"/>
      <c r="X914" s="616"/>
      <c r="Y914" s="351"/>
      <c r="Z914" s="617"/>
      <c r="AA914" s="351"/>
      <c r="AB914" s="616"/>
      <c r="AC914" s="351"/>
      <c r="AD914" s="607"/>
      <c r="AE914" s="351"/>
      <c r="AF914" s="616"/>
      <c r="AG914" s="351"/>
      <c r="AH914" s="607"/>
      <c r="AI914" s="351"/>
      <c r="AJ914" s="616"/>
      <c r="AK914" s="351"/>
      <c r="AL914" s="622"/>
      <c r="AM914" s="350"/>
      <c r="AN914" s="350"/>
      <c r="AO914" s="350"/>
      <c r="AP914" s="350"/>
      <c r="AQ914" s="350"/>
      <c r="AR914" s="350"/>
      <c r="AS914" s="350"/>
      <c r="AT914" s="350"/>
      <c r="AU914" s="350"/>
      <c r="AV914" s="350"/>
      <c r="AW914" s="350"/>
      <c r="AX914" s="350"/>
      <c r="AY914" s="350"/>
      <c r="AZ914" s="350"/>
      <c r="BA914" s="350"/>
      <c r="BB914" s="351"/>
    </row>
    <row r="915" spans="1:54" ht="15.75" customHeight="1">
      <c r="A915" s="25">
        <f t="shared" si="3"/>
        <v>902</v>
      </c>
      <c r="B915" s="599" t="str">
        <f>'refer admin discharge'!B911</f>
        <v>x</v>
      </c>
      <c r="C915" s="351"/>
      <c r="D915" s="600" t="str">
        <f>'refer admin discharge'!D911</f>
        <v>xx</v>
      </c>
      <c r="E915" s="351"/>
      <c r="F915" s="609" t="str">
        <f>'refer admin discharge'!H911</f>
        <v>00/00/0000</v>
      </c>
      <c r="G915" s="351"/>
      <c r="H915" s="610"/>
      <c r="I915" s="351"/>
      <c r="J915" s="611"/>
      <c r="K915" s="351"/>
      <c r="L915" s="610"/>
      <c r="M915" s="351"/>
      <c r="N915" s="612"/>
      <c r="O915" s="351"/>
      <c r="P915" s="610"/>
      <c r="Q915" s="351"/>
      <c r="R915" s="612"/>
      <c r="S915" s="351"/>
      <c r="T915" s="610"/>
      <c r="U915" s="351"/>
      <c r="V915" s="613" t="str">
        <f>'refer admin discharge'!H916</f>
        <v>00/00/0000</v>
      </c>
      <c r="W915" s="351"/>
      <c r="X915" s="607"/>
      <c r="Y915" s="351"/>
      <c r="Z915" s="614"/>
      <c r="AA915" s="351"/>
      <c r="AB915" s="607"/>
      <c r="AC915" s="351"/>
      <c r="AD915" s="606"/>
      <c r="AE915" s="351"/>
      <c r="AF915" s="607"/>
      <c r="AG915" s="351"/>
      <c r="AH915" s="606"/>
      <c r="AI915" s="351"/>
      <c r="AJ915" s="607"/>
      <c r="AK915" s="351"/>
      <c r="AL915" s="608"/>
      <c r="AM915" s="350"/>
      <c r="AN915" s="350"/>
      <c r="AO915" s="350"/>
      <c r="AP915" s="350"/>
      <c r="AQ915" s="350"/>
      <c r="AR915" s="350"/>
      <c r="AS915" s="350"/>
      <c r="AT915" s="350"/>
      <c r="AU915" s="350"/>
      <c r="AV915" s="350"/>
      <c r="AW915" s="350"/>
      <c r="AX915" s="350"/>
      <c r="AY915" s="350"/>
      <c r="AZ915" s="350"/>
      <c r="BA915" s="350"/>
      <c r="BB915" s="351"/>
    </row>
    <row r="916" spans="1:54" ht="15.75" customHeight="1">
      <c r="A916" s="25">
        <f t="shared" si="3"/>
        <v>903</v>
      </c>
      <c r="B916" s="618" t="str">
        <f>'refer admin discharge'!B912</f>
        <v>x</v>
      </c>
      <c r="C916" s="351"/>
      <c r="D916" s="619" t="str">
        <f>'refer admin discharge'!D912</f>
        <v>xx</v>
      </c>
      <c r="E916" s="351"/>
      <c r="F916" s="620" t="str">
        <f>'refer admin discharge'!H912</f>
        <v>00/00/0000</v>
      </c>
      <c r="G916" s="351"/>
      <c r="H916" s="615"/>
      <c r="I916" s="351"/>
      <c r="J916" s="621"/>
      <c r="K916" s="351"/>
      <c r="L916" s="615"/>
      <c r="M916" s="351"/>
      <c r="N916" s="610"/>
      <c r="O916" s="351"/>
      <c r="P916" s="615"/>
      <c r="Q916" s="351"/>
      <c r="R916" s="610"/>
      <c r="S916" s="351"/>
      <c r="T916" s="615"/>
      <c r="U916" s="351"/>
      <c r="V916" s="613" t="str">
        <f>'refer admin discharge'!H917</f>
        <v>00/00/0000</v>
      </c>
      <c r="W916" s="351"/>
      <c r="X916" s="616"/>
      <c r="Y916" s="351"/>
      <c r="Z916" s="617"/>
      <c r="AA916" s="351"/>
      <c r="AB916" s="616"/>
      <c r="AC916" s="351"/>
      <c r="AD916" s="607"/>
      <c r="AE916" s="351"/>
      <c r="AF916" s="616"/>
      <c r="AG916" s="351"/>
      <c r="AH916" s="607"/>
      <c r="AI916" s="351"/>
      <c r="AJ916" s="616"/>
      <c r="AK916" s="351"/>
      <c r="AL916" s="622"/>
      <c r="AM916" s="350"/>
      <c r="AN916" s="350"/>
      <c r="AO916" s="350"/>
      <c r="AP916" s="350"/>
      <c r="AQ916" s="350"/>
      <c r="AR916" s="350"/>
      <c r="AS916" s="350"/>
      <c r="AT916" s="350"/>
      <c r="AU916" s="350"/>
      <c r="AV916" s="350"/>
      <c r="AW916" s="350"/>
      <c r="AX916" s="350"/>
      <c r="AY916" s="350"/>
      <c r="AZ916" s="350"/>
      <c r="BA916" s="350"/>
      <c r="BB916" s="351"/>
    </row>
    <row r="917" spans="1:54" ht="15.75" customHeight="1">
      <c r="A917" s="25">
        <f t="shared" si="3"/>
        <v>904</v>
      </c>
      <c r="B917" s="599" t="str">
        <f>'refer admin discharge'!B913</f>
        <v>x</v>
      </c>
      <c r="C917" s="351"/>
      <c r="D917" s="600" t="str">
        <f>'refer admin discharge'!D913</f>
        <v>xx</v>
      </c>
      <c r="E917" s="351"/>
      <c r="F917" s="609" t="str">
        <f>'refer admin discharge'!H913</f>
        <v>00/00/0000</v>
      </c>
      <c r="G917" s="351"/>
      <c r="H917" s="610"/>
      <c r="I917" s="351"/>
      <c r="J917" s="611"/>
      <c r="K917" s="351"/>
      <c r="L917" s="610"/>
      <c r="M917" s="351"/>
      <c r="N917" s="612"/>
      <c r="O917" s="351"/>
      <c r="P917" s="610"/>
      <c r="Q917" s="351"/>
      <c r="R917" s="612"/>
      <c r="S917" s="351"/>
      <c r="T917" s="610"/>
      <c r="U917" s="351"/>
      <c r="V917" s="613" t="str">
        <f>'refer admin discharge'!H918</f>
        <v>00/00/0000</v>
      </c>
      <c r="W917" s="351"/>
      <c r="X917" s="607"/>
      <c r="Y917" s="351"/>
      <c r="Z917" s="614"/>
      <c r="AA917" s="351"/>
      <c r="AB917" s="607"/>
      <c r="AC917" s="351"/>
      <c r="AD917" s="606"/>
      <c r="AE917" s="351"/>
      <c r="AF917" s="607"/>
      <c r="AG917" s="351"/>
      <c r="AH917" s="606"/>
      <c r="AI917" s="351"/>
      <c r="AJ917" s="607"/>
      <c r="AK917" s="351"/>
      <c r="AL917" s="608"/>
      <c r="AM917" s="350"/>
      <c r="AN917" s="350"/>
      <c r="AO917" s="350"/>
      <c r="AP917" s="350"/>
      <c r="AQ917" s="350"/>
      <c r="AR917" s="350"/>
      <c r="AS917" s="350"/>
      <c r="AT917" s="350"/>
      <c r="AU917" s="350"/>
      <c r="AV917" s="350"/>
      <c r="AW917" s="350"/>
      <c r="AX917" s="350"/>
      <c r="AY917" s="350"/>
      <c r="AZ917" s="350"/>
      <c r="BA917" s="350"/>
      <c r="BB917" s="351"/>
    </row>
    <row r="918" spans="1:54" ht="15.75" customHeight="1">
      <c r="A918" s="25">
        <f t="shared" si="3"/>
        <v>905</v>
      </c>
      <c r="B918" s="618" t="str">
        <f>'refer admin discharge'!B914</f>
        <v>x</v>
      </c>
      <c r="C918" s="351"/>
      <c r="D918" s="619" t="str">
        <f>'refer admin discharge'!D914</f>
        <v>xx</v>
      </c>
      <c r="E918" s="351"/>
      <c r="F918" s="620" t="str">
        <f>'refer admin discharge'!H914</f>
        <v>00/00/0000</v>
      </c>
      <c r="G918" s="351"/>
      <c r="H918" s="615"/>
      <c r="I918" s="351"/>
      <c r="J918" s="621"/>
      <c r="K918" s="351"/>
      <c r="L918" s="615"/>
      <c r="M918" s="351"/>
      <c r="N918" s="610"/>
      <c r="O918" s="351"/>
      <c r="P918" s="615"/>
      <c r="Q918" s="351"/>
      <c r="R918" s="610"/>
      <c r="S918" s="351"/>
      <c r="T918" s="615"/>
      <c r="U918" s="351"/>
      <c r="V918" s="613" t="str">
        <f>'refer admin discharge'!H919</f>
        <v>00/00/0000</v>
      </c>
      <c r="W918" s="351"/>
      <c r="X918" s="616"/>
      <c r="Y918" s="351"/>
      <c r="Z918" s="617"/>
      <c r="AA918" s="351"/>
      <c r="AB918" s="616"/>
      <c r="AC918" s="351"/>
      <c r="AD918" s="607"/>
      <c r="AE918" s="351"/>
      <c r="AF918" s="616"/>
      <c r="AG918" s="351"/>
      <c r="AH918" s="607"/>
      <c r="AI918" s="351"/>
      <c r="AJ918" s="616"/>
      <c r="AK918" s="351"/>
      <c r="AL918" s="622"/>
      <c r="AM918" s="350"/>
      <c r="AN918" s="350"/>
      <c r="AO918" s="350"/>
      <c r="AP918" s="350"/>
      <c r="AQ918" s="350"/>
      <c r="AR918" s="350"/>
      <c r="AS918" s="350"/>
      <c r="AT918" s="350"/>
      <c r="AU918" s="350"/>
      <c r="AV918" s="350"/>
      <c r="AW918" s="350"/>
      <c r="AX918" s="350"/>
      <c r="AY918" s="350"/>
      <c r="AZ918" s="350"/>
      <c r="BA918" s="350"/>
      <c r="BB918" s="351"/>
    </row>
    <row r="919" spans="1:54" ht="15.75" customHeight="1">
      <c r="A919" s="25">
        <f t="shared" si="3"/>
        <v>906</v>
      </c>
      <c r="B919" s="599" t="str">
        <f>'refer admin discharge'!B915</f>
        <v>x</v>
      </c>
      <c r="C919" s="351"/>
      <c r="D919" s="600" t="str">
        <f>'refer admin discharge'!D915</f>
        <v>xx</v>
      </c>
      <c r="E919" s="351"/>
      <c r="F919" s="609" t="str">
        <f>'refer admin discharge'!H915</f>
        <v>00/00/0000</v>
      </c>
      <c r="G919" s="351"/>
      <c r="H919" s="610"/>
      <c r="I919" s="351"/>
      <c r="J919" s="611"/>
      <c r="K919" s="351"/>
      <c r="L919" s="610"/>
      <c r="M919" s="351"/>
      <c r="N919" s="612"/>
      <c r="O919" s="351"/>
      <c r="P919" s="610"/>
      <c r="Q919" s="351"/>
      <c r="R919" s="612"/>
      <c r="S919" s="351"/>
      <c r="T919" s="610"/>
      <c r="U919" s="351"/>
      <c r="V919" s="613" t="str">
        <f>'refer admin discharge'!H920</f>
        <v>00/00/0000</v>
      </c>
      <c r="W919" s="351"/>
      <c r="X919" s="607"/>
      <c r="Y919" s="351"/>
      <c r="Z919" s="614"/>
      <c r="AA919" s="351"/>
      <c r="AB919" s="607"/>
      <c r="AC919" s="351"/>
      <c r="AD919" s="606"/>
      <c r="AE919" s="351"/>
      <c r="AF919" s="607"/>
      <c r="AG919" s="351"/>
      <c r="AH919" s="606"/>
      <c r="AI919" s="351"/>
      <c r="AJ919" s="607"/>
      <c r="AK919" s="351"/>
      <c r="AL919" s="608"/>
      <c r="AM919" s="350"/>
      <c r="AN919" s="350"/>
      <c r="AO919" s="350"/>
      <c r="AP919" s="350"/>
      <c r="AQ919" s="350"/>
      <c r="AR919" s="350"/>
      <c r="AS919" s="350"/>
      <c r="AT919" s="350"/>
      <c r="AU919" s="350"/>
      <c r="AV919" s="350"/>
      <c r="AW919" s="350"/>
      <c r="AX919" s="350"/>
      <c r="AY919" s="350"/>
      <c r="AZ919" s="350"/>
      <c r="BA919" s="350"/>
      <c r="BB919" s="351"/>
    </row>
    <row r="920" spans="1:54" ht="15.75" customHeight="1">
      <c r="A920" s="25">
        <f t="shared" si="3"/>
        <v>907</v>
      </c>
      <c r="B920" s="618" t="str">
        <f>'refer admin discharge'!B916</f>
        <v>x</v>
      </c>
      <c r="C920" s="351"/>
      <c r="D920" s="619" t="str">
        <f>'refer admin discharge'!D916</f>
        <v>xx</v>
      </c>
      <c r="E920" s="351"/>
      <c r="F920" s="620" t="str">
        <f>'refer admin discharge'!H916</f>
        <v>00/00/0000</v>
      </c>
      <c r="G920" s="351"/>
      <c r="H920" s="615"/>
      <c r="I920" s="351"/>
      <c r="J920" s="621"/>
      <c r="K920" s="351"/>
      <c r="L920" s="615"/>
      <c r="M920" s="351"/>
      <c r="N920" s="610"/>
      <c r="O920" s="351"/>
      <c r="P920" s="615"/>
      <c r="Q920" s="351"/>
      <c r="R920" s="610"/>
      <c r="S920" s="351"/>
      <c r="T920" s="615"/>
      <c r="U920" s="351"/>
      <c r="V920" s="613" t="str">
        <f>'refer admin discharge'!H921</f>
        <v>00/00/0000</v>
      </c>
      <c r="W920" s="351"/>
      <c r="X920" s="616"/>
      <c r="Y920" s="351"/>
      <c r="Z920" s="617"/>
      <c r="AA920" s="351"/>
      <c r="AB920" s="616"/>
      <c r="AC920" s="351"/>
      <c r="AD920" s="607"/>
      <c r="AE920" s="351"/>
      <c r="AF920" s="616"/>
      <c r="AG920" s="351"/>
      <c r="AH920" s="607"/>
      <c r="AI920" s="351"/>
      <c r="AJ920" s="616"/>
      <c r="AK920" s="351"/>
      <c r="AL920" s="622"/>
      <c r="AM920" s="350"/>
      <c r="AN920" s="350"/>
      <c r="AO920" s="350"/>
      <c r="AP920" s="350"/>
      <c r="AQ920" s="350"/>
      <c r="AR920" s="350"/>
      <c r="AS920" s="350"/>
      <c r="AT920" s="350"/>
      <c r="AU920" s="350"/>
      <c r="AV920" s="350"/>
      <c r="AW920" s="350"/>
      <c r="AX920" s="350"/>
      <c r="AY920" s="350"/>
      <c r="AZ920" s="350"/>
      <c r="BA920" s="350"/>
      <c r="BB920" s="351"/>
    </row>
    <row r="921" spans="1:54" ht="15.75" customHeight="1">
      <c r="A921" s="25">
        <f t="shared" si="3"/>
        <v>908</v>
      </c>
      <c r="B921" s="599" t="str">
        <f>'refer admin discharge'!B917</f>
        <v>x</v>
      </c>
      <c r="C921" s="351"/>
      <c r="D921" s="600" t="str">
        <f>'refer admin discharge'!D917</f>
        <v>xx</v>
      </c>
      <c r="E921" s="351"/>
      <c r="F921" s="609" t="str">
        <f>'refer admin discharge'!H917</f>
        <v>00/00/0000</v>
      </c>
      <c r="G921" s="351"/>
      <c r="H921" s="610"/>
      <c r="I921" s="351"/>
      <c r="J921" s="611"/>
      <c r="K921" s="351"/>
      <c r="L921" s="610"/>
      <c r="M921" s="351"/>
      <c r="N921" s="612"/>
      <c r="O921" s="351"/>
      <c r="P921" s="610"/>
      <c r="Q921" s="351"/>
      <c r="R921" s="612"/>
      <c r="S921" s="351"/>
      <c r="T921" s="610"/>
      <c r="U921" s="351"/>
      <c r="V921" s="613" t="str">
        <f>'refer admin discharge'!H922</f>
        <v>00/00/0000</v>
      </c>
      <c r="W921" s="351"/>
      <c r="X921" s="607"/>
      <c r="Y921" s="351"/>
      <c r="Z921" s="614"/>
      <c r="AA921" s="351"/>
      <c r="AB921" s="607"/>
      <c r="AC921" s="351"/>
      <c r="AD921" s="606"/>
      <c r="AE921" s="351"/>
      <c r="AF921" s="607"/>
      <c r="AG921" s="351"/>
      <c r="AH921" s="606"/>
      <c r="AI921" s="351"/>
      <c r="AJ921" s="607"/>
      <c r="AK921" s="351"/>
      <c r="AL921" s="608"/>
      <c r="AM921" s="350"/>
      <c r="AN921" s="350"/>
      <c r="AO921" s="350"/>
      <c r="AP921" s="350"/>
      <c r="AQ921" s="350"/>
      <c r="AR921" s="350"/>
      <c r="AS921" s="350"/>
      <c r="AT921" s="350"/>
      <c r="AU921" s="350"/>
      <c r="AV921" s="350"/>
      <c r="AW921" s="350"/>
      <c r="AX921" s="350"/>
      <c r="AY921" s="350"/>
      <c r="AZ921" s="350"/>
      <c r="BA921" s="350"/>
      <c r="BB921" s="351"/>
    </row>
    <row r="922" spans="1:54" ht="15.75" customHeight="1">
      <c r="A922" s="25">
        <f t="shared" si="3"/>
        <v>909</v>
      </c>
      <c r="B922" s="618" t="str">
        <f>'refer admin discharge'!B918</f>
        <v>x</v>
      </c>
      <c r="C922" s="351"/>
      <c r="D922" s="619" t="str">
        <f>'refer admin discharge'!D918</f>
        <v>xx</v>
      </c>
      <c r="E922" s="351"/>
      <c r="F922" s="620" t="str">
        <f>'refer admin discharge'!H918</f>
        <v>00/00/0000</v>
      </c>
      <c r="G922" s="351"/>
      <c r="H922" s="615"/>
      <c r="I922" s="351"/>
      <c r="J922" s="621"/>
      <c r="K922" s="351"/>
      <c r="L922" s="615"/>
      <c r="M922" s="351"/>
      <c r="N922" s="610"/>
      <c r="O922" s="351"/>
      <c r="P922" s="615"/>
      <c r="Q922" s="351"/>
      <c r="R922" s="610"/>
      <c r="S922" s="351"/>
      <c r="T922" s="615"/>
      <c r="U922" s="351"/>
      <c r="V922" s="613" t="str">
        <f>'refer admin discharge'!H923</f>
        <v>00/00/0000</v>
      </c>
      <c r="W922" s="351"/>
      <c r="X922" s="616"/>
      <c r="Y922" s="351"/>
      <c r="Z922" s="617"/>
      <c r="AA922" s="351"/>
      <c r="AB922" s="616"/>
      <c r="AC922" s="351"/>
      <c r="AD922" s="607"/>
      <c r="AE922" s="351"/>
      <c r="AF922" s="616"/>
      <c r="AG922" s="351"/>
      <c r="AH922" s="607"/>
      <c r="AI922" s="351"/>
      <c r="AJ922" s="616"/>
      <c r="AK922" s="351"/>
      <c r="AL922" s="622"/>
      <c r="AM922" s="350"/>
      <c r="AN922" s="350"/>
      <c r="AO922" s="350"/>
      <c r="AP922" s="350"/>
      <c r="AQ922" s="350"/>
      <c r="AR922" s="350"/>
      <c r="AS922" s="350"/>
      <c r="AT922" s="350"/>
      <c r="AU922" s="350"/>
      <c r="AV922" s="350"/>
      <c r="AW922" s="350"/>
      <c r="AX922" s="350"/>
      <c r="AY922" s="350"/>
      <c r="AZ922" s="350"/>
      <c r="BA922" s="350"/>
      <c r="BB922" s="351"/>
    </row>
    <row r="923" spans="1:54" ht="15.75" customHeight="1">
      <c r="A923" s="25">
        <f t="shared" si="3"/>
        <v>910</v>
      </c>
      <c r="B923" s="599" t="str">
        <f>'refer admin discharge'!B919</f>
        <v>x</v>
      </c>
      <c r="C923" s="351"/>
      <c r="D923" s="600" t="str">
        <f>'refer admin discharge'!D919</f>
        <v>xx</v>
      </c>
      <c r="E923" s="351"/>
      <c r="F923" s="609" t="str">
        <f>'refer admin discharge'!H919</f>
        <v>00/00/0000</v>
      </c>
      <c r="G923" s="351"/>
      <c r="H923" s="610"/>
      <c r="I923" s="351"/>
      <c r="J923" s="611"/>
      <c r="K923" s="351"/>
      <c r="L923" s="610"/>
      <c r="M923" s="351"/>
      <c r="N923" s="612"/>
      <c r="O923" s="351"/>
      <c r="P923" s="610"/>
      <c r="Q923" s="351"/>
      <c r="R923" s="612"/>
      <c r="S923" s="351"/>
      <c r="T923" s="610"/>
      <c r="U923" s="351"/>
      <c r="V923" s="613" t="str">
        <f>'refer admin discharge'!H924</f>
        <v>00/00/0000</v>
      </c>
      <c r="W923" s="351"/>
      <c r="X923" s="607"/>
      <c r="Y923" s="351"/>
      <c r="Z923" s="614"/>
      <c r="AA923" s="351"/>
      <c r="AB923" s="607"/>
      <c r="AC923" s="351"/>
      <c r="AD923" s="606"/>
      <c r="AE923" s="351"/>
      <c r="AF923" s="607"/>
      <c r="AG923" s="351"/>
      <c r="AH923" s="606"/>
      <c r="AI923" s="351"/>
      <c r="AJ923" s="607"/>
      <c r="AK923" s="351"/>
      <c r="AL923" s="608"/>
      <c r="AM923" s="350"/>
      <c r="AN923" s="350"/>
      <c r="AO923" s="350"/>
      <c r="AP923" s="350"/>
      <c r="AQ923" s="350"/>
      <c r="AR923" s="350"/>
      <c r="AS923" s="350"/>
      <c r="AT923" s="350"/>
      <c r="AU923" s="350"/>
      <c r="AV923" s="350"/>
      <c r="AW923" s="350"/>
      <c r="AX923" s="350"/>
      <c r="AY923" s="350"/>
      <c r="AZ923" s="350"/>
      <c r="BA923" s="350"/>
      <c r="BB923" s="351"/>
    </row>
    <row r="924" spans="1:54" ht="15.75" customHeight="1">
      <c r="A924" s="25">
        <f t="shared" si="3"/>
        <v>911</v>
      </c>
      <c r="B924" s="618" t="str">
        <f>'refer admin discharge'!B920</f>
        <v>x</v>
      </c>
      <c r="C924" s="351"/>
      <c r="D924" s="619" t="str">
        <f>'refer admin discharge'!D920</f>
        <v>xx</v>
      </c>
      <c r="E924" s="351"/>
      <c r="F924" s="620" t="str">
        <f>'refer admin discharge'!H920</f>
        <v>00/00/0000</v>
      </c>
      <c r="G924" s="351"/>
      <c r="H924" s="615"/>
      <c r="I924" s="351"/>
      <c r="J924" s="621"/>
      <c r="K924" s="351"/>
      <c r="L924" s="615"/>
      <c r="M924" s="351"/>
      <c r="N924" s="610"/>
      <c r="O924" s="351"/>
      <c r="P924" s="615"/>
      <c r="Q924" s="351"/>
      <c r="R924" s="610"/>
      <c r="S924" s="351"/>
      <c r="T924" s="615"/>
      <c r="U924" s="351"/>
      <c r="V924" s="613" t="str">
        <f>'refer admin discharge'!H925</f>
        <v>00/00/0000</v>
      </c>
      <c r="W924" s="351"/>
      <c r="X924" s="616"/>
      <c r="Y924" s="351"/>
      <c r="Z924" s="617"/>
      <c r="AA924" s="351"/>
      <c r="AB924" s="616"/>
      <c r="AC924" s="351"/>
      <c r="AD924" s="607"/>
      <c r="AE924" s="351"/>
      <c r="AF924" s="616"/>
      <c r="AG924" s="351"/>
      <c r="AH924" s="607"/>
      <c r="AI924" s="351"/>
      <c r="AJ924" s="616"/>
      <c r="AK924" s="351"/>
      <c r="AL924" s="622"/>
      <c r="AM924" s="350"/>
      <c r="AN924" s="350"/>
      <c r="AO924" s="350"/>
      <c r="AP924" s="350"/>
      <c r="AQ924" s="350"/>
      <c r="AR924" s="350"/>
      <c r="AS924" s="350"/>
      <c r="AT924" s="350"/>
      <c r="AU924" s="350"/>
      <c r="AV924" s="350"/>
      <c r="AW924" s="350"/>
      <c r="AX924" s="350"/>
      <c r="AY924" s="350"/>
      <c r="AZ924" s="350"/>
      <c r="BA924" s="350"/>
      <c r="BB924" s="351"/>
    </row>
    <row r="925" spans="1:54" ht="15.75" customHeight="1">
      <c r="A925" s="25">
        <f t="shared" si="3"/>
        <v>912</v>
      </c>
      <c r="B925" s="599" t="str">
        <f>'refer admin discharge'!B921</f>
        <v>x</v>
      </c>
      <c r="C925" s="351"/>
      <c r="D925" s="600" t="str">
        <f>'refer admin discharge'!D921</f>
        <v>xx</v>
      </c>
      <c r="E925" s="351"/>
      <c r="F925" s="609" t="str">
        <f>'refer admin discharge'!H921</f>
        <v>00/00/0000</v>
      </c>
      <c r="G925" s="351"/>
      <c r="H925" s="610"/>
      <c r="I925" s="351"/>
      <c r="J925" s="611"/>
      <c r="K925" s="351"/>
      <c r="L925" s="610"/>
      <c r="M925" s="351"/>
      <c r="N925" s="612"/>
      <c r="O925" s="351"/>
      <c r="P925" s="610"/>
      <c r="Q925" s="351"/>
      <c r="R925" s="612"/>
      <c r="S925" s="351"/>
      <c r="T925" s="610"/>
      <c r="U925" s="351"/>
      <c r="V925" s="613" t="str">
        <f>'refer admin discharge'!H926</f>
        <v>00/00/0000</v>
      </c>
      <c r="W925" s="351"/>
      <c r="X925" s="607"/>
      <c r="Y925" s="351"/>
      <c r="Z925" s="614"/>
      <c r="AA925" s="351"/>
      <c r="AB925" s="607"/>
      <c r="AC925" s="351"/>
      <c r="AD925" s="606"/>
      <c r="AE925" s="351"/>
      <c r="AF925" s="607"/>
      <c r="AG925" s="351"/>
      <c r="AH925" s="606"/>
      <c r="AI925" s="351"/>
      <c r="AJ925" s="607"/>
      <c r="AK925" s="351"/>
      <c r="AL925" s="608"/>
      <c r="AM925" s="350"/>
      <c r="AN925" s="350"/>
      <c r="AO925" s="350"/>
      <c r="AP925" s="350"/>
      <c r="AQ925" s="350"/>
      <c r="AR925" s="350"/>
      <c r="AS925" s="350"/>
      <c r="AT925" s="350"/>
      <c r="AU925" s="350"/>
      <c r="AV925" s="350"/>
      <c r="AW925" s="350"/>
      <c r="AX925" s="350"/>
      <c r="AY925" s="350"/>
      <c r="AZ925" s="350"/>
      <c r="BA925" s="350"/>
      <c r="BB925" s="351"/>
    </row>
    <row r="926" spans="1:54" ht="15.75" customHeight="1">
      <c r="A926" s="25">
        <f t="shared" si="3"/>
        <v>913</v>
      </c>
      <c r="B926" s="618" t="str">
        <f>'refer admin discharge'!B922</f>
        <v>x</v>
      </c>
      <c r="C926" s="351"/>
      <c r="D926" s="619" t="str">
        <f>'refer admin discharge'!D922</f>
        <v>xx</v>
      </c>
      <c r="E926" s="351"/>
      <c r="F926" s="620" t="str">
        <f>'refer admin discharge'!H922</f>
        <v>00/00/0000</v>
      </c>
      <c r="G926" s="351"/>
      <c r="H926" s="615"/>
      <c r="I926" s="351"/>
      <c r="J926" s="621"/>
      <c r="K926" s="351"/>
      <c r="L926" s="615"/>
      <c r="M926" s="351"/>
      <c r="N926" s="610"/>
      <c r="O926" s="351"/>
      <c r="P926" s="615"/>
      <c r="Q926" s="351"/>
      <c r="R926" s="610"/>
      <c r="S926" s="351"/>
      <c r="T926" s="615"/>
      <c r="U926" s="351"/>
      <c r="V926" s="613" t="str">
        <f>'refer admin discharge'!H927</f>
        <v>00/00/0000</v>
      </c>
      <c r="W926" s="351"/>
      <c r="X926" s="616"/>
      <c r="Y926" s="351"/>
      <c r="Z926" s="617"/>
      <c r="AA926" s="351"/>
      <c r="AB926" s="616"/>
      <c r="AC926" s="351"/>
      <c r="AD926" s="607"/>
      <c r="AE926" s="351"/>
      <c r="AF926" s="616"/>
      <c r="AG926" s="351"/>
      <c r="AH926" s="607"/>
      <c r="AI926" s="351"/>
      <c r="AJ926" s="616"/>
      <c r="AK926" s="351"/>
      <c r="AL926" s="622"/>
      <c r="AM926" s="350"/>
      <c r="AN926" s="350"/>
      <c r="AO926" s="350"/>
      <c r="AP926" s="350"/>
      <c r="AQ926" s="350"/>
      <c r="AR926" s="350"/>
      <c r="AS926" s="350"/>
      <c r="AT926" s="350"/>
      <c r="AU926" s="350"/>
      <c r="AV926" s="350"/>
      <c r="AW926" s="350"/>
      <c r="AX926" s="350"/>
      <c r="AY926" s="350"/>
      <c r="AZ926" s="350"/>
      <c r="BA926" s="350"/>
      <c r="BB926" s="351"/>
    </row>
    <row r="927" spans="1:54" ht="15.75" customHeight="1">
      <c r="A927" s="25">
        <f t="shared" si="3"/>
        <v>914</v>
      </c>
      <c r="B927" s="599" t="str">
        <f>'refer admin discharge'!B923</f>
        <v>x</v>
      </c>
      <c r="C927" s="351"/>
      <c r="D927" s="600" t="str">
        <f>'refer admin discharge'!D923</f>
        <v>xx</v>
      </c>
      <c r="E927" s="351"/>
      <c r="F927" s="609" t="str">
        <f>'refer admin discharge'!H923</f>
        <v>00/00/0000</v>
      </c>
      <c r="G927" s="351"/>
      <c r="H927" s="610"/>
      <c r="I927" s="351"/>
      <c r="J927" s="611"/>
      <c r="K927" s="351"/>
      <c r="L927" s="610"/>
      <c r="M927" s="351"/>
      <c r="N927" s="612"/>
      <c r="O927" s="351"/>
      <c r="P927" s="610"/>
      <c r="Q927" s="351"/>
      <c r="R927" s="612"/>
      <c r="S927" s="351"/>
      <c r="T927" s="610"/>
      <c r="U927" s="351"/>
      <c r="V927" s="613" t="str">
        <f>'refer admin discharge'!H928</f>
        <v>00/00/0000</v>
      </c>
      <c r="W927" s="351"/>
      <c r="X927" s="607"/>
      <c r="Y927" s="351"/>
      <c r="Z927" s="614"/>
      <c r="AA927" s="351"/>
      <c r="AB927" s="607"/>
      <c r="AC927" s="351"/>
      <c r="AD927" s="606"/>
      <c r="AE927" s="351"/>
      <c r="AF927" s="607"/>
      <c r="AG927" s="351"/>
      <c r="AH927" s="606"/>
      <c r="AI927" s="351"/>
      <c r="AJ927" s="607"/>
      <c r="AK927" s="351"/>
      <c r="AL927" s="608"/>
      <c r="AM927" s="350"/>
      <c r="AN927" s="350"/>
      <c r="AO927" s="350"/>
      <c r="AP927" s="350"/>
      <c r="AQ927" s="350"/>
      <c r="AR927" s="350"/>
      <c r="AS927" s="350"/>
      <c r="AT927" s="350"/>
      <c r="AU927" s="350"/>
      <c r="AV927" s="350"/>
      <c r="AW927" s="350"/>
      <c r="AX927" s="350"/>
      <c r="AY927" s="350"/>
      <c r="AZ927" s="350"/>
      <c r="BA927" s="350"/>
      <c r="BB927" s="351"/>
    </row>
    <row r="928" spans="1:54" ht="15.75" customHeight="1">
      <c r="A928" s="25">
        <f t="shared" si="3"/>
        <v>915</v>
      </c>
      <c r="B928" s="618" t="str">
        <f>'refer admin discharge'!B924</f>
        <v>x</v>
      </c>
      <c r="C928" s="351"/>
      <c r="D928" s="619" t="str">
        <f>'refer admin discharge'!D924</f>
        <v>xx</v>
      </c>
      <c r="E928" s="351"/>
      <c r="F928" s="620" t="str">
        <f>'refer admin discharge'!H924</f>
        <v>00/00/0000</v>
      </c>
      <c r="G928" s="351"/>
      <c r="H928" s="615"/>
      <c r="I928" s="351"/>
      <c r="J928" s="621"/>
      <c r="K928" s="351"/>
      <c r="L928" s="615"/>
      <c r="M928" s="351"/>
      <c r="N928" s="610"/>
      <c r="O928" s="351"/>
      <c r="P928" s="615"/>
      <c r="Q928" s="351"/>
      <c r="R928" s="610"/>
      <c r="S928" s="351"/>
      <c r="T928" s="615"/>
      <c r="U928" s="351"/>
      <c r="V928" s="613" t="str">
        <f>'refer admin discharge'!H929</f>
        <v>00/00/0000</v>
      </c>
      <c r="W928" s="351"/>
      <c r="X928" s="616"/>
      <c r="Y928" s="351"/>
      <c r="Z928" s="617"/>
      <c r="AA928" s="351"/>
      <c r="AB928" s="616"/>
      <c r="AC928" s="351"/>
      <c r="AD928" s="607"/>
      <c r="AE928" s="351"/>
      <c r="AF928" s="616"/>
      <c r="AG928" s="351"/>
      <c r="AH928" s="607"/>
      <c r="AI928" s="351"/>
      <c r="AJ928" s="616"/>
      <c r="AK928" s="351"/>
      <c r="AL928" s="622"/>
      <c r="AM928" s="350"/>
      <c r="AN928" s="350"/>
      <c r="AO928" s="350"/>
      <c r="AP928" s="350"/>
      <c r="AQ928" s="350"/>
      <c r="AR928" s="350"/>
      <c r="AS928" s="350"/>
      <c r="AT928" s="350"/>
      <c r="AU928" s="350"/>
      <c r="AV928" s="350"/>
      <c r="AW928" s="350"/>
      <c r="AX928" s="350"/>
      <c r="AY928" s="350"/>
      <c r="AZ928" s="350"/>
      <c r="BA928" s="350"/>
      <c r="BB928" s="351"/>
    </row>
    <row r="929" spans="1:54" ht="15.75" customHeight="1">
      <c r="A929" s="25">
        <f t="shared" si="3"/>
        <v>916</v>
      </c>
      <c r="B929" s="599" t="str">
        <f>'refer admin discharge'!B925</f>
        <v>x</v>
      </c>
      <c r="C929" s="351"/>
      <c r="D929" s="600" t="str">
        <f>'refer admin discharge'!D925</f>
        <v>xx</v>
      </c>
      <c r="E929" s="351"/>
      <c r="F929" s="609" t="str">
        <f>'refer admin discharge'!H925</f>
        <v>00/00/0000</v>
      </c>
      <c r="G929" s="351"/>
      <c r="H929" s="610"/>
      <c r="I929" s="351"/>
      <c r="J929" s="611"/>
      <c r="K929" s="351"/>
      <c r="L929" s="610"/>
      <c r="M929" s="351"/>
      <c r="N929" s="612"/>
      <c r="O929" s="351"/>
      <c r="P929" s="610"/>
      <c r="Q929" s="351"/>
      <c r="R929" s="612"/>
      <c r="S929" s="351"/>
      <c r="T929" s="610"/>
      <c r="U929" s="351"/>
      <c r="V929" s="613" t="str">
        <f>'refer admin discharge'!H930</f>
        <v>00/00/0000</v>
      </c>
      <c r="W929" s="351"/>
      <c r="X929" s="607"/>
      <c r="Y929" s="351"/>
      <c r="Z929" s="614"/>
      <c r="AA929" s="351"/>
      <c r="AB929" s="607"/>
      <c r="AC929" s="351"/>
      <c r="AD929" s="606"/>
      <c r="AE929" s="351"/>
      <c r="AF929" s="607"/>
      <c r="AG929" s="351"/>
      <c r="AH929" s="606"/>
      <c r="AI929" s="351"/>
      <c r="AJ929" s="607"/>
      <c r="AK929" s="351"/>
      <c r="AL929" s="608"/>
      <c r="AM929" s="350"/>
      <c r="AN929" s="350"/>
      <c r="AO929" s="350"/>
      <c r="AP929" s="350"/>
      <c r="AQ929" s="350"/>
      <c r="AR929" s="350"/>
      <c r="AS929" s="350"/>
      <c r="AT929" s="350"/>
      <c r="AU929" s="350"/>
      <c r="AV929" s="350"/>
      <c r="AW929" s="350"/>
      <c r="AX929" s="350"/>
      <c r="AY929" s="350"/>
      <c r="AZ929" s="350"/>
      <c r="BA929" s="350"/>
      <c r="BB929" s="351"/>
    </row>
    <row r="930" spans="1:54" ht="15.75" customHeight="1">
      <c r="A930" s="25">
        <f t="shared" si="3"/>
        <v>917</v>
      </c>
      <c r="B930" s="618" t="str">
        <f>'refer admin discharge'!B926</f>
        <v>x</v>
      </c>
      <c r="C930" s="351"/>
      <c r="D930" s="619" t="str">
        <f>'refer admin discharge'!D926</f>
        <v>xx</v>
      </c>
      <c r="E930" s="351"/>
      <c r="F930" s="620" t="str">
        <f>'refer admin discharge'!H926</f>
        <v>00/00/0000</v>
      </c>
      <c r="G930" s="351"/>
      <c r="H930" s="615"/>
      <c r="I930" s="351"/>
      <c r="J930" s="621"/>
      <c r="K930" s="351"/>
      <c r="L930" s="615"/>
      <c r="M930" s="351"/>
      <c r="N930" s="610"/>
      <c r="O930" s="351"/>
      <c r="P930" s="615"/>
      <c r="Q930" s="351"/>
      <c r="R930" s="610"/>
      <c r="S930" s="351"/>
      <c r="T930" s="615"/>
      <c r="U930" s="351"/>
      <c r="V930" s="613" t="str">
        <f>'refer admin discharge'!H931</f>
        <v>00/00/0000</v>
      </c>
      <c r="W930" s="351"/>
      <c r="X930" s="616"/>
      <c r="Y930" s="351"/>
      <c r="Z930" s="617"/>
      <c r="AA930" s="351"/>
      <c r="AB930" s="616"/>
      <c r="AC930" s="351"/>
      <c r="AD930" s="607"/>
      <c r="AE930" s="351"/>
      <c r="AF930" s="616"/>
      <c r="AG930" s="351"/>
      <c r="AH930" s="607"/>
      <c r="AI930" s="351"/>
      <c r="AJ930" s="616"/>
      <c r="AK930" s="351"/>
      <c r="AL930" s="622"/>
      <c r="AM930" s="350"/>
      <c r="AN930" s="350"/>
      <c r="AO930" s="350"/>
      <c r="AP930" s="350"/>
      <c r="AQ930" s="350"/>
      <c r="AR930" s="350"/>
      <c r="AS930" s="350"/>
      <c r="AT930" s="350"/>
      <c r="AU930" s="350"/>
      <c r="AV930" s="350"/>
      <c r="AW930" s="350"/>
      <c r="AX930" s="350"/>
      <c r="AY930" s="350"/>
      <c r="AZ930" s="350"/>
      <c r="BA930" s="350"/>
      <c r="BB930" s="351"/>
    </row>
    <row r="931" spans="1:54" ht="15.75" customHeight="1">
      <c r="A931" s="25">
        <f t="shared" si="3"/>
        <v>918</v>
      </c>
      <c r="B931" s="599" t="str">
        <f>'refer admin discharge'!B927</f>
        <v>x</v>
      </c>
      <c r="C931" s="351"/>
      <c r="D931" s="600" t="str">
        <f>'refer admin discharge'!D927</f>
        <v>xx</v>
      </c>
      <c r="E931" s="351"/>
      <c r="F931" s="609" t="str">
        <f>'refer admin discharge'!H927</f>
        <v>00/00/0000</v>
      </c>
      <c r="G931" s="351"/>
      <c r="H931" s="610"/>
      <c r="I931" s="351"/>
      <c r="J931" s="611"/>
      <c r="K931" s="351"/>
      <c r="L931" s="610"/>
      <c r="M931" s="351"/>
      <c r="N931" s="612"/>
      <c r="O931" s="351"/>
      <c r="P931" s="610"/>
      <c r="Q931" s="351"/>
      <c r="R931" s="612"/>
      <c r="S931" s="351"/>
      <c r="T931" s="610"/>
      <c r="U931" s="351"/>
      <c r="V931" s="613" t="str">
        <f>'refer admin discharge'!H932</f>
        <v>00/00/0000</v>
      </c>
      <c r="W931" s="351"/>
      <c r="X931" s="607"/>
      <c r="Y931" s="351"/>
      <c r="Z931" s="614"/>
      <c r="AA931" s="351"/>
      <c r="AB931" s="607"/>
      <c r="AC931" s="351"/>
      <c r="AD931" s="606"/>
      <c r="AE931" s="351"/>
      <c r="AF931" s="607"/>
      <c r="AG931" s="351"/>
      <c r="AH931" s="606"/>
      <c r="AI931" s="351"/>
      <c r="AJ931" s="607"/>
      <c r="AK931" s="351"/>
      <c r="AL931" s="608"/>
      <c r="AM931" s="350"/>
      <c r="AN931" s="350"/>
      <c r="AO931" s="350"/>
      <c r="AP931" s="350"/>
      <c r="AQ931" s="350"/>
      <c r="AR931" s="350"/>
      <c r="AS931" s="350"/>
      <c r="AT931" s="350"/>
      <c r="AU931" s="350"/>
      <c r="AV931" s="350"/>
      <c r="AW931" s="350"/>
      <c r="AX931" s="350"/>
      <c r="AY931" s="350"/>
      <c r="AZ931" s="350"/>
      <c r="BA931" s="350"/>
      <c r="BB931" s="351"/>
    </row>
    <row r="932" spans="1:54" ht="15.75" customHeight="1">
      <c r="A932" s="25">
        <f t="shared" si="3"/>
        <v>919</v>
      </c>
      <c r="B932" s="618" t="str">
        <f>'refer admin discharge'!B928</f>
        <v>x</v>
      </c>
      <c r="C932" s="351"/>
      <c r="D932" s="619" t="str">
        <f>'refer admin discharge'!D928</f>
        <v>xx</v>
      </c>
      <c r="E932" s="351"/>
      <c r="F932" s="620" t="str">
        <f>'refer admin discharge'!H928</f>
        <v>00/00/0000</v>
      </c>
      <c r="G932" s="351"/>
      <c r="H932" s="615"/>
      <c r="I932" s="351"/>
      <c r="J932" s="621"/>
      <c r="K932" s="351"/>
      <c r="L932" s="615"/>
      <c r="M932" s="351"/>
      <c r="N932" s="610"/>
      <c r="O932" s="351"/>
      <c r="P932" s="615"/>
      <c r="Q932" s="351"/>
      <c r="R932" s="610"/>
      <c r="S932" s="351"/>
      <c r="T932" s="615"/>
      <c r="U932" s="351"/>
      <c r="V932" s="613" t="str">
        <f>'refer admin discharge'!H933</f>
        <v>00/00/0000</v>
      </c>
      <c r="W932" s="351"/>
      <c r="X932" s="616"/>
      <c r="Y932" s="351"/>
      <c r="Z932" s="617"/>
      <c r="AA932" s="351"/>
      <c r="AB932" s="616"/>
      <c r="AC932" s="351"/>
      <c r="AD932" s="607"/>
      <c r="AE932" s="351"/>
      <c r="AF932" s="616"/>
      <c r="AG932" s="351"/>
      <c r="AH932" s="607"/>
      <c r="AI932" s="351"/>
      <c r="AJ932" s="616"/>
      <c r="AK932" s="351"/>
      <c r="AL932" s="622"/>
      <c r="AM932" s="350"/>
      <c r="AN932" s="350"/>
      <c r="AO932" s="350"/>
      <c r="AP932" s="350"/>
      <c r="AQ932" s="350"/>
      <c r="AR932" s="350"/>
      <c r="AS932" s="350"/>
      <c r="AT932" s="350"/>
      <c r="AU932" s="350"/>
      <c r="AV932" s="350"/>
      <c r="AW932" s="350"/>
      <c r="AX932" s="350"/>
      <c r="AY932" s="350"/>
      <c r="AZ932" s="350"/>
      <c r="BA932" s="350"/>
      <c r="BB932" s="351"/>
    </row>
    <row r="933" spans="1:54" ht="15.75" customHeight="1">
      <c r="A933" s="25">
        <f t="shared" si="3"/>
        <v>920</v>
      </c>
      <c r="B933" s="599" t="str">
        <f>'refer admin discharge'!B929</f>
        <v>x</v>
      </c>
      <c r="C933" s="351"/>
      <c r="D933" s="600" t="str">
        <f>'refer admin discharge'!D929</f>
        <v>xx</v>
      </c>
      <c r="E933" s="351"/>
      <c r="F933" s="609" t="str">
        <f>'refer admin discharge'!H929</f>
        <v>00/00/0000</v>
      </c>
      <c r="G933" s="351"/>
      <c r="H933" s="610"/>
      <c r="I933" s="351"/>
      <c r="J933" s="611"/>
      <c r="K933" s="351"/>
      <c r="L933" s="610"/>
      <c r="M933" s="351"/>
      <c r="N933" s="612"/>
      <c r="O933" s="351"/>
      <c r="P933" s="610"/>
      <c r="Q933" s="351"/>
      <c r="R933" s="612"/>
      <c r="S933" s="351"/>
      <c r="T933" s="610"/>
      <c r="U933" s="351"/>
      <c r="V933" s="613" t="str">
        <f>'refer admin discharge'!H934</f>
        <v>00/00/0000</v>
      </c>
      <c r="W933" s="351"/>
      <c r="X933" s="607"/>
      <c r="Y933" s="351"/>
      <c r="Z933" s="614"/>
      <c r="AA933" s="351"/>
      <c r="AB933" s="607"/>
      <c r="AC933" s="351"/>
      <c r="AD933" s="606"/>
      <c r="AE933" s="351"/>
      <c r="AF933" s="607"/>
      <c r="AG933" s="351"/>
      <c r="AH933" s="606"/>
      <c r="AI933" s="351"/>
      <c r="AJ933" s="607"/>
      <c r="AK933" s="351"/>
      <c r="AL933" s="608"/>
      <c r="AM933" s="350"/>
      <c r="AN933" s="350"/>
      <c r="AO933" s="350"/>
      <c r="AP933" s="350"/>
      <c r="AQ933" s="350"/>
      <c r="AR933" s="350"/>
      <c r="AS933" s="350"/>
      <c r="AT933" s="350"/>
      <c r="AU933" s="350"/>
      <c r="AV933" s="350"/>
      <c r="AW933" s="350"/>
      <c r="AX933" s="350"/>
      <c r="AY933" s="350"/>
      <c r="AZ933" s="350"/>
      <c r="BA933" s="350"/>
      <c r="BB933" s="351"/>
    </row>
    <row r="934" spans="1:54" ht="15.75" customHeight="1">
      <c r="A934" s="25">
        <f t="shared" si="3"/>
        <v>921</v>
      </c>
      <c r="B934" s="618" t="str">
        <f>'refer admin discharge'!B930</f>
        <v>x</v>
      </c>
      <c r="C934" s="351"/>
      <c r="D934" s="619" t="str">
        <f>'refer admin discharge'!D930</f>
        <v>xx</v>
      </c>
      <c r="E934" s="351"/>
      <c r="F934" s="620" t="str">
        <f>'refer admin discharge'!H930</f>
        <v>00/00/0000</v>
      </c>
      <c r="G934" s="351"/>
      <c r="H934" s="615"/>
      <c r="I934" s="351"/>
      <c r="J934" s="621"/>
      <c r="K934" s="351"/>
      <c r="L934" s="615"/>
      <c r="M934" s="351"/>
      <c r="N934" s="610"/>
      <c r="O934" s="351"/>
      <c r="P934" s="615"/>
      <c r="Q934" s="351"/>
      <c r="R934" s="610"/>
      <c r="S934" s="351"/>
      <c r="T934" s="615"/>
      <c r="U934" s="351"/>
      <c r="V934" s="613" t="str">
        <f>'refer admin discharge'!H935</f>
        <v>00/00/0000</v>
      </c>
      <c r="W934" s="351"/>
      <c r="X934" s="616"/>
      <c r="Y934" s="351"/>
      <c r="Z934" s="617"/>
      <c r="AA934" s="351"/>
      <c r="AB934" s="616"/>
      <c r="AC934" s="351"/>
      <c r="AD934" s="607"/>
      <c r="AE934" s="351"/>
      <c r="AF934" s="616"/>
      <c r="AG934" s="351"/>
      <c r="AH934" s="607"/>
      <c r="AI934" s="351"/>
      <c r="AJ934" s="616"/>
      <c r="AK934" s="351"/>
      <c r="AL934" s="622"/>
      <c r="AM934" s="350"/>
      <c r="AN934" s="350"/>
      <c r="AO934" s="350"/>
      <c r="AP934" s="350"/>
      <c r="AQ934" s="350"/>
      <c r="AR934" s="350"/>
      <c r="AS934" s="350"/>
      <c r="AT934" s="350"/>
      <c r="AU934" s="350"/>
      <c r="AV934" s="350"/>
      <c r="AW934" s="350"/>
      <c r="AX934" s="350"/>
      <c r="AY934" s="350"/>
      <c r="AZ934" s="350"/>
      <c r="BA934" s="350"/>
      <c r="BB934" s="351"/>
    </row>
    <row r="935" spans="1:54" ht="15.75" customHeight="1">
      <c r="A935" s="25">
        <f t="shared" si="3"/>
        <v>922</v>
      </c>
      <c r="B935" s="599" t="str">
        <f>'refer admin discharge'!B931</f>
        <v>x</v>
      </c>
      <c r="C935" s="351"/>
      <c r="D935" s="600" t="str">
        <f>'refer admin discharge'!D931</f>
        <v>xx</v>
      </c>
      <c r="E935" s="351"/>
      <c r="F935" s="609" t="str">
        <f>'refer admin discharge'!H931</f>
        <v>00/00/0000</v>
      </c>
      <c r="G935" s="351"/>
      <c r="H935" s="610"/>
      <c r="I935" s="351"/>
      <c r="J935" s="611"/>
      <c r="K935" s="351"/>
      <c r="L935" s="610"/>
      <c r="M935" s="351"/>
      <c r="N935" s="612"/>
      <c r="O935" s="351"/>
      <c r="P935" s="610"/>
      <c r="Q935" s="351"/>
      <c r="R935" s="612"/>
      <c r="S935" s="351"/>
      <c r="T935" s="610"/>
      <c r="U935" s="351"/>
      <c r="V935" s="613" t="str">
        <f>'refer admin discharge'!H936</f>
        <v>00/00/0000</v>
      </c>
      <c r="W935" s="351"/>
      <c r="X935" s="607"/>
      <c r="Y935" s="351"/>
      <c r="Z935" s="614"/>
      <c r="AA935" s="351"/>
      <c r="AB935" s="607"/>
      <c r="AC935" s="351"/>
      <c r="AD935" s="606"/>
      <c r="AE935" s="351"/>
      <c r="AF935" s="607"/>
      <c r="AG935" s="351"/>
      <c r="AH935" s="606"/>
      <c r="AI935" s="351"/>
      <c r="AJ935" s="607"/>
      <c r="AK935" s="351"/>
      <c r="AL935" s="608"/>
      <c r="AM935" s="350"/>
      <c r="AN935" s="350"/>
      <c r="AO935" s="350"/>
      <c r="AP935" s="350"/>
      <c r="AQ935" s="350"/>
      <c r="AR935" s="350"/>
      <c r="AS935" s="350"/>
      <c r="AT935" s="350"/>
      <c r="AU935" s="350"/>
      <c r="AV935" s="350"/>
      <c r="AW935" s="350"/>
      <c r="AX935" s="350"/>
      <c r="AY935" s="350"/>
      <c r="AZ935" s="350"/>
      <c r="BA935" s="350"/>
      <c r="BB935" s="351"/>
    </row>
    <row r="936" spans="1:54" ht="15.75" customHeight="1">
      <c r="A936" s="25">
        <f t="shared" si="3"/>
        <v>923</v>
      </c>
      <c r="B936" s="618" t="str">
        <f>'refer admin discharge'!B932</f>
        <v>x</v>
      </c>
      <c r="C936" s="351"/>
      <c r="D936" s="619" t="str">
        <f>'refer admin discharge'!D932</f>
        <v>xx</v>
      </c>
      <c r="E936" s="351"/>
      <c r="F936" s="620" t="str">
        <f>'refer admin discharge'!H932</f>
        <v>00/00/0000</v>
      </c>
      <c r="G936" s="351"/>
      <c r="H936" s="615"/>
      <c r="I936" s="351"/>
      <c r="J936" s="621"/>
      <c r="K936" s="351"/>
      <c r="L936" s="615"/>
      <c r="M936" s="351"/>
      <c r="N936" s="610"/>
      <c r="O936" s="351"/>
      <c r="P936" s="615"/>
      <c r="Q936" s="351"/>
      <c r="R936" s="610"/>
      <c r="S936" s="351"/>
      <c r="T936" s="615"/>
      <c r="U936" s="351"/>
      <c r="V936" s="613" t="str">
        <f>'refer admin discharge'!H937</f>
        <v>00/00/0000</v>
      </c>
      <c r="W936" s="351"/>
      <c r="X936" s="616"/>
      <c r="Y936" s="351"/>
      <c r="Z936" s="617"/>
      <c r="AA936" s="351"/>
      <c r="AB936" s="616"/>
      <c r="AC936" s="351"/>
      <c r="AD936" s="607"/>
      <c r="AE936" s="351"/>
      <c r="AF936" s="616"/>
      <c r="AG936" s="351"/>
      <c r="AH936" s="607"/>
      <c r="AI936" s="351"/>
      <c r="AJ936" s="616"/>
      <c r="AK936" s="351"/>
      <c r="AL936" s="622"/>
      <c r="AM936" s="350"/>
      <c r="AN936" s="350"/>
      <c r="AO936" s="350"/>
      <c r="AP936" s="350"/>
      <c r="AQ936" s="350"/>
      <c r="AR936" s="350"/>
      <c r="AS936" s="350"/>
      <c r="AT936" s="350"/>
      <c r="AU936" s="350"/>
      <c r="AV936" s="350"/>
      <c r="AW936" s="350"/>
      <c r="AX936" s="350"/>
      <c r="AY936" s="350"/>
      <c r="AZ936" s="350"/>
      <c r="BA936" s="350"/>
      <c r="BB936" s="351"/>
    </row>
    <row r="937" spans="1:54" ht="15.75" customHeight="1">
      <c r="A937" s="25">
        <f t="shared" si="3"/>
        <v>924</v>
      </c>
      <c r="B937" s="599" t="str">
        <f>'refer admin discharge'!B933</f>
        <v>x</v>
      </c>
      <c r="C937" s="351"/>
      <c r="D937" s="600" t="str">
        <f>'refer admin discharge'!D933</f>
        <v>xx</v>
      </c>
      <c r="E937" s="351"/>
      <c r="F937" s="609" t="str">
        <f>'refer admin discharge'!H933</f>
        <v>00/00/0000</v>
      </c>
      <c r="G937" s="351"/>
      <c r="H937" s="610"/>
      <c r="I937" s="351"/>
      <c r="J937" s="611"/>
      <c r="K937" s="351"/>
      <c r="L937" s="610"/>
      <c r="M937" s="351"/>
      <c r="N937" s="612"/>
      <c r="O937" s="351"/>
      <c r="P937" s="610"/>
      <c r="Q937" s="351"/>
      <c r="R937" s="612"/>
      <c r="S937" s="351"/>
      <c r="T937" s="610"/>
      <c r="U937" s="351"/>
      <c r="V937" s="613" t="str">
        <f>'refer admin discharge'!H938</f>
        <v>00/00/0000</v>
      </c>
      <c r="W937" s="351"/>
      <c r="X937" s="607"/>
      <c r="Y937" s="351"/>
      <c r="Z937" s="614"/>
      <c r="AA937" s="351"/>
      <c r="AB937" s="607"/>
      <c r="AC937" s="351"/>
      <c r="AD937" s="606"/>
      <c r="AE937" s="351"/>
      <c r="AF937" s="607"/>
      <c r="AG937" s="351"/>
      <c r="AH937" s="606"/>
      <c r="AI937" s="351"/>
      <c r="AJ937" s="607"/>
      <c r="AK937" s="351"/>
      <c r="AL937" s="608"/>
      <c r="AM937" s="350"/>
      <c r="AN937" s="350"/>
      <c r="AO937" s="350"/>
      <c r="AP937" s="350"/>
      <c r="AQ937" s="350"/>
      <c r="AR937" s="350"/>
      <c r="AS937" s="350"/>
      <c r="AT937" s="350"/>
      <c r="AU937" s="350"/>
      <c r="AV937" s="350"/>
      <c r="AW937" s="350"/>
      <c r="AX937" s="350"/>
      <c r="AY937" s="350"/>
      <c r="AZ937" s="350"/>
      <c r="BA937" s="350"/>
      <c r="BB937" s="351"/>
    </row>
    <row r="938" spans="1:54" ht="15.75" customHeight="1">
      <c r="A938" s="25">
        <f t="shared" si="3"/>
        <v>925</v>
      </c>
      <c r="B938" s="618" t="str">
        <f>'refer admin discharge'!B934</f>
        <v>x</v>
      </c>
      <c r="C938" s="351"/>
      <c r="D938" s="619" t="str">
        <f>'refer admin discharge'!D934</f>
        <v>xx</v>
      </c>
      <c r="E938" s="351"/>
      <c r="F938" s="620" t="str">
        <f>'refer admin discharge'!H934</f>
        <v>00/00/0000</v>
      </c>
      <c r="G938" s="351"/>
      <c r="H938" s="615"/>
      <c r="I938" s="351"/>
      <c r="J938" s="621"/>
      <c r="K938" s="351"/>
      <c r="L938" s="615"/>
      <c r="M938" s="351"/>
      <c r="N938" s="610"/>
      <c r="O938" s="351"/>
      <c r="P938" s="615"/>
      <c r="Q938" s="351"/>
      <c r="R938" s="610"/>
      <c r="S938" s="351"/>
      <c r="T938" s="615"/>
      <c r="U938" s="351"/>
      <c r="V938" s="613" t="str">
        <f>'refer admin discharge'!H939</f>
        <v>00/00/0000</v>
      </c>
      <c r="W938" s="351"/>
      <c r="X938" s="616"/>
      <c r="Y938" s="351"/>
      <c r="Z938" s="617"/>
      <c r="AA938" s="351"/>
      <c r="AB938" s="616"/>
      <c r="AC938" s="351"/>
      <c r="AD938" s="607"/>
      <c r="AE938" s="351"/>
      <c r="AF938" s="616"/>
      <c r="AG938" s="351"/>
      <c r="AH938" s="607"/>
      <c r="AI938" s="351"/>
      <c r="AJ938" s="616"/>
      <c r="AK938" s="351"/>
      <c r="AL938" s="622"/>
      <c r="AM938" s="350"/>
      <c r="AN938" s="350"/>
      <c r="AO938" s="350"/>
      <c r="AP938" s="350"/>
      <c r="AQ938" s="350"/>
      <c r="AR938" s="350"/>
      <c r="AS938" s="350"/>
      <c r="AT938" s="350"/>
      <c r="AU938" s="350"/>
      <c r="AV938" s="350"/>
      <c r="AW938" s="350"/>
      <c r="AX938" s="350"/>
      <c r="AY938" s="350"/>
      <c r="AZ938" s="350"/>
      <c r="BA938" s="350"/>
      <c r="BB938" s="351"/>
    </row>
    <row r="939" spans="1:54" ht="15.75" customHeight="1">
      <c r="A939" s="25">
        <f t="shared" si="3"/>
        <v>926</v>
      </c>
      <c r="B939" s="599" t="str">
        <f>'refer admin discharge'!B935</f>
        <v>x</v>
      </c>
      <c r="C939" s="351"/>
      <c r="D939" s="600" t="str">
        <f>'refer admin discharge'!D935</f>
        <v>xx</v>
      </c>
      <c r="E939" s="351"/>
      <c r="F939" s="609" t="str">
        <f>'refer admin discharge'!H935</f>
        <v>00/00/0000</v>
      </c>
      <c r="G939" s="351"/>
      <c r="H939" s="610"/>
      <c r="I939" s="351"/>
      <c r="J939" s="611"/>
      <c r="K939" s="351"/>
      <c r="L939" s="610"/>
      <c r="M939" s="351"/>
      <c r="N939" s="612"/>
      <c r="O939" s="351"/>
      <c r="P939" s="610"/>
      <c r="Q939" s="351"/>
      <c r="R939" s="612"/>
      <c r="S939" s="351"/>
      <c r="T939" s="610"/>
      <c r="U939" s="351"/>
      <c r="V939" s="613" t="str">
        <f>'refer admin discharge'!H940</f>
        <v>00/00/0000</v>
      </c>
      <c r="W939" s="351"/>
      <c r="X939" s="607"/>
      <c r="Y939" s="351"/>
      <c r="Z939" s="614"/>
      <c r="AA939" s="351"/>
      <c r="AB939" s="607"/>
      <c r="AC939" s="351"/>
      <c r="AD939" s="606"/>
      <c r="AE939" s="351"/>
      <c r="AF939" s="607"/>
      <c r="AG939" s="351"/>
      <c r="AH939" s="606"/>
      <c r="AI939" s="351"/>
      <c r="AJ939" s="607"/>
      <c r="AK939" s="351"/>
      <c r="AL939" s="608"/>
      <c r="AM939" s="350"/>
      <c r="AN939" s="350"/>
      <c r="AO939" s="350"/>
      <c r="AP939" s="350"/>
      <c r="AQ939" s="350"/>
      <c r="AR939" s="350"/>
      <c r="AS939" s="350"/>
      <c r="AT939" s="350"/>
      <c r="AU939" s="350"/>
      <c r="AV939" s="350"/>
      <c r="AW939" s="350"/>
      <c r="AX939" s="350"/>
      <c r="AY939" s="350"/>
      <c r="AZ939" s="350"/>
      <c r="BA939" s="350"/>
      <c r="BB939" s="351"/>
    </row>
    <row r="940" spans="1:54" ht="15.75" customHeight="1">
      <c r="A940" s="25">
        <f t="shared" si="3"/>
        <v>927</v>
      </c>
      <c r="B940" s="618" t="str">
        <f>'refer admin discharge'!B936</f>
        <v>x</v>
      </c>
      <c r="C940" s="351"/>
      <c r="D940" s="619" t="str">
        <f>'refer admin discharge'!D936</f>
        <v>xx</v>
      </c>
      <c r="E940" s="351"/>
      <c r="F940" s="620" t="str">
        <f>'refer admin discharge'!H936</f>
        <v>00/00/0000</v>
      </c>
      <c r="G940" s="351"/>
      <c r="H940" s="615"/>
      <c r="I940" s="351"/>
      <c r="J940" s="621"/>
      <c r="K940" s="351"/>
      <c r="L940" s="615"/>
      <c r="M940" s="351"/>
      <c r="N940" s="610"/>
      <c r="O940" s="351"/>
      <c r="P940" s="615"/>
      <c r="Q940" s="351"/>
      <c r="R940" s="610"/>
      <c r="S940" s="351"/>
      <c r="T940" s="615"/>
      <c r="U940" s="351"/>
      <c r="V940" s="613" t="str">
        <f>'refer admin discharge'!H941</f>
        <v>00/00/0000</v>
      </c>
      <c r="W940" s="351"/>
      <c r="X940" s="616"/>
      <c r="Y940" s="351"/>
      <c r="Z940" s="617"/>
      <c r="AA940" s="351"/>
      <c r="AB940" s="616"/>
      <c r="AC940" s="351"/>
      <c r="AD940" s="607"/>
      <c r="AE940" s="351"/>
      <c r="AF940" s="616"/>
      <c r="AG940" s="351"/>
      <c r="AH940" s="607"/>
      <c r="AI940" s="351"/>
      <c r="AJ940" s="616"/>
      <c r="AK940" s="351"/>
      <c r="AL940" s="622"/>
      <c r="AM940" s="350"/>
      <c r="AN940" s="350"/>
      <c r="AO940" s="350"/>
      <c r="AP940" s="350"/>
      <c r="AQ940" s="350"/>
      <c r="AR940" s="350"/>
      <c r="AS940" s="350"/>
      <c r="AT940" s="350"/>
      <c r="AU940" s="350"/>
      <c r="AV940" s="350"/>
      <c r="AW940" s="350"/>
      <c r="AX940" s="350"/>
      <c r="AY940" s="350"/>
      <c r="AZ940" s="350"/>
      <c r="BA940" s="350"/>
      <c r="BB940" s="351"/>
    </row>
    <row r="941" spans="1:54" ht="15.75" customHeight="1">
      <c r="A941" s="25">
        <f t="shared" si="3"/>
        <v>928</v>
      </c>
      <c r="B941" s="599" t="str">
        <f>'refer admin discharge'!B937</f>
        <v>x</v>
      </c>
      <c r="C941" s="351"/>
      <c r="D941" s="600" t="str">
        <f>'refer admin discharge'!D937</f>
        <v>xx</v>
      </c>
      <c r="E941" s="351"/>
      <c r="F941" s="609" t="str">
        <f>'refer admin discharge'!H937</f>
        <v>00/00/0000</v>
      </c>
      <c r="G941" s="351"/>
      <c r="H941" s="610"/>
      <c r="I941" s="351"/>
      <c r="J941" s="611"/>
      <c r="K941" s="351"/>
      <c r="L941" s="610"/>
      <c r="M941" s="351"/>
      <c r="N941" s="612"/>
      <c r="O941" s="351"/>
      <c r="P941" s="610"/>
      <c r="Q941" s="351"/>
      <c r="R941" s="612"/>
      <c r="S941" s="351"/>
      <c r="T941" s="610"/>
      <c r="U941" s="351"/>
      <c r="V941" s="613" t="str">
        <f>'refer admin discharge'!H942</f>
        <v>00/00/0000</v>
      </c>
      <c r="W941" s="351"/>
      <c r="X941" s="607"/>
      <c r="Y941" s="351"/>
      <c r="Z941" s="614"/>
      <c r="AA941" s="351"/>
      <c r="AB941" s="607"/>
      <c r="AC941" s="351"/>
      <c r="AD941" s="606"/>
      <c r="AE941" s="351"/>
      <c r="AF941" s="607"/>
      <c r="AG941" s="351"/>
      <c r="AH941" s="606"/>
      <c r="AI941" s="351"/>
      <c r="AJ941" s="607"/>
      <c r="AK941" s="351"/>
      <c r="AL941" s="608"/>
      <c r="AM941" s="350"/>
      <c r="AN941" s="350"/>
      <c r="AO941" s="350"/>
      <c r="AP941" s="350"/>
      <c r="AQ941" s="350"/>
      <c r="AR941" s="350"/>
      <c r="AS941" s="350"/>
      <c r="AT941" s="350"/>
      <c r="AU941" s="350"/>
      <c r="AV941" s="350"/>
      <c r="AW941" s="350"/>
      <c r="AX941" s="350"/>
      <c r="AY941" s="350"/>
      <c r="AZ941" s="350"/>
      <c r="BA941" s="350"/>
      <c r="BB941" s="351"/>
    </row>
    <row r="942" spans="1:54" ht="15.75" customHeight="1">
      <c r="A942" s="25">
        <f t="shared" si="3"/>
        <v>929</v>
      </c>
      <c r="B942" s="618" t="str">
        <f>'refer admin discharge'!B938</f>
        <v>x</v>
      </c>
      <c r="C942" s="351"/>
      <c r="D942" s="619" t="str">
        <f>'refer admin discharge'!D938</f>
        <v>xx</v>
      </c>
      <c r="E942" s="351"/>
      <c r="F942" s="620" t="str">
        <f>'refer admin discharge'!H938</f>
        <v>00/00/0000</v>
      </c>
      <c r="G942" s="351"/>
      <c r="H942" s="615"/>
      <c r="I942" s="351"/>
      <c r="J942" s="621"/>
      <c r="K942" s="351"/>
      <c r="L942" s="615"/>
      <c r="M942" s="351"/>
      <c r="N942" s="610"/>
      <c r="O942" s="351"/>
      <c r="P942" s="615"/>
      <c r="Q942" s="351"/>
      <c r="R942" s="610"/>
      <c r="S942" s="351"/>
      <c r="T942" s="615"/>
      <c r="U942" s="351"/>
      <c r="V942" s="613" t="str">
        <f>'refer admin discharge'!H943</f>
        <v>00/00/0000</v>
      </c>
      <c r="W942" s="351"/>
      <c r="X942" s="616"/>
      <c r="Y942" s="351"/>
      <c r="Z942" s="617"/>
      <c r="AA942" s="351"/>
      <c r="AB942" s="616"/>
      <c r="AC942" s="351"/>
      <c r="AD942" s="607"/>
      <c r="AE942" s="351"/>
      <c r="AF942" s="616"/>
      <c r="AG942" s="351"/>
      <c r="AH942" s="607"/>
      <c r="AI942" s="351"/>
      <c r="AJ942" s="616"/>
      <c r="AK942" s="351"/>
      <c r="AL942" s="622"/>
      <c r="AM942" s="350"/>
      <c r="AN942" s="350"/>
      <c r="AO942" s="350"/>
      <c r="AP942" s="350"/>
      <c r="AQ942" s="350"/>
      <c r="AR942" s="350"/>
      <c r="AS942" s="350"/>
      <c r="AT942" s="350"/>
      <c r="AU942" s="350"/>
      <c r="AV942" s="350"/>
      <c r="AW942" s="350"/>
      <c r="AX942" s="350"/>
      <c r="AY942" s="350"/>
      <c r="AZ942" s="350"/>
      <c r="BA942" s="350"/>
      <c r="BB942" s="351"/>
    </row>
    <row r="943" spans="1:54" ht="15.75" customHeight="1">
      <c r="A943" s="25">
        <f t="shared" si="3"/>
        <v>930</v>
      </c>
      <c r="B943" s="599" t="str">
        <f>'refer admin discharge'!B939</f>
        <v>x</v>
      </c>
      <c r="C943" s="351"/>
      <c r="D943" s="600" t="str">
        <f>'refer admin discharge'!D939</f>
        <v>xx</v>
      </c>
      <c r="E943" s="351"/>
      <c r="F943" s="609" t="str">
        <f>'refer admin discharge'!H939</f>
        <v>00/00/0000</v>
      </c>
      <c r="G943" s="351"/>
      <c r="H943" s="610"/>
      <c r="I943" s="351"/>
      <c r="J943" s="611"/>
      <c r="K943" s="351"/>
      <c r="L943" s="610"/>
      <c r="M943" s="351"/>
      <c r="N943" s="612"/>
      <c r="O943" s="351"/>
      <c r="P943" s="610"/>
      <c r="Q943" s="351"/>
      <c r="R943" s="612"/>
      <c r="S943" s="351"/>
      <c r="T943" s="610"/>
      <c r="U943" s="351"/>
      <c r="V943" s="613" t="str">
        <f>'refer admin discharge'!H944</f>
        <v>00/00/0000</v>
      </c>
      <c r="W943" s="351"/>
      <c r="X943" s="607"/>
      <c r="Y943" s="351"/>
      <c r="Z943" s="614"/>
      <c r="AA943" s="351"/>
      <c r="AB943" s="607"/>
      <c r="AC943" s="351"/>
      <c r="AD943" s="606"/>
      <c r="AE943" s="351"/>
      <c r="AF943" s="607"/>
      <c r="AG943" s="351"/>
      <c r="AH943" s="606"/>
      <c r="AI943" s="351"/>
      <c r="AJ943" s="607"/>
      <c r="AK943" s="351"/>
      <c r="AL943" s="608"/>
      <c r="AM943" s="350"/>
      <c r="AN943" s="350"/>
      <c r="AO943" s="350"/>
      <c r="AP943" s="350"/>
      <c r="AQ943" s="350"/>
      <c r="AR943" s="350"/>
      <c r="AS943" s="350"/>
      <c r="AT943" s="350"/>
      <c r="AU943" s="350"/>
      <c r="AV943" s="350"/>
      <c r="AW943" s="350"/>
      <c r="AX943" s="350"/>
      <c r="AY943" s="350"/>
      <c r="AZ943" s="350"/>
      <c r="BA943" s="350"/>
      <c r="BB943" s="351"/>
    </row>
    <row r="944" spans="1:54" ht="15.75" customHeight="1">
      <c r="A944" s="25">
        <f t="shared" si="3"/>
        <v>931</v>
      </c>
      <c r="B944" s="618" t="str">
        <f>'refer admin discharge'!B940</f>
        <v>x</v>
      </c>
      <c r="C944" s="351"/>
      <c r="D944" s="619" t="str">
        <f>'refer admin discharge'!D940</f>
        <v>xx</v>
      </c>
      <c r="E944" s="351"/>
      <c r="F944" s="620" t="str">
        <f>'refer admin discharge'!H940</f>
        <v>00/00/0000</v>
      </c>
      <c r="G944" s="351"/>
      <c r="H944" s="615"/>
      <c r="I944" s="351"/>
      <c r="J944" s="621"/>
      <c r="K944" s="351"/>
      <c r="L944" s="615"/>
      <c r="M944" s="351"/>
      <c r="N944" s="610"/>
      <c r="O944" s="351"/>
      <c r="P944" s="615"/>
      <c r="Q944" s="351"/>
      <c r="R944" s="610"/>
      <c r="S944" s="351"/>
      <c r="T944" s="615"/>
      <c r="U944" s="351"/>
      <c r="V944" s="613" t="str">
        <f>'refer admin discharge'!H945</f>
        <v>00/00/0000</v>
      </c>
      <c r="W944" s="351"/>
      <c r="X944" s="616"/>
      <c r="Y944" s="351"/>
      <c r="Z944" s="617"/>
      <c r="AA944" s="351"/>
      <c r="AB944" s="616"/>
      <c r="AC944" s="351"/>
      <c r="AD944" s="607"/>
      <c r="AE944" s="351"/>
      <c r="AF944" s="616"/>
      <c r="AG944" s="351"/>
      <c r="AH944" s="607"/>
      <c r="AI944" s="351"/>
      <c r="AJ944" s="616"/>
      <c r="AK944" s="351"/>
      <c r="AL944" s="622"/>
      <c r="AM944" s="350"/>
      <c r="AN944" s="350"/>
      <c r="AO944" s="350"/>
      <c r="AP944" s="350"/>
      <c r="AQ944" s="350"/>
      <c r="AR944" s="350"/>
      <c r="AS944" s="350"/>
      <c r="AT944" s="350"/>
      <c r="AU944" s="350"/>
      <c r="AV944" s="350"/>
      <c r="AW944" s="350"/>
      <c r="AX944" s="350"/>
      <c r="AY944" s="350"/>
      <c r="AZ944" s="350"/>
      <c r="BA944" s="350"/>
      <c r="BB944" s="351"/>
    </row>
    <row r="945" spans="1:54" ht="15.75" customHeight="1">
      <c r="A945" s="25">
        <f t="shared" si="3"/>
        <v>932</v>
      </c>
      <c r="B945" s="599" t="str">
        <f>'refer admin discharge'!B941</f>
        <v>x</v>
      </c>
      <c r="C945" s="351"/>
      <c r="D945" s="600" t="str">
        <f>'refer admin discharge'!D941</f>
        <v>xx</v>
      </c>
      <c r="E945" s="351"/>
      <c r="F945" s="609" t="str">
        <f>'refer admin discharge'!H941</f>
        <v>00/00/0000</v>
      </c>
      <c r="G945" s="351"/>
      <c r="H945" s="610"/>
      <c r="I945" s="351"/>
      <c r="J945" s="611"/>
      <c r="K945" s="351"/>
      <c r="L945" s="610"/>
      <c r="M945" s="351"/>
      <c r="N945" s="612"/>
      <c r="O945" s="351"/>
      <c r="P945" s="610"/>
      <c r="Q945" s="351"/>
      <c r="R945" s="612"/>
      <c r="S945" s="351"/>
      <c r="T945" s="610"/>
      <c r="U945" s="351"/>
      <c r="V945" s="613" t="str">
        <f>'refer admin discharge'!H946</f>
        <v>00/00/0000</v>
      </c>
      <c r="W945" s="351"/>
      <c r="X945" s="607"/>
      <c r="Y945" s="351"/>
      <c r="Z945" s="614"/>
      <c r="AA945" s="351"/>
      <c r="AB945" s="607"/>
      <c r="AC945" s="351"/>
      <c r="AD945" s="606"/>
      <c r="AE945" s="351"/>
      <c r="AF945" s="607"/>
      <c r="AG945" s="351"/>
      <c r="AH945" s="606"/>
      <c r="AI945" s="351"/>
      <c r="AJ945" s="607"/>
      <c r="AK945" s="351"/>
      <c r="AL945" s="608"/>
      <c r="AM945" s="350"/>
      <c r="AN945" s="350"/>
      <c r="AO945" s="350"/>
      <c r="AP945" s="350"/>
      <c r="AQ945" s="350"/>
      <c r="AR945" s="350"/>
      <c r="AS945" s="350"/>
      <c r="AT945" s="350"/>
      <c r="AU945" s="350"/>
      <c r="AV945" s="350"/>
      <c r="AW945" s="350"/>
      <c r="AX945" s="350"/>
      <c r="AY945" s="350"/>
      <c r="AZ945" s="350"/>
      <c r="BA945" s="350"/>
      <c r="BB945" s="351"/>
    </row>
    <row r="946" spans="1:54" ht="15.75" customHeight="1">
      <c r="A946" s="25">
        <f t="shared" si="3"/>
        <v>933</v>
      </c>
      <c r="B946" s="618" t="str">
        <f>'refer admin discharge'!B942</f>
        <v>x</v>
      </c>
      <c r="C946" s="351"/>
      <c r="D946" s="619" t="str">
        <f>'refer admin discharge'!D942</f>
        <v>xx</v>
      </c>
      <c r="E946" s="351"/>
      <c r="F946" s="620" t="str">
        <f>'refer admin discharge'!H942</f>
        <v>00/00/0000</v>
      </c>
      <c r="G946" s="351"/>
      <c r="H946" s="615"/>
      <c r="I946" s="351"/>
      <c r="J946" s="621"/>
      <c r="K946" s="351"/>
      <c r="L946" s="615"/>
      <c r="M946" s="351"/>
      <c r="N946" s="610"/>
      <c r="O946" s="351"/>
      <c r="P946" s="615"/>
      <c r="Q946" s="351"/>
      <c r="R946" s="610"/>
      <c r="S946" s="351"/>
      <c r="T946" s="615"/>
      <c r="U946" s="351"/>
      <c r="V946" s="613" t="str">
        <f>'refer admin discharge'!H947</f>
        <v>00/00/0000</v>
      </c>
      <c r="W946" s="351"/>
      <c r="X946" s="616"/>
      <c r="Y946" s="351"/>
      <c r="Z946" s="617"/>
      <c r="AA946" s="351"/>
      <c r="AB946" s="616"/>
      <c r="AC946" s="351"/>
      <c r="AD946" s="607"/>
      <c r="AE946" s="351"/>
      <c r="AF946" s="616"/>
      <c r="AG946" s="351"/>
      <c r="AH946" s="607"/>
      <c r="AI946" s="351"/>
      <c r="AJ946" s="616"/>
      <c r="AK946" s="351"/>
      <c r="AL946" s="622"/>
      <c r="AM946" s="350"/>
      <c r="AN946" s="350"/>
      <c r="AO946" s="350"/>
      <c r="AP946" s="350"/>
      <c r="AQ946" s="350"/>
      <c r="AR946" s="350"/>
      <c r="AS946" s="350"/>
      <c r="AT946" s="350"/>
      <c r="AU946" s="350"/>
      <c r="AV946" s="350"/>
      <c r="AW946" s="350"/>
      <c r="AX946" s="350"/>
      <c r="AY946" s="350"/>
      <c r="AZ946" s="350"/>
      <c r="BA946" s="350"/>
      <c r="BB946" s="351"/>
    </row>
    <row r="947" spans="1:54" ht="15.75" customHeight="1">
      <c r="A947" s="25">
        <f t="shared" si="3"/>
        <v>934</v>
      </c>
      <c r="B947" s="599" t="str">
        <f>'refer admin discharge'!B943</f>
        <v>x</v>
      </c>
      <c r="C947" s="351"/>
      <c r="D947" s="600" t="str">
        <f>'refer admin discharge'!D943</f>
        <v>xx</v>
      </c>
      <c r="E947" s="351"/>
      <c r="F947" s="609" t="str">
        <f>'refer admin discharge'!H943</f>
        <v>00/00/0000</v>
      </c>
      <c r="G947" s="351"/>
      <c r="H947" s="610"/>
      <c r="I947" s="351"/>
      <c r="J947" s="611"/>
      <c r="K947" s="351"/>
      <c r="L947" s="610"/>
      <c r="M947" s="351"/>
      <c r="N947" s="612"/>
      <c r="O947" s="351"/>
      <c r="P947" s="610"/>
      <c r="Q947" s="351"/>
      <c r="R947" s="612"/>
      <c r="S947" s="351"/>
      <c r="T947" s="610"/>
      <c r="U947" s="351"/>
      <c r="V947" s="613" t="str">
        <f>'refer admin discharge'!H948</f>
        <v>00/00/0000</v>
      </c>
      <c r="W947" s="351"/>
      <c r="X947" s="607"/>
      <c r="Y947" s="351"/>
      <c r="Z947" s="614"/>
      <c r="AA947" s="351"/>
      <c r="AB947" s="607"/>
      <c r="AC947" s="351"/>
      <c r="AD947" s="606"/>
      <c r="AE947" s="351"/>
      <c r="AF947" s="607"/>
      <c r="AG947" s="351"/>
      <c r="AH947" s="606"/>
      <c r="AI947" s="351"/>
      <c r="AJ947" s="607"/>
      <c r="AK947" s="351"/>
      <c r="AL947" s="608"/>
      <c r="AM947" s="350"/>
      <c r="AN947" s="350"/>
      <c r="AO947" s="350"/>
      <c r="AP947" s="350"/>
      <c r="AQ947" s="350"/>
      <c r="AR947" s="350"/>
      <c r="AS947" s="350"/>
      <c r="AT947" s="350"/>
      <c r="AU947" s="350"/>
      <c r="AV947" s="350"/>
      <c r="AW947" s="350"/>
      <c r="AX947" s="350"/>
      <c r="AY947" s="350"/>
      <c r="AZ947" s="350"/>
      <c r="BA947" s="350"/>
      <c r="BB947" s="351"/>
    </row>
    <row r="948" spans="1:54" ht="15.75" customHeight="1">
      <c r="A948" s="25">
        <f t="shared" si="3"/>
        <v>935</v>
      </c>
      <c r="B948" s="618" t="str">
        <f>'refer admin discharge'!B944</f>
        <v>x</v>
      </c>
      <c r="C948" s="351"/>
      <c r="D948" s="619" t="str">
        <f>'refer admin discharge'!D944</f>
        <v>xx</v>
      </c>
      <c r="E948" s="351"/>
      <c r="F948" s="620" t="str">
        <f>'refer admin discharge'!H944</f>
        <v>00/00/0000</v>
      </c>
      <c r="G948" s="351"/>
      <c r="H948" s="615"/>
      <c r="I948" s="351"/>
      <c r="J948" s="621"/>
      <c r="K948" s="351"/>
      <c r="L948" s="615"/>
      <c r="M948" s="351"/>
      <c r="N948" s="610"/>
      <c r="O948" s="351"/>
      <c r="P948" s="615"/>
      <c r="Q948" s="351"/>
      <c r="R948" s="610"/>
      <c r="S948" s="351"/>
      <c r="T948" s="615"/>
      <c r="U948" s="351"/>
      <c r="V948" s="613" t="str">
        <f>'refer admin discharge'!H949</f>
        <v>00/00/0000</v>
      </c>
      <c r="W948" s="351"/>
      <c r="X948" s="616"/>
      <c r="Y948" s="351"/>
      <c r="Z948" s="617"/>
      <c r="AA948" s="351"/>
      <c r="AB948" s="616"/>
      <c r="AC948" s="351"/>
      <c r="AD948" s="607"/>
      <c r="AE948" s="351"/>
      <c r="AF948" s="616"/>
      <c r="AG948" s="351"/>
      <c r="AH948" s="607"/>
      <c r="AI948" s="351"/>
      <c r="AJ948" s="616"/>
      <c r="AK948" s="351"/>
      <c r="AL948" s="622"/>
      <c r="AM948" s="350"/>
      <c r="AN948" s="350"/>
      <c r="AO948" s="350"/>
      <c r="AP948" s="350"/>
      <c r="AQ948" s="350"/>
      <c r="AR948" s="350"/>
      <c r="AS948" s="350"/>
      <c r="AT948" s="350"/>
      <c r="AU948" s="350"/>
      <c r="AV948" s="350"/>
      <c r="AW948" s="350"/>
      <c r="AX948" s="350"/>
      <c r="AY948" s="350"/>
      <c r="AZ948" s="350"/>
      <c r="BA948" s="350"/>
      <c r="BB948" s="351"/>
    </row>
    <row r="949" spans="1:54" ht="15.75" customHeight="1">
      <c r="A949" s="25">
        <f t="shared" si="3"/>
        <v>936</v>
      </c>
      <c r="B949" s="599" t="str">
        <f>'refer admin discharge'!B945</f>
        <v>x</v>
      </c>
      <c r="C949" s="351"/>
      <c r="D949" s="600" t="str">
        <f>'refer admin discharge'!D945</f>
        <v>xx</v>
      </c>
      <c r="E949" s="351"/>
      <c r="F949" s="609" t="str">
        <f>'refer admin discharge'!H945</f>
        <v>00/00/0000</v>
      </c>
      <c r="G949" s="351"/>
      <c r="H949" s="610"/>
      <c r="I949" s="351"/>
      <c r="J949" s="611"/>
      <c r="K949" s="351"/>
      <c r="L949" s="610"/>
      <c r="M949" s="351"/>
      <c r="N949" s="612"/>
      <c r="O949" s="351"/>
      <c r="P949" s="610"/>
      <c r="Q949" s="351"/>
      <c r="R949" s="612"/>
      <c r="S949" s="351"/>
      <c r="T949" s="610"/>
      <c r="U949" s="351"/>
      <c r="V949" s="613" t="str">
        <f>'refer admin discharge'!H950</f>
        <v>00/00/0000</v>
      </c>
      <c r="W949" s="351"/>
      <c r="X949" s="607"/>
      <c r="Y949" s="351"/>
      <c r="Z949" s="614"/>
      <c r="AA949" s="351"/>
      <c r="AB949" s="607"/>
      <c r="AC949" s="351"/>
      <c r="AD949" s="606"/>
      <c r="AE949" s="351"/>
      <c r="AF949" s="607"/>
      <c r="AG949" s="351"/>
      <c r="AH949" s="606"/>
      <c r="AI949" s="351"/>
      <c r="AJ949" s="607"/>
      <c r="AK949" s="351"/>
      <c r="AL949" s="608"/>
      <c r="AM949" s="350"/>
      <c r="AN949" s="350"/>
      <c r="AO949" s="350"/>
      <c r="AP949" s="350"/>
      <c r="AQ949" s="350"/>
      <c r="AR949" s="350"/>
      <c r="AS949" s="350"/>
      <c r="AT949" s="350"/>
      <c r="AU949" s="350"/>
      <c r="AV949" s="350"/>
      <c r="AW949" s="350"/>
      <c r="AX949" s="350"/>
      <c r="AY949" s="350"/>
      <c r="AZ949" s="350"/>
      <c r="BA949" s="350"/>
      <c r="BB949" s="351"/>
    </row>
    <row r="950" spans="1:54" ht="15.75" customHeight="1">
      <c r="A950" s="25">
        <f t="shared" si="3"/>
        <v>937</v>
      </c>
      <c r="B950" s="618" t="str">
        <f>'refer admin discharge'!B946</f>
        <v>x</v>
      </c>
      <c r="C950" s="351"/>
      <c r="D950" s="619" t="str">
        <f>'refer admin discharge'!D946</f>
        <v>xx</v>
      </c>
      <c r="E950" s="351"/>
      <c r="F950" s="620" t="str">
        <f>'refer admin discharge'!H946</f>
        <v>00/00/0000</v>
      </c>
      <c r="G950" s="351"/>
      <c r="H950" s="615"/>
      <c r="I950" s="351"/>
      <c r="J950" s="621"/>
      <c r="K950" s="351"/>
      <c r="L950" s="615"/>
      <c r="M950" s="351"/>
      <c r="N950" s="610"/>
      <c r="O950" s="351"/>
      <c r="P950" s="615"/>
      <c r="Q950" s="351"/>
      <c r="R950" s="610"/>
      <c r="S950" s="351"/>
      <c r="T950" s="615"/>
      <c r="U950" s="351"/>
      <c r="V950" s="613" t="str">
        <f>'refer admin discharge'!H951</f>
        <v>00/00/0000</v>
      </c>
      <c r="W950" s="351"/>
      <c r="X950" s="616"/>
      <c r="Y950" s="351"/>
      <c r="Z950" s="617"/>
      <c r="AA950" s="351"/>
      <c r="AB950" s="616"/>
      <c r="AC950" s="351"/>
      <c r="AD950" s="607"/>
      <c r="AE950" s="351"/>
      <c r="AF950" s="616"/>
      <c r="AG950" s="351"/>
      <c r="AH950" s="607"/>
      <c r="AI950" s="351"/>
      <c r="AJ950" s="616"/>
      <c r="AK950" s="351"/>
      <c r="AL950" s="622"/>
      <c r="AM950" s="350"/>
      <c r="AN950" s="350"/>
      <c r="AO950" s="350"/>
      <c r="AP950" s="350"/>
      <c r="AQ950" s="350"/>
      <c r="AR950" s="350"/>
      <c r="AS950" s="350"/>
      <c r="AT950" s="350"/>
      <c r="AU950" s="350"/>
      <c r="AV950" s="350"/>
      <c r="AW950" s="350"/>
      <c r="AX950" s="350"/>
      <c r="AY950" s="350"/>
      <c r="AZ950" s="350"/>
      <c r="BA950" s="350"/>
      <c r="BB950" s="351"/>
    </row>
    <row r="951" spans="1:54" ht="15.75" customHeight="1">
      <c r="A951" s="25">
        <f t="shared" si="3"/>
        <v>938</v>
      </c>
      <c r="B951" s="599" t="str">
        <f>'refer admin discharge'!B947</f>
        <v>x</v>
      </c>
      <c r="C951" s="351"/>
      <c r="D951" s="600" t="str">
        <f>'refer admin discharge'!D947</f>
        <v>xx</v>
      </c>
      <c r="E951" s="351"/>
      <c r="F951" s="609" t="str">
        <f>'refer admin discharge'!H947</f>
        <v>00/00/0000</v>
      </c>
      <c r="G951" s="351"/>
      <c r="H951" s="610"/>
      <c r="I951" s="351"/>
      <c r="J951" s="611"/>
      <c r="K951" s="351"/>
      <c r="L951" s="610"/>
      <c r="M951" s="351"/>
      <c r="N951" s="612"/>
      <c r="O951" s="351"/>
      <c r="P951" s="610"/>
      <c r="Q951" s="351"/>
      <c r="R951" s="612"/>
      <c r="S951" s="351"/>
      <c r="T951" s="610"/>
      <c r="U951" s="351"/>
      <c r="V951" s="613" t="str">
        <f>'refer admin discharge'!H952</f>
        <v>00/00/0000</v>
      </c>
      <c r="W951" s="351"/>
      <c r="X951" s="607"/>
      <c r="Y951" s="351"/>
      <c r="Z951" s="614"/>
      <c r="AA951" s="351"/>
      <c r="AB951" s="607"/>
      <c r="AC951" s="351"/>
      <c r="AD951" s="606"/>
      <c r="AE951" s="351"/>
      <c r="AF951" s="607"/>
      <c r="AG951" s="351"/>
      <c r="AH951" s="606"/>
      <c r="AI951" s="351"/>
      <c r="AJ951" s="607"/>
      <c r="AK951" s="351"/>
      <c r="AL951" s="608"/>
      <c r="AM951" s="350"/>
      <c r="AN951" s="350"/>
      <c r="AO951" s="350"/>
      <c r="AP951" s="350"/>
      <c r="AQ951" s="350"/>
      <c r="AR951" s="350"/>
      <c r="AS951" s="350"/>
      <c r="AT951" s="350"/>
      <c r="AU951" s="350"/>
      <c r="AV951" s="350"/>
      <c r="AW951" s="350"/>
      <c r="AX951" s="350"/>
      <c r="AY951" s="350"/>
      <c r="AZ951" s="350"/>
      <c r="BA951" s="350"/>
      <c r="BB951" s="351"/>
    </row>
    <row r="952" spans="1:54" ht="15.75" customHeight="1">
      <c r="A952" s="25">
        <f t="shared" si="3"/>
        <v>939</v>
      </c>
      <c r="B952" s="618" t="str">
        <f>'refer admin discharge'!B948</f>
        <v>x</v>
      </c>
      <c r="C952" s="351"/>
      <c r="D952" s="619" t="str">
        <f>'refer admin discharge'!D948</f>
        <v>xx</v>
      </c>
      <c r="E952" s="351"/>
      <c r="F952" s="620" t="str">
        <f>'refer admin discharge'!H948</f>
        <v>00/00/0000</v>
      </c>
      <c r="G952" s="351"/>
      <c r="H952" s="615"/>
      <c r="I952" s="351"/>
      <c r="J952" s="621"/>
      <c r="K952" s="351"/>
      <c r="L952" s="615"/>
      <c r="M952" s="351"/>
      <c r="N952" s="610"/>
      <c r="O952" s="351"/>
      <c r="P952" s="615"/>
      <c r="Q952" s="351"/>
      <c r="R952" s="610"/>
      <c r="S952" s="351"/>
      <c r="T952" s="615"/>
      <c r="U952" s="351"/>
      <c r="V952" s="613" t="str">
        <f>'refer admin discharge'!H953</f>
        <v>00/00/0000</v>
      </c>
      <c r="W952" s="351"/>
      <c r="X952" s="616"/>
      <c r="Y952" s="351"/>
      <c r="Z952" s="617"/>
      <c r="AA952" s="351"/>
      <c r="AB952" s="616"/>
      <c r="AC952" s="351"/>
      <c r="AD952" s="607"/>
      <c r="AE952" s="351"/>
      <c r="AF952" s="616"/>
      <c r="AG952" s="351"/>
      <c r="AH952" s="607"/>
      <c r="AI952" s="351"/>
      <c r="AJ952" s="616"/>
      <c r="AK952" s="351"/>
      <c r="AL952" s="622"/>
      <c r="AM952" s="350"/>
      <c r="AN952" s="350"/>
      <c r="AO952" s="350"/>
      <c r="AP952" s="350"/>
      <c r="AQ952" s="350"/>
      <c r="AR952" s="350"/>
      <c r="AS952" s="350"/>
      <c r="AT952" s="350"/>
      <c r="AU952" s="350"/>
      <c r="AV952" s="350"/>
      <c r="AW952" s="350"/>
      <c r="AX952" s="350"/>
      <c r="AY952" s="350"/>
      <c r="AZ952" s="350"/>
      <c r="BA952" s="350"/>
      <c r="BB952" s="351"/>
    </row>
    <row r="953" spans="1:54" ht="15.75" customHeight="1">
      <c r="A953" s="25">
        <f t="shared" si="3"/>
        <v>940</v>
      </c>
      <c r="B953" s="599" t="str">
        <f>'refer admin discharge'!B949</f>
        <v>x</v>
      </c>
      <c r="C953" s="351"/>
      <c r="D953" s="600" t="str">
        <f>'refer admin discharge'!D949</f>
        <v>xx</v>
      </c>
      <c r="E953" s="351"/>
      <c r="F953" s="609" t="str">
        <f>'refer admin discharge'!H949</f>
        <v>00/00/0000</v>
      </c>
      <c r="G953" s="351"/>
      <c r="H953" s="610"/>
      <c r="I953" s="351"/>
      <c r="J953" s="611"/>
      <c r="K953" s="351"/>
      <c r="L953" s="610"/>
      <c r="M953" s="351"/>
      <c r="N953" s="612"/>
      <c r="O953" s="351"/>
      <c r="P953" s="610"/>
      <c r="Q953" s="351"/>
      <c r="R953" s="612"/>
      <c r="S953" s="351"/>
      <c r="T953" s="610"/>
      <c r="U953" s="351"/>
      <c r="V953" s="613" t="str">
        <f>'refer admin discharge'!H954</f>
        <v>00/00/0000</v>
      </c>
      <c r="W953" s="351"/>
      <c r="X953" s="607"/>
      <c r="Y953" s="351"/>
      <c r="Z953" s="614"/>
      <c r="AA953" s="351"/>
      <c r="AB953" s="607"/>
      <c r="AC953" s="351"/>
      <c r="AD953" s="606"/>
      <c r="AE953" s="351"/>
      <c r="AF953" s="607"/>
      <c r="AG953" s="351"/>
      <c r="AH953" s="606"/>
      <c r="AI953" s="351"/>
      <c r="AJ953" s="607"/>
      <c r="AK953" s="351"/>
      <c r="AL953" s="608"/>
      <c r="AM953" s="350"/>
      <c r="AN953" s="350"/>
      <c r="AO953" s="350"/>
      <c r="AP953" s="350"/>
      <c r="AQ953" s="350"/>
      <c r="AR953" s="350"/>
      <c r="AS953" s="350"/>
      <c r="AT953" s="350"/>
      <c r="AU953" s="350"/>
      <c r="AV953" s="350"/>
      <c r="AW953" s="350"/>
      <c r="AX953" s="350"/>
      <c r="AY953" s="350"/>
      <c r="AZ953" s="350"/>
      <c r="BA953" s="350"/>
      <c r="BB953" s="351"/>
    </row>
    <row r="954" spans="1:54" ht="15.75" customHeight="1">
      <c r="A954" s="25">
        <f t="shared" si="3"/>
        <v>941</v>
      </c>
      <c r="B954" s="618" t="str">
        <f>'refer admin discharge'!B950</f>
        <v>x</v>
      </c>
      <c r="C954" s="351"/>
      <c r="D954" s="619" t="str">
        <f>'refer admin discharge'!D950</f>
        <v>xx</v>
      </c>
      <c r="E954" s="351"/>
      <c r="F954" s="620" t="str">
        <f>'refer admin discharge'!H950</f>
        <v>00/00/0000</v>
      </c>
      <c r="G954" s="351"/>
      <c r="H954" s="615"/>
      <c r="I954" s="351"/>
      <c r="J954" s="621"/>
      <c r="K954" s="351"/>
      <c r="L954" s="615"/>
      <c r="M954" s="351"/>
      <c r="N954" s="610"/>
      <c r="O954" s="351"/>
      <c r="P954" s="615"/>
      <c r="Q954" s="351"/>
      <c r="R954" s="610"/>
      <c r="S954" s="351"/>
      <c r="T954" s="615"/>
      <c r="U954" s="351"/>
      <c r="V954" s="613" t="str">
        <f>'refer admin discharge'!H955</f>
        <v>00/00/0000</v>
      </c>
      <c r="W954" s="351"/>
      <c r="X954" s="616"/>
      <c r="Y954" s="351"/>
      <c r="Z954" s="617"/>
      <c r="AA954" s="351"/>
      <c r="AB954" s="616"/>
      <c r="AC954" s="351"/>
      <c r="AD954" s="607"/>
      <c r="AE954" s="351"/>
      <c r="AF954" s="616"/>
      <c r="AG954" s="351"/>
      <c r="AH954" s="607"/>
      <c r="AI954" s="351"/>
      <c r="AJ954" s="616"/>
      <c r="AK954" s="351"/>
      <c r="AL954" s="622"/>
      <c r="AM954" s="350"/>
      <c r="AN954" s="350"/>
      <c r="AO954" s="350"/>
      <c r="AP954" s="350"/>
      <c r="AQ954" s="350"/>
      <c r="AR954" s="350"/>
      <c r="AS954" s="350"/>
      <c r="AT954" s="350"/>
      <c r="AU954" s="350"/>
      <c r="AV954" s="350"/>
      <c r="AW954" s="350"/>
      <c r="AX954" s="350"/>
      <c r="AY954" s="350"/>
      <c r="AZ954" s="350"/>
      <c r="BA954" s="350"/>
      <c r="BB954" s="351"/>
    </row>
    <row r="955" spans="1:54" ht="15.75" customHeight="1">
      <c r="A955" s="25">
        <f t="shared" si="3"/>
        <v>942</v>
      </c>
      <c r="B955" s="599" t="str">
        <f>'refer admin discharge'!B951</f>
        <v>x</v>
      </c>
      <c r="C955" s="351"/>
      <c r="D955" s="600" t="str">
        <f>'refer admin discharge'!D951</f>
        <v>xx</v>
      </c>
      <c r="E955" s="351"/>
      <c r="F955" s="609" t="str">
        <f>'refer admin discharge'!H951</f>
        <v>00/00/0000</v>
      </c>
      <c r="G955" s="351"/>
      <c r="H955" s="610"/>
      <c r="I955" s="351"/>
      <c r="J955" s="611"/>
      <c r="K955" s="351"/>
      <c r="L955" s="610"/>
      <c r="M955" s="351"/>
      <c r="N955" s="612"/>
      <c r="O955" s="351"/>
      <c r="P955" s="610"/>
      <c r="Q955" s="351"/>
      <c r="R955" s="612"/>
      <c r="S955" s="351"/>
      <c r="T955" s="610"/>
      <c r="U955" s="351"/>
      <c r="V955" s="613" t="str">
        <f>'refer admin discharge'!H956</f>
        <v>00/00/0000</v>
      </c>
      <c r="W955" s="351"/>
      <c r="X955" s="607"/>
      <c r="Y955" s="351"/>
      <c r="Z955" s="614"/>
      <c r="AA955" s="351"/>
      <c r="AB955" s="607"/>
      <c r="AC955" s="351"/>
      <c r="AD955" s="606"/>
      <c r="AE955" s="351"/>
      <c r="AF955" s="607"/>
      <c r="AG955" s="351"/>
      <c r="AH955" s="606"/>
      <c r="AI955" s="351"/>
      <c r="AJ955" s="607"/>
      <c r="AK955" s="351"/>
      <c r="AL955" s="608"/>
      <c r="AM955" s="350"/>
      <c r="AN955" s="350"/>
      <c r="AO955" s="350"/>
      <c r="AP955" s="350"/>
      <c r="AQ955" s="350"/>
      <c r="AR955" s="350"/>
      <c r="AS955" s="350"/>
      <c r="AT955" s="350"/>
      <c r="AU955" s="350"/>
      <c r="AV955" s="350"/>
      <c r="AW955" s="350"/>
      <c r="AX955" s="350"/>
      <c r="AY955" s="350"/>
      <c r="AZ955" s="350"/>
      <c r="BA955" s="350"/>
      <c r="BB955" s="351"/>
    </row>
    <row r="956" spans="1:54" ht="15.75" customHeight="1">
      <c r="A956" s="25">
        <f t="shared" si="3"/>
        <v>943</v>
      </c>
      <c r="B956" s="618" t="str">
        <f>'refer admin discharge'!B952</f>
        <v>x</v>
      </c>
      <c r="C956" s="351"/>
      <c r="D956" s="619" t="str">
        <f>'refer admin discharge'!D952</f>
        <v>xx</v>
      </c>
      <c r="E956" s="351"/>
      <c r="F956" s="620" t="str">
        <f>'refer admin discharge'!H952</f>
        <v>00/00/0000</v>
      </c>
      <c r="G956" s="351"/>
      <c r="H956" s="615"/>
      <c r="I956" s="351"/>
      <c r="J956" s="621"/>
      <c r="K956" s="351"/>
      <c r="L956" s="615"/>
      <c r="M956" s="351"/>
      <c r="N956" s="610"/>
      <c r="O956" s="351"/>
      <c r="P956" s="615"/>
      <c r="Q956" s="351"/>
      <c r="R956" s="610"/>
      <c r="S956" s="351"/>
      <c r="T956" s="615"/>
      <c r="U956" s="351"/>
      <c r="V956" s="613" t="str">
        <f>'refer admin discharge'!H957</f>
        <v>00/00/0000</v>
      </c>
      <c r="W956" s="351"/>
      <c r="X956" s="616"/>
      <c r="Y956" s="351"/>
      <c r="Z956" s="617"/>
      <c r="AA956" s="351"/>
      <c r="AB956" s="616"/>
      <c r="AC956" s="351"/>
      <c r="AD956" s="607"/>
      <c r="AE956" s="351"/>
      <c r="AF956" s="616"/>
      <c r="AG956" s="351"/>
      <c r="AH956" s="607"/>
      <c r="AI956" s="351"/>
      <c r="AJ956" s="616"/>
      <c r="AK956" s="351"/>
      <c r="AL956" s="622"/>
      <c r="AM956" s="350"/>
      <c r="AN956" s="350"/>
      <c r="AO956" s="350"/>
      <c r="AP956" s="350"/>
      <c r="AQ956" s="350"/>
      <c r="AR956" s="350"/>
      <c r="AS956" s="350"/>
      <c r="AT956" s="350"/>
      <c r="AU956" s="350"/>
      <c r="AV956" s="350"/>
      <c r="AW956" s="350"/>
      <c r="AX956" s="350"/>
      <c r="AY956" s="350"/>
      <c r="AZ956" s="350"/>
      <c r="BA956" s="350"/>
      <c r="BB956" s="351"/>
    </row>
    <row r="957" spans="1:54" ht="15.75" customHeight="1">
      <c r="A957" s="25">
        <f t="shared" si="3"/>
        <v>944</v>
      </c>
      <c r="B957" s="599" t="str">
        <f>'refer admin discharge'!B953</f>
        <v>x</v>
      </c>
      <c r="C957" s="351"/>
      <c r="D957" s="600" t="str">
        <f>'refer admin discharge'!D953</f>
        <v>xx</v>
      </c>
      <c r="E957" s="351"/>
      <c r="F957" s="609" t="str">
        <f>'refer admin discharge'!H953</f>
        <v>00/00/0000</v>
      </c>
      <c r="G957" s="351"/>
      <c r="H957" s="610"/>
      <c r="I957" s="351"/>
      <c r="J957" s="611"/>
      <c r="K957" s="351"/>
      <c r="L957" s="610"/>
      <c r="M957" s="351"/>
      <c r="N957" s="612"/>
      <c r="O957" s="351"/>
      <c r="P957" s="610"/>
      <c r="Q957" s="351"/>
      <c r="R957" s="612"/>
      <c r="S957" s="351"/>
      <c r="T957" s="610"/>
      <c r="U957" s="351"/>
      <c r="V957" s="613" t="str">
        <f>'refer admin discharge'!H958</f>
        <v>00/00/0000</v>
      </c>
      <c r="W957" s="351"/>
      <c r="X957" s="607"/>
      <c r="Y957" s="351"/>
      <c r="Z957" s="614"/>
      <c r="AA957" s="351"/>
      <c r="AB957" s="607"/>
      <c r="AC957" s="351"/>
      <c r="AD957" s="606"/>
      <c r="AE957" s="351"/>
      <c r="AF957" s="607"/>
      <c r="AG957" s="351"/>
      <c r="AH957" s="606"/>
      <c r="AI957" s="351"/>
      <c r="AJ957" s="607"/>
      <c r="AK957" s="351"/>
      <c r="AL957" s="608"/>
      <c r="AM957" s="350"/>
      <c r="AN957" s="350"/>
      <c r="AO957" s="350"/>
      <c r="AP957" s="350"/>
      <c r="AQ957" s="350"/>
      <c r="AR957" s="350"/>
      <c r="AS957" s="350"/>
      <c r="AT957" s="350"/>
      <c r="AU957" s="350"/>
      <c r="AV957" s="350"/>
      <c r="AW957" s="350"/>
      <c r="AX957" s="350"/>
      <c r="AY957" s="350"/>
      <c r="AZ957" s="350"/>
      <c r="BA957" s="350"/>
      <c r="BB957" s="351"/>
    </row>
    <row r="958" spans="1:54" ht="15.75" customHeight="1">
      <c r="A958" s="25">
        <f t="shared" si="3"/>
        <v>945</v>
      </c>
      <c r="B958" s="618" t="str">
        <f>'refer admin discharge'!B954</f>
        <v>x</v>
      </c>
      <c r="C958" s="351"/>
      <c r="D958" s="619" t="str">
        <f>'refer admin discharge'!D954</f>
        <v>xx</v>
      </c>
      <c r="E958" s="351"/>
      <c r="F958" s="620" t="str">
        <f>'refer admin discharge'!H954</f>
        <v>00/00/0000</v>
      </c>
      <c r="G958" s="351"/>
      <c r="H958" s="615"/>
      <c r="I958" s="351"/>
      <c r="J958" s="621"/>
      <c r="K958" s="351"/>
      <c r="L958" s="615"/>
      <c r="M958" s="351"/>
      <c r="N958" s="610"/>
      <c r="O958" s="351"/>
      <c r="P958" s="615"/>
      <c r="Q958" s="351"/>
      <c r="R958" s="610"/>
      <c r="S958" s="351"/>
      <c r="T958" s="615"/>
      <c r="U958" s="351"/>
      <c r="V958" s="613" t="str">
        <f>'refer admin discharge'!H959</f>
        <v>00/00/0000</v>
      </c>
      <c r="W958" s="351"/>
      <c r="X958" s="616"/>
      <c r="Y958" s="351"/>
      <c r="Z958" s="617"/>
      <c r="AA958" s="351"/>
      <c r="AB958" s="616"/>
      <c r="AC958" s="351"/>
      <c r="AD958" s="607"/>
      <c r="AE958" s="351"/>
      <c r="AF958" s="616"/>
      <c r="AG958" s="351"/>
      <c r="AH958" s="607"/>
      <c r="AI958" s="351"/>
      <c r="AJ958" s="616"/>
      <c r="AK958" s="351"/>
      <c r="AL958" s="622"/>
      <c r="AM958" s="350"/>
      <c r="AN958" s="350"/>
      <c r="AO958" s="350"/>
      <c r="AP958" s="350"/>
      <c r="AQ958" s="350"/>
      <c r="AR958" s="350"/>
      <c r="AS958" s="350"/>
      <c r="AT958" s="350"/>
      <c r="AU958" s="350"/>
      <c r="AV958" s="350"/>
      <c r="AW958" s="350"/>
      <c r="AX958" s="350"/>
      <c r="AY958" s="350"/>
      <c r="AZ958" s="350"/>
      <c r="BA958" s="350"/>
      <c r="BB958" s="351"/>
    </row>
    <row r="959" spans="1:54" ht="15.75" customHeight="1">
      <c r="A959" s="25">
        <f t="shared" si="3"/>
        <v>946</v>
      </c>
      <c r="B959" s="599" t="str">
        <f>'refer admin discharge'!B955</f>
        <v>x</v>
      </c>
      <c r="C959" s="351"/>
      <c r="D959" s="600" t="str">
        <f>'refer admin discharge'!D955</f>
        <v>xx</v>
      </c>
      <c r="E959" s="351"/>
      <c r="F959" s="609" t="str">
        <f>'refer admin discharge'!H955</f>
        <v>00/00/0000</v>
      </c>
      <c r="G959" s="351"/>
      <c r="H959" s="610"/>
      <c r="I959" s="351"/>
      <c r="J959" s="611"/>
      <c r="K959" s="351"/>
      <c r="L959" s="610"/>
      <c r="M959" s="351"/>
      <c r="N959" s="612"/>
      <c r="O959" s="351"/>
      <c r="P959" s="610"/>
      <c r="Q959" s="351"/>
      <c r="R959" s="612"/>
      <c r="S959" s="351"/>
      <c r="T959" s="610"/>
      <c r="U959" s="351"/>
      <c r="V959" s="613" t="str">
        <f>'refer admin discharge'!H960</f>
        <v>00/00/0000</v>
      </c>
      <c r="W959" s="351"/>
      <c r="X959" s="607"/>
      <c r="Y959" s="351"/>
      <c r="Z959" s="614"/>
      <c r="AA959" s="351"/>
      <c r="AB959" s="607"/>
      <c r="AC959" s="351"/>
      <c r="AD959" s="606"/>
      <c r="AE959" s="351"/>
      <c r="AF959" s="607"/>
      <c r="AG959" s="351"/>
      <c r="AH959" s="606"/>
      <c r="AI959" s="351"/>
      <c r="AJ959" s="607"/>
      <c r="AK959" s="351"/>
      <c r="AL959" s="608"/>
      <c r="AM959" s="350"/>
      <c r="AN959" s="350"/>
      <c r="AO959" s="350"/>
      <c r="AP959" s="350"/>
      <c r="AQ959" s="350"/>
      <c r="AR959" s="350"/>
      <c r="AS959" s="350"/>
      <c r="AT959" s="350"/>
      <c r="AU959" s="350"/>
      <c r="AV959" s="350"/>
      <c r="AW959" s="350"/>
      <c r="AX959" s="350"/>
      <c r="AY959" s="350"/>
      <c r="AZ959" s="350"/>
      <c r="BA959" s="350"/>
      <c r="BB959" s="351"/>
    </row>
    <row r="960" spans="1:54" ht="15.75" customHeight="1">
      <c r="A960" s="25">
        <f t="shared" si="3"/>
        <v>947</v>
      </c>
      <c r="B960" s="618" t="str">
        <f>'refer admin discharge'!B956</f>
        <v>x</v>
      </c>
      <c r="C960" s="351"/>
      <c r="D960" s="619" t="str">
        <f>'refer admin discharge'!D956</f>
        <v>xx</v>
      </c>
      <c r="E960" s="351"/>
      <c r="F960" s="620" t="str">
        <f>'refer admin discharge'!H956</f>
        <v>00/00/0000</v>
      </c>
      <c r="G960" s="351"/>
      <c r="H960" s="615"/>
      <c r="I960" s="351"/>
      <c r="J960" s="621"/>
      <c r="K960" s="351"/>
      <c r="L960" s="615"/>
      <c r="M960" s="351"/>
      <c r="N960" s="610"/>
      <c r="O960" s="351"/>
      <c r="P960" s="615"/>
      <c r="Q960" s="351"/>
      <c r="R960" s="610"/>
      <c r="S960" s="351"/>
      <c r="T960" s="615"/>
      <c r="U960" s="351"/>
      <c r="V960" s="613" t="str">
        <f>'refer admin discharge'!H961</f>
        <v>00/00/0000</v>
      </c>
      <c r="W960" s="351"/>
      <c r="X960" s="616"/>
      <c r="Y960" s="351"/>
      <c r="Z960" s="617"/>
      <c r="AA960" s="351"/>
      <c r="AB960" s="616"/>
      <c r="AC960" s="351"/>
      <c r="AD960" s="607"/>
      <c r="AE960" s="351"/>
      <c r="AF960" s="616"/>
      <c r="AG960" s="351"/>
      <c r="AH960" s="607"/>
      <c r="AI960" s="351"/>
      <c r="AJ960" s="616"/>
      <c r="AK960" s="351"/>
      <c r="AL960" s="622"/>
      <c r="AM960" s="350"/>
      <c r="AN960" s="350"/>
      <c r="AO960" s="350"/>
      <c r="AP960" s="350"/>
      <c r="AQ960" s="350"/>
      <c r="AR960" s="350"/>
      <c r="AS960" s="350"/>
      <c r="AT960" s="350"/>
      <c r="AU960" s="350"/>
      <c r="AV960" s="350"/>
      <c r="AW960" s="350"/>
      <c r="AX960" s="350"/>
      <c r="AY960" s="350"/>
      <c r="AZ960" s="350"/>
      <c r="BA960" s="350"/>
      <c r="BB960" s="351"/>
    </row>
    <row r="961" spans="1:54" ht="15.75" customHeight="1">
      <c r="A961" s="25">
        <f t="shared" si="3"/>
        <v>948</v>
      </c>
      <c r="B961" s="599" t="str">
        <f>'refer admin discharge'!B957</f>
        <v>x</v>
      </c>
      <c r="C961" s="351"/>
      <c r="D961" s="600" t="str">
        <f>'refer admin discharge'!D957</f>
        <v>xx</v>
      </c>
      <c r="E961" s="351"/>
      <c r="F961" s="609" t="str">
        <f>'refer admin discharge'!H957</f>
        <v>00/00/0000</v>
      </c>
      <c r="G961" s="351"/>
      <c r="H961" s="610"/>
      <c r="I961" s="351"/>
      <c r="J961" s="611"/>
      <c r="K961" s="351"/>
      <c r="L961" s="610"/>
      <c r="M961" s="351"/>
      <c r="N961" s="612"/>
      <c r="O961" s="351"/>
      <c r="P961" s="610"/>
      <c r="Q961" s="351"/>
      <c r="R961" s="612"/>
      <c r="S961" s="351"/>
      <c r="T961" s="610"/>
      <c r="U961" s="351"/>
      <c r="V961" s="613" t="str">
        <f>'refer admin discharge'!H962</f>
        <v>00/00/0000</v>
      </c>
      <c r="W961" s="351"/>
      <c r="X961" s="607"/>
      <c r="Y961" s="351"/>
      <c r="Z961" s="614"/>
      <c r="AA961" s="351"/>
      <c r="AB961" s="607"/>
      <c r="AC961" s="351"/>
      <c r="AD961" s="606"/>
      <c r="AE961" s="351"/>
      <c r="AF961" s="607"/>
      <c r="AG961" s="351"/>
      <c r="AH961" s="606"/>
      <c r="AI961" s="351"/>
      <c r="AJ961" s="607"/>
      <c r="AK961" s="351"/>
      <c r="AL961" s="608"/>
      <c r="AM961" s="350"/>
      <c r="AN961" s="350"/>
      <c r="AO961" s="350"/>
      <c r="AP961" s="350"/>
      <c r="AQ961" s="350"/>
      <c r="AR961" s="350"/>
      <c r="AS961" s="350"/>
      <c r="AT961" s="350"/>
      <c r="AU961" s="350"/>
      <c r="AV961" s="350"/>
      <c r="AW961" s="350"/>
      <c r="AX961" s="350"/>
      <c r="AY961" s="350"/>
      <c r="AZ961" s="350"/>
      <c r="BA961" s="350"/>
      <c r="BB961" s="351"/>
    </row>
    <row r="962" spans="1:54" ht="15.75" customHeight="1">
      <c r="A962" s="25">
        <f t="shared" si="3"/>
        <v>949</v>
      </c>
      <c r="B962" s="618" t="str">
        <f>'refer admin discharge'!B958</f>
        <v>x</v>
      </c>
      <c r="C962" s="351"/>
      <c r="D962" s="619" t="str">
        <f>'refer admin discharge'!D958</f>
        <v>xx</v>
      </c>
      <c r="E962" s="351"/>
      <c r="F962" s="620" t="str">
        <f>'refer admin discharge'!H958</f>
        <v>00/00/0000</v>
      </c>
      <c r="G962" s="351"/>
      <c r="H962" s="615"/>
      <c r="I962" s="351"/>
      <c r="J962" s="621"/>
      <c r="K962" s="351"/>
      <c r="L962" s="615"/>
      <c r="M962" s="351"/>
      <c r="N962" s="610"/>
      <c r="O962" s="351"/>
      <c r="P962" s="615"/>
      <c r="Q962" s="351"/>
      <c r="R962" s="610"/>
      <c r="S962" s="351"/>
      <c r="T962" s="615"/>
      <c r="U962" s="351"/>
      <c r="V962" s="613" t="str">
        <f>'refer admin discharge'!H963</f>
        <v>00/00/0000</v>
      </c>
      <c r="W962" s="351"/>
      <c r="X962" s="616"/>
      <c r="Y962" s="351"/>
      <c r="Z962" s="617"/>
      <c r="AA962" s="351"/>
      <c r="AB962" s="616"/>
      <c r="AC962" s="351"/>
      <c r="AD962" s="607"/>
      <c r="AE962" s="351"/>
      <c r="AF962" s="616"/>
      <c r="AG962" s="351"/>
      <c r="AH962" s="607"/>
      <c r="AI962" s="351"/>
      <c r="AJ962" s="616"/>
      <c r="AK962" s="351"/>
      <c r="AL962" s="622"/>
      <c r="AM962" s="350"/>
      <c r="AN962" s="350"/>
      <c r="AO962" s="350"/>
      <c r="AP962" s="350"/>
      <c r="AQ962" s="350"/>
      <c r="AR962" s="350"/>
      <c r="AS962" s="350"/>
      <c r="AT962" s="350"/>
      <c r="AU962" s="350"/>
      <c r="AV962" s="350"/>
      <c r="AW962" s="350"/>
      <c r="AX962" s="350"/>
      <c r="AY962" s="350"/>
      <c r="AZ962" s="350"/>
      <c r="BA962" s="350"/>
      <c r="BB962" s="351"/>
    </row>
    <row r="963" spans="1:54" ht="15.75" customHeight="1">
      <c r="A963" s="25">
        <f t="shared" si="3"/>
        <v>950</v>
      </c>
      <c r="B963" s="599" t="str">
        <f>'refer admin discharge'!B959</f>
        <v>x</v>
      </c>
      <c r="C963" s="351"/>
      <c r="D963" s="600" t="str">
        <f>'refer admin discharge'!D959</f>
        <v>xx</v>
      </c>
      <c r="E963" s="351"/>
      <c r="F963" s="609" t="str">
        <f>'refer admin discharge'!H959</f>
        <v>00/00/0000</v>
      </c>
      <c r="G963" s="351"/>
      <c r="H963" s="610"/>
      <c r="I963" s="351"/>
      <c r="J963" s="611"/>
      <c r="K963" s="351"/>
      <c r="L963" s="610"/>
      <c r="M963" s="351"/>
      <c r="N963" s="612"/>
      <c r="O963" s="351"/>
      <c r="P963" s="610"/>
      <c r="Q963" s="351"/>
      <c r="R963" s="612"/>
      <c r="S963" s="351"/>
      <c r="T963" s="610"/>
      <c r="U963" s="351"/>
      <c r="V963" s="613" t="str">
        <f>'refer admin discharge'!H964</f>
        <v>00/00/0000</v>
      </c>
      <c r="W963" s="351"/>
      <c r="X963" s="607"/>
      <c r="Y963" s="351"/>
      <c r="Z963" s="614"/>
      <c r="AA963" s="351"/>
      <c r="AB963" s="607"/>
      <c r="AC963" s="351"/>
      <c r="AD963" s="606"/>
      <c r="AE963" s="351"/>
      <c r="AF963" s="607"/>
      <c r="AG963" s="351"/>
      <c r="AH963" s="606"/>
      <c r="AI963" s="351"/>
      <c r="AJ963" s="607"/>
      <c r="AK963" s="351"/>
      <c r="AL963" s="608"/>
      <c r="AM963" s="350"/>
      <c r="AN963" s="350"/>
      <c r="AO963" s="350"/>
      <c r="AP963" s="350"/>
      <c r="AQ963" s="350"/>
      <c r="AR963" s="350"/>
      <c r="AS963" s="350"/>
      <c r="AT963" s="350"/>
      <c r="AU963" s="350"/>
      <c r="AV963" s="350"/>
      <c r="AW963" s="350"/>
      <c r="AX963" s="350"/>
      <c r="AY963" s="350"/>
      <c r="AZ963" s="350"/>
      <c r="BA963" s="350"/>
      <c r="BB963" s="351"/>
    </row>
    <row r="964" spans="1:54" ht="15.75" customHeight="1">
      <c r="A964" s="25">
        <f t="shared" si="3"/>
        <v>951</v>
      </c>
      <c r="B964" s="618" t="str">
        <f>'refer admin discharge'!B960</f>
        <v>x</v>
      </c>
      <c r="C964" s="351"/>
      <c r="D964" s="619" t="str">
        <f>'refer admin discharge'!D960</f>
        <v>xx</v>
      </c>
      <c r="E964" s="351"/>
      <c r="F964" s="620" t="str">
        <f>'refer admin discharge'!H960</f>
        <v>00/00/0000</v>
      </c>
      <c r="G964" s="351"/>
      <c r="H964" s="615"/>
      <c r="I964" s="351"/>
      <c r="J964" s="621"/>
      <c r="K964" s="351"/>
      <c r="L964" s="615"/>
      <c r="M964" s="351"/>
      <c r="N964" s="610"/>
      <c r="O964" s="351"/>
      <c r="P964" s="615"/>
      <c r="Q964" s="351"/>
      <c r="R964" s="610"/>
      <c r="S964" s="351"/>
      <c r="T964" s="615"/>
      <c r="U964" s="351"/>
      <c r="V964" s="613" t="str">
        <f>'refer admin discharge'!H965</f>
        <v>00/00/0000</v>
      </c>
      <c r="W964" s="351"/>
      <c r="X964" s="616"/>
      <c r="Y964" s="351"/>
      <c r="Z964" s="617"/>
      <c r="AA964" s="351"/>
      <c r="AB964" s="616"/>
      <c r="AC964" s="351"/>
      <c r="AD964" s="607"/>
      <c r="AE964" s="351"/>
      <c r="AF964" s="616"/>
      <c r="AG964" s="351"/>
      <c r="AH964" s="607"/>
      <c r="AI964" s="351"/>
      <c r="AJ964" s="616"/>
      <c r="AK964" s="351"/>
      <c r="AL964" s="622"/>
      <c r="AM964" s="350"/>
      <c r="AN964" s="350"/>
      <c r="AO964" s="350"/>
      <c r="AP964" s="350"/>
      <c r="AQ964" s="350"/>
      <c r="AR964" s="350"/>
      <c r="AS964" s="350"/>
      <c r="AT964" s="350"/>
      <c r="AU964" s="350"/>
      <c r="AV964" s="350"/>
      <c r="AW964" s="350"/>
      <c r="AX964" s="350"/>
      <c r="AY964" s="350"/>
      <c r="AZ964" s="350"/>
      <c r="BA964" s="350"/>
      <c r="BB964" s="351"/>
    </row>
    <row r="965" spans="1:54" ht="15.75" customHeight="1">
      <c r="A965" s="25">
        <f t="shared" si="3"/>
        <v>952</v>
      </c>
      <c r="B965" s="599" t="str">
        <f>'refer admin discharge'!B961</f>
        <v>x</v>
      </c>
      <c r="C965" s="351"/>
      <c r="D965" s="600" t="str">
        <f>'refer admin discharge'!D961</f>
        <v>xx</v>
      </c>
      <c r="E965" s="351"/>
      <c r="F965" s="609" t="str">
        <f>'refer admin discharge'!H961</f>
        <v>00/00/0000</v>
      </c>
      <c r="G965" s="351"/>
      <c r="H965" s="610"/>
      <c r="I965" s="351"/>
      <c r="J965" s="611"/>
      <c r="K965" s="351"/>
      <c r="L965" s="610"/>
      <c r="M965" s="351"/>
      <c r="N965" s="612"/>
      <c r="O965" s="351"/>
      <c r="P965" s="610"/>
      <c r="Q965" s="351"/>
      <c r="R965" s="612"/>
      <c r="S965" s="351"/>
      <c r="T965" s="610"/>
      <c r="U965" s="351"/>
      <c r="V965" s="613" t="str">
        <f>'refer admin discharge'!H966</f>
        <v>00/00/0000</v>
      </c>
      <c r="W965" s="351"/>
      <c r="X965" s="607"/>
      <c r="Y965" s="351"/>
      <c r="Z965" s="614"/>
      <c r="AA965" s="351"/>
      <c r="AB965" s="607"/>
      <c r="AC965" s="351"/>
      <c r="AD965" s="606"/>
      <c r="AE965" s="351"/>
      <c r="AF965" s="607"/>
      <c r="AG965" s="351"/>
      <c r="AH965" s="606"/>
      <c r="AI965" s="351"/>
      <c r="AJ965" s="607"/>
      <c r="AK965" s="351"/>
      <c r="AL965" s="608"/>
      <c r="AM965" s="350"/>
      <c r="AN965" s="350"/>
      <c r="AO965" s="350"/>
      <c r="AP965" s="350"/>
      <c r="AQ965" s="350"/>
      <c r="AR965" s="350"/>
      <c r="AS965" s="350"/>
      <c r="AT965" s="350"/>
      <c r="AU965" s="350"/>
      <c r="AV965" s="350"/>
      <c r="AW965" s="350"/>
      <c r="AX965" s="350"/>
      <c r="AY965" s="350"/>
      <c r="AZ965" s="350"/>
      <c r="BA965" s="350"/>
      <c r="BB965" s="351"/>
    </row>
    <row r="966" spans="1:54" ht="15.75" customHeight="1">
      <c r="A966" s="25">
        <f t="shared" si="3"/>
        <v>953</v>
      </c>
      <c r="B966" s="618" t="str">
        <f>'refer admin discharge'!B962</f>
        <v>x</v>
      </c>
      <c r="C966" s="351"/>
      <c r="D966" s="619" t="str">
        <f>'refer admin discharge'!D962</f>
        <v>xx</v>
      </c>
      <c r="E966" s="351"/>
      <c r="F966" s="620" t="str">
        <f>'refer admin discharge'!H962</f>
        <v>00/00/0000</v>
      </c>
      <c r="G966" s="351"/>
      <c r="H966" s="615"/>
      <c r="I966" s="351"/>
      <c r="J966" s="621"/>
      <c r="K966" s="351"/>
      <c r="L966" s="615"/>
      <c r="M966" s="351"/>
      <c r="N966" s="610"/>
      <c r="O966" s="351"/>
      <c r="P966" s="615"/>
      <c r="Q966" s="351"/>
      <c r="R966" s="610"/>
      <c r="S966" s="351"/>
      <c r="T966" s="615"/>
      <c r="U966" s="351"/>
      <c r="V966" s="613" t="str">
        <f>'refer admin discharge'!H967</f>
        <v>00/00/0000</v>
      </c>
      <c r="W966" s="351"/>
      <c r="X966" s="616"/>
      <c r="Y966" s="351"/>
      <c r="Z966" s="617"/>
      <c r="AA966" s="351"/>
      <c r="AB966" s="616"/>
      <c r="AC966" s="351"/>
      <c r="AD966" s="607"/>
      <c r="AE966" s="351"/>
      <c r="AF966" s="616"/>
      <c r="AG966" s="351"/>
      <c r="AH966" s="607"/>
      <c r="AI966" s="351"/>
      <c r="AJ966" s="616"/>
      <c r="AK966" s="351"/>
      <c r="AL966" s="622"/>
      <c r="AM966" s="350"/>
      <c r="AN966" s="350"/>
      <c r="AO966" s="350"/>
      <c r="AP966" s="350"/>
      <c r="AQ966" s="350"/>
      <c r="AR966" s="350"/>
      <c r="AS966" s="350"/>
      <c r="AT966" s="350"/>
      <c r="AU966" s="350"/>
      <c r="AV966" s="350"/>
      <c r="AW966" s="350"/>
      <c r="AX966" s="350"/>
      <c r="AY966" s="350"/>
      <c r="AZ966" s="350"/>
      <c r="BA966" s="350"/>
      <c r="BB966" s="351"/>
    </row>
    <row r="967" spans="1:54" ht="15.75" customHeight="1">
      <c r="A967" s="25">
        <f t="shared" si="3"/>
        <v>954</v>
      </c>
      <c r="B967" s="599" t="str">
        <f>'refer admin discharge'!B963</f>
        <v>x</v>
      </c>
      <c r="C967" s="351"/>
      <c r="D967" s="600" t="str">
        <f>'refer admin discharge'!D963</f>
        <v>xx</v>
      </c>
      <c r="E967" s="351"/>
      <c r="F967" s="609" t="str">
        <f>'refer admin discharge'!H963</f>
        <v>00/00/0000</v>
      </c>
      <c r="G967" s="351"/>
      <c r="H967" s="610"/>
      <c r="I967" s="351"/>
      <c r="J967" s="611"/>
      <c r="K967" s="351"/>
      <c r="L967" s="610"/>
      <c r="M967" s="351"/>
      <c r="N967" s="612"/>
      <c r="O967" s="351"/>
      <c r="P967" s="610"/>
      <c r="Q967" s="351"/>
      <c r="R967" s="612"/>
      <c r="S967" s="351"/>
      <c r="T967" s="610"/>
      <c r="U967" s="351"/>
      <c r="V967" s="613" t="str">
        <f>'refer admin discharge'!H968</f>
        <v>00/00/0000</v>
      </c>
      <c r="W967" s="351"/>
      <c r="X967" s="607"/>
      <c r="Y967" s="351"/>
      <c r="Z967" s="614"/>
      <c r="AA967" s="351"/>
      <c r="AB967" s="607"/>
      <c r="AC967" s="351"/>
      <c r="AD967" s="606"/>
      <c r="AE967" s="351"/>
      <c r="AF967" s="607"/>
      <c r="AG967" s="351"/>
      <c r="AH967" s="606"/>
      <c r="AI967" s="351"/>
      <c r="AJ967" s="607"/>
      <c r="AK967" s="351"/>
      <c r="AL967" s="608"/>
      <c r="AM967" s="350"/>
      <c r="AN967" s="350"/>
      <c r="AO967" s="350"/>
      <c r="AP967" s="350"/>
      <c r="AQ967" s="350"/>
      <c r="AR967" s="350"/>
      <c r="AS967" s="350"/>
      <c r="AT967" s="350"/>
      <c r="AU967" s="350"/>
      <c r="AV967" s="350"/>
      <c r="AW967" s="350"/>
      <c r="AX967" s="350"/>
      <c r="AY967" s="350"/>
      <c r="AZ967" s="350"/>
      <c r="BA967" s="350"/>
      <c r="BB967" s="351"/>
    </row>
    <row r="968" spans="1:54" ht="15.75" customHeight="1">
      <c r="A968" s="25">
        <f t="shared" si="3"/>
        <v>955</v>
      </c>
      <c r="B968" s="618" t="str">
        <f>'refer admin discharge'!B964</f>
        <v>x</v>
      </c>
      <c r="C968" s="351"/>
      <c r="D968" s="619" t="str">
        <f>'refer admin discharge'!D964</f>
        <v>xx</v>
      </c>
      <c r="E968" s="351"/>
      <c r="F968" s="620" t="str">
        <f>'refer admin discharge'!H964</f>
        <v>00/00/0000</v>
      </c>
      <c r="G968" s="351"/>
      <c r="H968" s="615"/>
      <c r="I968" s="351"/>
      <c r="J968" s="621"/>
      <c r="K968" s="351"/>
      <c r="L968" s="615"/>
      <c r="M968" s="351"/>
      <c r="N968" s="610"/>
      <c r="O968" s="351"/>
      <c r="P968" s="615"/>
      <c r="Q968" s="351"/>
      <c r="R968" s="610"/>
      <c r="S968" s="351"/>
      <c r="T968" s="615"/>
      <c r="U968" s="351"/>
      <c r="V968" s="613" t="str">
        <f>'refer admin discharge'!H969</f>
        <v>00/00/0000</v>
      </c>
      <c r="W968" s="351"/>
      <c r="X968" s="616"/>
      <c r="Y968" s="351"/>
      <c r="Z968" s="617"/>
      <c r="AA968" s="351"/>
      <c r="AB968" s="616"/>
      <c r="AC968" s="351"/>
      <c r="AD968" s="607"/>
      <c r="AE968" s="351"/>
      <c r="AF968" s="616"/>
      <c r="AG968" s="351"/>
      <c r="AH968" s="607"/>
      <c r="AI968" s="351"/>
      <c r="AJ968" s="616"/>
      <c r="AK968" s="351"/>
      <c r="AL968" s="622"/>
      <c r="AM968" s="350"/>
      <c r="AN968" s="350"/>
      <c r="AO968" s="350"/>
      <c r="AP968" s="350"/>
      <c r="AQ968" s="350"/>
      <c r="AR968" s="350"/>
      <c r="AS968" s="350"/>
      <c r="AT968" s="350"/>
      <c r="AU968" s="350"/>
      <c r="AV968" s="350"/>
      <c r="AW968" s="350"/>
      <c r="AX968" s="350"/>
      <c r="AY968" s="350"/>
      <c r="AZ968" s="350"/>
      <c r="BA968" s="350"/>
      <c r="BB968" s="351"/>
    </row>
    <row r="969" spans="1:54" ht="15.75" customHeight="1">
      <c r="A969" s="25">
        <f t="shared" si="3"/>
        <v>956</v>
      </c>
      <c r="B969" s="599" t="str">
        <f>'refer admin discharge'!B965</f>
        <v>x</v>
      </c>
      <c r="C969" s="351"/>
      <c r="D969" s="600" t="str">
        <f>'refer admin discharge'!D965</f>
        <v>xx</v>
      </c>
      <c r="E969" s="351"/>
      <c r="F969" s="609" t="str">
        <f>'refer admin discharge'!H965</f>
        <v>00/00/0000</v>
      </c>
      <c r="G969" s="351"/>
      <c r="H969" s="610"/>
      <c r="I969" s="351"/>
      <c r="J969" s="611"/>
      <c r="K969" s="351"/>
      <c r="L969" s="610"/>
      <c r="M969" s="351"/>
      <c r="N969" s="612"/>
      <c r="O969" s="351"/>
      <c r="P969" s="610"/>
      <c r="Q969" s="351"/>
      <c r="R969" s="612"/>
      <c r="S969" s="351"/>
      <c r="T969" s="610"/>
      <c r="U969" s="351"/>
      <c r="V969" s="613" t="str">
        <f>'refer admin discharge'!H970</f>
        <v>00/00/0000</v>
      </c>
      <c r="W969" s="351"/>
      <c r="X969" s="607"/>
      <c r="Y969" s="351"/>
      <c r="Z969" s="614"/>
      <c r="AA969" s="351"/>
      <c r="AB969" s="607"/>
      <c r="AC969" s="351"/>
      <c r="AD969" s="606"/>
      <c r="AE969" s="351"/>
      <c r="AF969" s="607"/>
      <c r="AG969" s="351"/>
      <c r="AH969" s="606"/>
      <c r="AI969" s="351"/>
      <c r="AJ969" s="607"/>
      <c r="AK969" s="351"/>
      <c r="AL969" s="608"/>
      <c r="AM969" s="350"/>
      <c r="AN969" s="350"/>
      <c r="AO969" s="350"/>
      <c r="AP969" s="350"/>
      <c r="AQ969" s="350"/>
      <c r="AR969" s="350"/>
      <c r="AS969" s="350"/>
      <c r="AT969" s="350"/>
      <c r="AU969" s="350"/>
      <c r="AV969" s="350"/>
      <c r="AW969" s="350"/>
      <c r="AX969" s="350"/>
      <c r="AY969" s="350"/>
      <c r="AZ969" s="350"/>
      <c r="BA969" s="350"/>
      <c r="BB969" s="351"/>
    </row>
    <row r="970" spans="1:54" ht="15.75" customHeight="1">
      <c r="A970" s="25">
        <f t="shared" si="3"/>
        <v>957</v>
      </c>
      <c r="B970" s="618" t="str">
        <f>'refer admin discharge'!B966</f>
        <v>x</v>
      </c>
      <c r="C970" s="351"/>
      <c r="D970" s="619" t="str">
        <f>'refer admin discharge'!D966</f>
        <v>xx</v>
      </c>
      <c r="E970" s="351"/>
      <c r="F970" s="620" t="str">
        <f>'refer admin discharge'!H966</f>
        <v>00/00/0000</v>
      </c>
      <c r="G970" s="351"/>
      <c r="H970" s="615"/>
      <c r="I970" s="351"/>
      <c r="J970" s="621"/>
      <c r="K970" s="351"/>
      <c r="L970" s="615"/>
      <c r="M970" s="351"/>
      <c r="N970" s="610"/>
      <c r="O970" s="351"/>
      <c r="P970" s="615"/>
      <c r="Q970" s="351"/>
      <c r="R970" s="610"/>
      <c r="S970" s="351"/>
      <c r="T970" s="615"/>
      <c r="U970" s="351"/>
      <c r="V970" s="613" t="str">
        <f>'refer admin discharge'!H971</f>
        <v>00/00/0000</v>
      </c>
      <c r="W970" s="351"/>
      <c r="X970" s="616"/>
      <c r="Y970" s="351"/>
      <c r="Z970" s="617"/>
      <c r="AA970" s="351"/>
      <c r="AB970" s="616"/>
      <c r="AC970" s="351"/>
      <c r="AD970" s="607"/>
      <c r="AE970" s="351"/>
      <c r="AF970" s="616"/>
      <c r="AG970" s="351"/>
      <c r="AH970" s="607"/>
      <c r="AI970" s="351"/>
      <c r="AJ970" s="616"/>
      <c r="AK970" s="351"/>
      <c r="AL970" s="622"/>
      <c r="AM970" s="350"/>
      <c r="AN970" s="350"/>
      <c r="AO970" s="350"/>
      <c r="AP970" s="350"/>
      <c r="AQ970" s="350"/>
      <c r="AR970" s="350"/>
      <c r="AS970" s="350"/>
      <c r="AT970" s="350"/>
      <c r="AU970" s="350"/>
      <c r="AV970" s="350"/>
      <c r="AW970" s="350"/>
      <c r="AX970" s="350"/>
      <c r="AY970" s="350"/>
      <c r="AZ970" s="350"/>
      <c r="BA970" s="350"/>
      <c r="BB970" s="351"/>
    </row>
    <row r="971" spans="1:54" ht="15.75" customHeight="1">
      <c r="A971" s="25">
        <f t="shared" si="3"/>
        <v>958</v>
      </c>
      <c r="B971" s="599" t="str">
        <f>'refer admin discharge'!B967</f>
        <v>x</v>
      </c>
      <c r="C971" s="351"/>
      <c r="D971" s="600" t="str">
        <f>'refer admin discharge'!D967</f>
        <v>xx</v>
      </c>
      <c r="E971" s="351"/>
      <c r="F971" s="609" t="str">
        <f>'refer admin discharge'!H967</f>
        <v>00/00/0000</v>
      </c>
      <c r="G971" s="351"/>
      <c r="H971" s="610"/>
      <c r="I971" s="351"/>
      <c r="J971" s="611"/>
      <c r="K971" s="351"/>
      <c r="L971" s="610"/>
      <c r="M971" s="351"/>
      <c r="N971" s="612"/>
      <c r="O971" s="351"/>
      <c r="P971" s="610"/>
      <c r="Q971" s="351"/>
      <c r="R971" s="612"/>
      <c r="S971" s="351"/>
      <c r="T971" s="610"/>
      <c r="U971" s="351"/>
      <c r="V971" s="613" t="str">
        <f>'refer admin discharge'!H972</f>
        <v>00/00/0000</v>
      </c>
      <c r="W971" s="351"/>
      <c r="X971" s="607"/>
      <c r="Y971" s="351"/>
      <c r="Z971" s="614"/>
      <c r="AA971" s="351"/>
      <c r="AB971" s="607"/>
      <c r="AC971" s="351"/>
      <c r="AD971" s="606"/>
      <c r="AE971" s="351"/>
      <c r="AF971" s="607"/>
      <c r="AG971" s="351"/>
      <c r="AH971" s="606"/>
      <c r="AI971" s="351"/>
      <c r="AJ971" s="607"/>
      <c r="AK971" s="351"/>
      <c r="AL971" s="608"/>
      <c r="AM971" s="350"/>
      <c r="AN971" s="350"/>
      <c r="AO971" s="350"/>
      <c r="AP971" s="350"/>
      <c r="AQ971" s="350"/>
      <c r="AR971" s="350"/>
      <c r="AS971" s="350"/>
      <c r="AT971" s="350"/>
      <c r="AU971" s="350"/>
      <c r="AV971" s="350"/>
      <c r="AW971" s="350"/>
      <c r="AX971" s="350"/>
      <c r="AY971" s="350"/>
      <c r="AZ971" s="350"/>
      <c r="BA971" s="350"/>
      <c r="BB971" s="351"/>
    </row>
    <row r="972" spans="1:54" ht="15.75" customHeight="1">
      <c r="A972" s="25">
        <f t="shared" si="3"/>
        <v>959</v>
      </c>
      <c r="B972" s="618" t="str">
        <f>'refer admin discharge'!B968</f>
        <v>x</v>
      </c>
      <c r="C972" s="351"/>
      <c r="D972" s="619" t="str">
        <f>'refer admin discharge'!D968</f>
        <v>xx</v>
      </c>
      <c r="E972" s="351"/>
      <c r="F972" s="620" t="str">
        <f>'refer admin discharge'!H968</f>
        <v>00/00/0000</v>
      </c>
      <c r="G972" s="351"/>
      <c r="H972" s="615"/>
      <c r="I972" s="351"/>
      <c r="J972" s="621"/>
      <c r="K972" s="351"/>
      <c r="L972" s="615"/>
      <c r="M972" s="351"/>
      <c r="N972" s="610"/>
      <c r="O972" s="351"/>
      <c r="P972" s="615"/>
      <c r="Q972" s="351"/>
      <c r="R972" s="610"/>
      <c r="S972" s="351"/>
      <c r="T972" s="615"/>
      <c r="U972" s="351"/>
      <c r="V972" s="613" t="str">
        <f>'refer admin discharge'!H973</f>
        <v>00/00/0000</v>
      </c>
      <c r="W972" s="351"/>
      <c r="X972" s="616"/>
      <c r="Y972" s="351"/>
      <c r="Z972" s="617"/>
      <c r="AA972" s="351"/>
      <c r="AB972" s="616"/>
      <c r="AC972" s="351"/>
      <c r="AD972" s="607"/>
      <c r="AE972" s="351"/>
      <c r="AF972" s="616"/>
      <c r="AG972" s="351"/>
      <c r="AH972" s="607"/>
      <c r="AI972" s="351"/>
      <c r="AJ972" s="616"/>
      <c r="AK972" s="351"/>
      <c r="AL972" s="622"/>
      <c r="AM972" s="350"/>
      <c r="AN972" s="350"/>
      <c r="AO972" s="350"/>
      <c r="AP972" s="350"/>
      <c r="AQ972" s="350"/>
      <c r="AR972" s="350"/>
      <c r="AS972" s="350"/>
      <c r="AT972" s="350"/>
      <c r="AU972" s="350"/>
      <c r="AV972" s="350"/>
      <c r="AW972" s="350"/>
      <c r="AX972" s="350"/>
      <c r="AY972" s="350"/>
      <c r="AZ972" s="350"/>
      <c r="BA972" s="350"/>
      <c r="BB972" s="351"/>
    </row>
    <row r="973" spans="1:54" ht="15.75" customHeight="1">
      <c r="A973" s="25">
        <f t="shared" si="3"/>
        <v>960</v>
      </c>
      <c r="B973" s="599" t="str">
        <f>'refer admin discharge'!B969</f>
        <v>x</v>
      </c>
      <c r="C973" s="351"/>
      <c r="D973" s="600" t="str">
        <f>'refer admin discharge'!D969</f>
        <v>xx</v>
      </c>
      <c r="E973" s="351"/>
      <c r="F973" s="609" t="str">
        <f>'refer admin discharge'!H969</f>
        <v>00/00/0000</v>
      </c>
      <c r="G973" s="351"/>
      <c r="H973" s="610"/>
      <c r="I973" s="351"/>
      <c r="J973" s="611"/>
      <c r="K973" s="351"/>
      <c r="L973" s="610"/>
      <c r="M973" s="351"/>
      <c r="N973" s="612"/>
      <c r="O973" s="351"/>
      <c r="P973" s="610"/>
      <c r="Q973" s="351"/>
      <c r="R973" s="612"/>
      <c r="S973" s="351"/>
      <c r="T973" s="610"/>
      <c r="U973" s="351"/>
      <c r="V973" s="613" t="str">
        <f>'refer admin discharge'!H974</f>
        <v>00/00/0000</v>
      </c>
      <c r="W973" s="351"/>
      <c r="X973" s="607"/>
      <c r="Y973" s="351"/>
      <c r="Z973" s="614"/>
      <c r="AA973" s="351"/>
      <c r="AB973" s="607"/>
      <c r="AC973" s="351"/>
      <c r="AD973" s="606"/>
      <c r="AE973" s="351"/>
      <c r="AF973" s="607"/>
      <c r="AG973" s="351"/>
      <c r="AH973" s="606"/>
      <c r="AI973" s="351"/>
      <c r="AJ973" s="607"/>
      <c r="AK973" s="351"/>
      <c r="AL973" s="608"/>
      <c r="AM973" s="350"/>
      <c r="AN973" s="350"/>
      <c r="AO973" s="350"/>
      <c r="AP973" s="350"/>
      <c r="AQ973" s="350"/>
      <c r="AR973" s="350"/>
      <c r="AS973" s="350"/>
      <c r="AT973" s="350"/>
      <c r="AU973" s="350"/>
      <c r="AV973" s="350"/>
      <c r="AW973" s="350"/>
      <c r="AX973" s="350"/>
      <c r="AY973" s="350"/>
      <c r="AZ973" s="350"/>
      <c r="BA973" s="350"/>
      <c r="BB973" s="351"/>
    </row>
    <row r="974" spans="1:54" ht="15.75" customHeight="1">
      <c r="A974" s="25">
        <f t="shared" si="3"/>
        <v>961</v>
      </c>
      <c r="B974" s="618" t="str">
        <f>'refer admin discharge'!B970</f>
        <v>x</v>
      </c>
      <c r="C974" s="351"/>
      <c r="D974" s="619" t="str">
        <f>'refer admin discharge'!D970</f>
        <v>xx</v>
      </c>
      <c r="E974" s="351"/>
      <c r="F974" s="620" t="str">
        <f>'refer admin discharge'!H970</f>
        <v>00/00/0000</v>
      </c>
      <c r="G974" s="351"/>
      <c r="H974" s="615"/>
      <c r="I974" s="351"/>
      <c r="J974" s="621"/>
      <c r="K974" s="351"/>
      <c r="L974" s="615"/>
      <c r="M974" s="351"/>
      <c r="N974" s="610"/>
      <c r="O974" s="351"/>
      <c r="P974" s="615"/>
      <c r="Q974" s="351"/>
      <c r="R974" s="610"/>
      <c r="S974" s="351"/>
      <c r="T974" s="615"/>
      <c r="U974" s="351"/>
      <c r="V974" s="613" t="str">
        <f>'refer admin discharge'!H975</f>
        <v>00/00/0000</v>
      </c>
      <c r="W974" s="351"/>
      <c r="X974" s="616"/>
      <c r="Y974" s="351"/>
      <c r="Z974" s="617"/>
      <c r="AA974" s="351"/>
      <c r="AB974" s="616"/>
      <c r="AC974" s="351"/>
      <c r="AD974" s="607"/>
      <c r="AE974" s="351"/>
      <c r="AF974" s="616"/>
      <c r="AG974" s="351"/>
      <c r="AH974" s="607"/>
      <c r="AI974" s="351"/>
      <c r="AJ974" s="616"/>
      <c r="AK974" s="351"/>
      <c r="AL974" s="622"/>
      <c r="AM974" s="350"/>
      <c r="AN974" s="350"/>
      <c r="AO974" s="350"/>
      <c r="AP974" s="350"/>
      <c r="AQ974" s="350"/>
      <c r="AR974" s="350"/>
      <c r="AS974" s="350"/>
      <c r="AT974" s="350"/>
      <c r="AU974" s="350"/>
      <c r="AV974" s="350"/>
      <c r="AW974" s="350"/>
      <c r="AX974" s="350"/>
      <c r="AY974" s="350"/>
      <c r="AZ974" s="350"/>
      <c r="BA974" s="350"/>
      <c r="BB974" s="351"/>
    </row>
    <row r="975" spans="1:54" ht="15.75" customHeight="1">
      <c r="A975" s="25">
        <f t="shared" si="3"/>
        <v>962</v>
      </c>
      <c r="B975" s="599" t="str">
        <f>'refer admin discharge'!B971</f>
        <v>x</v>
      </c>
      <c r="C975" s="351"/>
      <c r="D975" s="600" t="str">
        <f>'refer admin discharge'!D971</f>
        <v>xx</v>
      </c>
      <c r="E975" s="351"/>
      <c r="F975" s="609" t="str">
        <f>'refer admin discharge'!H971</f>
        <v>00/00/0000</v>
      </c>
      <c r="G975" s="351"/>
      <c r="H975" s="610"/>
      <c r="I975" s="351"/>
      <c r="J975" s="611"/>
      <c r="K975" s="351"/>
      <c r="L975" s="610"/>
      <c r="M975" s="351"/>
      <c r="N975" s="612"/>
      <c r="O975" s="351"/>
      <c r="P975" s="610"/>
      <c r="Q975" s="351"/>
      <c r="R975" s="612"/>
      <c r="S975" s="351"/>
      <c r="T975" s="610"/>
      <c r="U975" s="351"/>
      <c r="V975" s="613" t="str">
        <f>'refer admin discharge'!H976</f>
        <v>00/00/0000</v>
      </c>
      <c r="W975" s="351"/>
      <c r="X975" s="607"/>
      <c r="Y975" s="351"/>
      <c r="Z975" s="614"/>
      <c r="AA975" s="351"/>
      <c r="AB975" s="607"/>
      <c r="AC975" s="351"/>
      <c r="AD975" s="606"/>
      <c r="AE975" s="351"/>
      <c r="AF975" s="607"/>
      <c r="AG975" s="351"/>
      <c r="AH975" s="606"/>
      <c r="AI975" s="351"/>
      <c r="AJ975" s="607"/>
      <c r="AK975" s="351"/>
      <c r="AL975" s="608"/>
      <c r="AM975" s="350"/>
      <c r="AN975" s="350"/>
      <c r="AO975" s="350"/>
      <c r="AP975" s="350"/>
      <c r="AQ975" s="350"/>
      <c r="AR975" s="350"/>
      <c r="AS975" s="350"/>
      <c r="AT975" s="350"/>
      <c r="AU975" s="350"/>
      <c r="AV975" s="350"/>
      <c r="AW975" s="350"/>
      <c r="AX975" s="350"/>
      <c r="AY975" s="350"/>
      <c r="AZ975" s="350"/>
      <c r="BA975" s="350"/>
      <c r="BB975" s="351"/>
    </row>
    <row r="976" spans="1:54" ht="15.75" customHeight="1">
      <c r="A976" s="25">
        <f t="shared" si="3"/>
        <v>963</v>
      </c>
      <c r="B976" s="618" t="str">
        <f>'refer admin discharge'!B972</f>
        <v>x</v>
      </c>
      <c r="C976" s="351"/>
      <c r="D976" s="619" t="str">
        <f>'refer admin discharge'!D972</f>
        <v>xx</v>
      </c>
      <c r="E976" s="351"/>
      <c r="F976" s="620" t="str">
        <f>'refer admin discharge'!H972</f>
        <v>00/00/0000</v>
      </c>
      <c r="G976" s="351"/>
      <c r="H976" s="615"/>
      <c r="I976" s="351"/>
      <c r="J976" s="621"/>
      <c r="K976" s="351"/>
      <c r="L976" s="615"/>
      <c r="M976" s="351"/>
      <c r="N976" s="610"/>
      <c r="O976" s="351"/>
      <c r="P976" s="615"/>
      <c r="Q976" s="351"/>
      <c r="R976" s="610"/>
      <c r="S976" s="351"/>
      <c r="T976" s="615"/>
      <c r="U976" s="351"/>
      <c r="V976" s="613" t="str">
        <f>'refer admin discharge'!H977</f>
        <v>00/00/0000</v>
      </c>
      <c r="W976" s="351"/>
      <c r="X976" s="616"/>
      <c r="Y976" s="351"/>
      <c r="Z976" s="617"/>
      <c r="AA976" s="351"/>
      <c r="AB976" s="616"/>
      <c r="AC976" s="351"/>
      <c r="AD976" s="607"/>
      <c r="AE976" s="351"/>
      <c r="AF976" s="616"/>
      <c r="AG976" s="351"/>
      <c r="AH976" s="607"/>
      <c r="AI976" s="351"/>
      <c r="AJ976" s="616"/>
      <c r="AK976" s="351"/>
      <c r="AL976" s="622"/>
      <c r="AM976" s="350"/>
      <c r="AN976" s="350"/>
      <c r="AO976" s="350"/>
      <c r="AP976" s="350"/>
      <c r="AQ976" s="350"/>
      <c r="AR976" s="350"/>
      <c r="AS976" s="350"/>
      <c r="AT976" s="350"/>
      <c r="AU976" s="350"/>
      <c r="AV976" s="350"/>
      <c r="AW976" s="350"/>
      <c r="AX976" s="350"/>
      <c r="AY976" s="350"/>
      <c r="AZ976" s="350"/>
      <c r="BA976" s="350"/>
      <c r="BB976" s="351"/>
    </row>
    <row r="977" spans="1:54" ht="15.75" customHeight="1">
      <c r="A977" s="25">
        <f t="shared" si="3"/>
        <v>964</v>
      </c>
      <c r="B977" s="599" t="str">
        <f>'refer admin discharge'!B973</f>
        <v>x</v>
      </c>
      <c r="C977" s="351"/>
      <c r="D977" s="600" t="str">
        <f>'refer admin discharge'!D973</f>
        <v>xx</v>
      </c>
      <c r="E977" s="351"/>
      <c r="F977" s="609" t="str">
        <f>'refer admin discharge'!H973</f>
        <v>00/00/0000</v>
      </c>
      <c r="G977" s="351"/>
      <c r="H977" s="610"/>
      <c r="I977" s="351"/>
      <c r="J977" s="611"/>
      <c r="K977" s="351"/>
      <c r="L977" s="610"/>
      <c r="M977" s="351"/>
      <c r="N977" s="612"/>
      <c r="O977" s="351"/>
      <c r="P977" s="610"/>
      <c r="Q977" s="351"/>
      <c r="R977" s="612"/>
      <c r="S977" s="351"/>
      <c r="T977" s="610"/>
      <c r="U977" s="351"/>
      <c r="V977" s="613" t="str">
        <f>'refer admin discharge'!H978</f>
        <v>00/00/0000</v>
      </c>
      <c r="W977" s="351"/>
      <c r="X977" s="607"/>
      <c r="Y977" s="351"/>
      <c r="Z977" s="614"/>
      <c r="AA977" s="351"/>
      <c r="AB977" s="607"/>
      <c r="AC977" s="351"/>
      <c r="AD977" s="606"/>
      <c r="AE977" s="351"/>
      <c r="AF977" s="607"/>
      <c r="AG977" s="351"/>
      <c r="AH977" s="606"/>
      <c r="AI977" s="351"/>
      <c r="AJ977" s="607"/>
      <c r="AK977" s="351"/>
      <c r="AL977" s="608"/>
      <c r="AM977" s="350"/>
      <c r="AN977" s="350"/>
      <c r="AO977" s="350"/>
      <c r="AP977" s="350"/>
      <c r="AQ977" s="350"/>
      <c r="AR977" s="350"/>
      <c r="AS977" s="350"/>
      <c r="AT977" s="350"/>
      <c r="AU977" s="350"/>
      <c r="AV977" s="350"/>
      <c r="AW977" s="350"/>
      <c r="AX977" s="350"/>
      <c r="AY977" s="350"/>
      <c r="AZ977" s="350"/>
      <c r="BA977" s="350"/>
      <c r="BB977" s="351"/>
    </row>
    <row r="978" spans="1:54" ht="15.75" customHeight="1">
      <c r="A978" s="25">
        <f t="shared" si="3"/>
        <v>965</v>
      </c>
      <c r="B978" s="618" t="str">
        <f>'refer admin discharge'!B974</f>
        <v>x</v>
      </c>
      <c r="C978" s="351"/>
      <c r="D978" s="619" t="str">
        <f>'refer admin discharge'!D974</f>
        <v>xx</v>
      </c>
      <c r="E978" s="351"/>
      <c r="F978" s="620" t="str">
        <f>'refer admin discharge'!H974</f>
        <v>00/00/0000</v>
      </c>
      <c r="G978" s="351"/>
      <c r="H978" s="615"/>
      <c r="I978" s="351"/>
      <c r="J978" s="621"/>
      <c r="K978" s="351"/>
      <c r="L978" s="615"/>
      <c r="M978" s="351"/>
      <c r="N978" s="610"/>
      <c r="O978" s="351"/>
      <c r="P978" s="615"/>
      <c r="Q978" s="351"/>
      <c r="R978" s="610"/>
      <c r="S978" s="351"/>
      <c r="T978" s="615"/>
      <c r="U978" s="351"/>
      <c r="V978" s="613" t="str">
        <f>'refer admin discharge'!H979</f>
        <v>00/00/0000</v>
      </c>
      <c r="W978" s="351"/>
      <c r="X978" s="616"/>
      <c r="Y978" s="351"/>
      <c r="Z978" s="617"/>
      <c r="AA978" s="351"/>
      <c r="AB978" s="616"/>
      <c r="AC978" s="351"/>
      <c r="AD978" s="607"/>
      <c r="AE978" s="351"/>
      <c r="AF978" s="616"/>
      <c r="AG978" s="351"/>
      <c r="AH978" s="607"/>
      <c r="AI978" s="351"/>
      <c r="AJ978" s="616"/>
      <c r="AK978" s="351"/>
      <c r="AL978" s="622"/>
      <c r="AM978" s="350"/>
      <c r="AN978" s="350"/>
      <c r="AO978" s="350"/>
      <c r="AP978" s="350"/>
      <c r="AQ978" s="350"/>
      <c r="AR978" s="350"/>
      <c r="AS978" s="350"/>
      <c r="AT978" s="350"/>
      <c r="AU978" s="350"/>
      <c r="AV978" s="350"/>
      <c r="AW978" s="350"/>
      <c r="AX978" s="350"/>
      <c r="AY978" s="350"/>
      <c r="AZ978" s="350"/>
      <c r="BA978" s="350"/>
      <c r="BB978" s="351"/>
    </row>
    <row r="979" spans="1:54" ht="15.75" customHeight="1">
      <c r="A979" s="25">
        <f t="shared" si="3"/>
        <v>966</v>
      </c>
      <c r="B979" s="599" t="str">
        <f>'refer admin discharge'!B975</f>
        <v>x</v>
      </c>
      <c r="C979" s="351"/>
      <c r="D979" s="600" t="str">
        <f>'refer admin discharge'!D975</f>
        <v>xx</v>
      </c>
      <c r="E979" s="351"/>
      <c r="F979" s="609" t="str">
        <f>'refer admin discharge'!H975</f>
        <v>00/00/0000</v>
      </c>
      <c r="G979" s="351"/>
      <c r="H979" s="610"/>
      <c r="I979" s="351"/>
      <c r="J979" s="611"/>
      <c r="K979" s="351"/>
      <c r="L979" s="610"/>
      <c r="M979" s="351"/>
      <c r="N979" s="612"/>
      <c r="O979" s="351"/>
      <c r="P979" s="610"/>
      <c r="Q979" s="351"/>
      <c r="R979" s="612"/>
      <c r="S979" s="351"/>
      <c r="T979" s="610"/>
      <c r="U979" s="351"/>
      <c r="V979" s="613" t="str">
        <f>'refer admin discharge'!H980</f>
        <v>00/00/0000</v>
      </c>
      <c r="W979" s="351"/>
      <c r="X979" s="607"/>
      <c r="Y979" s="351"/>
      <c r="Z979" s="614"/>
      <c r="AA979" s="351"/>
      <c r="AB979" s="607"/>
      <c r="AC979" s="351"/>
      <c r="AD979" s="606"/>
      <c r="AE979" s="351"/>
      <c r="AF979" s="607"/>
      <c r="AG979" s="351"/>
      <c r="AH979" s="606"/>
      <c r="AI979" s="351"/>
      <c r="AJ979" s="607"/>
      <c r="AK979" s="351"/>
      <c r="AL979" s="608"/>
      <c r="AM979" s="350"/>
      <c r="AN979" s="350"/>
      <c r="AO979" s="350"/>
      <c r="AP979" s="350"/>
      <c r="AQ979" s="350"/>
      <c r="AR979" s="350"/>
      <c r="AS979" s="350"/>
      <c r="AT979" s="350"/>
      <c r="AU979" s="350"/>
      <c r="AV979" s="350"/>
      <c r="AW979" s="350"/>
      <c r="AX979" s="350"/>
      <c r="AY979" s="350"/>
      <c r="AZ979" s="350"/>
      <c r="BA979" s="350"/>
      <c r="BB979" s="351"/>
    </row>
    <row r="980" spans="1:54" ht="15.75" customHeight="1">
      <c r="A980" s="25">
        <f t="shared" si="3"/>
        <v>967</v>
      </c>
      <c r="B980" s="618" t="str">
        <f>'refer admin discharge'!B976</f>
        <v>x</v>
      </c>
      <c r="C980" s="351"/>
      <c r="D980" s="619" t="str">
        <f>'refer admin discharge'!D976</f>
        <v>xx</v>
      </c>
      <c r="E980" s="351"/>
      <c r="F980" s="620" t="str">
        <f>'refer admin discharge'!H976</f>
        <v>00/00/0000</v>
      </c>
      <c r="G980" s="351"/>
      <c r="H980" s="615"/>
      <c r="I980" s="351"/>
      <c r="J980" s="621"/>
      <c r="K980" s="351"/>
      <c r="L980" s="615"/>
      <c r="M980" s="351"/>
      <c r="N980" s="610"/>
      <c r="O980" s="351"/>
      <c r="P980" s="615"/>
      <c r="Q980" s="351"/>
      <c r="R980" s="610"/>
      <c r="S980" s="351"/>
      <c r="T980" s="615"/>
      <c r="U980" s="351"/>
      <c r="V980" s="613" t="str">
        <f>'refer admin discharge'!H981</f>
        <v>00/00/0000</v>
      </c>
      <c r="W980" s="351"/>
      <c r="X980" s="616"/>
      <c r="Y980" s="351"/>
      <c r="Z980" s="617"/>
      <c r="AA980" s="351"/>
      <c r="AB980" s="616"/>
      <c r="AC980" s="351"/>
      <c r="AD980" s="607"/>
      <c r="AE980" s="351"/>
      <c r="AF980" s="616"/>
      <c r="AG980" s="351"/>
      <c r="AH980" s="607"/>
      <c r="AI980" s="351"/>
      <c r="AJ980" s="616"/>
      <c r="AK980" s="351"/>
      <c r="AL980" s="622"/>
      <c r="AM980" s="350"/>
      <c r="AN980" s="350"/>
      <c r="AO980" s="350"/>
      <c r="AP980" s="350"/>
      <c r="AQ980" s="350"/>
      <c r="AR980" s="350"/>
      <c r="AS980" s="350"/>
      <c r="AT980" s="350"/>
      <c r="AU980" s="350"/>
      <c r="AV980" s="350"/>
      <c r="AW980" s="350"/>
      <c r="AX980" s="350"/>
      <c r="AY980" s="350"/>
      <c r="AZ980" s="350"/>
      <c r="BA980" s="350"/>
      <c r="BB980" s="351"/>
    </row>
    <row r="981" spans="1:54" ht="15.75" customHeight="1">
      <c r="A981" s="25">
        <f t="shared" si="3"/>
        <v>968</v>
      </c>
      <c r="B981" s="599" t="str">
        <f>'refer admin discharge'!B977</f>
        <v>x</v>
      </c>
      <c r="C981" s="351"/>
      <c r="D981" s="600" t="str">
        <f>'refer admin discharge'!D977</f>
        <v>xx</v>
      </c>
      <c r="E981" s="351"/>
      <c r="F981" s="609" t="str">
        <f>'refer admin discharge'!H977</f>
        <v>00/00/0000</v>
      </c>
      <c r="G981" s="351"/>
      <c r="H981" s="610"/>
      <c r="I981" s="351"/>
      <c r="J981" s="611"/>
      <c r="K981" s="351"/>
      <c r="L981" s="610"/>
      <c r="M981" s="351"/>
      <c r="N981" s="612"/>
      <c r="O981" s="351"/>
      <c r="P981" s="610"/>
      <c r="Q981" s="351"/>
      <c r="R981" s="612"/>
      <c r="S981" s="351"/>
      <c r="T981" s="610"/>
      <c r="U981" s="351"/>
      <c r="V981" s="613" t="str">
        <f>'refer admin discharge'!H982</f>
        <v>00/00/0000</v>
      </c>
      <c r="W981" s="351"/>
      <c r="X981" s="607"/>
      <c r="Y981" s="351"/>
      <c r="Z981" s="614"/>
      <c r="AA981" s="351"/>
      <c r="AB981" s="607"/>
      <c r="AC981" s="351"/>
      <c r="AD981" s="606"/>
      <c r="AE981" s="351"/>
      <c r="AF981" s="607"/>
      <c r="AG981" s="351"/>
      <c r="AH981" s="606"/>
      <c r="AI981" s="351"/>
      <c r="AJ981" s="607"/>
      <c r="AK981" s="351"/>
      <c r="AL981" s="608"/>
      <c r="AM981" s="350"/>
      <c r="AN981" s="350"/>
      <c r="AO981" s="350"/>
      <c r="AP981" s="350"/>
      <c r="AQ981" s="350"/>
      <c r="AR981" s="350"/>
      <c r="AS981" s="350"/>
      <c r="AT981" s="350"/>
      <c r="AU981" s="350"/>
      <c r="AV981" s="350"/>
      <c r="AW981" s="350"/>
      <c r="AX981" s="350"/>
      <c r="AY981" s="350"/>
      <c r="AZ981" s="350"/>
      <c r="BA981" s="350"/>
      <c r="BB981" s="351"/>
    </row>
    <row r="982" spans="1:54" ht="15.75" customHeight="1">
      <c r="A982" s="25">
        <f t="shared" si="3"/>
        <v>969</v>
      </c>
      <c r="B982" s="618" t="str">
        <f>'refer admin discharge'!B978</f>
        <v>x</v>
      </c>
      <c r="C982" s="351"/>
      <c r="D982" s="619" t="str">
        <f>'refer admin discharge'!D978</f>
        <v>xx</v>
      </c>
      <c r="E982" s="351"/>
      <c r="F982" s="620" t="str">
        <f>'refer admin discharge'!H978</f>
        <v>00/00/0000</v>
      </c>
      <c r="G982" s="351"/>
      <c r="H982" s="615"/>
      <c r="I982" s="351"/>
      <c r="J982" s="621"/>
      <c r="K982" s="351"/>
      <c r="L982" s="615"/>
      <c r="M982" s="351"/>
      <c r="N982" s="610"/>
      <c r="O982" s="351"/>
      <c r="P982" s="615"/>
      <c r="Q982" s="351"/>
      <c r="R982" s="610"/>
      <c r="S982" s="351"/>
      <c r="T982" s="615"/>
      <c r="U982" s="351"/>
      <c r="V982" s="613" t="str">
        <f>'refer admin discharge'!H983</f>
        <v>00/00/0000</v>
      </c>
      <c r="W982" s="351"/>
      <c r="X982" s="616"/>
      <c r="Y982" s="351"/>
      <c r="Z982" s="617"/>
      <c r="AA982" s="351"/>
      <c r="AB982" s="616"/>
      <c r="AC982" s="351"/>
      <c r="AD982" s="607"/>
      <c r="AE982" s="351"/>
      <c r="AF982" s="616"/>
      <c r="AG982" s="351"/>
      <c r="AH982" s="607"/>
      <c r="AI982" s="351"/>
      <c r="AJ982" s="616"/>
      <c r="AK982" s="351"/>
      <c r="AL982" s="622"/>
      <c r="AM982" s="350"/>
      <c r="AN982" s="350"/>
      <c r="AO982" s="350"/>
      <c r="AP982" s="350"/>
      <c r="AQ982" s="350"/>
      <c r="AR982" s="350"/>
      <c r="AS982" s="350"/>
      <c r="AT982" s="350"/>
      <c r="AU982" s="350"/>
      <c r="AV982" s="350"/>
      <c r="AW982" s="350"/>
      <c r="AX982" s="350"/>
      <c r="AY982" s="350"/>
      <c r="AZ982" s="350"/>
      <c r="BA982" s="350"/>
      <c r="BB982" s="351"/>
    </row>
    <row r="983" spans="1:54" ht="15.75" customHeight="1">
      <c r="A983" s="25">
        <f t="shared" si="3"/>
        <v>970</v>
      </c>
      <c r="B983" s="599" t="str">
        <f>'refer admin discharge'!B979</f>
        <v>x</v>
      </c>
      <c r="C983" s="351"/>
      <c r="D983" s="600" t="str">
        <f>'refer admin discharge'!D979</f>
        <v>xx</v>
      </c>
      <c r="E983" s="351"/>
      <c r="F983" s="609" t="str">
        <f>'refer admin discharge'!H979</f>
        <v>00/00/0000</v>
      </c>
      <c r="G983" s="351"/>
      <c r="H983" s="610"/>
      <c r="I983" s="351"/>
      <c r="J983" s="611"/>
      <c r="K983" s="351"/>
      <c r="L983" s="610"/>
      <c r="M983" s="351"/>
      <c r="N983" s="612"/>
      <c r="O983" s="351"/>
      <c r="P983" s="610"/>
      <c r="Q983" s="351"/>
      <c r="R983" s="612"/>
      <c r="S983" s="351"/>
      <c r="T983" s="610"/>
      <c r="U983" s="351"/>
      <c r="V983" s="613" t="str">
        <f>'refer admin discharge'!H984</f>
        <v>00/00/0000</v>
      </c>
      <c r="W983" s="351"/>
      <c r="X983" s="607"/>
      <c r="Y983" s="351"/>
      <c r="Z983" s="614"/>
      <c r="AA983" s="351"/>
      <c r="AB983" s="607"/>
      <c r="AC983" s="351"/>
      <c r="AD983" s="606"/>
      <c r="AE983" s="351"/>
      <c r="AF983" s="607"/>
      <c r="AG983" s="351"/>
      <c r="AH983" s="606"/>
      <c r="AI983" s="351"/>
      <c r="AJ983" s="607"/>
      <c r="AK983" s="351"/>
      <c r="AL983" s="608"/>
      <c r="AM983" s="350"/>
      <c r="AN983" s="350"/>
      <c r="AO983" s="350"/>
      <c r="AP983" s="350"/>
      <c r="AQ983" s="350"/>
      <c r="AR983" s="350"/>
      <c r="AS983" s="350"/>
      <c r="AT983" s="350"/>
      <c r="AU983" s="350"/>
      <c r="AV983" s="350"/>
      <c r="AW983" s="350"/>
      <c r="AX983" s="350"/>
      <c r="AY983" s="350"/>
      <c r="AZ983" s="350"/>
      <c r="BA983" s="350"/>
      <c r="BB983" s="351"/>
    </row>
    <row r="984" spans="1:54" ht="15.75" customHeight="1">
      <c r="A984" s="25">
        <f t="shared" si="3"/>
        <v>971</v>
      </c>
      <c r="B984" s="618" t="str">
        <f>'refer admin discharge'!B980</f>
        <v>x</v>
      </c>
      <c r="C984" s="351"/>
      <c r="D984" s="619" t="str">
        <f>'refer admin discharge'!D980</f>
        <v>xx</v>
      </c>
      <c r="E984" s="351"/>
      <c r="F984" s="620" t="str">
        <f>'refer admin discharge'!H980</f>
        <v>00/00/0000</v>
      </c>
      <c r="G984" s="351"/>
      <c r="H984" s="615"/>
      <c r="I984" s="351"/>
      <c r="J984" s="621"/>
      <c r="K984" s="351"/>
      <c r="L984" s="615"/>
      <c r="M984" s="351"/>
      <c r="N984" s="610"/>
      <c r="O984" s="351"/>
      <c r="P984" s="615"/>
      <c r="Q984" s="351"/>
      <c r="R984" s="610"/>
      <c r="S984" s="351"/>
      <c r="T984" s="615"/>
      <c r="U984" s="351"/>
      <c r="V984" s="613" t="str">
        <f>'refer admin discharge'!H985</f>
        <v>00/00/0000</v>
      </c>
      <c r="W984" s="351"/>
      <c r="X984" s="616"/>
      <c r="Y984" s="351"/>
      <c r="Z984" s="617"/>
      <c r="AA984" s="351"/>
      <c r="AB984" s="616"/>
      <c r="AC984" s="351"/>
      <c r="AD984" s="607"/>
      <c r="AE984" s="351"/>
      <c r="AF984" s="616"/>
      <c r="AG984" s="351"/>
      <c r="AH984" s="607"/>
      <c r="AI984" s="351"/>
      <c r="AJ984" s="616"/>
      <c r="AK984" s="351"/>
      <c r="AL984" s="622"/>
      <c r="AM984" s="350"/>
      <c r="AN984" s="350"/>
      <c r="AO984" s="350"/>
      <c r="AP984" s="350"/>
      <c r="AQ984" s="350"/>
      <c r="AR984" s="350"/>
      <c r="AS984" s="350"/>
      <c r="AT984" s="350"/>
      <c r="AU984" s="350"/>
      <c r="AV984" s="350"/>
      <c r="AW984" s="350"/>
      <c r="AX984" s="350"/>
      <c r="AY984" s="350"/>
      <c r="AZ984" s="350"/>
      <c r="BA984" s="350"/>
      <c r="BB984" s="351"/>
    </row>
    <row r="985" spans="1:54" ht="15.75" customHeight="1">
      <c r="A985" s="25">
        <f t="shared" si="3"/>
        <v>972</v>
      </c>
      <c r="B985" s="599" t="str">
        <f>'refer admin discharge'!B981</f>
        <v>x</v>
      </c>
      <c r="C985" s="351"/>
      <c r="D985" s="600" t="str">
        <f>'refer admin discharge'!D981</f>
        <v>xx</v>
      </c>
      <c r="E985" s="351"/>
      <c r="F985" s="609" t="str">
        <f>'refer admin discharge'!H981</f>
        <v>00/00/0000</v>
      </c>
      <c r="G985" s="351"/>
      <c r="H985" s="610"/>
      <c r="I985" s="351"/>
      <c r="J985" s="611"/>
      <c r="K985" s="351"/>
      <c r="L985" s="610"/>
      <c r="M985" s="351"/>
      <c r="N985" s="612"/>
      <c r="O985" s="351"/>
      <c r="P985" s="610"/>
      <c r="Q985" s="351"/>
      <c r="R985" s="612"/>
      <c r="S985" s="351"/>
      <c r="T985" s="610"/>
      <c r="U985" s="351"/>
      <c r="V985" s="613" t="str">
        <f>'refer admin discharge'!H986</f>
        <v>00/00/0000</v>
      </c>
      <c r="W985" s="351"/>
      <c r="X985" s="607"/>
      <c r="Y985" s="351"/>
      <c r="Z985" s="614"/>
      <c r="AA985" s="351"/>
      <c r="AB985" s="607"/>
      <c r="AC985" s="351"/>
      <c r="AD985" s="606"/>
      <c r="AE985" s="351"/>
      <c r="AF985" s="607"/>
      <c r="AG985" s="351"/>
      <c r="AH985" s="606"/>
      <c r="AI985" s="351"/>
      <c r="AJ985" s="607"/>
      <c r="AK985" s="351"/>
      <c r="AL985" s="608"/>
      <c r="AM985" s="350"/>
      <c r="AN985" s="350"/>
      <c r="AO985" s="350"/>
      <c r="AP985" s="350"/>
      <c r="AQ985" s="350"/>
      <c r="AR985" s="350"/>
      <c r="AS985" s="350"/>
      <c r="AT985" s="350"/>
      <c r="AU985" s="350"/>
      <c r="AV985" s="350"/>
      <c r="AW985" s="350"/>
      <c r="AX985" s="350"/>
      <c r="AY985" s="350"/>
      <c r="AZ985" s="350"/>
      <c r="BA985" s="350"/>
      <c r="BB985" s="351"/>
    </row>
    <row r="986" spans="1:54" ht="15.75" customHeight="1">
      <c r="A986" s="25">
        <f t="shared" si="3"/>
        <v>973</v>
      </c>
      <c r="B986" s="618" t="str">
        <f>'refer admin discharge'!B982</f>
        <v>x</v>
      </c>
      <c r="C986" s="351"/>
      <c r="D986" s="619" t="str">
        <f>'refer admin discharge'!D982</f>
        <v>xx</v>
      </c>
      <c r="E986" s="351"/>
      <c r="F986" s="620" t="str">
        <f>'refer admin discharge'!H982</f>
        <v>00/00/0000</v>
      </c>
      <c r="G986" s="351"/>
      <c r="H986" s="615"/>
      <c r="I986" s="351"/>
      <c r="J986" s="621"/>
      <c r="K986" s="351"/>
      <c r="L986" s="615"/>
      <c r="M986" s="351"/>
      <c r="N986" s="610"/>
      <c r="O986" s="351"/>
      <c r="P986" s="615"/>
      <c r="Q986" s="351"/>
      <c r="R986" s="610"/>
      <c r="S986" s="351"/>
      <c r="T986" s="615"/>
      <c r="U986" s="351"/>
      <c r="V986" s="613" t="str">
        <f>'refer admin discharge'!H987</f>
        <v>00/00/0000</v>
      </c>
      <c r="W986" s="351"/>
      <c r="X986" s="616"/>
      <c r="Y986" s="351"/>
      <c r="Z986" s="617"/>
      <c r="AA986" s="351"/>
      <c r="AB986" s="616"/>
      <c r="AC986" s="351"/>
      <c r="AD986" s="607"/>
      <c r="AE986" s="351"/>
      <c r="AF986" s="616"/>
      <c r="AG986" s="351"/>
      <c r="AH986" s="607"/>
      <c r="AI986" s="351"/>
      <c r="AJ986" s="616"/>
      <c r="AK986" s="351"/>
      <c r="AL986" s="622"/>
      <c r="AM986" s="350"/>
      <c r="AN986" s="350"/>
      <c r="AO986" s="350"/>
      <c r="AP986" s="350"/>
      <c r="AQ986" s="350"/>
      <c r="AR986" s="350"/>
      <c r="AS986" s="350"/>
      <c r="AT986" s="350"/>
      <c r="AU986" s="350"/>
      <c r="AV986" s="350"/>
      <c r="AW986" s="350"/>
      <c r="AX986" s="350"/>
      <c r="AY986" s="350"/>
      <c r="AZ986" s="350"/>
      <c r="BA986" s="350"/>
      <c r="BB986" s="351"/>
    </row>
    <row r="987" spans="1:54" ht="15.75" customHeight="1">
      <c r="A987" s="25">
        <f t="shared" si="3"/>
        <v>974</v>
      </c>
      <c r="B987" s="599" t="str">
        <f>'refer admin discharge'!B983</f>
        <v>x</v>
      </c>
      <c r="C987" s="351"/>
      <c r="D987" s="600" t="str">
        <f>'refer admin discharge'!D983</f>
        <v>xx</v>
      </c>
      <c r="E987" s="351"/>
      <c r="F987" s="609" t="str">
        <f>'refer admin discharge'!H983</f>
        <v>00/00/0000</v>
      </c>
      <c r="G987" s="351"/>
      <c r="H987" s="610"/>
      <c r="I987" s="351"/>
      <c r="J987" s="611"/>
      <c r="K987" s="351"/>
      <c r="L987" s="610"/>
      <c r="M987" s="351"/>
      <c r="N987" s="612"/>
      <c r="O987" s="351"/>
      <c r="P987" s="610"/>
      <c r="Q987" s="351"/>
      <c r="R987" s="612"/>
      <c r="S987" s="351"/>
      <c r="T987" s="610"/>
      <c r="U987" s="351"/>
      <c r="V987" s="613" t="str">
        <f>'refer admin discharge'!H988</f>
        <v>00/00/0000</v>
      </c>
      <c r="W987" s="351"/>
      <c r="X987" s="607"/>
      <c r="Y987" s="351"/>
      <c r="Z987" s="614"/>
      <c r="AA987" s="351"/>
      <c r="AB987" s="607"/>
      <c r="AC987" s="351"/>
      <c r="AD987" s="606"/>
      <c r="AE987" s="351"/>
      <c r="AF987" s="607"/>
      <c r="AG987" s="351"/>
      <c r="AH987" s="606"/>
      <c r="AI987" s="351"/>
      <c r="AJ987" s="607"/>
      <c r="AK987" s="351"/>
      <c r="AL987" s="608"/>
      <c r="AM987" s="350"/>
      <c r="AN987" s="350"/>
      <c r="AO987" s="350"/>
      <c r="AP987" s="350"/>
      <c r="AQ987" s="350"/>
      <c r="AR987" s="350"/>
      <c r="AS987" s="350"/>
      <c r="AT987" s="350"/>
      <c r="AU987" s="350"/>
      <c r="AV987" s="350"/>
      <c r="AW987" s="350"/>
      <c r="AX987" s="350"/>
      <c r="AY987" s="350"/>
      <c r="AZ987" s="350"/>
      <c r="BA987" s="350"/>
      <c r="BB987" s="351"/>
    </row>
    <row r="988" spans="1:54" ht="15.75" customHeight="1">
      <c r="A988" s="25">
        <f t="shared" si="3"/>
        <v>975</v>
      </c>
      <c r="B988" s="618" t="str">
        <f>'refer admin discharge'!B984</f>
        <v>x</v>
      </c>
      <c r="C988" s="351"/>
      <c r="D988" s="619" t="str">
        <f>'refer admin discharge'!D984</f>
        <v>xx</v>
      </c>
      <c r="E988" s="351"/>
      <c r="F988" s="620" t="str">
        <f>'refer admin discharge'!H984</f>
        <v>00/00/0000</v>
      </c>
      <c r="G988" s="351"/>
      <c r="H988" s="615"/>
      <c r="I988" s="351"/>
      <c r="J988" s="621"/>
      <c r="K988" s="351"/>
      <c r="L988" s="615"/>
      <c r="M988" s="351"/>
      <c r="N988" s="610"/>
      <c r="O988" s="351"/>
      <c r="P988" s="615"/>
      <c r="Q988" s="351"/>
      <c r="R988" s="610"/>
      <c r="S988" s="351"/>
      <c r="T988" s="615"/>
      <c r="U988" s="351"/>
      <c r="V988" s="613" t="str">
        <f>'refer admin discharge'!H989</f>
        <v>00/00/0000</v>
      </c>
      <c r="W988" s="351"/>
      <c r="X988" s="616"/>
      <c r="Y988" s="351"/>
      <c r="Z988" s="617"/>
      <c r="AA988" s="351"/>
      <c r="AB988" s="616"/>
      <c r="AC988" s="351"/>
      <c r="AD988" s="607"/>
      <c r="AE988" s="351"/>
      <c r="AF988" s="616"/>
      <c r="AG988" s="351"/>
      <c r="AH988" s="607"/>
      <c r="AI988" s="351"/>
      <c r="AJ988" s="616"/>
      <c r="AK988" s="351"/>
      <c r="AL988" s="622"/>
      <c r="AM988" s="350"/>
      <c r="AN988" s="350"/>
      <c r="AO988" s="350"/>
      <c r="AP988" s="350"/>
      <c r="AQ988" s="350"/>
      <c r="AR988" s="350"/>
      <c r="AS988" s="350"/>
      <c r="AT988" s="350"/>
      <c r="AU988" s="350"/>
      <c r="AV988" s="350"/>
      <c r="AW988" s="350"/>
      <c r="AX988" s="350"/>
      <c r="AY988" s="350"/>
      <c r="AZ988" s="350"/>
      <c r="BA988" s="350"/>
      <c r="BB988" s="351"/>
    </row>
    <row r="989" spans="1:54" ht="15.75" customHeight="1">
      <c r="A989" s="25">
        <f t="shared" si="3"/>
        <v>976</v>
      </c>
      <c r="B989" s="599" t="str">
        <f>'refer admin discharge'!B985</f>
        <v>x</v>
      </c>
      <c r="C989" s="351"/>
      <c r="D989" s="600" t="str">
        <f>'refer admin discharge'!D985</f>
        <v>xx</v>
      </c>
      <c r="E989" s="351"/>
      <c r="F989" s="609" t="str">
        <f>'refer admin discharge'!H985</f>
        <v>00/00/0000</v>
      </c>
      <c r="G989" s="351"/>
      <c r="H989" s="610"/>
      <c r="I989" s="351"/>
      <c r="J989" s="611"/>
      <c r="K989" s="351"/>
      <c r="L989" s="610"/>
      <c r="M989" s="351"/>
      <c r="N989" s="612"/>
      <c r="O989" s="351"/>
      <c r="P989" s="610"/>
      <c r="Q989" s="351"/>
      <c r="R989" s="612"/>
      <c r="S989" s="351"/>
      <c r="T989" s="610"/>
      <c r="U989" s="351"/>
      <c r="V989" s="613" t="str">
        <f>'refer admin discharge'!H990</f>
        <v>00/00/0000</v>
      </c>
      <c r="W989" s="351"/>
      <c r="X989" s="607"/>
      <c r="Y989" s="351"/>
      <c r="Z989" s="614"/>
      <c r="AA989" s="351"/>
      <c r="AB989" s="607"/>
      <c r="AC989" s="351"/>
      <c r="AD989" s="606"/>
      <c r="AE989" s="351"/>
      <c r="AF989" s="607"/>
      <c r="AG989" s="351"/>
      <c r="AH989" s="606"/>
      <c r="AI989" s="351"/>
      <c r="AJ989" s="607"/>
      <c r="AK989" s="351"/>
      <c r="AL989" s="608"/>
      <c r="AM989" s="350"/>
      <c r="AN989" s="350"/>
      <c r="AO989" s="350"/>
      <c r="AP989" s="350"/>
      <c r="AQ989" s="350"/>
      <c r="AR989" s="350"/>
      <c r="AS989" s="350"/>
      <c r="AT989" s="350"/>
      <c r="AU989" s="350"/>
      <c r="AV989" s="350"/>
      <c r="AW989" s="350"/>
      <c r="AX989" s="350"/>
      <c r="AY989" s="350"/>
      <c r="AZ989" s="350"/>
      <c r="BA989" s="350"/>
      <c r="BB989" s="351"/>
    </row>
    <row r="990" spans="1:54" ht="15.75" customHeight="1">
      <c r="A990" s="25">
        <f t="shared" si="3"/>
        <v>977</v>
      </c>
      <c r="B990" s="618" t="str">
        <f>'refer admin discharge'!B986</f>
        <v>x</v>
      </c>
      <c r="C990" s="351"/>
      <c r="D990" s="619" t="str">
        <f>'refer admin discharge'!D986</f>
        <v>xx</v>
      </c>
      <c r="E990" s="351"/>
      <c r="F990" s="620" t="str">
        <f>'refer admin discharge'!H986</f>
        <v>00/00/0000</v>
      </c>
      <c r="G990" s="351"/>
      <c r="H990" s="615"/>
      <c r="I990" s="351"/>
      <c r="J990" s="621"/>
      <c r="K990" s="351"/>
      <c r="L990" s="615"/>
      <c r="M990" s="351"/>
      <c r="N990" s="610"/>
      <c r="O990" s="351"/>
      <c r="P990" s="615"/>
      <c r="Q990" s="351"/>
      <c r="R990" s="610"/>
      <c r="S990" s="351"/>
      <c r="T990" s="615"/>
      <c r="U990" s="351"/>
      <c r="V990" s="613" t="str">
        <f>'refer admin discharge'!H991</f>
        <v>00/00/0000</v>
      </c>
      <c r="W990" s="351"/>
      <c r="X990" s="616"/>
      <c r="Y990" s="351"/>
      <c r="Z990" s="617"/>
      <c r="AA990" s="351"/>
      <c r="AB990" s="616"/>
      <c r="AC990" s="351"/>
      <c r="AD990" s="607"/>
      <c r="AE990" s="351"/>
      <c r="AF990" s="616"/>
      <c r="AG990" s="351"/>
      <c r="AH990" s="607"/>
      <c r="AI990" s="351"/>
      <c r="AJ990" s="616"/>
      <c r="AK990" s="351"/>
      <c r="AL990" s="622"/>
      <c r="AM990" s="350"/>
      <c r="AN990" s="350"/>
      <c r="AO990" s="350"/>
      <c r="AP990" s="350"/>
      <c r="AQ990" s="350"/>
      <c r="AR990" s="350"/>
      <c r="AS990" s="350"/>
      <c r="AT990" s="350"/>
      <c r="AU990" s="350"/>
      <c r="AV990" s="350"/>
      <c r="AW990" s="350"/>
      <c r="AX990" s="350"/>
      <c r="AY990" s="350"/>
      <c r="AZ990" s="350"/>
      <c r="BA990" s="350"/>
      <c r="BB990" s="351"/>
    </row>
    <row r="991" spans="1:54" ht="15.75" customHeight="1">
      <c r="A991" s="25">
        <f t="shared" si="3"/>
        <v>978</v>
      </c>
      <c r="B991" s="599" t="str">
        <f>'refer admin discharge'!B987</f>
        <v>x</v>
      </c>
      <c r="C991" s="351"/>
      <c r="D991" s="600" t="str">
        <f>'refer admin discharge'!D987</f>
        <v>xx</v>
      </c>
      <c r="E991" s="351"/>
      <c r="F991" s="609" t="str">
        <f>'refer admin discharge'!H987</f>
        <v>00/00/0000</v>
      </c>
      <c r="G991" s="351"/>
      <c r="H991" s="610"/>
      <c r="I991" s="351"/>
      <c r="J991" s="611"/>
      <c r="K991" s="351"/>
      <c r="L991" s="610"/>
      <c r="M991" s="351"/>
      <c r="N991" s="612"/>
      <c r="O991" s="351"/>
      <c r="P991" s="610"/>
      <c r="Q991" s="351"/>
      <c r="R991" s="612"/>
      <c r="S991" s="351"/>
      <c r="T991" s="610"/>
      <c r="U991" s="351"/>
      <c r="V991" s="613" t="str">
        <f>'refer admin discharge'!H992</f>
        <v>00/00/0000</v>
      </c>
      <c r="W991" s="351"/>
      <c r="X991" s="607"/>
      <c r="Y991" s="351"/>
      <c r="Z991" s="614"/>
      <c r="AA991" s="351"/>
      <c r="AB991" s="607"/>
      <c r="AC991" s="351"/>
      <c r="AD991" s="606"/>
      <c r="AE991" s="351"/>
      <c r="AF991" s="607"/>
      <c r="AG991" s="351"/>
      <c r="AH991" s="606"/>
      <c r="AI991" s="351"/>
      <c r="AJ991" s="607"/>
      <c r="AK991" s="351"/>
      <c r="AL991" s="608"/>
      <c r="AM991" s="350"/>
      <c r="AN991" s="350"/>
      <c r="AO991" s="350"/>
      <c r="AP991" s="350"/>
      <c r="AQ991" s="350"/>
      <c r="AR991" s="350"/>
      <c r="AS991" s="350"/>
      <c r="AT991" s="350"/>
      <c r="AU991" s="350"/>
      <c r="AV991" s="350"/>
      <c r="AW991" s="350"/>
      <c r="AX991" s="350"/>
      <c r="AY991" s="350"/>
      <c r="AZ991" s="350"/>
      <c r="BA991" s="350"/>
      <c r="BB991" s="351"/>
    </row>
    <row r="992" spans="1:54" ht="15.75" customHeight="1">
      <c r="A992" s="25">
        <f t="shared" si="3"/>
        <v>979</v>
      </c>
      <c r="B992" s="618" t="str">
        <f>'refer admin discharge'!B988</f>
        <v>x</v>
      </c>
      <c r="C992" s="351"/>
      <c r="D992" s="619" t="str">
        <f>'refer admin discharge'!D988</f>
        <v>xx</v>
      </c>
      <c r="E992" s="351"/>
      <c r="F992" s="620" t="str">
        <f>'refer admin discharge'!H988</f>
        <v>00/00/0000</v>
      </c>
      <c r="G992" s="351"/>
      <c r="H992" s="615"/>
      <c r="I992" s="351"/>
      <c r="J992" s="621"/>
      <c r="K992" s="351"/>
      <c r="L992" s="615"/>
      <c r="M992" s="351"/>
      <c r="N992" s="610"/>
      <c r="O992" s="351"/>
      <c r="P992" s="615"/>
      <c r="Q992" s="351"/>
      <c r="R992" s="610"/>
      <c r="S992" s="351"/>
      <c r="T992" s="615"/>
      <c r="U992" s="351"/>
      <c r="V992" s="613" t="str">
        <f>'refer admin discharge'!H993</f>
        <v>00/00/0000</v>
      </c>
      <c r="W992" s="351"/>
      <c r="X992" s="616"/>
      <c r="Y992" s="351"/>
      <c r="Z992" s="617"/>
      <c r="AA992" s="351"/>
      <c r="AB992" s="616"/>
      <c r="AC992" s="351"/>
      <c r="AD992" s="607"/>
      <c r="AE992" s="351"/>
      <c r="AF992" s="616"/>
      <c r="AG992" s="351"/>
      <c r="AH992" s="607"/>
      <c r="AI992" s="351"/>
      <c r="AJ992" s="616"/>
      <c r="AK992" s="351"/>
      <c r="AL992" s="622"/>
      <c r="AM992" s="350"/>
      <c r="AN992" s="350"/>
      <c r="AO992" s="350"/>
      <c r="AP992" s="350"/>
      <c r="AQ992" s="350"/>
      <c r="AR992" s="350"/>
      <c r="AS992" s="350"/>
      <c r="AT992" s="350"/>
      <c r="AU992" s="350"/>
      <c r="AV992" s="350"/>
      <c r="AW992" s="350"/>
      <c r="AX992" s="350"/>
      <c r="AY992" s="350"/>
      <c r="AZ992" s="350"/>
      <c r="BA992" s="350"/>
      <c r="BB992" s="351"/>
    </row>
    <row r="993" spans="1:54" ht="15.75" customHeight="1">
      <c r="A993" s="25">
        <f t="shared" si="3"/>
        <v>980</v>
      </c>
      <c r="B993" s="599" t="str">
        <f>'refer admin discharge'!B989</f>
        <v>x</v>
      </c>
      <c r="C993" s="351"/>
      <c r="D993" s="600" t="str">
        <f>'refer admin discharge'!D989</f>
        <v>xx</v>
      </c>
      <c r="E993" s="351"/>
      <c r="F993" s="609" t="str">
        <f>'refer admin discharge'!H989</f>
        <v>00/00/0000</v>
      </c>
      <c r="G993" s="351"/>
      <c r="H993" s="610"/>
      <c r="I993" s="351"/>
      <c r="J993" s="611"/>
      <c r="K993" s="351"/>
      <c r="L993" s="610"/>
      <c r="M993" s="351"/>
      <c r="N993" s="612"/>
      <c r="O993" s="351"/>
      <c r="P993" s="610"/>
      <c r="Q993" s="351"/>
      <c r="R993" s="612"/>
      <c r="S993" s="351"/>
      <c r="T993" s="610"/>
      <c r="U993" s="351"/>
      <c r="V993" s="613" t="str">
        <f>'refer admin discharge'!H994</f>
        <v>00/00/0000</v>
      </c>
      <c r="W993" s="351"/>
      <c r="X993" s="607"/>
      <c r="Y993" s="351"/>
      <c r="Z993" s="614"/>
      <c r="AA993" s="351"/>
      <c r="AB993" s="607"/>
      <c r="AC993" s="351"/>
      <c r="AD993" s="606"/>
      <c r="AE993" s="351"/>
      <c r="AF993" s="607"/>
      <c r="AG993" s="351"/>
      <c r="AH993" s="606"/>
      <c r="AI993" s="351"/>
      <c r="AJ993" s="607"/>
      <c r="AK993" s="351"/>
      <c r="AL993" s="608"/>
      <c r="AM993" s="350"/>
      <c r="AN993" s="350"/>
      <c r="AO993" s="350"/>
      <c r="AP993" s="350"/>
      <c r="AQ993" s="350"/>
      <c r="AR993" s="350"/>
      <c r="AS993" s="350"/>
      <c r="AT993" s="350"/>
      <c r="AU993" s="350"/>
      <c r="AV993" s="350"/>
      <c r="AW993" s="350"/>
      <c r="AX993" s="350"/>
      <c r="AY993" s="350"/>
      <c r="AZ993" s="350"/>
      <c r="BA993" s="350"/>
      <c r="BB993" s="351"/>
    </row>
    <row r="994" spans="1:54" ht="15.75" customHeight="1">
      <c r="A994" s="25">
        <f t="shared" si="3"/>
        <v>981</v>
      </c>
      <c r="B994" s="618" t="str">
        <f>'refer admin discharge'!B990</f>
        <v>x</v>
      </c>
      <c r="C994" s="351"/>
      <c r="D994" s="619" t="str">
        <f>'refer admin discharge'!D990</f>
        <v>xx</v>
      </c>
      <c r="E994" s="351"/>
      <c r="F994" s="620" t="str">
        <f>'refer admin discharge'!H990</f>
        <v>00/00/0000</v>
      </c>
      <c r="G994" s="351"/>
      <c r="H994" s="615"/>
      <c r="I994" s="351"/>
      <c r="J994" s="621"/>
      <c r="K994" s="351"/>
      <c r="L994" s="615"/>
      <c r="M994" s="351"/>
      <c r="N994" s="610"/>
      <c r="O994" s="351"/>
      <c r="P994" s="615"/>
      <c r="Q994" s="351"/>
      <c r="R994" s="610"/>
      <c r="S994" s="351"/>
      <c r="T994" s="615"/>
      <c r="U994" s="351"/>
      <c r="V994" s="613" t="str">
        <f>'refer admin discharge'!H995</f>
        <v>00/00/0000</v>
      </c>
      <c r="W994" s="351"/>
      <c r="X994" s="616"/>
      <c r="Y994" s="351"/>
      <c r="Z994" s="617"/>
      <c r="AA994" s="351"/>
      <c r="AB994" s="616"/>
      <c r="AC994" s="351"/>
      <c r="AD994" s="607"/>
      <c r="AE994" s="351"/>
      <c r="AF994" s="616"/>
      <c r="AG994" s="351"/>
      <c r="AH994" s="607"/>
      <c r="AI994" s="351"/>
      <c r="AJ994" s="616"/>
      <c r="AK994" s="351"/>
      <c r="AL994" s="622"/>
      <c r="AM994" s="350"/>
      <c r="AN994" s="350"/>
      <c r="AO994" s="350"/>
      <c r="AP994" s="350"/>
      <c r="AQ994" s="350"/>
      <c r="AR994" s="350"/>
      <c r="AS994" s="350"/>
      <c r="AT994" s="350"/>
      <c r="AU994" s="350"/>
      <c r="AV994" s="350"/>
      <c r="AW994" s="350"/>
      <c r="AX994" s="350"/>
      <c r="AY994" s="350"/>
      <c r="AZ994" s="350"/>
      <c r="BA994" s="350"/>
      <c r="BB994" s="351"/>
    </row>
    <row r="995" spans="1:54" ht="15.75" customHeight="1">
      <c r="A995" s="25">
        <f t="shared" si="3"/>
        <v>982</v>
      </c>
      <c r="B995" s="599" t="str">
        <f>'refer admin discharge'!B991</f>
        <v>x</v>
      </c>
      <c r="C995" s="351"/>
      <c r="D995" s="600" t="str">
        <f>'refer admin discharge'!D991</f>
        <v>xx</v>
      </c>
      <c r="E995" s="351"/>
      <c r="F995" s="609" t="str">
        <f>'refer admin discharge'!H991</f>
        <v>00/00/0000</v>
      </c>
      <c r="G995" s="351"/>
      <c r="H995" s="610"/>
      <c r="I995" s="351"/>
      <c r="J995" s="611"/>
      <c r="K995" s="351"/>
      <c r="L995" s="610"/>
      <c r="M995" s="351"/>
      <c r="N995" s="612"/>
      <c r="O995" s="351"/>
      <c r="P995" s="610"/>
      <c r="Q995" s="351"/>
      <c r="R995" s="612"/>
      <c r="S995" s="351"/>
      <c r="T995" s="610"/>
      <c r="U995" s="351"/>
      <c r="V995" s="613" t="str">
        <f>'refer admin discharge'!H996</f>
        <v>00/00/0000</v>
      </c>
      <c r="W995" s="351"/>
      <c r="X995" s="607"/>
      <c r="Y995" s="351"/>
      <c r="Z995" s="614"/>
      <c r="AA995" s="351"/>
      <c r="AB995" s="607"/>
      <c r="AC995" s="351"/>
      <c r="AD995" s="606"/>
      <c r="AE995" s="351"/>
      <c r="AF995" s="607"/>
      <c r="AG995" s="351"/>
      <c r="AH995" s="606"/>
      <c r="AI995" s="351"/>
      <c r="AJ995" s="607"/>
      <c r="AK995" s="351"/>
      <c r="AL995" s="608"/>
      <c r="AM995" s="350"/>
      <c r="AN995" s="350"/>
      <c r="AO995" s="350"/>
      <c r="AP995" s="350"/>
      <c r="AQ995" s="350"/>
      <c r="AR995" s="350"/>
      <c r="AS995" s="350"/>
      <c r="AT995" s="350"/>
      <c r="AU995" s="350"/>
      <c r="AV995" s="350"/>
      <c r="AW995" s="350"/>
      <c r="AX995" s="350"/>
      <c r="AY995" s="350"/>
      <c r="AZ995" s="350"/>
      <c r="BA995" s="350"/>
      <c r="BB995" s="351"/>
    </row>
    <row r="996" spans="1:54" ht="15.75" customHeight="1">
      <c r="A996" s="25">
        <f t="shared" si="3"/>
        <v>983</v>
      </c>
      <c r="B996" s="618" t="str">
        <f>'refer admin discharge'!B992</f>
        <v>x</v>
      </c>
      <c r="C996" s="351"/>
      <c r="D996" s="619" t="str">
        <f>'refer admin discharge'!D992</f>
        <v>xx</v>
      </c>
      <c r="E996" s="351"/>
      <c r="F996" s="620" t="str">
        <f>'refer admin discharge'!H992</f>
        <v>00/00/0000</v>
      </c>
      <c r="G996" s="351"/>
      <c r="H996" s="615"/>
      <c r="I996" s="351"/>
      <c r="J996" s="621"/>
      <c r="K996" s="351"/>
      <c r="L996" s="615"/>
      <c r="M996" s="351"/>
      <c r="N996" s="610"/>
      <c r="O996" s="351"/>
      <c r="P996" s="615"/>
      <c r="Q996" s="351"/>
      <c r="R996" s="610"/>
      <c r="S996" s="351"/>
      <c r="T996" s="615"/>
      <c r="U996" s="351"/>
      <c r="V996" s="613" t="str">
        <f>'refer admin discharge'!H997</f>
        <v>00/00/0000</v>
      </c>
      <c r="W996" s="351"/>
      <c r="X996" s="616"/>
      <c r="Y996" s="351"/>
      <c r="Z996" s="617"/>
      <c r="AA996" s="351"/>
      <c r="AB996" s="616"/>
      <c r="AC996" s="351"/>
      <c r="AD996" s="607"/>
      <c r="AE996" s="351"/>
      <c r="AF996" s="616"/>
      <c r="AG996" s="351"/>
      <c r="AH996" s="607"/>
      <c r="AI996" s="351"/>
      <c r="AJ996" s="616"/>
      <c r="AK996" s="351"/>
      <c r="AL996" s="622"/>
      <c r="AM996" s="350"/>
      <c r="AN996" s="350"/>
      <c r="AO996" s="350"/>
      <c r="AP996" s="350"/>
      <c r="AQ996" s="350"/>
      <c r="AR996" s="350"/>
      <c r="AS996" s="350"/>
      <c r="AT996" s="350"/>
      <c r="AU996" s="350"/>
      <c r="AV996" s="350"/>
      <c r="AW996" s="350"/>
      <c r="AX996" s="350"/>
      <c r="AY996" s="350"/>
      <c r="AZ996" s="350"/>
      <c r="BA996" s="350"/>
      <c r="BB996" s="351"/>
    </row>
    <row r="997" spans="1:54" ht="15.75" customHeight="1">
      <c r="A997" s="25">
        <f t="shared" si="3"/>
        <v>984</v>
      </c>
      <c r="B997" s="599" t="str">
        <f>'refer admin discharge'!B993</f>
        <v>x</v>
      </c>
      <c r="C997" s="351"/>
      <c r="D997" s="600" t="str">
        <f>'refer admin discharge'!D993</f>
        <v>xx</v>
      </c>
      <c r="E997" s="351"/>
      <c r="F997" s="609" t="str">
        <f>'refer admin discharge'!H993</f>
        <v>00/00/0000</v>
      </c>
      <c r="G997" s="351"/>
      <c r="H997" s="610"/>
      <c r="I997" s="351"/>
      <c r="J997" s="611"/>
      <c r="K997" s="351"/>
      <c r="L997" s="610"/>
      <c r="M997" s="351"/>
      <c r="N997" s="612"/>
      <c r="O997" s="351"/>
      <c r="P997" s="610"/>
      <c r="Q997" s="351"/>
      <c r="R997" s="612"/>
      <c r="S997" s="351"/>
      <c r="T997" s="610"/>
      <c r="U997" s="351"/>
      <c r="V997" s="613" t="str">
        <f>'refer admin discharge'!H998</f>
        <v>00/00/0000</v>
      </c>
      <c r="W997" s="351"/>
      <c r="X997" s="607"/>
      <c r="Y997" s="351"/>
      <c r="Z997" s="614"/>
      <c r="AA997" s="351"/>
      <c r="AB997" s="607"/>
      <c r="AC997" s="351"/>
      <c r="AD997" s="606"/>
      <c r="AE997" s="351"/>
      <c r="AF997" s="607"/>
      <c r="AG997" s="351"/>
      <c r="AH997" s="606"/>
      <c r="AI997" s="351"/>
      <c r="AJ997" s="607"/>
      <c r="AK997" s="351"/>
      <c r="AL997" s="608"/>
      <c r="AM997" s="350"/>
      <c r="AN997" s="350"/>
      <c r="AO997" s="350"/>
      <c r="AP997" s="350"/>
      <c r="AQ997" s="350"/>
      <c r="AR997" s="350"/>
      <c r="AS997" s="350"/>
      <c r="AT997" s="350"/>
      <c r="AU997" s="350"/>
      <c r="AV997" s="350"/>
      <c r="AW997" s="350"/>
      <c r="AX997" s="350"/>
      <c r="AY997" s="350"/>
      <c r="AZ997" s="350"/>
      <c r="BA997" s="350"/>
      <c r="BB997" s="351"/>
    </row>
    <row r="998" spans="1:54" ht="15.75" customHeight="1">
      <c r="A998" s="25">
        <f t="shared" si="3"/>
        <v>985</v>
      </c>
      <c r="B998" s="618" t="str">
        <f>'refer admin discharge'!B994</f>
        <v>x</v>
      </c>
      <c r="C998" s="351"/>
      <c r="D998" s="619" t="str">
        <f>'refer admin discharge'!D994</f>
        <v>xx</v>
      </c>
      <c r="E998" s="351"/>
      <c r="F998" s="620" t="str">
        <f>'refer admin discharge'!H994</f>
        <v>00/00/0000</v>
      </c>
      <c r="G998" s="351"/>
      <c r="H998" s="615"/>
      <c r="I998" s="351"/>
      <c r="J998" s="621"/>
      <c r="K998" s="351"/>
      <c r="L998" s="615"/>
      <c r="M998" s="351"/>
      <c r="N998" s="610"/>
      <c r="O998" s="351"/>
      <c r="P998" s="615"/>
      <c r="Q998" s="351"/>
      <c r="R998" s="610"/>
      <c r="S998" s="351"/>
      <c r="T998" s="615"/>
      <c r="U998" s="351"/>
      <c r="V998" s="613" t="str">
        <f>'refer admin discharge'!H999</f>
        <v>00/00/0000</v>
      </c>
      <c r="W998" s="351"/>
      <c r="X998" s="616"/>
      <c r="Y998" s="351"/>
      <c r="Z998" s="617"/>
      <c r="AA998" s="351"/>
      <c r="AB998" s="616"/>
      <c r="AC998" s="351"/>
      <c r="AD998" s="607"/>
      <c r="AE998" s="351"/>
      <c r="AF998" s="616"/>
      <c r="AG998" s="351"/>
      <c r="AH998" s="607"/>
      <c r="AI998" s="351"/>
      <c r="AJ998" s="616"/>
      <c r="AK998" s="351"/>
      <c r="AL998" s="622"/>
      <c r="AM998" s="350"/>
      <c r="AN998" s="350"/>
      <c r="AO998" s="350"/>
      <c r="AP998" s="350"/>
      <c r="AQ998" s="350"/>
      <c r="AR998" s="350"/>
      <c r="AS998" s="350"/>
      <c r="AT998" s="350"/>
      <c r="AU998" s="350"/>
      <c r="AV998" s="350"/>
      <c r="AW998" s="350"/>
      <c r="AX998" s="350"/>
      <c r="AY998" s="350"/>
      <c r="AZ998" s="350"/>
      <c r="BA998" s="350"/>
      <c r="BB998" s="351"/>
    </row>
    <row r="999" spans="1:54" ht="15.75" customHeight="1">
      <c r="A999" s="25">
        <f t="shared" si="3"/>
        <v>986</v>
      </c>
      <c r="B999" s="599" t="str">
        <f>'refer admin discharge'!B995</f>
        <v>x</v>
      </c>
      <c r="C999" s="351"/>
      <c r="D999" s="600" t="str">
        <f>'refer admin discharge'!D995</f>
        <v>xx</v>
      </c>
      <c r="E999" s="351"/>
      <c r="F999" s="609" t="str">
        <f>'refer admin discharge'!H995</f>
        <v>00/00/0000</v>
      </c>
      <c r="G999" s="351"/>
      <c r="H999" s="610"/>
      <c r="I999" s="351"/>
      <c r="J999" s="611"/>
      <c r="K999" s="351"/>
      <c r="L999" s="610"/>
      <c r="M999" s="351"/>
      <c r="N999" s="612"/>
      <c r="O999" s="351"/>
      <c r="P999" s="610"/>
      <c r="Q999" s="351"/>
      <c r="R999" s="612"/>
      <c r="S999" s="351"/>
      <c r="T999" s="610"/>
      <c r="U999" s="351"/>
      <c r="V999" s="613" t="str">
        <f>'refer admin discharge'!H1000</f>
        <v>00/00/0000</v>
      </c>
      <c r="W999" s="351"/>
      <c r="X999" s="607"/>
      <c r="Y999" s="351"/>
      <c r="Z999" s="614"/>
      <c r="AA999" s="351"/>
      <c r="AB999" s="607"/>
      <c r="AC999" s="351"/>
      <c r="AD999" s="606"/>
      <c r="AE999" s="351"/>
      <c r="AF999" s="607"/>
      <c r="AG999" s="351"/>
      <c r="AH999" s="606"/>
      <c r="AI999" s="351"/>
      <c r="AJ999" s="607"/>
      <c r="AK999" s="351"/>
      <c r="AL999" s="608"/>
      <c r="AM999" s="350"/>
      <c r="AN999" s="350"/>
      <c r="AO999" s="350"/>
      <c r="AP999" s="350"/>
      <c r="AQ999" s="350"/>
      <c r="AR999" s="350"/>
      <c r="AS999" s="350"/>
      <c r="AT999" s="350"/>
      <c r="AU999" s="350"/>
      <c r="AV999" s="350"/>
      <c r="AW999" s="350"/>
      <c r="AX999" s="350"/>
      <c r="AY999" s="350"/>
      <c r="AZ999" s="350"/>
      <c r="BA999" s="350"/>
      <c r="BB999" s="351"/>
    </row>
    <row r="1000" spans="1:54" ht="15.75" customHeight="1">
      <c r="A1000" s="25">
        <f t="shared" si="3"/>
        <v>987</v>
      </c>
      <c r="B1000" s="618" t="str">
        <f>'refer admin discharge'!B996</f>
        <v>x</v>
      </c>
      <c r="C1000" s="351"/>
      <c r="D1000" s="619" t="str">
        <f>'refer admin discharge'!D996</f>
        <v>xx</v>
      </c>
      <c r="E1000" s="351"/>
      <c r="F1000" s="620" t="str">
        <f>'refer admin discharge'!H996</f>
        <v>00/00/0000</v>
      </c>
      <c r="G1000" s="351"/>
      <c r="H1000" s="615"/>
      <c r="I1000" s="351"/>
      <c r="J1000" s="621"/>
      <c r="K1000" s="351"/>
      <c r="L1000" s="615"/>
      <c r="M1000" s="351"/>
      <c r="N1000" s="610"/>
      <c r="O1000" s="351"/>
      <c r="P1000" s="615"/>
      <c r="Q1000" s="351"/>
      <c r="R1000" s="610"/>
      <c r="S1000" s="351"/>
      <c r="T1000" s="615"/>
      <c r="U1000" s="351"/>
      <c r="V1000" s="613" t="str">
        <f>'refer admin discharge'!H1001</f>
        <v>00/00/0000</v>
      </c>
      <c r="W1000" s="351"/>
      <c r="X1000" s="616"/>
      <c r="Y1000" s="351"/>
      <c r="Z1000" s="617"/>
      <c r="AA1000" s="351"/>
      <c r="AB1000" s="616"/>
      <c r="AC1000" s="351"/>
      <c r="AD1000" s="607"/>
      <c r="AE1000" s="351"/>
      <c r="AF1000" s="616"/>
      <c r="AG1000" s="351"/>
      <c r="AH1000" s="607"/>
      <c r="AI1000" s="351"/>
      <c r="AJ1000" s="616"/>
      <c r="AK1000" s="351"/>
      <c r="AL1000" s="622"/>
      <c r="AM1000" s="350"/>
      <c r="AN1000" s="350"/>
      <c r="AO1000" s="350"/>
      <c r="AP1000" s="350"/>
      <c r="AQ1000" s="350"/>
      <c r="AR1000" s="350"/>
      <c r="AS1000" s="350"/>
      <c r="AT1000" s="350"/>
      <c r="AU1000" s="350"/>
      <c r="AV1000" s="350"/>
      <c r="AW1000" s="350"/>
      <c r="AX1000" s="350"/>
      <c r="AY1000" s="350"/>
      <c r="AZ1000" s="350"/>
      <c r="BA1000" s="350"/>
      <c r="BB1000" s="351"/>
    </row>
    <row r="1001" spans="1:54" ht="15.75" customHeight="1">
      <c r="A1001" s="25">
        <f t="shared" si="3"/>
        <v>988</v>
      </c>
      <c r="B1001" s="599" t="str">
        <f>'refer admin discharge'!B997</f>
        <v>x</v>
      </c>
      <c r="C1001" s="351"/>
      <c r="D1001" s="600" t="str">
        <f>'refer admin discharge'!D997</f>
        <v>xx</v>
      </c>
      <c r="E1001" s="351"/>
      <c r="F1001" s="609" t="str">
        <f>'refer admin discharge'!H997</f>
        <v>00/00/0000</v>
      </c>
      <c r="G1001" s="351"/>
      <c r="H1001" s="610"/>
      <c r="I1001" s="351"/>
      <c r="J1001" s="611"/>
      <c r="K1001" s="351"/>
      <c r="L1001" s="610"/>
      <c r="M1001" s="351"/>
      <c r="N1001" s="612"/>
      <c r="O1001" s="351"/>
      <c r="P1001" s="610"/>
      <c r="Q1001" s="351"/>
      <c r="R1001" s="612"/>
      <c r="S1001" s="351"/>
      <c r="T1001" s="610"/>
      <c r="U1001" s="351"/>
      <c r="V1001" s="613" t="str">
        <f>'refer admin discharge'!H1002</f>
        <v>00/00/0000</v>
      </c>
      <c r="W1001" s="351"/>
      <c r="X1001" s="607"/>
      <c r="Y1001" s="351"/>
      <c r="Z1001" s="614"/>
      <c r="AA1001" s="351"/>
      <c r="AB1001" s="607"/>
      <c r="AC1001" s="351"/>
      <c r="AD1001" s="606"/>
      <c r="AE1001" s="351"/>
      <c r="AF1001" s="607"/>
      <c r="AG1001" s="351"/>
      <c r="AH1001" s="606"/>
      <c r="AI1001" s="351"/>
      <c r="AJ1001" s="607"/>
      <c r="AK1001" s="351"/>
      <c r="AL1001" s="608"/>
      <c r="AM1001" s="350"/>
      <c r="AN1001" s="350"/>
      <c r="AO1001" s="350"/>
      <c r="AP1001" s="350"/>
      <c r="AQ1001" s="350"/>
      <c r="AR1001" s="350"/>
      <c r="AS1001" s="350"/>
      <c r="AT1001" s="350"/>
      <c r="AU1001" s="350"/>
      <c r="AV1001" s="350"/>
      <c r="AW1001" s="350"/>
      <c r="AX1001" s="350"/>
      <c r="AY1001" s="350"/>
      <c r="AZ1001" s="350"/>
      <c r="BA1001" s="350"/>
      <c r="BB1001" s="351"/>
    </row>
    <row r="1002" spans="1:54" ht="15.75" customHeight="1">
      <c r="A1002" s="25">
        <f t="shared" si="3"/>
        <v>989</v>
      </c>
      <c r="B1002" s="618" t="str">
        <f>'refer admin discharge'!B998</f>
        <v>x</v>
      </c>
      <c r="C1002" s="351"/>
      <c r="D1002" s="619" t="str">
        <f>'refer admin discharge'!D998</f>
        <v>xx</v>
      </c>
      <c r="E1002" s="351"/>
      <c r="F1002" s="620" t="str">
        <f>'refer admin discharge'!H998</f>
        <v>00/00/0000</v>
      </c>
      <c r="G1002" s="351"/>
      <c r="H1002" s="615"/>
      <c r="I1002" s="351"/>
      <c r="J1002" s="621"/>
      <c r="K1002" s="351"/>
      <c r="L1002" s="615"/>
      <c r="M1002" s="351"/>
      <c r="N1002" s="610"/>
      <c r="O1002" s="351"/>
      <c r="P1002" s="615"/>
      <c r="Q1002" s="351"/>
      <c r="R1002" s="610"/>
      <c r="S1002" s="351"/>
      <c r="T1002" s="615"/>
      <c r="U1002" s="351"/>
      <c r="V1002" s="613" t="str">
        <f>'refer admin discharge'!H1003</f>
        <v>00/00/0000</v>
      </c>
      <c r="W1002" s="351"/>
      <c r="X1002" s="616"/>
      <c r="Y1002" s="351"/>
      <c r="Z1002" s="617"/>
      <c r="AA1002" s="351"/>
      <c r="AB1002" s="616"/>
      <c r="AC1002" s="351"/>
      <c r="AD1002" s="607"/>
      <c r="AE1002" s="351"/>
      <c r="AF1002" s="616"/>
      <c r="AG1002" s="351"/>
      <c r="AH1002" s="607"/>
      <c r="AI1002" s="351"/>
      <c r="AJ1002" s="616"/>
      <c r="AK1002" s="351"/>
      <c r="AL1002" s="622"/>
      <c r="AM1002" s="350"/>
      <c r="AN1002" s="350"/>
      <c r="AO1002" s="350"/>
      <c r="AP1002" s="350"/>
      <c r="AQ1002" s="350"/>
      <c r="AR1002" s="350"/>
      <c r="AS1002" s="350"/>
      <c r="AT1002" s="350"/>
      <c r="AU1002" s="350"/>
      <c r="AV1002" s="350"/>
      <c r="AW1002" s="350"/>
      <c r="AX1002" s="350"/>
      <c r="AY1002" s="350"/>
      <c r="AZ1002" s="350"/>
      <c r="BA1002" s="350"/>
      <c r="BB1002" s="351"/>
    </row>
    <row r="1003" spans="1:54" ht="15.75" customHeight="1">
      <c r="A1003" s="25">
        <f t="shared" si="3"/>
        <v>990</v>
      </c>
      <c r="B1003" s="599" t="str">
        <f>'refer admin discharge'!B999</f>
        <v>x</v>
      </c>
      <c r="C1003" s="351"/>
      <c r="D1003" s="600" t="str">
        <f>'refer admin discharge'!D999</f>
        <v>xx</v>
      </c>
      <c r="E1003" s="351"/>
      <c r="F1003" s="609" t="str">
        <f>'refer admin discharge'!H999</f>
        <v>00/00/0000</v>
      </c>
      <c r="G1003" s="351"/>
      <c r="H1003" s="610"/>
      <c r="I1003" s="351"/>
      <c r="J1003" s="611"/>
      <c r="K1003" s="351"/>
      <c r="L1003" s="610"/>
      <c r="M1003" s="351"/>
      <c r="N1003" s="612"/>
      <c r="O1003" s="351"/>
      <c r="P1003" s="610"/>
      <c r="Q1003" s="351"/>
      <c r="R1003" s="612"/>
      <c r="S1003" s="351"/>
      <c r="T1003" s="610"/>
      <c r="U1003" s="351"/>
      <c r="V1003" s="613" t="str">
        <f>'refer admin discharge'!H1004</f>
        <v>00/00/0000</v>
      </c>
      <c r="W1003" s="351"/>
      <c r="X1003" s="607"/>
      <c r="Y1003" s="351"/>
      <c r="Z1003" s="614"/>
      <c r="AA1003" s="351"/>
      <c r="AB1003" s="607"/>
      <c r="AC1003" s="351"/>
      <c r="AD1003" s="606"/>
      <c r="AE1003" s="351"/>
      <c r="AF1003" s="607"/>
      <c r="AG1003" s="351"/>
      <c r="AH1003" s="606"/>
      <c r="AI1003" s="351"/>
      <c r="AJ1003" s="607"/>
      <c r="AK1003" s="351"/>
      <c r="AL1003" s="608"/>
      <c r="AM1003" s="350"/>
      <c r="AN1003" s="350"/>
      <c r="AO1003" s="350"/>
      <c r="AP1003" s="350"/>
      <c r="AQ1003" s="350"/>
      <c r="AR1003" s="350"/>
      <c r="AS1003" s="350"/>
      <c r="AT1003" s="350"/>
      <c r="AU1003" s="350"/>
      <c r="AV1003" s="350"/>
      <c r="AW1003" s="350"/>
      <c r="AX1003" s="350"/>
      <c r="AY1003" s="350"/>
      <c r="AZ1003" s="350"/>
      <c r="BA1003" s="350"/>
      <c r="BB1003" s="351"/>
    </row>
    <row r="1004" spans="1:54" ht="15.75" customHeight="1">
      <c r="A1004" s="25">
        <f t="shared" si="3"/>
        <v>991</v>
      </c>
      <c r="B1004" s="618" t="str">
        <f>'refer admin discharge'!B1000</f>
        <v>x</v>
      </c>
      <c r="C1004" s="351"/>
      <c r="D1004" s="619" t="str">
        <f>'refer admin discharge'!D1000</f>
        <v>xx</v>
      </c>
      <c r="E1004" s="351"/>
      <c r="F1004" s="620" t="str">
        <f>'refer admin discharge'!H1000</f>
        <v>00/00/0000</v>
      </c>
      <c r="G1004" s="351"/>
      <c r="H1004" s="615"/>
      <c r="I1004" s="351"/>
      <c r="J1004" s="621"/>
      <c r="K1004" s="351"/>
      <c r="L1004" s="615"/>
      <c r="M1004" s="351"/>
      <c r="N1004" s="610"/>
      <c r="O1004" s="351"/>
      <c r="P1004" s="615"/>
      <c r="Q1004" s="351"/>
      <c r="R1004" s="610"/>
      <c r="S1004" s="351"/>
      <c r="T1004" s="615"/>
      <c r="U1004" s="351"/>
      <c r="V1004" s="613" t="str">
        <f>'refer admin discharge'!H1005</f>
        <v>00/00/0000</v>
      </c>
      <c r="W1004" s="351"/>
      <c r="X1004" s="616"/>
      <c r="Y1004" s="351"/>
      <c r="Z1004" s="617"/>
      <c r="AA1004" s="351"/>
      <c r="AB1004" s="616"/>
      <c r="AC1004" s="351"/>
      <c r="AD1004" s="607"/>
      <c r="AE1004" s="351"/>
      <c r="AF1004" s="616"/>
      <c r="AG1004" s="351"/>
      <c r="AH1004" s="607"/>
      <c r="AI1004" s="351"/>
      <c r="AJ1004" s="616"/>
      <c r="AK1004" s="351"/>
      <c r="AL1004" s="622"/>
      <c r="AM1004" s="350"/>
      <c r="AN1004" s="350"/>
      <c r="AO1004" s="350"/>
      <c r="AP1004" s="350"/>
      <c r="AQ1004" s="350"/>
      <c r="AR1004" s="350"/>
      <c r="AS1004" s="350"/>
      <c r="AT1004" s="350"/>
      <c r="AU1004" s="350"/>
      <c r="AV1004" s="350"/>
      <c r="AW1004" s="350"/>
      <c r="AX1004" s="350"/>
      <c r="AY1004" s="350"/>
      <c r="AZ1004" s="350"/>
      <c r="BA1004" s="350"/>
      <c r="BB1004" s="351"/>
    </row>
    <row r="1005" spans="1:54" ht="15.75" customHeight="1">
      <c r="A1005" s="25">
        <f t="shared" si="3"/>
        <v>992</v>
      </c>
      <c r="B1005" s="599" t="str">
        <f>'refer admin discharge'!B1001</f>
        <v>x</v>
      </c>
      <c r="C1005" s="351"/>
      <c r="D1005" s="600" t="str">
        <f>'refer admin discharge'!D1001</f>
        <v>xx</v>
      </c>
      <c r="E1005" s="351"/>
      <c r="F1005" s="609" t="str">
        <f>'refer admin discharge'!H1001</f>
        <v>00/00/0000</v>
      </c>
      <c r="G1005" s="351"/>
      <c r="H1005" s="610"/>
      <c r="I1005" s="351"/>
      <c r="J1005" s="611"/>
      <c r="K1005" s="351"/>
      <c r="L1005" s="610"/>
      <c r="M1005" s="351"/>
      <c r="N1005" s="612"/>
      <c r="O1005" s="351"/>
      <c r="P1005" s="610"/>
      <c r="Q1005" s="351"/>
      <c r="R1005" s="612"/>
      <c r="S1005" s="351"/>
      <c r="T1005" s="610"/>
      <c r="U1005" s="351"/>
      <c r="V1005" s="613" t="str">
        <f>'refer admin discharge'!H1006</f>
        <v>00/00/0000</v>
      </c>
      <c r="W1005" s="351"/>
      <c r="X1005" s="607"/>
      <c r="Y1005" s="351"/>
      <c r="Z1005" s="614"/>
      <c r="AA1005" s="351"/>
      <c r="AB1005" s="607"/>
      <c r="AC1005" s="351"/>
      <c r="AD1005" s="606"/>
      <c r="AE1005" s="351"/>
      <c r="AF1005" s="607"/>
      <c r="AG1005" s="351"/>
      <c r="AH1005" s="606"/>
      <c r="AI1005" s="351"/>
      <c r="AJ1005" s="607"/>
      <c r="AK1005" s="351"/>
      <c r="AL1005" s="608"/>
      <c r="AM1005" s="350"/>
      <c r="AN1005" s="350"/>
      <c r="AO1005" s="350"/>
      <c r="AP1005" s="350"/>
      <c r="AQ1005" s="350"/>
      <c r="AR1005" s="350"/>
      <c r="AS1005" s="350"/>
      <c r="AT1005" s="350"/>
      <c r="AU1005" s="350"/>
      <c r="AV1005" s="350"/>
      <c r="AW1005" s="350"/>
      <c r="AX1005" s="350"/>
      <c r="AY1005" s="350"/>
      <c r="AZ1005" s="350"/>
      <c r="BA1005" s="350"/>
      <c r="BB1005" s="351"/>
    </row>
    <row r="1006" spans="1:54" ht="15.75" customHeight="1">
      <c r="A1006" s="25">
        <f t="shared" si="3"/>
        <v>993</v>
      </c>
      <c r="B1006" s="618" t="str">
        <f>'refer admin discharge'!B1002</f>
        <v>x</v>
      </c>
      <c r="C1006" s="351"/>
      <c r="D1006" s="619" t="str">
        <f>'refer admin discharge'!D1002</f>
        <v>xx</v>
      </c>
      <c r="E1006" s="351"/>
      <c r="F1006" s="620" t="str">
        <f>'refer admin discharge'!H1002</f>
        <v>00/00/0000</v>
      </c>
      <c r="G1006" s="351"/>
      <c r="H1006" s="615"/>
      <c r="I1006" s="351"/>
      <c r="J1006" s="621"/>
      <c r="K1006" s="351"/>
      <c r="L1006" s="615"/>
      <c r="M1006" s="351"/>
      <c r="N1006" s="610"/>
      <c r="O1006" s="351"/>
      <c r="P1006" s="615"/>
      <c r="Q1006" s="351"/>
      <c r="R1006" s="610"/>
      <c r="S1006" s="351"/>
      <c r="T1006" s="615"/>
      <c r="U1006" s="351"/>
      <c r="V1006" s="613" t="str">
        <f>'refer admin discharge'!H1007</f>
        <v>00/00/0000</v>
      </c>
      <c r="W1006" s="351"/>
      <c r="X1006" s="616"/>
      <c r="Y1006" s="351"/>
      <c r="Z1006" s="617"/>
      <c r="AA1006" s="351"/>
      <c r="AB1006" s="616"/>
      <c r="AC1006" s="351"/>
      <c r="AD1006" s="607"/>
      <c r="AE1006" s="351"/>
      <c r="AF1006" s="616"/>
      <c r="AG1006" s="351"/>
      <c r="AH1006" s="607"/>
      <c r="AI1006" s="351"/>
      <c r="AJ1006" s="616"/>
      <c r="AK1006" s="351"/>
      <c r="AL1006" s="622"/>
      <c r="AM1006" s="350"/>
      <c r="AN1006" s="350"/>
      <c r="AO1006" s="350"/>
      <c r="AP1006" s="350"/>
      <c r="AQ1006" s="350"/>
      <c r="AR1006" s="350"/>
      <c r="AS1006" s="350"/>
      <c r="AT1006" s="350"/>
      <c r="AU1006" s="350"/>
      <c r="AV1006" s="350"/>
      <c r="AW1006" s="350"/>
      <c r="AX1006" s="350"/>
      <c r="AY1006" s="350"/>
      <c r="AZ1006" s="350"/>
      <c r="BA1006" s="350"/>
      <c r="BB1006" s="351"/>
    </row>
    <row r="1007" spans="1:54" ht="15.75" customHeight="1">
      <c r="A1007" s="25">
        <f t="shared" si="3"/>
        <v>994</v>
      </c>
      <c r="B1007" s="599" t="str">
        <f>'refer admin discharge'!B1003</f>
        <v>x</v>
      </c>
      <c r="C1007" s="351"/>
      <c r="D1007" s="600" t="str">
        <f>'refer admin discharge'!D1003</f>
        <v>xx</v>
      </c>
      <c r="E1007" s="351"/>
      <c r="F1007" s="609" t="str">
        <f>'refer admin discharge'!H1003</f>
        <v>00/00/0000</v>
      </c>
      <c r="G1007" s="351"/>
      <c r="H1007" s="610"/>
      <c r="I1007" s="351"/>
      <c r="J1007" s="611"/>
      <c r="K1007" s="351"/>
      <c r="L1007" s="610"/>
      <c r="M1007" s="351"/>
      <c r="N1007" s="612"/>
      <c r="O1007" s="351"/>
      <c r="P1007" s="610"/>
      <c r="Q1007" s="351"/>
      <c r="R1007" s="612"/>
      <c r="S1007" s="351"/>
      <c r="T1007" s="610"/>
      <c r="U1007" s="351"/>
      <c r="V1007" s="613" t="str">
        <f>'refer admin discharge'!H1008</f>
        <v>00/00/0000</v>
      </c>
      <c r="W1007" s="351"/>
      <c r="X1007" s="607"/>
      <c r="Y1007" s="351"/>
      <c r="Z1007" s="614"/>
      <c r="AA1007" s="351"/>
      <c r="AB1007" s="607"/>
      <c r="AC1007" s="351"/>
      <c r="AD1007" s="606"/>
      <c r="AE1007" s="351"/>
      <c r="AF1007" s="607"/>
      <c r="AG1007" s="351"/>
      <c r="AH1007" s="606"/>
      <c r="AI1007" s="351"/>
      <c r="AJ1007" s="607"/>
      <c r="AK1007" s="351"/>
      <c r="AL1007" s="608"/>
      <c r="AM1007" s="350"/>
      <c r="AN1007" s="350"/>
      <c r="AO1007" s="350"/>
      <c r="AP1007" s="350"/>
      <c r="AQ1007" s="350"/>
      <c r="AR1007" s="350"/>
      <c r="AS1007" s="350"/>
      <c r="AT1007" s="350"/>
      <c r="AU1007" s="350"/>
      <c r="AV1007" s="350"/>
      <c r="AW1007" s="350"/>
      <c r="AX1007" s="350"/>
      <c r="AY1007" s="350"/>
      <c r="AZ1007" s="350"/>
      <c r="BA1007" s="350"/>
      <c r="BB1007" s="351"/>
    </row>
    <row r="1008" spans="1:54" ht="15.75" customHeight="1">
      <c r="A1008" s="25">
        <f t="shared" si="3"/>
        <v>995</v>
      </c>
      <c r="B1008" s="618" t="str">
        <f>'refer admin discharge'!B1004</f>
        <v>x</v>
      </c>
      <c r="C1008" s="351"/>
      <c r="D1008" s="619" t="str">
        <f>'refer admin discharge'!D1004</f>
        <v>xx</v>
      </c>
      <c r="E1008" s="351"/>
      <c r="F1008" s="620" t="str">
        <f>'refer admin discharge'!H1004</f>
        <v>00/00/0000</v>
      </c>
      <c r="G1008" s="351"/>
      <c r="H1008" s="615"/>
      <c r="I1008" s="351"/>
      <c r="J1008" s="621"/>
      <c r="K1008" s="351"/>
      <c r="L1008" s="615"/>
      <c r="M1008" s="351"/>
      <c r="N1008" s="610"/>
      <c r="O1008" s="351"/>
      <c r="P1008" s="615"/>
      <c r="Q1008" s="351"/>
      <c r="R1008" s="610"/>
      <c r="S1008" s="351"/>
      <c r="T1008" s="615"/>
      <c r="U1008" s="351"/>
      <c r="V1008" s="613" t="str">
        <f>'refer admin discharge'!H1009</f>
        <v>00/00/0000</v>
      </c>
      <c r="W1008" s="351"/>
      <c r="X1008" s="616"/>
      <c r="Y1008" s="351"/>
      <c r="Z1008" s="617"/>
      <c r="AA1008" s="351"/>
      <c r="AB1008" s="616"/>
      <c r="AC1008" s="351"/>
      <c r="AD1008" s="607"/>
      <c r="AE1008" s="351"/>
      <c r="AF1008" s="616"/>
      <c r="AG1008" s="351"/>
      <c r="AH1008" s="607"/>
      <c r="AI1008" s="351"/>
      <c r="AJ1008" s="616"/>
      <c r="AK1008" s="351"/>
      <c r="AL1008" s="622"/>
      <c r="AM1008" s="350"/>
      <c r="AN1008" s="350"/>
      <c r="AO1008" s="350"/>
      <c r="AP1008" s="350"/>
      <c r="AQ1008" s="350"/>
      <c r="AR1008" s="350"/>
      <c r="AS1008" s="350"/>
      <c r="AT1008" s="350"/>
      <c r="AU1008" s="350"/>
      <c r="AV1008" s="350"/>
      <c r="AW1008" s="350"/>
      <c r="AX1008" s="350"/>
      <c r="AY1008" s="350"/>
      <c r="AZ1008" s="350"/>
      <c r="BA1008" s="350"/>
      <c r="BB1008" s="351"/>
    </row>
    <row r="1009" spans="1:54" ht="15.75" customHeight="1">
      <c r="A1009" s="25">
        <f t="shared" si="3"/>
        <v>996</v>
      </c>
      <c r="B1009" s="599" t="str">
        <f>'refer admin discharge'!B1005</f>
        <v>x</v>
      </c>
      <c r="C1009" s="351"/>
      <c r="D1009" s="600" t="str">
        <f>'refer admin discharge'!D1005</f>
        <v>xx</v>
      </c>
      <c r="E1009" s="351"/>
      <c r="F1009" s="609" t="str">
        <f>'refer admin discharge'!H1005</f>
        <v>00/00/0000</v>
      </c>
      <c r="G1009" s="351"/>
      <c r="H1009" s="610"/>
      <c r="I1009" s="351"/>
      <c r="J1009" s="611"/>
      <c r="K1009" s="351"/>
      <c r="L1009" s="610"/>
      <c r="M1009" s="351"/>
      <c r="N1009" s="612"/>
      <c r="O1009" s="351"/>
      <c r="P1009" s="610"/>
      <c r="Q1009" s="351"/>
      <c r="R1009" s="612"/>
      <c r="S1009" s="351"/>
      <c r="T1009" s="610"/>
      <c r="U1009" s="351"/>
      <c r="V1009" s="613" t="str">
        <f>'refer admin discharge'!H1010</f>
        <v>00/00/0000</v>
      </c>
      <c r="W1009" s="351"/>
      <c r="X1009" s="607"/>
      <c r="Y1009" s="351"/>
      <c r="Z1009" s="614"/>
      <c r="AA1009" s="351"/>
      <c r="AB1009" s="607"/>
      <c r="AC1009" s="351"/>
      <c r="AD1009" s="606"/>
      <c r="AE1009" s="351"/>
      <c r="AF1009" s="607"/>
      <c r="AG1009" s="351"/>
      <c r="AH1009" s="606"/>
      <c r="AI1009" s="351"/>
      <c r="AJ1009" s="607"/>
      <c r="AK1009" s="351"/>
      <c r="AL1009" s="608"/>
      <c r="AM1009" s="350"/>
      <c r="AN1009" s="350"/>
      <c r="AO1009" s="350"/>
      <c r="AP1009" s="350"/>
      <c r="AQ1009" s="350"/>
      <c r="AR1009" s="350"/>
      <c r="AS1009" s="350"/>
      <c r="AT1009" s="350"/>
      <c r="AU1009" s="350"/>
      <c r="AV1009" s="350"/>
      <c r="AW1009" s="350"/>
      <c r="AX1009" s="350"/>
      <c r="AY1009" s="350"/>
      <c r="AZ1009" s="350"/>
      <c r="BA1009" s="350"/>
      <c r="BB1009" s="351"/>
    </row>
    <row r="1010" spans="1:54" ht="15.75" customHeight="1">
      <c r="A1010" s="25">
        <f t="shared" si="3"/>
        <v>997</v>
      </c>
      <c r="B1010" s="618" t="str">
        <f>'refer admin discharge'!B1006</f>
        <v>x</v>
      </c>
      <c r="C1010" s="351"/>
      <c r="D1010" s="619" t="str">
        <f>'refer admin discharge'!D1006</f>
        <v>xx</v>
      </c>
      <c r="E1010" s="351"/>
      <c r="F1010" s="620" t="str">
        <f>'refer admin discharge'!H1006</f>
        <v>00/00/0000</v>
      </c>
      <c r="G1010" s="351"/>
      <c r="H1010" s="615"/>
      <c r="I1010" s="351"/>
      <c r="J1010" s="621"/>
      <c r="K1010" s="351"/>
      <c r="L1010" s="615"/>
      <c r="M1010" s="351"/>
      <c r="N1010" s="610"/>
      <c r="O1010" s="351"/>
      <c r="P1010" s="615"/>
      <c r="Q1010" s="351"/>
      <c r="R1010" s="610"/>
      <c r="S1010" s="351"/>
      <c r="T1010" s="615"/>
      <c r="U1010" s="351"/>
      <c r="V1010" s="613" t="str">
        <f>'refer admin discharge'!H1011</f>
        <v>00/00/0000</v>
      </c>
      <c r="W1010" s="351"/>
      <c r="X1010" s="616"/>
      <c r="Y1010" s="351"/>
      <c r="Z1010" s="617"/>
      <c r="AA1010" s="351"/>
      <c r="AB1010" s="616"/>
      <c r="AC1010" s="351"/>
      <c r="AD1010" s="607"/>
      <c r="AE1010" s="351"/>
      <c r="AF1010" s="616"/>
      <c r="AG1010" s="351"/>
      <c r="AH1010" s="607"/>
      <c r="AI1010" s="351"/>
      <c r="AJ1010" s="616"/>
      <c r="AK1010" s="351"/>
      <c r="AL1010" s="622"/>
      <c r="AM1010" s="350"/>
      <c r="AN1010" s="350"/>
      <c r="AO1010" s="350"/>
      <c r="AP1010" s="350"/>
      <c r="AQ1010" s="350"/>
      <c r="AR1010" s="350"/>
      <c r="AS1010" s="350"/>
      <c r="AT1010" s="350"/>
      <c r="AU1010" s="350"/>
      <c r="AV1010" s="350"/>
      <c r="AW1010" s="350"/>
      <c r="AX1010" s="350"/>
      <c r="AY1010" s="350"/>
      <c r="AZ1010" s="350"/>
      <c r="BA1010" s="350"/>
      <c r="BB1010" s="351"/>
    </row>
    <row r="1011" spans="1:54" ht="15.75" customHeight="1">
      <c r="A1011" s="25">
        <f t="shared" si="3"/>
        <v>998</v>
      </c>
      <c r="B1011" s="599" t="str">
        <f>'refer admin discharge'!B1007</f>
        <v>x</v>
      </c>
      <c r="C1011" s="351"/>
      <c r="D1011" s="600" t="str">
        <f>'refer admin discharge'!D1007</f>
        <v>xx</v>
      </c>
      <c r="E1011" s="351"/>
      <c r="F1011" s="609" t="str">
        <f>'refer admin discharge'!H1007</f>
        <v>00/00/0000</v>
      </c>
      <c r="G1011" s="351"/>
      <c r="H1011" s="610"/>
      <c r="I1011" s="351"/>
      <c r="J1011" s="611"/>
      <c r="K1011" s="351"/>
      <c r="L1011" s="610"/>
      <c r="M1011" s="351"/>
      <c r="N1011" s="612"/>
      <c r="O1011" s="351"/>
      <c r="P1011" s="610"/>
      <c r="Q1011" s="351"/>
      <c r="R1011" s="612"/>
      <c r="S1011" s="351"/>
      <c r="T1011" s="610"/>
      <c r="U1011" s="351"/>
      <c r="V1011" s="613" t="str">
        <f>'refer admin discharge'!H1012</f>
        <v>00/00/0000</v>
      </c>
      <c r="W1011" s="351"/>
      <c r="X1011" s="607"/>
      <c r="Y1011" s="351"/>
      <c r="Z1011" s="614"/>
      <c r="AA1011" s="351"/>
      <c r="AB1011" s="607"/>
      <c r="AC1011" s="351"/>
      <c r="AD1011" s="606"/>
      <c r="AE1011" s="351"/>
      <c r="AF1011" s="607"/>
      <c r="AG1011" s="351"/>
      <c r="AH1011" s="606"/>
      <c r="AI1011" s="351"/>
      <c r="AJ1011" s="607"/>
      <c r="AK1011" s="351"/>
      <c r="AL1011" s="608"/>
      <c r="AM1011" s="350"/>
      <c r="AN1011" s="350"/>
      <c r="AO1011" s="350"/>
      <c r="AP1011" s="350"/>
      <c r="AQ1011" s="350"/>
      <c r="AR1011" s="350"/>
      <c r="AS1011" s="350"/>
      <c r="AT1011" s="350"/>
      <c r="AU1011" s="350"/>
      <c r="AV1011" s="350"/>
      <c r="AW1011" s="350"/>
      <c r="AX1011" s="350"/>
      <c r="AY1011" s="350"/>
      <c r="AZ1011" s="350"/>
      <c r="BA1011" s="350"/>
      <c r="BB1011" s="351"/>
    </row>
    <row r="1012" spans="1:54" ht="15.75" customHeight="1">
      <c r="A1012" s="25">
        <f t="shared" si="3"/>
        <v>999</v>
      </c>
      <c r="B1012" s="618" t="str">
        <f>'refer admin discharge'!B1008</f>
        <v>x</v>
      </c>
      <c r="C1012" s="351"/>
      <c r="D1012" s="619" t="str">
        <f>'refer admin discharge'!D1008</f>
        <v>xx</v>
      </c>
      <c r="E1012" s="351"/>
      <c r="F1012" s="620" t="str">
        <f>'refer admin discharge'!H1008</f>
        <v>00/00/0000</v>
      </c>
      <c r="G1012" s="351"/>
      <c r="H1012" s="615"/>
      <c r="I1012" s="351"/>
      <c r="J1012" s="621"/>
      <c r="K1012" s="351"/>
      <c r="L1012" s="615"/>
      <c r="M1012" s="351"/>
      <c r="N1012" s="610"/>
      <c r="O1012" s="351"/>
      <c r="P1012" s="615"/>
      <c r="Q1012" s="351"/>
      <c r="R1012" s="610"/>
      <c r="S1012" s="351"/>
      <c r="T1012" s="615"/>
      <c r="U1012" s="351"/>
      <c r="V1012" s="613" t="str">
        <f>'refer admin discharge'!H1013</f>
        <v>00/00/0000</v>
      </c>
      <c r="W1012" s="351"/>
      <c r="X1012" s="616"/>
      <c r="Y1012" s="351"/>
      <c r="Z1012" s="617"/>
      <c r="AA1012" s="351"/>
      <c r="AB1012" s="616"/>
      <c r="AC1012" s="351"/>
      <c r="AD1012" s="607"/>
      <c r="AE1012" s="351"/>
      <c r="AF1012" s="616"/>
      <c r="AG1012" s="351"/>
      <c r="AH1012" s="607"/>
      <c r="AI1012" s="351"/>
      <c r="AJ1012" s="616"/>
      <c r="AK1012" s="351"/>
      <c r="AL1012" s="622"/>
      <c r="AM1012" s="350"/>
      <c r="AN1012" s="350"/>
      <c r="AO1012" s="350"/>
      <c r="AP1012" s="350"/>
      <c r="AQ1012" s="350"/>
      <c r="AR1012" s="350"/>
      <c r="AS1012" s="350"/>
      <c r="AT1012" s="350"/>
      <c r="AU1012" s="350"/>
      <c r="AV1012" s="350"/>
      <c r="AW1012" s="350"/>
      <c r="AX1012" s="350"/>
      <c r="AY1012" s="350"/>
      <c r="AZ1012" s="350"/>
      <c r="BA1012" s="350"/>
      <c r="BB1012" s="351"/>
    </row>
    <row r="1013" spans="1:54" ht="15.75" customHeight="1">
      <c r="A1013" s="25">
        <f t="shared" si="3"/>
        <v>1000</v>
      </c>
      <c r="B1013" s="599" t="str">
        <f>'refer admin discharge'!B1009</f>
        <v>x</v>
      </c>
      <c r="C1013" s="351"/>
      <c r="D1013" s="600" t="str">
        <f>'refer admin discharge'!D1009</f>
        <v>xx</v>
      </c>
      <c r="E1013" s="351"/>
      <c r="F1013" s="609" t="str">
        <f>'refer admin discharge'!H1009</f>
        <v>00/00/0000</v>
      </c>
      <c r="G1013" s="351"/>
      <c r="H1013" s="610"/>
      <c r="I1013" s="351"/>
      <c r="J1013" s="611"/>
      <c r="K1013" s="351"/>
      <c r="L1013" s="610"/>
      <c r="M1013" s="351"/>
      <c r="N1013" s="612"/>
      <c r="O1013" s="351"/>
      <c r="P1013" s="610"/>
      <c r="Q1013" s="351"/>
      <c r="R1013" s="612"/>
      <c r="S1013" s="351"/>
      <c r="T1013" s="610"/>
      <c r="U1013" s="351"/>
      <c r="V1013" s="613" t="str">
        <f>'refer admin discharge'!H1014</f>
        <v>00/00/0000</v>
      </c>
      <c r="W1013" s="351"/>
      <c r="X1013" s="607"/>
      <c r="Y1013" s="351"/>
      <c r="Z1013" s="614"/>
      <c r="AA1013" s="351"/>
      <c r="AB1013" s="607"/>
      <c r="AC1013" s="351"/>
      <c r="AD1013" s="606"/>
      <c r="AE1013" s="351"/>
      <c r="AF1013" s="607"/>
      <c r="AG1013" s="351"/>
      <c r="AH1013" s="606"/>
      <c r="AI1013" s="351"/>
      <c r="AJ1013" s="607"/>
      <c r="AK1013" s="351"/>
      <c r="AL1013" s="608"/>
      <c r="AM1013" s="350"/>
      <c r="AN1013" s="350"/>
      <c r="AO1013" s="350"/>
      <c r="AP1013" s="350"/>
      <c r="AQ1013" s="350"/>
      <c r="AR1013" s="350"/>
      <c r="AS1013" s="350"/>
      <c r="AT1013" s="350"/>
      <c r="AU1013" s="350"/>
      <c r="AV1013" s="350"/>
      <c r="AW1013" s="350"/>
      <c r="AX1013" s="350"/>
      <c r="AY1013" s="350"/>
      <c r="AZ1013" s="350"/>
      <c r="BA1013" s="350"/>
      <c r="BB1013" s="351"/>
    </row>
    <row r="1014" spans="1:54" ht="15.75" customHeight="1">
      <c r="A1014" s="25">
        <f t="shared" si="3"/>
        <v>1001</v>
      </c>
      <c r="B1014" s="618" t="str">
        <f>'refer admin discharge'!B1010</f>
        <v>x</v>
      </c>
      <c r="C1014" s="351"/>
      <c r="D1014" s="619" t="str">
        <f>'refer admin discharge'!D1010</f>
        <v>xx</v>
      </c>
      <c r="E1014" s="351"/>
      <c r="F1014" s="620" t="str">
        <f>'refer admin discharge'!H1010</f>
        <v>00/00/0000</v>
      </c>
      <c r="G1014" s="351"/>
      <c r="H1014" s="615"/>
      <c r="I1014" s="351"/>
      <c r="J1014" s="621"/>
      <c r="K1014" s="351"/>
      <c r="L1014" s="615"/>
      <c r="M1014" s="351"/>
      <c r="N1014" s="610"/>
      <c r="O1014" s="351"/>
      <c r="P1014" s="615"/>
      <c r="Q1014" s="351"/>
      <c r="R1014" s="610"/>
      <c r="S1014" s="351"/>
      <c r="T1014" s="615"/>
      <c r="U1014" s="351"/>
      <c r="V1014" s="613" t="str">
        <f>'refer admin discharge'!H1015</f>
        <v>00/00/0000</v>
      </c>
      <c r="W1014" s="351"/>
      <c r="X1014" s="616"/>
      <c r="Y1014" s="351"/>
      <c r="Z1014" s="617"/>
      <c r="AA1014" s="351"/>
      <c r="AB1014" s="616"/>
      <c r="AC1014" s="351"/>
      <c r="AD1014" s="607"/>
      <c r="AE1014" s="351"/>
      <c r="AF1014" s="616"/>
      <c r="AG1014" s="351"/>
      <c r="AH1014" s="607"/>
      <c r="AI1014" s="351"/>
      <c r="AJ1014" s="616"/>
      <c r="AK1014" s="351"/>
      <c r="AL1014" s="622"/>
      <c r="AM1014" s="350"/>
      <c r="AN1014" s="350"/>
      <c r="AO1014" s="350"/>
      <c r="AP1014" s="350"/>
      <c r="AQ1014" s="350"/>
      <c r="AR1014" s="350"/>
      <c r="AS1014" s="350"/>
      <c r="AT1014" s="350"/>
      <c r="AU1014" s="350"/>
      <c r="AV1014" s="350"/>
      <c r="AW1014" s="350"/>
      <c r="AX1014" s="350"/>
      <c r="AY1014" s="350"/>
      <c r="AZ1014" s="350"/>
      <c r="BA1014" s="350"/>
      <c r="BB1014" s="351"/>
    </row>
    <row r="1015" spans="1:54" ht="15.75" customHeight="1">
      <c r="A1015" s="25">
        <f t="shared" si="3"/>
        <v>1002</v>
      </c>
      <c r="B1015" s="599" t="str">
        <f>'refer admin discharge'!B1011</f>
        <v>x</v>
      </c>
      <c r="C1015" s="351"/>
      <c r="D1015" s="600" t="str">
        <f>'refer admin discharge'!D1011</f>
        <v>xx</v>
      </c>
      <c r="E1015" s="351"/>
      <c r="F1015" s="609" t="str">
        <f>'refer admin discharge'!H1011</f>
        <v>00/00/0000</v>
      </c>
      <c r="G1015" s="351"/>
      <c r="H1015" s="610"/>
      <c r="I1015" s="351"/>
      <c r="J1015" s="611"/>
      <c r="K1015" s="351"/>
      <c r="L1015" s="610"/>
      <c r="M1015" s="351"/>
      <c r="N1015" s="612"/>
      <c r="O1015" s="351"/>
      <c r="P1015" s="610"/>
      <c r="Q1015" s="351"/>
      <c r="R1015" s="612"/>
      <c r="S1015" s="351"/>
      <c r="T1015" s="610"/>
      <c r="U1015" s="351"/>
      <c r="V1015" s="613" t="str">
        <f>'refer admin discharge'!H1016</f>
        <v>00/00/0000</v>
      </c>
      <c r="W1015" s="351"/>
      <c r="X1015" s="607"/>
      <c r="Y1015" s="351"/>
      <c r="Z1015" s="614"/>
      <c r="AA1015" s="351"/>
      <c r="AB1015" s="607"/>
      <c r="AC1015" s="351"/>
      <c r="AD1015" s="606"/>
      <c r="AE1015" s="351"/>
      <c r="AF1015" s="607"/>
      <c r="AG1015" s="351"/>
      <c r="AH1015" s="606"/>
      <c r="AI1015" s="351"/>
      <c r="AJ1015" s="607"/>
      <c r="AK1015" s="351"/>
      <c r="AL1015" s="608"/>
      <c r="AM1015" s="350"/>
      <c r="AN1015" s="350"/>
      <c r="AO1015" s="350"/>
      <c r="AP1015" s="350"/>
      <c r="AQ1015" s="350"/>
      <c r="AR1015" s="350"/>
      <c r="AS1015" s="350"/>
      <c r="AT1015" s="350"/>
      <c r="AU1015" s="350"/>
      <c r="AV1015" s="350"/>
      <c r="AW1015" s="350"/>
      <c r="AX1015" s="350"/>
      <c r="AY1015" s="350"/>
      <c r="AZ1015" s="350"/>
      <c r="BA1015" s="350"/>
      <c r="BB1015" s="351"/>
    </row>
    <row r="1016" spans="1:54" ht="15.75" customHeight="1">
      <c r="A1016" s="25">
        <f t="shared" si="3"/>
        <v>1003</v>
      </c>
      <c r="B1016" s="618" t="str">
        <f>'refer admin discharge'!B1012</f>
        <v>x</v>
      </c>
      <c r="C1016" s="351"/>
      <c r="D1016" s="619" t="str">
        <f>'refer admin discharge'!D1012</f>
        <v>xx</v>
      </c>
      <c r="E1016" s="351"/>
      <c r="F1016" s="620" t="str">
        <f>'refer admin discharge'!H1012</f>
        <v>00/00/0000</v>
      </c>
      <c r="G1016" s="351"/>
      <c r="H1016" s="615"/>
      <c r="I1016" s="351"/>
      <c r="J1016" s="621"/>
      <c r="K1016" s="351"/>
      <c r="L1016" s="615"/>
      <c r="M1016" s="351"/>
      <c r="N1016" s="610"/>
      <c r="O1016" s="351"/>
      <c r="P1016" s="615"/>
      <c r="Q1016" s="351"/>
      <c r="R1016" s="610"/>
      <c r="S1016" s="351"/>
      <c r="T1016" s="615"/>
      <c r="U1016" s="351"/>
      <c r="V1016" s="613" t="str">
        <f>'refer admin discharge'!H1017</f>
        <v>00/00/0000</v>
      </c>
      <c r="W1016" s="351"/>
      <c r="X1016" s="616"/>
      <c r="Y1016" s="351"/>
      <c r="Z1016" s="617"/>
      <c r="AA1016" s="351"/>
      <c r="AB1016" s="616"/>
      <c r="AC1016" s="351"/>
      <c r="AD1016" s="607"/>
      <c r="AE1016" s="351"/>
      <c r="AF1016" s="616"/>
      <c r="AG1016" s="351"/>
      <c r="AH1016" s="607"/>
      <c r="AI1016" s="351"/>
      <c r="AJ1016" s="616"/>
      <c r="AK1016" s="351"/>
      <c r="AL1016" s="622"/>
      <c r="AM1016" s="350"/>
      <c r="AN1016" s="350"/>
      <c r="AO1016" s="350"/>
      <c r="AP1016" s="350"/>
      <c r="AQ1016" s="350"/>
      <c r="AR1016" s="350"/>
      <c r="AS1016" s="350"/>
      <c r="AT1016" s="350"/>
      <c r="AU1016" s="350"/>
      <c r="AV1016" s="350"/>
      <c r="AW1016" s="350"/>
      <c r="AX1016" s="350"/>
      <c r="AY1016" s="350"/>
      <c r="AZ1016" s="350"/>
      <c r="BA1016" s="350"/>
      <c r="BB1016" s="351"/>
    </row>
    <row r="1017" spans="1:54" ht="15.75" customHeight="1">
      <c r="A1017" s="25">
        <f t="shared" si="3"/>
        <v>1004</v>
      </c>
      <c r="B1017" s="599" t="str">
        <f>'refer admin discharge'!B1013</f>
        <v>x</v>
      </c>
      <c r="C1017" s="351"/>
      <c r="D1017" s="600" t="str">
        <f>'refer admin discharge'!D1013</f>
        <v>xx</v>
      </c>
      <c r="E1017" s="351"/>
      <c r="F1017" s="609" t="str">
        <f>'refer admin discharge'!H1013</f>
        <v>00/00/0000</v>
      </c>
      <c r="G1017" s="351"/>
      <c r="H1017" s="610"/>
      <c r="I1017" s="351"/>
      <c r="J1017" s="611"/>
      <c r="K1017" s="351"/>
      <c r="L1017" s="610"/>
      <c r="M1017" s="351"/>
      <c r="N1017" s="612"/>
      <c r="O1017" s="351"/>
      <c r="P1017" s="610"/>
      <c r="Q1017" s="351"/>
      <c r="R1017" s="612"/>
      <c r="S1017" s="351"/>
      <c r="T1017" s="610"/>
      <c r="U1017" s="351"/>
      <c r="V1017" s="613" t="str">
        <f>'refer admin discharge'!H1018</f>
        <v>00/00/0000</v>
      </c>
      <c r="W1017" s="351"/>
      <c r="X1017" s="607"/>
      <c r="Y1017" s="351"/>
      <c r="Z1017" s="614"/>
      <c r="AA1017" s="351"/>
      <c r="AB1017" s="607"/>
      <c r="AC1017" s="351"/>
      <c r="AD1017" s="606"/>
      <c r="AE1017" s="351"/>
      <c r="AF1017" s="607"/>
      <c r="AG1017" s="351"/>
      <c r="AH1017" s="606"/>
      <c r="AI1017" s="351"/>
      <c r="AJ1017" s="607"/>
      <c r="AK1017" s="351"/>
      <c r="AL1017" s="608"/>
      <c r="AM1017" s="350"/>
      <c r="AN1017" s="350"/>
      <c r="AO1017" s="350"/>
      <c r="AP1017" s="350"/>
      <c r="AQ1017" s="350"/>
      <c r="AR1017" s="350"/>
      <c r="AS1017" s="350"/>
      <c r="AT1017" s="350"/>
      <c r="AU1017" s="350"/>
      <c r="AV1017" s="350"/>
      <c r="AW1017" s="350"/>
      <c r="AX1017" s="350"/>
      <c r="AY1017" s="350"/>
      <c r="AZ1017" s="350"/>
      <c r="BA1017" s="350"/>
      <c r="BB1017" s="351"/>
    </row>
    <row r="1018" spans="1:54" ht="15.75" customHeight="1">
      <c r="A1018" s="25">
        <f t="shared" si="3"/>
        <v>1005</v>
      </c>
      <c r="B1018" s="618" t="str">
        <f>'refer admin discharge'!B1014</f>
        <v>x</v>
      </c>
      <c r="C1018" s="351"/>
      <c r="D1018" s="619" t="str">
        <f>'refer admin discharge'!D1014</f>
        <v>xx</v>
      </c>
      <c r="E1018" s="351"/>
      <c r="F1018" s="620" t="str">
        <f>'refer admin discharge'!H1014</f>
        <v>00/00/0000</v>
      </c>
      <c r="G1018" s="351"/>
      <c r="H1018" s="615"/>
      <c r="I1018" s="351"/>
      <c r="J1018" s="621"/>
      <c r="K1018" s="351"/>
      <c r="L1018" s="615"/>
      <c r="M1018" s="351"/>
      <c r="N1018" s="610"/>
      <c r="O1018" s="351"/>
      <c r="P1018" s="615"/>
      <c r="Q1018" s="351"/>
      <c r="R1018" s="610"/>
      <c r="S1018" s="351"/>
      <c r="T1018" s="615"/>
      <c r="U1018" s="351"/>
      <c r="V1018" s="613" t="str">
        <f>'refer admin discharge'!H1019</f>
        <v>00/00/0000</v>
      </c>
      <c r="W1018" s="351"/>
      <c r="X1018" s="616"/>
      <c r="Y1018" s="351"/>
      <c r="Z1018" s="617"/>
      <c r="AA1018" s="351"/>
      <c r="AB1018" s="616"/>
      <c r="AC1018" s="351"/>
      <c r="AD1018" s="607"/>
      <c r="AE1018" s="351"/>
      <c r="AF1018" s="616"/>
      <c r="AG1018" s="351"/>
      <c r="AH1018" s="607"/>
      <c r="AI1018" s="351"/>
      <c r="AJ1018" s="616"/>
      <c r="AK1018" s="351"/>
      <c r="AL1018" s="622"/>
      <c r="AM1018" s="350"/>
      <c r="AN1018" s="350"/>
      <c r="AO1018" s="350"/>
      <c r="AP1018" s="350"/>
      <c r="AQ1018" s="350"/>
      <c r="AR1018" s="350"/>
      <c r="AS1018" s="350"/>
      <c r="AT1018" s="350"/>
      <c r="AU1018" s="350"/>
      <c r="AV1018" s="350"/>
      <c r="AW1018" s="350"/>
      <c r="AX1018" s="350"/>
      <c r="AY1018" s="350"/>
      <c r="AZ1018" s="350"/>
      <c r="BA1018" s="350"/>
      <c r="BB1018" s="351"/>
    </row>
    <row r="1019" spans="1:54" ht="15.75" customHeight="1">
      <c r="A1019" s="25">
        <f t="shared" si="3"/>
        <v>1006</v>
      </c>
      <c r="B1019" s="599" t="str">
        <f>'refer admin discharge'!B1015</f>
        <v>x</v>
      </c>
      <c r="C1019" s="351"/>
      <c r="D1019" s="600" t="str">
        <f>'refer admin discharge'!D1015</f>
        <v>xx</v>
      </c>
      <c r="E1019" s="351"/>
      <c r="F1019" s="609" t="str">
        <f>'refer admin discharge'!H1015</f>
        <v>00/00/0000</v>
      </c>
      <c r="G1019" s="351"/>
      <c r="H1019" s="610"/>
      <c r="I1019" s="351"/>
      <c r="J1019" s="611"/>
      <c r="K1019" s="351"/>
      <c r="L1019" s="610"/>
      <c r="M1019" s="351"/>
      <c r="N1019" s="612"/>
      <c r="O1019" s="351"/>
      <c r="P1019" s="610"/>
      <c r="Q1019" s="351"/>
      <c r="R1019" s="612"/>
      <c r="S1019" s="351"/>
      <c r="T1019" s="610"/>
      <c r="U1019" s="351"/>
      <c r="V1019" s="613" t="str">
        <f>'refer admin discharge'!H1020</f>
        <v>00/00/0000</v>
      </c>
      <c r="W1019" s="351"/>
      <c r="X1019" s="607"/>
      <c r="Y1019" s="351"/>
      <c r="Z1019" s="614"/>
      <c r="AA1019" s="351"/>
      <c r="AB1019" s="607"/>
      <c r="AC1019" s="351"/>
      <c r="AD1019" s="606"/>
      <c r="AE1019" s="351"/>
      <c r="AF1019" s="607"/>
      <c r="AG1019" s="351"/>
      <c r="AH1019" s="606"/>
      <c r="AI1019" s="351"/>
      <c r="AJ1019" s="607"/>
      <c r="AK1019" s="351"/>
      <c r="AL1019" s="608"/>
      <c r="AM1019" s="350"/>
      <c r="AN1019" s="350"/>
      <c r="AO1019" s="350"/>
      <c r="AP1019" s="350"/>
      <c r="AQ1019" s="350"/>
      <c r="AR1019" s="350"/>
      <c r="AS1019" s="350"/>
      <c r="AT1019" s="350"/>
      <c r="AU1019" s="350"/>
      <c r="AV1019" s="350"/>
      <c r="AW1019" s="350"/>
      <c r="AX1019" s="350"/>
      <c r="AY1019" s="350"/>
      <c r="AZ1019" s="350"/>
      <c r="BA1019" s="350"/>
      <c r="BB1019" s="351"/>
    </row>
    <row r="1020" spans="1:54" ht="15.75" customHeight="1">
      <c r="A1020" s="25">
        <f t="shared" si="3"/>
        <v>1007</v>
      </c>
      <c r="B1020" s="618" t="str">
        <f>'refer admin discharge'!B1016</f>
        <v>x</v>
      </c>
      <c r="C1020" s="351"/>
      <c r="D1020" s="619" t="str">
        <f>'refer admin discharge'!D1016</f>
        <v>xx</v>
      </c>
      <c r="E1020" s="351"/>
      <c r="F1020" s="620" t="str">
        <f>'refer admin discharge'!H1016</f>
        <v>00/00/0000</v>
      </c>
      <c r="G1020" s="351"/>
      <c r="H1020" s="615"/>
      <c r="I1020" s="351"/>
      <c r="J1020" s="621"/>
      <c r="K1020" s="351"/>
      <c r="L1020" s="615"/>
      <c r="M1020" s="351"/>
      <c r="N1020" s="610"/>
      <c r="O1020" s="351"/>
      <c r="P1020" s="615"/>
      <c r="Q1020" s="351"/>
      <c r="R1020" s="610"/>
      <c r="S1020" s="351"/>
      <c r="T1020" s="615"/>
      <c r="U1020" s="351"/>
      <c r="V1020" s="613" t="str">
        <f>'refer admin discharge'!H1021</f>
        <v>00/00/0000</v>
      </c>
      <c r="W1020" s="351"/>
      <c r="X1020" s="616"/>
      <c r="Y1020" s="351"/>
      <c r="Z1020" s="617"/>
      <c r="AA1020" s="351"/>
      <c r="AB1020" s="616"/>
      <c r="AC1020" s="351"/>
      <c r="AD1020" s="607"/>
      <c r="AE1020" s="351"/>
      <c r="AF1020" s="616"/>
      <c r="AG1020" s="351"/>
      <c r="AH1020" s="607"/>
      <c r="AI1020" s="351"/>
      <c r="AJ1020" s="616"/>
      <c r="AK1020" s="351"/>
      <c r="AL1020" s="622"/>
      <c r="AM1020" s="350"/>
      <c r="AN1020" s="350"/>
      <c r="AO1020" s="350"/>
      <c r="AP1020" s="350"/>
      <c r="AQ1020" s="350"/>
      <c r="AR1020" s="350"/>
      <c r="AS1020" s="350"/>
      <c r="AT1020" s="350"/>
      <c r="AU1020" s="350"/>
      <c r="AV1020" s="350"/>
      <c r="AW1020" s="350"/>
      <c r="AX1020" s="350"/>
      <c r="AY1020" s="350"/>
      <c r="AZ1020" s="350"/>
      <c r="BA1020" s="350"/>
      <c r="BB1020" s="351"/>
    </row>
    <row r="1021" spans="1:54" ht="15.75" customHeight="1">
      <c r="A1021" s="25">
        <f t="shared" si="3"/>
        <v>1008</v>
      </c>
      <c r="B1021" s="599" t="str">
        <f>'refer admin discharge'!B1017</f>
        <v>x</v>
      </c>
      <c r="C1021" s="351"/>
      <c r="D1021" s="600" t="str">
        <f>'refer admin discharge'!D1017</f>
        <v>xx</v>
      </c>
      <c r="E1021" s="351"/>
      <c r="F1021" s="609" t="str">
        <f>'refer admin discharge'!H1017</f>
        <v>00/00/0000</v>
      </c>
      <c r="G1021" s="351"/>
      <c r="H1021" s="610"/>
      <c r="I1021" s="351"/>
      <c r="J1021" s="611"/>
      <c r="K1021" s="351"/>
      <c r="L1021" s="610"/>
      <c r="M1021" s="351"/>
      <c r="N1021" s="612"/>
      <c r="O1021" s="351"/>
      <c r="P1021" s="610"/>
      <c r="Q1021" s="351"/>
      <c r="R1021" s="612"/>
      <c r="S1021" s="351"/>
      <c r="T1021" s="610"/>
      <c r="U1021" s="351"/>
      <c r="V1021" s="613" t="str">
        <f>'refer admin discharge'!H1022</f>
        <v>00/00/0000</v>
      </c>
      <c r="W1021" s="351"/>
      <c r="X1021" s="607"/>
      <c r="Y1021" s="351"/>
      <c r="Z1021" s="614"/>
      <c r="AA1021" s="351"/>
      <c r="AB1021" s="607"/>
      <c r="AC1021" s="351"/>
      <c r="AD1021" s="606"/>
      <c r="AE1021" s="351"/>
      <c r="AF1021" s="607"/>
      <c r="AG1021" s="351"/>
      <c r="AH1021" s="606"/>
      <c r="AI1021" s="351"/>
      <c r="AJ1021" s="607"/>
      <c r="AK1021" s="351"/>
      <c r="AL1021" s="608"/>
      <c r="AM1021" s="350"/>
      <c r="AN1021" s="350"/>
      <c r="AO1021" s="350"/>
      <c r="AP1021" s="350"/>
      <c r="AQ1021" s="350"/>
      <c r="AR1021" s="350"/>
      <c r="AS1021" s="350"/>
      <c r="AT1021" s="350"/>
      <c r="AU1021" s="350"/>
      <c r="AV1021" s="350"/>
      <c r="AW1021" s="350"/>
      <c r="AX1021" s="350"/>
      <c r="AY1021" s="350"/>
      <c r="AZ1021" s="350"/>
      <c r="BA1021" s="350"/>
      <c r="BB1021" s="351"/>
    </row>
    <row r="1022" spans="1:54" ht="15.75" customHeight="1">
      <c r="A1022" s="25">
        <f t="shared" si="3"/>
        <v>1009</v>
      </c>
      <c r="B1022" s="618" t="str">
        <f>'refer admin discharge'!B1018</f>
        <v>x</v>
      </c>
      <c r="C1022" s="351"/>
      <c r="D1022" s="619" t="str">
        <f>'refer admin discharge'!D1018</f>
        <v>xx</v>
      </c>
      <c r="E1022" s="351"/>
      <c r="F1022" s="620" t="str">
        <f>'refer admin discharge'!H1018</f>
        <v>00/00/0000</v>
      </c>
      <c r="G1022" s="351"/>
      <c r="H1022" s="615"/>
      <c r="I1022" s="351"/>
      <c r="J1022" s="621"/>
      <c r="K1022" s="351"/>
      <c r="L1022" s="615"/>
      <c r="M1022" s="351"/>
      <c r="N1022" s="610"/>
      <c r="O1022" s="351"/>
      <c r="P1022" s="615"/>
      <c r="Q1022" s="351"/>
      <c r="R1022" s="610"/>
      <c r="S1022" s="351"/>
      <c r="T1022" s="615"/>
      <c r="U1022" s="351"/>
      <c r="V1022" s="613" t="str">
        <f>'refer admin discharge'!H1023</f>
        <v>00/00/0000</v>
      </c>
      <c r="W1022" s="351"/>
      <c r="X1022" s="616"/>
      <c r="Y1022" s="351"/>
      <c r="Z1022" s="617"/>
      <c r="AA1022" s="351"/>
      <c r="AB1022" s="616"/>
      <c r="AC1022" s="351"/>
      <c r="AD1022" s="607"/>
      <c r="AE1022" s="351"/>
      <c r="AF1022" s="616"/>
      <c r="AG1022" s="351"/>
      <c r="AH1022" s="607"/>
      <c r="AI1022" s="351"/>
      <c r="AJ1022" s="616"/>
      <c r="AK1022" s="351"/>
      <c r="AL1022" s="622"/>
      <c r="AM1022" s="350"/>
      <c r="AN1022" s="350"/>
      <c r="AO1022" s="350"/>
      <c r="AP1022" s="350"/>
      <c r="AQ1022" s="350"/>
      <c r="AR1022" s="350"/>
      <c r="AS1022" s="350"/>
      <c r="AT1022" s="350"/>
      <c r="AU1022" s="350"/>
      <c r="AV1022" s="350"/>
      <c r="AW1022" s="350"/>
      <c r="AX1022" s="350"/>
      <c r="AY1022" s="350"/>
      <c r="AZ1022" s="350"/>
      <c r="BA1022" s="350"/>
      <c r="BB1022" s="351"/>
    </row>
    <row r="1023" spans="1:54" ht="15.75" customHeight="1">
      <c r="A1023" s="25">
        <f t="shared" si="3"/>
        <v>1010</v>
      </c>
      <c r="B1023" s="599" t="str">
        <f>'refer admin discharge'!B1019</f>
        <v>x</v>
      </c>
      <c r="C1023" s="351"/>
      <c r="D1023" s="600" t="str">
        <f>'refer admin discharge'!D1019</f>
        <v>xx</v>
      </c>
      <c r="E1023" s="351"/>
      <c r="F1023" s="609" t="str">
        <f>'refer admin discharge'!H1019</f>
        <v>00/00/0000</v>
      </c>
      <c r="G1023" s="351"/>
      <c r="H1023" s="610"/>
      <c r="I1023" s="351"/>
      <c r="J1023" s="611"/>
      <c r="K1023" s="351"/>
      <c r="L1023" s="610"/>
      <c r="M1023" s="351"/>
      <c r="N1023" s="612"/>
      <c r="O1023" s="351"/>
      <c r="P1023" s="610"/>
      <c r="Q1023" s="351"/>
      <c r="R1023" s="612"/>
      <c r="S1023" s="351"/>
      <c r="T1023" s="610"/>
      <c r="U1023" s="351"/>
      <c r="V1023" s="613" t="str">
        <f>'refer admin discharge'!H1024</f>
        <v>00/00/0000</v>
      </c>
      <c r="W1023" s="351"/>
      <c r="X1023" s="607"/>
      <c r="Y1023" s="351"/>
      <c r="Z1023" s="614"/>
      <c r="AA1023" s="351"/>
      <c r="AB1023" s="607"/>
      <c r="AC1023" s="351"/>
      <c r="AD1023" s="606"/>
      <c r="AE1023" s="351"/>
      <c r="AF1023" s="607"/>
      <c r="AG1023" s="351"/>
      <c r="AH1023" s="606"/>
      <c r="AI1023" s="351"/>
      <c r="AJ1023" s="607"/>
      <c r="AK1023" s="351"/>
      <c r="AL1023" s="608"/>
      <c r="AM1023" s="350"/>
      <c r="AN1023" s="350"/>
      <c r="AO1023" s="350"/>
      <c r="AP1023" s="350"/>
      <c r="AQ1023" s="350"/>
      <c r="AR1023" s="350"/>
      <c r="AS1023" s="350"/>
      <c r="AT1023" s="350"/>
      <c r="AU1023" s="350"/>
      <c r="AV1023" s="350"/>
      <c r="AW1023" s="350"/>
      <c r="AX1023" s="350"/>
      <c r="AY1023" s="350"/>
      <c r="AZ1023" s="350"/>
      <c r="BA1023" s="350"/>
      <c r="BB1023" s="351"/>
    </row>
    <row r="1024" spans="1:54" ht="15.75" customHeight="1">
      <c r="A1024" s="25">
        <f t="shared" si="3"/>
        <v>1011</v>
      </c>
      <c r="B1024" s="618" t="str">
        <f>'refer admin discharge'!B1020</f>
        <v>x</v>
      </c>
      <c r="C1024" s="351"/>
      <c r="D1024" s="619" t="str">
        <f>'refer admin discharge'!D1020</f>
        <v>xx</v>
      </c>
      <c r="E1024" s="351"/>
      <c r="F1024" s="620" t="str">
        <f>'refer admin discharge'!H1020</f>
        <v>00/00/0000</v>
      </c>
      <c r="G1024" s="351"/>
      <c r="H1024" s="615"/>
      <c r="I1024" s="351"/>
      <c r="J1024" s="621"/>
      <c r="K1024" s="351"/>
      <c r="L1024" s="615"/>
      <c r="M1024" s="351"/>
      <c r="N1024" s="610"/>
      <c r="O1024" s="351"/>
      <c r="P1024" s="615"/>
      <c r="Q1024" s="351"/>
      <c r="R1024" s="610"/>
      <c r="S1024" s="351"/>
      <c r="T1024" s="615"/>
      <c r="U1024" s="351"/>
      <c r="V1024" s="613" t="str">
        <f>'refer admin discharge'!H1025</f>
        <v>00/00/0000</v>
      </c>
      <c r="W1024" s="351"/>
      <c r="X1024" s="616"/>
      <c r="Y1024" s="351"/>
      <c r="Z1024" s="617"/>
      <c r="AA1024" s="351"/>
      <c r="AB1024" s="616"/>
      <c r="AC1024" s="351"/>
      <c r="AD1024" s="607"/>
      <c r="AE1024" s="351"/>
      <c r="AF1024" s="616"/>
      <c r="AG1024" s="351"/>
      <c r="AH1024" s="607"/>
      <c r="AI1024" s="351"/>
      <c r="AJ1024" s="616"/>
      <c r="AK1024" s="351"/>
      <c r="AL1024" s="622"/>
      <c r="AM1024" s="350"/>
      <c r="AN1024" s="350"/>
      <c r="AO1024" s="350"/>
      <c r="AP1024" s="350"/>
      <c r="AQ1024" s="350"/>
      <c r="AR1024" s="350"/>
      <c r="AS1024" s="350"/>
      <c r="AT1024" s="350"/>
      <c r="AU1024" s="350"/>
      <c r="AV1024" s="350"/>
      <c r="AW1024" s="350"/>
      <c r="AX1024" s="350"/>
      <c r="AY1024" s="350"/>
      <c r="AZ1024" s="350"/>
      <c r="BA1024" s="350"/>
      <c r="BB1024" s="351"/>
    </row>
    <row r="1025" spans="1:54" ht="15.75" customHeight="1">
      <c r="A1025" s="25">
        <f t="shared" si="3"/>
        <v>1012</v>
      </c>
      <c r="B1025" s="599" t="str">
        <f>'refer admin discharge'!B1021</f>
        <v>x</v>
      </c>
      <c r="C1025" s="351"/>
      <c r="D1025" s="600" t="str">
        <f>'refer admin discharge'!D1021</f>
        <v>xx</v>
      </c>
      <c r="E1025" s="351"/>
      <c r="F1025" s="609" t="str">
        <f>'refer admin discharge'!H1021</f>
        <v>00/00/0000</v>
      </c>
      <c r="G1025" s="351"/>
      <c r="H1025" s="610"/>
      <c r="I1025" s="351"/>
      <c r="J1025" s="611"/>
      <c r="K1025" s="351"/>
      <c r="L1025" s="610"/>
      <c r="M1025" s="351"/>
      <c r="N1025" s="612"/>
      <c r="O1025" s="351"/>
      <c r="P1025" s="610"/>
      <c r="Q1025" s="351"/>
      <c r="R1025" s="612"/>
      <c r="S1025" s="351"/>
      <c r="T1025" s="610"/>
      <c r="U1025" s="351"/>
      <c r="V1025" s="613" t="str">
        <f>'refer admin discharge'!H1026</f>
        <v>00/00/0000</v>
      </c>
      <c r="W1025" s="351"/>
      <c r="X1025" s="607"/>
      <c r="Y1025" s="351"/>
      <c r="Z1025" s="614"/>
      <c r="AA1025" s="351"/>
      <c r="AB1025" s="607"/>
      <c r="AC1025" s="351"/>
      <c r="AD1025" s="606"/>
      <c r="AE1025" s="351"/>
      <c r="AF1025" s="607"/>
      <c r="AG1025" s="351"/>
      <c r="AH1025" s="606"/>
      <c r="AI1025" s="351"/>
      <c r="AJ1025" s="607"/>
      <c r="AK1025" s="351"/>
      <c r="AL1025" s="608"/>
      <c r="AM1025" s="350"/>
      <c r="AN1025" s="350"/>
      <c r="AO1025" s="350"/>
      <c r="AP1025" s="350"/>
      <c r="AQ1025" s="350"/>
      <c r="AR1025" s="350"/>
      <c r="AS1025" s="350"/>
      <c r="AT1025" s="350"/>
      <c r="AU1025" s="350"/>
      <c r="AV1025" s="350"/>
      <c r="AW1025" s="350"/>
      <c r="AX1025" s="350"/>
      <c r="AY1025" s="350"/>
      <c r="AZ1025" s="350"/>
      <c r="BA1025" s="350"/>
      <c r="BB1025" s="351"/>
    </row>
    <row r="1026" spans="1:54" ht="15.75" customHeight="1">
      <c r="A1026" s="25">
        <f t="shared" si="3"/>
        <v>1013</v>
      </c>
      <c r="B1026" s="618" t="str">
        <f>'refer admin discharge'!B1022</f>
        <v>x</v>
      </c>
      <c r="C1026" s="351"/>
      <c r="D1026" s="619" t="str">
        <f>'refer admin discharge'!D1022</f>
        <v>xx</v>
      </c>
      <c r="E1026" s="351"/>
      <c r="F1026" s="620" t="str">
        <f>'refer admin discharge'!H1022</f>
        <v>00/00/0000</v>
      </c>
      <c r="G1026" s="351"/>
      <c r="H1026" s="615"/>
      <c r="I1026" s="351"/>
      <c r="J1026" s="621"/>
      <c r="K1026" s="351"/>
      <c r="L1026" s="615"/>
      <c r="M1026" s="351"/>
      <c r="N1026" s="610"/>
      <c r="O1026" s="351"/>
      <c r="P1026" s="615"/>
      <c r="Q1026" s="351"/>
      <c r="R1026" s="610"/>
      <c r="S1026" s="351"/>
      <c r="T1026" s="615"/>
      <c r="U1026" s="351"/>
      <c r="V1026" s="613" t="str">
        <f>'refer admin discharge'!H1027</f>
        <v>00/00/0000</v>
      </c>
      <c r="W1026" s="351"/>
      <c r="X1026" s="616"/>
      <c r="Y1026" s="351"/>
      <c r="Z1026" s="617"/>
      <c r="AA1026" s="351"/>
      <c r="AB1026" s="616"/>
      <c r="AC1026" s="351"/>
      <c r="AD1026" s="607"/>
      <c r="AE1026" s="351"/>
      <c r="AF1026" s="616"/>
      <c r="AG1026" s="351"/>
      <c r="AH1026" s="607"/>
      <c r="AI1026" s="351"/>
      <c r="AJ1026" s="616"/>
      <c r="AK1026" s="351"/>
      <c r="AL1026" s="622"/>
      <c r="AM1026" s="350"/>
      <c r="AN1026" s="350"/>
      <c r="AO1026" s="350"/>
      <c r="AP1026" s="350"/>
      <c r="AQ1026" s="350"/>
      <c r="AR1026" s="350"/>
      <c r="AS1026" s="350"/>
      <c r="AT1026" s="350"/>
      <c r="AU1026" s="350"/>
      <c r="AV1026" s="350"/>
      <c r="AW1026" s="350"/>
      <c r="AX1026" s="350"/>
      <c r="AY1026" s="350"/>
      <c r="AZ1026" s="350"/>
      <c r="BA1026" s="350"/>
      <c r="BB1026" s="351"/>
    </row>
    <row r="1027" spans="1:54" ht="15.75" customHeight="1">
      <c r="A1027" s="25">
        <f t="shared" si="3"/>
        <v>1014</v>
      </c>
      <c r="B1027" s="599" t="str">
        <f>'refer admin discharge'!B1023</f>
        <v>x</v>
      </c>
      <c r="C1027" s="351"/>
      <c r="D1027" s="600" t="str">
        <f>'refer admin discharge'!D1023</f>
        <v>xx</v>
      </c>
      <c r="E1027" s="351"/>
      <c r="F1027" s="609" t="str">
        <f>'refer admin discharge'!H1023</f>
        <v>00/00/0000</v>
      </c>
      <c r="G1027" s="351"/>
      <c r="H1027" s="610"/>
      <c r="I1027" s="351"/>
      <c r="J1027" s="611"/>
      <c r="K1027" s="351"/>
      <c r="L1027" s="610"/>
      <c r="M1027" s="351"/>
      <c r="N1027" s="612"/>
      <c r="O1027" s="351"/>
      <c r="P1027" s="610"/>
      <c r="Q1027" s="351"/>
      <c r="R1027" s="612"/>
      <c r="S1027" s="351"/>
      <c r="T1027" s="610"/>
      <c r="U1027" s="351"/>
      <c r="V1027" s="613" t="str">
        <f>'refer admin discharge'!H1028</f>
        <v>00/00/0000</v>
      </c>
      <c r="W1027" s="351"/>
      <c r="X1027" s="607"/>
      <c r="Y1027" s="351"/>
      <c r="Z1027" s="614"/>
      <c r="AA1027" s="351"/>
      <c r="AB1027" s="607"/>
      <c r="AC1027" s="351"/>
      <c r="AD1027" s="606"/>
      <c r="AE1027" s="351"/>
      <c r="AF1027" s="607"/>
      <c r="AG1027" s="351"/>
      <c r="AH1027" s="606"/>
      <c r="AI1027" s="351"/>
      <c r="AJ1027" s="607"/>
      <c r="AK1027" s="351"/>
      <c r="AL1027" s="608"/>
      <c r="AM1027" s="350"/>
      <c r="AN1027" s="350"/>
      <c r="AO1027" s="350"/>
      <c r="AP1027" s="350"/>
      <c r="AQ1027" s="350"/>
      <c r="AR1027" s="350"/>
      <c r="AS1027" s="350"/>
      <c r="AT1027" s="350"/>
      <c r="AU1027" s="350"/>
      <c r="AV1027" s="350"/>
      <c r="AW1027" s="350"/>
      <c r="AX1027" s="350"/>
      <c r="AY1027" s="350"/>
      <c r="AZ1027" s="350"/>
      <c r="BA1027" s="350"/>
      <c r="BB1027" s="351"/>
    </row>
    <row r="1028" spans="1:54" ht="15.75" customHeight="1">
      <c r="A1028" s="25">
        <f t="shared" si="3"/>
        <v>1015</v>
      </c>
      <c r="B1028" s="618" t="str">
        <f>'refer admin discharge'!B1024</f>
        <v>x</v>
      </c>
      <c r="C1028" s="351"/>
      <c r="D1028" s="619" t="str">
        <f>'refer admin discharge'!D1024</f>
        <v>xx</v>
      </c>
      <c r="E1028" s="351"/>
      <c r="F1028" s="620" t="str">
        <f>'refer admin discharge'!H1024</f>
        <v>00/00/0000</v>
      </c>
      <c r="G1028" s="351"/>
      <c r="H1028" s="615"/>
      <c r="I1028" s="351"/>
      <c r="J1028" s="621"/>
      <c r="K1028" s="351"/>
      <c r="L1028" s="615"/>
      <c r="M1028" s="351"/>
      <c r="N1028" s="610"/>
      <c r="O1028" s="351"/>
      <c r="P1028" s="615"/>
      <c r="Q1028" s="351"/>
      <c r="R1028" s="610"/>
      <c r="S1028" s="351"/>
      <c r="T1028" s="615"/>
      <c r="U1028" s="351"/>
      <c r="V1028" s="613" t="str">
        <f>'refer admin discharge'!H1029</f>
        <v>00/00/0000</v>
      </c>
      <c r="W1028" s="351"/>
      <c r="X1028" s="616"/>
      <c r="Y1028" s="351"/>
      <c r="Z1028" s="617"/>
      <c r="AA1028" s="351"/>
      <c r="AB1028" s="616"/>
      <c r="AC1028" s="351"/>
      <c r="AD1028" s="607"/>
      <c r="AE1028" s="351"/>
      <c r="AF1028" s="616"/>
      <c r="AG1028" s="351"/>
      <c r="AH1028" s="607"/>
      <c r="AI1028" s="351"/>
      <c r="AJ1028" s="616"/>
      <c r="AK1028" s="351"/>
      <c r="AL1028" s="622"/>
      <c r="AM1028" s="350"/>
      <c r="AN1028" s="350"/>
      <c r="AO1028" s="350"/>
      <c r="AP1028" s="350"/>
      <c r="AQ1028" s="350"/>
      <c r="AR1028" s="350"/>
      <c r="AS1028" s="350"/>
      <c r="AT1028" s="350"/>
      <c r="AU1028" s="350"/>
      <c r="AV1028" s="350"/>
      <c r="AW1028" s="350"/>
      <c r="AX1028" s="350"/>
      <c r="AY1028" s="350"/>
      <c r="AZ1028" s="350"/>
      <c r="BA1028" s="350"/>
      <c r="BB1028" s="351"/>
    </row>
    <row r="1029" spans="1:54" ht="15.75" customHeight="1">
      <c r="A1029" s="25">
        <f t="shared" si="3"/>
        <v>1016</v>
      </c>
      <c r="B1029" s="599" t="str">
        <f>'refer admin discharge'!B1025</f>
        <v>x</v>
      </c>
      <c r="C1029" s="351"/>
      <c r="D1029" s="600" t="str">
        <f>'refer admin discharge'!D1025</f>
        <v>xx</v>
      </c>
      <c r="E1029" s="351"/>
      <c r="F1029" s="609" t="str">
        <f>'refer admin discharge'!H1025</f>
        <v>00/00/0000</v>
      </c>
      <c r="G1029" s="351"/>
      <c r="H1029" s="610"/>
      <c r="I1029" s="351"/>
      <c r="J1029" s="611"/>
      <c r="K1029" s="351"/>
      <c r="L1029" s="610"/>
      <c r="M1029" s="351"/>
      <c r="N1029" s="612"/>
      <c r="O1029" s="351"/>
      <c r="P1029" s="610"/>
      <c r="Q1029" s="351"/>
      <c r="R1029" s="612"/>
      <c r="S1029" s="351"/>
      <c r="T1029" s="610"/>
      <c r="U1029" s="351"/>
      <c r="V1029" s="613" t="str">
        <f>'refer admin discharge'!H1030</f>
        <v>00/00/0000</v>
      </c>
      <c r="W1029" s="351"/>
      <c r="X1029" s="607"/>
      <c r="Y1029" s="351"/>
      <c r="Z1029" s="614"/>
      <c r="AA1029" s="351"/>
      <c r="AB1029" s="607"/>
      <c r="AC1029" s="351"/>
      <c r="AD1029" s="606"/>
      <c r="AE1029" s="351"/>
      <c r="AF1029" s="607"/>
      <c r="AG1029" s="351"/>
      <c r="AH1029" s="606"/>
      <c r="AI1029" s="351"/>
      <c r="AJ1029" s="607"/>
      <c r="AK1029" s="351"/>
      <c r="AL1029" s="608"/>
      <c r="AM1029" s="350"/>
      <c r="AN1029" s="350"/>
      <c r="AO1029" s="350"/>
      <c r="AP1029" s="350"/>
      <c r="AQ1029" s="350"/>
      <c r="AR1029" s="350"/>
      <c r="AS1029" s="350"/>
      <c r="AT1029" s="350"/>
      <c r="AU1029" s="350"/>
      <c r="AV1029" s="350"/>
      <c r="AW1029" s="350"/>
      <c r="AX1029" s="350"/>
      <c r="AY1029" s="350"/>
      <c r="AZ1029" s="350"/>
      <c r="BA1029" s="350"/>
      <c r="BB1029" s="351"/>
    </row>
    <row r="1030" spans="1:54" ht="15.75" customHeight="1">
      <c r="A1030" s="25">
        <f t="shared" si="3"/>
        <v>1017</v>
      </c>
      <c r="B1030" s="618" t="str">
        <f>'refer admin discharge'!B1026</f>
        <v>x</v>
      </c>
      <c r="C1030" s="351"/>
      <c r="D1030" s="619" t="str">
        <f>'refer admin discharge'!D1026</f>
        <v>xx</v>
      </c>
      <c r="E1030" s="351"/>
      <c r="F1030" s="620" t="str">
        <f>'refer admin discharge'!H1026</f>
        <v>00/00/0000</v>
      </c>
      <c r="G1030" s="351"/>
      <c r="H1030" s="615"/>
      <c r="I1030" s="351"/>
      <c r="J1030" s="621"/>
      <c r="K1030" s="351"/>
      <c r="L1030" s="615"/>
      <c r="M1030" s="351"/>
      <c r="N1030" s="610"/>
      <c r="O1030" s="351"/>
      <c r="P1030" s="615"/>
      <c r="Q1030" s="351"/>
      <c r="R1030" s="610"/>
      <c r="S1030" s="351"/>
      <c r="T1030" s="615"/>
      <c r="U1030" s="351"/>
      <c r="V1030" s="613" t="str">
        <f>'refer admin discharge'!H1031</f>
        <v>00/00/0000</v>
      </c>
      <c r="W1030" s="351"/>
      <c r="X1030" s="616"/>
      <c r="Y1030" s="351"/>
      <c r="Z1030" s="617"/>
      <c r="AA1030" s="351"/>
      <c r="AB1030" s="616"/>
      <c r="AC1030" s="351"/>
      <c r="AD1030" s="607"/>
      <c r="AE1030" s="351"/>
      <c r="AF1030" s="616"/>
      <c r="AG1030" s="351"/>
      <c r="AH1030" s="607"/>
      <c r="AI1030" s="351"/>
      <c r="AJ1030" s="616"/>
      <c r="AK1030" s="351"/>
      <c r="AL1030" s="622"/>
      <c r="AM1030" s="350"/>
      <c r="AN1030" s="350"/>
      <c r="AO1030" s="350"/>
      <c r="AP1030" s="350"/>
      <c r="AQ1030" s="350"/>
      <c r="AR1030" s="350"/>
      <c r="AS1030" s="350"/>
      <c r="AT1030" s="350"/>
      <c r="AU1030" s="350"/>
      <c r="AV1030" s="350"/>
      <c r="AW1030" s="350"/>
      <c r="AX1030" s="350"/>
      <c r="AY1030" s="350"/>
      <c r="AZ1030" s="350"/>
      <c r="BA1030" s="350"/>
      <c r="BB1030" s="351"/>
    </row>
    <row r="1031" spans="1:54" ht="15.75" customHeight="1">
      <c r="A1031" s="25">
        <f t="shared" si="3"/>
        <v>1018</v>
      </c>
      <c r="B1031" s="599" t="str">
        <f>'refer admin discharge'!B1027</f>
        <v>x</v>
      </c>
      <c r="C1031" s="351"/>
      <c r="D1031" s="600" t="str">
        <f>'refer admin discharge'!D1027</f>
        <v>xx</v>
      </c>
      <c r="E1031" s="351"/>
      <c r="F1031" s="609" t="str">
        <f>'refer admin discharge'!H1027</f>
        <v>00/00/0000</v>
      </c>
      <c r="G1031" s="351"/>
      <c r="H1031" s="610"/>
      <c r="I1031" s="351"/>
      <c r="J1031" s="611"/>
      <c r="K1031" s="351"/>
      <c r="L1031" s="610"/>
      <c r="M1031" s="351"/>
      <c r="N1031" s="612"/>
      <c r="O1031" s="351"/>
      <c r="P1031" s="610"/>
      <c r="Q1031" s="351"/>
      <c r="R1031" s="612"/>
      <c r="S1031" s="351"/>
      <c r="T1031" s="610"/>
      <c r="U1031" s="351"/>
      <c r="V1031" s="613" t="str">
        <f>'refer admin discharge'!H1032</f>
        <v>00/00/0000</v>
      </c>
      <c r="W1031" s="351"/>
      <c r="X1031" s="607"/>
      <c r="Y1031" s="351"/>
      <c r="Z1031" s="614"/>
      <c r="AA1031" s="351"/>
      <c r="AB1031" s="607"/>
      <c r="AC1031" s="351"/>
      <c r="AD1031" s="606"/>
      <c r="AE1031" s="351"/>
      <c r="AF1031" s="607"/>
      <c r="AG1031" s="351"/>
      <c r="AH1031" s="606"/>
      <c r="AI1031" s="351"/>
      <c r="AJ1031" s="607"/>
      <c r="AK1031" s="351"/>
      <c r="AL1031" s="608"/>
      <c r="AM1031" s="350"/>
      <c r="AN1031" s="350"/>
      <c r="AO1031" s="350"/>
      <c r="AP1031" s="350"/>
      <c r="AQ1031" s="350"/>
      <c r="AR1031" s="350"/>
      <c r="AS1031" s="350"/>
      <c r="AT1031" s="350"/>
      <c r="AU1031" s="350"/>
      <c r="AV1031" s="350"/>
      <c r="AW1031" s="350"/>
      <c r="AX1031" s="350"/>
      <c r="AY1031" s="350"/>
      <c r="AZ1031" s="350"/>
      <c r="BA1031" s="350"/>
      <c r="BB1031" s="351"/>
    </row>
    <row r="1032" spans="1:54" ht="15.75" customHeight="1">
      <c r="A1032" s="25">
        <f t="shared" si="3"/>
        <v>1019</v>
      </c>
      <c r="B1032" s="618" t="str">
        <f>'refer admin discharge'!B1028</f>
        <v>x</v>
      </c>
      <c r="C1032" s="351"/>
      <c r="D1032" s="619" t="str">
        <f>'refer admin discharge'!D1028</f>
        <v>xx</v>
      </c>
      <c r="E1032" s="351"/>
      <c r="F1032" s="620" t="str">
        <f>'refer admin discharge'!H1028</f>
        <v>00/00/0000</v>
      </c>
      <c r="G1032" s="351"/>
      <c r="H1032" s="615"/>
      <c r="I1032" s="351"/>
      <c r="J1032" s="621"/>
      <c r="K1032" s="351"/>
      <c r="L1032" s="615"/>
      <c r="M1032" s="351"/>
      <c r="N1032" s="610"/>
      <c r="O1032" s="351"/>
      <c r="P1032" s="615"/>
      <c r="Q1032" s="351"/>
      <c r="R1032" s="610"/>
      <c r="S1032" s="351"/>
      <c r="T1032" s="615"/>
      <c r="U1032" s="351"/>
      <c r="V1032" s="613" t="str">
        <f>'refer admin discharge'!H1033</f>
        <v>00/00/0000</v>
      </c>
      <c r="W1032" s="351"/>
      <c r="X1032" s="616"/>
      <c r="Y1032" s="351"/>
      <c r="Z1032" s="617"/>
      <c r="AA1032" s="351"/>
      <c r="AB1032" s="616"/>
      <c r="AC1032" s="351"/>
      <c r="AD1032" s="607"/>
      <c r="AE1032" s="351"/>
      <c r="AF1032" s="616"/>
      <c r="AG1032" s="351"/>
      <c r="AH1032" s="607"/>
      <c r="AI1032" s="351"/>
      <c r="AJ1032" s="616"/>
      <c r="AK1032" s="351"/>
      <c r="AL1032" s="622"/>
      <c r="AM1032" s="350"/>
      <c r="AN1032" s="350"/>
      <c r="AO1032" s="350"/>
      <c r="AP1032" s="350"/>
      <c r="AQ1032" s="350"/>
      <c r="AR1032" s="350"/>
      <c r="AS1032" s="350"/>
      <c r="AT1032" s="350"/>
      <c r="AU1032" s="350"/>
      <c r="AV1032" s="350"/>
      <c r="AW1032" s="350"/>
      <c r="AX1032" s="350"/>
      <c r="AY1032" s="350"/>
      <c r="AZ1032" s="350"/>
      <c r="BA1032" s="350"/>
      <c r="BB1032" s="351"/>
    </row>
    <row r="1033" spans="1:54" ht="15.75" customHeight="1">
      <c r="A1033" s="25">
        <f t="shared" si="3"/>
        <v>1020</v>
      </c>
      <c r="B1033" s="599" t="str">
        <f>'refer admin discharge'!B1029</f>
        <v>x</v>
      </c>
      <c r="C1033" s="351"/>
      <c r="D1033" s="600" t="str">
        <f>'refer admin discharge'!D1029</f>
        <v>xx</v>
      </c>
      <c r="E1033" s="351"/>
      <c r="F1033" s="609" t="str">
        <f>'refer admin discharge'!H1029</f>
        <v>00/00/0000</v>
      </c>
      <c r="G1033" s="351"/>
      <c r="H1033" s="610"/>
      <c r="I1033" s="351"/>
      <c r="J1033" s="611"/>
      <c r="K1033" s="351"/>
      <c r="L1033" s="610"/>
      <c r="M1033" s="351"/>
      <c r="N1033" s="612"/>
      <c r="O1033" s="351"/>
      <c r="P1033" s="610"/>
      <c r="Q1033" s="351"/>
      <c r="R1033" s="612"/>
      <c r="S1033" s="351"/>
      <c r="T1033" s="610"/>
      <c r="U1033" s="351"/>
      <c r="V1033" s="613" t="str">
        <f>'refer admin discharge'!H1034</f>
        <v>00/00/0000</v>
      </c>
      <c r="W1033" s="351"/>
      <c r="X1033" s="607"/>
      <c r="Y1033" s="351"/>
      <c r="Z1033" s="614"/>
      <c r="AA1033" s="351"/>
      <c r="AB1033" s="607"/>
      <c r="AC1033" s="351"/>
      <c r="AD1033" s="606"/>
      <c r="AE1033" s="351"/>
      <c r="AF1033" s="607"/>
      <c r="AG1033" s="351"/>
      <c r="AH1033" s="606"/>
      <c r="AI1033" s="351"/>
      <c r="AJ1033" s="607"/>
      <c r="AK1033" s="351"/>
      <c r="AL1033" s="608"/>
      <c r="AM1033" s="350"/>
      <c r="AN1033" s="350"/>
      <c r="AO1033" s="350"/>
      <c r="AP1033" s="350"/>
      <c r="AQ1033" s="350"/>
      <c r="AR1033" s="350"/>
      <c r="AS1033" s="350"/>
      <c r="AT1033" s="350"/>
      <c r="AU1033" s="350"/>
      <c r="AV1033" s="350"/>
      <c r="AW1033" s="350"/>
      <c r="AX1033" s="350"/>
      <c r="AY1033" s="350"/>
      <c r="AZ1033" s="350"/>
      <c r="BA1033" s="350"/>
      <c r="BB1033" s="351"/>
    </row>
    <row r="1034" spans="1:54" ht="15.75" customHeight="1">
      <c r="A1034" s="25">
        <f t="shared" ref="A1034:A1288" si="4">ROW(A1021)</f>
        <v>1021</v>
      </c>
      <c r="B1034" s="618" t="str">
        <f>'refer admin discharge'!B1030</f>
        <v>x</v>
      </c>
      <c r="C1034" s="351"/>
      <c r="D1034" s="619" t="str">
        <f>'refer admin discharge'!D1030</f>
        <v>xx</v>
      </c>
      <c r="E1034" s="351"/>
      <c r="F1034" s="620" t="str">
        <f>'refer admin discharge'!H1030</f>
        <v>00/00/0000</v>
      </c>
      <c r="G1034" s="351"/>
      <c r="H1034" s="615"/>
      <c r="I1034" s="351"/>
      <c r="J1034" s="621"/>
      <c r="K1034" s="351"/>
      <c r="L1034" s="615"/>
      <c r="M1034" s="351"/>
      <c r="N1034" s="610"/>
      <c r="O1034" s="351"/>
      <c r="P1034" s="615"/>
      <c r="Q1034" s="351"/>
      <c r="R1034" s="610"/>
      <c r="S1034" s="351"/>
      <c r="T1034" s="615"/>
      <c r="U1034" s="351"/>
      <c r="V1034" s="613" t="str">
        <f>'refer admin discharge'!H1035</f>
        <v>00/00/0000</v>
      </c>
      <c r="W1034" s="351"/>
      <c r="X1034" s="616"/>
      <c r="Y1034" s="351"/>
      <c r="Z1034" s="617"/>
      <c r="AA1034" s="351"/>
      <c r="AB1034" s="616"/>
      <c r="AC1034" s="351"/>
      <c r="AD1034" s="607"/>
      <c r="AE1034" s="351"/>
      <c r="AF1034" s="616"/>
      <c r="AG1034" s="351"/>
      <c r="AH1034" s="607"/>
      <c r="AI1034" s="351"/>
      <c r="AJ1034" s="616"/>
      <c r="AK1034" s="351"/>
      <c r="AL1034" s="622"/>
      <c r="AM1034" s="350"/>
      <c r="AN1034" s="350"/>
      <c r="AO1034" s="350"/>
      <c r="AP1034" s="350"/>
      <c r="AQ1034" s="350"/>
      <c r="AR1034" s="350"/>
      <c r="AS1034" s="350"/>
      <c r="AT1034" s="350"/>
      <c r="AU1034" s="350"/>
      <c r="AV1034" s="350"/>
      <c r="AW1034" s="350"/>
      <c r="AX1034" s="350"/>
      <c r="AY1034" s="350"/>
      <c r="AZ1034" s="350"/>
      <c r="BA1034" s="350"/>
      <c r="BB1034" s="351"/>
    </row>
    <row r="1035" spans="1:54" ht="15.75" customHeight="1">
      <c r="A1035" s="25">
        <f t="shared" si="4"/>
        <v>1022</v>
      </c>
      <c r="B1035" s="599" t="str">
        <f>'refer admin discharge'!B1031</f>
        <v>x</v>
      </c>
      <c r="C1035" s="351"/>
      <c r="D1035" s="600" t="str">
        <f>'refer admin discharge'!D1031</f>
        <v>xx</v>
      </c>
      <c r="E1035" s="351"/>
      <c r="F1035" s="609" t="str">
        <f>'refer admin discharge'!H1031</f>
        <v>00/00/0000</v>
      </c>
      <c r="G1035" s="351"/>
      <c r="H1035" s="610"/>
      <c r="I1035" s="351"/>
      <c r="J1035" s="611"/>
      <c r="K1035" s="351"/>
      <c r="L1035" s="610"/>
      <c r="M1035" s="351"/>
      <c r="N1035" s="612"/>
      <c r="O1035" s="351"/>
      <c r="P1035" s="610"/>
      <c r="Q1035" s="351"/>
      <c r="R1035" s="612"/>
      <c r="S1035" s="351"/>
      <c r="T1035" s="610"/>
      <c r="U1035" s="351"/>
      <c r="V1035" s="613" t="str">
        <f>'refer admin discharge'!H1036</f>
        <v>00/00/0000</v>
      </c>
      <c r="W1035" s="351"/>
      <c r="X1035" s="607"/>
      <c r="Y1035" s="351"/>
      <c r="Z1035" s="614"/>
      <c r="AA1035" s="351"/>
      <c r="AB1035" s="607"/>
      <c r="AC1035" s="351"/>
      <c r="AD1035" s="606"/>
      <c r="AE1035" s="351"/>
      <c r="AF1035" s="607"/>
      <c r="AG1035" s="351"/>
      <c r="AH1035" s="606"/>
      <c r="AI1035" s="351"/>
      <c r="AJ1035" s="607"/>
      <c r="AK1035" s="351"/>
      <c r="AL1035" s="608"/>
      <c r="AM1035" s="350"/>
      <c r="AN1035" s="350"/>
      <c r="AO1035" s="350"/>
      <c r="AP1035" s="350"/>
      <c r="AQ1035" s="350"/>
      <c r="AR1035" s="350"/>
      <c r="AS1035" s="350"/>
      <c r="AT1035" s="350"/>
      <c r="AU1035" s="350"/>
      <c r="AV1035" s="350"/>
      <c r="AW1035" s="350"/>
      <c r="AX1035" s="350"/>
      <c r="AY1035" s="350"/>
      <c r="AZ1035" s="350"/>
      <c r="BA1035" s="350"/>
      <c r="BB1035" s="351"/>
    </row>
    <row r="1036" spans="1:54" ht="15.75" customHeight="1">
      <c r="A1036" s="25">
        <f t="shared" si="4"/>
        <v>1023</v>
      </c>
      <c r="B1036" s="618" t="str">
        <f>'refer admin discharge'!B1032</f>
        <v>x</v>
      </c>
      <c r="C1036" s="351"/>
      <c r="D1036" s="619" t="str">
        <f>'refer admin discharge'!D1032</f>
        <v>xx</v>
      </c>
      <c r="E1036" s="351"/>
      <c r="F1036" s="620" t="str">
        <f>'refer admin discharge'!H1032</f>
        <v>00/00/0000</v>
      </c>
      <c r="G1036" s="351"/>
      <c r="H1036" s="615"/>
      <c r="I1036" s="351"/>
      <c r="J1036" s="621"/>
      <c r="K1036" s="351"/>
      <c r="L1036" s="615"/>
      <c r="M1036" s="351"/>
      <c r="N1036" s="610"/>
      <c r="O1036" s="351"/>
      <c r="P1036" s="615"/>
      <c r="Q1036" s="351"/>
      <c r="R1036" s="610"/>
      <c r="S1036" s="351"/>
      <c r="T1036" s="615"/>
      <c r="U1036" s="351"/>
      <c r="V1036" s="613" t="str">
        <f>'refer admin discharge'!H1037</f>
        <v>00/00/0000</v>
      </c>
      <c r="W1036" s="351"/>
      <c r="X1036" s="616"/>
      <c r="Y1036" s="351"/>
      <c r="Z1036" s="617"/>
      <c r="AA1036" s="351"/>
      <c r="AB1036" s="616"/>
      <c r="AC1036" s="351"/>
      <c r="AD1036" s="607"/>
      <c r="AE1036" s="351"/>
      <c r="AF1036" s="616"/>
      <c r="AG1036" s="351"/>
      <c r="AH1036" s="607"/>
      <c r="AI1036" s="351"/>
      <c r="AJ1036" s="616"/>
      <c r="AK1036" s="351"/>
      <c r="AL1036" s="622"/>
      <c r="AM1036" s="350"/>
      <c r="AN1036" s="350"/>
      <c r="AO1036" s="350"/>
      <c r="AP1036" s="350"/>
      <c r="AQ1036" s="350"/>
      <c r="AR1036" s="350"/>
      <c r="AS1036" s="350"/>
      <c r="AT1036" s="350"/>
      <c r="AU1036" s="350"/>
      <c r="AV1036" s="350"/>
      <c r="AW1036" s="350"/>
      <c r="AX1036" s="350"/>
      <c r="AY1036" s="350"/>
      <c r="AZ1036" s="350"/>
      <c r="BA1036" s="350"/>
      <c r="BB1036" s="351"/>
    </row>
    <row r="1037" spans="1:54" ht="15.75" customHeight="1">
      <c r="A1037" s="25">
        <f t="shared" si="4"/>
        <v>1024</v>
      </c>
      <c r="B1037" s="599" t="str">
        <f>'refer admin discharge'!B1033</f>
        <v>x</v>
      </c>
      <c r="C1037" s="351"/>
      <c r="D1037" s="600" t="str">
        <f>'refer admin discharge'!D1033</f>
        <v>xx</v>
      </c>
      <c r="E1037" s="351"/>
      <c r="F1037" s="609" t="str">
        <f>'refer admin discharge'!H1033</f>
        <v>00/00/0000</v>
      </c>
      <c r="G1037" s="351"/>
      <c r="H1037" s="610"/>
      <c r="I1037" s="351"/>
      <c r="J1037" s="611"/>
      <c r="K1037" s="351"/>
      <c r="L1037" s="610"/>
      <c r="M1037" s="351"/>
      <c r="N1037" s="612"/>
      <c r="O1037" s="351"/>
      <c r="P1037" s="610"/>
      <c r="Q1037" s="351"/>
      <c r="R1037" s="612"/>
      <c r="S1037" s="351"/>
      <c r="T1037" s="610"/>
      <c r="U1037" s="351"/>
      <c r="V1037" s="613" t="str">
        <f>'refer admin discharge'!H1038</f>
        <v>00/00/0000</v>
      </c>
      <c r="W1037" s="351"/>
      <c r="X1037" s="607"/>
      <c r="Y1037" s="351"/>
      <c r="Z1037" s="614"/>
      <c r="AA1037" s="351"/>
      <c r="AB1037" s="607"/>
      <c r="AC1037" s="351"/>
      <c r="AD1037" s="606"/>
      <c r="AE1037" s="351"/>
      <c r="AF1037" s="607"/>
      <c r="AG1037" s="351"/>
      <c r="AH1037" s="606"/>
      <c r="AI1037" s="351"/>
      <c r="AJ1037" s="607"/>
      <c r="AK1037" s="351"/>
      <c r="AL1037" s="608"/>
      <c r="AM1037" s="350"/>
      <c r="AN1037" s="350"/>
      <c r="AO1037" s="350"/>
      <c r="AP1037" s="350"/>
      <c r="AQ1037" s="350"/>
      <c r="AR1037" s="350"/>
      <c r="AS1037" s="350"/>
      <c r="AT1037" s="350"/>
      <c r="AU1037" s="350"/>
      <c r="AV1037" s="350"/>
      <c r="AW1037" s="350"/>
      <c r="AX1037" s="350"/>
      <c r="AY1037" s="350"/>
      <c r="AZ1037" s="350"/>
      <c r="BA1037" s="350"/>
      <c r="BB1037" s="351"/>
    </row>
    <row r="1038" spans="1:54" ht="15.75" customHeight="1">
      <c r="A1038" s="25">
        <f t="shared" si="4"/>
        <v>1025</v>
      </c>
      <c r="B1038" s="618" t="str">
        <f>'refer admin discharge'!B1034</f>
        <v>x</v>
      </c>
      <c r="C1038" s="351"/>
      <c r="D1038" s="619" t="str">
        <f>'refer admin discharge'!D1034</f>
        <v>xx</v>
      </c>
      <c r="E1038" s="351"/>
      <c r="F1038" s="620" t="str">
        <f>'refer admin discharge'!H1034</f>
        <v>00/00/0000</v>
      </c>
      <c r="G1038" s="351"/>
      <c r="H1038" s="615"/>
      <c r="I1038" s="351"/>
      <c r="J1038" s="621"/>
      <c r="K1038" s="351"/>
      <c r="L1038" s="615"/>
      <c r="M1038" s="351"/>
      <c r="N1038" s="610"/>
      <c r="O1038" s="351"/>
      <c r="P1038" s="615"/>
      <c r="Q1038" s="351"/>
      <c r="R1038" s="610"/>
      <c r="S1038" s="351"/>
      <c r="T1038" s="615"/>
      <c r="U1038" s="351"/>
      <c r="V1038" s="613" t="str">
        <f>'refer admin discharge'!H1039</f>
        <v>00/00/0000</v>
      </c>
      <c r="W1038" s="351"/>
      <c r="X1038" s="616"/>
      <c r="Y1038" s="351"/>
      <c r="Z1038" s="617"/>
      <c r="AA1038" s="351"/>
      <c r="AB1038" s="616"/>
      <c r="AC1038" s="351"/>
      <c r="AD1038" s="607"/>
      <c r="AE1038" s="351"/>
      <c r="AF1038" s="616"/>
      <c r="AG1038" s="351"/>
      <c r="AH1038" s="607"/>
      <c r="AI1038" s="351"/>
      <c r="AJ1038" s="616"/>
      <c r="AK1038" s="351"/>
      <c r="AL1038" s="622"/>
      <c r="AM1038" s="350"/>
      <c r="AN1038" s="350"/>
      <c r="AO1038" s="350"/>
      <c r="AP1038" s="350"/>
      <c r="AQ1038" s="350"/>
      <c r="AR1038" s="350"/>
      <c r="AS1038" s="350"/>
      <c r="AT1038" s="350"/>
      <c r="AU1038" s="350"/>
      <c r="AV1038" s="350"/>
      <c r="AW1038" s="350"/>
      <c r="AX1038" s="350"/>
      <c r="AY1038" s="350"/>
      <c r="AZ1038" s="350"/>
      <c r="BA1038" s="350"/>
      <c r="BB1038" s="351"/>
    </row>
    <row r="1039" spans="1:54" ht="15.75" customHeight="1">
      <c r="A1039" s="25">
        <f t="shared" si="4"/>
        <v>1026</v>
      </c>
      <c r="B1039" s="599" t="str">
        <f>'refer admin discharge'!B1035</f>
        <v>x</v>
      </c>
      <c r="C1039" s="351"/>
      <c r="D1039" s="600" t="str">
        <f>'refer admin discharge'!D1035</f>
        <v>xx</v>
      </c>
      <c r="E1039" s="351"/>
      <c r="F1039" s="609" t="str">
        <f>'refer admin discharge'!H1035</f>
        <v>00/00/0000</v>
      </c>
      <c r="G1039" s="351"/>
      <c r="H1039" s="610"/>
      <c r="I1039" s="351"/>
      <c r="J1039" s="611"/>
      <c r="K1039" s="351"/>
      <c r="L1039" s="610"/>
      <c r="M1039" s="351"/>
      <c r="N1039" s="612"/>
      <c r="O1039" s="351"/>
      <c r="P1039" s="610"/>
      <c r="Q1039" s="351"/>
      <c r="R1039" s="612"/>
      <c r="S1039" s="351"/>
      <c r="T1039" s="610"/>
      <c r="U1039" s="351"/>
      <c r="V1039" s="613" t="str">
        <f>'refer admin discharge'!H1040</f>
        <v>00/00/0000</v>
      </c>
      <c r="W1039" s="351"/>
      <c r="X1039" s="607"/>
      <c r="Y1039" s="351"/>
      <c r="Z1039" s="614"/>
      <c r="AA1039" s="351"/>
      <c r="AB1039" s="607"/>
      <c r="AC1039" s="351"/>
      <c r="AD1039" s="606"/>
      <c r="AE1039" s="351"/>
      <c r="AF1039" s="607"/>
      <c r="AG1039" s="351"/>
      <c r="AH1039" s="606"/>
      <c r="AI1039" s="351"/>
      <c r="AJ1039" s="607"/>
      <c r="AK1039" s="351"/>
      <c r="AL1039" s="608"/>
      <c r="AM1039" s="350"/>
      <c r="AN1039" s="350"/>
      <c r="AO1039" s="350"/>
      <c r="AP1039" s="350"/>
      <c r="AQ1039" s="350"/>
      <c r="AR1039" s="350"/>
      <c r="AS1039" s="350"/>
      <c r="AT1039" s="350"/>
      <c r="AU1039" s="350"/>
      <c r="AV1039" s="350"/>
      <c r="AW1039" s="350"/>
      <c r="AX1039" s="350"/>
      <c r="AY1039" s="350"/>
      <c r="AZ1039" s="350"/>
      <c r="BA1039" s="350"/>
      <c r="BB1039" s="351"/>
    </row>
    <row r="1040" spans="1:54" ht="15.75" customHeight="1">
      <c r="A1040" s="25">
        <f t="shared" si="4"/>
        <v>1027</v>
      </c>
      <c r="B1040" s="618" t="str">
        <f>'refer admin discharge'!B1036</f>
        <v>x</v>
      </c>
      <c r="C1040" s="351"/>
      <c r="D1040" s="619" t="str">
        <f>'refer admin discharge'!D1036</f>
        <v>xx</v>
      </c>
      <c r="E1040" s="351"/>
      <c r="F1040" s="620" t="str">
        <f>'refer admin discharge'!H1036</f>
        <v>00/00/0000</v>
      </c>
      <c r="G1040" s="351"/>
      <c r="H1040" s="615"/>
      <c r="I1040" s="351"/>
      <c r="J1040" s="621"/>
      <c r="K1040" s="351"/>
      <c r="L1040" s="615"/>
      <c r="M1040" s="351"/>
      <c r="N1040" s="610"/>
      <c r="O1040" s="351"/>
      <c r="P1040" s="615"/>
      <c r="Q1040" s="351"/>
      <c r="R1040" s="610"/>
      <c r="S1040" s="351"/>
      <c r="T1040" s="615"/>
      <c r="U1040" s="351"/>
      <c r="V1040" s="613" t="str">
        <f>'refer admin discharge'!H1041</f>
        <v>00/00/0000</v>
      </c>
      <c r="W1040" s="351"/>
      <c r="X1040" s="616"/>
      <c r="Y1040" s="351"/>
      <c r="Z1040" s="617"/>
      <c r="AA1040" s="351"/>
      <c r="AB1040" s="616"/>
      <c r="AC1040" s="351"/>
      <c r="AD1040" s="607"/>
      <c r="AE1040" s="351"/>
      <c r="AF1040" s="616"/>
      <c r="AG1040" s="351"/>
      <c r="AH1040" s="607"/>
      <c r="AI1040" s="351"/>
      <c r="AJ1040" s="616"/>
      <c r="AK1040" s="351"/>
      <c r="AL1040" s="622"/>
      <c r="AM1040" s="350"/>
      <c r="AN1040" s="350"/>
      <c r="AO1040" s="350"/>
      <c r="AP1040" s="350"/>
      <c r="AQ1040" s="350"/>
      <c r="AR1040" s="350"/>
      <c r="AS1040" s="350"/>
      <c r="AT1040" s="350"/>
      <c r="AU1040" s="350"/>
      <c r="AV1040" s="350"/>
      <c r="AW1040" s="350"/>
      <c r="AX1040" s="350"/>
      <c r="AY1040" s="350"/>
      <c r="AZ1040" s="350"/>
      <c r="BA1040" s="350"/>
      <c r="BB1040" s="351"/>
    </row>
    <row r="1041" spans="1:54" ht="15.75" customHeight="1">
      <c r="A1041" s="25">
        <f t="shared" si="4"/>
        <v>1028</v>
      </c>
      <c r="B1041" s="599" t="str">
        <f>'refer admin discharge'!B1037</f>
        <v>x</v>
      </c>
      <c r="C1041" s="351"/>
      <c r="D1041" s="600" t="str">
        <f>'refer admin discharge'!D1037</f>
        <v>xx</v>
      </c>
      <c r="E1041" s="351"/>
      <c r="F1041" s="609" t="str">
        <f>'refer admin discharge'!H1037</f>
        <v>00/00/0000</v>
      </c>
      <c r="G1041" s="351"/>
      <c r="H1041" s="610"/>
      <c r="I1041" s="351"/>
      <c r="J1041" s="611"/>
      <c r="K1041" s="351"/>
      <c r="L1041" s="610"/>
      <c r="M1041" s="351"/>
      <c r="N1041" s="612"/>
      <c r="O1041" s="351"/>
      <c r="P1041" s="610"/>
      <c r="Q1041" s="351"/>
      <c r="R1041" s="612"/>
      <c r="S1041" s="351"/>
      <c r="T1041" s="610"/>
      <c r="U1041" s="351"/>
      <c r="V1041" s="613" t="str">
        <f>'refer admin discharge'!H1042</f>
        <v>00/00/0000</v>
      </c>
      <c r="W1041" s="351"/>
      <c r="X1041" s="607"/>
      <c r="Y1041" s="351"/>
      <c r="Z1041" s="614"/>
      <c r="AA1041" s="351"/>
      <c r="AB1041" s="607"/>
      <c r="AC1041" s="351"/>
      <c r="AD1041" s="606"/>
      <c r="AE1041" s="351"/>
      <c r="AF1041" s="607"/>
      <c r="AG1041" s="351"/>
      <c r="AH1041" s="606"/>
      <c r="AI1041" s="351"/>
      <c r="AJ1041" s="607"/>
      <c r="AK1041" s="351"/>
      <c r="AL1041" s="608"/>
      <c r="AM1041" s="350"/>
      <c r="AN1041" s="350"/>
      <c r="AO1041" s="350"/>
      <c r="AP1041" s="350"/>
      <c r="AQ1041" s="350"/>
      <c r="AR1041" s="350"/>
      <c r="AS1041" s="350"/>
      <c r="AT1041" s="350"/>
      <c r="AU1041" s="350"/>
      <c r="AV1041" s="350"/>
      <c r="AW1041" s="350"/>
      <c r="AX1041" s="350"/>
      <c r="AY1041" s="350"/>
      <c r="AZ1041" s="350"/>
      <c r="BA1041" s="350"/>
      <c r="BB1041" s="351"/>
    </row>
    <row r="1042" spans="1:54" ht="15.75" customHeight="1">
      <c r="A1042" s="25">
        <f t="shared" si="4"/>
        <v>1029</v>
      </c>
      <c r="B1042" s="618" t="str">
        <f>'refer admin discharge'!B1038</f>
        <v>x</v>
      </c>
      <c r="C1042" s="351"/>
      <c r="D1042" s="619" t="str">
        <f>'refer admin discharge'!D1038</f>
        <v>xx</v>
      </c>
      <c r="E1042" s="351"/>
      <c r="F1042" s="620" t="str">
        <f>'refer admin discharge'!H1038</f>
        <v>00/00/0000</v>
      </c>
      <c r="G1042" s="351"/>
      <c r="H1042" s="615"/>
      <c r="I1042" s="351"/>
      <c r="J1042" s="621"/>
      <c r="K1042" s="351"/>
      <c r="L1042" s="615"/>
      <c r="M1042" s="351"/>
      <c r="N1042" s="610"/>
      <c r="O1042" s="351"/>
      <c r="P1042" s="615"/>
      <c r="Q1042" s="351"/>
      <c r="R1042" s="610"/>
      <c r="S1042" s="351"/>
      <c r="T1042" s="615"/>
      <c r="U1042" s="351"/>
      <c r="V1042" s="613" t="str">
        <f>'refer admin discharge'!H1043</f>
        <v>00/00/0000</v>
      </c>
      <c r="W1042" s="351"/>
      <c r="X1042" s="616"/>
      <c r="Y1042" s="351"/>
      <c r="Z1042" s="617"/>
      <c r="AA1042" s="351"/>
      <c r="AB1042" s="616"/>
      <c r="AC1042" s="351"/>
      <c r="AD1042" s="607"/>
      <c r="AE1042" s="351"/>
      <c r="AF1042" s="616"/>
      <c r="AG1042" s="351"/>
      <c r="AH1042" s="607"/>
      <c r="AI1042" s="351"/>
      <c r="AJ1042" s="616"/>
      <c r="AK1042" s="351"/>
      <c r="AL1042" s="622"/>
      <c r="AM1042" s="350"/>
      <c r="AN1042" s="350"/>
      <c r="AO1042" s="350"/>
      <c r="AP1042" s="350"/>
      <c r="AQ1042" s="350"/>
      <c r="AR1042" s="350"/>
      <c r="AS1042" s="350"/>
      <c r="AT1042" s="350"/>
      <c r="AU1042" s="350"/>
      <c r="AV1042" s="350"/>
      <c r="AW1042" s="350"/>
      <c r="AX1042" s="350"/>
      <c r="AY1042" s="350"/>
      <c r="AZ1042" s="350"/>
      <c r="BA1042" s="350"/>
      <c r="BB1042" s="351"/>
    </row>
    <row r="1043" spans="1:54" ht="15.75" customHeight="1">
      <c r="A1043" s="25">
        <f t="shared" si="4"/>
        <v>1030</v>
      </c>
      <c r="B1043" s="599" t="str">
        <f>'refer admin discharge'!B1039</f>
        <v>x</v>
      </c>
      <c r="C1043" s="351"/>
      <c r="D1043" s="600" t="str">
        <f>'refer admin discharge'!D1039</f>
        <v>xx</v>
      </c>
      <c r="E1043" s="351"/>
      <c r="F1043" s="609" t="str">
        <f>'refer admin discharge'!H1039</f>
        <v>00/00/0000</v>
      </c>
      <c r="G1043" s="351"/>
      <c r="H1043" s="610"/>
      <c r="I1043" s="351"/>
      <c r="J1043" s="611"/>
      <c r="K1043" s="351"/>
      <c r="L1043" s="610"/>
      <c r="M1043" s="351"/>
      <c r="N1043" s="612"/>
      <c r="O1043" s="351"/>
      <c r="P1043" s="610"/>
      <c r="Q1043" s="351"/>
      <c r="R1043" s="612"/>
      <c r="S1043" s="351"/>
      <c r="T1043" s="610"/>
      <c r="U1043" s="351"/>
      <c r="V1043" s="613" t="str">
        <f>'refer admin discharge'!H1044</f>
        <v>00/00/0000</v>
      </c>
      <c r="W1043" s="351"/>
      <c r="X1043" s="607"/>
      <c r="Y1043" s="351"/>
      <c r="Z1043" s="614"/>
      <c r="AA1043" s="351"/>
      <c r="AB1043" s="607"/>
      <c r="AC1043" s="351"/>
      <c r="AD1043" s="606"/>
      <c r="AE1043" s="351"/>
      <c r="AF1043" s="607"/>
      <c r="AG1043" s="351"/>
      <c r="AH1043" s="606"/>
      <c r="AI1043" s="351"/>
      <c r="AJ1043" s="607"/>
      <c r="AK1043" s="351"/>
      <c r="AL1043" s="608"/>
      <c r="AM1043" s="350"/>
      <c r="AN1043" s="350"/>
      <c r="AO1043" s="350"/>
      <c r="AP1043" s="350"/>
      <c r="AQ1043" s="350"/>
      <c r="AR1043" s="350"/>
      <c r="AS1043" s="350"/>
      <c r="AT1043" s="350"/>
      <c r="AU1043" s="350"/>
      <c r="AV1043" s="350"/>
      <c r="AW1043" s="350"/>
      <c r="AX1043" s="350"/>
      <c r="AY1043" s="350"/>
      <c r="AZ1043" s="350"/>
      <c r="BA1043" s="350"/>
      <c r="BB1043" s="351"/>
    </row>
    <row r="1044" spans="1:54" ht="15.75" customHeight="1">
      <c r="A1044" s="25">
        <f t="shared" si="4"/>
        <v>1031</v>
      </c>
      <c r="B1044" s="618" t="str">
        <f>'refer admin discharge'!B1040</f>
        <v>x</v>
      </c>
      <c r="C1044" s="351"/>
      <c r="D1044" s="619" t="str">
        <f>'refer admin discharge'!D1040</f>
        <v>xx</v>
      </c>
      <c r="E1044" s="351"/>
      <c r="F1044" s="620" t="str">
        <f>'refer admin discharge'!H1040</f>
        <v>00/00/0000</v>
      </c>
      <c r="G1044" s="351"/>
      <c r="H1044" s="615"/>
      <c r="I1044" s="351"/>
      <c r="J1044" s="621"/>
      <c r="K1044" s="351"/>
      <c r="L1044" s="615"/>
      <c r="M1044" s="351"/>
      <c r="N1044" s="610"/>
      <c r="O1044" s="351"/>
      <c r="P1044" s="615"/>
      <c r="Q1044" s="351"/>
      <c r="R1044" s="610"/>
      <c r="S1044" s="351"/>
      <c r="T1044" s="615"/>
      <c r="U1044" s="351"/>
      <c r="V1044" s="613" t="str">
        <f>'refer admin discharge'!H1045</f>
        <v>00/00/0000</v>
      </c>
      <c r="W1044" s="351"/>
      <c r="X1044" s="616"/>
      <c r="Y1044" s="351"/>
      <c r="Z1044" s="617"/>
      <c r="AA1044" s="351"/>
      <c r="AB1044" s="616"/>
      <c r="AC1044" s="351"/>
      <c r="AD1044" s="607"/>
      <c r="AE1044" s="351"/>
      <c r="AF1044" s="616"/>
      <c r="AG1044" s="351"/>
      <c r="AH1044" s="607"/>
      <c r="AI1044" s="351"/>
      <c r="AJ1044" s="616"/>
      <c r="AK1044" s="351"/>
      <c r="AL1044" s="622"/>
      <c r="AM1044" s="350"/>
      <c r="AN1044" s="350"/>
      <c r="AO1044" s="350"/>
      <c r="AP1044" s="350"/>
      <c r="AQ1044" s="350"/>
      <c r="AR1044" s="350"/>
      <c r="AS1044" s="350"/>
      <c r="AT1044" s="350"/>
      <c r="AU1044" s="350"/>
      <c r="AV1044" s="350"/>
      <c r="AW1044" s="350"/>
      <c r="AX1044" s="350"/>
      <c r="AY1044" s="350"/>
      <c r="AZ1044" s="350"/>
      <c r="BA1044" s="350"/>
      <c r="BB1044" s="351"/>
    </row>
    <row r="1045" spans="1:54" ht="15.75" customHeight="1">
      <c r="A1045" s="25">
        <f t="shared" si="4"/>
        <v>1032</v>
      </c>
      <c r="B1045" s="599" t="str">
        <f>'refer admin discharge'!B1041</f>
        <v>x</v>
      </c>
      <c r="C1045" s="351"/>
      <c r="D1045" s="600" t="str">
        <f>'refer admin discharge'!D1041</f>
        <v>xx</v>
      </c>
      <c r="E1045" s="351"/>
      <c r="F1045" s="609" t="str">
        <f>'refer admin discharge'!H1041</f>
        <v>00/00/0000</v>
      </c>
      <c r="G1045" s="351"/>
      <c r="H1045" s="610"/>
      <c r="I1045" s="351"/>
      <c r="J1045" s="611"/>
      <c r="K1045" s="351"/>
      <c r="L1045" s="610"/>
      <c r="M1045" s="351"/>
      <c r="N1045" s="612"/>
      <c r="O1045" s="351"/>
      <c r="P1045" s="610"/>
      <c r="Q1045" s="351"/>
      <c r="R1045" s="612"/>
      <c r="S1045" s="351"/>
      <c r="T1045" s="610"/>
      <c r="U1045" s="351"/>
      <c r="V1045" s="613" t="str">
        <f>'refer admin discharge'!H1046</f>
        <v>00/00/0000</v>
      </c>
      <c r="W1045" s="351"/>
      <c r="X1045" s="607"/>
      <c r="Y1045" s="351"/>
      <c r="Z1045" s="614"/>
      <c r="AA1045" s="351"/>
      <c r="AB1045" s="607"/>
      <c r="AC1045" s="351"/>
      <c r="AD1045" s="606"/>
      <c r="AE1045" s="351"/>
      <c r="AF1045" s="607"/>
      <c r="AG1045" s="351"/>
      <c r="AH1045" s="606"/>
      <c r="AI1045" s="351"/>
      <c r="AJ1045" s="607"/>
      <c r="AK1045" s="351"/>
      <c r="AL1045" s="608"/>
      <c r="AM1045" s="350"/>
      <c r="AN1045" s="350"/>
      <c r="AO1045" s="350"/>
      <c r="AP1045" s="350"/>
      <c r="AQ1045" s="350"/>
      <c r="AR1045" s="350"/>
      <c r="AS1045" s="350"/>
      <c r="AT1045" s="350"/>
      <c r="AU1045" s="350"/>
      <c r="AV1045" s="350"/>
      <c r="AW1045" s="350"/>
      <c r="AX1045" s="350"/>
      <c r="AY1045" s="350"/>
      <c r="AZ1045" s="350"/>
      <c r="BA1045" s="350"/>
      <c r="BB1045" s="351"/>
    </row>
    <row r="1046" spans="1:54" ht="15.75" customHeight="1">
      <c r="A1046" s="25">
        <f t="shared" si="4"/>
        <v>1033</v>
      </c>
      <c r="B1046" s="618" t="str">
        <f>'refer admin discharge'!B1042</f>
        <v>x</v>
      </c>
      <c r="C1046" s="351"/>
      <c r="D1046" s="619" t="str">
        <f>'refer admin discharge'!D1042</f>
        <v>xx</v>
      </c>
      <c r="E1046" s="351"/>
      <c r="F1046" s="620" t="str">
        <f>'refer admin discharge'!H1042</f>
        <v>00/00/0000</v>
      </c>
      <c r="G1046" s="351"/>
      <c r="H1046" s="615"/>
      <c r="I1046" s="351"/>
      <c r="J1046" s="621"/>
      <c r="K1046" s="351"/>
      <c r="L1046" s="615"/>
      <c r="M1046" s="351"/>
      <c r="N1046" s="610"/>
      <c r="O1046" s="351"/>
      <c r="P1046" s="615"/>
      <c r="Q1046" s="351"/>
      <c r="R1046" s="610"/>
      <c r="S1046" s="351"/>
      <c r="T1046" s="615"/>
      <c r="U1046" s="351"/>
      <c r="V1046" s="613" t="str">
        <f>'refer admin discharge'!H1047</f>
        <v>00/00/0000</v>
      </c>
      <c r="W1046" s="351"/>
      <c r="X1046" s="616"/>
      <c r="Y1046" s="351"/>
      <c r="Z1046" s="617"/>
      <c r="AA1046" s="351"/>
      <c r="AB1046" s="616"/>
      <c r="AC1046" s="351"/>
      <c r="AD1046" s="607"/>
      <c r="AE1046" s="351"/>
      <c r="AF1046" s="616"/>
      <c r="AG1046" s="351"/>
      <c r="AH1046" s="607"/>
      <c r="AI1046" s="351"/>
      <c r="AJ1046" s="616"/>
      <c r="AK1046" s="351"/>
      <c r="AL1046" s="622"/>
      <c r="AM1046" s="350"/>
      <c r="AN1046" s="350"/>
      <c r="AO1046" s="350"/>
      <c r="AP1046" s="350"/>
      <c r="AQ1046" s="350"/>
      <c r="AR1046" s="350"/>
      <c r="AS1046" s="350"/>
      <c r="AT1046" s="350"/>
      <c r="AU1046" s="350"/>
      <c r="AV1046" s="350"/>
      <c r="AW1046" s="350"/>
      <c r="AX1046" s="350"/>
      <c r="AY1046" s="350"/>
      <c r="AZ1046" s="350"/>
      <c r="BA1046" s="350"/>
      <c r="BB1046" s="351"/>
    </row>
    <row r="1047" spans="1:54" ht="15.75" customHeight="1">
      <c r="A1047" s="25">
        <f t="shared" si="4"/>
        <v>1034</v>
      </c>
      <c r="B1047" s="599" t="str">
        <f>'refer admin discharge'!B1043</f>
        <v>x</v>
      </c>
      <c r="C1047" s="351"/>
      <c r="D1047" s="600" t="str">
        <f>'refer admin discharge'!D1043</f>
        <v>xx</v>
      </c>
      <c r="E1047" s="351"/>
      <c r="F1047" s="609" t="str">
        <f>'refer admin discharge'!H1043</f>
        <v>00/00/0000</v>
      </c>
      <c r="G1047" s="351"/>
      <c r="H1047" s="610"/>
      <c r="I1047" s="351"/>
      <c r="J1047" s="611"/>
      <c r="K1047" s="351"/>
      <c r="L1047" s="610"/>
      <c r="M1047" s="351"/>
      <c r="N1047" s="612"/>
      <c r="O1047" s="351"/>
      <c r="P1047" s="610"/>
      <c r="Q1047" s="351"/>
      <c r="R1047" s="612"/>
      <c r="S1047" s="351"/>
      <c r="T1047" s="610"/>
      <c r="U1047" s="351"/>
      <c r="V1047" s="613" t="str">
        <f>'refer admin discharge'!H1048</f>
        <v>00/00/0000</v>
      </c>
      <c r="W1047" s="351"/>
      <c r="X1047" s="607"/>
      <c r="Y1047" s="351"/>
      <c r="Z1047" s="614"/>
      <c r="AA1047" s="351"/>
      <c r="AB1047" s="607"/>
      <c r="AC1047" s="351"/>
      <c r="AD1047" s="606"/>
      <c r="AE1047" s="351"/>
      <c r="AF1047" s="607"/>
      <c r="AG1047" s="351"/>
      <c r="AH1047" s="606"/>
      <c r="AI1047" s="351"/>
      <c r="AJ1047" s="607"/>
      <c r="AK1047" s="351"/>
      <c r="AL1047" s="608"/>
      <c r="AM1047" s="350"/>
      <c r="AN1047" s="350"/>
      <c r="AO1047" s="350"/>
      <c r="AP1047" s="350"/>
      <c r="AQ1047" s="350"/>
      <c r="AR1047" s="350"/>
      <c r="AS1047" s="350"/>
      <c r="AT1047" s="350"/>
      <c r="AU1047" s="350"/>
      <c r="AV1047" s="350"/>
      <c r="AW1047" s="350"/>
      <c r="AX1047" s="350"/>
      <c r="AY1047" s="350"/>
      <c r="AZ1047" s="350"/>
      <c r="BA1047" s="350"/>
      <c r="BB1047" s="351"/>
    </row>
    <row r="1048" spans="1:54" ht="15.75" customHeight="1">
      <c r="A1048" s="25">
        <f t="shared" si="4"/>
        <v>1035</v>
      </c>
      <c r="B1048" s="618" t="str">
        <f>'refer admin discharge'!B1044</f>
        <v>x</v>
      </c>
      <c r="C1048" s="351"/>
      <c r="D1048" s="619" t="str">
        <f>'refer admin discharge'!D1044</f>
        <v>xx</v>
      </c>
      <c r="E1048" s="351"/>
      <c r="F1048" s="620" t="str">
        <f>'refer admin discharge'!H1044</f>
        <v>00/00/0000</v>
      </c>
      <c r="G1048" s="351"/>
      <c r="H1048" s="615"/>
      <c r="I1048" s="351"/>
      <c r="J1048" s="621"/>
      <c r="K1048" s="351"/>
      <c r="L1048" s="615"/>
      <c r="M1048" s="351"/>
      <c r="N1048" s="610"/>
      <c r="O1048" s="351"/>
      <c r="P1048" s="615"/>
      <c r="Q1048" s="351"/>
      <c r="R1048" s="610"/>
      <c r="S1048" s="351"/>
      <c r="T1048" s="615"/>
      <c r="U1048" s="351"/>
      <c r="V1048" s="613" t="str">
        <f>'refer admin discharge'!H1049</f>
        <v>00/00/0000</v>
      </c>
      <c r="W1048" s="351"/>
      <c r="X1048" s="616"/>
      <c r="Y1048" s="351"/>
      <c r="Z1048" s="617"/>
      <c r="AA1048" s="351"/>
      <c r="AB1048" s="616"/>
      <c r="AC1048" s="351"/>
      <c r="AD1048" s="607"/>
      <c r="AE1048" s="351"/>
      <c r="AF1048" s="616"/>
      <c r="AG1048" s="351"/>
      <c r="AH1048" s="607"/>
      <c r="AI1048" s="351"/>
      <c r="AJ1048" s="616"/>
      <c r="AK1048" s="351"/>
      <c r="AL1048" s="622"/>
      <c r="AM1048" s="350"/>
      <c r="AN1048" s="350"/>
      <c r="AO1048" s="350"/>
      <c r="AP1048" s="350"/>
      <c r="AQ1048" s="350"/>
      <c r="AR1048" s="350"/>
      <c r="AS1048" s="350"/>
      <c r="AT1048" s="350"/>
      <c r="AU1048" s="350"/>
      <c r="AV1048" s="350"/>
      <c r="AW1048" s="350"/>
      <c r="AX1048" s="350"/>
      <c r="AY1048" s="350"/>
      <c r="AZ1048" s="350"/>
      <c r="BA1048" s="350"/>
      <c r="BB1048" s="351"/>
    </row>
    <row r="1049" spans="1:54" ht="15.75" customHeight="1">
      <c r="A1049" s="25">
        <f t="shared" si="4"/>
        <v>1036</v>
      </c>
      <c r="B1049" s="599" t="str">
        <f>'refer admin discharge'!B1045</f>
        <v>x</v>
      </c>
      <c r="C1049" s="351"/>
      <c r="D1049" s="600" t="str">
        <f>'refer admin discharge'!D1045</f>
        <v>xx</v>
      </c>
      <c r="E1049" s="351"/>
      <c r="F1049" s="609" t="str">
        <f>'refer admin discharge'!H1045</f>
        <v>00/00/0000</v>
      </c>
      <c r="G1049" s="351"/>
      <c r="H1049" s="610"/>
      <c r="I1049" s="351"/>
      <c r="J1049" s="611"/>
      <c r="K1049" s="351"/>
      <c r="L1049" s="610"/>
      <c r="M1049" s="351"/>
      <c r="N1049" s="612"/>
      <c r="O1049" s="351"/>
      <c r="P1049" s="610"/>
      <c r="Q1049" s="351"/>
      <c r="R1049" s="612"/>
      <c r="S1049" s="351"/>
      <c r="T1049" s="610"/>
      <c r="U1049" s="351"/>
      <c r="V1049" s="613" t="str">
        <f>'refer admin discharge'!H1050</f>
        <v>00/00/0000</v>
      </c>
      <c r="W1049" s="351"/>
      <c r="X1049" s="607"/>
      <c r="Y1049" s="351"/>
      <c r="Z1049" s="614"/>
      <c r="AA1049" s="351"/>
      <c r="AB1049" s="607"/>
      <c r="AC1049" s="351"/>
      <c r="AD1049" s="606"/>
      <c r="AE1049" s="351"/>
      <c r="AF1049" s="607"/>
      <c r="AG1049" s="351"/>
      <c r="AH1049" s="606"/>
      <c r="AI1049" s="351"/>
      <c r="AJ1049" s="607"/>
      <c r="AK1049" s="351"/>
      <c r="AL1049" s="608"/>
      <c r="AM1049" s="350"/>
      <c r="AN1049" s="350"/>
      <c r="AO1049" s="350"/>
      <c r="AP1049" s="350"/>
      <c r="AQ1049" s="350"/>
      <c r="AR1049" s="350"/>
      <c r="AS1049" s="350"/>
      <c r="AT1049" s="350"/>
      <c r="AU1049" s="350"/>
      <c r="AV1049" s="350"/>
      <c r="AW1049" s="350"/>
      <c r="AX1049" s="350"/>
      <c r="AY1049" s="350"/>
      <c r="AZ1049" s="350"/>
      <c r="BA1049" s="350"/>
      <c r="BB1049" s="351"/>
    </row>
    <row r="1050" spans="1:54" ht="15.75" customHeight="1">
      <c r="A1050" s="25">
        <f t="shared" si="4"/>
        <v>1037</v>
      </c>
      <c r="B1050" s="618" t="str">
        <f>'refer admin discharge'!B1046</f>
        <v>x</v>
      </c>
      <c r="C1050" s="351"/>
      <c r="D1050" s="619" t="str">
        <f>'refer admin discharge'!D1046</f>
        <v>xx</v>
      </c>
      <c r="E1050" s="351"/>
      <c r="F1050" s="620" t="str">
        <f>'refer admin discharge'!H1046</f>
        <v>00/00/0000</v>
      </c>
      <c r="G1050" s="351"/>
      <c r="H1050" s="615"/>
      <c r="I1050" s="351"/>
      <c r="J1050" s="621"/>
      <c r="K1050" s="351"/>
      <c r="L1050" s="615"/>
      <c r="M1050" s="351"/>
      <c r="N1050" s="610"/>
      <c r="O1050" s="351"/>
      <c r="P1050" s="615"/>
      <c r="Q1050" s="351"/>
      <c r="R1050" s="610"/>
      <c r="S1050" s="351"/>
      <c r="T1050" s="615"/>
      <c r="U1050" s="351"/>
      <c r="V1050" s="613" t="str">
        <f>'refer admin discharge'!H1051</f>
        <v>00/00/0000</v>
      </c>
      <c r="W1050" s="351"/>
      <c r="X1050" s="616"/>
      <c r="Y1050" s="351"/>
      <c r="Z1050" s="617"/>
      <c r="AA1050" s="351"/>
      <c r="AB1050" s="616"/>
      <c r="AC1050" s="351"/>
      <c r="AD1050" s="607"/>
      <c r="AE1050" s="351"/>
      <c r="AF1050" s="616"/>
      <c r="AG1050" s="351"/>
      <c r="AH1050" s="607"/>
      <c r="AI1050" s="351"/>
      <c r="AJ1050" s="616"/>
      <c r="AK1050" s="351"/>
      <c r="AL1050" s="622"/>
      <c r="AM1050" s="350"/>
      <c r="AN1050" s="350"/>
      <c r="AO1050" s="350"/>
      <c r="AP1050" s="350"/>
      <c r="AQ1050" s="350"/>
      <c r="AR1050" s="350"/>
      <c r="AS1050" s="350"/>
      <c r="AT1050" s="350"/>
      <c r="AU1050" s="350"/>
      <c r="AV1050" s="350"/>
      <c r="AW1050" s="350"/>
      <c r="AX1050" s="350"/>
      <c r="AY1050" s="350"/>
      <c r="AZ1050" s="350"/>
      <c r="BA1050" s="350"/>
      <c r="BB1050" s="351"/>
    </row>
    <row r="1051" spans="1:54" ht="15.75" customHeight="1">
      <c r="A1051" s="25">
        <f t="shared" si="4"/>
        <v>1038</v>
      </c>
      <c r="B1051" s="599" t="str">
        <f>'refer admin discharge'!B1047</f>
        <v>x</v>
      </c>
      <c r="C1051" s="351"/>
      <c r="D1051" s="600" t="str">
        <f>'refer admin discharge'!D1047</f>
        <v>xx</v>
      </c>
      <c r="E1051" s="351"/>
      <c r="F1051" s="609" t="str">
        <f>'refer admin discharge'!H1047</f>
        <v>00/00/0000</v>
      </c>
      <c r="G1051" s="351"/>
      <c r="H1051" s="610"/>
      <c r="I1051" s="351"/>
      <c r="J1051" s="611"/>
      <c r="K1051" s="351"/>
      <c r="L1051" s="610"/>
      <c r="M1051" s="351"/>
      <c r="N1051" s="612"/>
      <c r="O1051" s="351"/>
      <c r="P1051" s="610"/>
      <c r="Q1051" s="351"/>
      <c r="R1051" s="612"/>
      <c r="S1051" s="351"/>
      <c r="T1051" s="610"/>
      <c r="U1051" s="351"/>
      <c r="V1051" s="613" t="str">
        <f>'refer admin discharge'!H1052</f>
        <v>00/00/0000</v>
      </c>
      <c r="W1051" s="351"/>
      <c r="X1051" s="607"/>
      <c r="Y1051" s="351"/>
      <c r="Z1051" s="614"/>
      <c r="AA1051" s="351"/>
      <c r="AB1051" s="607"/>
      <c r="AC1051" s="351"/>
      <c r="AD1051" s="606"/>
      <c r="AE1051" s="351"/>
      <c r="AF1051" s="607"/>
      <c r="AG1051" s="351"/>
      <c r="AH1051" s="606"/>
      <c r="AI1051" s="351"/>
      <c r="AJ1051" s="607"/>
      <c r="AK1051" s="351"/>
      <c r="AL1051" s="608"/>
      <c r="AM1051" s="350"/>
      <c r="AN1051" s="350"/>
      <c r="AO1051" s="350"/>
      <c r="AP1051" s="350"/>
      <c r="AQ1051" s="350"/>
      <c r="AR1051" s="350"/>
      <c r="AS1051" s="350"/>
      <c r="AT1051" s="350"/>
      <c r="AU1051" s="350"/>
      <c r="AV1051" s="350"/>
      <c r="AW1051" s="350"/>
      <c r="AX1051" s="350"/>
      <c r="AY1051" s="350"/>
      <c r="AZ1051" s="350"/>
      <c r="BA1051" s="350"/>
      <c r="BB1051" s="351"/>
    </row>
    <row r="1052" spans="1:54" ht="15.75" customHeight="1">
      <c r="A1052" s="25">
        <f t="shared" si="4"/>
        <v>1039</v>
      </c>
      <c r="B1052" s="618" t="str">
        <f>'refer admin discharge'!B1048</f>
        <v>x</v>
      </c>
      <c r="C1052" s="351"/>
      <c r="D1052" s="619" t="str">
        <f>'refer admin discharge'!D1048</f>
        <v>xx</v>
      </c>
      <c r="E1052" s="351"/>
      <c r="F1052" s="620" t="str">
        <f>'refer admin discharge'!H1048</f>
        <v>00/00/0000</v>
      </c>
      <c r="G1052" s="351"/>
      <c r="H1052" s="615"/>
      <c r="I1052" s="351"/>
      <c r="J1052" s="621"/>
      <c r="K1052" s="351"/>
      <c r="L1052" s="615"/>
      <c r="M1052" s="351"/>
      <c r="N1052" s="610"/>
      <c r="O1052" s="351"/>
      <c r="P1052" s="615"/>
      <c r="Q1052" s="351"/>
      <c r="R1052" s="610"/>
      <c r="S1052" s="351"/>
      <c r="T1052" s="615"/>
      <c r="U1052" s="351"/>
      <c r="V1052" s="613" t="str">
        <f>'refer admin discharge'!H1053</f>
        <v>00/00/0000</v>
      </c>
      <c r="W1052" s="351"/>
      <c r="X1052" s="616"/>
      <c r="Y1052" s="351"/>
      <c r="Z1052" s="617"/>
      <c r="AA1052" s="351"/>
      <c r="AB1052" s="616"/>
      <c r="AC1052" s="351"/>
      <c r="AD1052" s="607"/>
      <c r="AE1052" s="351"/>
      <c r="AF1052" s="616"/>
      <c r="AG1052" s="351"/>
      <c r="AH1052" s="607"/>
      <c r="AI1052" s="351"/>
      <c r="AJ1052" s="616"/>
      <c r="AK1052" s="351"/>
      <c r="AL1052" s="622"/>
      <c r="AM1052" s="350"/>
      <c r="AN1052" s="350"/>
      <c r="AO1052" s="350"/>
      <c r="AP1052" s="350"/>
      <c r="AQ1052" s="350"/>
      <c r="AR1052" s="350"/>
      <c r="AS1052" s="350"/>
      <c r="AT1052" s="350"/>
      <c r="AU1052" s="350"/>
      <c r="AV1052" s="350"/>
      <c r="AW1052" s="350"/>
      <c r="AX1052" s="350"/>
      <c r="AY1052" s="350"/>
      <c r="AZ1052" s="350"/>
      <c r="BA1052" s="350"/>
      <c r="BB1052" s="351"/>
    </row>
    <row r="1053" spans="1:54" ht="15.75" customHeight="1">
      <c r="A1053" s="25">
        <f t="shared" si="4"/>
        <v>1040</v>
      </c>
      <c r="B1053" s="599" t="str">
        <f>'refer admin discharge'!B1049</f>
        <v>x</v>
      </c>
      <c r="C1053" s="351"/>
      <c r="D1053" s="600" t="str">
        <f>'refer admin discharge'!D1049</f>
        <v>xx</v>
      </c>
      <c r="E1053" s="351"/>
      <c r="F1053" s="609" t="str">
        <f>'refer admin discharge'!H1049</f>
        <v>00/00/0000</v>
      </c>
      <c r="G1053" s="351"/>
      <c r="H1053" s="610"/>
      <c r="I1053" s="351"/>
      <c r="J1053" s="611"/>
      <c r="K1053" s="351"/>
      <c r="L1053" s="610"/>
      <c r="M1053" s="351"/>
      <c r="N1053" s="612"/>
      <c r="O1053" s="351"/>
      <c r="P1053" s="610"/>
      <c r="Q1053" s="351"/>
      <c r="R1053" s="612"/>
      <c r="S1053" s="351"/>
      <c r="T1053" s="610"/>
      <c r="U1053" s="351"/>
      <c r="V1053" s="613" t="str">
        <f>'refer admin discharge'!H1054</f>
        <v>00/00/0000</v>
      </c>
      <c r="W1053" s="351"/>
      <c r="X1053" s="607"/>
      <c r="Y1053" s="351"/>
      <c r="Z1053" s="614"/>
      <c r="AA1053" s="351"/>
      <c r="AB1053" s="607"/>
      <c r="AC1053" s="351"/>
      <c r="AD1053" s="606"/>
      <c r="AE1053" s="351"/>
      <c r="AF1053" s="607"/>
      <c r="AG1053" s="351"/>
      <c r="AH1053" s="606"/>
      <c r="AI1053" s="351"/>
      <c r="AJ1053" s="607"/>
      <c r="AK1053" s="351"/>
      <c r="AL1053" s="608"/>
      <c r="AM1053" s="350"/>
      <c r="AN1053" s="350"/>
      <c r="AO1053" s="350"/>
      <c r="AP1053" s="350"/>
      <c r="AQ1053" s="350"/>
      <c r="AR1053" s="350"/>
      <c r="AS1053" s="350"/>
      <c r="AT1053" s="350"/>
      <c r="AU1053" s="350"/>
      <c r="AV1053" s="350"/>
      <c r="AW1053" s="350"/>
      <c r="AX1053" s="350"/>
      <c r="AY1053" s="350"/>
      <c r="AZ1053" s="350"/>
      <c r="BA1053" s="350"/>
      <c r="BB1053" s="351"/>
    </row>
    <row r="1054" spans="1:54" ht="15.75" customHeight="1">
      <c r="A1054" s="25">
        <f t="shared" si="4"/>
        <v>1041</v>
      </c>
      <c r="B1054" s="618" t="str">
        <f>'refer admin discharge'!B1050</f>
        <v>x</v>
      </c>
      <c r="C1054" s="351"/>
      <c r="D1054" s="619" t="str">
        <f>'refer admin discharge'!D1050</f>
        <v>xx</v>
      </c>
      <c r="E1054" s="351"/>
      <c r="F1054" s="620" t="str">
        <f>'refer admin discharge'!H1050</f>
        <v>00/00/0000</v>
      </c>
      <c r="G1054" s="351"/>
      <c r="H1054" s="615"/>
      <c r="I1054" s="351"/>
      <c r="J1054" s="621"/>
      <c r="K1054" s="351"/>
      <c r="L1054" s="615"/>
      <c r="M1054" s="351"/>
      <c r="N1054" s="610"/>
      <c r="O1054" s="351"/>
      <c r="P1054" s="615"/>
      <c r="Q1054" s="351"/>
      <c r="R1054" s="610"/>
      <c r="S1054" s="351"/>
      <c r="T1054" s="615"/>
      <c r="U1054" s="351"/>
      <c r="V1054" s="613" t="str">
        <f>'refer admin discharge'!H1055</f>
        <v>00/00/0000</v>
      </c>
      <c r="W1054" s="351"/>
      <c r="X1054" s="616"/>
      <c r="Y1054" s="351"/>
      <c r="Z1054" s="617"/>
      <c r="AA1054" s="351"/>
      <c r="AB1054" s="616"/>
      <c r="AC1054" s="351"/>
      <c r="AD1054" s="607"/>
      <c r="AE1054" s="351"/>
      <c r="AF1054" s="616"/>
      <c r="AG1054" s="351"/>
      <c r="AH1054" s="607"/>
      <c r="AI1054" s="351"/>
      <c r="AJ1054" s="616"/>
      <c r="AK1054" s="351"/>
      <c r="AL1054" s="622"/>
      <c r="AM1054" s="350"/>
      <c r="AN1054" s="350"/>
      <c r="AO1054" s="350"/>
      <c r="AP1054" s="350"/>
      <c r="AQ1054" s="350"/>
      <c r="AR1054" s="350"/>
      <c r="AS1054" s="350"/>
      <c r="AT1054" s="350"/>
      <c r="AU1054" s="350"/>
      <c r="AV1054" s="350"/>
      <c r="AW1054" s="350"/>
      <c r="AX1054" s="350"/>
      <c r="AY1054" s="350"/>
      <c r="AZ1054" s="350"/>
      <c r="BA1054" s="350"/>
      <c r="BB1054" s="351"/>
    </row>
    <row r="1055" spans="1:54" ht="15.75" customHeight="1">
      <c r="A1055" s="25">
        <f t="shared" si="4"/>
        <v>1042</v>
      </c>
      <c r="B1055" s="599" t="str">
        <f>'refer admin discharge'!B1051</f>
        <v>x</v>
      </c>
      <c r="C1055" s="351"/>
      <c r="D1055" s="600" t="str">
        <f>'refer admin discharge'!D1051</f>
        <v>xx</v>
      </c>
      <c r="E1055" s="351"/>
      <c r="F1055" s="609" t="str">
        <f>'refer admin discharge'!H1051</f>
        <v>00/00/0000</v>
      </c>
      <c r="G1055" s="351"/>
      <c r="H1055" s="610"/>
      <c r="I1055" s="351"/>
      <c r="J1055" s="611"/>
      <c r="K1055" s="351"/>
      <c r="L1055" s="610"/>
      <c r="M1055" s="351"/>
      <c r="N1055" s="612"/>
      <c r="O1055" s="351"/>
      <c r="P1055" s="610"/>
      <c r="Q1055" s="351"/>
      <c r="R1055" s="612"/>
      <c r="S1055" s="351"/>
      <c r="T1055" s="610"/>
      <c r="U1055" s="351"/>
      <c r="V1055" s="613" t="str">
        <f>'refer admin discharge'!H1056</f>
        <v>00/00/0000</v>
      </c>
      <c r="W1055" s="351"/>
      <c r="X1055" s="607"/>
      <c r="Y1055" s="351"/>
      <c r="Z1055" s="614"/>
      <c r="AA1055" s="351"/>
      <c r="AB1055" s="607"/>
      <c r="AC1055" s="351"/>
      <c r="AD1055" s="606"/>
      <c r="AE1055" s="351"/>
      <c r="AF1055" s="607"/>
      <c r="AG1055" s="351"/>
      <c r="AH1055" s="606"/>
      <c r="AI1055" s="351"/>
      <c r="AJ1055" s="607"/>
      <c r="AK1055" s="351"/>
      <c r="AL1055" s="608"/>
      <c r="AM1055" s="350"/>
      <c r="AN1055" s="350"/>
      <c r="AO1055" s="350"/>
      <c r="AP1055" s="350"/>
      <c r="AQ1055" s="350"/>
      <c r="AR1055" s="350"/>
      <c r="AS1055" s="350"/>
      <c r="AT1055" s="350"/>
      <c r="AU1055" s="350"/>
      <c r="AV1055" s="350"/>
      <c r="AW1055" s="350"/>
      <c r="AX1055" s="350"/>
      <c r="AY1055" s="350"/>
      <c r="AZ1055" s="350"/>
      <c r="BA1055" s="350"/>
      <c r="BB1055" s="351"/>
    </row>
    <row r="1056" spans="1:54" ht="15.75" customHeight="1">
      <c r="A1056" s="25">
        <f t="shared" si="4"/>
        <v>1043</v>
      </c>
      <c r="B1056" s="618" t="str">
        <f>'refer admin discharge'!B1052</f>
        <v>x</v>
      </c>
      <c r="C1056" s="351"/>
      <c r="D1056" s="619" t="str">
        <f>'refer admin discharge'!D1052</f>
        <v>xx</v>
      </c>
      <c r="E1056" s="351"/>
      <c r="F1056" s="620" t="str">
        <f>'refer admin discharge'!H1052</f>
        <v>00/00/0000</v>
      </c>
      <c r="G1056" s="351"/>
      <c r="H1056" s="615"/>
      <c r="I1056" s="351"/>
      <c r="J1056" s="621"/>
      <c r="K1056" s="351"/>
      <c r="L1056" s="615"/>
      <c r="M1056" s="351"/>
      <c r="N1056" s="610"/>
      <c r="O1056" s="351"/>
      <c r="P1056" s="615"/>
      <c r="Q1056" s="351"/>
      <c r="R1056" s="610"/>
      <c r="S1056" s="351"/>
      <c r="T1056" s="615"/>
      <c r="U1056" s="351"/>
      <c r="V1056" s="613" t="str">
        <f>'refer admin discharge'!H1057</f>
        <v>00/00/0000</v>
      </c>
      <c r="W1056" s="351"/>
      <c r="X1056" s="616"/>
      <c r="Y1056" s="351"/>
      <c r="Z1056" s="617"/>
      <c r="AA1056" s="351"/>
      <c r="AB1056" s="616"/>
      <c r="AC1056" s="351"/>
      <c r="AD1056" s="607"/>
      <c r="AE1056" s="351"/>
      <c r="AF1056" s="616"/>
      <c r="AG1056" s="351"/>
      <c r="AH1056" s="607"/>
      <c r="AI1056" s="351"/>
      <c r="AJ1056" s="616"/>
      <c r="AK1056" s="351"/>
      <c r="AL1056" s="622"/>
      <c r="AM1056" s="350"/>
      <c r="AN1056" s="350"/>
      <c r="AO1056" s="350"/>
      <c r="AP1056" s="350"/>
      <c r="AQ1056" s="350"/>
      <c r="AR1056" s="350"/>
      <c r="AS1056" s="350"/>
      <c r="AT1056" s="350"/>
      <c r="AU1056" s="350"/>
      <c r="AV1056" s="350"/>
      <c r="AW1056" s="350"/>
      <c r="AX1056" s="350"/>
      <c r="AY1056" s="350"/>
      <c r="AZ1056" s="350"/>
      <c r="BA1056" s="350"/>
      <c r="BB1056" s="351"/>
    </row>
    <row r="1057" spans="1:54" ht="15.75" customHeight="1">
      <c r="A1057" s="25">
        <f t="shared" si="4"/>
        <v>1044</v>
      </c>
      <c r="B1057" s="599" t="str">
        <f>'refer admin discharge'!B1053</f>
        <v>x</v>
      </c>
      <c r="C1057" s="351"/>
      <c r="D1057" s="600" t="str">
        <f>'refer admin discharge'!D1053</f>
        <v>xx</v>
      </c>
      <c r="E1057" s="351"/>
      <c r="F1057" s="609" t="str">
        <f>'refer admin discharge'!H1053</f>
        <v>00/00/0000</v>
      </c>
      <c r="G1057" s="351"/>
      <c r="H1057" s="610"/>
      <c r="I1057" s="351"/>
      <c r="J1057" s="611"/>
      <c r="K1057" s="351"/>
      <c r="L1057" s="610"/>
      <c r="M1057" s="351"/>
      <c r="N1057" s="612"/>
      <c r="O1057" s="351"/>
      <c r="P1057" s="610"/>
      <c r="Q1057" s="351"/>
      <c r="R1057" s="612"/>
      <c r="S1057" s="351"/>
      <c r="T1057" s="610"/>
      <c r="U1057" s="351"/>
      <c r="V1057" s="613" t="str">
        <f>'refer admin discharge'!H1058</f>
        <v>00/00/0000</v>
      </c>
      <c r="W1057" s="351"/>
      <c r="X1057" s="607"/>
      <c r="Y1057" s="351"/>
      <c r="Z1057" s="614"/>
      <c r="AA1057" s="351"/>
      <c r="AB1057" s="607"/>
      <c r="AC1057" s="351"/>
      <c r="AD1057" s="606"/>
      <c r="AE1057" s="351"/>
      <c r="AF1057" s="607"/>
      <c r="AG1057" s="351"/>
      <c r="AH1057" s="606"/>
      <c r="AI1057" s="351"/>
      <c r="AJ1057" s="607"/>
      <c r="AK1057" s="351"/>
      <c r="AL1057" s="608"/>
      <c r="AM1057" s="350"/>
      <c r="AN1057" s="350"/>
      <c r="AO1057" s="350"/>
      <c r="AP1057" s="350"/>
      <c r="AQ1057" s="350"/>
      <c r="AR1057" s="350"/>
      <c r="AS1057" s="350"/>
      <c r="AT1057" s="350"/>
      <c r="AU1057" s="350"/>
      <c r="AV1057" s="350"/>
      <c r="AW1057" s="350"/>
      <c r="AX1057" s="350"/>
      <c r="AY1057" s="350"/>
      <c r="AZ1057" s="350"/>
      <c r="BA1057" s="350"/>
      <c r="BB1057" s="351"/>
    </row>
    <row r="1058" spans="1:54" ht="15.75" customHeight="1">
      <c r="A1058" s="25">
        <f t="shared" si="4"/>
        <v>1045</v>
      </c>
      <c r="B1058" s="618" t="str">
        <f>'refer admin discharge'!B1054</f>
        <v>x</v>
      </c>
      <c r="C1058" s="351"/>
      <c r="D1058" s="619" t="str">
        <f>'refer admin discharge'!D1054</f>
        <v>xx</v>
      </c>
      <c r="E1058" s="351"/>
      <c r="F1058" s="620" t="str">
        <f>'refer admin discharge'!H1054</f>
        <v>00/00/0000</v>
      </c>
      <c r="G1058" s="351"/>
      <c r="H1058" s="615"/>
      <c r="I1058" s="351"/>
      <c r="J1058" s="621"/>
      <c r="K1058" s="351"/>
      <c r="L1058" s="615"/>
      <c r="M1058" s="351"/>
      <c r="N1058" s="610"/>
      <c r="O1058" s="351"/>
      <c r="P1058" s="615"/>
      <c r="Q1058" s="351"/>
      <c r="R1058" s="610"/>
      <c r="S1058" s="351"/>
      <c r="T1058" s="615"/>
      <c r="U1058" s="351"/>
      <c r="V1058" s="613" t="str">
        <f>'refer admin discharge'!H1059</f>
        <v>00/00/0000</v>
      </c>
      <c r="W1058" s="351"/>
      <c r="X1058" s="616"/>
      <c r="Y1058" s="351"/>
      <c r="Z1058" s="617"/>
      <c r="AA1058" s="351"/>
      <c r="AB1058" s="616"/>
      <c r="AC1058" s="351"/>
      <c r="AD1058" s="607"/>
      <c r="AE1058" s="351"/>
      <c r="AF1058" s="616"/>
      <c r="AG1058" s="351"/>
      <c r="AH1058" s="607"/>
      <c r="AI1058" s="351"/>
      <c r="AJ1058" s="616"/>
      <c r="AK1058" s="351"/>
      <c r="AL1058" s="622"/>
      <c r="AM1058" s="350"/>
      <c r="AN1058" s="350"/>
      <c r="AO1058" s="350"/>
      <c r="AP1058" s="350"/>
      <c r="AQ1058" s="350"/>
      <c r="AR1058" s="350"/>
      <c r="AS1058" s="350"/>
      <c r="AT1058" s="350"/>
      <c r="AU1058" s="350"/>
      <c r="AV1058" s="350"/>
      <c r="AW1058" s="350"/>
      <c r="AX1058" s="350"/>
      <c r="AY1058" s="350"/>
      <c r="AZ1058" s="350"/>
      <c r="BA1058" s="350"/>
      <c r="BB1058" s="351"/>
    </row>
    <row r="1059" spans="1:54" ht="15.75" customHeight="1">
      <c r="A1059" s="25">
        <f t="shared" si="4"/>
        <v>1046</v>
      </c>
      <c r="B1059" s="599" t="str">
        <f>'refer admin discharge'!B1055</f>
        <v>x</v>
      </c>
      <c r="C1059" s="351"/>
      <c r="D1059" s="600" t="str">
        <f>'refer admin discharge'!D1055</f>
        <v>xx</v>
      </c>
      <c r="E1059" s="351"/>
      <c r="F1059" s="609" t="str">
        <f>'refer admin discharge'!H1055</f>
        <v>00/00/0000</v>
      </c>
      <c r="G1059" s="351"/>
      <c r="H1059" s="610"/>
      <c r="I1059" s="351"/>
      <c r="J1059" s="611"/>
      <c r="K1059" s="351"/>
      <c r="L1059" s="610"/>
      <c r="M1059" s="351"/>
      <c r="N1059" s="612"/>
      <c r="O1059" s="351"/>
      <c r="P1059" s="610"/>
      <c r="Q1059" s="351"/>
      <c r="R1059" s="612"/>
      <c r="S1059" s="351"/>
      <c r="T1059" s="610"/>
      <c r="U1059" s="351"/>
      <c r="V1059" s="613" t="str">
        <f>'refer admin discharge'!H1060</f>
        <v>00/00/0000</v>
      </c>
      <c r="W1059" s="351"/>
      <c r="X1059" s="607"/>
      <c r="Y1059" s="351"/>
      <c r="Z1059" s="614"/>
      <c r="AA1059" s="351"/>
      <c r="AB1059" s="607"/>
      <c r="AC1059" s="351"/>
      <c r="AD1059" s="606"/>
      <c r="AE1059" s="351"/>
      <c r="AF1059" s="607"/>
      <c r="AG1059" s="351"/>
      <c r="AH1059" s="606"/>
      <c r="AI1059" s="351"/>
      <c r="AJ1059" s="607"/>
      <c r="AK1059" s="351"/>
      <c r="AL1059" s="608"/>
      <c r="AM1059" s="350"/>
      <c r="AN1059" s="350"/>
      <c r="AO1059" s="350"/>
      <c r="AP1059" s="350"/>
      <c r="AQ1059" s="350"/>
      <c r="AR1059" s="350"/>
      <c r="AS1059" s="350"/>
      <c r="AT1059" s="350"/>
      <c r="AU1059" s="350"/>
      <c r="AV1059" s="350"/>
      <c r="AW1059" s="350"/>
      <c r="AX1059" s="350"/>
      <c r="AY1059" s="350"/>
      <c r="AZ1059" s="350"/>
      <c r="BA1059" s="350"/>
      <c r="BB1059" s="351"/>
    </row>
    <row r="1060" spans="1:54" ht="15.75" customHeight="1">
      <c r="A1060" s="25">
        <f t="shared" si="4"/>
        <v>1047</v>
      </c>
      <c r="B1060" s="618" t="str">
        <f>'refer admin discharge'!B1056</f>
        <v>x</v>
      </c>
      <c r="C1060" s="351"/>
      <c r="D1060" s="619" t="str">
        <f>'refer admin discharge'!D1056</f>
        <v>xx</v>
      </c>
      <c r="E1060" s="351"/>
      <c r="F1060" s="620" t="str">
        <f>'refer admin discharge'!H1056</f>
        <v>00/00/0000</v>
      </c>
      <c r="G1060" s="351"/>
      <c r="H1060" s="615"/>
      <c r="I1060" s="351"/>
      <c r="J1060" s="621"/>
      <c r="K1060" s="351"/>
      <c r="L1060" s="615"/>
      <c r="M1060" s="351"/>
      <c r="N1060" s="610"/>
      <c r="O1060" s="351"/>
      <c r="P1060" s="615"/>
      <c r="Q1060" s="351"/>
      <c r="R1060" s="610"/>
      <c r="S1060" s="351"/>
      <c r="T1060" s="615"/>
      <c r="U1060" s="351"/>
      <c r="V1060" s="613" t="str">
        <f>'refer admin discharge'!H1061</f>
        <v>00/00/0000</v>
      </c>
      <c r="W1060" s="351"/>
      <c r="X1060" s="616"/>
      <c r="Y1060" s="351"/>
      <c r="Z1060" s="617"/>
      <c r="AA1060" s="351"/>
      <c r="AB1060" s="616"/>
      <c r="AC1060" s="351"/>
      <c r="AD1060" s="607"/>
      <c r="AE1060" s="351"/>
      <c r="AF1060" s="616"/>
      <c r="AG1060" s="351"/>
      <c r="AH1060" s="607"/>
      <c r="AI1060" s="351"/>
      <c r="AJ1060" s="616"/>
      <c r="AK1060" s="351"/>
      <c r="AL1060" s="622"/>
      <c r="AM1060" s="350"/>
      <c r="AN1060" s="350"/>
      <c r="AO1060" s="350"/>
      <c r="AP1060" s="350"/>
      <c r="AQ1060" s="350"/>
      <c r="AR1060" s="350"/>
      <c r="AS1060" s="350"/>
      <c r="AT1060" s="350"/>
      <c r="AU1060" s="350"/>
      <c r="AV1060" s="350"/>
      <c r="AW1060" s="350"/>
      <c r="AX1060" s="350"/>
      <c r="AY1060" s="350"/>
      <c r="AZ1060" s="350"/>
      <c r="BA1060" s="350"/>
      <c r="BB1060" s="351"/>
    </row>
    <row r="1061" spans="1:54" ht="15.75" customHeight="1">
      <c r="A1061" s="25">
        <f t="shared" si="4"/>
        <v>1048</v>
      </c>
      <c r="B1061" s="599" t="str">
        <f>'refer admin discharge'!B1057</f>
        <v>x</v>
      </c>
      <c r="C1061" s="351"/>
      <c r="D1061" s="600" t="str">
        <f>'refer admin discharge'!D1057</f>
        <v>xx</v>
      </c>
      <c r="E1061" s="351"/>
      <c r="F1061" s="609" t="str">
        <f>'refer admin discharge'!H1057</f>
        <v>00/00/0000</v>
      </c>
      <c r="G1061" s="351"/>
      <c r="H1061" s="610"/>
      <c r="I1061" s="351"/>
      <c r="J1061" s="611"/>
      <c r="K1061" s="351"/>
      <c r="L1061" s="610"/>
      <c r="M1061" s="351"/>
      <c r="N1061" s="612"/>
      <c r="O1061" s="351"/>
      <c r="P1061" s="610"/>
      <c r="Q1061" s="351"/>
      <c r="R1061" s="612"/>
      <c r="S1061" s="351"/>
      <c r="T1061" s="610"/>
      <c r="U1061" s="351"/>
      <c r="V1061" s="613" t="str">
        <f>'refer admin discharge'!H1062</f>
        <v>00/00/0000</v>
      </c>
      <c r="W1061" s="351"/>
      <c r="X1061" s="607"/>
      <c r="Y1061" s="351"/>
      <c r="Z1061" s="614"/>
      <c r="AA1061" s="351"/>
      <c r="AB1061" s="607"/>
      <c r="AC1061" s="351"/>
      <c r="AD1061" s="606"/>
      <c r="AE1061" s="351"/>
      <c r="AF1061" s="607"/>
      <c r="AG1061" s="351"/>
      <c r="AH1061" s="606"/>
      <c r="AI1061" s="351"/>
      <c r="AJ1061" s="607"/>
      <c r="AK1061" s="351"/>
      <c r="AL1061" s="608"/>
      <c r="AM1061" s="350"/>
      <c r="AN1061" s="350"/>
      <c r="AO1061" s="350"/>
      <c r="AP1061" s="350"/>
      <c r="AQ1061" s="350"/>
      <c r="AR1061" s="350"/>
      <c r="AS1061" s="350"/>
      <c r="AT1061" s="350"/>
      <c r="AU1061" s="350"/>
      <c r="AV1061" s="350"/>
      <c r="AW1061" s="350"/>
      <c r="AX1061" s="350"/>
      <c r="AY1061" s="350"/>
      <c r="AZ1061" s="350"/>
      <c r="BA1061" s="350"/>
      <c r="BB1061" s="351"/>
    </row>
    <row r="1062" spans="1:54" ht="15.75" customHeight="1">
      <c r="A1062" s="25">
        <f t="shared" si="4"/>
        <v>1049</v>
      </c>
      <c r="B1062" s="618" t="str">
        <f>'refer admin discharge'!B1058</f>
        <v>x</v>
      </c>
      <c r="C1062" s="351"/>
      <c r="D1062" s="619" t="str">
        <f>'refer admin discharge'!D1058</f>
        <v>xx</v>
      </c>
      <c r="E1062" s="351"/>
      <c r="F1062" s="620" t="str">
        <f>'refer admin discharge'!H1058</f>
        <v>00/00/0000</v>
      </c>
      <c r="G1062" s="351"/>
      <c r="H1062" s="615"/>
      <c r="I1062" s="351"/>
      <c r="J1062" s="621"/>
      <c r="K1062" s="351"/>
      <c r="L1062" s="615"/>
      <c r="M1062" s="351"/>
      <c r="N1062" s="610"/>
      <c r="O1062" s="351"/>
      <c r="P1062" s="615"/>
      <c r="Q1062" s="351"/>
      <c r="R1062" s="610"/>
      <c r="S1062" s="351"/>
      <c r="T1062" s="615"/>
      <c r="U1062" s="351"/>
      <c r="V1062" s="613" t="str">
        <f>'refer admin discharge'!H1063</f>
        <v>00/00/0000</v>
      </c>
      <c r="W1062" s="351"/>
      <c r="X1062" s="616"/>
      <c r="Y1062" s="351"/>
      <c r="Z1062" s="617"/>
      <c r="AA1062" s="351"/>
      <c r="AB1062" s="616"/>
      <c r="AC1062" s="351"/>
      <c r="AD1062" s="607"/>
      <c r="AE1062" s="351"/>
      <c r="AF1062" s="616"/>
      <c r="AG1062" s="351"/>
      <c r="AH1062" s="607"/>
      <c r="AI1062" s="351"/>
      <c r="AJ1062" s="616"/>
      <c r="AK1062" s="351"/>
      <c r="AL1062" s="622"/>
      <c r="AM1062" s="350"/>
      <c r="AN1062" s="350"/>
      <c r="AO1062" s="350"/>
      <c r="AP1062" s="350"/>
      <c r="AQ1062" s="350"/>
      <c r="AR1062" s="350"/>
      <c r="AS1062" s="350"/>
      <c r="AT1062" s="350"/>
      <c r="AU1062" s="350"/>
      <c r="AV1062" s="350"/>
      <c r="AW1062" s="350"/>
      <c r="AX1062" s="350"/>
      <c r="AY1062" s="350"/>
      <c r="AZ1062" s="350"/>
      <c r="BA1062" s="350"/>
      <c r="BB1062" s="351"/>
    </row>
    <row r="1063" spans="1:54" ht="15.75" customHeight="1">
      <c r="A1063" s="25">
        <f t="shared" si="4"/>
        <v>1050</v>
      </c>
      <c r="B1063" s="599" t="str">
        <f>'refer admin discharge'!B1059</f>
        <v>x</v>
      </c>
      <c r="C1063" s="351"/>
      <c r="D1063" s="600" t="str">
        <f>'refer admin discharge'!D1059</f>
        <v>xx</v>
      </c>
      <c r="E1063" s="351"/>
      <c r="F1063" s="609" t="str">
        <f>'refer admin discharge'!H1059</f>
        <v>00/00/0000</v>
      </c>
      <c r="G1063" s="351"/>
      <c r="H1063" s="610"/>
      <c r="I1063" s="351"/>
      <c r="J1063" s="611"/>
      <c r="K1063" s="351"/>
      <c r="L1063" s="610"/>
      <c r="M1063" s="351"/>
      <c r="N1063" s="612"/>
      <c r="O1063" s="351"/>
      <c r="P1063" s="610"/>
      <c r="Q1063" s="351"/>
      <c r="R1063" s="612"/>
      <c r="S1063" s="351"/>
      <c r="T1063" s="610"/>
      <c r="U1063" s="351"/>
      <c r="V1063" s="613" t="str">
        <f>'refer admin discharge'!H1064</f>
        <v>00/00/0000</v>
      </c>
      <c r="W1063" s="351"/>
      <c r="X1063" s="607"/>
      <c r="Y1063" s="351"/>
      <c r="Z1063" s="614"/>
      <c r="AA1063" s="351"/>
      <c r="AB1063" s="607"/>
      <c r="AC1063" s="351"/>
      <c r="AD1063" s="606"/>
      <c r="AE1063" s="351"/>
      <c r="AF1063" s="607"/>
      <c r="AG1063" s="351"/>
      <c r="AH1063" s="606"/>
      <c r="AI1063" s="351"/>
      <c r="AJ1063" s="607"/>
      <c r="AK1063" s="351"/>
      <c r="AL1063" s="608"/>
      <c r="AM1063" s="350"/>
      <c r="AN1063" s="350"/>
      <c r="AO1063" s="350"/>
      <c r="AP1063" s="350"/>
      <c r="AQ1063" s="350"/>
      <c r="AR1063" s="350"/>
      <c r="AS1063" s="350"/>
      <c r="AT1063" s="350"/>
      <c r="AU1063" s="350"/>
      <c r="AV1063" s="350"/>
      <c r="AW1063" s="350"/>
      <c r="AX1063" s="350"/>
      <c r="AY1063" s="350"/>
      <c r="AZ1063" s="350"/>
      <c r="BA1063" s="350"/>
      <c r="BB1063" s="351"/>
    </row>
    <row r="1064" spans="1:54" ht="15.75" customHeight="1">
      <c r="A1064" s="25">
        <f t="shared" si="4"/>
        <v>1051</v>
      </c>
      <c r="B1064" s="618" t="str">
        <f>'refer admin discharge'!B1060</f>
        <v>x</v>
      </c>
      <c r="C1064" s="351"/>
      <c r="D1064" s="619" t="str">
        <f>'refer admin discharge'!D1060</f>
        <v>xx</v>
      </c>
      <c r="E1064" s="351"/>
      <c r="F1064" s="620" t="str">
        <f>'refer admin discharge'!H1060</f>
        <v>00/00/0000</v>
      </c>
      <c r="G1064" s="351"/>
      <c r="H1064" s="615"/>
      <c r="I1064" s="351"/>
      <c r="J1064" s="621"/>
      <c r="K1064" s="351"/>
      <c r="L1064" s="615"/>
      <c r="M1064" s="351"/>
      <c r="N1064" s="610"/>
      <c r="O1064" s="351"/>
      <c r="P1064" s="615"/>
      <c r="Q1064" s="351"/>
      <c r="R1064" s="610"/>
      <c r="S1064" s="351"/>
      <c r="T1064" s="615"/>
      <c r="U1064" s="351"/>
      <c r="V1064" s="613" t="str">
        <f>'refer admin discharge'!H1065</f>
        <v>00/00/0000</v>
      </c>
      <c r="W1064" s="351"/>
      <c r="X1064" s="616"/>
      <c r="Y1064" s="351"/>
      <c r="Z1064" s="617"/>
      <c r="AA1064" s="351"/>
      <c r="AB1064" s="616"/>
      <c r="AC1064" s="351"/>
      <c r="AD1064" s="607"/>
      <c r="AE1064" s="351"/>
      <c r="AF1064" s="616"/>
      <c r="AG1064" s="351"/>
      <c r="AH1064" s="607"/>
      <c r="AI1064" s="351"/>
      <c r="AJ1064" s="616"/>
      <c r="AK1064" s="351"/>
      <c r="AL1064" s="622"/>
      <c r="AM1064" s="350"/>
      <c r="AN1064" s="350"/>
      <c r="AO1064" s="350"/>
      <c r="AP1064" s="350"/>
      <c r="AQ1064" s="350"/>
      <c r="AR1064" s="350"/>
      <c r="AS1064" s="350"/>
      <c r="AT1064" s="350"/>
      <c r="AU1064" s="350"/>
      <c r="AV1064" s="350"/>
      <c r="AW1064" s="350"/>
      <c r="AX1064" s="350"/>
      <c r="AY1064" s="350"/>
      <c r="AZ1064" s="350"/>
      <c r="BA1064" s="350"/>
      <c r="BB1064" s="351"/>
    </row>
    <row r="1065" spans="1:54" ht="15.75" customHeight="1">
      <c r="A1065" s="25">
        <f t="shared" si="4"/>
        <v>1052</v>
      </c>
      <c r="B1065" s="599" t="str">
        <f>'refer admin discharge'!B1061</f>
        <v>x</v>
      </c>
      <c r="C1065" s="351"/>
      <c r="D1065" s="600" t="str">
        <f>'refer admin discharge'!D1061</f>
        <v>xx</v>
      </c>
      <c r="E1065" s="351"/>
      <c r="F1065" s="609" t="str">
        <f>'refer admin discharge'!H1061</f>
        <v>00/00/0000</v>
      </c>
      <c r="G1065" s="351"/>
      <c r="H1065" s="610"/>
      <c r="I1065" s="351"/>
      <c r="J1065" s="611"/>
      <c r="K1065" s="351"/>
      <c r="L1065" s="610"/>
      <c r="M1065" s="351"/>
      <c r="N1065" s="612"/>
      <c r="O1065" s="351"/>
      <c r="P1065" s="610"/>
      <c r="Q1065" s="351"/>
      <c r="R1065" s="612"/>
      <c r="S1065" s="351"/>
      <c r="T1065" s="610"/>
      <c r="U1065" s="351"/>
      <c r="V1065" s="613" t="str">
        <f>'refer admin discharge'!H1066</f>
        <v>00/00/0000</v>
      </c>
      <c r="W1065" s="351"/>
      <c r="X1065" s="607"/>
      <c r="Y1065" s="351"/>
      <c r="Z1065" s="614"/>
      <c r="AA1065" s="351"/>
      <c r="AB1065" s="607"/>
      <c r="AC1065" s="351"/>
      <c r="AD1065" s="606"/>
      <c r="AE1065" s="351"/>
      <c r="AF1065" s="607"/>
      <c r="AG1065" s="351"/>
      <c r="AH1065" s="606"/>
      <c r="AI1065" s="351"/>
      <c r="AJ1065" s="607"/>
      <c r="AK1065" s="351"/>
      <c r="AL1065" s="608"/>
      <c r="AM1065" s="350"/>
      <c r="AN1065" s="350"/>
      <c r="AO1065" s="350"/>
      <c r="AP1065" s="350"/>
      <c r="AQ1065" s="350"/>
      <c r="AR1065" s="350"/>
      <c r="AS1065" s="350"/>
      <c r="AT1065" s="350"/>
      <c r="AU1065" s="350"/>
      <c r="AV1065" s="350"/>
      <c r="AW1065" s="350"/>
      <c r="AX1065" s="350"/>
      <c r="AY1065" s="350"/>
      <c r="AZ1065" s="350"/>
      <c r="BA1065" s="350"/>
      <c r="BB1065" s="351"/>
    </row>
    <row r="1066" spans="1:54" ht="15.75" customHeight="1">
      <c r="A1066" s="25">
        <f t="shared" si="4"/>
        <v>1053</v>
      </c>
      <c r="B1066" s="618" t="str">
        <f>'refer admin discharge'!B1062</f>
        <v>x</v>
      </c>
      <c r="C1066" s="351"/>
      <c r="D1066" s="619" t="str">
        <f>'refer admin discharge'!D1062</f>
        <v>xx</v>
      </c>
      <c r="E1066" s="351"/>
      <c r="F1066" s="620" t="str">
        <f>'refer admin discharge'!H1062</f>
        <v>00/00/0000</v>
      </c>
      <c r="G1066" s="351"/>
      <c r="H1066" s="615"/>
      <c r="I1066" s="351"/>
      <c r="J1066" s="621"/>
      <c r="K1066" s="351"/>
      <c r="L1066" s="615"/>
      <c r="M1066" s="351"/>
      <c r="N1066" s="610"/>
      <c r="O1066" s="351"/>
      <c r="P1066" s="615"/>
      <c r="Q1066" s="351"/>
      <c r="R1066" s="610"/>
      <c r="S1066" s="351"/>
      <c r="T1066" s="615"/>
      <c r="U1066" s="351"/>
      <c r="V1066" s="613" t="str">
        <f>'refer admin discharge'!H1067</f>
        <v>00/00/0000</v>
      </c>
      <c r="W1066" s="351"/>
      <c r="X1066" s="616"/>
      <c r="Y1066" s="351"/>
      <c r="Z1066" s="617"/>
      <c r="AA1066" s="351"/>
      <c r="AB1066" s="616"/>
      <c r="AC1066" s="351"/>
      <c r="AD1066" s="607"/>
      <c r="AE1066" s="351"/>
      <c r="AF1066" s="616"/>
      <c r="AG1066" s="351"/>
      <c r="AH1066" s="607"/>
      <c r="AI1066" s="351"/>
      <c r="AJ1066" s="616"/>
      <c r="AK1066" s="351"/>
      <c r="AL1066" s="622"/>
      <c r="AM1066" s="350"/>
      <c r="AN1066" s="350"/>
      <c r="AO1066" s="350"/>
      <c r="AP1066" s="350"/>
      <c r="AQ1066" s="350"/>
      <c r="AR1066" s="350"/>
      <c r="AS1066" s="350"/>
      <c r="AT1066" s="350"/>
      <c r="AU1066" s="350"/>
      <c r="AV1066" s="350"/>
      <c r="AW1066" s="350"/>
      <c r="AX1066" s="350"/>
      <c r="AY1066" s="350"/>
      <c r="AZ1066" s="350"/>
      <c r="BA1066" s="350"/>
      <c r="BB1066" s="351"/>
    </row>
    <row r="1067" spans="1:54" ht="15.75" customHeight="1">
      <c r="A1067" s="25">
        <f t="shared" si="4"/>
        <v>1054</v>
      </c>
      <c r="B1067" s="599" t="str">
        <f>'refer admin discharge'!B1063</f>
        <v>x</v>
      </c>
      <c r="C1067" s="351"/>
      <c r="D1067" s="600" t="str">
        <f>'refer admin discharge'!D1063</f>
        <v>xx</v>
      </c>
      <c r="E1067" s="351"/>
      <c r="F1067" s="609" t="str">
        <f>'refer admin discharge'!H1063</f>
        <v>00/00/0000</v>
      </c>
      <c r="G1067" s="351"/>
      <c r="H1067" s="610"/>
      <c r="I1067" s="351"/>
      <c r="J1067" s="611"/>
      <c r="K1067" s="351"/>
      <c r="L1067" s="610"/>
      <c r="M1067" s="351"/>
      <c r="N1067" s="612"/>
      <c r="O1067" s="351"/>
      <c r="P1067" s="610"/>
      <c r="Q1067" s="351"/>
      <c r="R1067" s="612"/>
      <c r="S1067" s="351"/>
      <c r="T1067" s="610"/>
      <c r="U1067" s="351"/>
      <c r="V1067" s="613" t="str">
        <f>'refer admin discharge'!H1068</f>
        <v>00/00/0000</v>
      </c>
      <c r="W1067" s="351"/>
      <c r="X1067" s="607"/>
      <c r="Y1067" s="351"/>
      <c r="Z1067" s="614"/>
      <c r="AA1067" s="351"/>
      <c r="AB1067" s="607"/>
      <c r="AC1067" s="351"/>
      <c r="AD1067" s="606"/>
      <c r="AE1067" s="351"/>
      <c r="AF1067" s="607"/>
      <c r="AG1067" s="351"/>
      <c r="AH1067" s="606"/>
      <c r="AI1067" s="351"/>
      <c r="AJ1067" s="607"/>
      <c r="AK1067" s="351"/>
      <c r="AL1067" s="608"/>
      <c r="AM1067" s="350"/>
      <c r="AN1067" s="350"/>
      <c r="AO1067" s="350"/>
      <c r="AP1067" s="350"/>
      <c r="AQ1067" s="350"/>
      <c r="AR1067" s="350"/>
      <c r="AS1067" s="350"/>
      <c r="AT1067" s="350"/>
      <c r="AU1067" s="350"/>
      <c r="AV1067" s="350"/>
      <c r="AW1067" s="350"/>
      <c r="AX1067" s="350"/>
      <c r="AY1067" s="350"/>
      <c r="AZ1067" s="350"/>
      <c r="BA1067" s="350"/>
      <c r="BB1067" s="351"/>
    </row>
    <row r="1068" spans="1:54" ht="15.75" customHeight="1">
      <c r="A1068" s="25">
        <f t="shared" si="4"/>
        <v>1055</v>
      </c>
      <c r="B1068" s="618" t="str">
        <f>'refer admin discharge'!B1064</f>
        <v>x</v>
      </c>
      <c r="C1068" s="351"/>
      <c r="D1068" s="619" t="str">
        <f>'refer admin discharge'!D1064</f>
        <v>xx</v>
      </c>
      <c r="E1068" s="351"/>
      <c r="F1068" s="620" t="str">
        <f>'refer admin discharge'!H1064</f>
        <v>00/00/0000</v>
      </c>
      <c r="G1068" s="351"/>
      <c r="H1068" s="615"/>
      <c r="I1068" s="351"/>
      <c r="J1068" s="621"/>
      <c r="K1068" s="351"/>
      <c r="L1068" s="615"/>
      <c r="M1068" s="351"/>
      <c r="N1068" s="610"/>
      <c r="O1068" s="351"/>
      <c r="P1068" s="615"/>
      <c r="Q1068" s="351"/>
      <c r="R1068" s="610"/>
      <c r="S1068" s="351"/>
      <c r="T1068" s="615"/>
      <c r="U1068" s="351"/>
      <c r="V1068" s="613" t="str">
        <f>'refer admin discharge'!H1069</f>
        <v>00/00/0000</v>
      </c>
      <c r="W1068" s="351"/>
      <c r="X1068" s="616"/>
      <c r="Y1068" s="351"/>
      <c r="Z1068" s="617"/>
      <c r="AA1068" s="351"/>
      <c r="AB1068" s="616"/>
      <c r="AC1068" s="351"/>
      <c r="AD1068" s="607"/>
      <c r="AE1068" s="351"/>
      <c r="AF1068" s="616"/>
      <c r="AG1068" s="351"/>
      <c r="AH1068" s="607"/>
      <c r="AI1068" s="351"/>
      <c r="AJ1068" s="616"/>
      <c r="AK1068" s="351"/>
      <c r="AL1068" s="622"/>
      <c r="AM1068" s="350"/>
      <c r="AN1068" s="350"/>
      <c r="AO1068" s="350"/>
      <c r="AP1068" s="350"/>
      <c r="AQ1068" s="350"/>
      <c r="AR1068" s="350"/>
      <c r="AS1068" s="350"/>
      <c r="AT1068" s="350"/>
      <c r="AU1068" s="350"/>
      <c r="AV1068" s="350"/>
      <c r="AW1068" s="350"/>
      <c r="AX1068" s="350"/>
      <c r="AY1068" s="350"/>
      <c r="AZ1068" s="350"/>
      <c r="BA1068" s="350"/>
      <c r="BB1068" s="351"/>
    </row>
    <row r="1069" spans="1:54" ht="15.75" customHeight="1">
      <c r="A1069" s="25">
        <f t="shared" si="4"/>
        <v>1056</v>
      </c>
      <c r="B1069" s="599" t="str">
        <f>'refer admin discharge'!B1065</f>
        <v>x</v>
      </c>
      <c r="C1069" s="351"/>
      <c r="D1069" s="600" t="str">
        <f>'refer admin discharge'!D1065</f>
        <v>xx</v>
      </c>
      <c r="E1069" s="351"/>
      <c r="F1069" s="609" t="str">
        <f>'refer admin discharge'!H1065</f>
        <v>00/00/0000</v>
      </c>
      <c r="G1069" s="351"/>
      <c r="H1069" s="610"/>
      <c r="I1069" s="351"/>
      <c r="J1069" s="611"/>
      <c r="K1069" s="351"/>
      <c r="L1069" s="610"/>
      <c r="M1069" s="351"/>
      <c r="N1069" s="612"/>
      <c r="O1069" s="351"/>
      <c r="P1069" s="610"/>
      <c r="Q1069" s="351"/>
      <c r="R1069" s="612"/>
      <c r="S1069" s="351"/>
      <c r="T1069" s="610"/>
      <c r="U1069" s="351"/>
      <c r="V1069" s="613" t="str">
        <f>'refer admin discharge'!H1070</f>
        <v>00/00/0000</v>
      </c>
      <c r="W1069" s="351"/>
      <c r="X1069" s="607"/>
      <c r="Y1069" s="351"/>
      <c r="Z1069" s="614"/>
      <c r="AA1069" s="351"/>
      <c r="AB1069" s="607"/>
      <c r="AC1069" s="351"/>
      <c r="AD1069" s="606"/>
      <c r="AE1069" s="351"/>
      <c r="AF1069" s="607"/>
      <c r="AG1069" s="351"/>
      <c r="AH1069" s="606"/>
      <c r="AI1069" s="351"/>
      <c r="AJ1069" s="607"/>
      <c r="AK1069" s="351"/>
      <c r="AL1069" s="608"/>
      <c r="AM1069" s="350"/>
      <c r="AN1069" s="350"/>
      <c r="AO1069" s="350"/>
      <c r="AP1069" s="350"/>
      <c r="AQ1069" s="350"/>
      <c r="AR1069" s="350"/>
      <c r="AS1069" s="350"/>
      <c r="AT1069" s="350"/>
      <c r="AU1069" s="350"/>
      <c r="AV1069" s="350"/>
      <c r="AW1069" s="350"/>
      <c r="AX1069" s="350"/>
      <c r="AY1069" s="350"/>
      <c r="AZ1069" s="350"/>
      <c r="BA1069" s="350"/>
      <c r="BB1069" s="351"/>
    </row>
    <row r="1070" spans="1:54" ht="15.75" customHeight="1">
      <c r="A1070" s="25">
        <f t="shared" si="4"/>
        <v>1057</v>
      </c>
      <c r="B1070" s="618" t="str">
        <f>'refer admin discharge'!B1066</f>
        <v>x</v>
      </c>
      <c r="C1070" s="351"/>
      <c r="D1070" s="619" t="str">
        <f>'refer admin discharge'!D1066</f>
        <v>xx</v>
      </c>
      <c r="E1070" s="351"/>
      <c r="F1070" s="620" t="str">
        <f>'refer admin discharge'!H1066</f>
        <v>00/00/0000</v>
      </c>
      <c r="G1070" s="351"/>
      <c r="H1070" s="615"/>
      <c r="I1070" s="351"/>
      <c r="J1070" s="621"/>
      <c r="K1070" s="351"/>
      <c r="L1070" s="615"/>
      <c r="M1070" s="351"/>
      <c r="N1070" s="610"/>
      <c r="O1070" s="351"/>
      <c r="P1070" s="615"/>
      <c r="Q1070" s="351"/>
      <c r="R1070" s="610"/>
      <c r="S1070" s="351"/>
      <c r="T1070" s="615"/>
      <c r="U1070" s="351"/>
      <c r="V1070" s="613" t="str">
        <f>'refer admin discharge'!H1071</f>
        <v>00/00/0000</v>
      </c>
      <c r="W1070" s="351"/>
      <c r="X1070" s="616"/>
      <c r="Y1070" s="351"/>
      <c r="Z1070" s="617"/>
      <c r="AA1070" s="351"/>
      <c r="AB1070" s="616"/>
      <c r="AC1070" s="351"/>
      <c r="AD1070" s="607"/>
      <c r="AE1070" s="351"/>
      <c r="AF1070" s="616"/>
      <c r="AG1070" s="351"/>
      <c r="AH1070" s="607"/>
      <c r="AI1070" s="351"/>
      <c r="AJ1070" s="616"/>
      <c r="AK1070" s="351"/>
      <c r="AL1070" s="622"/>
      <c r="AM1070" s="350"/>
      <c r="AN1070" s="350"/>
      <c r="AO1070" s="350"/>
      <c r="AP1070" s="350"/>
      <c r="AQ1070" s="350"/>
      <c r="AR1070" s="350"/>
      <c r="AS1070" s="350"/>
      <c r="AT1070" s="350"/>
      <c r="AU1070" s="350"/>
      <c r="AV1070" s="350"/>
      <c r="AW1070" s="350"/>
      <c r="AX1070" s="350"/>
      <c r="AY1070" s="350"/>
      <c r="AZ1070" s="350"/>
      <c r="BA1070" s="350"/>
      <c r="BB1070" s="351"/>
    </row>
    <row r="1071" spans="1:54" ht="15.75" customHeight="1">
      <c r="A1071" s="25">
        <f t="shared" si="4"/>
        <v>1058</v>
      </c>
      <c r="B1071" s="599" t="str">
        <f>'refer admin discharge'!B1067</f>
        <v>x</v>
      </c>
      <c r="C1071" s="351"/>
      <c r="D1071" s="600" t="str">
        <f>'refer admin discharge'!D1067</f>
        <v>xx</v>
      </c>
      <c r="E1071" s="351"/>
      <c r="F1071" s="609" t="str">
        <f>'refer admin discharge'!H1067</f>
        <v>00/00/0000</v>
      </c>
      <c r="G1071" s="351"/>
      <c r="H1071" s="610"/>
      <c r="I1071" s="351"/>
      <c r="J1071" s="611"/>
      <c r="K1071" s="351"/>
      <c r="L1071" s="610"/>
      <c r="M1071" s="351"/>
      <c r="N1071" s="612"/>
      <c r="O1071" s="351"/>
      <c r="P1071" s="610"/>
      <c r="Q1071" s="351"/>
      <c r="R1071" s="612"/>
      <c r="S1071" s="351"/>
      <c r="T1071" s="610"/>
      <c r="U1071" s="351"/>
      <c r="V1071" s="613" t="str">
        <f>'refer admin discharge'!H1072</f>
        <v>00/00/0000</v>
      </c>
      <c r="W1071" s="351"/>
      <c r="X1071" s="607"/>
      <c r="Y1071" s="351"/>
      <c r="Z1071" s="614"/>
      <c r="AA1071" s="351"/>
      <c r="AB1071" s="607"/>
      <c r="AC1071" s="351"/>
      <c r="AD1071" s="606"/>
      <c r="AE1071" s="351"/>
      <c r="AF1071" s="607"/>
      <c r="AG1071" s="351"/>
      <c r="AH1071" s="606"/>
      <c r="AI1071" s="351"/>
      <c r="AJ1071" s="607"/>
      <c r="AK1071" s="351"/>
      <c r="AL1071" s="608"/>
      <c r="AM1071" s="350"/>
      <c r="AN1071" s="350"/>
      <c r="AO1071" s="350"/>
      <c r="AP1071" s="350"/>
      <c r="AQ1071" s="350"/>
      <c r="AR1071" s="350"/>
      <c r="AS1071" s="350"/>
      <c r="AT1071" s="350"/>
      <c r="AU1071" s="350"/>
      <c r="AV1071" s="350"/>
      <c r="AW1071" s="350"/>
      <c r="AX1071" s="350"/>
      <c r="AY1071" s="350"/>
      <c r="AZ1071" s="350"/>
      <c r="BA1071" s="350"/>
      <c r="BB1071" s="351"/>
    </row>
    <row r="1072" spans="1:54" ht="15.75" customHeight="1">
      <c r="A1072" s="25">
        <f t="shared" si="4"/>
        <v>1059</v>
      </c>
      <c r="B1072" s="618" t="str">
        <f>'refer admin discharge'!B1068</f>
        <v>x</v>
      </c>
      <c r="C1072" s="351"/>
      <c r="D1072" s="619" t="str">
        <f>'refer admin discharge'!D1068</f>
        <v>xx</v>
      </c>
      <c r="E1072" s="351"/>
      <c r="F1072" s="620" t="str">
        <f>'refer admin discharge'!H1068</f>
        <v>00/00/0000</v>
      </c>
      <c r="G1072" s="351"/>
      <c r="H1072" s="615"/>
      <c r="I1072" s="351"/>
      <c r="J1072" s="621"/>
      <c r="K1072" s="351"/>
      <c r="L1072" s="615"/>
      <c r="M1072" s="351"/>
      <c r="N1072" s="610"/>
      <c r="O1072" s="351"/>
      <c r="P1072" s="615"/>
      <c r="Q1072" s="351"/>
      <c r="R1072" s="610"/>
      <c r="S1072" s="351"/>
      <c r="T1072" s="615"/>
      <c r="U1072" s="351"/>
      <c r="V1072" s="613" t="str">
        <f>'refer admin discharge'!H1073</f>
        <v>00/00/0000</v>
      </c>
      <c r="W1072" s="351"/>
      <c r="X1072" s="616"/>
      <c r="Y1072" s="351"/>
      <c r="Z1072" s="617"/>
      <c r="AA1072" s="351"/>
      <c r="AB1072" s="616"/>
      <c r="AC1072" s="351"/>
      <c r="AD1072" s="607"/>
      <c r="AE1072" s="351"/>
      <c r="AF1072" s="616"/>
      <c r="AG1072" s="351"/>
      <c r="AH1072" s="607"/>
      <c r="AI1072" s="351"/>
      <c r="AJ1072" s="616"/>
      <c r="AK1072" s="351"/>
      <c r="AL1072" s="622"/>
      <c r="AM1072" s="350"/>
      <c r="AN1072" s="350"/>
      <c r="AO1072" s="350"/>
      <c r="AP1072" s="350"/>
      <c r="AQ1072" s="350"/>
      <c r="AR1072" s="350"/>
      <c r="AS1072" s="350"/>
      <c r="AT1072" s="350"/>
      <c r="AU1072" s="350"/>
      <c r="AV1072" s="350"/>
      <c r="AW1072" s="350"/>
      <c r="AX1072" s="350"/>
      <c r="AY1072" s="350"/>
      <c r="AZ1072" s="350"/>
      <c r="BA1072" s="350"/>
      <c r="BB1072" s="351"/>
    </row>
    <row r="1073" spans="1:54" ht="15.75" customHeight="1">
      <c r="A1073" s="25">
        <f t="shared" si="4"/>
        <v>1060</v>
      </c>
      <c r="B1073" s="599" t="str">
        <f>'refer admin discharge'!B1069</f>
        <v>x</v>
      </c>
      <c r="C1073" s="351"/>
      <c r="D1073" s="600" t="str">
        <f>'refer admin discharge'!D1069</f>
        <v>xx</v>
      </c>
      <c r="E1073" s="351"/>
      <c r="F1073" s="609" t="str">
        <f>'refer admin discharge'!H1069</f>
        <v>00/00/0000</v>
      </c>
      <c r="G1073" s="351"/>
      <c r="H1073" s="610"/>
      <c r="I1073" s="351"/>
      <c r="J1073" s="611"/>
      <c r="K1073" s="351"/>
      <c r="L1073" s="610"/>
      <c r="M1073" s="351"/>
      <c r="N1073" s="612"/>
      <c r="O1073" s="351"/>
      <c r="P1073" s="610"/>
      <c r="Q1073" s="351"/>
      <c r="R1073" s="612"/>
      <c r="S1073" s="351"/>
      <c r="T1073" s="610"/>
      <c r="U1073" s="351"/>
      <c r="V1073" s="613" t="str">
        <f>'refer admin discharge'!H1074</f>
        <v>00/00/0000</v>
      </c>
      <c r="W1073" s="351"/>
      <c r="X1073" s="607"/>
      <c r="Y1073" s="351"/>
      <c r="Z1073" s="614"/>
      <c r="AA1073" s="351"/>
      <c r="AB1073" s="607"/>
      <c r="AC1073" s="351"/>
      <c r="AD1073" s="606"/>
      <c r="AE1073" s="351"/>
      <c r="AF1073" s="607"/>
      <c r="AG1073" s="351"/>
      <c r="AH1073" s="606"/>
      <c r="AI1073" s="351"/>
      <c r="AJ1073" s="607"/>
      <c r="AK1073" s="351"/>
      <c r="AL1073" s="608"/>
      <c r="AM1073" s="350"/>
      <c r="AN1073" s="350"/>
      <c r="AO1073" s="350"/>
      <c r="AP1073" s="350"/>
      <c r="AQ1073" s="350"/>
      <c r="AR1073" s="350"/>
      <c r="AS1073" s="350"/>
      <c r="AT1073" s="350"/>
      <c r="AU1073" s="350"/>
      <c r="AV1073" s="350"/>
      <c r="AW1073" s="350"/>
      <c r="AX1073" s="350"/>
      <c r="AY1073" s="350"/>
      <c r="AZ1073" s="350"/>
      <c r="BA1073" s="350"/>
      <c r="BB1073" s="351"/>
    </row>
    <row r="1074" spans="1:54" ht="15.75" customHeight="1">
      <c r="A1074" s="25">
        <f t="shared" si="4"/>
        <v>1061</v>
      </c>
      <c r="B1074" s="618" t="str">
        <f>'refer admin discharge'!B1070</f>
        <v>x</v>
      </c>
      <c r="C1074" s="351"/>
      <c r="D1074" s="619" t="str">
        <f>'refer admin discharge'!D1070</f>
        <v>xx</v>
      </c>
      <c r="E1074" s="351"/>
      <c r="F1074" s="620" t="str">
        <f>'refer admin discharge'!H1070</f>
        <v>00/00/0000</v>
      </c>
      <c r="G1074" s="351"/>
      <c r="H1074" s="615"/>
      <c r="I1074" s="351"/>
      <c r="J1074" s="621"/>
      <c r="K1074" s="351"/>
      <c r="L1074" s="615"/>
      <c r="M1074" s="351"/>
      <c r="N1074" s="610"/>
      <c r="O1074" s="351"/>
      <c r="P1074" s="615"/>
      <c r="Q1074" s="351"/>
      <c r="R1074" s="610"/>
      <c r="S1074" s="351"/>
      <c r="T1074" s="615"/>
      <c r="U1074" s="351"/>
      <c r="V1074" s="613" t="str">
        <f>'refer admin discharge'!H1075</f>
        <v>00/00/0000</v>
      </c>
      <c r="W1074" s="351"/>
      <c r="X1074" s="616"/>
      <c r="Y1074" s="351"/>
      <c r="Z1074" s="617"/>
      <c r="AA1074" s="351"/>
      <c r="AB1074" s="616"/>
      <c r="AC1074" s="351"/>
      <c r="AD1074" s="607"/>
      <c r="AE1074" s="351"/>
      <c r="AF1074" s="616"/>
      <c r="AG1074" s="351"/>
      <c r="AH1074" s="607"/>
      <c r="AI1074" s="351"/>
      <c r="AJ1074" s="616"/>
      <c r="AK1074" s="351"/>
      <c r="AL1074" s="622"/>
      <c r="AM1074" s="350"/>
      <c r="AN1074" s="350"/>
      <c r="AO1074" s="350"/>
      <c r="AP1074" s="350"/>
      <c r="AQ1074" s="350"/>
      <c r="AR1074" s="350"/>
      <c r="AS1074" s="350"/>
      <c r="AT1074" s="350"/>
      <c r="AU1074" s="350"/>
      <c r="AV1074" s="350"/>
      <c r="AW1074" s="350"/>
      <c r="AX1074" s="350"/>
      <c r="AY1074" s="350"/>
      <c r="AZ1074" s="350"/>
      <c r="BA1074" s="350"/>
      <c r="BB1074" s="351"/>
    </row>
    <row r="1075" spans="1:54" ht="15.75" customHeight="1">
      <c r="A1075" s="25">
        <f t="shared" si="4"/>
        <v>1062</v>
      </c>
      <c r="B1075" s="599" t="str">
        <f>'refer admin discharge'!B1071</f>
        <v>x</v>
      </c>
      <c r="C1075" s="351"/>
      <c r="D1075" s="600" t="str">
        <f>'refer admin discharge'!D1071</f>
        <v>xx</v>
      </c>
      <c r="E1075" s="351"/>
      <c r="F1075" s="609" t="str">
        <f>'refer admin discharge'!H1071</f>
        <v>00/00/0000</v>
      </c>
      <c r="G1075" s="351"/>
      <c r="H1075" s="610"/>
      <c r="I1075" s="351"/>
      <c r="J1075" s="611"/>
      <c r="K1075" s="351"/>
      <c r="L1075" s="610"/>
      <c r="M1075" s="351"/>
      <c r="N1075" s="612"/>
      <c r="O1075" s="351"/>
      <c r="P1075" s="610"/>
      <c r="Q1075" s="351"/>
      <c r="R1075" s="612"/>
      <c r="S1075" s="351"/>
      <c r="T1075" s="610"/>
      <c r="U1075" s="351"/>
      <c r="V1075" s="613" t="str">
        <f>'refer admin discharge'!H1076</f>
        <v>00/00/0000</v>
      </c>
      <c r="W1075" s="351"/>
      <c r="X1075" s="607"/>
      <c r="Y1075" s="351"/>
      <c r="Z1075" s="614"/>
      <c r="AA1075" s="351"/>
      <c r="AB1075" s="607"/>
      <c r="AC1075" s="351"/>
      <c r="AD1075" s="606"/>
      <c r="AE1075" s="351"/>
      <c r="AF1075" s="607"/>
      <c r="AG1075" s="351"/>
      <c r="AH1075" s="606"/>
      <c r="AI1075" s="351"/>
      <c r="AJ1075" s="607"/>
      <c r="AK1075" s="351"/>
      <c r="AL1075" s="608"/>
      <c r="AM1075" s="350"/>
      <c r="AN1075" s="350"/>
      <c r="AO1075" s="350"/>
      <c r="AP1075" s="350"/>
      <c r="AQ1075" s="350"/>
      <c r="AR1075" s="350"/>
      <c r="AS1075" s="350"/>
      <c r="AT1075" s="350"/>
      <c r="AU1075" s="350"/>
      <c r="AV1075" s="350"/>
      <c r="AW1075" s="350"/>
      <c r="AX1075" s="350"/>
      <c r="AY1075" s="350"/>
      <c r="AZ1075" s="350"/>
      <c r="BA1075" s="350"/>
      <c r="BB1075" s="351"/>
    </row>
    <row r="1076" spans="1:54" ht="15.75" customHeight="1">
      <c r="A1076" s="25">
        <f t="shared" si="4"/>
        <v>1063</v>
      </c>
      <c r="B1076" s="618" t="str">
        <f>'refer admin discharge'!B1072</f>
        <v>x</v>
      </c>
      <c r="C1076" s="351"/>
      <c r="D1076" s="619" t="str">
        <f>'refer admin discharge'!D1072</f>
        <v>xx</v>
      </c>
      <c r="E1076" s="351"/>
      <c r="F1076" s="620" t="str">
        <f>'refer admin discharge'!H1072</f>
        <v>00/00/0000</v>
      </c>
      <c r="G1076" s="351"/>
      <c r="H1076" s="615"/>
      <c r="I1076" s="351"/>
      <c r="J1076" s="621"/>
      <c r="K1076" s="351"/>
      <c r="L1076" s="615"/>
      <c r="M1076" s="351"/>
      <c r="N1076" s="610"/>
      <c r="O1076" s="351"/>
      <c r="P1076" s="615"/>
      <c r="Q1076" s="351"/>
      <c r="R1076" s="610"/>
      <c r="S1076" s="351"/>
      <c r="T1076" s="615"/>
      <c r="U1076" s="351"/>
      <c r="V1076" s="613" t="str">
        <f>'refer admin discharge'!H1077</f>
        <v>00/00/0000</v>
      </c>
      <c r="W1076" s="351"/>
      <c r="X1076" s="616"/>
      <c r="Y1076" s="351"/>
      <c r="Z1076" s="617"/>
      <c r="AA1076" s="351"/>
      <c r="AB1076" s="616"/>
      <c r="AC1076" s="351"/>
      <c r="AD1076" s="607"/>
      <c r="AE1076" s="351"/>
      <c r="AF1076" s="616"/>
      <c r="AG1076" s="351"/>
      <c r="AH1076" s="607"/>
      <c r="AI1076" s="351"/>
      <c r="AJ1076" s="616"/>
      <c r="AK1076" s="351"/>
      <c r="AL1076" s="622"/>
      <c r="AM1076" s="350"/>
      <c r="AN1076" s="350"/>
      <c r="AO1076" s="350"/>
      <c r="AP1076" s="350"/>
      <c r="AQ1076" s="350"/>
      <c r="AR1076" s="350"/>
      <c r="AS1076" s="350"/>
      <c r="AT1076" s="350"/>
      <c r="AU1076" s="350"/>
      <c r="AV1076" s="350"/>
      <c r="AW1076" s="350"/>
      <c r="AX1076" s="350"/>
      <c r="AY1076" s="350"/>
      <c r="AZ1076" s="350"/>
      <c r="BA1076" s="350"/>
      <c r="BB1076" s="351"/>
    </row>
    <row r="1077" spans="1:54" ht="15.75" customHeight="1">
      <c r="A1077" s="25">
        <f t="shared" si="4"/>
        <v>1064</v>
      </c>
      <c r="B1077" s="599" t="str">
        <f>'refer admin discharge'!B1073</f>
        <v>x</v>
      </c>
      <c r="C1077" s="351"/>
      <c r="D1077" s="600" t="str">
        <f>'refer admin discharge'!D1073</f>
        <v>xx</v>
      </c>
      <c r="E1077" s="351"/>
      <c r="F1077" s="609" t="str">
        <f>'refer admin discharge'!H1073</f>
        <v>00/00/0000</v>
      </c>
      <c r="G1077" s="351"/>
      <c r="H1077" s="610"/>
      <c r="I1077" s="351"/>
      <c r="J1077" s="611"/>
      <c r="K1077" s="351"/>
      <c r="L1077" s="610"/>
      <c r="M1077" s="351"/>
      <c r="N1077" s="612"/>
      <c r="O1077" s="351"/>
      <c r="P1077" s="610"/>
      <c r="Q1077" s="351"/>
      <c r="R1077" s="612"/>
      <c r="S1077" s="351"/>
      <c r="T1077" s="610"/>
      <c r="U1077" s="351"/>
      <c r="V1077" s="613" t="str">
        <f>'refer admin discharge'!H1078</f>
        <v>00/00/0000</v>
      </c>
      <c r="W1077" s="351"/>
      <c r="X1077" s="607"/>
      <c r="Y1077" s="351"/>
      <c r="Z1077" s="614"/>
      <c r="AA1077" s="351"/>
      <c r="AB1077" s="607"/>
      <c r="AC1077" s="351"/>
      <c r="AD1077" s="606"/>
      <c r="AE1077" s="351"/>
      <c r="AF1077" s="607"/>
      <c r="AG1077" s="351"/>
      <c r="AH1077" s="606"/>
      <c r="AI1077" s="351"/>
      <c r="AJ1077" s="607"/>
      <c r="AK1077" s="351"/>
      <c r="AL1077" s="608"/>
      <c r="AM1077" s="350"/>
      <c r="AN1077" s="350"/>
      <c r="AO1077" s="350"/>
      <c r="AP1077" s="350"/>
      <c r="AQ1077" s="350"/>
      <c r="AR1077" s="350"/>
      <c r="AS1077" s="350"/>
      <c r="AT1077" s="350"/>
      <c r="AU1077" s="350"/>
      <c r="AV1077" s="350"/>
      <c r="AW1077" s="350"/>
      <c r="AX1077" s="350"/>
      <c r="AY1077" s="350"/>
      <c r="AZ1077" s="350"/>
      <c r="BA1077" s="350"/>
      <c r="BB1077" s="351"/>
    </row>
    <row r="1078" spans="1:54" ht="15.75" customHeight="1">
      <c r="A1078" s="25">
        <f t="shared" si="4"/>
        <v>1065</v>
      </c>
      <c r="B1078" s="618" t="str">
        <f>'refer admin discharge'!B1074</f>
        <v>x</v>
      </c>
      <c r="C1078" s="351"/>
      <c r="D1078" s="619" t="str">
        <f>'refer admin discharge'!D1074</f>
        <v>xx</v>
      </c>
      <c r="E1078" s="351"/>
      <c r="F1078" s="620" t="str">
        <f>'refer admin discharge'!H1074</f>
        <v>00/00/0000</v>
      </c>
      <c r="G1078" s="351"/>
      <c r="H1078" s="615"/>
      <c r="I1078" s="351"/>
      <c r="J1078" s="621"/>
      <c r="K1078" s="351"/>
      <c r="L1078" s="615"/>
      <c r="M1078" s="351"/>
      <c r="N1078" s="610"/>
      <c r="O1078" s="351"/>
      <c r="P1078" s="615"/>
      <c r="Q1078" s="351"/>
      <c r="R1078" s="610"/>
      <c r="S1078" s="351"/>
      <c r="T1078" s="615"/>
      <c r="U1078" s="351"/>
      <c r="V1078" s="613" t="str">
        <f>'refer admin discharge'!H1079</f>
        <v>00/00/0000</v>
      </c>
      <c r="W1078" s="351"/>
      <c r="X1078" s="616"/>
      <c r="Y1078" s="351"/>
      <c r="Z1078" s="617"/>
      <c r="AA1078" s="351"/>
      <c r="AB1078" s="616"/>
      <c r="AC1078" s="351"/>
      <c r="AD1078" s="607"/>
      <c r="AE1078" s="351"/>
      <c r="AF1078" s="616"/>
      <c r="AG1078" s="351"/>
      <c r="AH1078" s="607"/>
      <c r="AI1078" s="351"/>
      <c r="AJ1078" s="616"/>
      <c r="AK1078" s="351"/>
      <c r="AL1078" s="622"/>
      <c r="AM1078" s="350"/>
      <c r="AN1078" s="350"/>
      <c r="AO1078" s="350"/>
      <c r="AP1078" s="350"/>
      <c r="AQ1078" s="350"/>
      <c r="AR1078" s="350"/>
      <c r="AS1078" s="350"/>
      <c r="AT1078" s="350"/>
      <c r="AU1078" s="350"/>
      <c r="AV1078" s="350"/>
      <c r="AW1078" s="350"/>
      <c r="AX1078" s="350"/>
      <c r="AY1078" s="350"/>
      <c r="AZ1078" s="350"/>
      <c r="BA1078" s="350"/>
      <c r="BB1078" s="351"/>
    </row>
    <row r="1079" spans="1:54" ht="15.75" customHeight="1">
      <c r="A1079" s="25">
        <f t="shared" si="4"/>
        <v>1066</v>
      </c>
      <c r="B1079" s="599" t="str">
        <f>'refer admin discharge'!B1075</f>
        <v>x</v>
      </c>
      <c r="C1079" s="351"/>
      <c r="D1079" s="600" t="str">
        <f>'refer admin discharge'!D1075</f>
        <v>xx</v>
      </c>
      <c r="E1079" s="351"/>
      <c r="F1079" s="609" t="str">
        <f>'refer admin discharge'!H1075</f>
        <v>00/00/0000</v>
      </c>
      <c r="G1079" s="351"/>
      <c r="H1079" s="610"/>
      <c r="I1079" s="351"/>
      <c r="J1079" s="611"/>
      <c r="K1079" s="351"/>
      <c r="L1079" s="610"/>
      <c r="M1079" s="351"/>
      <c r="N1079" s="612"/>
      <c r="O1079" s="351"/>
      <c r="P1079" s="610"/>
      <c r="Q1079" s="351"/>
      <c r="R1079" s="612"/>
      <c r="S1079" s="351"/>
      <c r="T1079" s="610"/>
      <c r="U1079" s="351"/>
      <c r="V1079" s="613" t="str">
        <f>'refer admin discharge'!H1080</f>
        <v>00/00/0000</v>
      </c>
      <c r="W1079" s="351"/>
      <c r="X1079" s="607"/>
      <c r="Y1079" s="351"/>
      <c r="Z1079" s="614"/>
      <c r="AA1079" s="351"/>
      <c r="AB1079" s="607"/>
      <c r="AC1079" s="351"/>
      <c r="AD1079" s="606"/>
      <c r="AE1079" s="351"/>
      <c r="AF1079" s="607"/>
      <c r="AG1079" s="351"/>
      <c r="AH1079" s="606"/>
      <c r="AI1079" s="351"/>
      <c r="AJ1079" s="607"/>
      <c r="AK1079" s="351"/>
      <c r="AL1079" s="608"/>
      <c r="AM1079" s="350"/>
      <c r="AN1079" s="350"/>
      <c r="AO1079" s="350"/>
      <c r="AP1079" s="350"/>
      <c r="AQ1079" s="350"/>
      <c r="AR1079" s="350"/>
      <c r="AS1079" s="350"/>
      <c r="AT1079" s="350"/>
      <c r="AU1079" s="350"/>
      <c r="AV1079" s="350"/>
      <c r="AW1079" s="350"/>
      <c r="AX1079" s="350"/>
      <c r="AY1079" s="350"/>
      <c r="AZ1079" s="350"/>
      <c r="BA1079" s="350"/>
      <c r="BB1079" s="351"/>
    </row>
    <row r="1080" spans="1:54" ht="15.75" customHeight="1">
      <c r="A1080" s="25">
        <f t="shared" si="4"/>
        <v>1067</v>
      </c>
      <c r="B1080" s="618" t="str">
        <f>'refer admin discharge'!B1076</f>
        <v>x</v>
      </c>
      <c r="C1080" s="351"/>
      <c r="D1080" s="619" t="str">
        <f>'refer admin discharge'!D1076</f>
        <v>xx</v>
      </c>
      <c r="E1080" s="351"/>
      <c r="F1080" s="620" t="str">
        <f>'refer admin discharge'!H1076</f>
        <v>00/00/0000</v>
      </c>
      <c r="G1080" s="351"/>
      <c r="H1080" s="615"/>
      <c r="I1080" s="351"/>
      <c r="J1080" s="621"/>
      <c r="K1080" s="351"/>
      <c r="L1080" s="615"/>
      <c r="M1080" s="351"/>
      <c r="N1080" s="610"/>
      <c r="O1080" s="351"/>
      <c r="P1080" s="615"/>
      <c r="Q1080" s="351"/>
      <c r="R1080" s="610"/>
      <c r="S1080" s="351"/>
      <c r="T1080" s="615"/>
      <c r="U1080" s="351"/>
      <c r="V1080" s="613" t="str">
        <f>'refer admin discharge'!H1081</f>
        <v>00/00/0000</v>
      </c>
      <c r="W1080" s="351"/>
      <c r="X1080" s="616"/>
      <c r="Y1080" s="351"/>
      <c r="Z1080" s="617"/>
      <c r="AA1080" s="351"/>
      <c r="AB1080" s="616"/>
      <c r="AC1080" s="351"/>
      <c r="AD1080" s="607"/>
      <c r="AE1080" s="351"/>
      <c r="AF1080" s="616"/>
      <c r="AG1080" s="351"/>
      <c r="AH1080" s="607"/>
      <c r="AI1080" s="351"/>
      <c r="AJ1080" s="616"/>
      <c r="AK1080" s="351"/>
      <c r="AL1080" s="622"/>
      <c r="AM1080" s="350"/>
      <c r="AN1080" s="350"/>
      <c r="AO1080" s="350"/>
      <c r="AP1080" s="350"/>
      <c r="AQ1080" s="350"/>
      <c r="AR1080" s="350"/>
      <c r="AS1080" s="350"/>
      <c r="AT1080" s="350"/>
      <c r="AU1080" s="350"/>
      <c r="AV1080" s="350"/>
      <c r="AW1080" s="350"/>
      <c r="AX1080" s="350"/>
      <c r="AY1080" s="350"/>
      <c r="AZ1080" s="350"/>
      <c r="BA1080" s="350"/>
      <c r="BB1080" s="351"/>
    </row>
    <row r="1081" spans="1:54" ht="15.75" customHeight="1">
      <c r="A1081" s="25">
        <f t="shared" si="4"/>
        <v>1068</v>
      </c>
      <c r="B1081" s="599" t="str">
        <f>'refer admin discharge'!B1077</f>
        <v>x</v>
      </c>
      <c r="C1081" s="351"/>
      <c r="D1081" s="600" t="str">
        <f>'refer admin discharge'!D1077</f>
        <v>xx</v>
      </c>
      <c r="E1081" s="351"/>
      <c r="F1081" s="609" t="str">
        <f>'refer admin discharge'!H1077</f>
        <v>00/00/0000</v>
      </c>
      <c r="G1081" s="351"/>
      <c r="H1081" s="610"/>
      <c r="I1081" s="351"/>
      <c r="J1081" s="611"/>
      <c r="K1081" s="351"/>
      <c r="L1081" s="610"/>
      <c r="M1081" s="351"/>
      <c r="N1081" s="612"/>
      <c r="O1081" s="351"/>
      <c r="P1081" s="610"/>
      <c r="Q1081" s="351"/>
      <c r="R1081" s="612"/>
      <c r="S1081" s="351"/>
      <c r="T1081" s="610"/>
      <c r="U1081" s="351"/>
      <c r="V1081" s="613" t="str">
        <f>'refer admin discharge'!H1082</f>
        <v>00/00/0000</v>
      </c>
      <c r="W1081" s="351"/>
      <c r="X1081" s="607"/>
      <c r="Y1081" s="351"/>
      <c r="Z1081" s="614"/>
      <c r="AA1081" s="351"/>
      <c r="AB1081" s="607"/>
      <c r="AC1081" s="351"/>
      <c r="AD1081" s="606"/>
      <c r="AE1081" s="351"/>
      <c r="AF1081" s="607"/>
      <c r="AG1081" s="351"/>
      <c r="AH1081" s="606"/>
      <c r="AI1081" s="351"/>
      <c r="AJ1081" s="607"/>
      <c r="AK1081" s="351"/>
      <c r="AL1081" s="608"/>
      <c r="AM1081" s="350"/>
      <c r="AN1081" s="350"/>
      <c r="AO1081" s="350"/>
      <c r="AP1081" s="350"/>
      <c r="AQ1081" s="350"/>
      <c r="AR1081" s="350"/>
      <c r="AS1081" s="350"/>
      <c r="AT1081" s="350"/>
      <c r="AU1081" s="350"/>
      <c r="AV1081" s="350"/>
      <c r="AW1081" s="350"/>
      <c r="AX1081" s="350"/>
      <c r="AY1081" s="350"/>
      <c r="AZ1081" s="350"/>
      <c r="BA1081" s="350"/>
      <c r="BB1081" s="351"/>
    </row>
    <row r="1082" spans="1:54" ht="15.75" customHeight="1">
      <c r="A1082" s="25">
        <f t="shared" si="4"/>
        <v>1069</v>
      </c>
      <c r="B1082" s="618" t="str">
        <f>'refer admin discharge'!B1078</f>
        <v>x</v>
      </c>
      <c r="C1082" s="351"/>
      <c r="D1082" s="619" t="str">
        <f>'refer admin discharge'!D1078</f>
        <v>xx</v>
      </c>
      <c r="E1082" s="351"/>
      <c r="F1082" s="620" t="str">
        <f>'refer admin discharge'!H1078</f>
        <v>00/00/0000</v>
      </c>
      <c r="G1082" s="351"/>
      <c r="H1082" s="615"/>
      <c r="I1082" s="351"/>
      <c r="J1082" s="621"/>
      <c r="K1082" s="351"/>
      <c r="L1082" s="615"/>
      <c r="M1082" s="351"/>
      <c r="N1082" s="610"/>
      <c r="O1082" s="351"/>
      <c r="P1082" s="615"/>
      <c r="Q1082" s="351"/>
      <c r="R1082" s="610"/>
      <c r="S1082" s="351"/>
      <c r="T1082" s="615"/>
      <c r="U1082" s="351"/>
      <c r="V1082" s="613" t="str">
        <f>'refer admin discharge'!H1083</f>
        <v>00/00/0000</v>
      </c>
      <c r="W1082" s="351"/>
      <c r="X1082" s="616"/>
      <c r="Y1082" s="351"/>
      <c r="Z1082" s="617"/>
      <c r="AA1082" s="351"/>
      <c r="AB1082" s="616"/>
      <c r="AC1082" s="351"/>
      <c r="AD1082" s="607"/>
      <c r="AE1082" s="351"/>
      <c r="AF1082" s="616"/>
      <c r="AG1082" s="351"/>
      <c r="AH1082" s="607"/>
      <c r="AI1082" s="351"/>
      <c r="AJ1082" s="616"/>
      <c r="AK1082" s="351"/>
      <c r="AL1082" s="622"/>
      <c r="AM1082" s="350"/>
      <c r="AN1082" s="350"/>
      <c r="AO1082" s="350"/>
      <c r="AP1082" s="350"/>
      <c r="AQ1082" s="350"/>
      <c r="AR1082" s="350"/>
      <c r="AS1082" s="350"/>
      <c r="AT1082" s="350"/>
      <c r="AU1082" s="350"/>
      <c r="AV1082" s="350"/>
      <c r="AW1082" s="350"/>
      <c r="AX1082" s="350"/>
      <c r="AY1082" s="350"/>
      <c r="AZ1082" s="350"/>
      <c r="BA1082" s="350"/>
      <c r="BB1082" s="351"/>
    </row>
    <row r="1083" spans="1:54" ht="15.75" customHeight="1">
      <c r="A1083" s="25">
        <f t="shared" si="4"/>
        <v>1070</v>
      </c>
      <c r="B1083" s="599" t="str">
        <f>'refer admin discharge'!B1079</f>
        <v>x</v>
      </c>
      <c r="C1083" s="351"/>
      <c r="D1083" s="600" t="str">
        <f>'refer admin discharge'!D1079</f>
        <v>xx</v>
      </c>
      <c r="E1083" s="351"/>
      <c r="F1083" s="609" t="str">
        <f>'refer admin discharge'!H1079</f>
        <v>00/00/0000</v>
      </c>
      <c r="G1083" s="351"/>
      <c r="H1083" s="610"/>
      <c r="I1083" s="351"/>
      <c r="J1083" s="611"/>
      <c r="K1083" s="351"/>
      <c r="L1083" s="610"/>
      <c r="M1083" s="351"/>
      <c r="N1083" s="612"/>
      <c r="O1083" s="351"/>
      <c r="P1083" s="610"/>
      <c r="Q1083" s="351"/>
      <c r="R1083" s="612"/>
      <c r="S1083" s="351"/>
      <c r="T1083" s="610"/>
      <c r="U1083" s="351"/>
      <c r="V1083" s="613" t="str">
        <f>'refer admin discharge'!H1084</f>
        <v>00/00/0000</v>
      </c>
      <c r="W1083" s="351"/>
      <c r="X1083" s="607"/>
      <c r="Y1083" s="351"/>
      <c r="Z1083" s="614"/>
      <c r="AA1083" s="351"/>
      <c r="AB1083" s="607"/>
      <c r="AC1083" s="351"/>
      <c r="AD1083" s="606"/>
      <c r="AE1083" s="351"/>
      <c r="AF1083" s="607"/>
      <c r="AG1083" s="351"/>
      <c r="AH1083" s="606"/>
      <c r="AI1083" s="351"/>
      <c r="AJ1083" s="607"/>
      <c r="AK1083" s="351"/>
      <c r="AL1083" s="608"/>
      <c r="AM1083" s="350"/>
      <c r="AN1083" s="350"/>
      <c r="AO1083" s="350"/>
      <c r="AP1083" s="350"/>
      <c r="AQ1083" s="350"/>
      <c r="AR1083" s="350"/>
      <c r="AS1083" s="350"/>
      <c r="AT1083" s="350"/>
      <c r="AU1083" s="350"/>
      <c r="AV1083" s="350"/>
      <c r="AW1083" s="350"/>
      <c r="AX1083" s="350"/>
      <c r="AY1083" s="350"/>
      <c r="AZ1083" s="350"/>
      <c r="BA1083" s="350"/>
      <c r="BB1083" s="351"/>
    </row>
    <row r="1084" spans="1:54" ht="15.75" customHeight="1">
      <c r="A1084" s="25">
        <f t="shared" si="4"/>
        <v>1071</v>
      </c>
      <c r="B1084" s="618" t="str">
        <f>'refer admin discharge'!B1080</f>
        <v>x</v>
      </c>
      <c r="C1084" s="351"/>
      <c r="D1084" s="619" t="str">
        <f>'refer admin discharge'!D1080</f>
        <v>xx</v>
      </c>
      <c r="E1084" s="351"/>
      <c r="F1084" s="620" t="str">
        <f>'refer admin discharge'!H1080</f>
        <v>00/00/0000</v>
      </c>
      <c r="G1084" s="351"/>
      <c r="H1084" s="615"/>
      <c r="I1084" s="351"/>
      <c r="J1084" s="621"/>
      <c r="K1084" s="351"/>
      <c r="L1084" s="615"/>
      <c r="M1084" s="351"/>
      <c r="N1084" s="610"/>
      <c r="O1084" s="351"/>
      <c r="P1084" s="615"/>
      <c r="Q1084" s="351"/>
      <c r="R1084" s="610"/>
      <c r="S1084" s="351"/>
      <c r="T1084" s="615"/>
      <c r="U1084" s="351"/>
      <c r="V1084" s="613" t="str">
        <f>'refer admin discharge'!H1085</f>
        <v>00/00/0000</v>
      </c>
      <c r="W1084" s="351"/>
      <c r="X1084" s="616"/>
      <c r="Y1084" s="351"/>
      <c r="Z1084" s="617"/>
      <c r="AA1084" s="351"/>
      <c r="AB1084" s="616"/>
      <c r="AC1084" s="351"/>
      <c r="AD1084" s="607"/>
      <c r="AE1084" s="351"/>
      <c r="AF1084" s="616"/>
      <c r="AG1084" s="351"/>
      <c r="AH1084" s="607"/>
      <c r="AI1084" s="351"/>
      <c r="AJ1084" s="616"/>
      <c r="AK1084" s="351"/>
      <c r="AL1084" s="622"/>
      <c r="AM1084" s="350"/>
      <c r="AN1084" s="350"/>
      <c r="AO1084" s="350"/>
      <c r="AP1084" s="350"/>
      <c r="AQ1084" s="350"/>
      <c r="AR1084" s="350"/>
      <c r="AS1084" s="350"/>
      <c r="AT1084" s="350"/>
      <c r="AU1084" s="350"/>
      <c r="AV1084" s="350"/>
      <c r="AW1084" s="350"/>
      <c r="AX1084" s="350"/>
      <c r="AY1084" s="350"/>
      <c r="AZ1084" s="350"/>
      <c r="BA1084" s="350"/>
      <c r="BB1084" s="351"/>
    </row>
    <row r="1085" spans="1:54" ht="15.75" customHeight="1">
      <c r="A1085" s="25">
        <f t="shared" si="4"/>
        <v>1072</v>
      </c>
      <c r="B1085" s="599" t="str">
        <f>'refer admin discharge'!B1081</f>
        <v>x</v>
      </c>
      <c r="C1085" s="351"/>
      <c r="D1085" s="600" t="str">
        <f>'refer admin discharge'!D1081</f>
        <v>xx</v>
      </c>
      <c r="E1085" s="351"/>
      <c r="F1085" s="609" t="str">
        <f>'refer admin discharge'!H1081</f>
        <v>00/00/0000</v>
      </c>
      <c r="G1085" s="351"/>
      <c r="H1085" s="610"/>
      <c r="I1085" s="351"/>
      <c r="J1085" s="611"/>
      <c r="K1085" s="351"/>
      <c r="L1085" s="610"/>
      <c r="M1085" s="351"/>
      <c r="N1085" s="612"/>
      <c r="O1085" s="351"/>
      <c r="P1085" s="610"/>
      <c r="Q1085" s="351"/>
      <c r="R1085" s="612"/>
      <c r="S1085" s="351"/>
      <c r="T1085" s="610"/>
      <c r="U1085" s="351"/>
      <c r="V1085" s="613" t="str">
        <f>'refer admin discharge'!H1086</f>
        <v>00/00/0000</v>
      </c>
      <c r="W1085" s="351"/>
      <c r="X1085" s="607"/>
      <c r="Y1085" s="351"/>
      <c r="Z1085" s="614"/>
      <c r="AA1085" s="351"/>
      <c r="AB1085" s="607"/>
      <c r="AC1085" s="351"/>
      <c r="AD1085" s="606"/>
      <c r="AE1085" s="351"/>
      <c r="AF1085" s="607"/>
      <c r="AG1085" s="351"/>
      <c r="AH1085" s="606"/>
      <c r="AI1085" s="351"/>
      <c r="AJ1085" s="607"/>
      <c r="AK1085" s="351"/>
      <c r="AL1085" s="608"/>
      <c r="AM1085" s="350"/>
      <c r="AN1085" s="350"/>
      <c r="AO1085" s="350"/>
      <c r="AP1085" s="350"/>
      <c r="AQ1085" s="350"/>
      <c r="AR1085" s="350"/>
      <c r="AS1085" s="350"/>
      <c r="AT1085" s="350"/>
      <c r="AU1085" s="350"/>
      <c r="AV1085" s="350"/>
      <c r="AW1085" s="350"/>
      <c r="AX1085" s="350"/>
      <c r="AY1085" s="350"/>
      <c r="AZ1085" s="350"/>
      <c r="BA1085" s="350"/>
      <c r="BB1085" s="351"/>
    </row>
    <row r="1086" spans="1:54" ht="15.75" customHeight="1">
      <c r="A1086" s="25">
        <f t="shared" si="4"/>
        <v>1073</v>
      </c>
      <c r="B1086" s="618" t="str">
        <f>'refer admin discharge'!B1082</f>
        <v>x</v>
      </c>
      <c r="C1086" s="351"/>
      <c r="D1086" s="619" t="str">
        <f>'refer admin discharge'!D1082</f>
        <v>xx</v>
      </c>
      <c r="E1086" s="351"/>
      <c r="F1086" s="620" t="str">
        <f>'refer admin discharge'!H1082</f>
        <v>00/00/0000</v>
      </c>
      <c r="G1086" s="351"/>
      <c r="H1086" s="615"/>
      <c r="I1086" s="351"/>
      <c r="J1086" s="621"/>
      <c r="K1086" s="351"/>
      <c r="L1086" s="615"/>
      <c r="M1086" s="351"/>
      <c r="N1086" s="610"/>
      <c r="O1086" s="351"/>
      <c r="P1086" s="615"/>
      <c r="Q1086" s="351"/>
      <c r="R1086" s="610"/>
      <c r="S1086" s="351"/>
      <c r="T1086" s="615"/>
      <c r="U1086" s="351"/>
      <c r="V1086" s="613" t="str">
        <f>'refer admin discharge'!H1087</f>
        <v>00/00/0000</v>
      </c>
      <c r="W1086" s="351"/>
      <c r="X1086" s="616"/>
      <c r="Y1086" s="351"/>
      <c r="Z1086" s="617"/>
      <c r="AA1086" s="351"/>
      <c r="AB1086" s="616"/>
      <c r="AC1086" s="351"/>
      <c r="AD1086" s="607"/>
      <c r="AE1086" s="351"/>
      <c r="AF1086" s="616"/>
      <c r="AG1086" s="351"/>
      <c r="AH1086" s="607"/>
      <c r="AI1086" s="351"/>
      <c r="AJ1086" s="616"/>
      <c r="AK1086" s="351"/>
      <c r="AL1086" s="622"/>
      <c r="AM1086" s="350"/>
      <c r="AN1086" s="350"/>
      <c r="AO1086" s="350"/>
      <c r="AP1086" s="350"/>
      <c r="AQ1086" s="350"/>
      <c r="AR1086" s="350"/>
      <c r="AS1086" s="350"/>
      <c r="AT1086" s="350"/>
      <c r="AU1086" s="350"/>
      <c r="AV1086" s="350"/>
      <c r="AW1086" s="350"/>
      <c r="AX1086" s="350"/>
      <c r="AY1086" s="350"/>
      <c r="AZ1086" s="350"/>
      <c r="BA1086" s="350"/>
      <c r="BB1086" s="351"/>
    </row>
    <row r="1087" spans="1:54" ht="15.75" customHeight="1">
      <c r="A1087" s="25">
        <f t="shared" si="4"/>
        <v>1074</v>
      </c>
      <c r="B1087" s="599" t="str">
        <f>'refer admin discharge'!B1083</f>
        <v>x</v>
      </c>
      <c r="C1087" s="351"/>
      <c r="D1087" s="600" t="str">
        <f>'refer admin discharge'!D1083</f>
        <v>xx</v>
      </c>
      <c r="E1087" s="351"/>
      <c r="F1087" s="609" t="str">
        <f>'refer admin discharge'!H1083</f>
        <v>00/00/0000</v>
      </c>
      <c r="G1087" s="351"/>
      <c r="H1087" s="610"/>
      <c r="I1087" s="351"/>
      <c r="J1087" s="611"/>
      <c r="K1087" s="351"/>
      <c r="L1087" s="610"/>
      <c r="M1087" s="351"/>
      <c r="N1087" s="612"/>
      <c r="O1087" s="351"/>
      <c r="P1087" s="610"/>
      <c r="Q1087" s="351"/>
      <c r="R1087" s="612"/>
      <c r="S1087" s="351"/>
      <c r="T1087" s="610"/>
      <c r="U1087" s="351"/>
      <c r="V1087" s="613" t="str">
        <f>'refer admin discharge'!H1088</f>
        <v>00/00/0000</v>
      </c>
      <c r="W1087" s="351"/>
      <c r="X1087" s="607"/>
      <c r="Y1087" s="351"/>
      <c r="Z1087" s="614"/>
      <c r="AA1087" s="351"/>
      <c r="AB1087" s="607"/>
      <c r="AC1087" s="351"/>
      <c r="AD1087" s="606"/>
      <c r="AE1087" s="351"/>
      <c r="AF1087" s="607"/>
      <c r="AG1087" s="351"/>
      <c r="AH1087" s="606"/>
      <c r="AI1087" s="351"/>
      <c r="AJ1087" s="607"/>
      <c r="AK1087" s="351"/>
      <c r="AL1087" s="608"/>
      <c r="AM1087" s="350"/>
      <c r="AN1087" s="350"/>
      <c r="AO1087" s="350"/>
      <c r="AP1087" s="350"/>
      <c r="AQ1087" s="350"/>
      <c r="AR1087" s="350"/>
      <c r="AS1087" s="350"/>
      <c r="AT1087" s="350"/>
      <c r="AU1087" s="350"/>
      <c r="AV1087" s="350"/>
      <c r="AW1087" s="350"/>
      <c r="AX1087" s="350"/>
      <c r="AY1087" s="350"/>
      <c r="AZ1087" s="350"/>
      <c r="BA1087" s="350"/>
      <c r="BB1087" s="351"/>
    </row>
    <row r="1088" spans="1:54" ht="15.75" customHeight="1">
      <c r="A1088" s="25">
        <f t="shared" si="4"/>
        <v>1075</v>
      </c>
      <c r="B1088" s="618" t="str">
        <f>'refer admin discharge'!B1084</f>
        <v>x</v>
      </c>
      <c r="C1088" s="351"/>
      <c r="D1088" s="619" t="str">
        <f>'refer admin discharge'!D1084</f>
        <v>xx</v>
      </c>
      <c r="E1088" s="351"/>
      <c r="F1088" s="620" t="str">
        <f>'refer admin discharge'!H1084</f>
        <v>00/00/0000</v>
      </c>
      <c r="G1088" s="351"/>
      <c r="H1088" s="615"/>
      <c r="I1088" s="351"/>
      <c r="J1088" s="621"/>
      <c r="K1088" s="351"/>
      <c r="L1088" s="615"/>
      <c r="M1088" s="351"/>
      <c r="N1088" s="610"/>
      <c r="O1088" s="351"/>
      <c r="P1088" s="615"/>
      <c r="Q1088" s="351"/>
      <c r="R1088" s="610"/>
      <c r="S1088" s="351"/>
      <c r="T1088" s="615"/>
      <c r="U1088" s="351"/>
      <c r="V1088" s="613" t="str">
        <f>'refer admin discharge'!H1089</f>
        <v>00/00/0000</v>
      </c>
      <c r="W1088" s="351"/>
      <c r="X1088" s="616"/>
      <c r="Y1088" s="351"/>
      <c r="Z1088" s="617"/>
      <c r="AA1088" s="351"/>
      <c r="AB1088" s="616"/>
      <c r="AC1088" s="351"/>
      <c r="AD1088" s="607"/>
      <c r="AE1088" s="351"/>
      <c r="AF1088" s="616"/>
      <c r="AG1088" s="351"/>
      <c r="AH1088" s="607"/>
      <c r="AI1088" s="351"/>
      <c r="AJ1088" s="616"/>
      <c r="AK1088" s="351"/>
      <c r="AL1088" s="622"/>
      <c r="AM1088" s="350"/>
      <c r="AN1088" s="350"/>
      <c r="AO1088" s="350"/>
      <c r="AP1088" s="350"/>
      <c r="AQ1088" s="350"/>
      <c r="AR1088" s="350"/>
      <c r="AS1088" s="350"/>
      <c r="AT1088" s="350"/>
      <c r="AU1088" s="350"/>
      <c r="AV1088" s="350"/>
      <c r="AW1088" s="350"/>
      <c r="AX1088" s="350"/>
      <c r="AY1088" s="350"/>
      <c r="AZ1088" s="350"/>
      <c r="BA1088" s="350"/>
      <c r="BB1088" s="351"/>
    </row>
    <row r="1089" spans="1:54" ht="15.75" customHeight="1">
      <c r="A1089" s="25">
        <f t="shared" si="4"/>
        <v>1076</v>
      </c>
      <c r="B1089" s="599" t="str">
        <f>'refer admin discharge'!B1085</f>
        <v>x</v>
      </c>
      <c r="C1089" s="351"/>
      <c r="D1089" s="600" t="str">
        <f>'refer admin discharge'!D1085</f>
        <v>xx</v>
      </c>
      <c r="E1089" s="351"/>
      <c r="F1089" s="609" t="str">
        <f>'refer admin discharge'!H1085</f>
        <v>00/00/0000</v>
      </c>
      <c r="G1089" s="351"/>
      <c r="H1089" s="610"/>
      <c r="I1089" s="351"/>
      <c r="J1089" s="611"/>
      <c r="K1089" s="351"/>
      <c r="L1089" s="610"/>
      <c r="M1089" s="351"/>
      <c r="N1089" s="612"/>
      <c r="O1089" s="351"/>
      <c r="P1089" s="610"/>
      <c r="Q1089" s="351"/>
      <c r="R1089" s="612"/>
      <c r="S1089" s="351"/>
      <c r="T1089" s="610"/>
      <c r="U1089" s="351"/>
      <c r="V1089" s="613" t="str">
        <f>'refer admin discharge'!H1090</f>
        <v>00/00/0000</v>
      </c>
      <c r="W1089" s="351"/>
      <c r="X1089" s="607"/>
      <c r="Y1089" s="351"/>
      <c r="Z1089" s="614"/>
      <c r="AA1089" s="351"/>
      <c r="AB1089" s="607"/>
      <c r="AC1089" s="351"/>
      <c r="AD1089" s="606"/>
      <c r="AE1089" s="351"/>
      <c r="AF1089" s="607"/>
      <c r="AG1089" s="351"/>
      <c r="AH1089" s="606"/>
      <c r="AI1089" s="351"/>
      <c r="AJ1089" s="607"/>
      <c r="AK1089" s="351"/>
      <c r="AL1089" s="608"/>
      <c r="AM1089" s="350"/>
      <c r="AN1089" s="350"/>
      <c r="AO1089" s="350"/>
      <c r="AP1089" s="350"/>
      <c r="AQ1089" s="350"/>
      <c r="AR1089" s="350"/>
      <c r="AS1089" s="350"/>
      <c r="AT1089" s="350"/>
      <c r="AU1089" s="350"/>
      <c r="AV1089" s="350"/>
      <c r="AW1089" s="350"/>
      <c r="AX1089" s="350"/>
      <c r="AY1089" s="350"/>
      <c r="AZ1089" s="350"/>
      <c r="BA1089" s="350"/>
      <c r="BB1089" s="351"/>
    </row>
    <row r="1090" spans="1:54" ht="15.75" customHeight="1">
      <c r="A1090" s="25">
        <f t="shared" si="4"/>
        <v>1077</v>
      </c>
      <c r="B1090" s="618" t="str">
        <f>'refer admin discharge'!B1086</f>
        <v>x</v>
      </c>
      <c r="C1090" s="351"/>
      <c r="D1090" s="619" t="str">
        <f>'refer admin discharge'!D1086</f>
        <v>xx</v>
      </c>
      <c r="E1090" s="351"/>
      <c r="F1090" s="620" t="str">
        <f>'refer admin discharge'!H1086</f>
        <v>00/00/0000</v>
      </c>
      <c r="G1090" s="351"/>
      <c r="H1090" s="615"/>
      <c r="I1090" s="351"/>
      <c r="J1090" s="621"/>
      <c r="K1090" s="351"/>
      <c r="L1090" s="615"/>
      <c r="M1090" s="351"/>
      <c r="N1090" s="610"/>
      <c r="O1090" s="351"/>
      <c r="P1090" s="615"/>
      <c r="Q1090" s="351"/>
      <c r="R1090" s="610"/>
      <c r="S1090" s="351"/>
      <c r="T1090" s="615"/>
      <c r="U1090" s="351"/>
      <c r="V1090" s="613" t="str">
        <f>'refer admin discharge'!H1091</f>
        <v>00/00/0000</v>
      </c>
      <c r="W1090" s="351"/>
      <c r="X1090" s="616"/>
      <c r="Y1090" s="351"/>
      <c r="Z1090" s="617"/>
      <c r="AA1090" s="351"/>
      <c r="AB1090" s="616"/>
      <c r="AC1090" s="351"/>
      <c r="AD1090" s="607"/>
      <c r="AE1090" s="351"/>
      <c r="AF1090" s="616"/>
      <c r="AG1090" s="351"/>
      <c r="AH1090" s="607"/>
      <c r="AI1090" s="351"/>
      <c r="AJ1090" s="616"/>
      <c r="AK1090" s="351"/>
      <c r="AL1090" s="622"/>
      <c r="AM1090" s="350"/>
      <c r="AN1090" s="350"/>
      <c r="AO1090" s="350"/>
      <c r="AP1090" s="350"/>
      <c r="AQ1090" s="350"/>
      <c r="AR1090" s="350"/>
      <c r="AS1090" s="350"/>
      <c r="AT1090" s="350"/>
      <c r="AU1090" s="350"/>
      <c r="AV1090" s="350"/>
      <c r="AW1090" s="350"/>
      <c r="AX1090" s="350"/>
      <c r="AY1090" s="350"/>
      <c r="AZ1090" s="350"/>
      <c r="BA1090" s="350"/>
      <c r="BB1090" s="351"/>
    </row>
    <row r="1091" spans="1:54" ht="15.75" customHeight="1">
      <c r="A1091" s="25">
        <f t="shared" si="4"/>
        <v>1078</v>
      </c>
      <c r="B1091" s="599" t="str">
        <f>'refer admin discharge'!B1087</f>
        <v>x</v>
      </c>
      <c r="C1091" s="351"/>
      <c r="D1091" s="600" t="str">
        <f>'refer admin discharge'!D1087</f>
        <v>xx</v>
      </c>
      <c r="E1091" s="351"/>
      <c r="F1091" s="609" t="str">
        <f>'refer admin discharge'!H1087</f>
        <v>00/00/0000</v>
      </c>
      <c r="G1091" s="351"/>
      <c r="H1091" s="610"/>
      <c r="I1091" s="351"/>
      <c r="J1091" s="611"/>
      <c r="K1091" s="351"/>
      <c r="L1091" s="610"/>
      <c r="M1091" s="351"/>
      <c r="N1091" s="612"/>
      <c r="O1091" s="351"/>
      <c r="P1091" s="610"/>
      <c r="Q1091" s="351"/>
      <c r="R1091" s="612"/>
      <c r="S1091" s="351"/>
      <c r="T1091" s="610"/>
      <c r="U1091" s="351"/>
      <c r="V1091" s="613" t="str">
        <f>'refer admin discharge'!H1092</f>
        <v>00/00/0000</v>
      </c>
      <c r="W1091" s="351"/>
      <c r="X1091" s="607"/>
      <c r="Y1091" s="351"/>
      <c r="Z1091" s="614"/>
      <c r="AA1091" s="351"/>
      <c r="AB1091" s="607"/>
      <c r="AC1091" s="351"/>
      <c r="AD1091" s="606"/>
      <c r="AE1091" s="351"/>
      <c r="AF1091" s="607"/>
      <c r="AG1091" s="351"/>
      <c r="AH1091" s="606"/>
      <c r="AI1091" s="351"/>
      <c r="AJ1091" s="607"/>
      <c r="AK1091" s="351"/>
      <c r="AL1091" s="608"/>
      <c r="AM1091" s="350"/>
      <c r="AN1091" s="350"/>
      <c r="AO1091" s="350"/>
      <c r="AP1091" s="350"/>
      <c r="AQ1091" s="350"/>
      <c r="AR1091" s="350"/>
      <c r="AS1091" s="350"/>
      <c r="AT1091" s="350"/>
      <c r="AU1091" s="350"/>
      <c r="AV1091" s="350"/>
      <c r="AW1091" s="350"/>
      <c r="AX1091" s="350"/>
      <c r="AY1091" s="350"/>
      <c r="AZ1091" s="350"/>
      <c r="BA1091" s="350"/>
      <c r="BB1091" s="351"/>
    </row>
    <row r="1092" spans="1:54" ht="15.75" customHeight="1">
      <c r="A1092" s="25">
        <f t="shared" si="4"/>
        <v>1079</v>
      </c>
      <c r="B1092" s="618" t="str">
        <f>'refer admin discharge'!B1088</f>
        <v>x</v>
      </c>
      <c r="C1092" s="351"/>
      <c r="D1092" s="619" t="str">
        <f>'refer admin discharge'!D1088</f>
        <v>xx</v>
      </c>
      <c r="E1092" s="351"/>
      <c r="F1092" s="620" t="str">
        <f>'refer admin discharge'!H1088</f>
        <v>00/00/0000</v>
      </c>
      <c r="G1092" s="351"/>
      <c r="H1092" s="615"/>
      <c r="I1092" s="351"/>
      <c r="J1092" s="621"/>
      <c r="K1092" s="351"/>
      <c r="L1092" s="615"/>
      <c r="M1092" s="351"/>
      <c r="N1092" s="610"/>
      <c r="O1092" s="351"/>
      <c r="P1092" s="615"/>
      <c r="Q1092" s="351"/>
      <c r="R1092" s="610"/>
      <c r="S1092" s="351"/>
      <c r="T1092" s="615"/>
      <c r="U1092" s="351"/>
      <c r="V1092" s="613" t="str">
        <f>'refer admin discharge'!H1093</f>
        <v>00/00/0000</v>
      </c>
      <c r="W1092" s="351"/>
      <c r="X1092" s="616"/>
      <c r="Y1092" s="351"/>
      <c r="Z1092" s="617"/>
      <c r="AA1092" s="351"/>
      <c r="AB1092" s="616"/>
      <c r="AC1092" s="351"/>
      <c r="AD1092" s="607"/>
      <c r="AE1092" s="351"/>
      <c r="AF1092" s="616"/>
      <c r="AG1092" s="351"/>
      <c r="AH1092" s="607"/>
      <c r="AI1092" s="351"/>
      <c r="AJ1092" s="616"/>
      <c r="AK1092" s="351"/>
      <c r="AL1092" s="622"/>
      <c r="AM1092" s="350"/>
      <c r="AN1092" s="350"/>
      <c r="AO1092" s="350"/>
      <c r="AP1092" s="350"/>
      <c r="AQ1092" s="350"/>
      <c r="AR1092" s="350"/>
      <c r="AS1092" s="350"/>
      <c r="AT1092" s="350"/>
      <c r="AU1092" s="350"/>
      <c r="AV1092" s="350"/>
      <c r="AW1092" s="350"/>
      <c r="AX1092" s="350"/>
      <c r="AY1092" s="350"/>
      <c r="AZ1092" s="350"/>
      <c r="BA1092" s="350"/>
      <c r="BB1092" s="351"/>
    </row>
    <row r="1093" spans="1:54" ht="15.75" customHeight="1">
      <c r="A1093" s="25">
        <f t="shared" si="4"/>
        <v>1080</v>
      </c>
      <c r="B1093" s="599" t="str">
        <f>'refer admin discharge'!B1089</f>
        <v>x</v>
      </c>
      <c r="C1093" s="351"/>
      <c r="D1093" s="600" t="str">
        <f>'refer admin discharge'!D1089</f>
        <v>xx</v>
      </c>
      <c r="E1093" s="351"/>
      <c r="F1093" s="609" t="str">
        <f>'refer admin discharge'!H1089</f>
        <v>00/00/0000</v>
      </c>
      <c r="G1093" s="351"/>
      <c r="H1093" s="610"/>
      <c r="I1093" s="351"/>
      <c r="J1093" s="611"/>
      <c r="K1093" s="351"/>
      <c r="L1093" s="610"/>
      <c r="M1093" s="351"/>
      <c r="N1093" s="612"/>
      <c r="O1093" s="351"/>
      <c r="P1093" s="610"/>
      <c r="Q1093" s="351"/>
      <c r="R1093" s="612"/>
      <c r="S1093" s="351"/>
      <c r="T1093" s="610"/>
      <c r="U1093" s="351"/>
      <c r="V1093" s="613" t="str">
        <f>'refer admin discharge'!H1094</f>
        <v>00/00/0000</v>
      </c>
      <c r="W1093" s="351"/>
      <c r="X1093" s="607"/>
      <c r="Y1093" s="351"/>
      <c r="Z1093" s="614"/>
      <c r="AA1093" s="351"/>
      <c r="AB1093" s="607"/>
      <c r="AC1093" s="351"/>
      <c r="AD1093" s="606"/>
      <c r="AE1093" s="351"/>
      <c r="AF1093" s="607"/>
      <c r="AG1093" s="351"/>
      <c r="AH1093" s="606"/>
      <c r="AI1093" s="351"/>
      <c r="AJ1093" s="607"/>
      <c r="AK1093" s="351"/>
      <c r="AL1093" s="608"/>
      <c r="AM1093" s="350"/>
      <c r="AN1093" s="350"/>
      <c r="AO1093" s="350"/>
      <c r="AP1093" s="350"/>
      <c r="AQ1093" s="350"/>
      <c r="AR1093" s="350"/>
      <c r="AS1093" s="350"/>
      <c r="AT1093" s="350"/>
      <c r="AU1093" s="350"/>
      <c r="AV1093" s="350"/>
      <c r="AW1093" s="350"/>
      <c r="AX1093" s="350"/>
      <c r="AY1093" s="350"/>
      <c r="AZ1093" s="350"/>
      <c r="BA1093" s="350"/>
      <c r="BB1093" s="351"/>
    </row>
    <row r="1094" spans="1:54" ht="15.75" customHeight="1">
      <c r="A1094" s="25">
        <f t="shared" si="4"/>
        <v>1081</v>
      </c>
      <c r="B1094" s="618" t="str">
        <f>'refer admin discharge'!B1090</f>
        <v>x</v>
      </c>
      <c r="C1094" s="351"/>
      <c r="D1094" s="619" t="str">
        <f>'refer admin discharge'!D1090</f>
        <v>xx</v>
      </c>
      <c r="E1094" s="351"/>
      <c r="F1094" s="620" t="str">
        <f>'refer admin discharge'!H1090</f>
        <v>00/00/0000</v>
      </c>
      <c r="G1094" s="351"/>
      <c r="H1094" s="615"/>
      <c r="I1094" s="351"/>
      <c r="J1094" s="621"/>
      <c r="K1094" s="351"/>
      <c r="L1094" s="615"/>
      <c r="M1094" s="351"/>
      <c r="N1094" s="610"/>
      <c r="O1094" s="351"/>
      <c r="P1094" s="615"/>
      <c r="Q1094" s="351"/>
      <c r="R1094" s="610"/>
      <c r="S1094" s="351"/>
      <c r="T1094" s="615"/>
      <c r="U1094" s="351"/>
      <c r="V1094" s="613" t="str">
        <f>'refer admin discharge'!H1095</f>
        <v>00/00/0000</v>
      </c>
      <c r="W1094" s="351"/>
      <c r="X1094" s="616"/>
      <c r="Y1094" s="351"/>
      <c r="Z1094" s="617"/>
      <c r="AA1094" s="351"/>
      <c r="AB1094" s="616"/>
      <c r="AC1094" s="351"/>
      <c r="AD1094" s="607"/>
      <c r="AE1094" s="351"/>
      <c r="AF1094" s="616"/>
      <c r="AG1094" s="351"/>
      <c r="AH1094" s="607"/>
      <c r="AI1094" s="351"/>
      <c r="AJ1094" s="616"/>
      <c r="AK1094" s="351"/>
      <c r="AL1094" s="622"/>
      <c r="AM1094" s="350"/>
      <c r="AN1094" s="350"/>
      <c r="AO1094" s="350"/>
      <c r="AP1094" s="350"/>
      <c r="AQ1094" s="350"/>
      <c r="AR1094" s="350"/>
      <c r="AS1094" s="350"/>
      <c r="AT1094" s="350"/>
      <c r="AU1094" s="350"/>
      <c r="AV1094" s="350"/>
      <c r="AW1094" s="350"/>
      <c r="AX1094" s="350"/>
      <c r="AY1094" s="350"/>
      <c r="AZ1094" s="350"/>
      <c r="BA1094" s="350"/>
      <c r="BB1094" s="351"/>
    </row>
    <row r="1095" spans="1:54" ht="15.75" customHeight="1">
      <c r="A1095" s="25">
        <f t="shared" si="4"/>
        <v>1082</v>
      </c>
      <c r="B1095" s="599" t="str">
        <f>'refer admin discharge'!B1091</f>
        <v>x</v>
      </c>
      <c r="C1095" s="351"/>
      <c r="D1095" s="600" t="str">
        <f>'refer admin discharge'!D1091</f>
        <v>xx</v>
      </c>
      <c r="E1095" s="351"/>
      <c r="F1095" s="609" t="str">
        <f>'refer admin discharge'!H1091</f>
        <v>00/00/0000</v>
      </c>
      <c r="G1095" s="351"/>
      <c r="H1095" s="610"/>
      <c r="I1095" s="351"/>
      <c r="J1095" s="611"/>
      <c r="K1095" s="351"/>
      <c r="L1095" s="610"/>
      <c r="M1095" s="351"/>
      <c r="N1095" s="612"/>
      <c r="O1095" s="351"/>
      <c r="P1095" s="610"/>
      <c r="Q1095" s="351"/>
      <c r="R1095" s="612"/>
      <c r="S1095" s="351"/>
      <c r="T1095" s="610"/>
      <c r="U1095" s="351"/>
      <c r="V1095" s="613" t="str">
        <f>'refer admin discharge'!H1096</f>
        <v>00/00/0000</v>
      </c>
      <c r="W1095" s="351"/>
      <c r="X1095" s="607"/>
      <c r="Y1095" s="351"/>
      <c r="Z1095" s="614"/>
      <c r="AA1095" s="351"/>
      <c r="AB1095" s="607"/>
      <c r="AC1095" s="351"/>
      <c r="AD1095" s="606"/>
      <c r="AE1095" s="351"/>
      <c r="AF1095" s="607"/>
      <c r="AG1095" s="351"/>
      <c r="AH1095" s="606"/>
      <c r="AI1095" s="351"/>
      <c r="AJ1095" s="607"/>
      <c r="AK1095" s="351"/>
      <c r="AL1095" s="608"/>
      <c r="AM1095" s="350"/>
      <c r="AN1095" s="350"/>
      <c r="AO1095" s="350"/>
      <c r="AP1095" s="350"/>
      <c r="AQ1095" s="350"/>
      <c r="AR1095" s="350"/>
      <c r="AS1095" s="350"/>
      <c r="AT1095" s="350"/>
      <c r="AU1095" s="350"/>
      <c r="AV1095" s="350"/>
      <c r="AW1095" s="350"/>
      <c r="AX1095" s="350"/>
      <c r="AY1095" s="350"/>
      <c r="AZ1095" s="350"/>
      <c r="BA1095" s="350"/>
      <c r="BB1095" s="351"/>
    </row>
    <row r="1096" spans="1:54" ht="15.75" customHeight="1">
      <c r="A1096" s="25">
        <f t="shared" si="4"/>
        <v>1083</v>
      </c>
      <c r="B1096" s="618" t="str">
        <f>'refer admin discharge'!B1092</f>
        <v>x</v>
      </c>
      <c r="C1096" s="351"/>
      <c r="D1096" s="619" t="str">
        <f>'refer admin discharge'!D1092</f>
        <v>xx</v>
      </c>
      <c r="E1096" s="351"/>
      <c r="F1096" s="620" t="str">
        <f>'refer admin discharge'!H1092</f>
        <v>00/00/0000</v>
      </c>
      <c r="G1096" s="351"/>
      <c r="H1096" s="615"/>
      <c r="I1096" s="351"/>
      <c r="J1096" s="621"/>
      <c r="K1096" s="351"/>
      <c r="L1096" s="615"/>
      <c r="M1096" s="351"/>
      <c r="N1096" s="610"/>
      <c r="O1096" s="351"/>
      <c r="P1096" s="615"/>
      <c r="Q1096" s="351"/>
      <c r="R1096" s="610"/>
      <c r="S1096" s="351"/>
      <c r="T1096" s="615"/>
      <c r="U1096" s="351"/>
      <c r="V1096" s="613" t="str">
        <f>'refer admin discharge'!H1097</f>
        <v>00/00/0000</v>
      </c>
      <c r="W1096" s="351"/>
      <c r="X1096" s="616"/>
      <c r="Y1096" s="351"/>
      <c r="Z1096" s="617"/>
      <c r="AA1096" s="351"/>
      <c r="AB1096" s="616"/>
      <c r="AC1096" s="351"/>
      <c r="AD1096" s="607"/>
      <c r="AE1096" s="351"/>
      <c r="AF1096" s="616"/>
      <c r="AG1096" s="351"/>
      <c r="AH1096" s="607"/>
      <c r="AI1096" s="351"/>
      <c r="AJ1096" s="616"/>
      <c r="AK1096" s="351"/>
      <c r="AL1096" s="622"/>
      <c r="AM1096" s="350"/>
      <c r="AN1096" s="350"/>
      <c r="AO1096" s="350"/>
      <c r="AP1096" s="350"/>
      <c r="AQ1096" s="350"/>
      <c r="AR1096" s="350"/>
      <c r="AS1096" s="350"/>
      <c r="AT1096" s="350"/>
      <c r="AU1096" s="350"/>
      <c r="AV1096" s="350"/>
      <c r="AW1096" s="350"/>
      <c r="AX1096" s="350"/>
      <c r="AY1096" s="350"/>
      <c r="AZ1096" s="350"/>
      <c r="BA1096" s="350"/>
      <c r="BB1096" s="351"/>
    </row>
    <row r="1097" spans="1:54" ht="15.75" customHeight="1">
      <c r="A1097" s="25">
        <f t="shared" si="4"/>
        <v>1084</v>
      </c>
      <c r="B1097" s="599" t="str">
        <f>'refer admin discharge'!B1093</f>
        <v>x</v>
      </c>
      <c r="C1097" s="351"/>
      <c r="D1097" s="600" t="str">
        <f>'refer admin discharge'!D1093</f>
        <v>xx</v>
      </c>
      <c r="E1097" s="351"/>
      <c r="F1097" s="609" t="str">
        <f>'refer admin discharge'!H1093</f>
        <v>00/00/0000</v>
      </c>
      <c r="G1097" s="351"/>
      <c r="H1097" s="610"/>
      <c r="I1097" s="351"/>
      <c r="J1097" s="611"/>
      <c r="K1097" s="351"/>
      <c r="L1097" s="610"/>
      <c r="M1097" s="351"/>
      <c r="N1097" s="612"/>
      <c r="O1097" s="351"/>
      <c r="P1097" s="610"/>
      <c r="Q1097" s="351"/>
      <c r="R1097" s="612"/>
      <c r="S1097" s="351"/>
      <c r="T1097" s="610"/>
      <c r="U1097" s="351"/>
      <c r="V1097" s="613" t="str">
        <f>'refer admin discharge'!H1098</f>
        <v>00/00/0000</v>
      </c>
      <c r="W1097" s="351"/>
      <c r="X1097" s="607"/>
      <c r="Y1097" s="351"/>
      <c r="Z1097" s="614"/>
      <c r="AA1097" s="351"/>
      <c r="AB1097" s="607"/>
      <c r="AC1097" s="351"/>
      <c r="AD1097" s="606"/>
      <c r="AE1097" s="351"/>
      <c r="AF1097" s="607"/>
      <c r="AG1097" s="351"/>
      <c r="AH1097" s="606"/>
      <c r="AI1097" s="351"/>
      <c r="AJ1097" s="607"/>
      <c r="AK1097" s="351"/>
      <c r="AL1097" s="608"/>
      <c r="AM1097" s="350"/>
      <c r="AN1097" s="350"/>
      <c r="AO1097" s="350"/>
      <c r="AP1097" s="350"/>
      <c r="AQ1097" s="350"/>
      <c r="AR1097" s="350"/>
      <c r="AS1097" s="350"/>
      <c r="AT1097" s="350"/>
      <c r="AU1097" s="350"/>
      <c r="AV1097" s="350"/>
      <c r="AW1097" s="350"/>
      <c r="AX1097" s="350"/>
      <c r="AY1097" s="350"/>
      <c r="AZ1097" s="350"/>
      <c r="BA1097" s="350"/>
      <c r="BB1097" s="351"/>
    </row>
    <row r="1098" spans="1:54" ht="15.75" customHeight="1">
      <c r="A1098" s="25">
        <f t="shared" si="4"/>
        <v>1085</v>
      </c>
      <c r="B1098" s="618" t="str">
        <f>'refer admin discharge'!B1094</f>
        <v>x</v>
      </c>
      <c r="C1098" s="351"/>
      <c r="D1098" s="619" t="str">
        <f>'refer admin discharge'!D1094</f>
        <v>xx</v>
      </c>
      <c r="E1098" s="351"/>
      <c r="F1098" s="620" t="str">
        <f>'refer admin discharge'!H1094</f>
        <v>00/00/0000</v>
      </c>
      <c r="G1098" s="351"/>
      <c r="H1098" s="615"/>
      <c r="I1098" s="351"/>
      <c r="J1098" s="621"/>
      <c r="K1098" s="351"/>
      <c r="L1098" s="615"/>
      <c r="M1098" s="351"/>
      <c r="N1098" s="610"/>
      <c r="O1098" s="351"/>
      <c r="P1098" s="615"/>
      <c r="Q1098" s="351"/>
      <c r="R1098" s="610"/>
      <c r="S1098" s="351"/>
      <c r="T1098" s="615"/>
      <c r="U1098" s="351"/>
      <c r="V1098" s="613" t="str">
        <f>'refer admin discharge'!H1099</f>
        <v>00/00/0000</v>
      </c>
      <c r="W1098" s="351"/>
      <c r="X1098" s="616"/>
      <c r="Y1098" s="351"/>
      <c r="Z1098" s="617"/>
      <c r="AA1098" s="351"/>
      <c r="AB1098" s="616"/>
      <c r="AC1098" s="351"/>
      <c r="AD1098" s="607"/>
      <c r="AE1098" s="351"/>
      <c r="AF1098" s="616"/>
      <c r="AG1098" s="351"/>
      <c r="AH1098" s="607"/>
      <c r="AI1098" s="351"/>
      <c r="AJ1098" s="616"/>
      <c r="AK1098" s="351"/>
      <c r="AL1098" s="622"/>
      <c r="AM1098" s="350"/>
      <c r="AN1098" s="350"/>
      <c r="AO1098" s="350"/>
      <c r="AP1098" s="350"/>
      <c r="AQ1098" s="350"/>
      <c r="AR1098" s="350"/>
      <c r="AS1098" s="350"/>
      <c r="AT1098" s="350"/>
      <c r="AU1098" s="350"/>
      <c r="AV1098" s="350"/>
      <c r="AW1098" s="350"/>
      <c r="AX1098" s="350"/>
      <c r="AY1098" s="350"/>
      <c r="AZ1098" s="350"/>
      <c r="BA1098" s="350"/>
      <c r="BB1098" s="351"/>
    </row>
    <row r="1099" spans="1:54" ht="15.75" customHeight="1">
      <c r="A1099" s="25">
        <f t="shared" si="4"/>
        <v>1086</v>
      </c>
      <c r="B1099" s="599" t="str">
        <f>'refer admin discharge'!B1095</f>
        <v>x</v>
      </c>
      <c r="C1099" s="351"/>
      <c r="D1099" s="600" t="str">
        <f>'refer admin discharge'!D1095</f>
        <v>xx</v>
      </c>
      <c r="E1099" s="351"/>
      <c r="F1099" s="609" t="str">
        <f>'refer admin discharge'!H1095</f>
        <v>00/00/0000</v>
      </c>
      <c r="G1099" s="351"/>
      <c r="H1099" s="610"/>
      <c r="I1099" s="351"/>
      <c r="J1099" s="611"/>
      <c r="K1099" s="351"/>
      <c r="L1099" s="610"/>
      <c r="M1099" s="351"/>
      <c r="N1099" s="612"/>
      <c r="O1099" s="351"/>
      <c r="P1099" s="610"/>
      <c r="Q1099" s="351"/>
      <c r="R1099" s="612"/>
      <c r="S1099" s="351"/>
      <c r="T1099" s="610"/>
      <c r="U1099" s="351"/>
      <c r="V1099" s="613" t="str">
        <f>'refer admin discharge'!H1100</f>
        <v>00/00/0000</v>
      </c>
      <c r="W1099" s="351"/>
      <c r="X1099" s="607"/>
      <c r="Y1099" s="351"/>
      <c r="Z1099" s="614"/>
      <c r="AA1099" s="351"/>
      <c r="AB1099" s="607"/>
      <c r="AC1099" s="351"/>
      <c r="AD1099" s="606"/>
      <c r="AE1099" s="351"/>
      <c r="AF1099" s="607"/>
      <c r="AG1099" s="351"/>
      <c r="AH1099" s="606"/>
      <c r="AI1099" s="351"/>
      <c r="AJ1099" s="607"/>
      <c r="AK1099" s="351"/>
      <c r="AL1099" s="608"/>
      <c r="AM1099" s="350"/>
      <c r="AN1099" s="350"/>
      <c r="AO1099" s="350"/>
      <c r="AP1099" s="350"/>
      <c r="AQ1099" s="350"/>
      <c r="AR1099" s="350"/>
      <c r="AS1099" s="350"/>
      <c r="AT1099" s="350"/>
      <c r="AU1099" s="350"/>
      <c r="AV1099" s="350"/>
      <c r="AW1099" s="350"/>
      <c r="AX1099" s="350"/>
      <c r="AY1099" s="350"/>
      <c r="AZ1099" s="350"/>
      <c r="BA1099" s="350"/>
      <c r="BB1099" s="351"/>
    </row>
    <row r="1100" spans="1:54" ht="15.75" customHeight="1">
      <c r="A1100" s="25">
        <f t="shared" si="4"/>
        <v>1087</v>
      </c>
      <c r="B1100" s="618" t="str">
        <f>'refer admin discharge'!B1096</f>
        <v>x</v>
      </c>
      <c r="C1100" s="351"/>
      <c r="D1100" s="619" t="str">
        <f>'refer admin discharge'!D1096</f>
        <v>xx</v>
      </c>
      <c r="E1100" s="351"/>
      <c r="F1100" s="620" t="str">
        <f>'refer admin discharge'!H1096</f>
        <v>00/00/0000</v>
      </c>
      <c r="G1100" s="351"/>
      <c r="H1100" s="615"/>
      <c r="I1100" s="351"/>
      <c r="J1100" s="621"/>
      <c r="K1100" s="351"/>
      <c r="L1100" s="615"/>
      <c r="M1100" s="351"/>
      <c r="N1100" s="610"/>
      <c r="O1100" s="351"/>
      <c r="P1100" s="615"/>
      <c r="Q1100" s="351"/>
      <c r="R1100" s="610"/>
      <c r="S1100" s="351"/>
      <c r="T1100" s="615"/>
      <c r="U1100" s="351"/>
      <c r="V1100" s="613" t="str">
        <f>'refer admin discharge'!H1101</f>
        <v>00/00/0000</v>
      </c>
      <c r="W1100" s="351"/>
      <c r="X1100" s="616"/>
      <c r="Y1100" s="351"/>
      <c r="Z1100" s="617"/>
      <c r="AA1100" s="351"/>
      <c r="AB1100" s="616"/>
      <c r="AC1100" s="351"/>
      <c r="AD1100" s="607"/>
      <c r="AE1100" s="351"/>
      <c r="AF1100" s="616"/>
      <c r="AG1100" s="351"/>
      <c r="AH1100" s="607"/>
      <c r="AI1100" s="351"/>
      <c r="AJ1100" s="616"/>
      <c r="AK1100" s="351"/>
      <c r="AL1100" s="622"/>
      <c r="AM1100" s="350"/>
      <c r="AN1100" s="350"/>
      <c r="AO1100" s="350"/>
      <c r="AP1100" s="350"/>
      <c r="AQ1100" s="350"/>
      <c r="AR1100" s="350"/>
      <c r="AS1100" s="350"/>
      <c r="AT1100" s="350"/>
      <c r="AU1100" s="350"/>
      <c r="AV1100" s="350"/>
      <c r="AW1100" s="350"/>
      <c r="AX1100" s="350"/>
      <c r="AY1100" s="350"/>
      <c r="AZ1100" s="350"/>
      <c r="BA1100" s="350"/>
      <c r="BB1100" s="351"/>
    </row>
    <row r="1101" spans="1:54" ht="15.75" customHeight="1">
      <c r="A1101" s="25">
        <f t="shared" si="4"/>
        <v>1088</v>
      </c>
      <c r="B1101" s="599" t="str">
        <f>'refer admin discharge'!B1097</f>
        <v>x</v>
      </c>
      <c r="C1101" s="351"/>
      <c r="D1101" s="600" t="str">
        <f>'refer admin discharge'!D1097</f>
        <v>xx</v>
      </c>
      <c r="E1101" s="351"/>
      <c r="F1101" s="609" t="str">
        <f>'refer admin discharge'!H1097</f>
        <v>00/00/0000</v>
      </c>
      <c r="G1101" s="351"/>
      <c r="H1101" s="610"/>
      <c r="I1101" s="351"/>
      <c r="J1101" s="611"/>
      <c r="K1101" s="351"/>
      <c r="L1101" s="610"/>
      <c r="M1101" s="351"/>
      <c r="N1101" s="612"/>
      <c r="O1101" s="351"/>
      <c r="P1101" s="610"/>
      <c r="Q1101" s="351"/>
      <c r="R1101" s="612"/>
      <c r="S1101" s="351"/>
      <c r="T1101" s="610"/>
      <c r="U1101" s="351"/>
      <c r="V1101" s="613" t="str">
        <f>'refer admin discharge'!H1102</f>
        <v>00/00/0000</v>
      </c>
      <c r="W1101" s="351"/>
      <c r="X1101" s="607"/>
      <c r="Y1101" s="351"/>
      <c r="Z1101" s="614"/>
      <c r="AA1101" s="351"/>
      <c r="AB1101" s="607"/>
      <c r="AC1101" s="351"/>
      <c r="AD1101" s="606"/>
      <c r="AE1101" s="351"/>
      <c r="AF1101" s="607"/>
      <c r="AG1101" s="351"/>
      <c r="AH1101" s="606"/>
      <c r="AI1101" s="351"/>
      <c r="AJ1101" s="607"/>
      <c r="AK1101" s="351"/>
      <c r="AL1101" s="608"/>
      <c r="AM1101" s="350"/>
      <c r="AN1101" s="350"/>
      <c r="AO1101" s="350"/>
      <c r="AP1101" s="350"/>
      <c r="AQ1101" s="350"/>
      <c r="AR1101" s="350"/>
      <c r="AS1101" s="350"/>
      <c r="AT1101" s="350"/>
      <c r="AU1101" s="350"/>
      <c r="AV1101" s="350"/>
      <c r="AW1101" s="350"/>
      <c r="AX1101" s="350"/>
      <c r="AY1101" s="350"/>
      <c r="AZ1101" s="350"/>
      <c r="BA1101" s="350"/>
      <c r="BB1101" s="351"/>
    </row>
    <row r="1102" spans="1:54" ht="15.75" customHeight="1">
      <c r="A1102" s="25">
        <f t="shared" si="4"/>
        <v>1089</v>
      </c>
      <c r="B1102" s="618" t="str">
        <f>'refer admin discharge'!B1098</f>
        <v>x</v>
      </c>
      <c r="C1102" s="351"/>
      <c r="D1102" s="619" t="str">
        <f>'refer admin discharge'!D1098</f>
        <v>xx</v>
      </c>
      <c r="E1102" s="351"/>
      <c r="F1102" s="620" t="str">
        <f>'refer admin discharge'!H1098</f>
        <v>00/00/0000</v>
      </c>
      <c r="G1102" s="351"/>
      <c r="H1102" s="615"/>
      <c r="I1102" s="351"/>
      <c r="J1102" s="621"/>
      <c r="K1102" s="351"/>
      <c r="L1102" s="615"/>
      <c r="M1102" s="351"/>
      <c r="N1102" s="610"/>
      <c r="O1102" s="351"/>
      <c r="P1102" s="615"/>
      <c r="Q1102" s="351"/>
      <c r="R1102" s="610"/>
      <c r="S1102" s="351"/>
      <c r="T1102" s="615"/>
      <c r="U1102" s="351"/>
      <c r="V1102" s="613" t="str">
        <f>'refer admin discharge'!H1103</f>
        <v>00/00/0000</v>
      </c>
      <c r="W1102" s="351"/>
      <c r="X1102" s="616"/>
      <c r="Y1102" s="351"/>
      <c r="Z1102" s="617"/>
      <c r="AA1102" s="351"/>
      <c r="AB1102" s="616"/>
      <c r="AC1102" s="351"/>
      <c r="AD1102" s="607"/>
      <c r="AE1102" s="351"/>
      <c r="AF1102" s="616"/>
      <c r="AG1102" s="351"/>
      <c r="AH1102" s="607"/>
      <c r="AI1102" s="351"/>
      <c r="AJ1102" s="616"/>
      <c r="AK1102" s="351"/>
      <c r="AL1102" s="622"/>
      <c r="AM1102" s="350"/>
      <c r="AN1102" s="350"/>
      <c r="AO1102" s="350"/>
      <c r="AP1102" s="350"/>
      <c r="AQ1102" s="350"/>
      <c r="AR1102" s="350"/>
      <c r="AS1102" s="350"/>
      <c r="AT1102" s="350"/>
      <c r="AU1102" s="350"/>
      <c r="AV1102" s="350"/>
      <c r="AW1102" s="350"/>
      <c r="AX1102" s="350"/>
      <c r="AY1102" s="350"/>
      <c r="AZ1102" s="350"/>
      <c r="BA1102" s="350"/>
      <c r="BB1102" s="351"/>
    </row>
    <row r="1103" spans="1:54" ht="15.75" customHeight="1">
      <c r="A1103" s="25">
        <f t="shared" si="4"/>
        <v>1090</v>
      </c>
      <c r="B1103" s="599" t="str">
        <f>'refer admin discharge'!B1099</f>
        <v>x</v>
      </c>
      <c r="C1103" s="351"/>
      <c r="D1103" s="600" t="str">
        <f>'refer admin discharge'!D1099</f>
        <v>xx</v>
      </c>
      <c r="E1103" s="351"/>
      <c r="F1103" s="609" t="str">
        <f>'refer admin discharge'!H1099</f>
        <v>00/00/0000</v>
      </c>
      <c r="G1103" s="351"/>
      <c r="H1103" s="610"/>
      <c r="I1103" s="351"/>
      <c r="J1103" s="611"/>
      <c r="K1103" s="351"/>
      <c r="L1103" s="610"/>
      <c r="M1103" s="351"/>
      <c r="N1103" s="612"/>
      <c r="O1103" s="351"/>
      <c r="P1103" s="610"/>
      <c r="Q1103" s="351"/>
      <c r="R1103" s="612"/>
      <c r="S1103" s="351"/>
      <c r="T1103" s="610"/>
      <c r="U1103" s="351"/>
      <c r="V1103" s="613" t="str">
        <f>'refer admin discharge'!H1104</f>
        <v>00/00/0000</v>
      </c>
      <c r="W1103" s="351"/>
      <c r="X1103" s="607"/>
      <c r="Y1103" s="351"/>
      <c r="Z1103" s="614"/>
      <c r="AA1103" s="351"/>
      <c r="AB1103" s="607"/>
      <c r="AC1103" s="351"/>
      <c r="AD1103" s="606"/>
      <c r="AE1103" s="351"/>
      <c r="AF1103" s="607"/>
      <c r="AG1103" s="351"/>
      <c r="AH1103" s="606"/>
      <c r="AI1103" s="351"/>
      <c r="AJ1103" s="607"/>
      <c r="AK1103" s="351"/>
      <c r="AL1103" s="608"/>
      <c r="AM1103" s="350"/>
      <c r="AN1103" s="350"/>
      <c r="AO1103" s="350"/>
      <c r="AP1103" s="350"/>
      <c r="AQ1103" s="350"/>
      <c r="AR1103" s="350"/>
      <c r="AS1103" s="350"/>
      <c r="AT1103" s="350"/>
      <c r="AU1103" s="350"/>
      <c r="AV1103" s="350"/>
      <c r="AW1103" s="350"/>
      <c r="AX1103" s="350"/>
      <c r="AY1103" s="350"/>
      <c r="AZ1103" s="350"/>
      <c r="BA1103" s="350"/>
      <c r="BB1103" s="351"/>
    </row>
    <row r="1104" spans="1:54" ht="15.75" customHeight="1">
      <c r="A1104" s="25">
        <f t="shared" si="4"/>
        <v>1091</v>
      </c>
      <c r="B1104" s="618" t="str">
        <f>'refer admin discharge'!B1100</f>
        <v>x</v>
      </c>
      <c r="C1104" s="351"/>
      <c r="D1104" s="619" t="str">
        <f>'refer admin discharge'!D1100</f>
        <v>xx</v>
      </c>
      <c r="E1104" s="351"/>
      <c r="F1104" s="620" t="str">
        <f>'refer admin discharge'!H1100</f>
        <v>00/00/0000</v>
      </c>
      <c r="G1104" s="351"/>
      <c r="H1104" s="615"/>
      <c r="I1104" s="351"/>
      <c r="J1104" s="621"/>
      <c r="K1104" s="351"/>
      <c r="L1104" s="615"/>
      <c r="M1104" s="351"/>
      <c r="N1104" s="610"/>
      <c r="O1104" s="351"/>
      <c r="P1104" s="615"/>
      <c r="Q1104" s="351"/>
      <c r="R1104" s="610"/>
      <c r="S1104" s="351"/>
      <c r="T1104" s="615"/>
      <c r="U1104" s="351"/>
      <c r="V1104" s="613" t="str">
        <f>'refer admin discharge'!H1105</f>
        <v>00/00/0000</v>
      </c>
      <c r="W1104" s="351"/>
      <c r="X1104" s="616"/>
      <c r="Y1104" s="351"/>
      <c r="Z1104" s="617"/>
      <c r="AA1104" s="351"/>
      <c r="AB1104" s="616"/>
      <c r="AC1104" s="351"/>
      <c r="AD1104" s="607"/>
      <c r="AE1104" s="351"/>
      <c r="AF1104" s="616"/>
      <c r="AG1104" s="351"/>
      <c r="AH1104" s="607"/>
      <c r="AI1104" s="351"/>
      <c r="AJ1104" s="616"/>
      <c r="AK1104" s="351"/>
      <c r="AL1104" s="622"/>
      <c r="AM1104" s="350"/>
      <c r="AN1104" s="350"/>
      <c r="AO1104" s="350"/>
      <c r="AP1104" s="350"/>
      <c r="AQ1104" s="350"/>
      <c r="AR1104" s="350"/>
      <c r="AS1104" s="350"/>
      <c r="AT1104" s="350"/>
      <c r="AU1104" s="350"/>
      <c r="AV1104" s="350"/>
      <c r="AW1104" s="350"/>
      <c r="AX1104" s="350"/>
      <c r="AY1104" s="350"/>
      <c r="AZ1104" s="350"/>
      <c r="BA1104" s="350"/>
      <c r="BB1104" s="351"/>
    </row>
    <row r="1105" spans="1:54" ht="15.75" customHeight="1">
      <c r="A1105" s="25">
        <f t="shared" si="4"/>
        <v>1092</v>
      </c>
      <c r="B1105" s="599" t="str">
        <f>'refer admin discharge'!B1101</f>
        <v>x</v>
      </c>
      <c r="C1105" s="351"/>
      <c r="D1105" s="600" t="str">
        <f>'refer admin discharge'!D1101</f>
        <v>xx</v>
      </c>
      <c r="E1105" s="351"/>
      <c r="F1105" s="609" t="str">
        <f>'refer admin discharge'!H1101</f>
        <v>00/00/0000</v>
      </c>
      <c r="G1105" s="351"/>
      <c r="H1105" s="610"/>
      <c r="I1105" s="351"/>
      <c r="J1105" s="611"/>
      <c r="K1105" s="351"/>
      <c r="L1105" s="610"/>
      <c r="M1105" s="351"/>
      <c r="N1105" s="612"/>
      <c r="O1105" s="351"/>
      <c r="P1105" s="610"/>
      <c r="Q1105" s="351"/>
      <c r="R1105" s="612"/>
      <c r="S1105" s="351"/>
      <c r="T1105" s="610"/>
      <c r="U1105" s="351"/>
      <c r="V1105" s="613" t="str">
        <f>'refer admin discharge'!H1106</f>
        <v>00/00/0000</v>
      </c>
      <c r="W1105" s="351"/>
      <c r="X1105" s="607"/>
      <c r="Y1105" s="351"/>
      <c r="Z1105" s="614"/>
      <c r="AA1105" s="351"/>
      <c r="AB1105" s="607"/>
      <c r="AC1105" s="351"/>
      <c r="AD1105" s="606"/>
      <c r="AE1105" s="351"/>
      <c r="AF1105" s="607"/>
      <c r="AG1105" s="351"/>
      <c r="AH1105" s="606"/>
      <c r="AI1105" s="351"/>
      <c r="AJ1105" s="607"/>
      <c r="AK1105" s="351"/>
      <c r="AL1105" s="608"/>
      <c r="AM1105" s="350"/>
      <c r="AN1105" s="350"/>
      <c r="AO1105" s="350"/>
      <c r="AP1105" s="350"/>
      <c r="AQ1105" s="350"/>
      <c r="AR1105" s="350"/>
      <c r="AS1105" s="350"/>
      <c r="AT1105" s="350"/>
      <c r="AU1105" s="350"/>
      <c r="AV1105" s="350"/>
      <c r="AW1105" s="350"/>
      <c r="AX1105" s="350"/>
      <c r="AY1105" s="350"/>
      <c r="AZ1105" s="350"/>
      <c r="BA1105" s="350"/>
      <c r="BB1105" s="351"/>
    </row>
    <row r="1106" spans="1:54" ht="15.75" customHeight="1">
      <c r="A1106" s="25">
        <f t="shared" si="4"/>
        <v>1093</v>
      </c>
      <c r="B1106" s="618" t="str">
        <f>'refer admin discharge'!B1102</f>
        <v>x</v>
      </c>
      <c r="C1106" s="351"/>
      <c r="D1106" s="619" t="str">
        <f>'refer admin discharge'!D1102</f>
        <v>xx</v>
      </c>
      <c r="E1106" s="351"/>
      <c r="F1106" s="620" t="str">
        <f>'refer admin discharge'!H1102</f>
        <v>00/00/0000</v>
      </c>
      <c r="G1106" s="351"/>
      <c r="H1106" s="615"/>
      <c r="I1106" s="351"/>
      <c r="J1106" s="621"/>
      <c r="K1106" s="351"/>
      <c r="L1106" s="615"/>
      <c r="M1106" s="351"/>
      <c r="N1106" s="610"/>
      <c r="O1106" s="351"/>
      <c r="P1106" s="615"/>
      <c r="Q1106" s="351"/>
      <c r="R1106" s="610"/>
      <c r="S1106" s="351"/>
      <c r="T1106" s="615"/>
      <c r="U1106" s="351"/>
      <c r="V1106" s="613" t="str">
        <f>'refer admin discharge'!H1107</f>
        <v>00/00/0000</v>
      </c>
      <c r="W1106" s="351"/>
      <c r="X1106" s="616"/>
      <c r="Y1106" s="351"/>
      <c r="Z1106" s="617"/>
      <c r="AA1106" s="351"/>
      <c r="AB1106" s="616"/>
      <c r="AC1106" s="351"/>
      <c r="AD1106" s="607"/>
      <c r="AE1106" s="351"/>
      <c r="AF1106" s="616"/>
      <c r="AG1106" s="351"/>
      <c r="AH1106" s="607"/>
      <c r="AI1106" s="351"/>
      <c r="AJ1106" s="616"/>
      <c r="AK1106" s="351"/>
      <c r="AL1106" s="622"/>
      <c r="AM1106" s="350"/>
      <c r="AN1106" s="350"/>
      <c r="AO1106" s="350"/>
      <c r="AP1106" s="350"/>
      <c r="AQ1106" s="350"/>
      <c r="AR1106" s="350"/>
      <c r="AS1106" s="350"/>
      <c r="AT1106" s="350"/>
      <c r="AU1106" s="350"/>
      <c r="AV1106" s="350"/>
      <c r="AW1106" s="350"/>
      <c r="AX1106" s="350"/>
      <c r="AY1106" s="350"/>
      <c r="AZ1106" s="350"/>
      <c r="BA1106" s="350"/>
      <c r="BB1106" s="351"/>
    </row>
    <row r="1107" spans="1:54" ht="15.75" customHeight="1">
      <c r="A1107" s="25">
        <f t="shared" si="4"/>
        <v>1094</v>
      </c>
      <c r="B1107" s="599" t="str">
        <f>'refer admin discharge'!B1103</f>
        <v>x</v>
      </c>
      <c r="C1107" s="351"/>
      <c r="D1107" s="600" t="str">
        <f>'refer admin discharge'!D1103</f>
        <v>xx</v>
      </c>
      <c r="E1107" s="351"/>
      <c r="F1107" s="609" t="str">
        <f>'refer admin discharge'!H1103</f>
        <v>00/00/0000</v>
      </c>
      <c r="G1107" s="351"/>
      <c r="H1107" s="610"/>
      <c r="I1107" s="351"/>
      <c r="J1107" s="611"/>
      <c r="K1107" s="351"/>
      <c r="L1107" s="610"/>
      <c r="M1107" s="351"/>
      <c r="N1107" s="612"/>
      <c r="O1107" s="351"/>
      <c r="P1107" s="610"/>
      <c r="Q1107" s="351"/>
      <c r="R1107" s="612"/>
      <c r="S1107" s="351"/>
      <c r="T1107" s="610"/>
      <c r="U1107" s="351"/>
      <c r="V1107" s="613" t="str">
        <f>'refer admin discharge'!H1108</f>
        <v>00/00/0000</v>
      </c>
      <c r="W1107" s="351"/>
      <c r="X1107" s="607"/>
      <c r="Y1107" s="351"/>
      <c r="Z1107" s="614"/>
      <c r="AA1107" s="351"/>
      <c r="AB1107" s="607"/>
      <c r="AC1107" s="351"/>
      <c r="AD1107" s="606"/>
      <c r="AE1107" s="351"/>
      <c r="AF1107" s="607"/>
      <c r="AG1107" s="351"/>
      <c r="AH1107" s="606"/>
      <c r="AI1107" s="351"/>
      <c r="AJ1107" s="607"/>
      <c r="AK1107" s="351"/>
      <c r="AL1107" s="608"/>
      <c r="AM1107" s="350"/>
      <c r="AN1107" s="350"/>
      <c r="AO1107" s="350"/>
      <c r="AP1107" s="350"/>
      <c r="AQ1107" s="350"/>
      <c r="AR1107" s="350"/>
      <c r="AS1107" s="350"/>
      <c r="AT1107" s="350"/>
      <c r="AU1107" s="350"/>
      <c r="AV1107" s="350"/>
      <c r="AW1107" s="350"/>
      <c r="AX1107" s="350"/>
      <c r="AY1107" s="350"/>
      <c r="AZ1107" s="350"/>
      <c r="BA1107" s="350"/>
      <c r="BB1107" s="351"/>
    </row>
    <row r="1108" spans="1:54" ht="15.75" customHeight="1">
      <c r="A1108" s="25">
        <f t="shared" si="4"/>
        <v>1095</v>
      </c>
      <c r="B1108" s="618" t="str">
        <f>'refer admin discharge'!B1104</f>
        <v>x</v>
      </c>
      <c r="C1108" s="351"/>
      <c r="D1108" s="619" t="str">
        <f>'refer admin discharge'!D1104</f>
        <v>xx</v>
      </c>
      <c r="E1108" s="351"/>
      <c r="F1108" s="620" t="str">
        <f>'refer admin discharge'!H1104</f>
        <v>00/00/0000</v>
      </c>
      <c r="G1108" s="351"/>
      <c r="H1108" s="615"/>
      <c r="I1108" s="351"/>
      <c r="J1108" s="621"/>
      <c r="K1108" s="351"/>
      <c r="L1108" s="615"/>
      <c r="M1108" s="351"/>
      <c r="N1108" s="610"/>
      <c r="O1108" s="351"/>
      <c r="P1108" s="615"/>
      <c r="Q1108" s="351"/>
      <c r="R1108" s="610"/>
      <c r="S1108" s="351"/>
      <c r="T1108" s="615"/>
      <c r="U1108" s="351"/>
      <c r="V1108" s="613" t="str">
        <f>'refer admin discharge'!H1109</f>
        <v>00/00/0000</v>
      </c>
      <c r="W1108" s="351"/>
      <c r="X1108" s="616"/>
      <c r="Y1108" s="351"/>
      <c r="Z1108" s="617"/>
      <c r="AA1108" s="351"/>
      <c r="AB1108" s="616"/>
      <c r="AC1108" s="351"/>
      <c r="AD1108" s="607"/>
      <c r="AE1108" s="351"/>
      <c r="AF1108" s="616"/>
      <c r="AG1108" s="351"/>
      <c r="AH1108" s="607"/>
      <c r="AI1108" s="351"/>
      <c r="AJ1108" s="616"/>
      <c r="AK1108" s="351"/>
      <c r="AL1108" s="622"/>
      <c r="AM1108" s="350"/>
      <c r="AN1108" s="350"/>
      <c r="AO1108" s="350"/>
      <c r="AP1108" s="350"/>
      <c r="AQ1108" s="350"/>
      <c r="AR1108" s="350"/>
      <c r="AS1108" s="350"/>
      <c r="AT1108" s="350"/>
      <c r="AU1108" s="350"/>
      <c r="AV1108" s="350"/>
      <c r="AW1108" s="350"/>
      <c r="AX1108" s="350"/>
      <c r="AY1108" s="350"/>
      <c r="AZ1108" s="350"/>
      <c r="BA1108" s="350"/>
      <c r="BB1108" s="351"/>
    </row>
    <row r="1109" spans="1:54" ht="15.75" customHeight="1">
      <c r="A1109" s="25">
        <f t="shared" si="4"/>
        <v>1096</v>
      </c>
      <c r="B1109" s="599" t="str">
        <f>'refer admin discharge'!B1105</f>
        <v>x</v>
      </c>
      <c r="C1109" s="351"/>
      <c r="D1109" s="600" t="str">
        <f>'refer admin discharge'!D1105</f>
        <v>xx</v>
      </c>
      <c r="E1109" s="351"/>
      <c r="F1109" s="609" t="str">
        <f>'refer admin discharge'!H1105</f>
        <v>00/00/0000</v>
      </c>
      <c r="G1109" s="351"/>
      <c r="H1109" s="610"/>
      <c r="I1109" s="351"/>
      <c r="J1109" s="611"/>
      <c r="K1109" s="351"/>
      <c r="L1109" s="610"/>
      <c r="M1109" s="351"/>
      <c r="N1109" s="612"/>
      <c r="O1109" s="351"/>
      <c r="P1109" s="610"/>
      <c r="Q1109" s="351"/>
      <c r="R1109" s="612"/>
      <c r="S1109" s="351"/>
      <c r="T1109" s="610"/>
      <c r="U1109" s="351"/>
      <c r="V1109" s="613" t="str">
        <f>'refer admin discharge'!H1110</f>
        <v>00/00/0000</v>
      </c>
      <c r="W1109" s="351"/>
      <c r="X1109" s="607"/>
      <c r="Y1109" s="351"/>
      <c r="Z1109" s="614"/>
      <c r="AA1109" s="351"/>
      <c r="AB1109" s="607"/>
      <c r="AC1109" s="351"/>
      <c r="AD1109" s="606"/>
      <c r="AE1109" s="351"/>
      <c r="AF1109" s="607"/>
      <c r="AG1109" s="351"/>
      <c r="AH1109" s="606"/>
      <c r="AI1109" s="351"/>
      <c r="AJ1109" s="607"/>
      <c r="AK1109" s="351"/>
      <c r="AL1109" s="608"/>
      <c r="AM1109" s="350"/>
      <c r="AN1109" s="350"/>
      <c r="AO1109" s="350"/>
      <c r="AP1109" s="350"/>
      <c r="AQ1109" s="350"/>
      <c r="AR1109" s="350"/>
      <c r="AS1109" s="350"/>
      <c r="AT1109" s="350"/>
      <c r="AU1109" s="350"/>
      <c r="AV1109" s="350"/>
      <c r="AW1109" s="350"/>
      <c r="AX1109" s="350"/>
      <c r="AY1109" s="350"/>
      <c r="AZ1109" s="350"/>
      <c r="BA1109" s="350"/>
      <c r="BB1109" s="351"/>
    </row>
    <row r="1110" spans="1:54" ht="15.75" customHeight="1">
      <c r="A1110" s="25">
        <f t="shared" si="4"/>
        <v>1097</v>
      </c>
      <c r="B1110" s="618" t="str">
        <f>'refer admin discharge'!B1106</f>
        <v>x</v>
      </c>
      <c r="C1110" s="351"/>
      <c r="D1110" s="619" t="str">
        <f>'refer admin discharge'!D1106</f>
        <v>xx</v>
      </c>
      <c r="E1110" s="351"/>
      <c r="F1110" s="620" t="str">
        <f>'refer admin discharge'!H1106</f>
        <v>00/00/0000</v>
      </c>
      <c r="G1110" s="351"/>
      <c r="H1110" s="615"/>
      <c r="I1110" s="351"/>
      <c r="J1110" s="621"/>
      <c r="K1110" s="351"/>
      <c r="L1110" s="615"/>
      <c r="M1110" s="351"/>
      <c r="N1110" s="610"/>
      <c r="O1110" s="351"/>
      <c r="P1110" s="615"/>
      <c r="Q1110" s="351"/>
      <c r="R1110" s="610"/>
      <c r="S1110" s="351"/>
      <c r="T1110" s="615"/>
      <c r="U1110" s="351"/>
      <c r="V1110" s="613" t="str">
        <f>'refer admin discharge'!H1111</f>
        <v>00/00/0000</v>
      </c>
      <c r="W1110" s="351"/>
      <c r="X1110" s="616"/>
      <c r="Y1110" s="351"/>
      <c r="Z1110" s="617"/>
      <c r="AA1110" s="351"/>
      <c r="AB1110" s="616"/>
      <c r="AC1110" s="351"/>
      <c r="AD1110" s="607"/>
      <c r="AE1110" s="351"/>
      <c r="AF1110" s="616"/>
      <c r="AG1110" s="351"/>
      <c r="AH1110" s="607"/>
      <c r="AI1110" s="351"/>
      <c r="AJ1110" s="616"/>
      <c r="AK1110" s="351"/>
      <c r="AL1110" s="622"/>
      <c r="AM1110" s="350"/>
      <c r="AN1110" s="350"/>
      <c r="AO1110" s="350"/>
      <c r="AP1110" s="350"/>
      <c r="AQ1110" s="350"/>
      <c r="AR1110" s="350"/>
      <c r="AS1110" s="350"/>
      <c r="AT1110" s="350"/>
      <c r="AU1110" s="350"/>
      <c r="AV1110" s="350"/>
      <c r="AW1110" s="350"/>
      <c r="AX1110" s="350"/>
      <c r="AY1110" s="350"/>
      <c r="AZ1110" s="350"/>
      <c r="BA1110" s="350"/>
      <c r="BB1110" s="351"/>
    </row>
    <row r="1111" spans="1:54" ht="15.75" customHeight="1">
      <c r="A1111" s="25">
        <f t="shared" si="4"/>
        <v>1098</v>
      </c>
      <c r="B1111" s="599" t="str">
        <f>'refer admin discharge'!B1107</f>
        <v>x</v>
      </c>
      <c r="C1111" s="351"/>
      <c r="D1111" s="600" t="str">
        <f>'refer admin discharge'!D1107</f>
        <v>xx</v>
      </c>
      <c r="E1111" s="351"/>
      <c r="F1111" s="609" t="str">
        <f>'refer admin discharge'!H1107</f>
        <v>00/00/0000</v>
      </c>
      <c r="G1111" s="351"/>
      <c r="H1111" s="610"/>
      <c r="I1111" s="351"/>
      <c r="J1111" s="611"/>
      <c r="K1111" s="351"/>
      <c r="L1111" s="610"/>
      <c r="M1111" s="351"/>
      <c r="N1111" s="612"/>
      <c r="O1111" s="351"/>
      <c r="P1111" s="610"/>
      <c r="Q1111" s="351"/>
      <c r="R1111" s="612"/>
      <c r="S1111" s="351"/>
      <c r="T1111" s="610"/>
      <c r="U1111" s="351"/>
      <c r="V1111" s="613" t="str">
        <f>'refer admin discharge'!H1112</f>
        <v>00/00/0000</v>
      </c>
      <c r="W1111" s="351"/>
      <c r="X1111" s="607"/>
      <c r="Y1111" s="351"/>
      <c r="Z1111" s="614"/>
      <c r="AA1111" s="351"/>
      <c r="AB1111" s="607"/>
      <c r="AC1111" s="351"/>
      <c r="AD1111" s="606"/>
      <c r="AE1111" s="351"/>
      <c r="AF1111" s="607"/>
      <c r="AG1111" s="351"/>
      <c r="AH1111" s="606"/>
      <c r="AI1111" s="351"/>
      <c r="AJ1111" s="607"/>
      <c r="AK1111" s="351"/>
      <c r="AL1111" s="608"/>
      <c r="AM1111" s="350"/>
      <c r="AN1111" s="350"/>
      <c r="AO1111" s="350"/>
      <c r="AP1111" s="350"/>
      <c r="AQ1111" s="350"/>
      <c r="AR1111" s="350"/>
      <c r="AS1111" s="350"/>
      <c r="AT1111" s="350"/>
      <c r="AU1111" s="350"/>
      <c r="AV1111" s="350"/>
      <c r="AW1111" s="350"/>
      <c r="AX1111" s="350"/>
      <c r="AY1111" s="350"/>
      <c r="AZ1111" s="350"/>
      <c r="BA1111" s="350"/>
      <c r="BB1111" s="351"/>
    </row>
    <row r="1112" spans="1:54" ht="15.75" customHeight="1">
      <c r="A1112" s="25">
        <f t="shared" si="4"/>
        <v>1099</v>
      </c>
      <c r="B1112" s="618" t="str">
        <f>'refer admin discharge'!B1108</f>
        <v>x</v>
      </c>
      <c r="C1112" s="351"/>
      <c r="D1112" s="619" t="str">
        <f>'refer admin discharge'!D1108</f>
        <v>xx</v>
      </c>
      <c r="E1112" s="351"/>
      <c r="F1112" s="620" t="str">
        <f>'refer admin discharge'!H1108</f>
        <v>00/00/0000</v>
      </c>
      <c r="G1112" s="351"/>
      <c r="H1112" s="615"/>
      <c r="I1112" s="351"/>
      <c r="J1112" s="621"/>
      <c r="K1112" s="351"/>
      <c r="L1112" s="615"/>
      <c r="M1112" s="351"/>
      <c r="N1112" s="610"/>
      <c r="O1112" s="351"/>
      <c r="P1112" s="615"/>
      <c r="Q1112" s="351"/>
      <c r="R1112" s="610"/>
      <c r="S1112" s="351"/>
      <c r="T1112" s="615"/>
      <c r="U1112" s="351"/>
      <c r="V1112" s="613" t="str">
        <f>'refer admin discharge'!H1113</f>
        <v>00/00/0000</v>
      </c>
      <c r="W1112" s="351"/>
      <c r="X1112" s="616"/>
      <c r="Y1112" s="351"/>
      <c r="Z1112" s="617"/>
      <c r="AA1112" s="351"/>
      <c r="AB1112" s="616"/>
      <c r="AC1112" s="351"/>
      <c r="AD1112" s="607"/>
      <c r="AE1112" s="351"/>
      <c r="AF1112" s="616"/>
      <c r="AG1112" s="351"/>
      <c r="AH1112" s="607"/>
      <c r="AI1112" s="351"/>
      <c r="AJ1112" s="616"/>
      <c r="AK1112" s="351"/>
      <c r="AL1112" s="622"/>
      <c r="AM1112" s="350"/>
      <c r="AN1112" s="350"/>
      <c r="AO1112" s="350"/>
      <c r="AP1112" s="350"/>
      <c r="AQ1112" s="350"/>
      <c r="AR1112" s="350"/>
      <c r="AS1112" s="350"/>
      <c r="AT1112" s="350"/>
      <c r="AU1112" s="350"/>
      <c r="AV1112" s="350"/>
      <c r="AW1112" s="350"/>
      <c r="AX1112" s="350"/>
      <c r="AY1112" s="350"/>
      <c r="AZ1112" s="350"/>
      <c r="BA1112" s="350"/>
      <c r="BB1112" s="351"/>
    </row>
    <row r="1113" spans="1:54" ht="15.75" customHeight="1">
      <c r="A1113" s="25">
        <f t="shared" si="4"/>
        <v>1100</v>
      </c>
      <c r="B1113" s="599" t="str">
        <f>'refer admin discharge'!B1109</f>
        <v>x</v>
      </c>
      <c r="C1113" s="351"/>
      <c r="D1113" s="600" t="str">
        <f>'refer admin discharge'!D1109</f>
        <v>xx</v>
      </c>
      <c r="E1113" s="351"/>
      <c r="F1113" s="609" t="str">
        <f>'refer admin discharge'!H1109</f>
        <v>00/00/0000</v>
      </c>
      <c r="G1113" s="351"/>
      <c r="H1113" s="610"/>
      <c r="I1113" s="351"/>
      <c r="J1113" s="611"/>
      <c r="K1113" s="351"/>
      <c r="L1113" s="610"/>
      <c r="M1113" s="351"/>
      <c r="N1113" s="612"/>
      <c r="O1113" s="351"/>
      <c r="P1113" s="610"/>
      <c r="Q1113" s="351"/>
      <c r="R1113" s="612"/>
      <c r="S1113" s="351"/>
      <c r="T1113" s="610"/>
      <c r="U1113" s="351"/>
      <c r="V1113" s="613" t="str">
        <f>'refer admin discharge'!H1114</f>
        <v>00/00/0000</v>
      </c>
      <c r="W1113" s="351"/>
      <c r="X1113" s="607"/>
      <c r="Y1113" s="351"/>
      <c r="Z1113" s="614"/>
      <c r="AA1113" s="351"/>
      <c r="AB1113" s="607"/>
      <c r="AC1113" s="351"/>
      <c r="AD1113" s="606"/>
      <c r="AE1113" s="351"/>
      <c r="AF1113" s="607"/>
      <c r="AG1113" s="351"/>
      <c r="AH1113" s="606"/>
      <c r="AI1113" s="351"/>
      <c r="AJ1113" s="607"/>
      <c r="AK1113" s="351"/>
      <c r="AL1113" s="608"/>
      <c r="AM1113" s="350"/>
      <c r="AN1113" s="350"/>
      <c r="AO1113" s="350"/>
      <c r="AP1113" s="350"/>
      <c r="AQ1113" s="350"/>
      <c r="AR1113" s="350"/>
      <c r="AS1113" s="350"/>
      <c r="AT1113" s="350"/>
      <c r="AU1113" s="350"/>
      <c r="AV1113" s="350"/>
      <c r="AW1113" s="350"/>
      <c r="AX1113" s="350"/>
      <c r="AY1113" s="350"/>
      <c r="AZ1113" s="350"/>
      <c r="BA1113" s="350"/>
      <c r="BB1113" s="351"/>
    </row>
    <row r="1114" spans="1:54" ht="15.75" customHeight="1">
      <c r="A1114" s="25">
        <f t="shared" si="4"/>
        <v>1101</v>
      </c>
      <c r="B1114" s="618" t="str">
        <f>'refer admin discharge'!B1110</f>
        <v>x</v>
      </c>
      <c r="C1114" s="351"/>
      <c r="D1114" s="619" t="str">
        <f>'refer admin discharge'!D1110</f>
        <v>xx</v>
      </c>
      <c r="E1114" s="351"/>
      <c r="F1114" s="620" t="str">
        <f>'refer admin discharge'!H1110</f>
        <v>00/00/0000</v>
      </c>
      <c r="G1114" s="351"/>
      <c r="H1114" s="615"/>
      <c r="I1114" s="351"/>
      <c r="J1114" s="621"/>
      <c r="K1114" s="351"/>
      <c r="L1114" s="615"/>
      <c r="M1114" s="351"/>
      <c r="N1114" s="610"/>
      <c r="O1114" s="351"/>
      <c r="P1114" s="615"/>
      <c r="Q1114" s="351"/>
      <c r="R1114" s="610"/>
      <c r="S1114" s="351"/>
      <c r="T1114" s="615"/>
      <c r="U1114" s="351"/>
      <c r="V1114" s="613" t="str">
        <f>'refer admin discharge'!H1115</f>
        <v>00/00/0000</v>
      </c>
      <c r="W1114" s="351"/>
      <c r="X1114" s="616"/>
      <c r="Y1114" s="351"/>
      <c r="Z1114" s="617"/>
      <c r="AA1114" s="351"/>
      <c r="AB1114" s="616"/>
      <c r="AC1114" s="351"/>
      <c r="AD1114" s="607"/>
      <c r="AE1114" s="351"/>
      <c r="AF1114" s="616"/>
      <c r="AG1114" s="351"/>
      <c r="AH1114" s="607"/>
      <c r="AI1114" s="351"/>
      <c r="AJ1114" s="616"/>
      <c r="AK1114" s="351"/>
      <c r="AL1114" s="622"/>
      <c r="AM1114" s="350"/>
      <c r="AN1114" s="350"/>
      <c r="AO1114" s="350"/>
      <c r="AP1114" s="350"/>
      <c r="AQ1114" s="350"/>
      <c r="AR1114" s="350"/>
      <c r="AS1114" s="350"/>
      <c r="AT1114" s="350"/>
      <c r="AU1114" s="350"/>
      <c r="AV1114" s="350"/>
      <c r="AW1114" s="350"/>
      <c r="AX1114" s="350"/>
      <c r="AY1114" s="350"/>
      <c r="AZ1114" s="350"/>
      <c r="BA1114" s="350"/>
      <c r="BB1114" s="351"/>
    </row>
    <row r="1115" spans="1:54" ht="15.75" customHeight="1">
      <c r="A1115" s="25">
        <f t="shared" si="4"/>
        <v>1102</v>
      </c>
      <c r="B1115" s="599" t="str">
        <f>'refer admin discharge'!B1111</f>
        <v>x</v>
      </c>
      <c r="C1115" s="351"/>
      <c r="D1115" s="600" t="str">
        <f>'refer admin discharge'!D1111</f>
        <v>xx</v>
      </c>
      <c r="E1115" s="351"/>
      <c r="F1115" s="609" t="str">
        <f>'refer admin discharge'!H1111</f>
        <v>00/00/0000</v>
      </c>
      <c r="G1115" s="351"/>
      <c r="H1115" s="610"/>
      <c r="I1115" s="351"/>
      <c r="J1115" s="611"/>
      <c r="K1115" s="351"/>
      <c r="L1115" s="610"/>
      <c r="M1115" s="351"/>
      <c r="N1115" s="612"/>
      <c r="O1115" s="351"/>
      <c r="P1115" s="610"/>
      <c r="Q1115" s="351"/>
      <c r="R1115" s="612"/>
      <c r="S1115" s="351"/>
      <c r="T1115" s="610"/>
      <c r="U1115" s="351"/>
      <c r="V1115" s="613" t="str">
        <f>'refer admin discharge'!H1116</f>
        <v>00/00/0000</v>
      </c>
      <c r="W1115" s="351"/>
      <c r="X1115" s="607"/>
      <c r="Y1115" s="351"/>
      <c r="Z1115" s="614"/>
      <c r="AA1115" s="351"/>
      <c r="AB1115" s="607"/>
      <c r="AC1115" s="351"/>
      <c r="AD1115" s="606"/>
      <c r="AE1115" s="351"/>
      <c r="AF1115" s="607"/>
      <c r="AG1115" s="351"/>
      <c r="AH1115" s="606"/>
      <c r="AI1115" s="351"/>
      <c r="AJ1115" s="607"/>
      <c r="AK1115" s="351"/>
      <c r="AL1115" s="608"/>
      <c r="AM1115" s="350"/>
      <c r="AN1115" s="350"/>
      <c r="AO1115" s="350"/>
      <c r="AP1115" s="350"/>
      <c r="AQ1115" s="350"/>
      <c r="AR1115" s="350"/>
      <c r="AS1115" s="350"/>
      <c r="AT1115" s="350"/>
      <c r="AU1115" s="350"/>
      <c r="AV1115" s="350"/>
      <c r="AW1115" s="350"/>
      <c r="AX1115" s="350"/>
      <c r="AY1115" s="350"/>
      <c r="AZ1115" s="350"/>
      <c r="BA1115" s="350"/>
      <c r="BB1115" s="351"/>
    </row>
    <row r="1116" spans="1:54" ht="15.75" customHeight="1">
      <c r="A1116" s="25">
        <f t="shared" si="4"/>
        <v>1103</v>
      </c>
      <c r="B1116" s="618" t="str">
        <f>'refer admin discharge'!B1112</f>
        <v>x</v>
      </c>
      <c r="C1116" s="351"/>
      <c r="D1116" s="619" t="str">
        <f>'refer admin discharge'!D1112</f>
        <v>xx</v>
      </c>
      <c r="E1116" s="351"/>
      <c r="F1116" s="620" t="str">
        <f>'refer admin discharge'!H1112</f>
        <v>00/00/0000</v>
      </c>
      <c r="G1116" s="351"/>
      <c r="H1116" s="615"/>
      <c r="I1116" s="351"/>
      <c r="J1116" s="621"/>
      <c r="K1116" s="351"/>
      <c r="L1116" s="615"/>
      <c r="M1116" s="351"/>
      <c r="N1116" s="610"/>
      <c r="O1116" s="351"/>
      <c r="P1116" s="615"/>
      <c r="Q1116" s="351"/>
      <c r="R1116" s="610"/>
      <c r="S1116" s="351"/>
      <c r="T1116" s="615"/>
      <c r="U1116" s="351"/>
      <c r="V1116" s="613" t="str">
        <f>'refer admin discharge'!H1117</f>
        <v>00/00/0000</v>
      </c>
      <c r="W1116" s="351"/>
      <c r="X1116" s="616"/>
      <c r="Y1116" s="351"/>
      <c r="Z1116" s="617"/>
      <c r="AA1116" s="351"/>
      <c r="AB1116" s="616"/>
      <c r="AC1116" s="351"/>
      <c r="AD1116" s="607"/>
      <c r="AE1116" s="351"/>
      <c r="AF1116" s="616"/>
      <c r="AG1116" s="351"/>
      <c r="AH1116" s="607"/>
      <c r="AI1116" s="351"/>
      <c r="AJ1116" s="616"/>
      <c r="AK1116" s="351"/>
      <c r="AL1116" s="622"/>
      <c r="AM1116" s="350"/>
      <c r="AN1116" s="350"/>
      <c r="AO1116" s="350"/>
      <c r="AP1116" s="350"/>
      <c r="AQ1116" s="350"/>
      <c r="AR1116" s="350"/>
      <c r="AS1116" s="350"/>
      <c r="AT1116" s="350"/>
      <c r="AU1116" s="350"/>
      <c r="AV1116" s="350"/>
      <c r="AW1116" s="350"/>
      <c r="AX1116" s="350"/>
      <c r="AY1116" s="350"/>
      <c r="AZ1116" s="350"/>
      <c r="BA1116" s="350"/>
      <c r="BB1116" s="351"/>
    </row>
    <row r="1117" spans="1:54" ht="15.75" customHeight="1">
      <c r="A1117" s="25">
        <f t="shared" si="4"/>
        <v>1104</v>
      </c>
      <c r="B1117" s="599" t="str">
        <f>'refer admin discharge'!B1113</f>
        <v>x</v>
      </c>
      <c r="C1117" s="351"/>
      <c r="D1117" s="600" t="str">
        <f>'refer admin discharge'!D1113</f>
        <v>xx</v>
      </c>
      <c r="E1117" s="351"/>
      <c r="F1117" s="609" t="str">
        <f>'refer admin discharge'!H1113</f>
        <v>00/00/0000</v>
      </c>
      <c r="G1117" s="351"/>
      <c r="H1117" s="610"/>
      <c r="I1117" s="351"/>
      <c r="J1117" s="611"/>
      <c r="K1117" s="351"/>
      <c r="L1117" s="610"/>
      <c r="M1117" s="351"/>
      <c r="N1117" s="612"/>
      <c r="O1117" s="351"/>
      <c r="P1117" s="610"/>
      <c r="Q1117" s="351"/>
      <c r="R1117" s="612"/>
      <c r="S1117" s="351"/>
      <c r="T1117" s="610"/>
      <c r="U1117" s="351"/>
      <c r="V1117" s="613" t="str">
        <f>'refer admin discharge'!H1118</f>
        <v>00/00/0000</v>
      </c>
      <c r="W1117" s="351"/>
      <c r="X1117" s="607"/>
      <c r="Y1117" s="351"/>
      <c r="Z1117" s="614"/>
      <c r="AA1117" s="351"/>
      <c r="AB1117" s="607"/>
      <c r="AC1117" s="351"/>
      <c r="AD1117" s="606"/>
      <c r="AE1117" s="351"/>
      <c r="AF1117" s="607"/>
      <c r="AG1117" s="351"/>
      <c r="AH1117" s="606"/>
      <c r="AI1117" s="351"/>
      <c r="AJ1117" s="607"/>
      <c r="AK1117" s="351"/>
      <c r="AL1117" s="608"/>
      <c r="AM1117" s="350"/>
      <c r="AN1117" s="350"/>
      <c r="AO1117" s="350"/>
      <c r="AP1117" s="350"/>
      <c r="AQ1117" s="350"/>
      <c r="AR1117" s="350"/>
      <c r="AS1117" s="350"/>
      <c r="AT1117" s="350"/>
      <c r="AU1117" s="350"/>
      <c r="AV1117" s="350"/>
      <c r="AW1117" s="350"/>
      <c r="AX1117" s="350"/>
      <c r="AY1117" s="350"/>
      <c r="AZ1117" s="350"/>
      <c r="BA1117" s="350"/>
      <c r="BB1117" s="351"/>
    </row>
    <row r="1118" spans="1:54" ht="15.75" customHeight="1">
      <c r="A1118" s="25">
        <f t="shared" si="4"/>
        <v>1105</v>
      </c>
      <c r="B1118" s="618" t="str">
        <f>'refer admin discharge'!B1114</f>
        <v>x</v>
      </c>
      <c r="C1118" s="351"/>
      <c r="D1118" s="619" t="str">
        <f>'refer admin discharge'!D1114</f>
        <v>xx</v>
      </c>
      <c r="E1118" s="351"/>
      <c r="F1118" s="620" t="str">
        <f>'refer admin discharge'!H1114</f>
        <v>00/00/0000</v>
      </c>
      <c r="G1118" s="351"/>
      <c r="H1118" s="615"/>
      <c r="I1118" s="351"/>
      <c r="J1118" s="621"/>
      <c r="K1118" s="351"/>
      <c r="L1118" s="615"/>
      <c r="M1118" s="351"/>
      <c r="N1118" s="610"/>
      <c r="O1118" s="351"/>
      <c r="P1118" s="615"/>
      <c r="Q1118" s="351"/>
      <c r="R1118" s="610"/>
      <c r="S1118" s="351"/>
      <c r="T1118" s="615"/>
      <c r="U1118" s="351"/>
      <c r="V1118" s="613" t="str">
        <f>'refer admin discharge'!H1119</f>
        <v>00/00/0000</v>
      </c>
      <c r="W1118" s="351"/>
      <c r="X1118" s="616"/>
      <c r="Y1118" s="351"/>
      <c r="Z1118" s="617"/>
      <c r="AA1118" s="351"/>
      <c r="AB1118" s="616"/>
      <c r="AC1118" s="351"/>
      <c r="AD1118" s="607"/>
      <c r="AE1118" s="351"/>
      <c r="AF1118" s="616"/>
      <c r="AG1118" s="351"/>
      <c r="AH1118" s="607"/>
      <c r="AI1118" s="351"/>
      <c r="AJ1118" s="616"/>
      <c r="AK1118" s="351"/>
      <c r="AL1118" s="622"/>
      <c r="AM1118" s="350"/>
      <c r="AN1118" s="350"/>
      <c r="AO1118" s="350"/>
      <c r="AP1118" s="350"/>
      <c r="AQ1118" s="350"/>
      <c r="AR1118" s="350"/>
      <c r="AS1118" s="350"/>
      <c r="AT1118" s="350"/>
      <c r="AU1118" s="350"/>
      <c r="AV1118" s="350"/>
      <c r="AW1118" s="350"/>
      <c r="AX1118" s="350"/>
      <c r="AY1118" s="350"/>
      <c r="AZ1118" s="350"/>
      <c r="BA1118" s="350"/>
      <c r="BB1118" s="351"/>
    </row>
    <row r="1119" spans="1:54" ht="15.75" customHeight="1">
      <c r="A1119" s="25">
        <f t="shared" si="4"/>
        <v>1106</v>
      </c>
      <c r="B1119" s="599" t="str">
        <f>'refer admin discharge'!B1115</f>
        <v>x</v>
      </c>
      <c r="C1119" s="351"/>
      <c r="D1119" s="600" t="str">
        <f>'refer admin discharge'!D1115</f>
        <v>xx</v>
      </c>
      <c r="E1119" s="351"/>
      <c r="F1119" s="609" t="str">
        <f>'refer admin discharge'!H1115</f>
        <v>00/00/0000</v>
      </c>
      <c r="G1119" s="351"/>
      <c r="H1119" s="610"/>
      <c r="I1119" s="351"/>
      <c r="J1119" s="611"/>
      <c r="K1119" s="351"/>
      <c r="L1119" s="610"/>
      <c r="M1119" s="351"/>
      <c r="N1119" s="612"/>
      <c r="O1119" s="351"/>
      <c r="P1119" s="610"/>
      <c r="Q1119" s="351"/>
      <c r="R1119" s="612"/>
      <c r="S1119" s="351"/>
      <c r="T1119" s="610"/>
      <c r="U1119" s="351"/>
      <c r="V1119" s="613" t="str">
        <f>'refer admin discharge'!H1120</f>
        <v>00/00/0000</v>
      </c>
      <c r="W1119" s="351"/>
      <c r="X1119" s="607"/>
      <c r="Y1119" s="351"/>
      <c r="Z1119" s="614"/>
      <c r="AA1119" s="351"/>
      <c r="AB1119" s="607"/>
      <c r="AC1119" s="351"/>
      <c r="AD1119" s="606"/>
      <c r="AE1119" s="351"/>
      <c r="AF1119" s="607"/>
      <c r="AG1119" s="351"/>
      <c r="AH1119" s="606"/>
      <c r="AI1119" s="351"/>
      <c r="AJ1119" s="607"/>
      <c r="AK1119" s="351"/>
      <c r="AL1119" s="608"/>
      <c r="AM1119" s="350"/>
      <c r="AN1119" s="350"/>
      <c r="AO1119" s="350"/>
      <c r="AP1119" s="350"/>
      <c r="AQ1119" s="350"/>
      <c r="AR1119" s="350"/>
      <c r="AS1119" s="350"/>
      <c r="AT1119" s="350"/>
      <c r="AU1119" s="350"/>
      <c r="AV1119" s="350"/>
      <c r="AW1119" s="350"/>
      <c r="AX1119" s="350"/>
      <c r="AY1119" s="350"/>
      <c r="AZ1119" s="350"/>
      <c r="BA1119" s="350"/>
      <c r="BB1119" s="351"/>
    </row>
    <row r="1120" spans="1:54" ht="15.75" customHeight="1">
      <c r="A1120" s="25">
        <f t="shared" si="4"/>
        <v>1107</v>
      </c>
      <c r="B1120" s="618" t="str">
        <f>'refer admin discharge'!B1116</f>
        <v>x</v>
      </c>
      <c r="C1120" s="351"/>
      <c r="D1120" s="619" t="str">
        <f>'refer admin discharge'!D1116</f>
        <v>xx</v>
      </c>
      <c r="E1120" s="351"/>
      <c r="F1120" s="620" t="str">
        <f>'refer admin discharge'!H1116</f>
        <v>00/00/0000</v>
      </c>
      <c r="G1120" s="351"/>
      <c r="H1120" s="615"/>
      <c r="I1120" s="351"/>
      <c r="J1120" s="621"/>
      <c r="K1120" s="351"/>
      <c r="L1120" s="615"/>
      <c r="M1120" s="351"/>
      <c r="N1120" s="610"/>
      <c r="O1120" s="351"/>
      <c r="P1120" s="615"/>
      <c r="Q1120" s="351"/>
      <c r="R1120" s="610"/>
      <c r="S1120" s="351"/>
      <c r="T1120" s="615"/>
      <c r="U1120" s="351"/>
      <c r="V1120" s="613" t="str">
        <f>'refer admin discharge'!H1121</f>
        <v>00/00/0000</v>
      </c>
      <c r="W1120" s="351"/>
      <c r="X1120" s="616"/>
      <c r="Y1120" s="351"/>
      <c r="Z1120" s="617"/>
      <c r="AA1120" s="351"/>
      <c r="AB1120" s="616"/>
      <c r="AC1120" s="351"/>
      <c r="AD1120" s="607"/>
      <c r="AE1120" s="351"/>
      <c r="AF1120" s="616"/>
      <c r="AG1120" s="351"/>
      <c r="AH1120" s="607"/>
      <c r="AI1120" s="351"/>
      <c r="AJ1120" s="616"/>
      <c r="AK1120" s="351"/>
      <c r="AL1120" s="622"/>
      <c r="AM1120" s="350"/>
      <c r="AN1120" s="350"/>
      <c r="AO1120" s="350"/>
      <c r="AP1120" s="350"/>
      <c r="AQ1120" s="350"/>
      <c r="AR1120" s="350"/>
      <c r="AS1120" s="350"/>
      <c r="AT1120" s="350"/>
      <c r="AU1120" s="350"/>
      <c r="AV1120" s="350"/>
      <c r="AW1120" s="350"/>
      <c r="AX1120" s="350"/>
      <c r="AY1120" s="350"/>
      <c r="AZ1120" s="350"/>
      <c r="BA1120" s="350"/>
      <c r="BB1120" s="351"/>
    </row>
    <row r="1121" spans="1:54" ht="15.75" customHeight="1">
      <c r="A1121" s="25">
        <f t="shared" si="4"/>
        <v>1108</v>
      </c>
      <c r="B1121" s="599" t="str">
        <f>'refer admin discharge'!B1117</f>
        <v>x</v>
      </c>
      <c r="C1121" s="351"/>
      <c r="D1121" s="600" t="str">
        <f>'refer admin discharge'!D1117</f>
        <v>xx</v>
      </c>
      <c r="E1121" s="351"/>
      <c r="F1121" s="609" t="str">
        <f>'refer admin discharge'!H1117</f>
        <v>00/00/0000</v>
      </c>
      <c r="G1121" s="351"/>
      <c r="H1121" s="610"/>
      <c r="I1121" s="351"/>
      <c r="J1121" s="611"/>
      <c r="K1121" s="351"/>
      <c r="L1121" s="610"/>
      <c r="M1121" s="351"/>
      <c r="N1121" s="612"/>
      <c r="O1121" s="351"/>
      <c r="P1121" s="610"/>
      <c r="Q1121" s="351"/>
      <c r="R1121" s="612"/>
      <c r="S1121" s="351"/>
      <c r="T1121" s="610"/>
      <c r="U1121" s="351"/>
      <c r="V1121" s="613" t="str">
        <f>'refer admin discharge'!H1122</f>
        <v>00/00/0000</v>
      </c>
      <c r="W1121" s="351"/>
      <c r="X1121" s="607"/>
      <c r="Y1121" s="351"/>
      <c r="Z1121" s="614"/>
      <c r="AA1121" s="351"/>
      <c r="AB1121" s="607"/>
      <c r="AC1121" s="351"/>
      <c r="AD1121" s="606"/>
      <c r="AE1121" s="351"/>
      <c r="AF1121" s="607"/>
      <c r="AG1121" s="351"/>
      <c r="AH1121" s="606"/>
      <c r="AI1121" s="351"/>
      <c r="AJ1121" s="607"/>
      <c r="AK1121" s="351"/>
      <c r="AL1121" s="608"/>
      <c r="AM1121" s="350"/>
      <c r="AN1121" s="350"/>
      <c r="AO1121" s="350"/>
      <c r="AP1121" s="350"/>
      <c r="AQ1121" s="350"/>
      <c r="AR1121" s="350"/>
      <c r="AS1121" s="350"/>
      <c r="AT1121" s="350"/>
      <c r="AU1121" s="350"/>
      <c r="AV1121" s="350"/>
      <c r="AW1121" s="350"/>
      <c r="AX1121" s="350"/>
      <c r="AY1121" s="350"/>
      <c r="AZ1121" s="350"/>
      <c r="BA1121" s="350"/>
      <c r="BB1121" s="351"/>
    </row>
    <row r="1122" spans="1:54" ht="15.75" customHeight="1">
      <c r="A1122" s="25">
        <f t="shared" si="4"/>
        <v>1109</v>
      </c>
      <c r="B1122" s="618" t="str">
        <f>'refer admin discharge'!B1118</f>
        <v>x</v>
      </c>
      <c r="C1122" s="351"/>
      <c r="D1122" s="619" t="str">
        <f>'refer admin discharge'!D1118</f>
        <v>xx</v>
      </c>
      <c r="E1122" s="351"/>
      <c r="F1122" s="620" t="str">
        <f>'refer admin discharge'!H1118</f>
        <v>00/00/0000</v>
      </c>
      <c r="G1122" s="351"/>
      <c r="H1122" s="615"/>
      <c r="I1122" s="351"/>
      <c r="J1122" s="621"/>
      <c r="K1122" s="351"/>
      <c r="L1122" s="615"/>
      <c r="M1122" s="351"/>
      <c r="N1122" s="610"/>
      <c r="O1122" s="351"/>
      <c r="P1122" s="615"/>
      <c r="Q1122" s="351"/>
      <c r="R1122" s="610"/>
      <c r="S1122" s="351"/>
      <c r="T1122" s="615"/>
      <c r="U1122" s="351"/>
      <c r="V1122" s="613" t="str">
        <f>'refer admin discharge'!H1123</f>
        <v>00/00/0000</v>
      </c>
      <c r="W1122" s="351"/>
      <c r="X1122" s="616"/>
      <c r="Y1122" s="351"/>
      <c r="Z1122" s="617"/>
      <c r="AA1122" s="351"/>
      <c r="AB1122" s="616"/>
      <c r="AC1122" s="351"/>
      <c r="AD1122" s="607"/>
      <c r="AE1122" s="351"/>
      <c r="AF1122" s="616"/>
      <c r="AG1122" s="351"/>
      <c r="AH1122" s="607"/>
      <c r="AI1122" s="351"/>
      <c r="AJ1122" s="616"/>
      <c r="AK1122" s="351"/>
      <c r="AL1122" s="622"/>
      <c r="AM1122" s="350"/>
      <c r="AN1122" s="350"/>
      <c r="AO1122" s="350"/>
      <c r="AP1122" s="350"/>
      <c r="AQ1122" s="350"/>
      <c r="AR1122" s="350"/>
      <c r="AS1122" s="350"/>
      <c r="AT1122" s="350"/>
      <c r="AU1122" s="350"/>
      <c r="AV1122" s="350"/>
      <c r="AW1122" s="350"/>
      <c r="AX1122" s="350"/>
      <c r="AY1122" s="350"/>
      <c r="AZ1122" s="350"/>
      <c r="BA1122" s="350"/>
      <c r="BB1122" s="351"/>
    </row>
    <row r="1123" spans="1:54" ht="15.75" customHeight="1">
      <c r="A1123" s="25">
        <f t="shared" si="4"/>
        <v>1110</v>
      </c>
      <c r="B1123" s="599" t="str">
        <f>'refer admin discharge'!B1119</f>
        <v>x</v>
      </c>
      <c r="C1123" s="351"/>
      <c r="D1123" s="600" t="str">
        <f>'refer admin discharge'!D1119</f>
        <v>xx</v>
      </c>
      <c r="E1123" s="351"/>
      <c r="F1123" s="609" t="str">
        <f>'refer admin discharge'!H1119</f>
        <v>00/00/0000</v>
      </c>
      <c r="G1123" s="351"/>
      <c r="H1123" s="610"/>
      <c r="I1123" s="351"/>
      <c r="J1123" s="611"/>
      <c r="K1123" s="351"/>
      <c r="L1123" s="610"/>
      <c r="M1123" s="351"/>
      <c r="N1123" s="612"/>
      <c r="O1123" s="351"/>
      <c r="P1123" s="610"/>
      <c r="Q1123" s="351"/>
      <c r="R1123" s="612"/>
      <c r="S1123" s="351"/>
      <c r="T1123" s="610"/>
      <c r="U1123" s="351"/>
      <c r="V1123" s="613" t="str">
        <f>'refer admin discharge'!H1124</f>
        <v>00/00/0000</v>
      </c>
      <c r="W1123" s="351"/>
      <c r="X1123" s="607"/>
      <c r="Y1123" s="351"/>
      <c r="Z1123" s="614"/>
      <c r="AA1123" s="351"/>
      <c r="AB1123" s="607"/>
      <c r="AC1123" s="351"/>
      <c r="AD1123" s="606"/>
      <c r="AE1123" s="351"/>
      <c r="AF1123" s="607"/>
      <c r="AG1123" s="351"/>
      <c r="AH1123" s="606"/>
      <c r="AI1123" s="351"/>
      <c r="AJ1123" s="607"/>
      <c r="AK1123" s="351"/>
      <c r="AL1123" s="608"/>
      <c r="AM1123" s="350"/>
      <c r="AN1123" s="350"/>
      <c r="AO1123" s="350"/>
      <c r="AP1123" s="350"/>
      <c r="AQ1123" s="350"/>
      <c r="AR1123" s="350"/>
      <c r="AS1123" s="350"/>
      <c r="AT1123" s="350"/>
      <c r="AU1123" s="350"/>
      <c r="AV1123" s="350"/>
      <c r="AW1123" s="350"/>
      <c r="AX1123" s="350"/>
      <c r="AY1123" s="350"/>
      <c r="AZ1123" s="350"/>
      <c r="BA1123" s="350"/>
      <c r="BB1123" s="351"/>
    </row>
    <row r="1124" spans="1:54" ht="15.75" customHeight="1">
      <c r="A1124" s="25">
        <f t="shared" si="4"/>
        <v>1111</v>
      </c>
      <c r="B1124" s="618" t="str">
        <f>'refer admin discharge'!B1120</f>
        <v>x</v>
      </c>
      <c r="C1124" s="351"/>
      <c r="D1124" s="619" t="str">
        <f>'refer admin discharge'!D1120</f>
        <v>xx</v>
      </c>
      <c r="E1124" s="351"/>
      <c r="F1124" s="620" t="str">
        <f>'refer admin discharge'!H1120</f>
        <v>00/00/0000</v>
      </c>
      <c r="G1124" s="351"/>
      <c r="H1124" s="615"/>
      <c r="I1124" s="351"/>
      <c r="J1124" s="621"/>
      <c r="K1124" s="351"/>
      <c r="L1124" s="615"/>
      <c r="M1124" s="351"/>
      <c r="N1124" s="610"/>
      <c r="O1124" s="351"/>
      <c r="P1124" s="615"/>
      <c r="Q1124" s="351"/>
      <c r="R1124" s="610"/>
      <c r="S1124" s="351"/>
      <c r="T1124" s="615"/>
      <c r="U1124" s="351"/>
      <c r="V1124" s="613" t="str">
        <f>'refer admin discharge'!H1125</f>
        <v>00/00/0000</v>
      </c>
      <c r="W1124" s="351"/>
      <c r="X1124" s="616"/>
      <c r="Y1124" s="351"/>
      <c r="Z1124" s="617"/>
      <c r="AA1124" s="351"/>
      <c r="AB1124" s="616"/>
      <c r="AC1124" s="351"/>
      <c r="AD1124" s="607"/>
      <c r="AE1124" s="351"/>
      <c r="AF1124" s="616"/>
      <c r="AG1124" s="351"/>
      <c r="AH1124" s="607"/>
      <c r="AI1124" s="351"/>
      <c r="AJ1124" s="616"/>
      <c r="AK1124" s="351"/>
      <c r="AL1124" s="622"/>
      <c r="AM1124" s="350"/>
      <c r="AN1124" s="350"/>
      <c r="AO1124" s="350"/>
      <c r="AP1124" s="350"/>
      <c r="AQ1124" s="350"/>
      <c r="AR1124" s="350"/>
      <c r="AS1124" s="350"/>
      <c r="AT1124" s="350"/>
      <c r="AU1124" s="350"/>
      <c r="AV1124" s="350"/>
      <c r="AW1124" s="350"/>
      <c r="AX1124" s="350"/>
      <c r="AY1124" s="350"/>
      <c r="AZ1124" s="350"/>
      <c r="BA1124" s="350"/>
      <c r="BB1124" s="351"/>
    </row>
    <row r="1125" spans="1:54" ht="15.75" customHeight="1">
      <c r="A1125" s="25">
        <f t="shared" si="4"/>
        <v>1112</v>
      </c>
      <c r="B1125" s="599" t="str">
        <f>'refer admin discharge'!B1121</f>
        <v>x</v>
      </c>
      <c r="C1125" s="351"/>
      <c r="D1125" s="600" t="str">
        <f>'refer admin discharge'!D1121</f>
        <v>xx</v>
      </c>
      <c r="E1125" s="351"/>
      <c r="F1125" s="609" t="str">
        <f>'refer admin discharge'!H1121</f>
        <v>00/00/0000</v>
      </c>
      <c r="G1125" s="351"/>
      <c r="H1125" s="610"/>
      <c r="I1125" s="351"/>
      <c r="J1125" s="611"/>
      <c r="K1125" s="351"/>
      <c r="L1125" s="610"/>
      <c r="M1125" s="351"/>
      <c r="N1125" s="612"/>
      <c r="O1125" s="351"/>
      <c r="P1125" s="610"/>
      <c r="Q1125" s="351"/>
      <c r="R1125" s="612"/>
      <c r="S1125" s="351"/>
      <c r="T1125" s="610"/>
      <c r="U1125" s="351"/>
      <c r="V1125" s="613" t="str">
        <f>'refer admin discharge'!H1126</f>
        <v>00/00/0000</v>
      </c>
      <c r="W1125" s="351"/>
      <c r="X1125" s="607"/>
      <c r="Y1125" s="351"/>
      <c r="Z1125" s="614"/>
      <c r="AA1125" s="351"/>
      <c r="AB1125" s="607"/>
      <c r="AC1125" s="351"/>
      <c r="AD1125" s="606"/>
      <c r="AE1125" s="351"/>
      <c r="AF1125" s="607"/>
      <c r="AG1125" s="351"/>
      <c r="AH1125" s="606"/>
      <c r="AI1125" s="351"/>
      <c r="AJ1125" s="607"/>
      <c r="AK1125" s="351"/>
      <c r="AL1125" s="608"/>
      <c r="AM1125" s="350"/>
      <c r="AN1125" s="350"/>
      <c r="AO1125" s="350"/>
      <c r="AP1125" s="350"/>
      <c r="AQ1125" s="350"/>
      <c r="AR1125" s="350"/>
      <c r="AS1125" s="350"/>
      <c r="AT1125" s="350"/>
      <c r="AU1125" s="350"/>
      <c r="AV1125" s="350"/>
      <c r="AW1125" s="350"/>
      <c r="AX1125" s="350"/>
      <c r="AY1125" s="350"/>
      <c r="AZ1125" s="350"/>
      <c r="BA1125" s="350"/>
      <c r="BB1125" s="351"/>
    </row>
    <row r="1126" spans="1:54" ht="15.75" customHeight="1">
      <c r="A1126" s="25">
        <f t="shared" si="4"/>
        <v>1113</v>
      </c>
      <c r="B1126" s="618" t="str">
        <f>'refer admin discharge'!B1122</f>
        <v>x</v>
      </c>
      <c r="C1126" s="351"/>
      <c r="D1126" s="619" t="str">
        <f>'refer admin discharge'!D1122</f>
        <v>xx</v>
      </c>
      <c r="E1126" s="351"/>
      <c r="F1126" s="620" t="str">
        <f>'refer admin discharge'!H1122</f>
        <v>00/00/0000</v>
      </c>
      <c r="G1126" s="351"/>
      <c r="H1126" s="615"/>
      <c r="I1126" s="351"/>
      <c r="J1126" s="621"/>
      <c r="K1126" s="351"/>
      <c r="L1126" s="615"/>
      <c r="M1126" s="351"/>
      <c r="N1126" s="610"/>
      <c r="O1126" s="351"/>
      <c r="P1126" s="615"/>
      <c r="Q1126" s="351"/>
      <c r="R1126" s="610"/>
      <c r="S1126" s="351"/>
      <c r="T1126" s="615"/>
      <c r="U1126" s="351"/>
      <c r="V1126" s="613" t="str">
        <f>'refer admin discharge'!H1127</f>
        <v>00/00/0000</v>
      </c>
      <c r="W1126" s="351"/>
      <c r="X1126" s="616"/>
      <c r="Y1126" s="351"/>
      <c r="Z1126" s="617"/>
      <c r="AA1126" s="351"/>
      <c r="AB1126" s="616"/>
      <c r="AC1126" s="351"/>
      <c r="AD1126" s="607"/>
      <c r="AE1126" s="351"/>
      <c r="AF1126" s="616"/>
      <c r="AG1126" s="351"/>
      <c r="AH1126" s="607"/>
      <c r="AI1126" s="351"/>
      <c r="AJ1126" s="616"/>
      <c r="AK1126" s="351"/>
      <c r="AL1126" s="622"/>
      <c r="AM1126" s="350"/>
      <c r="AN1126" s="350"/>
      <c r="AO1126" s="350"/>
      <c r="AP1126" s="350"/>
      <c r="AQ1126" s="350"/>
      <c r="AR1126" s="350"/>
      <c r="AS1126" s="350"/>
      <c r="AT1126" s="350"/>
      <c r="AU1126" s="350"/>
      <c r="AV1126" s="350"/>
      <c r="AW1126" s="350"/>
      <c r="AX1126" s="350"/>
      <c r="AY1126" s="350"/>
      <c r="AZ1126" s="350"/>
      <c r="BA1126" s="350"/>
      <c r="BB1126" s="351"/>
    </row>
    <row r="1127" spans="1:54" ht="15.75" customHeight="1">
      <c r="A1127" s="25">
        <f t="shared" si="4"/>
        <v>1114</v>
      </c>
      <c r="B1127" s="599" t="str">
        <f>'refer admin discharge'!B1123</f>
        <v>x</v>
      </c>
      <c r="C1127" s="351"/>
      <c r="D1127" s="600" t="str">
        <f>'refer admin discharge'!D1123</f>
        <v>xx</v>
      </c>
      <c r="E1127" s="351"/>
      <c r="F1127" s="609" t="str">
        <f>'refer admin discharge'!H1123</f>
        <v>00/00/0000</v>
      </c>
      <c r="G1127" s="351"/>
      <c r="H1127" s="610"/>
      <c r="I1127" s="351"/>
      <c r="J1127" s="611"/>
      <c r="K1127" s="351"/>
      <c r="L1127" s="610"/>
      <c r="M1127" s="351"/>
      <c r="N1127" s="612"/>
      <c r="O1127" s="351"/>
      <c r="P1127" s="610"/>
      <c r="Q1127" s="351"/>
      <c r="R1127" s="612"/>
      <c r="S1127" s="351"/>
      <c r="T1127" s="610"/>
      <c r="U1127" s="351"/>
      <c r="V1127" s="613" t="str">
        <f>'refer admin discharge'!H1128</f>
        <v>00/00/0000</v>
      </c>
      <c r="W1127" s="351"/>
      <c r="X1127" s="607"/>
      <c r="Y1127" s="351"/>
      <c r="Z1127" s="614"/>
      <c r="AA1127" s="351"/>
      <c r="AB1127" s="607"/>
      <c r="AC1127" s="351"/>
      <c r="AD1127" s="606"/>
      <c r="AE1127" s="351"/>
      <c r="AF1127" s="607"/>
      <c r="AG1127" s="351"/>
      <c r="AH1127" s="606"/>
      <c r="AI1127" s="351"/>
      <c r="AJ1127" s="607"/>
      <c r="AK1127" s="351"/>
      <c r="AL1127" s="608"/>
      <c r="AM1127" s="350"/>
      <c r="AN1127" s="350"/>
      <c r="AO1127" s="350"/>
      <c r="AP1127" s="350"/>
      <c r="AQ1127" s="350"/>
      <c r="AR1127" s="350"/>
      <c r="AS1127" s="350"/>
      <c r="AT1127" s="350"/>
      <c r="AU1127" s="350"/>
      <c r="AV1127" s="350"/>
      <c r="AW1127" s="350"/>
      <c r="AX1127" s="350"/>
      <c r="AY1127" s="350"/>
      <c r="AZ1127" s="350"/>
      <c r="BA1127" s="350"/>
      <c r="BB1127" s="351"/>
    </row>
    <row r="1128" spans="1:54" ht="15.75" customHeight="1">
      <c r="A1128" s="25">
        <f t="shared" si="4"/>
        <v>1115</v>
      </c>
      <c r="B1128" s="618" t="str">
        <f>'refer admin discharge'!B1124</f>
        <v>x</v>
      </c>
      <c r="C1128" s="351"/>
      <c r="D1128" s="619" t="str">
        <f>'refer admin discharge'!D1124</f>
        <v>xx</v>
      </c>
      <c r="E1128" s="351"/>
      <c r="F1128" s="620" t="str">
        <f>'refer admin discharge'!H1124</f>
        <v>00/00/0000</v>
      </c>
      <c r="G1128" s="351"/>
      <c r="H1128" s="615"/>
      <c r="I1128" s="351"/>
      <c r="J1128" s="621"/>
      <c r="K1128" s="351"/>
      <c r="L1128" s="615"/>
      <c r="M1128" s="351"/>
      <c r="N1128" s="610"/>
      <c r="O1128" s="351"/>
      <c r="P1128" s="615"/>
      <c r="Q1128" s="351"/>
      <c r="R1128" s="610"/>
      <c r="S1128" s="351"/>
      <c r="T1128" s="615"/>
      <c r="U1128" s="351"/>
      <c r="V1128" s="613" t="str">
        <f>'refer admin discharge'!H1129</f>
        <v>00/00/0000</v>
      </c>
      <c r="W1128" s="351"/>
      <c r="X1128" s="616"/>
      <c r="Y1128" s="351"/>
      <c r="Z1128" s="617"/>
      <c r="AA1128" s="351"/>
      <c r="AB1128" s="616"/>
      <c r="AC1128" s="351"/>
      <c r="AD1128" s="607"/>
      <c r="AE1128" s="351"/>
      <c r="AF1128" s="616"/>
      <c r="AG1128" s="351"/>
      <c r="AH1128" s="607"/>
      <c r="AI1128" s="351"/>
      <c r="AJ1128" s="616"/>
      <c r="AK1128" s="351"/>
      <c r="AL1128" s="622"/>
      <c r="AM1128" s="350"/>
      <c r="AN1128" s="350"/>
      <c r="AO1128" s="350"/>
      <c r="AP1128" s="350"/>
      <c r="AQ1128" s="350"/>
      <c r="AR1128" s="350"/>
      <c r="AS1128" s="350"/>
      <c r="AT1128" s="350"/>
      <c r="AU1128" s="350"/>
      <c r="AV1128" s="350"/>
      <c r="AW1128" s="350"/>
      <c r="AX1128" s="350"/>
      <c r="AY1128" s="350"/>
      <c r="AZ1128" s="350"/>
      <c r="BA1128" s="350"/>
      <c r="BB1128" s="351"/>
    </row>
    <row r="1129" spans="1:54" ht="15.75" customHeight="1">
      <c r="A1129" s="25">
        <f t="shared" si="4"/>
        <v>1116</v>
      </c>
      <c r="B1129" s="599" t="str">
        <f>'refer admin discharge'!B1125</f>
        <v>x</v>
      </c>
      <c r="C1129" s="351"/>
      <c r="D1129" s="600" t="str">
        <f>'refer admin discharge'!D1125</f>
        <v>xx</v>
      </c>
      <c r="E1129" s="351"/>
      <c r="F1129" s="609" t="str">
        <f>'refer admin discharge'!H1125</f>
        <v>00/00/0000</v>
      </c>
      <c r="G1129" s="351"/>
      <c r="H1129" s="610"/>
      <c r="I1129" s="351"/>
      <c r="J1129" s="611"/>
      <c r="K1129" s="351"/>
      <c r="L1129" s="610"/>
      <c r="M1129" s="351"/>
      <c r="N1129" s="612"/>
      <c r="O1129" s="351"/>
      <c r="P1129" s="610"/>
      <c r="Q1129" s="351"/>
      <c r="R1129" s="612"/>
      <c r="S1129" s="351"/>
      <c r="T1129" s="610"/>
      <c r="U1129" s="351"/>
      <c r="V1129" s="613" t="str">
        <f>'refer admin discharge'!H1130</f>
        <v>00/00/0000</v>
      </c>
      <c r="W1129" s="351"/>
      <c r="X1129" s="607"/>
      <c r="Y1129" s="351"/>
      <c r="Z1129" s="614"/>
      <c r="AA1129" s="351"/>
      <c r="AB1129" s="607"/>
      <c r="AC1129" s="351"/>
      <c r="AD1129" s="606"/>
      <c r="AE1129" s="351"/>
      <c r="AF1129" s="607"/>
      <c r="AG1129" s="351"/>
      <c r="AH1129" s="606"/>
      <c r="AI1129" s="351"/>
      <c r="AJ1129" s="607"/>
      <c r="AK1129" s="351"/>
      <c r="AL1129" s="608"/>
      <c r="AM1129" s="350"/>
      <c r="AN1129" s="350"/>
      <c r="AO1129" s="350"/>
      <c r="AP1129" s="350"/>
      <c r="AQ1129" s="350"/>
      <c r="AR1129" s="350"/>
      <c r="AS1129" s="350"/>
      <c r="AT1129" s="350"/>
      <c r="AU1129" s="350"/>
      <c r="AV1129" s="350"/>
      <c r="AW1129" s="350"/>
      <c r="AX1129" s="350"/>
      <c r="AY1129" s="350"/>
      <c r="AZ1129" s="350"/>
      <c r="BA1129" s="350"/>
      <c r="BB1129" s="351"/>
    </row>
    <row r="1130" spans="1:54" ht="15.75" customHeight="1">
      <c r="A1130" s="25">
        <f t="shared" si="4"/>
        <v>1117</v>
      </c>
      <c r="B1130" s="618" t="str">
        <f>'refer admin discharge'!B1126</f>
        <v>x</v>
      </c>
      <c r="C1130" s="351"/>
      <c r="D1130" s="619" t="str">
        <f>'refer admin discharge'!D1126</f>
        <v>xx</v>
      </c>
      <c r="E1130" s="351"/>
      <c r="F1130" s="620" t="str">
        <f>'refer admin discharge'!H1126</f>
        <v>00/00/0000</v>
      </c>
      <c r="G1130" s="351"/>
      <c r="H1130" s="615"/>
      <c r="I1130" s="351"/>
      <c r="J1130" s="621"/>
      <c r="K1130" s="351"/>
      <c r="L1130" s="615"/>
      <c r="M1130" s="351"/>
      <c r="N1130" s="610"/>
      <c r="O1130" s="351"/>
      <c r="P1130" s="615"/>
      <c r="Q1130" s="351"/>
      <c r="R1130" s="610"/>
      <c r="S1130" s="351"/>
      <c r="T1130" s="615"/>
      <c r="U1130" s="351"/>
      <c r="V1130" s="613" t="str">
        <f>'refer admin discharge'!H1131</f>
        <v>00/00/0000</v>
      </c>
      <c r="W1130" s="351"/>
      <c r="X1130" s="616"/>
      <c r="Y1130" s="351"/>
      <c r="Z1130" s="617"/>
      <c r="AA1130" s="351"/>
      <c r="AB1130" s="616"/>
      <c r="AC1130" s="351"/>
      <c r="AD1130" s="607"/>
      <c r="AE1130" s="351"/>
      <c r="AF1130" s="616"/>
      <c r="AG1130" s="351"/>
      <c r="AH1130" s="607"/>
      <c r="AI1130" s="351"/>
      <c r="AJ1130" s="616"/>
      <c r="AK1130" s="351"/>
      <c r="AL1130" s="622"/>
      <c r="AM1130" s="350"/>
      <c r="AN1130" s="350"/>
      <c r="AO1130" s="350"/>
      <c r="AP1130" s="350"/>
      <c r="AQ1130" s="350"/>
      <c r="AR1130" s="350"/>
      <c r="AS1130" s="350"/>
      <c r="AT1130" s="350"/>
      <c r="AU1130" s="350"/>
      <c r="AV1130" s="350"/>
      <c r="AW1130" s="350"/>
      <c r="AX1130" s="350"/>
      <c r="AY1130" s="350"/>
      <c r="AZ1130" s="350"/>
      <c r="BA1130" s="350"/>
      <c r="BB1130" s="351"/>
    </row>
    <row r="1131" spans="1:54" ht="15.75" customHeight="1">
      <c r="A1131" s="25">
        <f t="shared" si="4"/>
        <v>1118</v>
      </c>
      <c r="B1131" s="599" t="str">
        <f>'refer admin discharge'!B1127</f>
        <v>x</v>
      </c>
      <c r="C1131" s="351"/>
      <c r="D1131" s="600" t="str">
        <f>'refer admin discharge'!D1127</f>
        <v>xx</v>
      </c>
      <c r="E1131" s="351"/>
      <c r="F1131" s="609" t="str">
        <f>'refer admin discharge'!H1127</f>
        <v>00/00/0000</v>
      </c>
      <c r="G1131" s="351"/>
      <c r="H1131" s="610"/>
      <c r="I1131" s="351"/>
      <c r="J1131" s="611"/>
      <c r="K1131" s="351"/>
      <c r="L1131" s="610"/>
      <c r="M1131" s="351"/>
      <c r="N1131" s="612"/>
      <c r="O1131" s="351"/>
      <c r="P1131" s="610"/>
      <c r="Q1131" s="351"/>
      <c r="R1131" s="612"/>
      <c r="S1131" s="351"/>
      <c r="T1131" s="610"/>
      <c r="U1131" s="351"/>
      <c r="V1131" s="613" t="str">
        <f>'refer admin discharge'!H1132</f>
        <v>00/00/0000</v>
      </c>
      <c r="W1131" s="351"/>
      <c r="X1131" s="607"/>
      <c r="Y1131" s="351"/>
      <c r="Z1131" s="614"/>
      <c r="AA1131" s="351"/>
      <c r="AB1131" s="607"/>
      <c r="AC1131" s="351"/>
      <c r="AD1131" s="606"/>
      <c r="AE1131" s="351"/>
      <c r="AF1131" s="607"/>
      <c r="AG1131" s="351"/>
      <c r="AH1131" s="606"/>
      <c r="AI1131" s="351"/>
      <c r="AJ1131" s="607"/>
      <c r="AK1131" s="351"/>
      <c r="AL1131" s="608"/>
      <c r="AM1131" s="350"/>
      <c r="AN1131" s="350"/>
      <c r="AO1131" s="350"/>
      <c r="AP1131" s="350"/>
      <c r="AQ1131" s="350"/>
      <c r="AR1131" s="350"/>
      <c r="AS1131" s="350"/>
      <c r="AT1131" s="350"/>
      <c r="AU1131" s="350"/>
      <c r="AV1131" s="350"/>
      <c r="AW1131" s="350"/>
      <c r="AX1131" s="350"/>
      <c r="AY1131" s="350"/>
      <c r="AZ1131" s="350"/>
      <c r="BA1131" s="350"/>
      <c r="BB1131" s="351"/>
    </row>
    <row r="1132" spans="1:54" ht="15.75" customHeight="1">
      <c r="A1132" s="25">
        <f t="shared" si="4"/>
        <v>1119</v>
      </c>
      <c r="B1132" s="618" t="str">
        <f>'refer admin discharge'!B1128</f>
        <v>x</v>
      </c>
      <c r="C1132" s="351"/>
      <c r="D1132" s="619" t="str">
        <f>'refer admin discharge'!D1128</f>
        <v>xx</v>
      </c>
      <c r="E1132" s="351"/>
      <c r="F1132" s="620" t="str">
        <f>'refer admin discharge'!H1128</f>
        <v>00/00/0000</v>
      </c>
      <c r="G1132" s="351"/>
      <c r="H1132" s="615"/>
      <c r="I1132" s="351"/>
      <c r="J1132" s="621"/>
      <c r="K1132" s="351"/>
      <c r="L1132" s="615"/>
      <c r="M1132" s="351"/>
      <c r="N1132" s="610"/>
      <c r="O1132" s="351"/>
      <c r="P1132" s="615"/>
      <c r="Q1132" s="351"/>
      <c r="R1132" s="610"/>
      <c r="S1132" s="351"/>
      <c r="T1132" s="615"/>
      <c r="U1132" s="351"/>
      <c r="V1132" s="613" t="str">
        <f>'refer admin discharge'!H1133</f>
        <v>00/00/0000</v>
      </c>
      <c r="W1132" s="351"/>
      <c r="X1132" s="616"/>
      <c r="Y1132" s="351"/>
      <c r="Z1132" s="617"/>
      <c r="AA1132" s="351"/>
      <c r="AB1132" s="616"/>
      <c r="AC1132" s="351"/>
      <c r="AD1132" s="607"/>
      <c r="AE1132" s="351"/>
      <c r="AF1132" s="616"/>
      <c r="AG1132" s="351"/>
      <c r="AH1132" s="607"/>
      <c r="AI1132" s="351"/>
      <c r="AJ1132" s="616"/>
      <c r="AK1132" s="351"/>
      <c r="AL1132" s="622"/>
      <c r="AM1132" s="350"/>
      <c r="AN1132" s="350"/>
      <c r="AO1132" s="350"/>
      <c r="AP1132" s="350"/>
      <c r="AQ1132" s="350"/>
      <c r="AR1132" s="350"/>
      <c r="AS1132" s="350"/>
      <c r="AT1132" s="350"/>
      <c r="AU1132" s="350"/>
      <c r="AV1132" s="350"/>
      <c r="AW1132" s="350"/>
      <c r="AX1132" s="350"/>
      <c r="AY1132" s="350"/>
      <c r="AZ1132" s="350"/>
      <c r="BA1132" s="350"/>
      <c r="BB1132" s="351"/>
    </row>
    <row r="1133" spans="1:54" ht="15.75" customHeight="1">
      <c r="A1133" s="25">
        <f t="shared" si="4"/>
        <v>1120</v>
      </c>
      <c r="B1133" s="599" t="str">
        <f>'refer admin discharge'!B1129</f>
        <v>x</v>
      </c>
      <c r="C1133" s="351"/>
      <c r="D1133" s="600" t="str">
        <f>'refer admin discharge'!D1129</f>
        <v>xx</v>
      </c>
      <c r="E1133" s="351"/>
      <c r="F1133" s="609" t="str">
        <f>'refer admin discharge'!H1129</f>
        <v>00/00/0000</v>
      </c>
      <c r="G1133" s="351"/>
      <c r="H1133" s="610"/>
      <c r="I1133" s="351"/>
      <c r="J1133" s="611"/>
      <c r="K1133" s="351"/>
      <c r="L1133" s="610"/>
      <c r="M1133" s="351"/>
      <c r="N1133" s="612"/>
      <c r="O1133" s="351"/>
      <c r="P1133" s="610"/>
      <c r="Q1133" s="351"/>
      <c r="R1133" s="612"/>
      <c r="S1133" s="351"/>
      <c r="T1133" s="610"/>
      <c r="U1133" s="351"/>
      <c r="V1133" s="613" t="str">
        <f>'refer admin discharge'!H1134</f>
        <v>00/00/0000</v>
      </c>
      <c r="W1133" s="351"/>
      <c r="X1133" s="607"/>
      <c r="Y1133" s="351"/>
      <c r="Z1133" s="614"/>
      <c r="AA1133" s="351"/>
      <c r="AB1133" s="607"/>
      <c r="AC1133" s="351"/>
      <c r="AD1133" s="606"/>
      <c r="AE1133" s="351"/>
      <c r="AF1133" s="607"/>
      <c r="AG1133" s="351"/>
      <c r="AH1133" s="606"/>
      <c r="AI1133" s="351"/>
      <c r="AJ1133" s="607"/>
      <c r="AK1133" s="351"/>
      <c r="AL1133" s="608"/>
      <c r="AM1133" s="350"/>
      <c r="AN1133" s="350"/>
      <c r="AO1133" s="350"/>
      <c r="AP1133" s="350"/>
      <c r="AQ1133" s="350"/>
      <c r="AR1133" s="350"/>
      <c r="AS1133" s="350"/>
      <c r="AT1133" s="350"/>
      <c r="AU1133" s="350"/>
      <c r="AV1133" s="350"/>
      <c r="AW1133" s="350"/>
      <c r="AX1133" s="350"/>
      <c r="AY1133" s="350"/>
      <c r="AZ1133" s="350"/>
      <c r="BA1133" s="350"/>
      <c r="BB1133" s="351"/>
    </row>
    <row r="1134" spans="1:54" ht="15.75" customHeight="1">
      <c r="A1134" s="25">
        <f t="shared" si="4"/>
        <v>1121</v>
      </c>
      <c r="B1134" s="618" t="str">
        <f>'refer admin discharge'!B1130</f>
        <v>x</v>
      </c>
      <c r="C1134" s="351"/>
      <c r="D1134" s="619" t="str">
        <f>'refer admin discharge'!D1130</f>
        <v>xx</v>
      </c>
      <c r="E1134" s="351"/>
      <c r="F1134" s="620" t="str">
        <f>'refer admin discharge'!H1130</f>
        <v>00/00/0000</v>
      </c>
      <c r="G1134" s="351"/>
      <c r="H1134" s="615"/>
      <c r="I1134" s="351"/>
      <c r="J1134" s="621"/>
      <c r="K1134" s="351"/>
      <c r="L1134" s="615"/>
      <c r="M1134" s="351"/>
      <c r="N1134" s="610"/>
      <c r="O1134" s="351"/>
      <c r="P1134" s="615"/>
      <c r="Q1134" s="351"/>
      <c r="R1134" s="610"/>
      <c r="S1134" s="351"/>
      <c r="T1134" s="615"/>
      <c r="U1134" s="351"/>
      <c r="V1134" s="613" t="str">
        <f>'refer admin discharge'!H1135</f>
        <v>00/00/0000</v>
      </c>
      <c r="W1134" s="351"/>
      <c r="X1134" s="616"/>
      <c r="Y1134" s="351"/>
      <c r="Z1134" s="617"/>
      <c r="AA1134" s="351"/>
      <c r="AB1134" s="616"/>
      <c r="AC1134" s="351"/>
      <c r="AD1134" s="607"/>
      <c r="AE1134" s="351"/>
      <c r="AF1134" s="616"/>
      <c r="AG1134" s="351"/>
      <c r="AH1134" s="607"/>
      <c r="AI1134" s="351"/>
      <c r="AJ1134" s="616"/>
      <c r="AK1134" s="351"/>
      <c r="AL1134" s="622"/>
      <c r="AM1134" s="350"/>
      <c r="AN1134" s="350"/>
      <c r="AO1134" s="350"/>
      <c r="AP1134" s="350"/>
      <c r="AQ1134" s="350"/>
      <c r="AR1134" s="350"/>
      <c r="AS1134" s="350"/>
      <c r="AT1134" s="350"/>
      <c r="AU1134" s="350"/>
      <c r="AV1134" s="350"/>
      <c r="AW1134" s="350"/>
      <c r="AX1134" s="350"/>
      <c r="AY1134" s="350"/>
      <c r="AZ1134" s="350"/>
      <c r="BA1134" s="350"/>
      <c r="BB1134" s="351"/>
    </row>
    <row r="1135" spans="1:54" ht="15.75" customHeight="1">
      <c r="A1135" s="25">
        <f t="shared" si="4"/>
        <v>1122</v>
      </c>
      <c r="B1135" s="599" t="str">
        <f>'refer admin discharge'!B1131</f>
        <v>x</v>
      </c>
      <c r="C1135" s="351"/>
      <c r="D1135" s="600" t="str">
        <f>'refer admin discharge'!D1131</f>
        <v>xx</v>
      </c>
      <c r="E1135" s="351"/>
      <c r="F1135" s="609" t="str">
        <f>'refer admin discharge'!H1131</f>
        <v>00/00/0000</v>
      </c>
      <c r="G1135" s="351"/>
      <c r="H1135" s="610"/>
      <c r="I1135" s="351"/>
      <c r="J1135" s="611"/>
      <c r="K1135" s="351"/>
      <c r="L1135" s="610"/>
      <c r="M1135" s="351"/>
      <c r="N1135" s="612"/>
      <c r="O1135" s="351"/>
      <c r="P1135" s="610"/>
      <c r="Q1135" s="351"/>
      <c r="R1135" s="612"/>
      <c r="S1135" s="351"/>
      <c r="T1135" s="610"/>
      <c r="U1135" s="351"/>
      <c r="V1135" s="613" t="str">
        <f>'refer admin discharge'!H1136</f>
        <v>00/00/0000</v>
      </c>
      <c r="W1135" s="351"/>
      <c r="X1135" s="607"/>
      <c r="Y1135" s="351"/>
      <c r="Z1135" s="614"/>
      <c r="AA1135" s="351"/>
      <c r="AB1135" s="607"/>
      <c r="AC1135" s="351"/>
      <c r="AD1135" s="606"/>
      <c r="AE1135" s="351"/>
      <c r="AF1135" s="607"/>
      <c r="AG1135" s="351"/>
      <c r="AH1135" s="606"/>
      <c r="AI1135" s="351"/>
      <c r="AJ1135" s="607"/>
      <c r="AK1135" s="351"/>
      <c r="AL1135" s="608"/>
      <c r="AM1135" s="350"/>
      <c r="AN1135" s="350"/>
      <c r="AO1135" s="350"/>
      <c r="AP1135" s="350"/>
      <c r="AQ1135" s="350"/>
      <c r="AR1135" s="350"/>
      <c r="AS1135" s="350"/>
      <c r="AT1135" s="350"/>
      <c r="AU1135" s="350"/>
      <c r="AV1135" s="350"/>
      <c r="AW1135" s="350"/>
      <c r="AX1135" s="350"/>
      <c r="AY1135" s="350"/>
      <c r="AZ1135" s="350"/>
      <c r="BA1135" s="350"/>
      <c r="BB1135" s="351"/>
    </row>
    <row r="1136" spans="1:54" ht="15.75" customHeight="1">
      <c r="A1136" s="25">
        <f t="shared" si="4"/>
        <v>1123</v>
      </c>
      <c r="B1136" s="618" t="str">
        <f>'refer admin discharge'!B1132</f>
        <v>x</v>
      </c>
      <c r="C1136" s="351"/>
      <c r="D1136" s="619" t="str">
        <f>'refer admin discharge'!D1132</f>
        <v>xx</v>
      </c>
      <c r="E1136" s="351"/>
      <c r="F1136" s="620" t="str">
        <f>'refer admin discharge'!H1132</f>
        <v>00/00/0000</v>
      </c>
      <c r="G1136" s="351"/>
      <c r="H1136" s="615"/>
      <c r="I1136" s="351"/>
      <c r="J1136" s="621"/>
      <c r="K1136" s="351"/>
      <c r="L1136" s="615"/>
      <c r="M1136" s="351"/>
      <c r="N1136" s="610"/>
      <c r="O1136" s="351"/>
      <c r="P1136" s="615"/>
      <c r="Q1136" s="351"/>
      <c r="R1136" s="610"/>
      <c r="S1136" s="351"/>
      <c r="T1136" s="615"/>
      <c r="U1136" s="351"/>
      <c r="V1136" s="613" t="str">
        <f>'refer admin discharge'!H1137</f>
        <v>00/00/0000</v>
      </c>
      <c r="W1136" s="351"/>
      <c r="X1136" s="616"/>
      <c r="Y1136" s="351"/>
      <c r="Z1136" s="617"/>
      <c r="AA1136" s="351"/>
      <c r="AB1136" s="616"/>
      <c r="AC1136" s="351"/>
      <c r="AD1136" s="607"/>
      <c r="AE1136" s="351"/>
      <c r="AF1136" s="616"/>
      <c r="AG1136" s="351"/>
      <c r="AH1136" s="607"/>
      <c r="AI1136" s="351"/>
      <c r="AJ1136" s="616"/>
      <c r="AK1136" s="351"/>
      <c r="AL1136" s="622"/>
      <c r="AM1136" s="350"/>
      <c r="AN1136" s="350"/>
      <c r="AO1136" s="350"/>
      <c r="AP1136" s="350"/>
      <c r="AQ1136" s="350"/>
      <c r="AR1136" s="350"/>
      <c r="AS1136" s="350"/>
      <c r="AT1136" s="350"/>
      <c r="AU1136" s="350"/>
      <c r="AV1136" s="350"/>
      <c r="AW1136" s="350"/>
      <c r="AX1136" s="350"/>
      <c r="AY1136" s="350"/>
      <c r="AZ1136" s="350"/>
      <c r="BA1136" s="350"/>
      <c r="BB1136" s="351"/>
    </row>
    <row r="1137" spans="1:54" ht="15.75" customHeight="1">
      <c r="A1137" s="25">
        <f t="shared" si="4"/>
        <v>1124</v>
      </c>
      <c r="B1137" s="599" t="str">
        <f>'refer admin discharge'!B1133</f>
        <v>x</v>
      </c>
      <c r="C1137" s="351"/>
      <c r="D1137" s="600" t="str">
        <f>'refer admin discharge'!D1133</f>
        <v>xx</v>
      </c>
      <c r="E1137" s="351"/>
      <c r="F1137" s="609" t="str">
        <f>'refer admin discharge'!H1133</f>
        <v>00/00/0000</v>
      </c>
      <c r="G1137" s="351"/>
      <c r="H1137" s="610"/>
      <c r="I1137" s="351"/>
      <c r="J1137" s="611"/>
      <c r="K1137" s="351"/>
      <c r="L1137" s="610"/>
      <c r="M1137" s="351"/>
      <c r="N1137" s="612"/>
      <c r="O1137" s="351"/>
      <c r="P1137" s="610"/>
      <c r="Q1137" s="351"/>
      <c r="R1137" s="612"/>
      <c r="S1137" s="351"/>
      <c r="T1137" s="610"/>
      <c r="U1137" s="351"/>
      <c r="V1137" s="613" t="str">
        <f>'refer admin discharge'!H1138</f>
        <v>00/00/0000</v>
      </c>
      <c r="W1137" s="351"/>
      <c r="X1137" s="607"/>
      <c r="Y1137" s="351"/>
      <c r="Z1137" s="614"/>
      <c r="AA1137" s="351"/>
      <c r="AB1137" s="607"/>
      <c r="AC1137" s="351"/>
      <c r="AD1137" s="606"/>
      <c r="AE1137" s="351"/>
      <c r="AF1137" s="607"/>
      <c r="AG1137" s="351"/>
      <c r="AH1137" s="606"/>
      <c r="AI1137" s="351"/>
      <c r="AJ1137" s="607"/>
      <c r="AK1137" s="351"/>
      <c r="AL1137" s="608"/>
      <c r="AM1137" s="350"/>
      <c r="AN1137" s="350"/>
      <c r="AO1137" s="350"/>
      <c r="AP1137" s="350"/>
      <c r="AQ1137" s="350"/>
      <c r="AR1137" s="350"/>
      <c r="AS1137" s="350"/>
      <c r="AT1137" s="350"/>
      <c r="AU1137" s="350"/>
      <c r="AV1137" s="350"/>
      <c r="AW1137" s="350"/>
      <c r="AX1137" s="350"/>
      <c r="AY1137" s="350"/>
      <c r="AZ1137" s="350"/>
      <c r="BA1137" s="350"/>
      <c r="BB1137" s="351"/>
    </row>
    <row r="1138" spans="1:54" ht="15.75" customHeight="1">
      <c r="A1138" s="25">
        <f t="shared" si="4"/>
        <v>1125</v>
      </c>
      <c r="B1138" s="618" t="str">
        <f>'refer admin discharge'!B1134</f>
        <v>x</v>
      </c>
      <c r="C1138" s="351"/>
      <c r="D1138" s="619" t="str">
        <f>'refer admin discharge'!D1134</f>
        <v>xx</v>
      </c>
      <c r="E1138" s="351"/>
      <c r="F1138" s="620" t="str">
        <f>'refer admin discharge'!H1134</f>
        <v>00/00/0000</v>
      </c>
      <c r="G1138" s="351"/>
      <c r="H1138" s="615"/>
      <c r="I1138" s="351"/>
      <c r="J1138" s="621"/>
      <c r="K1138" s="351"/>
      <c r="L1138" s="615"/>
      <c r="M1138" s="351"/>
      <c r="N1138" s="610"/>
      <c r="O1138" s="351"/>
      <c r="P1138" s="615"/>
      <c r="Q1138" s="351"/>
      <c r="R1138" s="610"/>
      <c r="S1138" s="351"/>
      <c r="T1138" s="615"/>
      <c r="U1138" s="351"/>
      <c r="V1138" s="613" t="str">
        <f>'refer admin discharge'!H1139</f>
        <v>00/00/0000</v>
      </c>
      <c r="W1138" s="351"/>
      <c r="X1138" s="616"/>
      <c r="Y1138" s="351"/>
      <c r="Z1138" s="617"/>
      <c r="AA1138" s="351"/>
      <c r="AB1138" s="616"/>
      <c r="AC1138" s="351"/>
      <c r="AD1138" s="607"/>
      <c r="AE1138" s="351"/>
      <c r="AF1138" s="616"/>
      <c r="AG1138" s="351"/>
      <c r="AH1138" s="607"/>
      <c r="AI1138" s="351"/>
      <c r="AJ1138" s="616"/>
      <c r="AK1138" s="351"/>
      <c r="AL1138" s="622"/>
      <c r="AM1138" s="350"/>
      <c r="AN1138" s="350"/>
      <c r="AO1138" s="350"/>
      <c r="AP1138" s="350"/>
      <c r="AQ1138" s="350"/>
      <c r="AR1138" s="350"/>
      <c r="AS1138" s="350"/>
      <c r="AT1138" s="350"/>
      <c r="AU1138" s="350"/>
      <c r="AV1138" s="350"/>
      <c r="AW1138" s="350"/>
      <c r="AX1138" s="350"/>
      <c r="AY1138" s="350"/>
      <c r="AZ1138" s="350"/>
      <c r="BA1138" s="350"/>
      <c r="BB1138" s="351"/>
    </row>
    <row r="1139" spans="1:54" ht="15.75" customHeight="1">
      <c r="A1139" s="25">
        <f t="shared" si="4"/>
        <v>1126</v>
      </c>
      <c r="B1139" s="599" t="str">
        <f>'refer admin discharge'!B1135</f>
        <v>x</v>
      </c>
      <c r="C1139" s="351"/>
      <c r="D1139" s="600" t="str">
        <f>'refer admin discharge'!D1135</f>
        <v>xx</v>
      </c>
      <c r="E1139" s="351"/>
      <c r="F1139" s="609" t="str">
        <f>'refer admin discharge'!H1135</f>
        <v>00/00/0000</v>
      </c>
      <c r="G1139" s="351"/>
      <c r="H1139" s="610"/>
      <c r="I1139" s="351"/>
      <c r="J1139" s="611"/>
      <c r="K1139" s="351"/>
      <c r="L1139" s="610"/>
      <c r="M1139" s="351"/>
      <c r="N1139" s="612"/>
      <c r="O1139" s="351"/>
      <c r="P1139" s="610"/>
      <c r="Q1139" s="351"/>
      <c r="R1139" s="612"/>
      <c r="S1139" s="351"/>
      <c r="T1139" s="610"/>
      <c r="U1139" s="351"/>
      <c r="V1139" s="613" t="str">
        <f>'refer admin discharge'!H1140</f>
        <v>00/00/0000</v>
      </c>
      <c r="W1139" s="351"/>
      <c r="X1139" s="607"/>
      <c r="Y1139" s="351"/>
      <c r="Z1139" s="614"/>
      <c r="AA1139" s="351"/>
      <c r="AB1139" s="607"/>
      <c r="AC1139" s="351"/>
      <c r="AD1139" s="606"/>
      <c r="AE1139" s="351"/>
      <c r="AF1139" s="607"/>
      <c r="AG1139" s="351"/>
      <c r="AH1139" s="606"/>
      <c r="AI1139" s="351"/>
      <c r="AJ1139" s="607"/>
      <c r="AK1139" s="351"/>
      <c r="AL1139" s="608"/>
      <c r="AM1139" s="350"/>
      <c r="AN1139" s="350"/>
      <c r="AO1139" s="350"/>
      <c r="AP1139" s="350"/>
      <c r="AQ1139" s="350"/>
      <c r="AR1139" s="350"/>
      <c r="AS1139" s="350"/>
      <c r="AT1139" s="350"/>
      <c r="AU1139" s="350"/>
      <c r="AV1139" s="350"/>
      <c r="AW1139" s="350"/>
      <c r="AX1139" s="350"/>
      <c r="AY1139" s="350"/>
      <c r="AZ1139" s="350"/>
      <c r="BA1139" s="350"/>
      <c r="BB1139" s="351"/>
    </row>
    <row r="1140" spans="1:54" ht="15.75" customHeight="1">
      <c r="A1140" s="25">
        <f t="shared" si="4"/>
        <v>1127</v>
      </c>
      <c r="B1140" s="618" t="str">
        <f>'refer admin discharge'!B1136</f>
        <v>x</v>
      </c>
      <c r="C1140" s="351"/>
      <c r="D1140" s="619" t="str">
        <f>'refer admin discharge'!D1136</f>
        <v>xx</v>
      </c>
      <c r="E1140" s="351"/>
      <c r="F1140" s="620" t="str">
        <f>'refer admin discharge'!H1136</f>
        <v>00/00/0000</v>
      </c>
      <c r="G1140" s="351"/>
      <c r="H1140" s="615"/>
      <c r="I1140" s="351"/>
      <c r="J1140" s="621"/>
      <c r="K1140" s="351"/>
      <c r="L1140" s="615"/>
      <c r="M1140" s="351"/>
      <c r="N1140" s="610"/>
      <c r="O1140" s="351"/>
      <c r="P1140" s="615"/>
      <c r="Q1140" s="351"/>
      <c r="R1140" s="610"/>
      <c r="S1140" s="351"/>
      <c r="T1140" s="615"/>
      <c r="U1140" s="351"/>
      <c r="V1140" s="613" t="str">
        <f>'refer admin discharge'!H1141</f>
        <v>00/00/0000</v>
      </c>
      <c r="W1140" s="351"/>
      <c r="X1140" s="616"/>
      <c r="Y1140" s="351"/>
      <c r="Z1140" s="617"/>
      <c r="AA1140" s="351"/>
      <c r="AB1140" s="616"/>
      <c r="AC1140" s="351"/>
      <c r="AD1140" s="607"/>
      <c r="AE1140" s="351"/>
      <c r="AF1140" s="616"/>
      <c r="AG1140" s="351"/>
      <c r="AH1140" s="607"/>
      <c r="AI1140" s="351"/>
      <c r="AJ1140" s="616"/>
      <c r="AK1140" s="351"/>
      <c r="AL1140" s="622"/>
      <c r="AM1140" s="350"/>
      <c r="AN1140" s="350"/>
      <c r="AO1140" s="350"/>
      <c r="AP1140" s="350"/>
      <c r="AQ1140" s="350"/>
      <c r="AR1140" s="350"/>
      <c r="AS1140" s="350"/>
      <c r="AT1140" s="350"/>
      <c r="AU1140" s="350"/>
      <c r="AV1140" s="350"/>
      <c r="AW1140" s="350"/>
      <c r="AX1140" s="350"/>
      <c r="AY1140" s="350"/>
      <c r="AZ1140" s="350"/>
      <c r="BA1140" s="350"/>
      <c r="BB1140" s="351"/>
    </row>
    <row r="1141" spans="1:54" ht="15.75" customHeight="1">
      <c r="A1141" s="25">
        <f t="shared" si="4"/>
        <v>1128</v>
      </c>
      <c r="B1141" s="599" t="str">
        <f>'refer admin discharge'!B1137</f>
        <v>x</v>
      </c>
      <c r="C1141" s="351"/>
      <c r="D1141" s="600" t="str">
        <f>'refer admin discharge'!D1137</f>
        <v>xx</v>
      </c>
      <c r="E1141" s="351"/>
      <c r="F1141" s="609" t="str">
        <f>'refer admin discharge'!H1137</f>
        <v>00/00/0000</v>
      </c>
      <c r="G1141" s="351"/>
      <c r="H1141" s="610"/>
      <c r="I1141" s="351"/>
      <c r="J1141" s="611"/>
      <c r="K1141" s="351"/>
      <c r="L1141" s="610"/>
      <c r="M1141" s="351"/>
      <c r="N1141" s="612"/>
      <c r="O1141" s="351"/>
      <c r="P1141" s="610"/>
      <c r="Q1141" s="351"/>
      <c r="R1141" s="612"/>
      <c r="S1141" s="351"/>
      <c r="T1141" s="610"/>
      <c r="U1141" s="351"/>
      <c r="V1141" s="613" t="str">
        <f>'refer admin discharge'!H1142</f>
        <v>00/00/0000</v>
      </c>
      <c r="W1141" s="351"/>
      <c r="X1141" s="607"/>
      <c r="Y1141" s="351"/>
      <c r="Z1141" s="614"/>
      <c r="AA1141" s="351"/>
      <c r="AB1141" s="607"/>
      <c r="AC1141" s="351"/>
      <c r="AD1141" s="606"/>
      <c r="AE1141" s="351"/>
      <c r="AF1141" s="607"/>
      <c r="AG1141" s="351"/>
      <c r="AH1141" s="606"/>
      <c r="AI1141" s="351"/>
      <c r="AJ1141" s="607"/>
      <c r="AK1141" s="351"/>
      <c r="AL1141" s="608"/>
      <c r="AM1141" s="350"/>
      <c r="AN1141" s="350"/>
      <c r="AO1141" s="350"/>
      <c r="AP1141" s="350"/>
      <c r="AQ1141" s="350"/>
      <c r="AR1141" s="350"/>
      <c r="AS1141" s="350"/>
      <c r="AT1141" s="350"/>
      <c r="AU1141" s="350"/>
      <c r="AV1141" s="350"/>
      <c r="AW1141" s="350"/>
      <c r="AX1141" s="350"/>
      <c r="AY1141" s="350"/>
      <c r="AZ1141" s="350"/>
      <c r="BA1141" s="350"/>
      <c r="BB1141" s="351"/>
    </row>
    <row r="1142" spans="1:54" ht="15.75" customHeight="1">
      <c r="A1142" s="25">
        <f t="shared" si="4"/>
        <v>1129</v>
      </c>
      <c r="B1142" s="618" t="str">
        <f>'refer admin discharge'!B1138</f>
        <v>x</v>
      </c>
      <c r="C1142" s="351"/>
      <c r="D1142" s="619" t="str">
        <f>'refer admin discharge'!D1138</f>
        <v>xx</v>
      </c>
      <c r="E1142" s="351"/>
      <c r="F1142" s="620" t="str">
        <f>'refer admin discharge'!H1138</f>
        <v>00/00/0000</v>
      </c>
      <c r="G1142" s="351"/>
      <c r="H1142" s="615"/>
      <c r="I1142" s="351"/>
      <c r="J1142" s="621"/>
      <c r="K1142" s="351"/>
      <c r="L1142" s="615"/>
      <c r="M1142" s="351"/>
      <c r="N1142" s="610"/>
      <c r="O1142" s="351"/>
      <c r="P1142" s="615"/>
      <c r="Q1142" s="351"/>
      <c r="R1142" s="610"/>
      <c r="S1142" s="351"/>
      <c r="T1142" s="615"/>
      <c r="U1142" s="351"/>
      <c r="V1142" s="613" t="str">
        <f>'refer admin discharge'!H1143</f>
        <v>00/00/0000</v>
      </c>
      <c r="W1142" s="351"/>
      <c r="X1142" s="616"/>
      <c r="Y1142" s="351"/>
      <c r="Z1142" s="617"/>
      <c r="AA1142" s="351"/>
      <c r="AB1142" s="616"/>
      <c r="AC1142" s="351"/>
      <c r="AD1142" s="607"/>
      <c r="AE1142" s="351"/>
      <c r="AF1142" s="616"/>
      <c r="AG1142" s="351"/>
      <c r="AH1142" s="607"/>
      <c r="AI1142" s="351"/>
      <c r="AJ1142" s="616"/>
      <c r="AK1142" s="351"/>
      <c r="AL1142" s="622"/>
      <c r="AM1142" s="350"/>
      <c r="AN1142" s="350"/>
      <c r="AO1142" s="350"/>
      <c r="AP1142" s="350"/>
      <c r="AQ1142" s="350"/>
      <c r="AR1142" s="350"/>
      <c r="AS1142" s="350"/>
      <c r="AT1142" s="350"/>
      <c r="AU1142" s="350"/>
      <c r="AV1142" s="350"/>
      <c r="AW1142" s="350"/>
      <c r="AX1142" s="350"/>
      <c r="AY1142" s="350"/>
      <c r="AZ1142" s="350"/>
      <c r="BA1142" s="350"/>
      <c r="BB1142" s="351"/>
    </row>
    <row r="1143" spans="1:54" ht="15.75" customHeight="1">
      <c r="A1143" s="25">
        <f t="shared" si="4"/>
        <v>1130</v>
      </c>
      <c r="B1143" s="599" t="str">
        <f>'refer admin discharge'!B1139</f>
        <v>x</v>
      </c>
      <c r="C1143" s="351"/>
      <c r="D1143" s="600" t="str">
        <f>'refer admin discharge'!D1139</f>
        <v>xx</v>
      </c>
      <c r="E1143" s="351"/>
      <c r="F1143" s="609" t="str">
        <f>'refer admin discharge'!H1139</f>
        <v>00/00/0000</v>
      </c>
      <c r="G1143" s="351"/>
      <c r="H1143" s="610"/>
      <c r="I1143" s="351"/>
      <c r="J1143" s="611"/>
      <c r="K1143" s="351"/>
      <c r="L1143" s="610"/>
      <c r="M1143" s="351"/>
      <c r="N1143" s="612"/>
      <c r="O1143" s="351"/>
      <c r="P1143" s="610"/>
      <c r="Q1143" s="351"/>
      <c r="R1143" s="612"/>
      <c r="S1143" s="351"/>
      <c r="T1143" s="610"/>
      <c r="U1143" s="351"/>
      <c r="V1143" s="613" t="str">
        <f>'refer admin discharge'!H1144</f>
        <v>00/00/0000</v>
      </c>
      <c r="W1143" s="351"/>
      <c r="X1143" s="607"/>
      <c r="Y1143" s="351"/>
      <c r="Z1143" s="614"/>
      <c r="AA1143" s="351"/>
      <c r="AB1143" s="607"/>
      <c r="AC1143" s="351"/>
      <c r="AD1143" s="606"/>
      <c r="AE1143" s="351"/>
      <c r="AF1143" s="607"/>
      <c r="AG1143" s="351"/>
      <c r="AH1143" s="606"/>
      <c r="AI1143" s="351"/>
      <c r="AJ1143" s="607"/>
      <c r="AK1143" s="351"/>
      <c r="AL1143" s="608"/>
      <c r="AM1143" s="350"/>
      <c r="AN1143" s="350"/>
      <c r="AO1143" s="350"/>
      <c r="AP1143" s="350"/>
      <c r="AQ1143" s="350"/>
      <c r="AR1143" s="350"/>
      <c r="AS1143" s="350"/>
      <c r="AT1143" s="350"/>
      <c r="AU1143" s="350"/>
      <c r="AV1143" s="350"/>
      <c r="AW1143" s="350"/>
      <c r="AX1143" s="350"/>
      <c r="AY1143" s="350"/>
      <c r="AZ1143" s="350"/>
      <c r="BA1143" s="350"/>
      <c r="BB1143" s="351"/>
    </row>
    <row r="1144" spans="1:54" ht="15.75" customHeight="1">
      <c r="A1144" s="25">
        <f t="shared" si="4"/>
        <v>1131</v>
      </c>
      <c r="B1144" s="618" t="str">
        <f>'refer admin discharge'!B1140</f>
        <v>x</v>
      </c>
      <c r="C1144" s="351"/>
      <c r="D1144" s="619" t="str">
        <f>'refer admin discharge'!D1140</f>
        <v>xx</v>
      </c>
      <c r="E1144" s="351"/>
      <c r="F1144" s="620" t="str">
        <f>'refer admin discharge'!H1140</f>
        <v>00/00/0000</v>
      </c>
      <c r="G1144" s="351"/>
      <c r="H1144" s="615"/>
      <c r="I1144" s="351"/>
      <c r="J1144" s="621"/>
      <c r="K1144" s="351"/>
      <c r="L1144" s="615"/>
      <c r="M1144" s="351"/>
      <c r="N1144" s="610"/>
      <c r="O1144" s="351"/>
      <c r="P1144" s="615"/>
      <c r="Q1144" s="351"/>
      <c r="R1144" s="610"/>
      <c r="S1144" s="351"/>
      <c r="T1144" s="615"/>
      <c r="U1144" s="351"/>
      <c r="V1144" s="613" t="str">
        <f>'refer admin discharge'!H1145</f>
        <v>00/00/0000</v>
      </c>
      <c r="W1144" s="351"/>
      <c r="X1144" s="616"/>
      <c r="Y1144" s="351"/>
      <c r="Z1144" s="617"/>
      <c r="AA1144" s="351"/>
      <c r="AB1144" s="616"/>
      <c r="AC1144" s="351"/>
      <c r="AD1144" s="607"/>
      <c r="AE1144" s="351"/>
      <c r="AF1144" s="616"/>
      <c r="AG1144" s="351"/>
      <c r="AH1144" s="607"/>
      <c r="AI1144" s="351"/>
      <c r="AJ1144" s="616"/>
      <c r="AK1144" s="351"/>
      <c r="AL1144" s="622"/>
      <c r="AM1144" s="350"/>
      <c r="AN1144" s="350"/>
      <c r="AO1144" s="350"/>
      <c r="AP1144" s="350"/>
      <c r="AQ1144" s="350"/>
      <c r="AR1144" s="350"/>
      <c r="AS1144" s="350"/>
      <c r="AT1144" s="350"/>
      <c r="AU1144" s="350"/>
      <c r="AV1144" s="350"/>
      <c r="AW1144" s="350"/>
      <c r="AX1144" s="350"/>
      <c r="AY1144" s="350"/>
      <c r="AZ1144" s="350"/>
      <c r="BA1144" s="350"/>
      <c r="BB1144" s="351"/>
    </row>
    <row r="1145" spans="1:54" ht="15.75" customHeight="1">
      <c r="A1145" s="25">
        <f t="shared" si="4"/>
        <v>1132</v>
      </c>
      <c r="B1145" s="599" t="str">
        <f>'refer admin discharge'!B1141</f>
        <v>x</v>
      </c>
      <c r="C1145" s="351"/>
      <c r="D1145" s="600" t="str">
        <f>'refer admin discharge'!D1141</f>
        <v>xx</v>
      </c>
      <c r="E1145" s="351"/>
      <c r="F1145" s="609" t="str">
        <f>'refer admin discharge'!H1141</f>
        <v>00/00/0000</v>
      </c>
      <c r="G1145" s="351"/>
      <c r="H1145" s="610"/>
      <c r="I1145" s="351"/>
      <c r="J1145" s="611"/>
      <c r="K1145" s="351"/>
      <c r="L1145" s="610"/>
      <c r="M1145" s="351"/>
      <c r="N1145" s="612"/>
      <c r="O1145" s="351"/>
      <c r="P1145" s="610"/>
      <c r="Q1145" s="351"/>
      <c r="R1145" s="612"/>
      <c r="S1145" s="351"/>
      <c r="T1145" s="610"/>
      <c r="U1145" s="351"/>
      <c r="V1145" s="613" t="str">
        <f>'refer admin discharge'!H1146</f>
        <v>00/00/0000</v>
      </c>
      <c r="W1145" s="351"/>
      <c r="X1145" s="607"/>
      <c r="Y1145" s="351"/>
      <c r="Z1145" s="614"/>
      <c r="AA1145" s="351"/>
      <c r="AB1145" s="607"/>
      <c r="AC1145" s="351"/>
      <c r="AD1145" s="606"/>
      <c r="AE1145" s="351"/>
      <c r="AF1145" s="607"/>
      <c r="AG1145" s="351"/>
      <c r="AH1145" s="606"/>
      <c r="AI1145" s="351"/>
      <c r="AJ1145" s="607"/>
      <c r="AK1145" s="351"/>
      <c r="AL1145" s="608"/>
      <c r="AM1145" s="350"/>
      <c r="AN1145" s="350"/>
      <c r="AO1145" s="350"/>
      <c r="AP1145" s="350"/>
      <c r="AQ1145" s="350"/>
      <c r="AR1145" s="350"/>
      <c r="AS1145" s="350"/>
      <c r="AT1145" s="350"/>
      <c r="AU1145" s="350"/>
      <c r="AV1145" s="350"/>
      <c r="AW1145" s="350"/>
      <c r="AX1145" s="350"/>
      <c r="AY1145" s="350"/>
      <c r="AZ1145" s="350"/>
      <c r="BA1145" s="350"/>
      <c r="BB1145" s="351"/>
    </row>
    <row r="1146" spans="1:54" ht="15.75" customHeight="1">
      <c r="A1146" s="25">
        <f t="shared" si="4"/>
        <v>1133</v>
      </c>
      <c r="B1146" s="618" t="str">
        <f>'refer admin discharge'!B1142</f>
        <v>x</v>
      </c>
      <c r="C1146" s="351"/>
      <c r="D1146" s="619" t="str">
        <f>'refer admin discharge'!D1142</f>
        <v>xx</v>
      </c>
      <c r="E1146" s="351"/>
      <c r="F1146" s="620" t="str">
        <f>'refer admin discharge'!H1142</f>
        <v>00/00/0000</v>
      </c>
      <c r="G1146" s="351"/>
      <c r="H1146" s="615"/>
      <c r="I1146" s="351"/>
      <c r="J1146" s="621"/>
      <c r="K1146" s="351"/>
      <c r="L1146" s="615"/>
      <c r="M1146" s="351"/>
      <c r="N1146" s="610"/>
      <c r="O1146" s="351"/>
      <c r="P1146" s="615"/>
      <c r="Q1146" s="351"/>
      <c r="R1146" s="610"/>
      <c r="S1146" s="351"/>
      <c r="T1146" s="615"/>
      <c r="U1146" s="351"/>
      <c r="V1146" s="613" t="str">
        <f>'refer admin discharge'!H1147</f>
        <v>00/00/0000</v>
      </c>
      <c r="W1146" s="351"/>
      <c r="X1146" s="616"/>
      <c r="Y1146" s="351"/>
      <c r="Z1146" s="617"/>
      <c r="AA1146" s="351"/>
      <c r="AB1146" s="616"/>
      <c r="AC1146" s="351"/>
      <c r="AD1146" s="607"/>
      <c r="AE1146" s="351"/>
      <c r="AF1146" s="616"/>
      <c r="AG1146" s="351"/>
      <c r="AH1146" s="607"/>
      <c r="AI1146" s="351"/>
      <c r="AJ1146" s="616"/>
      <c r="AK1146" s="351"/>
      <c r="AL1146" s="622"/>
      <c r="AM1146" s="350"/>
      <c r="AN1146" s="350"/>
      <c r="AO1146" s="350"/>
      <c r="AP1146" s="350"/>
      <c r="AQ1146" s="350"/>
      <c r="AR1146" s="350"/>
      <c r="AS1146" s="350"/>
      <c r="AT1146" s="350"/>
      <c r="AU1146" s="350"/>
      <c r="AV1146" s="350"/>
      <c r="AW1146" s="350"/>
      <c r="AX1146" s="350"/>
      <c r="AY1146" s="350"/>
      <c r="AZ1146" s="350"/>
      <c r="BA1146" s="350"/>
      <c r="BB1146" s="351"/>
    </row>
    <row r="1147" spans="1:54" ht="15.75" customHeight="1">
      <c r="A1147" s="25">
        <f t="shared" si="4"/>
        <v>1134</v>
      </c>
      <c r="B1147" s="599" t="str">
        <f>'refer admin discharge'!B1143</f>
        <v>x</v>
      </c>
      <c r="C1147" s="351"/>
      <c r="D1147" s="600" t="str">
        <f>'refer admin discharge'!D1143</f>
        <v>xx</v>
      </c>
      <c r="E1147" s="351"/>
      <c r="F1147" s="609" t="str">
        <f>'refer admin discharge'!H1143</f>
        <v>00/00/0000</v>
      </c>
      <c r="G1147" s="351"/>
      <c r="H1147" s="610"/>
      <c r="I1147" s="351"/>
      <c r="J1147" s="611"/>
      <c r="K1147" s="351"/>
      <c r="L1147" s="610"/>
      <c r="M1147" s="351"/>
      <c r="N1147" s="612"/>
      <c r="O1147" s="351"/>
      <c r="P1147" s="610"/>
      <c r="Q1147" s="351"/>
      <c r="R1147" s="612"/>
      <c r="S1147" s="351"/>
      <c r="T1147" s="610"/>
      <c r="U1147" s="351"/>
      <c r="V1147" s="613" t="str">
        <f>'refer admin discharge'!H1148</f>
        <v>00/00/0000</v>
      </c>
      <c r="W1147" s="351"/>
      <c r="X1147" s="607"/>
      <c r="Y1147" s="351"/>
      <c r="Z1147" s="614"/>
      <c r="AA1147" s="351"/>
      <c r="AB1147" s="607"/>
      <c r="AC1147" s="351"/>
      <c r="AD1147" s="606"/>
      <c r="AE1147" s="351"/>
      <c r="AF1147" s="607"/>
      <c r="AG1147" s="351"/>
      <c r="AH1147" s="606"/>
      <c r="AI1147" s="351"/>
      <c r="AJ1147" s="607"/>
      <c r="AK1147" s="351"/>
      <c r="AL1147" s="608"/>
      <c r="AM1147" s="350"/>
      <c r="AN1147" s="350"/>
      <c r="AO1147" s="350"/>
      <c r="AP1147" s="350"/>
      <c r="AQ1147" s="350"/>
      <c r="AR1147" s="350"/>
      <c r="AS1147" s="350"/>
      <c r="AT1147" s="350"/>
      <c r="AU1147" s="350"/>
      <c r="AV1147" s="350"/>
      <c r="AW1147" s="350"/>
      <c r="AX1147" s="350"/>
      <c r="AY1147" s="350"/>
      <c r="AZ1147" s="350"/>
      <c r="BA1147" s="350"/>
      <c r="BB1147" s="351"/>
    </row>
    <row r="1148" spans="1:54" ht="15.75" customHeight="1">
      <c r="A1148" s="25">
        <f t="shared" si="4"/>
        <v>1135</v>
      </c>
      <c r="B1148" s="618" t="str">
        <f>'refer admin discharge'!B1144</f>
        <v>x</v>
      </c>
      <c r="C1148" s="351"/>
      <c r="D1148" s="619" t="str">
        <f>'refer admin discharge'!D1144</f>
        <v>xx</v>
      </c>
      <c r="E1148" s="351"/>
      <c r="F1148" s="620" t="str">
        <f>'refer admin discharge'!H1144</f>
        <v>00/00/0000</v>
      </c>
      <c r="G1148" s="351"/>
      <c r="H1148" s="615"/>
      <c r="I1148" s="351"/>
      <c r="J1148" s="621"/>
      <c r="K1148" s="351"/>
      <c r="L1148" s="615"/>
      <c r="M1148" s="351"/>
      <c r="N1148" s="610"/>
      <c r="O1148" s="351"/>
      <c r="P1148" s="615"/>
      <c r="Q1148" s="351"/>
      <c r="R1148" s="610"/>
      <c r="S1148" s="351"/>
      <c r="T1148" s="615"/>
      <c r="U1148" s="351"/>
      <c r="V1148" s="613" t="str">
        <f>'refer admin discharge'!H1149</f>
        <v>00/00/0000</v>
      </c>
      <c r="W1148" s="351"/>
      <c r="X1148" s="616"/>
      <c r="Y1148" s="351"/>
      <c r="Z1148" s="617"/>
      <c r="AA1148" s="351"/>
      <c r="AB1148" s="616"/>
      <c r="AC1148" s="351"/>
      <c r="AD1148" s="607"/>
      <c r="AE1148" s="351"/>
      <c r="AF1148" s="616"/>
      <c r="AG1148" s="351"/>
      <c r="AH1148" s="607"/>
      <c r="AI1148" s="351"/>
      <c r="AJ1148" s="616"/>
      <c r="AK1148" s="351"/>
      <c r="AL1148" s="622"/>
      <c r="AM1148" s="350"/>
      <c r="AN1148" s="350"/>
      <c r="AO1148" s="350"/>
      <c r="AP1148" s="350"/>
      <c r="AQ1148" s="350"/>
      <c r="AR1148" s="350"/>
      <c r="AS1148" s="350"/>
      <c r="AT1148" s="350"/>
      <c r="AU1148" s="350"/>
      <c r="AV1148" s="350"/>
      <c r="AW1148" s="350"/>
      <c r="AX1148" s="350"/>
      <c r="AY1148" s="350"/>
      <c r="AZ1148" s="350"/>
      <c r="BA1148" s="350"/>
      <c r="BB1148" s="351"/>
    </row>
    <row r="1149" spans="1:54" ht="15.75" customHeight="1">
      <c r="A1149" s="25">
        <f t="shared" si="4"/>
        <v>1136</v>
      </c>
      <c r="B1149" s="599" t="str">
        <f>'refer admin discharge'!B1145</f>
        <v>x</v>
      </c>
      <c r="C1149" s="351"/>
      <c r="D1149" s="600" t="str">
        <f>'refer admin discharge'!D1145</f>
        <v>xx</v>
      </c>
      <c r="E1149" s="351"/>
      <c r="F1149" s="609" t="str">
        <f>'refer admin discharge'!H1145</f>
        <v>00/00/0000</v>
      </c>
      <c r="G1149" s="351"/>
      <c r="H1149" s="610"/>
      <c r="I1149" s="351"/>
      <c r="J1149" s="611"/>
      <c r="K1149" s="351"/>
      <c r="L1149" s="610"/>
      <c r="M1149" s="351"/>
      <c r="N1149" s="612"/>
      <c r="O1149" s="351"/>
      <c r="P1149" s="610"/>
      <c r="Q1149" s="351"/>
      <c r="R1149" s="612"/>
      <c r="S1149" s="351"/>
      <c r="T1149" s="610"/>
      <c r="U1149" s="351"/>
      <c r="V1149" s="613" t="str">
        <f>'refer admin discharge'!H1150</f>
        <v>00/00/0000</v>
      </c>
      <c r="W1149" s="351"/>
      <c r="X1149" s="607"/>
      <c r="Y1149" s="351"/>
      <c r="Z1149" s="614"/>
      <c r="AA1149" s="351"/>
      <c r="AB1149" s="607"/>
      <c r="AC1149" s="351"/>
      <c r="AD1149" s="606"/>
      <c r="AE1149" s="351"/>
      <c r="AF1149" s="607"/>
      <c r="AG1149" s="351"/>
      <c r="AH1149" s="606"/>
      <c r="AI1149" s="351"/>
      <c r="AJ1149" s="607"/>
      <c r="AK1149" s="351"/>
      <c r="AL1149" s="608"/>
      <c r="AM1149" s="350"/>
      <c r="AN1149" s="350"/>
      <c r="AO1149" s="350"/>
      <c r="AP1149" s="350"/>
      <c r="AQ1149" s="350"/>
      <c r="AR1149" s="350"/>
      <c r="AS1149" s="350"/>
      <c r="AT1149" s="350"/>
      <c r="AU1149" s="350"/>
      <c r="AV1149" s="350"/>
      <c r="AW1149" s="350"/>
      <c r="AX1149" s="350"/>
      <c r="AY1149" s="350"/>
      <c r="AZ1149" s="350"/>
      <c r="BA1149" s="350"/>
      <c r="BB1149" s="351"/>
    </row>
    <row r="1150" spans="1:54" ht="15.75" customHeight="1">
      <c r="A1150" s="25">
        <f t="shared" si="4"/>
        <v>1137</v>
      </c>
      <c r="B1150" s="618" t="str">
        <f>'refer admin discharge'!B1146</f>
        <v>x</v>
      </c>
      <c r="C1150" s="351"/>
      <c r="D1150" s="619" t="str">
        <f>'refer admin discharge'!D1146</f>
        <v>xx</v>
      </c>
      <c r="E1150" s="351"/>
      <c r="F1150" s="620" t="str">
        <f>'refer admin discharge'!H1146</f>
        <v>00/00/0000</v>
      </c>
      <c r="G1150" s="351"/>
      <c r="H1150" s="615"/>
      <c r="I1150" s="351"/>
      <c r="J1150" s="621"/>
      <c r="K1150" s="351"/>
      <c r="L1150" s="615"/>
      <c r="M1150" s="351"/>
      <c r="N1150" s="610"/>
      <c r="O1150" s="351"/>
      <c r="P1150" s="615"/>
      <c r="Q1150" s="351"/>
      <c r="R1150" s="610"/>
      <c r="S1150" s="351"/>
      <c r="T1150" s="615"/>
      <c r="U1150" s="351"/>
      <c r="V1150" s="613" t="str">
        <f>'refer admin discharge'!H1151</f>
        <v>00/00/0000</v>
      </c>
      <c r="W1150" s="351"/>
      <c r="X1150" s="616"/>
      <c r="Y1150" s="351"/>
      <c r="Z1150" s="617"/>
      <c r="AA1150" s="351"/>
      <c r="AB1150" s="616"/>
      <c r="AC1150" s="351"/>
      <c r="AD1150" s="607"/>
      <c r="AE1150" s="351"/>
      <c r="AF1150" s="616"/>
      <c r="AG1150" s="351"/>
      <c r="AH1150" s="607"/>
      <c r="AI1150" s="351"/>
      <c r="AJ1150" s="616"/>
      <c r="AK1150" s="351"/>
      <c r="AL1150" s="622"/>
      <c r="AM1150" s="350"/>
      <c r="AN1150" s="350"/>
      <c r="AO1150" s="350"/>
      <c r="AP1150" s="350"/>
      <c r="AQ1150" s="350"/>
      <c r="AR1150" s="350"/>
      <c r="AS1150" s="350"/>
      <c r="AT1150" s="350"/>
      <c r="AU1150" s="350"/>
      <c r="AV1150" s="350"/>
      <c r="AW1150" s="350"/>
      <c r="AX1150" s="350"/>
      <c r="AY1150" s="350"/>
      <c r="AZ1150" s="350"/>
      <c r="BA1150" s="350"/>
      <c r="BB1150" s="351"/>
    </row>
    <row r="1151" spans="1:54" ht="15.75" customHeight="1">
      <c r="A1151" s="25">
        <f t="shared" si="4"/>
        <v>1138</v>
      </c>
      <c r="B1151" s="599" t="str">
        <f>'refer admin discharge'!B1147</f>
        <v>x</v>
      </c>
      <c r="C1151" s="351"/>
      <c r="D1151" s="600" t="str">
        <f>'refer admin discharge'!D1147</f>
        <v>xx</v>
      </c>
      <c r="E1151" s="351"/>
      <c r="F1151" s="609" t="str">
        <f>'refer admin discharge'!H1147</f>
        <v>00/00/0000</v>
      </c>
      <c r="G1151" s="351"/>
      <c r="H1151" s="610"/>
      <c r="I1151" s="351"/>
      <c r="J1151" s="611"/>
      <c r="K1151" s="351"/>
      <c r="L1151" s="610"/>
      <c r="M1151" s="351"/>
      <c r="N1151" s="612"/>
      <c r="O1151" s="351"/>
      <c r="P1151" s="610"/>
      <c r="Q1151" s="351"/>
      <c r="R1151" s="612"/>
      <c r="S1151" s="351"/>
      <c r="T1151" s="610"/>
      <c r="U1151" s="351"/>
      <c r="V1151" s="613" t="str">
        <f>'refer admin discharge'!H1152</f>
        <v>00/00/0000</v>
      </c>
      <c r="W1151" s="351"/>
      <c r="X1151" s="607"/>
      <c r="Y1151" s="351"/>
      <c r="Z1151" s="614"/>
      <c r="AA1151" s="351"/>
      <c r="AB1151" s="607"/>
      <c r="AC1151" s="351"/>
      <c r="AD1151" s="606"/>
      <c r="AE1151" s="351"/>
      <c r="AF1151" s="607"/>
      <c r="AG1151" s="351"/>
      <c r="AH1151" s="606"/>
      <c r="AI1151" s="351"/>
      <c r="AJ1151" s="607"/>
      <c r="AK1151" s="351"/>
      <c r="AL1151" s="608"/>
      <c r="AM1151" s="350"/>
      <c r="AN1151" s="350"/>
      <c r="AO1151" s="350"/>
      <c r="AP1151" s="350"/>
      <c r="AQ1151" s="350"/>
      <c r="AR1151" s="350"/>
      <c r="AS1151" s="350"/>
      <c r="AT1151" s="350"/>
      <c r="AU1151" s="350"/>
      <c r="AV1151" s="350"/>
      <c r="AW1151" s="350"/>
      <c r="AX1151" s="350"/>
      <c r="AY1151" s="350"/>
      <c r="AZ1151" s="350"/>
      <c r="BA1151" s="350"/>
      <c r="BB1151" s="351"/>
    </row>
    <row r="1152" spans="1:54" ht="15.75" customHeight="1">
      <c r="A1152" s="25">
        <f t="shared" si="4"/>
        <v>1139</v>
      </c>
      <c r="B1152" s="618" t="str">
        <f>'refer admin discharge'!B1148</f>
        <v>x</v>
      </c>
      <c r="C1152" s="351"/>
      <c r="D1152" s="619" t="str">
        <f>'refer admin discharge'!D1148</f>
        <v>xx</v>
      </c>
      <c r="E1152" s="351"/>
      <c r="F1152" s="620" t="str">
        <f>'refer admin discharge'!H1148</f>
        <v>00/00/0000</v>
      </c>
      <c r="G1152" s="351"/>
      <c r="H1152" s="615"/>
      <c r="I1152" s="351"/>
      <c r="J1152" s="621"/>
      <c r="K1152" s="351"/>
      <c r="L1152" s="615"/>
      <c r="M1152" s="351"/>
      <c r="N1152" s="610"/>
      <c r="O1152" s="351"/>
      <c r="P1152" s="615"/>
      <c r="Q1152" s="351"/>
      <c r="R1152" s="610"/>
      <c r="S1152" s="351"/>
      <c r="T1152" s="615"/>
      <c r="U1152" s="351"/>
      <c r="V1152" s="613" t="str">
        <f>'refer admin discharge'!H1153</f>
        <v>00/00/0000</v>
      </c>
      <c r="W1152" s="351"/>
      <c r="X1152" s="616"/>
      <c r="Y1152" s="351"/>
      <c r="Z1152" s="617"/>
      <c r="AA1152" s="351"/>
      <c r="AB1152" s="616"/>
      <c r="AC1152" s="351"/>
      <c r="AD1152" s="607"/>
      <c r="AE1152" s="351"/>
      <c r="AF1152" s="616"/>
      <c r="AG1152" s="351"/>
      <c r="AH1152" s="607"/>
      <c r="AI1152" s="351"/>
      <c r="AJ1152" s="616"/>
      <c r="AK1152" s="351"/>
      <c r="AL1152" s="622"/>
      <c r="AM1152" s="350"/>
      <c r="AN1152" s="350"/>
      <c r="AO1152" s="350"/>
      <c r="AP1152" s="350"/>
      <c r="AQ1152" s="350"/>
      <c r="AR1152" s="350"/>
      <c r="AS1152" s="350"/>
      <c r="AT1152" s="350"/>
      <c r="AU1152" s="350"/>
      <c r="AV1152" s="350"/>
      <c r="AW1152" s="350"/>
      <c r="AX1152" s="350"/>
      <c r="AY1152" s="350"/>
      <c r="AZ1152" s="350"/>
      <c r="BA1152" s="350"/>
      <c r="BB1152" s="351"/>
    </row>
    <row r="1153" spans="1:54" ht="15.75" customHeight="1">
      <c r="A1153" s="25">
        <f t="shared" si="4"/>
        <v>1140</v>
      </c>
      <c r="B1153" s="599" t="str">
        <f>'refer admin discharge'!B1149</f>
        <v>x</v>
      </c>
      <c r="C1153" s="351"/>
      <c r="D1153" s="600" t="str">
        <f>'refer admin discharge'!D1149</f>
        <v>xx</v>
      </c>
      <c r="E1153" s="351"/>
      <c r="F1153" s="609" t="str">
        <f>'refer admin discharge'!H1149</f>
        <v>00/00/0000</v>
      </c>
      <c r="G1153" s="351"/>
      <c r="H1153" s="610"/>
      <c r="I1153" s="351"/>
      <c r="J1153" s="611"/>
      <c r="K1153" s="351"/>
      <c r="L1153" s="610"/>
      <c r="M1153" s="351"/>
      <c r="N1153" s="612"/>
      <c r="O1153" s="351"/>
      <c r="P1153" s="610"/>
      <c r="Q1153" s="351"/>
      <c r="R1153" s="612"/>
      <c r="S1153" s="351"/>
      <c r="T1153" s="610"/>
      <c r="U1153" s="351"/>
      <c r="V1153" s="613" t="str">
        <f>'refer admin discharge'!H1154</f>
        <v>00/00/0000</v>
      </c>
      <c r="W1153" s="351"/>
      <c r="X1153" s="607"/>
      <c r="Y1153" s="351"/>
      <c r="Z1153" s="614"/>
      <c r="AA1153" s="351"/>
      <c r="AB1153" s="607"/>
      <c r="AC1153" s="351"/>
      <c r="AD1153" s="606"/>
      <c r="AE1153" s="351"/>
      <c r="AF1153" s="607"/>
      <c r="AG1153" s="351"/>
      <c r="AH1153" s="606"/>
      <c r="AI1153" s="351"/>
      <c r="AJ1153" s="607"/>
      <c r="AK1153" s="351"/>
      <c r="AL1153" s="608"/>
      <c r="AM1153" s="350"/>
      <c r="AN1153" s="350"/>
      <c r="AO1153" s="350"/>
      <c r="AP1153" s="350"/>
      <c r="AQ1153" s="350"/>
      <c r="AR1153" s="350"/>
      <c r="AS1153" s="350"/>
      <c r="AT1153" s="350"/>
      <c r="AU1153" s="350"/>
      <c r="AV1153" s="350"/>
      <c r="AW1153" s="350"/>
      <c r="AX1153" s="350"/>
      <c r="AY1153" s="350"/>
      <c r="AZ1153" s="350"/>
      <c r="BA1153" s="350"/>
      <c r="BB1153" s="351"/>
    </row>
    <row r="1154" spans="1:54" ht="15.75" customHeight="1">
      <c r="A1154" s="25">
        <f t="shared" si="4"/>
        <v>1141</v>
      </c>
      <c r="B1154" s="618" t="str">
        <f>'refer admin discharge'!B1150</f>
        <v>x</v>
      </c>
      <c r="C1154" s="351"/>
      <c r="D1154" s="619" t="str">
        <f>'refer admin discharge'!D1150</f>
        <v>xx</v>
      </c>
      <c r="E1154" s="351"/>
      <c r="F1154" s="620" t="str">
        <f>'refer admin discharge'!H1150</f>
        <v>00/00/0000</v>
      </c>
      <c r="G1154" s="351"/>
      <c r="H1154" s="615"/>
      <c r="I1154" s="351"/>
      <c r="J1154" s="621"/>
      <c r="K1154" s="351"/>
      <c r="L1154" s="615"/>
      <c r="M1154" s="351"/>
      <c r="N1154" s="610"/>
      <c r="O1154" s="351"/>
      <c r="P1154" s="615"/>
      <c r="Q1154" s="351"/>
      <c r="R1154" s="610"/>
      <c r="S1154" s="351"/>
      <c r="T1154" s="615"/>
      <c r="U1154" s="351"/>
      <c r="V1154" s="613" t="str">
        <f>'refer admin discharge'!H1155</f>
        <v>00/00/0000</v>
      </c>
      <c r="W1154" s="351"/>
      <c r="X1154" s="616"/>
      <c r="Y1154" s="351"/>
      <c r="Z1154" s="617"/>
      <c r="AA1154" s="351"/>
      <c r="AB1154" s="616"/>
      <c r="AC1154" s="351"/>
      <c r="AD1154" s="607"/>
      <c r="AE1154" s="351"/>
      <c r="AF1154" s="616"/>
      <c r="AG1154" s="351"/>
      <c r="AH1154" s="607"/>
      <c r="AI1154" s="351"/>
      <c r="AJ1154" s="616"/>
      <c r="AK1154" s="351"/>
      <c r="AL1154" s="622"/>
      <c r="AM1154" s="350"/>
      <c r="AN1154" s="350"/>
      <c r="AO1154" s="350"/>
      <c r="AP1154" s="350"/>
      <c r="AQ1154" s="350"/>
      <c r="AR1154" s="350"/>
      <c r="AS1154" s="350"/>
      <c r="AT1154" s="350"/>
      <c r="AU1154" s="350"/>
      <c r="AV1154" s="350"/>
      <c r="AW1154" s="350"/>
      <c r="AX1154" s="350"/>
      <c r="AY1154" s="350"/>
      <c r="AZ1154" s="350"/>
      <c r="BA1154" s="350"/>
      <c r="BB1154" s="351"/>
    </row>
    <row r="1155" spans="1:54" ht="15.75" customHeight="1">
      <c r="A1155" s="25">
        <f t="shared" si="4"/>
        <v>1142</v>
      </c>
      <c r="B1155" s="599" t="str">
        <f>'refer admin discharge'!B1151</f>
        <v>x</v>
      </c>
      <c r="C1155" s="351"/>
      <c r="D1155" s="600" t="str">
        <f>'refer admin discharge'!D1151</f>
        <v>xx</v>
      </c>
      <c r="E1155" s="351"/>
      <c r="F1155" s="609" t="str">
        <f>'refer admin discharge'!H1151</f>
        <v>00/00/0000</v>
      </c>
      <c r="G1155" s="351"/>
      <c r="H1155" s="610"/>
      <c r="I1155" s="351"/>
      <c r="J1155" s="611"/>
      <c r="K1155" s="351"/>
      <c r="L1155" s="610"/>
      <c r="M1155" s="351"/>
      <c r="N1155" s="612"/>
      <c r="O1155" s="351"/>
      <c r="P1155" s="610"/>
      <c r="Q1155" s="351"/>
      <c r="R1155" s="612"/>
      <c r="S1155" s="351"/>
      <c r="T1155" s="610"/>
      <c r="U1155" s="351"/>
      <c r="V1155" s="613" t="str">
        <f>'refer admin discharge'!H1156</f>
        <v>00/00/0000</v>
      </c>
      <c r="W1155" s="351"/>
      <c r="X1155" s="607"/>
      <c r="Y1155" s="351"/>
      <c r="Z1155" s="614"/>
      <c r="AA1155" s="351"/>
      <c r="AB1155" s="607"/>
      <c r="AC1155" s="351"/>
      <c r="AD1155" s="606"/>
      <c r="AE1155" s="351"/>
      <c r="AF1155" s="607"/>
      <c r="AG1155" s="351"/>
      <c r="AH1155" s="606"/>
      <c r="AI1155" s="351"/>
      <c r="AJ1155" s="607"/>
      <c r="AK1155" s="351"/>
      <c r="AL1155" s="608"/>
      <c r="AM1155" s="350"/>
      <c r="AN1155" s="350"/>
      <c r="AO1155" s="350"/>
      <c r="AP1155" s="350"/>
      <c r="AQ1155" s="350"/>
      <c r="AR1155" s="350"/>
      <c r="AS1155" s="350"/>
      <c r="AT1155" s="350"/>
      <c r="AU1155" s="350"/>
      <c r="AV1155" s="350"/>
      <c r="AW1155" s="350"/>
      <c r="AX1155" s="350"/>
      <c r="AY1155" s="350"/>
      <c r="AZ1155" s="350"/>
      <c r="BA1155" s="350"/>
      <c r="BB1155" s="351"/>
    </row>
    <row r="1156" spans="1:54" ht="15.75" customHeight="1">
      <c r="A1156" s="25">
        <f t="shared" si="4"/>
        <v>1143</v>
      </c>
      <c r="B1156" s="618" t="str">
        <f>'refer admin discharge'!B1152</f>
        <v>x</v>
      </c>
      <c r="C1156" s="351"/>
      <c r="D1156" s="619" t="str">
        <f>'refer admin discharge'!D1152</f>
        <v>xx</v>
      </c>
      <c r="E1156" s="351"/>
      <c r="F1156" s="620" t="str">
        <f>'refer admin discharge'!H1152</f>
        <v>00/00/0000</v>
      </c>
      <c r="G1156" s="351"/>
      <c r="H1156" s="615"/>
      <c r="I1156" s="351"/>
      <c r="J1156" s="621"/>
      <c r="K1156" s="351"/>
      <c r="L1156" s="615"/>
      <c r="M1156" s="351"/>
      <c r="N1156" s="610"/>
      <c r="O1156" s="351"/>
      <c r="P1156" s="615"/>
      <c r="Q1156" s="351"/>
      <c r="R1156" s="610"/>
      <c r="S1156" s="351"/>
      <c r="T1156" s="615"/>
      <c r="U1156" s="351"/>
      <c r="V1156" s="613" t="str">
        <f>'refer admin discharge'!H1157</f>
        <v>00/00/0000</v>
      </c>
      <c r="W1156" s="351"/>
      <c r="X1156" s="616"/>
      <c r="Y1156" s="351"/>
      <c r="Z1156" s="617"/>
      <c r="AA1156" s="351"/>
      <c r="AB1156" s="616"/>
      <c r="AC1156" s="351"/>
      <c r="AD1156" s="607"/>
      <c r="AE1156" s="351"/>
      <c r="AF1156" s="616"/>
      <c r="AG1156" s="351"/>
      <c r="AH1156" s="607"/>
      <c r="AI1156" s="351"/>
      <c r="AJ1156" s="616"/>
      <c r="AK1156" s="351"/>
      <c r="AL1156" s="622"/>
      <c r="AM1156" s="350"/>
      <c r="AN1156" s="350"/>
      <c r="AO1156" s="350"/>
      <c r="AP1156" s="350"/>
      <c r="AQ1156" s="350"/>
      <c r="AR1156" s="350"/>
      <c r="AS1156" s="350"/>
      <c r="AT1156" s="350"/>
      <c r="AU1156" s="350"/>
      <c r="AV1156" s="350"/>
      <c r="AW1156" s="350"/>
      <c r="AX1156" s="350"/>
      <c r="AY1156" s="350"/>
      <c r="AZ1156" s="350"/>
      <c r="BA1156" s="350"/>
      <c r="BB1156" s="351"/>
    </row>
    <row r="1157" spans="1:54" ht="15.75" customHeight="1">
      <c r="A1157" s="25">
        <f t="shared" si="4"/>
        <v>1144</v>
      </c>
      <c r="B1157" s="599" t="str">
        <f>'refer admin discharge'!B1153</f>
        <v>x</v>
      </c>
      <c r="C1157" s="351"/>
      <c r="D1157" s="600" t="str">
        <f>'refer admin discharge'!D1153</f>
        <v>xx</v>
      </c>
      <c r="E1157" s="351"/>
      <c r="F1157" s="609" t="str">
        <f>'refer admin discharge'!H1153</f>
        <v>00/00/0000</v>
      </c>
      <c r="G1157" s="351"/>
      <c r="H1157" s="610"/>
      <c r="I1157" s="351"/>
      <c r="J1157" s="611"/>
      <c r="K1157" s="351"/>
      <c r="L1157" s="610"/>
      <c r="M1157" s="351"/>
      <c r="N1157" s="612"/>
      <c r="O1157" s="351"/>
      <c r="P1157" s="610"/>
      <c r="Q1157" s="351"/>
      <c r="R1157" s="612"/>
      <c r="S1157" s="351"/>
      <c r="T1157" s="610"/>
      <c r="U1157" s="351"/>
      <c r="V1157" s="613" t="str">
        <f>'refer admin discharge'!H1158</f>
        <v>00/00/0000</v>
      </c>
      <c r="W1157" s="351"/>
      <c r="X1157" s="607"/>
      <c r="Y1157" s="351"/>
      <c r="Z1157" s="614"/>
      <c r="AA1157" s="351"/>
      <c r="AB1157" s="607"/>
      <c r="AC1157" s="351"/>
      <c r="AD1157" s="606"/>
      <c r="AE1157" s="351"/>
      <c r="AF1157" s="607"/>
      <c r="AG1157" s="351"/>
      <c r="AH1157" s="606"/>
      <c r="AI1157" s="351"/>
      <c r="AJ1157" s="607"/>
      <c r="AK1157" s="351"/>
      <c r="AL1157" s="608"/>
      <c r="AM1157" s="350"/>
      <c r="AN1157" s="350"/>
      <c r="AO1157" s="350"/>
      <c r="AP1157" s="350"/>
      <c r="AQ1157" s="350"/>
      <c r="AR1157" s="350"/>
      <c r="AS1157" s="350"/>
      <c r="AT1157" s="350"/>
      <c r="AU1157" s="350"/>
      <c r="AV1157" s="350"/>
      <c r="AW1157" s="350"/>
      <c r="AX1157" s="350"/>
      <c r="AY1157" s="350"/>
      <c r="AZ1157" s="350"/>
      <c r="BA1157" s="350"/>
      <c r="BB1157" s="351"/>
    </row>
    <row r="1158" spans="1:54" ht="15.75" customHeight="1">
      <c r="A1158" s="25">
        <f t="shared" si="4"/>
        <v>1145</v>
      </c>
      <c r="B1158" s="618" t="str">
        <f>'refer admin discharge'!B1154</f>
        <v>x</v>
      </c>
      <c r="C1158" s="351"/>
      <c r="D1158" s="619" t="str">
        <f>'refer admin discharge'!D1154</f>
        <v>xx</v>
      </c>
      <c r="E1158" s="351"/>
      <c r="F1158" s="620" t="str">
        <f>'refer admin discharge'!H1154</f>
        <v>00/00/0000</v>
      </c>
      <c r="G1158" s="351"/>
      <c r="H1158" s="615"/>
      <c r="I1158" s="351"/>
      <c r="J1158" s="621"/>
      <c r="K1158" s="351"/>
      <c r="L1158" s="615"/>
      <c r="M1158" s="351"/>
      <c r="N1158" s="610"/>
      <c r="O1158" s="351"/>
      <c r="P1158" s="615"/>
      <c r="Q1158" s="351"/>
      <c r="R1158" s="610"/>
      <c r="S1158" s="351"/>
      <c r="T1158" s="615"/>
      <c r="U1158" s="351"/>
      <c r="V1158" s="613" t="str">
        <f>'refer admin discharge'!H1159</f>
        <v>00/00/0000</v>
      </c>
      <c r="W1158" s="351"/>
      <c r="X1158" s="616"/>
      <c r="Y1158" s="351"/>
      <c r="Z1158" s="617"/>
      <c r="AA1158" s="351"/>
      <c r="AB1158" s="616"/>
      <c r="AC1158" s="351"/>
      <c r="AD1158" s="607"/>
      <c r="AE1158" s="351"/>
      <c r="AF1158" s="616"/>
      <c r="AG1158" s="351"/>
      <c r="AH1158" s="607"/>
      <c r="AI1158" s="351"/>
      <c r="AJ1158" s="616"/>
      <c r="AK1158" s="351"/>
      <c r="AL1158" s="622"/>
      <c r="AM1158" s="350"/>
      <c r="AN1158" s="350"/>
      <c r="AO1158" s="350"/>
      <c r="AP1158" s="350"/>
      <c r="AQ1158" s="350"/>
      <c r="AR1158" s="350"/>
      <c r="AS1158" s="350"/>
      <c r="AT1158" s="350"/>
      <c r="AU1158" s="350"/>
      <c r="AV1158" s="350"/>
      <c r="AW1158" s="350"/>
      <c r="AX1158" s="350"/>
      <c r="AY1158" s="350"/>
      <c r="AZ1158" s="350"/>
      <c r="BA1158" s="350"/>
      <c r="BB1158" s="351"/>
    </row>
    <row r="1159" spans="1:54" ht="15.75" customHeight="1">
      <c r="A1159" s="25">
        <f t="shared" si="4"/>
        <v>1146</v>
      </c>
      <c r="B1159" s="599" t="str">
        <f>'refer admin discharge'!B1155</f>
        <v>x</v>
      </c>
      <c r="C1159" s="351"/>
      <c r="D1159" s="600" t="str">
        <f>'refer admin discharge'!D1155</f>
        <v>xx</v>
      </c>
      <c r="E1159" s="351"/>
      <c r="F1159" s="609" t="str">
        <f>'refer admin discharge'!H1155</f>
        <v>00/00/0000</v>
      </c>
      <c r="G1159" s="351"/>
      <c r="H1159" s="610"/>
      <c r="I1159" s="351"/>
      <c r="J1159" s="611"/>
      <c r="K1159" s="351"/>
      <c r="L1159" s="610"/>
      <c r="M1159" s="351"/>
      <c r="N1159" s="612"/>
      <c r="O1159" s="351"/>
      <c r="P1159" s="610"/>
      <c r="Q1159" s="351"/>
      <c r="R1159" s="612"/>
      <c r="S1159" s="351"/>
      <c r="T1159" s="610"/>
      <c r="U1159" s="351"/>
      <c r="V1159" s="613" t="str">
        <f>'refer admin discharge'!H1160</f>
        <v>00/00/0000</v>
      </c>
      <c r="W1159" s="351"/>
      <c r="X1159" s="607"/>
      <c r="Y1159" s="351"/>
      <c r="Z1159" s="614"/>
      <c r="AA1159" s="351"/>
      <c r="AB1159" s="607"/>
      <c r="AC1159" s="351"/>
      <c r="AD1159" s="606"/>
      <c r="AE1159" s="351"/>
      <c r="AF1159" s="607"/>
      <c r="AG1159" s="351"/>
      <c r="AH1159" s="606"/>
      <c r="AI1159" s="351"/>
      <c r="AJ1159" s="607"/>
      <c r="AK1159" s="351"/>
      <c r="AL1159" s="608"/>
      <c r="AM1159" s="350"/>
      <c r="AN1159" s="350"/>
      <c r="AO1159" s="350"/>
      <c r="AP1159" s="350"/>
      <c r="AQ1159" s="350"/>
      <c r="AR1159" s="350"/>
      <c r="AS1159" s="350"/>
      <c r="AT1159" s="350"/>
      <c r="AU1159" s="350"/>
      <c r="AV1159" s="350"/>
      <c r="AW1159" s="350"/>
      <c r="AX1159" s="350"/>
      <c r="AY1159" s="350"/>
      <c r="AZ1159" s="350"/>
      <c r="BA1159" s="350"/>
      <c r="BB1159" s="351"/>
    </row>
    <row r="1160" spans="1:54" ht="15.75" customHeight="1">
      <c r="A1160" s="25">
        <f t="shared" si="4"/>
        <v>1147</v>
      </c>
      <c r="B1160" s="618" t="str">
        <f>'refer admin discharge'!B1156</f>
        <v>x</v>
      </c>
      <c r="C1160" s="351"/>
      <c r="D1160" s="619" t="str">
        <f>'refer admin discharge'!D1156</f>
        <v>xx</v>
      </c>
      <c r="E1160" s="351"/>
      <c r="F1160" s="620" t="str">
        <f>'refer admin discharge'!H1156</f>
        <v>00/00/0000</v>
      </c>
      <c r="G1160" s="351"/>
      <c r="H1160" s="615"/>
      <c r="I1160" s="351"/>
      <c r="J1160" s="621"/>
      <c r="K1160" s="351"/>
      <c r="L1160" s="615"/>
      <c r="M1160" s="351"/>
      <c r="N1160" s="610"/>
      <c r="O1160" s="351"/>
      <c r="P1160" s="615"/>
      <c r="Q1160" s="351"/>
      <c r="R1160" s="610"/>
      <c r="S1160" s="351"/>
      <c r="T1160" s="615"/>
      <c r="U1160" s="351"/>
      <c r="V1160" s="613" t="str">
        <f>'refer admin discharge'!H1161</f>
        <v>00/00/0000</v>
      </c>
      <c r="W1160" s="351"/>
      <c r="X1160" s="616"/>
      <c r="Y1160" s="351"/>
      <c r="Z1160" s="617"/>
      <c r="AA1160" s="351"/>
      <c r="AB1160" s="616"/>
      <c r="AC1160" s="351"/>
      <c r="AD1160" s="607"/>
      <c r="AE1160" s="351"/>
      <c r="AF1160" s="616"/>
      <c r="AG1160" s="351"/>
      <c r="AH1160" s="607"/>
      <c r="AI1160" s="351"/>
      <c r="AJ1160" s="616"/>
      <c r="AK1160" s="351"/>
      <c r="AL1160" s="622"/>
      <c r="AM1160" s="350"/>
      <c r="AN1160" s="350"/>
      <c r="AO1160" s="350"/>
      <c r="AP1160" s="350"/>
      <c r="AQ1160" s="350"/>
      <c r="AR1160" s="350"/>
      <c r="AS1160" s="350"/>
      <c r="AT1160" s="350"/>
      <c r="AU1160" s="350"/>
      <c r="AV1160" s="350"/>
      <c r="AW1160" s="350"/>
      <c r="AX1160" s="350"/>
      <c r="AY1160" s="350"/>
      <c r="AZ1160" s="350"/>
      <c r="BA1160" s="350"/>
      <c r="BB1160" s="351"/>
    </row>
    <row r="1161" spans="1:54" ht="15.75" customHeight="1">
      <c r="A1161" s="25">
        <f t="shared" si="4"/>
        <v>1148</v>
      </c>
      <c r="B1161" s="599" t="str">
        <f>'refer admin discharge'!B1157</f>
        <v>x</v>
      </c>
      <c r="C1161" s="351"/>
      <c r="D1161" s="600" t="str">
        <f>'refer admin discharge'!D1157</f>
        <v>xx</v>
      </c>
      <c r="E1161" s="351"/>
      <c r="F1161" s="609" t="str">
        <f>'refer admin discharge'!H1157</f>
        <v>00/00/0000</v>
      </c>
      <c r="G1161" s="351"/>
      <c r="H1161" s="610"/>
      <c r="I1161" s="351"/>
      <c r="J1161" s="611"/>
      <c r="K1161" s="351"/>
      <c r="L1161" s="610"/>
      <c r="M1161" s="351"/>
      <c r="N1161" s="612"/>
      <c r="O1161" s="351"/>
      <c r="P1161" s="610"/>
      <c r="Q1161" s="351"/>
      <c r="R1161" s="612"/>
      <c r="S1161" s="351"/>
      <c r="T1161" s="610"/>
      <c r="U1161" s="351"/>
      <c r="V1161" s="613" t="str">
        <f>'refer admin discharge'!H1162</f>
        <v>00/00/0000</v>
      </c>
      <c r="W1161" s="351"/>
      <c r="X1161" s="607"/>
      <c r="Y1161" s="351"/>
      <c r="Z1161" s="614"/>
      <c r="AA1161" s="351"/>
      <c r="AB1161" s="607"/>
      <c r="AC1161" s="351"/>
      <c r="AD1161" s="606"/>
      <c r="AE1161" s="351"/>
      <c r="AF1161" s="607"/>
      <c r="AG1161" s="351"/>
      <c r="AH1161" s="606"/>
      <c r="AI1161" s="351"/>
      <c r="AJ1161" s="607"/>
      <c r="AK1161" s="351"/>
      <c r="AL1161" s="608"/>
      <c r="AM1161" s="350"/>
      <c r="AN1161" s="350"/>
      <c r="AO1161" s="350"/>
      <c r="AP1161" s="350"/>
      <c r="AQ1161" s="350"/>
      <c r="AR1161" s="350"/>
      <c r="AS1161" s="350"/>
      <c r="AT1161" s="350"/>
      <c r="AU1161" s="350"/>
      <c r="AV1161" s="350"/>
      <c r="AW1161" s="350"/>
      <c r="AX1161" s="350"/>
      <c r="AY1161" s="350"/>
      <c r="AZ1161" s="350"/>
      <c r="BA1161" s="350"/>
      <c r="BB1161" s="351"/>
    </row>
    <row r="1162" spans="1:54" ht="15.75" customHeight="1">
      <c r="A1162" s="25">
        <f t="shared" si="4"/>
        <v>1149</v>
      </c>
      <c r="B1162" s="618" t="str">
        <f>'refer admin discharge'!B1158</f>
        <v>x</v>
      </c>
      <c r="C1162" s="351"/>
      <c r="D1162" s="619" t="str">
        <f>'refer admin discharge'!D1158</f>
        <v>xx</v>
      </c>
      <c r="E1162" s="351"/>
      <c r="F1162" s="620" t="str">
        <f>'refer admin discharge'!H1158</f>
        <v>00/00/0000</v>
      </c>
      <c r="G1162" s="351"/>
      <c r="H1162" s="615"/>
      <c r="I1162" s="351"/>
      <c r="J1162" s="621"/>
      <c r="K1162" s="351"/>
      <c r="L1162" s="615"/>
      <c r="M1162" s="351"/>
      <c r="N1162" s="610"/>
      <c r="O1162" s="351"/>
      <c r="P1162" s="615"/>
      <c r="Q1162" s="351"/>
      <c r="R1162" s="610"/>
      <c r="S1162" s="351"/>
      <c r="T1162" s="615"/>
      <c r="U1162" s="351"/>
      <c r="V1162" s="613" t="str">
        <f>'refer admin discharge'!H1163</f>
        <v>00/00/0000</v>
      </c>
      <c r="W1162" s="351"/>
      <c r="X1162" s="616"/>
      <c r="Y1162" s="351"/>
      <c r="Z1162" s="617"/>
      <c r="AA1162" s="351"/>
      <c r="AB1162" s="616"/>
      <c r="AC1162" s="351"/>
      <c r="AD1162" s="607"/>
      <c r="AE1162" s="351"/>
      <c r="AF1162" s="616"/>
      <c r="AG1162" s="351"/>
      <c r="AH1162" s="607"/>
      <c r="AI1162" s="351"/>
      <c r="AJ1162" s="616"/>
      <c r="AK1162" s="351"/>
      <c r="AL1162" s="622"/>
      <c r="AM1162" s="350"/>
      <c r="AN1162" s="350"/>
      <c r="AO1162" s="350"/>
      <c r="AP1162" s="350"/>
      <c r="AQ1162" s="350"/>
      <c r="AR1162" s="350"/>
      <c r="AS1162" s="350"/>
      <c r="AT1162" s="350"/>
      <c r="AU1162" s="350"/>
      <c r="AV1162" s="350"/>
      <c r="AW1162" s="350"/>
      <c r="AX1162" s="350"/>
      <c r="AY1162" s="350"/>
      <c r="AZ1162" s="350"/>
      <c r="BA1162" s="350"/>
      <c r="BB1162" s="351"/>
    </row>
    <row r="1163" spans="1:54" ht="15.75" customHeight="1">
      <c r="A1163" s="25">
        <f t="shared" si="4"/>
        <v>1150</v>
      </c>
      <c r="B1163" s="599" t="str">
        <f>'refer admin discharge'!B1159</f>
        <v>x</v>
      </c>
      <c r="C1163" s="351"/>
      <c r="D1163" s="600" t="str">
        <f>'refer admin discharge'!D1159</f>
        <v>xx</v>
      </c>
      <c r="E1163" s="351"/>
      <c r="F1163" s="609" t="str">
        <f>'refer admin discharge'!H1159</f>
        <v>00/00/0000</v>
      </c>
      <c r="G1163" s="351"/>
      <c r="H1163" s="610"/>
      <c r="I1163" s="351"/>
      <c r="J1163" s="611"/>
      <c r="K1163" s="351"/>
      <c r="L1163" s="610"/>
      <c r="M1163" s="351"/>
      <c r="N1163" s="612"/>
      <c r="O1163" s="351"/>
      <c r="P1163" s="610"/>
      <c r="Q1163" s="351"/>
      <c r="R1163" s="612"/>
      <c r="S1163" s="351"/>
      <c r="T1163" s="610"/>
      <c r="U1163" s="351"/>
      <c r="V1163" s="613" t="str">
        <f>'refer admin discharge'!H1164</f>
        <v>00/00/0000</v>
      </c>
      <c r="W1163" s="351"/>
      <c r="X1163" s="607"/>
      <c r="Y1163" s="351"/>
      <c r="Z1163" s="614"/>
      <c r="AA1163" s="351"/>
      <c r="AB1163" s="607"/>
      <c r="AC1163" s="351"/>
      <c r="AD1163" s="606"/>
      <c r="AE1163" s="351"/>
      <c r="AF1163" s="607"/>
      <c r="AG1163" s="351"/>
      <c r="AH1163" s="606"/>
      <c r="AI1163" s="351"/>
      <c r="AJ1163" s="607"/>
      <c r="AK1163" s="351"/>
      <c r="AL1163" s="608"/>
      <c r="AM1163" s="350"/>
      <c r="AN1163" s="350"/>
      <c r="AO1163" s="350"/>
      <c r="AP1163" s="350"/>
      <c r="AQ1163" s="350"/>
      <c r="AR1163" s="350"/>
      <c r="AS1163" s="350"/>
      <c r="AT1163" s="350"/>
      <c r="AU1163" s="350"/>
      <c r="AV1163" s="350"/>
      <c r="AW1163" s="350"/>
      <c r="AX1163" s="350"/>
      <c r="AY1163" s="350"/>
      <c r="AZ1163" s="350"/>
      <c r="BA1163" s="350"/>
      <c r="BB1163" s="351"/>
    </row>
    <row r="1164" spans="1:54" ht="15.75" customHeight="1">
      <c r="A1164" s="25">
        <f t="shared" si="4"/>
        <v>1151</v>
      </c>
      <c r="B1164" s="618" t="str">
        <f>'refer admin discharge'!B1160</f>
        <v>x</v>
      </c>
      <c r="C1164" s="351"/>
      <c r="D1164" s="619" t="str">
        <f>'refer admin discharge'!D1160</f>
        <v>xx</v>
      </c>
      <c r="E1164" s="351"/>
      <c r="F1164" s="620" t="str">
        <f>'refer admin discharge'!H1160</f>
        <v>00/00/0000</v>
      </c>
      <c r="G1164" s="351"/>
      <c r="H1164" s="615"/>
      <c r="I1164" s="351"/>
      <c r="J1164" s="621"/>
      <c r="K1164" s="351"/>
      <c r="L1164" s="615"/>
      <c r="M1164" s="351"/>
      <c r="N1164" s="610"/>
      <c r="O1164" s="351"/>
      <c r="P1164" s="615"/>
      <c r="Q1164" s="351"/>
      <c r="R1164" s="610"/>
      <c r="S1164" s="351"/>
      <c r="T1164" s="615"/>
      <c r="U1164" s="351"/>
      <c r="V1164" s="613" t="str">
        <f>'refer admin discharge'!H1165</f>
        <v>00/00/0000</v>
      </c>
      <c r="W1164" s="351"/>
      <c r="X1164" s="616"/>
      <c r="Y1164" s="351"/>
      <c r="Z1164" s="617"/>
      <c r="AA1164" s="351"/>
      <c r="AB1164" s="616"/>
      <c r="AC1164" s="351"/>
      <c r="AD1164" s="607"/>
      <c r="AE1164" s="351"/>
      <c r="AF1164" s="616"/>
      <c r="AG1164" s="351"/>
      <c r="AH1164" s="607"/>
      <c r="AI1164" s="351"/>
      <c r="AJ1164" s="616"/>
      <c r="AK1164" s="351"/>
      <c r="AL1164" s="622"/>
      <c r="AM1164" s="350"/>
      <c r="AN1164" s="350"/>
      <c r="AO1164" s="350"/>
      <c r="AP1164" s="350"/>
      <c r="AQ1164" s="350"/>
      <c r="AR1164" s="350"/>
      <c r="AS1164" s="350"/>
      <c r="AT1164" s="350"/>
      <c r="AU1164" s="350"/>
      <c r="AV1164" s="350"/>
      <c r="AW1164" s="350"/>
      <c r="AX1164" s="350"/>
      <c r="AY1164" s="350"/>
      <c r="AZ1164" s="350"/>
      <c r="BA1164" s="350"/>
      <c r="BB1164" s="351"/>
    </row>
    <row r="1165" spans="1:54" ht="15.75" customHeight="1">
      <c r="A1165" s="25">
        <f t="shared" si="4"/>
        <v>1152</v>
      </c>
      <c r="B1165" s="599" t="str">
        <f>'refer admin discharge'!B1161</f>
        <v>x</v>
      </c>
      <c r="C1165" s="351"/>
      <c r="D1165" s="600" t="str">
        <f>'refer admin discharge'!D1161</f>
        <v>xx</v>
      </c>
      <c r="E1165" s="351"/>
      <c r="F1165" s="609" t="str">
        <f>'refer admin discharge'!H1161</f>
        <v>00/00/0000</v>
      </c>
      <c r="G1165" s="351"/>
      <c r="H1165" s="610"/>
      <c r="I1165" s="351"/>
      <c r="J1165" s="611"/>
      <c r="K1165" s="351"/>
      <c r="L1165" s="610"/>
      <c r="M1165" s="351"/>
      <c r="N1165" s="612"/>
      <c r="O1165" s="351"/>
      <c r="P1165" s="610"/>
      <c r="Q1165" s="351"/>
      <c r="R1165" s="612"/>
      <c r="S1165" s="351"/>
      <c r="T1165" s="610"/>
      <c r="U1165" s="351"/>
      <c r="V1165" s="613" t="str">
        <f>'refer admin discharge'!H1166</f>
        <v>00/00/0000</v>
      </c>
      <c r="W1165" s="351"/>
      <c r="X1165" s="607"/>
      <c r="Y1165" s="351"/>
      <c r="Z1165" s="614"/>
      <c r="AA1165" s="351"/>
      <c r="AB1165" s="607"/>
      <c r="AC1165" s="351"/>
      <c r="AD1165" s="606"/>
      <c r="AE1165" s="351"/>
      <c r="AF1165" s="607"/>
      <c r="AG1165" s="351"/>
      <c r="AH1165" s="606"/>
      <c r="AI1165" s="351"/>
      <c r="AJ1165" s="607"/>
      <c r="AK1165" s="351"/>
      <c r="AL1165" s="608"/>
      <c r="AM1165" s="350"/>
      <c r="AN1165" s="350"/>
      <c r="AO1165" s="350"/>
      <c r="AP1165" s="350"/>
      <c r="AQ1165" s="350"/>
      <c r="AR1165" s="350"/>
      <c r="AS1165" s="350"/>
      <c r="AT1165" s="350"/>
      <c r="AU1165" s="350"/>
      <c r="AV1165" s="350"/>
      <c r="AW1165" s="350"/>
      <c r="AX1165" s="350"/>
      <c r="AY1165" s="350"/>
      <c r="AZ1165" s="350"/>
      <c r="BA1165" s="350"/>
      <c r="BB1165" s="351"/>
    </row>
    <row r="1166" spans="1:54" ht="15.75" customHeight="1">
      <c r="A1166" s="25">
        <f t="shared" si="4"/>
        <v>1153</v>
      </c>
      <c r="B1166" s="618" t="str">
        <f>'refer admin discharge'!B1162</f>
        <v>x</v>
      </c>
      <c r="C1166" s="351"/>
      <c r="D1166" s="619" t="str">
        <f>'refer admin discharge'!D1162</f>
        <v>xx</v>
      </c>
      <c r="E1166" s="351"/>
      <c r="F1166" s="620" t="str">
        <f>'refer admin discharge'!H1162</f>
        <v>00/00/0000</v>
      </c>
      <c r="G1166" s="351"/>
      <c r="H1166" s="615"/>
      <c r="I1166" s="351"/>
      <c r="J1166" s="621"/>
      <c r="K1166" s="351"/>
      <c r="L1166" s="615"/>
      <c r="M1166" s="351"/>
      <c r="N1166" s="610"/>
      <c r="O1166" s="351"/>
      <c r="P1166" s="615"/>
      <c r="Q1166" s="351"/>
      <c r="R1166" s="610"/>
      <c r="S1166" s="351"/>
      <c r="T1166" s="615"/>
      <c r="U1166" s="351"/>
      <c r="V1166" s="613" t="str">
        <f>'refer admin discharge'!H1167</f>
        <v>00/00/0000</v>
      </c>
      <c r="W1166" s="351"/>
      <c r="X1166" s="616"/>
      <c r="Y1166" s="351"/>
      <c r="Z1166" s="617"/>
      <c r="AA1166" s="351"/>
      <c r="AB1166" s="616"/>
      <c r="AC1166" s="351"/>
      <c r="AD1166" s="607"/>
      <c r="AE1166" s="351"/>
      <c r="AF1166" s="616"/>
      <c r="AG1166" s="351"/>
      <c r="AH1166" s="607"/>
      <c r="AI1166" s="351"/>
      <c r="AJ1166" s="616"/>
      <c r="AK1166" s="351"/>
      <c r="AL1166" s="622"/>
      <c r="AM1166" s="350"/>
      <c r="AN1166" s="350"/>
      <c r="AO1166" s="350"/>
      <c r="AP1166" s="350"/>
      <c r="AQ1166" s="350"/>
      <c r="AR1166" s="350"/>
      <c r="AS1166" s="350"/>
      <c r="AT1166" s="350"/>
      <c r="AU1166" s="350"/>
      <c r="AV1166" s="350"/>
      <c r="AW1166" s="350"/>
      <c r="AX1166" s="350"/>
      <c r="AY1166" s="350"/>
      <c r="AZ1166" s="350"/>
      <c r="BA1166" s="350"/>
      <c r="BB1166" s="351"/>
    </row>
    <row r="1167" spans="1:54" ht="15.75" customHeight="1">
      <c r="A1167" s="25">
        <f t="shared" si="4"/>
        <v>1154</v>
      </c>
      <c r="B1167" s="599" t="str">
        <f>'refer admin discharge'!B1163</f>
        <v>x</v>
      </c>
      <c r="C1167" s="351"/>
      <c r="D1167" s="600" t="str">
        <f>'refer admin discharge'!D1163</f>
        <v>xx</v>
      </c>
      <c r="E1167" s="351"/>
      <c r="F1167" s="609" t="str">
        <f>'refer admin discharge'!H1163</f>
        <v>00/00/0000</v>
      </c>
      <c r="G1167" s="351"/>
      <c r="H1167" s="610"/>
      <c r="I1167" s="351"/>
      <c r="J1167" s="611"/>
      <c r="K1167" s="351"/>
      <c r="L1167" s="610"/>
      <c r="M1167" s="351"/>
      <c r="N1167" s="612"/>
      <c r="O1167" s="351"/>
      <c r="P1167" s="610"/>
      <c r="Q1167" s="351"/>
      <c r="R1167" s="612"/>
      <c r="S1167" s="351"/>
      <c r="T1167" s="610"/>
      <c r="U1167" s="351"/>
      <c r="V1167" s="613" t="str">
        <f>'refer admin discharge'!H1168</f>
        <v>00/00/0000</v>
      </c>
      <c r="W1167" s="351"/>
      <c r="X1167" s="607"/>
      <c r="Y1167" s="351"/>
      <c r="Z1167" s="614"/>
      <c r="AA1167" s="351"/>
      <c r="AB1167" s="607"/>
      <c r="AC1167" s="351"/>
      <c r="AD1167" s="606"/>
      <c r="AE1167" s="351"/>
      <c r="AF1167" s="607"/>
      <c r="AG1167" s="351"/>
      <c r="AH1167" s="606"/>
      <c r="AI1167" s="351"/>
      <c r="AJ1167" s="607"/>
      <c r="AK1167" s="351"/>
      <c r="AL1167" s="608"/>
      <c r="AM1167" s="350"/>
      <c r="AN1167" s="350"/>
      <c r="AO1167" s="350"/>
      <c r="AP1167" s="350"/>
      <c r="AQ1167" s="350"/>
      <c r="AR1167" s="350"/>
      <c r="AS1167" s="350"/>
      <c r="AT1167" s="350"/>
      <c r="AU1167" s="350"/>
      <c r="AV1167" s="350"/>
      <c r="AW1167" s="350"/>
      <c r="AX1167" s="350"/>
      <c r="AY1167" s="350"/>
      <c r="AZ1167" s="350"/>
      <c r="BA1167" s="350"/>
      <c r="BB1167" s="351"/>
    </row>
    <row r="1168" spans="1:54" ht="15.75" customHeight="1">
      <c r="A1168" s="25">
        <f t="shared" si="4"/>
        <v>1155</v>
      </c>
      <c r="B1168" s="618" t="str">
        <f>'refer admin discharge'!B1164</f>
        <v>x</v>
      </c>
      <c r="C1168" s="351"/>
      <c r="D1168" s="619" t="str">
        <f>'refer admin discharge'!D1164</f>
        <v>xx</v>
      </c>
      <c r="E1168" s="351"/>
      <c r="F1168" s="620" t="str">
        <f>'refer admin discharge'!H1164</f>
        <v>00/00/0000</v>
      </c>
      <c r="G1168" s="351"/>
      <c r="H1168" s="615"/>
      <c r="I1168" s="351"/>
      <c r="J1168" s="621"/>
      <c r="K1168" s="351"/>
      <c r="L1168" s="615"/>
      <c r="M1168" s="351"/>
      <c r="N1168" s="610"/>
      <c r="O1168" s="351"/>
      <c r="P1168" s="615"/>
      <c r="Q1168" s="351"/>
      <c r="R1168" s="610"/>
      <c r="S1168" s="351"/>
      <c r="T1168" s="615"/>
      <c r="U1168" s="351"/>
      <c r="V1168" s="613" t="str">
        <f>'refer admin discharge'!H1169</f>
        <v>00/00/0000</v>
      </c>
      <c r="W1168" s="351"/>
      <c r="X1168" s="616"/>
      <c r="Y1168" s="351"/>
      <c r="Z1168" s="617"/>
      <c r="AA1168" s="351"/>
      <c r="AB1168" s="616"/>
      <c r="AC1168" s="351"/>
      <c r="AD1168" s="607"/>
      <c r="AE1168" s="351"/>
      <c r="AF1168" s="616"/>
      <c r="AG1168" s="351"/>
      <c r="AH1168" s="607"/>
      <c r="AI1168" s="351"/>
      <c r="AJ1168" s="616"/>
      <c r="AK1168" s="351"/>
      <c r="AL1168" s="622"/>
      <c r="AM1168" s="350"/>
      <c r="AN1168" s="350"/>
      <c r="AO1168" s="350"/>
      <c r="AP1168" s="350"/>
      <c r="AQ1168" s="350"/>
      <c r="AR1168" s="350"/>
      <c r="AS1168" s="350"/>
      <c r="AT1168" s="350"/>
      <c r="AU1168" s="350"/>
      <c r="AV1168" s="350"/>
      <c r="AW1168" s="350"/>
      <c r="AX1168" s="350"/>
      <c r="AY1168" s="350"/>
      <c r="AZ1168" s="350"/>
      <c r="BA1168" s="350"/>
      <c r="BB1168" s="351"/>
    </row>
    <row r="1169" spans="1:54" ht="15.75" customHeight="1">
      <c r="A1169" s="25">
        <f t="shared" si="4"/>
        <v>1156</v>
      </c>
      <c r="B1169" s="599" t="str">
        <f>'refer admin discharge'!B1165</f>
        <v>x</v>
      </c>
      <c r="C1169" s="351"/>
      <c r="D1169" s="600" t="str">
        <f>'refer admin discharge'!D1165</f>
        <v>xx</v>
      </c>
      <c r="E1169" s="351"/>
      <c r="F1169" s="609" t="str">
        <f>'refer admin discharge'!H1165</f>
        <v>00/00/0000</v>
      </c>
      <c r="G1169" s="351"/>
      <c r="H1169" s="610"/>
      <c r="I1169" s="351"/>
      <c r="J1169" s="611"/>
      <c r="K1169" s="351"/>
      <c r="L1169" s="610"/>
      <c r="M1169" s="351"/>
      <c r="N1169" s="612"/>
      <c r="O1169" s="351"/>
      <c r="P1169" s="610"/>
      <c r="Q1169" s="351"/>
      <c r="R1169" s="612"/>
      <c r="S1169" s="351"/>
      <c r="T1169" s="610"/>
      <c r="U1169" s="351"/>
      <c r="V1169" s="613" t="str">
        <f>'refer admin discharge'!H1170</f>
        <v>00/00/0000</v>
      </c>
      <c r="W1169" s="351"/>
      <c r="X1169" s="607"/>
      <c r="Y1169" s="351"/>
      <c r="Z1169" s="614"/>
      <c r="AA1169" s="351"/>
      <c r="AB1169" s="607"/>
      <c r="AC1169" s="351"/>
      <c r="AD1169" s="606"/>
      <c r="AE1169" s="351"/>
      <c r="AF1169" s="607"/>
      <c r="AG1169" s="351"/>
      <c r="AH1169" s="606"/>
      <c r="AI1169" s="351"/>
      <c r="AJ1169" s="607"/>
      <c r="AK1169" s="351"/>
      <c r="AL1169" s="608"/>
      <c r="AM1169" s="350"/>
      <c r="AN1169" s="350"/>
      <c r="AO1169" s="350"/>
      <c r="AP1169" s="350"/>
      <c r="AQ1169" s="350"/>
      <c r="AR1169" s="350"/>
      <c r="AS1169" s="350"/>
      <c r="AT1169" s="350"/>
      <c r="AU1169" s="350"/>
      <c r="AV1169" s="350"/>
      <c r="AW1169" s="350"/>
      <c r="AX1169" s="350"/>
      <c r="AY1169" s="350"/>
      <c r="AZ1169" s="350"/>
      <c r="BA1169" s="350"/>
      <c r="BB1169" s="351"/>
    </row>
    <row r="1170" spans="1:54" ht="15.75" customHeight="1">
      <c r="A1170" s="25">
        <f t="shared" si="4"/>
        <v>1157</v>
      </c>
      <c r="B1170" s="618" t="str">
        <f>'refer admin discharge'!B1166</f>
        <v>x</v>
      </c>
      <c r="C1170" s="351"/>
      <c r="D1170" s="619" t="str">
        <f>'refer admin discharge'!D1166</f>
        <v>xx</v>
      </c>
      <c r="E1170" s="351"/>
      <c r="F1170" s="620" t="str">
        <f>'refer admin discharge'!H1166</f>
        <v>00/00/0000</v>
      </c>
      <c r="G1170" s="351"/>
      <c r="H1170" s="615"/>
      <c r="I1170" s="351"/>
      <c r="J1170" s="621"/>
      <c r="K1170" s="351"/>
      <c r="L1170" s="615"/>
      <c r="M1170" s="351"/>
      <c r="N1170" s="610"/>
      <c r="O1170" s="351"/>
      <c r="P1170" s="615"/>
      <c r="Q1170" s="351"/>
      <c r="R1170" s="610"/>
      <c r="S1170" s="351"/>
      <c r="T1170" s="615"/>
      <c r="U1170" s="351"/>
      <c r="V1170" s="613" t="str">
        <f>'refer admin discharge'!H1171</f>
        <v>00/00/0000</v>
      </c>
      <c r="W1170" s="351"/>
      <c r="X1170" s="616"/>
      <c r="Y1170" s="351"/>
      <c r="Z1170" s="617"/>
      <c r="AA1170" s="351"/>
      <c r="AB1170" s="616"/>
      <c r="AC1170" s="351"/>
      <c r="AD1170" s="607"/>
      <c r="AE1170" s="351"/>
      <c r="AF1170" s="616"/>
      <c r="AG1170" s="351"/>
      <c r="AH1170" s="607"/>
      <c r="AI1170" s="351"/>
      <c r="AJ1170" s="616"/>
      <c r="AK1170" s="351"/>
      <c r="AL1170" s="622"/>
      <c r="AM1170" s="350"/>
      <c r="AN1170" s="350"/>
      <c r="AO1170" s="350"/>
      <c r="AP1170" s="350"/>
      <c r="AQ1170" s="350"/>
      <c r="AR1170" s="350"/>
      <c r="AS1170" s="350"/>
      <c r="AT1170" s="350"/>
      <c r="AU1170" s="350"/>
      <c r="AV1170" s="350"/>
      <c r="AW1170" s="350"/>
      <c r="AX1170" s="350"/>
      <c r="AY1170" s="350"/>
      <c r="AZ1170" s="350"/>
      <c r="BA1170" s="350"/>
      <c r="BB1170" s="351"/>
    </row>
    <row r="1171" spans="1:54" ht="15.75" customHeight="1">
      <c r="A1171" s="25">
        <f t="shared" si="4"/>
        <v>1158</v>
      </c>
      <c r="B1171" s="599" t="str">
        <f>'refer admin discharge'!B1167</f>
        <v>x</v>
      </c>
      <c r="C1171" s="351"/>
      <c r="D1171" s="600" t="str">
        <f>'refer admin discharge'!D1167</f>
        <v>xx</v>
      </c>
      <c r="E1171" s="351"/>
      <c r="F1171" s="609" t="str">
        <f>'refer admin discharge'!H1167</f>
        <v>00/00/0000</v>
      </c>
      <c r="G1171" s="351"/>
      <c r="H1171" s="610"/>
      <c r="I1171" s="351"/>
      <c r="J1171" s="611"/>
      <c r="K1171" s="351"/>
      <c r="L1171" s="610"/>
      <c r="M1171" s="351"/>
      <c r="N1171" s="612"/>
      <c r="O1171" s="351"/>
      <c r="P1171" s="610"/>
      <c r="Q1171" s="351"/>
      <c r="R1171" s="612"/>
      <c r="S1171" s="351"/>
      <c r="T1171" s="610"/>
      <c r="U1171" s="351"/>
      <c r="V1171" s="613" t="str">
        <f>'refer admin discharge'!H1172</f>
        <v>00/00/0000</v>
      </c>
      <c r="W1171" s="351"/>
      <c r="X1171" s="607"/>
      <c r="Y1171" s="351"/>
      <c r="Z1171" s="614"/>
      <c r="AA1171" s="351"/>
      <c r="AB1171" s="607"/>
      <c r="AC1171" s="351"/>
      <c r="AD1171" s="606"/>
      <c r="AE1171" s="351"/>
      <c r="AF1171" s="607"/>
      <c r="AG1171" s="351"/>
      <c r="AH1171" s="606"/>
      <c r="AI1171" s="351"/>
      <c r="AJ1171" s="607"/>
      <c r="AK1171" s="351"/>
      <c r="AL1171" s="608"/>
      <c r="AM1171" s="350"/>
      <c r="AN1171" s="350"/>
      <c r="AO1171" s="350"/>
      <c r="AP1171" s="350"/>
      <c r="AQ1171" s="350"/>
      <c r="AR1171" s="350"/>
      <c r="AS1171" s="350"/>
      <c r="AT1171" s="350"/>
      <c r="AU1171" s="350"/>
      <c r="AV1171" s="350"/>
      <c r="AW1171" s="350"/>
      <c r="AX1171" s="350"/>
      <c r="AY1171" s="350"/>
      <c r="AZ1171" s="350"/>
      <c r="BA1171" s="350"/>
      <c r="BB1171" s="351"/>
    </row>
    <row r="1172" spans="1:54" ht="15.75" customHeight="1">
      <c r="A1172" s="25">
        <f t="shared" si="4"/>
        <v>1159</v>
      </c>
      <c r="B1172" s="618" t="str">
        <f>'refer admin discharge'!B1168</f>
        <v>x</v>
      </c>
      <c r="C1172" s="351"/>
      <c r="D1172" s="619" t="str">
        <f>'refer admin discharge'!D1168</f>
        <v>xx</v>
      </c>
      <c r="E1172" s="351"/>
      <c r="F1172" s="620" t="str">
        <f>'refer admin discharge'!H1168</f>
        <v>00/00/0000</v>
      </c>
      <c r="G1172" s="351"/>
      <c r="H1172" s="615"/>
      <c r="I1172" s="351"/>
      <c r="J1172" s="621"/>
      <c r="K1172" s="351"/>
      <c r="L1172" s="615"/>
      <c r="M1172" s="351"/>
      <c r="N1172" s="610"/>
      <c r="O1172" s="351"/>
      <c r="P1172" s="615"/>
      <c r="Q1172" s="351"/>
      <c r="R1172" s="610"/>
      <c r="S1172" s="351"/>
      <c r="T1172" s="615"/>
      <c r="U1172" s="351"/>
      <c r="V1172" s="613" t="str">
        <f>'refer admin discharge'!H1173</f>
        <v>00/00/0000</v>
      </c>
      <c r="W1172" s="351"/>
      <c r="X1172" s="616"/>
      <c r="Y1172" s="351"/>
      <c r="Z1172" s="617"/>
      <c r="AA1172" s="351"/>
      <c r="AB1172" s="616"/>
      <c r="AC1172" s="351"/>
      <c r="AD1172" s="607"/>
      <c r="AE1172" s="351"/>
      <c r="AF1172" s="616"/>
      <c r="AG1172" s="351"/>
      <c r="AH1172" s="607"/>
      <c r="AI1172" s="351"/>
      <c r="AJ1172" s="616"/>
      <c r="AK1172" s="351"/>
      <c r="AL1172" s="622"/>
      <c r="AM1172" s="350"/>
      <c r="AN1172" s="350"/>
      <c r="AO1172" s="350"/>
      <c r="AP1172" s="350"/>
      <c r="AQ1172" s="350"/>
      <c r="AR1172" s="350"/>
      <c r="AS1172" s="350"/>
      <c r="AT1172" s="350"/>
      <c r="AU1172" s="350"/>
      <c r="AV1172" s="350"/>
      <c r="AW1172" s="350"/>
      <c r="AX1172" s="350"/>
      <c r="AY1172" s="350"/>
      <c r="AZ1172" s="350"/>
      <c r="BA1172" s="350"/>
      <c r="BB1172" s="351"/>
    </row>
    <row r="1173" spans="1:54" ht="15.75" customHeight="1">
      <c r="A1173" s="25">
        <f t="shared" si="4"/>
        <v>1160</v>
      </c>
      <c r="B1173" s="599" t="str">
        <f>'refer admin discharge'!B1169</f>
        <v>x</v>
      </c>
      <c r="C1173" s="351"/>
      <c r="D1173" s="600" t="str">
        <f>'refer admin discharge'!D1169</f>
        <v>xx</v>
      </c>
      <c r="E1173" s="351"/>
      <c r="F1173" s="609" t="str">
        <f>'refer admin discharge'!H1169</f>
        <v>00/00/0000</v>
      </c>
      <c r="G1173" s="351"/>
      <c r="H1173" s="610"/>
      <c r="I1173" s="351"/>
      <c r="J1173" s="611"/>
      <c r="K1173" s="351"/>
      <c r="L1173" s="610"/>
      <c r="M1173" s="351"/>
      <c r="N1173" s="612"/>
      <c r="O1173" s="351"/>
      <c r="P1173" s="610"/>
      <c r="Q1173" s="351"/>
      <c r="R1173" s="612"/>
      <c r="S1173" s="351"/>
      <c r="T1173" s="610"/>
      <c r="U1173" s="351"/>
      <c r="V1173" s="613" t="str">
        <f>'refer admin discharge'!H1174</f>
        <v>00/00/0000</v>
      </c>
      <c r="W1173" s="351"/>
      <c r="X1173" s="607"/>
      <c r="Y1173" s="351"/>
      <c r="Z1173" s="614"/>
      <c r="AA1173" s="351"/>
      <c r="AB1173" s="607"/>
      <c r="AC1173" s="351"/>
      <c r="AD1173" s="606"/>
      <c r="AE1173" s="351"/>
      <c r="AF1173" s="607"/>
      <c r="AG1173" s="351"/>
      <c r="AH1173" s="606"/>
      <c r="AI1173" s="351"/>
      <c r="AJ1173" s="607"/>
      <c r="AK1173" s="351"/>
      <c r="AL1173" s="608"/>
      <c r="AM1173" s="350"/>
      <c r="AN1173" s="350"/>
      <c r="AO1173" s="350"/>
      <c r="AP1173" s="350"/>
      <c r="AQ1173" s="350"/>
      <c r="AR1173" s="350"/>
      <c r="AS1173" s="350"/>
      <c r="AT1173" s="350"/>
      <c r="AU1173" s="350"/>
      <c r="AV1173" s="350"/>
      <c r="AW1173" s="350"/>
      <c r="AX1173" s="350"/>
      <c r="AY1173" s="350"/>
      <c r="AZ1173" s="350"/>
      <c r="BA1173" s="350"/>
      <c r="BB1173" s="351"/>
    </row>
    <row r="1174" spans="1:54" ht="15.75" customHeight="1">
      <c r="A1174" s="25">
        <f t="shared" si="4"/>
        <v>1161</v>
      </c>
      <c r="B1174" s="618" t="str">
        <f>'refer admin discharge'!B1170</f>
        <v>x</v>
      </c>
      <c r="C1174" s="351"/>
      <c r="D1174" s="619" t="str">
        <f>'refer admin discharge'!D1170</f>
        <v>xx</v>
      </c>
      <c r="E1174" s="351"/>
      <c r="F1174" s="620" t="str">
        <f>'refer admin discharge'!H1170</f>
        <v>00/00/0000</v>
      </c>
      <c r="G1174" s="351"/>
      <c r="H1174" s="615"/>
      <c r="I1174" s="351"/>
      <c r="J1174" s="621"/>
      <c r="K1174" s="351"/>
      <c r="L1174" s="615"/>
      <c r="M1174" s="351"/>
      <c r="N1174" s="610"/>
      <c r="O1174" s="351"/>
      <c r="P1174" s="615"/>
      <c r="Q1174" s="351"/>
      <c r="R1174" s="610"/>
      <c r="S1174" s="351"/>
      <c r="T1174" s="615"/>
      <c r="U1174" s="351"/>
      <c r="V1174" s="613" t="str">
        <f>'refer admin discharge'!H1175</f>
        <v>00/00/0000</v>
      </c>
      <c r="W1174" s="351"/>
      <c r="X1174" s="616"/>
      <c r="Y1174" s="351"/>
      <c r="Z1174" s="617"/>
      <c r="AA1174" s="351"/>
      <c r="AB1174" s="616"/>
      <c r="AC1174" s="351"/>
      <c r="AD1174" s="607"/>
      <c r="AE1174" s="351"/>
      <c r="AF1174" s="616"/>
      <c r="AG1174" s="351"/>
      <c r="AH1174" s="607"/>
      <c r="AI1174" s="351"/>
      <c r="AJ1174" s="616"/>
      <c r="AK1174" s="351"/>
      <c r="AL1174" s="622"/>
      <c r="AM1174" s="350"/>
      <c r="AN1174" s="350"/>
      <c r="AO1174" s="350"/>
      <c r="AP1174" s="350"/>
      <c r="AQ1174" s="350"/>
      <c r="AR1174" s="350"/>
      <c r="AS1174" s="350"/>
      <c r="AT1174" s="350"/>
      <c r="AU1174" s="350"/>
      <c r="AV1174" s="350"/>
      <c r="AW1174" s="350"/>
      <c r="AX1174" s="350"/>
      <c r="AY1174" s="350"/>
      <c r="AZ1174" s="350"/>
      <c r="BA1174" s="350"/>
      <c r="BB1174" s="351"/>
    </row>
    <row r="1175" spans="1:54" ht="15.75" customHeight="1">
      <c r="A1175" s="25">
        <f t="shared" si="4"/>
        <v>1162</v>
      </c>
      <c r="B1175" s="599" t="str">
        <f>'refer admin discharge'!B1171</f>
        <v>x</v>
      </c>
      <c r="C1175" s="351"/>
      <c r="D1175" s="600" t="str">
        <f>'refer admin discharge'!D1171</f>
        <v>xx</v>
      </c>
      <c r="E1175" s="351"/>
      <c r="F1175" s="609" t="str">
        <f>'refer admin discharge'!H1171</f>
        <v>00/00/0000</v>
      </c>
      <c r="G1175" s="351"/>
      <c r="H1175" s="610"/>
      <c r="I1175" s="351"/>
      <c r="J1175" s="611"/>
      <c r="K1175" s="351"/>
      <c r="L1175" s="610"/>
      <c r="M1175" s="351"/>
      <c r="N1175" s="612"/>
      <c r="O1175" s="351"/>
      <c r="P1175" s="610"/>
      <c r="Q1175" s="351"/>
      <c r="R1175" s="612"/>
      <c r="S1175" s="351"/>
      <c r="T1175" s="610"/>
      <c r="U1175" s="351"/>
      <c r="V1175" s="613" t="str">
        <f>'refer admin discharge'!H1176</f>
        <v>00/00/0000</v>
      </c>
      <c r="W1175" s="351"/>
      <c r="X1175" s="607"/>
      <c r="Y1175" s="351"/>
      <c r="Z1175" s="614"/>
      <c r="AA1175" s="351"/>
      <c r="AB1175" s="607"/>
      <c r="AC1175" s="351"/>
      <c r="AD1175" s="606"/>
      <c r="AE1175" s="351"/>
      <c r="AF1175" s="607"/>
      <c r="AG1175" s="351"/>
      <c r="AH1175" s="606"/>
      <c r="AI1175" s="351"/>
      <c r="AJ1175" s="607"/>
      <c r="AK1175" s="351"/>
      <c r="AL1175" s="608"/>
      <c r="AM1175" s="350"/>
      <c r="AN1175" s="350"/>
      <c r="AO1175" s="350"/>
      <c r="AP1175" s="350"/>
      <c r="AQ1175" s="350"/>
      <c r="AR1175" s="350"/>
      <c r="AS1175" s="350"/>
      <c r="AT1175" s="350"/>
      <c r="AU1175" s="350"/>
      <c r="AV1175" s="350"/>
      <c r="AW1175" s="350"/>
      <c r="AX1175" s="350"/>
      <c r="AY1175" s="350"/>
      <c r="AZ1175" s="350"/>
      <c r="BA1175" s="350"/>
      <c r="BB1175" s="351"/>
    </row>
    <row r="1176" spans="1:54" ht="15.75" customHeight="1">
      <c r="A1176" s="25">
        <f t="shared" si="4"/>
        <v>1163</v>
      </c>
      <c r="B1176" s="618" t="str">
        <f>'refer admin discharge'!B1172</f>
        <v>x</v>
      </c>
      <c r="C1176" s="351"/>
      <c r="D1176" s="619" t="str">
        <f>'refer admin discharge'!D1172</f>
        <v>xx</v>
      </c>
      <c r="E1176" s="351"/>
      <c r="F1176" s="620" t="str">
        <f>'refer admin discharge'!H1172</f>
        <v>00/00/0000</v>
      </c>
      <c r="G1176" s="351"/>
      <c r="H1176" s="615"/>
      <c r="I1176" s="351"/>
      <c r="J1176" s="621"/>
      <c r="K1176" s="351"/>
      <c r="L1176" s="615"/>
      <c r="M1176" s="351"/>
      <c r="N1176" s="610"/>
      <c r="O1176" s="351"/>
      <c r="P1176" s="615"/>
      <c r="Q1176" s="351"/>
      <c r="R1176" s="610"/>
      <c r="S1176" s="351"/>
      <c r="T1176" s="615"/>
      <c r="U1176" s="351"/>
      <c r="V1176" s="613" t="str">
        <f>'refer admin discharge'!H1177</f>
        <v>00/00/0000</v>
      </c>
      <c r="W1176" s="351"/>
      <c r="X1176" s="616"/>
      <c r="Y1176" s="351"/>
      <c r="Z1176" s="617"/>
      <c r="AA1176" s="351"/>
      <c r="AB1176" s="616"/>
      <c r="AC1176" s="351"/>
      <c r="AD1176" s="607"/>
      <c r="AE1176" s="351"/>
      <c r="AF1176" s="616"/>
      <c r="AG1176" s="351"/>
      <c r="AH1176" s="607"/>
      <c r="AI1176" s="351"/>
      <c r="AJ1176" s="616"/>
      <c r="AK1176" s="351"/>
      <c r="AL1176" s="622"/>
      <c r="AM1176" s="350"/>
      <c r="AN1176" s="350"/>
      <c r="AO1176" s="350"/>
      <c r="AP1176" s="350"/>
      <c r="AQ1176" s="350"/>
      <c r="AR1176" s="350"/>
      <c r="AS1176" s="350"/>
      <c r="AT1176" s="350"/>
      <c r="AU1176" s="350"/>
      <c r="AV1176" s="350"/>
      <c r="AW1176" s="350"/>
      <c r="AX1176" s="350"/>
      <c r="AY1176" s="350"/>
      <c r="AZ1176" s="350"/>
      <c r="BA1176" s="350"/>
      <c r="BB1176" s="351"/>
    </row>
    <row r="1177" spans="1:54" ht="15.75" customHeight="1">
      <c r="A1177" s="25">
        <f t="shared" si="4"/>
        <v>1164</v>
      </c>
      <c r="B1177" s="599" t="str">
        <f>'refer admin discharge'!B1173</f>
        <v>x</v>
      </c>
      <c r="C1177" s="351"/>
      <c r="D1177" s="600" t="str">
        <f>'refer admin discharge'!D1173</f>
        <v>xx</v>
      </c>
      <c r="E1177" s="351"/>
      <c r="F1177" s="609" t="str">
        <f>'refer admin discharge'!H1173</f>
        <v>00/00/0000</v>
      </c>
      <c r="G1177" s="351"/>
      <c r="H1177" s="610"/>
      <c r="I1177" s="351"/>
      <c r="J1177" s="611"/>
      <c r="K1177" s="351"/>
      <c r="L1177" s="610"/>
      <c r="M1177" s="351"/>
      <c r="N1177" s="612"/>
      <c r="O1177" s="351"/>
      <c r="P1177" s="610"/>
      <c r="Q1177" s="351"/>
      <c r="R1177" s="612"/>
      <c r="S1177" s="351"/>
      <c r="T1177" s="610"/>
      <c r="U1177" s="351"/>
      <c r="V1177" s="613" t="str">
        <f>'refer admin discharge'!H1178</f>
        <v>00/00/0000</v>
      </c>
      <c r="W1177" s="351"/>
      <c r="X1177" s="607"/>
      <c r="Y1177" s="351"/>
      <c r="Z1177" s="614"/>
      <c r="AA1177" s="351"/>
      <c r="AB1177" s="607"/>
      <c r="AC1177" s="351"/>
      <c r="AD1177" s="606"/>
      <c r="AE1177" s="351"/>
      <c r="AF1177" s="607"/>
      <c r="AG1177" s="351"/>
      <c r="AH1177" s="606"/>
      <c r="AI1177" s="351"/>
      <c r="AJ1177" s="607"/>
      <c r="AK1177" s="351"/>
      <c r="AL1177" s="608"/>
      <c r="AM1177" s="350"/>
      <c r="AN1177" s="350"/>
      <c r="AO1177" s="350"/>
      <c r="AP1177" s="350"/>
      <c r="AQ1177" s="350"/>
      <c r="AR1177" s="350"/>
      <c r="AS1177" s="350"/>
      <c r="AT1177" s="350"/>
      <c r="AU1177" s="350"/>
      <c r="AV1177" s="350"/>
      <c r="AW1177" s="350"/>
      <c r="AX1177" s="350"/>
      <c r="AY1177" s="350"/>
      <c r="AZ1177" s="350"/>
      <c r="BA1177" s="350"/>
      <c r="BB1177" s="351"/>
    </row>
    <row r="1178" spans="1:54" ht="15.75" customHeight="1">
      <c r="A1178" s="25">
        <f t="shared" si="4"/>
        <v>1165</v>
      </c>
      <c r="B1178" s="618" t="str">
        <f>'refer admin discharge'!B1174</f>
        <v>x</v>
      </c>
      <c r="C1178" s="351"/>
      <c r="D1178" s="619" t="str">
        <f>'refer admin discharge'!D1174</f>
        <v>xx</v>
      </c>
      <c r="E1178" s="351"/>
      <c r="F1178" s="620" t="str">
        <f>'refer admin discharge'!H1174</f>
        <v>00/00/0000</v>
      </c>
      <c r="G1178" s="351"/>
      <c r="H1178" s="615"/>
      <c r="I1178" s="351"/>
      <c r="J1178" s="621"/>
      <c r="K1178" s="351"/>
      <c r="L1178" s="615"/>
      <c r="M1178" s="351"/>
      <c r="N1178" s="610"/>
      <c r="O1178" s="351"/>
      <c r="P1178" s="615"/>
      <c r="Q1178" s="351"/>
      <c r="R1178" s="610"/>
      <c r="S1178" s="351"/>
      <c r="T1178" s="615"/>
      <c r="U1178" s="351"/>
      <c r="V1178" s="613" t="str">
        <f>'refer admin discharge'!H1179</f>
        <v>00/00/0000</v>
      </c>
      <c r="W1178" s="351"/>
      <c r="X1178" s="616"/>
      <c r="Y1178" s="351"/>
      <c r="Z1178" s="617"/>
      <c r="AA1178" s="351"/>
      <c r="AB1178" s="616"/>
      <c r="AC1178" s="351"/>
      <c r="AD1178" s="607"/>
      <c r="AE1178" s="351"/>
      <c r="AF1178" s="616"/>
      <c r="AG1178" s="351"/>
      <c r="AH1178" s="607"/>
      <c r="AI1178" s="351"/>
      <c r="AJ1178" s="616"/>
      <c r="AK1178" s="351"/>
      <c r="AL1178" s="622"/>
      <c r="AM1178" s="350"/>
      <c r="AN1178" s="350"/>
      <c r="AO1178" s="350"/>
      <c r="AP1178" s="350"/>
      <c r="AQ1178" s="350"/>
      <c r="AR1178" s="350"/>
      <c r="AS1178" s="350"/>
      <c r="AT1178" s="350"/>
      <c r="AU1178" s="350"/>
      <c r="AV1178" s="350"/>
      <c r="AW1178" s="350"/>
      <c r="AX1178" s="350"/>
      <c r="AY1178" s="350"/>
      <c r="AZ1178" s="350"/>
      <c r="BA1178" s="350"/>
      <c r="BB1178" s="351"/>
    </row>
    <row r="1179" spans="1:54" ht="15.75" customHeight="1">
      <c r="A1179" s="25">
        <f t="shared" si="4"/>
        <v>1166</v>
      </c>
      <c r="B1179" s="599" t="str">
        <f>'refer admin discharge'!B1175</f>
        <v>x</v>
      </c>
      <c r="C1179" s="351"/>
      <c r="D1179" s="600" t="str">
        <f>'refer admin discharge'!D1175</f>
        <v>xx</v>
      </c>
      <c r="E1179" s="351"/>
      <c r="F1179" s="609" t="str">
        <f>'refer admin discharge'!H1175</f>
        <v>00/00/0000</v>
      </c>
      <c r="G1179" s="351"/>
      <c r="H1179" s="610"/>
      <c r="I1179" s="351"/>
      <c r="J1179" s="611"/>
      <c r="K1179" s="351"/>
      <c r="L1179" s="610"/>
      <c r="M1179" s="351"/>
      <c r="N1179" s="612"/>
      <c r="O1179" s="351"/>
      <c r="P1179" s="610"/>
      <c r="Q1179" s="351"/>
      <c r="R1179" s="612"/>
      <c r="S1179" s="351"/>
      <c r="T1179" s="610"/>
      <c r="U1179" s="351"/>
      <c r="V1179" s="613" t="str">
        <f>'refer admin discharge'!H1180</f>
        <v>00/00/0000</v>
      </c>
      <c r="W1179" s="351"/>
      <c r="X1179" s="607"/>
      <c r="Y1179" s="351"/>
      <c r="Z1179" s="614"/>
      <c r="AA1179" s="351"/>
      <c r="AB1179" s="607"/>
      <c r="AC1179" s="351"/>
      <c r="AD1179" s="606"/>
      <c r="AE1179" s="351"/>
      <c r="AF1179" s="607"/>
      <c r="AG1179" s="351"/>
      <c r="AH1179" s="606"/>
      <c r="AI1179" s="351"/>
      <c r="AJ1179" s="607"/>
      <c r="AK1179" s="351"/>
      <c r="AL1179" s="608"/>
      <c r="AM1179" s="350"/>
      <c r="AN1179" s="350"/>
      <c r="AO1179" s="350"/>
      <c r="AP1179" s="350"/>
      <c r="AQ1179" s="350"/>
      <c r="AR1179" s="350"/>
      <c r="AS1179" s="350"/>
      <c r="AT1179" s="350"/>
      <c r="AU1179" s="350"/>
      <c r="AV1179" s="350"/>
      <c r="AW1179" s="350"/>
      <c r="AX1179" s="350"/>
      <c r="AY1179" s="350"/>
      <c r="AZ1179" s="350"/>
      <c r="BA1179" s="350"/>
      <c r="BB1179" s="351"/>
    </row>
    <row r="1180" spans="1:54" ht="15.75" customHeight="1">
      <c r="A1180" s="25">
        <f t="shared" si="4"/>
        <v>1167</v>
      </c>
      <c r="B1180" s="618" t="str">
        <f>'refer admin discharge'!B1176</f>
        <v>x</v>
      </c>
      <c r="C1180" s="351"/>
      <c r="D1180" s="619" t="str">
        <f>'refer admin discharge'!D1176</f>
        <v>xx</v>
      </c>
      <c r="E1180" s="351"/>
      <c r="F1180" s="620" t="str">
        <f>'refer admin discharge'!H1176</f>
        <v>00/00/0000</v>
      </c>
      <c r="G1180" s="351"/>
      <c r="H1180" s="615"/>
      <c r="I1180" s="351"/>
      <c r="J1180" s="621"/>
      <c r="K1180" s="351"/>
      <c r="L1180" s="615"/>
      <c r="M1180" s="351"/>
      <c r="N1180" s="610"/>
      <c r="O1180" s="351"/>
      <c r="P1180" s="615"/>
      <c r="Q1180" s="351"/>
      <c r="R1180" s="610"/>
      <c r="S1180" s="351"/>
      <c r="T1180" s="615"/>
      <c r="U1180" s="351"/>
      <c r="V1180" s="613" t="str">
        <f>'refer admin discharge'!H1181</f>
        <v>00/00/0000</v>
      </c>
      <c r="W1180" s="351"/>
      <c r="X1180" s="616"/>
      <c r="Y1180" s="351"/>
      <c r="Z1180" s="617"/>
      <c r="AA1180" s="351"/>
      <c r="AB1180" s="616"/>
      <c r="AC1180" s="351"/>
      <c r="AD1180" s="607"/>
      <c r="AE1180" s="351"/>
      <c r="AF1180" s="616"/>
      <c r="AG1180" s="351"/>
      <c r="AH1180" s="607"/>
      <c r="AI1180" s="351"/>
      <c r="AJ1180" s="616"/>
      <c r="AK1180" s="351"/>
      <c r="AL1180" s="622"/>
      <c r="AM1180" s="350"/>
      <c r="AN1180" s="350"/>
      <c r="AO1180" s="350"/>
      <c r="AP1180" s="350"/>
      <c r="AQ1180" s="350"/>
      <c r="AR1180" s="350"/>
      <c r="AS1180" s="350"/>
      <c r="AT1180" s="350"/>
      <c r="AU1180" s="350"/>
      <c r="AV1180" s="350"/>
      <c r="AW1180" s="350"/>
      <c r="AX1180" s="350"/>
      <c r="AY1180" s="350"/>
      <c r="AZ1180" s="350"/>
      <c r="BA1180" s="350"/>
      <c r="BB1180" s="351"/>
    </row>
    <row r="1181" spans="1:54" ht="15.75" customHeight="1">
      <c r="A1181" s="25">
        <f t="shared" si="4"/>
        <v>1168</v>
      </c>
      <c r="B1181" s="599" t="str">
        <f>'refer admin discharge'!B1177</f>
        <v>x</v>
      </c>
      <c r="C1181" s="351"/>
      <c r="D1181" s="600" t="str">
        <f>'refer admin discharge'!D1177</f>
        <v>xx</v>
      </c>
      <c r="E1181" s="351"/>
      <c r="F1181" s="609" t="str">
        <f>'refer admin discharge'!H1177</f>
        <v>00/00/0000</v>
      </c>
      <c r="G1181" s="351"/>
      <c r="H1181" s="610"/>
      <c r="I1181" s="351"/>
      <c r="J1181" s="611"/>
      <c r="K1181" s="351"/>
      <c r="L1181" s="610"/>
      <c r="M1181" s="351"/>
      <c r="N1181" s="612"/>
      <c r="O1181" s="351"/>
      <c r="P1181" s="610"/>
      <c r="Q1181" s="351"/>
      <c r="R1181" s="612"/>
      <c r="S1181" s="351"/>
      <c r="T1181" s="610"/>
      <c r="U1181" s="351"/>
      <c r="V1181" s="613" t="str">
        <f>'refer admin discharge'!H1182</f>
        <v>00/00/0000</v>
      </c>
      <c r="W1181" s="351"/>
      <c r="X1181" s="607"/>
      <c r="Y1181" s="351"/>
      <c r="Z1181" s="614"/>
      <c r="AA1181" s="351"/>
      <c r="AB1181" s="607"/>
      <c r="AC1181" s="351"/>
      <c r="AD1181" s="606"/>
      <c r="AE1181" s="351"/>
      <c r="AF1181" s="607"/>
      <c r="AG1181" s="351"/>
      <c r="AH1181" s="606"/>
      <c r="AI1181" s="351"/>
      <c r="AJ1181" s="607"/>
      <c r="AK1181" s="351"/>
      <c r="AL1181" s="608"/>
      <c r="AM1181" s="350"/>
      <c r="AN1181" s="350"/>
      <c r="AO1181" s="350"/>
      <c r="AP1181" s="350"/>
      <c r="AQ1181" s="350"/>
      <c r="AR1181" s="350"/>
      <c r="AS1181" s="350"/>
      <c r="AT1181" s="350"/>
      <c r="AU1181" s="350"/>
      <c r="AV1181" s="350"/>
      <c r="AW1181" s="350"/>
      <c r="AX1181" s="350"/>
      <c r="AY1181" s="350"/>
      <c r="AZ1181" s="350"/>
      <c r="BA1181" s="350"/>
      <c r="BB1181" s="351"/>
    </row>
    <row r="1182" spans="1:54" ht="15.75" customHeight="1">
      <c r="A1182" s="25">
        <f t="shared" si="4"/>
        <v>1169</v>
      </c>
      <c r="B1182" s="618" t="str">
        <f>'refer admin discharge'!B1178</f>
        <v>x</v>
      </c>
      <c r="C1182" s="351"/>
      <c r="D1182" s="619" t="str">
        <f>'refer admin discharge'!D1178</f>
        <v>xx</v>
      </c>
      <c r="E1182" s="351"/>
      <c r="F1182" s="620" t="str">
        <f>'refer admin discharge'!H1178</f>
        <v>00/00/0000</v>
      </c>
      <c r="G1182" s="351"/>
      <c r="H1182" s="615"/>
      <c r="I1182" s="351"/>
      <c r="J1182" s="621"/>
      <c r="K1182" s="351"/>
      <c r="L1182" s="615"/>
      <c r="M1182" s="351"/>
      <c r="N1182" s="610"/>
      <c r="O1182" s="351"/>
      <c r="P1182" s="615"/>
      <c r="Q1182" s="351"/>
      <c r="R1182" s="610"/>
      <c r="S1182" s="351"/>
      <c r="T1182" s="615"/>
      <c r="U1182" s="351"/>
      <c r="V1182" s="613" t="str">
        <f>'refer admin discharge'!H1183</f>
        <v>00/00/0000</v>
      </c>
      <c r="W1182" s="351"/>
      <c r="X1182" s="616"/>
      <c r="Y1182" s="351"/>
      <c r="Z1182" s="617"/>
      <c r="AA1182" s="351"/>
      <c r="AB1182" s="616"/>
      <c r="AC1182" s="351"/>
      <c r="AD1182" s="607"/>
      <c r="AE1182" s="351"/>
      <c r="AF1182" s="616"/>
      <c r="AG1182" s="351"/>
      <c r="AH1182" s="607"/>
      <c r="AI1182" s="351"/>
      <c r="AJ1182" s="616"/>
      <c r="AK1182" s="351"/>
      <c r="AL1182" s="622"/>
      <c r="AM1182" s="350"/>
      <c r="AN1182" s="350"/>
      <c r="AO1182" s="350"/>
      <c r="AP1182" s="350"/>
      <c r="AQ1182" s="350"/>
      <c r="AR1182" s="350"/>
      <c r="AS1182" s="350"/>
      <c r="AT1182" s="350"/>
      <c r="AU1182" s="350"/>
      <c r="AV1182" s="350"/>
      <c r="AW1182" s="350"/>
      <c r="AX1182" s="350"/>
      <c r="AY1182" s="350"/>
      <c r="AZ1182" s="350"/>
      <c r="BA1182" s="350"/>
      <c r="BB1182" s="351"/>
    </row>
    <row r="1183" spans="1:54" ht="15.75" customHeight="1">
      <c r="A1183" s="25">
        <f t="shared" si="4"/>
        <v>1170</v>
      </c>
      <c r="B1183" s="599" t="str">
        <f>'refer admin discharge'!B1179</f>
        <v>x</v>
      </c>
      <c r="C1183" s="351"/>
      <c r="D1183" s="600" t="str">
        <f>'refer admin discharge'!D1179</f>
        <v>xx</v>
      </c>
      <c r="E1183" s="351"/>
      <c r="F1183" s="609" t="str">
        <f>'refer admin discharge'!H1179</f>
        <v>00/00/0000</v>
      </c>
      <c r="G1183" s="351"/>
      <c r="H1183" s="610"/>
      <c r="I1183" s="351"/>
      <c r="J1183" s="611"/>
      <c r="K1183" s="351"/>
      <c r="L1183" s="610"/>
      <c r="M1183" s="351"/>
      <c r="N1183" s="612"/>
      <c r="O1183" s="351"/>
      <c r="P1183" s="610"/>
      <c r="Q1183" s="351"/>
      <c r="R1183" s="612"/>
      <c r="S1183" s="351"/>
      <c r="T1183" s="610"/>
      <c r="U1183" s="351"/>
      <c r="V1183" s="613" t="str">
        <f>'refer admin discharge'!H1184</f>
        <v>00/00/0000</v>
      </c>
      <c r="W1183" s="351"/>
      <c r="X1183" s="607"/>
      <c r="Y1183" s="351"/>
      <c r="Z1183" s="614"/>
      <c r="AA1183" s="351"/>
      <c r="AB1183" s="607"/>
      <c r="AC1183" s="351"/>
      <c r="AD1183" s="606"/>
      <c r="AE1183" s="351"/>
      <c r="AF1183" s="607"/>
      <c r="AG1183" s="351"/>
      <c r="AH1183" s="606"/>
      <c r="AI1183" s="351"/>
      <c r="AJ1183" s="607"/>
      <c r="AK1183" s="351"/>
      <c r="AL1183" s="608"/>
      <c r="AM1183" s="350"/>
      <c r="AN1183" s="350"/>
      <c r="AO1183" s="350"/>
      <c r="AP1183" s="350"/>
      <c r="AQ1183" s="350"/>
      <c r="AR1183" s="350"/>
      <c r="AS1183" s="350"/>
      <c r="AT1183" s="350"/>
      <c r="AU1183" s="350"/>
      <c r="AV1183" s="350"/>
      <c r="AW1183" s="350"/>
      <c r="AX1183" s="350"/>
      <c r="AY1183" s="350"/>
      <c r="AZ1183" s="350"/>
      <c r="BA1183" s="350"/>
      <c r="BB1183" s="351"/>
    </row>
    <row r="1184" spans="1:54" ht="15.75" customHeight="1">
      <c r="A1184" s="25">
        <f t="shared" si="4"/>
        <v>1171</v>
      </c>
      <c r="B1184" s="618" t="str">
        <f>'refer admin discharge'!B1180</f>
        <v>x</v>
      </c>
      <c r="C1184" s="351"/>
      <c r="D1184" s="619" t="str">
        <f>'refer admin discharge'!D1180</f>
        <v>xx</v>
      </c>
      <c r="E1184" s="351"/>
      <c r="F1184" s="620" t="str">
        <f>'refer admin discharge'!H1180</f>
        <v>00/00/0000</v>
      </c>
      <c r="G1184" s="351"/>
      <c r="H1184" s="615"/>
      <c r="I1184" s="351"/>
      <c r="J1184" s="621"/>
      <c r="K1184" s="351"/>
      <c r="L1184" s="615"/>
      <c r="M1184" s="351"/>
      <c r="N1184" s="610"/>
      <c r="O1184" s="351"/>
      <c r="P1184" s="615"/>
      <c r="Q1184" s="351"/>
      <c r="R1184" s="610"/>
      <c r="S1184" s="351"/>
      <c r="T1184" s="615"/>
      <c r="U1184" s="351"/>
      <c r="V1184" s="613" t="str">
        <f>'refer admin discharge'!H1185</f>
        <v>00/00/0000</v>
      </c>
      <c r="W1184" s="351"/>
      <c r="X1184" s="616"/>
      <c r="Y1184" s="351"/>
      <c r="Z1184" s="617"/>
      <c r="AA1184" s="351"/>
      <c r="AB1184" s="616"/>
      <c r="AC1184" s="351"/>
      <c r="AD1184" s="607"/>
      <c r="AE1184" s="351"/>
      <c r="AF1184" s="616"/>
      <c r="AG1184" s="351"/>
      <c r="AH1184" s="607"/>
      <c r="AI1184" s="351"/>
      <c r="AJ1184" s="616"/>
      <c r="AK1184" s="351"/>
      <c r="AL1184" s="622"/>
      <c r="AM1184" s="350"/>
      <c r="AN1184" s="350"/>
      <c r="AO1184" s="350"/>
      <c r="AP1184" s="350"/>
      <c r="AQ1184" s="350"/>
      <c r="AR1184" s="350"/>
      <c r="AS1184" s="350"/>
      <c r="AT1184" s="350"/>
      <c r="AU1184" s="350"/>
      <c r="AV1184" s="350"/>
      <c r="AW1184" s="350"/>
      <c r="AX1184" s="350"/>
      <c r="AY1184" s="350"/>
      <c r="AZ1184" s="350"/>
      <c r="BA1184" s="350"/>
      <c r="BB1184" s="351"/>
    </row>
    <row r="1185" spans="1:54" ht="15.75" customHeight="1">
      <c r="A1185" s="25">
        <f t="shared" si="4"/>
        <v>1172</v>
      </c>
      <c r="B1185" s="599" t="str">
        <f>'refer admin discharge'!B1181</f>
        <v>x</v>
      </c>
      <c r="C1185" s="351"/>
      <c r="D1185" s="600" t="str">
        <f>'refer admin discharge'!D1181</f>
        <v>xx</v>
      </c>
      <c r="E1185" s="351"/>
      <c r="F1185" s="609" t="str">
        <f>'refer admin discharge'!H1181</f>
        <v>00/00/0000</v>
      </c>
      <c r="G1185" s="351"/>
      <c r="H1185" s="610"/>
      <c r="I1185" s="351"/>
      <c r="J1185" s="611"/>
      <c r="K1185" s="351"/>
      <c r="L1185" s="610"/>
      <c r="M1185" s="351"/>
      <c r="N1185" s="612"/>
      <c r="O1185" s="351"/>
      <c r="P1185" s="610"/>
      <c r="Q1185" s="351"/>
      <c r="R1185" s="612"/>
      <c r="S1185" s="351"/>
      <c r="T1185" s="610"/>
      <c r="U1185" s="351"/>
      <c r="V1185" s="613" t="str">
        <f>'refer admin discharge'!H1186</f>
        <v>00/00/0000</v>
      </c>
      <c r="W1185" s="351"/>
      <c r="X1185" s="607"/>
      <c r="Y1185" s="351"/>
      <c r="Z1185" s="614"/>
      <c r="AA1185" s="351"/>
      <c r="AB1185" s="607"/>
      <c r="AC1185" s="351"/>
      <c r="AD1185" s="606"/>
      <c r="AE1185" s="351"/>
      <c r="AF1185" s="607"/>
      <c r="AG1185" s="351"/>
      <c r="AH1185" s="606"/>
      <c r="AI1185" s="351"/>
      <c r="AJ1185" s="607"/>
      <c r="AK1185" s="351"/>
      <c r="AL1185" s="608"/>
      <c r="AM1185" s="350"/>
      <c r="AN1185" s="350"/>
      <c r="AO1185" s="350"/>
      <c r="AP1185" s="350"/>
      <c r="AQ1185" s="350"/>
      <c r="AR1185" s="350"/>
      <c r="AS1185" s="350"/>
      <c r="AT1185" s="350"/>
      <c r="AU1185" s="350"/>
      <c r="AV1185" s="350"/>
      <c r="AW1185" s="350"/>
      <c r="AX1185" s="350"/>
      <c r="AY1185" s="350"/>
      <c r="AZ1185" s="350"/>
      <c r="BA1185" s="350"/>
      <c r="BB1185" s="351"/>
    </row>
    <row r="1186" spans="1:54" ht="15.75" customHeight="1">
      <c r="A1186" s="25">
        <f t="shared" si="4"/>
        <v>1173</v>
      </c>
      <c r="B1186" s="618" t="str">
        <f>'refer admin discharge'!B1182</f>
        <v>x</v>
      </c>
      <c r="C1186" s="351"/>
      <c r="D1186" s="619" t="str">
        <f>'refer admin discharge'!D1182</f>
        <v>xx</v>
      </c>
      <c r="E1186" s="351"/>
      <c r="F1186" s="620" t="str">
        <f>'refer admin discharge'!H1182</f>
        <v>00/00/0000</v>
      </c>
      <c r="G1186" s="351"/>
      <c r="H1186" s="615"/>
      <c r="I1186" s="351"/>
      <c r="J1186" s="621"/>
      <c r="K1186" s="351"/>
      <c r="L1186" s="615"/>
      <c r="M1186" s="351"/>
      <c r="N1186" s="610"/>
      <c r="O1186" s="351"/>
      <c r="P1186" s="615"/>
      <c r="Q1186" s="351"/>
      <c r="R1186" s="610"/>
      <c r="S1186" s="351"/>
      <c r="T1186" s="615"/>
      <c r="U1186" s="351"/>
      <c r="V1186" s="613" t="str">
        <f>'refer admin discharge'!H1187</f>
        <v>00/00/0000</v>
      </c>
      <c r="W1186" s="351"/>
      <c r="X1186" s="616"/>
      <c r="Y1186" s="351"/>
      <c r="Z1186" s="617"/>
      <c r="AA1186" s="351"/>
      <c r="AB1186" s="616"/>
      <c r="AC1186" s="351"/>
      <c r="AD1186" s="607"/>
      <c r="AE1186" s="351"/>
      <c r="AF1186" s="616"/>
      <c r="AG1186" s="351"/>
      <c r="AH1186" s="607"/>
      <c r="AI1186" s="351"/>
      <c r="AJ1186" s="616"/>
      <c r="AK1186" s="351"/>
      <c r="AL1186" s="622"/>
      <c r="AM1186" s="350"/>
      <c r="AN1186" s="350"/>
      <c r="AO1186" s="350"/>
      <c r="AP1186" s="350"/>
      <c r="AQ1186" s="350"/>
      <c r="AR1186" s="350"/>
      <c r="AS1186" s="350"/>
      <c r="AT1186" s="350"/>
      <c r="AU1186" s="350"/>
      <c r="AV1186" s="350"/>
      <c r="AW1186" s="350"/>
      <c r="AX1186" s="350"/>
      <c r="AY1186" s="350"/>
      <c r="AZ1186" s="350"/>
      <c r="BA1186" s="350"/>
      <c r="BB1186" s="351"/>
    </row>
    <row r="1187" spans="1:54" ht="15.75" customHeight="1">
      <c r="A1187" s="25">
        <f t="shared" si="4"/>
        <v>1174</v>
      </c>
      <c r="B1187" s="599" t="str">
        <f>'refer admin discharge'!B1183</f>
        <v>x</v>
      </c>
      <c r="C1187" s="351"/>
      <c r="D1187" s="600" t="str">
        <f>'refer admin discharge'!D1183</f>
        <v>xx</v>
      </c>
      <c r="E1187" s="351"/>
      <c r="F1187" s="609" t="str">
        <f>'refer admin discharge'!H1183</f>
        <v>00/00/0000</v>
      </c>
      <c r="G1187" s="351"/>
      <c r="H1187" s="610"/>
      <c r="I1187" s="351"/>
      <c r="J1187" s="611"/>
      <c r="K1187" s="351"/>
      <c r="L1187" s="610"/>
      <c r="M1187" s="351"/>
      <c r="N1187" s="612"/>
      <c r="O1187" s="351"/>
      <c r="P1187" s="610"/>
      <c r="Q1187" s="351"/>
      <c r="R1187" s="612"/>
      <c r="S1187" s="351"/>
      <c r="T1187" s="610"/>
      <c r="U1187" s="351"/>
      <c r="V1187" s="613" t="str">
        <f>'refer admin discharge'!H1188</f>
        <v>00/00/0000</v>
      </c>
      <c r="W1187" s="351"/>
      <c r="X1187" s="607"/>
      <c r="Y1187" s="351"/>
      <c r="Z1187" s="614"/>
      <c r="AA1187" s="351"/>
      <c r="AB1187" s="607"/>
      <c r="AC1187" s="351"/>
      <c r="AD1187" s="606"/>
      <c r="AE1187" s="351"/>
      <c r="AF1187" s="607"/>
      <c r="AG1187" s="351"/>
      <c r="AH1187" s="606"/>
      <c r="AI1187" s="351"/>
      <c r="AJ1187" s="607"/>
      <c r="AK1187" s="351"/>
      <c r="AL1187" s="608"/>
      <c r="AM1187" s="350"/>
      <c r="AN1187" s="350"/>
      <c r="AO1187" s="350"/>
      <c r="AP1187" s="350"/>
      <c r="AQ1187" s="350"/>
      <c r="AR1187" s="350"/>
      <c r="AS1187" s="350"/>
      <c r="AT1187" s="350"/>
      <c r="AU1187" s="350"/>
      <c r="AV1187" s="350"/>
      <c r="AW1187" s="350"/>
      <c r="AX1187" s="350"/>
      <c r="AY1187" s="350"/>
      <c r="AZ1187" s="350"/>
      <c r="BA1187" s="350"/>
      <c r="BB1187" s="351"/>
    </row>
    <row r="1188" spans="1:54" ht="15.75" customHeight="1">
      <c r="A1188" s="25">
        <f t="shared" si="4"/>
        <v>1175</v>
      </c>
      <c r="B1188" s="618" t="str">
        <f>'refer admin discharge'!B1184</f>
        <v>x</v>
      </c>
      <c r="C1188" s="351"/>
      <c r="D1188" s="619" t="str">
        <f>'refer admin discharge'!D1184</f>
        <v>xx</v>
      </c>
      <c r="E1188" s="351"/>
      <c r="F1188" s="620" t="str">
        <f>'refer admin discharge'!H1184</f>
        <v>00/00/0000</v>
      </c>
      <c r="G1188" s="351"/>
      <c r="H1188" s="615"/>
      <c r="I1188" s="351"/>
      <c r="J1188" s="621"/>
      <c r="K1188" s="351"/>
      <c r="L1188" s="615"/>
      <c r="M1188" s="351"/>
      <c r="N1188" s="610"/>
      <c r="O1188" s="351"/>
      <c r="P1188" s="615"/>
      <c r="Q1188" s="351"/>
      <c r="R1188" s="610"/>
      <c r="S1188" s="351"/>
      <c r="T1188" s="615"/>
      <c r="U1188" s="351"/>
      <c r="V1188" s="613" t="str">
        <f>'refer admin discharge'!H1189</f>
        <v>00/00/0000</v>
      </c>
      <c r="W1188" s="351"/>
      <c r="X1188" s="616"/>
      <c r="Y1188" s="351"/>
      <c r="Z1188" s="617"/>
      <c r="AA1188" s="351"/>
      <c r="AB1188" s="616"/>
      <c r="AC1188" s="351"/>
      <c r="AD1188" s="607"/>
      <c r="AE1188" s="351"/>
      <c r="AF1188" s="616"/>
      <c r="AG1188" s="351"/>
      <c r="AH1188" s="607"/>
      <c r="AI1188" s="351"/>
      <c r="AJ1188" s="616"/>
      <c r="AK1188" s="351"/>
      <c r="AL1188" s="622"/>
      <c r="AM1188" s="350"/>
      <c r="AN1188" s="350"/>
      <c r="AO1188" s="350"/>
      <c r="AP1188" s="350"/>
      <c r="AQ1188" s="350"/>
      <c r="AR1188" s="350"/>
      <c r="AS1188" s="350"/>
      <c r="AT1188" s="350"/>
      <c r="AU1188" s="350"/>
      <c r="AV1188" s="350"/>
      <c r="AW1188" s="350"/>
      <c r="AX1188" s="350"/>
      <c r="AY1188" s="350"/>
      <c r="AZ1188" s="350"/>
      <c r="BA1188" s="350"/>
      <c r="BB1188" s="351"/>
    </row>
    <row r="1189" spans="1:54" ht="15.75" customHeight="1">
      <c r="A1189" s="25">
        <f t="shared" si="4"/>
        <v>1176</v>
      </c>
      <c r="B1189" s="599" t="str">
        <f>'refer admin discharge'!B1185</f>
        <v>x</v>
      </c>
      <c r="C1189" s="351"/>
      <c r="D1189" s="600" t="str">
        <f>'refer admin discharge'!D1185</f>
        <v>xx</v>
      </c>
      <c r="E1189" s="351"/>
      <c r="F1189" s="609" t="str">
        <f>'refer admin discharge'!H1185</f>
        <v>00/00/0000</v>
      </c>
      <c r="G1189" s="351"/>
      <c r="H1189" s="610"/>
      <c r="I1189" s="351"/>
      <c r="J1189" s="611"/>
      <c r="K1189" s="351"/>
      <c r="L1189" s="610"/>
      <c r="M1189" s="351"/>
      <c r="N1189" s="612"/>
      <c r="O1189" s="351"/>
      <c r="P1189" s="610"/>
      <c r="Q1189" s="351"/>
      <c r="R1189" s="612"/>
      <c r="S1189" s="351"/>
      <c r="T1189" s="610"/>
      <c r="U1189" s="351"/>
      <c r="V1189" s="613" t="str">
        <f>'refer admin discharge'!H1190</f>
        <v>00/00/0000</v>
      </c>
      <c r="W1189" s="351"/>
      <c r="X1189" s="607"/>
      <c r="Y1189" s="351"/>
      <c r="Z1189" s="614"/>
      <c r="AA1189" s="351"/>
      <c r="AB1189" s="607"/>
      <c r="AC1189" s="351"/>
      <c r="AD1189" s="606"/>
      <c r="AE1189" s="351"/>
      <c r="AF1189" s="607"/>
      <c r="AG1189" s="351"/>
      <c r="AH1189" s="606"/>
      <c r="AI1189" s="351"/>
      <c r="AJ1189" s="607"/>
      <c r="AK1189" s="351"/>
      <c r="AL1189" s="608"/>
      <c r="AM1189" s="350"/>
      <c r="AN1189" s="350"/>
      <c r="AO1189" s="350"/>
      <c r="AP1189" s="350"/>
      <c r="AQ1189" s="350"/>
      <c r="AR1189" s="350"/>
      <c r="AS1189" s="350"/>
      <c r="AT1189" s="350"/>
      <c r="AU1189" s="350"/>
      <c r="AV1189" s="350"/>
      <c r="AW1189" s="350"/>
      <c r="AX1189" s="350"/>
      <c r="AY1189" s="350"/>
      <c r="AZ1189" s="350"/>
      <c r="BA1189" s="350"/>
      <c r="BB1189" s="351"/>
    </row>
    <row r="1190" spans="1:54" ht="15.75" customHeight="1">
      <c r="A1190" s="25">
        <f t="shared" si="4"/>
        <v>1177</v>
      </c>
      <c r="B1190" s="618" t="str">
        <f>'refer admin discharge'!B1186</f>
        <v>x</v>
      </c>
      <c r="C1190" s="351"/>
      <c r="D1190" s="619" t="str">
        <f>'refer admin discharge'!D1186</f>
        <v>xx</v>
      </c>
      <c r="E1190" s="351"/>
      <c r="F1190" s="620" t="str">
        <f>'refer admin discharge'!H1186</f>
        <v>00/00/0000</v>
      </c>
      <c r="G1190" s="351"/>
      <c r="H1190" s="615"/>
      <c r="I1190" s="351"/>
      <c r="J1190" s="621"/>
      <c r="K1190" s="351"/>
      <c r="L1190" s="615"/>
      <c r="M1190" s="351"/>
      <c r="N1190" s="610"/>
      <c r="O1190" s="351"/>
      <c r="P1190" s="615"/>
      <c r="Q1190" s="351"/>
      <c r="R1190" s="610"/>
      <c r="S1190" s="351"/>
      <c r="T1190" s="615"/>
      <c r="U1190" s="351"/>
      <c r="V1190" s="613" t="str">
        <f>'refer admin discharge'!H1191</f>
        <v>00/00/0000</v>
      </c>
      <c r="W1190" s="351"/>
      <c r="X1190" s="616"/>
      <c r="Y1190" s="351"/>
      <c r="Z1190" s="617"/>
      <c r="AA1190" s="351"/>
      <c r="AB1190" s="616"/>
      <c r="AC1190" s="351"/>
      <c r="AD1190" s="607"/>
      <c r="AE1190" s="351"/>
      <c r="AF1190" s="616"/>
      <c r="AG1190" s="351"/>
      <c r="AH1190" s="607"/>
      <c r="AI1190" s="351"/>
      <c r="AJ1190" s="616"/>
      <c r="AK1190" s="351"/>
      <c r="AL1190" s="622"/>
      <c r="AM1190" s="350"/>
      <c r="AN1190" s="350"/>
      <c r="AO1190" s="350"/>
      <c r="AP1190" s="350"/>
      <c r="AQ1190" s="350"/>
      <c r="AR1190" s="350"/>
      <c r="AS1190" s="350"/>
      <c r="AT1190" s="350"/>
      <c r="AU1190" s="350"/>
      <c r="AV1190" s="350"/>
      <c r="AW1190" s="350"/>
      <c r="AX1190" s="350"/>
      <c r="AY1190" s="350"/>
      <c r="AZ1190" s="350"/>
      <c r="BA1190" s="350"/>
      <c r="BB1190" s="351"/>
    </row>
    <row r="1191" spans="1:54" ht="15.75" customHeight="1">
      <c r="A1191" s="25">
        <f t="shared" si="4"/>
        <v>1178</v>
      </c>
      <c r="B1191" s="599" t="str">
        <f>'refer admin discharge'!B1187</f>
        <v>x</v>
      </c>
      <c r="C1191" s="351"/>
      <c r="D1191" s="600" t="str">
        <f>'refer admin discharge'!D1187</f>
        <v>xx</v>
      </c>
      <c r="E1191" s="351"/>
      <c r="F1191" s="609" t="str">
        <f>'refer admin discharge'!H1187</f>
        <v>00/00/0000</v>
      </c>
      <c r="G1191" s="351"/>
      <c r="H1191" s="610"/>
      <c r="I1191" s="351"/>
      <c r="J1191" s="611"/>
      <c r="K1191" s="351"/>
      <c r="L1191" s="610"/>
      <c r="M1191" s="351"/>
      <c r="N1191" s="612"/>
      <c r="O1191" s="351"/>
      <c r="P1191" s="610"/>
      <c r="Q1191" s="351"/>
      <c r="R1191" s="612"/>
      <c r="S1191" s="351"/>
      <c r="T1191" s="610"/>
      <c r="U1191" s="351"/>
      <c r="V1191" s="613" t="str">
        <f>'refer admin discharge'!H1192</f>
        <v>00/00/0000</v>
      </c>
      <c r="W1191" s="351"/>
      <c r="X1191" s="607"/>
      <c r="Y1191" s="351"/>
      <c r="Z1191" s="614"/>
      <c r="AA1191" s="351"/>
      <c r="AB1191" s="607"/>
      <c r="AC1191" s="351"/>
      <c r="AD1191" s="606"/>
      <c r="AE1191" s="351"/>
      <c r="AF1191" s="607"/>
      <c r="AG1191" s="351"/>
      <c r="AH1191" s="606"/>
      <c r="AI1191" s="351"/>
      <c r="AJ1191" s="607"/>
      <c r="AK1191" s="351"/>
      <c r="AL1191" s="608"/>
      <c r="AM1191" s="350"/>
      <c r="AN1191" s="350"/>
      <c r="AO1191" s="350"/>
      <c r="AP1191" s="350"/>
      <c r="AQ1191" s="350"/>
      <c r="AR1191" s="350"/>
      <c r="AS1191" s="350"/>
      <c r="AT1191" s="350"/>
      <c r="AU1191" s="350"/>
      <c r="AV1191" s="350"/>
      <c r="AW1191" s="350"/>
      <c r="AX1191" s="350"/>
      <c r="AY1191" s="350"/>
      <c r="AZ1191" s="350"/>
      <c r="BA1191" s="350"/>
      <c r="BB1191" s="351"/>
    </row>
    <row r="1192" spans="1:54" ht="15.75" customHeight="1">
      <c r="A1192" s="25">
        <f t="shared" si="4"/>
        <v>1179</v>
      </c>
      <c r="B1192" s="618" t="str">
        <f>'refer admin discharge'!B1188</f>
        <v>x</v>
      </c>
      <c r="C1192" s="351"/>
      <c r="D1192" s="619" t="str">
        <f>'refer admin discharge'!D1188</f>
        <v>xx</v>
      </c>
      <c r="E1192" s="351"/>
      <c r="F1192" s="620" t="str">
        <f>'refer admin discharge'!H1188</f>
        <v>00/00/0000</v>
      </c>
      <c r="G1192" s="351"/>
      <c r="H1192" s="615"/>
      <c r="I1192" s="351"/>
      <c r="J1192" s="621"/>
      <c r="K1192" s="351"/>
      <c r="L1192" s="615"/>
      <c r="M1192" s="351"/>
      <c r="N1192" s="610"/>
      <c r="O1192" s="351"/>
      <c r="P1192" s="615"/>
      <c r="Q1192" s="351"/>
      <c r="R1192" s="610"/>
      <c r="S1192" s="351"/>
      <c r="T1192" s="615"/>
      <c r="U1192" s="351"/>
      <c r="V1192" s="613" t="str">
        <f>'refer admin discharge'!H1193</f>
        <v>00/00/0000</v>
      </c>
      <c r="W1192" s="351"/>
      <c r="X1192" s="616"/>
      <c r="Y1192" s="351"/>
      <c r="Z1192" s="617"/>
      <c r="AA1192" s="351"/>
      <c r="AB1192" s="616"/>
      <c r="AC1192" s="351"/>
      <c r="AD1192" s="607"/>
      <c r="AE1192" s="351"/>
      <c r="AF1192" s="616"/>
      <c r="AG1192" s="351"/>
      <c r="AH1192" s="607"/>
      <c r="AI1192" s="351"/>
      <c r="AJ1192" s="616"/>
      <c r="AK1192" s="351"/>
      <c r="AL1192" s="622"/>
      <c r="AM1192" s="350"/>
      <c r="AN1192" s="350"/>
      <c r="AO1192" s="350"/>
      <c r="AP1192" s="350"/>
      <c r="AQ1192" s="350"/>
      <c r="AR1192" s="350"/>
      <c r="AS1192" s="350"/>
      <c r="AT1192" s="350"/>
      <c r="AU1192" s="350"/>
      <c r="AV1192" s="350"/>
      <c r="AW1192" s="350"/>
      <c r="AX1192" s="350"/>
      <c r="AY1192" s="350"/>
      <c r="AZ1192" s="350"/>
      <c r="BA1192" s="350"/>
      <c r="BB1192" s="351"/>
    </row>
    <row r="1193" spans="1:54" ht="15.75" customHeight="1">
      <c r="A1193" s="25">
        <f t="shared" si="4"/>
        <v>1180</v>
      </c>
      <c r="B1193" s="599" t="str">
        <f>'refer admin discharge'!B1189</f>
        <v>x</v>
      </c>
      <c r="C1193" s="351"/>
      <c r="D1193" s="600" t="str">
        <f>'refer admin discharge'!D1189</f>
        <v>xx</v>
      </c>
      <c r="E1193" s="351"/>
      <c r="F1193" s="609" t="str">
        <f>'refer admin discharge'!H1189</f>
        <v>00/00/0000</v>
      </c>
      <c r="G1193" s="351"/>
      <c r="H1193" s="610"/>
      <c r="I1193" s="351"/>
      <c r="J1193" s="611"/>
      <c r="K1193" s="351"/>
      <c r="L1193" s="610"/>
      <c r="M1193" s="351"/>
      <c r="N1193" s="612"/>
      <c r="O1193" s="351"/>
      <c r="P1193" s="610"/>
      <c r="Q1193" s="351"/>
      <c r="R1193" s="612"/>
      <c r="S1193" s="351"/>
      <c r="T1193" s="610"/>
      <c r="U1193" s="351"/>
      <c r="V1193" s="613" t="str">
        <f>'refer admin discharge'!H1194</f>
        <v>00/00/0000</v>
      </c>
      <c r="W1193" s="351"/>
      <c r="X1193" s="607"/>
      <c r="Y1193" s="351"/>
      <c r="Z1193" s="614"/>
      <c r="AA1193" s="351"/>
      <c r="AB1193" s="607"/>
      <c r="AC1193" s="351"/>
      <c r="AD1193" s="606"/>
      <c r="AE1193" s="351"/>
      <c r="AF1193" s="607"/>
      <c r="AG1193" s="351"/>
      <c r="AH1193" s="606"/>
      <c r="AI1193" s="351"/>
      <c r="AJ1193" s="607"/>
      <c r="AK1193" s="351"/>
      <c r="AL1193" s="608"/>
      <c r="AM1193" s="350"/>
      <c r="AN1193" s="350"/>
      <c r="AO1193" s="350"/>
      <c r="AP1193" s="350"/>
      <c r="AQ1193" s="350"/>
      <c r="AR1193" s="350"/>
      <c r="AS1193" s="350"/>
      <c r="AT1193" s="350"/>
      <c r="AU1193" s="350"/>
      <c r="AV1193" s="350"/>
      <c r="AW1193" s="350"/>
      <c r="AX1193" s="350"/>
      <c r="AY1193" s="350"/>
      <c r="AZ1193" s="350"/>
      <c r="BA1193" s="350"/>
      <c r="BB1193" s="351"/>
    </row>
    <row r="1194" spans="1:54" ht="15.75" customHeight="1">
      <c r="A1194" s="25">
        <f t="shared" si="4"/>
        <v>1181</v>
      </c>
      <c r="B1194" s="618" t="str">
        <f>'refer admin discharge'!B1190</f>
        <v>x</v>
      </c>
      <c r="C1194" s="351"/>
      <c r="D1194" s="619" t="str">
        <f>'refer admin discharge'!D1190</f>
        <v>xx</v>
      </c>
      <c r="E1194" s="351"/>
      <c r="F1194" s="620" t="str">
        <f>'refer admin discharge'!H1190</f>
        <v>00/00/0000</v>
      </c>
      <c r="G1194" s="351"/>
      <c r="H1194" s="615"/>
      <c r="I1194" s="351"/>
      <c r="J1194" s="621"/>
      <c r="K1194" s="351"/>
      <c r="L1194" s="615"/>
      <c r="M1194" s="351"/>
      <c r="N1194" s="610"/>
      <c r="O1194" s="351"/>
      <c r="P1194" s="615"/>
      <c r="Q1194" s="351"/>
      <c r="R1194" s="610"/>
      <c r="S1194" s="351"/>
      <c r="T1194" s="615"/>
      <c r="U1194" s="351"/>
      <c r="V1194" s="613" t="str">
        <f>'refer admin discharge'!H1195</f>
        <v>00/00/0000</v>
      </c>
      <c r="W1194" s="351"/>
      <c r="X1194" s="616"/>
      <c r="Y1194" s="351"/>
      <c r="Z1194" s="617"/>
      <c r="AA1194" s="351"/>
      <c r="AB1194" s="616"/>
      <c r="AC1194" s="351"/>
      <c r="AD1194" s="607"/>
      <c r="AE1194" s="351"/>
      <c r="AF1194" s="616"/>
      <c r="AG1194" s="351"/>
      <c r="AH1194" s="607"/>
      <c r="AI1194" s="351"/>
      <c r="AJ1194" s="616"/>
      <c r="AK1194" s="351"/>
      <c r="AL1194" s="622"/>
      <c r="AM1194" s="350"/>
      <c r="AN1194" s="350"/>
      <c r="AO1194" s="350"/>
      <c r="AP1194" s="350"/>
      <c r="AQ1194" s="350"/>
      <c r="AR1194" s="350"/>
      <c r="AS1194" s="350"/>
      <c r="AT1194" s="350"/>
      <c r="AU1194" s="350"/>
      <c r="AV1194" s="350"/>
      <c r="AW1194" s="350"/>
      <c r="AX1194" s="350"/>
      <c r="AY1194" s="350"/>
      <c r="AZ1194" s="350"/>
      <c r="BA1194" s="350"/>
      <c r="BB1194" s="351"/>
    </row>
    <row r="1195" spans="1:54" ht="15.75" customHeight="1">
      <c r="A1195" s="25">
        <f t="shared" si="4"/>
        <v>1182</v>
      </c>
      <c r="B1195" s="599" t="str">
        <f>'refer admin discharge'!B1191</f>
        <v>x</v>
      </c>
      <c r="C1195" s="351"/>
      <c r="D1195" s="600" t="str">
        <f>'refer admin discharge'!D1191</f>
        <v>xx</v>
      </c>
      <c r="E1195" s="351"/>
      <c r="F1195" s="609" t="str">
        <f>'refer admin discharge'!H1191</f>
        <v>00/00/0000</v>
      </c>
      <c r="G1195" s="351"/>
      <c r="H1195" s="610"/>
      <c r="I1195" s="351"/>
      <c r="J1195" s="611"/>
      <c r="K1195" s="351"/>
      <c r="L1195" s="610"/>
      <c r="M1195" s="351"/>
      <c r="N1195" s="612"/>
      <c r="O1195" s="351"/>
      <c r="P1195" s="610"/>
      <c r="Q1195" s="351"/>
      <c r="R1195" s="612"/>
      <c r="S1195" s="351"/>
      <c r="T1195" s="610"/>
      <c r="U1195" s="351"/>
      <c r="V1195" s="613" t="str">
        <f>'refer admin discharge'!H1196</f>
        <v>00/00/0000</v>
      </c>
      <c r="W1195" s="351"/>
      <c r="X1195" s="607"/>
      <c r="Y1195" s="351"/>
      <c r="Z1195" s="614"/>
      <c r="AA1195" s="351"/>
      <c r="AB1195" s="607"/>
      <c r="AC1195" s="351"/>
      <c r="AD1195" s="606"/>
      <c r="AE1195" s="351"/>
      <c r="AF1195" s="607"/>
      <c r="AG1195" s="351"/>
      <c r="AH1195" s="606"/>
      <c r="AI1195" s="351"/>
      <c r="AJ1195" s="607"/>
      <c r="AK1195" s="351"/>
      <c r="AL1195" s="608"/>
      <c r="AM1195" s="350"/>
      <c r="AN1195" s="350"/>
      <c r="AO1195" s="350"/>
      <c r="AP1195" s="350"/>
      <c r="AQ1195" s="350"/>
      <c r="AR1195" s="350"/>
      <c r="AS1195" s="350"/>
      <c r="AT1195" s="350"/>
      <c r="AU1195" s="350"/>
      <c r="AV1195" s="350"/>
      <c r="AW1195" s="350"/>
      <c r="AX1195" s="350"/>
      <c r="AY1195" s="350"/>
      <c r="AZ1195" s="350"/>
      <c r="BA1195" s="350"/>
      <c r="BB1195" s="351"/>
    </row>
    <row r="1196" spans="1:54" ht="15.75" customHeight="1">
      <c r="A1196" s="25">
        <f t="shared" si="4"/>
        <v>1183</v>
      </c>
      <c r="B1196" s="618" t="str">
        <f>'refer admin discharge'!B1192</f>
        <v>x</v>
      </c>
      <c r="C1196" s="351"/>
      <c r="D1196" s="619" t="str">
        <f>'refer admin discharge'!D1192</f>
        <v>xx</v>
      </c>
      <c r="E1196" s="351"/>
      <c r="F1196" s="620" t="str">
        <f>'refer admin discharge'!H1192</f>
        <v>00/00/0000</v>
      </c>
      <c r="G1196" s="351"/>
      <c r="H1196" s="615"/>
      <c r="I1196" s="351"/>
      <c r="J1196" s="621"/>
      <c r="K1196" s="351"/>
      <c r="L1196" s="615"/>
      <c r="M1196" s="351"/>
      <c r="N1196" s="610"/>
      <c r="O1196" s="351"/>
      <c r="P1196" s="615"/>
      <c r="Q1196" s="351"/>
      <c r="R1196" s="610"/>
      <c r="S1196" s="351"/>
      <c r="T1196" s="615"/>
      <c r="U1196" s="351"/>
      <c r="V1196" s="613" t="str">
        <f>'refer admin discharge'!H1197</f>
        <v>00/00/0000</v>
      </c>
      <c r="W1196" s="351"/>
      <c r="X1196" s="616"/>
      <c r="Y1196" s="351"/>
      <c r="Z1196" s="617"/>
      <c r="AA1196" s="351"/>
      <c r="AB1196" s="616"/>
      <c r="AC1196" s="351"/>
      <c r="AD1196" s="607"/>
      <c r="AE1196" s="351"/>
      <c r="AF1196" s="616"/>
      <c r="AG1196" s="351"/>
      <c r="AH1196" s="607"/>
      <c r="AI1196" s="351"/>
      <c r="AJ1196" s="616"/>
      <c r="AK1196" s="351"/>
      <c r="AL1196" s="622"/>
      <c r="AM1196" s="350"/>
      <c r="AN1196" s="350"/>
      <c r="AO1196" s="350"/>
      <c r="AP1196" s="350"/>
      <c r="AQ1196" s="350"/>
      <c r="AR1196" s="350"/>
      <c r="AS1196" s="350"/>
      <c r="AT1196" s="350"/>
      <c r="AU1196" s="350"/>
      <c r="AV1196" s="350"/>
      <c r="AW1196" s="350"/>
      <c r="AX1196" s="350"/>
      <c r="AY1196" s="350"/>
      <c r="AZ1196" s="350"/>
      <c r="BA1196" s="350"/>
      <c r="BB1196" s="351"/>
    </row>
    <row r="1197" spans="1:54" ht="15.75" customHeight="1">
      <c r="A1197" s="25">
        <f t="shared" si="4"/>
        <v>1184</v>
      </c>
      <c r="B1197" s="599" t="str">
        <f>'refer admin discharge'!B1193</f>
        <v>x</v>
      </c>
      <c r="C1197" s="351"/>
      <c r="D1197" s="600" t="str">
        <f>'refer admin discharge'!D1193</f>
        <v>xx</v>
      </c>
      <c r="E1197" s="351"/>
      <c r="F1197" s="609" t="str">
        <f>'refer admin discharge'!H1193</f>
        <v>00/00/0000</v>
      </c>
      <c r="G1197" s="351"/>
      <c r="H1197" s="610"/>
      <c r="I1197" s="351"/>
      <c r="J1197" s="611"/>
      <c r="K1197" s="351"/>
      <c r="L1197" s="610"/>
      <c r="M1197" s="351"/>
      <c r="N1197" s="612"/>
      <c r="O1197" s="351"/>
      <c r="P1197" s="610"/>
      <c r="Q1197" s="351"/>
      <c r="R1197" s="612"/>
      <c r="S1197" s="351"/>
      <c r="T1197" s="610"/>
      <c r="U1197" s="351"/>
      <c r="V1197" s="613" t="str">
        <f>'refer admin discharge'!H1198</f>
        <v>00/00/0000</v>
      </c>
      <c r="W1197" s="351"/>
      <c r="X1197" s="607"/>
      <c r="Y1197" s="351"/>
      <c r="Z1197" s="614"/>
      <c r="AA1197" s="351"/>
      <c r="AB1197" s="607"/>
      <c r="AC1197" s="351"/>
      <c r="AD1197" s="606"/>
      <c r="AE1197" s="351"/>
      <c r="AF1197" s="607"/>
      <c r="AG1197" s="351"/>
      <c r="AH1197" s="606"/>
      <c r="AI1197" s="351"/>
      <c r="AJ1197" s="607"/>
      <c r="AK1197" s="351"/>
      <c r="AL1197" s="608"/>
      <c r="AM1197" s="350"/>
      <c r="AN1197" s="350"/>
      <c r="AO1197" s="350"/>
      <c r="AP1197" s="350"/>
      <c r="AQ1197" s="350"/>
      <c r="AR1197" s="350"/>
      <c r="AS1197" s="350"/>
      <c r="AT1197" s="350"/>
      <c r="AU1197" s="350"/>
      <c r="AV1197" s="350"/>
      <c r="AW1197" s="350"/>
      <c r="AX1197" s="350"/>
      <c r="AY1197" s="350"/>
      <c r="AZ1197" s="350"/>
      <c r="BA1197" s="350"/>
      <c r="BB1197" s="351"/>
    </row>
    <row r="1198" spans="1:54" ht="15.75" customHeight="1">
      <c r="A1198" s="25">
        <f t="shared" si="4"/>
        <v>1185</v>
      </c>
      <c r="B1198" s="618" t="str">
        <f>'refer admin discharge'!B1194</f>
        <v>x</v>
      </c>
      <c r="C1198" s="351"/>
      <c r="D1198" s="619" t="str">
        <f>'refer admin discharge'!D1194</f>
        <v>xx</v>
      </c>
      <c r="E1198" s="351"/>
      <c r="F1198" s="620" t="str">
        <f>'refer admin discharge'!H1194</f>
        <v>00/00/0000</v>
      </c>
      <c r="G1198" s="351"/>
      <c r="H1198" s="615"/>
      <c r="I1198" s="351"/>
      <c r="J1198" s="621"/>
      <c r="K1198" s="351"/>
      <c r="L1198" s="615"/>
      <c r="M1198" s="351"/>
      <c r="N1198" s="610"/>
      <c r="O1198" s="351"/>
      <c r="P1198" s="615"/>
      <c r="Q1198" s="351"/>
      <c r="R1198" s="610"/>
      <c r="S1198" s="351"/>
      <c r="T1198" s="615"/>
      <c r="U1198" s="351"/>
      <c r="V1198" s="613" t="str">
        <f>'refer admin discharge'!H1199</f>
        <v>00/00/0000</v>
      </c>
      <c r="W1198" s="351"/>
      <c r="X1198" s="616"/>
      <c r="Y1198" s="351"/>
      <c r="Z1198" s="617"/>
      <c r="AA1198" s="351"/>
      <c r="AB1198" s="616"/>
      <c r="AC1198" s="351"/>
      <c r="AD1198" s="607"/>
      <c r="AE1198" s="351"/>
      <c r="AF1198" s="616"/>
      <c r="AG1198" s="351"/>
      <c r="AH1198" s="607"/>
      <c r="AI1198" s="351"/>
      <c r="AJ1198" s="616"/>
      <c r="AK1198" s="351"/>
      <c r="AL1198" s="622"/>
      <c r="AM1198" s="350"/>
      <c r="AN1198" s="350"/>
      <c r="AO1198" s="350"/>
      <c r="AP1198" s="350"/>
      <c r="AQ1198" s="350"/>
      <c r="AR1198" s="350"/>
      <c r="AS1198" s="350"/>
      <c r="AT1198" s="350"/>
      <c r="AU1198" s="350"/>
      <c r="AV1198" s="350"/>
      <c r="AW1198" s="350"/>
      <c r="AX1198" s="350"/>
      <c r="AY1198" s="350"/>
      <c r="AZ1198" s="350"/>
      <c r="BA1198" s="350"/>
      <c r="BB1198" s="351"/>
    </row>
    <row r="1199" spans="1:54" ht="15.75" customHeight="1">
      <c r="A1199" s="25">
        <f t="shared" si="4"/>
        <v>1186</v>
      </c>
      <c r="B1199" s="599" t="str">
        <f>'refer admin discharge'!B1195</f>
        <v>x</v>
      </c>
      <c r="C1199" s="351"/>
      <c r="D1199" s="600" t="str">
        <f>'refer admin discharge'!D1195</f>
        <v>xx</v>
      </c>
      <c r="E1199" s="351"/>
      <c r="F1199" s="609" t="str">
        <f>'refer admin discharge'!H1195</f>
        <v>00/00/0000</v>
      </c>
      <c r="G1199" s="351"/>
      <c r="H1199" s="610"/>
      <c r="I1199" s="351"/>
      <c r="J1199" s="611"/>
      <c r="K1199" s="351"/>
      <c r="L1199" s="610"/>
      <c r="M1199" s="351"/>
      <c r="N1199" s="612"/>
      <c r="O1199" s="351"/>
      <c r="P1199" s="610"/>
      <c r="Q1199" s="351"/>
      <c r="R1199" s="612"/>
      <c r="S1199" s="351"/>
      <c r="T1199" s="610"/>
      <c r="U1199" s="351"/>
      <c r="V1199" s="613" t="str">
        <f>'refer admin discharge'!H1200</f>
        <v>00/00/0000</v>
      </c>
      <c r="W1199" s="351"/>
      <c r="X1199" s="607"/>
      <c r="Y1199" s="351"/>
      <c r="Z1199" s="614"/>
      <c r="AA1199" s="351"/>
      <c r="AB1199" s="607"/>
      <c r="AC1199" s="351"/>
      <c r="AD1199" s="606"/>
      <c r="AE1199" s="351"/>
      <c r="AF1199" s="607"/>
      <c r="AG1199" s="351"/>
      <c r="AH1199" s="606"/>
      <c r="AI1199" s="351"/>
      <c r="AJ1199" s="607"/>
      <c r="AK1199" s="351"/>
      <c r="AL1199" s="608"/>
      <c r="AM1199" s="350"/>
      <c r="AN1199" s="350"/>
      <c r="AO1199" s="350"/>
      <c r="AP1199" s="350"/>
      <c r="AQ1199" s="350"/>
      <c r="AR1199" s="350"/>
      <c r="AS1199" s="350"/>
      <c r="AT1199" s="350"/>
      <c r="AU1199" s="350"/>
      <c r="AV1199" s="350"/>
      <c r="AW1199" s="350"/>
      <c r="AX1199" s="350"/>
      <c r="AY1199" s="350"/>
      <c r="AZ1199" s="350"/>
      <c r="BA1199" s="350"/>
      <c r="BB1199" s="351"/>
    </row>
    <row r="1200" spans="1:54" ht="15.75" customHeight="1">
      <c r="A1200" s="25">
        <f t="shared" si="4"/>
        <v>1187</v>
      </c>
      <c r="B1200" s="618" t="str">
        <f>'refer admin discharge'!B1196</f>
        <v>x</v>
      </c>
      <c r="C1200" s="351"/>
      <c r="D1200" s="619" t="str">
        <f>'refer admin discharge'!D1196</f>
        <v>xx</v>
      </c>
      <c r="E1200" s="351"/>
      <c r="F1200" s="620" t="str">
        <f>'refer admin discharge'!H1196</f>
        <v>00/00/0000</v>
      </c>
      <c r="G1200" s="351"/>
      <c r="H1200" s="615"/>
      <c r="I1200" s="351"/>
      <c r="J1200" s="621"/>
      <c r="K1200" s="351"/>
      <c r="L1200" s="615"/>
      <c r="M1200" s="351"/>
      <c r="N1200" s="610"/>
      <c r="O1200" s="351"/>
      <c r="P1200" s="615"/>
      <c r="Q1200" s="351"/>
      <c r="R1200" s="610"/>
      <c r="S1200" s="351"/>
      <c r="T1200" s="615"/>
      <c r="U1200" s="351"/>
      <c r="V1200" s="613" t="str">
        <f>'refer admin discharge'!H1201</f>
        <v>00/00/0000</v>
      </c>
      <c r="W1200" s="351"/>
      <c r="X1200" s="616"/>
      <c r="Y1200" s="351"/>
      <c r="Z1200" s="617"/>
      <c r="AA1200" s="351"/>
      <c r="AB1200" s="616"/>
      <c r="AC1200" s="351"/>
      <c r="AD1200" s="607"/>
      <c r="AE1200" s="351"/>
      <c r="AF1200" s="616"/>
      <c r="AG1200" s="351"/>
      <c r="AH1200" s="607"/>
      <c r="AI1200" s="351"/>
      <c r="AJ1200" s="616"/>
      <c r="AK1200" s="351"/>
      <c r="AL1200" s="622"/>
      <c r="AM1200" s="350"/>
      <c r="AN1200" s="350"/>
      <c r="AO1200" s="350"/>
      <c r="AP1200" s="350"/>
      <c r="AQ1200" s="350"/>
      <c r="AR1200" s="350"/>
      <c r="AS1200" s="350"/>
      <c r="AT1200" s="350"/>
      <c r="AU1200" s="350"/>
      <c r="AV1200" s="350"/>
      <c r="AW1200" s="350"/>
      <c r="AX1200" s="350"/>
      <c r="AY1200" s="350"/>
      <c r="AZ1200" s="350"/>
      <c r="BA1200" s="350"/>
      <c r="BB1200" s="351"/>
    </row>
    <row r="1201" spans="1:54" ht="15.75" customHeight="1">
      <c r="A1201" s="25">
        <f t="shared" si="4"/>
        <v>1188</v>
      </c>
      <c r="B1201" s="599" t="str">
        <f>'refer admin discharge'!B1197</f>
        <v>x</v>
      </c>
      <c r="C1201" s="351"/>
      <c r="D1201" s="600" t="str">
        <f>'refer admin discharge'!D1197</f>
        <v>xx</v>
      </c>
      <c r="E1201" s="351"/>
      <c r="F1201" s="609" t="str">
        <f>'refer admin discharge'!H1197</f>
        <v>00/00/0000</v>
      </c>
      <c r="G1201" s="351"/>
      <c r="H1201" s="610"/>
      <c r="I1201" s="351"/>
      <c r="J1201" s="611"/>
      <c r="K1201" s="351"/>
      <c r="L1201" s="610"/>
      <c r="M1201" s="351"/>
      <c r="N1201" s="612"/>
      <c r="O1201" s="351"/>
      <c r="P1201" s="610"/>
      <c r="Q1201" s="351"/>
      <c r="R1201" s="612"/>
      <c r="S1201" s="351"/>
      <c r="T1201" s="610"/>
      <c r="U1201" s="351"/>
      <c r="V1201" s="613" t="str">
        <f>'refer admin discharge'!H1202</f>
        <v>00/00/0000</v>
      </c>
      <c r="W1201" s="351"/>
      <c r="X1201" s="607"/>
      <c r="Y1201" s="351"/>
      <c r="Z1201" s="614"/>
      <c r="AA1201" s="351"/>
      <c r="AB1201" s="607"/>
      <c r="AC1201" s="351"/>
      <c r="AD1201" s="606"/>
      <c r="AE1201" s="351"/>
      <c r="AF1201" s="607"/>
      <c r="AG1201" s="351"/>
      <c r="AH1201" s="606"/>
      <c r="AI1201" s="351"/>
      <c r="AJ1201" s="607"/>
      <c r="AK1201" s="351"/>
      <c r="AL1201" s="608"/>
      <c r="AM1201" s="350"/>
      <c r="AN1201" s="350"/>
      <c r="AO1201" s="350"/>
      <c r="AP1201" s="350"/>
      <c r="AQ1201" s="350"/>
      <c r="AR1201" s="350"/>
      <c r="AS1201" s="350"/>
      <c r="AT1201" s="350"/>
      <c r="AU1201" s="350"/>
      <c r="AV1201" s="350"/>
      <c r="AW1201" s="350"/>
      <c r="AX1201" s="350"/>
      <c r="AY1201" s="350"/>
      <c r="AZ1201" s="350"/>
      <c r="BA1201" s="350"/>
      <c r="BB1201" s="351"/>
    </row>
    <row r="1202" spans="1:54" ht="15.75" customHeight="1">
      <c r="A1202" s="25">
        <f t="shared" si="4"/>
        <v>1189</v>
      </c>
      <c r="B1202" s="618" t="str">
        <f>'refer admin discharge'!B1198</f>
        <v>x</v>
      </c>
      <c r="C1202" s="351"/>
      <c r="D1202" s="619" t="str">
        <f>'refer admin discharge'!D1198</f>
        <v>xx</v>
      </c>
      <c r="E1202" s="351"/>
      <c r="F1202" s="620" t="str">
        <f>'refer admin discharge'!H1198</f>
        <v>00/00/0000</v>
      </c>
      <c r="G1202" s="351"/>
      <c r="H1202" s="615"/>
      <c r="I1202" s="351"/>
      <c r="J1202" s="621"/>
      <c r="K1202" s="351"/>
      <c r="L1202" s="615"/>
      <c r="M1202" s="351"/>
      <c r="N1202" s="610"/>
      <c r="O1202" s="351"/>
      <c r="P1202" s="615"/>
      <c r="Q1202" s="351"/>
      <c r="R1202" s="610"/>
      <c r="S1202" s="351"/>
      <c r="T1202" s="615"/>
      <c r="U1202" s="351"/>
      <c r="V1202" s="613" t="str">
        <f>'refer admin discharge'!H1203</f>
        <v>00/00/0000</v>
      </c>
      <c r="W1202" s="351"/>
      <c r="X1202" s="616"/>
      <c r="Y1202" s="351"/>
      <c r="Z1202" s="617"/>
      <c r="AA1202" s="351"/>
      <c r="AB1202" s="616"/>
      <c r="AC1202" s="351"/>
      <c r="AD1202" s="607"/>
      <c r="AE1202" s="351"/>
      <c r="AF1202" s="616"/>
      <c r="AG1202" s="351"/>
      <c r="AH1202" s="607"/>
      <c r="AI1202" s="351"/>
      <c r="AJ1202" s="616"/>
      <c r="AK1202" s="351"/>
      <c r="AL1202" s="622"/>
      <c r="AM1202" s="350"/>
      <c r="AN1202" s="350"/>
      <c r="AO1202" s="350"/>
      <c r="AP1202" s="350"/>
      <c r="AQ1202" s="350"/>
      <c r="AR1202" s="350"/>
      <c r="AS1202" s="350"/>
      <c r="AT1202" s="350"/>
      <c r="AU1202" s="350"/>
      <c r="AV1202" s="350"/>
      <c r="AW1202" s="350"/>
      <c r="AX1202" s="350"/>
      <c r="AY1202" s="350"/>
      <c r="AZ1202" s="350"/>
      <c r="BA1202" s="350"/>
      <c r="BB1202" s="351"/>
    </row>
    <row r="1203" spans="1:54" ht="15.75" customHeight="1">
      <c r="A1203" s="25">
        <f t="shared" si="4"/>
        <v>1190</v>
      </c>
      <c r="B1203" s="599" t="str">
        <f>'refer admin discharge'!B1199</f>
        <v>x</v>
      </c>
      <c r="C1203" s="351"/>
      <c r="D1203" s="600" t="str">
        <f>'refer admin discharge'!D1199</f>
        <v>xx</v>
      </c>
      <c r="E1203" s="351"/>
      <c r="F1203" s="609" t="str">
        <f>'refer admin discharge'!H1199</f>
        <v>00/00/0000</v>
      </c>
      <c r="G1203" s="351"/>
      <c r="H1203" s="610"/>
      <c r="I1203" s="351"/>
      <c r="J1203" s="611"/>
      <c r="K1203" s="351"/>
      <c r="L1203" s="610"/>
      <c r="M1203" s="351"/>
      <c r="N1203" s="612"/>
      <c r="O1203" s="351"/>
      <c r="P1203" s="610"/>
      <c r="Q1203" s="351"/>
      <c r="R1203" s="612"/>
      <c r="S1203" s="351"/>
      <c r="T1203" s="610"/>
      <c r="U1203" s="351"/>
      <c r="V1203" s="613" t="str">
        <f>'refer admin discharge'!H1204</f>
        <v>00/00/0000</v>
      </c>
      <c r="W1203" s="351"/>
      <c r="X1203" s="607"/>
      <c r="Y1203" s="351"/>
      <c r="Z1203" s="614"/>
      <c r="AA1203" s="351"/>
      <c r="AB1203" s="607"/>
      <c r="AC1203" s="351"/>
      <c r="AD1203" s="606"/>
      <c r="AE1203" s="351"/>
      <c r="AF1203" s="607"/>
      <c r="AG1203" s="351"/>
      <c r="AH1203" s="606"/>
      <c r="AI1203" s="351"/>
      <c r="AJ1203" s="607"/>
      <c r="AK1203" s="351"/>
      <c r="AL1203" s="608"/>
      <c r="AM1203" s="350"/>
      <c r="AN1203" s="350"/>
      <c r="AO1203" s="350"/>
      <c r="AP1203" s="350"/>
      <c r="AQ1203" s="350"/>
      <c r="AR1203" s="350"/>
      <c r="AS1203" s="350"/>
      <c r="AT1203" s="350"/>
      <c r="AU1203" s="350"/>
      <c r="AV1203" s="350"/>
      <c r="AW1203" s="350"/>
      <c r="AX1203" s="350"/>
      <c r="AY1203" s="350"/>
      <c r="AZ1203" s="350"/>
      <c r="BA1203" s="350"/>
      <c r="BB1203" s="351"/>
    </row>
    <row r="1204" spans="1:54" ht="15.75" customHeight="1">
      <c r="A1204" s="25">
        <f t="shared" si="4"/>
        <v>1191</v>
      </c>
      <c r="B1204" s="618" t="str">
        <f>'refer admin discharge'!B1200</f>
        <v>x</v>
      </c>
      <c r="C1204" s="351"/>
      <c r="D1204" s="619" t="str">
        <f>'refer admin discharge'!D1200</f>
        <v>xx</v>
      </c>
      <c r="E1204" s="351"/>
      <c r="F1204" s="620" t="str">
        <f>'refer admin discharge'!H1200</f>
        <v>00/00/0000</v>
      </c>
      <c r="G1204" s="351"/>
      <c r="H1204" s="615"/>
      <c r="I1204" s="351"/>
      <c r="J1204" s="621"/>
      <c r="K1204" s="351"/>
      <c r="L1204" s="615"/>
      <c r="M1204" s="351"/>
      <c r="N1204" s="610"/>
      <c r="O1204" s="351"/>
      <c r="P1204" s="615"/>
      <c r="Q1204" s="351"/>
      <c r="R1204" s="610"/>
      <c r="S1204" s="351"/>
      <c r="T1204" s="615"/>
      <c r="U1204" s="351"/>
      <c r="V1204" s="613" t="str">
        <f>'refer admin discharge'!H1205</f>
        <v>00/00/0000</v>
      </c>
      <c r="W1204" s="351"/>
      <c r="X1204" s="616"/>
      <c r="Y1204" s="351"/>
      <c r="Z1204" s="617"/>
      <c r="AA1204" s="351"/>
      <c r="AB1204" s="616"/>
      <c r="AC1204" s="351"/>
      <c r="AD1204" s="607"/>
      <c r="AE1204" s="351"/>
      <c r="AF1204" s="616"/>
      <c r="AG1204" s="351"/>
      <c r="AH1204" s="607"/>
      <c r="AI1204" s="351"/>
      <c r="AJ1204" s="616"/>
      <c r="AK1204" s="351"/>
      <c r="AL1204" s="622"/>
      <c r="AM1204" s="350"/>
      <c r="AN1204" s="350"/>
      <c r="AO1204" s="350"/>
      <c r="AP1204" s="350"/>
      <c r="AQ1204" s="350"/>
      <c r="AR1204" s="350"/>
      <c r="AS1204" s="350"/>
      <c r="AT1204" s="350"/>
      <c r="AU1204" s="350"/>
      <c r="AV1204" s="350"/>
      <c r="AW1204" s="350"/>
      <c r="AX1204" s="350"/>
      <c r="AY1204" s="350"/>
      <c r="AZ1204" s="350"/>
      <c r="BA1204" s="350"/>
      <c r="BB1204" s="351"/>
    </row>
    <row r="1205" spans="1:54" ht="15.75" customHeight="1">
      <c r="A1205" s="25">
        <f t="shared" si="4"/>
        <v>1192</v>
      </c>
      <c r="B1205" s="599" t="str">
        <f>'refer admin discharge'!B1201</f>
        <v>x</v>
      </c>
      <c r="C1205" s="351"/>
      <c r="D1205" s="600" t="str">
        <f>'refer admin discharge'!D1201</f>
        <v>xx</v>
      </c>
      <c r="E1205" s="351"/>
      <c r="F1205" s="609" t="str">
        <f>'refer admin discharge'!H1201</f>
        <v>00/00/0000</v>
      </c>
      <c r="G1205" s="351"/>
      <c r="H1205" s="610"/>
      <c r="I1205" s="351"/>
      <c r="J1205" s="611"/>
      <c r="K1205" s="351"/>
      <c r="L1205" s="610"/>
      <c r="M1205" s="351"/>
      <c r="N1205" s="612"/>
      <c r="O1205" s="351"/>
      <c r="P1205" s="610"/>
      <c r="Q1205" s="351"/>
      <c r="R1205" s="612"/>
      <c r="S1205" s="351"/>
      <c r="T1205" s="610"/>
      <c r="U1205" s="351"/>
      <c r="V1205" s="613" t="str">
        <f>'refer admin discharge'!H1206</f>
        <v>00/00/0000</v>
      </c>
      <c r="W1205" s="351"/>
      <c r="X1205" s="607"/>
      <c r="Y1205" s="351"/>
      <c r="Z1205" s="614"/>
      <c r="AA1205" s="351"/>
      <c r="AB1205" s="607"/>
      <c r="AC1205" s="351"/>
      <c r="AD1205" s="606"/>
      <c r="AE1205" s="351"/>
      <c r="AF1205" s="607"/>
      <c r="AG1205" s="351"/>
      <c r="AH1205" s="606"/>
      <c r="AI1205" s="351"/>
      <c r="AJ1205" s="607"/>
      <c r="AK1205" s="351"/>
      <c r="AL1205" s="608"/>
      <c r="AM1205" s="350"/>
      <c r="AN1205" s="350"/>
      <c r="AO1205" s="350"/>
      <c r="AP1205" s="350"/>
      <c r="AQ1205" s="350"/>
      <c r="AR1205" s="350"/>
      <c r="AS1205" s="350"/>
      <c r="AT1205" s="350"/>
      <c r="AU1205" s="350"/>
      <c r="AV1205" s="350"/>
      <c r="AW1205" s="350"/>
      <c r="AX1205" s="350"/>
      <c r="AY1205" s="350"/>
      <c r="AZ1205" s="350"/>
      <c r="BA1205" s="350"/>
      <c r="BB1205" s="351"/>
    </row>
    <row r="1206" spans="1:54" ht="15.75" customHeight="1">
      <c r="A1206" s="25">
        <f t="shared" si="4"/>
        <v>1193</v>
      </c>
      <c r="B1206" s="618" t="str">
        <f>'refer admin discharge'!B1202</f>
        <v>x</v>
      </c>
      <c r="C1206" s="351"/>
      <c r="D1206" s="619" t="str">
        <f>'refer admin discharge'!D1202</f>
        <v>xx</v>
      </c>
      <c r="E1206" s="351"/>
      <c r="F1206" s="620" t="str">
        <f>'refer admin discharge'!H1202</f>
        <v>00/00/0000</v>
      </c>
      <c r="G1206" s="351"/>
      <c r="H1206" s="615"/>
      <c r="I1206" s="351"/>
      <c r="J1206" s="621"/>
      <c r="K1206" s="351"/>
      <c r="L1206" s="615"/>
      <c r="M1206" s="351"/>
      <c r="N1206" s="610"/>
      <c r="O1206" s="351"/>
      <c r="P1206" s="615"/>
      <c r="Q1206" s="351"/>
      <c r="R1206" s="610"/>
      <c r="S1206" s="351"/>
      <c r="T1206" s="615"/>
      <c r="U1206" s="351"/>
      <c r="V1206" s="613" t="str">
        <f>'refer admin discharge'!H1207</f>
        <v>00/00/0000</v>
      </c>
      <c r="W1206" s="351"/>
      <c r="X1206" s="616"/>
      <c r="Y1206" s="351"/>
      <c r="Z1206" s="617"/>
      <c r="AA1206" s="351"/>
      <c r="AB1206" s="616"/>
      <c r="AC1206" s="351"/>
      <c r="AD1206" s="607"/>
      <c r="AE1206" s="351"/>
      <c r="AF1206" s="616"/>
      <c r="AG1206" s="351"/>
      <c r="AH1206" s="607"/>
      <c r="AI1206" s="351"/>
      <c r="AJ1206" s="616"/>
      <c r="AK1206" s="351"/>
      <c r="AL1206" s="622"/>
      <c r="AM1206" s="350"/>
      <c r="AN1206" s="350"/>
      <c r="AO1206" s="350"/>
      <c r="AP1206" s="350"/>
      <c r="AQ1206" s="350"/>
      <c r="AR1206" s="350"/>
      <c r="AS1206" s="350"/>
      <c r="AT1206" s="350"/>
      <c r="AU1206" s="350"/>
      <c r="AV1206" s="350"/>
      <c r="AW1206" s="350"/>
      <c r="AX1206" s="350"/>
      <c r="AY1206" s="350"/>
      <c r="AZ1206" s="350"/>
      <c r="BA1206" s="350"/>
      <c r="BB1206" s="351"/>
    </row>
    <row r="1207" spans="1:54" ht="15.75" customHeight="1">
      <c r="A1207" s="25">
        <f t="shared" si="4"/>
        <v>1194</v>
      </c>
      <c r="B1207" s="599" t="str">
        <f>'refer admin discharge'!B1203</f>
        <v>x</v>
      </c>
      <c r="C1207" s="351"/>
      <c r="D1207" s="600" t="str">
        <f>'refer admin discharge'!D1203</f>
        <v>xx</v>
      </c>
      <c r="E1207" s="351"/>
      <c r="F1207" s="609" t="str">
        <f>'refer admin discharge'!H1203</f>
        <v>00/00/0000</v>
      </c>
      <c r="G1207" s="351"/>
      <c r="H1207" s="610"/>
      <c r="I1207" s="351"/>
      <c r="J1207" s="611"/>
      <c r="K1207" s="351"/>
      <c r="L1207" s="610"/>
      <c r="M1207" s="351"/>
      <c r="N1207" s="612"/>
      <c r="O1207" s="351"/>
      <c r="P1207" s="610"/>
      <c r="Q1207" s="351"/>
      <c r="R1207" s="612"/>
      <c r="S1207" s="351"/>
      <c r="T1207" s="610"/>
      <c r="U1207" s="351"/>
      <c r="V1207" s="613" t="str">
        <f>'refer admin discharge'!H1208</f>
        <v>00/00/0000</v>
      </c>
      <c r="W1207" s="351"/>
      <c r="X1207" s="607"/>
      <c r="Y1207" s="351"/>
      <c r="Z1207" s="614"/>
      <c r="AA1207" s="351"/>
      <c r="AB1207" s="607"/>
      <c r="AC1207" s="351"/>
      <c r="AD1207" s="606"/>
      <c r="AE1207" s="351"/>
      <c r="AF1207" s="607"/>
      <c r="AG1207" s="351"/>
      <c r="AH1207" s="606"/>
      <c r="AI1207" s="351"/>
      <c r="AJ1207" s="607"/>
      <c r="AK1207" s="351"/>
      <c r="AL1207" s="608"/>
      <c r="AM1207" s="350"/>
      <c r="AN1207" s="350"/>
      <c r="AO1207" s="350"/>
      <c r="AP1207" s="350"/>
      <c r="AQ1207" s="350"/>
      <c r="AR1207" s="350"/>
      <c r="AS1207" s="350"/>
      <c r="AT1207" s="350"/>
      <c r="AU1207" s="350"/>
      <c r="AV1207" s="350"/>
      <c r="AW1207" s="350"/>
      <c r="AX1207" s="350"/>
      <c r="AY1207" s="350"/>
      <c r="AZ1207" s="350"/>
      <c r="BA1207" s="350"/>
      <c r="BB1207" s="351"/>
    </row>
    <row r="1208" spans="1:54" ht="15.75" customHeight="1">
      <c r="A1208" s="25">
        <f t="shared" si="4"/>
        <v>1195</v>
      </c>
      <c r="B1208" s="618" t="str">
        <f>'refer admin discharge'!B1204</f>
        <v>x</v>
      </c>
      <c r="C1208" s="351"/>
      <c r="D1208" s="619" t="str">
        <f>'refer admin discharge'!D1204</f>
        <v>xx</v>
      </c>
      <c r="E1208" s="351"/>
      <c r="F1208" s="620" t="str">
        <f>'refer admin discharge'!H1204</f>
        <v>00/00/0000</v>
      </c>
      <c r="G1208" s="351"/>
      <c r="H1208" s="615"/>
      <c r="I1208" s="351"/>
      <c r="J1208" s="621"/>
      <c r="K1208" s="351"/>
      <c r="L1208" s="615"/>
      <c r="M1208" s="351"/>
      <c r="N1208" s="610"/>
      <c r="O1208" s="351"/>
      <c r="P1208" s="615"/>
      <c r="Q1208" s="351"/>
      <c r="R1208" s="610"/>
      <c r="S1208" s="351"/>
      <c r="T1208" s="615"/>
      <c r="U1208" s="351"/>
      <c r="V1208" s="613" t="str">
        <f>'refer admin discharge'!H1209</f>
        <v>00/00/0000</v>
      </c>
      <c r="W1208" s="351"/>
      <c r="X1208" s="616"/>
      <c r="Y1208" s="351"/>
      <c r="Z1208" s="617"/>
      <c r="AA1208" s="351"/>
      <c r="AB1208" s="616"/>
      <c r="AC1208" s="351"/>
      <c r="AD1208" s="607"/>
      <c r="AE1208" s="351"/>
      <c r="AF1208" s="616"/>
      <c r="AG1208" s="351"/>
      <c r="AH1208" s="607"/>
      <c r="AI1208" s="351"/>
      <c r="AJ1208" s="616"/>
      <c r="AK1208" s="351"/>
      <c r="AL1208" s="622"/>
      <c r="AM1208" s="350"/>
      <c r="AN1208" s="350"/>
      <c r="AO1208" s="350"/>
      <c r="AP1208" s="350"/>
      <c r="AQ1208" s="350"/>
      <c r="AR1208" s="350"/>
      <c r="AS1208" s="350"/>
      <c r="AT1208" s="350"/>
      <c r="AU1208" s="350"/>
      <c r="AV1208" s="350"/>
      <c r="AW1208" s="350"/>
      <c r="AX1208" s="350"/>
      <c r="AY1208" s="350"/>
      <c r="AZ1208" s="350"/>
      <c r="BA1208" s="350"/>
      <c r="BB1208" s="351"/>
    </row>
    <row r="1209" spans="1:54" ht="15.75" customHeight="1">
      <c r="A1209" s="25">
        <f t="shared" si="4"/>
        <v>1196</v>
      </c>
      <c r="B1209" s="599" t="str">
        <f>'refer admin discharge'!B1205</f>
        <v>x</v>
      </c>
      <c r="C1209" s="351"/>
      <c r="D1209" s="600" t="str">
        <f>'refer admin discharge'!D1205</f>
        <v>xx</v>
      </c>
      <c r="E1209" s="351"/>
      <c r="F1209" s="609" t="str">
        <f>'refer admin discharge'!H1205</f>
        <v>00/00/0000</v>
      </c>
      <c r="G1209" s="351"/>
      <c r="H1209" s="610"/>
      <c r="I1209" s="351"/>
      <c r="J1209" s="611"/>
      <c r="K1209" s="351"/>
      <c r="L1209" s="610"/>
      <c r="M1209" s="351"/>
      <c r="N1209" s="612"/>
      <c r="O1209" s="351"/>
      <c r="P1209" s="610"/>
      <c r="Q1209" s="351"/>
      <c r="R1209" s="612"/>
      <c r="S1209" s="351"/>
      <c r="T1209" s="610"/>
      <c r="U1209" s="351"/>
      <c r="V1209" s="613" t="str">
        <f>'refer admin discharge'!H1210</f>
        <v>00/00/0000</v>
      </c>
      <c r="W1209" s="351"/>
      <c r="X1209" s="607"/>
      <c r="Y1209" s="351"/>
      <c r="Z1209" s="614"/>
      <c r="AA1209" s="351"/>
      <c r="AB1209" s="607"/>
      <c r="AC1209" s="351"/>
      <c r="AD1209" s="606"/>
      <c r="AE1209" s="351"/>
      <c r="AF1209" s="607"/>
      <c r="AG1209" s="351"/>
      <c r="AH1209" s="606"/>
      <c r="AI1209" s="351"/>
      <c r="AJ1209" s="607"/>
      <c r="AK1209" s="351"/>
      <c r="AL1209" s="608"/>
      <c r="AM1209" s="350"/>
      <c r="AN1209" s="350"/>
      <c r="AO1209" s="350"/>
      <c r="AP1209" s="350"/>
      <c r="AQ1209" s="350"/>
      <c r="AR1209" s="350"/>
      <c r="AS1209" s="350"/>
      <c r="AT1209" s="350"/>
      <c r="AU1209" s="350"/>
      <c r="AV1209" s="350"/>
      <c r="AW1209" s="350"/>
      <c r="AX1209" s="350"/>
      <c r="AY1209" s="350"/>
      <c r="AZ1209" s="350"/>
      <c r="BA1209" s="350"/>
      <c r="BB1209" s="351"/>
    </row>
    <row r="1210" spans="1:54" ht="15.75" customHeight="1">
      <c r="A1210" s="25">
        <f t="shared" si="4"/>
        <v>1197</v>
      </c>
      <c r="B1210" s="618" t="str">
        <f>'refer admin discharge'!B1206</f>
        <v>x</v>
      </c>
      <c r="C1210" s="351"/>
      <c r="D1210" s="619" t="str">
        <f>'refer admin discharge'!D1206</f>
        <v>xx</v>
      </c>
      <c r="E1210" s="351"/>
      <c r="F1210" s="620" t="str">
        <f>'refer admin discharge'!H1206</f>
        <v>00/00/0000</v>
      </c>
      <c r="G1210" s="351"/>
      <c r="H1210" s="615"/>
      <c r="I1210" s="351"/>
      <c r="J1210" s="621"/>
      <c r="K1210" s="351"/>
      <c r="L1210" s="615"/>
      <c r="M1210" s="351"/>
      <c r="N1210" s="610"/>
      <c r="O1210" s="351"/>
      <c r="P1210" s="615"/>
      <c r="Q1210" s="351"/>
      <c r="R1210" s="610"/>
      <c r="S1210" s="351"/>
      <c r="T1210" s="615"/>
      <c r="U1210" s="351"/>
      <c r="V1210" s="613" t="str">
        <f>'refer admin discharge'!H1211</f>
        <v>00/00/0000</v>
      </c>
      <c r="W1210" s="351"/>
      <c r="X1210" s="616"/>
      <c r="Y1210" s="351"/>
      <c r="Z1210" s="617"/>
      <c r="AA1210" s="351"/>
      <c r="AB1210" s="616"/>
      <c r="AC1210" s="351"/>
      <c r="AD1210" s="607"/>
      <c r="AE1210" s="351"/>
      <c r="AF1210" s="616"/>
      <c r="AG1210" s="351"/>
      <c r="AH1210" s="607"/>
      <c r="AI1210" s="351"/>
      <c r="AJ1210" s="616"/>
      <c r="AK1210" s="351"/>
      <c r="AL1210" s="622"/>
      <c r="AM1210" s="350"/>
      <c r="AN1210" s="350"/>
      <c r="AO1210" s="350"/>
      <c r="AP1210" s="350"/>
      <c r="AQ1210" s="350"/>
      <c r="AR1210" s="350"/>
      <c r="AS1210" s="350"/>
      <c r="AT1210" s="350"/>
      <c r="AU1210" s="350"/>
      <c r="AV1210" s="350"/>
      <c r="AW1210" s="350"/>
      <c r="AX1210" s="350"/>
      <c r="AY1210" s="350"/>
      <c r="AZ1210" s="350"/>
      <c r="BA1210" s="350"/>
      <c r="BB1210" s="351"/>
    </row>
    <row r="1211" spans="1:54" ht="15.75" customHeight="1">
      <c r="A1211" s="25">
        <f t="shared" si="4"/>
        <v>1198</v>
      </c>
      <c r="B1211" s="599" t="str">
        <f>'refer admin discharge'!B1207</f>
        <v>x</v>
      </c>
      <c r="C1211" s="351"/>
      <c r="D1211" s="600" t="str">
        <f>'refer admin discharge'!D1207</f>
        <v>xx</v>
      </c>
      <c r="E1211" s="351"/>
      <c r="F1211" s="609" t="str">
        <f>'refer admin discharge'!H1207</f>
        <v>00/00/0000</v>
      </c>
      <c r="G1211" s="351"/>
      <c r="H1211" s="610"/>
      <c r="I1211" s="351"/>
      <c r="J1211" s="611"/>
      <c r="K1211" s="351"/>
      <c r="L1211" s="610"/>
      <c r="M1211" s="351"/>
      <c r="N1211" s="612"/>
      <c r="O1211" s="351"/>
      <c r="P1211" s="610"/>
      <c r="Q1211" s="351"/>
      <c r="R1211" s="612"/>
      <c r="S1211" s="351"/>
      <c r="T1211" s="610"/>
      <c r="U1211" s="351"/>
      <c r="V1211" s="613" t="str">
        <f>'refer admin discharge'!H1212</f>
        <v>00/00/0000</v>
      </c>
      <c r="W1211" s="351"/>
      <c r="X1211" s="607"/>
      <c r="Y1211" s="351"/>
      <c r="Z1211" s="614"/>
      <c r="AA1211" s="351"/>
      <c r="AB1211" s="607"/>
      <c r="AC1211" s="351"/>
      <c r="AD1211" s="606"/>
      <c r="AE1211" s="351"/>
      <c r="AF1211" s="607"/>
      <c r="AG1211" s="351"/>
      <c r="AH1211" s="606"/>
      <c r="AI1211" s="351"/>
      <c r="AJ1211" s="607"/>
      <c r="AK1211" s="351"/>
      <c r="AL1211" s="608"/>
      <c r="AM1211" s="350"/>
      <c r="AN1211" s="350"/>
      <c r="AO1211" s="350"/>
      <c r="AP1211" s="350"/>
      <c r="AQ1211" s="350"/>
      <c r="AR1211" s="350"/>
      <c r="AS1211" s="350"/>
      <c r="AT1211" s="350"/>
      <c r="AU1211" s="350"/>
      <c r="AV1211" s="350"/>
      <c r="AW1211" s="350"/>
      <c r="AX1211" s="350"/>
      <c r="AY1211" s="350"/>
      <c r="AZ1211" s="350"/>
      <c r="BA1211" s="350"/>
      <c r="BB1211" s="351"/>
    </row>
    <row r="1212" spans="1:54" ht="15.75" customHeight="1">
      <c r="A1212" s="25">
        <f t="shared" si="4"/>
        <v>1199</v>
      </c>
      <c r="B1212" s="618" t="str">
        <f>'refer admin discharge'!B1208</f>
        <v>x</v>
      </c>
      <c r="C1212" s="351"/>
      <c r="D1212" s="619" t="str">
        <f>'refer admin discharge'!D1208</f>
        <v>xx</v>
      </c>
      <c r="E1212" s="351"/>
      <c r="F1212" s="620" t="str">
        <f>'refer admin discharge'!H1208</f>
        <v>00/00/0000</v>
      </c>
      <c r="G1212" s="351"/>
      <c r="H1212" s="615"/>
      <c r="I1212" s="351"/>
      <c r="J1212" s="621"/>
      <c r="K1212" s="351"/>
      <c r="L1212" s="615"/>
      <c r="M1212" s="351"/>
      <c r="N1212" s="610"/>
      <c r="O1212" s="351"/>
      <c r="P1212" s="615"/>
      <c r="Q1212" s="351"/>
      <c r="R1212" s="610"/>
      <c r="S1212" s="351"/>
      <c r="T1212" s="615"/>
      <c r="U1212" s="351"/>
      <c r="V1212" s="613" t="str">
        <f>'refer admin discharge'!H1213</f>
        <v>00/00/0000</v>
      </c>
      <c r="W1212" s="351"/>
      <c r="X1212" s="616"/>
      <c r="Y1212" s="351"/>
      <c r="Z1212" s="617"/>
      <c r="AA1212" s="351"/>
      <c r="AB1212" s="616"/>
      <c r="AC1212" s="351"/>
      <c r="AD1212" s="607"/>
      <c r="AE1212" s="351"/>
      <c r="AF1212" s="616"/>
      <c r="AG1212" s="351"/>
      <c r="AH1212" s="607"/>
      <c r="AI1212" s="351"/>
      <c r="AJ1212" s="616"/>
      <c r="AK1212" s="351"/>
      <c r="AL1212" s="622"/>
      <c r="AM1212" s="350"/>
      <c r="AN1212" s="350"/>
      <c r="AO1212" s="350"/>
      <c r="AP1212" s="350"/>
      <c r="AQ1212" s="350"/>
      <c r="AR1212" s="350"/>
      <c r="AS1212" s="350"/>
      <c r="AT1212" s="350"/>
      <c r="AU1212" s="350"/>
      <c r="AV1212" s="350"/>
      <c r="AW1212" s="350"/>
      <c r="AX1212" s="350"/>
      <c r="AY1212" s="350"/>
      <c r="AZ1212" s="350"/>
      <c r="BA1212" s="350"/>
      <c r="BB1212" s="351"/>
    </row>
    <row r="1213" spans="1:54" ht="15.75" customHeight="1">
      <c r="A1213" s="25">
        <f t="shared" si="4"/>
        <v>1200</v>
      </c>
      <c r="B1213" s="599" t="str">
        <f>'refer admin discharge'!B1209</f>
        <v>x</v>
      </c>
      <c r="C1213" s="351"/>
      <c r="D1213" s="600" t="str">
        <f>'refer admin discharge'!D1209</f>
        <v>xx</v>
      </c>
      <c r="E1213" s="351"/>
      <c r="F1213" s="609" t="str">
        <f>'refer admin discharge'!H1209</f>
        <v>00/00/0000</v>
      </c>
      <c r="G1213" s="351"/>
      <c r="H1213" s="610"/>
      <c r="I1213" s="351"/>
      <c r="J1213" s="611"/>
      <c r="K1213" s="351"/>
      <c r="L1213" s="610"/>
      <c r="M1213" s="351"/>
      <c r="N1213" s="612"/>
      <c r="O1213" s="351"/>
      <c r="P1213" s="610"/>
      <c r="Q1213" s="351"/>
      <c r="R1213" s="612"/>
      <c r="S1213" s="351"/>
      <c r="T1213" s="610"/>
      <c r="U1213" s="351"/>
      <c r="V1213" s="613" t="str">
        <f>'refer admin discharge'!H1214</f>
        <v>00/00/0000</v>
      </c>
      <c r="W1213" s="351"/>
      <c r="X1213" s="607"/>
      <c r="Y1213" s="351"/>
      <c r="Z1213" s="614"/>
      <c r="AA1213" s="351"/>
      <c r="AB1213" s="607"/>
      <c r="AC1213" s="351"/>
      <c r="AD1213" s="606"/>
      <c r="AE1213" s="351"/>
      <c r="AF1213" s="607"/>
      <c r="AG1213" s="351"/>
      <c r="AH1213" s="606"/>
      <c r="AI1213" s="351"/>
      <c r="AJ1213" s="607"/>
      <c r="AK1213" s="351"/>
      <c r="AL1213" s="608"/>
      <c r="AM1213" s="350"/>
      <c r="AN1213" s="350"/>
      <c r="AO1213" s="350"/>
      <c r="AP1213" s="350"/>
      <c r="AQ1213" s="350"/>
      <c r="AR1213" s="350"/>
      <c r="AS1213" s="350"/>
      <c r="AT1213" s="350"/>
      <c r="AU1213" s="350"/>
      <c r="AV1213" s="350"/>
      <c r="AW1213" s="350"/>
      <c r="AX1213" s="350"/>
      <c r="AY1213" s="350"/>
      <c r="AZ1213" s="350"/>
      <c r="BA1213" s="350"/>
      <c r="BB1213" s="351"/>
    </row>
    <row r="1214" spans="1:54" ht="15.75" customHeight="1">
      <c r="A1214" s="25">
        <f t="shared" si="4"/>
        <v>1201</v>
      </c>
      <c r="B1214" s="618" t="str">
        <f>'refer admin discharge'!B1210</f>
        <v>x</v>
      </c>
      <c r="C1214" s="351"/>
      <c r="D1214" s="619" t="str">
        <f>'refer admin discharge'!D1210</f>
        <v>xx</v>
      </c>
      <c r="E1214" s="351"/>
      <c r="F1214" s="620" t="str">
        <f>'refer admin discharge'!H1210</f>
        <v>00/00/0000</v>
      </c>
      <c r="G1214" s="351"/>
      <c r="H1214" s="615"/>
      <c r="I1214" s="351"/>
      <c r="J1214" s="621"/>
      <c r="K1214" s="351"/>
      <c r="L1214" s="615"/>
      <c r="M1214" s="351"/>
      <c r="N1214" s="610"/>
      <c r="O1214" s="351"/>
      <c r="P1214" s="615"/>
      <c r="Q1214" s="351"/>
      <c r="R1214" s="610"/>
      <c r="S1214" s="351"/>
      <c r="T1214" s="615"/>
      <c r="U1214" s="351"/>
      <c r="V1214" s="613" t="str">
        <f>'refer admin discharge'!H1215</f>
        <v>00/00/0000</v>
      </c>
      <c r="W1214" s="351"/>
      <c r="X1214" s="616"/>
      <c r="Y1214" s="351"/>
      <c r="Z1214" s="617"/>
      <c r="AA1214" s="351"/>
      <c r="AB1214" s="616"/>
      <c r="AC1214" s="351"/>
      <c r="AD1214" s="607"/>
      <c r="AE1214" s="351"/>
      <c r="AF1214" s="616"/>
      <c r="AG1214" s="351"/>
      <c r="AH1214" s="607"/>
      <c r="AI1214" s="351"/>
      <c r="AJ1214" s="616"/>
      <c r="AK1214" s="351"/>
      <c r="AL1214" s="622"/>
      <c r="AM1214" s="350"/>
      <c r="AN1214" s="350"/>
      <c r="AO1214" s="350"/>
      <c r="AP1214" s="350"/>
      <c r="AQ1214" s="350"/>
      <c r="AR1214" s="350"/>
      <c r="AS1214" s="350"/>
      <c r="AT1214" s="350"/>
      <c r="AU1214" s="350"/>
      <c r="AV1214" s="350"/>
      <c r="AW1214" s="350"/>
      <c r="AX1214" s="350"/>
      <c r="AY1214" s="350"/>
      <c r="AZ1214" s="350"/>
      <c r="BA1214" s="350"/>
      <c r="BB1214" s="351"/>
    </row>
    <row r="1215" spans="1:54" ht="15.75" customHeight="1">
      <c r="A1215" s="25">
        <f t="shared" si="4"/>
        <v>1202</v>
      </c>
      <c r="B1215" s="599" t="str">
        <f>'refer admin discharge'!B1211</f>
        <v>x</v>
      </c>
      <c r="C1215" s="351"/>
      <c r="D1215" s="600" t="str">
        <f>'refer admin discharge'!D1211</f>
        <v>xx</v>
      </c>
      <c r="E1215" s="351"/>
      <c r="F1215" s="609" t="str">
        <f>'refer admin discharge'!H1211</f>
        <v>00/00/0000</v>
      </c>
      <c r="G1215" s="351"/>
      <c r="H1215" s="610"/>
      <c r="I1215" s="351"/>
      <c r="J1215" s="611"/>
      <c r="K1215" s="351"/>
      <c r="L1215" s="610"/>
      <c r="M1215" s="351"/>
      <c r="N1215" s="612"/>
      <c r="O1215" s="351"/>
      <c r="P1215" s="610"/>
      <c r="Q1215" s="351"/>
      <c r="R1215" s="612"/>
      <c r="S1215" s="351"/>
      <c r="T1215" s="610"/>
      <c r="U1215" s="351"/>
      <c r="V1215" s="613" t="str">
        <f>'refer admin discharge'!H1216</f>
        <v>00/00/0000</v>
      </c>
      <c r="W1215" s="351"/>
      <c r="X1215" s="607"/>
      <c r="Y1215" s="351"/>
      <c r="Z1215" s="614"/>
      <c r="AA1215" s="351"/>
      <c r="AB1215" s="607"/>
      <c r="AC1215" s="351"/>
      <c r="AD1215" s="606"/>
      <c r="AE1215" s="351"/>
      <c r="AF1215" s="607"/>
      <c r="AG1215" s="351"/>
      <c r="AH1215" s="606"/>
      <c r="AI1215" s="351"/>
      <c r="AJ1215" s="607"/>
      <c r="AK1215" s="351"/>
      <c r="AL1215" s="608"/>
      <c r="AM1215" s="350"/>
      <c r="AN1215" s="350"/>
      <c r="AO1215" s="350"/>
      <c r="AP1215" s="350"/>
      <c r="AQ1215" s="350"/>
      <c r="AR1215" s="350"/>
      <c r="AS1215" s="350"/>
      <c r="AT1215" s="350"/>
      <c r="AU1215" s="350"/>
      <c r="AV1215" s="350"/>
      <c r="AW1215" s="350"/>
      <c r="AX1215" s="350"/>
      <c r="AY1215" s="350"/>
      <c r="AZ1215" s="350"/>
      <c r="BA1215" s="350"/>
      <c r="BB1215" s="351"/>
    </row>
    <row r="1216" spans="1:54" ht="15.75" customHeight="1">
      <c r="A1216" s="25">
        <f t="shared" si="4"/>
        <v>1203</v>
      </c>
      <c r="B1216" s="618" t="str">
        <f>'refer admin discharge'!B1212</f>
        <v>x</v>
      </c>
      <c r="C1216" s="351"/>
      <c r="D1216" s="619" t="str">
        <f>'refer admin discharge'!D1212</f>
        <v>xx</v>
      </c>
      <c r="E1216" s="351"/>
      <c r="F1216" s="620" t="str">
        <f>'refer admin discharge'!H1212</f>
        <v>00/00/0000</v>
      </c>
      <c r="G1216" s="351"/>
      <c r="H1216" s="615"/>
      <c r="I1216" s="351"/>
      <c r="J1216" s="621"/>
      <c r="K1216" s="351"/>
      <c r="L1216" s="615"/>
      <c r="M1216" s="351"/>
      <c r="N1216" s="610"/>
      <c r="O1216" s="351"/>
      <c r="P1216" s="615"/>
      <c r="Q1216" s="351"/>
      <c r="R1216" s="610"/>
      <c r="S1216" s="351"/>
      <c r="T1216" s="615"/>
      <c r="U1216" s="351"/>
      <c r="V1216" s="613" t="str">
        <f>'refer admin discharge'!H1217</f>
        <v>00/00/0000</v>
      </c>
      <c r="W1216" s="351"/>
      <c r="X1216" s="616"/>
      <c r="Y1216" s="351"/>
      <c r="Z1216" s="617"/>
      <c r="AA1216" s="351"/>
      <c r="AB1216" s="616"/>
      <c r="AC1216" s="351"/>
      <c r="AD1216" s="607"/>
      <c r="AE1216" s="351"/>
      <c r="AF1216" s="616"/>
      <c r="AG1216" s="351"/>
      <c r="AH1216" s="607"/>
      <c r="AI1216" s="351"/>
      <c r="AJ1216" s="616"/>
      <c r="AK1216" s="351"/>
      <c r="AL1216" s="622"/>
      <c r="AM1216" s="350"/>
      <c r="AN1216" s="350"/>
      <c r="AO1216" s="350"/>
      <c r="AP1216" s="350"/>
      <c r="AQ1216" s="350"/>
      <c r="AR1216" s="350"/>
      <c r="AS1216" s="350"/>
      <c r="AT1216" s="350"/>
      <c r="AU1216" s="350"/>
      <c r="AV1216" s="350"/>
      <c r="AW1216" s="350"/>
      <c r="AX1216" s="350"/>
      <c r="AY1216" s="350"/>
      <c r="AZ1216" s="350"/>
      <c r="BA1216" s="350"/>
      <c r="BB1216" s="351"/>
    </row>
    <row r="1217" spans="1:54" ht="15.75" customHeight="1">
      <c r="A1217" s="25">
        <f t="shared" si="4"/>
        <v>1204</v>
      </c>
      <c r="B1217" s="599" t="str">
        <f>'refer admin discharge'!B1213</f>
        <v>x</v>
      </c>
      <c r="C1217" s="351"/>
      <c r="D1217" s="600" t="str">
        <f>'refer admin discharge'!D1213</f>
        <v>xx</v>
      </c>
      <c r="E1217" s="351"/>
      <c r="F1217" s="609" t="str">
        <f>'refer admin discharge'!H1213</f>
        <v>00/00/0000</v>
      </c>
      <c r="G1217" s="351"/>
      <c r="H1217" s="610"/>
      <c r="I1217" s="351"/>
      <c r="J1217" s="611"/>
      <c r="K1217" s="351"/>
      <c r="L1217" s="610"/>
      <c r="M1217" s="351"/>
      <c r="N1217" s="612"/>
      <c r="O1217" s="351"/>
      <c r="P1217" s="610"/>
      <c r="Q1217" s="351"/>
      <c r="R1217" s="612"/>
      <c r="S1217" s="351"/>
      <c r="T1217" s="610"/>
      <c r="U1217" s="351"/>
      <c r="V1217" s="613" t="str">
        <f>'refer admin discharge'!H1218</f>
        <v>00/00/0000</v>
      </c>
      <c r="W1217" s="351"/>
      <c r="X1217" s="607"/>
      <c r="Y1217" s="351"/>
      <c r="Z1217" s="614"/>
      <c r="AA1217" s="351"/>
      <c r="AB1217" s="607"/>
      <c r="AC1217" s="351"/>
      <c r="AD1217" s="606"/>
      <c r="AE1217" s="351"/>
      <c r="AF1217" s="607"/>
      <c r="AG1217" s="351"/>
      <c r="AH1217" s="606"/>
      <c r="AI1217" s="351"/>
      <c r="AJ1217" s="607"/>
      <c r="AK1217" s="351"/>
      <c r="AL1217" s="608"/>
      <c r="AM1217" s="350"/>
      <c r="AN1217" s="350"/>
      <c r="AO1217" s="350"/>
      <c r="AP1217" s="350"/>
      <c r="AQ1217" s="350"/>
      <c r="AR1217" s="350"/>
      <c r="AS1217" s="350"/>
      <c r="AT1217" s="350"/>
      <c r="AU1217" s="350"/>
      <c r="AV1217" s="350"/>
      <c r="AW1217" s="350"/>
      <c r="AX1217" s="350"/>
      <c r="AY1217" s="350"/>
      <c r="AZ1217" s="350"/>
      <c r="BA1217" s="350"/>
      <c r="BB1217" s="351"/>
    </row>
    <row r="1218" spans="1:54" ht="15.75" customHeight="1">
      <c r="A1218" s="25">
        <f t="shared" si="4"/>
        <v>1205</v>
      </c>
      <c r="B1218" s="618" t="str">
        <f>'refer admin discharge'!B1214</f>
        <v>x</v>
      </c>
      <c r="C1218" s="351"/>
      <c r="D1218" s="619" t="str">
        <f>'refer admin discharge'!D1214</f>
        <v>xx</v>
      </c>
      <c r="E1218" s="351"/>
      <c r="F1218" s="620" t="str">
        <f>'refer admin discharge'!H1214</f>
        <v>00/00/0000</v>
      </c>
      <c r="G1218" s="351"/>
      <c r="H1218" s="615"/>
      <c r="I1218" s="351"/>
      <c r="J1218" s="621"/>
      <c r="K1218" s="351"/>
      <c r="L1218" s="615"/>
      <c r="M1218" s="351"/>
      <c r="N1218" s="610"/>
      <c r="O1218" s="351"/>
      <c r="P1218" s="615"/>
      <c r="Q1218" s="351"/>
      <c r="R1218" s="610"/>
      <c r="S1218" s="351"/>
      <c r="T1218" s="615"/>
      <c r="U1218" s="351"/>
      <c r="V1218" s="613" t="str">
        <f>'refer admin discharge'!H1219</f>
        <v>00/00/0000</v>
      </c>
      <c r="W1218" s="351"/>
      <c r="X1218" s="616"/>
      <c r="Y1218" s="351"/>
      <c r="Z1218" s="617"/>
      <c r="AA1218" s="351"/>
      <c r="AB1218" s="616"/>
      <c r="AC1218" s="351"/>
      <c r="AD1218" s="607"/>
      <c r="AE1218" s="351"/>
      <c r="AF1218" s="616"/>
      <c r="AG1218" s="351"/>
      <c r="AH1218" s="607"/>
      <c r="AI1218" s="351"/>
      <c r="AJ1218" s="616"/>
      <c r="AK1218" s="351"/>
      <c r="AL1218" s="622"/>
      <c r="AM1218" s="350"/>
      <c r="AN1218" s="350"/>
      <c r="AO1218" s="350"/>
      <c r="AP1218" s="350"/>
      <c r="AQ1218" s="350"/>
      <c r="AR1218" s="350"/>
      <c r="AS1218" s="350"/>
      <c r="AT1218" s="350"/>
      <c r="AU1218" s="350"/>
      <c r="AV1218" s="350"/>
      <c r="AW1218" s="350"/>
      <c r="AX1218" s="350"/>
      <c r="AY1218" s="350"/>
      <c r="AZ1218" s="350"/>
      <c r="BA1218" s="350"/>
      <c r="BB1218" s="351"/>
    </row>
    <row r="1219" spans="1:54" ht="15.75" customHeight="1">
      <c r="A1219" s="25">
        <f t="shared" si="4"/>
        <v>1206</v>
      </c>
      <c r="B1219" s="599" t="str">
        <f>'refer admin discharge'!B1215</f>
        <v>x</v>
      </c>
      <c r="C1219" s="351"/>
      <c r="D1219" s="600" t="str">
        <f>'refer admin discharge'!D1215</f>
        <v>xx</v>
      </c>
      <c r="E1219" s="351"/>
      <c r="F1219" s="609" t="str">
        <f>'refer admin discharge'!H1215</f>
        <v>00/00/0000</v>
      </c>
      <c r="G1219" s="351"/>
      <c r="H1219" s="610"/>
      <c r="I1219" s="351"/>
      <c r="J1219" s="611"/>
      <c r="K1219" s="351"/>
      <c r="L1219" s="610"/>
      <c r="M1219" s="351"/>
      <c r="N1219" s="612"/>
      <c r="O1219" s="351"/>
      <c r="P1219" s="610"/>
      <c r="Q1219" s="351"/>
      <c r="R1219" s="612"/>
      <c r="S1219" s="351"/>
      <c r="T1219" s="610"/>
      <c r="U1219" s="351"/>
      <c r="V1219" s="613" t="str">
        <f>'refer admin discharge'!H1220</f>
        <v>00/00/0000</v>
      </c>
      <c r="W1219" s="351"/>
      <c r="X1219" s="607"/>
      <c r="Y1219" s="351"/>
      <c r="Z1219" s="614"/>
      <c r="AA1219" s="351"/>
      <c r="AB1219" s="607"/>
      <c r="AC1219" s="351"/>
      <c r="AD1219" s="606"/>
      <c r="AE1219" s="351"/>
      <c r="AF1219" s="607"/>
      <c r="AG1219" s="351"/>
      <c r="AH1219" s="606"/>
      <c r="AI1219" s="351"/>
      <c r="AJ1219" s="607"/>
      <c r="AK1219" s="351"/>
      <c r="AL1219" s="608"/>
      <c r="AM1219" s="350"/>
      <c r="AN1219" s="350"/>
      <c r="AO1219" s="350"/>
      <c r="AP1219" s="350"/>
      <c r="AQ1219" s="350"/>
      <c r="AR1219" s="350"/>
      <c r="AS1219" s="350"/>
      <c r="AT1219" s="350"/>
      <c r="AU1219" s="350"/>
      <c r="AV1219" s="350"/>
      <c r="AW1219" s="350"/>
      <c r="AX1219" s="350"/>
      <c r="AY1219" s="350"/>
      <c r="AZ1219" s="350"/>
      <c r="BA1219" s="350"/>
      <c r="BB1219" s="351"/>
    </row>
    <row r="1220" spans="1:54" ht="15.75" customHeight="1">
      <c r="A1220" s="25">
        <f t="shared" si="4"/>
        <v>1207</v>
      </c>
      <c r="B1220" s="618" t="str">
        <f>'refer admin discharge'!B1216</f>
        <v>x</v>
      </c>
      <c r="C1220" s="351"/>
      <c r="D1220" s="619" t="str">
        <f>'refer admin discharge'!D1216</f>
        <v>xx</v>
      </c>
      <c r="E1220" s="351"/>
      <c r="F1220" s="620" t="str">
        <f>'refer admin discharge'!H1216</f>
        <v>00/00/0000</v>
      </c>
      <c r="G1220" s="351"/>
      <c r="H1220" s="615"/>
      <c r="I1220" s="351"/>
      <c r="J1220" s="621"/>
      <c r="K1220" s="351"/>
      <c r="L1220" s="615"/>
      <c r="M1220" s="351"/>
      <c r="N1220" s="610"/>
      <c r="O1220" s="351"/>
      <c r="P1220" s="615"/>
      <c r="Q1220" s="351"/>
      <c r="R1220" s="610"/>
      <c r="S1220" s="351"/>
      <c r="T1220" s="615"/>
      <c r="U1220" s="351"/>
      <c r="V1220" s="613" t="str">
        <f>'refer admin discharge'!H1221</f>
        <v>00/00/0000</v>
      </c>
      <c r="W1220" s="351"/>
      <c r="X1220" s="616"/>
      <c r="Y1220" s="351"/>
      <c r="Z1220" s="617"/>
      <c r="AA1220" s="351"/>
      <c r="AB1220" s="616"/>
      <c r="AC1220" s="351"/>
      <c r="AD1220" s="607"/>
      <c r="AE1220" s="351"/>
      <c r="AF1220" s="616"/>
      <c r="AG1220" s="351"/>
      <c r="AH1220" s="607"/>
      <c r="AI1220" s="351"/>
      <c r="AJ1220" s="616"/>
      <c r="AK1220" s="351"/>
      <c r="AL1220" s="622"/>
      <c r="AM1220" s="350"/>
      <c r="AN1220" s="350"/>
      <c r="AO1220" s="350"/>
      <c r="AP1220" s="350"/>
      <c r="AQ1220" s="350"/>
      <c r="AR1220" s="350"/>
      <c r="AS1220" s="350"/>
      <c r="AT1220" s="350"/>
      <c r="AU1220" s="350"/>
      <c r="AV1220" s="350"/>
      <c r="AW1220" s="350"/>
      <c r="AX1220" s="350"/>
      <c r="AY1220" s="350"/>
      <c r="AZ1220" s="350"/>
      <c r="BA1220" s="350"/>
      <c r="BB1220" s="351"/>
    </row>
    <row r="1221" spans="1:54" ht="15.75" customHeight="1">
      <c r="A1221" s="25">
        <f t="shared" si="4"/>
        <v>1208</v>
      </c>
      <c r="B1221" s="599" t="str">
        <f>'refer admin discharge'!B1217</f>
        <v>x</v>
      </c>
      <c r="C1221" s="351"/>
      <c r="D1221" s="600" t="str">
        <f>'refer admin discharge'!D1217</f>
        <v>xx</v>
      </c>
      <c r="E1221" s="351"/>
      <c r="F1221" s="609" t="str">
        <f>'refer admin discharge'!H1217</f>
        <v>00/00/0000</v>
      </c>
      <c r="G1221" s="351"/>
      <c r="H1221" s="610"/>
      <c r="I1221" s="351"/>
      <c r="J1221" s="611"/>
      <c r="K1221" s="351"/>
      <c r="L1221" s="610"/>
      <c r="M1221" s="351"/>
      <c r="N1221" s="612"/>
      <c r="O1221" s="351"/>
      <c r="P1221" s="610"/>
      <c r="Q1221" s="351"/>
      <c r="R1221" s="612"/>
      <c r="S1221" s="351"/>
      <c r="T1221" s="610"/>
      <c r="U1221" s="351"/>
      <c r="V1221" s="613" t="str">
        <f>'refer admin discharge'!H1222</f>
        <v>00/00/0000</v>
      </c>
      <c r="W1221" s="351"/>
      <c r="X1221" s="607"/>
      <c r="Y1221" s="351"/>
      <c r="Z1221" s="614"/>
      <c r="AA1221" s="351"/>
      <c r="AB1221" s="607"/>
      <c r="AC1221" s="351"/>
      <c r="AD1221" s="606"/>
      <c r="AE1221" s="351"/>
      <c r="AF1221" s="607"/>
      <c r="AG1221" s="351"/>
      <c r="AH1221" s="606"/>
      <c r="AI1221" s="351"/>
      <c r="AJ1221" s="607"/>
      <c r="AK1221" s="351"/>
      <c r="AL1221" s="608"/>
      <c r="AM1221" s="350"/>
      <c r="AN1221" s="350"/>
      <c r="AO1221" s="350"/>
      <c r="AP1221" s="350"/>
      <c r="AQ1221" s="350"/>
      <c r="AR1221" s="350"/>
      <c r="AS1221" s="350"/>
      <c r="AT1221" s="350"/>
      <c r="AU1221" s="350"/>
      <c r="AV1221" s="350"/>
      <c r="AW1221" s="350"/>
      <c r="AX1221" s="350"/>
      <c r="AY1221" s="350"/>
      <c r="AZ1221" s="350"/>
      <c r="BA1221" s="350"/>
      <c r="BB1221" s="351"/>
    </row>
    <row r="1222" spans="1:54" ht="15.75" customHeight="1">
      <c r="A1222" s="25">
        <f t="shared" si="4"/>
        <v>1209</v>
      </c>
      <c r="B1222" s="618" t="str">
        <f>'refer admin discharge'!B1218</f>
        <v>x</v>
      </c>
      <c r="C1222" s="351"/>
      <c r="D1222" s="619" t="str">
        <f>'refer admin discharge'!D1218</f>
        <v>xx</v>
      </c>
      <c r="E1222" s="351"/>
      <c r="F1222" s="620" t="str">
        <f>'refer admin discharge'!H1218</f>
        <v>00/00/0000</v>
      </c>
      <c r="G1222" s="351"/>
      <c r="H1222" s="615"/>
      <c r="I1222" s="351"/>
      <c r="J1222" s="621"/>
      <c r="K1222" s="351"/>
      <c r="L1222" s="615"/>
      <c r="M1222" s="351"/>
      <c r="N1222" s="610"/>
      <c r="O1222" s="351"/>
      <c r="P1222" s="615"/>
      <c r="Q1222" s="351"/>
      <c r="R1222" s="610"/>
      <c r="S1222" s="351"/>
      <c r="T1222" s="615"/>
      <c r="U1222" s="351"/>
      <c r="V1222" s="613" t="str">
        <f>'refer admin discharge'!H1223</f>
        <v>00/00/0000</v>
      </c>
      <c r="W1222" s="351"/>
      <c r="X1222" s="616"/>
      <c r="Y1222" s="351"/>
      <c r="Z1222" s="617"/>
      <c r="AA1222" s="351"/>
      <c r="AB1222" s="616"/>
      <c r="AC1222" s="351"/>
      <c r="AD1222" s="607"/>
      <c r="AE1222" s="351"/>
      <c r="AF1222" s="616"/>
      <c r="AG1222" s="351"/>
      <c r="AH1222" s="607"/>
      <c r="AI1222" s="351"/>
      <c r="AJ1222" s="616"/>
      <c r="AK1222" s="351"/>
      <c r="AL1222" s="622"/>
      <c r="AM1222" s="350"/>
      <c r="AN1222" s="350"/>
      <c r="AO1222" s="350"/>
      <c r="AP1222" s="350"/>
      <c r="AQ1222" s="350"/>
      <c r="AR1222" s="350"/>
      <c r="AS1222" s="350"/>
      <c r="AT1222" s="350"/>
      <c r="AU1222" s="350"/>
      <c r="AV1222" s="350"/>
      <c r="AW1222" s="350"/>
      <c r="AX1222" s="350"/>
      <c r="AY1222" s="350"/>
      <c r="AZ1222" s="350"/>
      <c r="BA1222" s="350"/>
      <c r="BB1222" s="351"/>
    </row>
    <row r="1223" spans="1:54" ht="15.75" customHeight="1">
      <c r="A1223" s="25">
        <f t="shared" si="4"/>
        <v>1210</v>
      </c>
      <c r="B1223" s="599" t="str">
        <f>'refer admin discharge'!B1219</f>
        <v>x</v>
      </c>
      <c r="C1223" s="351"/>
      <c r="D1223" s="600" t="str">
        <f>'refer admin discharge'!D1219</f>
        <v>xx</v>
      </c>
      <c r="E1223" s="351"/>
      <c r="F1223" s="609" t="str">
        <f>'refer admin discharge'!H1219</f>
        <v>00/00/0000</v>
      </c>
      <c r="G1223" s="351"/>
      <c r="H1223" s="610"/>
      <c r="I1223" s="351"/>
      <c r="J1223" s="611"/>
      <c r="K1223" s="351"/>
      <c r="L1223" s="610"/>
      <c r="M1223" s="351"/>
      <c r="N1223" s="612"/>
      <c r="O1223" s="351"/>
      <c r="P1223" s="610"/>
      <c r="Q1223" s="351"/>
      <c r="R1223" s="612"/>
      <c r="S1223" s="351"/>
      <c r="T1223" s="610"/>
      <c r="U1223" s="351"/>
      <c r="V1223" s="613" t="str">
        <f>'refer admin discharge'!H1224</f>
        <v>00/00/0000</v>
      </c>
      <c r="W1223" s="351"/>
      <c r="X1223" s="607"/>
      <c r="Y1223" s="351"/>
      <c r="Z1223" s="614"/>
      <c r="AA1223" s="351"/>
      <c r="AB1223" s="607"/>
      <c r="AC1223" s="351"/>
      <c r="AD1223" s="606"/>
      <c r="AE1223" s="351"/>
      <c r="AF1223" s="607"/>
      <c r="AG1223" s="351"/>
      <c r="AH1223" s="606"/>
      <c r="AI1223" s="351"/>
      <c r="AJ1223" s="607"/>
      <c r="AK1223" s="351"/>
      <c r="AL1223" s="608"/>
      <c r="AM1223" s="350"/>
      <c r="AN1223" s="350"/>
      <c r="AO1223" s="350"/>
      <c r="AP1223" s="350"/>
      <c r="AQ1223" s="350"/>
      <c r="AR1223" s="350"/>
      <c r="AS1223" s="350"/>
      <c r="AT1223" s="350"/>
      <c r="AU1223" s="350"/>
      <c r="AV1223" s="350"/>
      <c r="AW1223" s="350"/>
      <c r="AX1223" s="350"/>
      <c r="AY1223" s="350"/>
      <c r="AZ1223" s="350"/>
      <c r="BA1223" s="350"/>
      <c r="BB1223" s="351"/>
    </row>
    <row r="1224" spans="1:54" ht="15.75" customHeight="1">
      <c r="A1224" s="25">
        <f t="shared" si="4"/>
        <v>1211</v>
      </c>
      <c r="B1224" s="618" t="str">
        <f>'refer admin discharge'!B1220</f>
        <v>x</v>
      </c>
      <c r="C1224" s="351"/>
      <c r="D1224" s="619" t="str">
        <f>'refer admin discharge'!D1220</f>
        <v>xx</v>
      </c>
      <c r="E1224" s="351"/>
      <c r="F1224" s="620" t="str">
        <f>'refer admin discharge'!H1220</f>
        <v>00/00/0000</v>
      </c>
      <c r="G1224" s="351"/>
      <c r="H1224" s="615"/>
      <c r="I1224" s="351"/>
      <c r="J1224" s="621"/>
      <c r="K1224" s="351"/>
      <c r="L1224" s="615"/>
      <c r="M1224" s="351"/>
      <c r="N1224" s="610"/>
      <c r="O1224" s="351"/>
      <c r="P1224" s="615"/>
      <c r="Q1224" s="351"/>
      <c r="R1224" s="610"/>
      <c r="S1224" s="351"/>
      <c r="T1224" s="615"/>
      <c r="U1224" s="351"/>
      <c r="V1224" s="613" t="str">
        <f>'refer admin discharge'!H1225</f>
        <v>00/00/0000</v>
      </c>
      <c r="W1224" s="351"/>
      <c r="X1224" s="616"/>
      <c r="Y1224" s="351"/>
      <c r="Z1224" s="617"/>
      <c r="AA1224" s="351"/>
      <c r="AB1224" s="616"/>
      <c r="AC1224" s="351"/>
      <c r="AD1224" s="607"/>
      <c r="AE1224" s="351"/>
      <c r="AF1224" s="616"/>
      <c r="AG1224" s="351"/>
      <c r="AH1224" s="607"/>
      <c r="AI1224" s="351"/>
      <c r="AJ1224" s="616"/>
      <c r="AK1224" s="351"/>
      <c r="AL1224" s="622"/>
      <c r="AM1224" s="350"/>
      <c r="AN1224" s="350"/>
      <c r="AO1224" s="350"/>
      <c r="AP1224" s="350"/>
      <c r="AQ1224" s="350"/>
      <c r="AR1224" s="350"/>
      <c r="AS1224" s="350"/>
      <c r="AT1224" s="350"/>
      <c r="AU1224" s="350"/>
      <c r="AV1224" s="350"/>
      <c r="AW1224" s="350"/>
      <c r="AX1224" s="350"/>
      <c r="AY1224" s="350"/>
      <c r="AZ1224" s="350"/>
      <c r="BA1224" s="350"/>
      <c r="BB1224" s="351"/>
    </row>
    <row r="1225" spans="1:54" ht="15.75" customHeight="1">
      <c r="A1225" s="25">
        <f t="shared" si="4"/>
        <v>1212</v>
      </c>
      <c r="B1225" s="599" t="str">
        <f>'refer admin discharge'!B1221</f>
        <v>x</v>
      </c>
      <c r="C1225" s="351"/>
      <c r="D1225" s="600" t="str">
        <f>'refer admin discharge'!D1221</f>
        <v>xx</v>
      </c>
      <c r="E1225" s="351"/>
      <c r="F1225" s="609" t="str">
        <f>'refer admin discharge'!H1221</f>
        <v>00/00/0000</v>
      </c>
      <c r="G1225" s="351"/>
      <c r="H1225" s="610"/>
      <c r="I1225" s="351"/>
      <c r="J1225" s="611"/>
      <c r="K1225" s="351"/>
      <c r="L1225" s="610"/>
      <c r="M1225" s="351"/>
      <c r="N1225" s="612"/>
      <c r="O1225" s="351"/>
      <c r="P1225" s="610"/>
      <c r="Q1225" s="351"/>
      <c r="R1225" s="612"/>
      <c r="S1225" s="351"/>
      <c r="T1225" s="610"/>
      <c r="U1225" s="351"/>
      <c r="V1225" s="613" t="str">
        <f>'refer admin discharge'!H1226</f>
        <v>00/00/0000</v>
      </c>
      <c r="W1225" s="351"/>
      <c r="X1225" s="607"/>
      <c r="Y1225" s="351"/>
      <c r="Z1225" s="614"/>
      <c r="AA1225" s="351"/>
      <c r="AB1225" s="607"/>
      <c r="AC1225" s="351"/>
      <c r="AD1225" s="606"/>
      <c r="AE1225" s="351"/>
      <c r="AF1225" s="607"/>
      <c r="AG1225" s="351"/>
      <c r="AH1225" s="606"/>
      <c r="AI1225" s="351"/>
      <c r="AJ1225" s="607"/>
      <c r="AK1225" s="351"/>
      <c r="AL1225" s="608"/>
      <c r="AM1225" s="350"/>
      <c r="AN1225" s="350"/>
      <c r="AO1225" s="350"/>
      <c r="AP1225" s="350"/>
      <c r="AQ1225" s="350"/>
      <c r="AR1225" s="350"/>
      <c r="AS1225" s="350"/>
      <c r="AT1225" s="350"/>
      <c r="AU1225" s="350"/>
      <c r="AV1225" s="350"/>
      <c r="AW1225" s="350"/>
      <c r="AX1225" s="350"/>
      <c r="AY1225" s="350"/>
      <c r="AZ1225" s="350"/>
      <c r="BA1225" s="350"/>
      <c r="BB1225" s="351"/>
    </row>
    <row r="1226" spans="1:54" ht="15.75" customHeight="1">
      <c r="A1226" s="25">
        <f t="shared" si="4"/>
        <v>1213</v>
      </c>
      <c r="B1226" s="618" t="str">
        <f>'refer admin discharge'!B1222</f>
        <v>x</v>
      </c>
      <c r="C1226" s="351"/>
      <c r="D1226" s="619" t="str">
        <f>'refer admin discharge'!D1222</f>
        <v>xx</v>
      </c>
      <c r="E1226" s="351"/>
      <c r="F1226" s="620" t="str">
        <f>'refer admin discharge'!H1222</f>
        <v>00/00/0000</v>
      </c>
      <c r="G1226" s="351"/>
      <c r="H1226" s="615"/>
      <c r="I1226" s="351"/>
      <c r="J1226" s="621"/>
      <c r="K1226" s="351"/>
      <c r="L1226" s="615"/>
      <c r="M1226" s="351"/>
      <c r="N1226" s="610"/>
      <c r="O1226" s="351"/>
      <c r="P1226" s="615"/>
      <c r="Q1226" s="351"/>
      <c r="R1226" s="610"/>
      <c r="S1226" s="351"/>
      <c r="T1226" s="615"/>
      <c r="U1226" s="351"/>
      <c r="V1226" s="613" t="str">
        <f>'refer admin discharge'!H1227</f>
        <v>00/00/0000</v>
      </c>
      <c r="W1226" s="351"/>
      <c r="X1226" s="616"/>
      <c r="Y1226" s="351"/>
      <c r="Z1226" s="617"/>
      <c r="AA1226" s="351"/>
      <c r="AB1226" s="616"/>
      <c r="AC1226" s="351"/>
      <c r="AD1226" s="607"/>
      <c r="AE1226" s="351"/>
      <c r="AF1226" s="616"/>
      <c r="AG1226" s="351"/>
      <c r="AH1226" s="607"/>
      <c r="AI1226" s="351"/>
      <c r="AJ1226" s="616"/>
      <c r="AK1226" s="351"/>
      <c r="AL1226" s="622"/>
      <c r="AM1226" s="350"/>
      <c r="AN1226" s="350"/>
      <c r="AO1226" s="350"/>
      <c r="AP1226" s="350"/>
      <c r="AQ1226" s="350"/>
      <c r="AR1226" s="350"/>
      <c r="AS1226" s="350"/>
      <c r="AT1226" s="350"/>
      <c r="AU1226" s="350"/>
      <c r="AV1226" s="350"/>
      <c r="AW1226" s="350"/>
      <c r="AX1226" s="350"/>
      <c r="AY1226" s="350"/>
      <c r="AZ1226" s="350"/>
      <c r="BA1226" s="350"/>
      <c r="BB1226" s="351"/>
    </row>
    <row r="1227" spans="1:54" ht="15.75" customHeight="1">
      <c r="A1227" s="25">
        <f t="shared" si="4"/>
        <v>1214</v>
      </c>
      <c r="B1227" s="599" t="str">
        <f>'refer admin discharge'!B1223</f>
        <v>x</v>
      </c>
      <c r="C1227" s="351"/>
      <c r="D1227" s="600" t="str">
        <f>'refer admin discharge'!D1223</f>
        <v>xx</v>
      </c>
      <c r="E1227" s="351"/>
      <c r="F1227" s="609" t="str">
        <f>'refer admin discharge'!H1223</f>
        <v>00/00/0000</v>
      </c>
      <c r="G1227" s="351"/>
      <c r="H1227" s="610"/>
      <c r="I1227" s="351"/>
      <c r="J1227" s="611"/>
      <c r="K1227" s="351"/>
      <c r="L1227" s="610"/>
      <c r="M1227" s="351"/>
      <c r="N1227" s="612"/>
      <c r="O1227" s="351"/>
      <c r="P1227" s="610"/>
      <c r="Q1227" s="351"/>
      <c r="R1227" s="612"/>
      <c r="S1227" s="351"/>
      <c r="T1227" s="610"/>
      <c r="U1227" s="351"/>
      <c r="V1227" s="613" t="str">
        <f>'refer admin discharge'!H1228</f>
        <v>00/00/0000</v>
      </c>
      <c r="W1227" s="351"/>
      <c r="X1227" s="607"/>
      <c r="Y1227" s="351"/>
      <c r="Z1227" s="614"/>
      <c r="AA1227" s="351"/>
      <c r="AB1227" s="607"/>
      <c r="AC1227" s="351"/>
      <c r="AD1227" s="606"/>
      <c r="AE1227" s="351"/>
      <c r="AF1227" s="607"/>
      <c r="AG1227" s="351"/>
      <c r="AH1227" s="606"/>
      <c r="AI1227" s="351"/>
      <c r="AJ1227" s="607"/>
      <c r="AK1227" s="351"/>
      <c r="AL1227" s="608"/>
      <c r="AM1227" s="350"/>
      <c r="AN1227" s="350"/>
      <c r="AO1227" s="350"/>
      <c r="AP1227" s="350"/>
      <c r="AQ1227" s="350"/>
      <c r="AR1227" s="350"/>
      <c r="AS1227" s="350"/>
      <c r="AT1227" s="350"/>
      <c r="AU1227" s="350"/>
      <c r="AV1227" s="350"/>
      <c r="AW1227" s="350"/>
      <c r="AX1227" s="350"/>
      <c r="AY1227" s="350"/>
      <c r="AZ1227" s="350"/>
      <c r="BA1227" s="350"/>
      <c r="BB1227" s="351"/>
    </row>
    <row r="1228" spans="1:54" ht="15.75" customHeight="1">
      <c r="A1228" s="25">
        <f t="shared" si="4"/>
        <v>1215</v>
      </c>
      <c r="B1228" s="618" t="str">
        <f>'refer admin discharge'!B1224</f>
        <v>x</v>
      </c>
      <c r="C1228" s="351"/>
      <c r="D1228" s="619" t="str">
        <f>'refer admin discharge'!D1224</f>
        <v>xx</v>
      </c>
      <c r="E1228" s="351"/>
      <c r="F1228" s="620" t="str">
        <f>'refer admin discharge'!H1224</f>
        <v>00/00/0000</v>
      </c>
      <c r="G1228" s="351"/>
      <c r="H1228" s="615"/>
      <c r="I1228" s="351"/>
      <c r="J1228" s="621"/>
      <c r="K1228" s="351"/>
      <c r="L1228" s="615"/>
      <c r="M1228" s="351"/>
      <c r="N1228" s="610"/>
      <c r="O1228" s="351"/>
      <c r="P1228" s="615"/>
      <c r="Q1228" s="351"/>
      <c r="R1228" s="610"/>
      <c r="S1228" s="351"/>
      <c r="T1228" s="615"/>
      <c r="U1228" s="351"/>
      <c r="V1228" s="613" t="str">
        <f>'refer admin discharge'!H1229</f>
        <v>00/00/0000</v>
      </c>
      <c r="W1228" s="351"/>
      <c r="X1228" s="616"/>
      <c r="Y1228" s="351"/>
      <c r="Z1228" s="617"/>
      <c r="AA1228" s="351"/>
      <c r="AB1228" s="616"/>
      <c r="AC1228" s="351"/>
      <c r="AD1228" s="607"/>
      <c r="AE1228" s="351"/>
      <c r="AF1228" s="616"/>
      <c r="AG1228" s="351"/>
      <c r="AH1228" s="607"/>
      <c r="AI1228" s="351"/>
      <c r="AJ1228" s="616"/>
      <c r="AK1228" s="351"/>
      <c r="AL1228" s="622"/>
      <c r="AM1228" s="350"/>
      <c r="AN1228" s="350"/>
      <c r="AO1228" s="350"/>
      <c r="AP1228" s="350"/>
      <c r="AQ1228" s="350"/>
      <c r="AR1228" s="350"/>
      <c r="AS1228" s="350"/>
      <c r="AT1228" s="350"/>
      <c r="AU1228" s="350"/>
      <c r="AV1228" s="350"/>
      <c r="AW1228" s="350"/>
      <c r="AX1228" s="350"/>
      <c r="AY1228" s="350"/>
      <c r="AZ1228" s="350"/>
      <c r="BA1228" s="350"/>
      <c r="BB1228" s="351"/>
    </row>
    <row r="1229" spans="1:54" ht="15.75" customHeight="1">
      <c r="A1229" s="25">
        <f t="shared" si="4"/>
        <v>1216</v>
      </c>
      <c r="B1229" s="599" t="str">
        <f>'refer admin discharge'!B1225</f>
        <v>x</v>
      </c>
      <c r="C1229" s="351"/>
      <c r="D1229" s="600" t="str">
        <f>'refer admin discharge'!D1225</f>
        <v>xx</v>
      </c>
      <c r="E1229" s="351"/>
      <c r="F1229" s="609" t="str">
        <f>'refer admin discharge'!H1225</f>
        <v>00/00/0000</v>
      </c>
      <c r="G1229" s="351"/>
      <c r="H1229" s="610"/>
      <c r="I1229" s="351"/>
      <c r="J1229" s="611"/>
      <c r="K1229" s="351"/>
      <c r="L1229" s="610"/>
      <c r="M1229" s="351"/>
      <c r="N1229" s="612"/>
      <c r="O1229" s="351"/>
      <c r="P1229" s="610"/>
      <c r="Q1229" s="351"/>
      <c r="R1229" s="612"/>
      <c r="S1229" s="351"/>
      <c r="T1229" s="610"/>
      <c r="U1229" s="351"/>
      <c r="V1229" s="613" t="str">
        <f>'refer admin discharge'!H1230</f>
        <v>00/00/0000</v>
      </c>
      <c r="W1229" s="351"/>
      <c r="X1229" s="607"/>
      <c r="Y1229" s="351"/>
      <c r="Z1229" s="614"/>
      <c r="AA1229" s="351"/>
      <c r="AB1229" s="607"/>
      <c r="AC1229" s="351"/>
      <c r="AD1229" s="606"/>
      <c r="AE1229" s="351"/>
      <c r="AF1229" s="607"/>
      <c r="AG1229" s="351"/>
      <c r="AH1229" s="606"/>
      <c r="AI1229" s="351"/>
      <c r="AJ1229" s="607"/>
      <c r="AK1229" s="351"/>
      <c r="AL1229" s="608"/>
      <c r="AM1229" s="350"/>
      <c r="AN1229" s="350"/>
      <c r="AO1229" s="350"/>
      <c r="AP1229" s="350"/>
      <c r="AQ1229" s="350"/>
      <c r="AR1229" s="350"/>
      <c r="AS1229" s="350"/>
      <c r="AT1229" s="350"/>
      <c r="AU1229" s="350"/>
      <c r="AV1229" s="350"/>
      <c r="AW1229" s="350"/>
      <c r="AX1229" s="350"/>
      <c r="AY1229" s="350"/>
      <c r="AZ1229" s="350"/>
      <c r="BA1229" s="350"/>
      <c r="BB1229" s="351"/>
    </row>
    <row r="1230" spans="1:54" ht="15.75" customHeight="1">
      <c r="A1230" s="25">
        <f t="shared" si="4"/>
        <v>1217</v>
      </c>
      <c r="B1230" s="618" t="str">
        <f>'refer admin discharge'!B1226</f>
        <v>x</v>
      </c>
      <c r="C1230" s="351"/>
      <c r="D1230" s="619" t="str">
        <f>'refer admin discharge'!D1226</f>
        <v>xx</v>
      </c>
      <c r="E1230" s="351"/>
      <c r="F1230" s="620" t="str">
        <f>'refer admin discharge'!H1226</f>
        <v>00/00/0000</v>
      </c>
      <c r="G1230" s="351"/>
      <c r="H1230" s="615"/>
      <c r="I1230" s="351"/>
      <c r="J1230" s="621"/>
      <c r="K1230" s="351"/>
      <c r="L1230" s="615"/>
      <c r="M1230" s="351"/>
      <c r="N1230" s="610"/>
      <c r="O1230" s="351"/>
      <c r="P1230" s="615"/>
      <c r="Q1230" s="351"/>
      <c r="R1230" s="610"/>
      <c r="S1230" s="351"/>
      <c r="T1230" s="615"/>
      <c r="U1230" s="351"/>
      <c r="V1230" s="613" t="str">
        <f>'refer admin discharge'!H1231</f>
        <v>00/00/0000</v>
      </c>
      <c r="W1230" s="351"/>
      <c r="X1230" s="616"/>
      <c r="Y1230" s="351"/>
      <c r="Z1230" s="617"/>
      <c r="AA1230" s="351"/>
      <c r="AB1230" s="616"/>
      <c r="AC1230" s="351"/>
      <c r="AD1230" s="607"/>
      <c r="AE1230" s="351"/>
      <c r="AF1230" s="616"/>
      <c r="AG1230" s="351"/>
      <c r="AH1230" s="607"/>
      <c r="AI1230" s="351"/>
      <c r="AJ1230" s="616"/>
      <c r="AK1230" s="351"/>
      <c r="AL1230" s="622"/>
      <c r="AM1230" s="350"/>
      <c r="AN1230" s="350"/>
      <c r="AO1230" s="350"/>
      <c r="AP1230" s="350"/>
      <c r="AQ1230" s="350"/>
      <c r="AR1230" s="350"/>
      <c r="AS1230" s="350"/>
      <c r="AT1230" s="350"/>
      <c r="AU1230" s="350"/>
      <c r="AV1230" s="350"/>
      <c r="AW1230" s="350"/>
      <c r="AX1230" s="350"/>
      <c r="AY1230" s="350"/>
      <c r="AZ1230" s="350"/>
      <c r="BA1230" s="350"/>
      <c r="BB1230" s="351"/>
    </row>
    <row r="1231" spans="1:54" ht="15.75" customHeight="1">
      <c r="A1231" s="25">
        <f t="shared" si="4"/>
        <v>1218</v>
      </c>
      <c r="B1231" s="599" t="str">
        <f>'refer admin discharge'!B1227</f>
        <v>x</v>
      </c>
      <c r="C1231" s="351"/>
      <c r="D1231" s="600" t="str">
        <f>'refer admin discharge'!D1227</f>
        <v>xx</v>
      </c>
      <c r="E1231" s="351"/>
      <c r="F1231" s="609" t="str">
        <f>'refer admin discharge'!H1227</f>
        <v>00/00/0000</v>
      </c>
      <c r="G1231" s="351"/>
      <c r="H1231" s="610"/>
      <c r="I1231" s="351"/>
      <c r="J1231" s="611"/>
      <c r="K1231" s="351"/>
      <c r="L1231" s="610"/>
      <c r="M1231" s="351"/>
      <c r="N1231" s="612"/>
      <c r="O1231" s="351"/>
      <c r="P1231" s="610"/>
      <c r="Q1231" s="351"/>
      <c r="R1231" s="612"/>
      <c r="S1231" s="351"/>
      <c r="T1231" s="610"/>
      <c r="U1231" s="351"/>
      <c r="V1231" s="613" t="str">
        <f>'refer admin discharge'!H1232</f>
        <v>00/00/0000</v>
      </c>
      <c r="W1231" s="351"/>
      <c r="X1231" s="607"/>
      <c r="Y1231" s="351"/>
      <c r="Z1231" s="614"/>
      <c r="AA1231" s="351"/>
      <c r="AB1231" s="607"/>
      <c r="AC1231" s="351"/>
      <c r="AD1231" s="606"/>
      <c r="AE1231" s="351"/>
      <c r="AF1231" s="607"/>
      <c r="AG1231" s="351"/>
      <c r="AH1231" s="606"/>
      <c r="AI1231" s="351"/>
      <c r="AJ1231" s="607"/>
      <c r="AK1231" s="351"/>
      <c r="AL1231" s="608"/>
      <c r="AM1231" s="350"/>
      <c r="AN1231" s="350"/>
      <c r="AO1231" s="350"/>
      <c r="AP1231" s="350"/>
      <c r="AQ1231" s="350"/>
      <c r="AR1231" s="350"/>
      <c r="AS1231" s="350"/>
      <c r="AT1231" s="350"/>
      <c r="AU1231" s="350"/>
      <c r="AV1231" s="350"/>
      <c r="AW1231" s="350"/>
      <c r="AX1231" s="350"/>
      <c r="AY1231" s="350"/>
      <c r="AZ1231" s="350"/>
      <c r="BA1231" s="350"/>
      <c r="BB1231" s="351"/>
    </row>
    <row r="1232" spans="1:54" ht="15.75" customHeight="1">
      <c r="A1232" s="25">
        <f t="shared" si="4"/>
        <v>1219</v>
      </c>
      <c r="B1232" s="618" t="str">
        <f>'refer admin discharge'!B1228</f>
        <v>x</v>
      </c>
      <c r="C1232" s="351"/>
      <c r="D1232" s="619" t="str">
        <f>'refer admin discharge'!D1228</f>
        <v>xx</v>
      </c>
      <c r="E1232" s="351"/>
      <c r="F1232" s="620" t="str">
        <f>'refer admin discharge'!H1228</f>
        <v>00/00/0000</v>
      </c>
      <c r="G1232" s="351"/>
      <c r="H1232" s="615"/>
      <c r="I1232" s="351"/>
      <c r="J1232" s="621"/>
      <c r="K1232" s="351"/>
      <c r="L1232" s="615"/>
      <c r="M1232" s="351"/>
      <c r="N1232" s="610"/>
      <c r="O1232" s="351"/>
      <c r="P1232" s="615"/>
      <c r="Q1232" s="351"/>
      <c r="R1232" s="610"/>
      <c r="S1232" s="351"/>
      <c r="T1232" s="615"/>
      <c r="U1232" s="351"/>
      <c r="V1232" s="613" t="str">
        <f>'refer admin discharge'!H1233</f>
        <v>00/00/0000</v>
      </c>
      <c r="W1232" s="351"/>
      <c r="X1232" s="616"/>
      <c r="Y1232" s="351"/>
      <c r="Z1232" s="617"/>
      <c r="AA1232" s="351"/>
      <c r="AB1232" s="616"/>
      <c r="AC1232" s="351"/>
      <c r="AD1232" s="607"/>
      <c r="AE1232" s="351"/>
      <c r="AF1232" s="616"/>
      <c r="AG1232" s="351"/>
      <c r="AH1232" s="607"/>
      <c r="AI1232" s="351"/>
      <c r="AJ1232" s="616"/>
      <c r="AK1232" s="351"/>
      <c r="AL1232" s="622"/>
      <c r="AM1232" s="350"/>
      <c r="AN1232" s="350"/>
      <c r="AO1232" s="350"/>
      <c r="AP1232" s="350"/>
      <c r="AQ1232" s="350"/>
      <c r="AR1232" s="350"/>
      <c r="AS1232" s="350"/>
      <c r="AT1232" s="350"/>
      <c r="AU1232" s="350"/>
      <c r="AV1232" s="350"/>
      <c r="AW1232" s="350"/>
      <c r="AX1232" s="350"/>
      <c r="AY1232" s="350"/>
      <c r="AZ1232" s="350"/>
      <c r="BA1232" s="350"/>
      <c r="BB1232" s="351"/>
    </row>
    <row r="1233" spans="1:54" ht="15.75" customHeight="1">
      <c r="A1233" s="25">
        <f t="shared" si="4"/>
        <v>1220</v>
      </c>
      <c r="B1233" s="599" t="str">
        <f>'refer admin discharge'!B1229</f>
        <v>x</v>
      </c>
      <c r="C1233" s="351"/>
      <c r="D1233" s="600" t="str">
        <f>'refer admin discharge'!D1229</f>
        <v>xx</v>
      </c>
      <c r="E1233" s="351"/>
      <c r="F1233" s="609" t="str">
        <f>'refer admin discharge'!H1229</f>
        <v>00/00/0000</v>
      </c>
      <c r="G1233" s="351"/>
      <c r="H1233" s="610"/>
      <c r="I1233" s="351"/>
      <c r="J1233" s="611"/>
      <c r="K1233" s="351"/>
      <c r="L1233" s="610"/>
      <c r="M1233" s="351"/>
      <c r="N1233" s="612"/>
      <c r="O1233" s="351"/>
      <c r="P1233" s="610"/>
      <c r="Q1233" s="351"/>
      <c r="R1233" s="612"/>
      <c r="S1233" s="351"/>
      <c r="T1233" s="610"/>
      <c r="U1233" s="351"/>
      <c r="V1233" s="613" t="str">
        <f>'refer admin discharge'!H1234</f>
        <v>00/00/0000</v>
      </c>
      <c r="W1233" s="351"/>
      <c r="X1233" s="607"/>
      <c r="Y1233" s="351"/>
      <c r="Z1233" s="614"/>
      <c r="AA1233" s="351"/>
      <c r="AB1233" s="607"/>
      <c r="AC1233" s="351"/>
      <c r="AD1233" s="606"/>
      <c r="AE1233" s="351"/>
      <c r="AF1233" s="607"/>
      <c r="AG1233" s="351"/>
      <c r="AH1233" s="606"/>
      <c r="AI1233" s="351"/>
      <c r="AJ1233" s="607"/>
      <c r="AK1233" s="351"/>
      <c r="AL1233" s="608"/>
      <c r="AM1233" s="350"/>
      <c r="AN1233" s="350"/>
      <c r="AO1233" s="350"/>
      <c r="AP1233" s="350"/>
      <c r="AQ1233" s="350"/>
      <c r="AR1233" s="350"/>
      <c r="AS1233" s="350"/>
      <c r="AT1233" s="350"/>
      <c r="AU1233" s="350"/>
      <c r="AV1233" s="350"/>
      <c r="AW1233" s="350"/>
      <c r="AX1233" s="350"/>
      <c r="AY1233" s="350"/>
      <c r="AZ1233" s="350"/>
      <c r="BA1233" s="350"/>
      <c r="BB1233" s="351"/>
    </row>
    <row r="1234" spans="1:54" ht="15.75" customHeight="1">
      <c r="A1234" s="25">
        <f t="shared" si="4"/>
        <v>1221</v>
      </c>
      <c r="B1234" s="618" t="str">
        <f>'refer admin discharge'!B1230</f>
        <v>x</v>
      </c>
      <c r="C1234" s="351"/>
      <c r="D1234" s="619" t="str">
        <f>'refer admin discharge'!D1230</f>
        <v>xx</v>
      </c>
      <c r="E1234" s="351"/>
      <c r="F1234" s="620" t="str">
        <f>'refer admin discharge'!H1230</f>
        <v>00/00/0000</v>
      </c>
      <c r="G1234" s="351"/>
      <c r="H1234" s="615"/>
      <c r="I1234" s="351"/>
      <c r="J1234" s="621"/>
      <c r="K1234" s="351"/>
      <c r="L1234" s="615"/>
      <c r="M1234" s="351"/>
      <c r="N1234" s="610"/>
      <c r="O1234" s="351"/>
      <c r="P1234" s="615"/>
      <c r="Q1234" s="351"/>
      <c r="R1234" s="610"/>
      <c r="S1234" s="351"/>
      <c r="T1234" s="615"/>
      <c r="U1234" s="351"/>
      <c r="V1234" s="613" t="str">
        <f>'refer admin discharge'!H1235</f>
        <v>00/00/0000</v>
      </c>
      <c r="W1234" s="351"/>
      <c r="X1234" s="616"/>
      <c r="Y1234" s="351"/>
      <c r="Z1234" s="617"/>
      <c r="AA1234" s="351"/>
      <c r="AB1234" s="616"/>
      <c r="AC1234" s="351"/>
      <c r="AD1234" s="607"/>
      <c r="AE1234" s="351"/>
      <c r="AF1234" s="616"/>
      <c r="AG1234" s="351"/>
      <c r="AH1234" s="607"/>
      <c r="AI1234" s="351"/>
      <c r="AJ1234" s="616"/>
      <c r="AK1234" s="351"/>
      <c r="AL1234" s="622"/>
      <c r="AM1234" s="350"/>
      <c r="AN1234" s="350"/>
      <c r="AO1234" s="350"/>
      <c r="AP1234" s="350"/>
      <c r="AQ1234" s="350"/>
      <c r="AR1234" s="350"/>
      <c r="AS1234" s="350"/>
      <c r="AT1234" s="350"/>
      <c r="AU1234" s="350"/>
      <c r="AV1234" s="350"/>
      <c r="AW1234" s="350"/>
      <c r="AX1234" s="350"/>
      <c r="AY1234" s="350"/>
      <c r="AZ1234" s="350"/>
      <c r="BA1234" s="350"/>
      <c r="BB1234" s="351"/>
    </row>
    <row r="1235" spans="1:54" ht="15.75" customHeight="1">
      <c r="A1235" s="25">
        <f t="shared" si="4"/>
        <v>1222</v>
      </c>
      <c r="B1235" s="599" t="str">
        <f>'refer admin discharge'!B1231</f>
        <v>x</v>
      </c>
      <c r="C1235" s="351"/>
      <c r="D1235" s="600" t="str">
        <f>'refer admin discharge'!D1231</f>
        <v>xx</v>
      </c>
      <c r="E1235" s="351"/>
      <c r="F1235" s="609" t="str">
        <f>'refer admin discharge'!H1231</f>
        <v>00/00/0000</v>
      </c>
      <c r="G1235" s="351"/>
      <c r="H1235" s="610"/>
      <c r="I1235" s="351"/>
      <c r="J1235" s="611"/>
      <c r="K1235" s="351"/>
      <c r="L1235" s="610"/>
      <c r="M1235" s="351"/>
      <c r="N1235" s="612"/>
      <c r="O1235" s="351"/>
      <c r="P1235" s="610"/>
      <c r="Q1235" s="351"/>
      <c r="R1235" s="612"/>
      <c r="S1235" s="351"/>
      <c r="T1235" s="610"/>
      <c r="U1235" s="351"/>
      <c r="V1235" s="613" t="str">
        <f>'refer admin discharge'!H1236</f>
        <v>00/00/0000</v>
      </c>
      <c r="W1235" s="351"/>
      <c r="X1235" s="607"/>
      <c r="Y1235" s="351"/>
      <c r="Z1235" s="614"/>
      <c r="AA1235" s="351"/>
      <c r="AB1235" s="607"/>
      <c r="AC1235" s="351"/>
      <c r="AD1235" s="606"/>
      <c r="AE1235" s="351"/>
      <c r="AF1235" s="607"/>
      <c r="AG1235" s="351"/>
      <c r="AH1235" s="606"/>
      <c r="AI1235" s="351"/>
      <c r="AJ1235" s="607"/>
      <c r="AK1235" s="351"/>
      <c r="AL1235" s="608"/>
      <c r="AM1235" s="350"/>
      <c r="AN1235" s="350"/>
      <c r="AO1235" s="350"/>
      <c r="AP1235" s="350"/>
      <c r="AQ1235" s="350"/>
      <c r="AR1235" s="350"/>
      <c r="AS1235" s="350"/>
      <c r="AT1235" s="350"/>
      <c r="AU1235" s="350"/>
      <c r="AV1235" s="350"/>
      <c r="AW1235" s="350"/>
      <c r="AX1235" s="350"/>
      <c r="AY1235" s="350"/>
      <c r="AZ1235" s="350"/>
      <c r="BA1235" s="350"/>
      <c r="BB1235" s="351"/>
    </row>
    <row r="1236" spans="1:54" ht="15.75" customHeight="1">
      <c r="A1236" s="25">
        <f t="shared" si="4"/>
        <v>1223</v>
      </c>
      <c r="B1236" s="618" t="str">
        <f>'refer admin discharge'!B1232</f>
        <v>x</v>
      </c>
      <c r="C1236" s="351"/>
      <c r="D1236" s="619" t="str">
        <f>'refer admin discharge'!D1232</f>
        <v>xx</v>
      </c>
      <c r="E1236" s="351"/>
      <c r="F1236" s="620" t="str">
        <f>'refer admin discharge'!H1232</f>
        <v>00/00/0000</v>
      </c>
      <c r="G1236" s="351"/>
      <c r="H1236" s="615"/>
      <c r="I1236" s="351"/>
      <c r="J1236" s="621"/>
      <c r="K1236" s="351"/>
      <c r="L1236" s="615"/>
      <c r="M1236" s="351"/>
      <c r="N1236" s="610"/>
      <c r="O1236" s="351"/>
      <c r="P1236" s="615"/>
      <c r="Q1236" s="351"/>
      <c r="R1236" s="610"/>
      <c r="S1236" s="351"/>
      <c r="T1236" s="615"/>
      <c r="U1236" s="351"/>
      <c r="V1236" s="613" t="str">
        <f>'refer admin discharge'!H1237</f>
        <v>00/00/0000</v>
      </c>
      <c r="W1236" s="351"/>
      <c r="X1236" s="616"/>
      <c r="Y1236" s="351"/>
      <c r="Z1236" s="617"/>
      <c r="AA1236" s="351"/>
      <c r="AB1236" s="616"/>
      <c r="AC1236" s="351"/>
      <c r="AD1236" s="607"/>
      <c r="AE1236" s="351"/>
      <c r="AF1236" s="616"/>
      <c r="AG1236" s="351"/>
      <c r="AH1236" s="607"/>
      <c r="AI1236" s="351"/>
      <c r="AJ1236" s="616"/>
      <c r="AK1236" s="351"/>
      <c r="AL1236" s="622"/>
      <c r="AM1236" s="350"/>
      <c r="AN1236" s="350"/>
      <c r="AO1236" s="350"/>
      <c r="AP1236" s="350"/>
      <c r="AQ1236" s="350"/>
      <c r="AR1236" s="350"/>
      <c r="AS1236" s="350"/>
      <c r="AT1236" s="350"/>
      <c r="AU1236" s="350"/>
      <c r="AV1236" s="350"/>
      <c r="AW1236" s="350"/>
      <c r="AX1236" s="350"/>
      <c r="AY1236" s="350"/>
      <c r="AZ1236" s="350"/>
      <c r="BA1236" s="350"/>
      <c r="BB1236" s="351"/>
    </row>
    <row r="1237" spans="1:54" ht="15.75" customHeight="1">
      <c r="A1237" s="25">
        <f t="shared" si="4"/>
        <v>1224</v>
      </c>
      <c r="B1237" s="599" t="str">
        <f>'refer admin discharge'!B1233</f>
        <v>x</v>
      </c>
      <c r="C1237" s="351"/>
      <c r="D1237" s="600" t="str">
        <f>'refer admin discharge'!D1233</f>
        <v>xx</v>
      </c>
      <c r="E1237" s="351"/>
      <c r="F1237" s="609" t="str">
        <f>'refer admin discharge'!H1233</f>
        <v>00/00/0000</v>
      </c>
      <c r="G1237" s="351"/>
      <c r="H1237" s="610"/>
      <c r="I1237" s="351"/>
      <c r="J1237" s="611"/>
      <c r="K1237" s="351"/>
      <c r="L1237" s="610"/>
      <c r="M1237" s="351"/>
      <c r="N1237" s="612"/>
      <c r="O1237" s="351"/>
      <c r="P1237" s="610"/>
      <c r="Q1237" s="351"/>
      <c r="R1237" s="612"/>
      <c r="S1237" s="351"/>
      <c r="T1237" s="610"/>
      <c r="U1237" s="351"/>
      <c r="V1237" s="613" t="str">
        <f>'refer admin discharge'!H1238</f>
        <v>00/00/0000</v>
      </c>
      <c r="W1237" s="351"/>
      <c r="X1237" s="607"/>
      <c r="Y1237" s="351"/>
      <c r="Z1237" s="614"/>
      <c r="AA1237" s="351"/>
      <c r="AB1237" s="607"/>
      <c r="AC1237" s="351"/>
      <c r="AD1237" s="606"/>
      <c r="AE1237" s="351"/>
      <c r="AF1237" s="607"/>
      <c r="AG1237" s="351"/>
      <c r="AH1237" s="606"/>
      <c r="AI1237" s="351"/>
      <c r="AJ1237" s="607"/>
      <c r="AK1237" s="351"/>
      <c r="AL1237" s="608"/>
      <c r="AM1237" s="350"/>
      <c r="AN1237" s="350"/>
      <c r="AO1237" s="350"/>
      <c r="AP1237" s="350"/>
      <c r="AQ1237" s="350"/>
      <c r="AR1237" s="350"/>
      <c r="AS1237" s="350"/>
      <c r="AT1237" s="350"/>
      <c r="AU1237" s="350"/>
      <c r="AV1237" s="350"/>
      <c r="AW1237" s="350"/>
      <c r="AX1237" s="350"/>
      <c r="AY1237" s="350"/>
      <c r="AZ1237" s="350"/>
      <c r="BA1237" s="350"/>
      <c r="BB1237" s="351"/>
    </row>
    <row r="1238" spans="1:54" ht="15.75" customHeight="1">
      <c r="A1238" s="25">
        <f t="shared" si="4"/>
        <v>1225</v>
      </c>
      <c r="B1238" s="618" t="str">
        <f>'refer admin discharge'!B1234</f>
        <v>x</v>
      </c>
      <c r="C1238" s="351"/>
      <c r="D1238" s="619" t="str">
        <f>'refer admin discharge'!D1234</f>
        <v>xx</v>
      </c>
      <c r="E1238" s="351"/>
      <c r="F1238" s="620" t="str">
        <f>'refer admin discharge'!H1234</f>
        <v>00/00/0000</v>
      </c>
      <c r="G1238" s="351"/>
      <c r="H1238" s="615"/>
      <c r="I1238" s="351"/>
      <c r="J1238" s="621"/>
      <c r="K1238" s="351"/>
      <c r="L1238" s="615"/>
      <c r="M1238" s="351"/>
      <c r="N1238" s="610"/>
      <c r="O1238" s="351"/>
      <c r="P1238" s="615"/>
      <c r="Q1238" s="351"/>
      <c r="R1238" s="610"/>
      <c r="S1238" s="351"/>
      <c r="T1238" s="615"/>
      <c r="U1238" s="351"/>
      <c r="V1238" s="613" t="str">
        <f>'refer admin discharge'!H1239</f>
        <v>00/00/0000</v>
      </c>
      <c r="W1238" s="351"/>
      <c r="X1238" s="616"/>
      <c r="Y1238" s="351"/>
      <c r="Z1238" s="617"/>
      <c r="AA1238" s="351"/>
      <c r="AB1238" s="616"/>
      <c r="AC1238" s="351"/>
      <c r="AD1238" s="607"/>
      <c r="AE1238" s="351"/>
      <c r="AF1238" s="616"/>
      <c r="AG1238" s="351"/>
      <c r="AH1238" s="607"/>
      <c r="AI1238" s="351"/>
      <c r="AJ1238" s="616"/>
      <c r="AK1238" s="351"/>
      <c r="AL1238" s="622"/>
      <c r="AM1238" s="350"/>
      <c r="AN1238" s="350"/>
      <c r="AO1238" s="350"/>
      <c r="AP1238" s="350"/>
      <c r="AQ1238" s="350"/>
      <c r="AR1238" s="350"/>
      <c r="AS1238" s="350"/>
      <c r="AT1238" s="350"/>
      <c r="AU1238" s="350"/>
      <c r="AV1238" s="350"/>
      <c r="AW1238" s="350"/>
      <c r="AX1238" s="350"/>
      <c r="AY1238" s="350"/>
      <c r="AZ1238" s="350"/>
      <c r="BA1238" s="350"/>
      <c r="BB1238" s="351"/>
    </row>
    <row r="1239" spans="1:54" ht="15.75" customHeight="1">
      <c r="A1239" s="25">
        <f t="shared" si="4"/>
        <v>1226</v>
      </c>
      <c r="B1239" s="599" t="str">
        <f>'refer admin discharge'!B1235</f>
        <v>x</v>
      </c>
      <c r="C1239" s="351"/>
      <c r="D1239" s="600" t="str">
        <f>'refer admin discharge'!D1235</f>
        <v>xx</v>
      </c>
      <c r="E1239" s="351"/>
      <c r="F1239" s="609" t="str">
        <f>'refer admin discharge'!H1235</f>
        <v>00/00/0000</v>
      </c>
      <c r="G1239" s="351"/>
      <c r="H1239" s="610"/>
      <c r="I1239" s="351"/>
      <c r="J1239" s="611"/>
      <c r="K1239" s="351"/>
      <c r="L1239" s="610"/>
      <c r="M1239" s="351"/>
      <c r="N1239" s="612"/>
      <c r="O1239" s="351"/>
      <c r="P1239" s="610"/>
      <c r="Q1239" s="351"/>
      <c r="R1239" s="612"/>
      <c r="S1239" s="351"/>
      <c r="T1239" s="610"/>
      <c r="U1239" s="351"/>
      <c r="V1239" s="613" t="str">
        <f>'refer admin discharge'!H1240</f>
        <v>00/00/0000</v>
      </c>
      <c r="W1239" s="351"/>
      <c r="X1239" s="607"/>
      <c r="Y1239" s="351"/>
      <c r="Z1239" s="614"/>
      <c r="AA1239" s="351"/>
      <c r="AB1239" s="607"/>
      <c r="AC1239" s="351"/>
      <c r="AD1239" s="606"/>
      <c r="AE1239" s="351"/>
      <c r="AF1239" s="607"/>
      <c r="AG1239" s="351"/>
      <c r="AH1239" s="606"/>
      <c r="AI1239" s="351"/>
      <c r="AJ1239" s="607"/>
      <c r="AK1239" s="351"/>
      <c r="AL1239" s="608"/>
      <c r="AM1239" s="350"/>
      <c r="AN1239" s="350"/>
      <c r="AO1239" s="350"/>
      <c r="AP1239" s="350"/>
      <c r="AQ1239" s="350"/>
      <c r="AR1239" s="350"/>
      <c r="AS1239" s="350"/>
      <c r="AT1239" s="350"/>
      <c r="AU1239" s="350"/>
      <c r="AV1239" s="350"/>
      <c r="AW1239" s="350"/>
      <c r="AX1239" s="350"/>
      <c r="AY1239" s="350"/>
      <c r="AZ1239" s="350"/>
      <c r="BA1239" s="350"/>
      <c r="BB1239" s="351"/>
    </row>
    <row r="1240" spans="1:54" ht="15.75" customHeight="1">
      <c r="A1240" s="25">
        <f t="shared" si="4"/>
        <v>1227</v>
      </c>
      <c r="B1240" s="618" t="str">
        <f>'refer admin discharge'!B1236</f>
        <v>x</v>
      </c>
      <c r="C1240" s="351"/>
      <c r="D1240" s="619" t="str">
        <f>'refer admin discharge'!D1236</f>
        <v>xx</v>
      </c>
      <c r="E1240" s="351"/>
      <c r="F1240" s="620" t="str">
        <f>'refer admin discharge'!H1236</f>
        <v>00/00/0000</v>
      </c>
      <c r="G1240" s="351"/>
      <c r="H1240" s="615"/>
      <c r="I1240" s="351"/>
      <c r="J1240" s="621"/>
      <c r="K1240" s="351"/>
      <c r="L1240" s="615"/>
      <c r="M1240" s="351"/>
      <c r="N1240" s="610"/>
      <c r="O1240" s="351"/>
      <c r="P1240" s="615"/>
      <c r="Q1240" s="351"/>
      <c r="R1240" s="610"/>
      <c r="S1240" s="351"/>
      <c r="T1240" s="615"/>
      <c r="U1240" s="351"/>
      <c r="V1240" s="613" t="str">
        <f>'refer admin discharge'!H1241</f>
        <v>00/00/0000</v>
      </c>
      <c r="W1240" s="351"/>
      <c r="X1240" s="616"/>
      <c r="Y1240" s="351"/>
      <c r="Z1240" s="617"/>
      <c r="AA1240" s="351"/>
      <c r="AB1240" s="616"/>
      <c r="AC1240" s="351"/>
      <c r="AD1240" s="607"/>
      <c r="AE1240" s="351"/>
      <c r="AF1240" s="616"/>
      <c r="AG1240" s="351"/>
      <c r="AH1240" s="607"/>
      <c r="AI1240" s="351"/>
      <c r="AJ1240" s="616"/>
      <c r="AK1240" s="351"/>
      <c r="AL1240" s="622"/>
      <c r="AM1240" s="350"/>
      <c r="AN1240" s="350"/>
      <c r="AO1240" s="350"/>
      <c r="AP1240" s="350"/>
      <c r="AQ1240" s="350"/>
      <c r="AR1240" s="350"/>
      <c r="AS1240" s="350"/>
      <c r="AT1240" s="350"/>
      <c r="AU1240" s="350"/>
      <c r="AV1240" s="350"/>
      <c r="AW1240" s="350"/>
      <c r="AX1240" s="350"/>
      <c r="AY1240" s="350"/>
      <c r="AZ1240" s="350"/>
      <c r="BA1240" s="350"/>
      <c r="BB1240" s="351"/>
    </row>
    <row r="1241" spans="1:54" ht="15.75" customHeight="1">
      <c r="A1241" s="25">
        <f t="shared" si="4"/>
        <v>1228</v>
      </c>
      <c r="B1241" s="599" t="str">
        <f>'refer admin discharge'!B1237</f>
        <v>x</v>
      </c>
      <c r="C1241" s="351"/>
      <c r="D1241" s="600" t="str">
        <f>'refer admin discharge'!D1237</f>
        <v>xx</v>
      </c>
      <c r="E1241" s="351"/>
      <c r="F1241" s="609" t="str">
        <f>'refer admin discharge'!H1237</f>
        <v>00/00/0000</v>
      </c>
      <c r="G1241" s="351"/>
      <c r="H1241" s="610"/>
      <c r="I1241" s="351"/>
      <c r="J1241" s="611"/>
      <c r="K1241" s="351"/>
      <c r="L1241" s="610"/>
      <c r="M1241" s="351"/>
      <c r="N1241" s="612"/>
      <c r="O1241" s="351"/>
      <c r="P1241" s="610"/>
      <c r="Q1241" s="351"/>
      <c r="R1241" s="612"/>
      <c r="S1241" s="351"/>
      <c r="T1241" s="610"/>
      <c r="U1241" s="351"/>
      <c r="V1241" s="613" t="str">
        <f>'refer admin discharge'!H1242</f>
        <v>00/00/0000</v>
      </c>
      <c r="W1241" s="351"/>
      <c r="X1241" s="607"/>
      <c r="Y1241" s="351"/>
      <c r="Z1241" s="614"/>
      <c r="AA1241" s="351"/>
      <c r="AB1241" s="607"/>
      <c r="AC1241" s="351"/>
      <c r="AD1241" s="606"/>
      <c r="AE1241" s="351"/>
      <c r="AF1241" s="607"/>
      <c r="AG1241" s="351"/>
      <c r="AH1241" s="606"/>
      <c r="AI1241" s="351"/>
      <c r="AJ1241" s="607"/>
      <c r="AK1241" s="351"/>
      <c r="AL1241" s="608"/>
      <c r="AM1241" s="350"/>
      <c r="AN1241" s="350"/>
      <c r="AO1241" s="350"/>
      <c r="AP1241" s="350"/>
      <c r="AQ1241" s="350"/>
      <c r="AR1241" s="350"/>
      <c r="AS1241" s="350"/>
      <c r="AT1241" s="350"/>
      <c r="AU1241" s="350"/>
      <c r="AV1241" s="350"/>
      <c r="AW1241" s="350"/>
      <c r="AX1241" s="350"/>
      <c r="AY1241" s="350"/>
      <c r="AZ1241" s="350"/>
      <c r="BA1241" s="350"/>
      <c r="BB1241" s="351"/>
    </row>
    <row r="1242" spans="1:54" ht="15.75" customHeight="1">
      <c r="A1242" s="25">
        <f t="shared" si="4"/>
        <v>1229</v>
      </c>
      <c r="B1242" s="618" t="str">
        <f>'refer admin discharge'!B1238</f>
        <v>x</v>
      </c>
      <c r="C1242" s="351"/>
      <c r="D1242" s="619" t="str">
        <f>'refer admin discharge'!D1238</f>
        <v>xx</v>
      </c>
      <c r="E1242" s="351"/>
      <c r="F1242" s="620" t="str">
        <f>'refer admin discharge'!H1238</f>
        <v>00/00/0000</v>
      </c>
      <c r="G1242" s="351"/>
      <c r="H1242" s="615"/>
      <c r="I1242" s="351"/>
      <c r="J1242" s="621"/>
      <c r="K1242" s="351"/>
      <c r="L1242" s="615"/>
      <c r="M1242" s="351"/>
      <c r="N1242" s="610"/>
      <c r="O1242" s="351"/>
      <c r="P1242" s="615"/>
      <c r="Q1242" s="351"/>
      <c r="R1242" s="610"/>
      <c r="S1242" s="351"/>
      <c r="T1242" s="615"/>
      <c r="U1242" s="351"/>
      <c r="V1242" s="613" t="str">
        <f>'refer admin discharge'!H1243</f>
        <v>00/00/0000</v>
      </c>
      <c r="W1242" s="351"/>
      <c r="X1242" s="616"/>
      <c r="Y1242" s="351"/>
      <c r="Z1242" s="617"/>
      <c r="AA1242" s="351"/>
      <c r="AB1242" s="616"/>
      <c r="AC1242" s="351"/>
      <c r="AD1242" s="607"/>
      <c r="AE1242" s="351"/>
      <c r="AF1242" s="616"/>
      <c r="AG1242" s="351"/>
      <c r="AH1242" s="607"/>
      <c r="AI1242" s="351"/>
      <c r="AJ1242" s="616"/>
      <c r="AK1242" s="351"/>
      <c r="AL1242" s="622"/>
      <c r="AM1242" s="350"/>
      <c r="AN1242" s="350"/>
      <c r="AO1242" s="350"/>
      <c r="AP1242" s="350"/>
      <c r="AQ1242" s="350"/>
      <c r="AR1242" s="350"/>
      <c r="AS1242" s="350"/>
      <c r="AT1242" s="350"/>
      <c r="AU1242" s="350"/>
      <c r="AV1242" s="350"/>
      <c r="AW1242" s="350"/>
      <c r="AX1242" s="350"/>
      <c r="AY1242" s="350"/>
      <c r="AZ1242" s="350"/>
      <c r="BA1242" s="350"/>
      <c r="BB1242" s="351"/>
    </row>
    <row r="1243" spans="1:54" ht="15.75" customHeight="1">
      <c r="A1243" s="25">
        <f t="shared" si="4"/>
        <v>1230</v>
      </c>
      <c r="B1243" s="599" t="str">
        <f>'refer admin discharge'!B1239</f>
        <v>x</v>
      </c>
      <c r="C1243" s="351"/>
      <c r="D1243" s="600" t="str">
        <f>'refer admin discharge'!D1239</f>
        <v>xx</v>
      </c>
      <c r="E1243" s="351"/>
      <c r="F1243" s="609" t="str">
        <f>'refer admin discharge'!H1239</f>
        <v>00/00/0000</v>
      </c>
      <c r="G1243" s="351"/>
      <c r="H1243" s="610"/>
      <c r="I1243" s="351"/>
      <c r="J1243" s="611"/>
      <c r="K1243" s="351"/>
      <c r="L1243" s="610"/>
      <c r="M1243" s="351"/>
      <c r="N1243" s="612"/>
      <c r="O1243" s="351"/>
      <c r="P1243" s="610"/>
      <c r="Q1243" s="351"/>
      <c r="R1243" s="612"/>
      <c r="S1243" s="351"/>
      <c r="T1243" s="610"/>
      <c r="U1243" s="351"/>
      <c r="V1243" s="613" t="str">
        <f>'refer admin discharge'!H1244</f>
        <v>00/00/0000</v>
      </c>
      <c r="W1243" s="351"/>
      <c r="X1243" s="607"/>
      <c r="Y1243" s="351"/>
      <c r="Z1243" s="614"/>
      <c r="AA1243" s="351"/>
      <c r="AB1243" s="607"/>
      <c r="AC1243" s="351"/>
      <c r="AD1243" s="606"/>
      <c r="AE1243" s="351"/>
      <c r="AF1243" s="607"/>
      <c r="AG1243" s="351"/>
      <c r="AH1243" s="606"/>
      <c r="AI1243" s="351"/>
      <c r="AJ1243" s="607"/>
      <c r="AK1243" s="351"/>
      <c r="AL1243" s="608"/>
      <c r="AM1243" s="350"/>
      <c r="AN1243" s="350"/>
      <c r="AO1243" s="350"/>
      <c r="AP1243" s="350"/>
      <c r="AQ1243" s="350"/>
      <c r="AR1243" s="350"/>
      <c r="AS1243" s="350"/>
      <c r="AT1243" s="350"/>
      <c r="AU1243" s="350"/>
      <c r="AV1243" s="350"/>
      <c r="AW1243" s="350"/>
      <c r="AX1243" s="350"/>
      <c r="AY1243" s="350"/>
      <c r="AZ1243" s="350"/>
      <c r="BA1243" s="350"/>
      <c r="BB1243" s="351"/>
    </row>
    <row r="1244" spans="1:54" ht="15.75" customHeight="1">
      <c r="A1244" s="25">
        <f t="shared" si="4"/>
        <v>1231</v>
      </c>
      <c r="B1244" s="618" t="str">
        <f>'refer admin discharge'!B1240</f>
        <v>x</v>
      </c>
      <c r="C1244" s="351"/>
      <c r="D1244" s="619" t="str">
        <f>'refer admin discharge'!D1240</f>
        <v>xx</v>
      </c>
      <c r="E1244" s="351"/>
      <c r="F1244" s="620" t="str">
        <f>'refer admin discharge'!H1240</f>
        <v>00/00/0000</v>
      </c>
      <c r="G1244" s="351"/>
      <c r="H1244" s="615"/>
      <c r="I1244" s="351"/>
      <c r="J1244" s="621"/>
      <c r="K1244" s="351"/>
      <c r="L1244" s="615"/>
      <c r="M1244" s="351"/>
      <c r="N1244" s="610"/>
      <c r="O1244" s="351"/>
      <c r="P1244" s="615"/>
      <c r="Q1244" s="351"/>
      <c r="R1244" s="610"/>
      <c r="S1244" s="351"/>
      <c r="T1244" s="615"/>
      <c r="U1244" s="351"/>
      <c r="V1244" s="613" t="str">
        <f>'refer admin discharge'!H1245</f>
        <v>00/00/0000</v>
      </c>
      <c r="W1244" s="351"/>
      <c r="X1244" s="616"/>
      <c r="Y1244" s="351"/>
      <c r="Z1244" s="617"/>
      <c r="AA1244" s="351"/>
      <c r="AB1244" s="616"/>
      <c r="AC1244" s="351"/>
      <c r="AD1244" s="607"/>
      <c r="AE1244" s="351"/>
      <c r="AF1244" s="616"/>
      <c r="AG1244" s="351"/>
      <c r="AH1244" s="607"/>
      <c r="AI1244" s="351"/>
      <c r="AJ1244" s="616"/>
      <c r="AK1244" s="351"/>
      <c r="AL1244" s="622"/>
      <c r="AM1244" s="350"/>
      <c r="AN1244" s="350"/>
      <c r="AO1244" s="350"/>
      <c r="AP1244" s="350"/>
      <c r="AQ1244" s="350"/>
      <c r="AR1244" s="350"/>
      <c r="AS1244" s="350"/>
      <c r="AT1244" s="350"/>
      <c r="AU1244" s="350"/>
      <c r="AV1244" s="350"/>
      <c r="AW1244" s="350"/>
      <c r="AX1244" s="350"/>
      <c r="AY1244" s="350"/>
      <c r="AZ1244" s="350"/>
      <c r="BA1244" s="350"/>
      <c r="BB1244" s="351"/>
    </row>
    <row r="1245" spans="1:54" ht="15.75" customHeight="1">
      <c r="A1245" s="25">
        <f t="shared" si="4"/>
        <v>1232</v>
      </c>
      <c r="B1245" s="599" t="str">
        <f>'refer admin discharge'!B1241</f>
        <v>x</v>
      </c>
      <c r="C1245" s="351"/>
      <c r="D1245" s="600" t="str">
        <f>'refer admin discharge'!D1241</f>
        <v>xx</v>
      </c>
      <c r="E1245" s="351"/>
      <c r="F1245" s="609" t="str">
        <f>'refer admin discharge'!H1241</f>
        <v>00/00/0000</v>
      </c>
      <c r="G1245" s="351"/>
      <c r="H1245" s="610"/>
      <c r="I1245" s="351"/>
      <c r="J1245" s="611"/>
      <c r="K1245" s="351"/>
      <c r="L1245" s="610"/>
      <c r="M1245" s="351"/>
      <c r="N1245" s="612"/>
      <c r="O1245" s="351"/>
      <c r="P1245" s="610"/>
      <c r="Q1245" s="351"/>
      <c r="R1245" s="612"/>
      <c r="S1245" s="351"/>
      <c r="T1245" s="610"/>
      <c r="U1245" s="351"/>
      <c r="V1245" s="613" t="str">
        <f>'refer admin discharge'!H1246</f>
        <v>00/00/0000</v>
      </c>
      <c r="W1245" s="351"/>
      <c r="X1245" s="607"/>
      <c r="Y1245" s="351"/>
      <c r="Z1245" s="614"/>
      <c r="AA1245" s="351"/>
      <c r="AB1245" s="607"/>
      <c r="AC1245" s="351"/>
      <c r="AD1245" s="606"/>
      <c r="AE1245" s="351"/>
      <c r="AF1245" s="607"/>
      <c r="AG1245" s="351"/>
      <c r="AH1245" s="606"/>
      <c r="AI1245" s="351"/>
      <c r="AJ1245" s="607"/>
      <c r="AK1245" s="351"/>
      <c r="AL1245" s="608"/>
      <c r="AM1245" s="350"/>
      <c r="AN1245" s="350"/>
      <c r="AO1245" s="350"/>
      <c r="AP1245" s="350"/>
      <c r="AQ1245" s="350"/>
      <c r="AR1245" s="350"/>
      <c r="AS1245" s="350"/>
      <c r="AT1245" s="350"/>
      <c r="AU1245" s="350"/>
      <c r="AV1245" s="350"/>
      <c r="AW1245" s="350"/>
      <c r="AX1245" s="350"/>
      <c r="AY1245" s="350"/>
      <c r="AZ1245" s="350"/>
      <c r="BA1245" s="350"/>
      <c r="BB1245" s="351"/>
    </row>
    <row r="1246" spans="1:54" ht="15.75" customHeight="1">
      <c r="A1246" s="25">
        <f t="shared" si="4"/>
        <v>1233</v>
      </c>
      <c r="B1246" s="618" t="str">
        <f>'refer admin discharge'!B1242</f>
        <v>x</v>
      </c>
      <c r="C1246" s="351"/>
      <c r="D1246" s="619" t="str">
        <f>'refer admin discharge'!D1242</f>
        <v>xx</v>
      </c>
      <c r="E1246" s="351"/>
      <c r="F1246" s="620" t="str">
        <f>'refer admin discharge'!H1242</f>
        <v>00/00/0000</v>
      </c>
      <c r="G1246" s="351"/>
      <c r="H1246" s="615"/>
      <c r="I1246" s="351"/>
      <c r="J1246" s="621"/>
      <c r="K1246" s="351"/>
      <c r="L1246" s="615"/>
      <c r="M1246" s="351"/>
      <c r="N1246" s="610"/>
      <c r="O1246" s="351"/>
      <c r="P1246" s="615"/>
      <c r="Q1246" s="351"/>
      <c r="R1246" s="610"/>
      <c r="S1246" s="351"/>
      <c r="T1246" s="615"/>
      <c r="U1246" s="351"/>
      <c r="V1246" s="613" t="str">
        <f>'refer admin discharge'!H1247</f>
        <v>00/00/0000</v>
      </c>
      <c r="W1246" s="351"/>
      <c r="X1246" s="616"/>
      <c r="Y1246" s="351"/>
      <c r="Z1246" s="617"/>
      <c r="AA1246" s="351"/>
      <c r="AB1246" s="616"/>
      <c r="AC1246" s="351"/>
      <c r="AD1246" s="607"/>
      <c r="AE1246" s="351"/>
      <c r="AF1246" s="616"/>
      <c r="AG1246" s="351"/>
      <c r="AH1246" s="607"/>
      <c r="AI1246" s="351"/>
      <c r="AJ1246" s="616"/>
      <c r="AK1246" s="351"/>
      <c r="AL1246" s="622"/>
      <c r="AM1246" s="350"/>
      <c r="AN1246" s="350"/>
      <c r="AO1246" s="350"/>
      <c r="AP1246" s="350"/>
      <c r="AQ1246" s="350"/>
      <c r="AR1246" s="350"/>
      <c r="AS1246" s="350"/>
      <c r="AT1246" s="350"/>
      <c r="AU1246" s="350"/>
      <c r="AV1246" s="350"/>
      <c r="AW1246" s="350"/>
      <c r="AX1246" s="350"/>
      <c r="AY1246" s="350"/>
      <c r="AZ1246" s="350"/>
      <c r="BA1246" s="350"/>
      <c r="BB1246" s="351"/>
    </row>
    <row r="1247" spans="1:54" ht="15.75" customHeight="1">
      <c r="A1247" s="25">
        <f t="shared" si="4"/>
        <v>1234</v>
      </c>
      <c r="B1247" s="599" t="str">
        <f>'refer admin discharge'!B1243</f>
        <v>x</v>
      </c>
      <c r="C1247" s="351"/>
      <c r="D1247" s="600" t="str">
        <f>'refer admin discharge'!D1243</f>
        <v>xx</v>
      </c>
      <c r="E1247" s="351"/>
      <c r="F1247" s="609" t="str">
        <f>'refer admin discharge'!H1243</f>
        <v>00/00/0000</v>
      </c>
      <c r="G1247" s="351"/>
      <c r="H1247" s="610"/>
      <c r="I1247" s="351"/>
      <c r="J1247" s="611"/>
      <c r="K1247" s="351"/>
      <c r="L1247" s="610"/>
      <c r="M1247" s="351"/>
      <c r="N1247" s="612"/>
      <c r="O1247" s="351"/>
      <c r="P1247" s="610"/>
      <c r="Q1247" s="351"/>
      <c r="R1247" s="612"/>
      <c r="S1247" s="351"/>
      <c r="T1247" s="610"/>
      <c r="U1247" s="351"/>
      <c r="V1247" s="613" t="str">
        <f>'refer admin discharge'!H1248</f>
        <v>00/00/0000</v>
      </c>
      <c r="W1247" s="351"/>
      <c r="X1247" s="607"/>
      <c r="Y1247" s="351"/>
      <c r="Z1247" s="614"/>
      <c r="AA1247" s="351"/>
      <c r="AB1247" s="607"/>
      <c r="AC1247" s="351"/>
      <c r="AD1247" s="606"/>
      <c r="AE1247" s="351"/>
      <c r="AF1247" s="607"/>
      <c r="AG1247" s="351"/>
      <c r="AH1247" s="606"/>
      <c r="AI1247" s="351"/>
      <c r="AJ1247" s="607"/>
      <c r="AK1247" s="351"/>
      <c r="AL1247" s="608"/>
      <c r="AM1247" s="350"/>
      <c r="AN1247" s="350"/>
      <c r="AO1247" s="350"/>
      <c r="AP1247" s="350"/>
      <c r="AQ1247" s="350"/>
      <c r="AR1247" s="350"/>
      <c r="AS1247" s="350"/>
      <c r="AT1247" s="350"/>
      <c r="AU1247" s="350"/>
      <c r="AV1247" s="350"/>
      <c r="AW1247" s="350"/>
      <c r="AX1247" s="350"/>
      <c r="AY1247" s="350"/>
      <c r="AZ1247" s="350"/>
      <c r="BA1247" s="350"/>
      <c r="BB1247" s="351"/>
    </row>
    <row r="1248" spans="1:54" ht="15.75" customHeight="1">
      <c r="A1248" s="25">
        <f t="shared" si="4"/>
        <v>1235</v>
      </c>
      <c r="B1248" s="618" t="str">
        <f>'refer admin discharge'!B1244</f>
        <v>x</v>
      </c>
      <c r="C1248" s="351"/>
      <c r="D1248" s="619" t="str">
        <f>'refer admin discharge'!D1244</f>
        <v>xx</v>
      </c>
      <c r="E1248" s="351"/>
      <c r="F1248" s="620" t="str">
        <f>'refer admin discharge'!H1244</f>
        <v>00/00/0000</v>
      </c>
      <c r="G1248" s="351"/>
      <c r="H1248" s="615"/>
      <c r="I1248" s="351"/>
      <c r="J1248" s="621"/>
      <c r="K1248" s="351"/>
      <c r="L1248" s="615"/>
      <c r="M1248" s="351"/>
      <c r="N1248" s="610"/>
      <c r="O1248" s="351"/>
      <c r="P1248" s="615"/>
      <c r="Q1248" s="351"/>
      <c r="R1248" s="610"/>
      <c r="S1248" s="351"/>
      <c r="T1248" s="615"/>
      <c r="U1248" s="351"/>
      <c r="V1248" s="613" t="str">
        <f>'refer admin discharge'!H1249</f>
        <v>00/00/0000</v>
      </c>
      <c r="W1248" s="351"/>
      <c r="X1248" s="616"/>
      <c r="Y1248" s="351"/>
      <c r="Z1248" s="617"/>
      <c r="AA1248" s="351"/>
      <c r="AB1248" s="616"/>
      <c r="AC1248" s="351"/>
      <c r="AD1248" s="607"/>
      <c r="AE1248" s="351"/>
      <c r="AF1248" s="616"/>
      <c r="AG1248" s="351"/>
      <c r="AH1248" s="607"/>
      <c r="AI1248" s="351"/>
      <c r="AJ1248" s="616"/>
      <c r="AK1248" s="351"/>
      <c r="AL1248" s="622"/>
      <c r="AM1248" s="350"/>
      <c r="AN1248" s="350"/>
      <c r="AO1248" s="350"/>
      <c r="AP1248" s="350"/>
      <c r="AQ1248" s="350"/>
      <c r="AR1248" s="350"/>
      <c r="AS1248" s="350"/>
      <c r="AT1248" s="350"/>
      <c r="AU1248" s="350"/>
      <c r="AV1248" s="350"/>
      <c r="AW1248" s="350"/>
      <c r="AX1248" s="350"/>
      <c r="AY1248" s="350"/>
      <c r="AZ1248" s="350"/>
      <c r="BA1248" s="350"/>
      <c r="BB1248" s="351"/>
    </row>
    <row r="1249" spans="1:54" ht="15.75" customHeight="1">
      <c r="A1249" s="25">
        <f t="shared" si="4"/>
        <v>1236</v>
      </c>
      <c r="B1249" s="599" t="str">
        <f>'refer admin discharge'!B1245</f>
        <v>x</v>
      </c>
      <c r="C1249" s="351"/>
      <c r="D1249" s="600" t="str">
        <f>'refer admin discharge'!D1245</f>
        <v>xx</v>
      </c>
      <c r="E1249" s="351"/>
      <c r="F1249" s="609" t="str">
        <f>'refer admin discharge'!H1245</f>
        <v>00/00/0000</v>
      </c>
      <c r="G1249" s="351"/>
      <c r="H1249" s="610"/>
      <c r="I1249" s="351"/>
      <c r="J1249" s="611"/>
      <c r="K1249" s="351"/>
      <c r="L1249" s="610"/>
      <c r="M1249" s="351"/>
      <c r="N1249" s="612"/>
      <c r="O1249" s="351"/>
      <c r="P1249" s="610"/>
      <c r="Q1249" s="351"/>
      <c r="R1249" s="612"/>
      <c r="S1249" s="351"/>
      <c r="T1249" s="610"/>
      <c r="U1249" s="351"/>
      <c r="V1249" s="613" t="str">
        <f>'refer admin discharge'!H1250</f>
        <v>00/00/0000</v>
      </c>
      <c r="W1249" s="351"/>
      <c r="X1249" s="607"/>
      <c r="Y1249" s="351"/>
      <c r="Z1249" s="614"/>
      <c r="AA1249" s="351"/>
      <c r="AB1249" s="607"/>
      <c r="AC1249" s="351"/>
      <c r="AD1249" s="606"/>
      <c r="AE1249" s="351"/>
      <c r="AF1249" s="607"/>
      <c r="AG1249" s="351"/>
      <c r="AH1249" s="606"/>
      <c r="AI1249" s="351"/>
      <c r="AJ1249" s="607"/>
      <c r="AK1249" s="351"/>
      <c r="AL1249" s="608"/>
      <c r="AM1249" s="350"/>
      <c r="AN1249" s="350"/>
      <c r="AO1249" s="350"/>
      <c r="AP1249" s="350"/>
      <c r="AQ1249" s="350"/>
      <c r="AR1249" s="350"/>
      <c r="AS1249" s="350"/>
      <c r="AT1249" s="350"/>
      <c r="AU1249" s="350"/>
      <c r="AV1249" s="350"/>
      <c r="AW1249" s="350"/>
      <c r="AX1249" s="350"/>
      <c r="AY1249" s="350"/>
      <c r="AZ1249" s="350"/>
      <c r="BA1249" s="350"/>
      <c r="BB1249" s="351"/>
    </row>
    <row r="1250" spans="1:54" ht="15.75" customHeight="1">
      <c r="A1250" s="25">
        <f t="shared" si="4"/>
        <v>1237</v>
      </c>
      <c r="B1250" s="618" t="str">
        <f>'refer admin discharge'!B1246</f>
        <v>x</v>
      </c>
      <c r="C1250" s="351"/>
      <c r="D1250" s="619" t="str">
        <f>'refer admin discharge'!D1246</f>
        <v>xx</v>
      </c>
      <c r="E1250" s="351"/>
      <c r="F1250" s="620" t="str">
        <f>'refer admin discharge'!H1246</f>
        <v>00/00/0000</v>
      </c>
      <c r="G1250" s="351"/>
      <c r="H1250" s="615"/>
      <c r="I1250" s="351"/>
      <c r="J1250" s="621"/>
      <c r="K1250" s="351"/>
      <c r="L1250" s="615"/>
      <c r="M1250" s="351"/>
      <c r="N1250" s="610"/>
      <c r="O1250" s="351"/>
      <c r="P1250" s="615"/>
      <c r="Q1250" s="351"/>
      <c r="R1250" s="610"/>
      <c r="S1250" s="351"/>
      <c r="T1250" s="615"/>
      <c r="U1250" s="351"/>
      <c r="V1250" s="613" t="str">
        <f>'refer admin discharge'!H1251</f>
        <v>00/00/0000</v>
      </c>
      <c r="W1250" s="351"/>
      <c r="X1250" s="616"/>
      <c r="Y1250" s="351"/>
      <c r="Z1250" s="617"/>
      <c r="AA1250" s="351"/>
      <c r="AB1250" s="616"/>
      <c r="AC1250" s="351"/>
      <c r="AD1250" s="607"/>
      <c r="AE1250" s="351"/>
      <c r="AF1250" s="616"/>
      <c r="AG1250" s="351"/>
      <c r="AH1250" s="607"/>
      <c r="AI1250" s="351"/>
      <c r="AJ1250" s="616"/>
      <c r="AK1250" s="351"/>
      <c r="AL1250" s="622"/>
      <c r="AM1250" s="350"/>
      <c r="AN1250" s="350"/>
      <c r="AO1250" s="350"/>
      <c r="AP1250" s="350"/>
      <c r="AQ1250" s="350"/>
      <c r="AR1250" s="350"/>
      <c r="AS1250" s="350"/>
      <c r="AT1250" s="350"/>
      <c r="AU1250" s="350"/>
      <c r="AV1250" s="350"/>
      <c r="AW1250" s="350"/>
      <c r="AX1250" s="350"/>
      <c r="AY1250" s="350"/>
      <c r="AZ1250" s="350"/>
      <c r="BA1250" s="350"/>
      <c r="BB1250" s="351"/>
    </row>
    <row r="1251" spans="1:54" ht="15.75" customHeight="1">
      <c r="A1251" s="25">
        <f t="shared" si="4"/>
        <v>1238</v>
      </c>
      <c r="B1251" s="599" t="str">
        <f>'refer admin discharge'!B1247</f>
        <v>x</v>
      </c>
      <c r="C1251" s="351"/>
      <c r="D1251" s="600" t="str">
        <f>'refer admin discharge'!D1247</f>
        <v>xx</v>
      </c>
      <c r="E1251" s="351"/>
      <c r="F1251" s="609" t="str">
        <f>'refer admin discharge'!H1247</f>
        <v>00/00/0000</v>
      </c>
      <c r="G1251" s="351"/>
      <c r="H1251" s="610"/>
      <c r="I1251" s="351"/>
      <c r="J1251" s="611"/>
      <c r="K1251" s="351"/>
      <c r="L1251" s="610"/>
      <c r="M1251" s="351"/>
      <c r="N1251" s="612"/>
      <c r="O1251" s="351"/>
      <c r="P1251" s="610"/>
      <c r="Q1251" s="351"/>
      <c r="R1251" s="612"/>
      <c r="S1251" s="351"/>
      <c r="T1251" s="610"/>
      <c r="U1251" s="351"/>
      <c r="V1251" s="613" t="str">
        <f>'refer admin discharge'!H1252</f>
        <v>00/00/0000</v>
      </c>
      <c r="W1251" s="351"/>
      <c r="X1251" s="607"/>
      <c r="Y1251" s="351"/>
      <c r="Z1251" s="614"/>
      <c r="AA1251" s="351"/>
      <c r="AB1251" s="607"/>
      <c r="AC1251" s="351"/>
      <c r="AD1251" s="606"/>
      <c r="AE1251" s="351"/>
      <c r="AF1251" s="607"/>
      <c r="AG1251" s="351"/>
      <c r="AH1251" s="606"/>
      <c r="AI1251" s="351"/>
      <c r="AJ1251" s="607"/>
      <c r="AK1251" s="351"/>
      <c r="AL1251" s="608"/>
      <c r="AM1251" s="350"/>
      <c r="AN1251" s="350"/>
      <c r="AO1251" s="350"/>
      <c r="AP1251" s="350"/>
      <c r="AQ1251" s="350"/>
      <c r="AR1251" s="350"/>
      <c r="AS1251" s="350"/>
      <c r="AT1251" s="350"/>
      <c r="AU1251" s="350"/>
      <c r="AV1251" s="350"/>
      <c r="AW1251" s="350"/>
      <c r="AX1251" s="350"/>
      <c r="AY1251" s="350"/>
      <c r="AZ1251" s="350"/>
      <c r="BA1251" s="350"/>
      <c r="BB1251" s="351"/>
    </row>
    <row r="1252" spans="1:54" ht="15.75" customHeight="1">
      <c r="A1252" s="25">
        <f t="shared" si="4"/>
        <v>1239</v>
      </c>
      <c r="B1252" s="618" t="str">
        <f>'refer admin discharge'!B1248</f>
        <v>x</v>
      </c>
      <c r="C1252" s="351"/>
      <c r="D1252" s="619" t="str">
        <f>'refer admin discharge'!D1248</f>
        <v>xx</v>
      </c>
      <c r="E1252" s="351"/>
      <c r="F1252" s="620" t="str">
        <f>'refer admin discharge'!H1248</f>
        <v>00/00/0000</v>
      </c>
      <c r="G1252" s="351"/>
      <c r="H1252" s="615"/>
      <c r="I1252" s="351"/>
      <c r="J1252" s="621"/>
      <c r="K1252" s="351"/>
      <c r="L1252" s="615"/>
      <c r="M1252" s="351"/>
      <c r="N1252" s="610"/>
      <c r="O1252" s="351"/>
      <c r="P1252" s="615"/>
      <c r="Q1252" s="351"/>
      <c r="R1252" s="610"/>
      <c r="S1252" s="351"/>
      <c r="T1252" s="615"/>
      <c r="U1252" s="351"/>
      <c r="V1252" s="613" t="str">
        <f>'refer admin discharge'!H1253</f>
        <v>00/00/0000</v>
      </c>
      <c r="W1252" s="351"/>
      <c r="X1252" s="616"/>
      <c r="Y1252" s="351"/>
      <c r="Z1252" s="617"/>
      <c r="AA1252" s="351"/>
      <c r="AB1252" s="616"/>
      <c r="AC1252" s="351"/>
      <c r="AD1252" s="607"/>
      <c r="AE1252" s="351"/>
      <c r="AF1252" s="616"/>
      <c r="AG1252" s="351"/>
      <c r="AH1252" s="607"/>
      <c r="AI1252" s="351"/>
      <c r="AJ1252" s="616"/>
      <c r="AK1252" s="351"/>
      <c r="AL1252" s="622"/>
      <c r="AM1252" s="350"/>
      <c r="AN1252" s="350"/>
      <c r="AO1252" s="350"/>
      <c r="AP1252" s="350"/>
      <c r="AQ1252" s="350"/>
      <c r="AR1252" s="350"/>
      <c r="AS1252" s="350"/>
      <c r="AT1252" s="350"/>
      <c r="AU1252" s="350"/>
      <c r="AV1252" s="350"/>
      <c r="AW1252" s="350"/>
      <c r="AX1252" s="350"/>
      <c r="AY1252" s="350"/>
      <c r="AZ1252" s="350"/>
      <c r="BA1252" s="350"/>
      <c r="BB1252" s="351"/>
    </row>
    <row r="1253" spans="1:54" ht="15.75" customHeight="1">
      <c r="A1253" s="25">
        <f t="shared" si="4"/>
        <v>1240</v>
      </c>
      <c r="B1253" s="599" t="str">
        <f>'refer admin discharge'!B1249</f>
        <v>x</v>
      </c>
      <c r="C1253" s="351"/>
      <c r="D1253" s="600" t="str">
        <f>'refer admin discharge'!D1249</f>
        <v>xx</v>
      </c>
      <c r="E1253" s="351"/>
      <c r="F1253" s="609" t="str">
        <f>'refer admin discharge'!H1249</f>
        <v>00/00/0000</v>
      </c>
      <c r="G1253" s="351"/>
      <c r="H1253" s="610"/>
      <c r="I1253" s="351"/>
      <c r="J1253" s="611"/>
      <c r="K1253" s="351"/>
      <c r="L1253" s="610"/>
      <c r="M1253" s="351"/>
      <c r="N1253" s="612"/>
      <c r="O1253" s="351"/>
      <c r="P1253" s="610"/>
      <c r="Q1253" s="351"/>
      <c r="R1253" s="612"/>
      <c r="S1253" s="351"/>
      <c r="T1253" s="610"/>
      <c r="U1253" s="351"/>
      <c r="V1253" s="613" t="str">
        <f>'refer admin discharge'!H1254</f>
        <v>00/00/0000</v>
      </c>
      <c r="W1253" s="351"/>
      <c r="X1253" s="607"/>
      <c r="Y1253" s="351"/>
      <c r="Z1253" s="614"/>
      <c r="AA1253" s="351"/>
      <c r="AB1253" s="607"/>
      <c r="AC1253" s="351"/>
      <c r="AD1253" s="606"/>
      <c r="AE1253" s="351"/>
      <c r="AF1253" s="607"/>
      <c r="AG1253" s="351"/>
      <c r="AH1253" s="606"/>
      <c r="AI1253" s="351"/>
      <c r="AJ1253" s="607"/>
      <c r="AK1253" s="351"/>
      <c r="AL1253" s="608"/>
      <c r="AM1253" s="350"/>
      <c r="AN1253" s="350"/>
      <c r="AO1253" s="350"/>
      <c r="AP1253" s="350"/>
      <c r="AQ1253" s="350"/>
      <c r="AR1253" s="350"/>
      <c r="AS1253" s="350"/>
      <c r="AT1253" s="350"/>
      <c r="AU1253" s="350"/>
      <c r="AV1253" s="350"/>
      <c r="AW1253" s="350"/>
      <c r="AX1253" s="350"/>
      <c r="AY1253" s="350"/>
      <c r="AZ1253" s="350"/>
      <c r="BA1253" s="350"/>
      <c r="BB1253" s="351"/>
    </row>
    <row r="1254" spans="1:54" ht="15.75" customHeight="1">
      <c r="A1254" s="25">
        <f t="shared" si="4"/>
        <v>1241</v>
      </c>
      <c r="B1254" s="618" t="str">
        <f>'refer admin discharge'!B1250</f>
        <v>x</v>
      </c>
      <c r="C1254" s="351"/>
      <c r="D1254" s="619" t="str">
        <f>'refer admin discharge'!D1250</f>
        <v>xx</v>
      </c>
      <c r="E1254" s="351"/>
      <c r="F1254" s="620" t="str">
        <f>'refer admin discharge'!H1250</f>
        <v>00/00/0000</v>
      </c>
      <c r="G1254" s="351"/>
      <c r="H1254" s="615"/>
      <c r="I1254" s="351"/>
      <c r="J1254" s="621"/>
      <c r="K1254" s="351"/>
      <c r="L1254" s="615"/>
      <c r="M1254" s="351"/>
      <c r="N1254" s="610"/>
      <c r="O1254" s="351"/>
      <c r="P1254" s="615"/>
      <c r="Q1254" s="351"/>
      <c r="R1254" s="610"/>
      <c r="S1254" s="351"/>
      <c r="T1254" s="615"/>
      <c r="U1254" s="351"/>
      <c r="V1254" s="613" t="str">
        <f>'refer admin discharge'!H1255</f>
        <v>00/00/0000</v>
      </c>
      <c r="W1254" s="351"/>
      <c r="X1254" s="616"/>
      <c r="Y1254" s="351"/>
      <c r="Z1254" s="617"/>
      <c r="AA1254" s="351"/>
      <c r="AB1254" s="616"/>
      <c r="AC1254" s="351"/>
      <c r="AD1254" s="607"/>
      <c r="AE1254" s="351"/>
      <c r="AF1254" s="616"/>
      <c r="AG1254" s="351"/>
      <c r="AH1254" s="607"/>
      <c r="AI1254" s="351"/>
      <c r="AJ1254" s="616"/>
      <c r="AK1254" s="351"/>
      <c r="AL1254" s="622"/>
      <c r="AM1254" s="350"/>
      <c r="AN1254" s="350"/>
      <c r="AO1254" s="350"/>
      <c r="AP1254" s="350"/>
      <c r="AQ1254" s="350"/>
      <c r="AR1254" s="350"/>
      <c r="AS1254" s="350"/>
      <c r="AT1254" s="350"/>
      <c r="AU1254" s="350"/>
      <c r="AV1254" s="350"/>
      <c r="AW1254" s="350"/>
      <c r="AX1254" s="350"/>
      <c r="AY1254" s="350"/>
      <c r="AZ1254" s="350"/>
      <c r="BA1254" s="350"/>
      <c r="BB1254" s="351"/>
    </row>
    <row r="1255" spans="1:54" ht="15.75" customHeight="1">
      <c r="A1255" s="25">
        <f t="shared" si="4"/>
        <v>1242</v>
      </c>
      <c r="B1255" s="599" t="str">
        <f>'refer admin discharge'!B1251</f>
        <v>x</v>
      </c>
      <c r="C1255" s="351"/>
      <c r="D1255" s="600" t="str">
        <f>'refer admin discharge'!D1251</f>
        <v>xx</v>
      </c>
      <c r="E1255" s="351"/>
      <c r="F1255" s="609" t="str">
        <f>'refer admin discharge'!H1251</f>
        <v>00/00/0000</v>
      </c>
      <c r="G1255" s="351"/>
      <c r="H1255" s="610"/>
      <c r="I1255" s="351"/>
      <c r="J1255" s="611"/>
      <c r="K1255" s="351"/>
      <c r="L1255" s="610"/>
      <c r="M1255" s="351"/>
      <c r="N1255" s="612"/>
      <c r="O1255" s="351"/>
      <c r="P1255" s="610"/>
      <c r="Q1255" s="351"/>
      <c r="R1255" s="612"/>
      <c r="S1255" s="351"/>
      <c r="T1255" s="610"/>
      <c r="U1255" s="351"/>
      <c r="V1255" s="613" t="str">
        <f>'refer admin discharge'!H1256</f>
        <v>00/00/0000</v>
      </c>
      <c r="W1255" s="351"/>
      <c r="X1255" s="607"/>
      <c r="Y1255" s="351"/>
      <c r="Z1255" s="614"/>
      <c r="AA1255" s="351"/>
      <c r="AB1255" s="607"/>
      <c r="AC1255" s="351"/>
      <c r="AD1255" s="606"/>
      <c r="AE1255" s="351"/>
      <c r="AF1255" s="607"/>
      <c r="AG1255" s="351"/>
      <c r="AH1255" s="606"/>
      <c r="AI1255" s="351"/>
      <c r="AJ1255" s="607"/>
      <c r="AK1255" s="351"/>
      <c r="AL1255" s="608"/>
      <c r="AM1255" s="350"/>
      <c r="AN1255" s="350"/>
      <c r="AO1255" s="350"/>
      <c r="AP1255" s="350"/>
      <c r="AQ1255" s="350"/>
      <c r="AR1255" s="350"/>
      <c r="AS1255" s="350"/>
      <c r="AT1255" s="350"/>
      <c r="AU1255" s="350"/>
      <c r="AV1255" s="350"/>
      <c r="AW1255" s="350"/>
      <c r="AX1255" s="350"/>
      <c r="AY1255" s="350"/>
      <c r="AZ1255" s="350"/>
      <c r="BA1255" s="350"/>
      <c r="BB1255" s="351"/>
    </row>
    <row r="1256" spans="1:54" ht="15.75" customHeight="1">
      <c r="A1256" s="25">
        <f t="shared" si="4"/>
        <v>1243</v>
      </c>
      <c r="B1256" s="618" t="str">
        <f>'refer admin discharge'!B1252</f>
        <v>x</v>
      </c>
      <c r="C1256" s="351"/>
      <c r="D1256" s="619" t="str">
        <f>'refer admin discharge'!D1252</f>
        <v>xx</v>
      </c>
      <c r="E1256" s="351"/>
      <c r="F1256" s="620" t="str">
        <f>'refer admin discharge'!H1252</f>
        <v>00/00/0000</v>
      </c>
      <c r="G1256" s="351"/>
      <c r="H1256" s="615"/>
      <c r="I1256" s="351"/>
      <c r="J1256" s="621"/>
      <c r="K1256" s="351"/>
      <c r="L1256" s="615"/>
      <c r="M1256" s="351"/>
      <c r="N1256" s="610"/>
      <c r="O1256" s="351"/>
      <c r="P1256" s="615"/>
      <c r="Q1256" s="351"/>
      <c r="R1256" s="610"/>
      <c r="S1256" s="351"/>
      <c r="T1256" s="615"/>
      <c r="U1256" s="351"/>
      <c r="V1256" s="613" t="str">
        <f>'refer admin discharge'!H1257</f>
        <v>00/00/0000</v>
      </c>
      <c r="W1256" s="351"/>
      <c r="X1256" s="616"/>
      <c r="Y1256" s="351"/>
      <c r="Z1256" s="617"/>
      <c r="AA1256" s="351"/>
      <c r="AB1256" s="616"/>
      <c r="AC1256" s="351"/>
      <c r="AD1256" s="607"/>
      <c r="AE1256" s="351"/>
      <c r="AF1256" s="616"/>
      <c r="AG1256" s="351"/>
      <c r="AH1256" s="607"/>
      <c r="AI1256" s="351"/>
      <c r="AJ1256" s="616"/>
      <c r="AK1256" s="351"/>
      <c r="AL1256" s="622"/>
      <c r="AM1256" s="350"/>
      <c r="AN1256" s="350"/>
      <c r="AO1256" s="350"/>
      <c r="AP1256" s="350"/>
      <c r="AQ1256" s="350"/>
      <c r="AR1256" s="350"/>
      <c r="AS1256" s="350"/>
      <c r="AT1256" s="350"/>
      <c r="AU1256" s="350"/>
      <c r="AV1256" s="350"/>
      <c r="AW1256" s="350"/>
      <c r="AX1256" s="350"/>
      <c r="AY1256" s="350"/>
      <c r="AZ1256" s="350"/>
      <c r="BA1256" s="350"/>
      <c r="BB1256" s="351"/>
    </row>
    <row r="1257" spans="1:54" ht="15.75" customHeight="1">
      <c r="A1257" s="25">
        <f t="shared" si="4"/>
        <v>1244</v>
      </c>
      <c r="B1257" s="599" t="str">
        <f>'refer admin discharge'!B1253</f>
        <v>x</v>
      </c>
      <c r="C1257" s="351"/>
      <c r="D1257" s="600" t="str">
        <f>'refer admin discharge'!D1253</f>
        <v>xx</v>
      </c>
      <c r="E1257" s="351"/>
      <c r="F1257" s="609" t="str">
        <f>'refer admin discharge'!H1253</f>
        <v>00/00/0000</v>
      </c>
      <c r="G1257" s="351"/>
      <c r="H1257" s="610"/>
      <c r="I1257" s="351"/>
      <c r="J1257" s="611"/>
      <c r="K1257" s="351"/>
      <c r="L1257" s="610"/>
      <c r="M1257" s="351"/>
      <c r="N1257" s="612"/>
      <c r="O1257" s="351"/>
      <c r="P1257" s="610"/>
      <c r="Q1257" s="351"/>
      <c r="R1257" s="612"/>
      <c r="S1257" s="351"/>
      <c r="T1257" s="610"/>
      <c r="U1257" s="351"/>
      <c r="V1257" s="613" t="str">
        <f>'refer admin discharge'!H1258</f>
        <v>00/00/0000</v>
      </c>
      <c r="W1257" s="351"/>
      <c r="X1257" s="607"/>
      <c r="Y1257" s="351"/>
      <c r="Z1257" s="614"/>
      <c r="AA1257" s="351"/>
      <c r="AB1257" s="607"/>
      <c r="AC1257" s="351"/>
      <c r="AD1257" s="606"/>
      <c r="AE1257" s="351"/>
      <c r="AF1257" s="607"/>
      <c r="AG1257" s="351"/>
      <c r="AH1257" s="606"/>
      <c r="AI1257" s="351"/>
      <c r="AJ1257" s="607"/>
      <c r="AK1257" s="351"/>
      <c r="AL1257" s="608"/>
      <c r="AM1257" s="350"/>
      <c r="AN1257" s="350"/>
      <c r="AO1257" s="350"/>
      <c r="AP1257" s="350"/>
      <c r="AQ1257" s="350"/>
      <c r="AR1257" s="350"/>
      <c r="AS1257" s="350"/>
      <c r="AT1257" s="350"/>
      <c r="AU1257" s="350"/>
      <c r="AV1257" s="350"/>
      <c r="AW1257" s="350"/>
      <c r="AX1257" s="350"/>
      <c r="AY1257" s="350"/>
      <c r="AZ1257" s="350"/>
      <c r="BA1257" s="350"/>
      <c r="BB1257" s="351"/>
    </row>
    <row r="1258" spans="1:54" ht="15.75" customHeight="1">
      <c r="A1258" s="25">
        <f t="shared" si="4"/>
        <v>1245</v>
      </c>
      <c r="B1258" s="618" t="str">
        <f>'refer admin discharge'!B1254</f>
        <v>x</v>
      </c>
      <c r="C1258" s="351"/>
      <c r="D1258" s="619" t="str">
        <f>'refer admin discharge'!D1254</f>
        <v>xx</v>
      </c>
      <c r="E1258" s="351"/>
      <c r="F1258" s="620" t="str">
        <f>'refer admin discharge'!H1254</f>
        <v>00/00/0000</v>
      </c>
      <c r="G1258" s="351"/>
      <c r="H1258" s="615"/>
      <c r="I1258" s="351"/>
      <c r="J1258" s="621"/>
      <c r="K1258" s="351"/>
      <c r="L1258" s="615"/>
      <c r="M1258" s="351"/>
      <c r="N1258" s="610"/>
      <c r="O1258" s="351"/>
      <c r="P1258" s="615"/>
      <c r="Q1258" s="351"/>
      <c r="R1258" s="610"/>
      <c r="S1258" s="351"/>
      <c r="T1258" s="615"/>
      <c r="U1258" s="351"/>
      <c r="V1258" s="613" t="str">
        <f>'refer admin discharge'!H1259</f>
        <v>00/00/0000</v>
      </c>
      <c r="W1258" s="351"/>
      <c r="X1258" s="616"/>
      <c r="Y1258" s="351"/>
      <c r="Z1258" s="617"/>
      <c r="AA1258" s="351"/>
      <c r="AB1258" s="616"/>
      <c r="AC1258" s="351"/>
      <c r="AD1258" s="607"/>
      <c r="AE1258" s="351"/>
      <c r="AF1258" s="616"/>
      <c r="AG1258" s="351"/>
      <c r="AH1258" s="607"/>
      <c r="AI1258" s="351"/>
      <c r="AJ1258" s="616"/>
      <c r="AK1258" s="351"/>
      <c r="AL1258" s="622"/>
      <c r="AM1258" s="350"/>
      <c r="AN1258" s="350"/>
      <c r="AO1258" s="350"/>
      <c r="AP1258" s="350"/>
      <c r="AQ1258" s="350"/>
      <c r="AR1258" s="350"/>
      <c r="AS1258" s="350"/>
      <c r="AT1258" s="350"/>
      <c r="AU1258" s="350"/>
      <c r="AV1258" s="350"/>
      <c r="AW1258" s="350"/>
      <c r="AX1258" s="350"/>
      <c r="AY1258" s="350"/>
      <c r="AZ1258" s="350"/>
      <c r="BA1258" s="350"/>
      <c r="BB1258" s="351"/>
    </row>
    <row r="1259" spans="1:54" ht="15.75" customHeight="1">
      <c r="A1259" s="25">
        <f t="shared" si="4"/>
        <v>1246</v>
      </c>
      <c r="B1259" s="599" t="str">
        <f>'refer admin discharge'!B1255</f>
        <v>x</v>
      </c>
      <c r="C1259" s="351"/>
      <c r="D1259" s="600" t="str">
        <f>'refer admin discharge'!D1255</f>
        <v>xx</v>
      </c>
      <c r="E1259" s="351"/>
      <c r="F1259" s="609" t="str">
        <f>'refer admin discharge'!H1255</f>
        <v>00/00/0000</v>
      </c>
      <c r="G1259" s="351"/>
      <c r="H1259" s="610"/>
      <c r="I1259" s="351"/>
      <c r="J1259" s="611"/>
      <c r="K1259" s="351"/>
      <c r="L1259" s="610"/>
      <c r="M1259" s="351"/>
      <c r="N1259" s="612"/>
      <c r="O1259" s="351"/>
      <c r="P1259" s="610"/>
      <c r="Q1259" s="351"/>
      <c r="R1259" s="612"/>
      <c r="S1259" s="351"/>
      <c r="T1259" s="610"/>
      <c r="U1259" s="351"/>
      <c r="V1259" s="613" t="str">
        <f>'refer admin discharge'!H1260</f>
        <v>00/00/0000</v>
      </c>
      <c r="W1259" s="351"/>
      <c r="X1259" s="607"/>
      <c r="Y1259" s="351"/>
      <c r="Z1259" s="614"/>
      <c r="AA1259" s="351"/>
      <c r="AB1259" s="607"/>
      <c r="AC1259" s="351"/>
      <c r="AD1259" s="606"/>
      <c r="AE1259" s="351"/>
      <c r="AF1259" s="607"/>
      <c r="AG1259" s="351"/>
      <c r="AH1259" s="606"/>
      <c r="AI1259" s="351"/>
      <c r="AJ1259" s="607"/>
      <c r="AK1259" s="351"/>
      <c r="AL1259" s="608"/>
      <c r="AM1259" s="350"/>
      <c r="AN1259" s="350"/>
      <c r="AO1259" s="350"/>
      <c r="AP1259" s="350"/>
      <c r="AQ1259" s="350"/>
      <c r="AR1259" s="350"/>
      <c r="AS1259" s="350"/>
      <c r="AT1259" s="350"/>
      <c r="AU1259" s="350"/>
      <c r="AV1259" s="350"/>
      <c r="AW1259" s="350"/>
      <c r="AX1259" s="350"/>
      <c r="AY1259" s="350"/>
      <c r="AZ1259" s="350"/>
      <c r="BA1259" s="350"/>
      <c r="BB1259" s="351"/>
    </row>
    <row r="1260" spans="1:54" ht="15.75" customHeight="1">
      <c r="A1260" s="25">
        <f t="shared" si="4"/>
        <v>1247</v>
      </c>
      <c r="B1260" s="618" t="str">
        <f>'refer admin discharge'!B1256</f>
        <v>x</v>
      </c>
      <c r="C1260" s="351"/>
      <c r="D1260" s="619" t="str">
        <f>'refer admin discharge'!D1256</f>
        <v>xx</v>
      </c>
      <c r="E1260" s="351"/>
      <c r="F1260" s="620" t="str">
        <f>'refer admin discharge'!H1256</f>
        <v>00/00/0000</v>
      </c>
      <c r="G1260" s="351"/>
      <c r="H1260" s="615"/>
      <c r="I1260" s="351"/>
      <c r="J1260" s="621"/>
      <c r="K1260" s="351"/>
      <c r="L1260" s="615"/>
      <c r="M1260" s="351"/>
      <c r="N1260" s="610"/>
      <c r="O1260" s="351"/>
      <c r="P1260" s="615"/>
      <c r="Q1260" s="351"/>
      <c r="R1260" s="610"/>
      <c r="S1260" s="351"/>
      <c r="T1260" s="615"/>
      <c r="U1260" s="351"/>
      <c r="V1260" s="613" t="str">
        <f>'refer admin discharge'!H1261</f>
        <v>00/00/0000</v>
      </c>
      <c r="W1260" s="351"/>
      <c r="X1260" s="616"/>
      <c r="Y1260" s="351"/>
      <c r="Z1260" s="617"/>
      <c r="AA1260" s="351"/>
      <c r="AB1260" s="616"/>
      <c r="AC1260" s="351"/>
      <c r="AD1260" s="607"/>
      <c r="AE1260" s="351"/>
      <c r="AF1260" s="616"/>
      <c r="AG1260" s="351"/>
      <c r="AH1260" s="607"/>
      <c r="AI1260" s="351"/>
      <c r="AJ1260" s="616"/>
      <c r="AK1260" s="351"/>
      <c r="AL1260" s="622"/>
      <c r="AM1260" s="350"/>
      <c r="AN1260" s="350"/>
      <c r="AO1260" s="350"/>
      <c r="AP1260" s="350"/>
      <c r="AQ1260" s="350"/>
      <c r="AR1260" s="350"/>
      <c r="AS1260" s="350"/>
      <c r="AT1260" s="350"/>
      <c r="AU1260" s="350"/>
      <c r="AV1260" s="350"/>
      <c r="AW1260" s="350"/>
      <c r="AX1260" s="350"/>
      <c r="AY1260" s="350"/>
      <c r="AZ1260" s="350"/>
      <c r="BA1260" s="350"/>
      <c r="BB1260" s="351"/>
    </row>
    <row r="1261" spans="1:54" ht="15.75" customHeight="1">
      <c r="A1261" s="25">
        <f t="shared" si="4"/>
        <v>1248</v>
      </c>
      <c r="B1261" s="599" t="str">
        <f>'refer admin discharge'!B1257</f>
        <v>x</v>
      </c>
      <c r="C1261" s="351"/>
      <c r="D1261" s="600" t="str">
        <f>'refer admin discharge'!D1257</f>
        <v>xx</v>
      </c>
      <c r="E1261" s="351"/>
      <c r="F1261" s="609" t="str">
        <f>'refer admin discharge'!H1257</f>
        <v>00/00/0000</v>
      </c>
      <c r="G1261" s="351"/>
      <c r="H1261" s="610"/>
      <c r="I1261" s="351"/>
      <c r="J1261" s="611"/>
      <c r="K1261" s="351"/>
      <c r="L1261" s="610"/>
      <c r="M1261" s="351"/>
      <c r="N1261" s="612"/>
      <c r="O1261" s="351"/>
      <c r="P1261" s="610"/>
      <c r="Q1261" s="351"/>
      <c r="R1261" s="612"/>
      <c r="S1261" s="351"/>
      <c r="T1261" s="610"/>
      <c r="U1261" s="351"/>
      <c r="V1261" s="613" t="str">
        <f>'refer admin discharge'!H1262</f>
        <v>00/00/0000</v>
      </c>
      <c r="W1261" s="351"/>
      <c r="X1261" s="607"/>
      <c r="Y1261" s="351"/>
      <c r="Z1261" s="614"/>
      <c r="AA1261" s="351"/>
      <c r="AB1261" s="607"/>
      <c r="AC1261" s="351"/>
      <c r="AD1261" s="606"/>
      <c r="AE1261" s="351"/>
      <c r="AF1261" s="607"/>
      <c r="AG1261" s="351"/>
      <c r="AH1261" s="606"/>
      <c r="AI1261" s="351"/>
      <c r="AJ1261" s="607"/>
      <c r="AK1261" s="351"/>
      <c r="AL1261" s="608"/>
      <c r="AM1261" s="350"/>
      <c r="AN1261" s="350"/>
      <c r="AO1261" s="350"/>
      <c r="AP1261" s="350"/>
      <c r="AQ1261" s="350"/>
      <c r="AR1261" s="350"/>
      <c r="AS1261" s="350"/>
      <c r="AT1261" s="350"/>
      <c r="AU1261" s="350"/>
      <c r="AV1261" s="350"/>
      <c r="AW1261" s="350"/>
      <c r="AX1261" s="350"/>
      <c r="AY1261" s="350"/>
      <c r="AZ1261" s="350"/>
      <c r="BA1261" s="350"/>
      <c r="BB1261" s="351"/>
    </row>
    <row r="1262" spans="1:54" ht="15.75" customHeight="1">
      <c r="A1262" s="25">
        <f t="shared" si="4"/>
        <v>1249</v>
      </c>
      <c r="B1262" s="618" t="str">
        <f>'refer admin discharge'!B1258</f>
        <v>x</v>
      </c>
      <c r="C1262" s="351"/>
      <c r="D1262" s="619" t="str">
        <f>'refer admin discharge'!D1258</f>
        <v>xx</v>
      </c>
      <c r="E1262" s="351"/>
      <c r="F1262" s="620" t="str">
        <f>'refer admin discharge'!H1258</f>
        <v>00/00/0000</v>
      </c>
      <c r="G1262" s="351"/>
      <c r="H1262" s="615"/>
      <c r="I1262" s="351"/>
      <c r="J1262" s="621"/>
      <c r="K1262" s="351"/>
      <c r="L1262" s="615"/>
      <c r="M1262" s="351"/>
      <c r="N1262" s="610"/>
      <c r="O1262" s="351"/>
      <c r="P1262" s="615"/>
      <c r="Q1262" s="351"/>
      <c r="R1262" s="610"/>
      <c r="S1262" s="351"/>
      <c r="T1262" s="615"/>
      <c r="U1262" s="351"/>
      <c r="V1262" s="613" t="str">
        <f>'refer admin discharge'!H1263</f>
        <v>00/00/0000</v>
      </c>
      <c r="W1262" s="351"/>
      <c r="X1262" s="616"/>
      <c r="Y1262" s="351"/>
      <c r="Z1262" s="617"/>
      <c r="AA1262" s="351"/>
      <c r="AB1262" s="616"/>
      <c r="AC1262" s="351"/>
      <c r="AD1262" s="607"/>
      <c r="AE1262" s="351"/>
      <c r="AF1262" s="616"/>
      <c r="AG1262" s="351"/>
      <c r="AH1262" s="607"/>
      <c r="AI1262" s="351"/>
      <c r="AJ1262" s="616"/>
      <c r="AK1262" s="351"/>
      <c r="AL1262" s="622"/>
      <c r="AM1262" s="350"/>
      <c r="AN1262" s="350"/>
      <c r="AO1262" s="350"/>
      <c r="AP1262" s="350"/>
      <c r="AQ1262" s="350"/>
      <c r="AR1262" s="350"/>
      <c r="AS1262" s="350"/>
      <c r="AT1262" s="350"/>
      <c r="AU1262" s="350"/>
      <c r="AV1262" s="350"/>
      <c r="AW1262" s="350"/>
      <c r="AX1262" s="350"/>
      <c r="AY1262" s="350"/>
      <c r="AZ1262" s="350"/>
      <c r="BA1262" s="350"/>
      <c r="BB1262" s="351"/>
    </row>
    <row r="1263" spans="1:54" ht="15.75" customHeight="1">
      <c r="A1263" s="25">
        <f t="shared" si="4"/>
        <v>1250</v>
      </c>
      <c r="B1263" s="599" t="str">
        <f>'refer admin discharge'!B1259</f>
        <v>x</v>
      </c>
      <c r="C1263" s="351"/>
      <c r="D1263" s="600" t="str">
        <f>'refer admin discharge'!D1259</f>
        <v>xx</v>
      </c>
      <c r="E1263" s="351"/>
      <c r="F1263" s="609" t="str">
        <f>'refer admin discharge'!H1259</f>
        <v>00/00/0000</v>
      </c>
      <c r="G1263" s="351"/>
      <c r="H1263" s="610"/>
      <c r="I1263" s="351"/>
      <c r="J1263" s="611"/>
      <c r="K1263" s="351"/>
      <c r="L1263" s="610"/>
      <c r="M1263" s="351"/>
      <c r="N1263" s="612"/>
      <c r="O1263" s="351"/>
      <c r="P1263" s="610"/>
      <c r="Q1263" s="351"/>
      <c r="R1263" s="612"/>
      <c r="S1263" s="351"/>
      <c r="T1263" s="610"/>
      <c r="U1263" s="351"/>
      <c r="V1263" s="613" t="str">
        <f>'refer admin discharge'!H1264</f>
        <v>00/00/0000</v>
      </c>
      <c r="W1263" s="351"/>
      <c r="X1263" s="607"/>
      <c r="Y1263" s="351"/>
      <c r="Z1263" s="614"/>
      <c r="AA1263" s="351"/>
      <c r="AB1263" s="607"/>
      <c r="AC1263" s="351"/>
      <c r="AD1263" s="606"/>
      <c r="AE1263" s="351"/>
      <c r="AF1263" s="607"/>
      <c r="AG1263" s="351"/>
      <c r="AH1263" s="606"/>
      <c r="AI1263" s="351"/>
      <c r="AJ1263" s="607"/>
      <c r="AK1263" s="351"/>
      <c r="AL1263" s="608"/>
      <c r="AM1263" s="350"/>
      <c r="AN1263" s="350"/>
      <c r="AO1263" s="350"/>
      <c r="AP1263" s="350"/>
      <c r="AQ1263" s="350"/>
      <c r="AR1263" s="350"/>
      <c r="AS1263" s="350"/>
      <c r="AT1263" s="350"/>
      <c r="AU1263" s="350"/>
      <c r="AV1263" s="350"/>
      <c r="AW1263" s="350"/>
      <c r="AX1263" s="350"/>
      <c r="AY1263" s="350"/>
      <c r="AZ1263" s="350"/>
      <c r="BA1263" s="350"/>
      <c r="BB1263" s="351"/>
    </row>
    <row r="1264" spans="1:54" ht="15.75" customHeight="1">
      <c r="A1264" s="25">
        <f t="shared" si="4"/>
        <v>1251</v>
      </c>
      <c r="B1264" s="618" t="str">
        <f>'refer admin discharge'!B1260</f>
        <v>x</v>
      </c>
      <c r="C1264" s="351"/>
      <c r="D1264" s="619" t="str">
        <f>'refer admin discharge'!D1260</f>
        <v>xx</v>
      </c>
      <c r="E1264" s="351"/>
      <c r="F1264" s="620" t="str">
        <f>'refer admin discharge'!H1260</f>
        <v>00/00/0000</v>
      </c>
      <c r="G1264" s="351"/>
      <c r="H1264" s="615"/>
      <c r="I1264" s="351"/>
      <c r="J1264" s="621"/>
      <c r="K1264" s="351"/>
      <c r="L1264" s="615"/>
      <c r="M1264" s="351"/>
      <c r="N1264" s="610"/>
      <c r="O1264" s="351"/>
      <c r="P1264" s="615"/>
      <c r="Q1264" s="351"/>
      <c r="R1264" s="610"/>
      <c r="S1264" s="351"/>
      <c r="T1264" s="615"/>
      <c r="U1264" s="351"/>
      <c r="V1264" s="613" t="str">
        <f>'refer admin discharge'!H1265</f>
        <v>00/00/0000</v>
      </c>
      <c r="W1264" s="351"/>
      <c r="X1264" s="616"/>
      <c r="Y1264" s="351"/>
      <c r="Z1264" s="617"/>
      <c r="AA1264" s="351"/>
      <c r="AB1264" s="616"/>
      <c r="AC1264" s="351"/>
      <c r="AD1264" s="607"/>
      <c r="AE1264" s="351"/>
      <c r="AF1264" s="616"/>
      <c r="AG1264" s="351"/>
      <c r="AH1264" s="607"/>
      <c r="AI1264" s="351"/>
      <c r="AJ1264" s="616"/>
      <c r="AK1264" s="351"/>
      <c r="AL1264" s="622"/>
      <c r="AM1264" s="350"/>
      <c r="AN1264" s="350"/>
      <c r="AO1264" s="350"/>
      <c r="AP1264" s="350"/>
      <c r="AQ1264" s="350"/>
      <c r="AR1264" s="350"/>
      <c r="AS1264" s="350"/>
      <c r="AT1264" s="350"/>
      <c r="AU1264" s="350"/>
      <c r="AV1264" s="350"/>
      <c r="AW1264" s="350"/>
      <c r="AX1264" s="350"/>
      <c r="AY1264" s="350"/>
      <c r="AZ1264" s="350"/>
      <c r="BA1264" s="350"/>
      <c r="BB1264" s="351"/>
    </row>
    <row r="1265" spans="1:54" ht="15.75" customHeight="1">
      <c r="A1265" s="25">
        <f t="shared" si="4"/>
        <v>1252</v>
      </c>
      <c r="B1265" s="599" t="str">
        <f>'refer admin discharge'!B1261</f>
        <v>x</v>
      </c>
      <c r="C1265" s="351"/>
      <c r="D1265" s="600" t="str">
        <f>'refer admin discharge'!D1261</f>
        <v>xx</v>
      </c>
      <c r="E1265" s="351"/>
      <c r="F1265" s="609" t="str">
        <f>'refer admin discharge'!H1261</f>
        <v>00/00/0000</v>
      </c>
      <c r="G1265" s="351"/>
      <c r="H1265" s="610"/>
      <c r="I1265" s="351"/>
      <c r="J1265" s="611"/>
      <c r="K1265" s="351"/>
      <c r="L1265" s="610"/>
      <c r="M1265" s="351"/>
      <c r="N1265" s="612"/>
      <c r="O1265" s="351"/>
      <c r="P1265" s="610"/>
      <c r="Q1265" s="351"/>
      <c r="R1265" s="612"/>
      <c r="S1265" s="351"/>
      <c r="T1265" s="610"/>
      <c r="U1265" s="351"/>
      <c r="V1265" s="613" t="str">
        <f>'refer admin discharge'!H1266</f>
        <v>00/00/0000</v>
      </c>
      <c r="W1265" s="351"/>
      <c r="X1265" s="607"/>
      <c r="Y1265" s="351"/>
      <c r="Z1265" s="614"/>
      <c r="AA1265" s="351"/>
      <c r="AB1265" s="607"/>
      <c r="AC1265" s="351"/>
      <c r="AD1265" s="606"/>
      <c r="AE1265" s="351"/>
      <c r="AF1265" s="607"/>
      <c r="AG1265" s="351"/>
      <c r="AH1265" s="606"/>
      <c r="AI1265" s="351"/>
      <c r="AJ1265" s="607"/>
      <c r="AK1265" s="351"/>
      <c r="AL1265" s="608"/>
      <c r="AM1265" s="350"/>
      <c r="AN1265" s="350"/>
      <c r="AO1265" s="350"/>
      <c r="AP1265" s="350"/>
      <c r="AQ1265" s="350"/>
      <c r="AR1265" s="350"/>
      <c r="AS1265" s="350"/>
      <c r="AT1265" s="350"/>
      <c r="AU1265" s="350"/>
      <c r="AV1265" s="350"/>
      <c r="AW1265" s="350"/>
      <c r="AX1265" s="350"/>
      <c r="AY1265" s="350"/>
      <c r="AZ1265" s="350"/>
      <c r="BA1265" s="350"/>
      <c r="BB1265" s="351"/>
    </row>
    <row r="1266" spans="1:54" ht="15.75" customHeight="1">
      <c r="A1266" s="25">
        <f t="shared" si="4"/>
        <v>1253</v>
      </c>
      <c r="B1266" s="618" t="str">
        <f>'refer admin discharge'!B1262</f>
        <v>x</v>
      </c>
      <c r="C1266" s="351"/>
      <c r="D1266" s="619" t="str">
        <f>'refer admin discharge'!D1262</f>
        <v>xx</v>
      </c>
      <c r="E1266" s="351"/>
      <c r="F1266" s="620" t="str">
        <f>'refer admin discharge'!H1262</f>
        <v>00/00/0000</v>
      </c>
      <c r="G1266" s="351"/>
      <c r="H1266" s="615"/>
      <c r="I1266" s="351"/>
      <c r="J1266" s="621"/>
      <c r="K1266" s="351"/>
      <c r="L1266" s="615"/>
      <c r="M1266" s="351"/>
      <c r="N1266" s="610"/>
      <c r="O1266" s="351"/>
      <c r="P1266" s="615"/>
      <c r="Q1266" s="351"/>
      <c r="R1266" s="610"/>
      <c r="S1266" s="351"/>
      <c r="T1266" s="615"/>
      <c r="U1266" s="351"/>
      <c r="V1266" s="613" t="str">
        <f>'refer admin discharge'!H1267</f>
        <v>00/00/0000</v>
      </c>
      <c r="W1266" s="351"/>
      <c r="X1266" s="616"/>
      <c r="Y1266" s="351"/>
      <c r="Z1266" s="617"/>
      <c r="AA1266" s="351"/>
      <c r="AB1266" s="616"/>
      <c r="AC1266" s="351"/>
      <c r="AD1266" s="607"/>
      <c r="AE1266" s="351"/>
      <c r="AF1266" s="616"/>
      <c r="AG1266" s="351"/>
      <c r="AH1266" s="607"/>
      <c r="AI1266" s="351"/>
      <c r="AJ1266" s="616"/>
      <c r="AK1266" s="351"/>
      <c r="AL1266" s="622"/>
      <c r="AM1266" s="350"/>
      <c r="AN1266" s="350"/>
      <c r="AO1266" s="350"/>
      <c r="AP1266" s="350"/>
      <c r="AQ1266" s="350"/>
      <c r="AR1266" s="350"/>
      <c r="AS1266" s="350"/>
      <c r="AT1266" s="350"/>
      <c r="AU1266" s="350"/>
      <c r="AV1266" s="350"/>
      <c r="AW1266" s="350"/>
      <c r="AX1266" s="350"/>
      <c r="AY1266" s="350"/>
      <c r="AZ1266" s="350"/>
      <c r="BA1266" s="350"/>
      <c r="BB1266" s="351"/>
    </row>
    <row r="1267" spans="1:54" ht="15.75" customHeight="1">
      <c r="A1267" s="25">
        <f t="shared" si="4"/>
        <v>1254</v>
      </c>
      <c r="B1267" s="599" t="str">
        <f>'refer admin discharge'!B1263</f>
        <v>x</v>
      </c>
      <c r="C1267" s="351"/>
      <c r="D1267" s="600" t="str">
        <f>'refer admin discharge'!D1263</f>
        <v>xx</v>
      </c>
      <c r="E1267" s="351"/>
      <c r="F1267" s="609" t="str">
        <f>'refer admin discharge'!H1263</f>
        <v>00/00/0000</v>
      </c>
      <c r="G1267" s="351"/>
      <c r="H1267" s="610"/>
      <c r="I1267" s="351"/>
      <c r="J1267" s="611"/>
      <c r="K1267" s="351"/>
      <c r="L1267" s="610"/>
      <c r="M1267" s="351"/>
      <c r="N1267" s="612"/>
      <c r="O1267" s="351"/>
      <c r="P1267" s="610"/>
      <c r="Q1267" s="351"/>
      <c r="R1267" s="612"/>
      <c r="S1267" s="351"/>
      <c r="T1267" s="610"/>
      <c r="U1267" s="351"/>
      <c r="V1267" s="613" t="str">
        <f>'refer admin discharge'!H1268</f>
        <v>00/00/0000</v>
      </c>
      <c r="W1267" s="351"/>
      <c r="X1267" s="607"/>
      <c r="Y1267" s="351"/>
      <c r="Z1267" s="614"/>
      <c r="AA1267" s="351"/>
      <c r="AB1267" s="607"/>
      <c r="AC1267" s="351"/>
      <c r="AD1267" s="606"/>
      <c r="AE1267" s="351"/>
      <c r="AF1267" s="607"/>
      <c r="AG1267" s="351"/>
      <c r="AH1267" s="606"/>
      <c r="AI1267" s="351"/>
      <c r="AJ1267" s="607"/>
      <c r="AK1267" s="351"/>
      <c r="AL1267" s="608"/>
      <c r="AM1267" s="350"/>
      <c r="AN1267" s="350"/>
      <c r="AO1267" s="350"/>
      <c r="AP1267" s="350"/>
      <c r="AQ1267" s="350"/>
      <c r="AR1267" s="350"/>
      <c r="AS1267" s="350"/>
      <c r="AT1267" s="350"/>
      <c r="AU1267" s="350"/>
      <c r="AV1267" s="350"/>
      <c r="AW1267" s="350"/>
      <c r="AX1267" s="350"/>
      <c r="AY1267" s="350"/>
      <c r="AZ1267" s="350"/>
      <c r="BA1267" s="350"/>
      <c r="BB1267" s="351"/>
    </row>
    <row r="1268" spans="1:54" ht="15.75" customHeight="1">
      <c r="A1268" s="25">
        <f t="shared" si="4"/>
        <v>1255</v>
      </c>
      <c r="B1268" s="618" t="str">
        <f>'refer admin discharge'!B1264</f>
        <v>x</v>
      </c>
      <c r="C1268" s="351"/>
      <c r="D1268" s="619" t="str">
        <f>'refer admin discharge'!D1264</f>
        <v>xx</v>
      </c>
      <c r="E1268" s="351"/>
      <c r="F1268" s="620" t="str">
        <f>'refer admin discharge'!H1264</f>
        <v>00/00/0000</v>
      </c>
      <c r="G1268" s="351"/>
      <c r="H1268" s="615"/>
      <c r="I1268" s="351"/>
      <c r="J1268" s="621"/>
      <c r="K1268" s="351"/>
      <c r="L1268" s="615"/>
      <c r="M1268" s="351"/>
      <c r="N1268" s="610"/>
      <c r="O1268" s="351"/>
      <c r="P1268" s="615"/>
      <c r="Q1268" s="351"/>
      <c r="R1268" s="610"/>
      <c r="S1268" s="351"/>
      <c r="T1268" s="615"/>
      <c r="U1268" s="351"/>
      <c r="V1268" s="613" t="str">
        <f>'refer admin discharge'!H1269</f>
        <v>00/00/0000</v>
      </c>
      <c r="W1268" s="351"/>
      <c r="X1268" s="616"/>
      <c r="Y1268" s="351"/>
      <c r="Z1268" s="617"/>
      <c r="AA1268" s="351"/>
      <c r="AB1268" s="616"/>
      <c r="AC1268" s="351"/>
      <c r="AD1268" s="607"/>
      <c r="AE1268" s="351"/>
      <c r="AF1268" s="616"/>
      <c r="AG1268" s="351"/>
      <c r="AH1268" s="607"/>
      <c r="AI1268" s="351"/>
      <c r="AJ1268" s="616"/>
      <c r="AK1268" s="351"/>
      <c r="AL1268" s="622"/>
      <c r="AM1268" s="350"/>
      <c r="AN1268" s="350"/>
      <c r="AO1268" s="350"/>
      <c r="AP1268" s="350"/>
      <c r="AQ1268" s="350"/>
      <c r="AR1268" s="350"/>
      <c r="AS1268" s="350"/>
      <c r="AT1268" s="350"/>
      <c r="AU1268" s="350"/>
      <c r="AV1268" s="350"/>
      <c r="AW1268" s="350"/>
      <c r="AX1268" s="350"/>
      <c r="AY1268" s="350"/>
      <c r="AZ1268" s="350"/>
      <c r="BA1268" s="350"/>
      <c r="BB1268" s="351"/>
    </row>
    <row r="1269" spans="1:54" ht="15.75" customHeight="1">
      <c r="A1269" s="25">
        <f t="shared" si="4"/>
        <v>1256</v>
      </c>
      <c r="B1269" s="599" t="str">
        <f>'refer admin discharge'!B1265</f>
        <v>x</v>
      </c>
      <c r="C1269" s="351"/>
      <c r="D1269" s="600" t="str">
        <f>'refer admin discharge'!D1265</f>
        <v>xx</v>
      </c>
      <c r="E1269" s="351"/>
      <c r="F1269" s="609" t="str">
        <f>'refer admin discharge'!H1265</f>
        <v>00/00/0000</v>
      </c>
      <c r="G1269" s="351"/>
      <c r="H1269" s="610"/>
      <c r="I1269" s="351"/>
      <c r="J1269" s="611"/>
      <c r="K1269" s="351"/>
      <c r="L1269" s="610"/>
      <c r="M1269" s="351"/>
      <c r="N1269" s="612"/>
      <c r="O1269" s="351"/>
      <c r="P1269" s="610"/>
      <c r="Q1269" s="351"/>
      <c r="R1269" s="612"/>
      <c r="S1269" s="351"/>
      <c r="T1269" s="610"/>
      <c r="U1269" s="351"/>
      <c r="V1269" s="613" t="str">
        <f>'refer admin discharge'!H1270</f>
        <v>00/00/0000</v>
      </c>
      <c r="W1269" s="351"/>
      <c r="X1269" s="607"/>
      <c r="Y1269" s="351"/>
      <c r="Z1269" s="614"/>
      <c r="AA1269" s="351"/>
      <c r="AB1269" s="607"/>
      <c r="AC1269" s="351"/>
      <c r="AD1269" s="606"/>
      <c r="AE1269" s="351"/>
      <c r="AF1269" s="607"/>
      <c r="AG1269" s="351"/>
      <c r="AH1269" s="606"/>
      <c r="AI1269" s="351"/>
      <c r="AJ1269" s="607"/>
      <c r="AK1269" s="351"/>
      <c r="AL1269" s="608"/>
      <c r="AM1269" s="350"/>
      <c r="AN1269" s="350"/>
      <c r="AO1269" s="350"/>
      <c r="AP1269" s="350"/>
      <c r="AQ1269" s="350"/>
      <c r="AR1269" s="350"/>
      <c r="AS1269" s="350"/>
      <c r="AT1269" s="350"/>
      <c r="AU1269" s="350"/>
      <c r="AV1269" s="350"/>
      <c r="AW1269" s="350"/>
      <c r="AX1269" s="350"/>
      <c r="AY1269" s="350"/>
      <c r="AZ1269" s="350"/>
      <c r="BA1269" s="350"/>
      <c r="BB1269" s="351"/>
    </row>
    <row r="1270" spans="1:54" ht="15.75" customHeight="1">
      <c r="A1270" s="25">
        <f t="shared" si="4"/>
        <v>1257</v>
      </c>
      <c r="B1270" s="618" t="str">
        <f>'refer admin discharge'!B1266</f>
        <v>x</v>
      </c>
      <c r="C1270" s="351"/>
      <c r="D1270" s="619" t="str">
        <f>'refer admin discharge'!D1266</f>
        <v>xx</v>
      </c>
      <c r="E1270" s="351"/>
      <c r="F1270" s="620" t="str">
        <f>'refer admin discharge'!H1266</f>
        <v>00/00/0000</v>
      </c>
      <c r="G1270" s="351"/>
      <c r="H1270" s="615"/>
      <c r="I1270" s="351"/>
      <c r="J1270" s="621"/>
      <c r="K1270" s="351"/>
      <c r="L1270" s="615"/>
      <c r="M1270" s="351"/>
      <c r="N1270" s="610"/>
      <c r="O1270" s="351"/>
      <c r="P1270" s="615"/>
      <c r="Q1270" s="351"/>
      <c r="R1270" s="610"/>
      <c r="S1270" s="351"/>
      <c r="T1270" s="615"/>
      <c r="U1270" s="351"/>
      <c r="V1270" s="613" t="str">
        <f>'refer admin discharge'!H1271</f>
        <v>00/00/0000</v>
      </c>
      <c r="W1270" s="351"/>
      <c r="X1270" s="616"/>
      <c r="Y1270" s="351"/>
      <c r="Z1270" s="617"/>
      <c r="AA1270" s="351"/>
      <c r="AB1270" s="616"/>
      <c r="AC1270" s="351"/>
      <c r="AD1270" s="607"/>
      <c r="AE1270" s="351"/>
      <c r="AF1270" s="616"/>
      <c r="AG1270" s="351"/>
      <c r="AH1270" s="607"/>
      <c r="AI1270" s="351"/>
      <c r="AJ1270" s="616"/>
      <c r="AK1270" s="351"/>
      <c r="AL1270" s="622"/>
      <c r="AM1270" s="350"/>
      <c r="AN1270" s="350"/>
      <c r="AO1270" s="350"/>
      <c r="AP1270" s="350"/>
      <c r="AQ1270" s="350"/>
      <c r="AR1270" s="350"/>
      <c r="AS1270" s="350"/>
      <c r="AT1270" s="350"/>
      <c r="AU1270" s="350"/>
      <c r="AV1270" s="350"/>
      <c r="AW1270" s="350"/>
      <c r="AX1270" s="350"/>
      <c r="AY1270" s="350"/>
      <c r="AZ1270" s="350"/>
      <c r="BA1270" s="350"/>
      <c r="BB1270" s="351"/>
    </row>
    <row r="1271" spans="1:54" ht="15.75" customHeight="1">
      <c r="A1271" s="25">
        <f t="shared" si="4"/>
        <v>1258</v>
      </c>
      <c r="B1271" s="599" t="str">
        <f>'refer admin discharge'!B1267</f>
        <v>x</v>
      </c>
      <c r="C1271" s="351"/>
      <c r="D1271" s="600" t="str">
        <f>'refer admin discharge'!D1267</f>
        <v>xx</v>
      </c>
      <c r="E1271" s="351"/>
      <c r="F1271" s="609" t="str">
        <f>'refer admin discharge'!H1267</f>
        <v>00/00/0000</v>
      </c>
      <c r="G1271" s="351"/>
      <c r="H1271" s="610"/>
      <c r="I1271" s="351"/>
      <c r="J1271" s="611"/>
      <c r="K1271" s="351"/>
      <c r="L1271" s="610"/>
      <c r="M1271" s="351"/>
      <c r="N1271" s="612"/>
      <c r="O1271" s="351"/>
      <c r="P1271" s="610"/>
      <c r="Q1271" s="351"/>
      <c r="R1271" s="612"/>
      <c r="S1271" s="351"/>
      <c r="T1271" s="610"/>
      <c r="U1271" s="351"/>
      <c r="V1271" s="613" t="str">
        <f>'refer admin discharge'!H1272</f>
        <v>00/00/0000</v>
      </c>
      <c r="W1271" s="351"/>
      <c r="X1271" s="607"/>
      <c r="Y1271" s="351"/>
      <c r="Z1271" s="614"/>
      <c r="AA1271" s="351"/>
      <c r="AB1271" s="607"/>
      <c r="AC1271" s="351"/>
      <c r="AD1271" s="606"/>
      <c r="AE1271" s="351"/>
      <c r="AF1271" s="607"/>
      <c r="AG1271" s="351"/>
      <c r="AH1271" s="606"/>
      <c r="AI1271" s="351"/>
      <c r="AJ1271" s="607"/>
      <c r="AK1271" s="351"/>
      <c r="AL1271" s="608"/>
      <c r="AM1271" s="350"/>
      <c r="AN1271" s="350"/>
      <c r="AO1271" s="350"/>
      <c r="AP1271" s="350"/>
      <c r="AQ1271" s="350"/>
      <c r="AR1271" s="350"/>
      <c r="AS1271" s="350"/>
      <c r="AT1271" s="350"/>
      <c r="AU1271" s="350"/>
      <c r="AV1271" s="350"/>
      <c r="AW1271" s="350"/>
      <c r="AX1271" s="350"/>
      <c r="AY1271" s="350"/>
      <c r="AZ1271" s="350"/>
      <c r="BA1271" s="350"/>
      <c r="BB1271" s="351"/>
    </row>
    <row r="1272" spans="1:54" ht="15.75" customHeight="1">
      <c r="A1272" s="25">
        <f t="shared" si="4"/>
        <v>1259</v>
      </c>
      <c r="B1272" s="618" t="str">
        <f>'refer admin discharge'!B1268</f>
        <v>x</v>
      </c>
      <c r="C1272" s="351"/>
      <c r="D1272" s="619" t="str">
        <f>'refer admin discharge'!D1268</f>
        <v>xx</v>
      </c>
      <c r="E1272" s="351"/>
      <c r="F1272" s="620" t="str">
        <f>'refer admin discharge'!H1268</f>
        <v>00/00/0000</v>
      </c>
      <c r="G1272" s="351"/>
      <c r="H1272" s="615"/>
      <c r="I1272" s="351"/>
      <c r="J1272" s="621"/>
      <c r="K1272" s="351"/>
      <c r="L1272" s="615"/>
      <c r="M1272" s="351"/>
      <c r="N1272" s="610"/>
      <c r="O1272" s="351"/>
      <c r="P1272" s="615"/>
      <c r="Q1272" s="351"/>
      <c r="R1272" s="610"/>
      <c r="S1272" s="351"/>
      <c r="T1272" s="615"/>
      <c r="U1272" s="351"/>
      <c r="V1272" s="613" t="str">
        <f>'refer admin discharge'!H1273</f>
        <v>00/00/0000</v>
      </c>
      <c r="W1272" s="351"/>
      <c r="X1272" s="616"/>
      <c r="Y1272" s="351"/>
      <c r="Z1272" s="617"/>
      <c r="AA1272" s="351"/>
      <c r="AB1272" s="616"/>
      <c r="AC1272" s="351"/>
      <c r="AD1272" s="607"/>
      <c r="AE1272" s="351"/>
      <c r="AF1272" s="616"/>
      <c r="AG1272" s="351"/>
      <c r="AH1272" s="607"/>
      <c r="AI1272" s="351"/>
      <c r="AJ1272" s="616"/>
      <c r="AK1272" s="351"/>
      <c r="AL1272" s="622"/>
      <c r="AM1272" s="350"/>
      <c r="AN1272" s="350"/>
      <c r="AO1272" s="350"/>
      <c r="AP1272" s="350"/>
      <c r="AQ1272" s="350"/>
      <c r="AR1272" s="350"/>
      <c r="AS1272" s="350"/>
      <c r="AT1272" s="350"/>
      <c r="AU1272" s="350"/>
      <c r="AV1272" s="350"/>
      <c r="AW1272" s="350"/>
      <c r="AX1272" s="350"/>
      <c r="AY1272" s="350"/>
      <c r="AZ1272" s="350"/>
      <c r="BA1272" s="350"/>
      <c r="BB1272" s="351"/>
    </row>
    <row r="1273" spans="1:54" ht="15.75" customHeight="1">
      <c r="A1273" s="25">
        <f t="shared" si="4"/>
        <v>1260</v>
      </c>
      <c r="B1273" s="599" t="str">
        <f>'refer admin discharge'!B1269</f>
        <v>x</v>
      </c>
      <c r="C1273" s="351"/>
      <c r="D1273" s="600" t="str">
        <f>'refer admin discharge'!D1269</f>
        <v>xx</v>
      </c>
      <c r="E1273" s="351"/>
      <c r="F1273" s="609" t="str">
        <f>'refer admin discharge'!H1269</f>
        <v>00/00/0000</v>
      </c>
      <c r="G1273" s="351"/>
      <c r="H1273" s="610"/>
      <c r="I1273" s="351"/>
      <c r="J1273" s="611"/>
      <c r="K1273" s="351"/>
      <c r="L1273" s="610"/>
      <c r="M1273" s="351"/>
      <c r="N1273" s="612"/>
      <c r="O1273" s="351"/>
      <c r="P1273" s="610"/>
      <c r="Q1273" s="351"/>
      <c r="R1273" s="612"/>
      <c r="S1273" s="351"/>
      <c r="T1273" s="610"/>
      <c r="U1273" s="351"/>
      <c r="V1273" s="613" t="str">
        <f>'refer admin discharge'!H1274</f>
        <v>00/00/0000</v>
      </c>
      <c r="W1273" s="351"/>
      <c r="X1273" s="607"/>
      <c r="Y1273" s="351"/>
      <c r="Z1273" s="614"/>
      <c r="AA1273" s="351"/>
      <c r="AB1273" s="607"/>
      <c r="AC1273" s="351"/>
      <c r="AD1273" s="606"/>
      <c r="AE1273" s="351"/>
      <c r="AF1273" s="607"/>
      <c r="AG1273" s="351"/>
      <c r="AH1273" s="606"/>
      <c r="AI1273" s="351"/>
      <c r="AJ1273" s="607"/>
      <c r="AK1273" s="351"/>
      <c r="AL1273" s="608"/>
      <c r="AM1273" s="350"/>
      <c r="AN1273" s="350"/>
      <c r="AO1273" s="350"/>
      <c r="AP1273" s="350"/>
      <c r="AQ1273" s="350"/>
      <c r="AR1273" s="350"/>
      <c r="AS1273" s="350"/>
      <c r="AT1273" s="350"/>
      <c r="AU1273" s="350"/>
      <c r="AV1273" s="350"/>
      <c r="AW1273" s="350"/>
      <c r="AX1273" s="350"/>
      <c r="AY1273" s="350"/>
      <c r="AZ1273" s="350"/>
      <c r="BA1273" s="350"/>
      <c r="BB1273" s="351"/>
    </row>
    <row r="1274" spans="1:54" ht="15.75" customHeight="1">
      <c r="A1274" s="25">
        <f t="shared" si="4"/>
        <v>1261</v>
      </c>
      <c r="B1274" s="618" t="str">
        <f>'refer admin discharge'!B1270</f>
        <v>x</v>
      </c>
      <c r="C1274" s="351"/>
      <c r="D1274" s="619" t="str">
        <f>'refer admin discharge'!D1270</f>
        <v>xx</v>
      </c>
      <c r="E1274" s="351"/>
      <c r="F1274" s="620" t="str">
        <f>'refer admin discharge'!H1270</f>
        <v>00/00/0000</v>
      </c>
      <c r="G1274" s="351"/>
      <c r="H1274" s="615"/>
      <c r="I1274" s="351"/>
      <c r="J1274" s="621"/>
      <c r="K1274" s="351"/>
      <c r="L1274" s="615"/>
      <c r="M1274" s="351"/>
      <c r="N1274" s="610"/>
      <c r="O1274" s="351"/>
      <c r="P1274" s="615"/>
      <c r="Q1274" s="351"/>
      <c r="R1274" s="610"/>
      <c r="S1274" s="351"/>
      <c r="T1274" s="615"/>
      <c r="U1274" s="351"/>
      <c r="V1274" s="613" t="str">
        <f>'refer admin discharge'!H1275</f>
        <v>00/00/0000</v>
      </c>
      <c r="W1274" s="351"/>
      <c r="X1274" s="616"/>
      <c r="Y1274" s="351"/>
      <c r="Z1274" s="617"/>
      <c r="AA1274" s="351"/>
      <c r="AB1274" s="616"/>
      <c r="AC1274" s="351"/>
      <c r="AD1274" s="607"/>
      <c r="AE1274" s="351"/>
      <c r="AF1274" s="616"/>
      <c r="AG1274" s="351"/>
      <c r="AH1274" s="607"/>
      <c r="AI1274" s="351"/>
      <c r="AJ1274" s="616"/>
      <c r="AK1274" s="351"/>
      <c r="AL1274" s="622"/>
      <c r="AM1274" s="350"/>
      <c r="AN1274" s="350"/>
      <c r="AO1274" s="350"/>
      <c r="AP1274" s="350"/>
      <c r="AQ1274" s="350"/>
      <c r="AR1274" s="350"/>
      <c r="AS1274" s="350"/>
      <c r="AT1274" s="350"/>
      <c r="AU1274" s="350"/>
      <c r="AV1274" s="350"/>
      <c r="AW1274" s="350"/>
      <c r="AX1274" s="350"/>
      <c r="AY1274" s="350"/>
      <c r="AZ1274" s="350"/>
      <c r="BA1274" s="350"/>
      <c r="BB1274" s="351"/>
    </row>
    <row r="1275" spans="1:54" ht="15.75" customHeight="1">
      <c r="A1275" s="25">
        <f t="shared" si="4"/>
        <v>1262</v>
      </c>
      <c r="B1275" s="599" t="str">
        <f>'refer admin discharge'!B1271</f>
        <v>x</v>
      </c>
      <c r="C1275" s="351"/>
      <c r="D1275" s="600" t="str">
        <f>'refer admin discharge'!D1271</f>
        <v>xx</v>
      </c>
      <c r="E1275" s="351"/>
      <c r="F1275" s="609" t="str">
        <f>'refer admin discharge'!H1271</f>
        <v>00/00/0000</v>
      </c>
      <c r="G1275" s="351"/>
      <c r="H1275" s="610"/>
      <c r="I1275" s="351"/>
      <c r="J1275" s="611"/>
      <c r="K1275" s="351"/>
      <c r="L1275" s="610"/>
      <c r="M1275" s="351"/>
      <c r="N1275" s="612"/>
      <c r="O1275" s="351"/>
      <c r="P1275" s="610"/>
      <c r="Q1275" s="351"/>
      <c r="R1275" s="612"/>
      <c r="S1275" s="351"/>
      <c r="T1275" s="610"/>
      <c r="U1275" s="351"/>
      <c r="V1275" s="613" t="str">
        <f>'refer admin discharge'!H1276</f>
        <v>00/00/0000</v>
      </c>
      <c r="W1275" s="351"/>
      <c r="X1275" s="607"/>
      <c r="Y1275" s="351"/>
      <c r="Z1275" s="614"/>
      <c r="AA1275" s="351"/>
      <c r="AB1275" s="607"/>
      <c r="AC1275" s="351"/>
      <c r="AD1275" s="606"/>
      <c r="AE1275" s="351"/>
      <c r="AF1275" s="607"/>
      <c r="AG1275" s="351"/>
      <c r="AH1275" s="606"/>
      <c r="AI1275" s="351"/>
      <c r="AJ1275" s="607"/>
      <c r="AK1275" s="351"/>
      <c r="AL1275" s="608"/>
      <c r="AM1275" s="350"/>
      <c r="AN1275" s="350"/>
      <c r="AO1275" s="350"/>
      <c r="AP1275" s="350"/>
      <c r="AQ1275" s="350"/>
      <c r="AR1275" s="350"/>
      <c r="AS1275" s="350"/>
      <c r="AT1275" s="350"/>
      <c r="AU1275" s="350"/>
      <c r="AV1275" s="350"/>
      <c r="AW1275" s="350"/>
      <c r="AX1275" s="350"/>
      <c r="AY1275" s="350"/>
      <c r="AZ1275" s="350"/>
      <c r="BA1275" s="350"/>
      <c r="BB1275" s="351"/>
    </row>
    <row r="1276" spans="1:54" ht="15.75" customHeight="1">
      <c r="A1276" s="25">
        <f t="shared" si="4"/>
        <v>1263</v>
      </c>
      <c r="B1276" s="618" t="str">
        <f>'refer admin discharge'!B1272</f>
        <v>x</v>
      </c>
      <c r="C1276" s="351"/>
      <c r="D1276" s="619" t="str">
        <f>'refer admin discharge'!D1272</f>
        <v>xx</v>
      </c>
      <c r="E1276" s="351"/>
      <c r="F1276" s="620" t="str">
        <f>'refer admin discharge'!H1272</f>
        <v>00/00/0000</v>
      </c>
      <c r="G1276" s="351"/>
      <c r="H1276" s="615"/>
      <c r="I1276" s="351"/>
      <c r="J1276" s="621"/>
      <c r="K1276" s="351"/>
      <c r="L1276" s="615"/>
      <c r="M1276" s="351"/>
      <c r="N1276" s="610"/>
      <c r="O1276" s="351"/>
      <c r="P1276" s="615"/>
      <c r="Q1276" s="351"/>
      <c r="R1276" s="610"/>
      <c r="S1276" s="351"/>
      <c r="T1276" s="615"/>
      <c r="U1276" s="351"/>
      <c r="V1276" s="613" t="str">
        <f>'refer admin discharge'!H1277</f>
        <v>00/00/0000</v>
      </c>
      <c r="W1276" s="351"/>
      <c r="X1276" s="616"/>
      <c r="Y1276" s="351"/>
      <c r="Z1276" s="617"/>
      <c r="AA1276" s="351"/>
      <c r="AB1276" s="616"/>
      <c r="AC1276" s="351"/>
      <c r="AD1276" s="607"/>
      <c r="AE1276" s="351"/>
      <c r="AF1276" s="616"/>
      <c r="AG1276" s="351"/>
      <c r="AH1276" s="607"/>
      <c r="AI1276" s="351"/>
      <c r="AJ1276" s="616"/>
      <c r="AK1276" s="351"/>
      <c r="AL1276" s="622"/>
      <c r="AM1276" s="350"/>
      <c r="AN1276" s="350"/>
      <c r="AO1276" s="350"/>
      <c r="AP1276" s="350"/>
      <c r="AQ1276" s="350"/>
      <c r="AR1276" s="350"/>
      <c r="AS1276" s="350"/>
      <c r="AT1276" s="350"/>
      <c r="AU1276" s="350"/>
      <c r="AV1276" s="350"/>
      <c r="AW1276" s="350"/>
      <c r="AX1276" s="350"/>
      <c r="AY1276" s="350"/>
      <c r="AZ1276" s="350"/>
      <c r="BA1276" s="350"/>
      <c r="BB1276" s="351"/>
    </row>
    <row r="1277" spans="1:54" ht="15.75" customHeight="1">
      <c r="A1277" s="25">
        <f t="shared" si="4"/>
        <v>1264</v>
      </c>
      <c r="B1277" s="599" t="str">
        <f>'refer admin discharge'!B1273</f>
        <v>x</v>
      </c>
      <c r="C1277" s="351"/>
      <c r="D1277" s="600" t="str">
        <f>'refer admin discharge'!D1273</f>
        <v>xx</v>
      </c>
      <c r="E1277" s="351"/>
      <c r="F1277" s="609" t="str">
        <f>'refer admin discharge'!H1273</f>
        <v>00/00/0000</v>
      </c>
      <c r="G1277" s="351"/>
      <c r="H1277" s="610"/>
      <c r="I1277" s="351"/>
      <c r="J1277" s="611"/>
      <c r="K1277" s="351"/>
      <c r="L1277" s="610"/>
      <c r="M1277" s="351"/>
      <c r="N1277" s="612"/>
      <c r="O1277" s="351"/>
      <c r="P1277" s="610"/>
      <c r="Q1277" s="351"/>
      <c r="R1277" s="612"/>
      <c r="S1277" s="351"/>
      <c r="T1277" s="610"/>
      <c r="U1277" s="351"/>
      <c r="V1277" s="613" t="str">
        <f>'refer admin discharge'!H1278</f>
        <v>00/00/0000</v>
      </c>
      <c r="W1277" s="351"/>
      <c r="X1277" s="607"/>
      <c r="Y1277" s="351"/>
      <c r="Z1277" s="614"/>
      <c r="AA1277" s="351"/>
      <c r="AB1277" s="607"/>
      <c r="AC1277" s="351"/>
      <c r="AD1277" s="606"/>
      <c r="AE1277" s="351"/>
      <c r="AF1277" s="607"/>
      <c r="AG1277" s="351"/>
      <c r="AH1277" s="606"/>
      <c r="AI1277" s="351"/>
      <c r="AJ1277" s="607"/>
      <c r="AK1277" s="351"/>
      <c r="AL1277" s="608"/>
      <c r="AM1277" s="350"/>
      <c r="AN1277" s="350"/>
      <c r="AO1277" s="350"/>
      <c r="AP1277" s="350"/>
      <c r="AQ1277" s="350"/>
      <c r="AR1277" s="350"/>
      <c r="AS1277" s="350"/>
      <c r="AT1277" s="350"/>
      <c r="AU1277" s="350"/>
      <c r="AV1277" s="350"/>
      <c r="AW1277" s="350"/>
      <c r="AX1277" s="350"/>
      <c r="AY1277" s="350"/>
      <c r="AZ1277" s="350"/>
      <c r="BA1277" s="350"/>
      <c r="BB1277" s="351"/>
    </row>
    <row r="1278" spans="1:54" ht="15.75" customHeight="1">
      <c r="A1278" s="25">
        <f t="shared" si="4"/>
        <v>1265</v>
      </c>
      <c r="B1278" s="618" t="str">
        <f>'refer admin discharge'!B1274</f>
        <v>x</v>
      </c>
      <c r="C1278" s="351"/>
      <c r="D1278" s="619" t="str">
        <f>'refer admin discharge'!D1274</f>
        <v>xx</v>
      </c>
      <c r="E1278" s="351"/>
      <c r="F1278" s="620" t="str">
        <f>'refer admin discharge'!H1274</f>
        <v>00/00/0000</v>
      </c>
      <c r="G1278" s="351"/>
      <c r="H1278" s="615"/>
      <c r="I1278" s="351"/>
      <c r="J1278" s="621"/>
      <c r="K1278" s="351"/>
      <c r="L1278" s="615"/>
      <c r="M1278" s="351"/>
      <c r="N1278" s="610"/>
      <c r="O1278" s="351"/>
      <c r="P1278" s="615"/>
      <c r="Q1278" s="351"/>
      <c r="R1278" s="610"/>
      <c r="S1278" s="351"/>
      <c r="T1278" s="615"/>
      <c r="U1278" s="351"/>
      <c r="V1278" s="613" t="str">
        <f>'refer admin discharge'!H1279</f>
        <v>00/00/0000</v>
      </c>
      <c r="W1278" s="351"/>
      <c r="X1278" s="616"/>
      <c r="Y1278" s="351"/>
      <c r="Z1278" s="617"/>
      <c r="AA1278" s="351"/>
      <c r="AB1278" s="616"/>
      <c r="AC1278" s="351"/>
      <c r="AD1278" s="607"/>
      <c r="AE1278" s="351"/>
      <c r="AF1278" s="616"/>
      <c r="AG1278" s="351"/>
      <c r="AH1278" s="607"/>
      <c r="AI1278" s="351"/>
      <c r="AJ1278" s="616"/>
      <c r="AK1278" s="351"/>
      <c r="AL1278" s="622"/>
      <c r="AM1278" s="350"/>
      <c r="AN1278" s="350"/>
      <c r="AO1278" s="350"/>
      <c r="AP1278" s="350"/>
      <c r="AQ1278" s="350"/>
      <c r="AR1278" s="350"/>
      <c r="AS1278" s="350"/>
      <c r="AT1278" s="350"/>
      <c r="AU1278" s="350"/>
      <c r="AV1278" s="350"/>
      <c r="AW1278" s="350"/>
      <c r="AX1278" s="350"/>
      <c r="AY1278" s="350"/>
      <c r="AZ1278" s="350"/>
      <c r="BA1278" s="350"/>
      <c r="BB1278" s="351"/>
    </row>
    <row r="1279" spans="1:54" ht="15.75" customHeight="1">
      <c r="A1279" s="25">
        <f t="shared" si="4"/>
        <v>1266</v>
      </c>
      <c r="B1279" s="599" t="str">
        <f>'refer admin discharge'!B1275</f>
        <v>x</v>
      </c>
      <c r="C1279" s="351"/>
      <c r="D1279" s="600" t="str">
        <f>'refer admin discharge'!D1275</f>
        <v>xx</v>
      </c>
      <c r="E1279" s="351"/>
      <c r="F1279" s="609" t="str">
        <f>'refer admin discharge'!H1275</f>
        <v>00/00/0000</v>
      </c>
      <c r="G1279" s="351"/>
      <c r="H1279" s="610"/>
      <c r="I1279" s="351"/>
      <c r="J1279" s="611"/>
      <c r="K1279" s="351"/>
      <c r="L1279" s="610"/>
      <c r="M1279" s="351"/>
      <c r="N1279" s="612"/>
      <c r="O1279" s="351"/>
      <c r="P1279" s="610"/>
      <c r="Q1279" s="351"/>
      <c r="R1279" s="612"/>
      <c r="S1279" s="351"/>
      <c r="T1279" s="610"/>
      <c r="U1279" s="351"/>
      <c r="V1279" s="613" t="str">
        <f>'refer admin discharge'!H1280</f>
        <v>00/00/0000</v>
      </c>
      <c r="W1279" s="351"/>
      <c r="X1279" s="607"/>
      <c r="Y1279" s="351"/>
      <c r="Z1279" s="614"/>
      <c r="AA1279" s="351"/>
      <c r="AB1279" s="607"/>
      <c r="AC1279" s="351"/>
      <c r="AD1279" s="606"/>
      <c r="AE1279" s="351"/>
      <c r="AF1279" s="607"/>
      <c r="AG1279" s="351"/>
      <c r="AH1279" s="606"/>
      <c r="AI1279" s="351"/>
      <c r="AJ1279" s="607"/>
      <c r="AK1279" s="351"/>
      <c r="AL1279" s="608"/>
      <c r="AM1279" s="350"/>
      <c r="AN1279" s="350"/>
      <c r="AO1279" s="350"/>
      <c r="AP1279" s="350"/>
      <c r="AQ1279" s="350"/>
      <c r="AR1279" s="350"/>
      <c r="AS1279" s="350"/>
      <c r="AT1279" s="350"/>
      <c r="AU1279" s="350"/>
      <c r="AV1279" s="350"/>
      <c r="AW1279" s="350"/>
      <c r="AX1279" s="350"/>
      <c r="AY1279" s="350"/>
      <c r="AZ1279" s="350"/>
      <c r="BA1279" s="350"/>
      <c r="BB1279" s="351"/>
    </row>
    <row r="1280" spans="1:54" ht="15.75" customHeight="1">
      <c r="A1280" s="25">
        <f t="shared" si="4"/>
        <v>1267</v>
      </c>
      <c r="B1280" s="618" t="str">
        <f>'refer admin discharge'!B1276</f>
        <v>x</v>
      </c>
      <c r="C1280" s="351"/>
      <c r="D1280" s="619" t="str">
        <f>'refer admin discharge'!D1276</f>
        <v>xx</v>
      </c>
      <c r="E1280" s="351"/>
      <c r="F1280" s="620" t="str">
        <f>'refer admin discharge'!H1276</f>
        <v>00/00/0000</v>
      </c>
      <c r="G1280" s="351"/>
      <c r="H1280" s="615"/>
      <c r="I1280" s="351"/>
      <c r="J1280" s="621"/>
      <c r="K1280" s="351"/>
      <c r="L1280" s="615"/>
      <c r="M1280" s="351"/>
      <c r="N1280" s="610"/>
      <c r="O1280" s="351"/>
      <c r="P1280" s="615"/>
      <c r="Q1280" s="351"/>
      <c r="R1280" s="610"/>
      <c r="S1280" s="351"/>
      <c r="T1280" s="615"/>
      <c r="U1280" s="351"/>
      <c r="V1280" s="613" t="str">
        <f>'refer admin discharge'!H1281</f>
        <v>00/00/0000</v>
      </c>
      <c r="W1280" s="351"/>
      <c r="X1280" s="616"/>
      <c r="Y1280" s="351"/>
      <c r="Z1280" s="617"/>
      <c r="AA1280" s="351"/>
      <c r="AB1280" s="616"/>
      <c r="AC1280" s="351"/>
      <c r="AD1280" s="607"/>
      <c r="AE1280" s="351"/>
      <c r="AF1280" s="616"/>
      <c r="AG1280" s="351"/>
      <c r="AH1280" s="607"/>
      <c r="AI1280" s="351"/>
      <c r="AJ1280" s="616"/>
      <c r="AK1280" s="351"/>
      <c r="AL1280" s="622"/>
      <c r="AM1280" s="350"/>
      <c r="AN1280" s="350"/>
      <c r="AO1280" s="350"/>
      <c r="AP1280" s="350"/>
      <c r="AQ1280" s="350"/>
      <c r="AR1280" s="350"/>
      <c r="AS1280" s="350"/>
      <c r="AT1280" s="350"/>
      <c r="AU1280" s="350"/>
      <c r="AV1280" s="350"/>
      <c r="AW1280" s="350"/>
      <c r="AX1280" s="350"/>
      <c r="AY1280" s="350"/>
      <c r="AZ1280" s="350"/>
      <c r="BA1280" s="350"/>
      <c r="BB1280" s="351"/>
    </row>
    <row r="1281" spans="1:54" ht="15.75" customHeight="1">
      <c r="A1281" s="25">
        <f t="shared" si="4"/>
        <v>1268</v>
      </c>
      <c r="B1281" s="599" t="str">
        <f>'refer admin discharge'!B1277</f>
        <v>x</v>
      </c>
      <c r="C1281" s="351"/>
      <c r="D1281" s="600" t="str">
        <f>'refer admin discharge'!D1277</f>
        <v>xx</v>
      </c>
      <c r="E1281" s="351"/>
      <c r="F1281" s="609" t="str">
        <f>'refer admin discharge'!H1277</f>
        <v>00/00/0000</v>
      </c>
      <c r="G1281" s="351"/>
      <c r="H1281" s="610"/>
      <c r="I1281" s="351"/>
      <c r="J1281" s="611"/>
      <c r="K1281" s="351"/>
      <c r="L1281" s="610"/>
      <c r="M1281" s="351"/>
      <c r="N1281" s="612"/>
      <c r="O1281" s="351"/>
      <c r="P1281" s="610"/>
      <c r="Q1281" s="351"/>
      <c r="R1281" s="612"/>
      <c r="S1281" s="351"/>
      <c r="T1281" s="610"/>
      <c r="U1281" s="351"/>
      <c r="V1281" s="613" t="str">
        <f>'refer admin discharge'!H1282</f>
        <v>00/00/0000</v>
      </c>
      <c r="W1281" s="351"/>
      <c r="X1281" s="607"/>
      <c r="Y1281" s="351"/>
      <c r="Z1281" s="614"/>
      <c r="AA1281" s="351"/>
      <c r="AB1281" s="607"/>
      <c r="AC1281" s="351"/>
      <c r="AD1281" s="606"/>
      <c r="AE1281" s="351"/>
      <c r="AF1281" s="607"/>
      <c r="AG1281" s="351"/>
      <c r="AH1281" s="606"/>
      <c r="AI1281" s="351"/>
      <c r="AJ1281" s="607"/>
      <c r="AK1281" s="351"/>
      <c r="AL1281" s="608"/>
      <c r="AM1281" s="350"/>
      <c r="AN1281" s="350"/>
      <c r="AO1281" s="350"/>
      <c r="AP1281" s="350"/>
      <c r="AQ1281" s="350"/>
      <c r="AR1281" s="350"/>
      <c r="AS1281" s="350"/>
      <c r="AT1281" s="350"/>
      <c r="AU1281" s="350"/>
      <c r="AV1281" s="350"/>
      <c r="AW1281" s="350"/>
      <c r="AX1281" s="350"/>
      <c r="AY1281" s="350"/>
      <c r="AZ1281" s="350"/>
      <c r="BA1281" s="350"/>
      <c r="BB1281" s="351"/>
    </row>
    <row r="1282" spans="1:54" ht="15.75" customHeight="1">
      <c r="A1282" s="25">
        <f t="shared" si="4"/>
        <v>1269</v>
      </c>
      <c r="B1282" s="618" t="str">
        <f>'refer admin discharge'!B1278</f>
        <v>x</v>
      </c>
      <c r="C1282" s="351"/>
      <c r="D1282" s="619" t="str">
        <f>'refer admin discharge'!D1278</f>
        <v>xx</v>
      </c>
      <c r="E1282" s="351"/>
      <c r="F1282" s="620" t="str">
        <f>'refer admin discharge'!H1278</f>
        <v>00/00/0000</v>
      </c>
      <c r="G1282" s="351"/>
      <c r="H1282" s="615"/>
      <c r="I1282" s="351"/>
      <c r="J1282" s="621"/>
      <c r="K1282" s="351"/>
      <c r="L1282" s="615"/>
      <c r="M1282" s="351"/>
      <c r="N1282" s="610"/>
      <c r="O1282" s="351"/>
      <c r="P1282" s="615"/>
      <c r="Q1282" s="351"/>
      <c r="R1282" s="610"/>
      <c r="S1282" s="351"/>
      <c r="T1282" s="615"/>
      <c r="U1282" s="351"/>
      <c r="V1282" s="613" t="str">
        <f>'refer admin discharge'!H1283</f>
        <v>00/00/0000</v>
      </c>
      <c r="W1282" s="351"/>
      <c r="X1282" s="616"/>
      <c r="Y1282" s="351"/>
      <c r="Z1282" s="617"/>
      <c r="AA1282" s="351"/>
      <c r="AB1282" s="616"/>
      <c r="AC1282" s="351"/>
      <c r="AD1282" s="607"/>
      <c r="AE1282" s="351"/>
      <c r="AF1282" s="616"/>
      <c r="AG1282" s="351"/>
      <c r="AH1282" s="607"/>
      <c r="AI1282" s="351"/>
      <c r="AJ1282" s="616"/>
      <c r="AK1282" s="351"/>
      <c r="AL1282" s="622"/>
      <c r="AM1282" s="350"/>
      <c r="AN1282" s="350"/>
      <c r="AO1282" s="350"/>
      <c r="AP1282" s="350"/>
      <c r="AQ1282" s="350"/>
      <c r="AR1282" s="350"/>
      <c r="AS1282" s="350"/>
      <c r="AT1282" s="350"/>
      <c r="AU1282" s="350"/>
      <c r="AV1282" s="350"/>
      <c r="AW1282" s="350"/>
      <c r="AX1282" s="350"/>
      <c r="AY1282" s="350"/>
      <c r="AZ1282" s="350"/>
      <c r="BA1282" s="350"/>
      <c r="BB1282" s="351"/>
    </row>
    <row r="1283" spans="1:54" ht="15.75" customHeight="1">
      <c r="A1283" s="25">
        <f t="shared" si="4"/>
        <v>1270</v>
      </c>
      <c r="B1283" s="599" t="str">
        <f>'refer admin discharge'!B1279</f>
        <v>x</v>
      </c>
      <c r="C1283" s="351"/>
      <c r="D1283" s="600" t="str">
        <f>'refer admin discharge'!D1279</f>
        <v>xx</v>
      </c>
      <c r="E1283" s="351"/>
      <c r="F1283" s="609" t="str">
        <f>'refer admin discharge'!H1279</f>
        <v>00/00/0000</v>
      </c>
      <c r="G1283" s="351"/>
      <c r="H1283" s="610"/>
      <c r="I1283" s="351"/>
      <c r="J1283" s="611"/>
      <c r="K1283" s="351"/>
      <c r="L1283" s="610"/>
      <c r="M1283" s="351"/>
      <c r="N1283" s="612"/>
      <c r="O1283" s="351"/>
      <c r="P1283" s="610"/>
      <c r="Q1283" s="351"/>
      <c r="R1283" s="612"/>
      <c r="S1283" s="351"/>
      <c r="T1283" s="610"/>
      <c r="U1283" s="351"/>
      <c r="V1283" s="613" t="str">
        <f>'refer admin discharge'!H1284</f>
        <v>00/00/0000</v>
      </c>
      <c r="W1283" s="351"/>
      <c r="X1283" s="607"/>
      <c r="Y1283" s="351"/>
      <c r="Z1283" s="614"/>
      <c r="AA1283" s="351"/>
      <c r="AB1283" s="607"/>
      <c r="AC1283" s="351"/>
      <c r="AD1283" s="606"/>
      <c r="AE1283" s="351"/>
      <c r="AF1283" s="607"/>
      <c r="AG1283" s="351"/>
      <c r="AH1283" s="606"/>
      <c r="AI1283" s="351"/>
      <c r="AJ1283" s="607"/>
      <c r="AK1283" s="351"/>
      <c r="AL1283" s="608"/>
      <c r="AM1283" s="350"/>
      <c r="AN1283" s="350"/>
      <c r="AO1283" s="350"/>
      <c r="AP1283" s="350"/>
      <c r="AQ1283" s="350"/>
      <c r="AR1283" s="350"/>
      <c r="AS1283" s="350"/>
      <c r="AT1283" s="350"/>
      <c r="AU1283" s="350"/>
      <c r="AV1283" s="350"/>
      <c r="AW1283" s="350"/>
      <c r="AX1283" s="350"/>
      <c r="AY1283" s="350"/>
      <c r="AZ1283" s="350"/>
      <c r="BA1283" s="350"/>
      <c r="BB1283" s="351"/>
    </row>
    <row r="1284" spans="1:54" ht="15.75" customHeight="1">
      <c r="A1284" s="25">
        <f t="shared" si="4"/>
        <v>1271</v>
      </c>
      <c r="B1284" s="618" t="str">
        <f>'refer admin discharge'!B1280</f>
        <v>x</v>
      </c>
      <c r="C1284" s="351"/>
      <c r="D1284" s="619" t="str">
        <f>'refer admin discharge'!D1280</f>
        <v>xx</v>
      </c>
      <c r="E1284" s="351"/>
      <c r="F1284" s="620" t="str">
        <f>'refer admin discharge'!H1280</f>
        <v>00/00/0000</v>
      </c>
      <c r="G1284" s="351"/>
      <c r="H1284" s="615"/>
      <c r="I1284" s="351"/>
      <c r="J1284" s="621"/>
      <c r="K1284" s="351"/>
      <c r="L1284" s="615"/>
      <c r="M1284" s="351"/>
      <c r="N1284" s="610"/>
      <c r="O1284" s="351"/>
      <c r="P1284" s="615"/>
      <c r="Q1284" s="351"/>
      <c r="R1284" s="610"/>
      <c r="S1284" s="351"/>
      <c r="T1284" s="615"/>
      <c r="U1284" s="351"/>
      <c r="V1284" s="613" t="str">
        <f>'refer admin discharge'!H1285</f>
        <v>00/00/0000</v>
      </c>
      <c r="W1284" s="351"/>
      <c r="X1284" s="616"/>
      <c r="Y1284" s="351"/>
      <c r="Z1284" s="617"/>
      <c r="AA1284" s="351"/>
      <c r="AB1284" s="616"/>
      <c r="AC1284" s="351"/>
      <c r="AD1284" s="607"/>
      <c r="AE1284" s="351"/>
      <c r="AF1284" s="616"/>
      <c r="AG1284" s="351"/>
      <c r="AH1284" s="607"/>
      <c r="AI1284" s="351"/>
      <c r="AJ1284" s="616"/>
      <c r="AK1284" s="351"/>
      <c r="AL1284" s="622"/>
      <c r="AM1284" s="350"/>
      <c r="AN1284" s="350"/>
      <c r="AO1284" s="350"/>
      <c r="AP1284" s="350"/>
      <c r="AQ1284" s="350"/>
      <c r="AR1284" s="350"/>
      <c r="AS1284" s="350"/>
      <c r="AT1284" s="350"/>
      <c r="AU1284" s="350"/>
      <c r="AV1284" s="350"/>
      <c r="AW1284" s="350"/>
      <c r="AX1284" s="350"/>
      <c r="AY1284" s="350"/>
      <c r="AZ1284" s="350"/>
      <c r="BA1284" s="350"/>
      <c r="BB1284" s="351"/>
    </row>
    <row r="1285" spans="1:54" ht="15.75" customHeight="1">
      <c r="A1285" s="25">
        <f t="shared" si="4"/>
        <v>1272</v>
      </c>
      <c r="B1285" s="599" t="str">
        <f>'refer admin discharge'!B1281</f>
        <v>x</v>
      </c>
      <c r="C1285" s="351"/>
      <c r="D1285" s="600" t="str">
        <f>'refer admin discharge'!D1281</f>
        <v>xx</v>
      </c>
      <c r="E1285" s="351"/>
      <c r="F1285" s="609" t="str">
        <f>'refer admin discharge'!H1281</f>
        <v>00/00/0000</v>
      </c>
      <c r="G1285" s="351"/>
      <c r="H1285" s="610"/>
      <c r="I1285" s="351"/>
      <c r="J1285" s="611"/>
      <c r="K1285" s="351"/>
      <c r="L1285" s="610"/>
      <c r="M1285" s="351"/>
      <c r="N1285" s="612"/>
      <c r="O1285" s="351"/>
      <c r="P1285" s="610"/>
      <c r="Q1285" s="351"/>
      <c r="R1285" s="612"/>
      <c r="S1285" s="351"/>
      <c r="T1285" s="610"/>
      <c r="U1285" s="351"/>
      <c r="V1285" s="613" t="str">
        <f>'refer admin discharge'!H1286</f>
        <v>00/00/0000</v>
      </c>
      <c r="W1285" s="351"/>
      <c r="X1285" s="607"/>
      <c r="Y1285" s="351"/>
      <c r="Z1285" s="614"/>
      <c r="AA1285" s="351"/>
      <c r="AB1285" s="607"/>
      <c r="AC1285" s="351"/>
      <c r="AD1285" s="606"/>
      <c r="AE1285" s="351"/>
      <c r="AF1285" s="607"/>
      <c r="AG1285" s="351"/>
      <c r="AH1285" s="606"/>
      <c r="AI1285" s="351"/>
      <c r="AJ1285" s="607"/>
      <c r="AK1285" s="351"/>
      <c r="AL1285" s="608"/>
      <c r="AM1285" s="350"/>
      <c r="AN1285" s="350"/>
      <c r="AO1285" s="350"/>
      <c r="AP1285" s="350"/>
      <c r="AQ1285" s="350"/>
      <c r="AR1285" s="350"/>
      <c r="AS1285" s="350"/>
      <c r="AT1285" s="350"/>
      <c r="AU1285" s="350"/>
      <c r="AV1285" s="350"/>
      <c r="AW1285" s="350"/>
      <c r="AX1285" s="350"/>
      <c r="AY1285" s="350"/>
      <c r="AZ1285" s="350"/>
      <c r="BA1285" s="350"/>
      <c r="BB1285" s="351"/>
    </row>
    <row r="1286" spans="1:54" ht="15.75" customHeight="1">
      <c r="A1286" s="25">
        <f t="shared" si="4"/>
        <v>1273</v>
      </c>
      <c r="B1286" s="618" t="str">
        <f>'refer admin discharge'!B1282</f>
        <v>x</v>
      </c>
      <c r="C1286" s="351"/>
      <c r="D1286" s="619" t="str">
        <f>'refer admin discharge'!D1282</f>
        <v>xx</v>
      </c>
      <c r="E1286" s="351"/>
      <c r="F1286" s="620" t="str">
        <f>'refer admin discharge'!H1282</f>
        <v>00/00/0000</v>
      </c>
      <c r="G1286" s="351"/>
      <c r="H1286" s="615"/>
      <c r="I1286" s="351"/>
      <c r="J1286" s="621"/>
      <c r="K1286" s="351"/>
      <c r="L1286" s="615"/>
      <c r="M1286" s="351"/>
      <c r="N1286" s="610"/>
      <c r="O1286" s="351"/>
      <c r="P1286" s="615"/>
      <c r="Q1286" s="351"/>
      <c r="R1286" s="610"/>
      <c r="S1286" s="351"/>
      <c r="T1286" s="615"/>
      <c r="U1286" s="351"/>
      <c r="V1286" s="613" t="str">
        <f>'refer admin discharge'!H1287</f>
        <v>00/00/0000</v>
      </c>
      <c r="W1286" s="351"/>
      <c r="X1286" s="616"/>
      <c r="Y1286" s="351"/>
      <c r="Z1286" s="617"/>
      <c r="AA1286" s="351"/>
      <c r="AB1286" s="616"/>
      <c r="AC1286" s="351"/>
      <c r="AD1286" s="607"/>
      <c r="AE1286" s="351"/>
      <c r="AF1286" s="616"/>
      <c r="AG1286" s="351"/>
      <c r="AH1286" s="607"/>
      <c r="AI1286" s="351"/>
      <c r="AJ1286" s="616"/>
      <c r="AK1286" s="351"/>
      <c r="AL1286" s="622"/>
      <c r="AM1286" s="350"/>
      <c r="AN1286" s="350"/>
      <c r="AO1286" s="350"/>
      <c r="AP1286" s="350"/>
      <c r="AQ1286" s="350"/>
      <c r="AR1286" s="350"/>
      <c r="AS1286" s="350"/>
      <c r="AT1286" s="350"/>
      <c r="AU1286" s="350"/>
      <c r="AV1286" s="350"/>
      <c r="AW1286" s="350"/>
      <c r="AX1286" s="350"/>
      <c r="AY1286" s="350"/>
      <c r="AZ1286" s="350"/>
      <c r="BA1286" s="350"/>
      <c r="BB1286" s="351"/>
    </row>
    <row r="1287" spans="1:54" ht="15.75" customHeight="1">
      <c r="A1287" s="25">
        <f t="shared" si="4"/>
        <v>1274</v>
      </c>
      <c r="B1287" s="599" t="str">
        <f>'refer admin discharge'!B1283</f>
        <v>x</v>
      </c>
      <c r="C1287" s="351"/>
      <c r="D1287" s="600" t="str">
        <f>'refer admin discharge'!D1283</f>
        <v>xx</v>
      </c>
      <c r="E1287" s="351"/>
      <c r="F1287" s="609" t="str">
        <f>'refer admin discharge'!H1283</f>
        <v>00/00/0000</v>
      </c>
      <c r="G1287" s="351"/>
      <c r="H1287" s="610"/>
      <c r="I1287" s="351"/>
      <c r="J1287" s="611"/>
      <c r="K1287" s="351"/>
      <c r="L1287" s="610"/>
      <c r="M1287" s="351"/>
      <c r="N1287" s="612"/>
      <c r="O1287" s="351"/>
      <c r="P1287" s="610"/>
      <c r="Q1287" s="351"/>
      <c r="R1287" s="612"/>
      <c r="S1287" s="351"/>
      <c r="T1287" s="610"/>
      <c r="U1287" s="351"/>
      <c r="V1287" s="613" t="str">
        <f>'refer admin discharge'!H1288</f>
        <v>00/00/0000</v>
      </c>
      <c r="W1287" s="351"/>
      <c r="X1287" s="607"/>
      <c r="Y1287" s="351"/>
      <c r="Z1287" s="614"/>
      <c r="AA1287" s="351"/>
      <c r="AB1287" s="607"/>
      <c r="AC1287" s="351"/>
      <c r="AD1287" s="606"/>
      <c r="AE1287" s="351"/>
      <c r="AF1287" s="607"/>
      <c r="AG1287" s="351"/>
      <c r="AH1287" s="606"/>
      <c r="AI1287" s="351"/>
      <c r="AJ1287" s="607"/>
      <c r="AK1287" s="351"/>
      <c r="AL1287" s="608"/>
      <c r="AM1287" s="350"/>
      <c r="AN1287" s="350"/>
      <c r="AO1287" s="350"/>
      <c r="AP1287" s="350"/>
      <c r="AQ1287" s="350"/>
      <c r="AR1287" s="350"/>
      <c r="AS1287" s="350"/>
      <c r="AT1287" s="350"/>
      <c r="AU1287" s="350"/>
      <c r="AV1287" s="350"/>
      <c r="AW1287" s="350"/>
      <c r="AX1287" s="350"/>
      <c r="AY1287" s="350"/>
      <c r="AZ1287" s="350"/>
      <c r="BA1287" s="350"/>
      <c r="BB1287" s="351"/>
    </row>
    <row r="1288" spans="1:54" ht="15.75" customHeight="1">
      <c r="A1288" s="25">
        <f t="shared" si="4"/>
        <v>1275</v>
      </c>
      <c r="B1288" s="618" t="str">
        <f>'refer admin discharge'!B1284</f>
        <v>x</v>
      </c>
      <c r="C1288" s="351"/>
      <c r="D1288" s="619" t="str">
        <f>'refer admin discharge'!D1284</f>
        <v>xx</v>
      </c>
      <c r="E1288" s="351"/>
      <c r="F1288" s="620" t="str">
        <f>'refer admin discharge'!H1284</f>
        <v>00/00/0000</v>
      </c>
      <c r="G1288" s="351"/>
      <c r="H1288" s="615"/>
      <c r="I1288" s="351"/>
      <c r="J1288" s="621"/>
      <c r="K1288" s="351"/>
      <c r="L1288" s="615"/>
      <c r="M1288" s="351"/>
      <c r="N1288" s="610"/>
      <c r="O1288" s="351"/>
      <c r="P1288" s="615"/>
      <c r="Q1288" s="351"/>
      <c r="R1288" s="610"/>
      <c r="S1288" s="351"/>
      <c r="T1288" s="615"/>
      <c r="U1288" s="351"/>
      <c r="V1288" s="613" t="str">
        <f>'refer admin discharge'!H1289</f>
        <v>00/00/0000</v>
      </c>
      <c r="W1288" s="351"/>
      <c r="X1288" s="616"/>
      <c r="Y1288" s="351"/>
      <c r="Z1288" s="617"/>
      <c r="AA1288" s="351"/>
      <c r="AB1288" s="616"/>
      <c r="AC1288" s="351"/>
      <c r="AD1288" s="607"/>
      <c r="AE1288" s="351"/>
      <c r="AF1288" s="616"/>
      <c r="AG1288" s="351"/>
      <c r="AH1288" s="607"/>
      <c r="AI1288" s="351"/>
      <c r="AJ1288" s="616"/>
      <c r="AK1288" s="351"/>
      <c r="AL1288" s="622"/>
      <c r="AM1288" s="350"/>
      <c r="AN1288" s="350"/>
      <c r="AO1288" s="350"/>
      <c r="AP1288" s="350"/>
      <c r="AQ1288" s="350"/>
      <c r="AR1288" s="350"/>
      <c r="AS1288" s="350"/>
      <c r="AT1288" s="350"/>
      <c r="AU1288" s="350"/>
      <c r="AV1288" s="350"/>
      <c r="AW1288" s="350"/>
      <c r="AX1288" s="350"/>
      <c r="AY1288" s="350"/>
      <c r="AZ1288" s="350"/>
      <c r="BA1288" s="350"/>
      <c r="BB1288" s="351"/>
    </row>
    <row r="1289" spans="1:54" ht="15.75" customHeight="1">
      <c r="A1289" s="25">
        <f t="shared" ref="A1289:A1543" si="5">ROW(A1276)</f>
        <v>1276</v>
      </c>
      <c r="B1289" s="599" t="str">
        <f>'refer admin discharge'!B1285</f>
        <v>x</v>
      </c>
      <c r="C1289" s="351"/>
      <c r="D1289" s="600" t="str">
        <f>'refer admin discharge'!D1285</f>
        <v>xx</v>
      </c>
      <c r="E1289" s="351"/>
      <c r="F1289" s="609" t="str">
        <f>'refer admin discharge'!H1285</f>
        <v>00/00/0000</v>
      </c>
      <c r="G1289" s="351"/>
      <c r="H1289" s="610"/>
      <c r="I1289" s="351"/>
      <c r="J1289" s="611"/>
      <c r="K1289" s="351"/>
      <c r="L1289" s="610"/>
      <c r="M1289" s="351"/>
      <c r="N1289" s="612"/>
      <c r="O1289" s="351"/>
      <c r="P1289" s="610"/>
      <c r="Q1289" s="351"/>
      <c r="R1289" s="612"/>
      <c r="S1289" s="351"/>
      <c r="T1289" s="610"/>
      <c r="U1289" s="351"/>
      <c r="V1289" s="613" t="str">
        <f>'refer admin discharge'!H1290</f>
        <v>00/00/0000</v>
      </c>
      <c r="W1289" s="351"/>
      <c r="X1289" s="607"/>
      <c r="Y1289" s="351"/>
      <c r="Z1289" s="614"/>
      <c r="AA1289" s="351"/>
      <c r="AB1289" s="607"/>
      <c r="AC1289" s="351"/>
      <c r="AD1289" s="606"/>
      <c r="AE1289" s="351"/>
      <c r="AF1289" s="607"/>
      <c r="AG1289" s="351"/>
      <c r="AH1289" s="606"/>
      <c r="AI1289" s="351"/>
      <c r="AJ1289" s="607"/>
      <c r="AK1289" s="351"/>
      <c r="AL1289" s="608"/>
      <c r="AM1289" s="350"/>
      <c r="AN1289" s="350"/>
      <c r="AO1289" s="350"/>
      <c r="AP1289" s="350"/>
      <c r="AQ1289" s="350"/>
      <c r="AR1289" s="350"/>
      <c r="AS1289" s="350"/>
      <c r="AT1289" s="350"/>
      <c r="AU1289" s="350"/>
      <c r="AV1289" s="350"/>
      <c r="AW1289" s="350"/>
      <c r="AX1289" s="350"/>
      <c r="AY1289" s="350"/>
      <c r="AZ1289" s="350"/>
      <c r="BA1289" s="350"/>
      <c r="BB1289" s="351"/>
    </row>
    <row r="1290" spans="1:54" ht="15.75" customHeight="1">
      <c r="A1290" s="25">
        <f t="shared" si="5"/>
        <v>1277</v>
      </c>
      <c r="B1290" s="618" t="str">
        <f>'refer admin discharge'!B1286</f>
        <v>x</v>
      </c>
      <c r="C1290" s="351"/>
      <c r="D1290" s="619" t="str">
        <f>'refer admin discharge'!D1286</f>
        <v>xx</v>
      </c>
      <c r="E1290" s="351"/>
      <c r="F1290" s="620" t="str">
        <f>'refer admin discharge'!H1286</f>
        <v>00/00/0000</v>
      </c>
      <c r="G1290" s="351"/>
      <c r="H1290" s="615"/>
      <c r="I1290" s="351"/>
      <c r="J1290" s="621"/>
      <c r="K1290" s="351"/>
      <c r="L1290" s="615"/>
      <c r="M1290" s="351"/>
      <c r="N1290" s="610"/>
      <c r="O1290" s="351"/>
      <c r="P1290" s="615"/>
      <c r="Q1290" s="351"/>
      <c r="R1290" s="610"/>
      <c r="S1290" s="351"/>
      <c r="T1290" s="615"/>
      <c r="U1290" s="351"/>
      <c r="V1290" s="613" t="str">
        <f>'refer admin discharge'!H1291</f>
        <v>00/00/0000</v>
      </c>
      <c r="W1290" s="351"/>
      <c r="X1290" s="616"/>
      <c r="Y1290" s="351"/>
      <c r="Z1290" s="617"/>
      <c r="AA1290" s="351"/>
      <c r="AB1290" s="616"/>
      <c r="AC1290" s="351"/>
      <c r="AD1290" s="607"/>
      <c r="AE1290" s="351"/>
      <c r="AF1290" s="616"/>
      <c r="AG1290" s="351"/>
      <c r="AH1290" s="607"/>
      <c r="AI1290" s="351"/>
      <c r="AJ1290" s="616"/>
      <c r="AK1290" s="351"/>
      <c r="AL1290" s="622"/>
      <c r="AM1290" s="350"/>
      <c r="AN1290" s="350"/>
      <c r="AO1290" s="350"/>
      <c r="AP1290" s="350"/>
      <c r="AQ1290" s="350"/>
      <c r="AR1290" s="350"/>
      <c r="AS1290" s="350"/>
      <c r="AT1290" s="350"/>
      <c r="AU1290" s="350"/>
      <c r="AV1290" s="350"/>
      <c r="AW1290" s="350"/>
      <c r="AX1290" s="350"/>
      <c r="AY1290" s="350"/>
      <c r="AZ1290" s="350"/>
      <c r="BA1290" s="350"/>
      <c r="BB1290" s="351"/>
    </row>
    <row r="1291" spans="1:54" ht="15.75" customHeight="1">
      <c r="A1291" s="25">
        <f t="shared" si="5"/>
        <v>1278</v>
      </c>
      <c r="B1291" s="599" t="str">
        <f>'refer admin discharge'!B1287</f>
        <v>x</v>
      </c>
      <c r="C1291" s="351"/>
      <c r="D1291" s="600" t="str">
        <f>'refer admin discharge'!D1287</f>
        <v>xx</v>
      </c>
      <c r="E1291" s="351"/>
      <c r="F1291" s="609" t="str">
        <f>'refer admin discharge'!H1287</f>
        <v>00/00/0000</v>
      </c>
      <c r="G1291" s="351"/>
      <c r="H1291" s="610"/>
      <c r="I1291" s="351"/>
      <c r="J1291" s="611"/>
      <c r="K1291" s="351"/>
      <c r="L1291" s="610"/>
      <c r="M1291" s="351"/>
      <c r="N1291" s="612"/>
      <c r="O1291" s="351"/>
      <c r="P1291" s="610"/>
      <c r="Q1291" s="351"/>
      <c r="R1291" s="612"/>
      <c r="S1291" s="351"/>
      <c r="T1291" s="610"/>
      <c r="U1291" s="351"/>
      <c r="V1291" s="613" t="str">
        <f>'refer admin discharge'!H1292</f>
        <v>00/00/0000</v>
      </c>
      <c r="W1291" s="351"/>
      <c r="X1291" s="607"/>
      <c r="Y1291" s="351"/>
      <c r="Z1291" s="614"/>
      <c r="AA1291" s="351"/>
      <c r="AB1291" s="607"/>
      <c r="AC1291" s="351"/>
      <c r="AD1291" s="606"/>
      <c r="AE1291" s="351"/>
      <c r="AF1291" s="607"/>
      <c r="AG1291" s="351"/>
      <c r="AH1291" s="606"/>
      <c r="AI1291" s="351"/>
      <c r="AJ1291" s="607"/>
      <c r="AK1291" s="351"/>
      <c r="AL1291" s="608"/>
      <c r="AM1291" s="350"/>
      <c r="AN1291" s="350"/>
      <c r="AO1291" s="350"/>
      <c r="AP1291" s="350"/>
      <c r="AQ1291" s="350"/>
      <c r="AR1291" s="350"/>
      <c r="AS1291" s="350"/>
      <c r="AT1291" s="350"/>
      <c r="AU1291" s="350"/>
      <c r="AV1291" s="350"/>
      <c r="AW1291" s="350"/>
      <c r="AX1291" s="350"/>
      <c r="AY1291" s="350"/>
      <c r="AZ1291" s="350"/>
      <c r="BA1291" s="350"/>
      <c r="BB1291" s="351"/>
    </row>
    <row r="1292" spans="1:54" ht="15.75" customHeight="1">
      <c r="A1292" s="25">
        <f t="shared" si="5"/>
        <v>1279</v>
      </c>
      <c r="B1292" s="618" t="str">
        <f>'refer admin discharge'!B1288</f>
        <v>x</v>
      </c>
      <c r="C1292" s="351"/>
      <c r="D1292" s="619" t="str">
        <f>'refer admin discharge'!D1288</f>
        <v>xx</v>
      </c>
      <c r="E1292" s="351"/>
      <c r="F1292" s="620" t="str">
        <f>'refer admin discharge'!H1288</f>
        <v>00/00/0000</v>
      </c>
      <c r="G1292" s="351"/>
      <c r="H1292" s="615"/>
      <c r="I1292" s="351"/>
      <c r="J1292" s="621"/>
      <c r="K1292" s="351"/>
      <c r="L1292" s="615"/>
      <c r="M1292" s="351"/>
      <c r="N1292" s="610"/>
      <c r="O1292" s="351"/>
      <c r="P1292" s="615"/>
      <c r="Q1292" s="351"/>
      <c r="R1292" s="610"/>
      <c r="S1292" s="351"/>
      <c r="T1292" s="615"/>
      <c r="U1292" s="351"/>
      <c r="V1292" s="613" t="str">
        <f>'refer admin discharge'!H1293</f>
        <v>00/00/0000</v>
      </c>
      <c r="W1292" s="351"/>
      <c r="X1292" s="616"/>
      <c r="Y1292" s="351"/>
      <c r="Z1292" s="617"/>
      <c r="AA1292" s="351"/>
      <c r="AB1292" s="616"/>
      <c r="AC1292" s="351"/>
      <c r="AD1292" s="607"/>
      <c r="AE1292" s="351"/>
      <c r="AF1292" s="616"/>
      <c r="AG1292" s="351"/>
      <c r="AH1292" s="607"/>
      <c r="AI1292" s="351"/>
      <c r="AJ1292" s="616"/>
      <c r="AK1292" s="351"/>
      <c r="AL1292" s="622"/>
      <c r="AM1292" s="350"/>
      <c r="AN1292" s="350"/>
      <c r="AO1292" s="350"/>
      <c r="AP1292" s="350"/>
      <c r="AQ1292" s="350"/>
      <c r="AR1292" s="350"/>
      <c r="AS1292" s="350"/>
      <c r="AT1292" s="350"/>
      <c r="AU1292" s="350"/>
      <c r="AV1292" s="350"/>
      <c r="AW1292" s="350"/>
      <c r="AX1292" s="350"/>
      <c r="AY1292" s="350"/>
      <c r="AZ1292" s="350"/>
      <c r="BA1292" s="350"/>
      <c r="BB1292" s="351"/>
    </row>
    <row r="1293" spans="1:54" ht="15.75" customHeight="1">
      <c r="A1293" s="25">
        <f t="shared" si="5"/>
        <v>1280</v>
      </c>
      <c r="B1293" s="599" t="str">
        <f>'refer admin discharge'!B1289</f>
        <v>x</v>
      </c>
      <c r="C1293" s="351"/>
      <c r="D1293" s="600" t="str">
        <f>'refer admin discharge'!D1289</f>
        <v>xx</v>
      </c>
      <c r="E1293" s="351"/>
      <c r="F1293" s="609" t="str">
        <f>'refer admin discharge'!H1289</f>
        <v>00/00/0000</v>
      </c>
      <c r="G1293" s="351"/>
      <c r="H1293" s="610"/>
      <c r="I1293" s="351"/>
      <c r="J1293" s="611"/>
      <c r="K1293" s="351"/>
      <c r="L1293" s="610"/>
      <c r="M1293" s="351"/>
      <c r="N1293" s="612"/>
      <c r="O1293" s="351"/>
      <c r="P1293" s="610"/>
      <c r="Q1293" s="351"/>
      <c r="R1293" s="612"/>
      <c r="S1293" s="351"/>
      <c r="T1293" s="610"/>
      <c r="U1293" s="351"/>
      <c r="V1293" s="613" t="str">
        <f>'refer admin discharge'!H1294</f>
        <v>00/00/0000</v>
      </c>
      <c r="W1293" s="351"/>
      <c r="X1293" s="607"/>
      <c r="Y1293" s="351"/>
      <c r="Z1293" s="614"/>
      <c r="AA1293" s="351"/>
      <c r="AB1293" s="607"/>
      <c r="AC1293" s="351"/>
      <c r="AD1293" s="606"/>
      <c r="AE1293" s="351"/>
      <c r="AF1293" s="607"/>
      <c r="AG1293" s="351"/>
      <c r="AH1293" s="606"/>
      <c r="AI1293" s="351"/>
      <c r="AJ1293" s="607"/>
      <c r="AK1293" s="351"/>
      <c r="AL1293" s="608"/>
      <c r="AM1293" s="350"/>
      <c r="AN1293" s="350"/>
      <c r="AO1293" s="350"/>
      <c r="AP1293" s="350"/>
      <c r="AQ1293" s="350"/>
      <c r="AR1293" s="350"/>
      <c r="AS1293" s="350"/>
      <c r="AT1293" s="350"/>
      <c r="AU1293" s="350"/>
      <c r="AV1293" s="350"/>
      <c r="AW1293" s="350"/>
      <c r="AX1293" s="350"/>
      <c r="AY1293" s="350"/>
      <c r="AZ1293" s="350"/>
      <c r="BA1293" s="350"/>
      <c r="BB1293" s="351"/>
    </row>
    <row r="1294" spans="1:54" ht="15.75" customHeight="1">
      <c r="A1294" s="25">
        <f t="shared" si="5"/>
        <v>1281</v>
      </c>
      <c r="B1294" s="618" t="str">
        <f>'refer admin discharge'!B1290</f>
        <v>x</v>
      </c>
      <c r="C1294" s="351"/>
      <c r="D1294" s="619" t="str">
        <f>'refer admin discharge'!D1290</f>
        <v>xx</v>
      </c>
      <c r="E1294" s="351"/>
      <c r="F1294" s="620" t="str">
        <f>'refer admin discharge'!H1290</f>
        <v>00/00/0000</v>
      </c>
      <c r="G1294" s="351"/>
      <c r="H1294" s="615"/>
      <c r="I1294" s="351"/>
      <c r="J1294" s="621"/>
      <c r="K1294" s="351"/>
      <c r="L1294" s="615"/>
      <c r="M1294" s="351"/>
      <c r="N1294" s="610"/>
      <c r="O1294" s="351"/>
      <c r="P1294" s="615"/>
      <c r="Q1294" s="351"/>
      <c r="R1294" s="610"/>
      <c r="S1294" s="351"/>
      <c r="T1294" s="615"/>
      <c r="U1294" s="351"/>
      <c r="V1294" s="613" t="str">
        <f>'refer admin discharge'!H1295</f>
        <v>00/00/0000</v>
      </c>
      <c r="W1294" s="351"/>
      <c r="X1294" s="616"/>
      <c r="Y1294" s="351"/>
      <c r="Z1294" s="617"/>
      <c r="AA1294" s="351"/>
      <c r="AB1294" s="616"/>
      <c r="AC1294" s="351"/>
      <c r="AD1294" s="607"/>
      <c r="AE1294" s="351"/>
      <c r="AF1294" s="616"/>
      <c r="AG1294" s="351"/>
      <c r="AH1294" s="607"/>
      <c r="AI1294" s="351"/>
      <c r="AJ1294" s="616"/>
      <c r="AK1294" s="351"/>
      <c r="AL1294" s="622"/>
      <c r="AM1294" s="350"/>
      <c r="AN1294" s="350"/>
      <c r="AO1294" s="350"/>
      <c r="AP1294" s="350"/>
      <c r="AQ1294" s="350"/>
      <c r="AR1294" s="350"/>
      <c r="AS1294" s="350"/>
      <c r="AT1294" s="350"/>
      <c r="AU1294" s="350"/>
      <c r="AV1294" s="350"/>
      <c r="AW1294" s="350"/>
      <c r="AX1294" s="350"/>
      <c r="AY1294" s="350"/>
      <c r="AZ1294" s="350"/>
      <c r="BA1294" s="350"/>
      <c r="BB1294" s="351"/>
    </row>
    <row r="1295" spans="1:54" ht="15.75" customHeight="1">
      <c r="A1295" s="25">
        <f t="shared" si="5"/>
        <v>1282</v>
      </c>
      <c r="B1295" s="599" t="str">
        <f>'refer admin discharge'!B1291</f>
        <v>x</v>
      </c>
      <c r="C1295" s="351"/>
      <c r="D1295" s="600" t="str">
        <f>'refer admin discharge'!D1291</f>
        <v>xx</v>
      </c>
      <c r="E1295" s="351"/>
      <c r="F1295" s="609" t="str">
        <f>'refer admin discharge'!H1291</f>
        <v>00/00/0000</v>
      </c>
      <c r="G1295" s="351"/>
      <c r="H1295" s="610"/>
      <c r="I1295" s="351"/>
      <c r="J1295" s="611"/>
      <c r="K1295" s="351"/>
      <c r="L1295" s="610"/>
      <c r="M1295" s="351"/>
      <c r="N1295" s="612"/>
      <c r="O1295" s="351"/>
      <c r="P1295" s="610"/>
      <c r="Q1295" s="351"/>
      <c r="R1295" s="612"/>
      <c r="S1295" s="351"/>
      <c r="T1295" s="610"/>
      <c r="U1295" s="351"/>
      <c r="V1295" s="613" t="str">
        <f>'refer admin discharge'!H1296</f>
        <v>00/00/0000</v>
      </c>
      <c r="W1295" s="351"/>
      <c r="X1295" s="607"/>
      <c r="Y1295" s="351"/>
      <c r="Z1295" s="614"/>
      <c r="AA1295" s="351"/>
      <c r="AB1295" s="607"/>
      <c r="AC1295" s="351"/>
      <c r="AD1295" s="606"/>
      <c r="AE1295" s="351"/>
      <c r="AF1295" s="607"/>
      <c r="AG1295" s="351"/>
      <c r="AH1295" s="606"/>
      <c r="AI1295" s="351"/>
      <c r="AJ1295" s="607"/>
      <c r="AK1295" s="351"/>
      <c r="AL1295" s="608"/>
      <c r="AM1295" s="350"/>
      <c r="AN1295" s="350"/>
      <c r="AO1295" s="350"/>
      <c r="AP1295" s="350"/>
      <c r="AQ1295" s="350"/>
      <c r="AR1295" s="350"/>
      <c r="AS1295" s="350"/>
      <c r="AT1295" s="350"/>
      <c r="AU1295" s="350"/>
      <c r="AV1295" s="350"/>
      <c r="AW1295" s="350"/>
      <c r="AX1295" s="350"/>
      <c r="AY1295" s="350"/>
      <c r="AZ1295" s="350"/>
      <c r="BA1295" s="350"/>
      <c r="BB1295" s="351"/>
    </row>
    <row r="1296" spans="1:54" ht="15.75" customHeight="1">
      <c r="A1296" s="25">
        <f t="shared" si="5"/>
        <v>1283</v>
      </c>
      <c r="B1296" s="618" t="str">
        <f>'refer admin discharge'!B1292</f>
        <v>x</v>
      </c>
      <c r="C1296" s="351"/>
      <c r="D1296" s="619" t="str">
        <f>'refer admin discharge'!D1292</f>
        <v>xx</v>
      </c>
      <c r="E1296" s="351"/>
      <c r="F1296" s="620" t="str">
        <f>'refer admin discharge'!H1292</f>
        <v>00/00/0000</v>
      </c>
      <c r="G1296" s="351"/>
      <c r="H1296" s="615"/>
      <c r="I1296" s="351"/>
      <c r="J1296" s="621"/>
      <c r="K1296" s="351"/>
      <c r="L1296" s="615"/>
      <c r="M1296" s="351"/>
      <c r="N1296" s="610"/>
      <c r="O1296" s="351"/>
      <c r="P1296" s="615"/>
      <c r="Q1296" s="351"/>
      <c r="R1296" s="610"/>
      <c r="S1296" s="351"/>
      <c r="T1296" s="615"/>
      <c r="U1296" s="351"/>
      <c r="V1296" s="613" t="str">
        <f>'refer admin discharge'!H1297</f>
        <v>00/00/0000</v>
      </c>
      <c r="W1296" s="351"/>
      <c r="X1296" s="616"/>
      <c r="Y1296" s="351"/>
      <c r="Z1296" s="617"/>
      <c r="AA1296" s="351"/>
      <c r="AB1296" s="616"/>
      <c r="AC1296" s="351"/>
      <c r="AD1296" s="607"/>
      <c r="AE1296" s="351"/>
      <c r="AF1296" s="616"/>
      <c r="AG1296" s="351"/>
      <c r="AH1296" s="607"/>
      <c r="AI1296" s="351"/>
      <c r="AJ1296" s="616"/>
      <c r="AK1296" s="351"/>
      <c r="AL1296" s="622"/>
      <c r="AM1296" s="350"/>
      <c r="AN1296" s="350"/>
      <c r="AO1296" s="350"/>
      <c r="AP1296" s="350"/>
      <c r="AQ1296" s="350"/>
      <c r="AR1296" s="350"/>
      <c r="AS1296" s="350"/>
      <c r="AT1296" s="350"/>
      <c r="AU1296" s="350"/>
      <c r="AV1296" s="350"/>
      <c r="AW1296" s="350"/>
      <c r="AX1296" s="350"/>
      <c r="AY1296" s="350"/>
      <c r="AZ1296" s="350"/>
      <c r="BA1296" s="350"/>
      <c r="BB1296" s="351"/>
    </row>
    <row r="1297" spans="1:54" ht="15.75" customHeight="1">
      <c r="A1297" s="25">
        <f t="shared" si="5"/>
        <v>1284</v>
      </c>
      <c r="B1297" s="599" t="str">
        <f>'refer admin discharge'!B1293</f>
        <v>x</v>
      </c>
      <c r="C1297" s="351"/>
      <c r="D1297" s="600" t="str">
        <f>'refer admin discharge'!D1293</f>
        <v>xx</v>
      </c>
      <c r="E1297" s="351"/>
      <c r="F1297" s="609" t="str">
        <f>'refer admin discharge'!H1293</f>
        <v>00/00/0000</v>
      </c>
      <c r="G1297" s="351"/>
      <c r="H1297" s="610"/>
      <c r="I1297" s="351"/>
      <c r="J1297" s="611"/>
      <c r="K1297" s="351"/>
      <c r="L1297" s="610"/>
      <c r="M1297" s="351"/>
      <c r="N1297" s="612"/>
      <c r="O1297" s="351"/>
      <c r="P1297" s="610"/>
      <c r="Q1297" s="351"/>
      <c r="R1297" s="612"/>
      <c r="S1297" s="351"/>
      <c r="T1297" s="610"/>
      <c r="U1297" s="351"/>
      <c r="V1297" s="613" t="str">
        <f>'refer admin discharge'!H1298</f>
        <v>00/00/0000</v>
      </c>
      <c r="W1297" s="351"/>
      <c r="X1297" s="607"/>
      <c r="Y1297" s="351"/>
      <c r="Z1297" s="614"/>
      <c r="AA1297" s="351"/>
      <c r="AB1297" s="607"/>
      <c r="AC1297" s="351"/>
      <c r="AD1297" s="606"/>
      <c r="AE1297" s="351"/>
      <c r="AF1297" s="607"/>
      <c r="AG1297" s="351"/>
      <c r="AH1297" s="606"/>
      <c r="AI1297" s="351"/>
      <c r="AJ1297" s="607"/>
      <c r="AK1297" s="351"/>
      <c r="AL1297" s="608"/>
      <c r="AM1297" s="350"/>
      <c r="AN1297" s="350"/>
      <c r="AO1297" s="350"/>
      <c r="AP1297" s="350"/>
      <c r="AQ1297" s="350"/>
      <c r="AR1297" s="350"/>
      <c r="AS1297" s="350"/>
      <c r="AT1297" s="350"/>
      <c r="AU1297" s="350"/>
      <c r="AV1297" s="350"/>
      <c r="AW1297" s="350"/>
      <c r="AX1297" s="350"/>
      <c r="AY1297" s="350"/>
      <c r="AZ1297" s="350"/>
      <c r="BA1297" s="350"/>
      <c r="BB1297" s="351"/>
    </row>
    <row r="1298" spans="1:54" ht="15.75" customHeight="1">
      <c r="A1298" s="25">
        <f t="shared" si="5"/>
        <v>1285</v>
      </c>
      <c r="B1298" s="618" t="str">
        <f>'refer admin discharge'!B1294</f>
        <v>x</v>
      </c>
      <c r="C1298" s="351"/>
      <c r="D1298" s="619" t="str">
        <f>'refer admin discharge'!D1294</f>
        <v>xx</v>
      </c>
      <c r="E1298" s="351"/>
      <c r="F1298" s="620" t="str">
        <f>'refer admin discharge'!H1294</f>
        <v>00/00/0000</v>
      </c>
      <c r="G1298" s="351"/>
      <c r="H1298" s="615"/>
      <c r="I1298" s="351"/>
      <c r="J1298" s="621"/>
      <c r="K1298" s="351"/>
      <c r="L1298" s="615"/>
      <c r="M1298" s="351"/>
      <c r="N1298" s="610"/>
      <c r="O1298" s="351"/>
      <c r="P1298" s="615"/>
      <c r="Q1298" s="351"/>
      <c r="R1298" s="610"/>
      <c r="S1298" s="351"/>
      <c r="T1298" s="615"/>
      <c r="U1298" s="351"/>
      <c r="V1298" s="613" t="str">
        <f>'refer admin discharge'!H1299</f>
        <v>00/00/0000</v>
      </c>
      <c r="W1298" s="351"/>
      <c r="X1298" s="616"/>
      <c r="Y1298" s="351"/>
      <c r="Z1298" s="617"/>
      <c r="AA1298" s="351"/>
      <c r="AB1298" s="616"/>
      <c r="AC1298" s="351"/>
      <c r="AD1298" s="607"/>
      <c r="AE1298" s="351"/>
      <c r="AF1298" s="616"/>
      <c r="AG1298" s="351"/>
      <c r="AH1298" s="607"/>
      <c r="AI1298" s="351"/>
      <c r="AJ1298" s="616"/>
      <c r="AK1298" s="351"/>
      <c r="AL1298" s="622"/>
      <c r="AM1298" s="350"/>
      <c r="AN1298" s="350"/>
      <c r="AO1298" s="350"/>
      <c r="AP1298" s="350"/>
      <c r="AQ1298" s="350"/>
      <c r="AR1298" s="350"/>
      <c r="AS1298" s="350"/>
      <c r="AT1298" s="350"/>
      <c r="AU1298" s="350"/>
      <c r="AV1298" s="350"/>
      <c r="AW1298" s="350"/>
      <c r="AX1298" s="350"/>
      <c r="AY1298" s="350"/>
      <c r="AZ1298" s="350"/>
      <c r="BA1298" s="350"/>
      <c r="BB1298" s="351"/>
    </row>
    <row r="1299" spans="1:54" ht="15.75" customHeight="1">
      <c r="A1299" s="25">
        <f t="shared" si="5"/>
        <v>1286</v>
      </c>
      <c r="B1299" s="599" t="str">
        <f>'refer admin discharge'!B1295</f>
        <v>x</v>
      </c>
      <c r="C1299" s="351"/>
      <c r="D1299" s="600" t="str">
        <f>'refer admin discharge'!D1295</f>
        <v>xx</v>
      </c>
      <c r="E1299" s="351"/>
      <c r="F1299" s="609" t="str">
        <f>'refer admin discharge'!H1295</f>
        <v>00/00/0000</v>
      </c>
      <c r="G1299" s="351"/>
      <c r="H1299" s="610"/>
      <c r="I1299" s="351"/>
      <c r="J1299" s="611"/>
      <c r="K1299" s="351"/>
      <c r="L1299" s="610"/>
      <c r="M1299" s="351"/>
      <c r="N1299" s="612"/>
      <c r="O1299" s="351"/>
      <c r="P1299" s="610"/>
      <c r="Q1299" s="351"/>
      <c r="R1299" s="612"/>
      <c r="S1299" s="351"/>
      <c r="T1299" s="610"/>
      <c r="U1299" s="351"/>
      <c r="V1299" s="613" t="str">
        <f>'refer admin discharge'!H1300</f>
        <v>00/00/0000</v>
      </c>
      <c r="W1299" s="351"/>
      <c r="X1299" s="607"/>
      <c r="Y1299" s="351"/>
      <c r="Z1299" s="614"/>
      <c r="AA1299" s="351"/>
      <c r="AB1299" s="607"/>
      <c r="AC1299" s="351"/>
      <c r="AD1299" s="606"/>
      <c r="AE1299" s="351"/>
      <c r="AF1299" s="607"/>
      <c r="AG1299" s="351"/>
      <c r="AH1299" s="606"/>
      <c r="AI1299" s="351"/>
      <c r="AJ1299" s="607"/>
      <c r="AK1299" s="351"/>
      <c r="AL1299" s="608"/>
      <c r="AM1299" s="350"/>
      <c r="AN1299" s="350"/>
      <c r="AO1299" s="350"/>
      <c r="AP1299" s="350"/>
      <c r="AQ1299" s="350"/>
      <c r="AR1299" s="350"/>
      <c r="AS1299" s="350"/>
      <c r="AT1299" s="350"/>
      <c r="AU1299" s="350"/>
      <c r="AV1299" s="350"/>
      <c r="AW1299" s="350"/>
      <c r="AX1299" s="350"/>
      <c r="AY1299" s="350"/>
      <c r="AZ1299" s="350"/>
      <c r="BA1299" s="350"/>
      <c r="BB1299" s="351"/>
    </row>
    <row r="1300" spans="1:54" ht="15.75" customHeight="1">
      <c r="A1300" s="25">
        <f t="shared" si="5"/>
        <v>1287</v>
      </c>
      <c r="B1300" s="618" t="str">
        <f>'refer admin discharge'!B1296</f>
        <v>x</v>
      </c>
      <c r="C1300" s="351"/>
      <c r="D1300" s="619" t="str">
        <f>'refer admin discharge'!D1296</f>
        <v>xx</v>
      </c>
      <c r="E1300" s="351"/>
      <c r="F1300" s="620" t="str">
        <f>'refer admin discharge'!H1296</f>
        <v>00/00/0000</v>
      </c>
      <c r="G1300" s="351"/>
      <c r="H1300" s="615"/>
      <c r="I1300" s="351"/>
      <c r="J1300" s="621"/>
      <c r="K1300" s="351"/>
      <c r="L1300" s="615"/>
      <c r="M1300" s="351"/>
      <c r="N1300" s="610"/>
      <c r="O1300" s="351"/>
      <c r="P1300" s="615"/>
      <c r="Q1300" s="351"/>
      <c r="R1300" s="610"/>
      <c r="S1300" s="351"/>
      <c r="T1300" s="615"/>
      <c r="U1300" s="351"/>
      <c r="V1300" s="613" t="str">
        <f>'refer admin discharge'!H1301</f>
        <v>00/00/0000</v>
      </c>
      <c r="W1300" s="351"/>
      <c r="X1300" s="616"/>
      <c r="Y1300" s="351"/>
      <c r="Z1300" s="617"/>
      <c r="AA1300" s="351"/>
      <c r="AB1300" s="616"/>
      <c r="AC1300" s="351"/>
      <c r="AD1300" s="607"/>
      <c r="AE1300" s="351"/>
      <c r="AF1300" s="616"/>
      <c r="AG1300" s="351"/>
      <c r="AH1300" s="607"/>
      <c r="AI1300" s="351"/>
      <c r="AJ1300" s="616"/>
      <c r="AK1300" s="351"/>
      <c r="AL1300" s="622"/>
      <c r="AM1300" s="350"/>
      <c r="AN1300" s="350"/>
      <c r="AO1300" s="350"/>
      <c r="AP1300" s="350"/>
      <c r="AQ1300" s="350"/>
      <c r="AR1300" s="350"/>
      <c r="AS1300" s="350"/>
      <c r="AT1300" s="350"/>
      <c r="AU1300" s="350"/>
      <c r="AV1300" s="350"/>
      <c r="AW1300" s="350"/>
      <c r="AX1300" s="350"/>
      <c r="AY1300" s="350"/>
      <c r="AZ1300" s="350"/>
      <c r="BA1300" s="350"/>
      <c r="BB1300" s="351"/>
    </row>
    <row r="1301" spans="1:54" ht="15.75" customHeight="1">
      <c r="A1301" s="25">
        <f t="shared" si="5"/>
        <v>1288</v>
      </c>
      <c r="B1301" s="599" t="str">
        <f>'refer admin discharge'!B1297</f>
        <v>x</v>
      </c>
      <c r="C1301" s="351"/>
      <c r="D1301" s="600" t="str">
        <f>'refer admin discharge'!D1297</f>
        <v>xx</v>
      </c>
      <c r="E1301" s="351"/>
      <c r="F1301" s="609" t="str">
        <f>'refer admin discharge'!H1297</f>
        <v>00/00/0000</v>
      </c>
      <c r="G1301" s="351"/>
      <c r="H1301" s="610"/>
      <c r="I1301" s="351"/>
      <c r="J1301" s="611"/>
      <c r="K1301" s="351"/>
      <c r="L1301" s="610"/>
      <c r="M1301" s="351"/>
      <c r="N1301" s="612"/>
      <c r="O1301" s="351"/>
      <c r="P1301" s="610"/>
      <c r="Q1301" s="351"/>
      <c r="R1301" s="612"/>
      <c r="S1301" s="351"/>
      <c r="T1301" s="610"/>
      <c r="U1301" s="351"/>
      <c r="V1301" s="613" t="str">
        <f>'refer admin discharge'!H1302</f>
        <v>00/00/0000</v>
      </c>
      <c r="W1301" s="351"/>
      <c r="X1301" s="607"/>
      <c r="Y1301" s="351"/>
      <c r="Z1301" s="614"/>
      <c r="AA1301" s="351"/>
      <c r="AB1301" s="607"/>
      <c r="AC1301" s="351"/>
      <c r="AD1301" s="606"/>
      <c r="AE1301" s="351"/>
      <c r="AF1301" s="607"/>
      <c r="AG1301" s="351"/>
      <c r="AH1301" s="606"/>
      <c r="AI1301" s="351"/>
      <c r="AJ1301" s="607"/>
      <c r="AK1301" s="351"/>
      <c r="AL1301" s="608"/>
      <c r="AM1301" s="350"/>
      <c r="AN1301" s="350"/>
      <c r="AO1301" s="350"/>
      <c r="AP1301" s="350"/>
      <c r="AQ1301" s="350"/>
      <c r="AR1301" s="350"/>
      <c r="AS1301" s="350"/>
      <c r="AT1301" s="350"/>
      <c r="AU1301" s="350"/>
      <c r="AV1301" s="350"/>
      <c r="AW1301" s="350"/>
      <c r="AX1301" s="350"/>
      <c r="AY1301" s="350"/>
      <c r="AZ1301" s="350"/>
      <c r="BA1301" s="350"/>
      <c r="BB1301" s="351"/>
    </row>
    <row r="1302" spans="1:54" ht="15.75" customHeight="1">
      <c r="A1302" s="25">
        <f t="shared" si="5"/>
        <v>1289</v>
      </c>
      <c r="B1302" s="618" t="str">
        <f>'refer admin discharge'!B1298</f>
        <v>x</v>
      </c>
      <c r="C1302" s="351"/>
      <c r="D1302" s="619" t="str">
        <f>'refer admin discharge'!D1298</f>
        <v>xx</v>
      </c>
      <c r="E1302" s="351"/>
      <c r="F1302" s="620" t="str">
        <f>'refer admin discharge'!H1298</f>
        <v>00/00/0000</v>
      </c>
      <c r="G1302" s="351"/>
      <c r="H1302" s="615"/>
      <c r="I1302" s="351"/>
      <c r="J1302" s="621"/>
      <c r="K1302" s="351"/>
      <c r="L1302" s="615"/>
      <c r="M1302" s="351"/>
      <c r="N1302" s="610"/>
      <c r="O1302" s="351"/>
      <c r="P1302" s="615"/>
      <c r="Q1302" s="351"/>
      <c r="R1302" s="610"/>
      <c r="S1302" s="351"/>
      <c r="T1302" s="615"/>
      <c r="U1302" s="351"/>
      <c r="V1302" s="613" t="str">
        <f>'refer admin discharge'!H1303</f>
        <v>00/00/0000</v>
      </c>
      <c r="W1302" s="351"/>
      <c r="X1302" s="616"/>
      <c r="Y1302" s="351"/>
      <c r="Z1302" s="617"/>
      <c r="AA1302" s="351"/>
      <c r="AB1302" s="616"/>
      <c r="AC1302" s="351"/>
      <c r="AD1302" s="607"/>
      <c r="AE1302" s="351"/>
      <c r="AF1302" s="616"/>
      <c r="AG1302" s="351"/>
      <c r="AH1302" s="607"/>
      <c r="AI1302" s="351"/>
      <c r="AJ1302" s="616"/>
      <c r="AK1302" s="351"/>
      <c r="AL1302" s="622"/>
      <c r="AM1302" s="350"/>
      <c r="AN1302" s="350"/>
      <c r="AO1302" s="350"/>
      <c r="AP1302" s="350"/>
      <c r="AQ1302" s="350"/>
      <c r="AR1302" s="350"/>
      <c r="AS1302" s="350"/>
      <c r="AT1302" s="350"/>
      <c r="AU1302" s="350"/>
      <c r="AV1302" s="350"/>
      <c r="AW1302" s="350"/>
      <c r="AX1302" s="350"/>
      <c r="AY1302" s="350"/>
      <c r="AZ1302" s="350"/>
      <c r="BA1302" s="350"/>
      <c r="BB1302" s="351"/>
    </row>
    <row r="1303" spans="1:54" ht="15.75" customHeight="1">
      <c r="A1303" s="25">
        <f t="shared" si="5"/>
        <v>1290</v>
      </c>
      <c r="B1303" s="599" t="str">
        <f>'refer admin discharge'!B1299</f>
        <v>x</v>
      </c>
      <c r="C1303" s="351"/>
      <c r="D1303" s="600" t="str">
        <f>'refer admin discharge'!D1299</f>
        <v>xx</v>
      </c>
      <c r="E1303" s="351"/>
      <c r="F1303" s="609" t="str">
        <f>'refer admin discharge'!H1299</f>
        <v>00/00/0000</v>
      </c>
      <c r="G1303" s="351"/>
      <c r="H1303" s="610"/>
      <c r="I1303" s="351"/>
      <c r="J1303" s="611"/>
      <c r="K1303" s="351"/>
      <c r="L1303" s="610"/>
      <c r="M1303" s="351"/>
      <c r="N1303" s="612"/>
      <c r="O1303" s="351"/>
      <c r="P1303" s="610"/>
      <c r="Q1303" s="351"/>
      <c r="R1303" s="612"/>
      <c r="S1303" s="351"/>
      <c r="T1303" s="610"/>
      <c r="U1303" s="351"/>
      <c r="V1303" s="613" t="str">
        <f>'refer admin discharge'!H1304</f>
        <v>00/00/0000</v>
      </c>
      <c r="W1303" s="351"/>
      <c r="X1303" s="607"/>
      <c r="Y1303" s="351"/>
      <c r="Z1303" s="614"/>
      <c r="AA1303" s="351"/>
      <c r="AB1303" s="607"/>
      <c r="AC1303" s="351"/>
      <c r="AD1303" s="606"/>
      <c r="AE1303" s="351"/>
      <c r="AF1303" s="607"/>
      <c r="AG1303" s="351"/>
      <c r="AH1303" s="606"/>
      <c r="AI1303" s="351"/>
      <c r="AJ1303" s="607"/>
      <c r="AK1303" s="351"/>
      <c r="AL1303" s="608"/>
      <c r="AM1303" s="350"/>
      <c r="AN1303" s="350"/>
      <c r="AO1303" s="350"/>
      <c r="AP1303" s="350"/>
      <c r="AQ1303" s="350"/>
      <c r="AR1303" s="350"/>
      <c r="AS1303" s="350"/>
      <c r="AT1303" s="350"/>
      <c r="AU1303" s="350"/>
      <c r="AV1303" s="350"/>
      <c r="AW1303" s="350"/>
      <c r="AX1303" s="350"/>
      <c r="AY1303" s="350"/>
      <c r="AZ1303" s="350"/>
      <c r="BA1303" s="350"/>
      <c r="BB1303" s="351"/>
    </row>
    <row r="1304" spans="1:54" ht="15.75" customHeight="1">
      <c r="A1304" s="25">
        <f t="shared" si="5"/>
        <v>1291</v>
      </c>
      <c r="B1304" s="618" t="str">
        <f>'refer admin discharge'!B1300</f>
        <v>x</v>
      </c>
      <c r="C1304" s="351"/>
      <c r="D1304" s="619" t="str">
        <f>'refer admin discharge'!D1300</f>
        <v>xx</v>
      </c>
      <c r="E1304" s="351"/>
      <c r="F1304" s="620" t="str">
        <f>'refer admin discharge'!H1300</f>
        <v>00/00/0000</v>
      </c>
      <c r="G1304" s="351"/>
      <c r="H1304" s="615"/>
      <c r="I1304" s="351"/>
      <c r="J1304" s="621"/>
      <c r="K1304" s="351"/>
      <c r="L1304" s="615"/>
      <c r="M1304" s="351"/>
      <c r="N1304" s="610"/>
      <c r="O1304" s="351"/>
      <c r="P1304" s="615"/>
      <c r="Q1304" s="351"/>
      <c r="R1304" s="610"/>
      <c r="S1304" s="351"/>
      <c r="T1304" s="615"/>
      <c r="U1304" s="351"/>
      <c r="V1304" s="613" t="str">
        <f>'refer admin discharge'!H1305</f>
        <v>00/00/0000</v>
      </c>
      <c r="W1304" s="351"/>
      <c r="X1304" s="616"/>
      <c r="Y1304" s="351"/>
      <c r="Z1304" s="617"/>
      <c r="AA1304" s="351"/>
      <c r="AB1304" s="616"/>
      <c r="AC1304" s="351"/>
      <c r="AD1304" s="607"/>
      <c r="AE1304" s="351"/>
      <c r="AF1304" s="616"/>
      <c r="AG1304" s="351"/>
      <c r="AH1304" s="607"/>
      <c r="AI1304" s="351"/>
      <c r="AJ1304" s="616"/>
      <c r="AK1304" s="351"/>
      <c r="AL1304" s="622"/>
      <c r="AM1304" s="350"/>
      <c r="AN1304" s="350"/>
      <c r="AO1304" s="350"/>
      <c r="AP1304" s="350"/>
      <c r="AQ1304" s="350"/>
      <c r="AR1304" s="350"/>
      <c r="AS1304" s="350"/>
      <c r="AT1304" s="350"/>
      <c r="AU1304" s="350"/>
      <c r="AV1304" s="350"/>
      <c r="AW1304" s="350"/>
      <c r="AX1304" s="350"/>
      <c r="AY1304" s="350"/>
      <c r="AZ1304" s="350"/>
      <c r="BA1304" s="350"/>
      <c r="BB1304" s="351"/>
    </row>
    <row r="1305" spans="1:54" ht="15.75" customHeight="1">
      <c r="A1305" s="25">
        <f t="shared" si="5"/>
        <v>1292</v>
      </c>
      <c r="B1305" s="599" t="str">
        <f>'refer admin discharge'!B1301</f>
        <v>x</v>
      </c>
      <c r="C1305" s="351"/>
      <c r="D1305" s="600" t="str">
        <f>'refer admin discharge'!D1301</f>
        <v>xx</v>
      </c>
      <c r="E1305" s="351"/>
      <c r="F1305" s="609" t="str">
        <f>'refer admin discharge'!H1301</f>
        <v>00/00/0000</v>
      </c>
      <c r="G1305" s="351"/>
      <c r="H1305" s="610"/>
      <c r="I1305" s="351"/>
      <c r="J1305" s="611"/>
      <c r="K1305" s="351"/>
      <c r="L1305" s="610"/>
      <c r="M1305" s="351"/>
      <c r="N1305" s="612"/>
      <c r="O1305" s="351"/>
      <c r="P1305" s="610"/>
      <c r="Q1305" s="351"/>
      <c r="R1305" s="612"/>
      <c r="S1305" s="351"/>
      <c r="T1305" s="610"/>
      <c r="U1305" s="351"/>
      <c r="V1305" s="613" t="str">
        <f>'refer admin discharge'!H1306</f>
        <v>00/00/0000</v>
      </c>
      <c r="W1305" s="351"/>
      <c r="X1305" s="607"/>
      <c r="Y1305" s="351"/>
      <c r="Z1305" s="614"/>
      <c r="AA1305" s="351"/>
      <c r="AB1305" s="607"/>
      <c r="AC1305" s="351"/>
      <c r="AD1305" s="606"/>
      <c r="AE1305" s="351"/>
      <c r="AF1305" s="607"/>
      <c r="AG1305" s="351"/>
      <c r="AH1305" s="606"/>
      <c r="AI1305" s="351"/>
      <c r="AJ1305" s="607"/>
      <c r="AK1305" s="351"/>
      <c r="AL1305" s="608"/>
      <c r="AM1305" s="350"/>
      <c r="AN1305" s="350"/>
      <c r="AO1305" s="350"/>
      <c r="AP1305" s="350"/>
      <c r="AQ1305" s="350"/>
      <c r="AR1305" s="350"/>
      <c r="AS1305" s="350"/>
      <c r="AT1305" s="350"/>
      <c r="AU1305" s="350"/>
      <c r="AV1305" s="350"/>
      <c r="AW1305" s="350"/>
      <c r="AX1305" s="350"/>
      <c r="AY1305" s="350"/>
      <c r="AZ1305" s="350"/>
      <c r="BA1305" s="350"/>
      <c r="BB1305" s="351"/>
    </row>
    <row r="1306" spans="1:54" ht="15.75" customHeight="1">
      <c r="A1306" s="25">
        <f t="shared" si="5"/>
        <v>1293</v>
      </c>
      <c r="B1306" s="618" t="str">
        <f>'refer admin discharge'!B1302</f>
        <v>x</v>
      </c>
      <c r="C1306" s="351"/>
      <c r="D1306" s="619" t="str">
        <f>'refer admin discharge'!D1302</f>
        <v>xx</v>
      </c>
      <c r="E1306" s="351"/>
      <c r="F1306" s="620" t="str">
        <f>'refer admin discharge'!H1302</f>
        <v>00/00/0000</v>
      </c>
      <c r="G1306" s="351"/>
      <c r="H1306" s="615"/>
      <c r="I1306" s="351"/>
      <c r="J1306" s="621"/>
      <c r="K1306" s="351"/>
      <c r="L1306" s="615"/>
      <c r="M1306" s="351"/>
      <c r="N1306" s="610"/>
      <c r="O1306" s="351"/>
      <c r="P1306" s="615"/>
      <c r="Q1306" s="351"/>
      <c r="R1306" s="610"/>
      <c r="S1306" s="351"/>
      <c r="T1306" s="615"/>
      <c r="U1306" s="351"/>
      <c r="V1306" s="613" t="str">
        <f>'refer admin discharge'!H1307</f>
        <v>00/00/0000</v>
      </c>
      <c r="W1306" s="351"/>
      <c r="X1306" s="616"/>
      <c r="Y1306" s="351"/>
      <c r="Z1306" s="617"/>
      <c r="AA1306" s="351"/>
      <c r="AB1306" s="616"/>
      <c r="AC1306" s="351"/>
      <c r="AD1306" s="607"/>
      <c r="AE1306" s="351"/>
      <c r="AF1306" s="616"/>
      <c r="AG1306" s="351"/>
      <c r="AH1306" s="607"/>
      <c r="AI1306" s="351"/>
      <c r="AJ1306" s="616"/>
      <c r="AK1306" s="351"/>
      <c r="AL1306" s="622"/>
      <c r="AM1306" s="350"/>
      <c r="AN1306" s="350"/>
      <c r="AO1306" s="350"/>
      <c r="AP1306" s="350"/>
      <c r="AQ1306" s="350"/>
      <c r="AR1306" s="350"/>
      <c r="AS1306" s="350"/>
      <c r="AT1306" s="350"/>
      <c r="AU1306" s="350"/>
      <c r="AV1306" s="350"/>
      <c r="AW1306" s="350"/>
      <c r="AX1306" s="350"/>
      <c r="AY1306" s="350"/>
      <c r="AZ1306" s="350"/>
      <c r="BA1306" s="350"/>
      <c r="BB1306" s="351"/>
    </row>
    <row r="1307" spans="1:54" ht="15.75" customHeight="1">
      <c r="A1307" s="25">
        <f t="shared" si="5"/>
        <v>1294</v>
      </c>
      <c r="B1307" s="599" t="str">
        <f>'refer admin discharge'!B1303</f>
        <v>x</v>
      </c>
      <c r="C1307" s="351"/>
      <c r="D1307" s="600" t="str">
        <f>'refer admin discharge'!D1303</f>
        <v>xx</v>
      </c>
      <c r="E1307" s="351"/>
      <c r="F1307" s="609" t="str">
        <f>'refer admin discharge'!H1303</f>
        <v>00/00/0000</v>
      </c>
      <c r="G1307" s="351"/>
      <c r="H1307" s="610"/>
      <c r="I1307" s="351"/>
      <c r="J1307" s="611"/>
      <c r="K1307" s="351"/>
      <c r="L1307" s="610"/>
      <c r="M1307" s="351"/>
      <c r="N1307" s="612"/>
      <c r="O1307" s="351"/>
      <c r="P1307" s="610"/>
      <c r="Q1307" s="351"/>
      <c r="R1307" s="612"/>
      <c r="S1307" s="351"/>
      <c r="T1307" s="610"/>
      <c r="U1307" s="351"/>
      <c r="V1307" s="613" t="str">
        <f>'refer admin discharge'!H1308</f>
        <v>00/00/0000</v>
      </c>
      <c r="W1307" s="351"/>
      <c r="X1307" s="607"/>
      <c r="Y1307" s="351"/>
      <c r="Z1307" s="614"/>
      <c r="AA1307" s="351"/>
      <c r="AB1307" s="607"/>
      <c r="AC1307" s="351"/>
      <c r="AD1307" s="606"/>
      <c r="AE1307" s="351"/>
      <c r="AF1307" s="607"/>
      <c r="AG1307" s="351"/>
      <c r="AH1307" s="606"/>
      <c r="AI1307" s="351"/>
      <c r="AJ1307" s="607"/>
      <c r="AK1307" s="351"/>
      <c r="AL1307" s="608"/>
      <c r="AM1307" s="350"/>
      <c r="AN1307" s="350"/>
      <c r="AO1307" s="350"/>
      <c r="AP1307" s="350"/>
      <c r="AQ1307" s="350"/>
      <c r="AR1307" s="350"/>
      <c r="AS1307" s="350"/>
      <c r="AT1307" s="350"/>
      <c r="AU1307" s="350"/>
      <c r="AV1307" s="350"/>
      <c r="AW1307" s="350"/>
      <c r="AX1307" s="350"/>
      <c r="AY1307" s="350"/>
      <c r="AZ1307" s="350"/>
      <c r="BA1307" s="350"/>
      <c r="BB1307" s="351"/>
    </row>
    <row r="1308" spans="1:54" ht="15.75" customHeight="1">
      <c r="A1308" s="25">
        <f t="shared" si="5"/>
        <v>1295</v>
      </c>
      <c r="B1308" s="618" t="str">
        <f>'refer admin discharge'!B1304</f>
        <v>x</v>
      </c>
      <c r="C1308" s="351"/>
      <c r="D1308" s="619" t="str">
        <f>'refer admin discharge'!D1304</f>
        <v>xx</v>
      </c>
      <c r="E1308" s="351"/>
      <c r="F1308" s="620" t="str">
        <f>'refer admin discharge'!H1304</f>
        <v>00/00/0000</v>
      </c>
      <c r="G1308" s="351"/>
      <c r="H1308" s="615"/>
      <c r="I1308" s="351"/>
      <c r="J1308" s="621"/>
      <c r="K1308" s="351"/>
      <c r="L1308" s="615"/>
      <c r="M1308" s="351"/>
      <c r="N1308" s="610"/>
      <c r="O1308" s="351"/>
      <c r="P1308" s="615"/>
      <c r="Q1308" s="351"/>
      <c r="R1308" s="610"/>
      <c r="S1308" s="351"/>
      <c r="T1308" s="615"/>
      <c r="U1308" s="351"/>
      <c r="V1308" s="613" t="str">
        <f>'refer admin discharge'!H1309</f>
        <v>00/00/0000</v>
      </c>
      <c r="W1308" s="351"/>
      <c r="X1308" s="616"/>
      <c r="Y1308" s="351"/>
      <c r="Z1308" s="617"/>
      <c r="AA1308" s="351"/>
      <c r="AB1308" s="616"/>
      <c r="AC1308" s="351"/>
      <c r="AD1308" s="607"/>
      <c r="AE1308" s="351"/>
      <c r="AF1308" s="616"/>
      <c r="AG1308" s="351"/>
      <c r="AH1308" s="607"/>
      <c r="AI1308" s="351"/>
      <c r="AJ1308" s="616"/>
      <c r="AK1308" s="351"/>
      <c r="AL1308" s="622"/>
      <c r="AM1308" s="350"/>
      <c r="AN1308" s="350"/>
      <c r="AO1308" s="350"/>
      <c r="AP1308" s="350"/>
      <c r="AQ1308" s="350"/>
      <c r="AR1308" s="350"/>
      <c r="AS1308" s="350"/>
      <c r="AT1308" s="350"/>
      <c r="AU1308" s="350"/>
      <c r="AV1308" s="350"/>
      <c r="AW1308" s="350"/>
      <c r="AX1308" s="350"/>
      <c r="AY1308" s="350"/>
      <c r="AZ1308" s="350"/>
      <c r="BA1308" s="350"/>
      <c r="BB1308" s="351"/>
    </row>
    <row r="1309" spans="1:54" ht="15.75" customHeight="1">
      <c r="A1309" s="25">
        <f t="shared" si="5"/>
        <v>1296</v>
      </c>
      <c r="B1309" s="599" t="str">
        <f>'refer admin discharge'!B1305</f>
        <v>x</v>
      </c>
      <c r="C1309" s="351"/>
      <c r="D1309" s="600" t="str">
        <f>'refer admin discharge'!D1305</f>
        <v>xx</v>
      </c>
      <c r="E1309" s="351"/>
      <c r="F1309" s="609" t="str">
        <f>'refer admin discharge'!H1305</f>
        <v>00/00/0000</v>
      </c>
      <c r="G1309" s="351"/>
      <c r="H1309" s="610"/>
      <c r="I1309" s="351"/>
      <c r="J1309" s="611"/>
      <c r="K1309" s="351"/>
      <c r="L1309" s="610"/>
      <c r="M1309" s="351"/>
      <c r="N1309" s="612"/>
      <c r="O1309" s="351"/>
      <c r="P1309" s="610"/>
      <c r="Q1309" s="351"/>
      <c r="R1309" s="612"/>
      <c r="S1309" s="351"/>
      <c r="T1309" s="610"/>
      <c r="U1309" s="351"/>
      <c r="V1309" s="613" t="str">
        <f>'refer admin discharge'!H1310</f>
        <v>00/00/0000</v>
      </c>
      <c r="W1309" s="351"/>
      <c r="X1309" s="607"/>
      <c r="Y1309" s="351"/>
      <c r="Z1309" s="614"/>
      <c r="AA1309" s="351"/>
      <c r="AB1309" s="607"/>
      <c r="AC1309" s="351"/>
      <c r="AD1309" s="606"/>
      <c r="AE1309" s="351"/>
      <c r="AF1309" s="607"/>
      <c r="AG1309" s="351"/>
      <c r="AH1309" s="606"/>
      <c r="AI1309" s="351"/>
      <c r="AJ1309" s="607"/>
      <c r="AK1309" s="351"/>
      <c r="AL1309" s="608"/>
      <c r="AM1309" s="350"/>
      <c r="AN1309" s="350"/>
      <c r="AO1309" s="350"/>
      <c r="AP1309" s="350"/>
      <c r="AQ1309" s="350"/>
      <c r="AR1309" s="350"/>
      <c r="AS1309" s="350"/>
      <c r="AT1309" s="350"/>
      <c r="AU1309" s="350"/>
      <c r="AV1309" s="350"/>
      <c r="AW1309" s="350"/>
      <c r="AX1309" s="350"/>
      <c r="AY1309" s="350"/>
      <c r="AZ1309" s="350"/>
      <c r="BA1309" s="350"/>
      <c r="BB1309" s="351"/>
    </row>
    <row r="1310" spans="1:54" ht="15.75" customHeight="1">
      <c r="A1310" s="25">
        <f t="shared" si="5"/>
        <v>1297</v>
      </c>
      <c r="B1310" s="618" t="str">
        <f>'refer admin discharge'!B1306</f>
        <v>x</v>
      </c>
      <c r="C1310" s="351"/>
      <c r="D1310" s="619" t="str">
        <f>'refer admin discharge'!D1306</f>
        <v>xx</v>
      </c>
      <c r="E1310" s="351"/>
      <c r="F1310" s="620" t="str">
        <f>'refer admin discharge'!H1306</f>
        <v>00/00/0000</v>
      </c>
      <c r="G1310" s="351"/>
      <c r="H1310" s="615"/>
      <c r="I1310" s="351"/>
      <c r="J1310" s="621"/>
      <c r="K1310" s="351"/>
      <c r="L1310" s="615"/>
      <c r="M1310" s="351"/>
      <c r="N1310" s="610"/>
      <c r="O1310" s="351"/>
      <c r="P1310" s="615"/>
      <c r="Q1310" s="351"/>
      <c r="R1310" s="610"/>
      <c r="S1310" s="351"/>
      <c r="T1310" s="615"/>
      <c r="U1310" s="351"/>
      <c r="V1310" s="613" t="str">
        <f>'refer admin discharge'!H1311</f>
        <v>00/00/0000</v>
      </c>
      <c r="W1310" s="351"/>
      <c r="X1310" s="616"/>
      <c r="Y1310" s="351"/>
      <c r="Z1310" s="617"/>
      <c r="AA1310" s="351"/>
      <c r="AB1310" s="616"/>
      <c r="AC1310" s="351"/>
      <c r="AD1310" s="607"/>
      <c r="AE1310" s="351"/>
      <c r="AF1310" s="616"/>
      <c r="AG1310" s="351"/>
      <c r="AH1310" s="607"/>
      <c r="AI1310" s="351"/>
      <c r="AJ1310" s="616"/>
      <c r="AK1310" s="351"/>
      <c r="AL1310" s="622"/>
      <c r="AM1310" s="350"/>
      <c r="AN1310" s="350"/>
      <c r="AO1310" s="350"/>
      <c r="AP1310" s="350"/>
      <c r="AQ1310" s="350"/>
      <c r="AR1310" s="350"/>
      <c r="AS1310" s="350"/>
      <c r="AT1310" s="350"/>
      <c r="AU1310" s="350"/>
      <c r="AV1310" s="350"/>
      <c r="AW1310" s="350"/>
      <c r="AX1310" s="350"/>
      <c r="AY1310" s="350"/>
      <c r="AZ1310" s="350"/>
      <c r="BA1310" s="350"/>
      <c r="BB1310" s="351"/>
    </row>
    <row r="1311" spans="1:54" ht="15.75" customHeight="1">
      <c r="A1311" s="25">
        <f t="shared" si="5"/>
        <v>1298</v>
      </c>
      <c r="B1311" s="599" t="str">
        <f>'refer admin discharge'!B1307</f>
        <v>x</v>
      </c>
      <c r="C1311" s="351"/>
      <c r="D1311" s="600" t="str">
        <f>'refer admin discharge'!D1307</f>
        <v>xx</v>
      </c>
      <c r="E1311" s="351"/>
      <c r="F1311" s="609" t="str">
        <f>'refer admin discharge'!H1307</f>
        <v>00/00/0000</v>
      </c>
      <c r="G1311" s="351"/>
      <c r="H1311" s="610"/>
      <c r="I1311" s="351"/>
      <c r="J1311" s="611"/>
      <c r="K1311" s="351"/>
      <c r="L1311" s="610"/>
      <c r="M1311" s="351"/>
      <c r="N1311" s="612"/>
      <c r="O1311" s="351"/>
      <c r="P1311" s="610"/>
      <c r="Q1311" s="351"/>
      <c r="R1311" s="612"/>
      <c r="S1311" s="351"/>
      <c r="T1311" s="610"/>
      <c r="U1311" s="351"/>
      <c r="V1311" s="613" t="str">
        <f>'refer admin discharge'!H1312</f>
        <v>00/00/0000</v>
      </c>
      <c r="W1311" s="351"/>
      <c r="X1311" s="607"/>
      <c r="Y1311" s="351"/>
      <c r="Z1311" s="614"/>
      <c r="AA1311" s="351"/>
      <c r="AB1311" s="607"/>
      <c r="AC1311" s="351"/>
      <c r="AD1311" s="606"/>
      <c r="AE1311" s="351"/>
      <c r="AF1311" s="607"/>
      <c r="AG1311" s="351"/>
      <c r="AH1311" s="606"/>
      <c r="AI1311" s="351"/>
      <c r="AJ1311" s="607"/>
      <c r="AK1311" s="351"/>
      <c r="AL1311" s="608"/>
      <c r="AM1311" s="350"/>
      <c r="AN1311" s="350"/>
      <c r="AO1311" s="350"/>
      <c r="AP1311" s="350"/>
      <c r="AQ1311" s="350"/>
      <c r="AR1311" s="350"/>
      <c r="AS1311" s="350"/>
      <c r="AT1311" s="350"/>
      <c r="AU1311" s="350"/>
      <c r="AV1311" s="350"/>
      <c r="AW1311" s="350"/>
      <c r="AX1311" s="350"/>
      <c r="AY1311" s="350"/>
      <c r="AZ1311" s="350"/>
      <c r="BA1311" s="350"/>
      <c r="BB1311" s="351"/>
    </row>
    <row r="1312" spans="1:54" ht="15.75" customHeight="1">
      <c r="A1312" s="25">
        <f t="shared" si="5"/>
        <v>1299</v>
      </c>
      <c r="B1312" s="618" t="str">
        <f>'refer admin discharge'!B1308</f>
        <v>x</v>
      </c>
      <c r="C1312" s="351"/>
      <c r="D1312" s="619" t="str">
        <f>'refer admin discharge'!D1308</f>
        <v>xx</v>
      </c>
      <c r="E1312" s="351"/>
      <c r="F1312" s="620" t="str">
        <f>'refer admin discharge'!H1308</f>
        <v>00/00/0000</v>
      </c>
      <c r="G1312" s="351"/>
      <c r="H1312" s="615"/>
      <c r="I1312" s="351"/>
      <c r="J1312" s="621"/>
      <c r="K1312" s="351"/>
      <c r="L1312" s="615"/>
      <c r="M1312" s="351"/>
      <c r="N1312" s="610"/>
      <c r="O1312" s="351"/>
      <c r="P1312" s="615"/>
      <c r="Q1312" s="351"/>
      <c r="R1312" s="610"/>
      <c r="S1312" s="351"/>
      <c r="T1312" s="615"/>
      <c r="U1312" s="351"/>
      <c r="V1312" s="613" t="str">
        <f>'refer admin discharge'!H1313</f>
        <v>00/00/0000</v>
      </c>
      <c r="W1312" s="351"/>
      <c r="X1312" s="616"/>
      <c r="Y1312" s="351"/>
      <c r="Z1312" s="617"/>
      <c r="AA1312" s="351"/>
      <c r="AB1312" s="616"/>
      <c r="AC1312" s="351"/>
      <c r="AD1312" s="607"/>
      <c r="AE1312" s="351"/>
      <c r="AF1312" s="616"/>
      <c r="AG1312" s="351"/>
      <c r="AH1312" s="607"/>
      <c r="AI1312" s="351"/>
      <c r="AJ1312" s="616"/>
      <c r="AK1312" s="351"/>
      <c r="AL1312" s="622"/>
      <c r="AM1312" s="350"/>
      <c r="AN1312" s="350"/>
      <c r="AO1312" s="350"/>
      <c r="AP1312" s="350"/>
      <c r="AQ1312" s="350"/>
      <c r="AR1312" s="350"/>
      <c r="AS1312" s="350"/>
      <c r="AT1312" s="350"/>
      <c r="AU1312" s="350"/>
      <c r="AV1312" s="350"/>
      <c r="AW1312" s="350"/>
      <c r="AX1312" s="350"/>
      <c r="AY1312" s="350"/>
      <c r="AZ1312" s="350"/>
      <c r="BA1312" s="350"/>
      <c r="BB1312" s="351"/>
    </row>
    <row r="1313" spans="1:54" ht="15.75" customHeight="1">
      <c r="A1313" s="25">
        <f t="shared" si="5"/>
        <v>1300</v>
      </c>
      <c r="B1313" s="599" t="str">
        <f>'refer admin discharge'!B1309</f>
        <v>x</v>
      </c>
      <c r="C1313" s="351"/>
      <c r="D1313" s="600" t="str">
        <f>'refer admin discharge'!D1309</f>
        <v>xx</v>
      </c>
      <c r="E1313" s="351"/>
      <c r="F1313" s="609" t="str">
        <f>'refer admin discharge'!H1309</f>
        <v>00/00/0000</v>
      </c>
      <c r="G1313" s="351"/>
      <c r="H1313" s="610"/>
      <c r="I1313" s="351"/>
      <c r="J1313" s="611"/>
      <c r="K1313" s="351"/>
      <c r="L1313" s="610"/>
      <c r="M1313" s="351"/>
      <c r="N1313" s="612"/>
      <c r="O1313" s="351"/>
      <c r="P1313" s="610"/>
      <c r="Q1313" s="351"/>
      <c r="R1313" s="612"/>
      <c r="S1313" s="351"/>
      <c r="T1313" s="610"/>
      <c r="U1313" s="351"/>
      <c r="V1313" s="613" t="str">
        <f>'refer admin discharge'!H1314</f>
        <v>00/00/0000</v>
      </c>
      <c r="W1313" s="351"/>
      <c r="X1313" s="607"/>
      <c r="Y1313" s="351"/>
      <c r="Z1313" s="614"/>
      <c r="AA1313" s="351"/>
      <c r="AB1313" s="607"/>
      <c r="AC1313" s="351"/>
      <c r="AD1313" s="606"/>
      <c r="AE1313" s="351"/>
      <c r="AF1313" s="607"/>
      <c r="AG1313" s="351"/>
      <c r="AH1313" s="606"/>
      <c r="AI1313" s="351"/>
      <c r="AJ1313" s="607"/>
      <c r="AK1313" s="351"/>
      <c r="AL1313" s="608"/>
      <c r="AM1313" s="350"/>
      <c r="AN1313" s="350"/>
      <c r="AO1313" s="350"/>
      <c r="AP1313" s="350"/>
      <c r="AQ1313" s="350"/>
      <c r="AR1313" s="350"/>
      <c r="AS1313" s="350"/>
      <c r="AT1313" s="350"/>
      <c r="AU1313" s="350"/>
      <c r="AV1313" s="350"/>
      <c r="AW1313" s="350"/>
      <c r="AX1313" s="350"/>
      <c r="AY1313" s="350"/>
      <c r="AZ1313" s="350"/>
      <c r="BA1313" s="350"/>
      <c r="BB1313" s="351"/>
    </row>
    <row r="1314" spans="1:54" ht="15.75" customHeight="1">
      <c r="A1314" s="25">
        <f t="shared" si="5"/>
        <v>1301</v>
      </c>
      <c r="B1314" s="618" t="str">
        <f>'refer admin discharge'!B1310</f>
        <v>x</v>
      </c>
      <c r="C1314" s="351"/>
      <c r="D1314" s="619" t="str">
        <f>'refer admin discharge'!D1310</f>
        <v>xx</v>
      </c>
      <c r="E1314" s="351"/>
      <c r="F1314" s="620" t="str">
        <f>'refer admin discharge'!H1310</f>
        <v>00/00/0000</v>
      </c>
      <c r="G1314" s="351"/>
      <c r="H1314" s="615"/>
      <c r="I1314" s="351"/>
      <c r="J1314" s="621"/>
      <c r="K1314" s="351"/>
      <c r="L1314" s="615"/>
      <c r="M1314" s="351"/>
      <c r="N1314" s="610"/>
      <c r="O1314" s="351"/>
      <c r="P1314" s="615"/>
      <c r="Q1314" s="351"/>
      <c r="R1314" s="610"/>
      <c r="S1314" s="351"/>
      <c r="T1314" s="615"/>
      <c r="U1314" s="351"/>
      <c r="V1314" s="613" t="str">
        <f>'refer admin discharge'!H1315</f>
        <v>00/00/0000</v>
      </c>
      <c r="W1314" s="351"/>
      <c r="X1314" s="616"/>
      <c r="Y1314" s="351"/>
      <c r="Z1314" s="617"/>
      <c r="AA1314" s="351"/>
      <c r="AB1314" s="616"/>
      <c r="AC1314" s="351"/>
      <c r="AD1314" s="607"/>
      <c r="AE1314" s="351"/>
      <c r="AF1314" s="616"/>
      <c r="AG1314" s="351"/>
      <c r="AH1314" s="607"/>
      <c r="AI1314" s="351"/>
      <c r="AJ1314" s="616"/>
      <c r="AK1314" s="351"/>
      <c r="AL1314" s="622"/>
      <c r="AM1314" s="350"/>
      <c r="AN1314" s="350"/>
      <c r="AO1314" s="350"/>
      <c r="AP1314" s="350"/>
      <c r="AQ1314" s="350"/>
      <c r="AR1314" s="350"/>
      <c r="AS1314" s="350"/>
      <c r="AT1314" s="350"/>
      <c r="AU1314" s="350"/>
      <c r="AV1314" s="350"/>
      <c r="AW1314" s="350"/>
      <c r="AX1314" s="350"/>
      <c r="AY1314" s="350"/>
      <c r="AZ1314" s="350"/>
      <c r="BA1314" s="350"/>
      <c r="BB1314" s="351"/>
    </row>
    <row r="1315" spans="1:54" ht="15.75" customHeight="1">
      <c r="A1315" s="25">
        <f t="shared" si="5"/>
        <v>1302</v>
      </c>
      <c r="B1315" s="599" t="str">
        <f>'refer admin discharge'!B1311</f>
        <v>x</v>
      </c>
      <c r="C1315" s="351"/>
      <c r="D1315" s="600" t="str">
        <f>'refer admin discharge'!D1311</f>
        <v>xx</v>
      </c>
      <c r="E1315" s="351"/>
      <c r="F1315" s="609" t="str">
        <f>'refer admin discharge'!H1311</f>
        <v>00/00/0000</v>
      </c>
      <c r="G1315" s="351"/>
      <c r="H1315" s="610"/>
      <c r="I1315" s="351"/>
      <c r="J1315" s="611"/>
      <c r="K1315" s="351"/>
      <c r="L1315" s="610"/>
      <c r="M1315" s="351"/>
      <c r="N1315" s="612"/>
      <c r="O1315" s="351"/>
      <c r="P1315" s="610"/>
      <c r="Q1315" s="351"/>
      <c r="R1315" s="612"/>
      <c r="S1315" s="351"/>
      <c r="T1315" s="610"/>
      <c r="U1315" s="351"/>
      <c r="V1315" s="613" t="str">
        <f>'refer admin discharge'!H1316</f>
        <v>00/00/0000</v>
      </c>
      <c r="W1315" s="351"/>
      <c r="X1315" s="607"/>
      <c r="Y1315" s="351"/>
      <c r="Z1315" s="614"/>
      <c r="AA1315" s="351"/>
      <c r="AB1315" s="607"/>
      <c r="AC1315" s="351"/>
      <c r="AD1315" s="606"/>
      <c r="AE1315" s="351"/>
      <c r="AF1315" s="607"/>
      <c r="AG1315" s="351"/>
      <c r="AH1315" s="606"/>
      <c r="AI1315" s="351"/>
      <c r="AJ1315" s="607"/>
      <c r="AK1315" s="351"/>
      <c r="AL1315" s="608"/>
      <c r="AM1315" s="350"/>
      <c r="AN1315" s="350"/>
      <c r="AO1315" s="350"/>
      <c r="AP1315" s="350"/>
      <c r="AQ1315" s="350"/>
      <c r="AR1315" s="350"/>
      <c r="AS1315" s="350"/>
      <c r="AT1315" s="350"/>
      <c r="AU1315" s="350"/>
      <c r="AV1315" s="350"/>
      <c r="AW1315" s="350"/>
      <c r="AX1315" s="350"/>
      <c r="AY1315" s="350"/>
      <c r="AZ1315" s="350"/>
      <c r="BA1315" s="350"/>
      <c r="BB1315" s="351"/>
    </row>
    <row r="1316" spans="1:54" ht="15.75" customHeight="1">
      <c r="A1316" s="25">
        <f t="shared" si="5"/>
        <v>1303</v>
      </c>
      <c r="B1316" s="618" t="str">
        <f>'refer admin discharge'!B1312</f>
        <v>x</v>
      </c>
      <c r="C1316" s="351"/>
      <c r="D1316" s="619" t="str">
        <f>'refer admin discharge'!D1312</f>
        <v>xx</v>
      </c>
      <c r="E1316" s="351"/>
      <c r="F1316" s="620" t="str">
        <f>'refer admin discharge'!H1312</f>
        <v>00/00/0000</v>
      </c>
      <c r="G1316" s="351"/>
      <c r="H1316" s="615"/>
      <c r="I1316" s="351"/>
      <c r="J1316" s="621"/>
      <c r="K1316" s="351"/>
      <c r="L1316" s="615"/>
      <c r="M1316" s="351"/>
      <c r="N1316" s="610"/>
      <c r="O1316" s="351"/>
      <c r="P1316" s="615"/>
      <c r="Q1316" s="351"/>
      <c r="R1316" s="610"/>
      <c r="S1316" s="351"/>
      <c r="T1316" s="615"/>
      <c r="U1316" s="351"/>
      <c r="V1316" s="613" t="str">
        <f>'refer admin discharge'!H1317</f>
        <v>00/00/0000</v>
      </c>
      <c r="W1316" s="351"/>
      <c r="X1316" s="616"/>
      <c r="Y1316" s="351"/>
      <c r="Z1316" s="617"/>
      <c r="AA1316" s="351"/>
      <c r="AB1316" s="616"/>
      <c r="AC1316" s="351"/>
      <c r="AD1316" s="607"/>
      <c r="AE1316" s="351"/>
      <c r="AF1316" s="616"/>
      <c r="AG1316" s="351"/>
      <c r="AH1316" s="607"/>
      <c r="AI1316" s="351"/>
      <c r="AJ1316" s="616"/>
      <c r="AK1316" s="351"/>
      <c r="AL1316" s="622"/>
      <c r="AM1316" s="350"/>
      <c r="AN1316" s="350"/>
      <c r="AO1316" s="350"/>
      <c r="AP1316" s="350"/>
      <c r="AQ1316" s="350"/>
      <c r="AR1316" s="350"/>
      <c r="AS1316" s="350"/>
      <c r="AT1316" s="350"/>
      <c r="AU1316" s="350"/>
      <c r="AV1316" s="350"/>
      <c r="AW1316" s="350"/>
      <c r="AX1316" s="350"/>
      <c r="AY1316" s="350"/>
      <c r="AZ1316" s="350"/>
      <c r="BA1316" s="350"/>
      <c r="BB1316" s="351"/>
    </row>
    <row r="1317" spans="1:54" ht="15.75" customHeight="1">
      <c r="A1317" s="25">
        <f t="shared" si="5"/>
        <v>1304</v>
      </c>
      <c r="B1317" s="599" t="str">
        <f>'refer admin discharge'!B1313</f>
        <v>x</v>
      </c>
      <c r="C1317" s="351"/>
      <c r="D1317" s="600" t="str">
        <f>'refer admin discharge'!D1313</f>
        <v>xx</v>
      </c>
      <c r="E1317" s="351"/>
      <c r="F1317" s="609" t="str">
        <f>'refer admin discharge'!H1313</f>
        <v>00/00/0000</v>
      </c>
      <c r="G1317" s="351"/>
      <c r="H1317" s="610"/>
      <c r="I1317" s="351"/>
      <c r="J1317" s="611"/>
      <c r="K1317" s="351"/>
      <c r="L1317" s="610"/>
      <c r="M1317" s="351"/>
      <c r="N1317" s="612"/>
      <c r="O1317" s="351"/>
      <c r="P1317" s="610"/>
      <c r="Q1317" s="351"/>
      <c r="R1317" s="612"/>
      <c r="S1317" s="351"/>
      <c r="T1317" s="610"/>
      <c r="U1317" s="351"/>
      <c r="V1317" s="613" t="str">
        <f>'refer admin discharge'!H1318</f>
        <v>00/00/0000</v>
      </c>
      <c r="W1317" s="351"/>
      <c r="X1317" s="607"/>
      <c r="Y1317" s="351"/>
      <c r="Z1317" s="614"/>
      <c r="AA1317" s="351"/>
      <c r="AB1317" s="607"/>
      <c r="AC1317" s="351"/>
      <c r="AD1317" s="606"/>
      <c r="AE1317" s="351"/>
      <c r="AF1317" s="607"/>
      <c r="AG1317" s="351"/>
      <c r="AH1317" s="606"/>
      <c r="AI1317" s="351"/>
      <c r="AJ1317" s="607"/>
      <c r="AK1317" s="351"/>
      <c r="AL1317" s="608"/>
      <c r="AM1317" s="350"/>
      <c r="AN1317" s="350"/>
      <c r="AO1317" s="350"/>
      <c r="AP1317" s="350"/>
      <c r="AQ1317" s="350"/>
      <c r="AR1317" s="350"/>
      <c r="AS1317" s="350"/>
      <c r="AT1317" s="350"/>
      <c r="AU1317" s="350"/>
      <c r="AV1317" s="350"/>
      <c r="AW1317" s="350"/>
      <c r="AX1317" s="350"/>
      <c r="AY1317" s="350"/>
      <c r="AZ1317" s="350"/>
      <c r="BA1317" s="350"/>
      <c r="BB1317" s="351"/>
    </row>
    <row r="1318" spans="1:54" ht="15.75" customHeight="1">
      <c r="A1318" s="25">
        <f t="shared" si="5"/>
        <v>1305</v>
      </c>
      <c r="B1318" s="618" t="str">
        <f>'refer admin discharge'!B1314</f>
        <v>x</v>
      </c>
      <c r="C1318" s="351"/>
      <c r="D1318" s="619" t="str">
        <f>'refer admin discharge'!D1314</f>
        <v>xx</v>
      </c>
      <c r="E1318" s="351"/>
      <c r="F1318" s="620" t="str">
        <f>'refer admin discharge'!H1314</f>
        <v>00/00/0000</v>
      </c>
      <c r="G1318" s="351"/>
      <c r="H1318" s="615"/>
      <c r="I1318" s="351"/>
      <c r="J1318" s="621"/>
      <c r="K1318" s="351"/>
      <c r="L1318" s="615"/>
      <c r="M1318" s="351"/>
      <c r="N1318" s="610"/>
      <c r="O1318" s="351"/>
      <c r="P1318" s="615"/>
      <c r="Q1318" s="351"/>
      <c r="R1318" s="610"/>
      <c r="S1318" s="351"/>
      <c r="T1318" s="615"/>
      <c r="U1318" s="351"/>
      <c r="V1318" s="613" t="str">
        <f>'refer admin discharge'!H1319</f>
        <v>00/00/0000</v>
      </c>
      <c r="W1318" s="351"/>
      <c r="X1318" s="616"/>
      <c r="Y1318" s="351"/>
      <c r="Z1318" s="617"/>
      <c r="AA1318" s="351"/>
      <c r="AB1318" s="616"/>
      <c r="AC1318" s="351"/>
      <c r="AD1318" s="607"/>
      <c r="AE1318" s="351"/>
      <c r="AF1318" s="616"/>
      <c r="AG1318" s="351"/>
      <c r="AH1318" s="607"/>
      <c r="AI1318" s="351"/>
      <c r="AJ1318" s="616"/>
      <c r="AK1318" s="351"/>
      <c r="AL1318" s="622"/>
      <c r="AM1318" s="350"/>
      <c r="AN1318" s="350"/>
      <c r="AO1318" s="350"/>
      <c r="AP1318" s="350"/>
      <c r="AQ1318" s="350"/>
      <c r="AR1318" s="350"/>
      <c r="AS1318" s="350"/>
      <c r="AT1318" s="350"/>
      <c r="AU1318" s="350"/>
      <c r="AV1318" s="350"/>
      <c r="AW1318" s="350"/>
      <c r="AX1318" s="350"/>
      <c r="AY1318" s="350"/>
      <c r="AZ1318" s="350"/>
      <c r="BA1318" s="350"/>
      <c r="BB1318" s="351"/>
    </row>
    <row r="1319" spans="1:54" ht="15.75" customHeight="1">
      <c r="A1319" s="25">
        <f t="shared" si="5"/>
        <v>1306</v>
      </c>
      <c r="B1319" s="599" t="str">
        <f>'refer admin discharge'!B1315</f>
        <v>x</v>
      </c>
      <c r="C1319" s="351"/>
      <c r="D1319" s="600" t="str">
        <f>'refer admin discharge'!D1315</f>
        <v>xx</v>
      </c>
      <c r="E1319" s="351"/>
      <c r="F1319" s="609" t="str">
        <f>'refer admin discharge'!H1315</f>
        <v>00/00/0000</v>
      </c>
      <c r="G1319" s="351"/>
      <c r="H1319" s="610"/>
      <c r="I1319" s="351"/>
      <c r="J1319" s="611"/>
      <c r="K1319" s="351"/>
      <c r="L1319" s="610"/>
      <c r="M1319" s="351"/>
      <c r="N1319" s="612"/>
      <c r="O1319" s="351"/>
      <c r="P1319" s="610"/>
      <c r="Q1319" s="351"/>
      <c r="R1319" s="612"/>
      <c r="S1319" s="351"/>
      <c r="T1319" s="610"/>
      <c r="U1319" s="351"/>
      <c r="V1319" s="613" t="str">
        <f>'refer admin discharge'!H1320</f>
        <v>00/00/0000</v>
      </c>
      <c r="W1319" s="351"/>
      <c r="X1319" s="607"/>
      <c r="Y1319" s="351"/>
      <c r="Z1319" s="614"/>
      <c r="AA1319" s="351"/>
      <c r="AB1319" s="607"/>
      <c r="AC1319" s="351"/>
      <c r="AD1319" s="606"/>
      <c r="AE1319" s="351"/>
      <c r="AF1319" s="607"/>
      <c r="AG1319" s="351"/>
      <c r="AH1319" s="606"/>
      <c r="AI1319" s="351"/>
      <c r="AJ1319" s="607"/>
      <c r="AK1319" s="351"/>
      <c r="AL1319" s="608"/>
      <c r="AM1319" s="350"/>
      <c r="AN1319" s="350"/>
      <c r="AO1319" s="350"/>
      <c r="AP1319" s="350"/>
      <c r="AQ1319" s="350"/>
      <c r="AR1319" s="350"/>
      <c r="AS1319" s="350"/>
      <c r="AT1319" s="350"/>
      <c r="AU1319" s="350"/>
      <c r="AV1319" s="350"/>
      <c r="AW1319" s="350"/>
      <c r="AX1319" s="350"/>
      <c r="AY1319" s="350"/>
      <c r="AZ1319" s="350"/>
      <c r="BA1319" s="350"/>
      <c r="BB1319" s="351"/>
    </row>
    <row r="1320" spans="1:54" ht="15.75" customHeight="1">
      <c r="A1320" s="25">
        <f t="shared" si="5"/>
        <v>1307</v>
      </c>
      <c r="B1320" s="618" t="str">
        <f>'refer admin discharge'!B1316</f>
        <v>x</v>
      </c>
      <c r="C1320" s="351"/>
      <c r="D1320" s="619" t="str">
        <f>'refer admin discharge'!D1316</f>
        <v>xx</v>
      </c>
      <c r="E1320" s="351"/>
      <c r="F1320" s="620" t="str">
        <f>'refer admin discharge'!H1316</f>
        <v>00/00/0000</v>
      </c>
      <c r="G1320" s="351"/>
      <c r="H1320" s="615"/>
      <c r="I1320" s="351"/>
      <c r="J1320" s="621"/>
      <c r="K1320" s="351"/>
      <c r="L1320" s="615"/>
      <c r="M1320" s="351"/>
      <c r="N1320" s="610"/>
      <c r="O1320" s="351"/>
      <c r="P1320" s="615"/>
      <c r="Q1320" s="351"/>
      <c r="R1320" s="610"/>
      <c r="S1320" s="351"/>
      <c r="T1320" s="615"/>
      <c r="U1320" s="351"/>
      <c r="V1320" s="613" t="str">
        <f>'refer admin discharge'!H1321</f>
        <v>00/00/0000</v>
      </c>
      <c r="W1320" s="351"/>
      <c r="X1320" s="616"/>
      <c r="Y1320" s="351"/>
      <c r="Z1320" s="617"/>
      <c r="AA1320" s="351"/>
      <c r="AB1320" s="616"/>
      <c r="AC1320" s="351"/>
      <c r="AD1320" s="607"/>
      <c r="AE1320" s="351"/>
      <c r="AF1320" s="616"/>
      <c r="AG1320" s="351"/>
      <c r="AH1320" s="607"/>
      <c r="AI1320" s="351"/>
      <c r="AJ1320" s="616"/>
      <c r="AK1320" s="351"/>
      <c r="AL1320" s="622"/>
      <c r="AM1320" s="350"/>
      <c r="AN1320" s="350"/>
      <c r="AO1320" s="350"/>
      <c r="AP1320" s="350"/>
      <c r="AQ1320" s="350"/>
      <c r="AR1320" s="350"/>
      <c r="AS1320" s="350"/>
      <c r="AT1320" s="350"/>
      <c r="AU1320" s="350"/>
      <c r="AV1320" s="350"/>
      <c r="AW1320" s="350"/>
      <c r="AX1320" s="350"/>
      <c r="AY1320" s="350"/>
      <c r="AZ1320" s="350"/>
      <c r="BA1320" s="350"/>
      <c r="BB1320" s="351"/>
    </row>
    <row r="1321" spans="1:54" ht="15.75" customHeight="1">
      <c r="A1321" s="25">
        <f t="shared" si="5"/>
        <v>1308</v>
      </c>
      <c r="B1321" s="599" t="str">
        <f>'refer admin discharge'!B1317</f>
        <v>x</v>
      </c>
      <c r="C1321" s="351"/>
      <c r="D1321" s="600" t="str">
        <f>'refer admin discharge'!D1317</f>
        <v>xx</v>
      </c>
      <c r="E1321" s="351"/>
      <c r="F1321" s="609" t="str">
        <f>'refer admin discharge'!H1317</f>
        <v>00/00/0000</v>
      </c>
      <c r="G1321" s="351"/>
      <c r="H1321" s="610"/>
      <c r="I1321" s="351"/>
      <c r="J1321" s="611"/>
      <c r="K1321" s="351"/>
      <c r="L1321" s="610"/>
      <c r="M1321" s="351"/>
      <c r="N1321" s="612"/>
      <c r="O1321" s="351"/>
      <c r="P1321" s="610"/>
      <c r="Q1321" s="351"/>
      <c r="R1321" s="612"/>
      <c r="S1321" s="351"/>
      <c r="T1321" s="610"/>
      <c r="U1321" s="351"/>
      <c r="V1321" s="613" t="str">
        <f>'refer admin discharge'!H1322</f>
        <v>00/00/0000</v>
      </c>
      <c r="W1321" s="351"/>
      <c r="X1321" s="607"/>
      <c r="Y1321" s="351"/>
      <c r="Z1321" s="614"/>
      <c r="AA1321" s="351"/>
      <c r="AB1321" s="607"/>
      <c r="AC1321" s="351"/>
      <c r="AD1321" s="606"/>
      <c r="AE1321" s="351"/>
      <c r="AF1321" s="607"/>
      <c r="AG1321" s="351"/>
      <c r="AH1321" s="606"/>
      <c r="AI1321" s="351"/>
      <c r="AJ1321" s="607"/>
      <c r="AK1321" s="351"/>
      <c r="AL1321" s="608"/>
      <c r="AM1321" s="350"/>
      <c r="AN1321" s="350"/>
      <c r="AO1321" s="350"/>
      <c r="AP1321" s="350"/>
      <c r="AQ1321" s="350"/>
      <c r="AR1321" s="350"/>
      <c r="AS1321" s="350"/>
      <c r="AT1321" s="350"/>
      <c r="AU1321" s="350"/>
      <c r="AV1321" s="350"/>
      <c r="AW1321" s="350"/>
      <c r="AX1321" s="350"/>
      <c r="AY1321" s="350"/>
      <c r="AZ1321" s="350"/>
      <c r="BA1321" s="350"/>
      <c r="BB1321" s="351"/>
    </row>
    <row r="1322" spans="1:54" ht="15.75" customHeight="1">
      <c r="A1322" s="25">
        <f t="shared" si="5"/>
        <v>1309</v>
      </c>
      <c r="B1322" s="618" t="str">
        <f>'refer admin discharge'!B1318</f>
        <v>x</v>
      </c>
      <c r="C1322" s="351"/>
      <c r="D1322" s="619" t="str">
        <f>'refer admin discharge'!D1318</f>
        <v>xx</v>
      </c>
      <c r="E1322" s="351"/>
      <c r="F1322" s="620" t="str">
        <f>'refer admin discharge'!H1318</f>
        <v>00/00/0000</v>
      </c>
      <c r="G1322" s="351"/>
      <c r="H1322" s="615"/>
      <c r="I1322" s="351"/>
      <c r="J1322" s="621"/>
      <c r="K1322" s="351"/>
      <c r="L1322" s="615"/>
      <c r="M1322" s="351"/>
      <c r="N1322" s="610"/>
      <c r="O1322" s="351"/>
      <c r="P1322" s="615"/>
      <c r="Q1322" s="351"/>
      <c r="R1322" s="610"/>
      <c r="S1322" s="351"/>
      <c r="T1322" s="615"/>
      <c r="U1322" s="351"/>
      <c r="V1322" s="613" t="str">
        <f>'refer admin discharge'!H1323</f>
        <v>00/00/0000</v>
      </c>
      <c r="W1322" s="351"/>
      <c r="X1322" s="616"/>
      <c r="Y1322" s="351"/>
      <c r="Z1322" s="617"/>
      <c r="AA1322" s="351"/>
      <c r="AB1322" s="616"/>
      <c r="AC1322" s="351"/>
      <c r="AD1322" s="607"/>
      <c r="AE1322" s="351"/>
      <c r="AF1322" s="616"/>
      <c r="AG1322" s="351"/>
      <c r="AH1322" s="607"/>
      <c r="AI1322" s="351"/>
      <c r="AJ1322" s="616"/>
      <c r="AK1322" s="351"/>
      <c r="AL1322" s="622"/>
      <c r="AM1322" s="350"/>
      <c r="AN1322" s="350"/>
      <c r="AO1322" s="350"/>
      <c r="AP1322" s="350"/>
      <c r="AQ1322" s="350"/>
      <c r="AR1322" s="350"/>
      <c r="AS1322" s="350"/>
      <c r="AT1322" s="350"/>
      <c r="AU1322" s="350"/>
      <c r="AV1322" s="350"/>
      <c r="AW1322" s="350"/>
      <c r="AX1322" s="350"/>
      <c r="AY1322" s="350"/>
      <c r="AZ1322" s="350"/>
      <c r="BA1322" s="350"/>
      <c r="BB1322" s="351"/>
    </row>
    <row r="1323" spans="1:54" ht="15.75" customHeight="1">
      <c r="A1323" s="25">
        <f t="shared" si="5"/>
        <v>1310</v>
      </c>
      <c r="B1323" s="599" t="str">
        <f>'refer admin discharge'!B1319</f>
        <v>x</v>
      </c>
      <c r="C1323" s="351"/>
      <c r="D1323" s="600" t="str">
        <f>'refer admin discharge'!D1319</f>
        <v>xx</v>
      </c>
      <c r="E1323" s="351"/>
      <c r="F1323" s="609" t="str">
        <f>'refer admin discharge'!H1319</f>
        <v>00/00/0000</v>
      </c>
      <c r="G1323" s="351"/>
      <c r="H1323" s="610"/>
      <c r="I1323" s="351"/>
      <c r="J1323" s="611"/>
      <c r="K1323" s="351"/>
      <c r="L1323" s="610"/>
      <c r="M1323" s="351"/>
      <c r="N1323" s="612"/>
      <c r="O1323" s="351"/>
      <c r="P1323" s="610"/>
      <c r="Q1323" s="351"/>
      <c r="R1323" s="612"/>
      <c r="S1323" s="351"/>
      <c r="T1323" s="610"/>
      <c r="U1323" s="351"/>
      <c r="V1323" s="613" t="str">
        <f>'refer admin discharge'!H1324</f>
        <v>00/00/0000</v>
      </c>
      <c r="W1323" s="351"/>
      <c r="X1323" s="607"/>
      <c r="Y1323" s="351"/>
      <c r="Z1323" s="614"/>
      <c r="AA1323" s="351"/>
      <c r="AB1323" s="607"/>
      <c r="AC1323" s="351"/>
      <c r="AD1323" s="606"/>
      <c r="AE1323" s="351"/>
      <c r="AF1323" s="607"/>
      <c r="AG1323" s="351"/>
      <c r="AH1323" s="606"/>
      <c r="AI1323" s="351"/>
      <c r="AJ1323" s="607"/>
      <c r="AK1323" s="351"/>
      <c r="AL1323" s="608"/>
      <c r="AM1323" s="350"/>
      <c r="AN1323" s="350"/>
      <c r="AO1323" s="350"/>
      <c r="AP1323" s="350"/>
      <c r="AQ1323" s="350"/>
      <c r="AR1323" s="350"/>
      <c r="AS1323" s="350"/>
      <c r="AT1323" s="350"/>
      <c r="AU1323" s="350"/>
      <c r="AV1323" s="350"/>
      <c r="AW1323" s="350"/>
      <c r="AX1323" s="350"/>
      <c r="AY1323" s="350"/>
      <c r="AZ1323" s="350"/>
      <c r="BA1323" s="350"/>
      <c r="BB1323" s="351"/>
    </row>
    <row r="1324" spans="1:54" ht="15.75" customHeight="1">
      <c r="A1324" s="25">
        <f t="shared" si="5"/>
        <v>1311</v>
      </c>
      <c r="B1324" s="618" t="str">
        <f>'refer admin discharge'!B1320</f>
        <v>x</v>
      </c>
      <c r="C1324" s="351"/>
      <c r="D1324" s="619" t="str">
        <f>'refer admin discharge'!D1320</f>
        <v>xx</v>
      </c>
      <c r="E1324" s="351"/>
      <c r="F1324" s="620" t="str">
        <f>'refer admin discharge'!H1320</f>
        <v>00/00/0000</v>
      </c>
      <c r="G1324" s="351"/>
      <c r="H1324" s="615"/>
      <c r="I1324" s="351"/>
      <c r="J1324" s="621"/>
      <c r="K1324" s="351"/>
      <c r="L1324" s="615"/>
      <c r="M1324" s="351"/>
      <c r="N1324" s="610"/>
      <c r="O1324" s="351"/>
      <c r="P1324" s="615"/>
      <c r="Q1324" s="351"/>
      <c r="R1324" s="610"/>
      <c r="S1324" s="351"/>
      <c r="T1324" s="615"/>
      <c r="U1324" s="351"/>
      <c r="V1324" s="613" t="str">
        <f>'refer admin discharge'!H1325</f>
        <v>00/00/0000</v>
      </c>
      <c r="W1324" s="351"/>
      <c r="X1324" s="616"/>
      <c r="Y1324" s="351"/>
      <c r="Z1324" s="617"/>
      <c r="AA1324" s="351"/>
      <c r="AB1324" s="616"/>
      <c r="AC1324" s="351"/>
      <c r="AD1324" s="607"/>
      <c r="AE1324" s="351"/>
      <c r="AF1324" s="616"/>
      <c r="AG1324" s="351"/>
      <c r="AH1324" s="607"/>
      <c r="AI1324" s="351"/>
      <c r="AJ1324" s="616"/>
      <c r="AK1324" s="351"/>
      <c r="AL1324" s="622"/>
      <c r="AM1324" s="350"/>
      <c r="AN1324" s="350"/>
      <c r="AO1324" s="350"/>
      <c r="AP1324" s="350"/>
      <c r="AQ1324" s="350"/>
      <c r="AR1324" s="350"/>
      <c r="AS1324" s="350"/>
      <c r="AT1324" s="350"/>
      <c r="AU1324" s="350"/>
      <c r="AV1324" s="350"/>
      <c r="AW1324" s="350"/>
      <c r="AX1324" s="350"/>
      <c r="AY1324" s="350"/>
      <c r="AZ1324" s="350"/>
      <c r="BA1324" s="350"/>
      <c r="BB1324" s="351"/>
    </row>
    <row r="1325" spans="1:54" ht="15.75" customHeight="1">
      <c r="A1325" s="25">
        <f t="shared" si="5"/>
        <v>1312</v>
      </c>
      <c r="B1325" s="599" t="str">
        <f>'refer admin discharge'!B1321</f>
        <v>x</v>
      </c>
      <c r="C1325" s="351"/>
      <c r="D1325" s="600" t="str">
        <f>'refer admin discharge'!D1321</f>
        <v>xx</v>
      </c>
      <c r="E1325" s="351"/>
      <c r="F1325" s="609" t="str">
        <f>'refer admin discharge'!H1321</f>
        <v>00/00/0000</v>
      </c>
      <c r="G1325" s="351"/>
      <c r="H1325" s="610"/>
      <c r="I1325" s="351"/>
      <c r="J1325" s="611"/>
      <c r="K1325" s="351"/>
      <c r="L1325" s="610"/>
      <c r="M1325" s="351"/>
      <c r="N1325" s="612"/>
      <c r="O1325" s="351"/>
      <c r="P1325" s="610"/>
      <c r="Q1325" s="351"/>
      <c r="R1325" s="612"/>
      <c r="S1325" s="351"/>
      <c r="T1325" s="610"/>
      <c r="U1325" s="351"/>
      <c r="V1325" s="613" t="str">
        <f>'refer admin discharge'!H1326</f>
        <v>00/00/0000</v>
      </c>
      <c r="W1325" s="351"/>
      <c r="X1325" s="607"/>
      <c r="Y1325" s="351"/>
      <c r="Z1325" s="614"/>
      <c r="AA1325" s="351"/>
      <c r="AB1325" s="607"/>
      <c r="AC1325" s="351"/>
      <c r="AD1325" s="606"/>
      <c r="AE1325" s="351"/>
      <c r="AF1325" s="607"/>
      <c r="AG1325" s="351"/>
      <c r="AH1325" s="606"/>
      <c r="AI1325" s="351"/>
      <c r="AJ1325" s="607"/>
      <c r="AK1325" s="351"/>
      <c r="AL1325" s="608"/>
      <c r="AM1325" s="350"/>
      <c r="AN1325" s="350"/>
      <c r="AO1325" s="350"/>
      <c r="AP1325" s="350"/>
      <c r="AQ1325" s="350"/>
      <c r="AR1325" s="350"/>
      <c r="AS1325" s="350"/>
      <c r="AT1325" s="350"/>
      <c r="AU1325" s="350"/>
      <c r="AV1325" s="350"/>
      <c r="AW1325" s="350"/>
      <c r="AX1325" s="350"/>
      <c r="AY1325" s="350"/>
      <c r="AZ1325" s="350"/>
      <c r="BA1325" s="350"/>
      <c r="BB1325" s="351"/>
    </row>
    <row r="1326" spans="1:54" ht="15.75" customHeight="1">
      <c r="A1326" s="25">
        <f t="shared" si="5"/>
        <v>1313</v>
      </c>
      <c r="B1326" s="618" t="str">
        <f>'refer admin discharge'!B1322</f>
        <v>x</v>
      </c>
      <c r="C1326" s="351"/>
      <c r="D1326" s="619" t="str">
        <f>'refer admin discharge'!D1322</f>
        <v>xx</v>
      </c>
      <c r="E1326" s="351"/>
      <c r="F1326" s="620" t="str">
        <f>'refer admin discharge'!H1322</f>
        <v>00/00/0000</v>
      </c>
      <c r="G1326" s="351"/>
      <c r="H1326" s="615"/>
      <c r="I1326" s="351"/>
      <c r="J1326" s="621"/>
      <c r="K1326" s="351"/>
      <c r="L1326" s="615"/>
      <c r="M1326" s="351"/>
      <c r="N1326" s="610"/>
      <c r="O1326" s="351"/>
      <c r="P1326" s="615"/>
      <c r="Q1326" s="351"/>
      <c r="R1326" s="610"/>
      <c r="S1326" s="351"/>
      <c r="T1326" s="615"/>
      <c r="U1326" s="351"/>
      <c r="V1326" s="613" t="str">
        <f>'refer admin discharge'!H1327</f>
        <v>00/00/0000</v>
      </c>
      <c r="W1326" s="351"/>
      <c r="X1326" s="616"/>
      <c r="Y1326" s="351"/>
      <c r="Z1326" s="617"/>
      <c r="AA1326" s="351"/>
      <c r="AB1326" s="616"/>
      <c r="AC1326" s="351"/>
      <c r="AD1326" s="607"/>
      <c r="AE1326" s="351"/>
      <c r="AF1326" s="616"/>
      <c r="AG1326" s="351"/>
      <c r="AH1326" s="607"/>
      <c r="AI1326" s="351"/>
      <c r="AJ1326" s="616"/>
      <c r="AK1326" s="351"/>
      <c r="AL1326" s="622"/>
      <c r="AM1326" s="350"/>
      <c r="AN1326" s="350"/>
      <c r="AO1326" s="350"/>
      <c r="AP1326" s="350"/>
      <c r="AQ1326" s="350"/>
      <c r="AR1326" s="350"/>
      <c r="AS1326" s="350"/>
      <c r="AT1326" s="350"/>
      <c r="AU1326" s="350"/>
      <c r="AV1326" s="350"/>
      <c r="AW1326" s="350"/>
      <c r="AX1326" s="350"/>
      <c r="AY1326" s="350"/>
      <c r="AZ1326" s="350"/>
      <c r="BA1326" s="350"/>
      <c r="BB1326" s="351"/>
    </row>
    <row r="1327" spans="1:54" ht="15.75" customHeight="1">
      <c r="A1327" s="25">
        <f t="shared" si="5"/>
        <v>1314</v>
      </c>
      <c r="B1327" s="599" t="str">
        <f>'refer admin discharge'!B1323</f>
        <v>x</v>
      </c>
      <c r="C1327" s="351"/>
      <c r="D1327" s="600" t="str">
        <f>'refer admin discharge'!D1323</f>
        <v>xx</v>
      </c>
      <c r="E1327" s="351"/>
      <c r="F1327" s="609" t="str">
        <f>'refer admin discharge'!H1323</f>
        <v>00/00/0000</v>
      </c>
      <c r="G1327" s="351"/>
      <c r="H1327" s="610"/>
      <c r="I1327" s="351"/>
      <c r="J1327" s="611"/>
      <c r="K1327" s="351"/>
      <c r="L1327" s="610"/>
      <c r="M1327" s="351"/>
      <c r="N1327" s="612"/>
      <c r="O1327" s="351"/>
      <c r="P1327" s="610"/>
      <c r="Q1327" s="351"/>
      <c r="R1327" s="612"/>
      <c r="S1327" s="351"/>
      <c r="T1327" s="610"/>
      <c r="U1327" s="351"/>
      <c r="V1327" s="613" t="str">
        <f>'refer admin discharge'!H1328</f>
        <v>00/00/0000</v>
      </c>
      <c r="W1327" s="351"/>
      <c r="X1327" s="607"/>
      <c r="Y1327" s="351"/>
      <c r="Z1327" s="614"/>
      <c r="AA1327" s="351"/>
      <c r="AB1327" s="607"/>
      <c r="AC1327" s="351"/>
      <c r="AD1327" s="606"/>
      <c r="AE1327" s="351"/>
      <c r="AF1327" s="607"/>
      <c r="AG1327" s="351"/>
      <c r="AH1327" s="606"/>
      <c r="AI1327" s="351"/>
      <c r="AJ1327" s="607"/>
      <c r="AK1327" s="351"/>
      <c r="AL1327" s="608"/>
      <c r="AM1327" s="350"/>
      <c r="AN1327" s="350"/>
      <c r="AO1327" s="350"/>
      <c r="AP1327" s="350"/>
      <c r="AQ1327" s="350"/>
      <c r="AR1327" s="350"/>
      <c r="AS1327" s="350"/>
      <c r="AT1327" s="350"/>
      <c r="AU1327" s="350"/>
      <c r="AV1327" s="350"/>
      <c r="AW1327" s="350"/>
      <c r="AX1327" s="350"/>
      <c r="AY1327" s="350"/>
      <c r="AZ1327" s="350"/>
      <c r="BA1327" s="350"/>
      <c r="BB1327" s="351"/>
    </row>
    <row r="1328" spans="1:54" ht="15.75" customHeight="1">
      <c r="A1328" s="25">
        <f t="shared" si="5"/>
        <v>1315</v>
      </c>
      <c r="B1328" s="618" t="str">
        <f>'refer admin discharge'!B1324</f>
        <v>x</v>
      </c>
      <c r="C1328" s="351"/>
      <c r="D1328" s="619" t="str">
        <f>'refer admin discharge'!D1324</f>
        <v>xx</v>
      </c>
      <c r="E1328" s="351"/>
      <c r="F1328" s="620" t="str">
        <f>'refer admin discharge'!H1324</f>
        <v>00/00/0000</v>
      </c>
      <c r="G1328" s="351"/>
      <c r="H1328" s="615"/>
      <c r="I1328" s="351"/>
      <c r="J1328" s="621"/>
      <c r="K1328" s="351"/>
      <c r="L1328" s="615"/>
      <c r="M1328" s="351"/>
      <c r="N1328" s="610"/>
      <c r="O1328" s="351"/>
      <c r="P1328" s="615"/>
      <c r="Q1328" s="351"/>
      <c r="R1328" s="610"/>
      <c r="S1328" s="351"/>
      <c r="T1328" s="615"/>
      <c r="U1328" s="351"/>
      <c r="V1328" s="613" t="str">
        <f>'refer admin discharge'!H1329</f>
        <v>00/00/0000</v>
      </c>
      <c r="W1328" s="351"/>
      <c r="X1328" s="616"/>
      <c r="Y1328" s="351"/>
      <c r="Z1328" s="617"/>
      <c r="AA1328" s="351"/>
      <c r="AB1328" s="616"/>
      <c r="AC1328" s="351"/>
      <c r="AD1328" s="607"/>
      <c r="AE1328" s="351"/>
      <c r="AF1328" s="616"/>
      <c r="AG1328" s="351"/>
      <c r="AH1328" s="607"/>
      <c r="AI1328" s="351"/>
      <c r="AJ1328" s="616"/>
      <c r="AK1328" s="351"/>
      <c r="AL1328" s="622"/>
      <c r="AM1328" s="350"/>
      <c r="AN1328" s="350"/>
      <c r="AO1328" s="350"/>
      <c r="AP1328" s="350"/>
      <c r="AQ1328" s="350"/>
      <c r="AR1328" s="350"/>
      <c r="AS1328" s="350"/>
      <c r="AT1328" s="350"/>
      <c r="AU1328" s="350"/>
      <c r="AV1328" s="350"/>
      <c r="AW1328" s="350"/>
      <c r="AX1328" s="350"/>
      <c r="AY1328" s="350"/>
      <c r="AZ1328" s="350"/>
      <c r="BA1328" s="350"/>
      <c r="BB1328" s="351"/>
    </row>
    <row r="1329" spans="1:54" ht="15.75" customHeight="1">
      <c r="A1329" s="25">
        <f t="shared" si="5"/>
        <v>1316</v>
      </c>
      <c r="B1329" s="599" t="str">
        <f>'refer admin discharge'!B1325</f>
        <v>x</v>
      </c>
      <c r="C1329" s="351"/>
      <c r="D1329" s="600" t="str">
        <f>'refer admin discharge'!D1325</f>
        <v>xx</v>
      </c>
      <c r="E1329" s="351"/>
      <c r="F1329" s="609" t="str">
        <f>'refer admin discharge'!H1325</f>
        <v>00/00/0000</v>
      </c>
      <c r="G1329" s="351"/>
      <c r="H1329" s="610"/>
      <c r="I1329" s="351"/>
      <c r="J1329" s="611"/>
      <c r="K1329" s="351"/>
      <c r="L1329" s="610"/>
      <c r="M1329" s="351"/>
      <c r="N1329" s="612"/>
      <c r="O1329" s="351"/>
      <c r="P1329" s="610"/>
      <c r="Q1329" s="351"/>
      <c r="R1329" s="612"/>
      <c r="S1329" s="351"/>
      <c r="T1329" s="610"/>
      <c r="U1329" s="351"/>
      <c r="V1329" s="613" t="str">
        <f>'refer admin discharge'!H1330</f>
        <v>00/00/0000</v>
      </c>
      <c r="W1329" s="351"/>
      <c r="X1329" s="607"/>
      <c r="Y1329" s="351"/>
      <c r="Z1329" s="614"/>
      <c r="AA1329" s="351"/>
      <c r="AB1329" s="607"/>
      <c r="AC1329" s="351"/>
      <c r="AD1329" s="606"/>
      <c r="AE1329" s="351"/>
      <c r="AF1329" s="607"/>
      <c r="AG1329" s="351"/>
      <c r="AH1329" s="606"/>
      <c r="AI1329" s="351"/>
      <c r="AJ1329" s="607"/>
      <c r="AK1329" s="351"/>
      <c r="AL1329" s="608"/>
      <c r="AM1329" s="350"/>
      <c r="AN1329" s="350"/>
      <c r="AO1329" s="350"/>
      <c r="AP1329" s="350"/>
      <c r="AQ1329" s="350"/>
      <c r="AR1329" s="350"/>
      <c r="AS1329" s="350"/>
      <c r="AT1329" s="350"/>
      <c r="AU1329" s="350"/>
      <c r="AV1329" s="350"/>
      <c r="AW1329" s="350"/>
      <c r="AX1329" s="350"/>
      <c r="AY1329" s="350"/>
      <c r="AZ1329" s="350"/>
      <c r="BA1329" s="350"/>
      <c r="BB1329" s="351"/>
    </row>
    <row r="1330" spans="1:54" ht="15.75" customHeight="1">
      <c r="A1330" s="25">
        <f t="shared" si="5"/>
        <v>1317</v>
      </c>
      <c r="B1330" s="618" t="str">
        <f>'refer admin discharge'!B1326</f>
        <v>x</v>
      </c>
      <c r="C1330" s="351"/>
      <c r="D1330" s="619" t="str">
        <f>'refer admin discharge'!D1326</f>
        <v>xx</v>
      </c>
      <c r="E1330" s="351"/>
      <c r="F1330" s="620" t="str">
        <f>'refer admin discharge'!H1326</f>
        <v>00/00/0000</v>
      </c>
      <c r="G1330" s="351"/>
      <c r="H1330" s="615"/>
      <c r="I1330" s="351"/>
      <c r="J1330" s="621"/>
      <c r="K1330" s="351"/>
      <c r="L1330" s="615"/>
      <c r="M1330" s="351"/>
      <c r="N1330" s="610"/>
      <c r="O1330" s="351"/>
      <c r="P1330" s="615"/>
      <c r="Q1330" s="351"/>
      <c r="R1330" s="610"/>
      <c r="S1330" s="351"/>
      <c r="T1330" s="615"/>
      <c r="U1330" s="351"/>
      <c r="V1330" s="613" t="str">
        <f>'refer admin discharge'!H1331</f>
        <v>00/00/0000</v>
      </c>
      <c r="W1330" s="351"/>
      <c r="X1330" s="616"/>
      <c r="Y1330" s="351"/>
      <c r="Z1330" s="617"/>
      <c r="AA1330" s="351"/>
      <c r="AB1330" s="616"/>
      <c r="AC1330" s="351"/>
      <c r="AD1330" s="607"/>
      <c r="AE1330" s="351"/>
      <c r="AF1330" s="616"/>
      <c r="AG1330" s="351"/>
      <c r="AH1330" s="607"/>
      <c r="AI1330" s="351"/>
      <c r="AJ1330" s="616"/>
      <c r="AK1330" s="351"/>
      <c r="AL1330" s="622"/>
      <c r="AM1330" s="350"/>
      <c r="AN1330" s="350"/>
      <c r="AO1330" s="350"/>
      <c r="AP1330" s="350"/>
      <c r="AQ1330" s="350"/>
      <c r="AR1330" s="350"/>
      <c r="AS1330" s="350"/>
      <c r="AT1330" s="350"/>
      <c r="AU1330" s="350"/>
      <c r="AV1330" s="350"/>
      <c r="AW1330" s="350"/>
      <c r="AX1330" s="350"/>
      <c r="AY1330" s="350"/>
      <c r="AZ1330" s="350"/>
      <c r="BA1330" s="350"/>
      <c r="BB1330" s="351"/>
    </row>
    <row r="1331" spans="1:54" ht="15.75" customHeight="1">
      <c r="A1331" s="25">
        <f t="shared" si="5"/>
        <v>1318</v>
      </c>
      <c r="B1331" s="599" t="str">
        <f>'refer admin discharge'!B1327</f>
        <v>x</v>
      </c>
      <c r="C1331" s="351"/>
      <c r="D1331" s="600" t="str">
        <f>'refer admin discharge'!D1327</f>
        <v>xx</v>
      </c>
      <c r="E1331" s="351"/>
      <c r="F1331" s="609" t="str">
        <f>'refer admin discharge'!H1327</f>
        <v>00/00/0000</v>
      </c>
      <c r="G1331" s="351"/>
      <c r="H1331" s="610"/>
      <c r="I1331" s="351"/>
      <c r="J1331" s="611"/>
      <c r="K1331" s="351"/>
      <c r="L1331" s="610"/>
      <c r="M1331" s="351"/>
      <c r="N1331" s="612"/>
      <c r="O1331" s="351"/>
      <c r="P1331" s="610"/>
      <c r="Q1331" s="351"/>
      <c r="R1331" s="612"/>
      <c r="S1331" s="351"/>
      <c r="T1331" s="610"/>
      <c r="U1331" s="351"/>
      <c r="V1331" s="613" t="str">
        <f>'refer admin discharge'!H1332</f>
        <v>00/00/0000</v>
      </c>
      <c r="W1331" s="351"/>
      <c r="X1331" s="607"/>
      <c r="Y1331" s="351"/>
      <c r="Z1331" s="614"/>
      <c r="AA1331" s="351"/>
      <c r="AB1331" s="607"/>
      <c r="AC1331" s="351"/>
      <c r="AD1331" s="606"/>
      <c r="AE1331" s="351"/>
      <c r="AF1331" s="607"/>
      <c r="AG1331" s="351"/>
      <c r="AH1331" s="606"/>
      <c r="AI1331" s="351"/>
      <c r="AJ1331" s="607"/>
      <c r="AK1331" s="351"/>
      <c r="AL1331" s="608"/>
      <c r="AM1331" s="350"/>
      <c r="AN1331" s="350"/>
      <c r="AO1331" s="350"/>
      <c r="AP1331" s="350"/>
      <c r="AQ1331" s="350"/>
      <c r="AR1331" s="350"/>
      <c r="AS1331" s="350"/>
      <c r="AT1331" s="350"/>
      <c r="AU1331" s="350"/>
      <c r="AV1331" s="350"/>
      <c r="AW1331" s="350"/>
      <c r="AX1331" s="350"/>
      <c r="AY1331" s="350"/>
      <c r="AZ1331" s="350"/>
      <c r="BA1331" s="350"/>
      <c r="BB1331" s="351"/>
    </row>
    <row r="1332" spans="1:54" ht="15.75" customHeight="1">
      <c r="A1332" s="25">
        <f t="shared" si="5"/>
        <v>1319</v>
      </c>
      <c r="B1332" s="618" t="str">
        <f>'refer admin discharge'!B1328</f>
        <v>x</v>
      </c>
      <c r="C1332" s="351"/>
      <c r="D1332" s="619" t="str">
        <f>'refer admin discharge'!D1328</f>
        <v>xx</v>
      </c>
      <c r="E1332" s="351"/>
      <c r="F1332" s="620" t="str">
        <f>'refer admin discharge'!H1328</f>
        <v>00/00/0000</v>
      </c>
      <c r="G1332" s="351"/>
      <c r="H1332" s="615"/>
      <c r="I1332" s="351"/>
      <c r="J1332" s="621"/>
      <c r="K1332" s="351"/>
      <c r="L1332" s="615"/>
      <c r="M1332" s="351"/>
      <c r="N1332" s="610"/>
      <c r="O1332" s="351"/>
      <c r="P1332" s="615"/>
      <c r="Q1332" s="351"/>
      <c r="R1332" s="610"/>
      <c r="S1332" s="351"/>
      <c r="T1332" s="615"/>
      <c r="U1332" s="351"/>
      <c r="V1332" s="613" t="str">
        <f>'refer admin discharge'!H1333</f>
        <v>00/00/0000</v>
      </c>
      <c r="W1332" s="351"/>
      <c r="X1332" s="616"/>
      <c r="Y1332" s="351"/>
      <c r="Z1332" s="617"/>
      <c r="AA1332" s="351"/>
      <c r="AB1332" s="616"/>
      <c r="AC1332" s="351"/>
      <c r="AD1332" s="607"/>
      <c r="AE1332" s="351"/>
      <c r="AF1332" s="616"/>
      <c r="AG1332" s="351"/>
      <c r="AH1332" s="607"/>
      <c r="AI1332" s="351"/>
      <c r="AJ1332" s="616"/>
      <c r="AK1332" s="351"/>
      <c r="AL1332" s="622"/>
      <c r="AM1332" s="350"/>
      <c r="AN1332" s="350"/>
      <c r="AO1332" s="350"/>
      <c r="AP1332" s="350"/>
      <c r="AQ1332" s="350"/>
      <c r="AR1332" s="350"/>
      <c r="AS1332" s="350"/>
      <c r="AT1332" s="350"/>
      <c r="AU1332" s="350"/>
      <c r="AV1332" s="350"/>
      <c r="AW1332" s="350"/>
      <c r="AX1332" s="350"/>
      <c r="AY1332" s="350"/>
      <c r="AZ1332" s="350"/>
      <c r="BA1332" s="350"/>
      <c r="BB1332" s="351"/>
    </row>
    <row r="1333" spans="1:54" ht="15.75" customHeight="1">
      <c r="A1333" s="25">
        <f t="shared" si="5"/>
        <v>1320</v>
      </c>
      <c r="B1333" s="599" t="str">
        <f>'refer admin discharge'!B1329</f>
        <v>x</v>
      </c>
      <c r="C1333" s="351"/>
      <c r="D1333" s="600" t="str">
        <f>'refer admin discharge'!D1329</f>
        <v>xx</v>
      </c>
      <c r="E1333" s="351"/>
      <c r="F1333" s="609" t="str">
        <f>'refer admin discharge'!H1329</f>
        <v>00/00/0000</v>
      </c>
      <c r="G1333" s="351"/>
      <c r="H1333" s="610"/>
      <c r="I1333" s="351"/>
      <c r="J1333" s="611"/>
      <c r="K1333" s="351"/>
      <c r="L1333" s="610"/>
      <c r="M1333" s="351"/>
      <c r="N1333" s="612"/>
      <c r="O1333" s="351"/>
      <c r="P1333" s="610"/>
      <c r="Q1333" s="351"/>
      <c r="R1333" s="612"/>
      <c r="S1333" s="351"/>
      <c r="T1333" s="610"/>
      <c r="U1333" s="351"/>
      <c r="V1333" s="613" t="str">
        <f>'refer admin discharge'!H1334</f>
        <v>00/00/0000</v>
      </c>
      <c r="W1333" s="351"/>
      <c r="X1333" s="607"/>
      <c r="Y1333" s="351"/>
      <c r="Z1333" s="614"/>
      <c r="AA1333" s="351"/>
      <c r="AB1333" s="607"/>
      <c r="AC1333" s="351"/>
      <c r="AD1333" s="606"/>
      <c r="AE1333" s="351"/>
      <c r="AF1333" s="607"/>
      <c r="AG1333" s="351"/>
      <c r="AH1333" s="606"/>
      <c r="AI1333" s="351"/>
      <c r="AJ1333" s="607"/>
      <c r="AK1333" s="351"/>
      <c r="AL1333" s="608"/>
      <c r="AM1333" s="350"/>
      <c r="AN1333" s="350"/>
      <c r="AO1333" s="350"/>
      <c r="AP1333" s="350"/>
      <c r="AQ1333" s="350"/>
      <c r="AR1333" s="350"/>
      <c r="AS1333" s="350"/>
      <c r="AT1333" s="350"/>
      <c r="AU1333" s="350"/>
      <c r="AV1333" s="350"/>
      <c r="AW1333" s="350"/>
      <c r="AX1333" s="350"/>
      <c r="AY1333" s="350"/>
      <c r="AZ1333" s="350"/>
      <c r="BA1333" s="350"/>
      <c r="BB1333" s="351"/>
    </row>
    <row r="1334" spans="1:54" ht="15.75" customHeight="1">
      <c r="A1334" s="25">
        <f t="shared" si="5"/>
        <v>1321</v>
      </c>
      <c r="B1334" s="618" t="str">
        <f>'refer admin discharge'!B1330</f>
        <v>x</v>
      </c>
      <c r="C1334" s="351"/>
      <c r="D1334" s="619" t="str">
        <f>'refer admin discharge'!D1330</f>
        <v>xx</v>
      </c>
      <c r="E1334" s="351"/>
      <c r="F1334" s="620" t="str">
        <f>'refer admin discharge'!H1330</f>
        <v>00/00/0000</v>
      </c>
      <c r="G1334" s="351"/>
      <c r="H1334" s="615"/>
      <c r="I1334" s="351"/>
      <c r="J1334" s="621"/>
      <c r="K1334" s="351"/>
      <c r="L1334" s="615"/>
      <c r="M1334" s="351"/>
      <c r="N1334" s="610"/>
      <c r="O1334" s="351"/>
      <c r="P1334" s="615"/>
      <c r="Q1334" s="351"/>
      <c r="R1334" s="610"/>
      <c r="S1334" s="351"/>
      <c r="T1334" s="615"/>
      <c r="U1334" s="351"/>
      <c r="V1334" s="613" t="str">
        <f>'refer admin discharge'!H1335</f>
        <v>00/00/0000</v>
      </c>
      <c r="W1334" s="351"/>
      <c r="X1334" s="616"/>
      <c r="Y1334" s="351"/>
      <c r="Z1334" s="617"/>
      <c r="AA1334" s="351"/>
      <c r="AB1334" s="616"/>
      <c r="AC1334" s="351"/>
      <c r="AD1334" s="607"/>
      <c r="AE1334" s="351"/>
      <c r="AF1334" s="616"/>
      <c r="AG1334" s="351"/>
      <c r="AH1334" s="607"/>
      <c r="AI1334" s="351"/>
      <c r="AJ1334" s="616"/>
      <c r="AK1334" s="351"/>
      <c r="AL1334" s="622"/>
      <c r="AM1334" s="350"/>
      <c r="AN1334" s="350"/>
      <c r="AO1334" s="350"/>
      <c r="AP1334" s="350"/>
      <c r="AQ1334" s="350"/>
      <c r="AR1334" s="350"/>
      <c r="AS1334" s="350"/>
      <c r="AT1334" s="350"/>
      <c r="AU1334" s="350"/>
      <c r="AV1334" s="350"/>
      <c r="AW1334" s="350"/>
      <c r="AX1334" s="350"/>
      <c r="AY1334" s="350"/>
      <c r="AZ1334" s="350"/>
      <c r="BA1334" s="350"/>
      <c r="BB1334" s="351"/>
    </row>
    <row r="1335" spans="1:54" ht="15.75" customHeight="1">
      <c r="A1335" s="25">
        <f t="shared" si="5"/>
        <v>1322</v>
      </c>
      <c r="B1335" s="599" t="str">
        <f>'refer admin discharge'!B1331</f>
        <v>x</v>
      </c>
      <c r="C1335" s="351"/>
      <c r="D1335" s="600" t="str">
        <f>'refer admin discharge'!D1331</f>
        <v>xx</v>
      </c>
      <c r="E1335" s="351"/>
      <c r="F1335" s="609" t="str">
        <f>'refer admin discharge'!H1331</f>
        <v>00/00/0000</v>
      </c>
      <c r="G1335" s="351"/>
      <c r="H1335" s="610"/>
      <c r="I1335" s="351"/>
      <c r="J1335" s="611"/>
      <c r="K1335" s="351"/>
      <c r="L1335" s="610"/>
      <c r="M1335" s="351"/>
      <c r="N1335" s="612"/>
      <c r="O1335" s="351"/>
      <c r="P1335" s="610"/>
      <c r="Q1335" s="351"/>
      <c r="R1335" s="612"/>
      <c r="S1335" s="351"/>
      <c r="T1335" s="610"/>
      <c r="U1335" s="351"/>
      <c r="V1335" s="613" t="str">
        <f>'refer admin discharge'!H1336</f>
        <v>00/00/0000</v>
      </c>
      <c r="W1335" s="351"/>
      <c r="X1335" s="607"/>
      <c r="Y1335" s="351"/>
      <c r="Z1335" s="614"/>
      <c r="AA1335" s="351"/>
      <c r="AB1335" s="607"/>
      <c r="AC1335" s="351"/>
      <c r="AD1335" s="606"/>
      <c r="AE1335" s="351"/>
      <c r="AF1335" s="607"/>
      <c r="AG1335" s="351"/>
      <c r="AH1335" s="606"/>
      <c r="AI1335" s="351"/>
      <c r="AJ1335" s="607"/>
      <c r="AK1335" s="351"/>
      <c r="AL1335" s="608"/>
      <c r="AM1335" s="350"/>
      <c r="AN1335" s="350"/>
      <c r="AO1335" s="350"/>
      <c r="AP1335" s="350"/>
      <c r="AQ1335" s="350"/>
      <c r="AR1335" s="350"/>
      <c r="AS1335" s="350"/>
      <c r="AT1335" s="350"/>
      <c r="AU1335" s="350"/>
      <c r="AV1335" s="350"/>
      <c r="AW1335" s="350"/>
      <c r="AX1335" s="350"/>
      <c r="AY1335" s="350"/>
      <c r="AZ1335" s="350"/>
      <c r="BA1335" s="350"/>
      <c r="BB1335" s="351"/>
    </row>
    <row r="1336" spans="1:54" ht="15.75" customHeight="1">
      <c r="A1336" s="25">
        <f t="shared" si="5"/>
        <v>1323</v>
      </c>
      <c r="B1336" s="618" t="str">
        <f>'refer admin discharge'!B1332</f>
        <v>x</v>
      </c>
      <c r="C1336" s="351"/>
      <c r="D1336" s="619" t="str">
        <f>'refer admin discharge'!D1332</f>
        <v>xx</v>
      </c>
      <c r="E1336" s="351"/>
      <c r="F1336" s="620" t="str">
        <f>'refer admin discharge'!H1332</f>
        <v>00/00/0000</v>
      </c>
      <c r="G1336" s="351"/>
      <c r="H1336" s="615"/>
      <c r="I1336" s="351"/>
      <c r="J1336" s="621"/>
      <c r="K1336" s="351"/>
      <c r="L1336" s="615"/>
      <c r="M1336" s="351"/>
      <c r="N1336" s="610"/>
      <c r="O1336" s="351"/>
      <c r="P1336" s="615"/>
      <c r="Q1336" s="351"/>
      <c r="R1336" s="610"/>
      <c r="S1336" s="351"/>
      <c r="T1336" s="615"/>
      <c r="U1336" s="351"/>
      <c r="V1336" s="613" t="str">
        <f>'refer admin discharge'!H1337</f>
        <v>00/00/0000</v>
      </c>
      <c r="W1336" s="351"/>
      <c r="X1336" s="616"/>
      <c r="Y1336" s="351"/>
      <c r="Z1336" s="617"/>
      <c r="AA1336" s="351"/>
      <c r="AB1336" s="616"/>
      <c r="AC1336" s="351"/>
      <c r="AD1336" s="607"/>
      <c r="AE1336" s="351"/>
      <c r="AF1336" s="616"/>
      <c r="AG1336" s="351"/>
      <c r="AH1336" s="607"/>
      <c r="AI1336" s="351"/>
      <c r="AJ1336" s="616"/>
      <c r="AK1336" s="351"/>
      <c r="AL1336" s="622"/>
      <c r="AM1336" s="350"/>
      <c r="AN1336" s="350"/>
      <c r="AO1336" s="350"/>
      <c r="AP1336" s="350"/>
      <c r="AQ1336" s="350"/>
      <c r="AR1336" s="350"/>
      <c r="AS1336" s="350"/>
      <c r="AT1336" s="350"/>
      <c r="AU1336" s="350"/>
      <c r="AV1336" s="350"/>
      <c r="AW1336" s="350"/>
      <c r="AX1336" s="350"/>
      <c r="AY1336" s="350"/>
      <c r="AZ1336" s="350"/>
      <c r="BA1336" s="350"/>
      <c r="BB1336" s="351"/>
    </row>
    <row r="1337" spans="1:54" ht="15.75" customHeight="1">
      <c r="A1337" s="25">
        <f t="shared" si="5"/>
        <v>1324</v>
      </c>
      <c r="B1337" s="599" t="str">
        <f>'refer admin discharge'!B1333</f>
        <v>x</v>
      </c>
      <c r="C1337" s="351"/>
      <c r="D1337" s="600" t="str">
        <f>'refer admin discharge'!D1333</f>
        <v>xx</v>
      </c>
      <c r="E1337" s="351"/>
      <c r="F1337" s="609" t="str">
        <f>'refer admin discharge'!H1333</f>
        <v>00/00/0000</v>
      </c>
      <c r="G1337" s="351"/>
      <c r="H1337" s="610"/>
      <c r="I1337" s="351"/>
      <c r="J1337" s="611"/>
      <c r="K1337" s="351"/>
      <c r="L1337" s="610"/>
      <c r="M1337" s="351"/>
      <c r="N1337" s="612"/>
      <c r="O1337" s="351"/>
      <c r="P1337" s="610"/>
      <c r="Q1337" s="351"/>
      <c r="R1337" s="612"/>
      <c r="S1337" s="351"/>
      <c r="T1337" s="610"/>
      <c r="U1337" s="351"/>
      <c r="V1337" s="613" t="str">
        <f>'refer admin discharge'!H1338</f>
        <v>00/00/0000</v>
      </c>
      <c r="W1337" s="351"/>
      <c r="X1337" s="607"/>
      <c r="Y1337" s="351"/>
      <c r="Z1337" s="614"/>
      <c r="AA1337" s="351"/>
      <c r="AB1337" s="607"/>
      <c r="AC1337" s="351"/>
      <c r="AD1337" s="606"/>
      <c r="AE1337" s="351"/>
      <c r="AF1337" s="607"/>
      <c r="AG1337" s="351"/>
      <c r="AH1337" s="606"/>
      <c r="AI1337" s="351"/>
      <c r="AJ1337" s="607"/>
      <c r="AK1337" s="351"/>
      <c r="AL1337" s="608"/>
      <c r="AM1337" s="350"/>
      <c r="AN1337" s="350"/>
      <c r="AO1337" s="350"/>
      <c r="AP1337" s="350"/>
      <c r="AQ1337" s="350"/>
      <c r="AR1337" s="350"/>
      <c r="AS1337" s="350"/>
      <c r="AT1337" s="350"/>
      <c r="AU1337" s="350"/>
      <c r="AV1337" s="350"/>
      <c r="AW1337" s="350"/>
      <c r="AX1337" s="350"/>
      <c r="AY1337" s="350"/>
      <c r="AZ1337" s="350"/>
      <c r="BA1337" s="350"/>
      <c r="BB1337" s="351"/>
    </row>
    <row r="1338" spans="1:54" ht="15.75" customHeight="1">
      <c r="A1338" s="25">
        <f t="shared" si="5"/>
        <v>1325</v>
      </c>
      <c r="B1338" s="618" t="str">
        <f>'refer admin discharge'!B1334</f>
        <v>x</v>
      </c>
      <c r="C1338" s="351"/>
      <c r="D1338" s="619" t="str">
        <f>'refer admin discharge'!D1334</f>
        <v>xx</v>
      </c>
      <c r="E1338" s="351"/>
      <c r="F1338" s="620" t="str">
        <f>'refer admin discharge'!H1334</f>
        <v>00/00/0000</v>
      </c>
      <c r="G1338" s="351"/>
      <c r="H1338" s="615"/>
      <c r="I1338" s="351"/>
      <c r="J1338" s="621"/>
      <c r="K1338" s="351"/>
      <c r="L1338" s="615"/>
      <c r="M1338" s="351"/>
      <c r="N1338" s="610"/>
      <c r="O1338" s="351"/>
      <c r="P1338" s="615"/>
      <c r="Q1338" s="351"/>
      <c r="R1338" s="610"/>
      <c r="S1338" s="351"/>
      <c r="T1338" s="615"/>
      <c r="U1338" s="351"/>
      <c r="V1338" s="613" t="str">
        <f>'refer admin discharge'!H1339</f>
        <v>00/00/0000</v>
      </c>
      <c r="W1338" s="351"/>
      <c r="X1338" s="616"/>
      <c r="Y1338" s="351"/>
      <c r="Z1338" s="617"/>
      <c r="AA1338" s="351"/>
      <c r="AB1338" s="616"/>
      <c r="AC1338" s="351"/>
      <c r="AD1338" s="607"/>
      <c r="AE1338" s="351"/>
      <c r="AF1338" s="616"/>
      <c r="AG1338" s="351"/>
      <c r="AH1338" s="607"/>
      <c r="AI1338" s="351"/>
      <c r="AJ1338" s="616"/>
      <c r="AK1338" s="351"/>
      <c r="AL1338" s="622"/>
      <c r="AM1338" s="350"/>
      <c r="AN1338" s="350"/>
      <c r="AO1338" s="350"/>
      <c r="AP1338" s="350"/>
      <c r="AQ1338" s="350"/>
      <c r="AR1338" s="350"/>
      <c r="AS1338" s="350"/>
      <c r="AT1338" s="350"/>
      <c r="AU1338" s="350"/>
      <c r="AV1338" s="350"/>
      <c r="AW1338" s="350"/>
      <c r="AX1338" s="350"/>
      <c r="AY1338" s="350"/>
      <c r="AZ1338" s="350"/>
      <c r="BA1338" s="350"/>
      <c r="BB1338" s="351"/>
    </row>
    <row r="1339" spans="1:54" ht="15.75" customHeight="1">
      <c r="A1339" s="25">
        <f t="shared" si="5"/>
        <v>1326</v>
      </c>
      <c r="B1339" s="599" t="str">
        <f>'refer admin discharge'!B1335</f>
        <v>x</v>
      </c>
      <c r="C1339" s="351"/>
      <c r="D1339" s="600" t="str">
        <f>'refer admin discharge'!D1335</f>
        <v>xx</v>
      </c>
      <c r="E1339" s="351"/>
      <c r="F1339" s="609" t="str">
        <f>'refer admin discharge'!H1335</f>
        <v>00/00/0000</v>
      </c>
      <c r="G1339" s="351"/>
      <c r="H1339" s="610"/>
      <c r="I1339" s="351"/>
      <c r="J1339" s="611"/>
      <c r="K1339" s="351"/>
      <c r="L1339" s="610"/>
      <c r="M1339" s="351"/>
      <c r="N1339" s="612"/>
      <c r="O1339" s="351"/>
      <c r="P1339" s="610"/>
      <c r="Q1339" s="351"/>
      <c r="R1339" s="612"/>
      <c r="S1339" s="351"/>
      <c r="T1339" s="610"/>
      <c r="U1339" s="351"/>
      <c r="V1339" s="613" t="str">
        <f>'refer admin discharge'!H1340</f>
        <v>00/00/0000</v>
      </c>
      <c r="W1339" s="351"/>
      <c r="X1339" s="607"/>
      <c r="Y1339" s="351"/>
      <c r="Z1339" s="614"/>
      <c r="AA1339" s="351"/>
      <c r="AB1339" s="607"/>
      <c r="AC1339" s="351"/>
      <c r="AD1339" s="606"/>
      <c r="AE1339" s="351"/>
      <c r="AF1339" s="607"/>
      <c r="AG1339" s="351"/>
      <c r="AH1339" s="606"/>
      <c r="AI1339" s="351"/>
      <c r="AJ1339" s="607"/>
      <c r="AK1339" s="351"/>
      <c r="AL1339" s="608"/>
      <c r="AM1339" s="350"/>
      <c r="AN1339" s="350"/>
      <c r="AO1339" s="350"/>
      <c r="AP1339" s="350"/>
      <c r="AQ1339" s="350"/>
      <c r="AR1339" s="350"/>
      <c r="AS1339" s="350"/>
      <c r="AT1339" s="350"/>
      <c r="AU1339" s="350"/>
      <c r="AV1339" s="350"/>
      <c r="AW1339" s="350"/>
      <c r="AX1339" s="350"/>
      <c r="AY1339" s="350"/>
      <c r="AZ1339" s="350"/>
      <c r="BA1339" s="350"/>
      <c r="BB1339" s="351"/>
    </row>
    <row r="1340" spans="1:54" ht="15.75" customHeight="1">
      <c r="A1340" s="25">
        <f t="shared" si="5"/>
        <v>1327</v>
      </c>
      <c r="B1340" s="618" t="str">
        <f>'refer admin discharge'!B1336</f>
        <v>x</v>
      </c>
      <c r="C1340" s="351"/>
      <c r="D1340" s="619" t="str">
        <f>'refer admin discharge'!D1336</f>
        <v>xx</v>
      </c>
      <c r="E1340" s="351"/>
      <c r="F1340" s="620" t="str">
        <f>'refer admin discharge'!H1336</f>
        <v>00/00/0000</v>
      </c>
      <c r="G1340" s="351"/>
      <c r="H1340" s="615"/>
      <c r="I1340" s="351"/>
      <c r="J1340" s="621"/>
      <c r="K1340" s="351"/>
      <c r="L1340" s="615"/>
      <c r="M1340" s="351"/>
      <c r="N1340" s="610"/>
      <c r="O1340" s="351"/>
      <c r="P1340" s="615"/>
      <c r="Q1340" s="351"/>
      <c r="R1340" s="610"/>
      <c r="S1340" s="351"/>
      <c r="T1340" s="615"/>
      <c r="U1340" s="351"/>
      <c r="V1340" s="613" t="str">
        <f>'refer admin discharge'!H1341</f>
        <v>00/00/0000</v>
      </c>
      <c r="W1340" s="351"/>
      <c r="X1340" s="616"/>
      <c r="Y1340" s="351"/>
      <c r="Z1340" s="617"/>
      <c r="AA1340" s="351"/>
      <c r="AB1340" s="616"/>
      <c r="AC1340" s="351"/>
      <c r="AD1340" s="607"/>
      <c r="AE1340" s="351"/>
      <c r="AF1340" s="616"/>
      <c r="AG1340" s="351"/>
      <c r="AH1340" s="607"/>
      <c r="AI1340" s="351"/>
      <c r="AJ1340" s="616"/>
      <c r="AK1340" s="351"/>
      <c r="AL1340" s="622"/>
      <c r="AM1340" s="350"/>
      <c r="AN1340" s="350"/>
      <c r="AO1340" s="350"/>
      <c r="AP1340" s="350"/>
      <c r="AQ1340" s="350"/>
      <c r="AR1340" s="350"/>
      <c r="AS1340" s="350"/>
      <c r="AT1340" s="350"/>
      <c r="AU1340" s="350"/>
      <c r="AV1340" s="350"/>
      <c r="AW1340" s="350"/>
      <c r="AX1340" s="350"/>
      <c r="AY1340" s="350"/>
      <c r="AZ1340" s="350"/>
      <c r="BA1340" s="350"/>
      <c r="BB1340" s="351"/>
    </row>
    <row r="1341" spans="1:54" ht="15.75" customHeight="1">
      <c r="A1341" s="25">
        <f t="shared" si="5"/>
        <v>1328</v>
      </c>
      <c r="B1341" s="599" t="str">
        <f>'refer admin discharge'!B1337</f>
        <v>x</v>
      </c>
      <c r="C1341" s="351"/>
      <c r="D1341" s="600" t="str">
        <f>'refer admin discharge'!D1337</f>
        <v>xx</v>
      </c>
      <c r="E1341" s="351"/>
      <c r="F1341" s="609" t="str">
        <f>'refer admin discharge'!H1337</f>
        <v>00/00/0000</v>
      </c>
      <c r="G1341" s="351"/>
      <c r="H1341" s="610"/>
      <c r="I1341" s="351"/>
      <c r="J1341" s="611"/>
      <c r="K1341" s="351"/>
      <c r="L1341" s="610"/>
      <c r="M1341" s="351"/>
      <c r="N1341" s="612"/>
      <c r="O1341" s="351"/>
      <c r="P1341" s="610"/>
      <c r="Q1341" s="351"/>
      <c r="R1341" s="612"/>
      <c r="S1341" s="351"/>
      <c r="T1341" s="610"/>
      <c r="U1341" s="351"/>
      <c r="V1341" s="613" t="str">
        <f>'refer admin discharge'!H1342</f>
        <v>00/00/0000</v>
      </c>
      <c r="W1341" s="351"/>
      <c r="X1341" s="607"/>
      <c r="Y1341" s="351"/>
      <c r="Z1341" s="614"/>
      <c r="AA1341" s="351"/>
      <c r="AB1341" s="607"/>
      <c r="AC1341" s="351"/>
      <c r="AD1341" s="606"/>
      <c r="AE1341" s="351"/>
      <c r="AF1341" s="607"/>
      <c r="AG1341" s="351"/>
      <c r="AH1341" s="606"/>
      <c r="AI1341" s="351"/>
      <c r="AJ1341" s="607"/>
      <c r="AK1341" s="351"/>
      <c r="AL1341" s="608"/>
      <c r="AM1341" s="350"/>
      <c r="AN1341" s="350"/>
      <c r="AO1341" s="350"/>
      <c r="AP1341" s="350"/>
      <c r="AQ1341" s="350"/>
      <c r="AR1341" s="350"/>
      <c r="AS1341" s="350"/>
      <c r="AT1341" s="350"/>
      <c r="AU1341" s="350"/>
      <c r="AV1341" s="350"/>
      <c r="AW1341" s="350"/>
      <c r="AX1341" s="350"/>
      <c r="AY1341" s="350"/>
      <c r="AZ1341" s="350"/>
      <c r="BA1341" s="350"/>
      <c r="BB1341" s="351"/>
    </row>
    <row r="1342" spans="1:54" ht="15.75" customHeight="1">
      <c r="A1342" s="25">
        <f t="shared" si="5"/>
        <v>1329</v>
      </c>
      <c r="B1342" s="618" t="str">
        <f>'refer admin discharge'!B1338</f>
        <v>x</v>
      </c>
      <c r="C1342" s="351"/>
      <c r="D1342" s="619" t="str">
        <f>'refer admin discharge'!D1338</f>
        <v>xx</v>
      </c>
      <c r="E1342" s="351"/>
      <c r="F1342" s="620" t="str">
        <f>'refer admin discharge'!H1338</f>
        <v>00/00/0000</v>
      </c>
      <c r="G1342" s="351"/>
      <c r="H1342" s="615"/>
      <c r="I1342" s="351"/>
      <c r="J1342" s="621"/>
      <c r="K1342" s="351"/>
      <c r="L1342" s="615"/>
      <c r="M1342" s="351"/>
      <c r="N1342" s="610"/>
      <c r="O1342" s="351"/>
      <c r="P1342" s="615"/>
      <c r="Q1342" s="351"/>
      <c r="R1342" s="610"/>
      <c r="S1342" s="351"/>
      <c r="T1342" s="615"/>
      <c r="U1342" s="351"/>
      <c r="V1342" s="613" t="str">
        <f>'refer admin discharge'!H1343</f>
        <v>00/00/0000</v>
      </c>
      <c r="W1342" s="351"/>
      <c r="X1342" s="616"/>
      <c r="Y1342" s="351"/>
      <c r="Z1342" s="617"/>
      <c r="AA1342" s="351"/>
      <c r="AB1342" s="616"/>
      <c r="AC1342" s="351"/>
      <c r="AD1342" s="607"/>
      <c r="AE1342" s="351"/>
      <c r="AF1342" s="616"/>
      <c r="AG1342" s="351"/>
      <c r="AH1342" s="607"/>
      <c r="AI1342" s="351"/>
      <c r="AJ1342" s="616"/>
      <c r="AK1342" s="351"/>
      <c r="AL1342" s="622"/>
      <c r="AM1342" s="350"/>
      <c r="AN1342" s="350"/>
      <c r="AO1342" s="350"/>
      <c r="AP1342" s="350"/>
      <c r="AQ1342" s="350"/>
      <c r="AR1342" s="350"/>
      <c r="AS1342" s="350"/>
      <c r="AT1342" s="350"/>
      <c r="AU1342" s="350"/>
      <c r="AV1342" s="350"/>
      <c r="AW1342" s="350"/>
      <c r="AX1342" s="350"/>
      <c r="AY1342" s="350"/>
      <c r="AZ1342" s="350"/>
      <c r="BA1342" s="350"/>
      <c r="BB1342" s="351"/>
    </row>
    <row r="1343" spans="1:54" ht="15.75" customHeight="1">
      <c r="A1343" s="25">
        <f t="shared" si="5"/>
        <v>1330</v>
      </c>
      <c r="B1343" s="599" t="str">
        <f>'refer admin discharge'!B1339</f>
        <v>x</v>
      </c>
      <c r="C1343" s="351"/>
      <c r="D1343" s="600" t="str">
        <f>'refer admin discharge'!D1339</f>
        <v>xx</v>
      </c>
      <c r="E1343" s="351"/>
      <c r="F1343" s="609" t="str">
        <f>'refer admin discharge'!H1339</f>
        <v>00/00/0000</v>
      </c>
      <c r="G1343" s="351"/>
      <c r="H1343" s="610"/>
      <c r="I1343" s="351"/>
      <c r="J1343" s="611"/>
      <c r="K1343" s="351"/>
      <c r="L1343" s="610"/>
      <c r="M1343" s="351"/>
      <c r="N1343" s="612"/>
      <c r="O1343" s="351"/>
      <c r="P1343" s="610"/>
      <c r="Q1343" s="351"/>
      <c r="R1343" s="612"/>
      <c r="S1343" s="351"/>
      <c r="T1343" s="610"/>
      <c r="U1343" s="351"/>
      <c r="V1343" s="613" t="str">
        <f>'refer admin discharge'!H1344</f>
        <v>00/00/0000</v>
      </c>
      <c r="W1343" s="351"/>
      <c r="X1343" s="607"/>
      <c r="Y1343" s="351"/>
      <c r="Z1343" s="614"/>
      <c r="AA1343" s="351"/>
      <c r="AB1343" s="607"/>
      <c r="AC1343" s="351"/>
      <c r="AD1343" s="606"/>
      <c r="AE1343" s="351"/>
      <c r="AF1343" s="607"/>
      <c r="AG1343" s="351"/>
      <c r="AH1343" s="606"/>
      <c r="AI1343" s="351"/>
      <c r="AJ1343" s="607"/>
      <c r="AK1343" s="351"/>
      <c r="AL1343" s="608"/>
      <c r="AM1343" s="350"/>
      <c r="AN1343" s="350"/>
      <c r="AO1343" s="350"/>
      <c r="AP1343" s="350"/>
      <c r="AQ1343" s="350"/>
      <c r="AR1343" s="350"/>
      <c r="AS1343" s="350"/>
      <c r="AT1343" s="350"/>
      <c r="AU1343" s="350"/>
      <c r="AV1343" s="350"/>
      <c r="AW1343" s="350"/>
      <c r="AX1343" s="350"/>
      <c r="AY1343" s="350"/>
      <c r="AZ1343" s="350"/>
      <c r="BA1343" s="350"/>
      <c r="BB1343" s="351"/>
    </row>
    <row r="1344" spans="1:54" ht="15.75" customHeight="1">
      <c r="A1344" s="25">
        <f t="shared" si="5"/>
        <v>1331</v>
      </c>
      <c r="B1344" s="618" t="str">
        <f>'refer admin discharge'!B1340</f>
        <v>x</v>
      </c>
      <c r="C1344" s="351"/>
      <c r="D1344" s="619" t="str">
        <f>'refer admin discharge'!D1340</f>
        <v>xx</v>
      </c>
      <c r="E1344" s="351"/>
      <c r="F1344" s="620" t="str">
        <f>'refer admin discharge'!H1340</f>
        <v>00/00/0000</v>
      </c>
      <c r="G1344" s="351"/>
      <c r="H1344" s="615"/>
      <c r="I1344" s="351"/>
      <c r="J1344" s="621"/>
      <c r="K1344" s="351"/>
      <c r="L1344" s="615"/>
      <c r="M1344" s="351"/>
      <c r="N1344" s="610"/>
      <c r="O1344" s="351"/>
      <c r="P1344" s="615"/>
      <c r="Q1344" s="351"/>
      <c r="R1344" s="610"/>
      <c r="S1344" s="351"/>
      <c r="T1344" s="615"/>
      <c r="U1344" s="351"/>
      <c r="V1344" s="613" t="str">
        <f>'refer admin discharge'!H1345</f>
        <v>00/00/0000</v>
      </c>
      <c r="W1344" s="351"/>
      <c r="X1344" s="616"/>
      <c r="Y1344" s="351"/>
      <c r="Z1344" s="617"/>
      <c r="AA1344" s="351"/>
      <c r="AB1344" s="616"/>
      <c r="AC1344" s="351"/>
      <c r="AD1344" s="607"/>
      <c r="AE1344" s="351"/>
      <c r="AF1344" s="616"/>
      <c r="AG1344" s="351"/>
      <c r="AH1344" s="607"/>
      <c r="AI1344" s="351"/>
      <c r="AJ1344" s="616"/>
      <c r="AK1344" s="351"/>
      <c r="AL1344" s="622"/>
      <c r="AM1344" s="350"/>
      <c r="AN1344" s="350"/>
      <c r="AO1344" s="350"/>
      <c r="AP1344" s="350"/>
      <c r="AQ1344" s="350"/>
      <c r="AR1344" s="350"/>
      <c r="AS1344" s="350"/>
      <c r="AT1344" s="350"/>
      <c r="AU1344" s="350"/>
      <c r="AV1344" s="350"/>
      <c r="AW1344" s="350"/>
      <c r="AX1344" s="350"/>
      <c r="AY1344" s="350"/>
      <c r="AZ1344" s="350"/>
      <c r="BA1344" s="350"/>
      <c r="BB1344" s="351"/>
    </row>
    <row r="1345" spans="1:54" ht="15.75" customHeight="1">
      <c r="A1345" s="25">
        <f t="shared" si="5"/>
        <v>1332</v>
      </c>
      <c r="B1345" s="599" t="str">
        <f>'refer admin discharge'!B1341</f>
        <v>x</v>
      </c>
      <c r="C1345" s="351"/>
      <c r="D1345" s="600" t="str">
        <f>'refer admin discharge'!D1341</f>
        <v>xx</v>
      </c>
      <c r="E1345" s="351"/>
      <c r="F1345" s="609" t="str">
        <f>'refer admin discharge'!H1341</f>
        <v>00/00/0000</v>
      </c>
      <c r="G1345" s="351"/>
      <c r="H1345" s="610"/>
      <c r="I1345" s="351"/>
      <c r="J1345" s="611"/>
      <c r="K1345" s="351"/>
      <c r="L1345" s="610"/>
      <c r="M1345" s="351"/>
      <c r="N1345" s="612"/>
      <c r="O1345" s="351"/>
      <c r="P1345" s="610"/>
      <c r="Q1345" s="351"/>
      <c r="R1345" s="612"/>
      <c r="S1345" s="351"/>
      <c r="T1345" s="610"/>
      <c r="U1345" s="351"/>
      <c r="V1345" s="613" t="str">
        <f>'refer admin discharge'!H1346</f>
        <v>00/00/0000</v>
      </c>
      <c r="W1345" s="351"/>
      <c r="X1345" s="607"/>
      <c r="Y1345" s="351"/>
      <c r="Z1345" s="614"/>
      <c r="AA1345" s="351"/>
      <c r="AB1345" s="607"/>
      <c r="AC1345" s="351"/>
      <c r="AD1345" s="606"/>
      <c r="AE1345" s="351"/>
      <c r="AF1345" s="607"/>
      <c r="AG1345" s="351"/>
      <c r="AH1345" s="606"/>
      <c r="AI1345" s="351"/>
      <c r="AJ1345" s="607"/>
      <c r="AK1345" s="351"/>
      <c r="AL1345" s="608"/>
      <c r="AM1345" s="350"/>
      <c r="AN1345" s="350"/>
      <c r="AO1345" s="350"/>
      <c r="AP1345" s="350"/>
      <c r="AQ1345" s="350"/>
      <c r="AR1345" s="350"/>
      <c r="AS1345" s="350"/>
      <c r="AT1345" s="350"/>
      <c r="AU1345" s="350"/>
      <c r="AV1345" s="350"/>
      <c r="AW1345" s="350"/>
      <c r="AX1345" s="350"/>
      <c r="AY1345" s="350"/>
      <c r="AZ1345" s="350"/>
      <c r="BA1345" s="350"/>
      <c r="BB1345" s="351"/>
    </row>
    <row r="1346" spans="1:54" ht="15.75" customHeight="1">
      <c r="A1346" s="25">
        <f t="shared" si="5"/>
        <v>1333</v>
      </c>
      <c r="B1346" s="618" t="str">
        <f>'refer admin discharge'!B1342</f>
        <v>x</v>
      </c>
      <c r="C1346" s="351"/>
      <c r="D1346" s="619" t="str">
        <f>'refer admin discharge'!D1342</f>
        <v>xx</v>
      </c>
      <c r="E1346" s="351"/>
      <c r="F1346" s="620" t="str">
        <f>'refer admin discharge'!H1342</f>
        <v>00/00/0000</v>
      </c>
      <c r="G1346" s="351"/>
      <c r="H1346" s="615"/>
      <c r="I1346" s="351"/>
      <c r="J1346" s="621"/>
      <c r="K1346" s="351"/>
      <c r="L1346" s="615"/>
      <c r="M1346" s="351"/>
      <c r="N1346" s="610"/>
      <c r="O1346" s="351"/>
      <c r="P1346" s="615"/>
      <c r="Q1346" s="351"/>
      <c r="R1346" s="610"/>
      <c r="S1346" s="351"/>
      <c r="T1346" s="615"/>
      <c r="U1346" s="351"/>
      <c r="V1346" s="613" t="str">
        <f>'refer admin discharge'!H1347</f>
        <v>00/00/0000</v>
      </c>
      <c r="W1346" s="351"/>
      <c r="X1346" s="616"/>
      <c r="Y1346" s="351"/>
      <c r="Z1346" s="617"/>
      <c r="AA1346" s="351"/>
      <c r="AB1346" s="616"/>
      <c r="AC1346" s="351"/>
      <c r="AD1346" s="607"/>
      <c r="AE1346" s="351"/>
      <c r="AF1346" s="616"/>
      <c r="AG1346" s="351"/>
      <c r="AH1346" s="607"/>
      <c r="AI1346" s="351"/>
      <c r="AJ1346" s="616"/>
      <c r="AK1346" s="351"/>
      <c r="AL1346" s="622"/>
      <c r="AM1346" s="350"/>
      <c r="AN1346" s="350"/>
      <c r="AO1346" s="350"/>
      <c r="AP1346" s="350"/>
      <c r="AQ1346" s="350"/>
      <c r="AR1346" s="350"/>
      <c r="AS1346" s="350"/>
      <c r="AT1346" s="350"/>
      <c r="AU1346" s="350"/>
      <c r="AV1346" s="350"/>
      <c r="AW1346" s="350"/>
      <c r="AX1346" s="350"/>
      <c r="AY1346" s="350"/>
      <c r="AZ1346" s="350"/>
      <c r="BA1346" s="350"/>
      <c r="BB1346" s="351"/>
    </row>
    <row r="1347" spans="1:54" ht="15.75" customHeight="1">
      <c r="A1347" s="25">
        <f t="shared" si="5"/>
        <v>1334</v>
      </c>
      <c r="B1347" s="599" t="str">
        <f>'refer admin discharge'!B1343</f>
        <v>x</v>
      </c>
      <c r="C1347" s="351"/>
      <c r="D1347" s="600" t="str">
        <f>'refer admin discharge'!D1343</f>
        <v>xx</v>
      </c>
      <c r="E1347" s="351"/>
      <c r="F1347" s="609" t="str">
        <f>'refer admin discharge'!H1343</f>
        <v>00/00/0000</v>
      </c>
      <c r="G1347" s="351"/>
      <c r="H1347" s="610"/>
      <c r="I1347" s="351"/>
      <c r="J1347" s="611"/>
      <c r="K1347" s="351"/>
      <c r="L1347" s="610"/>
      <c r="M1347" s="351"/>
      <c r="N1347" s="612"/>
      <c r="O1347" s="351"/>
      <c r="P1347" s="610"/>
      <c r="Q1347" s="351"/>
      <c r="R1347" s="612"/>
      <c r="S1347" s="351"/>
      <c r="T1347" s="610"/>
      <c r="U1347" s="351"/>
      <c r="V1347" s="613" t="str">
        <f>'refer admin discharge'!H1348</f>
        <v>00/00/0000</v>
      </c>
      <c r="W1347" s="351"/>
      <c r="X1347" s="607"/>
      <c r="Y1347" s="351"/>
      <c r="Z1347" s="614"/>
      <c r="AA1347" s="351"/>
      <c r="AB1347" s="607"/>
      <c r="AC1347" s="351"/>
      <c r="AD1347" s="606"/>
      <c r="AE1347" s="351"/>
      <c r="AF1347" s="607"/>
      <c r="AG1347" s="351"/>
      <c r="AH1347" s="606"/>
      <c r="AI1347" s="351"/>
      <c r="AJ1347" s="607"/>
      <c r="AK1347" s="351"/>
      <c r="AL1347" s="608"/>
      <c r="AM1347" s="350"/>
      <c r="AN1347" s="350"/>
      <c r="AO1347" s="350"/>
      <c r="AP1347" s="350"/>
      <c r="AQ1347" s="350"/>
      <c r="AR1347" s="350"/>
      <c r="AS1347" s="350"/>
      <c r="AT1347" s="350"/>
      <c r="AU1347" s="350"/>
      <c r="AV1347" s="350"/>
      <c r="AW1347" s="350"/>
      <c r="AX1347" s="350"/>
      <c r="AY1347" s="350"/>
      <c r="AZ1347" s="350"/>
      <c r="BA1347" s="350"/>
      <c r="BB1347" s="351"/>
    </row>
    <row r="1348" spans="1:54" ht="15.75" customHeight="1">
      <c r="A1348" s="25">
        <f t="shared" si="5"/>
        <v>1335</v>
      </c>
      <c r="B1348" s="618" t="str">
        <f>'refer admin discharge'!B1344</f>
        <v>x</v>
      </c>
      <c r="C1348" s="351"/>
      <c r="D1348" s="619" t="str">
        <f>'refer admin discharge'!D1344</f>
        <v>xx</v>
      </c>
      <c r="E1348" s="351"/>
      <c r="F1348" s="620" t="str">
        <f>'refer admin discharge'!H1344</f>
        <v>00/00/0000</v>
      </c>
      <c r="G1348" s="351"/>
      <c r="H1348" s="615"/>
      <c r="I1348" s="351"/>
      <c r="J1348" s="621"/>
      <c r="K1348" s="351"/>
      <c r="L1348" s="615"/>
      <c r="M1348" s="351"/>
      <c r="N1348" s="610"/>
      <c r="O1348" s="351"/>
      <c r="P1348" s="615"/>
      <c r="Q1348" s="351"/>
      <c r="R1348" s="610"/>
      <c r="S1348" s="351"/>
      <c r="T1348" s="615"/>
      <c r="U1348" s="351"/>
      <c r="V1348" s="613" t="str">
        <f>'refer admin discharge'!H1349</f>
        <v>00/00/0000</v>
      </c>
      <c r="W1348" s="351"/>
      <c r="X1348" s="616"/>
      <c r="Y1348" s="351"/>
      <c r="Z1348" s="617"/>
      <c r="AA1348" s="351"/>
      <c r="AB1348" s="616"/>
      <c r="AC1348" s="351"/>
      <c r="AD1348" s="607"/>
      <c r="AE1348" s="351"/>
      <c r="AF1348" s="616"/>
      <c r="AG1348" s="351"/>
      <c r="AH1348" s="607"/>
      <c r="AI1348" s="351"/>
      <c r="AJ1348" s="616"/>
      <c r="AK1348" s="351"/>
      <c r="AL1348" s="622"/>
      <c r="AM1348" s="350"/>
      <c r="AN1348" s="350"/>
      <c r="AO1348" s="350"/>
      <c r="AP1348" s="350"/>
      <c r="AQ1348" s="350"/>
      <c r="AR1348" s="350"/>
      <c r="AS1348" s="350"/>
      <c r="AT1348" s="350"/>
      <c r="AU1348" s="350"/>
      <c r="AV1348" s="350"/>
      <c r="AW1348" s="350"/>
      <c r="AX1348" s="350"/>
      <c r="AY1348" s="350"/>
      <c r="AZ1348" s="350"/>
      <c r="BA1348" s="350"/>
      <c r="BB1348" s="351"/>
    </row>
    <row r="1349" spans="1:54" ht="15.75" customHeight="1">
      <c r="A1349" s="25">
        <f t="shared" si="5"/>
        <v>1336</v>
      </c>
      <c r="B1349" s="599" t="str">
        <f>'refer admin discharge'!B1345</f>
        <v>x</v>
      </c>
      <c r="C1349" s="351"/>
      <c r="D1349" s="600" t="str">
        <f>'refer admin discharge'!D1345</f>
        <v>xx</v>
      </c>
      <c r="E1349" s="351"/>
      <c r="F1349" s="609" t="str">
        <f>'refer admin discharge'!H1345</f>
        <v>00/00/0000</v>
      </c>
      <c r="G1349" s="351"/>
      <c r="H1349" s="610"/>
      <c r="I1349" s="351"/>
      <c r="J1349" s="611"/>
      <c r="K1349" s="351"/>
      <c r="L1349" s="610"/>
      <c r="M1349" s="351"/>
      <c r="N1349" s="612"/>
      <c r="O1349" s="351"/>
      <c r="P1349" s="610"/>
      <c r="Q1349" s="351"/>
      <c r="R1349" s="612"/>
      <c r="S1349" s="351"/>
      <c r="T1349" s="610"/>
      <c r="U1349" s="351"/>
      <c r="V1349" s="613" t="str">
        <f>'refer admin discharge'!H1350</f>
        <v>00/00/0000</v>
      </c>
      <c r="W1349" s="351"/>
      <c r="X1349" s="607"/>
      <c r="Y1349" s="351"/>
      <c r="Z1349" s="614"/>
      <c r="AA1349" s="351"/>
      <c r="AB1349" s="607"/>
      <c r="AC1349" s="351"/>
      <c r="AD1349" s="606"/>
      <c r="AE1349" s="351"/>
      <c r="AF1349" s="607"/>
      <c r="AG1349" s="351"/>
      <c r="AH1349" s="606"/>
      <c r="AI1349" s="351"/>
      <c r="AJ1349" s="607"/>
      <c r="AK1349" s="351"/>
      <c r="AL1349" s="608"/>
      <c r="AM1349" s="350"/>
      <c r="AN1349" s="350"/>
      <c r="AO1349" s="350"/>
      <c r="AP1349" s="350"/>
      <c r="AQ1349" s="350"/>
      <c r="AR1349" s="350"/>
      <c r="AS1349" s="350"/>
      <c r="AT1349" s="350"/>
      <c r="AU1349" s="350"/>
      <c r="AV1349" s="350"/>
      <c r="AW1349" s="350"/>
      <c r="AX1349" s="350"/>
      <c r="AY1349" s="350"/>
      <c r="AZ1349" s="350"/>
      <c r="BA1349" s="350"/>
      <c r="BB1349" s="351"/>
    </row>
    <row r="1350" spans="1:54" ht="15.75" customHeight="1">
      <c r="A1350" s="25">
        <f t="shared" si="5"/>
        <v>1337</v>
      </c>
      <c r="B1350" s="618" t="str">
        <f>'refer admin discharge'!B1346</f>
        <v>x</v>
      </c>
      <c r="C1350" s="351"/>
      <c r="D1350" s="619" t="str">
        <f>'refer admin discharge'!D1346</f>
        <v>xx</v>
      </c>
      <c r="E1350" s="351"/>
      <c r="F1350" s="620" t="str">
        <f>'refer admin discharge'!H1346</f>
        <v>00/00/0000</v>
      </c>
      <c r="G1350" s="351"/>
      <c r="H1350" s="615"/>
      <c r="I1350" s="351"/>
      <c r="J1350" s="621"/>
      <c r="K1350" s="351"/>
      <c r="L1350" s="615"/>
      <c r="M1350" s="351"/>
      <c r="N1350" s="610"/>
      <c r="O1350" s="351"/>
      <c r="P1350" s="615"/>
      <c r="Q1350" s="351"/>
      <c r="R1350" s="610"/>
      <c r="S1350" s="351"/>
      <c r="T1350" s="615"/>
      <c r="U1350" s="351"/>
      <c r="V1350" s="613" t="str">
        <f>'refer admin discharge'!H1351</f>
        <v>00/00/0000</v>
      </c>
      <c r="W1350" s="351"/>
      <c r="X1350" s="616"/>
      <c r="Y1350" s="351"/>
      <c r="Z1350" s="617"/>
      <c r="AA1350" s="351"/>
      <c r="AB1350" s="616"/>
      <c r="AC1350" s="351"/>
      <c r="AD1350" s="607"/>
      <c r="AE1350" s="351"/>
      <c r="AF1350" s="616"/>
      <c r="AG1350" s="351"/>
      <c r="AH1350" s="607"/>
      <c r="AI1350" s="351"/>
      <c r="AJ1350" s="616"/>
      <c r="AK1350" s="351"/>
      <c r="AL1350" s="622"/>
      <c r="AM1350" s="350"/>
      <c r="AN1350" s="350"/>
      <c r="AO1350" s="350"/>
      <c r="AP1350" s="350"/>
      <c r="AQ1350" s="350"/>
      <c r="AR1350" s="350"/>
      <c r="AS1350" s="350"/>
      <c r="AT1350" s="350"/>
      <c r="AU1350" s="350"/>
      <c r="AV1350" s="350"/>
      <c r="AW1350" s="350"/>
      <c r="AX1350" s="350"/>
      <c r="AY1350" s="350"/>
      <c r="AZ1350" s="350"/>
      <c r="BA1350" s="350"/>
      <c r="BB1350" s="351"/>
    </row>
    <row r="1351" spans="1:54" ht="15.75" customHeight="1">
      <c r="A1351" s="25">
        <f t="shared" si="5"/>
        <v>1338</v>
      </c>
      <c r="B1351" s="599" t="str">
        <f>'refer admin discharge'!B1347</f>
        <v>x</v>
      </c>
      <c r="C1351" s="351"/>
      <c r="D1351" s="600" t="str">
        <f>'refer admin discharge'!D1347</f>
        <v>xx</v>
      </c>
      <c r="E1351" s="351"/>
      <c r="F1351" s="609" t="str">
        <f>'refer admin discharge'!H1347</f>
        <v>00/00/0000</v>
      </c>
      <c r="G1351" s="351"/>
      <c r="H1351" s="610"/>
      <c r="I1351" s="351"/>
      <c r="J1351" s="611"/>
      <c r="K1351" s="351"/>
      <c r="L1351" s="610"/>
      <c r="M1351" s="351"/>
      <c r="N1351" s="612"/>
      <c r="O1351" s="351"/>
      <c r="P1351" s="610"/>
      <c r="Q1351" s="351"/>
      <c r="R1351" s="612"/>
      <c r="S1351" s="351"/>
      <c r="T1351" s="610"/>
      <c r="U1351" s="351"/>
      <c r="V1351" s="613" t="str">
        <f>'refer admin discharge'!H1352</f>
        <v>00/00/0000</v>
      </c>
      <c r="W1351" s="351"/>
      <c r="X1351" s="607"/>
      <c r="Y1351" s="351"/>
      <c r="Z1351" s="614"/>
      <c r="AA1351" s="351"/>
      <c r="AB1351" s="607"/>
      <c r="AC1351" s="351"/>
      <c r="AD1351" s="606"/>
      <c r="AE1351" s="351"/>
      <c r="AF1351" s="607"/>
      <c r="AG1351" s="351"/>
      <c r="AH1351" s="606"/>
      <c r="AI1351" s="351"/>
      <c r="AJ1351" s="607"/>
      <c r="AK1351" s="351"/>
      <c r="AL1351" s="608"/>
      <c r="AM1351" s="350"/>
      <c r="AN1351" s="350"/>
      <c r="AO1351" s="350"/>
      <c r="AP1351" s="350"/>
      <c r="AQ1351" s="350"/>
      <c r="AR1351" s="350"/>
      <c r="AS1351" s="350"/>
      <c r="AT1351" s="350"/>
      <c r="AU1351" s="350"/>
      <c r="AV1351" s="350"/>
      <c r="AW1351" s="350"/>
      <c r="AX1351" s="350"/>
      <c r="AY1351" s="350"/>
      <c r="AZ1351" s="350"/>
      <c r="BA1351" s="350"/>
      <c r="BB1351" s="351"/>
    </row>
    <row r="1352" spans="1:54" ht="15.75" customHeight="1">
      <c r="A1352" s="25">
        <f t="shared" si="5"/>
        <v>1339</v>
      </c>
      <c r="B1352" s="618" t="str">
        <f>'refer admin discharge'!B1348</f>
        <v>x</v>
      </c>
      <c r="C1352" s="351"/>
      <c r="D1352" s="619" t="str">
        <f>'refer admin discharge'!D1348</f>
        <v>xx</v>
      </c>
      <c r="E1352" s="351"/>
      <c r="F1352" s="620" t="str">
        <f>'refer admin discharge'!H1348</f>
        <v>00/00/0000</v>
      </c>
      <c r="G1352" s="351"/>
      <c r="H1352" s="615"/>
      <c r="I1352" s="351"/>
      <c r="J1352" s="621"/>
      <c r="K1352" s="351"/>
      <c r="L1352" s="615"/>
      <c r="M1352" s="351"/>
      <c r="N1352" s="610"/>
      <c r="O1352" s="351"/>
      <c r="P1352" s="615"/>
      <c r="Q1352" s="351"/>
      <c r="R1352" s="610"/>
      <c r="S1352" s="351"/>
      <c r="T1352" s="615"/>
      <c r="U1352" s="351"/>
      <c r="V1352" s="613" t="str">
        <f>'refer admin discharge'!H1353</f>
        <v>00/00/0000</v>
      </c>
      <c r="W1352" s="351"/>
      <c r="X1352" s="616"/>
      <c r="Y1352" s="351"/>
      <c r="Z1352" s="617"/>
      <c r="AA1352" s="351"/>
      <c r="AB1352" s="616"/>
      <c r="AC1352" s="351"/>
      <c r="AD1352" s="607"/>
      <c r="AE1352" s="351"/>
      <c r="AF1352" s="616"/>
      <c r="AG1352" s="351"/>
      <c r="AH1352" s="607"/>
      <c r="AI1352" s="351"/>
      <c r="AJ1352" s="616"/>
      <c r="AK1352" s="351"/>
      <c r="AL1352" s="622"/>
      <c r="AM1352" s="350"/>
      <c r="AN1352" s="350"/>
      <c r="AO1352" s="350"/>
      <c r="AP1352" s="350"/>
      <c r="AQ1352" s="350"/>
      <c r="AR1352" s="350"/>
      <c r="AS1352" s="350"/>
      <c r="AT1352" s="350"/>
      <c r="AU1352" s="350"/>
      <c r="AV1352" s="350"/>
      <c r="AW1352" s="350"/>
      <c r="AX1352" s="350"/>
      <c r="AY1352" s="350"/>
      <c r="AZ1352" s="350"/>
      <c r="BA1352" s="350"/>
      <c r="BB1352" s="351"/>
    </row>
    <row r="1353" spans="1:54" ht="15.75" customHeight="1">
      <c r="A1353" s="25">
        <f t="shared" si="5"/>
        <v>1340</v>
      </c>
      <c r="B1353" s="599" t="str">
        <f>'refer admin discharge'!B1349</f>
        <v>x</v>
      </c>
      <c r="C1353" s="351"/>
      <c r="D1353" s="600" t="str">
        <f>'refer admin discharge'!D1349</f>
        <v>xx</v>
      </c>
      <c r="E1353" s="351"/>
      <c r="F1353" s="609" t="str">
        <f>'refer admin discharge'!H1349</f>
        <v>00/00/0000</v>
      </c>
      <c r="G1353" s="351"/>
      <c r="H1353" s="610"/>
      <c r="I1353" s="351"/>
      <c r="J1353" s="611"/>
      <c r="K1353" s="351"/>
      <c r="L1353" s="610"/>
      <c r="M1353" s="351"/>
      <c r="N1353" s="612"/>
      <c r="O1353" s="351"/>
      <c r="P1353" s="610"/>
      <c r="Q1353" s="351"/>
      <c r="R1353" s="612"/>
      <c r="S1353" s="351"/>
      <c r="T1353" s="610"/>
      <c r="U1353" s="351"/>
      <c r="V1353" s="613" t="str">
        <f>'refer admin discharge'!H1354</f>
        <v>00/00/0000</v>
      </c>
      <c r="W1353" s="351"/>
      <c r="X1353" s="607"/>
      <c r="Y1353" s="351"/>
      <c r="Z1353" s="614"/>
      <c r="AA1353" s="351"/>
      <c r="AB1353" s="607"/>
      <c r="AC1353" s="351"/>
      <c r="AD1353" s="606"/>
      <c r="AE1353" s="351"/>
      <c r="AF1353" s="607"/>
      <c r="AG1353" s="351"/>
      <c r="AH1353" s="606"/>
      <c r="AI1353" s="351"/>
      <c r="AJ1353" s="607"/>
      <c r="AK1353" s="351"/>
      <c r="AL1353" s="608"/>
      <c r="AM1353" s="350"/>
      <c r="AN1353" s="350"/>
      <c r="AO1353" s="350"/>
      <c r="AP1353" s="350"/>
      <c r="AQ1353" s="350"/>
      <c r="AR1353" s="350"/>
      <c r="AS1353" s="350"/>
      <c r="AT1353" s="350"/>
      <c r="AU1353" s="350"/>
      <c r="AV1353" s="350"/>
      <c r="AW1353" s="350"/>
      <c r="AX1353" s="350"/>
      <c r="AY1353" s="350"/>
      <c r="AZ1353" s="350"/>
      <c r="BA1353" s="350"/>
      <c r="BB1353" s="351"/>
    </row>
    <row r="1354" spans="1:54" ht="15.75" customHeight="1">
      <c r="A1354" s="25">
        <f t="shared" si="5"/>
        <v>1341</v>
      </c>
      <c r="B1354" s="618" t="str">
        <f>'refer admin discharge'!B1350</f>
        <v>x</v>
      </c>
      <c r="C1354" s="351"/>
      <c r="D1354" s="619" t="str">
        <f>'refer admin discharge'!D1350</f>
        <v>xx</v>
      </c>
      <c r="E1354" s="351"/>
      <c r="F1354" s="620" t="str">
        <f>'refer admin discharge'!H1350</f>
        <v>00/00/0000</v>
      </c>
      <c r="G1354" s="351"/>
      <c r="H1354" s="615"/>
      <c r="I1354" s="351"/>
      <c r="J1354" s="621"/>
      <c r="K1354" s="351"/>
      <c r="L1354" s="615"/>
      <c r="M1354" s="351"/>
      <c r="N1354" s="610"/>
      <c r="O1354" s="351"/>
      <c r="P1354" s="615"/>
      <c r="Q1354" s="351"/>
      <c r="R1354" s="610"/>
      <c r="S1354" s="351"/>
      <c r="T1354" s="615"/>
      <c r="U1354" s="351"/>
      <c r="V1354" s="613" t="str">
        <f>'refer admin discharge'!H1355</f>
        <v>00/00/0000</v>
      </c>
      <c r="W1354" s="351"/>
      <c r="X1354" s="616"/>
      <c r="Y1354" s="351"/>
      <c r="Z1354" s="617"/>
      <c r="AA1354" s="351"/>
      <c r="AB1354" s="616"/>
      <c r="AC1354" s="351"/>
      <c r="AD1354" s="607"/>
      <c r="AE1354" s="351"/>
      <c r="AF1354" s="616"/>
      <c r="AG1354" s="351"/>
      <c r="AH1354" s="607"/>
      <c r="AI1354" s="351"/>
      <c r="AJ1354" s="616"/>
      <c r="AK1354" s="351"/>
      <c r="AL1354" s="622"/>
      <c r="AM1354" s="350"/>
      <c r="AN1354" s="350"/>
      <c r="AO1354" s="350"/>
      <c r="AP1354" s="350"/>
      <c r="AQ1354" s="350"/>
      <c r="AR1354" s="350"/>
      <c r="AS1354" s="350"/>
      <c r="AT1354" s="350"/>
      <c r="AU1354" s="350"/>
      <c r="AV1354" s="350"/>
      <c r="AW1354" s="350"/>
      <c r="AX1354" s="350"/>
      <c r="AY1354" s="350"/>
      <c r="AZ1354" s="350"/>
      <c r="BA1354" s="350"/>
      <c r="BB1354" s="351"/>
    </row>
    <row r="1355" spans="1:54" ht="15.75" customHeight="1">
      <c r="A1355" s="25">
        <f t="shared" si="5"/>
        <v>1342</v>
      </c>
      <c r="B1355" s="599" t="str">
        <f>'refer admin discharge'!B1351</f>
        <v>x</v>
      </c>
      <c r="C1355" s="351"/>
      <c r="D1355" s="600" t="str">
        <f>'refer admin discharge'!D1351</f>
        <v>xx</v>
      </c>
      <c r="E1355" s="351"/>
      <c r="F1355" s="609" t="str">
        <f>'refer admin discharge'!H1351</f>
        <v>00/00/0000</v>
      </c>
      <c r="G1355" s="351"/>
      <c r="H1355" s="610"/>
      <c r="I1355" s="351"/>
      <c r="J1355" s="611"/>
      <c r="K1355" s="351"/>
      <c r="L1355" s="610"/>
      <c r="M1355" s="351"/>
      <c r="N1355" s="612"/>
      <c r="O1355" s="351"/>
      <c r="P1355" s="610"/>
      <c r="Q1355" s="351"/>
      <c r="R1355" s="612"/>
      <c r="S1355" s="351"/>
      <c r="T1355" s="610"/>
      <c r="U1355" s="351"/>
      <c r="V1355" s="613" t="str">
        <f>'refer admin discharge'!H1356</f>
        <v>00/00/0000</v>
      </c>
      <c r="W1355" s="351"/>
      <c r="X1355" s="607"/>
      <c r="Y1355" s="351"/>
      <c r="Z1355" s="614"/>
      <c r="AA1355" s="351"/>
      <c r="AB1355" s="607"/>
      <c r="AC1355" s="351"/>
      <c r="AD1355" s="606"/>
      <c r="AE1355" s="351"/>
      <c r="AF1355" s="607"/>
      <c r="AG1355" s="351"/>
      <c r="AH1355" s="606"/>
      <c r="AI1355" s="351"/>
      <c r="AJ1355" s="607"/>
      <c r="AK1355" s="351"/>
      <c r="AL1355" s="608"/>
      <c r="AM1355" s="350"/>
      <c r="AN1355" s="350"/>
      <c r="AO1355" s="350"/>
      <c r="AP1355" s="350"/>
      <c r="AQ1355" s="350"/>
      <c r="AR1355" s="350"/>
      <c r="AS1355" s="350"/>
      <c r="AT1355" s="350"/>
      <c r="AU1355" s="350"/>
      <c r="AV1355" s="350"/>
      <c r="AW1355" s="350"/>
      <c r="AX1355" s="350"/>
      <c r="AY1355" s="350"/>
      <c r="AZ1355" s="350"/>
      <c r="BA1355" s="350"/>
      <c r="BB1355" s="351"/>
    </row>
    <row r="1356" spans="1:54" ht="15.75" customHeight="1">
      <c r="A1356" s="25">
        <f t="shared" si="5"/>
        <v>1343</v>
      </c>
      <c r="B1356" s="618" t="str">
        <f>'refer admin discharge'!B1352</f>
        <v>x</v>
      </c>
      <c r="C1356" s="351"/>
      <c r="D1356" s="619" t="str">
        <f>'refer admin discharge'!D1352</f>
        <v>xx</v>
      </c>
      <c r="E1356" s="351"/>
      <c r="F1356" s="620" t="str">
        <f>'refer admin discharge'!H1352</f>
        <v>00/00/0000</v>
      </c>
      <c r="G1356" s="351"/>
      <c r="H1356" s="615"/>
      <c r="I1356" s="351"/>
      <c r="J1356" s="621"/>
      <c r="K1356" s="351"/>
      <c r="L1356" s="615"/>
      <c r="M1356" s="351"/>
      <c r="N1356" s="610"/>
      <c r="O1356" s="351"/>
      <c r="P1356" s="615"/>
      <c r="Q1356" s="351"/>
      <c r="R1356" s="610"/>
      <c r="S1356" s="351"/>
      <c r="T1356" s="615"/>
      <c r="U1356" s="351"/>
      <c r="V1356" s="613" t="str">
        <f>'refer admin discharge'!H1357</f>
        <v>00/00/0000</v>
      </c>
      <c r="W1356" s="351"/>
      <c r="X1356" s="616"/>
      <c r="Y1356" s="351"/>
      <c r="Z1356" s="617"/>
      <c r="AA1356" s="351"/>
      <c r="AB1356" s="616"/>
      <c r="AC1356" s="351"/>
      <c r="AD1356" s="607"/>
      <c r="AE1356" s="351"/>
      <c r="AF1356" s="616"/>
      <c r="AG1356" s="351"/>
      <c r="AH1356" s="607"/>
      <c r="AI1356" s="351"/>
      <c r="AJ1356" s="616"/>
      <c r="AK1356" s="351"/>
      <c r="AL1356" s="622"/>
      <c r="AM1356" s="350"/>
      <c r="AN1356" s="350"/>
      <c r="AO1356" s="350"/>
      <c r="AP1356" s="350"/>
      <c r="AQ1356" s="350"/>
      <c r="AR1356" s="350"/>
      <c r="AS1356" s="350"/>
      <c r="AT1356" s="350"/>
      <c r="AU1356" s="350"/>
      <c r="AV1356" s="350"/>
      <c r="AW1356" s="350"/>
      <c r="AX1356" s="350"/>
      <c r="AY1356" s="350"/>
      <c r="AZ1356" s="350"/>
      <c r="BA1356" s="350"/>
      <c r="BB1356" s="351"/>
    </row>
    <row r="1357" spans="1:54" ht="15.75" customHeight="1">
      <c r="A1357" s="25">
        <f t="shared" si="5"/>
        <v>1344</v>
      </c>
      <c r="B1357" s="599" t="str">
        <f>'refer admin discharge'!B1353</f>
        <v>x</v>
      </c>
      <c r="C1357" s="351"/>
      <c r="D1357" s="600" t="str">
        <f>'refer admin discharge'!D1353</f>
        <v>xx</v>
      </c>
      <c r="E1357" s="351"/>
      <c r="F1357" s="609" t="str">
        <f>'refer admin discharge'!H1353</f>
        <v>00/00/0000</v>
      </c>
      <c r="G1357" s="351"/>
      <c r="H1357" s="610"/>
      <c r="I1357" s="351"/>
      <c r="J1357" s="611"/>
      <c r="K1357" s="351"/>
      <c r="L1357" s="610"/>
      <c r="M1357" s="351"/>
      <c r="N1357" s="612"/>
      <c r="O1357" s="351"/>
      <c r="P1357" s="610"/>
      <c r="Q1357" s="351"/>
      <c r="R1357" s="612"/>
      <c r="S1357" s="351"/>
      <c r="T1357" s="610"/>
      <c r="U1357" s="351"/>
      <c r="V1357" s="613" t="str">
        <f>'refer admin discharge'!H1358</f>
        <v>00/00/0000</v>
      </c>
      <c r="W1357" s="351"/>
      <c r="X1357" s="607"/>
      <c r="Y1357" s="351"/>
      <c r="Z1357" s="614"/>
      <c r="AA1357" s="351"/>
      <c r="AB1357" s="607"/>
      <c r="AC1357" s="351"/>
      <c r="AD1357" s="606"/>
      <c r="AE1357" s="351"/>
      <c r="AF1357" s="607"/>
      <c r="AG1357" s="351"/>
      <c r="AH1357" s="606"/>
      <c r="AI1357" s="351"/>
      <c r="AJ1357" s="607"/>
      <c r="AK1357" s="351"/>
      <c r="AL1357" s="608"/>
      <c r="AM1357" s="350"/>
      <c r="AN1357" s="350"/>
      <c r="AO1357" s="350"/>
      <c r="AP1357" s="350"/>
      <c r="AQ1357" s="350"/>
      <c r="AR1357" s="350"/>
      <c r="AS1357" s="350"/>
      <c r="AT1357" s="350"/>
      <c r="AU1357" s="350"/>
      <c r="AV1357" s="350"/>
      <c r="AW1357" s="350"/>
      <c r="AX1357" s="350"/>
      <c r="AY1357" s="350"/>
      <c r="AZ1357" s="350"/>
      <c r="BA1357" s="350"/>
      <c r="BB1357" s="351"/>
    </row>
    <row r="1358" spans="1:54" ht="15.75" customHeight="1">
      <c r="A1358" s="25">
        <f t="shared" si="5"/>
        <v>1345</v>
      </c>
      <c r="B1358" s="618" t="str">
        <f>'refer admin discharge'!B1354</f>
        <v>x</v>
      </c>
      <c r="C1358" s="351"/>
      <c r="D1358" s="619" t="str">
        <f>'refer admin discharge'!D1354</f>
        <v>xx</v>
      </c>
      <c r="E1358" s="351"/>
      <c r="F1358" s="620" t="str">
        <f>'refer admin discharge'!H1354</f>
        <v>00/00/0000</v>
      </c>
      <c r="G1358" s="351"/>
      <c r="H1358" s="615"/>
      <c r="I1358" s="351"/>
      <c r="J1358" s="621"/>
      <c r="K1358" s="351"/>
      <c r="L1358" s="615"/>
      <c r="M1358" s="351"/>
      <c r="N1358" s="610"/>
      <c r="O1358" s="351"/>
      <c r="P1358" s="615"/>
      <c r="Q1358" s="351"/>
      <c r="R1358" s="610"/>
      <c r="S1358" s="351"/>
      <c r="T1358" s="615"/>
      <c r="U1358" s="351"/>
      <c r="V1358" s="613" t="str">
        <f>'refer admin discharge'!H1359</f>
        <v>00/00/0000</v>
      </c>
      <c r="W1358" s="351"/>
      <c r="X1358" s="616"/>
      <c r="Y1358" s="351"/>
      <c r="Z1358" s="617"/>
      <c r="AA1358" s="351"/>
      <c r="AB1358" s="616"/>
      <c r="AC1358" s="351"/>
      <c r="AD1358" s="607"/>
      <c r="AE1358" s="351"/>
      <c r="AF1358" s="616"/>
      <c r="AG1358" s="351"/>
      <c r="AH1358" s="607"/>
      <c r="AI1358" s="351"/>
      <c r="AJ1358" s="616"/>
      <c r="AK1358" s="351"/>
      <c r="AL1358" s="622"/>
      <c r="AM1358" s="350"/>
      <c r="AN1358" s="350"/>
      <c r="AO1358" s="350"/>
      <c r="AP1358" s="350"/>
      <c r="AQ1358" s="350"/>
      <c r="AR1358" s="350"/>
      <c r="AS1358" s="350"/>
      <c r="AT1358" s="350"/>
      <c r="AU1358" s="350"/>
      <c r="AV1358" s="350"/>
      <c r="AW1358" s="350"/>
      <c r="AX1358" s="350"/>
      <c r="AY1358" s="350"/>
      <c r="AZ1358" s="350"/>
      <c r="BA1358" s="350"/>
      <c r="BB1358" s="351"/>
    </row>
    <row r="1359" spans="1:54" ht="15.75" customHeight="1">
      <c r="A1359" s="25">
        <f t="shared" si="5"/>
        <v>1346</v>
      </c>
      <c r="B1359" s="599" t="str">
        <f>'refer admin discharge'!B1355</f>
        <v>x</v>
      </c>
      <c r="C1359" s="351"/>
      <c r="D1359" s="600" t="str">
        <f>'refer admin discharge'!D1355</f>
        <v>xx</v>
      </c>
      <c r="E1359" s="351"/>
      <c r="F1359" s="609" t="str">
        <f>'refer admin discharge'!H1355</f>
        <v>00/00/0000</v>
      </c>
      <c r="G1359" s="351"/>
      <c r="H1359" s="610"/>
      <c r="I1359" s="351"/>
      <c r="J1359" s="611"/>
      <c r="K1359" s="351"/>
      <c r="L1359" s="610"/>
      <c r="M1359" s="351"/>
      <c r="N1359" s="612"/>
      <c r="O1359" s="351"/>
      <c r="P1359" s="610"/>
      <c r="Q1359" s="351"/>
      <c r="R1359" s="612"/>
      <c r="S1359" s="351"/>
      <c r="T1359" s="610"/>
      <c r="U1359" s="351"/>
      <c r="V1359" s="613" t="str">
        <f>'refer admin discharge'!H1360</f>
        <v>00/00/0000</v>
      </c>
      <c r="W1359" s="351"/>
      <c r="X1359" s="607"/>
      <c r="Y1359" s="351"/>
      <c r="Z1359" s="614"/>
      <c r="AA1359" s="351"/>
      <c r="AB1359" s="607"/>
      <c r="AC1359" s="351"/>
      <c r="AD1359" s="606"/>
      <c r="AE1359" s="351"/>
      <c r="AF1359" s="607"/>
      <c r="AG1359" s="351"/>
      <c r="AH1359" s="606"/>
      <c r="AI1359" s="351"/>
      <c r="AJ1359" s="607"/>
      <c r="AK1359" s="351"/>
      <c r="AL1359" s="608"/>
      <c r="AM1359" s="350"/>
      <c r="AN1359" s="350"/>
      <c r="AO1359" s="350"/>
      <c r="AP1359" s="350"/>
      <c r="AQ1359" s="350"/>
      <c r="AR1359" s="350"/>
      <c r="AS1359" s="350"/>
      <c r="AT1359" s="350"/>
      <c r="AU1359" s="350"/>
      <c r="AV1359" s="350"/>
      <c r="AW1359" s="350"/>
      <c r="AX1359" s="350"/>
      <c r="AY1359" s="350"/>
      <c r="AZ1359" s="350"/>
      <c r="BA1359" s="350"/>
      <c r="BB1359" s="351"/>
    </row>
    <row r="1360" spans="1:54" ht="15.75" customHeight="1">
      <c r="A1360" s="25">
        <f t="shared" si="5"/>
        <v>1347</v>
      </c>
      <c r="B1360" s="618" t="str">
        <f>'refer admin discharge'!B1356</f>
        <v>x</v>
      </c>
      <c r="C1360" s="351"/>
      <c r="D1360" s="619" t="str">
        <f>'refer admin discharge'!D1356</f>
        <v>xx</v>
      </c>
      <c r="E1360" s="351"/>
      <c r="F1360" s="620" t="str">
        <f>'refer admin discharge'!H1356</f>
        <v>00/00/0000</v>
      </c>
      <c r="G1360" s="351"/>
      <c r="H1360" s="615"/>
      <c r="I1360" s="351"/>
      <c r="J1360" s="621"/>
      <c r="K1360" s="351"/>
      <c r="L1360" s="615"/>
      <c r="M1360" s="351"/>
      <c r="N1360" s="610"/>
      <c r="O1360" s="351"/>
      <c r="P1360" s="615"/>
      <c r="Q1360" s="351"/>
      <c r="R1360" s="610"/>
      <c r="S1360" s="351"/>
      <c r="T1360" s="615"/>
      <c r="U1360" s="351"/>
      <c r="V1360" s="613" t="str">
        <f>'refer admin discharge'!H1361</f>
        <v>00/00/0000</v>
      </c>
      <c r="W1360" s="351"/>
      <c r="X1360" s="616"/>
      <c r="Y1360" s="351"/>
      <c r="Z1360" s="617"/>
      <c r="AA1360" s="351"/>
      <c r="AB1360" s="616"/>
      <c r="AC1360" s="351"/>
      <c r="AD1360" s="607"/>
      <c r="AE1360" s="351"/>
      <c r="AF1360" s="616"/>
      <c r="AG1360" s="351"/>
      <c r="AH1360" s="607"/>
      <c r="AI1360" s="351"/>
      <c r="AJ1360" s="616"/>
      <c r="AK1360" s="351"/>
      <c r="AL1360" s="622"/>
      <c r="AM1360" s="350"/>
      <c r="AN1360" s="350"/>
      <c r="AO1360" s="350"/>
      <c r="AP1360" s="350"/>
      <c r="AQ1360" s="350"/>
      <c r="AR1360" s="350"/>
      <c r="AS1360" s="350"/>
      <c r="AT1360" s="350"/>
      <c r="AU1360" s="350"/>
      <c r="AV1360" s="350"/>
      <c r="AW1360" s="350"/>
      <c r="AX1360" s="350"/>
      <c r="AY1360" s="350"/>
      <c r="AZ1360" s="350"/>
      <c r="BA1360" s="350"/>
      <c r="BB1360" s="351"/>
    </row>
    <row r="1361" spans="1:54" ht="15.75" customHeight="1">
      <c r="A1361" s="25">
        <f t="shared" si="5"/>
        <v>1348</v>
      </c>
      <c r="B1361" s="599" t="str">
        <f>'refer admin discharge'!B1357</f>
        <v>x</v>
      </c>
      <c r="C1361" s="351"/>
      <c r="D1361" s="600" t="str">
        <f>'refer admin discharge'!D1357</f>
        <v>xx</v>
      </c>
      <c r="E1361" s="351"/>
      <c r="F1361" s="609" t="str">
        <f>'refer admin discharge'!H1357</f>
        <v>00/00/0000</v>
      </c>
      <c r="G1361" s="351"/>
      <c r="H1361" s="610"/>
      <c r="I1361" s="351"/>
      <c r="J1361" s="611"/>
      <c r="K1361" s="351"/>
      <c r="L1361" s="610"/>
      <c r="M1361" s="351"/>
      <c r="N1361" s="612"/>
      <c r="O1361" s="351"/>
      <c r="P1361" s="610"/>
      <c r="Q1361" s="351"/>
      <c r="R1361" s="612"/>
      <c r="S1361" s="351"/>
      <c r="T1361" s="610"/>
      <c r="U1361" s="351"/>
      <c r="V1361" s="613" t="str">
        <f>'refer admin discharge'!H1362</f>
        <v>00/00/0000</v>
      </c>
      <c r="W1361" s="351"/>
      <c r="X1361" s="607"/>
      <c r="Y1361" s="351"/>
      <c r="Z1361" s="614"/>
      <c r="AA1361" s="351"/>
      <c r="AB1361" s="607"/>
      <c r="AC1361" s="351"/>
      <c r="AD1361" s="606"/>
      <c r="AE1361" s="351"/>
      <c r="AF1361" s="607"/>
      <c r="AG1361" s="351"/>
      <c r="AH1361" s="606"/>
      <c r="AI1361" s="351"/>
      <c r="AJ1361" s="607"/>
      <c r="AK1361" s="351"/>
      <c r="AL1361" s="608"/>
      <c r="AM1361" s="350"/>
      <c r="AN1361" s="350"/>
      <c r="AO1361" s="350"/>
      <c r="AP1361" s="350"/>
      <c r="AQ1361" s="350"/>
      <c r="AR1361" s="350"/>
      <c r="AS1361" s="350"/>
      <c r="AT1361" s="350"/>
      <c r="AU1361" s="350"/>
      <c r="AV1361" s="350"/>
      <c r="AW1361" s="350"/>
      <c r="AX1361" s="350"/>
      <c r="AY1361" s="350"/>
      <c r="AZ1361" s="350"/>
      <c r="BA1361" s="350"/>
      <c r="BB1361" s="351"/>
    </row>
    <row r="1362" spans="1:54" ht="15.75" customHeight="1">
      <c r="A1362" s="25">
        <f t="shared" si="5"/>
        <v>1349</v>
      </c>
      <c r="B1362" s="618" t="str">
        <f>'refer admin discharge'!B1358</f>
        <v>x</v>
      </c>
      <c r="C1362" s="351"/>
      <c r="D1362" s="619" t="str">
        <f>'refer admin discharge'!D1358</f>
        <v>xx</v>
      </c>
      <c r="E1362" s="351"/>
      <c r="F1362" s="620" t="str">
        <f>'refer admin discharge'!H1358</f>
        <v>00/00/0000</v>
      </c>
      <c r="G1362" s="351"/>
      <c r="H1362" s="615"/>
      <c r="I1362" s="351"/>
      <c r="J1362" s="621"/>
      <c r="K1362" s="351"/>
      <c r="L1362" s="615"/>
      <c r="M1362" s="351"/>
      <c r="N1362" s="610"/>
      <c r="O1362" s="351"/>
      <c r="P1362" s="615"/>
      <c r="Q1362" s="351"/>
      <c r="R1362" s="610"/>
      <c r="S1362" s="351"/>
      <c r="T1362" s="615"/>
      <c r="U1362" s="351"/>
      <c r="V1362" s="613" t="str">
        <f>'refer admin discharge'!H1363</f>
        <v>00/00/0000</v>
      </c>
      <c r="W1362" s="351"/>
      <c r="X1362" s="616"/>
      <c r="Y1362" s="351"/>
      <c r="Z1362" s="617"/>
      <c r="AA1362" s="351"/>
      <c r="AB1362" s="616"/>
      <c r="AC1362" s="351"/>
      <c r="AD1362" s="607"/>
      <c r="AE1362" s="351"/>
      <c r="AF1362" s="616"/>
      <c r="AG1362" s="351"/>
      <c r="AH1362" s="607"/>
      <c r="AI1362" s="351"/>
      <c r="AJ1362" s="616"/>
      <c r="AK1362" s="351"/>
      <c r="AL1362" s="622"/>
      <c r="AM1362" s="350"/>
      <c r="AN1362" s="350"/>
      <c r="AO1362" s="350"/>
      <c r="AP1362" s="350"/>
      <c r="AQ1362" s="350"/>
      <c r="AR1362" s="350"/>
      <c r="AS1362" s="350"/>
      <c r="AT1362" s="350"/>
      <c r="AU1362" s="350"/>
      <c r="AV1362" s="350"/>
      <c r="AW1362" s="350"/>
      <c r="AX1362" s="350"/>
      <c r="AY1362" s="350"/>
      <c r="AZ1362" s="350"/>
      <c r="BA1362" s="350"/>
      <c r="BB1362" s="351"/>
    </row>
    <row r="1363" spans="1:54" ht="15.75" customHeight="1">
      <c r="A1363" s="25">
        <f t="shared" si="5"/>
        <v>1350</v>
      </c>
      <c r="B1363" s="599" t="str">
        <f>'refer admin discharge'!B1359</f>
        <v>x</v>
      </c>
      <c r="C1363" s="351"/>
      <c r="D1363" s="600" t="str">
        <f>'refer admin discharge'!D1359</f>
        <v>xx</v>
      </c>
      <c r="E1363" s="351"/>
      <c r="F1363" s="609" t="str">
        <f>'refer admin discharge'!H1359</f>
        <v>00/00/0000</v>
      </c>
      <c r="G1363" s="351"/>
      <c r="H1363" s="610"/>
      <c r="I1363" s="351"/>
      <c r="J1363" s="611"/>
      <c r="K1363" s="351"/>
      <c r="L1363" s="610"/>
      <c r="M1363" s="351"/>
      <c r="N1363" s="612"/>
      <c r="O1363" s="351"/>
      <c r="P1363" s="610"/>
      <c r="Q1363" s="351"/>
      <c r="R1363" s="612"/>
      <c r="S1363" s="351"/>
      <c r="T1363" s="610"/>
      <c r="U1363" s="351"/>
      <c r="V1363" s="613" t="str">
        <f>'refer admin discharge'!H1364</f>
        <v>00/00/0000</v>
      </c>
      <c r="W1363" s="351"/>
      <c r="X1363" s="607"/>
      <c r="Y1363" s="351"/>
      <c r="Z1363" s="614"/>
      <c r="AA1363" s="351"/>
      <c r="AB1363" s="607"/>
      <c r="AC1363" s="351"/>
      <c r="AD1363" s="606"/>
      <c r="AE1363" s="351"/>
      <c r="AF1363" s="607"/>
      <c r="AG1363" s="351"/>
      <c r="AH1363" s="606"/>
      <c r="AI1363" s="351"/>
      <c r="AJ1363" s="607"/>
      <c r="AK1363" s="351"/>
      <c r="AL1363" s="608"/>
      <c r="AM1363" s="350"/>
      <c r="AN1363" s="350"/>
      <c r="AO1363" s="350"/>
      <c r="AP1363" s="350"/>
      <c r="AQ1363" s="350"/>
      <c r="AR1363" s="350"/>
      <c r="AS1363" s="350"/>
      <c r="AT1363" s="350"/>
      <c r="AU1363" s="350"/>
      <c r="AV1363" s="350"/>
      <c r="AW1363" s="350"/>
      <c r="AX1363" s="350"/>
      <c r="AY1363" s="350"/>
      <c r="AZ1363" s="350"/>
      <c r="BA1363" s="350"/>
      <c r="BB1363" s="351"/>
    </row>
    <row r="1364" spans="1:54" ht="15.75" customHeight="1">
      <c r="A1364" s="25">
        <f t="shared" si="5"/>
        <v>1351</v>
      </c>
      <c r="B1364" s="618" t="str">
        <f>'refer admin discharge'!B1360</f>
        <v>x</v>
      </c>
      <c r="C1364" s="351"/>
      <c r="D1364" s="619" t="str">
        <f>'refer admin discharge'!D1360</f>
        <v>xx</v>
      </c>
      <c r="E1364" s="351"/>
      <c r="F1364" s="620" t="str">
        <f>'refer admin discharge'!H1360</f>
        <v>00/00/0000</v>
      </c>
      <c r="G1364" s="351"/>
      <c r="H1364" s="615"/>
      <c r="I1364" s="351"/>
      <c r="J1364" s="621"/>
      <c r="K1364" s="351"/>
      <c r="L1364" s="615"/>
      <c r="M1364" s="351"/>
      <c r="N1364" s="610"/>
      <c r="O1364" s="351"/>
      <c r="P1364" s="615"/>
      <c r="Q1364" s="351"/>
      <c r="R1364" s="610"/>
      <c r="S1364" s="351"/>
      <c r="T1364" s="615"/>
      <c r="U1364" s="351"/>
      <c r="V1364" s="613" t="str">
        <f>'refer admin discharge'!H1365</f>
        <v>00/00/0000</v>
      </c>
      <c r="W1364" s="351"/>
      <c r="X1364" s="616"/>
      <c r="Y1364" s="351"/>
      <c r="Z1364" s="617"/>
      <c r="AA1364" s="351"/>
      <c r="AB1364" s="616"/>
      <c r="AC1364" s="351"/>
      <c r="AD1364" s="607"/>
      <c r="AE1364" s="351"/>
      <c r="AF1364" s="616"/>
      <c r="AG1364" s="351"/>
      <c r="AH1364" s="607"/>
      <c r="AI1364" s="351"/>
      <c r="AJ1364" s="616"/>
      <c r="AK1364" s="351"/>
      <c r="AL1364" s="622"/>
      <c r="AM1364" s="350"/>
      <c r="AN1364" s="350"/>
      <c r="AO1364" s="350"/>
      <c r="AP1364" s="350"/>
      <c r="AQ1364" s="350"/>
      <c r="AR1364" s="350"/>
      <c r="AS1364" s="350"/>
      <c r="AT1364" s="350"/>
      <c r="AU1364" s="350"/>
      <c r="AV1364" s="350"/>
      <c r="AW1364" s="350"/>
      <c r="AX1364" s="350"/>
      <c r="AY1364" s="350"/>
      <c r="AZ1364" s="350"/>
      <c r="BA1364" s="350"/>
      <c r="BB1364" s="351"/>
    </row>
    <row r="1365" spans="1:54" ht="15.75" customHeight="1">
      <c r="A1365" s="25">
        <f t="shared" si="5"/>
        <v>1352</v>
      </c>
      <c r="B1365" s="599" t="str">
        <f>'refer admin discharge'!B1361</f>
        <v>x</v>
      </c>
      <c r="C1365" s="351"/>
      <c r="D1365" s="600" t="str">
        <f>'refer admin discharge'!D1361</f>
        <v>xx</v>
      </c>
      <c r="E1365" s="351"/>
      <c r="F1365" s="609" t="str">
        <f>'refer admin discharge'!H1361</f>
        <v>00/00/0000</v>
      </c>
      <c r="G1365" s="351"/>
      <c r="H1365" s="610"/>
      <c r="I1365" s="351"/>
      <c r="J1365" s="611"/>
      <c r="K1365" s="351"/>
      <c r="L1365" s="610"/>
      <c r="M1365" s="351"/>
      <c r="N1365" s="612"/>
      <c r="O1365" s="351"/>
      <c r="P1365" s="610"/>
      <c r="Q1365" s="351"/>
      <c r="R1365" s="612"/>
      <c r="S1365" s="351"/>
      <c r="T1365" s="610"/>
      <c r="U1365" s="351"/>
      <c r="V1365" s="613" t="str">
        <f>'refer admin discharge'!H1366</f>
        <v>00/00/0000</v>
      </c>
      <c r="W1365" s="351"/>
      <c r="X1365" s="607"/>
      <c r="Y1365" s="351"/>
      <c r="Z1365" s="614"/>
      <c r="AA1365" s="351"/>
      <c r="AB1365" s="607"/>
      <c r="AC1365" s="351"/>
      <c r="AD1365" s="606"/>
      <c r="AE1365" s="351"/>
      <c r="AF1365" s="607"/>
      <c r="AG1365" s="351"/>
      <c r="AH1365" s="606"/>
      <c r="AI1365" s="351"/>
      <c r="AJ1365" s="607"/>
      <c r="AK1365" s="351"/>
      <c r="AL1365" s="608"/>
      <c r="AM1365" s="350"/>
      <c r="AN1365" s="350"/>
      <c r="AO1365" s="350"/>
      <c r="AP1365" s="350"/>
      <c r="AQ1365" s="350"/>
      <c r="AR1365" s="350"/>
      <c r="AS1365" s="350"/>
      <c r="AT1365" s="350"/>
      <c r="AU1365" s="350"/>
      <c r="AV1365" s="350"/>
      <c r="AW1365" s="350"/>
      <c r="AX1365" s="350"/>
      <c r="AY1365" s="350"/>
      <c r="AZ1365" s="350"/>
      <c r="BA1365" s="350"/>
      <c r="BB1365" s="351"/>
    </row>
    <row r="1366" spans="1:54" ht="15.75" customHeight="1">
      <c r="A1366" s="25">
        <f t="shared" si="5"/>
        <v>1353</v>
      </c>
      <c r="B1366" s="618" t="str">
        <f>'refer admin discharge'!B1362</f>
        <v>x</v>
      </c>
      <c r="C1366" s="351"/>
      <c r="D1366" s="619" t="str">
        <f>'refer admin discharge'!D1362</f>
        <v>xx</v>
      </c>
      <c r="E1366" s="351"/>
      <c r="F1366" s="620" t="str">
        <f>'refer admin discharge'!H1362</f>
        <v>00/00/0000</v>
      </c>
      <c r="G1366" s="351"/>
      <c r="H1366" s="615"/>
      <c r="I1366" s="351"/>
      <c r="J1366" s="621"/>
      <c r="K1366" s="351"/>
      <c r="L1366" s="615"/>
      <c r="M1366" s="351"/>
      <c r="N1366" s="610"/>
      <c r="O1366" s="351"/>
      <c r="P1366" s="615"/>
      <c r="Q1366" s="351"/>
      <c r="R1366" s="610"/>
      <c r="S1366" s="351"/>
      <c r="T1366" s="615"/>
      <c r="U1366" s="351"/>
      <c r="V1366" s="613" t="str">
        <f>'refer admin discharge'!H1367</f>
        <v>00/00/0000</v>
      </c>
      <c r="W1366" s="351"/>
      <c r="X1366" s="616"/>
      <c r="Y1366" s="351"/>
      <c r="Z1366" s="617"/>
      <c r="AA1366" s="351"/>
      <c r="AB1366" s="616"/>
      <c r="AC1366" s="351"/>
      <c r="AD1366" s="607"/>
      <c r="AE1366" s="351"/>
      <c r="AF1366" s="616"/>
      <c r="AG1366" s="351"/>
      <c r="AH1366" s="607"/>
      <c r="AI1366" s="351"/>
      <c r="AJ1366" s="616"/>
      <c r="AK1366" s="351"/>
      <c r="AL1366" s="622"/>
      <c r="AM1366" s="350"/>
      <c r="AN1366" s="350"/>
      <c r="AO1366" s="350"/>
      <c r="AP1366" s="350"/>
      <c r="AQ1366" s="350"/>
      <c r="AR1366" s="350"/>
      <c r="AS1366" s="350"/>
      <c r="AT1366" s="350"/>
      <c r="AU1366" s="350"/>
      <c r="AV1366" s="350"/>
      <c r="AW1366" s="350"/>
      <c r="AX1366" s="350"/>
      <c r="AY1366" s="350"/>
      <c r="AZ1366" s="350"/>
      <c r="BA1366" s="350"/>
      <c r="BB1366" s="351"/>
    </row>
    <row r="1367" spans="1:54" ht="15.75" customHeight="1">
      <c r="A1367" s="25">
        <f t="shared" si="5"/>
        <v>1354</v>
      </c>
      <c r="B1367" s="599" t="str">
        <f>'refer admin discharge'!B1363</f>
        <v>x</v>
      </c>
      <c r="C1367" s="351"/>
      <c r="D1367" s="600" t="str">
        <f>'refer admin discharge'!D1363</f>
        <v>xx</v>
      </c>
      <c r="E1367" s="351"/>
      <c r="F1367" s="609" t="str">
        <f>'refer admin discharge'!H1363</f>
        <v>00/00/0000</v>
      </c>
      <c r="G1367" s="351"/>
      <c r="H1367" s="610"/>
      <c r="I1367" s="351"/>
      <c r="J1367" s="611"/>
      <c r="K1367" s="351"/>
      <c r="L1367" s="610"/>
      <c r="M1367" s="351"/>
      <c r="N1367" s="612"/>
      <c r="O1367" s="351"/>
      <c r="P1367" s="610"/>
      <c r="Q1367" s="351"/>
      <c r="R1367" s="612"/>
      <c r="S1367" s="351"/>
      <c r="T1367" s="610"/>
      <c r="U1367" s="351"/>
      <c r="V1367" s="613" t="str">
        <f>'refer admin discharge'!H1368</f>
        <v>00/00/0000</v>
      </c>
      <c r="W1367" s="351"/>
      <c r="X1367" s="607"/>
      <c r="Y1367" s="351"/>
      <c r="Z1367" s="614"/>
      <c r="AA1367" s="351"/>
      <c r="AB1367" s="607"/>
      <c r="AC1367" s="351"/>
      <c r="AD1367" s="606"/>
      <c r="AE1367" s="351"/>
      <c r="AF1367" s="607"/>
      <c r="AG1367" s="351"/>
      <c r="AH1367" s="606"/>
      <c r="AI1367" s="351"/>
      <c r="AJ1367" s="607"/>
      <c r="AK1367" s="351"/>
      <c r="AL1367" s="608"/>
      <c r="AM1367" s="350"/>
      <c r="AN1367" s="350"/>
      <c r="AO1367" s="350"/>
      <c r="AP1367" s="350"/>
      <c r="AQ1367" s="350"/>
      <c r="AR1367" s="350"/>
      <c r="AS1367" s="350"/>
      <c r="AT1367" s="350"/>
      <c r="AU1367" s="350"/>
      <c r="AV1367" s="350"/>
      <c r="AW1367" s="350"/>
      <c r="AX1367" s="350"/>
      <c r="AY1367" s="350"/>
      <c r="AZ1367" s="350"/>
      <c r="BA1367" s="350"/>
      <c r="BB1367" s="351"/>
    </row>
    <row r="1368" spans="1:54" ht="15.75" customHeight="1">
      <c r="A1368" s="25">
        <f t="shared" si="5"/>
        <v>1355</v>
      </c>
      <c r="B1368" s="618" t="str">
        <f>'refer admin discharge'!B1364</f>
        <v>x</v>
      </c>
      <c r="C1368" s="351"/>
      <c r="D1368" s="619" t="str">
        <f>'refer admin discharge'!D1364</f>
        <v>xx</v>
      </c>
      <c r="E1368" s="351"/>
      <c r="F1368" s="620" t="str">
        <f>'refer admin discharge'!H1364</f>
        <v>00/00/0000</v>
      </c>
      <c r="G1368" s="351"/>
      <c r="H1368" s="615"/>
      <c r="I1368" s="351"/>
      <c r="J1368" s="621"/>
      <c r="K1368" s="351"/>
      <c r="L1368" s="615"/>
      <c r="M1368" s="351"/>
      <c r="N1368" s="610"/>
      <c r="O1368" s="351"/>
      <c r="P1368" s="615"/>
      <c r="Q1368" s="351"/>
      <c r="R1368" s="610"/>
      <c r="S1368" s="351"/>
      <c r="T1368" s="615"/>
      <c r="U1368" s="351"/>
      <c r="V1368" s="613" t="str">
        <f>'refer admin discharge'!H1369</f>
        <v>00/00/0000</v>
      </c>
      <c r="W1368" s="351"/>
      <c r="X1368" s="616"/>
      <c r="Y1368" s="351"/>
      <c r="Z1368" s="617"/>
      <c r="AA1368" s="351"/>
      <c r="AB1368" s="616"/>
      <c r="AC1368" s="351"/>
      <c r="AD1368" s="607"/>
      <c r="AE1368" s="351"/>
      <c r="AF1368" s="616"/>
      <c r="AG1368" s="351"/>
      <c r="AH1368" s="607"/>
      <c r="AI1368" s="351"/>
      <c r="AJ1368" s="616"/>
      <c r="AK1368" s="351"/>
      <c r="AL1368" s="622"/>
      <c r="AM1368" s="350"/>
      <c r="AN1368" s="350"/>
      <c r="AO1368" s="350"/>
      <c r="AP1368" s="350"/>
      <c r="AQ1368" s="350"/>
      <c r="AR1368" s="350"/>
      <c r="AS1368" s="350"/>
      <c r="AT1368" s="350"/>
      <c r="AU1368" s="350"/>
      <c r="AV1368" s="350"/>
      <c r="AW1368" s="350"/>
      <c r="AX1368" s="350"/>
      <c r="AY1368" s="350"/>
      <c r="AZ1368" s="350"/>
      <c r="BA1368" s="350"/>
      <c r="BB1368" s="351"/>
    </row>
    <row r="1369" spans="1:54" ht="15.75" customHeight="1">
      <c r="A1369" s="25">
        <f t="shared" si="5"/>
        <v>1356</v>
      </c>
      <c r="B1369" s="599" t="str">
        <f>'refer admin discharge'!B1365</f>
        <v>x</v>
      </c>
      <c r="C1369" s="351"/>
      <c r="D1369" s="600" t="str">
        <f>'refer admin discharge'!D1365</f>
        <v>xx</v>
      </c>
      <c r="E1369" s="351"/>
      <c r="F1369" s="609" t="str">
        <f>'refer admin discharge'!H1365</f>
        <v>00/00/0000</v>
      </c>
      <c r="G1369" s="351"/>
      <c r="H1369" s="610"/>
      <c r="I1369" s="351"/>
      <c r="J1369" s="611"/>
      <c r="K1369" s="351"/>
      <c r="L1369" s="610"/>
      <c r="M1369" s="351"/>
      <c r="N1369" s="612"/>
      <c r="O1369" s="351"/>
      <c r="P1369" s="610"/>
      <c r="Q1369" s="351"/>
      <c r="R1369" s="612"/>
      <c r="S1369" s="351"/>
      <c r="T1369" s="610"/>
      <c r="U1369" s="351"/>
      <c r="V1369" s="613" t="str">
        <f>'refer admin discharge'!H1370</f>
        <v>00/00/0000</v>
      </c>
      <c r="W1369" s="351"/>
      <c r="X1369" s="607"/>
      <c r="Y1369" s="351"/>
      <c r="Z1369" s="614"/>
      <c r="AA1369" s="351"/>
      <c r="AB1369" s="607"/>
      <c r="AC1369" s="351"/>
      <c r="AD1369" s="606"/>
      <c r="AE1369" s="351"/>
      <c r="AF1369" s="607"/>
      <c r="AG1369" s="351"/>
      <c r="AH1369" s="606"/>
      <c r="AI1369" s="351"/>
      <c r="AJ1369" s="607"/>
      <c r="AK1369" s="351"/>
      <c r="AL1369" s="608"/>
      <c r="AM1369" s="350"/>
      <c r="AN1369" s="350"/>
      <c r="AO1369" s="350"/>
      <c r="AP1369" s="350"/>
      <c r="AQ1369" s="350"/>
      <c r="AR1369" s="350"/>
      <c r="AS1369" s="350"/>
      <c r="AT1369" s="350"/>
      <c r="AU1369" s="350"/>
      <c r="AV1369" s="350"/>
      <c r="AW1369" s="350"/>
      <c r="AX1369" s="350"/>
      <c r="AY1369" s="350"/>
      <c r="AZ1369" s="350"/>
      <c r="BA1369" s="350"/>
      <c r="BB1369" s="351"/>
    </row>
    <row r="1370" spans="1:54" ht="15.75" customHeight="1">
      <c r="A1370" s="25">
        <f t="shared" si="5"/>
        <v>1357</v>
      </c>
      <c r="B1370" s="618" t="str">
        <f>'refer admin discharge'!B1366</f>
        <v>x</v>
      </c>
      <c r="C1370" s="351"/>
      <c r="D1370" s="619" t="str">
        <f>'refer admin discharge'!D1366</f>
        <v>xx</v>
      </c>
      <c r="E1370" s="351"/>
      <c r="F1370" s="620" t="str">
        <f>'refer admin discharge'!H1366</f>
        <v>00/00/0000</v>
      </c>
      <c r="G1370" s="351"/>
      <c r="H1370" s="615"/>
      <c r="I1370" s="351"/>
      <c r="J1370" s="621"/>
      <c r="K1370" s="351"/>
      <c r="L1370" s="615"/>
      <c r="M1370" s="351"/>
      <c r="N1370" s="610"/>
      <c r="O1370" s="351"/>
      <c r="P1370" s="615"/>
      <c r="Q1370" s="351"/>
      <c r="R1370" s="610"/>
      <c r="S1370" s="351"/>
      <c r="T1370" s="615"/>
      <c r="U1370" s="351"/>
      <c r="V1370" s="613" t="str">
        <f>'refer admin discharge'!H1371</f>
        <v>00/00/0000</v>
      </c>
      <c r="W1370" s="351"/>
      <c r="X1370" s="616"/>
      <c r="Y1370" s="351"/>
      <c r="Z1370" s="617"/>
      <c r="AA1370" s="351"/>
      <c r="AB1370" s="616"/>
      <c r="AC1370" s="351"/>
      <c r="AD1370" s="607"/>
      <c r="AE1370" s="351"/>
      <c r="AF1370" s="616"/>
      <c r="AG1370" s="351"/>
      <c r="AH1370" s="607"/>
      <c r="AI1370" s="351"/>
      <c r="AJ1370" s="616"/>
      <c r="AK1370" s="351"/>
      <c r="AL1370" s="622"/>
      <c r="AM1370" s="350"/>
      <c r="AN1370" s="350"/>
      <c r="AO1370" s="350"/>
      <c r="AP1370" s="350"/>
      <c r="AQ1370" s="350"/>
      <c r="AR1370" s="350"/>
      <c r="AS1370" s="350"/>
      <c r="AT1370" s="350"/>
      <c r="AU1370" s="350"/>
      <c r="AV1370" s="350"/>
      <c r="AW1370" s="350"/>
      <c r="AX1370" s="350"/>
      <c r="AY1370" s="350"/>
      <c r="AZ1370" s="350"/>
      <c r="BA1370" s="350"/>
      <c r="BB1370" s="351"/>
    </row>
    <row r="1371" spans="1:54" ht="15.75" customHeight="1">
      <c r="A1371" s="25">
        <f t="shared" si="5"/>
        <v>1358</v>
      </c>
      <c r="B1371" s="599" t="str">
        <f>'refer admin discharge'!B1367</f>
        <v>x</v>
      </c>
      <c r="C1371" s="351"/>
      <c r="D1371" s="600" t="str">
        <f>'refer admin discharge'!D1367</f>
        <v>xx</v>
      </c>
      <c r="E1371" s="351"/>
      <c r="F1371" s="609" t="str">
        <f>'refer admin discharge'!H1367</f>
        <v>00/00/0000</v>
      </c>
      <c r="G1371" s="351"/>
      <c r="H1371" s="610"/>
      <c r="I1371" s="351"/>
      <c r="J1371" s="611"/>
      <c r="K1371" s="351"/>
      <c r="L1371" s="610"/>
      <c r="M1371" s="351"/>
      <c r="N1371" s="612"/>
      <c r="O1371" s="351"/>
      <c r="P1371" s="610"/>
      <c r="Q1371" s="351"/>
      <c r="R1371" s="612"/>
      <c r="S1371" s="351"/>
      <c r="T1371" s="610"/>
      <c r="U1371" s="351"/>
      <c r="V1371" s="613" t="str">
        <f>'refer admin discharge'!H1372</f>
        <v>00/00/0000</v>
      </c>
      <c r="W1371" s="351"/>
      <c r="X1371" s="607"/>
      <c r="Y1371" s="351"/>
      <c r="Z1371" s="614"/>
      <c r="AA1371" s="351"/>
      <c r="AB1371" s="607"/>
      <c r="AC1371" s="351"/>
      <c r="AD1371" s="606"/>
      <c r="AE1371" s="351"/>
      <c r="AF1371" s="607"/>
      <c r="AG1371" s="351"/>
      <c r="AH1371" s="606"/>
      <c r="AI1371" s="351"/>
      <c r="AJ1371" s="607"/>
      <c r="AK1371" s="351"/>
      <c r="AL1371" s="608"/>
      <c r="AM1371" s="350"/>
      <c r="AN1371" s="350"/>
      <c r="AO1371" s="350"/>
      <c r="AP1371" s="350"/>
      <c r="AQ1371" s="350"/>
      <c r="AR1371" s="350"/>
      <c r="AS1371" s="350"/>
      <c r="AT1371" s="350"/>
      <c r="AU1371" s="350"/>
      <c r="AV1371" s="350"/>
      <c r="AW1371" s="350"/>
      <c r="AX1371" s="350"/>
      <c r="AY1371" s="350"/>
      <c r="AZ1371" s="350"/>
      <c r="BA1371" s="350"/>
      <c r="BB1371" s="351"/>
    </row>
    <row r="1372" spans="1:54" ht="15.75" customHeight="1">
      <c r="A1372" s="25">
        <f t="shared" si="5"/>
        <v>1359</v>
      </c>
      <c r="B1372" s="618" t="str">
        <f>'refer admin discharge'!B1368</f>
        <v>x</v>
      </c>
      <c r="C1372" s="351"/>
      <c r="D1372" s="619" t="str">
        <f>'refer admin discharge'!D1368</f>
        <v>xx</v>
      </c>
      <c r="E1372" s="351"/>
      <c r="F1372" s="620" t="str">
        <f>'refer admin discharge'!H1368</f>
        <v>00/00/0000</v>
      </c>
      <c r="G1372" s="351"/>
      <c r="H1372" s="615"/>
      <c r="I1372" s="351"/>
      <c r="J1372" s="621"/>
      <c r="K1372" s="351"/>
      <c r="L1372" s="615"/>
      <c r="M1372" s="351"/>
      <c r="N1372" s="610"/>
      <c r="O1372" s="351"/>
      <c r="P1372" s="615"/>
      <c r="Q1372" s="351"/>
      <c r="R1372" s="610"/>
      <c r="S1372" s="351"/>
      <c r="T1372" s="615"/>
      <c r="U1372" s="351"/>
      <c r="V1372" s="613" t="str">
        <f>'refer admin discharge'!H1373</f>
        <v>00/00/0000</v>
      </c>
      <c r="W1372" s="351"/>
      <c r="X1372" s="616"/>
      <c r="Y1372" s="351"/>
      <c r="Z1372" s="617"/>
      <c r="AA1372" s="351"/>
      <c r="AB1372" s="616"/>
      <c r="AC1372" s="351"/>
      <c r="AD1372" s="607"/>
      <c r="AE1372" s="351"/>
      <c r="AF1372" s="616"/>
      <c r="AG1372" s="351"/>
      <c r="AH1372" s="607"/>
      <c r="AI1372" s="351"/>
      <c r="AJ1372" s="616"/>
      <c r="AK1372" s="351"/>
      <c r="AL1372" s="622"/>
      <c r="AM1372" s="350"/>
      <c r="AN1372" s="350"/>
      <c r="AO1372" s="350"/>
      <c r="AP1372" s="350"/>
      <c r="AQ1372" s="350"/>
      <c r="AR1372" s="350"/>
      <c r="AS1372" s="350"/>
      <c r="AT1372" s="350"/>
      <c r="AU1372" s="350"/>
      <c r="AV1372" s="350"/>
      <c r="AW1372" s="350"/>
      <c r="AX1372" s="350"/>
      <c r="AY1372" s="350"/>
      <c r="AZ1372" s="350"/>
      <c r="BA1372" s="350"/>
      <c r="BB1372" s="351"/>
    </row>
    <row r="1373" spans="1:54" ht="15.75" customHeight="1">
      <c r="A1373" s="25">
        <f t="shared" si="5"/>
        <v>1360</v>
      </c>
      <c r="B1373" s="599" t="str">
        <f>'refer admin discharge'!B1369</f>
        <v>x</v>
      </c>
      <c r="C1373" s="351"/>
      <c r="D1373" s="600" t="str">
        <f>'refer admin discharge'!D1369</f>
        <v>xx</v>
      </c>
      <c r="E1373" s="351"/>
      <c r="F1373" s="609" t="str">
        <f>'refer admin discharge'!H1369</f>
        <v>00/00/0000</v>
      </c>
      <c r="G1373" s="351"/>
      <c r="H1373" s="610"/>
      <c r="I1373" s="351"/>
      <c r="J1373" s="611"/>
      <c r="K1373" s="351"/>
      <c r="L1373" s="610"/>
      <c r="M1373" s="351"/>
      <c r="N1373" s="612"/>
      <c r="O1373" s="351"/>
      <c r="P1373" s="610"/>
      <c r="Q1373" s="351"/>
      <c r="R1373" s="612"/>
      <c r="S1373" s="351"/>
      <c r="T1373" s="610"/>
      <c r="U1373" s="351"/>
      <c r="V1373" s="613" t="str">
        <f>'refer admin discharge'!H1374</f>
        <v>00/00/0000</v>
      </c>
      <c r="W1373" s="351"/>
      <c r="X1373" s="607"/>
      <c r="Y1373" s="351"/>
      <c r="Z1373" s="614"/>
      <c r="AA1373" s="351"/>
      <c r="AB1373" s="607"/>
      <c r="AC1373" s="351"/>
      <c r="AD1373" s="606"/>
      <c r="AE1373" s="351"/>
      <c r="AF1373" s="607"/>
      <c r="AG1373" s="351"/>
      <c r="AH1373" s="606"/>
      <c r="AI1373" s="351"/>
      <c r="AJ1373" s="607"/>
      <c r="AK1373" s="351"/>
      <c r="AL1373" s="608"/>
      <c r="AM1373" s="350"/>
      <c r="AN1373" s="350"/>
      <c r="AO1373" s="350"/>
      <c r="AP1373" s="350"/>
      <c r="AQ1373" s="350"/>
      <c r="AR1373" s="350"/>
      <c r="AS1373" s="350"/>
      <c r="AT1373" s="350"/>
      <c r="AU1373" s="350"/>
      <c r="AV1373" s="350"/>
      <c r="AW1373" s="350"/>
      <c r="AX1373" s="350"/>
      <c r="AY1373" s="350"/>
      <c r="AZ1373" s="350"/>
      <c r="BA1373" s="350"/>
      <c r="BB1373" s="351"/>
    </row>
    <row r="1374" spans="1:54" ht="15.75" customHeight="1">
      <c r="A1374" s="25">
        <f t="shared" si="5"/>
        <v>1361</v>
      </c>
      <c r="B1374" s="618" t="str">
        <f>'refer admin discharge'!B1370</f>
        <v>x</v>
      </c>
      <c r="C1374" s="351"/>
      <c r="D1374" s="619" t="str">
        <f>'refer admin discharge'!D1370</f>
        <v>xx</v>
      </c>
      <c r="E1374" s="351"/>
      <c r="F1374" s="620" t="str">
        <f>'refer admin discharge'!H1370</f>
        <v>00/00/0000</v>
      </c>
      <c r="G1374" s="351"/>
      <c r="H1374" s="615"/>
      <c r="I1374" s="351"/>
      <c r="J1374" s="621"/>
      <c r="K1374" s="351"/>
      <c r="L1374" s="615"/>
      <c r="M1374" s="351"/>
      <c r="N1374" s="610"/>
      <c r="O1374" s="351"/>
      <c r="P1374" s="615"/>
      <c r="Q1374" s="351"/>
      <c r="R1374" s="610"/>
      <c r="S1374" s="351"/>
      <c r="T1374" s="615"/>
      <c r="U1374" s="351"/>
      <c r="V1374" s="613" t="str">
        <f>'refer admin discharge'!H1375</f>
        <v>00/00/0000</v>
      </c>
      <c r="W1374" s="351"/>
      <c r="X1374" s="616"/>
      <c r="Y1374" s="351"/>
      <c r="Z1374" s="617"/>
      <c r="AA1374" s="351"/>
      <c r="AB1374" s="616"/>
      <c r="AC1374" s="351"/>
      <c r="AD1374" s="607"/>
      <c r="AE1374" s="351"/>
      <c r="AF1374" s="616"/>
      <c r="AG1374" s="351"/>
      <c r="AH1374" s="607"/>
      <c r="AI1374" s="351"/>
      <c r="AJ1374" s="616"/>
      <c r="AK1374" s="351"/>
      <c r="AL1374" s="622"/>
      <c r="AM1374" s="350"/>
      <c r="AN1374" s="350"/>
      <c r="AO1374" s="350"/>
      <c r="AP1374" s="350"/>
      <c r="AQ1374" s="350"/>
      <c r="AR1374" s="350"/>
      <c r="AS1374" s="350"/>
      <c r="AT1374" s="350"/>
      <c r="AU1374" s="350"/>
      <c r="AV1374" s="350"/>
      <c r="AW1374" s="350"/>
      <c r="AX1374" s="350"/>
      <c r="AY1374" s="350"/>
      <c r="AZ1374" s="350"/>
      <c r="BA1374" s="350"/>
      <c r="BB1374" s="351"/>
    </row>
    <row r="1375" spans="1:54" ht="15.75" customHeight="1">
      <c r="A1375" s="25">
        <f t="shared" si="5"/>
        <v>1362</v>
      </c>
      <c r="B1375" s="599" t="str">
        <f>'refer admin discharge'!B1371</f>
        <v>x</v>
      </c>
      <c r="C1375" s="351"/>
      <c r="D1375" s="600" t="str">
        <f>'refer admin discharge'!D1371</f>
        <v>xx</v>
      </c>
      <c r="E1375" s="351"/>
      <c r="F1375" s="609" t="str">
        <f>'refer admin discharge'!H1371</f>
        <v>00/00/0000</v>
      </c>
      <c r="G1375" s="351"/>
      <c r="H1375" s="610"/>
      <c r="I1375" s="351"/>
      <c r="J1375" s="611"/>
      <c r="K1375" s="351"/>
      <c r="L1375" s="610"/>
      <c r="M1375" s="351"/>
      <c r="N1375" s="612"/>
      <c r="O1375" s="351"/>
      <c r="P1375" s="610"/>
      <c r="Q1375" s="351"/>
      <c r="R1375" s="612"/>
      <c r="S1375" s="351"/>
      <c r="T1375" s="610"/>
      <c r="U1375" s="351"/>
      <c r="V1375" s="613" t="str">
        <f>'refer admin discharge'!H1376</f>
        <v>00/00/0000</v>
      </c>
      <c r="W1375" s="351"/>
      <c r="X1375" s="607"/>
      <c r="Y1375" s="351"/>
      <c r="Z1375" s="614"/>
      <c r="AA1375" s="351"/>
      <c r="AB1375" s="607"/>
      <c r="AC1375" s="351"/>
      <c r="AD1375" s="606"/>
      <c r="AE1375" s="351"/>
      <c r="AF1375" s="607"/>
      <c r="AG1375" s="351"/>
      <c r="AH1375" s="606"/>
      <c r="AI1375" s="351"/>
      <c r="AJ1375" s="607"/>
      <c r="AK1375" s="351"/>
      <c r="AL1375" s="608"/>
      <c r="AM1375" s="350"/>
      <c r="AN1375" s="350"/>
      <c r="AO1375" s="350"/>
      <c r="AP1375" s="350"/>
      <c r="AQ1375" s="350"/>
      <c r="AR1375" s="350"/>
      <c r="AS1375" s="350"/>
      <c r="AT1375" s="350"/>
      <c r="AU1375" s="350"/>
      <c r="AV1375" s="350"/>
      <c r="AW1375" s="350"/>
      <c r="AX1375" s="350"/>
      <c r="AY1375" s="350"/>
      <c r="AZ1375" s="350"/>
      <c r="BA1375" s="350"/>
      <c r="BB1375" s="351"/>
    </row>
    <row r="1376" spans="1:54" ht="15.75" customHeight="1">
      <c r="A1376" s="25">
        <f t="shared" si="5"/>
        <v>1363</v>
      </c>
      <c r="B1376" s="618" t="str">
        <f>'refer admin discharge'!B1372</f>
        <v>x</v>
      </c>
      <c r="C1376" s="351"/>
      <c r="D1376" s="619" t="str">
        <f>'refer admin discharge'!D1372</f>
        <v>xx</v>
      </c>
      <c r="E1376" s="351"/>
      <c r="F1376" s="620" t="str">
        <f>'refer admin discharge'!H1372</f>
        <v>00/00/0000</v>
      </c>
      <c r="G1376" s="351"/>
      <c r="H1376" s="615"/>
      <c r="I1376" s="351"/>
      <c r="J1376" s="621"/>
      <c r="K1376" s="351"/>
      <c r="L1376" s="615"/>
      <c r="M1376" s="351"/>
      <c r="N1376" s="610"/>
      <c r="O1376" s="351"/>
      <c r="P1376" s="615"/>
      <c r="Q1376" s="351"/>
      <c r="R1376" s="610"/>
      <c r="S1376" s="351"/>
      <c r="T1376" s="615"/>
      <c r="U1376" s="351"/>
      <c r="V1376" s="613" t="str">
        <f>'refer admin discharge'!H1377</f>
        <v>00/00/0000</v>
      </c>
      <c r="W1376" s="351"/>
      <c r="X1376" s="616"/>
      <c r="Y1376" s="351"/>
      <c r="Z1376" s="617"/>
      <c r="AA1376" s="351"/>
      <c r="AB1376" s="616"/>
      <c r="AC1376" s="351"/>
      <c r="AD1376" s="607"/>
      <c r="AE1376" s="351"/>
      <c r="AF1376" s="616"/>
      <c r="AG1376" s="351"/>
      <c r="AH1376" s="607"/>
      <c r="AI1376" s="351"/>
      <c r="AJ1376" s="616"/>
      <c r="AK1376" s="351"/>
      <c r="AL1376" s="622"/>
      <c r="AM1376" s="350"/>
      <c r="AN1376" s="350"/>
      <c r="AO1376" s="350"/>
      <c r="AP1376" s="350"/>
      <c r="AQ1376" s="350"/>
      <c r="AR1376" s="350"/>
      <c r="AS1376" s="350"/>
      <c r="AT1376" s="350"/>
      <c r="AU1376" s="350"/>
      <c r="AV1376" s="350"/>
      <c r="AW1376" s="350"/>
      <c r="AX1376" s="350"/>
      <c r="AY1376" s="350"/>
      <c r="AZ1376" s="350"/>
      <c r="BA1376" s="350"/>
      <c r="BB1376" s="351"/>
    </row>
    <row r="1377" spans="1:54" ht="15.75" customHeight="1">
      <c r="A1377" s="25">
        <f t="shared" si="5"/>
        <v>1364</v>
      </c>
      <c r="B1377" s="599" t="str">
        <f>'refer admin discharge'!B1373</f>
        <v>x</v>
      </c>
      <c r="C1377" s="351"/>
      <c r="D1377" s="600" t="str">
        <f>'refer admin discharge'!D1373</f>
        <v>xx</v>
      </c>
      <c r="E1377" s="351"/>
      <c r="F1377" s="609" t="str">
        <f>'refer admin discharge'!H1373</f>
        <v>00/00/0000</v>
      </c>
      <c r="G1377" s="351"/>
      <c r="H1377" s="610"/>
      <c r="I1377" s="351"/>
      <c r="J1377" s="611"/>
      <c r="K1377" s="351"/>
      <c r="L1377" s="610"/>
      <c r="M1377" s="351"/>
      <c r="N1377" s="612"/>
      <c r="O1377" s="351"/>
      <c r="P1377" s="610"/>
      <c r="Q1377" s="351"/>
      <c r="R1377" s="612"/>
      <c r="S1377" s="351"/>
      <c r="T1377" s="610"/>
      <c r="U1377" s="351"/>
      <c r="V1377" s="613" t="str">
        <f>'refer admin discharge'!H1378</f>
        <v>00/00/0000</v>
      </c>
      <c r="W1377" s="351"/>
      <c r="X1377" s="607"/>
      <c r="Y1377" s="351"/>
      <c r="Z1377" s="614"/>
      <c r="AA1377" s="351"/>
      <c r="AB1377" s="607"/>
      <c r="AC1377" s="351"/>
      <c r="AD1377" s="606"/>
      <c r="AE1377" s="351"/>
      <c r="AF1377" s="607"/>
      <c r="AG1377" s="351"/>
      <c r="AH1377" s="606"/>
      <c r="AI1377" s="351"/>
      <c r="AJ1377" s="607"/>
      <c r="AK1377" s="351"/>
      <c r="AL1377" s="608"/>
      <c r="AM1377" s="350"/>
      <c r="AN1377" s="350"/>
      <c r="AO1377" s="350"/>
      <c r="AP1377" s="350"/>
      <c r="AQ1377" s="350"/>
      <c r="AR1377" s="350"/>
      <c r="AS1377" s="350"/>
      <c r="AT1377" s="350"/>
      <c r="AU1377" s="350"/>
      <c r="AV1377" s="350"/>
      <c r="AW1377" s="350"/>
      <c r="AX1377" s="350"/>
      <c r="AY1377" s="350"/>
      <c r="AZ1377" s="350"/>
      <c r="BA1377" s="350"/>
      <c r="BB1377" s="351"/>
    </row>
    <row r="1378" spans="1:54" ht="15.75" customHeight="1">
      <c r="A1378" s="25">
        <f t="shared" si="5"/>
        <v>1365</v>
      </c>
      <c r="B1378" s="618" t="str">
        <f>'refer admin discharge'!B1374</f>
        <v>x</v>
      </c>
      <c r="C1378" s="351"/>
      <c r="D1378" s="619" t="str">
        <f>'refer admin discharge'!D1374</f>
        <v>xx</v>
      </c>
      <c r="E1378" s="351"/>
      <c r="F1378" s="620" t="str">
        <f>'refer admin discharge'!H1374</f>
        <v>00/00/0000</v>
      </c>
      <c r="G1378" s="351"/>
      <c r="H1378" s="615"/>
      <c r="I1378" s="351"/>
      <c r="J1378" s="621"/>
      <c r="K1378" s="351"/>
      <c r="L1378" s="615"/>
      <c r="M1378" s="351"/>
      <c r="N1378" s="610"/>
      <c r="O1378" s="351"/>
      <c r="P1378" s="615"/>
      <c r="Q1378" s="351"/>
      <c r="R1378" s="610"/>
      <c r="S1378" s="351"/>
      <c r="T1378" s="615"/>
      <c r="U1378" s="351"/>
      <c r="V1378" s="613" t="str">
        <f>'refer admin discharge'!H1379</f>
        <v>00/00/0000</v>
      </c>
      <c r="W1378" s="351"/>
      <c r="X1378" s="616"/>
      <c r="Y1378" s="351"/>
      <c r="Z1378" s="617"/>
      <c r="AA1378" s="351"/>
      <c r="AB1378" s="616"/>
      <c r="AC1378" s="351"/>
      <c r="AD1378" s="607"/>
      <c r="AE1378" s="351"/>
      <c r="AF1378" s="616"/>
      <c r="AG1378" s="351"/>
      <c r="AH1378" s="607"/>
      <c r="AI1378" s="351"/>
      <c r="AJ1378" s="616"/>
      <c r="AK1378" s="351"/>
      <c r="AL1378" s="622"/>
      <c r="AM1378" s="350"/>
      <c r="AN1378" s="350"/>
      <c r="AO1378" s="350"/>
      <c r="AP1378" s="350"/>
      <c r="AQ1378" s="350"/>
      <c r="AR1378" s="350"/>
      <c r="AS1378" s="350"/>
      <c r="AT1378" s="350"/>
      <c r="AU1378" s="350"/>
      <c r="AV1378" s="350"/>
      <c r="AW1378" s="350"/>
      <c r="AX1378" s="350"/>
      <c r="AY1378" s="350"/>
      <c r="AZ1378" s="350"/>
      <c r="BA1378" s="350"/>
      <c r="BB1378" s="351"/>
    </row>
    <row r="1379" spans="1:54" ht="15.75" customHeight="1">
      <c r="A1379" s="25">
        <f t="shared" si="5"/>
        <v>1366</v>
      </c>
      <c r="B1379" s="599" t="str">
        <f>'refer admin discharge'!B1375</f>
        <v>x</v>
      </c>
      <c r="C1379" s="351"/>
      <c r="D1379" s="600" t="str">
        <f>'refer admin discharge'!D1375</f>
        <v>xx</v>
      </c>
      <c r="E1379" s="351"/>
      <c r="F1379" s="609" t="str">
        <f>'refer admin discharge'!H1375</f>
        <v>00/00/0000</v>
      </c>
      <c r="G1379" s="351"/>
      <c r="H1379" s="610"/>
      <c r="I1379" s="351"/>
      <c r="J1379" s="611"/>
      <c r="K1379" s="351"/>
      <c r="L1379" s="610"/>
      <c r="M1379" s="351"/>
      <c r="N1379" s="612"/>
      <c r="O1379" s="351"/>
      <c r="P1379" s="610"/>
      <c r="Q1379" s="351"/>
      <c r="R1379" s="612"/>
      <c r="S1379" s="351"/>
      <c r="T1379" s="610"/>
      <c r="U1379" s="351"/>
      <c r="V1379" s="613" t="str">
        <f>'refer admin discharge'!H1380</f>
        <v>00/00/0000</v>
      </c>
      <c r="W1379" s="351"/>
      <c r="X1379" s="607"/>
      <c r="Y1379" s="351"/>
      <c r="Z1379" s="614"/>
      <c r="AA1379" s="351"/>
      <c r="AB1379" s="607"/>
      <c r="AC1379" s="351"/>
      <c r="AD1379" s="606"/>
      <c r="AE1379" s="351"/>
      <c r="AF1379" s="607"/>
      <c r="AG1379" s="351"/>
      <c r="AH1379" s="606"/>
      <c r="AI1379" s="351"/>
      <c r="AJ1379" s="607"/>
      <c r="AK1379" s="351"/>
      <c r="AL1379" s="608"/>
      <c r="AM1379" s="350"/>
      <c r="AN1379" s="350"/>
      <c r="AO1379" s="350"/>
      <c r="AP1379" s="350"/>
      <c r="AQ1379" s="350"/>
      <c r="AR1379" s="350"/>
      <c r="AS1379" s="350"/>
      <c r="AT1379" s="350"/>
      <c r="AU1379" s="350"/>
      <c r="AV1379" s="350"/>
      <c r="AW1379" s="350"/>
      <c r="AX1379" s="350"/>
      <c r="AY1379" s="350"/>
      <c r="AZ1379" s="350"/>
      <c r="BA1379" s="350"/>
      <c r="BB1379" s="351"/>
    </row>
    <row r="1380" spans="1:54" ht="15.75" customHeight="1">
      <c r="A1380" s="25">
        <f t="shared" si="5"/>
        <v>1367</v>
      </c>
      <c r="B1380" s="618" t="str">
        <f>'refer admin discharge'!B1376</f>
        <v>x</v>
      </c>
      <c r="C1380" s="351"/>
      <c r="D1380" s="619" t="str">
        <f>'refer admin discharge'!D1376</f>
        <v>xx</v>
      </c>
      <c r="E1380" s="351"/>
      <c r="F1380" s="620" t="str">
        <f>'refer admin discharge'!H1376</f>
        <v>00/00/0000</v>
      </c>
      <c r="G1380" s="351"/>
      <c r="H1380" s="615"/>
      <c r="I1380" s="351"/>
      <c r="J1380" s="621"/>
      <c r="K1380" s="351"/>
      <c r="L1380" s="615"/>
      <c r="M1380" s="351"/>
      <c r="N1380" s="610"/>
      <c r="O1380" s="351"/>
      <c r="P1380" s="615"/>
      <c r="Q1380" s="351"/>
      <c r="R1380" s="610"/>
      <c r="S1380" s="351"/>
      <c r="T1380" s="615"/>
      <c r="U1380" s="351"/>
      <c r="V1380" s="613" t="str">
        <f>'refer admin discharge'!H1381</f>
        <v>00/00/0000</v>
      </c>
      <c r="W1380" s="351"/>
      <c r="X1380" s="616"/>
      <c r="Y1380" s="351"/>
      <c r="Z1380" s="617"/>
      <c r="AA1380" s="351"/>
      <c r="AB1380" s="616"/>
      <c r="AC1380" s="351"/>
      <c r="AD1380" s="607"/>
      <c r="AE1380" s="351"/>
      <c r="AF1380" s="616"/>
      <c r="AG1380" s="351"/>
      <c r="AH1380" s="607"/>
      <c r="AI1380" s="351"/>
      <c r="AJ1380" s="616"/>
      <c r="AK1380" s="351"/>
      <c r="AL1380" s="622"/>
      <c r="AM1380" s="350"/>
      <c r="AN1380" s="350"/>
      <c r="AO1380" s="350"/>
      <c r="AP1380" s="350"/>
      <c r="AQ1380" s="350"/>
      <c r="AR1380" s="350"/>
      <c r="AS1380" s="350"/>
      <c r="AT1380" s="350"/>
      <c r="AU1380" s="350"/>
      <c r="AV1380" s="350"/>
      <c r="AW1380" s="350"/>
      <c r="AX1380" s="350"/>
      <c r="AY1380" s="350"/>
      <c r="AZ1380" s="350"/>
      <c r="BA1380" s="350"/>
      <c r="BB1380" s="351"/>
    </row>
    <row r="1381" spans="1:54" ht="15.75" customHeight="1">
      <c r="A1381" s="25">
        <f t="shared" si="5"/>
        <v>1368</v>
      </c>
      <c r="B1381" s="599" t="str">
        <f>'refer admin discharge'!B1377</f>
        <v>x</v>
      </c>
      <c r="C1381" s="351"/>
      <c r="D1381" s="600" t="str">
        <f>'refer admin discharge'!D1377</f>
        <v>xx</v>
      </c>
      <c r="E1381" s="351"/>
      <c r="F1381" s="609" t="str">
        <f>'refer admin discharge'!H1377</f>
        <v>00/00/0000</v>
      </c>
      <c r="G1381" s="351"/>
      <c r="H1381" s="610"/>
      <c r="I1381" s="351"/>
      <c r="J1381" s="611"/>
      <c r="K1381" s="351"/>
      <c r="L1381" s="610"/>
      <c r="M1381" s="351"/>
      <c r="N1381" s="612"/>
      <c r="O1381" s="351"/>
      <c r="P1381" s="610"/>
      <c r="Q1381" s="351"/>
      <c r="R1381" s="612"/>
      <c r="S1381" s="351"/>
      <c r="T1381" s="610"/>
      <c r="U1381" s="351"/>
      <c r="V1381" s="613" t="str">
        <f>'refer admin discharge'!H1382</f>
        <v>00/00/0000</v>
      </c>
      <c r="W1381" s="351"/>
      <c r="X1381" s="607"/>
      <c r="Y1381" s="351"/>
      <c r="Z1381" s="614"/>
      <c r="AA1381" s="351"/>
      <c r="AB1381" s="607"/>
      <c r="AC1381" s="351"/>
      <c r="AD1381" s="606"/>
      <c r="AE1381" s="351"/>
      <c r="AF1381" s="607"/>
      <c r="AG1381" s="351"/>
      <c r="AH1381" s="606"/>
      <c r="AI1381" s="351"/>
      <c r="AJ1381" s="607"/>
      <c r="AK1381" s="351"/>
      <c r="AL1381" s="608"/>
      <c r="AM1381" s="350"/>
      <c r="AN1381" s="350"/>
      <c r="AO1381" s="350"/>
      <c r="AP1381" s="350"/>
      <c r="AQ1381" s="350"/>
      <c r="AR1381" s="350"/>
      <c r="AS1381" s="350"/>
      <c r="AT1381" s="350"/>
      <c r="AU1381" s="350"/>
      <c r="AV1381" s="350"/>
      <c r="AW1381" s="350"/>
      <c r="AX1381" s="350"/>
      <c r="AY1381" s="350"/>
      <c r="AZ1381" s="350"/>
      <c r="BA1381" s="350"/>
      <c r="BB1381" s="351"/>
    </row>
    <row r="1382" spans="1:54" ht="15.75" customHeight="1">
      <c r="A1382" s="25">
        <f t="shared" si="5"/>
        <v>1369</v>
      </c>
      <c r="B1382" s="618" t="str">
        <f>'refer admin discharge'!B1378</f>
        <v>x</v>
      </c>
      <c r="C1382" s="351"/>
      <c r="D1382" s="619" t="str">
        <f>'refer admin discharge'!D1378</f>
        <v>xx</v>
      </c>
      <c r="E1382" s="351"/>
      <c r="F1382" s="620" t="str">
        <f>'refer admin discharge'!H1378</f>
        <v>00/00/0000</v>
      </c>
      <c r="G1382" s="351"/>
      <c r="H1382" s="615"/>
      <c r="I1382" s="351"/>
      <c r="J1382" s="621"/>
      <c r="K1382" s="351"/>
      <c r="L1382" s="615"/>
      <c r="M1382" s="351"/>
      <c r="N1382" s="610"/>
      <c r="O1382" s="351"/>
      <c r="P1382" s="615"/>
      <c r="Q1382" s="351"/>
      <c r="R1382" s="610"/>
      <c r="S1382" s="351"/>
      <c r="T1382" s="615"/>
      <c r="U1382" s="351"/>
      <c r="V1382" s="613" t="str">
        <f>'refer admin discharge'!H1383</f>
        <v>00/00/0000</v>
      </c>
      <c r="W1382" s="351"/>
      <c r="X1382" s="616"/>
      <c r="Y1382" s="351"/>
      <c r="Z1382" s="617"/>
      <c r="AA1382" s="351"/>
      <c r="AB1382" s="616"/>
      <c r="AC1382" s="351"/>
      <c r="AD1382" s="607"/>
      <c r="AE1382" s="351"/>
      <c r="AF1382" s="616"/>
      <c r="AG1382" s="351"/>
      <c r="AH1382" s="607"/>
      <c r="AI1382" s="351"/>
      <c r="AJ1382" s="616"/>
      <c r="AK1382" s="351"/>
      <c r="AL1382" s="622"/>
      <c r="AM1382" s="350"/>
      <c r="AN1382" s="350"/>
      <c r="AO1382" s="350"/>
      <c r="AP1382" s="350"/>
      <c r="AQ1382" s="350"/>
      <c r="AR1382" s="350"/>
      <c r="AS1382" s="350"/>
      <c r="AT1382" s="350"/>
      <c r="AU1382" s="350"/>
      <c r="AV1382" s="350"/>
      <c r="AW1382" s="350"/>
      <c r="AX1382" s="350"/>
      <c r="AY1382" s="350"/>
      <c r="AZ1382" s="350"/>
      <c r="BA1382" s="350"/>
      <c r="BB1382" s="351"/>
    </row>
    <row r="1383" spans="1:54" ht="15.75" customHeight="1">
      <c r="A1383" s="25">
        <f t="shared" si="5"/>
        <v>1370</v>
      </c>
      <c r="B1383" s="599" t="str">
        <f>'refer admin discharge'!B1379</f>
        <v>x</v>
      </c>
      <c r="C1383" s="351"/>
      <c r="D1383" s="600" t="str">
        <f>'refer admin discharge'!D1379</f>
        <v>xx</v>
      </c>
      <c r="E1383" s="351"/>
      <c r="F1383" s="609" t="str">
        <f>'refer admin discharge'!H1379</f>
        <v>00/00/0000</v>
      </c>
      <c r="G1383" s="351"/>
      <c r="H1383" s="610"/>
      <c r="I1383" s="351"/>
      <c r="J1383" s="611"/>
      <c r="K1383" s="351"/>
      <c r="L1383" s="610"/>
      <c r="M1383" s="351"/>
      <c r="N1383" s="612"/>
      <c r="O1383" s="351"/>
      <c r="P1383" s="610"/>
      <c r="Q1383" s="351"/>
      <c r="R1383" s="612"/>
      <c r="S1383" s="351"/>
      <c r="T1383" s="610"/>
      <c r="U1383" s="351"/>
      <c r="V1383" s="613" t="str">
        <f>'refer admin discharge'!H1384</f>
        <v>00/00/0000</v>
      </c>
      <c r="W1383" s="351"/>
      <c r="X1383" s="607"/>
      <c r="Y1383" s="351"/>
      <c r="Z1383" s="614"/>
      <c r="AA1383" s="351"/>
      <c r="AB1383" s="607"/>
      <c r="AC1383" s="351"/>
      <c r="AD1383" s="606"/>
      <c r="AE1383" s="351"/>
      <c r="AF1383" s="607"/>
      <c r="AG1383" s="351"/>
      <c r="AH1383" s="606"/>
      <c r="AI1383" s="351"/>
      <c r="AJ1383" s="607"/>
      <c r="AK1383" s="351"/>
      <c r="AL1383" s="608"/>
      <c r="AM1383" s="350"/>
      <c r="AN1383" s="350"/>
      <c r="AO1383" s="350"/>
      <c r="AP1383" s="350"/>
      <c r="AQ1383" s="350"/>
      <c r="AR1383" s="350"/>
      <c r="AS1383" s="350"/>
      <c r="AT1383" s="350"/>
      <c r="AU1383" s="350"/>
      <c r="AV1383" s="350"/>
      <c r="AW1383" s="350"/>
      <c r="AX1383" s="350"/>
      <c r="AY1383" s="350"/>
      <c r="AZ1383" s="350"/>
      <c r="BA1383" s="350"/>
      <c r="BB1383" s="351"/>
    </row>
    <row r="1384" spans="1:54" ht="15.75" customHeight="1">
      <c r="A1384" s="25">
        <f t="shared" si="5"/>
        <v>1371</v>
      </c>
      <c r="B1384" s="618" t="str">
        <f>'refer admin discharge'!B1380</f>
        <v>x</v>
      </c>
      <c r="C1384" s="351"/>
      <c r="D1384" s="619" t="str">
        <f>'refer admin discharge'!D1380</f>
        <v>xx</v>
      </c>
      <c r="E1384" s="351"/>
      <c r="F1384" s="620" t="str">
        <f>'refer admin discharge'!H1380</f>
        <v>00/00/0000</v>
      </c>
      <c r="G1384" s="351"/>
      <c r="H1384" s="615"/>
      <c r="I1384" s="351"/>
      <c r="J1384" s="621"/>
      <c r="K1384" s="351"/>
      <c r="L1384" s="615"/>
      <c r="M1384" s="351"/>
      <c r="N1384" s="610"/>
      <c r="O1384" s="351"/>
      <c r="P1384" s="615"/>
      <c r="Q1384" s="351"/>
      <c r="R1384" s="610"/>
      <c r="S1384" s="351"/>
      <c r="T1384" s="615"/>
      <c r="U1384" s="351"/>
      <c r="V1384" s="613" t="str">
        <f>'refer admin discharge'!H1385</f>
        <v>00/00/0000</v>
      </c>
      <c r="W1384" s="351"/>
      <c r="X1384" s="616"/>
      <c r="Y1384" s="351"/>
      <c r="Z1384" s="617"/>
      <c r="AA1384" s="351"/>
      <c r="AB1384" s="616"/>
      <c r="AC1384" s="351"/>
      <c r="AD1384" s="607"/>
      <c r="AE1384" s="351"/>
      <c r="AF1384" s="616"/>
      <c r="AG1384" s="351"/>
      <c r="AH1384" s="607"/>
      <c r="AI1384" s="351"/>
      <c r="AJ1384" s="616"/>
      <c r="AK1384" s="351"/>
      <c r="AL1384" s="622"/>
      <c r="AM1384" s="350"/>
      <c r="AN1384" s="350"/>
      <c r="AO1384" s="350"/>
      <c r="AP1384" s="350"/>
      <c r="AQ1384" s="350"/>
      <c r="AR1384" s="350"/>
      <c r="AS1384" s="350"/>
      <c r="AT1384" s="350"/>
      <c r="AU1384" s="350"/>
      <c r="AV1384" s="350"/>
      <c r="AW1384" s="350"/>
      <c r="AX1384" s="350"/>
      <c r="AY1384" s="350"/>
      <c r="AZ1384" s="350"/>
      <c r="BA1384" s="350"/>
      <c r="BB1384" s="351"/>
    </row>
    <row r="1385" spans="1:54" ht="15.75" customHeight="1">
      <c r="A1385" s="25">
        <f t="shared" si="5"/>
        <v>1372</v>
      </c>
      <c r="B1385" s="599" t="str">
        <f>'refer admin discharge'!B1381</f>
        <v>x</v>
      </c>
      <c r="C1385" s="351"/>
      <c r="D1385" s="600" t="str">
        <f>'refer admin discharge'!D1381</f>
        <v>xx</v>
      </c>
      <c r="E1385" s="351"/>
      <c r="F1385" s="609" t="str">
        <f>'refer admin discharge'!H1381</f>
        <v>00/00/0000</v>
      </c>
      <c r="G1385" s="351"/>
      <c r="H1385" s="610"/>
      <c r="I1385" s="351"/>
      <c r="J1385" s="611"/>
      <c r="K1385" s="351"/>
      <c r="L1385" s="610"/>
      <c r="M1385" s="351"/>
      <c r="N1385" s="612"/>
      <c r="O1385" s="351"/>
      <c r="P1385" s="610"/>
      <c r="Q1385" s="351"/>
      <c r="R1385" s="612"/>
      <c r="S1385" s="351"/>
      <c r="T1385" s="610"/>
      <c r="U1385" s="351"/>
      <c r="V1385" s="613" t="str">
        <f>'refer admin discharge'!H1386</f>
        <v>00/00/0000</v>
      </c>
      <c r="W1385" s="351"/>
      <c r="X1385" s="607"/>
      <c r="Y1385" s="351"/>
      <c r="Z1385" s="614"/>
      <c r="AA1385" s="351"/>
      <c r="AB1385" s="607"/>
      <c r="AC1385" s="351"/>
      <c r="AD1385" s="606"/>
      <c r="AE1385" s="351"/>
      <c r="AF1385" s="607"/>
      <c r="AG1385" s="351"/>
      <c r="AH1385" s="606"/>
      <c r="AI1385" s="351"/>
      <c r="AJ1385" s="607"/>
      <c r="AK1385" s="351"/>
      <c r="AL1385" s="608"/>
      <c r="AM1385" s="350"/>
      <c r="AN1385" s="350"/>
      <c r="AO1385" s="350"/>
      <c r="AP1385" s="350"/>
      <c r="AQ1385" s="350"/>
      <c r="AR1385" s="350"/>
      <c r="AS1385" s="350"/>
      <c r="AT1385" s="350"/>
      <c r="AU1385" s="350"/>
      <c r="AV1385" s="350"/>
      <c r="AW1385" s="350"/>
      <c r="AX1385" s="350"/>
      <c r="AY1385" s="350"/>
      <c r="AZ1385" s="350"/>
      <c r="BA1385" s="350"/>
      <c r="BB1385" s="351"/>
    </row>
    <row r="1386" spans="1:54" ht="15.75" customHeight="1">
      <c r="A1386" s="25">
        <f t="shared" si="5"/>
        <v>1373</v>
      </c>
      <c r="B1386" s="618" t="str">
        <f>'refer admin discharge'!B1382</f>
        <v>x</v>
      </c>
      <c r="C1386" s="351"/>
      <c r="D1386" s="619" t="str">
        <f>'refer admin discharge'!D1382</f>
        <v>xx</v>
      </c>
      <c r="E1386" s="351"/>
      <c r="F1386" s="620" t="str">
        <f>'refer admin discharge'!H1382</f>
        <v>00/00/0000</v>
      </c>
      <c r="G1386" s="351"/>
      <c r="H1386" s="615"/>
      <c r="I1386" s="351"/>
      <c r="J1386" s="621"/>
      <c r="K1386" s="351"/>
      <c r="L1386" s="615"/>
      <c r="M1386" s="351"/>
      <c r="N1386" s="610"/>
      <c r="O1386" s="351"/>
      <c r="P1386" s="615"/>
      <c r="Q1386" s="351"/>
      <c r="R1386" s="610"/>
      <c r="S1386" s="351"/>
      <c r="T1386" s="615"/>
      <c r="U1386" s="351"/>
      <c r="V1386" s="613" t="str">
        <f>'refer admin discharge'!H1387</f>
        <v>00/00/0000</v>
      </c>
      <c r="W1386" s="351"/>
      <c r="X1386" s="616"/>
      <c r="Y1386" s="351"/>
      <c r="Z1386" s="617"/>
      <c r="AA1386" s="351"/>
      <c r="AB1386" s="616"/>
      <c r="AC1386" s="351"/>
      <c r="AD1386" s="607"/>
      <c r="AE1386" s="351"/>
      <c r="AF1386" s="616"/>
      <c r="AG1386" s="351"/>
      <c r="AH1386" s="607"/>
      <c r="AI1386" s="351"/>
      <c r="AJ1386" s="616"/>
      <c r="AK1386" s="351"/>
      <c r="AL1386" s="622"/>
      <c r="AM1386" s="350"/>
      <c r="AN1386" s="350"/>
      <c r="AO1386" s="350"/>
      <c r="AP1386" s="350"/>
      <c r="AQ1386" s="350"/>
      <c r="AR1386" s="350"/>
      <c r="AS1386" s="350"/>
      <c r="AT1386" s="350"/>
      <c r="AU1386" s="350"/>
      <c r="AV1386" s="350"/>
      <c r="AW1386" s="350"/>
      <c r="AX1386" s="350"/>
      <c r="AY1386" s="350"/>
      <c r="AZ1386" s="350"/>
      <c r="BA1386" s="350"/>
      <c r="BB1386" s="351"/>
    </row>
    <row r="1387" spans="1:54" ht="15.75" customHeight="1">
      <c r="A1387" s="25">
        <f t="shared" si="5"/>
        <v>1374</v>
      </c>
      <c r="B1387" s="599" t="str">
        <f>'refer admin discharge'!B1383</f>
        <v>x</v>
      </c>
      <c r="C1387" s="351"/>
      <c r="D1387" s="600" t="str">
        <f>'refer admin discharge'!D1383</f>
        <v>xx</v>
      </c>
      <c r="E1387" s="351"/>
      <c r="F1387" s="609" t="str">
        <f>'refer admin discharge'!H1383</f>
        <v>00/00/0000</v>
      </c>
      <c r="G1387" s="351"/>
      <c r="H1387" s="610"/>
      <c r="I1387" s="351"/>
      <c r="J1387" s="611"/>
      <c r="K1387" s="351"/>
      <c r="L1387" s="610"/>
      <c r="M1387" s="351"/>
      <c r="N1387" s="612"/>
      <c r="O1387" s="351"/>
      <c r="P1387" s="610"/>
      <c r="Q1387" s="351"/>
      <c r="R1387" s="612"/>
      <c r="S1387" s="351"/>
      <c r="T1387" s="610"/>
      <c r="U1387" s="351"/>
      <c r="V1387" s="613" t="str">
        <f>'refer admin discharge'!H1388</f>
        <v>00/00/0000</v>
      </c>
      <c r="W1387" s="351"/>
      <c r="X1387" s="607"/>
      <c r="Y1387" s="351"/>
      <c r="Z1387" s="614"/>
      <c r="AA1387" s="351"/>
      <c r="AB1387" s="607"/>
      <c r="AC1387" s="351"/>
      <c r="AD1387" s="606"/>
      <c r="AE1387" s="351"/>
      <c r="AF1387" s="607"/>
      <c r="AG1387" s="351"/>
      <c r="AH1387" s="606"/>
      <c r="AI1387" s="351"/>
      <c r="AJ1387" s="607"/>
      <c r="AK1387" s="351"/>
      <c r="AL1387" s="608"/>
      <c r="AM1387" s="350"/>
      <c r="AN1387" s="350"/>
      <c r="AO1387" s="350"/>
      <c r="AP1387" s="350"/>
      <c r="AQ1387" s="350"/>
      <c r="AR1387" s="350"/>
      <c r="AS1387" s="350"/>
      <c r="AT1387" s="350"/>
      <c r="AU1387" s="350"/>
      <c r="AV1387" s="350"/>
      <c r="AW1387" s="350"/>
      <c r="AX1387" s="350"/>
      <c r="AY1387" s="350"/>
      <c r="AZ1387" s="350"/>
      <c r="BA1387" s="350"/>
      <c r="BB1387" s="351"/>
    </row>
    <row r="1388" spans="1:54" ht="15.75" customHeight="1">
      <c r="A1388" s="25">
        <f t="shared" si="5"/>
        <v>1375</v>
      </c>
      <c r="B1388" s="618" t="str">
        <f>'refer admin discharge'!B1384</f>
        <v>x</v>
      </c>
      <c r="C1388" s="351"/>
      <c r="D1388" s="619" t="str">
        <f>'refer admin discharge'!D1384</f>
        <v>xx</v>
      </c>
      <c r="E1388" s="351"/>
      <c r="F1388" s="620" t="str">
        <f>'refer admin discharge'!H1384</f>
        <v>00/00/0000</v>
      </c>
      <c r="G1388" s="351"/>
      <c r="H1388" s="615"/>
      <c r="I1388" s="351"/>
      <c r="J1388" s="621"/>
      <c r="K1388" s="351"/>
      <c r="L1388" s="615"/>
      <c r="M1388" s="351"/>
      <c r="N1388" s="610"/>
      <c r="O1388" s="351"/>
      <c r="P1388" s="615"/>
      <c r="Q1388" s="351"/>
      <c r="R1388" s="610"/>
      <c r="S1388" s="351"/>
      <c r="T1388" s="615"/>
      <c r="U1388" s="351"/>
      <c r="V1388" s="613" t="str">
        <f>'refer admin discharge'!H1389</f>
        <v>00/00/0000</v>
      </c>
      <c r="W1388" s="351"/>
      <c r="X1388" s="616"/>
      <c r="Y1388" s="351"/>
      <c r="Z1388" s="617"/>
      <c r="AA1388" s="351"/>
      <c r="AB1388" s="616"/>
      <c r="AC1388" s="351"/>
      <c r="AD1388" s="607"/>
      <c r="AE1388" s="351"/>
      <c r="AF1388" s="616"/>
      <c r="AG1388" s="351"/>
      <c r="AH1388" s="607"/>
      <c r="AI1388" s="351"/>
      <c r="AJ1388" s="616"/>
      <c r="AK1388" s="351"/>
      <c r="AL1388" s="622"/>
      <c r="AM1388" s="350"/>
      <c r="AN1388" s="350"/>
      <c r="AO1388" s="350"/>
      <c r="AP1388" s="350"/>
      <c r="AQ1388" s="350"/>
      <c r="AR1388" s="350"/>
      <c r="AS1388" s="350"/>
      <c r="AT1388" s="350"/>
      <c r="AU1388" s="350"/>
      <c r="AV1388" s="350"/>
      <c r="AW1388" s="350"/>
      <c r="AX1388" s="350"/>
      <c r="AY1388" s="350"/>
      <c r="AZ1388" s="350"/>
      <c r="BA1388" s="350"/>
      <c r="BB1388" s="351"/>
    </row>
    <row r="1389" spans="1:54" ht="15.75" customHeight="1">
      <c r="A1389" s="25">
        <f t="shared" si="5"/>
        <v>1376</v>
      </c>
      <c r="B1389" s="599" t="str">
        <f>'refer admin discharge'!B1385</f>
        <v>x</v>
      </c>
      <c r="C1389" s="351"/>
      <c r="D1389" s="600" t="str">
        <f>'refer admin discharge'!D1385</f>
        <v>xx</v>
      </c>
      <c r="E1389" s="351"/>
      <c r="F1389" s="609" t="str">
        <f>'refer admin discharge'!H1385</f>
        <v>00/00/0000</v>
      </c>
      <c r="G1389" s="351"/>
      <c r="H1389" s="610"/>
      <c r="I1389" s="351"/>
      <c r="J1389" s="611"/>
      <c r="K1389" s="351"/>
      <c r="L1389" s="610"/>
      <c r="M1389" s="351"/>
      <c r="N1389" s="612"/>
      <c r="O1389" s="351"/>
      <c r="P1389" s="610"/>
      <c r="Q1389" s="351"/>
      <c r="R1389" s="612"/>
      <c r="S1389" s="351"/>
      <c r="T1389" s="610"/>
      <c r="U1389" s="351"/>
      <c r="V1389" s="613" t="str">
        <f>'refer admin discharge'!H1390</f>
        <v>00/00/0000</v>
      </c>
      <c r="W1389" s="351"/>
      <c r="X1389" s="607"/>
      <c r="Y1389" s="351"/>
      <c r="Z1389" s="614"/>
      <c r="AA1389" s="351"/>
      <c r="AB1389" s="607"/>
      <c r="AC1389" s="351"/>
      <c r="AD1389" s="606"/>
      <c r="AE1389" s="351"/>
      <c r="AF1389" s="607"/>
      <c r="AG1389" s="351"/>
      <c r="AH1389" s="606"/>
      <c r="AI1389" s="351"/>
      <c r="AJ1389" s="607"/>
      <c r="AK1389" s="351"/>
      <c r="AL1389" s="608"/>
      <c r="AM1389" s="350"/>
      <c r="AN1389" s="350"/>
      <c r="AO1389" s="350"/>
      <c r="AP1389" s="350"/>
      <c r="AQ1389" s="350"/>
      <c r="AR1389" s="350"/>
      <c r="AS1389" s="350"/>
      <c r="AT1389" s="350"/>
      <c r="AU1389" s="350"/>
      <c r="AV1389" s="350"/>
      <c r="AW1389" s="350"/>
      <c r="AX1389" s="350"/>
      <c r="AY1389" s="350"/>
      <c r="AZ1389" s="350"/>
      <c r="BA1389" s="350"/>
      <c r="BB1389" s="351"/>
    </row>
    <row r="1390" spans="1:54" ht="15.75" customHeight="1">
      <c r="A1390" s="25">
        <f t="shared" si="5"/>
        <v>1377</v>
      </c>
      <c r="B1390" s="618" t="str">
        <f>'refer admin discharge'!B1386</f>
        <v>x</v>
      </c>
      <c r="C1390" s="351"/>
      <c r="D1390" s="619" t="str">
        <f>'refer admin discharge'!D1386</f>
        <v>xx</v>
      </c>
      <c r="E1390" s="351"/>
      <c r="F1390" s="620" t="str">
        <f>'refer admin discharge'!H1386</f>
        <v>00/00/0000</v>
      </c>
      <c r="G1390" s="351"/>
      <c r="H1390" s="615"/>
      <c r="I1390" s="351"/>
      <c r="J1390" s="621"/>
      <c r="K1390" s="351"/>
      <c r="L1390" s="615"/>
      <c r="M1390" s="351"/>
      <c r="N1390" s="610"/>
      <c r="O1390" s="351"/>
      <c r="P1390" s="615"/>
      <c r="Q1390" s="351"/>
      <c r="R1390" s="610"/>
      <c r="S1390" s="351"/>
      <c r="T1390" s="615"/>
      <c r="U1390" s="351"/>
      <c r="V1390" s="613" t="str">
        <f>'refer admin discharge'!H1391</f>
        <v>00/00/0000</v>
      </c>
      <c r="W1390" s="351"/>
      <c r="X1390" s="616"/>
      <c r="Y1390" s="351"/>
      <c r="Z1390" s="617"/>
      <c r="AA1390" s="351"/>
      <c r="AB1390" s="616"/>
      <c r="AC1390" s="351"/>
      <c r="AD1390" s="607"/>
      <c r="AE1390" s="351"/>
      <c r="AF1390" s="616"/>
      <c r="AG1390" s="351"/>
      <c r="AH1390" s="607"/>
      <c r="AI1390" s="351"/>
      <c r="AJ1390" s="616"/>
      <c r="AK1390" s="351"/>
      <c r="AL1390" s="622"/>
      <c r="AM1390" s="350"/>
      <c r="AN1390" s="350"/>
      <c r="AO1390" s="350"/>
      <c r="AP1390" s="350"/>
      <c r="AQ1390" s="350"/>
      <c r="AR1390" s="350"/>
      <c r="AS1390" s="350"/>
      <c r="AT1390" s="350"/>
      <c r="AU1390" s="350"/>
      <c r="AV1390" s="350"/>
      <c r="AW1390" s="350"/>
      <c r="AX1390" s="350"/>
      <c r="AY1390" s="350"/>
      <c r="AZ1390" s="350"/>
      <c r="BA1390" s="350"/>
      <c r="BB1390" s="351"/>
    </row>
    <row r="1391" spans="1:54" ht="15.75" customHeight="1">
      <c r="A1391" s="25">
        <f t="shared" si="5"/>
        <v>1378</v>
      </c>
      <c r="B1391" s="599" t="str">
        <f>'refer admin discharge'!B1387</f>
        <v>x</v>
      </c>
      <c r="C1391" s="351"/>
      <c r="D1391" s="600" t="str">
        <f>'refer admin discharge'!D1387</f>
        <v>xx</v>
      </c>
      <c r="E1391" s="351"/>
      <c r="F1391" s="609" t="str">
        <f>'refer admin discharge'!H1387</f>
        <v>00/00/0000</v>
      </c>
      <c r="G1391" s="351"/>
      <c r="H1391" s="610"/>
      <c r="I1391" s="351"/>
      <c r="J1391" s="611"/>
      <c r="K1391" s="351"/>
      <c r="L1391" s="610"/>
      <c r="M1391" s="351"/>
      <c r="N1391" s="612"/>
      <c r="O1391" s="351"/>
      <c r="P1391" s="610"/>
      <c r="Q1391" s="351"/>
      <c r="R1391" s="612"/>
      <c r="S1391" s="351"/>
      <c r="T1391" s="610"/>
      <c r="U1391" s="351"/>
      <c r="V1391" s="613" t="str">
        <f>'refer admin discharge'!H1392</f>
        <v>00/00/0000</v>
      </c>
      <c r="W1391" s="351"/>
      <c r="X1391" s="607"/>
      <c r="Y1391" s="351"/>
      <c r="Z1391" s="614"/>
      <c r="AA1391" s="351"/>
      <c r="AB1391" s="607"/>
      <c r="AC1391" s="351"/>
      <c r="AD1391" s="606"/>
      <c r="AE1391" s="351"/>
      <c r="AF1391" s="607"/>
      <c r="AG1391" s="351"/>
      <c r="AH1391" s="606"/>
      <c r="AI1391" s="351"/>
      <c r="AJ1391" s="607"/>
      <c r="AK1391" s="351"/>
      <c r="AL1391" s="608"/>
      <c r="AM1391" s="350"/>
      <c r="AN1391" s="350"/>
      <c r="AO1391" s="350"/>
      <c r="AP1391" s="350"/>
      <c r="AQ1391" s="350"/>
      <c r="AR1391" s="350"/>
      <c r="AS1391" s="350"/>
      <c r="AT1391" s="350"/>
      <c r="AU1391" s="350"/>
      <c r="AV1391" s="350"/>
      <c r="AW1391" s="350"/>
      <c r="AX1391" s="350"/>
      <c r="AY1391" s="350"/>
      <c r="AZ1391" s="350"/>
      <c r="BA1391" s="350"/>
      <c r="BB1391" s="351"/>
    </row>
    <row r="1392" spans="1:54" ht="15.75" customHeight="1">
      <c r="A1392" s="25">
        <f t="shared" si="5"/>
        <v>1379</v>
      </c>
      <c r="B1392" s="618" t="str">
        <f>'refer admin discharge'!B1388</f>
        <v>x</v>
      </c>
      <c r="C1392" s="351"/>
      <c r="D1392" s="619" t="str">
        <f>'refer admin discharge'!D1388</f>
        <v>xx</v>
      </c>
      <c r="E1392" s="351"/>
      <c r="F1392" s="620" t="str">
        <f>'refer admin discharge'!H1388</f>
        <v>00/00/0000</v>
      </c>
      <c r="G1392" s="351"/>
      <c r="H1392" s="615"/>
      <c r="I1392" s="351"/>
      <c r="J1392" s="621"/>
      <c r="K1392" s="351"/>
      <c r="L1392" s="615"/>
      <c r="M1392" s="351"/>
      <c r="N1392" s="610"/>
      <c r="O1392" s="351"/>
      <c r="P1392" s="615"/>
      <c r="Q1392" s="351"/>
      <c r="R1392" s="610"/>
      <c r="S1392" s="351"/>
      <c r="T1392" s="615"/>
      <c r="U1392" s="351"/>
      <c r="V1392" s="613" t="str">
        <f>'refer admin discharge'!H1393</f>
        <v>00/00/0000</v>
      </c>
      <c r="W1392" s="351"/>
      <c r="X1392" s="616"/>
      <c r="Y1392" s="351"/>
      <c r="Z1392" s="617"/>
      <c r="AA1392" s="351"/>
      <c r="AB1392" s="616"/>
      <c r="AC1392" s="351"/>
      <c r="AD1392" s="607"/>
      <c r="AE1392" s="351"/>
      <c r="AF1392" s="616"/>
      <c r="AG1392" s="351"/>
      <c r="AH1392" s="607"/>
      <c r="AI1392" s="351"/>
      <c r="AJ1392" s="616"/>
      <c r="AK1392" s="351"/>
      <c r="AL1392" s="622"/>
      <c r="AM1392" s="350"/>
      <c r="AN1392" s="350"/>
      <c r="AO1392" s="350"/>
      <c r="AP1392" s="350"/>
      <c r="AQ1392" s="350"/>
      <c r="AR1392" s="350"/>
      <c r="AS1392" s="350"/>
      <c r="AT1392" s="350"/>
      <c r="AU1392" s="350"/>
      <c r="AV1392" s="350"/>
      <c r="AW1392" s="350"/>
      <c r="AX1392" s="350"/>
      <c r="AY1392" s="350"/>
      <c r="AZ1392" s="350"/>
      <c r="BA1392" s="350"/>
      <c r="BB1392" s="351"/>
    </row>
    <row r="1393" spans="1:54" ht="15.75" customHeight="1">
      <c r="A1393" s="25">
        <f t="shared" si="5"/>
        <v>1380</v>
      </c>
      <c r="B1393" s="599" t="str">
        <f>'refer admin discharge'!B1389</f>
        <v>x</v>
      </c>
      <c r="C1393" s="351"/>
      <c r="D1393" s="600" t="str">
        <f>'refer admin discharge'!D1389</f>
        <v>xx</v>
      </c>
      <c r="E1393" s="351"/>
      <c r="F1393" s="609" t="str">
        <f>'refer admin discharge'!H1389</f>
        <v>00/00/0000</v>
      </c>
      <c r="G1393" s="351"/>
      <c r="H1393" s="610"/>
      <c r="I1393" s="351"/>
      <c r="J1393" s="611"/>
      <c r="K1393" s="351"/>
      <c r="L1393" s="610"/>
      <c r="M1393" s="351"/>
      <c r="N1393" s="612"/>
      <c r="O1393" s="351"/>
      <c r="P1393" s="610"/>
      <c r="Q1393" s="351"/>
      <c r="R1393" s="612"/>
      <c r="S1393" s="351"/>
      <c r="T1393" s="610"/>
      <c r="U1393" s="351"/>
      <c r="V1393" s="613" t="str">
        <f>'refer admin discharge'!H1394</f>
        <v>00/00/0000</v>
      </c>
      <c r="W1393" s="351"/>
      <c r="X1393" s="607"/>
      <c r="Y1393" s="351"/>
      <c r="Z1393" s="614"/>
      <c r="AA1393" s="351"/>
      <c r="AB1393" s="607"/>
      <c r="AC1393" s="351"/>
      <c r="AD1393" s="606"/>
      <c r="AE1393" s="351"/>
      <c r="AF1393" s="607"/>
      <c r="AG1393" s="351"/>
      <c r="AH1393" s="606"/>
      <c r="AI1393" s="351"/>
      <c r="AJ1393" s="607"/>
      <c r="AK1393" s="351"/>
      <c r="AL1393" s="608"/>
      <c r="AM1393" s="350"/>
      <c r="AN1393" s="350"/>
      <c r="AO1393" s="350"/>
      <c r="AP1393" s="350"/>
      <c r="AQ1393" s="350"/>
      <c r="AR1393" s="350"/>
      <c r="AS1393" s="350"/>
      <c r="AT1393" s="350"/>
      <c r="AU1393" s="350"/>
      <c r="AV1393" s="350"/>
      <c r="AW1393" s="350"/>
      <c r="AX1393" s="350"/>
      <c r="AY1393" s="350"/>
      <c r="AZ1393" s="350"/>
      <c r="BA1393" s="350"/>
      <c r="BB1393" s="351"/>
    </row>
    <row r="1394" spans="1:54" ht="15.75" customHeight="1">
      <c r="A1394" s="25">
        <f t="shared" si="5"/>
        <v>1381</v>
      </c>
      <c r="B1394" s="618" t="str">
        <f>'refer admin discharge'!B1390</f>
        <v>x</v>
      </c>
      <c r="C1394" s="351"/>
      <c r="D1394" s="619" t="str">
        <f>'refer admin discharge'!D1390</f>
        <v>xx</v>
      </c>
      <c r="E1394" s="351"/>
      <c r="F1394" s="620" t="str">
        <f>'refer admin discharge'!H1390</f>
        <v>00/00/0000</v>
      </c>
      <c r="G1394" s="351"/>
      <c r="H1394" s="615"/>
      <c r="I1394" s="351"/>
      <c r="J1394" s="621"/>
      <c r="K1394" s="351"/>
      <c r="L1394" s="615"/>
      <c r="M1394" s="351"/>
      <c r="N1394" s="610"/>
      <c r="O1394" s="351"/>
      <c r="P1394" s="615"/>
      <c r="Q1394" s="351"/>
      <c r="R1394" s="610"/>
      <c r="S1394" s="351"/>
      <c r="T1394" s="615"/>
      <c r="U1394" s="351"/>
      <c r="V1394" s="613" t="str">
        <f>'refer admin discharge'!H1395</f>
        <v>00/00/0000</v>
      </c>
      <c r="W1394" s="351"/>
      <c r="X1394" s="616"/>
      <c r="Y1394" s="351"/>
      <c r="Z1394" s="617"/>
      <c r="AA1394" s="351"/>
      <c r="AB1394" s="616"/>
      <c r="AC1394" s="351"/>
      <c r="AD1394" s="607"/>
      <c r="AE1394" s="351"/>
      <c r="AF1394" s="616"/>
      <c r="AG1394" s="351"/>
      <c r="AH1394" s="607"/>
      <c r="AI1394" s="351"/>
      <c r="AJ1394" s="616"/>
      <c r="AK1394" s="351"/>
      <c r="AL1394" s="622"/>
      <c r="AM1394" s="350"/>
      <c r="AN1394" s="350"/>
      <c r="AO1394" s="350"/>
      <c r="AP1394" s="350"/>
      <c r="AQ1394" s="350"/>
      <c r="AR1394" s="350"/>
      <c r="AS1394" s="350"/>
      <c r="AT1394" s="350"/>
      <c r="AU1394" s="350"/>
      <c r="AV1394" s="350"/>
      <c r="AW1394" s="350"/>
      <c r="AX1394" s="350"/>
      <c r="AY1394" s="350"/>
      <c r="AZ1394" s="350"/>
      <c r="BA1394" s="350"/>
      <c r="BB1394" s="351"/>
    </row>
    <row r="1395" spans="1:54" ht="15.75" customHeight="1">
      <c r="A1395" s="25">
        <f t="shared" si="5"/>
        <v>1382</v>
      </c>
      <c r="B1395" s="599" t="str">
        <f>'refer admin discharge'!B1391</f>
        <v>x</v>
      </c>
      <c r="C1395" s="351"/>
      <c r="D1395" s="600" t="str">
        <f>'refer admin discharge'!D1391</f>
        <v>xx</v>
      </c>
      <c r="E1395" s="351"/>
      <c r="F1395" s="609" t="str">
        <f>'refer admin discharge'!H1391</f>
        <v>00/00/0000</v>
      </c>
      <c r="G1395" s="351"/>
      <c r="H1395" s="610"/>
      <c r="I1395" s="351"/>
      <c r="J1395" s="611"/>
      <c r="K1395" s="351"/>
      <c r="L1395" s="610"/>
      <c r="M1395" s="351"/>
      <c r="N1395" s="612"/>
      <c r="O1395" s="351"/>
      <c r="P1395" s="610"/>
      <c r="Q1395" s="351"/>
      <c r="R1395" s="612"/>
      <c r="S1395" s="351"/>
      <c r="T1395" s="610"/>
      <c r="U1395" s="351"/>
      <c r="V1395" s="613" t="str">
        <f>'refer admin discharge'!H1396</f>
        <v>00/00/0000</v>
      </c>
      <c r="W1395" s="351"/>
      <c r="X1395" s="607"/>
      <c r="Y1395" s="351"/>
      <c r="Z1395" s="614"/>
      <c r="AA1395" s="351"/>
      <c r="AB1395" s="607"/>
      <c r="AC1395" s="351"/>
      <c r="AD1395" s="606"/>
      <c r="AE1395" s="351"/>
      <c r="AF1395" s="607"/>
      <c r="AG1395" s="351"/>
      <c r="AH1395" s="606"/>
      <c r="AI1395" s="351"/>
      <c r="AJ1395" s="607"/>
      <c r="AK1395" s="351"/>
      <c r="AL1395" s="608"/>
      <c r="AM1395" s="350"/>
      <c r="AN1395" s="350"/>
      <c r="AO1395" s="350"/>
      <c r="AP1395" s="350"/>
      <c r="AQ1395" s="350"/>
      <c r="AR1395" s="350"/>
      <c r="AS1395" s="350"/>
      <c r="AT1395" s="350"/>
      <c r="AU1395" s="350"/>
      <c r="AV1395" s="350"/>
      <c r="AW1395" s="350"/>
      <c r="AX1395" s="350"/>
      <c r="AY1395" s="350"/>
      <c r="AZ1395" s="350"/>
      <c r="BA1395" s="350"/>
      <c r="BB1395" s="351"/>
    </row>
    <row r="1396" spans="1:54" ht="15.75" customHeight="1">
      <c r="A1396" s="25">
        <f t="shared" si="5"/>
        <v>1383</v>
      </c>
      <c r="B1396" s="618" t="str">
        <f>'refer admin discharge'!B1392</f>
        <v>x</v>
      </c>
      <c r="C1396" s="351"/>
      <c r="D1396" s="619" t="str">
        <f>'refer admin discharge'!D1392</f>
        <v>xx</v>
      </c>
      <c r="E1396" s="351"/>
      <c r="F1396" s="620" t="str">
        <f>'refer admin discharge'!H1392</f>
        <v>00/00/0000</v>
      </c>
      <c r="G1396" s="351"/>
      <c r="H1396" s="615"/>
      <c r="I1396" s="351"/>
      <c r="J1396" s="621"/>
      <c r="K1396" s="351"/>
      <c r="L1396" s="615"/>
      <c r="M1396" s="351"/>
      <c r="N1396" s="610"/>
      <c r="O1396" s="351"/>
      <c r="P1396" s="615"/>
      <c r="Q1396" s="351"/>
      <c r="R1396" s="610"/>
      <c r="S1396" s="351"/>
      <c r="T1396" s="615"/>
      <c r="U1396" s="351"/>
      <c r="V1396" s="613" t="str">
        <f>'refer admin discharge'!H1397</f>
        <v>00/00/0000</v>
      </c>
      <c r="W1396" s="351"/>
      <c r="X1396" s="616"/>
      <c r="Y1396" s="351"/>
      <c r="Z1396" s="617"/>
      <c r="AA1396" s="351"/>
      <c r="AB1396" s="616"/>
      <c r="AC1396" s="351"/>
      <c r="AD1396" s="607"/>
      <c r="AE1396" s="351"/>
      <c r="AF1396" s="616"/>
      <c r="AG1396" s="351"/>
      <c r="AH1396" s="607"/>
      <c r="AI1396" s="351"/>
      <c r="AJ1396" s="616"/>
      <c r="AK1396" s="351"/>
      <c r="AL1396" s="622"/>
      <c r="AM1396" s="350"/>
      <c r="AN1396" s="350"/>
      <c r="AO1396" s="350"/>
      <c r="AP1396" s="350"/>
      <c r="AQ1396" s="350"/>
      <c r="AR1396" s="350"/>
      <c r="AS1396" s="350"/>
      <c r="AT1396" s="350"/>
      <c r="AU1396" s="350"/>
      <c r="AV1396" s="350"/>
      <c r="AW1396" s="350"/>
      <c r="AX1396" s="350"/>
      <c r="AY1396" s="350"/>
      <c r="AZ1396" s="350"/>
      <c r="BA1396" s="350"/>
      <c r="BB1396" s="351"/>
    </row>
    <row r="1397" spans="1:54" ht="15.75" customHeight="1">
      <c r="A1397" s="25">
        <f t="shared" si="5"/>
        <v>1384</v>
      </c>
      <c r="B1397" s="599" t="str">
        <f>'refer admin discharge'!B1393</f>
        <v>x</v>
      </c>
      <c r="C1397" s="351"/>
      <c r="D1397" s="600" t="str">
        <f>'refer admin discharge'!D1393</f>
        <v>xx</v>
      </c>
      <c r="E1397" s="351"/>
      <c r="F1397" s="609" t="str">
        <f>'refer admin discharge'!H1393</f>
        <v>00/00/0000</v>
      </c>
      <c r="G1397" s="351"/>
      <c r="H1397" s="610"/>
      <c r="I1397" s="351"/>
      <c r="J1397" s="611"/>
      <c r="K1397" s="351"/>
      <c r="L1397" s="610"/>
      <c r="M1397" s="351"/>
      <c r="N1397" s="612"/>
      <c r="O1397" s="351"/>
      <c r="P1397" s="610"/>
      <c r="Q1397" s="351"/>
      <c r="R1397" s="612"/>
      <c r="S1397" s="351"/>
      <c r="T1397" s="610"/>
      <c r="U1397" s="351"/>
      <c r="V1397" s="613" t="str">
        <f>'refer admin discharge'!H1398</f>
        <v>00/00/0000</v>
      </c>
      <c r="W1397" s="351"/>
      <c r="X1397" s="607"/>
      <c r="Y1397" s="351"/>
      <c r="Z1397" s="614"/>
      <c r="AA1397" s="351"/>
      <c r="AB1397" s="607"/>
      <c r="AC1397" s="351"/>
      <c r="AD1397" s="606"/>
      <c r="AE1397" s="351"/>
      <c r="AF1397" s="607"/>
      <c r="AG1397" s="351"/>
      <c r="AH1397" s="606"/>
      <c r="AI1397" s="351"/>
      <c r="AJ1397" s="607"/>
      <c r="AK1397" s="351"/>
      <c r="AL1397" s="608"/>
      <c r="AM1397" s="350"/>
      <c r="AN1397" s="350"/>
      <c r="AO1397" s="350"/>
      <c r="AP1397" s="350"/>
      <c r="AQ1397" s="350"/>
      <c r="AR1397" s="350"/>
      <c r="AS1397" s="350"/>
      <c r="AT1397" s="350"/>
      <c r="AU1397" s="350"/>
      <c r="AV1397" s="350"/>
      <c r="AW1397" s="350"/>
      <c r="AX1397" s="350"/>
      <c r="AY1397" s="350"/>
      <c r="AZ1397" s="350"/>
      <c r="BA1397" s="350"/>
      <c r="BB1397" s="351"/>
    </row>
    <row r="1398" spans="1:54" ht="15.75" customHeight="1">
      <c r="A1398" s="25">
        <f t="shared" si="5"/>
        <v>1385</v>
      </c>
      <c r="B1398" s="618" t="str">
        <f>'refer admin discharge'!B1394</f>
        <v>x</v>
      </c>
      <c r="C1398" s="351"/>
      <c r="D1398" s="619" t="str">
        <f>'refer admin discharge'!D1394</f>
        <v>xx</v>
      </c>
      <c r="E1398" s="351"/>
      <c r="F1398" s="620" t="str">
        <f>'refer admin discharge'!H1394</f>
        <v>00/00/0000</v>
      </c>
      <c r="G1398" s="351"/>
      <c r="H1398" s="615"/>
      <c r="I1398" s="351"/>
      <c r="J1398" s="621"/>
      <c r="K1398" s="351"/>
      <c r="L1398" s="615"/>
      <c r="M1398" s="351"/>
      <c r="N1398" s="610"/>
      <c r="O1398" s="351"/>
      <c r="P1398" s="615"/>
      <c r="Q1398" s="351"/>
      <c r="R1398" s="610"/>
      <c r="S1398" s="351"/>
      <c r="T1398" s="615"/>
      <c r="U1398" s="351"/>
      <c r="V1398" s="613" t="str">
        <f>'refer admin discharge'!H1399</f>
        <v>00/00/0000</v>
      </c>
      <c r="W1398" s="351"/>
      <c r="X1398" s="616"/>
      <c r="Y1398" s="351"/>
      <c r="Z1398" s="617"/>
      <c r="AA1398" s="351"/>
      <c r="AB1398" s="616"/>
      <c r="AC1398" s="351"/>
      <c r="AD1398" s="607"/>
      <c r="AE1398" s="351"/>
      <c r="AF1398" s="616"/>
      <c r="AG1398" s="351"/>
      <c r="AH1398" s="607"/>
      <c r="AI1398" s="351"/>
      <c r="AJ1398" s="616"/>
      <c r="AK1398" s="351"/>
      <c r="AL1398" s="622"/>
      <c r="AM1398" s="350"/>
      <c r="AN1398" s="350"/>
      <c r="AO1398" s="350"/>
      <c r="AP1398" s="350"/>
      <c r="AQ1398" s="350"/>
      <c r="AR1398" s="350"/>
      <c r="AS1398" s="350"/>
      <c r="AT1398" s="350"/>
      <c r="AU1398" s="350"/>
      <c r="AV1398" s="350"/>
      <c r="AW1398" s="350"/>
      <c r="AX1398" s="350"/>
      <c r="AY1398" s="350"/>
      <c r="AZ1398" s="350"/>
      <c r="BA1398" s="350"/>
      <c r="BB1398" s="351"/>
    </row>
    <row r="1399" spans="1:54" ht="15.75" customHeight="1">
      <c r="A1399" s="25">
        <f t="shared" si="5"/>
        <v>1386</v>
      </c>
      <c r="B1399" s="599" t="str">
        <f>'refer admin discharge'!B1395</f>
        <v>x</v>
      </c>
      <c r="C1399" s="351"/>
      <c r="D1399" s="600" t="str">
        <f>'refer admin discharge'!D1395</f>
        <v>xx</v>
      </c>
      <c r="E1399" s="351"/>
      <c r="F1399" s="609" t="str">
        <f>'refer admin discharge'!H1395</f>
        <v>00/00/0000</v>
      </c>
      <c r="G1399" s="351"/>
      <c r="H1399" s="610"/>
      <c r="I1399" s="351"/>
      <c r="J1399" s="611"/>
      <c r="K1399" s="351"/>
      <c r="L1399" s="610"/>
      <c r="M1399" s="351"/>
      <c r="N1399" s="612"/>
      <c r="O1399" s="351"/>
      <c r="P1399" s="610"/>
      <c r="Q1399" s="351"/>
      <c r="R1399" s="612"/>
      <c r="S1399" s="351"/>
      <c r="T1399" s="610"/>
      <c r="U1399" s="351"/>
      <c r="V1399" s="613" t="str">
        <f>'refer admin discharge'!H1400</f>
        <v>00/00/0000</v>
      </c>
      <c r="W1399" s="351"/>
      <c r="X1399" s="607"/>
      <c r="Y1399" s="351"/>
      <c r="Z1399" s="614"/>
      <c r="AA1399" s="351"/>
      <c r="AB1399" s="607"/>
      <c r="AC1399" s="351"/>
      <c r="AD1399" s="606"/>
      <c r="AE1399" s="351"/>
      <c r="AF1399" s="607"/>
      <c r="AG1399" s="351"/>
      <c r="AH1399" s="606"/>
      <c r="AI1399" s="351"/>
      <c r="AJ1399" s="607"/>
      <c r="AK1399" s="351"/>
      <c r="AL1399" s="608"/>
      <c r="AM1399" s="350"/>
      <c r="AN1399" s="350"/>
      <c r="AO1399" s="350"/>
      <c r="AP1399" s="350"/>
      <c r="AQ1399" s="350"/>
      <c r="AR1399" s="350"/>
      <c r="AS1399" s="350"/>
      <c r="AT1399" s="350"/>
      <c r="AU1399" s="350"/>
      <c r="AV1399" s="350"/>
      <c r="AW1399" s="350"/>
      <c r="AX1399" s="350"/>
      <c r="AY1399" s="350"/>
      <c r="AZ1399" s="350"/>
      <c r="BA1399" s="350"/>
      <c r="BB1399" s="351"/>
    </row>
    <row r="1400" spans="1:54" ht="15.75" customHeight="1">
      <c r="A1400" s="25">
        <f t="shared" si="5"/>
        <v>1387</v>
      </c>
      <c r="B1400" s="618" t="str">
        <f>'refer admin discharge'!B1396</f>
        <v>x</v>
      </c>
      <c r="C1400" s="351"/>
      <c r="D1400" s="619" t="str">
        <f>'refer admin discharge'!D1396</f>
        <v>xx</v>
      </c>
      <c r="E1400" s="351"/>
      <c r="F1400" s="620" t="str">
        <f>'refer admin discharge'!H1396</f>
        <v>00/00/0000</v>
      </c>
      <c r="G1400" s="351"/>
      <c r="H1400" s="615"/>
      <c r="I1400" s="351"/>
      <c r="J1400" s="621"/>
      <c r="K1400" s="351"/>
      <c r="L1400" s="615"/>
      <c r="M1400" s="351"/>
      <c r="N1400" s="610"/>
      <c r="O1400" s="351"/>
      <c r="P1400" s="615"/>
      <c r="Q1400" s="351"/>
      <c r="R1400" s="610"/>
      <c r="S1400" s="351"/>
      <c r="T1400" s="615"/>
      <c r="U1400" s="351"/>
      <c r="V1400" s="613" t="str">
        <f>'refer admin discharge'!H1401</f>
        <v>00/00/0000</v>
      </c>
      <c r="W1400" s="351"/>
      <c r="X1400" s="616"/>
      <c r="Y1400" s="351"/>
      <c r="Z1400" s="617"/>
      <c r="AA1400" s="351"/>
      <c r="AB1400" s="616"/>
      <c r="AC1400" s="351"/>
      <c r="AD1400" s="607"/>
      <c r="AE1400" s="351"/>
      <c r="AF1400" s="616"/>
      <c r="AG1400" s="351"/>
      <c r="AH1400" s="607"/>
      <c r="AI1400" s="351"/>
      <c r="AJ1400" s="616"/>
      <c r="AK1400" s="351"/>
      <c r="AL1400" s="622"/>
      <c r="AM1400" s="350"/>
      <c r="AN1400" s="350"/>
      <c r="AO1400" s="350"/>
      <c r="AP1400" s="350"/>
      <c r="AQ1400" s="350"/>
      <c r="AR1400" s="350"/>
      <c r="AS1400" s="350"/>
      <c r="AT1400" s="350"/>
      <c r="AU1400" s="350"/>
      <c r="AV1400" s="350"/>
      <c r="AW1400" s="350"/>
      <c r="AX1400" s="350"/>
      <c r="AY1400" s="350"/>
      <c r="AZ1400" s="350"/>
      <c r="BA1400" s="350"/>
      <c r="BB1400" s="351"/>
    </row>
    <row r="1401" spans="1:54" ht="15.75" customHeight="1">
      <c r="A1401" s="25">
        <f t="shared" si="5"/>
        <v>1388</v>
      </c>
      <c r="B1401" s="599" t="str">
        <f>'refer admin discharge'!B1397</f>
        <v>x</v>
      </c>
      <c r="C1401" s="351"/>
      <c r="D1401" s="600" t="str">
        <f>'refer admin discharge'!D1397</f>
        <v>xx</v>
      </c>
      <c r="E1401" s="351"/>
      <c r="F1401" s="609" t="str">
        <f>'refer admin discharge'!H1397</f>
        <v>00/00/0000</v>
      </c>
      <c r="G1401" s="351"/>
      <c r="H1401" s="610"/>
      <c r="I1401" s="351"/>
      <c r="J1401" s="611"/>
      <c r="K1401" s="351"/>
      <c r="L1401" s="610"/>
      <c r="M1401" s="351"/>
      <c r="N1401" s="612"/>
      <c r="O1401" s="351"/>
      <c r="P1401" s="610"/>
      <c r="Q1401" s="351"/>
      <c r="R1401" s="612"/>
      <c r="S1401" s="351"/>
      <c r="T1401" s="610"/>
      <c r="U1401" s="351"/>
      <c r="V1401" s="613" t="str">
        <f>'refer admin discharge'!H1402</f>
        <v>00/00/0000</v>
      </c>
      <c r="W1401" s="351"/>
      <c r="X1401" s="607"/>
      <c r="Y1401" s="351"/>
      <c r="Z1401" s="614"/>
      <c r="AA1401" s="351"/>
      <c r="AB1401" s="607"/>
      <c r="AC1401" s="351"/>
      <c r="AD1401" s="606"/>
      <c r="AE1401" s="351"/>
      <c r="AF1401" s="607"/>
      <c r="AG1401" s="351"/>
      <c r="AH1401" s="606"/>
      <c r="AI1401" s="351"/>
      <c r="AJ1401" s="607"/>
      <c r="AK1401" s="351"/>
      <c r="AL1401" s="608"/>
      <c r="AM1401" s="350"/>
      <c r="AN1401" s="350"/>
      <c r="AO1401" s="350"/>
      <c r="AP1401" s="350"/>
      <c r="AQ1401" s="350"/>
      <c r="AR1401" s="350"/>
      <c r="AS1401" s="350"/>
      <c r="AT1401" s="350"/>
      <c r="AU1401" s="350"/>
      <c r="AV1401" s="350"/>
      <c r="AW1401" s="350"/>
      <c r="AX1401" s="350"/>
      <c r="AY1401" s="350"/>
      <c r="AZ1401" s="350"/>
      <c r="BA1401" s="350"/>
      <c r="BB1401" s="351"/>
    </row>
    <row r="1402" spans="1:54" ht="15.75" customHeight="1">
      <c r="A1402" s="25">
        <f t="shared" si="5"/>
        <v>1389</v>
      </c>
      <c r="B1402" s="618" t="str">
        <f>'refer admin discharge'!B1398</f>
        <v>x</v>
      </c>
      <c r="C1402" s="351"/>
      <c r="D1402" s="619" t="str">
        <f>'refer admin discharge'!D1398</f>
        <v>xx</v>
      </c>
      <c r="E1402" s="351"/>
      <c r="F1402" s="620" t="str">
        <f>'refer admin discharge'!H1398</f>
        <v>00/00/0000</v>
      </c>
      <c r="G1402" s="351"/>
      <c r="H1402" s="615"/>
      <c r="I1402" s="351"/>
      <c r="J1402" s="621"/>
      <c r="K1402" s="351"/>
      <c r="L1402" s="615"/>
      <c r="M1402" s="351"/>
      <c r="N1402" s="610"/>
      <c r="O1402" s="351"/>
      <c r="P1402" s="615"/>
      <c r="Q1402" s="351"/>
      <c r="R1402" s="610"/>
      <c r="S1402" s="351"/>
      <c r="T1402" s="615"/>
      <c r="U1402" s="351"/>
      <c r="V1402" s="613" t="str">
        <f>'refer admin discharge'!H1403</f>
        <v>00/00/0000</v>
      </c>
      <c r="W1402" s="351"/>
      <c r="X1402" s="616"/>
      <c r="Y1402" s="351"/>
      <c r="Z1402" s="617"/>
      <c r="AA1402" s="351"/>
      <c r="AB1402" s="616"/>
      <c r="AC1402" s="351"/>
      <c r="AD1402" s="607"/>
      <c r="AE1402" s="351"/>
      <c r="AF1402" s="616"/>
      <c r="AG1402" s="351"/>
      <c r="AH1402" s="607"/>
      <c r="AI1402" s="351"/>
      <c r="AJ1402" s="616"/>
      <c r="AK1402" s="351"/>
      <c r="AL1402" s="622"/>
      <c r="AM1402" s="350"/>
      <c r="AN1402" s="350"/>
      <c r="AO1402" s="350"/>
      <c r="AP1402" s="350"/>
      <c r="AQ1402" s="350"/>
      <c r="AR1402" s="350"/>
      <c r="AS1402" s="350"/>
      <c r="AT1402" s="350"/>
      <c r="AU1402" s="350"/>
      <c r="AV1402" s="350"/>
      <c r="AW1402" s="350"/>
      <c r="AX1402" s="350"/>
      <c r="AY1402" s="350"/>
      <c r="AZ1402" s="350"/>
      <c r="BA1402" s="350"/>
      <c r="BB1402" s="351"/>
    </row>
    <row r="1403" spans="1:54" ht="15.75" customHeight="1">
      <c r="A1403" s="25">
        <f t="shared" si="5"/>
        <v>1390</v>
      </c>
      <c r="B1403" s="599" t="str">
        <f>'refer admin discharge'!B1399</f>
        <v>x</v>
      </c>
      <c r="C1403" s="351"/>
      <c r="D1403" s="600" t="str">
        <f>'refer admin discharge'!D1399</f>
        <v>xx</v>
      </c>
      <c r="E1403" s="351"/>
      <c r="F1403" s="609" t="str">
        <f>'refer admin discharge'!H1399</f>
        <v>00/00/0000</v>
      </c>
      <c r="G1403" s="351"/>
      <c r="H1403" s="610"/>
      <c r="I1403" s="351"/>
      <c r="J1403" s="611"/>
      <c r="K1403" s="351"/>
      <c r="L1403" s="610"/>
      <c r="M1403" s="351"/>
      <c r="N1403" s="612"/>
      <c r="O1403" s="351"/>
      <c r="P1403" s="610"/>
      <c r="Q1403" s="351"/>
      <c r="R1403" s="612"/>
      <c r="S1403" s="351"/>
      <c r="T1403" s="610"/>
      <c r="U1403" s="351"/>
      <c r="V1403" s="613" t="str">
        <f>'refer admin discharge'!H1404</f>
        <v>00/00/0000</v>
      </c>
      <c r="W1403" s="351"/>
      <c r="X1403" s="607"/>
      <c r="Y1403" s="351"/>
      <c r="Z1403" s="614"/>
      <c r="AA1403" s="351"/>
      <c r="AB1403" s="607"/>
      <c r="AC1403" s="351"/>
      <c r="AD1403" s="606"/>
      <c r="AE1403" s="351"/>
      <c r="AF1403" s="607"/>
      <c r="AG1403" s="351"/>
      <c r="AH1403" s="606"/>
      <c r="AI1403" s="351"/>
      <c r="AJ1403" s="607"/>
      <c r="AK1403" s="351"/>
      <c r="AL1403" s="608"/>
      <c r="AM1403" s="350"/>
      <c r="AN1403" s="350"/>
      <c r="AO1403" s="350"/>
      <c r="AP1403" s="350"/>
      <c r="AQ1403" s="350"/>
      <c r="AR1403" s="350"/>
      <c r="AS1403" s="350"/>
      <c r="AT1403" s="350"/>
      <c r="AU1403" s="350"/>
      <c r="AV1403" s="350"/>
      <c r="AW1403" s="350"/>
      <c r="AX1403" s="350"/>
      <c r="AY1403" s="350"/>
      <c r="AZ1403" s="350"/>
      <c r="BA1403" s="350"/>
      <c r="BB1403" s="351"/>
    </row>
    <row r="1404" spans="1:54" ht="15.75" customHeight="1">
      <c r="A1404" s="25">
        <f t="shared" si="5"/>
        <v>1391</v>
      </c>
      <c r="B1404" s="618" t="str">
        <f>'refer admin discharge'!B1400</f>
        <v>x</v>
      </c>
      <c r="C1404" s="351"/>
      <c r="D1404" s="619" t="str">
        <f>'refer admin discharge'!D1400</f>
        <v>xx</v>
      </c>
      <c r="E1404" s="351"/>
      <c r="F1404" s="620" t="str">
        <f>'refer admin discharge'!H1400</f>
        <v>00/00/0000</v>
      </c>
      <c r="G1404" s="351"/>
      <c r="H1404" s="615"/>
      <c r="I1404" s="351"/>
      <c r="J1404" s="621"/>
      <c r="K1404" s="351"/>
      <c r="L1404" s="615"/>
      <c r="M1404" s="351"/>
      <c r="N1404" s="610"/>
      <c r="O1404" s="351"/>
      <c r="P1404" s="615"/>
      <c r="Q1404" s="351"/>
      <c r="R1404" s="610"/>
      <c r="S1404" s="351"/>
      <c r="T1404" s="615"/>
      <c r="U1404" s="351"/>
      <c r="V1404" s="613" t="str">
        <f>'refer admin discharge'!H1405</f>
        <v>00/00/0000</v>
      </c>
      <c r="W1404" s="351"/>
      <c r="X1404" s="616"/>
      <c r="Y1404" s="351"/>
      <c r="Z1404" s="617"/>
      <c r="AA1404" s="351"/>
      <c r="AB1404" s="616"/>
      <c r="AC1404" s="351"/>
      <c r="AD1404" s="607"/>
      <c r="AE1404" s="351"/>
      <c r="AF1404" s="616"/>
      <c r="AG1404" s="351"/>
      <c r="AH1404" s="607"/>
      <c r="AI1404" s="351"/>
      <c r="AJ1404" s="616"/>
      <c r="AK1404" s="351"/>
      <c r="AL1404" s="622"/>
      <c r="AM1404" s="350"/>
      <c r="AN1404" s="350"/>
      <c r="AO1404" s="350"/>
      <c r="AP1404" s="350"/>
      <c r="AQ1404" s="350"/>
      <c r="AR1404" s="350"/>
      <c r="AS1404" s="350"/>
      <c r="AT1404" s="350"/>
      <c r="AU1404" s="350"/>
      <c r="AV1404" s="350"/>
      <c r="AW1404" s="350"/>
      <c r="AX1404" s="350"/>
      <c r="AY1404" s="350"/>
      <c r="AZ1404" s="350"/>
      <c r="BA1404" s="350"/>
      <c r="BB1404" s="351"/>
    </row>
    <row r="1405" spans="1:54" ht="15.75" customHeight="1">
      <c r="A1405" s="25">
        <f t="shared" si="5"/>
        <v>1392</v>
      </c>
      <c r="B1405" s="599" t="str">
        <f>'refer admin discharge'!B1401</f>
        <v>x</v>
      </c>
      <c r="C1405" s="351"/>
      <c r="D1405" s="600" t="str">
        <f>'refer admin discharge'!D1401</f>
        <v>xx</v>
      </c>
      <c r="E1405" s="351"/>
      <c r="F1405" s="609" t="str">
        <f>'refer admin discharge'!H1401</f>
        <v>00/00/0000</v>
      </c>
      <c r="G1405" s="351"/>
      <c r="H1405" s="610"/>
      <c r="I1405" s="351"/>
      <c r="J1405" s="611"/>
      <c r="K1405" s="351"/>
      <c r="L1405" s="610"/>
      <c r="M1405" s="351"/>
      <c r="N1405" s="612"/>
      <c r="O1405" s="351"/>
      <c r="P1405" s="610"/>
      <c r="Q1405" s="351"/>
      <c r="R1405" s="612"/>
      <c r="S1405" s="351"/>
      <c r="T1405" s="610"/>
      <c r="U1405" s="351"/>
      <c r="V1405" s="613" t="str">
        <f>'refer admin discharge'!H1406</f>
        <v>00/00/0000</v>
      </c>
      <c r="W1405" s="351"/>
      <c r="X1405" s="607"/>
      <c r="Y1405" s="351"/>
      <c r="Z1405" s="614"/>
      <c r="AA1405" s="351"/>
      <c r="AB1405" s="607"/>
      <c r="AC1405" s="351"/>
      <c r="AD1405" s="606"/>
      <c r="AE1405" s="351"/>
      <c r="AF1405" s="607"/>
      <c r="AG1405" s="351"/>
      <c r="AH1405" s="606"/>
      <c r="AI1405" s="351"/>
      <c r="AJ1405" s="607"/>
      <c r="AK1405" s="351"/>
      <c r="AL1405" s="608"/>
      <c r="AM1405" s="350"/>
      <c r="AN1405" s="350"/>
      <c r="AO1405" s="350"/>
      <c r="AP1405" s="350"/>
      <c r="AQ1405" s="350"/>
      <c r="AR1405" s="350"/>
      <c r="AS1405" s="350"/>
      <c r="AT1405" s="350"/>
      <c r="AU1405" s="350"/>
      <c r="AV1405" s="350"/>
      <c r="AW1405" s="350"/>
      <c r="AX1405" s="350"/>
      <c r="AY1405" s="350"/>
      <c r="AZ1405" s="350"/>
      <c r="BA1405" s="350"/>
      <c r="BB1405" s="351"/>
    </row>
    <row r="1406" spans="1:54" ht="15.75" customHeight="1">
      <c r="A1406" s="25">
        <f t="shared" si="5"/>
        <v>1393</v>
      </c>
      <c r="B1406" s="618" t="str">
        <f>'refer admin discharge'!B1402</f>
        <v>x</v>
      </c>
      <c r="C1406" s="351"/>
      <c r="D1406" s="619" t="str">
        <f>'refer admin discharge'!D1402</f>
        <v>xx</v>
      </c>
      <c r="E1406" s="351"/>
      <c r="F1406" s="620" t="str">
        <f>'refer admin discharge'!H1402</f>
        <v>00/00/0000</v>
      </c>
      <c r="G1406" s="351"/>
      <c r="H1406" s="615"/>
      <c r="I1406" s="351"/>
      <c r="J1406" s="621"/>
      <c r="K1406" s="351"/>
      <c r="L1406" s="615"/>
      <c r="M1406" s="351"/>
      <c r="N1406" s="610"/>
      <c r="O1406" s="351"/>
      <c r="P1406" s="615"/>
      <c r="Q1406" s="351"/>
      <c r="R1406" s="610"/>
      <c r="S1406" s="351"/>
      <c r="T1406" s="615"/>
      <c r="U1406" s="351"/>
      <c r="V1406" s="613" t="str">
        <f>'refer admin discharge'!H1407</f>
        <v>00/00/0000</v>
      </c>
      <c r="W1406" s="351"/>
      <c r="X1406" s="616"/>
      <c r="Y1406" s="351"/>
      <c r="Z1406" s="617"/>
      <c r="AA1406" s="351"/>
      <c r="AB1406" s="616"/>
      <c r="AC1406" s="351"/>
      <c r="AD1406" s="607"/>
      <c r="AE1406" s="351"/>
      <c r="AF1406" s="616"/>
      <c r="AG1406" s="351"/>
      <c r="AH1406" s="607"/>
      <c r="AI1406" s="351"/>
      <c r="AJ1406" s="616"/>
      <c r="AK1406" s="351"/>
      <c r="AL1406" s="622"/>
      <c r="AM1406" s="350"/>
      <c r="AN1406" s="350"/>
      <c r="AO1406" s="350"/>
      <c r="AP1406" s="350"/>
      <c r="AQ1406" s="350"/>
      <c r="AR1406" s="350"/>
      <c r="AS1406" s="350"/>
      <c r="AT1406" s="350"/>
      <c r="AU1406" s="350"/>
      <c r="AV1406" s="350"/>
      <c r="AW1406" s="350"/>
      <c r="AX1406" s="350"/>
      <c r="AY1406" s="350"/>
      <c r="AZ1406" s="350"/>
      <c r="BA1406" s="350"/>
      <c r="BB1406" s="351"/>
    </row>
    <row r="1407" spans="1:54" ht="15.75" customHeight="1">
      <c r="A1407" s="25">
        <f t="shared" si="5"/>
        <v>1394</v>
      </c>
      <c r="B1407" s="599" t="str">
        <f>'refer admin discharge'!B1403</f>
        <v>x</v>
      </c>
      <c r="C1407" s="351"/>
      <c r="D1407" s="600" t="str">
        <f>'refer admin discharge'!D1403</f>
        <v>xx</v>
      </c>
      <c r="E1407" s="351"/>
      <c r="F1407" s="609" t="str">
        <f>'refer admin discharge'!H1403</f>
        <v>00/00/0000</v>
      </c>
      <c r="G1407" s="351"/>
      <c r="H1407" s="610"/>
      <c r="I1407" s="351"/>
      <c r="J1407" s="611"/>
      <c r="K1407" s="351"/>
      <c r="L1407" s="610"/>
      <c r="M1407" s="351"/>
      <c r="N1407" s="612"/>
      <c r="O1407" s="351"/>
      <c r="P1407" s="610"/>
      <c r="Q1407" s="351"/>
      <c r="R1407" s="612"/>
      <c r="S1407" s="351"/>
      <c r="T1407" s="610"/>
      <c r="U1407" s="351"/>
      <c r="V1407" s="613" t="str">
        <f>'refer admin discharge'!H1408</f>
        <v>00/00/0000</v>
      </c>
      <c r="W1407" s="351"/>
      <c r="X1407" s="607"/>
      <c r="Y1407" s="351"/>
      <c r="Z1407" s="614"/>
      <c r="AA1407" s="351"/>
      <c r="AB1407" s="607"/>
      <c r="AC1407" s="351"/>
      <c r="AD1407" s="606"/>
      <c r="AE1407" s="351"/>
      <c r="AF1407" s="607"/>
      <c r="AG1407" s="351"/>
      <c r="AH1407" s="606"/>
      <c r="AI1407" s="351"/>
      <c r="AJ1407" s="607"/>
      <c r="AK1407" s="351"/>
      <c r="AL1407" s="608"/>
      <c r="AM1407" s="350"/>
      <c r="AN1407" s="350"/>
      <c r="AO1407" s="350"/>
      <c r="AP1407" s="350"/>
      <c r="AQ1407" s="350"/>
      <c r="AR1407" s="350"/>
      <c r="AS1407" s="350"/>
      <c r="AT1407" s="350"/>
      <c r="AU1407" s="350"/>
      <c r="AV1407" s="350"/>
      <c r="AW1407" s="350"/>
      <c r="AX1407" s="350"/>
      <c r="AY1407" s="350"/>
      <c r="AZ1407" s="350"/>
      <c r="BA1407" s="350"/>
      <c r="BB1407" s="351"/>
    </row>
    <row r="1408" spans="1:54" ht="15.75" customHeight="1">
      <c r="A1408" s="25">
        <f t="shared" si="5"/>
        <v>1395</v>
      </c>
      <c r="B1408" s="618" t="str">
        <f>'refer admin discharge'!B1404</f>
        <v>x</v>
      </c>
      <c r="C1408" s="351"/>
      <c r="D1408" s="619" t="str">
        <f>'refer admin discharge'!D1404</f>
        <v>xx</v>
      </c>
      <c r="E1408" s="351"/>
      <c r="F1408" s="620" t="str">
        <f>'refer admin discharge'!H1404</f>
        <v>00/00/0000</v>
      </c>
      <c r="G1408" s="351"/>
      <c r="H1408" s="615"/>
      <c r="I1408" s="351"/>
      <c r="J1408" s="621"/>
      <c r="K1408" s="351"/>
      <c r="L1408" s="615"/>
      <c r="M1408" s="351"/>
      <c r="N1408" s="610"/>
      <c r="O1408" s="351"/>
      <c r="P1408" s="615"/>
      <c r="Q1408" s="351"/>
      <c r="R1408" s="610"/>
      <c r="S1408" s="351"/>
      <c r="T1408" s="615"/>
      <c r="U1408" s="351"/>
      <c r="V1408" s="613" t="str">
        <f>'refer admin discharge'!H1409</f>
        <v>00/00/0000</v>
      </c>
      <c r="W1408" s="351"/>
      <c r="X1408" s="616"/>
      <c r="Y1408" s="351"/>
      <c r="Z1408" s="617"/>
      <c r="AA1408" s="351"/>
      <c r="AB1408" s="616"/>
      <c r="AC1408" s="351"/>
      <c r="AD1408" s="607"/>
      <c r="AE1408" s="351"/>
      <c r="AF1408" s="616"/>
      <c r="AG1408" s="351"/>
      <c r="AH1408" s="607"/>
      <c r="AI1408" s="351"/>
      <c r="AJ1408" s="616"/>
      <c r="AK1408" s="351"/>
      <c r="AL1408" s="622"/>
      <c r="AM1408" s="350"/>
      <c r="AN1408" s="350"/>
      <c r="AO1408" s="350"/>
      <c r="AP1408" s="350"/>
      <c r="AQ1408" s="350"/>
      <c r="AR1408" s="350"/>
      <c r="AS1408" s="350"/>
      <c r="AT1408" s="350"/>
      <c r="AU1408" s="350"/>
      <c r="AV1408" s="350"/>
      <c r="AW1408" s="350"/>
      <c r="AX1408" s="350"/>
      <c r="AY1408" s="350"/>
      <c r="AZ1408" s="350"/>
      <c r="BA1408" s="350"/>
      <c r="BB1408" s="351"/>
    </row>
    <row r="1409" spans="1:54" ht="15.75" customHeight="1">
      <c r="A1409" s="25">
        <f t="shared" si="5"/>
        <v>1396</v>
      </c>
      <c r="B1409" s="599" t="str">
        <f>'refer admin discharge'!B1405</f>
        <v>x</v>
      </c>
      <c r="C1409" s="351"/>
      <c r="D1409" s="600" t="str">
        <f>'refer admin discharge'!D1405</f>
        <v>xx</v>
      </c>
      <c r="E1409" s="351"/>
      <c r="F1409" s="609" t="str">
        <f>'refer admin discharge'!H1405</f>
        <v>00/00/0000</v>
      </c>
      <c r="G1409" s="351"/>
      <c r="H1409" s="610"/>
      <c r="I1409" s="351"/>
      <c r="J1409" s="611"/>
      <c r="K1409" s="351"/>
      <c r="L1409" s="610"/>
      <c r="M1409" s="351"/>
      <c r="N1409" s="612"/>
      <c r="O1409" s="351"/>
      <c r="P1409" s="610"/>
      <c r="Q1409" s="351"/>
      <c r="R1409" s="612"/>
      <c r="S1409" s="351"/>
      <c r="T1409" s="610"/>
      <c r="U1409" s="351"/>
      <c r="V1409" s="613" t="str">
        <f>'refer admin discharge'!H1410</f>
        <v>00/00/0000</v>
      </c>
      <c r="W1409" s="351"/>
      <c r="X1409" s="607"/>
      <c r="Y1409" s="351"/>
      <c r="Z1409" s="614"/>
      <c r="AA1409" s="351"/>
      <c r="AB1409" s="607"/>
      <c r="AC1409" s="351"/>
      <c r="AD1409" s="606"/>
      <c r="AE1409" s="351"/>
      <c r="AF1409" s="607"/>
      <c r="AG1409" s="351"/>
      <c r="AH1409" s="606"/>
      <c r="AI1409" s="351"/>
      <c r="AJ1409" s="607"/>
      <c r="AK1409" s="351"/>
      <c r="AL1409" s="608"/>
      <c r="AM1409" s="350"/>
      <c r="AN1409" s="350"/>
      <c r="AO1409" s="350"/>
      <c r="AP1409" s="350"/>
      <c r="AQ1409" s="350"/>
      <c r="AR1409" s="350"/>
      <c r="AS1409" s="350"/>
      <c r="AT1409" s="350"/>
      <c r="AU1409" s="350"/>
      <c r="AV1409" s="350"/>
      <c r="AW1409" s="350"/>
      <c r="AX1409" s="350"/>
      <c r="AY1409" s="350"/>
      <c r="AZ1409" s="350"/>
      <c r="BA1409" s="350"/>
      <c r="BB1409" s="351"/>
    </row>
    <row r="1410" spans="1:54" ht="15.75" customHeight="1">
      <c r="A1410" s="25">
        <f t="shared" si="5"/>
        <v>1397</v>
      </c>
      <c r="B1410" s="618" t="str">
        <f>'refer admin discharge'!B1406</f>
        <v>x</v>
      </c>
      <c r="C1410" s="351"/>
      <c r="D1410" s="619" t="str">
        <f>'refer admin discharge'!D1406</f>
        <v>xx</v>
      </c>
      <c r="E1410" s="351"/>
      <c r="F1410" s="620" t="str">
        <f>'refer admin discharge'!H1406</f>
        <v>00/00/0000</v>
      </c>
      <c r="G1410" s="351"/>
      <c r="H1410" s="615"/>
      <c r="I1410" s="351"/>
      <c r="J1410" s="621"/>
      <c r="K1410" s="351"/>
      <c r="L1410" s="615"/>
      <c r="M1410" s="351"/>
      <c r="N1410" s="610"/>
      <c r="O1410" s="351"/>
      <c r="P1410" s="615"/>
      <c r="Q1410" s="351"/>
      <c r="R1410" s="610"/>
      <c r="S1410" s="351"/>
      <c r="T1410" s="615"/>
      <c r="U1410" s="351"/>
      <c r="V1410" s="613" t="str">
        <f>'refer admin discharge'!H1411</f>
        <v>00/00/0000</v>
      </c>
      <c r="W1410" s="351"/>
      <c r="X1410" s="616"/>
      <c r="Y1410" s="351"/>
      <c r="Z1410" s="617"/>
      <c r="AA1410" s="351"/>
      <c r="AB1410" s="616"/>
      <c r="AC1410" s="351"/>
      <c r="AD1410" s="607"/>
      <c r="AE1410" s="351"/>
      <c r="AF1410" s="616"/>
      <c r="AG1410" s="351"/>
      <c r="AH1410" s="607"/>
      <c r="AI1410" s="351"/>
      <c r="AJ1410" s="616"/>
      <c r="AK1410" s="351"/>
      <c r="AL1410" s="622"/>
      <c r="AM1410" s="350"/>
      <c r="AN1410" s="350"/>
      <c r="AO1410" s="350"/>
      <c r="AP1410" s="350"/>
      <c r="AQ1410" s="350"/>
      <c r="AR1410" s="350"/>
      <c r="AS1410" s="350"/>
      <c r="AT1410" s="350"/>
      <c r="AU1410" s="350"/>
      <c r="AV1410" s="350"/>
      <c r="AW1410" s="350"/>
      <c r="AX1410" s="350"/>
      <c r="AY1410" s="350"/>
      <c r="AZ1410" s="350"/>
      <c r="BA1410" s="350"/>
      <c r="BB1410" s="351"/>
    </row>
    <row r="1411" spans="1:54" ht="15.75" customHeight="1">
      <c r="A1411" s="25">
        <f t="shared" si="5"/>
        <v>1398</v>
      </c>
      <c r="B1411" s="599" t="str">
        <f>'refer admin discharge'!B1407</f>
        <v>x</v>
      </c>
      <c r="C1411" s="351"/>
      <c r="D1411" s="600" t="str">
        <f>'refer admin discharge'!D1407</f>
        <v>xx</v>
      </c>
      <c r="E1411" s="351"/>
      <c r="F1411" s="609" t="str">
        <f>'refer admin discharge'!H1407</f>
        <v>00/00/0000</v>
      </c>
      <c r="G1411" s="351"/>
      <c r="H1411" s="610"/>
      <c r="I1411" s="351"/>
      <c r="J1411" s="611"/>
      <c r="K1411" s="351"/>
      <c r="L1411" s="610"/>
      <c r="M1411" s="351"/>
      <c r="N1411" s="612"/>
      <c r="O1411" s="351"/>
      <c r="P1411" s="610"/>
      <c r="Q1411" s="351"/>
      <c r="R1411" s="612"/>
      <c r="S1411" s="351"/>
      <c r="T1411" s="610"/>
      <c r="U1411" s="351"/>
      <c r="V1411" s="613" t="str">
        <f>'refer admin discharge'!H1412</f>
        <v>00/00/0000</v>
      </c>
      <c r="W1411" s="351"/>
      <c r="X1411" s="607"/>
      <c r="Y1411" s="351"/>
      <c r="Z1411" s="614"/>
      <c r="AA1411" s="351"/>
      <c r="AB1411" s="607"/>
      <c r="AC1411" s="351"/>
      <c r="AD1411" s="606"/>
      <c r="AE1411" s="351"/>
      <c r="AF1411" s="607"/>
      <c r="AG1411" s="351"/>
      <c r="AH1411" s="606"/>
      <c r="AI1411" s="351"/>
      <c r="AJ1411" s="607"/>
      <c r="AK1411" s="351"/>
      <c r="AL1411" s="608"/>
      <c r="AM1411" s="350"/>
      <c r="AN1411" s="350"/>
      <c r="AO1411" s="350"/>
      <c r="AP1411" s="350"/>
      <c r="AQ1411" s="350"/>
      <c r="AR1411" s="350"/>
      <c r="AS1411" s="350"/>
      <c r="AT1411" s="350"/>
      <c r="AU1411" s="350"/>
      <c r="AV1411" s="350"/>
      <c r="AW1411" s="350"/>
      <c r="AX1411" s="350"/>
      <c r="AY1411" s="350"/>
      <c r="AZ1411" s="350"/>
      <c r="BA1411" s="350"/>
      <c r="BB1411" s="351"/>
    </row>
    <row r="1412" spans="1:54" ht="15.75" customHeight="1">
      <c r="A1412" s="25">
        <f t="shared" si="5"/>
        <v>1399</v>
      </c>
      <c r="B1412" s="618" t="str">
        <f>'refer admin discharge'!B1408</f>
        <v>x</v>
      </c>
      <c r="C1412" s="351"/>
      <c r="D1412" s="619" t="str">
        <f>'refer admin discharge'!D1408</f>
        <v>xx</v>
      </c>
      <c r="E1412" s="351"/>
      <c r="F1412" s="620" t="str">
        <f>'refer admin discharge'!H1408</f>
        <v>00/00/0000</v>
      </c>
      <c r="G1412" s="351"/>
      <c r="H1412" s="615"/>
      <c r="I1412" s="351"/>
      <c r="J1412" s="621"/>
      <c r="K1412" s="351"/>
      <c r="L1412" s="615"/>
      <c r="M1412" s="351"/>
      <c r="N1412" s="610"/>
      <c r="O1412" s="351"/>
      <c r="P1412" s="615"/>
      <c r="Q1412" s="351"/>
      <c r="R1412" s="610"/>
      <c r="S1412" s="351"/>
      <c r="T1412" s="615"/>
      <c r="U1412" s="351"/>
      <c r="V1412" s="613" t="str">
        <f>'refer admin discharge'!H1413</f>
        <v>00/00/0000</v>
      </c>
      <c r="W1412" s="351"/>
      <c r="X1412" s="616"/>
      <c r="Y1412" s="351"/>
      <c r="Z1412" s="617"/>
      <c r="AA1412" s="351"/>
      <c r="AB1412" s="616"/>
      <c r="AC1412" s="351"/>
      <c r="AD1412" s="607"/>
      <c r="AE1412" s="351"/>
      <c r="AF1412" s="616"/>
      <c r="AG1412" s="351"/>
      <c r="AH1412" s="607"/>
      <c r="AI1412" s="351"/>
      <c r="AJ1412" s="616"/>
      <c r="AK1412" s="351"/>
      <c r="AL1412" s="622"/>
      <c r="AM1412" s="350"/>
      <c r="AN1412" s="350"/>
      <c r="AO1412" s="350"/>
      <c r="AP1412" s="350"/>
      <c r="AQ1412" s="350"/>
      <c r="AR1412" s="350"/>
      <c r="AS1412" s="350"/>
      <c r="AT1412" s="350"/>
      <c r="AU1412" s="350"/>
      <c r="AV1412" s="350"/>
      <c r="AW1412" s="350"/>
      <c r="AX1412" s="350"/>
      <c r="AY1412" s="350"/>
      <c r="AZ1412" s="350"/>
      <c r="BA1412" s="350"/>
      <c r="BB1412" s="351"/>
    </row>
    <row r="1413" spans="1:54" ht="15.75" customHeight="1">
      <c r="A1413" s="25">
        <f t="shared" si="5"/>
        <v>1400</v>
      </c>
      <c r="B1413" s="599" t="str">
        <f>'refer admin discharge'!B1409</f>
        <v>x</v>
      </c>
      <c r="C1413" s="351"/>
      <c r="D1413" s="600" t="str">
        <f>'refer admin discharge'!D1409</f>
        <v>xx</v>
      </c>
      <c r="E1413" s="351"/>
      <c r="F1413" s="609" t="str">
        <f>'refer admin discharge'!H1409</f>
        <v>00/00/0000</v>
      </c>
      <c r="G1413" s="351"/>
      <c r="H1413" s="610"/>
      <c r="I1413" s="351"/>
      <c r="J1413" s="611"/>
      <c r="K1413" s="351"/>
      <c r="L1413" s="610"/>
      <c r="M1413" s="351"/>
      <c r="N1413" s="612"/>
      <c r="O1413" s="351"/>
      <c r="P1413" s="610"/>
      <c r="Q1413" s="351"/>
      <c r="R1413" s="612"/>
      <c r="S1413" s="351"/>
      <c r="T1413" s="610"/>
      <c r="U1413" s="351"/>
      <c r="V1413" s="613" t="str">
        <f>'refer admin discharge'!H1414</f>
        <v>00/00/0000</v>
      </c>
      <c r="W1413" s="351"/>
      <c r="X1413" s="607"/>
      <c r="Y1413" s="351"/>
      <c r="Z1413" s="614"/>
      <c r="AA1413" s="351"/>
      <c r="AB1413" s="607"/>
      <c r="AC1413" s="351"/>
      <c r="AD1413" s="606"/>
      <c r="AE1413" s="351"/>
      <c r="AF1413" s="607"/>
      <c r="AG1413" s="351"/>
      <c r="AH1413" s="606"/>
      <c r="AI1413" s="351"/>
      <c r="AJ1413" s="607"/>
      <c r="AK1413" s="351"/>
      <c r="AL1413" s="608"/>
      <c r="AM1413" s="350"/>
      <c r="AN1413" s="350"/>
      <c r="AO1413" s="350"/>
      <c r="AP1413" s="350"/>
      <c r="AQ1413" s="350"/>
      <c r="AR1413" s="350"/>
      <c r="AS1413" s="350"/>
      <c r="AT1413" s="350"/>
      <c r="AU1413" s="350"/>
      <c r="AV1413" s="350"/>
      <c r="AW1413" s="350"/>
      <c r="AX1413" s="350"/>
      <c r="AY1413" s="350"/>
      <c r="AZ1413" s="350"/>
      <c r="BA1413" s="350"/>
      <c r="BB1413" s="351"/>
    </row>
    <row r="1414" spans="1:54" ht="15.75" customHeight="1">
      <c r="A1414" s="25">
        <f t="shared" si="5"/>
        <v>1401</v>
      </c>
      <c r="B1414" s="618" t="str">
        <f>'refer admin discharge'!B1410</f>
        <v>x</v>
      </c>
      <c r="C1414" s="351"/>
      <c r="D1414" s="619" t="str">
        <f>'refer admin discharge'!D1410</f>
        <v>xx</v>
      </c>
      <c r="E1414" s="351"/>
      <c r="F1414" s="620" t="str">
        <f>'refer admin discharge'!H1410</f>
        <v>00/00/0000</v>
      </c>
      <c r="G1414" s="351"/>
      <c r="H1414" s="615"/>
      <c r="I1414" s="351"/>
      <c r="J1414" s="621"/>
      <c r="K1414" s="351"/>
      <c r="L1414" s="615"/>
      <c r="M1414" s="351"/>
      <c r="N1414" s="610"/>
      <c r="O1414" s="351"/>
      <c r="P1414" s="615"/>
      <c r="Q1414" s="351"/>
      <c r="R1414" s="610"/>
      <c r="S1414" s="351"/>
      <c r="T1414" s="615"/>
      <c r="U1414" s="351"/>
      <c r="V1414" s="613" t="str">
        <f>'refer admin discharge'!H1415</f>
        <v>00/00/0000</v>
      </c>
      <c r="W1414" s="351"/>
      <c r="X1414" s="616"/>
      <c r="Y1414" s="351"/>
      <c r="Z1414" s="617"/>
      <c r="AA1414" s="351"/>
      <c r="AB1414" s="616"/>
      <c r="AC1414" s="351"/>
      <c r="AD1414" s="607"/>
      <c r="AE1414" s="351"/>
      <c r="AF1414" s="616"/>
      <c r="AG1414" s="351"/>
      <c r="AH1414" s="607"/>
      <c r="AI1414" s="351"/>
      <c r="AJ1414" s="616"/>
      <c r="AK1414" s="351"/>
      <c r="AL1414" s="622"/>
      <c r="AM1414" s="350"/>
      <c r="AN1414" s="350"/>
      <c r="AO1414" s="350"/>
      <c r="AP1414" s="350"/>
      <c r="AQ1414" s="350"/>
      <c r="AR1414" s="350"/>
      <c r="AS1414" s="350"/>
      <c r="AT1414" s="350"/>
      <c r="AU1414" s="350"/>
      <c r="AV1414" s="350"/>
      <c r="AW1414" s="350"/>
      <c r="AX1414" s="350"/>
      <c r="AY1414" s="350"/>
      <c r="AZ1414" s="350"/>
      <c r="BA1414" s="350"/>
      <c r="BB1414" s="351"/>
    </row>
    <row r="1415" spans="1:54" ht="15.75" customHeight="1">
      <c r="A1415" s="25">
        <f t="shared" si="5"/>
        <v>1402</v>
      </c>
      <c r="B1415" s="599" t="str">
        <f>'refer admin discharge'!B1411</f>
        <v>x</v>
      </c>
      <c r="C1415" s="351"/>
      <c r="D1415" s="600" t="str">
        <f>'refer admin discharge'!D1411</f>
        <v>xx</v>
      </c>
      <c r="E1415" s="351"/>
      <c r="F1415" s="609" t="str">
        <f>'refer admin discharge'!H1411</f>
        <v>00/00/0000</v>
      </c>
      <c r="G1415" s="351"/>
      <c r="H1415" s="610"/>
      <c r="I1415" s="351"/>
      <c r="J1415" s="611"/>
      <c r="K1415" s="351"/>
      <c r="L1415" s="610"/>
      <c r="M1415" s="351"/>
      <c r="N1415" s="612"/>
      <c r="O1415" s="351"/>
      <c r="P1415" s="610"/>
      <c r="Q1415" s="351"/>
      <c r="R1415" s="612"/>
      <c r="S1415" s="351"/>
      <c r="T1415" s="610"/>
      <c r="U1415" s="351"/>
      <c r="V1415" s="613" t="str">
        <f>'refer admin discharge'!H1416</f>
        <v>00/00/0000</v>
      </c>
      <c r="W1415" s="351"/>
      <c r="X1415" s="607"/>
      <c r="Y1415" s="351"/>
      <c r="Z1415" s="614"/>
      <c r="AA1415" s="351"/>
      <c r="AB1415" s="607"/>
      <c r="AC1415" s="351"/>
      <c r="AD1415" s="606"/>
      <c r="AE1415" s="351"/>
      <c r="AF1415" s="607"/>
      <c r="AG1415" s="351"/>
      <c r="AH1415" s="606"/>
      <c r="AI1415" s="351"/>
      <c r="AJ1415" s="607"/>
      <c r="AK1415" s="351"/>
      <c r="AL1415" s="608"/>
      <c r="AM1415" s="350"/>
      <c r="AN1415" s="350"/>
      <c r="AO1415" s="350"/>
      <c r="AP1415" s="350"/>
      <c r="AQ1415" s="350"/>
      <c r="AR1415" s="350"/>
      <c r="AS1415" s="350"/>
      <c r="AT1415" s="350"/>
      <c r="AU1415" s="350"/>
      <c r="AV1415" s="350"/>
      <c r="AW1415" s="350"/>
      <c r="AX1415" s="350"/>
      <c r="AY1415" s="350"/>
      <c r="AZ1415" s="350"/>
      <c r="BA1415" s="350"/>
      <c r="BB1415" s="351"/>
    </row>
    <row r="1416" spans="1:54" ht="15.75" customHeight="1">
      <c r="A1416" s="25">
        <f t="shared" si="5"/>
        <v>1403</v>
      </c>
      <c r="B1416" s="618" t="str">
        <f>'refer admin discharge'!B1412</f>
        <v>x</v>
      </c>
      <c r="C1416" s="351"/>
      <c r="D1416" s="619" t="str">
        <f>'refer admin discharge'!D1412</f>
        <v>xx</v>
      </c>
      <c r="E1416" s="351"/>
      <c r="F1416" s="620" t="str">
        <f>'refer admin discharge'!H1412</f>
        <v>00/00/0000</v>
      </c>
      <c r="G1416" s="351"/>
      <c r="H1416" s="615"/>
      <c r="I1416" s="351"/>
      <c r="J1416" s="621"/>
      <c r="K1416" s="351"/>
      <c r="L1416" s="615"/>
      <c r="M1416" s="351"/>
      <c r="N1416" s="610"/>
      <c r="O1416" s="351"/>
      <c r="P1416" s="615"/>
      <c r="Q1416" s="351"/>
      <c r="R1416" s="610"/>
      <c r="S1416" s="351"/>
      <c r="T1416" s="615"/>
      <c r="U1416" s="351"/>
      <c r="V1416" s="613" t="str">
        <f>'refer admin discharge'!H1417</f>
        <v>00/00/0000</v>
      </c>
      <c r="W1416" s="351"/>
      <c r="X1416" s="616"/>
      <c r="Y1416" s="351"/>
      <c r="Z1416" s="617"/>
      <c r="AA1416" s="351"/>
      <c r="AB1416" s="616"/>
      <c r="AC1416" s="351"/>
      <c r="AD1416" s="607"/>
      <c r="AE1416" s="351"/>
      <c r="AF1416" s="616"/>
      <c r="AG1416" s="351"/>
      <c r="AH1416" s="607"/>
      <c r="AI1416" s="351"/>
      <c r="AJ1416" s="616"/>
      <c r="AK1416" s="351"/>
      <c r="AL1416" s="622"/>
      <c r="AM1416" s="350"/>
      <c r="AN1416" s="350"/>
      <c r="AO1416" s="350"/>
      <c r="AP1416" s="350"/>
      <c r="AQ1416" s="350"/>
      <c r="AR1416" s="350"/>
      <c r="AS1416" s="350"/>
      <c r="AT1416" s="350"/>
      <c r="AU1416" s="350"/>
      <c r="AV1416" s="350"/>
      <c r="AW1416" s="350"/>
      <c r="AX1416" s="350"/>
      <c r="AY1416" s="350"/>
      <c r="AZ1416" s="350"/>
      <c r="BA1416" s="350"/>
      <c r="BB1416" s="351"/>
    </row>
    <row r="1417" spans="1:54" ht="15.75" customHeight="1">
      <c r="A1417" s="25">
        <f t="shared" si="5"/>
        <v>1404</v>
      </c>
      <c r="B1417" s="599" t="str">
        <f>'refer admin discharge'!B1413</f>
        <v>x</v>
      </c>
      <c r="C1417" s="351"/>
      <c r="D1417" s="600" t="str">
        <f>'refer admin discharge'!D1413</f>
        <v>xx</v>
      </c>
      <c r="E1417" s="351"/>
      <c r="F1417" s="609" t="str">
        <f>'refer admin discharge'!H1413</f>
        <v>00/00/0000</v>
      </c>
      <c r="G1417" s="351"/>
      <c r="H1417" s="610"/>
      <c r="I1417" s="351"/>
      <c r="J1417" s="611"/>
      <c r="K1417" s="351"/>
      <c r="L1417" s="610"/>
      <c r="M1417" s="351"/>
      <c r="N1417" s="612"/>
      <c r="O1417" s="351"/>
      <c r="P1417" s="610"/>
      <c r="Q1417" s="351"/>
      <c r="R1417" s="612"/>
      <c r="S1417" s="351"/>
      <c r="T1417" s="610"/>
      <c r="U1417" s="351"/>
      <c r="V1417" s="613" t="str">
        <f>'refer admin discharge'!H1418</f>
        <v>00/00/0000</v>
      </c>
      <c r="W1417" s="351"/>
      <c r="X1417" s="607"/>
      <c r="Y1417" s="351"/>
      <c r="Z1417" s="614"/>
      <c r="AA1417" s="351"/>
      <c r="AB1417" s="607"/>
      <c r="AC1417" s="351"/>
      <c r="AD1417" s="606"/>
      <c r="AE1417" s="351"/>
      <c r="AF1417" s="607"/>
      <c r="AG1417" s="351"/>
      <c r="AH1417" s="606"/>
      <c r="AI1417" s="351"/>
      <c r="AJ1417" s="607"/>
      <c r="AK1417" s="351"/>
      <c r="AL1417" s="608"/>
      <c r="AM1417" s="350"/>
      <c r="AN1417" s="350"/>
      <c r="AO1417" s="350"/>
      <c r="AP1417" s="350"/>
      <c r="AQ1417" s="350"/>
      <c r="AR1417" s="350"/>
      <c r="AS1417" s="350"/>
      <c r="AT1417" s="350"/>
      <c r="AU1417" s="350"/>
      <c r="AV1417" s="350"/>
      <c r="AW1417" s="350"/>
      <c r="AX1417" s="350"/>
      <c r="AY1417" s="350"/>
      <c r="AZ1417" s="350"/>
      <c r="BA1417" s="350"/>
      <c r="BB1417" s="351"/>
    </row>
    <row r="1418" spans="1:54" ht="15.75" customHeight="1">
      <c r="A1418" s="25">
        <f t="shared" si="5"/>
        <v>1405</v>
      </c>
      <c r="B1418" s="618" t="str">
        <f>'refer admin discharge'!B1414</f>
        <v>x</v>
      </c>
      <c r="C1418" s="351"/>
      <c r="D1418" s="619" t="str">
        <f>'refer admin discharge'!D1414</f>
        <v>xx</v>
      </c>
      <c r="E1418" s="351"/>
      <c r="F1418" s="620" t="str">
        <f>'refer admin discharge'!H1414</f>
        <v>00/00/0000</v>
      </c>
      <c r="G1418" s="351"/>
      <c r="H1418" s="615"/>
      <c r="I1418" s="351"/>
      <c r="J1418" s="621"/>
      <c r="K1418" s="351"/>
      <c r="L1418" s="615"/>
      <c r="M1418" s="351"/>
      <c r="N1418" s="610"/>
      <c r="O1418" s="351"/>
      <c r="P1418" s="615"/>
      <c r="Q1418" s="351"/>
      <c r="R1418" s="610"/>
      <c r="S1418" s="351"/>
      <c r="T1418" s="615"/>
      <c r="U1418" s="351"/>
      <c r="V1418" s="613" t="str">
        <f>'refer admin discharge'!H1419</f>
        <v>00/00/0000</v>
      </c>
      <c r="W1418" s="351"/>
      <c r="X1418" s="616"/>
      <c r="Y1418" s="351"/>
      <c r="Z1418" s="617"/>
      <c r="AA1418" s="351"/>
      <c r="AB1418" s="616"/>
      <c r="AC1418" s="351"/>
      <c r="AD1418" s="607"/>
      <c r="AE1418" s="351"/>
      <c r="AF1418" s="616"/>
      <c r="AG1418" s="351"/>
      <c r="AH1418" s="607"/>
      <c r="AI1418" s="351"/>
      <c r="AJ1418" s="616"/>
      <c r="AK1418" s="351"/>
      <c r="AL1418" s="622"/>
      <c r="AM1418" s="350"/>
      <c r="AN1418" s="350"/>
      <c r="AO1418" s="350"/>
      <c r="AP1418" s="350"/>
      <c r="AQ1418" s="350"/>
      <c r="AR1418" s="350"/>
      <c r="AS1418" s="350"/>
      <c r="AT1418" s="350"/>
      <c r="AU1418" s="350"/>
      <c r="AV1418" s="350"/>
      <c r="AW1418" s="350"/>
      <c r="AX1418" s="350"/>
      <c r="AY1418" s="350"/>
      <c r="AZ1418" s="350"/>
      <c r="BA1418" s="350"/>
      <c r="BB1418" s="351"/>
    </row>
    <row r="1419" spans="1:54" ht="15.75" customHeight="1">
      <c r="A1419" s="25">
        <f t="shared" si="5"/>
        <v>1406</v>
      </c>
      <c r="B1419" s="599" t="str">
        <f>'refer admin discharge'!B1415</f>
        <v>x</v>
      </c>
      <c r="C1419" s="351"/>
      <c r="D1419" s="600" t="str">
        <f>'refer admin discharge'!D1415</f>
        <v>xx</v>
      </c>
      <c r="E1419" s="351"/>
      <c r="F1419" s="609" t="str">
        <f>'refer admin discharge'!H1415</f>
        <v>00/00/0000</v>
      </c>
      <c r="G1419" s="351"/>
      <c r="H1419" s="610"/>
      <c r="I1419" s="351"/>
      <c r="J1419" s="611"/>
      <c r="K1419" s="351"/>
      <c r="L1419" s="610"/>
      <c r="M1419" s="351"/>
      <c r="N1419" s="612"/>
      <c r="O1419" s="351"/>
      <c r="P1419" s="610"/>
      <c r="Q1419" s="351"/>
      <c r="R1419" s="612"/>
      <c r="S1419" s="351"/>
      <c r="T1419" s="610"/>
      <c r="U1419" s="351"/>
      <c r="V1419" s="613" t="str">
        <f>'refer admin discharge'!H1420</f>
        <v>00/00/0000</v>
      </c>
      <c r="W1419" s="351"/>
      <c r="X1419" s="607"/>
      <c r="Y1419" s="351"/>
      <c r="Z1419" s="614"/>
      <c r="AA1419" s="351"/>
      <c r="AB1419" s="607"/>
      <c r="AC1419" s="351"/>
      <c r="AD1419" s="606"/>
      <c r="AE1419" s="351"/>
      <c r="AF1419" s="607"/>
      <c r="AG1419" s="351"/>
      <c r="AH1419" s="606"/>
      <c r="AI1419" s="351"/>
      <c r="AJ1419" s="607"/>
      <c r="AK1419" s="351"/>
      <c r="AL1419" s="608"/>
      <c r="AM1419" s="350"/>
      <c r="AN1419" s="350"/>
      <c r="AO1419" s="350"/>
      <c r="AP1419" s="350"/>
      <c r="AQ1419" s="350"/>
      <c r="AR1419" s="350"/>
      <c r="AS1419" s="350"/>
      <c r="AT1419" s="350"/>
      <c r="AU1419" s="350"/>
      <c r="AV1419" s="350"/>
      <c r="AW1419" s="350"/>
      <c r="AX1419" s="350"/>
      <c r="AY1419" s="350"/>
      <c r="AZ1419" s="350"/>
      <c r="BA1419" s="350"/>
      <c r="BB1419" s="351"/>
    </row>
    <row r="1420" spans="1:54" ht="15.75" customHeight="1">
      <c r="A1420" s="25">
        <f t="shared" si="5"/>
        <v>1407</v>
      </c>
      <c r="B1420" s="618" t="str">
        <f>'refer admin discharge'!B1416</f>
        <v>x</v>
      </c>
      <c r="C1420" s="351"/>
      <c r="D1420" s="619" t="str">
        <f>'refer admin discharge'!D1416</f>
        <v>xx</v>
      </c>
      <c r="E1420" s="351"/>
      <c r="F1420" s="620" t="str">
        <f>'refer admin discharge'!H1416</f>
        <v>00/00/0000</v>
      </c>
      <c r="G1420" s="351"/>
      <c r="H1420" s="615"/>
      <c r="I1420" s="351"/>
      <c r="J1420" s="621"/>
      <c r="K1420" s="351"/>
      <c r="L1420" s="615"/>
      <c r="M1420" s="351"/>
      <c r="N1420" s="610"/>
      <c r="O1420" s="351"/>
      <c r="P1420" s="615"/>
      <c r="Q1420" s="351"/>
      <c r="R1420" s="610"/>
      <c r="S1420" s="351"/>
      <c r="T1420" s="615"/>
      <c r="U1420" s="351"/>
      <c r="V1420" s="613" t="str">
        <f>'refer admin discharge'!H1421</f>
        <v>00/00/0000</v>
      </c>
      <c r="W1420" s="351"/>
      <c r="X1420" s="616"/>
      <c r="Y1420" s="351"/>
      <c r="Z1420" s="617"/>
      <c r="AA1420" s="351"/>
      <c r="AB1420" s="616"/>
      <c r="AC1420" s="351"/>
      <c r="AD1420" s="607"/>
      <c r="AE1420" s="351"/>
      <c r="AF1420" s="616"/>
      <c r="AG1420" s="351"/>
      <c r="AH1420" s="607"/>
      <c r="AI1420" s="351"/>
      <c r="AJ1420" s="616"/>
      <c r="AK1420" s="351"/>
      <c r="AL1420" s="622"/>
      <c r="AM1420" s="350"/>
      <c r="AN1420" s="350"/>
      <c r="AO1420" s="350"/>
      <c r="AP1420" s="350"/>
      <c r="AQ1420" s="350"/>
      <c r="AR1420" s="350"/>
      <c r="AS1420" s="350"/>
      <c r="AT1420" s="350"/>
      <c r="AU1420" s="350"/>
      <c r="AV1420" s="350"/>
      <c r="AW1420" s="350"/>
      <c r="AX1420" s="350"/>
      <c r="AY1420" s="350"/>
      <c r="AZ1420" s="350"/>
      <c r="BA1420" s="350"/>
      <c r="BB1420" s="351"/>
    </row>
    <row r="1421" spans="1:54" ht="15.75" customHeight="1">
      <c r="A1421" s="25">
        <f t="shared" si="5"/>
        <v>1408</v>
      </c>
      <c r="B1421" s="599" t="str">
        <f>'refer admin discharge'!B1417</f>
        <v>x</v>
      </c>
      <c r="C1421" s="351"/>
      <c r="D1421" s="600" t="str">
        <f>'refer admin discharge'!D1417</f>
        <v>xx</v>
      </c>
      <c r="E1421" s="351"/>
      <c r="F1421" s="609" t="str">
        <f>'refer admin discharge'!H1417</f>
        <v>00/00/0000</v>
      </c>
      <c r="G1421" s="351"/>
      <c r="H1421" s="610"/>
      <c r="I1421" s="351"/>
      <c r="J1421" s="611"/>
      <c r="K1421" s="351"/>
      <c r="L1421" s="610"/>
      <c r="M1421" s="351"/>
      <c r="N1421" s="612"/>
      <c r="O1421" s="351"/>
      <c r="P1421" s="610"/>
      <c r="Q1421" s="351"/>
      <c r="R1421" s="612"/>
      <c r="S1421" s="351"/>
      <c r="T1421" s="610"/>
      <c r="U1421" s="351"/>
      <c r="V1421" s="613" t="str">
        <f>'refer admin discharge'!H1422</f>
        <v>00/00/0000</v>
      </c>
      <c r="W1421" s="351"/>
      <c r="X1421" s="607"/>
      <c r="Y1421" s="351"/>
      <c r="Z1421" s="614"/>
      <c r="AA1421" s="351"/>
      <c r="AB1421" s="607"/>
      <c r="AC1421" s="351"/>
      <c r="AD1421" s="606"/>
      <c r="AE1421" s="351"/>
      <c r="AF1421" s="607"/>
      <c r="AG1421" s="351"/>
      <c r="AH1421" s="606"/>
      <c r="AI1421" s="351"/>
      <c r="AJ1421" s="607"/>
      <c r="AK1421" s="351"/>
      <c r="AL1421" s="608"/>
      <c r="AM1421" s="350"/>
      <c r="AN1421" s="350"/>
      <c r="AO1421" s="350"/>
      <c r="AP1421" s="350"/>
      <c r="AQ1421" s="350"/>
      <c r="AR1421" s="350"/>
      <c r="AS1421" s="350"/>
      <c r="AT1421" s="350"/>
      <c r="AU1421" s="350"/>
      <c r="AV1421" s="350"/>
      <c r="AW1421" s="350"/>
      <c r="AX1421" s="350"/>
      <c r="AY1421" s="350"/>
      <c r="AZ1421" s="350"/>
      <c r="BA1421" s="350"/>
      <c r="BB1421" s="351"/>
    </row>
    <row r="1422" spans="1:54" ht="15.75" customHeight="1">
      <c r="A1422" s="25">
        <f t="shared" si="5"/>
        <v>1409</v>
      </c>
      <c r="B1422" s="618" t="str">
        <f>'refer admin discharge'!B1418</f>
        <v>x</v>
      </c>
      <c r="C1422" s="351"/>
      <c r="D1422" s="619" t="str">
        <f>'refer admin discharge'!D1418</f>
        <v>xx</v>
      </c>
      <c r="E1422" s="351"/>
      <c r="F1422" s="620" t="str">
        <f>'refer admin discharge'!H1418</f>
        <v>00/00/0000</v>
      </c>
      <c r="G1422" s="351"/>
      <c r="H1422" s="615"/>
      <c r="I1422" s="351"/>
      <c r="J1422" s="621"/>
      <c r="K1422" s="351"/>
      <c r="L1422" s="615"/>
      <c r="M1422" s="351"/>
      <c r="N1422" s="610"/>
      <c r="O1422" s="351"/>
      <c r="P1422" s="615"/>
      <c r="Q1422" s="351"/>
      <c r="R1422" s="610"/>
      <c r="S1422" s="351"/>
      <c r="T1422" s="615"/>
      <c r="U1422" s="351"/>
      <c r="V1422" s="613" t="str">
        <f>'refer admin discharge'!H1423</f>
        <v>00/00/0000</v>
      </c>
      <c r="W1422" s="351"/>
      <c r="X1422" s="616"/>
      <c r="Y1422" s="351"/>
      <c r="Z1422" s="617"/>
      <c r="AA1422" s="351"/>
      <c r="AB1422" s="616"/>
      <c r="AC1422" s="351"/>
      <c r="AD1422" s="607"/>
      <c r="AE1422" s="351"/>
      <c r="AF1422" s="616"/>
      <c r="AG1422" s="351"/>
      <c r="AH1422" s="607"/>
      <c r="AI1422" s="351"/>
      <c r="AJ1422" s="616"/>
      <c r="AK1422" s="351"/>
      <c r="AL1422" s="622"/>
      <c r="AM1422" s="350"/>
      <c r="AN1422" s="350"/>
      <c r="AO1422" s="350"/>
      <c r="AP1422" s="350"/>
      <c r="AQ1422" s="350"/>
      <c r="AR1422" s="350"/>
      <c r="AS1422" s="350"/>
      <c r="AT1422" s="350"/>
      <c r="AU1422" s="350"/>
      <c r="AV1422" s="350"/>
      <c r="AW1422" s="350"/>
      <c r="AX1422" s="350"/>
      <c r="AY1422" s="350"/>
      <c r="AZ1422" s="350"/>
      <c r="BA1422" s="350"/>
      <c r="BB1422" s="351"/>
    </row>
    <row r="1423" spans="1:54" ht="15.75" customHeight="1">
      <c r="A1423" s="25">
        <f t="shared" si="5"/>
        <v>1410</v>
      </c>
      <c r="B1423" s="599" t="str">
        <f>'refer admin discharge'!B1419</f>
        <v>x</v>
      </c>
      <c r="C1423" s="351"/>
      <c r="D1423" s="600" t="str">
        <f>'refer admin discharge'!D1419</f>
        <v>xx</v>
      </c>
      <c r="E1423" s="351"/>
      <c r="F1423" s="609" t="str">
        <f>'refer admin discharge'!H1419</f>
        <v>00/00/0000</v>
      </c>
      <c r="G1423" s="351"/>
      <c r="H1423" s="610"/>
      <c r="I1423" s="351"/>
      <c r="J1423" s="611"/>
      <c r="K1423" s="351"/>
      <c r="L1423" s="610"/>
      <c r="M1423" s="351"/>
      <c r="N1423" s="612"/>
      <c r="O1423" s="351"/>
      <c r="P1423" s="610"/>
      <c r="Q1423" s="351"/>
      <c r="R1423" s="612"/>
      <c r="S1423" s="351"/>
      <c r="T1423" s="610"/>
      <c r="U1423" s="351"/>
      <c r="V1423" s="613" t="str">
        <f>'refer admin discharge'!H1424</f>
        <v>00/00/0000</v>
      </c>
      <c r="W1423" s="351"/>
      <c r="X1423" s="607"/>
      <c r="Y1423" s="351"/>
      <c r="Z1423" s="614"/>
      <c r="AA1423" s="351"/>
      <c r="AB1423" s="607"/>
      <c r="AC1423" s="351"/>
      <c r="AD1423" s="606"/>
      <c r="AE1423" s="351"/>
      <c r="AF1423" s="607"/>
      <c r="AG1423" s="351"/>
      <c r="AH1423" s="606"/>
      <c r="AI1423" s="351"/>
      <c r="AJ1423" s="607"/>
      <c r="AK1423" s="351"/>
      <c r="AL1423" s="608"/>
      <c r="AM1423" s="350"/>
      <c r="AN1423" s="350"/>
      <c r="AO1423" s="350"/>
      <c r="AP1423" s="350"/>
      <c r="AQ1423" s="350"/>
      <c r="AR1423" s="350"/>
      <c r="AS1423" s="350"/>
      <c r="AT1423" s="350"/>
      <c r="AU1423" s="350"/>
      <c r="AV1423" s="350"/>
      <c r="AW1423" s="350"/>
      <c r="AX1423" s="350"/>
      <c r="AY1423" s="350"/>
      <c r="AZ1423" s="350"/>
      <c r="BA1423" s="350"/>
      <c r="BB1423" s="351"/>
    </row>
    <row r="1424" spans="1:54" ht="15.75" customHeight="1">
      <c r="A1424" s="25">
        <f t="shared" si="5"/>
        <v>1411</v>
      </c>
      <c r="B1424" s="618" t="str">
        <f>'refer admin discharge'!B1420</f>
        <v>x</v>
      </c>
      <c r="C1424" s="351"/>
      <c r="D1424" s="619" t="str">
        <f>'refer admin discharge'!D1420</f>
        <v>xx</v>
      </c>
      <c r="E1424" s="351"/>
      <c r="F1424" s="620" t="str">
        <f>'refer admin discharge'!H1420</f>
        <v>00/00/0000</v>
      </c>
      <c r="G1424" s="351"/>
      <c r="H1424" s="615"/>
      <c r="I1424" s="351"/>
      <c r="J1424" s="621"/>
      <c r="K1424" s="351"/>
      <c r="L1424" s="615"/>
      <c r="M1424" s="351"/>
      <c r="N1424" s="610"/>
      <c r="O1424" s="351"/>
      <c r="P1424" s="615"/>
      <c r="Q1424" s="351"/>
      <c r="R1424" s="610"/>
      <c r="S1424" s="351"/>
      <c r="T1424" s="615"/>
      <c r="U1424" s="351"/>
      <c r="V1424" s="613" t="str">
        <f>'refer admin discharge'!H1425</f>
        <v>00/00/0000</v>
      </c>
      <c r="W1424" s="351"/>
      <c r="X1424" s="616"/>
      <c r="Y1424" s="351"/>
      <c r="Z1424" s="617"/>
      <c r="AA1424" s="351"/>
      <c r="AB1424" s="616"/>
      <c r="AC1424" s="351"/>
      <c r="AD1424" s="607"/>
      <c r="AE1424" s="351"/>
      <c r="AF1424" s="616"/>
      <c r="AG1424" s="351"/>
      <c r="AH1424" s="607"/>
      <c r="AI1424" s="351"/>
      <c r="AJ1424" s="616"/>
      <c r="AK1424" s="351"/>
      <c r="AL1424" s="622"/>
      <c r="AM1424" s="350"/>
      <c r="AN1424" s="350"/>
      <c r="AO1424" s="350"/>
      <c r="AP1424" s="350"/>
      <c r="AQ1424" s="350"/>
      <c r="AR1424" s="350"/>
      <c r="AS1424" s="350"/>
      <c r="AT1424" s="350"/>
      <c r="AU1424" s="350"/>
      <c r="AV1424" s="350"/>
      <c r="AW1424" s="350"/>
      <c r="AX1424" s="350"/>
      <c r="AY1424" s="350"/>
      <c r="AZ1424" s="350"/>
      <c r="BA1424" s="350"/>
      <c r="BB1424" s="351"/>
    </row>
    <row r="1425" spans="1:54" ht="15.75" customHeight="1">
      <c r="A1425" s="25">
        <f t="shared" si="5"/>
        <v>1412</v>
      </c>
      <c r="B1425" s="599" t="str">
        <f>'refer admin discharge'!B1421</f>
        <v>x</v>
      </c>
      <c r="C1425" s="351"/>
      <c r="D1425" s="600" t="str">
        <f>'refer admin discharge'!D1421</f>
        <v>xx</v>
      </c>
      <c r="E1425" s="351"/>
      <c r="F1425" s="609" t="str">
        <f>'refer admin discharge'!H1421</f>
        <v>00/00/0000</v>
      </c>
      <c r="G1425" s="351"/>
      <c r="H1425" s="610"/>
      <c r="I1425" s="351"/>
      <c r="J1425" s="611"/>
      <c r="K1425" s="351"/>
      <c r="L1425" s="610"/>
      <c r="M1425" s="351"/>
      <c r="N1425" s="612"/>
      <c r="O1425" s="351"/>
      <c r="P1425" s="610"/>
      <c r="Q1425" s="351"/>
      <c r="R1425" s="612"/>
      <c r="S1425" s="351"/>
      <c r="T1425" s="610"/>
      <c r="U1425" s="351"/>
      <c r="V1425" s="613" t="str">
        <f>'refer admin discharge'!H1426</f>
        <v>00/00/0000</v>
      </c>
      <c r="W1425" s="351"/>
      <c r="X1425" s="607"/>
      <c r="Y1425" s="351"/>
      <c r="Z1425" s="614"/>
      <c r="AA1425" s="351"/>
      <c r="AB1425" s="607"/>
      <c r="AC1425" s="351"/>
      <c r="AD1425" s="606"/>
      <c r="AE1425" s="351"/>
      <c r="AF1425" s="607"/>
      <c r="AG1425" s="351"/>
      <c r="AH1425" s="606"/>
      <c r="AI1425" s="351"/>
      <c r="AJ1425" s="607"/>
      <c r="AK1425" s="351"/>
      <c r="AL1425" s="608"/>
      <c r="AM1425" s="350"/>
      <c r="AN1425" s="350"/>
      <c r="AO1425" s="350"/>
      <c r="AP1425" s="350"/>
      <c r="AQ1425" s="350"/>
      <c r="AR1425" s="350"/>
      <c r="AS1425" s="350"/>
      <c r="AT1425" s="350"/>
      <c r="AU1425" s="350"/>
      <c r="AV1425" s="350"/>
      <c r="AW1425" s="350"/>
      <c r="AX1425" s="350"/>
      <c r="AY1425" s="350"/>
      <c r="AZ1425" s="350"/>
      <c r="BA1425" s="350"/>
      <c r="BB1425" s="351"/>
    </row>
    <row r="1426" spans="1:54" ht="15.75" customHeight="1">
      <c r="A1426" s="25">
        <f t="shared" si="5"/>
        <v>1413</v>
      </c>
      <c r="B1426" s="618" t="str">
        <f>'refer admin discharge'!B1422</f>
        <v>x</v>
      </c>
      <c r="C1426" s="351"/>
      <c r="D1426" s="619" t="str">
        <f>'refer admin discharge'!D1422</f>
        <v>xx</v>
      </c>
      <c r="E1426" s="351"/>
      <c r="F1426" s="620" t="str">
        <f>'refer admin discharge'!H1422</f>
        <v>00/00/0000</v>
      </c>
      <c r="G1426" s="351"/>
      <c r="H1426" s="615"/>
      <c r="I1426" s="351"/>
      <c r="J1426" s="621"/>
      <c r="K1426" s="351"/>
      <c r="L1426" s="615"/>
      <c r="M1426" s="351"/>
      <c r="N1426" s="610"/>
      <c r="O1426" s="351"/>
      <c r="P1426" s="615"/>
      <c r="Q1426" s="351"/>
      <c r="R1426" s="610"/>
      <c r="S1426" s="351"/>
      <c r="T1426" s="615"/>
      <c r="U1426" s="351"/>
      <c r="V1426" s="613" t="str">
        <f>'refer admin discharge'!H1427</f>
        <v>00/00/0000</v>
      </c>
      <c r="W1426" s="351"/>
      <c r="X1426" s="616"/>
      <c r="Y1426" s="351"/>
      <c r="Z1426" s="617"/>
      <c r="AA1426" s="351"/>
      <c r="AB1426" s="616"/>
      <c r="AC1426" s="351"/>
      <c r="AD1426" s="607"/>
      <c r="AE1426" s="351"/>
      <c r="AF1426" s="616"/>
      <c r="AG1426" s="351"/>
      <c r="AH1426" s="607"/>
      <c r="AI1426" s="351"/>
      <c r="AJ1426" s="616"/>
      <c r="AK1426" s="351"/>
      <c r="AL1426" s="622"/>
      <c r="AM1426" s="350"/>
      <c r="AN1426" s="350"/>
      <c r="AO1426" s="350"/>
      <c r="AP1426" s="350"/>
      <c r="AQ1426" s="350"/>
      <c r="AR1426" s="350"/>
      <c r="AS1426" s="350"/>
      <c r="AT1426" s="350"/>
      <c r="AU1426" s="350"/>
      <c r="AV1426" s="350"/>
      <c r="AW1426" s="350"/>
      <c r="AX1426" s="350"/>
      <c r="AY1426" s="350"/>
      <c r="AZ1426" s="350"/>
      <c r="BA1426" s="350"/>
      <c r="BB1426" s="351"/>
    </row>
    <row r="1427" spans="1:54" ht="15.75" customHeight="1">
      <c r="A1427" s="25">
        <f t="shared" si="5"/>
        <v>1414</v>
      </c>
      <c r="B1427" s="599" t="str">
        <f>'refer admin discharge'!B1423</f>
        <v>x</v>
      </c>
      <c r="C1427" s="351"/>
      <c r="D1427" s="600" t="str">
        <f>'refer admin discharge'!D1423</f>
        <v>xx</v>
      </c>
      <c r="E1427" s="351"/>
      <c r="F1427" s="609" t="str">
        <f>'refer admin discharge'!H1423</f>
        <v>00/00/0000</v>
      </c>
      <c r="G1427" s="351"/>
      <c r="H1427" s="610"/>
      <c r="I1427" s="351"/>
      <c r="J1427" s="611"/>
      <c r="K1427" s="351"/>
      <c r="L1427" s="610"/>
      <c r="M1427" s="351"/>
      <c r="N1427" s="612"/>
      <c r="O1427" s="351"/>
      <c r="P1427" s="610"/>
      <c r="Q1427" s="351"/>
      <c r="R1427" s="612"/>
      <c r="S1427" s="351"/>
      <c r="T1427" s="610"/>
      <c r="U1427" s="351"/>
      <c r="V1427" s="613" t="str">
        <f>'refer admin discharge'!H1428</f>
        <v>00/00/0000</v>
      </c>
      <c r="W1427" s="351"/>
      <c r="X1427" s="607"/>
      <c r="Y1427" s="351"/>
      <c r="Z1427" s="614"/>
      <c r="AA1427" s="351"/>
      <c r="AB1427" s="607"/>
      <c r="AC1427" s="351"/>
      <c r="AD1427" s="606"/>
      <c r="AE1427" s="351"/>
      <c r="AF1427" s="607"/>
      <c r="AG1427" s="351"/>
      <c r="AH1427" s="606"/>
      <c r="AI1427" s="351"/>
      <c r="AJ1427" s="607"/>
      <c r="AK1427" s="351"/>
      <c r="AL1427" s="608"/>
      <c r="AM1427" s="350"/>
      <c r="AN1427" s="350"/>
      <c r="AO1427" s="350"/>
      <c r="AP1427" s="350"/>
      <c r="AQ1427" s="350"/>
      <c r="AR1427" s="350"/>
      <c r="AS1427" s="350"/>
      <c r="AT1427" s="350"/>
      <c r="AU1427" s="350"/>
      <c r="AV1427" s="350"/>
      <c r="AW1427" s="350"/>
      <c r="AX1427" s="350"/>
      <c r="AY1427" s="350"/>
      <c r="AZ1427" s="350"/>
      <c r="BA1427" s="350"/>
      <c r="BB1427" s="351"/>
    </row>
    <row r="1428" spans="1:54" ht="15.75" customHeight="1">
      <c r="A1428" s="25">
        <f t="shared" si="5"/>
        <v>1415</v>
      </c>
      <c r="B1428" s="618" t="str">
        <f>'refer admin discharge'!B1424</f>
        <v>x</v>
      </c>
      <c r="C1428" s="351"/>
      <c r="D1428" s="619" t="str">
        <f>'refer admin discharge'!D1424</f>
        <v>xx</v>
      </c>
      <c r="E1428" s="351"/>
      <c r="F1428" s="620" t="str">
        <f>'refer admin discharge'!H1424</f>
        <v>00/00/0000</v>
      </c>
      <c r="G1428" s="351"/>
      <c r="H1428" s="615"/>
      <c r="I1428" s="351"/>
      <c r="J1428" s="621"/>
      <c r="K1428" s="351"/>
      <c r="L1428" s="615"/>
      <c r="M1428" s="351"/>
      <c r="N1428" s="610"/>
      <c r="O1428" s="351"/>
      <c r="P1428" s="615"/>
      <c r="Q1428" s="351"/>
      <c r="R1428" s="610"/>
      <c r="S1428" s="351"/>
      <c r="T1428" s="615"/>
      <c r="U1428" s="351"/>
      <c r="V1428" s="613" t="str">
        <f>'refer admin discharge'!H1429</f>
        <v>00/00/0000</v>
      </c>
      <c r="W1428" s="351"/>
      <c r="X1428" s="616"/>
      <c r="Y1428" s="351"/>
      <c r="Z1428" s="617"/>
      <c r="AA1428" s="351"/>
      <c r="AB1428" s="616"/>
      <c r="AC1428" s="351"/>
      <c r="AD1428" s="607"/>
      <c r="AE1428" s="351"/>
      <c r="AF1428" s="616"/>
      <c r="AG1428" s="351"/>
      <c r="AH1428" s="607"/>
      <c r="AI1428" s="351"/>
      <c r="AJ1428" s="616"/>
      <c r="AK1428" s="351"/>
      <c r="AL1428" s="622"/>
      <c r="AM1428" s="350"/>
      <c r="AN1428" s="350"/>
      <c r="AO1428" s="350"/>
      <c r="AP1428" s="350"/>
      <c r="AQ1428" s="350"/>
      <c r="AR1428" s="350"/>
      <c r="AS1428" s="350"/>
      <c r="AT1428" s="350"/>
      <c r="AU1428" s="350"/>
      <c r="AV1428" s="350"/>
      <c r="AW1428" s="350"/>
      <c r="AX1428" s="350"/>
      <c r="AY1428" s="350"/>
      <c r="AZ1428" s="350"/>
      <c r="BA1428" s="350"/>
      <c r="BB1428" s="351"/>
    </row>
    <row r="1429" spans="1:54" ht="15.75" customHeight="1">
      <c r="A1429" s="25">
        <f t="shared" si="5"/>
        <v>1416</v>
      </c>
      <c r="B1429" s="599" t="str">
        <f>'refer admin discharge'!B1425</f>
        <v>x</v>
      </c>
      <c r="C1429" s="351"/>
      <c r="D1429" s="600" t="str">
        <f>'refer admin discharge'!D1425</f>
        <v>xx</v>
      </c>
      <c r="E1429" s="351"/>
      <c r="F1429" s="609" t="str">
        <f>'refer admin discharge'!H1425</f>
        <v>00/00/0000</v>
      </c>
      <c r="G1429" s="351"/>
      <c r="H1429" s="610"/>
      <c r="I1429" s="351"/>
      <c r="J1429" s="611"/>
      <c r="K1429" s="351"/>
      <c r="L1429" s="610"/>
      <c r="M1429" s="351"/>
      <c r="N1429" s="612"/>
      <c r="O1429" s="351"/>
      <c r="P1429" s="610"/>
      <c r="Q1429" s="351"/>
      <c r="R1429" s="612"/>
      <c r="S1429" s="351"/>
      <c r="T1429" s="610"/>
      <c r="U1429" s="351"/>
      <c r="V1429" s="613" t="str">
        <f>'refer admin discharge'!H1430</f>
        <v>00/00/0000</v>
      </c>
      <c r="W1429" s="351"/>
      <c r="X1429" s="607"/>
      <c r="Y1429" s="351"/>
      <c r="Z1429" s="614"/>
      <c r="AA1429" s="351"/>
      <c r="AB1429" s="607"/>
      <c r="AC1429" s="351"/>
      <c r="AD1429" s="606"/>
      <c r="AE1429" s="351"/>
      <c r="AF1429" s="607"/>
      <c r="AG1429" s="351"/>
      <c r="AH1429" s="606"/>
      <c r="AI1429" s="351"/>
      <c r="AJ1429" s="607"/>
      <c r="AK1429" s="351"/>
      <c r="AL1429" s="608"/>
      <c r="AM1429" s="350"/>
      <c r="AN1429" s="350"/>
      <c r="AO1429" s="350"/>
      <c r="AP1429" s="350"/>
      <c r="AQ1429" s="350"/>
      <c r="AR1429" s="350"/>
      <c r="AS1429" s="350"/>
      <c r="AT1429" s="350"/>
      <c r="AU1429" s="350"/>
      <c r="AV1429" s="350"/>
      <c r="AW1429" s="350"/>
      <c r="AX1429" s="350"/>
      <c r="AY1429" s="350"/>
      <c r="AZ1429" s="350"/>
      <c r="BA1429" s="350"/>
      <c r="BB1429" s="351"/>
    </row>
    <row r="1430" spans="1:54" ht="15.75" customHeight="1">
      <c r="A1430" s="25">
        <f t="shared" si="5"/>
        <v>1417</v>
      </c>
      <c r="B1430" s="618" t="str">
        <f>'refer admin discharge'!B1426</f>
        <v>x</v>
      </c>
      <c r="C1430" s="351"/>
      <c r="D1430" s="619" t="str">
        <f>'refer admin discharge'!D1426</f>
        <v>xx</v>
      </c>
      <c r="E1430" s="351"/>
      <c r="F1430" s="620" t="str">
        <f>'refer admin discharge'!H1426</f>
        <v>00/00/0000</v>
      </c>
      <c r="G1430" s="351"/>
      <c r="H1430" s="615"/>
      <c r="I1430" s="351"/>
      <c r="J1430" s="621"/>
      <c r="K1430" s="351"/>
      <c r="L1430" s="615"/>
      <c r="M1430" s="351"/>
      <c r="N1430" s="610"/>
      <c r="O1430" s="351"/>
      <c r="P1430" s="615"/>
      <c r="Q1430" s="351"/>
      <c r="R1430" s="610"/>
      <c r="S1430" s="351"/>
      <c r="T1430" s="615"/>
      <c r="U1430" s="351"/>
      <c r="V1430" s="613" t="str">
        <f>'refer admin discharge'!H1431</f>
        <v>00/00/0000</v>
      </c>
      <c r="W1430" s="351"/>
      <c r="X1430" s="616"/>
      <c r="Y1430" s="351"/>
      <c r="Z1430" s="617"/>
      <c r="AA1430" s="351"/>
      <c r="AB1430" s="616"/>
      <c r="AC1430" s="351"/>
      <c r="AD1430" s="607"/>
      <c r="AE1430" s="351"/>
      <c r="AF1430" s="616"/>
      <c r="AG1430" s="351"/>
      <c r="AH1430" s="607"/>
      <c r="AI1430" s="351"/>
      <c r="AJ1430" s="616"/>
      <c r="AK1430" s="351"/>
      <c r="AL1430" s="622"/>
      <c r="AM1430" s="350"/>
      <c r="AN1430" s="350"/>
      <c r="AO1430" s="350"/>
      <c r="AP1430" s="350"/>
      <c r="AQ1430" s="350"/>
      <c r="AR1430" s="350"/>
      <c r="AS1430" s="350"/>
      <c r="AT1430" s="350"/>
      <c r="AU1430" s="350"/>
      <c r="AV1430" s="350"/>
      <c r="AW1430" s="350"/>
      <c r="AX1430" s="350"/>
      <c r="AY1430" s="350"/>
      <c r="AZ1430" s="350"/>
      <c r="BA1430" s="350"/>
      <c r="BB1430" s="351"/>
    </row>
    <row r="1431" spans="1:54" ht="15.75" customHeight="1">
      <c r="A1431" s="25">
        <f t="shared" si="5"/>
        <v>1418</v>
      </c>
      <c r="B1431" s="599" t="str">
        <f>'refer admin discharge'!B1427</f>
        <v>x</v>
      </c>
      <c r="C1431" s="351"/>
      <c r="D1431" s="600" t="str">
        <f>'refer admin discharge'!D1427</f>
        <v>xx</v>
      </c>
      <c r="E1431" s="351"/>
      <c r="F1431" s="609" t="str">
        <f>'refer admin discharge'!H1427</f>
        <v>00/00/0000</v>
      </c>
      <c r="G1431" s="351"/>
      <c r="H1431" s="610"/>
      <c r="I1431" s="351"/>
      <c r="J1431" s="611"/>
      <c r="K1431" s="351"/>
      <c r="L1431" s="610"/>
      <c r="M1431" s="351"/>
      <c r="N1431" s="612"/>
      <c r="O1431" s="351"/>
      <c r="P1431" s="610"/>
      <c r="Q1431" s="351"/>
      <c r="R1431" s="612"/>
      <c r="S1431" s="351"/>
      <c r="T1431" s="610"/>
      <c r="U1431" s="351"/>
      <c r="V1431" s="613" t="str">
        <f>'refer admin discharge'!H1432</f>
        <v>00/00/0000</v>
      </c>
      <c r="W1431" s="351"/>
      <c r="X1431" s="607"/>
      <c r="Y1431" s="351"/>
      <c r="Z1431" s="614"/>
      <c r="AA1431" s="351"/>
      <c r="AB1431" s="607"/>
      <c r="AC1431" s="351"/>
      <c r="AD1431" s="606"/>
      <c r="AE1431" s="351"/>
      <c r="AF1431" s="607"/>
      <c r="AG1431" s="351"/>
      <c r="AH1431" s="606"/>
      <c r="AI1431" s="351"/>
      <c r="AJ1431" s="607"/>
      <c r="AK1431" s="351"/>
      <c r="AL1431" s="608"/>
      <c r="AM1431" s="350"/>
      <c r="AN1431" s="350"/>
      <c r="AO1431" s="350"/>
      <c r="AP1431" s="350"/>
      <c r="AQ1431" s="350"/>
      <c r="AR1431" s="350"/>
      <c r="AS1431" s="350"/>
      <c r="AT1431" s="350"/>
      <c r="AU1431" s="350"/>
      <c r="AV1431" s="350"/>
      <c r="AW1431" s="350"/>
      <c r="AX1431" s="350"/>
      <c r="AY1431" s="350"/>
      <c r="AZ1431" s="350"/>
      <c r="BA1431" s="350"/>
      <c r="BB1431" s="351"/>
    </row>
    <row r="1432" spans="1:54" ht="15.75" customHeight="1">
      <c r="A1432" s="25">
        <f t="shared" si="5"/>
        <v>1419</v>
      </c>
      <c r="B1432" s="618" t="str">
        <f>'refer admin discharge'!B1428</f>
        <v>x</v>
      </c>
      <c r="C1432" s="351"/>
      <c r="D1432" s="619" t="str">
        <f>'refer admin discharge'!D1428</f>
        <v>xx</v>
      </c>
      <c r="E1432" s="351"/>
      <c r="F1432" s="620" t="str">
        <f>'refer admin discharge'!H1428</f>
        <v>00/00/0000</v>
      </c>
      <c r="G1432" s="351"/>
      <c r="H1432" s="615"/>
      <c r="I1432" s="351"/>
      <c r="J1432" s="621"/>
      <c r="K1432" s="351"/>
      <c r="L1432" s="615"/>
      <c r="M1432" s="351"/>
      <c r="N1432" s="610"/>
      <c r="O1432" s="351"/>
      <c r="P1432" s="615"/>
      <c r="Q1432" s="351"/>
      <c r="R1432" s="610"/>
      <c r="S1432" s="351"/>
      <c r="T1432" s="615"/>
      <c r="U1432" s="351"/>
      <c r="V1432" s="613" t="str">
        <f>'refer admin discharge'!H1433</f>
        <v>00/00/0000</v>
      </c>
      <c r="W1432" s="351"/>
      <c r="X1432" s="616"/>
      <c r="Y1432" s="351"/>
      <c r="Z1432" s="617"/>
      <c r="AA1432" s="351"/>
      <c r="AB1432" s="616"/>
      <c r="AC1432" s="351"/>
      <c r="AD1432" s="607"/>
      <c r="AE1432" s="351"/>
      <c r="AF1432" s="616"/>
      <c r="AG1432" s="351"/>
      <c r="AH1432" s="607"/>
      <c r="AI1432" s="351"/>
      <c r="AJ1432" s="616"/>
      <c r="AK1432" s="351"/>
      <c r="AL1432" s="622"/>
      <c r="AM1432" s="350"/>
      <c r="AN1432" s="350"/>
      <c r="AO1432" s="350"/>
      <c r="AP1432" s="350"/>
      <c r="AQ1432" s="350"/>
      <c r="AR1432" s="350"/>
      <c r="AS1432" s="350"/>
      <c r="AT1432" s="350"/>
      <c r="AU1432" s="350"/>
      <c r="AV1432" s="350"/>
      <c r="AW1432" s="350"/>
      <c r="AX1432" s="350"/>
      <c r="AY1432" s="350"/>
      <c r="AZ1432" s="350"/>
      <c r="BA1432" s="350"/>
      <c r="BB1432" s="351"/>
    </row>
    <row r="1433" spans="1:54" ht="15.75" customHeight="1">
      <c r="A1433" s="25">
        <f t="shared" si="5"/>
        <v>1420</v>
      </c>
      <c r="B1433" s="599" t="str">
        <f>'refer admin discharge'!B1429</f>
        <v>x</v>
      </c>
      <c r="C1433" s="351"/>
      <c r="D1433" s="600" t="str">
        <f>'refer admin discharge'!D1429</f>
        <v>xx</v>
      </c>
      <c r="E1433" s="351"/>
      <c r="F1433" s="609" t="str">
        <f>'refer admin discharge'!H1429</f>
        <v>00/00/0000</v>
      </c>
      <c r="G1433" s="351"/>
      <c r="H1433" s="610"/>
      <c r="I1433" s="351"/>
      <c r="J1433" s="611"/>
      <c r="K1433" s="351"/>
      <c r="L1433" s="610"/>
      <c r="M1433" s="351"/>
      <c r="N1433" s="612"/>
      <c r="O1433" s="351"/>
      <c r="P1433" s="610"/>
      <c r="Q1433" s="351"/>
      <c r="R1433" s="612"/>
      <c r="S1433" s="351"/>
      <c r="T1433" s="610"/>
      <c r="U1433" s="351"/>
      <c r="V1433" s="613" t="str">
        <f>'refer admin discharge'!H1434</f>
        <v>00/00/0000</v>
      </c>
      <c r="W1433" s="351"/>
      <c r="X1433" s="607"/>
      <c r="Y1433" s="351"/>
      <c r="Z1433" s="614"/>
      <c r="AA1433" s="351"/>
      <c r="AB1433" s="607"/>
      <c r="AC1433" s="351"/>
      <c r="AD1433" s="606"/>
      <c r="AE1433" s="351"/>
      <c r="AF1433" s="607"/>
      <c r="AG1433" s="351"/>
      <c r="AH1433" s="606"/>
      <c r="AI1433" s="351"/>
      <c r="AJ1433" s="607"/>
      <c r="AK1433" s="351"/>
      <c r="AL1433" s="608"/>
      <c r="AM1433" s="350"/>
      <c r="AN1433" s="350"/>
      <c r="AO1433" s="350"/>
      <c r="AP1433" s="350"/>
      <c r="AQ1433" s="350"/>
      <c r="AR1433" s="350"/>
      <c r="AS1433" s="350"/>
      <c r="AT1433" s="350"/>
      <c r="AU1433" s="350"/>
      <c r="AV1433" s="350"/>
      <c r="AW1433" s="350"/>
      <c r="AX1433" s="350"/>
      <c r="AY1433" s="350"/>
      <c r="AZ1433" s="350"/>
      <c r="BA1433" s="350"/>
      <c r="BB1433" s="351"/>
    </row>
    <row r="1434" spans="1:54" ht="15.75" customHeight="1">
      <c r="A1434" s="25">
        <f t="shared" si="5"/>
        <v>1421</v>
      </c>
      <c r="B1434" s="618" t="str">
        <f>'refer admin discharge'!B1430</f>
        <v>x</v>
      </c>
      <c r="C1434" s="351"/>
      <c r="D1434" s="619" t="str">
        <f>'refer admin discharge'!D1430</f>
        <v>xx</v>
      </c>
      <c r="E1434" s="351"/>
      <c r="F1434" s="620" t="str">
        <f>'refer admin discharge'!H1430</f>
        <v>00/00/0000</v>
      </c>
      <c r="G1434" s="351"/>
      <c r="H1434" s="615"/>
      <c r="I1434" s="351"/>
      <c r="J1434" s="621"/>
      <c r="K1434" s="351"/>
      <c r="L1434" s="615"/>
      <c r="M1434" s="351"/>
      <c r="N1434" s="610"/>
      <c r="O1434" s="351"/>
      <c r="P1434" s="615"/>
      <c r="Q1434" s="351"/>
      <c r="R1434" s="610"/>
      <c r="S1434" s="351"/>
      <c r="T1434" s="615"/>
      <c r="U1434" s="351"/>
      <c r="V1434" s="613" t="str">
        <f>'refer admin discharge'!H1435</f>
        <v>00/00/0000</v>
      </c>
      <c r="W1434" s="351"/>
      <c r="X1434" s="616"/>
      <c r="Y1434" s="351"/>
      <c r="Z1434" s="617"/>
      <c r="AA1434" s="351"/>
      <c r="AB1434" s="616"/>
      <c r="AC1434" s="351"/>
      <c r="AD1434" s="607"/>
      <c r="AE1434" s="351"/>
      <c r="AF1434" s="616"/>
      <c r="AG1434" s="351"/>
      <c r="AH1434" s="607"/>
      <c r="AI1434" s="351"/>
      <c r="AJ1434" s="616"/>
      <c r="AK1434" s="351"/>
      <c r="AL1434" s="622"/>
      <c r="AM1434" s="350"/>
      <c r="AN1434" s="350"/>
      <c r="AO1434" s="350"/>
      <c r="AP1434" s="350"/>
      <c r="AQ1434" s="350"/>
      <c r="AR1434" s="350"/>
      <c r="AS1434" s="350"/>
      <c r="AT1434" s="350"/>
      <c r="AU1434" s="350"/>
      <c r="AV1434" s="350"/>
      <c r="AW1434" s="350"/>
      <c r="AX1434" s="350"/>
      <c r="AY1434" s="350"/>
      <c r="AZ1434" s="350"/>
      <c r="BA1434" s="350"/>
      <c r="BB1434" s="351"/>
    </row>
    <row r="1435" spans="1:54" ht="15.75" customHeight="1">
      <c r="A1435" s="25">
        <f t="shared" si="5"/>
        <v>1422</v>
      </c>
      <c r="B1435" s="599" t="str">
        <f>'refer admin discharge'!B1431</f>
        <v>x</v>
      </c>
      <c r="C1435" s="351"/>
      <c r="D1435" s="600" t="str">
        <f>'refer admin discharge'!D1431</f>
        <v>xx</v>
      </c>
      <c r="E1435" s="351"/>
      <c r="F1435" s="609" t="str">
        <f>'refer admin discharge'!H1431</f>
        <v>00/00/0000</v>
      </c>
      <c r="G1435" s="351"/>
      <c r="H1435" s="610"/>
      <c r="I1435" s="351"/>
      <c r="J1435" s="611"/>
      <c r="K1435" s="351"/>
      <c r="L1435" s="610"/>
      <c r="M1435" s="351"/>
      <c r="N1435" s="612"/>
      <c r="O1435" s="351"/>
      <c r="P1435" s="610"/>
      <c r="Q1435" s="351"/>
      <c r="R1435" s="612"/>
      <c r="S1435" s="351"/>
      <c r="T1435" s="610"/>
      <c r="U1435" s="351"/>
      <c r="V1435" s="613" t="str">
        <f>'refer admin discharge'!H1436</f>
        <v>00/00/0000</v>
      </c>
      <c r="W1435" s="351"/>
      <c r="X1435" s="607"/>
      <c r="Y1435" s="351"/>
      <c r="Z1435" s="614"/>
      <c r="AA1435" s="351"/>
      <c r="AB1435" s="607"/>
      <c r="AC1435" s="351"/>
      <c r="AD1435" s="606"/>
      <c r="AE1435" s="351"/>
      <c r="AF1435" s="607"/>
      <c r="AG1435" s="351"/>
      <c r="AH1435" s="606"/>
      <c r="AI1435" s="351"/>
      <c r="AJ1435" s="607"/>
      <c r="AK1435" s="351"/>
      <c r="AL1435" s="608"/>
      <c r="AM1435" s="350"/>
      <c r="AN1435" s="350"/>
      <c r="AO1435" s="350"/>
      <c r="AP1435" s="350"/>
      <c r="AQ1435" s="350"/>
      <c r="AR1435" s="350"/>
      <c r="AS1435" s="350"/>
      <c r="AT1435" s="350"/>
      <c r="AU1435" s="350"/>
      <c r="AV1435" s="350"/>
      <c r="AW1435" s="350"/>
      <c r="AX1435" s="350"/>
      <c r="AY1435" s="350"/>
      <c r="AZ1435" s="350"/>
      <c r="BA1435" s="350"/>
      <c r="BB1435" s="351"/>
    </row>
    <row r="1436" spans="1:54" ht="15.75" customHeight="1">
      <c r="A1436" s="25">
        <f t="shared" si="5"/>
        <v>1423</v>
      </c>
      <c r="B1436" s="618" t="str">
        <f>'refer admin discharge'!B1432</f>
        <v>x</v>
      </c>
      <c r="C1436" s="351"/>
      <c r="D1436" s="619" t="str">
        <f>'refer admin discharge'!D1432</f>
        <v>xx</v>
      </c>
      <c r="E1436" s="351"/>
      <c r="F1436" s="620" t="str">
        <f>'refer admin discharge'!H1432</f>
        <v>00/00/0000</v>
      </c>
      <c r="G1436" s="351"/>
      <c r="H1436" s="615"/>
      <c r="I1436" s="351"/>
      <c r="J1436" s="621"/>
      <c r="K1436" s="351"/>
      <c r="L1436" s="615"/>
      <c r="M1436" s="351"/>
      <c r="N1436" s="610"/>
      <c r="O1436" s="351"/>
      <c r="P1436" s="615"/>
      <c r="Q1436" s="351"/>
      <c r="R1436" s="610"/>
      <c r="S1436" s="351"/>
      <c r="T1436" s="615"/>
      <c r="U1436" s="351"/>
      <c r="V1436" s="613" t="str">
        <f>'refer admin discharge'!H1437</f>
        <v>00/00/0000</v>
      </c>
      <c r="W1436" s="351"/>
      <c r="X1436" s="616"/>
      <c r="Y1436" s="351"/>
      <c r="Z1436" s="617"/>
      <c r="AA1436" s="351"/>
      <c r="AB1436" s="616"/>
      <c r="AC1436" s="351"/>
      <c r="AD1436" s="607"/>
      <c r="AE1436" s="351"/>
      <c r="AF1436" s="616"/>
      <c r="AG1436" s="351"/>
      <c r="AH1436" s="607"/>
      <c r="AI1436" s="351"/>
      <c r="AJ1436" s="616"/>
      <c r="AK1436" s="351"/>
      <c r="AL1436" s="622"/>
      <c r="AM1436" s="350"/>
      <c r="AN1436" s="350"/>
      <c r="AO1436" s="350"/>
      <c r="AP1436" s="350"/>
      <c r="AQ1436" s="350"/>
      <c r="AR1436" s="350"/>
      <c r="AS1436" s="350"/>
      <c r="AT1436" s="350"/>
      <c r="AU1436" s="350"/>
      <c r="AV1436" s="350"/>
      <c r="AW1436" s="350"/>
      <c r="AX1436" s="350"/>
      <c r="AY1436" s="350"/>
      <c r="AZ1436" s="350"/>
      <c r="BA1436" s="350"/>
      <c r="BB1436" s="351"/>
    </row>
    <row r="1437" spans="1:54" ht="15.75" customHeight="1">
      <c r="A1437" s="25">
        <f t="shared" si="5"/>
        <v>1424</v>
      </c>
      <c r="B1437" s="599" t="str">
        <f>'refer admin discharge'!B1433</f>
        <v>x</v>
      </c>
      <c r="C1437" s="351"/>
      <c r="D1437" s="600" t="str">
        <f>'refer admin discharge'!D1433</f>
        <v>xx</v>
      </c>
      <c r="E1437" s="351"/>
      <c r="F1437" s="609" t="str">
        <f>'refer admin discharge'!H1433</f>
        <v>00/00/0000</v>
      </c>
      <c r="G1437" s="351"/>
      <c r="H1437" s="610"/>
      <c r="I1437" s="351"/>
      <c r="J1437" s="611"/>
      <c r="K1437" s="351"/>
      <c r="L1437" s="610"/>
      <c r="M1437" s="351"/>
      <c r="N1437" s="612"/>
      <c r="O1437" s="351"/>
      <c r="P1437" s="610"/>
      <c r="Q1437" s="351"/>
      <c r="R1437" s="612"/>
      <c r="S1437" s="351"/>
      <c r="T1437" s="610"/>
      <c r="U1437" s="351"/>
      <c r="V1437" s="613" t="str">
        <f>'refer admin discharge'!H1438</f>
        <v>00/00/0000</v>
      </c>
      <c r="W1437" s="351"/>
      <c r="X1437" s="607"/>
      <c r="Y1437" s="351"/>
      <c r="Z1437" s="614"/>
      <c r="AA1437" s="351"/>
      <c r="AB1437" s="607"/>
      <c r="AC1437" s="351"/>
      <c r="AD1437" s="606"/>
      <c r="AE1437" s="351"/>
      <c r="AF1437" s="607"/>
      <c r="AG1437" s="351"/>
      <c r="AH1437" s="606"/>
      <c r="AI1437" s="351"/>
      <c r="AJ1437" s="607"/>
      <c r="AK1437" s="351"/>
      <c r="AL1437" s="608"/>
      <c r="AM1437" s="350"/>
      <c r="AN1437" s="350"/>
      <c r="AO1437" s="350"/>
      <c r="AP1437" s="350"/>
      <c r="AQ1437" s="350"/>
      <c r="AR1437" s="350"/>
      <c r="AS1437" s="350"/>
      <c r="AT1437" s="350"/>
      <c r="AU1437" s="350"/>
      <c r="AV1437" s="350"/>
      <c r="AW1437" s="350"/>
      <c r="AX1437" s="350"/>
      <c r="AY1437" s="350"/>
      <c r="AZ1437" s="350"/>
      <c r="BA1437" s="350"/>
      <c r="BB1437" s="351"/>
    </row>
    <row r="1438" spans="1:54" ht="15.75" customHeight="1">
      <c r="A1438" s="25">
        <f t="shared" si="5"/>
        <v>1425</v>
      </c>
      <c r="B1438" s="618" t="str">
        <f>'refer admin discharge'!B1434</f>
        <v>x</v>
      </c>
      <c r="C1438" s="351"/>
      <c r="D1438" s="619" t="str">
        <f>'refer admin discharge'!D1434</f>
        <v>xx</v>
      </c>
      <c r="E1438" s="351"/>
      <c r="F1438" s="620" t="str">
        <f>'refer admin discharge'!H1434</f>
        <v>00/00/0000</v>
      </c>
      <c r="G1438" s="351"/>
      <c r="H1438" s="615"/>
      <c r="I1438" s="351"/>
      <c r="J1438" s="621"/>
      <c r="K1438" s="351"/>
      <c r="L1438" s="615"/>
      <c r="M1438" s="351"/>
      <c r="N1438" s="610"/>
      <c r="O1438" s="351"/>
      <c r="P1438" s="615"/>
      <c r="Q1438" s="351"/>
      <c r="R1438" s="610"/>
      <c r="S1438" s="351"/>
      <c r="T1438" s="615"/>
      <c r="U1438" s="351"/>
      <c r="V1438" s="613" t="str">
        <f>'refer admin discharge'!H1439</f>
        <v>00/00/0000</v>
      </c>
      <c r="W1438" s="351"/>
      <c r="X1438" s="616"/>
      <c r="Y1438" s="351"/>
      <c r="Z1438" s="617"/>
      <c r="AA1438" s="351"/>
      <c r="AB1438" s="616"/>
      <c r="AC1438" s="351"/>
      <c r="AD1438" s="607"/>
      <c r="AE1438" s="351"/>
      <c r="AF1438" s="616"/>
      <c r="AG1438" s="351"/>
      <c r="AH1438" s="607"/>
      <c r="AI1438" s="351"/>
      <c r="AJ1438" s="616"/>
      <c r="AK1438" s="351"/>
      <c r="AL1438" s="622"/>
      <c r="AM1438" s="350"/>
      <c r="AN1438" s="350"/>
      <c r="AO1438" s="350"/>
      <c r="AP1438" s="350"/>
      <c r="AQ1438" s="350"/>
      <c r="AR1438" s="350"/>
      <c r="AS1438" s="350"/>
      <c r="AT1438" s="350"/>
      <c r="AU1438" s="350"/>
      <c r="AV1438" s="350"/>
      <c r="AW1438" s="350"/>
      <c r="AX1438" s="350"/>
      <c r="AY1438" s="350"/>
      <c r="AZ1438" s="350"/>
      <c r="BA1438" s="350"/>
      <c r="BB1438" s="351"/>
    </row>
    <row r="1439" spans="1:54" ht="15.75" customHeight="1">
      <c r="A1439" s="25">
        <f t="shared" si="5"/>
        <v>1426</v>
      </c>
      <c r="B1439" s="599" t="str">
        <f>'refer admin discharge'!B1435</f>
        <v>x</v>
      </c>
      <c r="C1439" s="351"/>
      <c r="D1439" s="600" t="str">
        <f>'refer admin discharge'!D1435</f>
        <v>xx</v>
      </c>
      <c r="E1439" s="351"/>
      <c r="F1439" s="609" t="str">
        <f>'refer admin discharge'!H1435</f>
        <v>00/00/0000</v>
      </c>
      <c r="G1439" s="351"/>
      <c r="H1439" s="610"/>
      <c r="I1439" s="351"/>
      <c r="J1439" s="611"/>
      <c r="K1439" s="351"/>
      <c r="L1439" s="610"/>
      <c r="M1439" s="351"/>
      <c r="N1439" s="612"/>
      <c r="O1439" s="351"/>
      <c r="P1439" s="610"/>
      <c r="Q1439" s="351"/>
      <c r="R1439" s="612"/>
      <c r="S1439" s="351"/>
      <c r="T1439" s="610"/>
      <c r="U1439" s="351"/>
      <c r="V1439" s="613" t="str">
        <f>'refer admin discharge'!H1440</f>
        <v>00/00/0000</v>
      </c>
      <c r="W1439" s="351"/>
      <c r="X1439" s="607"/>
      <c r="Y1439" s="351"/>
      <c r="Z1439" s="614"/>
      <c r="AA1439" s="351"/>
      <c r="AB1439" s="607"/>
      <c r="AC1439" s="351"/>
      <c r="AD1439" s="606"/>
      <c r="AE1439" s="351"/>
      <c r="AF1439" s="607"/>
      <c r="AG1439" s="351"/>
      <c r="AH1439" s="606"/>
      <c r="AI1439" s="351"/>
      <c r="AJ1439" s="607"/>
      <c r="AK1439" s="351"/>
      <c r="AL1439" s="608"/>
      <c r="AM1439" s="350"/>
      <c r="AN1439" s="350"/>
      <c r="AO1439" s="350"/>
      <c r="AP1439" s="350"/>
      <c r="AQ1439" s="350"/>
      <c r="AR1439" s="350"/>
      <c r="AS1439" s="350"/>
      <c r="AT1439" s="350"/>
      <c r="AU1439" s="350"/>
      <c r="AV1439" s="350"/>
      <c r="AW1439" s="350"/>
      <c r="AX1439" s="350"/>
      <c r="AY1439" s="350"/>
      <c r="AZ1439" s="350"/>
      <c r="BA1439" s="350"/>
      <c r="BB1439" s="351"/>
    </row>
    <row r="1440" spans="1:54" ht="15.75" customHeight="1">
      <c r="A1440" s="25">
        <f t="shared" si="5"/>
        <v>1427</v>
      </c>
      <c r="B1440" s="618" t="str">
        <f>'refer admin discharge'!B1436</f>
        <v>x</v>
      </c>
      <c r="C1440" s="351"/>
      <c r="D1440" s="619" t="str">
        <f>'refer admin discharge'!D1436</f>
        <v>xx</v>
      </c>
      <c r="E1440" s="351"/>
      <c r="F1440" s="620" t="str">
        <f>'refer admin discharge'!H1436</f>
        <v>00/00/0000</v>
      </c>
      <c r="G1440" s="351"/>
      <c r="H1440" s="615"/>
      <c r="I1440" s="351"/>
      <c r="J1440" s="621"/>
      <c r="K1440" s="351"/>
      <c r="L1440" s="615"/>
      <c r="M1440" s="351"/>
      <c r="N1440" s="610"/>
      <c r="O1440" s="351"/>
      <c r="P1440" s="615"/>
      <c r="Q1440" s="351"/>
      <c r="R1440" s="610"/>
      <c r="S1440" s="351"/>
      <c r="T1440" s="615"/>
      <c r="U1440" s="351"/>
      <c r="V1440" s="613" t="str">
        <f>'refer admin discharge'!H1441</f>
        <v>00/00/0000</v>
      </c>
      <c r="W1440" s="351"/>
      <c r="X1440" s="616"/>
      <c r="Y1440" s="351"/>
      <c r="Z1440" s="617"/>
      <c r="AA1440" s="351"/>
      <c r="AB1440" s="616"/>
      <c r="AC1440" s="351"/>
      <c r="AD1440" s="607"/>
      <c r="AE1440" s="351"/>
      <c r="AF1440" s="616"/>
      <c r="AG1440" s="351"/>
      <c r="AH1440" s="607"/>
      <c r="AI1440" s="351"/>
      <c r="AJ1440" s="616"/>
      <c r="AK1440" s="351"/>
      <c r="AL1440" s="622"/>
      <c r="AM1440" s="350"/>
      <c r="AN1440" s="350"/>
      <c r="AO1440" s="350"/>
      <c r="AP1440" s="350"/>
      <c r="AQ1440" s="350"/>
      <c r="AR1440" s="350"/>
      <c r="AS1440" s="350"/>
      <c r="AT1440" s="350"/>
      <c r="AU1440" s="350"/>
      <c r="AV1440" s="350"/>
      <c r="AW1440" s="350"/>
      <c r="AX1440" s="350"/>
      <c r="AY1440" s="350"/>
      <c r="AZ1440" s="350"/>
      <c r="BA1440" s="350"/>
      <c r="BB1440" s="351"/>
    </row>
    <row r="1441" spans="1:54" ht="15.75" customHeight="1">
      <c r="A1441" s="25">
        <f t="shared" si="5"/>
        <v>1428</v>
      </c>
      <c r="B1441" s="599" t="str">
        <f>'refer admin discharge'!B1437</f>
        <v>x</v>
      </c>
      <c r="C1441" s="351"/>
      <c r="D1441" s="600" t="str">
        <f>'refer admin discharge'!D1437</f>
        <v>xx</v>
      </c>
      <c r="E1441" s="351"/>
      <c r="F1441" s="609" t="str">
        <f>'refer admin discharge'!H1437</f>
        <v>00/00/0000</v>
      </c>
      <c r="G1441" s="351"/>
      <c r="H1441" s="610"/>
      <c r="I1441" s="351"/>
      <c r="J1441" s="611"/>
      <c r="K1441" s="351"/>
      <c r="L1441" s="610"/>
      <c r="M1441" s="351"/>
      <c r="N1441" s="612"/>
      <c r="O1441" s="351"/>
      <c r="P1441" s="610"/>
      <c r="Q1441" s="351"/>
      <c r="R1441" s="612"/>
      <c r="S1441" s="351"/>
      <c r="T1441" s="610"/>
      <c r="U1441" s="351"/>
      <c r="V1441" s="613" t="str">
        <f>'refer admin discharge'!H1442</f>
        <v>00/00/0000</v>
      </c>
      <c r="W1441" s="351"/>
      <c r="X1441" s="607"/>
      <c r="Y1441" s="351"/>
      <c r="Z1441" s="614"/>
      <c r="AA1441" s="351"/>
      <c r="AB1441" s="607"/>
      <c r="AC1441" s="351"/>
      <c r="AD1441" s="606"/>
      <c r="AE1441" s="351"/>
      <c r="AF1441" s="607"/>
      <c r="AG1441" s="351"/>
      <c r="AH1441" s="606"/>
      <c r="AI1441" s="351"/>
      <c r="AJ1441" s="607"/>
      <c r="AK1441" s="351"/>
      <c r="AL1441" s="608"/>
      <c r="AM1441" s="350"/>
      <c r="AN1441" s="350"/>
      <c r="AO1441" s="350"/>
      <c r="AP1441" s="350"/>
      <c r="AQ1441" s="350"/>
      <c r="AR1441" s="350"/>
      <c r="AS1441" s="350"/>
      <c r="AT1441" s="350"/>
      <c r="AU1441" s="350"/>
      <c r="AV1441" s="350"/>
      <c r="AW1441" s="350"/>
      <c r="AX1441" s="350"/>
      <c r="AY1441" s="350"/>
      <c r="AZ1441" s="350"/>
      <c r="BA1441" s="350"/>
      <c r="BB1441" s="351"/>
    </row>
    <row r="1442" spans="1:54" ht="15.75" customHeight="1">
      <c r="A1442" s="25">
        <f t="shared" si="5"/>
        <v>1429</v>
      </c>
      <c r="B1442" s="618" t="str">
        <f>'refer admin discharge'!B1438</f>
        <v>x</v>
      </c>
      <c r="C1442" s="351"/>
      <c r="D1442" s="619" t="str">
        <f>'refer admin discharge'!D1438</f>
        <v>xx</v>
      </c>
      <c r="E1442" s="351"/>
      <c r="F1442" s="620" t="str">
        <f>'refer admin discharge'!H1438</f>
        <v>00/00/0000</v>
      </c>
      <c r="G1442" s="351"/>
      <c r="H1442" s="615"/>
      <c r="I1442" s="351"/>
      <c r="J1442" s="621"/>
      <c r="K1442" s="351"/>
      <c r="L1442" s="615"/>
      <c r="M1442" s="351"/>
      <c r="N1442" s="610"/>
      <c r="O1442" s="351"/>
      <c r="P1442" s="615"/>
      <c r="Q1442" s="351"/>
      <c r="R1442" s="610"/>
      <c r="S1442" s="351"/>
      <c r="T1442" s="615"/>
      <c r="U1442" s="351"/>
      <c r="V1442" s="613" t="str">
        <f>'refer admin discharge'!H1443</f>
        <v>00/00/0000</v>
      </c>
      <c r="W1442" s="351"/>
      <c r="X1442" s="616"/>
      <c r="Y1442" s="351"/>
      <c r="Z1442" s="617"/>
      <c r="AA1442" s="351"/>
      <c r="AB1442" s="616"/>
      <c r="AC1442" s="351"/>
      <c r="AD1442" s="607"/>
      <c r="AE1442" s="351"/>
      <c r="AF1442" s="616"/>
      <c r="AG1442" s="351"/>
      <c r="AH1442" s="607"/>
      <c r="AI1442" s="351"/>
      <c r="AJ1442" s="616"/>
      <c r="AK1442" s="351"/>
      <c r="AL1442" s="622"/>
      <c r="AM1442" s="350"/>
      <c r="AN1442" s="350"/>
      <c r="AO1442" s="350"/>
      <c r="AP1442" s="350"/>
      <c r="AQ1442" s="350"/>
      <c r="AR1442" s="350"/>
      <c r="AS1442" s="350"/>
      <c r="AT1442" s="350"/>
      <c r="AU1442" s="350"/>
      <c r="AV1442" s="350"/>
      <c r="AW1442" s="350"/>
      <c r="AX1442" s="350"/>
      <c r="AY1442" s="350"/>
      <c r="AZ1442" s="350"/>
      <c r="BA1442" s="350"/>
      <c r="BB1442" s="351"/>
    </row>
    <row r="1443" spans="1:54" ht="15.75" customHeight="1">
      <c r="A1443" s="25">
        <f t="shared" si="5"/>
        <v>1430</v>
      </c>
      <c r="B1443" s="599" t="str">
        <f>'refer admin discharge'!B1439</f>
        <v>x</v>
      </c>
      <c r="C1443" s="351"/>
      <c r="D1443" s="600" t="str">
        <f>'refer admin discharge'!D1439</f>
        <v>xx</v>
      </c>
      <c r="E1443" s="351"/>
      <c r="F1443" s="609" t="str">
        <f>'refer admin discharge'!H1439</f>
        <v>00/00/0000</v>
      </c>
      <c r="G1443" s="351"/>
      <c r="H1443" s="610"/>
      <c r="I1443" s="351"/>
      <c r="J1443" s="611"/>
      <c r="K1443" s="351"/>
      <c r="L1443" s="610"/>
      <c r="M1443" s="351"/>
      <c r="N1443" s="612"/>
      <c r="O1443" s="351"/>
      <c r="P1443" s="610"/>
      <c r="Q1443" s="351"/>
      <c r="R1443" s="612"/>
      <c r="S1443" s="351"/>
      <c r="T1443" s="610"/>
      <c r="U1443" s="351"/>
      <c r="V1443" s="613" t="str">
        <f>'refer admin discharge'!H1444</f>
        <v>00/00/0000</v>
      </c>
      <c r="W1443" s="351"/>
      <c r="X1443" s="607"/>
      <c r="Y1443" s="351"/>
      <c r="Z1443" s="614"/>
      <c r="AA1443" s="351"/>
      <c r="AB1443" s="607"/>
      <c r="AC1443" s="351"/>
      <c r="AD1443" s="606"/>
      <c r="AE1443" s="351"/>
      <c r="AF1443" s="607"/>
      <c r="AG1443" s="351"/>
      <c r="AH1443" s="606"/>
      <c r="AI1443" s="351"/>
      <c r="AJ1443" s="607"/>
      <c r="AK1443" s="351"/>
      <c r="AL1443" s="608"/>
      <c r="AM1443" s="350"/>
      <c r="AN1443" s="350"/>
      <c r="AO1443" s="350"/>
      <c r="AP1443" s="350"/>
      <c r="AQ1443" s="350"/>
      <c r="AR1443" s="350"/>
      <c r="AS1443" s="350"/>
      <c r="AT1443" s="350"/>
      <c r="AU1443" s="350"/>
      <c r="AV1443" s="350"/>
      <c r="AW1443" s="350"/>
      <c r="AX1443" s="350"/>
      <c r="AY1443" s="350"/>
      <c r="AZ1443" s="350"/>
      <c r="BA1443" s="350"/>
      <c r="BB1443" s="351"/>
    </row>
    <row r="1444" spans="1:54" ht="15.75" customHeight="1">
      <c r="A1444" s="25">
        <f t="shared" si="5"/>
        <v>1431</v>
      </c>
      <c r="B1444" s="618" t="str">
        <f>'refer admin discharge'!B1440</f>
        <v>x</v>
      </c>
      <c r="C1444" s="351"/>
      <c r="D1444" s="619" t="str">
        <f>'refer admin discharge'!D1440</f>
        <v>xx</v>
      </c>
      <c r="E1444" s="351"/>
      <c r="F1444" s="620" t="str">
        <f>'refer admin discharge'!H1440</f>
        <v>00/00/0000</v>
      </c>
      <c r="G1444" s="351"/>
      <c r="H1444" s="615"/>
      <c r="I1444" s="351"/>
      <c r="J1444" s="621"/>
      <c r="K1444" s="351"/>
      <c r="L1444" s="615"/>
      <c r="M1444" s="351"/>
      <c r="N1444" s="610"/>
      <c r="O1444" s="351"/>
      <c r="P1444" s="615"/>
      <c r="Q1444" s="351"/>
      <c r="R1444" s="610"/>
      <c r="S1444" s="351"/>
      <c r="T1444" s="615"/>
      <c r="U1444" s="351"/>
      <c r="V1444" s="613" t="str">
        <f>'refer admin discharge'!H1445</f>
        <v>00/00/0000</v>
      </c>
      <c r="W1444" s="351"/>
      <c r="X1444" s="616"/>
      <c r="Y1444" s="351"/>
      <c r="Z1444" s="617"/>
      <c r="AA1444" s="351"/>
      <c r="AB1444" s="616"/>
      <c r="AC1444" s="351"/>
      <c r="AD1444" s="607"/>
      <c r="AE1444" s="351"/>
      <c r="AF1444" s="616"/>
      <c r="AG1444" s="351"/>
      <c r="AH1444" s="607"/>
      <c r="AI1444" s="351"/>
      <c r="AJ1444" s="616"/>
      <c r="AK1444" s="351"/>
      <c r="AL1444" s="622"/>
      <c r="AM1444" s="350"/>
      <c r="AN1444" s="350"/>
      <c r="AO1444" s="350"/>
      <c r="AP1444" s="350"/>
      <c r="AQ1444" s="350"/>
      <c r="AR1444" s="350"/>
      <c r="AS1444" s="350"/>
      <c r="AT1444" s="350"/>
      <c r="AU1444" s="350"/>
      <c r="AV1444" s="350"/>
      <c r="AW1444" s="350"/>
      <c r="AX1444" s="350"/>
      <c r="AY1444" s="350"/>
      <c r="AZ1444" s="350"/>
      <c r="BA1444" s="350"/>
      <c r="BB1444" s="351"/>
    </row>
    <row r="1445" spans="1:54" ht="15.75" customHeight="1">
      <c r="A1445" s="25">
        <f t="shared" si="5"/>
        <v>1432</v>
      </c>
      <c r="B1445" s="599" t="str">
        <f>'refer admin discharge'!B1441</f>
        <v>x</v>
      </c>
      <c r="C1445" s="351"/>
      <c r="D1445" s="600" t="str">
        <f>'refer admin discharge'!D1441</f>
        <v>xx</v>
      </c>
      <c r="E1445" s="351"/>
      <c r="F1445" s="609" t="str">
        <f>'refer admin discharge'!H1441</f>
        <v>00/00/0000</v>
      </c>
      <c r="G1445" s="351"/>
      <c r="H1445" s="610"/>
      <c r="I1445" s="351"/>
      <c r="J1445" s="611"/>
      <c r="K1445" s="351"/>
      <c r="L1445" s="610"/>
      <c r="M1445" s="351"/>
      <c r="N1445" s="612"/>
      <c r="O1445" s="351"/>
      <c r="P1445" s="610"/>
      <c r="Q1445" s="351"/>
      <c r="R1445" s="612"/>
      <c r="S1445" s="351"/>
      <c r="T1445" s="610"/>
      <c r="U1445" s="351"/>
      <c r="V1445" s="613" t="str">
        <f>'refer admin discharge'!H1446</f>
        <v>00/00/0000</v>
      </c>
      <c r="W1445" s="351"/>
      <c r="X1445" s="607"/>
      <c r="Y1445" s="351"/>
      <c r="Z1445" s="614"/>
      <c r="AA1445" s="351"/>
      <c r="AB1445" s="607"/>
      <c r="AC1445" s="351"/>
      <c r="AD1445" s="606"/>
      <c r="AE1445" s="351"/>
      <c r="AF1445" s="607"/>
      <c r="AG1445" s="351"/>
      <c r="AH1445" s="606"/>
      <c r="AI1445" s="351"/>
      <c r="AJ1445" s="607"/>
      <c r="AK1445" s="351"/>
      <c r="AL1445" s="608"/>
      <c r="AM1445" s="350"/>
      <c r="AN1445" s="350"/>
      <c r="AO1445" s="350"/>
      <c r="AP1445" s="350"/>
      <c r="AQ1445" s="350"/>
      <c r="AR1445" s="350"/>
      <c r="AS1445" s="350"/>
      <c r="AT1445" s="350"/>
      <c r="AU1445" s="350"/>
      <c r="AV1445" s="350"/>
      <c r="AW1445" s="350"/>
      <c r="AX1445" s="350"/>
      <c r="AY1445" s="350"/>
      <c r="AZ1445" s="350"/>
      <c r="BA1445" s="350"/>
      <c r="BB1445" s="351"/>
    </row>
    <row r="1446" spans="1:54" ht="15.75" customHeight="1">
      <c r="A1446" s="25">
        <f t="shared" si="5"/>
        <v>1433</v>
      </c>
      <c r="B1446" s="618" t="str">
        <f>'refer admin discharge'!B1442</f>
        <v>x</v>
      </c>
      <c r="C1446" s="351"/>
      <c r="D1446" s="619" t="str">
        <f>'refer admin discharge'!D1442</f>
        <v>xx</v>
      </c>
      <c r="E1446" s="351"/>
      <c r="F1446" s="620" t="str">
        <f>'refer admin discharge'!H1442</f>
        <v>00/00/0000</v>
      </c>
      <c r="G1446" s="351"/>
      <c r="H1446" s="615"/>
      <c r="I1446" s="351"/>
      <c r="J1446" s="621"/>
      <c r="K1446" s="351"/>
      <c r="L1446" s="615"/>
      <c r="M1446" s="351"/>
      <c r="N1446" s="610"/>
      <c r="O1446" s="351"/>
      <c r="P1446" s="615"/>
      <c r="Q1446" s="351"/>
      <c r="R1446" s="610"/>
      <c r="S1446" s="351"/>
      <c r="T1446" s="615"/>
      <c r="U1446" s="351"/>
      <c r="V1446" s="613" t="str">
        <f>'refer admin discharge'!H1447</f>
        <v>00/00/0000</v>
      </c>
      <c r="W1446" s="351"/>
      <c r="X1446" s="616"/>
      <c r="Y1446" s="351"/>
      <c r="Z1446" s="617"/>
      <c r="AA1446" s="351"/>
      <c r="AB1446" s="616"/>
      <c r="AC1446" s="351"/>
      <c r="AD1446" s="607"/>
      <c r="AE1446" s="351"/>
      <c r="AF1446" s="616"/>
      <c r="AG1446" s="351"/>
      <c r="AH1446" s="607"/>
      <c r="AI1446" s="351"/>
      <c r="AJ1446" s="616"/>
      <c r="AK1446" s="351"/>
      <c r="AL1446" s="622"/>
      <c r="AM1446" s="350"/>
      <c r="AN1446" s="350"/>
      <c r="AO1446" s="350"/>
      <c r="AP1446" s="350"/>
      <c r="AQ1446" s="350"/>
      <c r="AR1446" s="350"/>
      <c r="AS1446" s="350"/>
      <c r="AT1446" s="350"/>
      <c r="AU1446" s="350"/>
      <c r="AV1446" s="350"/>
      <c r="AW1446" s="350"/>
      <c r="AX1446" s="350"/>
      <c r="AY1446" s="350"/>
      <c r="AZ1446" s="350"/>
      <c r="BA1446" s="350"/>
      <c r="BB1446" s="351"/>
    </row>
    <row r="1447" spans="1:54" ht="15.75" customHeight="1">
      <c r="A1447" s="25">
        <f t="shared" si="5"/>
        <v>1434</v>
      </c>
      <c r="B1447" s="599" t="str">
        <f>'refer admin discharge'!B1443</f>
        <v>x</v>
      </c>
      <c r="C1447" s="351"/>
      <c r="D1447" s="600" t="str">
        <f>'refer admin discharge'!D1443</f>
        <v>xx</v>
      </c>
      <c r="E1447" s="351"/>
      <c r="F1447" s="609" t="str">
        <f>'refer admin discharge'!H1443</f>
        <v>00/00/0000</v>
      </c>
      <c r="G1447" s="351"/>
      <c r="H1447" s="610"/>
      <c r="I1447" s="351"/>
      <c r="J1447" s="611"/>
      <c r="K1447" s="351"/>
      <c r="L1447" s="610"/>
      <c r="M1447" s="351"/>
      <c r="N1447" s="612"/>
      <c r="O1447" s="351"/>
      <c r="P1447" s="610"/>
      <c r="Q1447" s="351"/>
      <c r="R1447" s="612"/>
      <c r="S1447" s="351"/>
      <c r="T1447" s="610"/>
      <c r="U1447" s="351"/>
      <c r="V1447" s="613" t="str">
        <f>'refer admin discharge'!H1448</f>
        <v>00/00/0000</v>
      </c>
      <c r="W1447" s="351"/>
      <c r="X1447" s="607"/>
      <c r="Y1447" s="351"/>
      <c r="Z1447" s="614"/>
      <c r="AA1447" s="351"/>
      <c r="AB1447" s="607"/>
      <c r="AC1447" s="351"/>
      <c r="AD1447" s="606"/>
      <c r="AE1447" s="351"/>
      <c r="AF1447" s="607"/>
      <c r="AG1447" s="351"/>
      <c r="AH1447" s="606"/>
      <c r="AI1447" s="351"/>
      <c r="AJ1447" s="607"/>
      <c r="AK1447" s="351"/>
      <c r="AL1447" s="608"/>
      <c r="AM1447" s="350"/>
      <c r="AN1447" s="350"/>
      <c r="AO1447" s="350"/>
      <c r="AP1447" s="350"/>
      <c r="AQ1447" s="350"/>
      <c r="AR1447" s="350"/>
      <c r="AS1447" s="350"/>
      <c r="AT1447" s="350"/>
      <c r="AU1447" s="350"/>
      <c r="AV1447" s="350"/>
      <c r="AW1447" s="350"/>
      <c r="AX1447" s="350"/>
      <c r="AY1447" s="350"/>
      <c r="AZ1447" s="350"/>
      <c r="BA1447" s="350"/>
      <c r="BB1447" s="351"/>
    </row>
    <row r="1448" spans="1:54" ht="15.75" customHeight="1">
      <c r="A1448" s="25">
        <f t="shared" si="5"/>
        <v>1435</v>
      </c>
      <c r="B1448" s="618" t="str">
        <f>'refer admin discharge'!B1444</f>
        <v>x</v>
      </c>
      <c r="C1448" s="351"/>
      <c r="D1448" s="619" t="str">
        <f>'refer admin discharge'!D1444</f>
        <v>xx</v>
      </c>
      <c r="E1448" s="351"/>
      <c r="F1448" s="620" t="str">
        <f>'refer admin discharge'!H1444</f>
        <v>00/00/0000</v>
      </c>
      <c r="G1448" s="351"/>
      <c r="H1448" s="615"/>
      <c r="I1448" s="351"/>
      <c r="J1448" s="621"/>
      <c r="K1448" s="351"/>
      <c r="L1448" s="615"/>
      <c r="M1448" s="351"/>
      <c r="N1448" s="610"/>
      <c r="O1448" s="351"/>
      <c r="P1448" s="615"/>
      <c r="Q1448" s="351"/>
      <c r="R1448" s="610"/>
      <c r="S1448" s="351"/>
      <c r="T1448" s="615"/>
      <c r="U1448" s="351"/>
      <c r="V1448" s="613" t="str">
        <f>'refer admin discharge'!H1449</f>
        <v>00/00/0000</v>
      </c>
      <c r="W1448" s="351"/>
      <c r="X1448" s="616"/>
      <c r="Y1448" s="351"/>
      <c r="Z1448" s="617"/>
      <c r="AA1448" s="351"/>
      <c r="AB1448" s="616"/>
      <c r="AC1448" s="351"/>
      <c r="AD1448" s="607"/>
      <c r="AE1448" s="351"/>
      <c r="AF1448" s="616"/>
      <c r="AG1448" s="351"/>
      <c r="AH1448" s="607"/>
      <c r="AI1448" s="351"/>
      <c r="AJ1448" s="616"/>
      <c r="AK1448" s="351"/>
      <c r="AL1448" s="622"/>
      <c r="AM1448" s="350"/>
      <c r="AN1448" s="350"/>
      <c r="AO1448" s="350"/>
      <c r="AP1448" s="350"/>
      <c r="AQ1448" s="350"/>
      <c r="AR1448" s="350"/>
      <c r="AS1448" s="350"/>
      <c r="AT1448" s="350"/>
      <c r="AU1448" s="350"/>
      <c r="AV1448" s="350"/>
      <c r="AW1448" s="350"/>
      <c r="AX1448" s="350"/>
      <c r="AY1448" s="350"/>
      <c r="AZ1448" s="350"/>
      <c r="BA1448" s="350"/>
      <c r="BB1448" s="351"/>
    </row>
    <row r="1449" spans="1:54" ht="15.75" customHeight="1">
      <c r="A1449" s="25">
        <f t="shared" si="5"/>
        <v>1436</v>
      </c>
      <c r="B1449" s="599" t="str">
        <f>'refer admin discharge'!B1445</f>
        <v>x</v>
      </c>
      <c r="C1449" s="351"/>
      <c r="D1449" s="600" t="str">
        <f>'refer admin discharge'!D1445</f>
        <v>xx</v>
      </c>
      <c r="E1449" s="351"/>
      <c r="F1449" s="609" t="str">
        <f>'refer admin discharge'!H1445</f>
        <v>00/00/0000</v>
      </c>
      <c r="G1449" s="351"/>
      <c r="H1449" s="610"/>
      <c r="I1449" s="351"/>
      <c r="J1449" s="611"/>
      <c r="K1449" s="351"/>
      <c r="L1449" s="610"/>
      <c r="M1449" s="351"/>
      <c r="N1449" s="612"/>
      <c r="O1449" s="351"/>
      <c r="P1449" s="610"/>
      <c r="Q1449" s="351"/>
      <c r="R1449" s="612"/>
      <c r="S1449" s="351"/>
      <c r="T1449" s="610"/>
      <c r="U1449" s="351"/>
      <c r="V1449" s="613" t="str">
        <f>'refer admin discharge'!H1450</f>
        <v>00/00/0000</v>
      </c>
      <c r="W1449" s="351"/>
      <c r="X1449" s="607"/>
      <c r="Y1449" s="351"/>
      <c r="Z1449" s="614"/>
      <c r="AA1449" s="351"/>
      <c r="AB1449" s="607"/>
      <c r="AC1449" s="351"/>
      <c r="AD1449" s="606"/>
      <c r="AE1449" s="351"/>
      <c r="AF1449" s="607"/>
      <c r="AG1449" s="351"/>
      <c r="AH1449" s="606"/>
      <c r="AI1449" s="351"/>
      <c r="AJ1449" s="607"/>
      <c r="AK1449" s="351"/>
      <c r="AL1449" s="608"/>
      <c r="AM1449" s="350"/>
      <c r="AN1449" s="350"/>
      <c r="AO1449" s="350"/>
      <c r="AP1449" s="350"/>
      <c r="AQ1449" s="350"/>
      <c r="AR1449" s="350"/>
      <c r="AS1449" s="350"/>
      <c r="AT1449" s="350"/>
      <c r="AU1449" s="350"/>
      <c r="AV1449" s="350"/>
      <c r="AW1449" s="350"/>
      <c r="AX1449" s="350"/>
      <c r="AY1449" s="350"/>
      <c r="AZ1449" s="350"/>
      <c r="BA1449" s="350"/>
      <c r="BB1449" s="351"/>
    </row>
    <row r="1450" spans="1:54" ht="15.75" customHeight="1">
      <c r="A1450" s="25">
        <f t="shared" si="5"/>
        <v>1437</v>
      </c>
      <c r="B1450" s="618" t="str">
        <f>'refer admin discharge'!B1446</f>
        <v>x</v>
      </c>
      <c r="C1450" s="351"/>
      <c r="D1450" s="619" t="str">
        <f>'refer admin discharge'!D1446</f>
        <v>xx</v>
      </c>
      <c r="E1450" s="351"/>
      <c r="F1450" s="620" t="str">
        <f>'refer admin discharge'!H1446</f>
        <v>00/00/0000</v>
      </c>
      <c r="G1450" s="351"/>
      <c r="H1450" s="615"/>
      <c r="I1450" s="351"/>
      <c r="J1450" s="621"/>
      <c r="K1450" s="351"/>
      <c r="L1450" s="615"/>
      <c r="M1450" s="351"/>
      <c r="N1450" s="610"/>
      <c r="O1450" s="351"/>
      <c r="P1450" s="615"/>
      <c r="Q1450" s="351"/>
      <c r="R1450" s="610"/>
      <c r="S1450" s="351"/>
      <c r="T1450" s="615"/>
      <c r="U1450" s="351"/>
      <c r="V1450" s="613" t="str">
        <f>'refer admin discharge'!H1451</f>
        <v>00/00/0000</v>
      </c>
      <c r="W1450" s="351"/>
      <c r="X1450" s="616"/>
      <c r="Y1450" s="351"/>
      <c r="Z1450" s="617"/>
      <c r="AA1450" s="351"/>
      <c r="AB1450" s="616"/>
      <c r="AC1450" s="351"/>
      <c r="AD1450" s="607"/>
      <c r="AE1450" s="351"/>
      <c r="AF1450" s="616"/>
      <c r="AG1450" s="351"/>
      <c r="AH1450" s="607"/>
      <c r="AI1450" s="351"/>
      <c r="AJ1450" s="616"/>
      <c r="AK1450" s="351"/>
      <c r="AL1450" s="622"/>
      <c r="AM1450" s="350"/>
      <c r="AN1450" s="350"/>
      <c r="AO1450" s="350"/>
      <c r="AP1450" s="350"/>
      <c r="AQ1450" s="350"/>
      <c r="AR1450" s="350"/>
      <c r="AS1450" s="350"/>
      <c r="AT1450" s="350"/>
      <c r="AU1450" s="350"/>
      <c r="AV1450" s="350"/>
      <c r="AW1450" s="350"/>
      <c r="AX1450" s="350"/>
      <c r="AY1450" s="350"/>
      <c r="AZ1450" s="350"/>
      <c r="BA1450" s="350"/>
      <c r="BB1450" s="351"/>
    </row>
    <row r="1451" spans="1:54" ht="15.75" customHeight="1">
      <c r="A1451" s="25">
        <f t="shared" si="5"/>
        <v>1438</v>
      </c>
      <c r="B1451" s="599" t="str">
        <f>'refer admin discharge'!B1447</f>
        <v>x</v>
      </c>
      <c r="C1451" s="351"/>
      <c r="D1451" s="600" t="str">
        <f>'refer admin discharge'!D1447</f>
        <v>xx</v>
      </c>
      <c r="E1451" s="351"/>
      <c r="F1451" s="609" t="str">
        <f>'refer admin discharge'!H1447</f>
        <v>00/00/0000</v>
      </c>
      <c r="G1451" s="351"/>
      <c r="H1451" s="610"/>
      <c r="I1451" s="351"/>
      <c r="J1451" s="611"/>
      <c r="K1451" s="351"/>
      <c r="L1451" s="610"/>
      <c r="M1451" s="351"/>
      <c r="N1451" s="612"/>
      <c r="O1451" s="351"/>
      <c r="P1451" s="610"/>
      <c r="Q1451" s="351"/>
      <c r="R1451" s="612"/>
      <c r="S1451" s="351"/>
      <c r="T1451" s="610"/>
      <c r="U1451" s="351"/>
      <c r="V1451" s="613" t="str">
        <f>'refer admin discharge'!H1452</f>
        <v>00/00/0000</v>
      </c>
      <c r="W1451" s="351"/>
      <c r="X1451" s="607"/>
      <c r="Y1451" s="351"/>
      <c r="Z1451" s="614"/>
      <c r="AA1451" s="351"/>
      <c r="AB1451" s="607"/>
      <c r="AC1451" s="351"/>
      <c r="AD1451" s="606"/>
      <c r="AE1451" s="351"/>
      <c r="AF1451" s="607"/>
      <c r="AG1451" s="351"/>
      <c r="AH1451" s="606"/>
      <c r="AI1451" s="351"/>
      <c r="AJ1451" s="607"/>
      <c r="AK1451" s="351"/>
      <c r="AL1451" s="608"/>
      <c r="AM1451" s="350"/>
      <c r="AN1451" s="350"/>
      <c r="AO1451" s="350"/>
      <c r="AP1451" s="350"/>
      <c r="AQ1451" s="350"/>
      <c r="AR1451" s="350"/>
      <c r="AS1451" s="350"/>
      <c r="AT1451" s="350"/>
      <c r="AU1451" s="350"/>
      <c r="AV1451" s="350"/>
      <c r="AW1451" s="350"/>
      <c r="AX1451" s="350"/>
      <c r="AY1451" s="350"/>
      <c r="AZ1451" s="350"/>
      <c r="BA1451" s="350"/>
      <c r="BB1451" s="351"/>
    </row>
    <row r="1452" spans="1:54" ht="15.75" customHeight="1">
      <c r="A1452" s="25">
        <f t="shared" si="5"/>
        <v>1439</v>
      </c>
      <c r="B1452" s="618" t="str">
        <f>'refer admin discharge'!B1448</f>
        <v>x</v>
      </c>
      <c r="C1452" s="351"/>
      <c r="D1452" s="619" t="str">
        <f>'refer admin discharge'!D1448</f>
        <v>xx</v>
      </c>
      <c r="E1452" s="351"/>
      <c r="F1452" s="620" t="str">
        <f>'refer admin discharge'!H1448</f>
        <v>00/00/0000</v>
      </c>
      <c r="G1452" s="351"/>
      <c r="H1452" s="615"/>
      <c r="I1452" s="351"/>
      <c r="J1452" s="621"/>
      <c r="K1452" s="351"/>
      <c r="L1452" s="615"/>
      <c r="M1452" s="351"/>
      <c r="N1452" s="610"/>
      <c r="O1452" s="351"/>
      <c r="P1452" s="615"/>
      <c r="Q1452" s="351"/>
      <c r="R1452" s="610"/>
      <c r="S1452" s="351"/>
      <c r="T1452" s="615"/>
      <c r="U1452" s="351"/>
      <c r="V1452" s="613" t="str">
        <f>'refer admin discharge'!H1453</f>
        <v>00/00/0000</v>
      </c>
      <c r="W1452" s="351"/>
      <c r="X1452" s="616"/>
      <c r="Y1452" s="351"/>
      <c r="Z1452" s="617"/>
      <c r="AA1452" s="351"/>
      <c r="AB1452" s="616"/>
      <c r="AC1452" s="351"/>
      <c r="AD1452" s="607"/>
      <c r="AE1452" s="351"/>
      <c r="AF1452" s="616"/>
      <c r="AG1452" s="351"/>
      <c r="AH1452" s="607"/>
      <c r="AI1452" s="351"/>
      <c r="AJ1452" s="616"/>
      <c r="AK1452" s="351"/>
      <c r="AL1452" s="622"/>
      <c r="AM1452" s="350"/>
      <c r="AN1452" s="350"/>
      <c r="AO1452" s="350"/>
      <c r="AP1452" s="350"/>
      <c r="AQ1452" s="350"/>
      <c r="AR1452" s="350"/>
      <c r="AS1452" s="350"/>
      <c r="AT1452" s="350"/>
      <c r="AU1452" s="350"/>
      <c r="AV1452" s="350"/>
      <c r="AW1452" s="350"/>
      <c r="AX1452" s="350"/>
      <c r="AY1452" s="350"/>
      <c r="AZ1452" s="350"/>
      <c r="BA1452" s="350"/>
      <c r="BB1452" s="351"/>
    </row>
    <row r="1453" spans="1:54" ht="15.75" customHeight="1">
      <c r="A1453" s="25">
        <f t="shared" si="5"/>
        <v>1440</v>
      </c>
      <c r="B1453" s="599" t="str">
        <f>'refer admin discharge'!B1449</f>
        <v>x</v>
      </c>
      <c r="C1453" s="351"/>
      <c r="D1453" s="600" t="str">
        <f>'refer admin discharge'!D1449</f>
        <v>xx</v>
      </c>
      <c r="E1453" s="351"/>
      <c r="F1453" s="609" t="str">
        <f>'refer admin discharge'!H1449</f>
        <v>00/00/0000</v>
      </c>
      <c r="G1453" s="351"/>
      <c r="H1453" s="610"/>
      <c r="I1453" s="351"/>
      <c r="J1453" s="611"/>
      <c r="K1453" s="351"/>
      <c r="L1453" s="610"/>
      <c r="M1453" s="351"/>
      <c r="N1453" s="612"/>
      <c r="O1453" s="351"/>
      <c r="P1453" s="610"/>
      <c r="Q1453" s="351"/>
      <c r="R1453" s="612"/>
      <c r="S1453" s="351"/>
      <c r="T1453" s="610"/>
      <c r="U1453" s="351"/>
      <c r="V1453" s="613" t="str">
        <f>'refer admin discharge'!H1454</f>
        <v>00/00/0000</v>
      </c>
      <c r="W1453" s="351"/>
      <c r="X1453" s="607"/>
      <c r="Y1453" s="351"/>
      <c r="Z1453" s="614"/>
      <c r="AA1453" s="351"/>
      <c r="AB1453" s="607"/>
      <c r="AC1453" s="351"/>
      <c r="AD1453" s="606"/>
      <c r="AE1453" s="351"/>
      <c r="AF1453" s="607"/>
      <c r="AG1453" s="351"/>
      <c r="AH1453" s="606"/>
      <c r="AI1453" s="351"/>
      <c r="AJ1453" s="607"/>
      <c r="AK1453" s="351"/>
      <c r="AL1453" s="608"/>
      <c r="AM1453" s="350"/>
      <c r="AN1453" s="350"/>
      <c r="AO1453" s="350"/>
      <c r="AP1453" s="350"/>
      <c r="AQ1453" s="350"/>
      <c r="AR1453" s="350"/>
      <c r="AS1453" s="350"/>
      <c r="AT1453" s="350"/>
      <c r="AU1453" s="350"/>
      <c r="AV1453" s="350"/>
      <c r="AW1453" s="350"/>
      <c r="AX1453" s="350"/>
      <c r="AY1453" s="350"/>
      <c r="AZ1453" s="350"/>
      <c r="BA1453" s="350"/>
      <c r="BB1453" s="351"/>
    </row>
    <row r="1454" spans="1:54" ht="15.75" customHeight="1">
      <c r="A1454" s="25">
        <f t="shared" si="5"/>
        <v>1441</v>
      </c>
      <c r="B1454" s="618" t="str">
        <f>'refer admin discharge'!B1450</f>
        <v>x</v>
      </c>
      <c r="C1454" s="351"/>
      <c r="D1454" s="619" t="str">
        <f>'refer admin discharge'!D1450</f>
        <v>xx</v>
      </c>
      <c r="E1454" s="351"/>
      <c r="F1454" s="620" t="str">
        <f>'refer admin discharge'!H1450</f>
        <v>00/00/0000</v>
      </c>
      <c r="G1454" s="351"/>
      <c r="H1454" s="615"/>
      <c r="I1454" s="351"/>
      <c r="J1454" s="621"/>
      <c r="K1454" s="351"/>
      <c r="L1454" s="615"/>
      <c r="M1454" s="351"/>
      <c r="N1454" s="610"/>
      <c r="O1454" s="351"/>
      <c r="P1454" s="615"/>
      <c r="Q1454" s="351"/>
      <c r="R1454" s="610"/>
      <c r="S1454" s="351"/>
      <c r="T1454" s="615"/>
      <c r="U1454" s="351"/>
      <c r="V1454" s="613" t="str">
        <f>'refer admin discharge'!H1455</f>
        <v>00/00/0000</v>
      </c>
      <c r="W1454" s="351"/>
      <c r="X1454" s="616"/>
      <c r="Y1454" s="351"/>
      <c r="Z1454" s="617"/>
      <c r="AA1454" s="351"/>
      <c r="AB1454" s="616"/>
      <c r="AC1454" s="351"/>
      <c r="AD1454" s="607"/>
      <c r="AE1454" s="351"/>
      <c r="AF1454" s="616"/>
      <c r="AG1454" s="351"/>
      <c r="AH1454" s="607"/>
      <c r="AI1454" s="351"/>
      <c r="AJ1454" s="616"/>
      <c r="AK1454" s="351"/>
      <c r="AL1454" s="622"/>
      <c r="AM1454" s="350"/>
      <c r="AN1454" s="350"/>
      <c r="AO1454" s="350"/>
      <c r="AP1454" s="350"/>
      <c r="AQ1454" s="350"/>
      <c r="AR1454" s="350"/>
      <c r="AS1454" s="350"/>
      <c r="AT1454" s="350"/>
      <c r="AU1454" s="350"/>
      <c r="AV1454" s="350"/>
      <c r="AW1454" s="350"/>
      <c r="AX1454" s="350"/>
      <c r="AY1454" s="350"/>
      <c r="AZ1454" s="350"/>
      <c r="BA1454" s="350"/>
      <c r="BB1454" s="351"/>
    </row>
    <row r="1455" spans="1:54" ht="15.75" customHeight="1">
      <c r="A1455" s="25">
        <f t="shared" si="5"/>
        <v>1442</v>
      </c>
      <c r="B1455" s="599" t="str">
        <f>'refer admin discharge'!B1451</f>
        <v>x</v>
      </c>
      <c r="C1455" s="351"/>
      <c r="D1455" s="600" t="str">
        <f>'refer admin discharge'!D1451</f>
        <v>xx</v>
      </c>
      <c r="E1455" s="351"/>
      <c r="F1455" s="609" t="str">
        <f>'refer admin discharge'!H1451</f>
        <v>00/00/0000</v>
      </c>
      <c r="G1455" s="351"/>
      <c r="H1455" s="610"/>
      <c r="I1455" s="351"/>
      <c r="J1455" s="611"/>
      <c r="K1455" s="351"/>
      <c r="L1455" s="610"/>
      <c r="M1455" s="351"/>
      <c r="N1455" s="612"/>
      <c r="O1455" s="351"/>
      <c r="P1455" s="610"/>
      <c r="Q1455" s="351"/>
      <c r="R1455" s="612"/>
      <c r="S1455" s="351"/>
      <c r="T1455" s="610"/>
      <c r="U1455" s="351"/>
      <c r="V1455" s="613" t="str">
        <f>'refer admin discharge'!H1456</f>
        <v>00/00/0000</v>
      </c>
      <c r="W1455" s="351"/>
      <c r="X1455" s="607"/>
      <c r="Y1455" s="351"/>
      <c r="Z1455" s="614"/>
      <c r="AA1455" s="351"/>
      <c r="AB1455" s="607"/>
      <c r="AC1455" s="351"/>
      <c r="AD1455" s="606"/>
      <c r="AE1455" s="351"/>
      <c r="AF1455" s="607"/>
      <c r="AG1455" s="351"/>
      <c r="AH1455" s="606"/>
      <c r="AI1455" s="351"/>
      <c r="AJ1455" s="607"/>
      <c r="AK1455" s="351"/>
      <c r="AL1455" s="608"/>
      <c r="AM1455" s="350"/>
      <c r="AN1455" s="350"/>
      <c r="AO1455" s="350"/>
      <c r="AP1455" s="350"/>
      <c r="AQ1455" s="350"/>
      <c r="AR1455" s="350"/>
      <c r="AS1455" s="350"/>
      <c r="AT1455" s="350"/>
      <c r="AU1455" s="350"/>
      <c r="AV1455" s="350"/>
      <c r="AW1455" s="350"/>
      <c r="AX1455" s="350"/>
      <c r="AY1455" s="350"/>
      <c r="AZ1455" s="350"/>
      <c r="BA1455" s="350"/>
      <c r="BB1455" s="351"/>
    </row>
    <row r="1456" spans="1:54" ht="15.75" customHeight="1">
      <c r="A1456" s="25">
        <f t="shared" si="5"/>
        <v>1443</v>
      </c>
      <c r="B1456" s="618" t="str">
        <f>'refer admin discharge'!B1452</f>
        <v>x</v>
      </c>
      <c r="C1456" s="351"/>
      <c r="D1456" s="619" t="str">
        <f>'refer admin discharge'!D1452</f>
        <v>xx</v>
      </c>
      <c r="E1456" s="351"/>
      <c r="F1456" s="620" t="str">
        <f>'refer admin discharge'!H1452</f>
        <v>00/00/0000</v>
      </c>
      <c r="G1456" s="351"/>
      <c r="H1456" s="615"/>
      <c r="I1456" s="351"/>
      <c r="J1456" s="621"/>
      <c r="K1456" s="351"/>
      <c r="L1456" s="615"/>
      <c r="M1456" s="351"/>
      <c r="N1456" s="610"/>
      <c r="O1456" s="351"/>
      <c r="P1456" s="615"/>
      <c r="Q1456" s="351"/>
      <c r="R1456" s="610"/>
      <c r="S1456" s="351"/>
      <c r="T1456" s="615"/>
      <c r="U1456" s="351"/>
      <c r="V1456" s="613" t="str">
        <f>'refer admin discharge'!H1457</f>
        <v>00/00/0000</v>
      </c>
      <c r="W1456" s="351"/>
      <c r="X1456" s="616"/>
      <c r="Y1456" s="351"/>
      <c r="Z1456" s="617"/>
      <c r="AA1456" s="351"/>
      <c r="AB1456" s="616"/>
      <c r="AC1456" s="351"/>
      <c r="AD1456" s="607"/>
      <c r="AE1456" s="351"/>
      <c r="AF1456" s="616"/>
      <c r="AG1456" s="351"/>
      <c r="AH1456" s="607"/>
      <c r="AI1456" s="351"/>
      <c r="AJ1456" s="616"/>
      <c r="AK1456" s="351"/>
      <c r="AL1456" s="622"/>
      <c r="AM1456" s="350"/>
      <c r="AN1456" s="350"/>
      <c r="AO1456" s="350"/>
      <c r="AP1456" s="350"/>
      <c r="AQ1456" s="350"/>
      <c r="AR1456" s="350"/>
      <c r="AS1456" s="350"/>
      <c r="AT1456" s="350"/>
      <c r="AU1456" s="350"/>
      <c r="AV1456" s="350"/>
      <c r="AW1456" s="350"/>
      <c r="AX1456" s="350"/>
      <c r="AY1456" s="350"/>
      <c r="AZ1456" s="350"/>
      <c r="BA1456" s="350"/>
      <c r="BB1456" s="351"/>
    </row>
    <row r="1457" spans="1:54" ht="15.75" customHeight="1">
      <c r="A1457" s="25">
        <f t="shared" si="5"/>
        <v>1444</v>
      </c>
      <c r="B1457" s="599" t="str">
        <f>'refer admin discharge'!B1453</f>
        <v>x</v>
      </c>
      <c r="C1457" s="351"/>
      <c r="D1457" s="600" t="str">
        <f>'refer admin discharge'!D1453</f>
        <v>xx</v>
      </c>
      <c r="E1457" s="351"/>
      <c r="F1457" s="609" t="str">
        <f>'refer admin discharge'!H1453</f>
        <v>00/00/0000</v>
      </c>
      <c r="G1457" s="351"/>
      <c r="H1457" s="610"/>
      <c r="I1457" s="351"/>
      <c r="J1457" s="611"/>
      <c r="K1457" s="351"/>
      <c r="L1457" s="610"/>
      <c r="M1457" s="351"/>
      <c r="N1457" s="612"/>
      <c r="O1457" s="351"/>
      <c r="P1457" s="610"/>
      <c r="Q1457" s="351"/>
      <c r="R1457" s="612"/>
      <c r="S1457" s="351"/>
      <c r="T1457" s="610"/>
      <c r="U1457" s="351"/>
      <c r="V1457" s="613" t="str">
        <f>'refer admin discharge'!H1458</f>
        <v>00/00/0000</v>
      </c>
      <c r="W1457" s="351"/>
      <c r="X1457" s="607"/>
      <c r="Y1457" s="351"/>
      <c r="Z1457" s="614"/>
      <c r="AA1457" s="351"/>
      <c r="AB1457" s="607"/>
      <c r="AC1457" s="351"/>
      <c r="AD1457" s="606"/>
      <c r="AE1457" s="351"/>
      <c r="AF1457" s="607"/>
      <c r="AG1457" s="351"/>
      <c r="AH1457" s="606"/>
      <c r="AI1457" s="351"/>
      <c r="AJ1457" s="607"/>
      <c r="AK1457" s="351"/>
      <c r="AL1457" s="608"/>
      <c r="AM1457" s="350"/>
      <c r="AN1457" s="350"/>
      <c r="AO1457" s="350"/>
      <c r="AP1457" s="350"/>
      <c r="AQ1457" s="350"/>
      <c r="AR1457" s="350"/>
      <c r="AS1457" s="350"/>
      <c r="AT1457" s="350"/>
      <c r="AU1457" s="350"/>
      <c r="AV1457" s="350"/>
      <c r="AW1457" s="350"/>
      <c r="AX1457" s="350"/>
      <c r="AY1457" s="350"/>
      <c r="AZ1457" s="350"/>
      <c r="BA1457" s="350"/>
      <c r="BB1457" s="351"/>
    </row>
    <row r="1458" spans="1:54" ht="15.75" customHeight="1">
      <c r="A1458" s="25">
        <f t="shared" si="5"/>
        <v>1445</v>
      </c>
      <c r="B1458" s="618" t="str">
        <f>'refer admin discharge'!B1454</f>
        <v>x</v>
      </c>
      <c r="C1458" s="351"/>
      <c r="D1458" s="619" t="str">
        <f>'refer admin discharge'!D1454</f>
        <v>xx</v>
      </c>
      <c r="E1458" s="351"/>
      <c r="F1458" s="620" t="str">
        <f>'refer admin discharge'!H1454</f>
        <v>00/00/0000</v>
      </c>
      <c r="G1458" s="351"/>
      <c r="H1458" s="615"/>
      <c r="I1458" s="351"/>
      <c r="J1458" s="621"/>
      <c r="K1458" s="351"/>
      <c r="L1458" s="615"/>
      <c r="M1458" s="351"/>
      <c r="N1458" s="610"/>
      <c r="O1458" s="351"/>
      <c r="P1458" s="615"/>
      <c r="Q1458" s="351"/>
      <c r="R1458" s="610"/>
      <c r="S1458" s="351"/>
      <c r="T1458" s="615"/>
      <c r="U1458" s="351"/>
      <c r="V1458" s="613" t="str">
        <f>'refer admin discharge'!H1459</f>
        <v>00/00/0000</v>
      </c>
      <c r="W1458" s="351"/>
      <c r="X1458" s="616"/>
      <c r="Y1458" s="351"/>
      <c r="Z1458" s="617"/>
      <c r="AA1458" s="351"/>
      <c r="AB1458" s="616"/>
      <c r="AC1458" s="351"/>
      <c r="AD1458" s="607"/>
      <c r="AE1458" s="351"/>
      <c r="AF1458" s="616"/>
      <c r="AG1458" s="351"/>
      <c r="AH1458" s="607"/>
      <c r="AI1458" s="351"/>
      <c r="AJ1458" s="616"/>
      <c r="AK1458" s="351"/>
      <c r="AL1458" s="622"/>
      <c r="AM1458" s="350"/>
      <c r="AN1458" s="350"/>
      <c r="AO1458" s="350"/>
      <c r="AP1458" s="350"/>
      <c r="AQ1458" s="350"/>
      <c r="AR1458" s="350"/>
      <c r="AS1458" s="350"/>
      <c r="AT1458" s="350"/>
      <c r="AU1458" s="350"/>
      <c r="AV1458" s="350"/>
      <c r="AW1458" s="350"/>
      <c r="AX1458" s="350"/>
      <c r="AY1458" s="350"/>
      <c r="AZ1458" s="350"/>
      <c r="BA1458" s="350"/>
      <c r="BB1458" s="351"/>
    </row>
    <row r="1459" spans="1:54" ht="15.75" customHeight="1">
      <c r="A1459" s="25">
        <f t="shared" si="5"/>
        <v>1446</v>
      </c>
      <c r="B1459" s="599" t="str">
        <f>'refer admin discharge'!B1455</f>
        <v>x</v>
      </c>
      <c r="C1459" s="351"/>
      <c r="D1459" s="600" t="str">
        <f>'refer admin discharge'!D1455</f>
        <v>xx</v>
      </c>
      <c r="E1459" s="351"/>
      <c r="F1459" s="609" t="str">
        <f>'refer admin discharge'!H1455</f>
        <v>00/00/0000</v>
      </c>
      <c r="G1459" s="351"/>
      <c r="H1459" s="610"/>
      <c r="I1459" s="351"/>
      <c r="J1459" s="611"/>
      <c r="K1459" s="351"/>
      <c r="L1459" s="610"/>
      <c r="M1459" s="351"/>
      <c r="N1459" s="612"/>
      <c r="O1459" s="351"/>
      <c r="P1459" s="610"/>
      <c r="Q1459" s="351"/>
      <c r="R1459" s="612"/>
      <c r="S1459" s="351"/>
      <c r="T1459" s="610"/>
      <c r="U1459" s="351"/>
      <c r="V1459" s="613" t="str">
        <f>'refer admin discharge'!H1460</f>
        <v>00/00/0000</v>
      </c>
      <c r="W1459" s="351"/>
      <c r="X1459" s="607"/>
      <c r="Y1459" s="351"/>
      <c r="Z1459" s="614"/>
      <c r="AA1459" s="351"/>
      <c r="AB1459" s="607"/>
      <c r="AC1459" s="351"/>
      <c r="AD1459" s="606"/>
      <c r="AE1459" s="351"/>
      <c r="AF1459" s="607"/>
      <c r="AG1459" s="351"/>
      <c r="AH1459" s="606"/>
      <c r="AI1459" s="351"/>
      <c r="AJ1459" s="607"/>
      <c r="AK1459" s="351"/>
      <c r="AL1459" s="608"/>
      <c r="AM1459" s="350"/>
      <c r="AN1459" s="350"/>
      <c r="AO1459" s="350"/>
      <c r="AP1459" s="350"/>
      <c r="AQ1459" s="350"/>
      <c r="AR1459" s="350"/>
      <c r="AS1459" s="350"/>
      <c r="AT1459" s="350"/>
      <c r="AU1459" s="350"/>
      <c r="AV1459" s="350"/>
      <c r="AW1459" s="350"/>
      <c r="AX1459" s="350"/>
      <c r="AY1459" s="350"/>
      <c r="AZ1459" s="350"/>
      <c r="BA1459" s="350"/>
      <c r="BB1459" s="351"/>
    </row>
    <row r="1460" spans="1:54" ht="15.75" customHeight="1">
      <c r="A1460" s="25">
        <f t="shared" si="5"/>
        <v>1447</v>
      </c>
      <c r="B1460" s="618" t="str">
        <f>'refer admin discharge'!B1456</f>
        <v>x</v>
      </c>
      <c r="C1460" s="351"/>
      <c r="D1460" s="619" t="str">
        <f>'refer admin discharge'!D1456</f>
        <v>xx</v>
      </c>
      <c r="E1460" s="351"/>
      <c r="F1460" s="620" t="str">
        <f>'refer admin discharge'!H1456</f>
        <v>00/00/0000</v>
      </c>
      <c r="G1460" s="351"/>
      <c r="H1460" s="615"/>
      <c r="I1460" s="351"/>
      <c r="J1460" s="621"/>
      <c r="K1460" s="351"/>
      <c r="L1460" s="615"/>
      <c r="M1460" s="351"/>
      <c r="N1460" s="610"/>
      <c r="O1460" s="351"/>
      <c r="P1460" s="615"/>
      <c r="Q1460" s="351"/>
      <c r="R1460" s="610"/>
      <c r="S1460" s="351"/>
      <c r="T1460" s="615"/>
      <c r="U1460" s="351"/>
      <c r="V1460" s="613" t="str">
        <f>'refer admin discharge'!H1461</f>
        <v>00/00/0000</v>
      </c>
      <c r="W1460" s="351"/>
      <c r="X1460" s="616"/>
      <c r="Y1460" s="351"/>
      <c r="Z1460" s="617"/>
      <c r="AA1460" s="351"/>
      <c r="AB1460" s="616"/>
      <c r="AC1460" s="351"/>
      <c r="AD1460" s="607"/>
      <c r="AE1460" s="351"/>
      <c r="AF1460" s="616"/>
      <c r="AG1460" s="351"/>
      <c r="AH1460" s="607"/>
      <c r="AI1460" s="351"/>
      <c r="AJ1460" s="616"/>
      <c r="AK1460" s="351"/>
      <c r="AL1460" s="622"/>
      <c r="AM1460" s="350"/>
      <c r="AN1460" s="350"/>
      <c r="AO1460" s="350"/>
      <c r="AP1460" s="350"/>
      <c r="AQ1460" s="350"/>
      <c r="AR1460" s="350"/>
      <c r="AS1460" s="350"/>
      <c r="AT1460" s="350"/>
      <c r="AU1460" s="350"/>
      <c r="AV1460" s="350"/>
      <c r="AW1460" s="350"/>
      <c r="AX1460" s="350"/>
      <c r="AY1460" s="350"/>
      <c r="AZ1460" s="350"/>
      <c r="BA1460" s="350"/>
      <c r="BB1460" s="351"/>
    </row>
    <row r="1461" spans="1:54" ht="15.75" customHeight="1">
      <c r="A1461" s="25">
        <f t="shared" si="5"/>
        <v>1448</v>
      </c>
      <c r="B1461" s="599" t="str">
        <f>'refer admin discharge'!B1457</f>
        <v>x</v>
      </c>
      <c r="C1461" s="351"/>
      <c r="D1461" s="600" t="str">
        <f>'refer admin discharge'!D1457</f>
        <v>xx</v>
      </c>
      <c r="E1461" s="351"/>
      <c r="F1461" s="609" t="str">
        <f>'refer admin discharge'!H1457</f>
        <v>00/00/0000</v>
      </c>
      <c r="G1461" s="351"/>
      <c r="H1461" s="610"/>
      <c r="I1461" s="351"/>
      <c r="J1461" s="611"/>
      <c r="K1461" s="351"/>
      <c r="L1461" s="610"/>
      <c r="M1461" s="351"/>
      <c r="N1461" s="612"/>
      <c r="O1461" s="351"/>
      <c r="P1461" s="610"/>
      <c r="Q1461" s="351"/>
      <c r="R1461" s="612"/>
      <c r="S1461" s="351"/>
      <c r="T1461" s="610"/>
      <c r="U1461" s="351"/>
      <c r="V1461" s="613" t="str">
        <f>'refer admin discharge'!H1462</f>
        <v>00/00/0000</v>
      </c>
      <c r="W1461" s="351"/>
      <c r="X1461" s="607"/>
      <c r="Y1461" s="351"/>
      <c r="Z1461" s="614"/>
      <c r="AA1461" s="351"/>
      <c r="AB1461" s="607"/>
      <c r="AC1461" s="351"/>
      <c r="AD1461" s="606"/>
      <c r="AE1461" s="351"/>
      <c r="AF1461" s="607"/>
      <c r="AG1461" s="351"/>
      <c r="AH1461" s="606"/>
      <c r="AI1461" s="351"/>
      <c r="AJ1461" s="607"/>
      <c r="AK1461" s="351"/>
      <c r="AL1461" s="608"/>
      <c r="AM1461" s="350"/>
      <c r="AN1461" s="350"/>
      <c r="AO1461" s="350"/>
      <c r="AP1461" s="350"/>
      <c r="AQ1461" s="350"/>
      <c r="AR1461" s="350"/>
      <c r="AS1461" s="350"/>
      <c r="AT1461" s="350"/>
      <c r="AU1461" s="350"/>
      <c r="AV1461" s="350"/>
      <c r="AW1461" s="350"/>
      <c r="AX1461" s="350"/>
      <c r="AY1461" s="350"/>
      <c r="AZ1461" s="350"/>
      <c r="BA1461" s="350"/>
      <c r="BB1461" s="351"/>
    </row>
    <row r="1462" spans="1:54" ht="15.75" customHeight="1">
      <c r="A1462" s="25">
        <f t="shared" si="5"/>
        <v>1449</v>
      </c>
      <c r="B1462" s="618" t="str">
        <f>'refer admin discharge'!B1458</f>
        <v>x</v>
      </c>
      <c r="C1462" s="351"/>
      <c r="D1462" s="619" t="str">
        <f>'refer admin discharge'!D1458</f>
        <v>xx</v>
      </c>
      <c r="E1462" s="351"/>
      <c r="F1462" s="620" t="str">
        <f>'refer admin discharge'!H1458</f>
        <v>00/00/0000</v>
      </c>
      <c r="G1462" s="351"/>
      <c r="H1462" s="615"/>
      <c r="I1462" s="351"/>
      <c r="J1462" s="621"/>
      <c r="K1462" s="351"/>
      <c r="L1462" s="615"/>
      <c r="M1462" s="351"/>
      <c r="N1462" s="610"/>
      <c r="O1462" s="351"/>
      <c r="P1462" s="615"/>
      <c r="Q1462" s="351"/>
      <c r="R1462" s="610"/>
      <c r="S1462" s="351"/>
      <c r="T1462" s="615"/>
      <c r="U1462" s="351"/>
      <c r="V1462" s="613" t="str">
        <f>'refer admin discharge'!H1463</f>
        <v>00/00/0000</v>
      </c>
      <c r="W1462" s="351"/>
      <c r="X1462" s="616"/>
      <c r="Y1462" s="351"/>
      <c r="Z1462" s="617"/>
      <c r="AA1462" s="351"/>
      <c r="AB1462" s="616"/>
      <c r="AC1462" s="351"/>
      <c r="AD1462" s="607"/>
      <c r="AE1462" s="351"/>
      <c r="AF1462" s="616"/>
      <c r="AG1462" s="351"/>
      <c r="AH1462" s="607"/>
      <c r="AI1462" s="351"/>
      <c r="AJ1462" s="616"/>
      <c r="AK1462" s="351"/>
      <c r="AL1462" s="622"/>
      <c r="AM1462" s="350"/>
      <c r="AN1462" s="350"/>
      <c r="AO1462" s="350"/>
      <c r="AP1462" s="350"/>
      <c r="AQ1462" s="350"/>
      <c r="AR1462" s="350"/>
      <c r="AS1462" s="350"/>
      <c r="AT1462" s="350"/>
      <c r="AU1462" s="350"/>
      <c r="AV1462" s="350"/>
      <c r="AW1462" s="350"/>
      <c r="AX1462" s="350"/>
      <c r="AY1462" s="350"/>
      <c r="AZ1462" s="350"/>
      <c r="BA1462" s="350"/>
      <c r="BB1462" s="351"/>
    </row>
    <row r="1463" spans="1:54" ht="15.75" customHeight="1">
      <c r="A1463" s="25">
        <f t="shared" si="5"/>
        <v>1450</v>
      </c>
      <c r="B1463" s="599" t="str">
        <f>'refer admin discharge'!B1459</f>
        <v>x</v>
      </c>
      <c r="C1463" s="351"/>
      <c r="D1463" s="600" t="str">
        <f>'refer admin discharge'!D1459</f>
        <v>xx</v>
      </c>
      <c r="E1463" s="351"/>
      <c r="F1463" s="609" t="str">
        <f>'refer admin discharge'!H1459</f>
        <v>00/00/0000</v>
      </c>
      <c r="G1463" s="351"/>
      <c r="H1463" s="610"/>
      <c r="I1463" s="351"/>
      <c r="J1463" s="611"/>
      <c r="K1463" s="351"/>
      <c r="L1463" s="610"/>
      <c r="M1463" s="351"/>
      <c r="N1463" s="612"/>
      <c r="O1463" s="351"/>
      <c r="P1463" s="610"/>
      <c r="Q1463" s="351"/>
      <c r="R1463" s="612"/>
      <c r="S1463" s="351"/>
      <c r="T1463" s="610"/>
      <c r="U1463" s="351"/>
      <c r="V1463" s="613" t="str">
        <f>'refer admin discharge'!H1464</f>
        <v>00/00/0000</v>
      </c>
      <c r="W1463" s="351"/>
      <c r="X1463" s="607"/>
      <c r="Y1463" s="351"/>
      <c r="Z1463" s="614"/>
      <c r="AA1463" s="351"/>
      <c r="AB1463" s="607"/>
      <c r="AC1463" s="351"/>
      <c r="AD1463" s="606"/>
      <c r="AE1463" s="351"/>
      <c r="AF1463" s="607"/>
      <c r="AG1463" s="351"/>
      <c r="AH1463" s="606"/>
      <c r="AI1463" s="351"/>
      <c r="AJ1463" s="607"/>
      <c r="AK1463" s="351"/>
      <c r="AL1463" s="608"/>
      <c r="AM1463" s="350"/>
      <c r="AN1463" s="350"/>
      <c r="AO1463" s="350"/>
      <c r="AP1463" s="350"/>
      <c r="AQ1463" s="350"/>
      <c r="AR1463" s="350"/>
      <c r="AS1463" s="350"/>
      <c r="AT1463" s="350"/>
      <c r="AU1463" s="350"/>
      <c r="AV1463" s="350"/>
      <c r="AW1463" s="350"/>
      <c r="AX1463" s="350"/>
      <c r="AY1463" s="350"/>
      <c r="AZ1463" s="350"/>
      <c r="BA1463" s="350"/>
      <c r="BB1463" s="351"/>
    </row>
    <row r="1464" spans="1:54" ht="15.75" customHeight="1">
      <c r="A1464" s="25">
        <f t="shared" si="5"/>
        <v>1451</v>
      </c>
      <c r="B1464" s="618" t="str">
        <f>'refer admin discharge'!B1460</f>
        <v>x</v>
      </c>
      <c r="C1464" s="351"/>
      <c r="D1464" s="619" t="str">
        <f>'refer admin discharge'!D1460</f>
        <v>xx</v>
      </c>
      <c r="E1464" s="351"/>
      <c r="F1464" s="620" t="str">
        <f>'refer admin discharge'!H1460</f>
        <v>00/00/0000</v>
      </c>
      <c r="G1464" s="351"/>
      <c r="H1464" s="615"/>
      <c r="I1464" s="351"/>
      <c r="J1464" s="621"/>
      <c r="K1464" s="351"/>
      <c r="L1464" s="615"/>
      <c r="M1464" s="351"/>
      <c r="N1464" s="610"/>
      <c r="O1464" s="351"/>
      <c r="P1464" s="615"/>
      <c r="Q1464" s="351"/>
      <c r="R1464" s="610"/>
      <c r="S1464" s="351"/>
      <c r="T1464" s="615"/>
      <c r="U1464" s="351"/>
      <c r="V1464" s="613" t="str">
        <f>'refer admin discharge'!H1465</f>
        <v>00/00/0000</v>
      </c>
      <c r="W1464" s="351"/>
      <c r="X1464" s="616"/>
      <c r="Y1464" s="351"/>
      <c r="Z1464" s="617"/>
      <c r="AA1464" s="351"/>
      <c r="AB1464" s="616"/>
      <c r="AC1464" s="351"/>
      <c r="AD1464" s="607"/>
      <c r="AE1464" s="351"/>
      <c r="AF1464" s="616"/>
      <c r="AG1464" s="351"/>
      <c r="AH1464" s="607"/>
      <c r="AI1464" s="351"/>
      <c r="AJ1464" s="616"/>
      <c r="AK1464" s="351"/>
      <c r="AL1464" s="622"/>
      <c r="AM1464" s="350"/>
      <c r="AN1464" s="350"/>
      <c r="AO1464" s="350"/>
      <c r="AP1464" s="350"/>
      <c r="AQ1464" s="350"/>
      <c r="AR1464" s="350"/>
      <c r="AS1464" s="350"/>
      <c r="AT1464" s="350"/>
      <c r="AU1464" s="350"/>
      <c r="AV1464" s="350"/>
      <c r="AW1464" s="350"/>
      <c r="AX1464" s="350"/>
      <c r="AY1464" s="350"/>
      <c r="AZ1464" s="350"/>
      <c r="BA1464" s="350"/>
      <c r="BB1464" s="351"/>
    </row>
    <row r="1465" spans="1:54" ht="15.75" customHeight="1">
      <c r="A1465" s="25">
        <f t="shared" si="5"/>
        <v>1452</v>
      </c>
      <c r="B1465" s="599" t="str">
        <f>'refer admin discharge'!B1461</f>
        <v>x</v>
      </c>
      <c r="C1465" s="351"/>
      <c r="D1465" s="600" t="str">
        <f>'refer admin discharge'!D1461</f>
        <v>xx</v>
      </c>
      <c r="E1465" s="351"/>
      <c r="F1465" s="609" t="str">
        <f>'refer admin discharge'!H1461</f>
        <v>00/00/0000</v>
      </c>
      <c r="G1465" s="351"/>
      <c r="H1465" s="610"/>
      <c r="I1465" s="351"/>
      <c r="J1465" s="611"/>
      <c r="K1465" s="351"/>
      <c r="L1465" s="610"/>
      <c r="M1465" s="351"/>
      <c r="N1465" s="612"/>
      <c r="O1465" s="351"/>
      <c r="P1465" s="610"/>
      <c r="Q1465" s="351"/>
      <c r="R1465" s="612"/>
      <c r="S1465" s="351"/>
      <c r="T1465" s="610"/>
      <c r="U1465" s="351"/>
      <c r="V1465" s="613" t="str">
        <f>'refer admin discharge'!H1466</f>
        <v>00/00/0000</v>
      </c>
      <c r="W1465" s="351"/>
      <c r="X1465" s="607"/>
      <c r="Y1465" s="351"/>
      <c r="Z1465" s="614"/>
      <c r="AA1465" s="351"/>
      <c r="AB1465" s="607"/>
      <c r="AC1465" s="351"/>
      <c r="AD1465" s="606"/>
      <c r="AE1465" s="351"/>
      <c r="AF1465" s="607"/>
      <c r="AG1465" s="351"/>
      <c r="AH1465" s="606"/>
      <c r="AI1465" s="351"/>
      <c r="AJ1465" s="607"/>
      <c r="AK1465" s="351"/>
      <c r="AL1465" s="608"/>
      <c r="AM1465" s="350"/>
      <c r="AN1465" s="350"/>
      <c r="AO1465" s="350"/>
      <c r="AP1465" s="350"/>
      <c r="AQ1465" s="350"/>
      <c r="AR1465" s="350"/>
      <c r="AS1465" s="350"/>
      <c r="AT1465" s="350"/>
      <c r="AU1465" s="350"/>
      <c r="AV1465" s="350"/>
      <c r="AW1465" s="350"/>
      <c r="AX1465" s="350"/>
      <c r="AY1465" s="350"/>
      <c r="AZ1465" s="350"/>
      <c r="BA1465" s="350"/>
      <c r="BB1465" s="351"/>
    </row>
    <row r="1466" spans="1:54" ht="15.75" customHeight="1">
      <c r="A1466" s="25">
        <f t="shared" si="5"/>
        <v>1453</v>
      </c>
      <c r="B1466" s="618" t="str">
        <f>'refer admin discharge'!B1462</f>
        <v>x</v>
      </c>
      <c r="C1466" s="351"/>
      <c r="D1466" s="619" t="str">
        <f>'refer admin discharge'!D1462</f>
        <v>xx</v>
      </c>
      <c r="E1466" s="351"/>
      <c r="F1466" s="620" t="str">
        <f>'refer admin discharge'!H1462</f>
        <v>00/00/0000</v>
      </c>
      <c r="G1466" s="351"/>
      <c r="H1466" s="615"/>
      <c r="I1466" s="351"/>
      <c r="J1466" s="621"/>
      <c r="K1466" s="351"/>
      <c r="L1466" s="615"/>
      <c r="M1466" s="351"/>
      <c r="N1466" s="610"/>
      <c r="O1466" s="351"/>
      <c r="P1466" s="615"/>
      <c r="Q1466" s="351"/>
      <c r="R1466" s="610"/>
      <c r="S1466" s="351"/>
      <c r="T1466" s="615"/>
      <c r="U1466" s="351"/>
      <c r="V1466" s="613" t="str">
        <f>'refer admin discharge'!H1467</f>
        <v>00/00/0000</v>
      </c>
      <c r="W1466" s="351"/>
      <c r="X1466" s="616"/>
      <c r="Y1466" s="351"/>
      <c r="Z1466" s="617"/>
      <c r="AA1466" s="351"/>
      <c r="AB1466" s="616"/>
      <c r="AC1466" s="351"/>
      <c r="AD1466" s="607"/>
      <c r="AE1466" s="351"/>
      <c r="AF1466" s="616"/>
      <c r="AG1466" s="351"/>
      <c r="AH1466" s="607"/>
      <c r="AI1466" s="351"/>
      <c r="AJ1466" s="616"/>
      <c r="AK1466" s="351"/>
      <c r="AL1466" s="622"/>
      <c r="AM1466" s="350"/>
      <c r="AN1466" s="350"/>
      <c r="AO1466" s="350"/>
      <c r="AP1466" s="350"/>
      <c r="AQ1466" s="350"/>
      <c r="AR1466" s="350"/>
      <c r="AS1466" s="350"/>
      <c r="AT1466" s="350"/>
      <c r="AU1466" s="350"/>
      <c r="AV1466" s="350"/>
      <c r="AW1466" s="350"/>
      <c r="AX1466" s="350"/>
      <c r="AY1466" s="350"/>
      <c r="AZ1466" s="350"/>
      <c r="BA1466" s="350"/>
      <c r="BB1466" s="351"/>
    </row>
    <row r="1467" spans="1:54" ht="15.75" customHeight="1">
      <c r="A1467" s="25">
        <f t="shared" si="5"/>
        <v>1454</v>
      </c>
      <c r="B1467" s="599" t="str">
        <f>'refer admin discharge'!B1463</f>
        <v>x</v>
      </c>
      <c r="C1467" s="351"/>
      <c r="D1467" s="600" t="str">
        <f>'refer admin discharge'!D1463</f>
        <v>xx</v>
      </c>
      <c r="E1467" s="351"/>
      <c r="F1467" s="609" t="str">
        <f>'refer admin discharge'!H1463</f>
        <v>00/00/0000</v>
      </c>
      <c r="G1467" s="351"/>
      <c r="H1467" s="610"/>
      <c r="I1467" s="351"/>
      <c r="J1467" s="611"/>
      <c r="K1467" s="351"/>
      <c r="L1467" s="610"/>
      <c r="M1467" s="351"/>
      <c r="N1467" s="612"/>
      <c r="O1467" s="351"/>
      <c r="P1467" s="610"/>
      <c r="Q1467" s="351"/>
      <c r="R1467" s="612"/>
      <c r="S1467" s="351"/>
      <c r="T1467" s="610"/>
      <c r="U1467" s="351"/>
      <c r="V1467" s="613" t="str">
        <f>'refer admin discharge'!H1468</f>
        <v>00/00/0000</v>
      </c>
      <c r="W1467" s="351"/>
      <c r="X1467" s="607"/>
      <c r="Y1467" s="351"/>
      <c r="Z1467" s="614"/>
      <c r="AA1467" s="351"/>
      <c r="AB1467" s="607"/>
      <c r="AC1467" s="351"/>
      <c r="AD1467" s="606"/>
      <c r="AE1467" s="351"/>
      <c r="AF1467" s="607"/>
      <c r="AG1467" s="351"/>
      <c r="AH1467" s="606"/>
      <c r="AI1467" s="351"/>
      <c r="AJ1467" s="607"/>
      <c r="AK1467" s="351"/>
      <c r="AL1467" s="608"/>
      <c r="AM1467" s="350"/>
      <c r="AN1467" s="350"/>
      <c r="AO1467" s="350"/>
      <c r="AP1467" s="350"/>
      <c r="AQ1467" s="350"/>
      <c r="AR1467" s="350"/>
      <c r="AS1467" s="350"/>
      <c r="AT1467" s="350"/>
      <c r="AU1467" s="350"/>
      <c r="AV1467" s="350"/>
      <c r="AW1467" s="350"/>
      <c r="AX1467" s="350"/>
      <c r="AY1467" s="350"/>
      <c r="AZ1467" s="350"/>
      <c r="BA1467" s="350"/>
      <c r="BB1467" s="351"/>
    </row>
    <row r="1468" spans="1:54" ht="15.75" customHeight="1">
      <c r="A1468" s="25">
        <f t="shared" si="5"/>
        <v>1455</v>
      </c>
      <c r="B1468" s="618" t="str">
        <f>'refer admin discharge'!B1464</f>
        <v>x</v>
      </c>
      <c r="C1468" s="351"/>
      <c r="D1468" s="619" t="str">
        <f>'refer admin discharge'!D1464</f>
        <v>xx</v>
      </c>
      <c r="E1468" s="351"/>
      <c r="F1468" s="620" t="str">
        <f>'refer admin discharge'!H1464</f>
        <v>00/00/0000</v>
      </c>
      <c r="G1468" s="351"/>
      <c r="H1468" s="615"/>
      <c r="I1468" s="351"/>
      <c r="J1468" s="621"/>
      <c r="K1468" s="351"/>
      <c r="L1468" s="615"/>
      <c r="M1468" s="351"/>
      <c r="N1468" s="610"/>
      <c r="O1468" s="351"/>
      <c r="P1468" s="615"/>
      <c r="Q1468" s="351"/>
      <c r="R1468" s="610"/>
      <c r="S1468" s="351"/>
      <c r="T1468" s="615"/>
      <c r="U1468" s="351"/>
      <c r="V1468" s="613" t="str">
        <f>'refer admin discharge'!H1469</f>
        <v>00/00/0000</v>
      </c>
      <c r="W1468" s="351"/>
      <c r="X1468" s="616"/>
      <c r="Y1468" s="351"/>
      <c r="Z1468" s="617"/>
      <c r="AA1468" s="351"/>
      <c r="AB1468" s="616"/>
      <c r="AC1468" s="351"/>
      <c r="AD1468" s="607"/>
      <c r="AE1468" s="351"/>
      <c r="AF1468" s="616"/>
      <c r="AG1468" s="351"/>
      <c r="AH1468" s="607"/>
      <c r="AI1468" s="351"/>
      <c r="AJ1468" s="616"/>
      <c r="AK1468" s="351"/>
      <c r="AL1468" s="622"/>
      <c r="AM1468" s="350"/>
      <c r="AN1468" s="350"/>
      <c r="AO1468" s="350"/>
      <c r="AP1468" s="350"/>
      <c r="AQ1468" s="350"/>
      <c r="AR1468" s="350"/>
      <c r="AS1468" s="350"/>
      <c r="AT1468" s="350"/>
      <c r="AU1468" s="350"/>
      <c r="AV1468" s="350"/>
      <c r="AW1468" s="350"/>
      <c r="AX1468" s="350"/>
      <c r="AY1468" s="350"/>
      <c r="AZ1468" s="350"/>
      <c r="BA1468" s="350"/>
      <c r="BB1468" s="351"/>
    </row>
    <row r="1469" spans="1:54" ht="15.75" customHeight="1">
      <c r="A1469" s="25">
        <f t="shared" si="5"/>
        <v>1456</v>
      </c>
      <c r="B1469" s="599" t="str">
        <f>'refer admin discharge'!B1465</f>
        <v>x</v>
      </c>
      <c r="C1469" s="351"/>
      <c r="D1469" s="600" t="str">
        <f>'refer admin discharge'!D1465</f>
        <v>xx</v>
      </c>
      <c r="E1469" s="351"/>
      <c r="F1469" s="609" t="str">
        <f>'refer admin discharge'!H1465</f>
        <v>00/00/0000</v>
      </c>
      <c r="G1469" s="351"/>
      <c r="H1469" s="610"/>
      <c r="I1469" s="351"/>
      <c r="J1469" s="611"/>
      <c r="K1469" s="351"/>
      <c r="L1469" s="610"/>
      <c r="M1469" s="351"/>
      <c r="N1469" s="612"/>
      <c r="O1469" s="351"/>
      <c r="P1469" s="610"/>
      <c r="Q1469" s="351"/>
      <c r="R1469" s="612"/>
      <c r="S1469" s="351"/>
      <c r="T1469" s="610"/>
      <c r="U1469" s="351"/>
      <c r="V1469" s="613" t="str">
        <f>'refer admin discharge'!H1470</f>
        <v>00/00/0000</v>
      </c>
      <c r="W1469" s="351"/>
      <c r="X1469" s="607"/>
      <c r="Y1469" s="351"/>
      <c r="Z1469" s="614"/>
      <c r="AA1469" s="351"/>
      <c r="AB1469" s="607"/>
      <c r="AC1469" s="351"/>
      <c r="AD1469" s="606"/>
      <c r="AE1469" s="351"/>
      <c r="AF1469" s="607"/>
      <c r="AG1469" s="351"/>
      <c r="AH1469" s="606"/>
      <c r="AI1469" s="351"/>
      <c r="AJ1469" s="607"/>
      <c r="AK1469" s="351"/>
      <c r="AL1469" s="608"/>
      <c r="AM1469" s="350"/>
      <c r="AN1469" s="350"/>
      <c r="AO1469" s="350"/>
      <c r="AP1469" s="350"/>
      <c r="AQ1469" s="350"/>
      <c r="AR1469" s="350"/>
      <c r="AS1469" s="350"/>
      <c r="AT1469" s="350"/>
      <c r="AU1469" s="350"/>
      <c r="AV1469" s="350"/>
      <c r="AW1469" s="350"/>
      <c r="AX1469" s="350"/>
      <c r="AY1469" s="350"/>
      <c r="AZ1469" s="350"/>
      <c r="BA1469" s="350"/>
      <c r="BB1469" s="351"/>
    </row>
    <row r="1470" spans="1:54" ht="15.75" customHeight="1">
      <c r="A1470" s="25">
        <f t="shared" si="5"/>
        <v>1457</v>
      </c>
      <c r="B1470" s="618" t="str">
        <f>'refer admin discharge'!B1466</f>
        <v>x</v>
      </c>
      <c r="C1470" s="351"/>
      <c r="D1470" s="619" t="str">
        <f>'refer admin discharge'!D1466</f>
        <v>xx</v>
      </c>
      <c r="E1470" s="351"/>
      <c r="F1470" s="620" t="str">
        <f>'refer admin discharge'!H1466</f>
        <v>00/00/0000</v>
      </c>
      <c r="G1470" s="351"/>
      <c r="H1470" s="615"/>
      <c r="I1470" s="351"/>
      <c r="J1470" s="621"/>
      <c r="K1470" s="351"/>
      <c r="L1470" s="615"/>
      <c r="M1470" s="351"/>
      <c r="N1470" s="610"/>
      <c r="O1470" s="351"/>
      <c r="P1470" s="615"/>
      <c r="Q1470" s="351"/>
      <c r="R1470" s="610"/>
      <c r="S1470" s="351"/>
      <c r="T1470" s="615"/>
      <c r="U1470" s="351"/>
      <c r="V1470" s="613" t="str">
        <f>'refer admin discharge'!H1471</f>
        <v>00/00/0000</v>
      </c>
      <c r="W1470" s="351"/>
      <c r="X1470" s="616"/>
      <c r="Y1470" s="351"/>
      <c r="Z1470" s="617"/>
      <c r="AA1470" s="351"/>
      <c r="AB1470" s="616"/>
      <c r="AC1470" s="351"/>
      <c r="AD1470" s="607"/>
      <c r="AE1470" s="351"/>
      <c r="AF1470" s="616"/>
      <c r="AG1470" s="351"/>
      <c r="AH1470" s="607"/>
      <c r="AI1470" s="351"/>
      <c r="AJ1470" s="616"/>
      <c r="AK1470" s="351"/>
      <c r="AL1470" s="622"/>
      <c r="AM1470" s="350"/>
      <c r="AN1470" s="350"/>
      <c r="AO1470" s="350"/>
      <c r="AP1470" s="350"/>
      <c r="AQ1470" s="350"/>
      <c r="AR1470" s="350"/>
      <c r="AS1470" s="350"/>
      <c r="AT1470" s="350"/>
      <c r="AU1470" s="350"/>
      <c r="AV1470" s="350"/>
      <c r="AW1470" s="350"/>
      <c r="AX1470" s="350"/>
      <c r="AY1470" s="350"/>
      <c r="AZ1470" s="350"/>
      <c r="BA1470" s="350"/>
      <c r="BB1470" s="351"/>
    </row>
    <row r="1471" spans="1:54" ht="15.75" customHeight="1">
      <c r="A1471" s="25">
        <f t="shared" si="5"/>
        <v>1458</v>
      </c>
      <c r="B1471" s="599" t="str">
        <f>'refer admin discharge'!B1467</f>
        <v>x</v>
      </c>
      <c r="C1471" s="351"/>
      <c r="D1471" s="600" t="str">
        <f>'refer admin discharge'!D1467</f>
        <v>xx</v>
      </c>
      <c r="E1471" s="351"/>
      <c r="F1471" s="609" t="str">
        <f>'refer admin discharge'!H1467</f>
        <v>00/00/0000</v>
      </c>
      <c r="G1471" s="351"/>
      <c r="H1471" s="610"/>
      <c r="I1471" s="351"/>
      <c r="J1471" s="611"/>
      <c r="K1471" s="351"/>
      <c r="L1471" s="610"/>
      <c r="M1471" s="351"/>
      <c r="N1471" s="612"/>
      <c r="O1471" s="351"/>
      <c r="P1471" s="610"/>
      <c r="Q1471" s="351"/>
      <c r="R1471" s="612"/>
      <c r="S1471" s="351"/>
      <c r="T1471" s="610"/>
      <c r="U1471" s="351"/>
      <c r="V1471" s="613" t="str">
        <f>'refer admin discharge'!H1472</f>
        <v>00/00/0000</v>
      </c>
      <c r="W1471" s="351"/>
      <c r="X1471" s="607"/>
      <c r="Y1471" s="351"/>
      <c r="Z1471" s="614"/>
      <c r="AA1471" s="351"/>
      <c r="AB1471" s="607"/>
      <c r="AC1471" s="351"/>
      <c r="AD1471" s="606"/>
      <c r="AE1471" s="351"/>
      <c r="AF1471" s="607"/>
      <c r="AG1471" s="351"/>
      <c r="AH1471" s="606"/>
      <c r="AI1471" s="351"/>
      <c r="AJ1471" s="607"/>
      <c r="AK1471" s="351"/>
      <c r="AL1471" s="608"/>
      <c r="AM1471" s="350"/>
      <c r="AN1471" s="350"/>
      <c r="AO1471" s="350"/>
      <c r="AP1471" s="350"/>
      <c r="AQ1471" s="350"/>
      <c r="AR1471" s="350"/>
      <c r="AS1471" s="350"/>
      <c r="AT1471" s="350"/>
      <c r="AU1471" s="350"/>
      <c r="AV1471" s="350"/>
      <c r="AW1471" s="350"/>
      <c r="AX1471" s="350"/>
      <c r="AY1471" s="350"/>
      <c r="AZ1471" s="350"/>
      <c r="BA1471" s="350"/>
      <c r="BB1471" s="351"/>
    </row>
    <row r="1472" spans="1:54" ht="15.75" customHeight="1">
      <c r="A1472" s="25">
        <f t="shared" si="5"/>
        <v>1459</v>
      </c>
      <c r="B1472" s="618" t="str">
        <f>'refer admin discharge'!B1468</f>
        <v>x</v>
      </c>
      <c r="C1472" s="351"/>
      <c r="D1472" s="619" t="str">
        <f>'refer admin discharge'!D1468</f>
        <v>xx</v>
      </c>
      <c r="E1472" s="351"/>
      <c r="F1472" s="620" t="str">
        <f>'refer admin discharge'!H1468</f>
        <v>00/00/0000</v>
      </c>
      <c r="G1472" s="351"/>
      <c r="H1472" s="615"/>
      <c r="I1472" s="351"/>
      <c r="J1472" s="621"/>
      <c r="K1472" s="351"/>
      <c r="L1472" s="615"/>
      <c r="M1472" s="351"/>
      <c r="N1472" s="610"/>
      <c r="O1472" s="351"/>
      <c r="P1472" s="615"/>
      <c r="Q1472" s="351"/>
      <c r="R1472" s="610"/>
      <c r="S1472" s="351"/>
      <c r="T1472" s="615"/>
      <c r="U1472" s="351"/>
      <c r="V1472" s="613" t="str">
        <f>'refer admin discharge'!H1473</f>
        <v>00/00/0000</v>
      </c>
      <c r="W1472" s="351"/>
      <c r="X1472" s="616"/>
      <c r="Y1472" s="351"/>
      <c r="Z1472" s="617"/>
      <c r="AA1472" s="351"/>
      <c r="AB1472" s="616"/>
      <c r="AC1472" s="351"/>
      <c r="AD1472" s="607"/>
      <c r="AE1472" s="351"/>
      <c r="AF1472" s="616"/>
      <c r="AG1472" s="351"/>
      <c r="AH1472" s="607"/>
      <c r="AI1472" s="351"/>
      <c r="AJ1472" s="616"/>
      <c r="AK1472" s="351"/>
      <c r="AL1472" s="622"/>
      <c r="AM1472" s="350"/>
      <c r="AN1472" s="350"/>
      <c r="AO1472" s="350"/>
      <c r="AP1472" s="350"/>
      <c r="AQ1472" s="350"/>
      <c r="AR1472" s="350"/>
      <c r="AS1472" s="350"/>
      <c r="AT1472" s="350"/>
      <c r="AU1472" s="350"/>
      <c r="AV1472" s="350"/>
      <c r="AW1472" s="350"/>
      <c r="AX1472" s="350"/>
      <c r="AY1472" s="350"/>
      <c r="AZ1472" s="350"/>
      <c r="BA1472" s="350"/>
      <c r="BB1472" s="351"/>
    </row>
    <row r="1473" spans="1:54" ht="15.75" customHeight="1">
      <c r="A1473" s="25">
        <f t="shared" si="5"/>
        <v>1460</v>
      </c>
      <c r="B1473" s="599" t="str">
        <f>'refer admin discharge'!B1469</f>
        <v>x</v>
      </c>
      <c r="C1473" s="351"/>
      <c r="D1473" s="600" t="str">
        <f>'refer admin discharge'!D1469</f>
        <v>xx</v>
      </c>
      <c r="E1473" s="351"/>
      <c r="F1473" s="609" t="str">
        <f>'refer admin discharge'!H1469</f>
        <v>00/00/0000</v>
      </c>
      <c r="G1473" s="351"/>
      <c r="H1473" s="610"/>
      <c r="I1473" s="351"/>
      <c r="J1473" s="611"/>
      <c r="K1473" s="351"/>
      <c r="L1473" s="610"/>
      <c r="M1473" s="351"/>
      <c r="N1473" s="612"/>
      <c r="O1473" s="351"/>
      <c r="P1473" s="610"/>
      <c r="Q1473" s="351"/>
      <c r="R1473" s="612"/>
      <c r="S1473" s="351"/>
      <c r="T1473" s="610"/>
      <c r="U1473" s="351"/>
      <c r="V1473" s="613" t="str">
        <f>'refer admin discharge'!H1474</f>
        <v>00/00/0000</v>
      </c>
      <c r="W1473" s="351"/>
      <c r="X1473" s="607"/>
      <c r="Y1473" s="351"/>
      <c r="Z1473" s="614"/>
      <c r="AA1473" s="351"/>
      <c r="AB1473" s="607"/>
      <c r="AC1473" s="351"/>
      <c r="AD1473" s="606"/>
      <c r="AE1473" s="351"/>
      <c r="AF1473" s="607"/>
      <c r="AG1473" s="351"/>
      <c r="AH1473" s="606"/>
      <c r="AI1473" s="351"/>
      <c r="AJ1473" s="607"/>
      <c r="AK1473" s="351"/>
      <c r="AL1473" s="608"/>
      <c r="AM1473" s="350"/>
      <c r="AN1473" s="350"/>
      <c r="AO1473" s="350"/>
      <c r="AP1473" s="350"/>
      <c r="AQ1473" s="350"/>
      <c r="AR1473" s="350"/>
      <c r="AS1473" s="350"/>
      <c r="AT1473" s="350"/>
      <c r="AU1473" s="350"/>
      <c r="AV1473" s="350"/>
      <c r="AW1473" s="350"/>
      <c r="AX1473" s="350"/>
      <c r="AY1473" s="350"/>
      <c r="AZ1473" s="350"/>
      <c r="BA1473" s="350"/>
      <c r="BB1473" s="351"/>
    </row>
    <row r="1474" spans="1:54" ht="15.75" customHeight="1">
      <c r="A1474" s="25">
        <f t="shared" si="5"/>
        <v>1461</v>
      </c>
      <c r="B1474" s="618" t="str">
        <f>'refer admin discharge'!B1470</f>
        <v>x</v>
      </c>
      <c r="C1474" s="351"/>
      <c r="D1474" s="619" t="str">
        <f>'refer admin discharge'!D1470</f>
        <v>xx</v>
      </c>
      <c r="E1474" s="351"/>
      <c r="F1474" s="620" t="str">
        <f>'refer admin discharge'!H1470</f>
        <v>00/00/0000</v>
      </c>
      <c r="G1474" s="351"/>
      <c r="H1474" s="615"/>
      <c r="I1474" s="351"/>
      <c r="J1474" s="621"/>
      <c r="K1474" s="351"/>
      <c r="L1474" s="615"/>
      <c r="M1474" s="351"/>
      <c r="N1474" s="610"/>
      <c r="O1474" s="351"/>
      <c r="P1474" s="615"/>
      <c r="Q1474" s="351"/>
      <c r="R1474" s="610"/>
      <c r="S1474" s="351"/>
      <c r="T1474" s="615"/>
      <c r="U1474" s="351"/>
      <c r="V1474" s="613" t="str">
        <f>'refer admin discharge'!H1475</f>
        <v>00/00/0000</v>
      </c>
      <c r="W1474" s="351"/>
      <c r="X1474" s="616"/>
      <c r="Y1474" s="351"/>
      <c r="Z1474" s="617"/>
      <c r="AA1474" s="351"/>
      <c r="AB1474" s="616"/>
      <c r="AC1474" s="351"/>
      <c r="AD1474" s="607"/>
      <c r="AE1474" s="351"/>
      <c r="AF1474" s="616"/>
      <c r="AG1474" s="351"/>
      <c r="AH1474" s="607"/>
      <c r="AI1474" s="351"/>
      <c r="AJ1474" s="616"/>
      <c r="AK1474" s="351"/>
      <c r="AL1474" s="622"/>
      <c r="AM1474" s="350"/>
      <c r="AN1474" s="350"/>
      <c r="AO1474" s="350"/>
      <c r="AP1474" s="350"/>
      <c r="AQ1474" s="350"/>
      <c r="AR1474" s="350"/>
      <c r="AS1474" s="350"/>
      <c r="AT1474" s="350"/>
      <c r="AU1474" s="350"/>
      <c r="AV1474" s="350"/>
      <c r="AW1474" s="350"/>
      <c r="AX1474" s="350"/>
      <c r="AY1474" s="350"/>
      <c r="AZ1474" s="350"/>
      <c r="BA1474" s="350"/>
      <c r="BB1474" s="351"/>
    </row>
    <row r="1475" spans="1:54" ht="15.75" customHeight="1">
      <c r="A1475" s="25">
        <f t="shared" si="5"/>
        <v>1462</v>
      </c>
      <c r="B1475" s="599" t="str">
        <f>'refer admin discharge'!B1471</f>
        <v>x</v>
      </c>
      <c r="C1475" s="351"/>
      <c r="D1475" s="600" t="str">
        <f>'refer admin discharge'!D1471</f>
        <v>xx</v>
      </c>
      <c r="E1475" s="351"/>
      <c r="F1475" s="609" t="str">
        <f>'refer admin discharge'!H1471</f>
        <v>00/00/0000</v>
      </c>
      <c r="G1475" s="351"/>
      <c r="H1475" s="610"/>
      <c r="I1475" s="351"/>
      <c r="J1475" s="611"/>
      <c r="K1475" s="351"/>
      <c r="L1475" s="610"/>
      <c r="M1475" s="351"/>
      <c r="N1475" s="612"/>
      <c r="O1475" s="351"/>
      <c r="P1475" s="610"/>
      <c r="Q1475" s="351"/>
      <c r="R1475" s="612"/>
      <c r="S1475" s="351"/>
      <c r="T1475" s="610"/>
      <c r="U1475" s="351"/>
      <c r="V1475" s="613" t="str">
        <f>'refer admin discharge'!H1476</f>
        <v>00/00/0000</v>
      </c>
      <c r="W1475" s="351"/>
      <c r="X1475" s="607"/>
      <c r="Y1475" s="351"/>
      <c r="Z1475" s="614"/>
      <c r="AA1475" s="351"/>
      <c r="AB1475" s="607"/>
      <c r="AC1475" s="351"/>
      <c r="AD1475" s="606"/>
      <c r="AE1475" s="351"/>
      <c r="AF1475" s="607"/>
      <c r="AG1475" s="351"/>
      <c r="AH1475" s="606"/>
      <c r="AI1475" s="351"/>
      <c r="AJ1475" s="607"/>
      <c r="AK1475" s="351"/>
      <c r="AL1475" s="608"/>
      <c r="AM1475" s="350"/>
      <c r="AN1475" s="350"/>
      <c r="AO1475" s="350"/>
      <c r="AP1475" s="350"/>
      <c r="AQ1475" s="350"/>
      <c r="AR1475" s="350"/>
      <c r="AS1475" s="350"/>
      <c r="AT1475" s="350"/>
      <c r="AU1475" s="350"/>
      <c r="AV1475" s="350"/>
      <c r="AW1475" s="350"/>
      <c r="AX1475" s="350"/>
      <c r="AY1475" s="350"/>
      <c r="AZ1475" s="350"/>
      <c r="BA1475" s="350"/>
      <c r="BB1475" s="351"/>
    </row>
    <row r="1476" spans="1:54" ht="15.75" customHeight="1">
      <c r="A1476" s="25">
        <f t="shared" si="5"/>
        <v>1463</v>
      </c>
      <c r="B1476" s="618" t="str">
        <f>'refer admin discharge'!B1472</f>
        <v>x</v>
      </c>
      <c r="C1476" s="351"/>
      <c r="D1476" s="619" t="str">
        <f>'refer admin discharge'!D1472</f>
        <v>xx</v>
      </c>
      <c r="E1476" s="351"/>
      <c r="F1476" s="620" t="str">
        <f>'refer admin discharge'!H1472</f>
        <v>00/00/0000</v>
      </c>
      <c r="G1476" s="351"/>
      <c r="H1476" s="615"/>
      <c r="I1476" s="351"/>
      <c r="J1476" s="621"/>
      <c r="K1476" s="351"/>
      <c r="L1476" s="615"/>
      <c r="M1476" s="351"/>
      <c r="N1476" s="610"/>
      <c r="O1476" s="351"/>
      <c r="P1476" s="615"/>
      <c r="Q1476" s="351"/>
      <c r="R1476" s="610"/>
      <c r="S1476" s="351"/>
      <c r="T1476" s="615"/>
      <c r="U1476" s="351"/>
      <c r="V1476" s="613" t="str">
        <f>'refer admin discharge'!H1477</f>
        <v>00/00/0000</v>
      </c>
      <c r="W1476" s="351"/>
      <c r="X1476" s="616"/>
      <c r="Y1476" s="351"/>
      <c r="Z1476" s="617"/>
      <c r="AA1476" s="351"/>
      <c r="AB1476" s="616"/>
      <c r="AC1476" s="351"/>
      <c r="AD1476" s="607"/>
      <c r="AE1476" s="351"/>
      <c r="AF1476" s="616"/>
      <c r="AG1476" s="351"/>
      <c r="AH1476" s="607"/>
      <c r="AI1476" s="351"/>
      <c r="AJ1476" s="616"/>
      <c r="AK1476" s="351"/>
      <c r="AL1476" s="622"/>
      <c r="AM1476" s="350"/>
      <c r="AN1476" s="350"/>
      <c r="AO1476" s="350"/>
      <c r="AP1476" s="350"/>
      <c r="AQ1476" s="350"/>
      <c r="AR1476" s="350"/>
      <c r="AS1476" s="350"/>
      <c r="AT1476" s="350"/>
      <c r="AU1476" s="350"/>
      <c r="AV1476" s="350"/>
      <c r="AW1476" s="350"/>
      <c r="AX1476" s="350"/>
      <c r="AY1476" s="350"/>
      <c r="AZ1476" s="350"/>
      <c r="BA1476" s="350"/>
      <c r="BB1476" s="351"/>
    </row>
    <row r="1477" spans="1:54" ht="15.75" customHeight="1">
      <c r="A1477" s="25">
        <f t="shared" si="5"/>
        <v>1464</v>
      </c>
      <c r="B1477" s="599" t="str">
        <f>'refer admin discharge'!B1473</f>
        <v>x</v>
      </c>
      <c r="C1477" s="351"/>
      <c r="D1477" s="600" t="str">
        <f>'refer admin discharge'!D1473</f>
        <v>xx</v>
      </c>
      <c r="E1477" s="351"/>
      <c r="F1477" s="609" t="str">
        <f>'refer admin discharge'!H1473</f>
        <v>00/00/0000</v>
      </c>
      <c r="G1477" s="351"/>
      <c r="H1477" s="610"/>
      <c r="I1477" s="351"/>
      <c r="J1477" s="611"/>
      <c r="K1477" s="351"/>
      <c r="L1477" s="610"/>
      <c r="M1477" s="351"/>
      <c r="N1477" s="612"/>
      <c r="O1477" s="351"/>
      <c r="P1477" s="610"/>
      <c r="Q1477" s="351"/>
      <c r="R1477" s="612"/>
      <c r="S1477" s="351"/>
      <c r="T1477" s="610"/>
      <c r="U1477" s="351"/>
      <c r="V1477" s="613" t="str">
        <f>'refer admin discharge'!H1478</f>
        <v>00/00/0000</v>
      </c>
      <c r="W1477" s="351"/>
      <c r="X1477" s="607"/>
      <c r="Y1477" s="351"/>
      <c r="Z1477" s="614"/>
      <c r="AA1477" s="351"/>
      <c r="AB1477" s="607"/>
      <c r="AC1477" s="351"/>
      <c r="AD1477" s="606"/>
      <c r="AE1477" s="351"/>
      <c r="AF1477" s="607"/>
      <c r="AG1477" s="351"/>
      <c r="AH1477" s="606"/>
      <c r="AI1477" s="351"/>
      <c r="AJ1477" s="607"/>
      <c r="AK1477" s="351"/>
      <c r="AL1477" s="608"/>
      <c r="AM1477" s="350"/>
      <c r="AN1477" s="350"/>
      <c r="AO1477" s="350"/>
      <c r="AP1477" s="350"/>
      <c r="AQ1477" s="350"/>
      <c r="AR1477" s="350"/>
      <c r="AS1477" s="350"/>
      <c r="AT1477" s="350"/>
      <c r="AU1477" s="350"/>
      <c r="AV1477" s="350"/>
      <c r="AW1477" s="350"/>
      <c r="AX1477" s="350"/>
      <c r="AY1477" s="350"/>
      <c r="AZ1477" s="350"/>
      <c r="BA1477" s="350"/>
      <c r="BB1477" s="351"/>
    </row>
    <row r="1478" spans="1:54" ht="15.75" customHeight="1">
      <c r="A1478" s="25">
        <f t="shared" si="5"/>
        <v>1465</v>
      </c>
      <c r="B1478" s="618" t="str">
        <f>'refer admin discharge'!B1474</f>
        <v>x</v>
      </c>
      <c r="C1478" s="351"/>
      <c r="D1478" s="619" t="str">
        <f>'refer admin discharge'!D1474</f>
        <v>xx</v>
      </c>
      <c r="E1478" s="351"/>
      <c r="F1478" s="620" t="str">
        <f>'refer admin discharge'!H1474</f>
        <v>00/00/0000</v>
      </c>
      <c r="G1478" s="351"/>
      <c r="H1478" s="615"/>
      <c r="I1478" s="351"/>
      <c r="J1478" s="621"/>
      <c r="K1478" s="351"/>
      <c r="L1478" s="615"/>
      <c r="M1478" s="351"/>
      <c r="N1478" s="610"/>
      <c r="O1478" s="351"/>
      <c r="P1478" s="615"/>
      <c r="Q1478" s="351"/>
      <c r="R1478" s="610"/>
      <c r="S1478" s="351"/>
      <c r="T1478" s="615"/>
      <c r="U1478" s="351"/>
      <c r="V1478" s="613" t="str">
        <f>'refer admin discharge'!H1479</f>
        <v>00/00/0000</v>
      </c>
      <c r="W1478" s="351"/>
      <c r="X1478" s="616"/>
      <c r="Y1478" s="351"/>
      <c r="Z1478" s="617"/>
      <c r="AA1478" s="351"/>
      <c r="AB1478" s="616"/>
      <c r="AC1478" s="351"/>
      <c r="AD1478" s="607"/>
      <c r="AE1478" s="351"/>
      <c r="AF1478" s="616"/>
      <c r="AG1478" s="351"/>
      <c r="AH1478" s="607"/>
      <c r="AI1478" s="351"/>
      <c r="AJ1478" s="616"/>
      <c r="AK1478" s="351"/>
      <c r="AL1478" s="622"/>
      <c r="AM1478" s="350"/>
      <c r="AN1478" s="350"/>
      <c r="AO1478" s="350"/>
      <c r="AP1478" s="350"/>
      <c r="AQ1478" s="350"/>
      <c r="AR1478" s="350"/>
      <c r="AS1478" s="350"/>
      <c r="AT1478" s="350"/>
      <c r="AU1478" s="350"/>
      <c r="AV1478" s="350"/>
      <c r="AW1478" s="350"/>
      <c r="AX1478" s="350"/>
      <c r="AY1478" s="350"/>
      <c r="AZ1478" s="350"/>
      <c r="BA1478" s="350"/>
      <c r="BB1478" s="351"/>
    </row>
    <row r="1479" spans="1:54" ht="15.75" customHeight="1">
      <c r="A1479" s="25">
        <f t="shared" si="5"/>
        <v>1466</v>
      </c>
      <c r="B1479" s="599" t="str">
        <f>'refer admin discharge'!B1475</f>
        <v>x</v>
      </c>
      <c r="C1479" s="351"/>
      <c r="D1479" s="600" t="str">
        <f>'refer admin discharge'!D1475</f>
        <v>xx</v>
      </c>
      <c r="E1479" s="351"/>
      <c r="F1479" s="609" t="str">
        <f>'refer admin discharge'!H1475</f>
        <v>00/00/0000</v>
      </c>
      <c r="G1479" s="351"/>
      <c r="H1479" s="610"/>
      <c r="I1479" s="351"/>
      <c r="J1479" s="611"/>
      <c r="K1479" s="351"/>
      <c r="L1479" s="610"/>
      <c r="M1479" s="351"/>
      <c r="N1479" s="612"/>
      <c r="O1479" s="351"/>
      <c r="P1479" s="610"/>
      <c r="Q1479" s="351"/>
      <c r="R1479" s="612"/>
      <c r="S1479" s="351"/>
      <c r="T1479" s="610"/>
      <c r="U1479" s="351"/>
      <c r="V1479" s="613" t="str">
        <f>'refer admin discharge'!H1480</f>
        <v>00/00/0000</v>
      </c>
      <c r="W1479" s="351"/>
      <c r="X1479" s="607"/>
      <c r="Y1479" s="351"/>
      <c r="Z1479" s="614"/>
      <c r="AA1479" s="351"/>
      <c r="AB1479" s="607"/>
      <c r="AC1479" s="351"/>
      <c r="AD1479" s="606"/>
      <c r="AE1479" s="351"/>
      <c r="AF1479" s="607"/>
      <c r="AG1479" s="351"/>
      <c r="AH1479" s="606"/>
      <c r="AI1479" s="351"/>
      <c r="AJ1479" s="607"/>
      <c r="AK1479" s="351"/>
      <c r="AL1479" s="608"/>
      <c r="AM1479" s="350"/>
      <c r="AN1479" s="350"/>
      <c r="AO1479" s="350"/>
      <c r="AP1479" s="350"/>
      <c r="AQ1479" s="350"/>
      <c r="AR1479" s="350"/>
      <c r="AS1479" s="350"/>
      <c r="AT1479" s="350"/>
      <c r="AU1479" s="350"/>
      <c r="AV1479" s="350"/>
      <c r="AW1479" s="350"/>
      <c r="AX1479" s="350"/>
      <c r="AY1479" s="350"/>
      <c r="AZ1479" s="350"/>
      <c r="BA1479" s="350"/>
      <c r="BB1479" s="351"/>
    </row>
    <row r="1480" spans="1:54" ht="15.75" customHeight="1">
      <c r="A1480" s="25">
        <f t="shared" si="5"/>
        <v>1467</v>
      </c>
      <c r="B1480" s="618" t="str">
        <f>'refer admin discharge'!B1476</f>
        <v>x</v>
      </c>
      <c r="C1480" s="351"/>
      <c r="D1480" s="619" t="str">
        <f>'refer admin discharge'!D1476</f>
        <v>xx</v>
      </c>
      <c r="E1480" s="351"/>
      <c r="F1480" s="620" t="str">
        <f>'refer admin discharge'!H1476</f>
        <v>00/00/0000</v>
      </c>
      <c r="G1480" s="351"/>
      <c r="H1480" s="615"/>
      <c r="I1480" s="351"/>
      <c r="J1480" s="621"/>
      <c r="K1480" s="351"/>
      <c r="L1480" s="615"/>
      <c r="M1480" s="351"/>
      <c r="N1480" s="610"/>
      <c r="O1480" s="351"/>
      <c r="P1480" s="615"/>
      <c r="Q1480" s="351"/>
      <c r="R1480" s="610"/>
      <c r="S1480" s="351"/>
      <c r="T1480" s="615"/>
      <c r="U1480" s="351"/>
      <c r="V1480" s="613" t="str">
        <f>'refer admin discharge'!H1481</f>
        <v>00/00/0000</v>
      </c>
      <c r="W1480" s="351"/>
      <c r="X1480" s="616"/>
      <c r="Y1480" s="351"/>
      <c r="Z1480" s="617"/>
      <c r="AA1480" s="351"/>
      <c r="AB1480" s="616"/>
      <c r="AC1480" s="351"/>
      <c r="AD1480" s="607"/>
      <c r="AE1480" s="351"/>
      <c r="AF1480" s="616"/>
      <c r="AG1480" s="351"/>
      <c r="AH1480" s="607"/>
      <c r="AI1480" s="351"/>
      <c r="AJ1480" s="616"/>
      <c r="AK1480" s="351"/>
      <c r="AL1480" s="622"/>
      <c r="AM1480" s="350"/>
      <c r="AN1480" s="350"/>
      <c r="AO1480" s="350"/>
      <c r="AP1480" s="350"/>
      <c r="AQ1480" s="350"/>
      <c r="AR1480" s="350"/>
      <c r="AS1480" s="350"/>
      <c r="AT1480" s="350"/>
      <c r="AU1480" s="350"/>
      <c r="AV1480" s="350"/>
      <c r="AW1480" s="350"/>
      <c r="AX1480" s="350"/>
      <c r="AY1480" s="350"/>
      <c r="AZ1480" s="350"/>
      <c r="BA1480" s="350"/>
      <c r="BB1480" s="351"/>
    </row>
    <row r="1481" spans="1:54" ht="15.75" customHeight="1">
      <c r="A1481" s="25">
        <f t="shared" si="5"/>
        <v>1468</v>
      </c>
      <c r="B1481" s="599" t="str">
        <f>'refer admin discharge'!B1477</f>
        <v>x</v>
      </c>
      <c r="C1481" s="351"/>
      <c r="D1481" s="600" t="str">
        <f>'refer admin discharge'!D1477</f>
        <v>xx</v>
      </c>
      <c r="E1481" s="351"/>
      <c r="F1481" s="609" t="str">
        <f>'refer admin discharge'!H1477</f>
        <v>00/00/0000</v>
      </c>
      <c r="G1481" s="351"/>
      <c r="H1481" s="610"/>
      <c r="I1481" s="351"/>
      <c r="J1481" s="611"/>
      <c r="K1481" s="351"/>
      <c r="L1481" s="610"/>
      <c r="M1481" s="351"/>
      <c r="N1481" s="612"/>
      <c r="O1481" s="351"/>
      <c r="P1481" s="610"/>
      <c r="Q1481" s="351"/>
      <c r="R1481" s="612"/>
      <c r="S1481" s="351"/>
      <c r="T1481" s="610"/>
      <c r="U1481" s="351"/>
      <c r="V1481" s="613" t="str">
        <f>'refer admin discharge'!H1482</f>
        <v>00/00/0000</v>
      </c>
      <c r="W1481" s="351"/>
      <c r="X1481" s="607"/>
      <c r="Y1481" s="351"/>
      <c r="Z1481" s="614"/>
      <c r="AA1481" s="351"/>
      <c r="AB1481" s="607"/>
      <c r="AC1481" s="351"/>
      <c r="AD1481" s="606"/>
      <c r="AE1481" s="351"/>
      <c r="AF1481" s="607"/>
      <c r="AG1481" s="351"/>
      <c r="AH1481" s="606"/>
      <c r="AI1481" s="351"/>
      <c r="AJ1481" s="607"/>
      <c r="AK1481" s="351"/>
      <c r="AL1481" s="608"/>
      <c r="AM1481" s="350"/>
      <c r="AN1481" s="350"/>
      <c r="AO1481" s="350"/>
      <c r="AP1481" s="350"/>
      <c r="AQ1481" s="350"/>
      <c r="AR1481" s="350"/>
      <c r="AS1481" s="350"/>
      <c r="AT1481" s="350"/>
      <c r="AU1481" s="350"/>
      <c r="AV1481" s="350"/>
      <c r="AW1481" s="350"/>
      <c r="AX1481" s="350"/>
      <c r="AY1481" s="350"/>
      <c r="AZ1481" s="350"/>
      <c r="BA1481" s="350"/>
      <c r="BB1481" s="351"/>
    </row>
    <row r="1482" spans="1:54" ht="15.75" customHeight="1">
      <c r="A1482" s="25">
        <f t="shared" si="5"/>
        <v>1469</v>
      </c>
      <c r="B1482" s="618" t="str">
        <f>'refer admin discharge'!B1478</f>
        <v>x</v>
      </c>
      <c r="C1482" s="351"/>
      <c r="D1482" s="619" t="str">
        <f>'refer admin discharge'!D1478</f>
        <v>xx</v>
      </c>
      <c r="E1482" s="351"/>
      <c r="F1482" s="620" t="str">
        <f>'refer admin discharge'!H1478</f>
        <v>00/00/0000</v>
      </c>
      <c r="G1482" s="351"/>
      <c r="H1482" s="615"/>
      <c r="I1482" s="351"/>
      <c r="J1482" s="621"/>
      <c r="K1482" s="351"/>
      <c r="L1482" s="615"/>
      <c r="M1482" s="351"/>
      <c r="N1482" s="610"/>
      <c r="O1482" s="351"/>
      <c r="P1482" s="615"/>
      <c r="Q1482" s="351"/>
      <c r="R1482" s="610"/>
      <c r="S1482" s="351"/>
      <c r="T1482" s="615"/>
      <c r="U1482" s="351"/>
      <c r="V1482" s="613" t="str">
        <f>'refer admin discharge'!H1483</f>
        <v>00/00/0000</v>
      </c>
      <c r="W1482" s="351"/>
      <c r="X1482" s="616"/>
      <c r="Y1482" s="351"/>
      <c r="Z1482" s="617"/>
      <c r="AA1482" s="351"/>
      <c r="AB1482" s="616"/>
      <c r="AC1482" s="351"/>
      <c r="AD1482" s="607"/>
      <c r="AE1482" s="351"/>
      <c r="AF1482" s="616"/>
      <c r="AG1482" s="351"/>
      <c r="AH1482" s="607"/>
      <c r="AI1482" s="351"/>
      <c r="AJ1482" s="616"/>
      <c r="AK1482" s="351"/>
      <c r="AL1482" s="622"/>
      <c r="AM1482" s="350"/>
      <c r="AN1482" s="350"/>
      <c r="AO1482" s="350"/>
      <c r="AP1482" s="350"/>
      <c r="AQ1482" s="350"/>
      <c r="AR1482" s="350"/>
      <c r="AS1482" s="350"/>
      <c r="AT1482" s="350"/>
      <c r="AU1482" s="350"/>
      <c r="AV1482" s="350"/>
      <c r="AW1482" s="350"/>
      <c r="AX1482" s="350"/>
      <c r="AY1482" s="350"/>
      <c r="AZ1482" s="350"/>
      <c r="BA1482" s="350"/>
      <c r="BB1482" s="351"/>
    </row>
    <row r="1483" spans="1:54" ht="15.75" customHeight="1">
      <c r="A1483" s="25">
        <f t="shared" si="5"/>
        <v>1470</v>
      </c>
      <c r="B1483" s="599" t="str">
        <f>'refer admin discharge'!B1479</f>
        <v>x</v>
      </c>
      <c r="C1483" s="351"/>
      <c r="D1483" s="600" t="str">
        <f>'refer admin discharge'!D1479</f>
        <v>xx</v>
      </c>
      <c r="E1483" s="351"/>
      <c r="F1483" s="609" t="str">
        <f>'refer admin discharge'!H1479</f>
        <v>00/00/0000</v>
      </c>
      <c r="G1483" s="351"/>
      <c r="H1483" s="610"/>
      <c r="I1483" s="351"/>
      <c r="J1483" s="611"/>
      <c r="K1483" s="351"/>
      <c r="L1483" s="610"/>
      <c r="M1483" s="351"/>
      <c r="N1483" s="612"/>
      <c r="O1483" s="351"/>
      <c r="P1483" s="610"/>
      <c r="Q1483" s="351"/>
      <c r="R1483" s="612"/>
      <c r="S1483" s="351"/>
      <c r="T1483" s="610"/>
      <c r="U1483" s="351"/>
      <c r="V1483" s="613" t="str">
        <f>'refer admin discharge'!H1484</f>
        <v>00/00/0000</v>
      </c>
      <c r="W1483" s="351"/>
      <c r="X1483" s="607"/>
      <c r="Y1483" s="351"/>
      <c r="Z1483" s="614"/>
      <c r="AA1483" s="351"/>
      <c r="AB1483" s="607"/>
      <c r="AC1483" s="351"/>
      <c r="AD1483" s="606"/>
      <c r="AE1483" s="351"/>
      <c r="AF1483" s="607"/>
      <c r="AG1483" s="351"/>
      <c r="AH1483" s="606"/>
      <c r="AI1483" s="351"/>
      <c r="AJ1483" s="607"/>
      <c r="AK1483" s="351"/>
      <c r="AL1483" s="608"/>
      <c r="AM1483" s="350"/>
      <c r="AN1483" s="350"/>
      <c r="AO1483" s="350"/>
      <c r="AP1483" s="350"/>
      <c r="AQ1483" s="350"/>
      <c r="AR1483" s="350"/>
      <c r="AS1483" s="350"/>
      <c r="AT1483" s="350"/>
      <c r="AU1483" s="350"/>
      <c r="AV1483" s="350"/>
      <c r="AW1483" s="350"/>
      <c r="AX1483" s="350"/>
      <c r="AY1483" s="350"/>
      <c r="AZ1483" s="350"/>
      <c r="BA1483" s="350"/>
      <c r="BB1483" s="351"/>
    </row>
    <row r="1484" spans="1:54" ht="15.75" customHeight="1">
      <c r="A1484" s="25">
        <f t="shared" si="5"/>
        <v>1471</v>
      </c>
      <c r="B1484" s="618" t="str">
        <f>'refer admin discharge'!B1480</f>
        <v>x</v>
      </c>
      <c r="C1484" s="351"/>
      <c r="D1484" s="619" t="str">
        <f>'refer admin discharge'!D1480</f>
        <v>xx</v>
      </c>
      <c r="E1484" s="351"/>
      <c r="F1484" s="620" t="str">
        <f>'refer admin discharge'!H1480</f>
        <v>00/00/0000</v>
      </c>
      <c r="G1484" s="351"/>
      <c r="H1484" s="615"/>
      <c r="I1484" s="351"/>
      <c r="J1484" s="621"/>
      <c r="K1484" s="351"/>
      <c r="L1484" s="615"/>
      <c r="M1484" s="351"/>
      <c r="N1484" s="610"/>
      <c r="O1484" s="351"/>
      <c r="P1484" s="615"/>
      <c r="Q1484" s="351"/>
      <c r="R1484" s="610"/>
      <c r="S1484" s="351"/>
      <c r="T1484" s="615"/>
      <c r="U1484" s="351"/>
      <c r="V1484" s="613" t="str">
        <f>'refer admin discharge'!H1485</f>
        <v>00/00/0000</v>
      </c>
      <c r="W1484" s="351"/>
      <c r="X1484" s="616"/>
      <c r="Y1484" s="351"/>
      <c r="Z1484" s="617"/>
      <c r="AA1484" s="351"/>
      <c r="AB1484" s="616"/>
      <c r="AC1484" s="351"/>
      <c r="AD1484" s="607"/>
      <c r="AE1484" s="351"/>
      <c r="AF1484" s="616"/>
      <c r="AG1484" s="351"/>
      <c r="AH1484" s="607"/>
      <c r="AI1484" s="351"/>
      <c r="AJ1484" s="616"/>
      <c r="AK1484" s="351"/>
      <c r="AL1484" s="622"/>
      <c r="AM1484" s="350"/>
      <c r="AN1484" s="350"/>
      <c r="AO1484" s="350"/>
      <c r="AP1484" s="350"/>
      <c r="AQ1484" s="350"/>
      <c r="AR1484" s="350"/>
      <c r="AS1484" s="350"/>
      <c r="AT1484" s="350"/>
      <c r="AU1484" s="350"/>
      <c r="AV1484" s="350"/>
      <c r="AW1484" s="350"/>
      <c r="AX1484" s="350"/>
      <c r="AY1484" s="350"/>
      <c r="AZ1484" s="350"/>
      <c r="BA1484" s="350"/>
      <c r="BB1484" s="351"/>
    </row>
    <row r="1485" spans="1:54" ht="15.75" customHeight="1">
      <c r="A1485" s="25">
        <f t="shared" si="5"/>
        <v>1472</v>
      </c>
      <c r="B1485" s="599" t="str">
        <f>'refer admin discharge'!B1481</f>
        <v>x</v>
      </c>
      <c r="C1485" s="351"/>
      <c r="D1485" s="600" t="str">
        <f>'refer admin discharge'!D1481</f>
        <v>xx</v>
      </c>
      <c r="E1485" s="351"/>
      <c r="F1485" s="609" t="str">
        <f>'refer admin discharge'!H1481</f>
        <v>00/00/0000</v>
      </c>
      <c r="G1485" s="351"/>
      <c r="H1485" s="610"/>
      <c r="I1485" s="351"/>
      <c r="J1485" s="611"/>
      <c r="K1485" s="351"/>
      <c r="L1485" s="610"/>
      <c r="M1485" s="351"/>
      <c r="N1485" s="612"/>
      <c r="O1485" s="351"/>
      <c r="P1485" s="610"/>
      <c r="Q1485" s="351"/>
      <c r="R1485" s="612"/>
      <c r="S1485" s="351"/>
      <c r="T1485" s="610"/>
      <c r="U1485" s="351"/>
      <c r="V1485" s="613" t="str">
        <f>'refer admin discharge'!H1486</f>
        <v>00/00/0000</v>
      </c>
      <c r="W1485" s="351"/>
      <c r="X1485" s="607"/>
      <c r="Y1485" s="351"/>
      <c r="Z1485" s="614"/>
      <c r="AA1485" s="351"/>
      <c r="AB1485" s="607"/>
      <c r="AC1485" s="351"/>
      <c r="AD1485" s="606"/>
      <c r="AE1485" s="351"/>
      <c r="AF1485" s="607"/>
      <c r="AG1485" s="351"/>
      <c r="AH1485" s="606"/>
      <c r="AI1485" s="351"/>
      <c r="AJ1485" s="607"/>
      <c r="AK1485" s="351"/>
      <c r="AL1485" s="608"/>
      <c r="AM1485" s="350"/>
      <c r="AN1485" s="350"/>
      <c r="AO1485" s="350"/>
      <c r="AP1485" s="350"/>
      <c r="AQ1485" s="350"/>
      <c r="AR1485" s="350"/>
      <c r="AS1485" s="350"/>
      <c r="AT1485" s="350"/>
      <c r="AU1485" s="350"/>
      <c r="AV1485" s="350"/>
      <c r="AW1485" s="350"/>
      <c r="AX1485" s="350"/>
      <c r="AY1485" s="350"/>
      <c r="AZ1485" s="350"/>
      <c r="BA1485" s="350"/>
      <c r="BB1485" s="351"/>
    </row>
    <row r="1486" spans="1:54" ht="15.75" customHeight="1">
      <c r="A1486" s="25">
        <f t="shared" si="5"/>
        <v>1473</v>
      </c>
      <c r="B1486" s="618" t="str">
        <f>'refer admin discharge'!B1482</f>
        <v>x</v>
      </c>
      <c r="C1486" s="351"/>
      <c r="D1486" s="619" t="str">
        <f>'refer admin discharge'!D1482</f>
        <v>xx</v>
      </c>
      <c r="E1486" s="351"/>
      <c r="F1486" s="620" t="str">
        <f>'refer admin discharge'!H1482</f>
        <v>00/00/0000</v>
      </c>
      <c r="G1486" s="351"/>
      <c r="H1486" s="615"/>
      <c r="I1486" s="351"/>
      <c r="J1486" s="621"/>
      <c r="K1486" s="351"/>
      <c r="L1486" s="615"/>
      <c r="M1486" s="351"/>
      <c r="N1486" s="610"/>
      <c r="O1486" s="351"/>
      <c r="P1486" s="615"/>
      <c r="Q1486" s="351"/>
      <c r="R1486" s="610"/>
      <c r="S1486" s="351"/>
      <c r="T1486" s="615"/>
      <c r="U1486" s="351"/>
      <c r="V1486" s="613" t="str">
        <f>'refer admin discharge'!H1487</f>
        <v>00/00/0000</v>
      </c>
      <c r="W1486" s="351"/>
      <c r="X1486" s="616"/>
      <c r="Y1486" s="351"/>
      <c r="Z1486" s="617"/>
      <c r="AA1486" s="351"/>
      <c r="AB1486" s="616"/>
      <c r="AC1486" s="351"/>
      <c r="AD1486" s="607"/>
      <c r="AE1486" s="351"/>
      <c r="AF1486" s="616"/>
      <c r="AG1486" s="351"/>
      <c r="AH1486" s="607"/>
      <c r="AI1486" s="351"/>
      <c r="AJ1486" s="616"/>
      <c r="AK1486" s="351"/>
      <c r="AL1486" s="622"/>
      <c r="AM1486" s="350"/>
      <c r="AN1486" s="350"/>
      <c r="AO1486" s="350"/>
      <c r="AP1486" s="350"/>
      <c r="AQ1486" s="350"/>
      <c r="AR1486" s="350"/>
      <c r="AS1486" s="350"/>
      <c r="AT1486" s="350"/>
      <c r="AU1486" s="350"/>
      <c r="AV1486" s="350"/>
      <c r="AW1486" s="350"/>
      <c r="AX1486" s="350"/>
      <c r="AY1486" s="350"/>
      <c r="AZ1486" s="350"/>
      <c r="BA1486" s="350"/>
      <c r="BB1486" s="351"/>
    </row>
    <row r="1487" spans="1:54" ht="15.75" customHeight="1">
      <c r="A1487" s="25">
        <f t="shared" si="5"/>
        <v>1474</v>
      </c>
      <c r="B1487" s="599" t="str">
        <f>'refer admin discharge'!B1483</f>
        <v>x</v>
      </c>
      <c r="C1487" s="351"/>
      <c r="D1487" s="600" t="str">
        <f>'refer admin discharge'!D1483</f>
        <v>xx</v>
      </c>
      <c r="E1487" s="351"/>
      <c r="F1487" s="609" t="str">
        <f>'refer admin discharge'!H1483</f>
        <v>00/00/0000</v>
      </c>
      <c r="G1487" s="351"/>
      <c r="H1487" s="610"/>
      <c r="I1487" s="351"/>
      <c r="J1487" s="611"/>
      <c r="K1487" s="351"/>
      <c r="L1487" s="610"/>
      <c r="M1487" s="351"/>
      <c r="N1487" s="612"/>
      <c r="O1487" s="351"/>
      <c r="P1487" s="610"/>
      <c r="Q1487" s="351"/>
      <c r="R1487" s="612"/>
      <c r="S1487" s="351"/>
      <c r="T1487" s="610"/>
      <c r="U1487" s="351"/>
      <c r="V1487" s="613" t="str">
        <f>'refer admin discharge'!H1488</f>
        <v>00/00/0000</v>
      </c>
      <c r="W1487" s="351"/>
      <c r="X1487" s="607"/>
      <c r="Y1487" s="351"/>
      <c r="Z1487" s="614"/>
      <c r="AA1487" s="351"/>
      <c r="AB1487" s="607"/>
      <c r="AC1487" s="351"/>
      <c r="AD1487" s="606"/>
      <c r="AE1487" s="351"/>
      <c r="AF1487" s="607"/>
      <c r="AG1487" s="351"/>
      <c r="AH1487" s="606"/>
      <c r="AI1487" s="351"/>
      <c r="AJ1487" s="607"/>
      <c r="AK1487" s="351"/>
      <c r="AL1487" s="608"/>
      <c r="AM1487" s="350"/>
      <c r="AN1487" s="350"/>
      <c r="AO1487" s="350"/>
      <c r="AP1487" s="350"/>
      <c r="AQ1487" s="350"/>
      <c r="AR1487" s="350"/>
      <c r="AS1487" s="350"/>
      <c r="AT1487" s="350"/>
      <c r="AU1487" s="350"/>
      <c r="AV1487" s="350"/>
      <c r="AW1487" s="350"/>
      <c r="AX1487" s="350"/>
      <c r="AY1487" s="350"/>
      <c r="AZ1487" s="350"/>
      <c r="BA1487" s="350"/>
      <c r="BB1487" s="351"/>
    </row>
    <row r="1488" spans="1:54" ht="15.75" customHeight="1">
      <c r="A1488" s="25">
        <f t="shared" si="5"/>
        <v>1475</v>
      </c>
      <c r="B1488" s="618" t="str">
        <f>'refer admin discharge'!B1484</f>
        <v>x</v>
      </c>
      <c r="C1488" s="351"/>
      <c r="D1488" s="619" t="str">
        <f>'refer admin discharge'!D1484</f>
        <v>xx</v>
      </c>
      <c r="E1488" s="351"/>
      <c r="F1488" s="620" t="str">
        <f>'refer admin discharge'!H1484</f>
        <v>00/00/0000</v>
      </c>
      <c r="G1488" s="351"/>
      <c r="H1488" s="615"/>
      <c r="I1488" s="351"/>
      <c r="J1488" s="621"/>
      <c r="K1488" s="351"/>
      <c r="L1488" s="615"/>
      <c r="M1488" s="351"/>
      <c r="N1488" s="610"/>
      <c r="O1488" s="351"/>
      <c r="P1488" s="615"/>
      <c r="Q1488" s="351"/>
      <c r="R1488" s="610"/>
      <c r="S1488" s="351"/>
      <c r="T1488" s="615"/>
      <c r="U1488" s="351"/>
      <c r="V1488" s="613" t="str">
        <f>'refer admin discharge'!H1489</f>
        <v>00/00/0000</v>
      </c>
      <c r="W1488" s="351"/>
      <c r="X1488" s="616"/>
      <c r="Y1488" s="351"/>
      <c r="Z1488" s="617"/>
      <c r="AA1488" s="351"/>
      <c r="AB1488" s="616"/>
      <c r="AC1488" s="351"/>
      <c r="AD1488" s="607"/>
      <c r="AE1488" s="351"/>
      <c r="AF1488" s="616"/>
      <c r="AG1488" s="351"/>
      <c r="AH1488" s="607"/>
      <c r="AI1488" s="351"/>
      <c r="AJ1488" s="616"/>
      <c r="AK1488" s="351"/>
      <c r="AL1488" s="622"/>
      <c r="AM1488" s="350"/>
      <c r="AN1488" s="350"/>
      <c r="AO1488" s="350"/>
      <c r="AP1488" s="350"/>
      <c r="AQ1488" s="350"/>
      <c r="AR1488" s="350"/>
      <c r="AS1488" s="350"/>
      <c r="AT1488" s="350"/>
      <c r="AU1488" s="350"/>
      <c r="AV1488" s="350"/>
      <c r="AW1488" s="350"/>
      <c r="AX1488" s="350"/>
      <c r="AY1488" s="350"/>
      <c r="AZ1488" s="350"/>
      <c r="BA1488" s="350"/>
      <c r="BB1488" s="351"/>
    </row>
    <row r="1489" spans="1:54" ht="15.75" customHeight="1">
      <c r="A1489" s="25">
        <f t="shared" si="5"/>
        <v>1476</v>
      </c>
      <c r="B1489" s="599" t="str">
        <f>'refer admin discharge'!B1485</f>
        <v>x</v>
      </c>
      <c r="C1489" s="351"/>
      <c r="D1489" s="600" t="str">
        <f>'refer admin discharge'!D1485</f>
        <v>xx</v>
      </c>
      <c r="E1489" s="351"/>
      <c r="F1489" s="609" t="str">
        <f>'refer admin discharge'!H1485</f>
        <v>00/00/0000</v>
      </c>
      <c r="G1489" s="351"/>
      <c r="H1489" s="610"/>
      <c r="I1489" s="351"/>
      <c r="J1489" s="611"/>
      <c r="K1489" s="351"/>
      <c r="L1489" s="610"/>
      <c r="M1489" s="351"/>
      <c r="N1489" s="612"/>
      <c r="O1489" s="351"/>
      <c r="P1489" s="610"/>
      <c r="Q1489" s="351"/>
      <c r="R1489" s="612"/>
      <c r="S1489" s="351"/>
      <c r="T1489" s="610"/>
      <c r="U1489" s="351"/>
      <c r="V1489" s="613" t="str">
        <f>'refer admin discharge'!H1490</f>
        <v>00/00/0000</v>
      </c>
      <c r="W1489" s="351"/>
      <c r="X1489" s="607"/>
      <c r="Y1489" s="351"/>
      <c r="Z1489" s="614"/>
      <c r="AA1489" s="351"/>
      <c r="AB1489" s="607"/>
      <c r="AC1489" s="351"/>
      <c r="AD1489" s="606"/>
      <c r="AE1489" s="351"/>
      <c r="AF1489" s="607"/>
      <c r="AG1489" s="351"/>
      <c r="AH1489" s="606"/>
      <c r="AI1489" s="351"/>
      <c r="AJ1489" s="607"/>
      <c r="AK1489" s="351"/>
      <c r="AL1489" s="608"/>
      <c r="AM1489" s="350"/>
      <c r="AN1489" s="350"/>
      <c r="AO1489" s="350"/>
      <c r="AP1489" s="350"/>
      <c r="AQ1489" s="350"/>
      <c r="AR1489" s="350"/>
      <c r="AS1489" s="350"/>
      <c r="AT1489" s="350"/>
      <c r="AU1489" s="350"/>
      <c r="AV1489" s="350"/>
      <c r="AW1489" s="350"/>
      <c r="AX1489" s="350"/>
      <c r="AY1489" s="350"/>
      <c r="AZ1489" s="350"/>
      <c r="BA1489" s="350"/>
      <c r="BB1489" s="351"/>
    </row>
    <row r="1490" spans="1:54" ht="15.75" customHeight="1">
      <c r="A1490" s="25">
        <f t="shared" si="5"/>
        <v>1477</v>
      </c>
      <c r="B1490" s="618" t="str">
        <f>'refer admin discharge'!B1486</f>
        <v>x</v>
      </c>
      <c r="C1490" s="351"/>
      <c r="D1490" s="619" t="str">
        <f>'refer admin discharge'!D1486</f>
        <v>xx</v>
      </c>
      <c r="E1490" s="351"/>
      <c r="F1490" s="620" t="str">
        <f>'refer admin discharge'!H1486</f>
        <v>00/00/0000</v>
      </c>
      <c r="G1490" s="351"/>
      <c r="H1490" s="615"/>
      <c r="I1490" s="351"/>
      <c r="J1490" s="621"/>
      <c r="K1490" s="351"/>
      <c r="L1490" s="615"/>
      <c r="M1490" s="351"/>
      <c r="N1490" s="610"/>
      <c r="O1490" s="351"/>
      <c r="P1490" s="615"/>
      <c r="Q1490" s="351"/>
      <c r="R1490" s="610"/>
      <c r="S1490" s="351"/>
      <c r="T1490" s="615"/>
      <c r="U1490" s="351"/>
      <c r="V1490" s="613" t="str">
        <f>'refer admin discharge'!H1491</f>
        <v>00/00/0000</v>
      </c>
      <c r="W1490" s="351"/>
      <c r="X1490" s="616"/>
      <c r="Y1490" s="351"/>
      <c r="Z1490" s="617"/>
      <c r="AA1490" s="351"/>
      <c r="AB1490" s="616"/>
      <c r="AC1490" s="351"/>
      <c r="AD1490" s="607"/>
      <c r="AE1490" s="351"/>
      <c r="AF1490" s="616"/>
      <c r="AG1490" s="351"/>
      <c r="AH1490" s="607"/>
      <c r="AI1490" s="351"/>
      <c r="AJ1490" s="616"/>
      <c r="AK1490" s="351"/>
      <c r="AL1490" s="622"/>
      <c r="AM1490" s="350"/>
      <c r="AN1490" s="350"/>
      <c r="AO1490" s="350"/>
      <c r="AP1490" s="350"/>
      <c r="AQ1490" s="350"/>
      <c r="AR1490" s="350"/>
      <c r="AS1490" s="350"/>
      <c r="AT1490" s="350"/>
      <c r="AU1490" s="350"/>
      <c r="AV1490" s="350"/>
      <c r="AW1490" s="350"/>
      <c r="AX1490" s="350"/>
      <c r="AY1490" s="350"/>
      <c r="AZ1490" s="350"/>
      <c r="BA1490" s="350"/>
      <c r="BB1490" s="351"/>
    </row>
    <row r="1491" spans="1:54" ht="15.75" customHeight="1">
      <c r="A1491" s="25">
        <f t="shared" si="5"/>
        <v>1478</v>
      </c>
      <c r="B1491" s="599" t="str">
        <f>'refer admin discharge'!B1487</f>
        <v>x</v>
      </c>
      <c r="C1491" s="351"/>
      <c r="D1491" s="600" t="str">
        <f>'refer admin discharge'!D1487</f>
        <v>xx</v>
      </c>
      <c r="E1491" s="351"/>
      <c r="F1491" s="609" t="str">
        <f>'refer admin discharge'!H1487</f>
        <v>00/00/0000</v>
      </c>
      <c r="G1491" s="351"/>
      <c r="H1491" s="610"/>
      <c r="I1491" s="351"/>
      <c r="J1491" s="611"/>
      <c r="K1491" s="351"/>
      <c r="L1491" s="610"/>
      <c r="M1491" s="351"/>
      <c r="N1491" s="612"/>
      <c r="O1491" s="351"/>
      <c r="P1491" s="610"/>
      <c r="Q1491" s="351"/>
      <c r="R1491" s="612"/>
      <c r="S1491" s="351"/>
      <c r="T1491" s="610"/>
      <c r="U1491" s="351"/>
      <c r="V1491" s="613" t="str">
        <f>'refer admin discharge'!H1492</f>
        <v>00/00/0000</v>
      </c>
      <c r="W1491" s="351"/>
      <c r="X1491" s="607"/>
      <c r="Y1491" s="351"/>
      <c r="Z1491" s="614"/>
      <c r="AA1491" s="351"/>
      <c r="AB1491" s="607"/>
      <c r="AC1491" s="351"/>
      <c r="AD1491" s="606"/>
      <c r="AE1491" s="351"/>
      <c r="AF1491" s="607"/>
      <c r="AG1491" s="351"/>
      <c r="AH1491" s="606"/>
      <c r="AI1491" s="351"/>
      <c r="AJ1491" s="607"/>
      <c r="AK1491" s="351"/>
      <c r="AL1491" s="608"/>
      <c r="AM1491" s="350"/>
      <c r="AN1491" s="350"/>
      <c r="AO1491" s="350"/>
      <c r="AP1491" s="350"/>
      <c r="AQ1491" s="350"/>
      <c r="AR1491" s="350"/>
      <c r="AS1491" s="350"/>
      <c r="AT1491" s="350"/>
      <c r="AU1491" s="350"/>
      <c r="AV1491" s="350"/>
      <c r="AW1491" s="350"/>
      <c r="AX1491" s="350"/>
      <c r="AY1491" s="350"/>
      <c r="AZ1491" s="350"/>
      <c r="BA1491" s="350"/>
      <c r="BB1491" s="351"/>
    </row>
    <row r="1492" spans="1:54" ht="15.75" customHeight="1">
      <c r="A1492" s="25">
        <f t="shared" si="5"/>
        <v>1479</v>
      </c>
      <c r="B1492" s="618" t="str">
        <f>'refer admin discharge'!B1488</f>
        <v>x</v>
      </c>
      <c r="C1492" s="351"/>
      <c r="D1492" s="619" t="str">
        <f>'refer admin discharge'!D1488</f>
        <v>xx</v>
      </c>
      <c r="E1492" s="351"/>
      <c r="F1492" s="620" t="str">
        <f>'refer admin discharge'!H1488</f>
        <v>00/00/0000</v>
      </c>
      <c r="G1492" s="351"/>
      <c r="H1492" s="615"/>
      <c r="I1492" s="351"/>
      <c r="J1492" s="621"/>
      <c r="K1492" s="351"/>
      <c r="L1492" s="615"/>
      <c r="M1492" s="351"/>
      <c r="N1492" s="610"/>
      <c r="O1492" s="351"/>
      <c r="P1492" s="615"/>
      <c r="Q1492" s="351"/>
      <c r="R1492" s="610"/>
      <c r="S1492" s="351"/>
      <c r="T1492" s="615"/>
      <c r="U1492" s="351"/>
      <c r="V1492" s="613" t="str">
        <f>'refer admin discharge'!H1493</f>
        <v>00/00/0000</v>
      </c>
      <c r="W1492" s="351"/>
      <c r="X1492" s="616"/>
      <c r="Y1492" s="351"/>
      <c r="Z1492" s="617"/>
      <c r="AA1492" s="351"/>
      <c r="AB1492" s="616"/>
      <c r="AC1492" s="351"/>
      <c r="AD1492" s="607"/>
      <c r="AE1492" s="351"/>
      <c r="AF1492" s="616"/>
      <c r="AG1492" s="351"/>
      <c r="AH1492" s="607"/>
      <c r="AI1492" s="351"/>
      <c r="AJ1492" s="616"/>
      <c r="AK1492" s="351"/>
      <c r="AL1492" s="622"/>
      <c r="AM1492" s="350"/>
      <c r="AN1492" s="350"/>
      <c r="AO1492" s="350"/>
      <c r="AP1492" s="350"/>
      <c r="AQ1492" s="350"/>
      <c r="AR1492" s="350"/>
      <c r="AS1492" s="350"/>
      <c r="AT1492" s="350"/>
      <c r="AU1492" s="350"/>
      <c r="AV1492" s="350"/>
      <c r="AW1492" s="350"/>
      <c r="AX1492" s="350"/>
      <c r="AY1492" s="350"/>
      <c r="AZ1492" s="350"/>
      <c r="BA1492" s="350"/>
      <c r="BB1492" s="351"/>
    </row>
    <row r="1493" spans="1:54" ht="15.75" customHeight="1">
      <c r="A1493" s="25">
        <f t="shared" si="5"/>
        <v>1480</v>
      </c>
      <c r="B1493" s="599" t="str">
        <f>'refer admin discharge'!B1489</f>
        <v>x</v>
      </c>
      <c r="C1493" s="351"/>
      <c r="D1493" s="600" t="str">
        <f>'refer admin discharge'!D1489</f>
        <v>xx</v>
      </c>
      <c r="E1493" s="351"/>
      <c r="F1493" s="609" t="str">
        <f>'refer admin discharge'!H1489</f>
        <v>00/00/0000</v>
      </c>
      <c r="G1493" s="351"/>
      <c r="H1493" s="610"/>
      <c r="I1493" s="351"/>
      <c r="J1493" s="611"/>
      <c r="K1493" s="351"/>
      <c r="L1493" s="610"/>
      <c r="M1493" s="351"/>
      <c r="N1493" s="612"/>
      <c r="O1493" s="351"/>
      <c r="P1493" s="610"/>
      <c r="Q1493" s="351"/>
      <c r="R1493" s="612"/>
      <c r="S1493" s="351"/>
      <c r="T1493" s="610"/>
      <c r="U1493" s="351"/>
      <c r="V1493" s="613" t="str">
        <f>'refer admin discharge'!H1494</f>
        <v>00/00/0000</v>
      </c>
      <c r="W1493" s="351"/>
      <c r="X1493" s="607"/>
      <c r="Y1493" s="351"/>
      <c r="Z1493" s="614"/>
      <c r="AA1493" s="351"/>
      <c r="AB1493" s="607"/>
      <c r="AC1493" s="351"/>
      <c r="AD1493" s="606"/>
      <c r="AE1493" s="351"/>
      <c r="AF1493" s="607"/>
      <c r="AG1493" s="351"/>
      <c r="AH1493" s="606"/>
      <c r="AI1493" s="351"/>
      <c r="AJ1493" s="607"/>
      <c r="AK1493" s="351"/>
      <c r="AL1493" s="608"/>
      <c r="AM1493" s="350"/>
      <c r="AN1493" s="350"/>
      <c r="AO1493" s="350"/>
      <c r="AP1493" s="350"/>
      <c r="AQ1493" s="350"/>
      <c r="AR1493" s="350"/>
      <c r="AS1493" s="350"/>
      <c r="AT1493" s="350"/>
      <c r="AU1493" s="350"/>
      <c r="AV1493" s="350"/>
      <c r="AW1493" s="350"/>
      <c r="AX1493" s="350"/>
      <c r="AY1493" s="350"/>
      <c r="AZ1493" s="350"/>
      <c r="BA1493" s="350"/>
      <c r="BB1493" s="351"/>
    </row>
    <row r="1494" spans="1:54" ht="15.75" customHeight="1">
      <c r="A1494" s="25">
        <f t="shared" si="5"/>
        <v>1481</v>
      </c>
      <c r="B1494" s="618" t="str">
        <f>'refer admin discharge'!B1490</f>
        <v>x</v>
      </c>
      <c r="C1494" s="351"/>
      <c r="D1494" s="619" t="str">
        <f>'refer admin discharge'!D1490</f>
        <v>xx</v>
      </c>
      <c r="E1494" s="351"/>
      <c r="F1494" s="620" t="str">
        <f>'refer admin discharge'!H1490</f>
        <v>00/00/0000</v>
      </c>
      <c r="G1494" s="351"/>
      <c r="H1494" s="615"/>
      <c r="I1494" s="351"/>
      <c r="J1494" s="621"/>
      <c r="K1494" s="351"/>
      <c r="L1494" s="615"/>
      <c r="M1494" s="351"/>
      <c r="N1494" s="610"/>
      <c r="O1494" s="351"/>
      <c r="P1494" s="615"/>
      <c r="Q1494" s="351"/>
      <c r="R1494" s="610"/>
      <c r="S1494" s="351"/>
      <c r="T1494" s="615"/>
      <c r="U1494" s="351"/>
      <c r="V1494" s="613" t="str">
        <f>'refer admin discharge'!H1495</f>
        <v>00/00/0000</v>
      </c>
      <c r="W1494" s="351"/>
      <c r="X1494" s="616"/>
      <c r="Y1494" s="351"/>
      <c r="Z1494" s="617"/>
      <c r="AA1494" s="351"/>
      <c r="AB1494" s="616"/>
      <c r="AC1494" s="351"/>
      <c r="AD1494" s="607"/>
      <c r="AE1494" s="351"/>
      <c r="AF1494" s="616"/>
      <c r="AG1494" s="351"/>
      <c r="AH1494" s="607"/>
      <c r="AI1494" s="351"/>
      <c r="AJ1494" s="616"/>
      <c r="AK1494" s="351"/>
      <c r="AL1494" s="622"/>
      <c r="AM1494" s="350"/>
      <c r="AN1494" s="350"/>
      <c r="AO1494" s="350"/>
      <c r="AP1494" s="350"/>
      <c r="AQ1494" s="350"/>
      <c r="AR1494" s="350"/>
      <c r="AS1494" s="350"/>
      <c r="AT1494" s="350"/>
      <c r="AU1494" s="350"/>
      <c r="AV1494" s="350"/>
      <c r="AW1494" s="350"/>
      <c r="AX1494" s="350"/>
      <c r="AY1494" s="350"/>
      <c r="AZ1494" s="350"/>
      <c r="BA1494" s="350"/>
      <c r="BB1494" s="351"/>
    </row>
    <row r="1495" spans="1:54" ht="15.75" customHeight="1">
      <c r="A1495" s="25">
        <f t="shared" si="5"/>
        <v>1482</v>
      </c>
      <c r="B1495" s="599" t="str">
        <f>'refer admin discharge'!B1491</f>
        <v>x</v>
      </c>
      <c r="C1495" s="351"/>
      <c r="D1495" s="600" t="str">
        <f>'refer admin discharge'!D1491</f>
        <v>xx</v>
      </c>
      <c r="E1495" s="351"/>
      <c r="F1495" s="609" t="str">
        <f>'refer admin discharge'!H1491</f>
        <v>00/00/0000</v>
      </c>
      <c r="G1495" s="351"/>
      <c r="H1495" s="610"/>
      <c r="I1495" s="351"/>
      <c r="J1495" s="611"/>
      <c r="K1495" s="351"/>
      <c r="L1495" s="610"/>
      <c r="M1495" s="351"/>
      <c r="N1495" s="612"/>
      <c r="O1495" s="351"/>
      <c r="P1495" s="610"/>
      <c r="Q1495" s="351"/>
      <c r="R1495" s="612"/>
      <c r="S1495" s="351"/>
      <c r="T1495" s="610"/>
      <c r="U1495" s="351"/>
      <c r="V1495" s="613" t="str">
        <f>'refer admin discharge'!H1496</f>
        <v>00/00/0000</v>
      </c>
      <c r="W1495" s="351"/>
      <c r="X1495" s="607"/>
      <c r="Y1495" s="351"/>
      <c r="Z1495" s="614"/>
      <c r="AA1495" s="351"/>
      <c r="AB1495" s="607"/>
      <c r="AC1495" s="351"/>
      <c r="AD1495" s="606"/>
      <c r="AE1495" s="351"/>
      <c r="AF1495" s="607"/>
      <c r="AG1495" s="351"/>
      <c r="AH1495" s="606"/>
      <c r="AI1495" s="351"/>
      <c r="AJ1495" s="607"/>
      <c r="AK1495" s="351"/>
      <c r="AL1495" s="608"/>
      <c r="AM1495" s="350"/>
      <c r="AN1495" s="350"/>
      <c r="AO1495" s="350"/>
      <c r="AP1495" s="350"/>
      <c r="AQ1495" s="350"/>
      <c r="AR1495" s="350"/>
      <c r="AS1495" s="350"/>
      <c r="AT1495" s="350"/>
      <c r="AU1495" s="350"/>
      <c r="AV1495" s="350"/>
      <c r="AW1495" s="350"/>
      <c r="AX1495" s="350"/>
      <c r="AY1495" s="350"/>
      <c r="AZ1495" s="350"/>
      <c r="BA1495" s="350"/>
      <c r="BB1495" s="351"/>
    </row>
    <row r="1496" spans="1:54" ht="15.75" customHeight="1">
      <c r="A1496" s="25">
        <f t="shared" si="5"/>
        <v>1483</v>
      </c>
      <c r="B1496" s="618" t="str">
        <f>'refer admin discharge'!B1492</f>
        <v>x</v>
      </c>
      <c r="C1496" s="351"/>
      <c r="D1496" s="619" t="str">
        <f>'refer admin discharge'!D1492</f>
        <v>xx</v>
      </c>
      <c r="E1496" s="351"/>
      <c r="F1496" s="620" t="str">
        <f>'refer admin discharge'!H1492</f>
        <v>00/00/0000</v>
      </c>
      <c r="G1496" s="351"/>
      <c r="H1496" s="615"/>
      <c r="I1496" s="351"/>
      <c r="J1496" s="621"/>
      <c r="K1496" s="351"/>
      <c r="L1496" s="615"/>
      <c r="M1496" s="351"/>
      <c r="N1496" s="610"/>
      <c r="O1496" s="351"/>
      <c r="P1496" s="615"/>
      <c r="Q1496" s="351"/>
      <c r="R1496" s="610"/>
      <c r="S1496" s="351"/>
      <c r="T1496" s="615"/>
      <c r="U1496" s="351"/>
      <c r="V1496" s="613" t="str">
        <f>'refer admin discharge'!H1497</f>
        <v>00/00/0000</v>
      </c>
      <c r="W1496" s="351"/>
      <c r="X1496" s="616"/>
      <c r="Y1496" s="351"/>
      <c r="Z1496" s="617"/>
      <c r="AA1496" s="351"/>
      <c r="AB1496" s="616"/>
      <c r="AC1496" s="351"/>
      <c r="AD1496" s="607"/>
      <c r="AE1496" s="351"/>
      <c r="AF1496" s="616"/>
      <c r="AG1496" s="351"/>
      <c r="AH1496" s="607"/>
      <c r="AI1496" s="351"/>
      <c r="AJ1496" s="616"/>
      <c r="AK1496" s="351"/>
      <c r="AL1496" s="622"/>
      <c r="AM1496" s="350"/>
      <c r="AN1496" s="350"/>
      <c r="AO1496" s="350"/>
      <c r="AP1496" s="350"/>
      <c r="AQ1496" s="350"/>
      <c r="AR1496" s="350"/>
      <c r="AS1496" s="350"/>
      <c r="AT1496" s="350"/>
      <c r="AU1496" s="350"/>
      <c r="AV1496" s="350"/>
      <c r="AW1496" s="350"/>
      <c r="AX1496" s="350"/>
      <c r="AY1496" s="350"/>
      <c r="AZ1496" s="350"/>
      <c r="BA1496" s="350"/>
      <c r="BB1496" s="351"/>
    </row>
    <row r="1497" spans="1:54" ht="15.75" customHeight="1">
      <c r="A1497" s="25">
        <f t="shared" si="5"/>
        <v>1484</v>
      </c>
      <c r="B1497" s="599" t="str">
        <f>'refer admin discharge'!B1493</f>
        <v>x</v>
      </c>
      <c r="C1497" s="351"/>
      <c r="D1497" s="600" t="str">
        <f>'refer admin discharge'!D1493</f>
        <v>xx</v>
      </c>
      <c r="E1497" s="351"/>
      <c r="F1497" s="609" t="str">
        <f>'refer admin discharge'!H1493</f>
        <v>00/00/0000</v>
      </c>
      <c r="G1497" s="351"/>
      <c r="H1497" s="610"/>
      <c r="I1497" s="351"/>
      <c r="J1497" s="611"/>
      <c r="K1497" s="351"/>
      <c r="L1497" s="610"/>
      <c r="M1497" s="351"/>
      <c r="N1497" s="612"/>
      <c r="O1497" s="351"/>
      <c r="P1497" s="610"/>
      <c r="Q1497" s="351"/>
      <c r="R1497" s="612"/>
      <c r="S1497" s="351"/>
      <c r="T1497" s="610"/>
      <c r="U1497" s="351"/>
      <c r="V1497" s="613" t="str">
        <f>'refer admin discharge'!H1498</f>
        <v>00/00/0000</v>
      </c>
      <c r="W1497" s="351"/>
      <c r="X1497" s="607"/>
      <c r="Y1497" s="351"/>
      <c r="Z1497" s="614"/>
      <c r="AA1497" s="351"/>
      <c r="AB1497" s="607"/>
      <c r="AC1497" s="351"/>
      <c r="AD1497" s="606"/>
      <c r="AE1497" s="351"/>
      <c r="AF1497" s="607"/>
      <c r="AG1497" s="351"/>
      <c r="AH1497" s="606"/>
      <c r="AI1497" s="351"/>
      <c r="AJ1497" s="607"/>
      <c r="AK1497" s="351"/>
      <c r="AL1497" s="608"/>
      <c r="AM1497" s="350"/>
      <c r="AN1497" s="350"/>
      <c r="AO1497" s="350"/>
      <c r="AP1497" s="350"/>
      <c r="AQ1497" s="350"/>
      <c r="AR1497" s="350"/>
      <c r="AS1497" s="350"/>
      <c r="AT1497" s="350"/>
      <c r="AU1497" s="350"/>
      <c r="AV1497" s="350"/>
      <c r="AW1497" s="350"/>
      <c r="AX1497" s="350"/>
      <c r="AY1497" s="350"/>
      <c r="AZ1497" s="350"/>
      <c r="BA1497" s="350"/>
      <c r="BB1497" s="351"/>
    </row>
    <row r="1498" spans="1:54" ht="15.75" customHeight="1">
      <c r="A1498" s="25">
        <f t="shared" si="5"/>
        <v>1485</v>
      </c>
      <c r="B1498" s="618" t="str">
        <f>'refer admin discharge'!B1494</f>
        <v>x</v>
      </c>
      <c r="C1498" s="351"/>
      <c r="D1498" s="619" t="str">
        <f>'refer admin discharge'!D1494</f>
        <v>xx</v>
      </c>
      <c r="E1498" s="351"/>
      <c r="F1498" s="620" t="str">
        <f>'refer admin discharge'!H1494</f>
        <v>00/00/0000</v>
      </c>
      <c r="G1498" s="351"/>
      <c r="H1498" s="615"/>
      <c r="I1498" s="351"/>
      <c r="J1498" s="621"/>
      <c r="K1498" s="351"/>
      <c r="L1498" s="615"/>
      <c r="M1498" s="351"/>
      <c r="N1498" s="610"/>
      <c r="O1498" s="351"/>
      <c r="P1498" s="615"/>
      <c r="Q1498" s="351"/>
      <c r="R1498" s="610"/>
      <c r="S1498" s="351"/>
      <c r="T1498" s="615"/>
      <c r="U1498" s="351"/>
      <c r="V1498" s="613" t="str">
        <f>'refer admin discharge'!H1499</f>
        <v>00/00/0000</v>
      </c>
      <c r="W1498" s="351"/>
      <c r="X1498" s="616"/>
      <c r="Y1498" s="351"/>
      <c r="Z1498" s="617"/>
      <c r="AA1498" s="351"/>
      <c r="AB1498" s="616"/>
      <c r="AC1498" s="351"/>
      <c r="AD1498" s="607"/>
      <c r="AE1498" s="351"/>
      <c r="AF1498" s="616"/>
      <c r="AG1498" s="351"/>
      <c r="AH1498" s="607"/>
      <c r="AI1498" s="351"/>
      <c r="AJ1498" s="616"/>
      <c r="AK1498" s="351"/>
      <c r="AL1498" s="622"/>
      <c r="AM1498" s="350"/>
      <c r="AN1498" s="350"/>
      <c r="AO1498" s="350"/>
      <c r="AP1498" s="350"/>
      <c r="AQ1498" s="350"/>
      <c r="AR1498" s="350"/>
      <c r="AS1498" s="350"/>
      <c r="AT1498" s="350"/>
      <c r="AU1498" s="350"/>
      <c r="AV1498" s="350"/>
      <c r="AW1498" s="350"/>
      <c r="AX1498" s="350"/>
      <c r="AY1498" s="350"/>
      <c r="AZ1498" s="350"/>
      <c r="BA1498" s="350"/>
      <c r="BB1498" s="351"/>
    </row>
    <row r="1499" spans="1:54" ht="15.75" customHeight="1">
      <c r="A1499" s="25">
        <f t="shared" si="5"/>
        <v>1486</v>
      </c>
      <c r="B1499" s="599" t="str">
        <f>'refer admin discharge'!B1495</f>
        <v>x</v>
      </c>
      <c r="C1499" s="351"/>
      <c r="D1499" s="600" t="str">
        <f>'refer admin discharge'!D1495</f>
        <v>xx</v>
      </c>
      <c r="E1499" s="351"/>
      <c r="F1499" s="609" t="str">
        <f>'refer admin discharge'!H1495</f>
        <v>00/00/0000</v>
      </c>
      <c r="G1499" s="351"/>
      <c r="H1499" s="610"/>
      <c r="I1499" s="351"/>
      <c r="J1499" s="611"/>
      <c r="K1499" s="351"/>
      <c r="L1499" s="610"/>
      <c r="M1499" s="351"/>
      <c r="N1499" s="612"/>
      <c r="O1499" s="351"/>
      <c r="P1499" s="610"/>
      <c r="Q1499" s="351"/>
      <c r="R1499" s="612"/>
      <c r="S1499" s="351"/>
      <c r="T1499" s="610"/>
      <c r="U1499" s="351"/>
      <c r="V1499" s="613" t="str">
        <f>'refer admin discharge'!H1500</f>
        <v>00/00/0000</v>
      </c>
      <c r="W1499" s="351"/>
      <c r="X1499" s="607"/>
      <c r="Y1499" s="351"/>
      <c r="Z1499" s="614"/>
      <c r="AA1499" s="351"/>
      <c r="AB1499" s="607"/>
      <c r="AC1499" s="351"/>
      <c r="AD1499" s="606"/>
      <c r="AE1499" s="351"/>
      <c r="AF1499" s="607"/>
      <c r="AG1499" s="351"/>
      <c r="AH1499" s="606"/>
      <c r="AI1499" s="351"/>
      <c r="AJ1499" s="607"/>
      <c r="AK1499" s="351"/>
      <c r="AL1499" s="608"/>
      <c r="AM1499" s="350"/>
      <c r="AN1499" s="350"/>
      <c r="AO1499" s="350"/>
      <c r="AP1499" s="350"/>
      <c r="AQ1499" s="350"/>
      <c r="AR1499" s="350"/>
      <c r="AS1499" s="350"/>
      <c r="AT1499" s="350"/>
      <c r="AU1499" s="350"/>
      <c r="AV1499" s="350"/>
      <c r="AW1499" s="350"/>
      <c r="AX1499" s="350"/>
      <c r="AY1499" s="350"/>
      <c r="AZ1499" s="350"/>
      <c r="BA1499" s="350"/>
      <c r="BB1499" s="351"/>
    </row>
    <row r="1500" spans="1:54" ht="15.75" customHeight="1">
      <c r="A1500" s="25">
        <f t="shared" si="5"/>
        <v>1487</v>
      </c>
      <c r="B1500" s="618" t="str">
        <f>'refer admin discharge'!B1496</f>
        <v>x</v>
      </c>
      <c r="C1500" s="351"/>
      <c r="D1500" s="619" t="str">
        <f>'refer admin discharge'!D1496</f>
        <v>xx</v>
      </c>
      <c r="E1500" s="351"/>
      <c r="F1500" s="620" t="str">
        <f>'refer admin discharge'!H1496</f>
        <v>00/00/0000</v>
      </c>
      <c r="G1500" s="351"/>
      <c r="H1500" s="615"/>
      <c r="I1500" s="351"/>
      <c r="J1500" s="621"/>
      <c r="K1500" s="351"/>
      <c r="L1500" s="615"/>
      <c r="M1500" s="351"/>
      <c r="N1500" s="610"/>
      <c r="O1500" s="351"/>
      <c r="P1500" s="615"/>
      <c r="Q1500" s="351"/>
      <c r="R1500" s="610"/>
      <c r="S1500" s="351"/>
      <c r="T1500" s="615"/>
      <c r="U1500" s="351"/>
      <c r="V1500" s="613" t="str">
        <f>'refer admin discharge'!H1501</f>
        <v>00/00/0000</v>
      </c>
      <c r="W1500" s="351"/>
      <c r="X1500" s="616"/>
      <c r="Y1500" s="351"/>
      <c r="Z1500" s="617"/>
      <c r="AA1500" s="351"/>
      <c r="AB1500" s="616"/>
      <c r="AC1500" s="351"/>
      <c r="AD1500" s="607"/>
      <c r="AE1500" s="351"/>
      <c r="AF1500" s="616"/>
      <c r="AG1500" s="351"/>
      <c r="AH1500" s="607"/>
      <c r="AI1500" s="351"/>
      <c r="AJ1500" s="616"/>
      <c r="AK1500" s="351"/>
      <c r="AL1500" s="622"/>
      <c r="AM1500" s="350"/>
      <c r="AN1500" s="350"/>
      <c r="AO1500" s="350"/>
      <c r="AP1500" s="350"/>
      <c r="AQ1500" s="350"/>
      <c r="AR1500" s="350"/>
      <c r="AS1500" s="350"/>
      <c r="AT1500" s="350"/>
      <c r="AU1500" s="350"/>
      <c r="AV1500" s="350"/>
      <c r="AW1500" s="350"/>
      <c r="AX1500" s="350"/>
      <c r="AY1500" s="350"/>
      <c r="AZ1500" s="350"/>
      <c r="BA1500" s="350"/>
      <c r="BB1500" s="351"/>
    </row>
    <row r="1501" spans="1:54" ht="15.75" customHeight="1">
      <c r="A1501" s="25">
        <f t="shared" si="5"/>
        <v>1488</v>
      </c>
      <c r="B1501" s="599" t="str">
        <f>'refer admin discharge'!B1497</f>
        <v>x</v>
      </c>
      <c r="C1501" s="351"/>
      <c r="D1501" s="600" t="str">
        <f>'refer admin discharge'!D1497</f>
        <v>xx</v>
      </c>
      <c r="E1501" s="351"/>
      <c r="F1501" s="609" t="str">
        <f>'refer admin discharge'!H1497</f>
        <v>00/00/0000</v>
      </c>
      <c r="G1501" s="351"/>
      <c r="H1501" s="610"/>
      <c r="I1501" s="351"/>
      <c r="J1501" s="611"/>
      <c r="K1501" s="351"/>
      <c r="L1501" s="610"/>
      <c r="M1501" s="351"/>
      <c r="N1501" s="612"/>
      <c r="O1501" s="351"/>
      <c r="P1501" s="610"/>
      <c r="Q1501" s="351"/>
      <c r="R1501" s="612"/>
      <c r="S1501" s="351"/>
      <c r="T1501" s="610"/>
      <c r="U1501" s="351"/>
      <c r="V1501" s="613" t="str">
        <f>'refer admin discharge'!H1502</f>
        <v>00/00/0000</v>
      </c>
      <c r="W1501" s="351"/>
      <c r="X1501" s="607"/>
      <c r="Y1501" s="351"/>
      <c r="Z1501" s="614"/>
      <c r="AA1501" s="351"/>
      <c r="AB1501" s="607"/>
      <c r="AC1501" s="351"/>
      <c r="AD1501" s="606"/>
      <c r="AE1501" s="351"/>
      <c r="AF1501" s="607"/>
      <c r="AG1501" s="351"/>
      <c r="AH1501" s="606"/>
      <c r="AI1501" s="351"/>
      <c r="AJ1501" s="607"/>
      <c r="AK1501" s="351"/>
      <c r="AL1501" s="608"/>
      <c r="AM1501" s="350"/>
      <c r="AN1501" s="350"/>
      <c r="AO1501" s="350"/>
      <c r="AP1501" s="350"/>
      <c r="AQ1501" s="350"/>
      <c r="AR1501" s="350"/>
      <c r="AS1501" s="350"/>
      <c r="AT1501" s="350"/>
      <c r="AU1501" s="350"/>
      <c r="AV1501" s="350"/>
      <c r="AW1501" s="350"/>
      <c r="AX1501" s="350"/>
      <c r="AY1501" s="350"/>
      <c r="AZ1501" s="350"/>
      <c r="BA1501" s="350"/>
      <c r="BB1501" s="351"/>
    </row>
    <row r="1502" spans="1:54" ht="15.75" customHeight="1">
      <c r="A1502" s="25">
        <f t="shared" si="5"/>
        <v>1489</v>
      </c>
      <c r="B1502" s="618" t="str">
        <f>'refer admin discharge'!B1498</f>
        <v>x</v>
      </c>
      <c r="C1502" s="351"/>
      <c r="D1502" s="619" t="str">
        <f>'refer admin discharge'!D1498</f>
        <v>xx</v>
      </c>
      <c r="E1502" s="351"/>
      <c r="F1502" s="620" t="str">
        <f>'refer admin discharge'!H1498</f>
        <v>00/00/0000</v>
      </c>
      <c r="G1502" s="351"/>
      <c r="H1502" s="615"/>
      <c r="I1502" s="351"/>
      <c r="J1502" s="621"/>
      <c r="K1502" s="351"/>
      <c r="L1502" s="615"/>
      <c r="M1502" s="351"/>
      <c r="N1502" s="610"/>
      <c r="O1502" s="351"/>
      <c r="P1502" s="615"/>
      <c r="Q1502" s="351"/>
      <c r="R1502" s="610"/>
      <c r="S1502" s="351"/>
      <c r="T1502" s="615"/>
      <c r="U1502" s="351"/>
      <c r="V1502" s="613" t="str">
        <f>'refer admin discharge'!H1503</f>
        <v>00/00/0000</v>
      </c>
      <c r="W1502" s="351"/>
      <c r="X1502" s="616"/>
      <c r="Y1502" s="351"/>
      <c r="Z1502" s="617"/>
      <c r="AA1502" s="351"/>
      <c r="AB1502" s="616"/>
      <c r="AC1502" s="351"/>
      <c r="AD1502" s="607"/>
      <c r="AE1502" s="351"/>
      <c r="AF1502" s="616"/>
      <c r="AG1502" s="351"/>
      <c r="AH1502" s="607"/>
      <c r="AI1502" s="351"/>
      <c r="AJ1502" s="616"/>
      <c r="AK1502" s="351"/>
      <c r="AL1502" s="622"/>
      <c r="AM1502" s="350"/>
      <c r="AN1502" s="350"/>
      <c r="AO1502" s="350"/>
      <c r="AP1502" s="350"/>
      <c r="AQ1502" s="350"/>
      <c r="AR1502" s="350"/>
      <c r="AS1502" s="350"/>
      <c r="AT1502" s="350"/>
      <c r="AU1502" s="350"/>
      <c r="AV1502" s="350"/>
      <c r="AW1502" s="350"/>
      <c r="AX1502" s="350"/>
      <c r="AY1502" s="350"/>
      <c r="AZ1502" s="350"/>
      <c r="BA1502" s="350"/>
      <c r="BB1502" s="351"/>
    </row>
    <row r="1503" spans="1:54" ht="15.75" customHeight="1">
      <c r="A1503" s="25">
        <f t="shared" si="5"/>
        <v>1490</v>
      </c>
      <c r="B1503" s="599" t="str">
        <f>'refer admin discharge'!B1499</f>
        <v>x</v>
      </c>
      <c r="C1503" s="351"/>
      <c r="D1503" s="600" t="str">
        <f>'refer admin discharge'!D1499</f>
        <v>xx</v>
      </c>
      <c r="E1503" s="351"/>
      <c r="F1503" s="609" t="str">
        <f>'refer admin discharge'!H1499</f>
        <v>00/00/0000</v>
      </c>
      <c r="G1503" s="351"/>
      <c r="H1503" s="610"/>
      <c r="I1503" s="351"/>
      <c r="J1503" s="611"/>
      <c r="K1503" s="351"/>
      <c r="L1503" s="610"/>
      <c r="M1503" s="351"/>
      <c r="N1503" s="612"/>
      <c r="O1503" s="351"/>
      <c r="P1503" s="610"/>
      <c r="Q1503" s="351"/>
      <c r="R1503" s="612"/>
      <c r="S1503" s="351"/>
      <c r="T1503" s="610"/>
      <c r="U1503" s="351"/>
      <c r="V1503" s="613" t="str">
        <f>'refer admin discharge'!H1504</f>
        <v>00/00/0000</v>
      </c>
      <c r="W1503" s="351"/>
      <c r="X1503" s="607"/>
      <c r="Y1503" s="351"/>
      <c r="Z1503" s="614"/>
      <c r="AA1503" s="351"/>
      <c r="AB1503" s="607"/>
      <c r="AC1503" s="351"/>
      <c r="AD1503" s="606"/>
      <c r="AE1503" s="351"/>
      <c r="AF1503" s="607"/>
      <c r="AG1503" s="351"/>
      <c r="AH1503" s="606"/>
      <c r="AI1503" s="351"/>
      <c r="AJ1503" s="607"/>
      <c r="AK1503" s="351"/>
      <c r="AL1503" s="608"/>
      <c r="AM1503" s="350"/>
      <c r="AN1503" s="350"/>
      <c r="AO1503" s="350"/>
      <c r="AP1503" s="350"/>
      <c r="AQ1503" s="350"/>
      <c r="AR1503" s="350"/>
      <c r="AS1503" s="350"/>
      <c r="AT1503" s="350"/>
      <c r="AU1503" s="350"/>
      <c r="AV1503" s="350"/>
      <c r="AW1503" s="350"/>
      <c r="AX1503" s="350"/>
      <c r="AY1503" s="350"/>
      <c r="AZ1503" s="350"/>
      <c r="BA1503" s="350"/>
      <c r="BB1503" s="351"/>
    </row>
    <row r="1504" spans="1:54" ht="15.75" customHeight="1">
      <c r="A1504" s="25">
        <f t="shared" si="5"/>
        <v>1491</v>
      </c>
      <c r="B1504" s="618" t="str">
        <f>'refer admin discharge'!B1500</f>
        <v>x</v>
      </c>
      <c r="C1504" s="351"/>
      <c r="D1504" s="619" t="str">
        <f>'refer admin discharge'!D1500</f>
        <v>xx</v>
      </c>
      <c r="E1504" s="351"/>
      <c r="F1504" s="620" t="str">
        <f>'refer admin discharge'!H1500</f>
        <v>00/00/0000</v>
      </c>
      <c r="G1504" s="351"/>
      <c r="H1504" s="615"/>
      <c r="I1504" s="351"/>
      <c r="J1504" s="621"/>
      <c r="K1504" s="351"/>
      <c r="L1504" s="615"/>
      <c r="M1504" s="351"/>
      <c r="N1504" s="610"/>
      <c r="O1504" s="351"/>
      <c r="P1504" s="615"/>
      <c r="Q1504" s="351"/>
      <c r="R1504" s="610"/>
      <c r="S1504" s="351"/>
      <c r="T1504" s="615"/>
      <c r="U1504" s="351"/>
      <c r="V1504" s="613" t="str">
        <f>'refer admin discharge'!H1505</f>
        <v>00/00/0000</v>
      </c>
      <c r="W1504" s="351"/>
      <c r="X1504" s="616"/>
      <c r="Y1504" s="351"/>
      <c r="Z1504" s="617"/>
      <c r="AA1504" s="351"/>
      <c r="AB1504" s="616"/>
      <c r="AC1504" s="351"/>
      <c r="AD1504" s="607"/>
      <c r="AE1504" s="351"/>
      <c r="AF1504" s="616"/>
      <c r="AG1504" s="351"/>
      <c r="AH1504" s="607"/>
      <c r="AI1504" s="351"/>
      <c r="AJ1504" s="616"/>
      <c r="AK1504" s="351"/>
      <c r="AL1504" s="622"/>
      <c r="AM1504" s="350"/>
      <c r="AN1504" s="350"/>
      <c r="AO1504" s="350"/>
      <c r="AP1504" s="350"/>
      <c r="AQ1504" s="350"/>
      <c r="AR1504" s="350"/>
      <c r="AS1504" s="350"/>
      <c r="AT1504" s="350"/>
      <c r="AU1504" s="350"/>
      <c r="AV1504" s="350"/>
      <c r="AW1504" s="350"/>
      <c r="AX1504" s="350"/>
      <c r="AY1504" s="350"/>
      <c r="AZ1504" s="350"/>
      <c r="BA1504" s="350"/>
      <c r="BB1504" s="351"/>
    </row>
    <row r="1505" spans="1:54" ht="15.75" customHeight="1">
      <c r="A1505" s="25">
        <f t="shared" si="5"/>
        <v>1492</v>
      </c>
      <c r="B1505" s="599" t="str">
        <f>'refer admin discharge'!B1501</f>
        <v>x</v>
      </c>
      <c r="C1505" s="351"/>
      <c r="D1505" s="600" t="str">
        <f>'refer admin discharge'!D1501</f>
        <v>xx</v>
      </c>
      <c r="E1505" s="351"/>
      <c r="F1505" s="609" t="str">
        <f>'refer admin discharge'!H1501</f>
        <v>00/00/0000</v>
      </c>
      <c r="G1505" s="351"/>
      <c r="H1505" s="610"/>
      <c r="I1505" s="351"/>
      <c r="J1505" s="611"/>
      <c r="K1505" s="351"/>
      <c r="L1505" s="610"/>
      <c r="M1505" s="351"/>
      <c r="N1505" s="612"/>
      <c r="O1505" s="351"/>
      <c r="P1505" s="610"/>
      <c r="Q1505" s="351"/>
      <c r="R1505" s="612"/>
      <c r="S1505" s="351"/>
      <c r="T1505" s="610"/>
      <c r="U1505" s="351"/>
      <c r="V1505" s="613" t="str">
        <f>'refer admin discharge'!H1506</f>
        <v>00/00/0000</v>
      </c>
      <c r="W1505" s="351"/>
      <c r="X1505" s="607"/>
      <c r="Y1505" s="351"/>
      <c r="Z1505" s="614"/>
      <c r="AA1505" s="351"/>
      <c r="AB1505" s="607"/>
      <c r="AC1505" s="351"/>
      <c r="AD1505" s="606"/>
      <c r="AE1505" s="351"/>
      <c r="AF1505" s="607"/>
      <c r="AG1505" s="351"/>
      <c r="AH1505" s="606"/>
      <c r="AI1505" s="351"/>
      <c r="AJ1505" s="607"/>
      <c r="AK1505" s="351"/>
      <c r="AL1505" s="608"/>
      <c r="AM1505" s="350"/>
      <c r="AN1505" s="350"/>
      <c r="AO1505" s="350"/>
      <c r="AP1505" s="350"/>
      <c r="AQ1505" s="350"/>
      <c r="AR1505" s="350"/>
      <c r="AS1505" s="350"/>
      <c r="AT1505" s="350"/>
      <c r="AU1505" s="350"/>
      <c r="AV1505" s="350"/>
      <c r="AW1505" s="350"/>
      <c r="AX1505" s="350"/>
      <c r="AY1505" s="350"/>
      <c r="AZ1505" s="350"/>
      <c r="BA1505" s="350"/>
      <c r="BB1505" s="351"/>
    </row>
    <row r="1506" spans="1:54" ht="15.75" customHeight="1">
      <c r="A1506" s="25">
        <f t="shared" si="5"/>
        <v>1493</v>
      </c>
      <c r="B1506" s="618" t="str">
        <f>'refer admin discharge'!B1502</f>
        <v>x</v>
      </c>
      <c r="C1506" s="351"/>
      <c r="D1506" s="619" t="str">
        <f>'refer admin discharge'!D1502</f>
        <v>xx</v>
      </c>
      <c r="E1506" s="351"/>
      <c r="F1506" s="620" t="str">
        <f>'refer admin discharge'!H1502</f>
        <v>00/00/0000</v>
      </c>
      <c r="G1506" s="351"/>
      <c r="H1506" s="615"/>
      <c r="I1506" s="351"/>
      <c r="J1506" s="621"/>
      <c r="K1506" s="351"/>
      <c r="L1506" s="615"/>
      <c r="M1506" s="351"/>
      <c r="N1506" s="610"/>
      <c r="O1506" s="351"/>
      <c r="P1506" s="615"/>
      <c r="Q1506" s="351"/>
      <c r="R1506" s="610"/>
      <c r="S1506" s="351"/>
      <c r="T1506" s="615"/>
      <c r="U1506" s="351"/>
      <c r="V1506" s="613" t="str">
        <f>'refer admin discharge'!H1507</f>
        <v>00/00/0000</v>
      </c>
      <c r="W1506" s="351"/>
      <c r="X1506" s="616"/>
      <c r="Y1506" s="351"/>
      <c r="Z1506" s="617"/>
      <c r="AA1506" s="351"/>
      <c r="AB1506" s="616"/>
      <c r="AC1506" s="351"/>
      <c r="AD1506" s="607"/>
      <c r="AE1506" s="351"/>
      <c r="AF1506" s="616"/>
      <c r="AG1506" s="351"/>
      <c r="AH1506" s="607"/>
      <c r="AI1506" s="351"/>
      <c r="AJ1506" s="616"/>
      <c r="AK1506" s="351"/>
      <c r="AL1506" s="622"/>
      <c r="AM1506" s="350"/>
      <c r="AN1506" s="350"/>
      <c r="AO1506" s="350"/>
      <c r="AP1506" s="350"/>
      <c r="AQ1506" s="350"/>
      <c r="AR1506" s="350"/>
      <c r="AS1506" s="350"/>
      <c r="AT1506" s="350"/>
      <c r="AU1506" s="350"/>
      <c r="AV1506" s="350"/>
      <c r="AW1506" s="350"/>
      <c r="AX1506" s="350"/>
      <c r="AY1506" s="350"/>
      <c r="AZ1506" s="350"/>
      <c r="BA1506" s="350"/>
      <c r="BB1506" s="351"/>
    </row>
    <row r="1507" spans="1:54" ht="15.75" customHeight="1">
      <c r="A1507" s="25">
        <f t="shared" si="5"/>
        <v>1494</v>
      </c>
      <c r="B1507" s="599" t="str">
        <f>'refer admin discharge'!B1503</f>
        <v>x</v>
      </c>
      <c r="C1507" s="351"/>
      <c r="D1507" s="600" t="str">
        <f>'refer admin discharge'!D1503</f>
        <v>xx</v>
      </c>
      <c r="E1507" s="351"/>
      <c r="F1507" s="609" t="str">
        <f>'refer admin discharge'!H1503</f>
        <v>00/00/0000</v>
      </c>
      <c r="G1507" s="351"/>
      <c r="H1507" s="610"/>
      <c r="I1507" s="351"/>
      <c r="J1507" s="611"/>
      <c r="K1507" s="351"/>
      <c r="L1507" s="610"/>
      <c r="M1507" s="351"/>
      <c r="N1507" s="612"/>
      <c r="O1507" s="351"/>
      <c r="P1507" s="610"/>
      <c r="Q1507" s="351"/>
      <c r="R1507" s="612"/>
      <c r="S1507" s="351"/>
      <c r="T1507" s="610"/>
      <c r="U1507" s="351"/>
      <c r="V1507" s="613" t="str">
        <f>'refer admin discharge'!H1508</f>
        <v>00/00/0000</v>
      </c>
      <c r="W1507" s="351"/>
      <c r="X1507" s="607"/>
      <c r="Y1507" s="351"/>
      <c r="Z1507" s="614"/>
      <c r="AA1507" s="351"/>
      <c r="AB1507" s="607"/>
      <c r="AC1507" s="351"/>
      <c r="AD1507" s="606"/>
      <c r="AE1507" s="351"/>
      <c r="AF1507" s="607"/>
      <c r="AG1507" s="351"/>
      <c r="AH1507" s="606"/>
      <c r="AI1507" s="351"/>
      <c r="AJ1507" s="607"/>
      <c r="AK1507" s="351"/>
      <c r="AL1507" s="608"/>
      <c r="AM1507" s="350"/>
      <c r="AN1507" s="350"/>
      <c r="AO1507" s="350"/>
      <c r="AP1507" s="350"/>
      <c r="AQ1507" s="350"/>
      <c r="AR1507" s="350"/>
      <c r="AS1507" s="350"/>
      <c r="AT1507" s="350"/>
      <c r="AU1507" s="350"/>
      <c r="AV1507" s="350"/>
      <c r="AW1507" s="350"/>
      <c r="AX1507" s="350"/>
      <c r="AY1507" s="350"/>
      <c r="AZ1507" s="350"/>
      <c r="BA1507" s="350"/>
      <c r="BB1507" s="351"/>
    </row>
    <row r="1508" spans="1:54" ht="15.75" customHeight="1">
      <c r="A1508" s="25">
        <f t="shared" si="5"/>
        <v>1495</v>
      </c>
      <c r="B1508" s="618" t="str">
        <f>'refer admin discharge'!B1504</f>
        <v>x</v>
      </c>
      <c r="C1508" s="351"/>
      <c r="D1508" s="619" t="str">
        <f>'refer admin discharge'!D1504</f>
        <v>xx</v>
      </c>
      <c r="E1508" s="351"/>
      <c r="F1508" s="620" t="str">
        <f>'refer admin discharge'!H1504</f>
        <v>00/00/0000</v>
      </c>
      <c r="G1508" s="351"/>
      <c r="H1508" s="615"/>
      <c r="I1508" s="351"/>
      <c r="J1508" s="621"/>
      <c r="K1508" s="351"/>
      <c r="L1508" s="615"/>
      <c r="M1508" s="351"/>
      <c r="N1508" s="610"/>
      <c r="O1508" s="351"/>
      <c r="P1508" s="615"/>
      <c r="Q1508" s="351"/>
      <c r="R1508" s="610"/>
      <c r="S1508" s="351"/>
      <c r="T1508" s="615"/>
      <c r="U1508" s="351"/>
      <c r="V1508" s="613" t="str">
        <f>'refer admin discharge'!H1509</f>
        <v>00/00/0000</v>
      </c>
      <c r="W1508" s="351"/>
      <c r="X1508" s="616"/>
      <c r="Y1508" s="351"/>
      <c r="Z1508" s="617"/>
      <c r="AA1508" s="351"/>
      <c r="AB1508" s="616"/>
      <c r="AC1508" s="351"/>
      <c r="AD1508" s="607"/>
      <c r="AE1508" s="351"/>
      <c r="AF1508" s="616"/>
      <c r="AG1508" s="351"/>
      <c r="AH1508" s="607"/>
      <c r="AI1508" s="351"/>
      <c r="AJ1508" s="616"/>
      <c r="AK1508" s="351"/>
      <c r="AL1508" s="622"/>
      <c r="AM1508" s="350"/>
      <c r="AN1508" s="350"/>
      <c r="AO1508" s="350"/>
      <c r="AP1508" s="350"/>
      <c r="AQ1508" s="350"/>
      <c r="AR1508" s="350"/>
      <c r="AS1508" s="350"/>
      <c r="AT1508" s="350"/>
      <c r="AU1508" s="350"/>
      <c r="AV1508" s="350"/>
      <c r="AW1508" s="350"/>
      <c r="AX1508" s="350"/>
      <c r="AY1508" s="350"/>
      <c r="AZ1508" s="350"/>
      <c r="BA1508" s="350"/>
      <c r="BB1508" s="351"/>
    </row>
    <row r="1509" spans="1:54" ht="15.75" customHeight="1">
      <c r="A1509" s="25">
        <f t="shared" si="5"/>
        <v>1496</v>
      </c>
      <c r="B1509" s="599" t="str">
        <f>'refer admin discharge'!B1505</f>
        <v>x</v>
      </c>
      <c r="C1509" s="351"/>
      <c r="D1509" s="600" t="str">
        <f>'refer admin discharge'!D1505</f>
        <v>xx</v>
      </c>
      <c r="E1509" s="351"/>
      <c r="F1509" s="609" t="str">
        <f>'refer admin discharge'!H1505</f>
        <v>00/00/0000</v>
      </c>
      <c r="G1509" s="351"/>
      <c r="H1509" s="610"/>
      <c r="I1509" s="351"/>
      <c r="J1509" s="611"/>
      <c r="K1509" s="351"/>
      <c r="L1509" s="610"/>
      <c r="M1509" s="351"/>
      <c r="N1509" s="612"/>
      <c r="O1509" s="351"/>
      <c r="P1509" s="610"/>
      <c r="Q1509" s="351"/>
      <c r="R1509" s="612"/>
      <c r="S1509" s="351"/>
      <c r="T1509" s="610"/>
      <c r="U1509" s="351"/>
      <c r="V1509" s="613" t="str">
        <f>'refer admin discharge'!H1510</f>
        <v>00/00/0000</v>
      </c>
      <c r="W1509" s="351"/>
      <c r="X1509" s="607"/>
      <c r="Y1509" s="351"/>
      <c r="Z1509" s="614"/>
      <c r="AA1509" s="351"/>
      <c r="AB1509" s="607"/>
      <c r="AC1509" s="351"/>
      <c r="AD1509" s="606"/>
      <c r="AE1509" s="351"/>
      <c r="AF1509" s="607"/>
      <c r="AG1509" s="351"/>
      <c r="AH1509" s="606"/>
      <c r="AI1509" s="351"/>
      <c r="AJ1509" s="607"/>
      <c r="AK1509" s="351"/>
      <c r="AL1509" s="608"/>
      <c r="AM1509" s="350"/>
      <c r="AN1509" s="350"/>
      <c r="AO1509" s="350"/>
      <c r="AP1509" s="350"/>
      <c r="AQ1509" s="350"/>
      <c r="AR1509" s="350"/>
      <c r="AS1509" s="350"/>
      <c r="AT1509" s="350"/>
      <c r="AU1509" s="350"/>
      <c r="AV1509" s="350"/>
      <c r="AW1509" s="350"/>
      <c r="AX1509" s="350"/>
      <c r="AY1509" s="350"/>
      <c r="AZ1509" s="350"/>
      <c r="BA1509" s="350"/>
      <c r="BB1509" s="351"/>
    </row>
    <row r="1510" spans="1:54" ht="15.75" customHeight="1">
      <c r="A1510" s="25">
        <f t="shared" si="5"/>
        <v>1497</v>
      </c>
      <c r="B1510" s="618" t="str">
        <f>'refer admin discharge'!B1506</f>
        <v>x</v>
      </c>
      <c r="C1510" s="351"/>
      <c r="D1510" s="619" t="str">
        <f>'refer admin discharge'!D1506</f>
        <v>xx</v>
      </c>
      <c r="E1510" s="351"/>
      <c r="F1510" s="620" t="str">
        <f>'refer admin discharge'!H1506</f>
        <v>00/00/0000</v>
      </c>
      <c r="G1510" s="351"/>
      <c r="H1510" s="615"/>
      <c r="I1510" s="351"/>
      <c r="J1510" s="621"/>
      <c r="K1510" s="351"/>
      <c r="L1510" s="615"/>
      <c r="M1510" s="351"/>
      <c r="N1510" s="610"/>
      <c r="O1510" s="351"/>
      <c r="P1510" s="615"/>
      <c r="Q1510" s="351"/>
      <c r="R1510" s="610"/>
      <c r="S1510" s="351"/>
      <c r="T1510" s="615"/>
      <c r="U1510" s="351"/>
      <c r="V1510" s="613" t="str">
        <f>'refer admin discharge'!H1511</f>
        <v>00/00/0000</v>
      </c>
      <c r="W1510" s="351"/>
      <c r="X1510" s="616"/>
      <c r="Y1510" s="351"/>
      <c r="Z1510" s="617"/>
      <c r="AA1510" s="351"/>
      <c r="AB1510" s="616"/>
      <c r="AC1510" s="351"/>
      <c r="AD1510" s="607"/>
      <c r="AE1510" s="351"/>
      <c r="AF1510" s="616"/>
      <c r="AG1510" s="351"/>
      <c r="AH1510" s="607"/>
      <c r="AI1510" s="351"/>
      <c r="AJ1510" s="616"/>
      <c r="AK1510" s="351"/>
      <c r="AL1510" s="622"/>
      <c r="AM1510" s="350"/>
      <c r="AN1510" s="350"/>
      <c r="AO1510" s="350"/>
      <c r="AP1510" s="350"/>
      <c r="AQ1510" s="350"/>
      <c r="AR1510" s="350"/>
      <c r="AS1510" s="350"/>
      <c r="AT1510" s="350"/>
      <c r="AU1510" s="350"/>
      <c r="AV1510" s="350"/>
      <c r="AW1510" s="350"/>
      <c r="AX1510" s="350"/>
      <c r="AY1510" s="350"/>
      <c r="AZ1510" s="350"/>
      <c r="BA1510" s="350"/>
      <c r="BB1510" s="351"/>
    </row>
    <row r="1511" spans="1:54" ht="15.75" customHeight="1">
      <c r="A1511" s="25">
        <f t="shared" si="5"/>
        <v>1498</v>
      </c>
      <c r="B1511" s="599" t="str">
        <f>'refer admin discharge'!B1507</f>
        <v>x</v>
      </c>
      <c r="C1511" s="351"/>
      <c r="D1511" s="600" t="str">
        <f>'refer admin discharge'!D1507</f>
        <v>xx</v>
      </c>
      <c r="E1511" s="351"/>
      <c r="F1511" s="609" t="str">
        <f>'refer admin discharge'!H1507</f>
        <v>00/00/0000</v>
      </c>
      <c r="G1511" s="351"/>
      <c r="H1511" s="610"/>
      <c r="I1511" s="351"/>
      <c r="J1511" s="611"/>
      <c r="K1511" s="351"/>
      <c r="L1511" s="610"/>
      <c r="M1511" s="351"/>
      <c r="N1511" s="612"/>
      <c r="O1511" s="351"/>
      <c r="P1511" s="610"/>
      <c r="Q1511" s="351"/>
      <c r="R1511" s="612"/>
      <c r="S1511" s="351"/>
      <c r="T1511" s="610"/>
      <c r="U1511" s="351"/>
      <c r="V1511" s="613" t="str">
        <f>'refer admin discharge'!H1512</f>
        <v>00/00/0000</v>
      </c>
      <c r="W1511" s="351"/>
      <c r="X1511" s="607"/>
      <c r="Y1511" s="351"/>
      <c r="Z1511" s="614"/>
      <c r="AA1511" s="351"/>
      <c r="AB1511" s="607"/>
      <c r="AC1511" s="351"/>
      <c r="AD1511" s="606"/>
      <c r="AE1511" s="351"/>
      <c r="AF1511" s="607"/>
      <c r="AG1511" s="351"/>
      <c r="AH1511" s="606"/>
      <c r="AI1511" s="351"/>
      <c r="AJ1511" s="607"/>
      <c r="AK1511" s="351"/>
      <c r="AL1511" s="608"/>
      <c r="AM1511" s="350"/>
      <c r="AN1511" s="350"/>
      <c r="AO1511" s="350"/>
      <c r="AP1511" s="350"/>
      <c r="AQ1511" s="350"/>
      <c r="AR1511" s="350"/>
      <c r="AS1511" s="350"/>
      <c r="AT1511" s="350"/>
      <c r="AU1511" s="350"/>
      <c r="AV1511" s="350"/>
      <c r="AW1511" s="350"/>
      <c r="AX1511" s="350"/>
      <c r="AY1511" s="350"/>
      <c r="AZ1511" s="350"/>
      <c r="BA1511" s="350"/>
      <c r="BB1511" s="351"/>
    </row>
    <row r="1512" spans="1:54" ht="15.75" customHeight="1">
      <c r="A1512" s="25">
        <f t="shared" si="5"/>
        <v>1499</v>
      </c>
      <c r="B1512" s="618" t="str">
        <f>'refer admin discharge'!B1508</f>
        <v>x</v>
      </c>
      <c r="C1512" s="351"/>
      <c r="D1512" s="619" t="str">
        <f>'refer admin discharge'!D1508</f>
        <v>xx</v>
      </c>
      <c r="E1512" s="351"/>
      <c r="F1512" s="620" t="str">
        <f>'refer admin discharge'!H1508</f>
        <v>00/00/0000</v>
      </c>
      <c r="G1512" s="351"/>
      <c r="H1512" s="615"/>
      <c r="I1512" s="351"/>
      <c r="J1512" s="621"/>
      <c r="K1512" s="351"/>
      <c r="L1512" s="615"/>
      <c r="M1512" s="351"/>
      <c r="N1512" s="610"/>
      <c r="O1512" s="351"/>
      <c r="P1512" s="615"/>
      <c r="Q1512" s="351"/>
      <c r="R1512" s="610"/>
      <c r="S1512" s="351"/>
      <c r="T1512" s="615"/>
      <c r="U1512" s="351"/>
      <c r="V1512" s="613" t="str">
        <f>'refer admin discharge'!H1513</f>
        <v>00/00/0000</v>
      </c>
      <c r="W1512" s="351"/>
      <c r="X1512" s="616"/>
      <c r="Y1512" s="351"/>
      <c r="Z1512" s="617"/>
      <c r="AA1512" s="351"/>
      <c r="AB1512" s="616"/>
      <c r="AC1512" s="351"/>
      <c r="AD1512" s="607"/>
      <c r="AE1512" s="351"/>
      <c r="AF1512" s="616"/>
      <c r="AG1512" s="351"/>
      <c r="AH1512" s="607"/>
      <c r="AI1512" s="351"/>
      <c r="AJ1512" s="616"/>
      <c r="AK1512" s="351"/>
      <c r="AL1512" s="622"/>
      <c r="AM1512" s="350"/>
      <c r="AN1512" s="350"/>
      <c r="AO1512" s="350"/>
      <c r="AP1512" s="350"/>
      <c r="AQ1512" s="350"/>
      <c r="AR1512" s="350"/>
      <c r="AS1512" s="350"/>
      <c r="AT1512" s="350"/>
      <c r="AU1512" s="350"/>
      <c r="AV1512" s="350"/>
      <c r="AW1512" s="350"/>
      <c r="AX1512" s="350"/>
      <c r="AY1512" s="350"/>
      <c r="AZ1512" s="350"/>
      <c r="BA1512" s="350"/>
      <c r="BB1512" s="351"/>
    </row>
    <row r="1513" spans="1:54" ht="15.75" customHeight="1">
      <c r="A1513" s="25">
        <f t="shared" si="5"/>
        <v>1500</v>
      </c>
      <c r="B1513" s="599" t="str">
        <f>'refer admin discharge'!B1509</f>
        <v>x</v>
      </c>
      <c r="C1513" s="351"/>
      <c r="D1513" s="600" t="str">
        <f>'refer admin discharge'!D1509</f>
        <v>xx</v>
      </c>
      <c r="E1513" s="351"/>
      <c r="F1513" s="609" t="str">
        <f>'refer admin discharge'!H1509</f>
        <v>00/00/0000</v>
      </c>
      <c r="G1513" s="351"/>
      <c r="H1513" s="610"/>
      <c r="I1513" s="351"/>
      <c r="J1513" s="611"/>
      <c r="K1513" s="351"/>
      <c r="L1513" s="610"/>
      <c r="M1513" s="351"/>
      <c r="N1513" s="612"/>
      <c r="O1513" s="351"/>
      <c r="P1513" s="610"/>
      <c r="Q1513" s="351"/>
      <c r="R1513" s="612"/>
      <c r="S1513" s="351"/>
      <c r="T1513" s="610"/>
      <c r="U1513" s="351"/>
      <c r="V1513" s="613" t="str">
        <f>'refer admin discharge'!H1514</f>
        <v>00/00/0000</v>
      </c>
      <c r="W1513" s="351"/>
      <c r="X1513" s="607"/>
      <c r="Y1513" s="351"/>
      <c r="Z1513" s="614"/>
      <c r="AA1513" s="351"/>
      <c r="AB1513" s="607"/>
      <c r="AC1513" s="351"/>
      <c r="AD1513" s="606"/>
      <c r="AE1513" s="351"/>
      <c r="AF1513" s="607"/>
      <c r="AG1513" s="351"/>
      <c r="AH1513" s="606"/>
      <c r="AI1513" s="351"/>
      <c r="AJ1513" s="607"/>
      <c r="AK1513" s="351"/>
      <c r="AL1513" s="608"/>
      <c r="AM1513" s="350"/>
      <c r="AN1513" s="350"/>
      <c r="AO1513" s="350"/>
      <c r="AP1513" s="350"/>
      <c r="AQ1513" s="350"/>
      <c r="AR1513" s="350"/>
      <c r="AS1513" s="350"/>
      <c r="AT1513" s="350"/>
      <c r="AU1513" s="350"/>
      <c r="AV1513" s="350"/>
      <c r="AW1513" s="350"/>
      <c r="AX1513" s="350"/>
      <c r="AY1513" s="350"/>
      <c r="AZ1513" s="350"/>
      <c r="BA1513" s="350"/>
      <c r="BB1513" s="351"/>
    </row>
    <row r="1514" spans="1:54" ht="15.75" customHeight="1">
      <c r="A1514" s="25">
        <f t="shared" si="5"/>
        <v>1501</v>
      </c>
      <c r="B1514" s="618" t="str">
        <f>'refer admin discharge'!B1510</f>
        <v>x</v>
      </c>
      <c r="C1514" s="351"/>
      <c r="D1514" s="619" t="str">
        <f>'refer admin discharge'!D1510</f>
        <v>xx</v>
      </c>
      <c r="E1514" s="351"/>
      <c r="F1514" s="620" t="str">
        <f>'refer admin discharge'!H1510</f>
        <v>00/00/0000</v>
      </c>
      <c r="G1514" s="351"/>
      <c r="H1514" s="615"/>
      <c r="I1514" s="351"/>
      <c r="J1514" s="621"/>
      <c r="K1514" s="351"/>
      <c r="L1514" s="615"/>
      <c r="M1514" s="351"/>
      <c r="N1514" s="610"/>
      <c r="O1514" s="351"/>
      <c r="P1514" s="615"/>
      <c r="Q1514" s="351"/>
      <c r="R1514" s="610"/>
      <c r="S1514" s="351"/>
      <c r="T1514" s="615"/>
      <c r="U1514" s="351"/>
      <c r="V1514" s="613" t="str">
        <f>'refer admin discharge'!H1515</f>
        <v>00/00/0000</v>
      </c>
      <c r="W1514" s="351"/>
      <c r="X1514" s="616"/>
      <c r="Y1514" s="351"/>
      <c r="Z1514" s="617"/>
      <c r="AA1514" s="351"/>
      <c r="AB1514" s="616"/>
      <c r="AC1514" s="351"/>
      <c r="AD1514" s="607"/>
      <c r="AE1514" s="351"/>
      <c r="AF1514" s="616"/>
      <c r="AG1514" s="351"/>
      <c r="AH1514" s="607"/>
      <c r="AI1514" s="351"/>
      <c r="AJ1514" s="616"/>
      <c r="AK1514" s="351"/>
      <c r="AL1514" s="622"/>
      <c r="AM1514" s="350"/>
      <c r="AN1514" s="350"/>
      <c r="AO1514" s="350"/>
      <c r="AP1514" s="350"/>
      <c r="AQ1514" s="350"/>
      <c r="AR1514" s="350"/>
      <c r="AS1514" s="350"/>
      <c r="AT1514" s="350"/>
      <c r="AU1514" s="350"/>
      <c r="AV1514" s="350"/>
      <c r="AW1514" s="350"/>
      <c r="AX1514" s="350"/>
      <c r="AY1514" s="350"/>
      <c r="AZ1514" s="350"/>
      <c r="BA1514" s="350"/>
      <c r="BB1514" s="351"/>
    </row>
    <row r="1515" spans="1:54" ht="15.75" customHeight="1">
      <c r="A1515" s="25">
        <f t="shared" si="5"/>
        <v>1502</v>
      </c>
      <c r="B1515" s="599" t="str">
        <f>'refer admin discharge'!B1511</f>
        <v>x</v>
      </c>
      <c r="C1515" s="351"/>
      <c r="D1515" s="600" t="str">
        <f>'refer admin discharge'!D1511</f>
        <v>xx</v>
      </c>
      <c r="E1515" s="351"/>
      <c r="F1515" s="609" t="str">
        <f>'refer admin discharge'!H1511</f>
        <v>00/00/0000</v>
      </c>
      <c r="G1515" s="351"/>
      <c r="H1515" s="610"/>
      <c r="I1515" s="351"/>
      <c r="J1515" s="611"/>
      <c r="K1515" s="351"/>
      <c r="L1515" s="610"/>
      <c r="M1515" s="351"/>
      <c r="N1515" s="612"/>
      <c r="O1515" s="351"/>
      <c r="P1515" s="610"/>
      <c r="Q1515" s="351"/>
      <c r="R1515" s="612"/>
      <c r="S1515" s="351"/>
      <c r="T1515" s="610"/>
      <c r="U1515" s="351"/>
      <c r="V1515" s="613" t="str">
        <f>'refer admin discharge'!H1516</f>
        <v>00/00/0000</v>
      </c>
      <c r="W1515" s="351"/>
      <c r="X1515" s="607"/>
      <c r="Y1515" s="351"/>
      <c r="Z1515" s="614"/>
      <c r="AA1515" s="351"/>
      <c r="AB1515" s="607"/>
      <c r="AC1515" s="351"/>
      <c r="AD1515" s="606"/>
      <c r="AE1515" s="351"/>
      <c r="AF1515" s="607"/>
      <c r="AG1515" s="351"/>
      <c r="AH1515" s="606"/>
      <c r="AI1515" s="351"/>
      <c r="AJ1515" s="607"/>
      <c r="AK1515" s="351"/>
      <c r="AL1515" s="608"/>
      <c r="AM1515" s="350"/>
      <c r="AN1515" s="350"/>
      <c r="AO1515" s="350"/>
      <c r="AP1515" s="350"/>
      <c r="AQ1515" s="350"/>
      <c r="AR1515" s="350"/>
      <c r="AS1515" s="350"/>
      <c r="AT1515" s="350"/>
      <c r="AU1515" s="350"/>
      <c r="AV1515" s="350"/>
      <c r="AW1515" s="350"/>
      <c r="AX1515" s="350"/>
      <c r="AY1515" s="350"/>
      <c r="AZ1515" s="350"/>
      <c r="BA1515" s="350"/>
      <c r="BB1515" s="351"/>
    </row>
    <row r="1516" spans="1:54" ht="15.75" customHeight="1">
      <c r="A1516" s="25">
        <f t="shared" si="5"/>
        <v>1503</v>
      </c>
      <c r="B1516" s="618" t="str">
        <f>'refer admin discharge'!B1512</f>
        <v>x</v>
      </c>
      <c r="C1516" s="351"/>
      <c r="D1516" s="619" t="str">
        <f>'refer admin discharge'!D1512</f>
        <v>xx</v>
      </c>
      <c r="E1516" s="351"/>
      <c r="F1516" s="620" t="str">
        <f>'refer admin discharge'!H1512</f>
        <v>00/00/0000</v>
      </c>
      <c r="G1516" s="351"/>
      <c r="H1516" s="615"/>
      <c r="I1516" s="351"/>
      <c r="J1516" s="621"/>
      <c r="K1516" s="351"/>
      <c r="L1516" s="615"/>
      <c r="M1516" s="351"/>
      <c r="N1516" s="610"/>
      <c r="O1516" s="351"/>
      <c r="P1516" s="615"/>
      <c r="Q1516" s="351"/>
      <c r="R1516" s="610"/>
      <c r="S1516" s="351"/>
      <c r="T1516" s="615"/>
      <c r="U1516" s="351"/>
      <c r="V1516" s="613" t="str">
        <f>'refer admin discharge'!H1517</f>
        <v>00/00/0000</v>
      </c>
      <c r="W1516" s="351"/>
      <c r="X1516" s="616"/>
      <c r="Y1516" s="351"/>
      <c r="Z1516" s="617"/>
      <c r="AA1516" s="351"/>
      <c r="AB1516" s="616"/>
      <c r="AC1516" s="351"/>
      <c r="AD1516" s="607"/>
      <c r="AE1516" s="351"/>
      <c r="AF1516" s="616"/>
      <c r="AG1516" s="351"/>
      <c r="AH1516" s="607"/>
      <c r="AI1516" s="351"/>
      <c r="AJ1516" s="616"/>
      <c r="AK1516" s="351"/>
      <c r="AL1516" s="622"/>
      <c r="AM1516" s="350"/>
      <c r="AN1516" s="350"/>
      <c r="AO1516" s="350"/>
      <c r="AP1516" s="350"/>
      <c r="AQ1516" s="350"/>
      <c r="AR1516" s="350"/>
      <c r="AS1516" s="350"/>
      <c r="AT1516" s="350"/>
      <c r="AU1516" s="350"/>
      <c r="AV1516" s="350"/>
      <c r="AW1516" s="350"/>
      <c r="AX1516" s="350"/>
      <c r="AY1516" s="350"/>
      <c r="AZ1516" s="350"/>
      <c r="BA1516" s="350"/>
      <c r="BB1516" s="351"/>
    </row>
    <row r="1517" spans="1:54" ht="15.75" customHeight="1">
      <c r="A1517" s="25">
        <f t="shared" si="5"/>
        <v>1504</v>
      </c>
      <c r="B1517" s="599" t="str">
        <f>'refer admin discharge'!B1513</f>
        <v>x</v>
      </c>
      <c r="C1517" s="351"/>
      <c r="D1517" s="600" t="str">
        <f>'refer admin discharge'!D1513</f>
        <v>xx</v>
      </c>
      <c r="E1517" s="351"/>
      <c r="F1517" s="609" t="str">
        <f>'refer admin discharge'!H1513</f>
        <v>00/00/0000</v>
      </c>
      <c r="G1517" s="351"/>
      <c r="H1517" s="610"/>
      <c r="I1517" s="351"/>
      <c r="J1517" s="611"/>
      <c r="K1517" s="351"/>
      <c r="L1517" s="610"/>
      <c r="M1517" s="351"/>
      <c r="N1517" s="612"/>
      <c r="O1517" s="351"/>
      <c r="P1517" s="610"/>
      <c r="Q1517" s="351"/>
      <c r="R1517" s="612"/>
      <c r="S1517" s="351"/>
      <c r="T1517" s="610"/>
      <c r="U1517" s="351"/>
      <c r="V1517" s="613" t="str">
        <f>'refer admin discharge'!H1518</f>
        <v>00/00/0000</v>
      </c>
      <c r="W1517" s="351"/>
      <c r="X1517" s="607"/>
      <c r="Y1517" s="351"/>
      <c r="Z1517" s="614"/>
      <c r="AA1517" s="351"/>
      <c r="AB1517" s="607"/>
      <c r="AC1517" s="351"/>
      <c r="AD1517" s="606"/>
      <c r="AE1517" s="351"/>
      <c r="AF1517" s="607"/>
      <c r="AG1517" s="351"/>
      <c r="AH1517" s="606"/>
      <c r="AI1517" s="351"/>
      <c r="AJ1517" s="607"/>
      <c r="AK1517" s="351"/>
      <c r="AL1517" s="608"/>
      <c r="AM1517" s="350"/>
      <c r="AN1517" s="350"/>
      <c r="AO1517" s="350"/>
      <c r="AP1517" s="350"/>
      <c r="AQ1517" s="350"/>
      <c r="AR1517" s="350"/>
      <c r="AS1517" s="350"/>
      <c r="AT1517" s="350"/>
      <c r="AU1517" s="350"/>
      <c r="AV1517" s="350"/>
      <c r="AW1517" s="350"/>
      <c r="AX1517" s="350"/>
      <c r="AY1517" s="350"/>
      <c r="AZ1517" s="350"/>
      <c r="BA1517" s="350"/>
      <c r="BB1517" s="351"/>
    </row>
    <row r="1518" spans="1:54" ht="15.75" customHeight="1">
      <c r="A1518" s="25">
        <f t="shared" si="5"/>
        <v>1505</v>
      </c>
      <c r="B1518" s="618" t="str">
        <f>'refer admin discharge'!B1514</f>
        <v>x</v>
      </c>
      <c r="C1518" s="351"/>
      <c r="D1518" s="619" t="str">
        <f>'refer admin discharge'!D1514</f>
        <v>xx</v>
      </c>
      <c r="E1518" s="351"/>
      <c r="F1518" s="620" t="str">
        <f>'refer admin discharge'!H1514</f>
        <v>00/00/0000</v>
      </c>
      <c r="G1518" s="351"/>
      <c r="H1518" s="615"/>
      <c r="I1518" s="351"/>
      <c r="J1518" s="621"/>
      <c r="K1518" s="351"/>
      <c r="L1518" s="615"/>
      <c r="M1518" s="351"/>
      <c r="N1518" s="610"/>
      <c r="O1518" s="351"/>
      <c r="P1518" s="615"/>
      <c r="Q1518" s="351"/>
      <c r="R1518" s="610"/>
      <c r="S1518" s="351"/>
      <c r="T1518" s="615"/>
      <c r="U1518" s="351"/>
      <c r="V1518" s="613" t="str">
        <f>'refer admin discharge'!H1519</f>
        <v>00/00/0000</v>
      </c>
      <c r="W1518" s="351"/>
      <c r="X1518" s="616"/>
      <c r="Y1518" s="351"/>
      <c r="Z1518" s="617"/>
      <c r="AA1518" s="351"/>
      <c r="AB1518" s="616"/>
      <c r="AC1518" s="351"/>
      <c r="AD1518" s="607"/>
      <c r="AE1518" s="351"/>
      <c r="AF1518" s="616"/>
      <c r="AG1518" s="351"/>
      <c r="AH1518" s="607"/>
      <c r="AI1518" s="351"/>
      <c r="AJ1518" s="616"/>
      <c r="AK1518" s="351"/>
      <c r="AL1518" s="622"/>
      <c r="AM1518" s="350"/>
      <c r="AN1518" s="350"/>
      <c r="AO1518" s="350"/>
      <c r="AP1518" s="350"/>
      <c r="AQ1518" s="350"/>
      <c r="AR1518" s="350"/>
      <c r="AS1518" s="350"/>
      <c r="AT1518" s="350"/>
      <c r="AU1518" s="350"/>
      <c r="AV1518" s="350"/>
      <c r="AW1518" s="350"/>
      <c r="AX1518" s="350"/>
      <c r="AY1518" s="350"/>
      <c r="AZ1518" s="350"/>
      <c r="BA1518" s="350"/>
      <c r="BB1518" s="351"/>
    </row>
    <row r="1519" spans="1:54" ht="15.75" customHeight="1">
      <c r="A1519" s="25">
        <f t="shared" si="5"/>
        <v>1506</v>
      </c>
      <c r="B1519" s="599" t="str">
        <f>'refer admin discharge'!B1515</f>
        <v>x</v>
      </c>
      <c r="C1519" s="351"/>
      <c r="D1519" s="600" t="str">
        <f>'refer admin discharge'!D1515</f>
        <v>xx</v>
      </c>
      <c r="E1519" s="351"/>
      <c r="F1519" s="609" t="str">
        <f>'refer admin discharge'!H1515</f>
        <v>00/00/0000</v>
      </c>
      <c r="G1519" s="351"/>
      <c r="H1519" s="610"/>
      <c r="I1519" s="351"/>
      <c r="J1519" s="611"/>
      <c r="K1519" s="351"/>
      <c r="L1519" s="610"/>
      <c r="M1519" s="351"/>
      <c r="N1519" s="612"/>
      <c r="O1519" s="351"/>
      <c r="P1519" s="610"/>
      <c r="Q1519" s="351"/>
      <c r="R1519" s="612"/>
      <c r="S1519" s="351"/>
      <c r="T1519" s="610"/>
      <c r="U1519" s="351"/>
      <c r="V1519" s="613" t="str">
        <f>'refer admin discharge'!H1520</f>
        <v>00/00/0000</v>
      </c>
      <c r="W1519" s="351"/>
      <c r="X1519" s="607"/>
      <c r="Y1519" s="351"/>
      <c r="Z1519" s="614"/>
      <c r="AA1519" s="351"/>
      <c r="AB1519" s="607"/>
      <c r="AC1519" s="351"/>
      <c r="AD1519" s="606"/>
      <c r="AE1519" s="351"/>
      <c r="AF1519" s="607"/>
      <c r="AG1519" s="351"/>
      <c r="AH1519" s="606"/>
      <c r="AI1519" s="351"/>
      <c r="AJ1519" s="607"/>
      <c r="AK1519" s="351"/>
      <c r="AL1519" s="608"/>
      <c r="AM1519" s="350"/>
      <c r="AN1519" s="350"/>
      <c r="AO1519" s="350"/>
      <c r="AP1519" s="350"/>
      <c r="AQ1519" s="350"/>
      <c r="AR1519" s="350"/>
      <c r="AS1519" s="350"/>
      <c r="AT1519" s="350"/>
      <c r="AU1519" s="350"/>
      <c r="AV1519" s="350"/>
      <c r="AW1519" s="350"/>
      <c r="AX1519" s="350"/>
      <c r="AY1519" s="350"/>
      <c r="AZ1519" s="350"/>
      <c r="BA1519" s="350"/>
      <c r="BB1519" s="351"/>
    </row>
    <row r="1520" spans="1:54" ht="15.75" customHeight="1">
      <c r="A1520" s="25">
        <f t="shared" si="5"/>
        <v>1507</v>
      </c>
      <c r="B1520" s="618" t="str">
        <f>'refer admin discharge'!B1516</f>
        <v>x</v>
      </c>
      <c r="C1520" s="351"/>
      <c r="D1520" s="619" t="str">
        <f>'refer admin discharge'!D1516</f>
        <v>xx</v>
      </c>
      <c r="E1520" s="351"/>
      <c r="F1520" s="620" t="str">
        <f>'refer admin discharge'!H1516</f>
        <v>00/00/0000</v>
      </c>
      <c r="G1520" s="351"/>
      <c r="H1520" s="615"/>
      <c r="I1520" s="351"/>
      <c r="J1520" s="621"/>
      <c r="K1520" s="351"/>
      <c r="L1520" s="615"/>
      <c r="M1520" s="351"/>
      <c r="N1520" s="610"/>
      <c r="O1520" s="351"/>
      <c r="P1520" s="615"/>
      <c r="Q1520" s="351"/>
      <c r="R1520" s="610"/>
      <c r="S1520" s="351"/>
      <c r="T1520" s="615"/>
      <c r="U1520" s="351"/>
      <c r="V1520" s="613" t="str">
        <f>'refer admin discharge'!H1521</f>
        <v>00/00/0000</v>
      </c>
      <c r="W1520" s="351"/>
      <c r="X1520" s="616"/>
      <c r="Y1520" s="351"/>
      <c r="Z1520" s="617"/>
      <c r="AA1520" s="351"/>
      <c r="AB1520" s="616"/>
      <c r="AC1520" s="351"/>
      <c r="AD1520" s="607"/>
      <c r="AE1520" s="351"/>
      <c r="AF1520" s="616"/>
      <c r="AG1520" s="351"/>
      <c r="AH1520" s="607"/>
      <c r="AI1520" s="351"/>
      <c r="AJ1520" s="616"/>
      <c r="AK1520" s="351"/>
      <c r="AL1520" s="622"/>
      <c r="AM1520" s="350"/>
      <c r="AN1520" s="350"/>
      <c r="AO1520" s="350"/>
      <c r="AP1520" s="350"/>
      <c r="AQ1520" s="350"/>
      <c r="AR1520" s="350"/>
      <c r="AS1520" s="350"/>
      <c r="AT1520" s="350"/>
      <c r="AU1520" s="350"/>
      <c r="AV1520" s="350"/>
      <c r="AW1520" s="350"/>
      <c r="AX1520" s="350"/>
      <c r="AY1520" s="350"/>
      <c r="AZ1520" s="350"/>
      <c r="BA1520" s="350"/>
      <c r="BB1520" s="351"/>
    </row>
    <row r="1521" spans="1:54" ht="15.75" customHeight="1">
      <c r="A1521" s="25">
        <f t="shared" si="5"/>
        <v>1508</v>
      </c>
      <c r="B1521" s="599" t="str">
        <f>'refer admin discharge'!B1517</f>
        <v>x</v>
      </c>
      <c r="C1521" s="351"/>
      <c r="D1521" s="600" t="str">
        <f>'refer admin discharge'!D1517</f>
        <v>xx</v>
      </c>
      <c r="E1521" s="351"/>
      <c r="F1521" s="609" t="str">
        <f>'refer admin discharge'!H1517</f>
        <v>00/00/0000</v>
      </c>
      <c r="G1521" s="351"/>
      <c r="H1521" s="610"/>
      <c r="I1521" s="351"/>
      <c r="J1521" s="611"/>
      <c r="K1521" s="351"/>
      <c r="L1521" s="610"/>
      <c r="M1521" s="351"/>
      <c r="N1521" s="612"/>
      <c r="O1521" s="351"/>
      <c r="P1521" s="610"/>
      <c r="Q1521" s="351"/>
      <c r="R1521" s="612"/>
      <c r="S1521" s="351"/>
      <c r="T1521" s="610"/>
      <c r="U1521" s="351"/>
      <c r="V1521" s="613" t="str">
        <f>'refer admin discharge'!H1522</f>
        <v>00/00/0000</v>
      </c>
      <c r="W1521" s="351"/>
      <c r="X1521" s="607"/>
      <c r="Y1521" s="351"/>
      <c r="Z1521" s="614"/>
      <c r="AA1521" s="351"/>
      <c r="AB1521" s="607"/>
      <c r="AC1521" s="351"/>
      <c r="AD1521" s="606"/>
      <c r="AE1521" s="351"/>
      <c r="AF1521" s="607"/>
      <c r="AG1521" s="351"/>
      <c r="AH1521" s="606"/>
      <c r="AI1521" s="351"/>
      <c r="AJ1521" s="607"/>
      <c r="AK1521" s="351"/>
      <c r="AL1521" s="608"/>
      <c r="AM1521" s="350"/>
      <c r="AN1521" s="350"/>
      <c r="AO1521" s="350"/>
      <c r="AP1521" s="350"/>
      <c r="AQ1521" s="350"/>
      <c r="AR1521" s="350"/>
      <c r="AS1521" s="350"/>
      <c r="AT1521" s="350"/>
      <c r="AU1521" s="350"/>
      <c r="AV1521" s="350"/>
      <c r="AW1521" s="350"/>
      <c r="AX1521" s="350"/>
      <c r="AY1521" s="350"/>
      <c r="AZ1521" s="350"/>
      <c r="BA1521" s="350"/>
      <c r="BB1521" s="351"/>
    </row>
    <row r="1522" spans="1:54" ht="15.75" customHeight="1">
      <c r="A1522" s="25">
        <f t="shared" si="5"/>
        <v>1509</v>
      </c>
      <c r="B1522" s="618" t="str">
        <f>'refer admin discharge'!B1518</f>
        <v>x</v>
      </c>
      <c r="C1522" s="351"/>
      <c r="D1522" s="619" t="str">
        <f>'refer admin discharge'!D1518</f>
        <v>xx</v>
      </c>
      <c r="E1522" s="351"/>
      <c r="F1522" s="620" t="str">
        <f>'refer admin discharge'!H1518</f>
        <v>00/00/0000</v>
      </c>
      <c r="G1522" s="351"/>
      <c r="H1522" s="615"/>
      <c r="I1522" s="351"/>
      <c r="J1522" s="621"/>
      <c r="K1522" s="351"/>
      <c r="L1522" s="615"/>
      <c r="M1522" s="351"/>
      <c r="N1522" s="610"/>
      <c r="O1522" s="351"/>
      <c r="P1522" s="615"/>
      <c r="Q1522" s="351"/>
      <c r="R1522" s="610"/>
      <c r="S1522" s="351"/>
      <c r="T1522" s="615"/>
      <c r="U1522" s="351"/>
      <c r="V1522" s="613" t="str">
        <f>'refer admin discharge'!H1523</f>
        <v>00/00/0000</v>
      </c>
      <c r="W1522" s="351"/>
      <c r="X1522" s="616"/>
      <c r="Y1522" s="351"/>
      <c r="Z1522" s="617"/>
      <c r="AA1522" s="351"/>
      <c r="AB1522" s="616"/>
      <c r="AC1522" s="351"/>
      <c r="AD1522" s="607"/>
      <c r="AE1522" s="351"/>
      <c r="AF1522" s="616"/>
      <c r="AG1522" s="351"/>
      <c r="AH1522" s="607"/>
      <c r="AI1522" s="351"/>
      <c r="AJ1522" s="616"/>
      <c r="AK1522" s="351"/>
      <c r="AL1522" s="622"/>
      <c r="AM1522" s="350"/>
      <c r="AN1522" s="350"/>
      <c r="AO1522" s="350"/>
      <c r="AP1522" s="350"/>
      <c r="AQ1522" s="350"/>
      <c r="AR1522" s="350"/>
      <c r="AS1522" s="350"/>
      <c r="AT1522" s="350"/>
      <c r="AU1522" s="350"/>
      <c r="AV1522" s="350"/>
      <c r="AW1522" s="350"/>
      <c r="AX1522" s="350"/>
      <c r="AY1522" s="350"/>
      <c r="AZ1522" s="350"/>
      <c r="BA1522" s="350"/>
      <c r="BB1522" s="351"/>
    </row>
    <row r="1523" spans="1:54" ht="15.75" customHeight="1">
      <c r="A1523" s="25">
        <f t="shared" si="5"/>
        <v>1510</v>
      </c>
      <c r="B1523" s="599" t="str">
        <f>'refer admin discharge'!B1519</f>
        <v>x</v>
      </c>
      <c r="C1523" s="351"/>
      <c r="D1523" s="600" t="str">
        <f>'refer admin discharge'!D1519</f>
        <v>xx</v>
      </c>
      <c r="E1523" s="351"/>
      <c r="F1523" s="609" t="str">
        <f>'refer admin discharge'!H1519</f>
        <v>00/00/0000</v>
      </c>
      <c r="G1523" s="351"/>
      <c r="H1523" s="610"/>
      <c r="I1523" s="351"/>
      <c r="J1523" s="611"/>
      <c r="K1523" s="351"/>
      <c r="L1523" s="610"/>
      <c r="M1523" s="351"/>
      <c r="N1523" s="612"/>
      <c r="O1523" s="351"/>
      <c r="P1523" s="610"/>
      <c r="Q1523" s="351"/>
      <c r="R1523" s="612"/>
      <c r="S1523" s="351"/>
      <c r="T1523" s="610"/>
      <c r="U1523" s="351"/>
      <c r="V1523" s="613" t="str">
        <f>'refer admin discharge'!H1524</f>
        <v>00/00/0000</v>
      </c>
      <c r="W1523" s="351"/>
      <c r="X1523" s="607"/>
      <c r="Y1523" s="351"/>
      <c r="Z1523" s="614"/>
      <c r="AA1523" s="351"/>
      <c r="AB1523" s="607"/>
      <c r="AC1523" s="351"/>
      <c r="AD1523" s="606"/>
      <c r="AE1523" s="351"/>
      <c r="AF1523" s="607"/>
      <c r="AG1523" s="351"/>
      <c r="AH1523" s="606"/>
      <c r="AI1523" s="351"/>
      <c r="AJ1523" s="607"/>
      <c r="AK1523" s="351"/>
      <c r="AL1523" s="608"/>
      <c r="AM1523" s="350"/>
      <c r="AN1523" s="350"/>
      <c r="AO1523" s="350"/>
      <c r="AP1523" s="350"/>
      <c r="AQ1523" s="350"/>
      <c r="AR1523" s="350"/>
      <c r="AS1523" s="350"/>
      <c r="AT1523" s="350"/>
      <c r="AU1523" s="350"/>
      <c r="AV1523" s="350"/>
      <c r="AW1523" s="350"/>
      <c r="AX1523" s="350"/>
      <c r="AY1523" s="350"/>
      <c r="AZ1523" s="350"/>
      <c r="BA1523" s="350"/>
      <c r="BB1523" s="351"/>
    </row>
    <row r="1524" spans="1:54" ht="15.75" customHeight="1">
      <c r="A1524" s="25">
        <f t="shared" si="5"/>
        <v>1511</v>
      </c>
      <c r="B1524" s="618" t="str">
        <f>'refer admin discharge'!B1520</f>
        <v>x</v>
      </c>
      <c r="C1524" s="351"/>
      <c r="D1524" s="619" t="str">
        <f>'refer admin discharge'!D1520</f>
        <v>xx</v>
      </c>
      <c r="E1524" s="351"/>
      <c r="F1524" s="620" t="str">
        <f>'refer admin discharge'!H1520</f>
        <v>00/00/0000</v>
      </c>
      <c r="G1524" s="351"/>
      <c r="H1524" s="615"/>
      <c r="I1524" s="351"/>
      <c r="J1524" s="621"/>
      <c r="K1524" s="351"/>
      <c r="L1524" s="615"/>
      <c r="M1524" s="351"/>
      <c r="N1524" s="610"/>
      <c r="O1524" s="351"/>
      <c r="P1524" s="615"/>
      <c r="Q1524" s="351"/>
      <c r="R1524" s="610"/>
      <c r="S1524" s="351"/>
      <c r="T1524" s="615"/>
      <c r="U1524" s="351"/>
      <c r="V1524" s="613" t="str">
        <f>'refer admin discharge'!H1525</f>
        <v>00/00/0000</v>
      </c>
      <c r="W1524" s="351"/>
      <c r="X1524" s="616"/>
      <c r="Y1524" s="351"/>
      <c r="Z1524" s="617"/>
      <c r="AA1524" s="351"/>
      <c r="AB1524" s="616"/>
      <c r="AC1524" s="351"/>
      <c r="AD1524" s="607"/>
      <c r="AE1524" s="351"/>
      <c r="AF1524" s="616"/>
      <c r="AG1524" s="351"/>
      <c r="AH1524" s="607"/>
      <c r="AI1524" s="351"/>
      <c r="AJ1524" s="616"/>
      <c r="AK1524" s="351"/>
      <c r="AL1524" s="622"/>
      <c r="AM1524" s="350"/>
      <c r="AN1524" s="350"/>
      <c r="AO1524" s="350"/>
      <c r="AP1524" s="350"/>
      <c r="AQ1524" s="350"/>
      <c r="AR1524" s="350"/>
      <c r="AS1524" s="350"/>
      <c r="AT1524" s="350"/>
      <c r="AU1524" s="350"/>
      <c r="AV1524" s="350"/>
      <c r="AW1524" s="350"/>
      <c r="AX1524" s="350"/>
      <c r="AY1524" s="350"/>
      <c r="AZ1524" s="350"/>
      <c r="BA1524" s="350"/>
      <c r="BB1524" s="351"/>
    </row>
    <row r="1525" spans="1:54" ht="15.75" customHeight="1">
      <c r="A1525" s="25">
        <f t="shared" si="5"/>
        <v>1512</v>
      </c>
      <c r="B1525" s="599" t="str">
        <f>'refer admin discharge'!B1521</f>
        <v>x</v>
      </c>
      <c r="C1525" s="351"/>
      <c r="D1525" s="600" t="str">
        <f>'refer admin discharge'!D1521</f>
        <v>xx</v>
      </c>
      <c r="E1525" s="351"/>
      <c r="F1525" s="609" t="str">
        <f>'refer admin discharge'!H1521</f>
        <v>00/00/0000</v>
      </c>
      <c r="G1525" s="351"/>
      <c r="H1525" s="610"/>
      <c r="I1525" s="351"/>
      <c r="J1525" s="611"/>
      <c r="K1525" s="351"/>
      <c r="L1525" s="610"/>
      <c r="M1525" s="351"/>
      <c r="N1525" s="612"/>
      <c r="O1525" s="351"/>
      <c r="P1525" s="610"/>
      <c r="Q1525" s="351"/>
      <c r="R1525" s="612"/>
      <c r="S1525" s="351"/>
      <c r="T1525" s="610"/>
      <c r="U1525" s="351"/>
      <c r="V1525" s="613" t="str">
        <f>'refer admin discharge'!H1526</f>
        <v>00/00/0000</v>
      </c>
      <c r="W1525" s="351"/>
      <c r="X1525" s="607"/>
      <c r="Y1525" s="351"/>
      <c r="Z1525" s="614"/>
      <c r="AA1525" s="351"/>
      <c r="AB1525" s="607"/>
      <c r="AC1525" s="351"/>
      <c r="AD1525" s="606"/>
      <c r="AE1525" s="351"/>
      <c r="AF1525" s="607"/>
      <c r="AG1525" s="351"/>
      <c r="AH1525" s="606"/>
      <c r="AI1525" s="351"/>
      <c r="AJ1525" s="607"/>
      <c r="AK1525" s="351"/>
      <c r="AL1525" s="608"/>
      <c r="AM1525" s="350"/>
      <c r="AN1525" s="350"/>
      <c r="AO1525" s="350"/>
      <c r="AP1525" s="350"/>
      <c r="AQ1525" s="350"/>
      <c r="AR1525" s="350"/>
      <c r="AS1525" s="350"/>
      <c r="AT1525" s="350"/>
      <c r="AU1525" s="350"/>
      <c r="AV1525" s="350"/>
      <c r="AW1525" s="350"/>
      <c r="AX1525" s="350"/>
      <c r="AY1525" s="350"/>
      <c r="AZ1525" s="350"/>
      <c r="BA1525" s="350"/>
      <c r="BB1525" s="351"/>
    </row>
    <row r="1526" spans="1:54" ht="15.75" customHeight="1">
      <c r="A1526" s="25">
        <f t="shared" si="5"/>
        <v>1513</v>
      </c>
      <c r="B1526" s="618" t="str">
        <f>'refer admin discharge'!B1522</f>
        <v>x</v>
      </c>
      <c r="C1526" s="351"/>
      <c r="D1526" s="619" t="str">
        <f>'refer admin discharge'!D1522</f>
        <v>xx</v>
      </c>
      <c r="E1526" s="351"/>
      <c r="F1526" s="620" t="str">
        <f>'refer admin discharge'!H1522</f>
        <v>00/00/0000</v>
      </c>
      <c r="G1526" s="351"/>
      <c r="H1526" s="615"/>
      <c r="I1526" s="351"/>
      <c r="J1526" s="621"/>
      <c r="K1526" s="351"/>
      <c r="L1526" s="615"/>
      <c r="M1526" s="351"/>
      <c r="N1526" s="610"/>
      <c r="O1526" s="351"/>
      <c r="P1526" s="615"/>
      <c r="Q1526" s="351"/>
      <c r="R1526" s="610"/>
      <c r="S1526" s="351"/>
      <c r="T1526" s="615"/>
      <c r="U1526" s="351"/>
      <c r="V1526" s="613" t="str">
        <f>'refer admin discharge'!H1527</f>
        <v>00/00/0000</v>
      </c>
      <c r="W1526" s="351"/>
      <c r="X1526" s="616"/>
      <c r="Y1526" s="351"/>
      <c r="Z1526" s="617"/>
      <c r="AA1526" s="351"/>
      <c r="AB1526" s="616"/>
      <c r="AC1526" s="351"/>
      <c r="AD1526" s="607"/>
      <c r="AE1526" s="351"/>
      <c r="AF1526" s="616"/>
      <c r="AG1526" s="351"/>
      <c r="AH1526" s="607"/>
      <c r="AI1526" s="351"/>
      <c r="AJ1526" s="616"/>
      <c r="AK1526" s="351"/>
      <c r="AL1526" s="622"/>
      <c r="AM1526" s="350"/>
      <c r="AN1526" s="350"/>
      <c r="AO1526" s="350"/>
      <c r="AP1526" s="350"/>
      <c r="AQ1526" s="350"/>
      <c r="AR1526" s="350"/>
      <c r="AS1526" s="350"/>
      <c r="AT1526" s="350"/>
      <c r="AU1526" s="350"/>
      <c r="AV1526" s="350"/>
      <c r="AW1526" s="350"/>
      <c r="AX1526" s="350"/>
      <c r="AY1526" s="350"/>
      <c r="AZ1526" s="350"/>
      <c r="BA1526" s="350"/>
      <c r="BB1526" s="351"/>
    </row>
    <row r="1527" spans="1:54" ht="15.75" customHeight="1">
      <c r="A1527" s="25">
        <f t="shared" si="5"/>
        <v>1514</v>
      </c>
      <c r="B1527" s="599" t="str">
        <f>'refer admin discharge'!B1523</f>
        <v>x</v>
      </c>
      <c r="C1527" s="351"/>
      <c r="D1527" s="600" t="str">
        <f>'refer admin discharge'!D1523</f>
        <v>xx</v>
      </c>
      <c r="E1527" s="351"/>
      <c r="F1527" s="609" t="str">
        <f>'refer admin discharge'!H1523</f>
        <v>00/00/0000</v>
      </c>
      <c r="G1527" s="351"/>
      <c r="H1527" s="610"/>
      <c r="I1527" s="351"/>
      <c r="J1527" s="611"/>
      <c r="K1527" s="351"/>
      <c r="L1527" s="610"/>
      <c r="M1527" s="351"/>
      <c r="N1527" s="612"/>
      <c r="O1527" s="351"/>
      <c r="P1527" s="610"/>
      <c r="Q1527" s="351"/>
      <c r="R1527" s="612"/>
      <c r="S1527" s="351"/>
      <c r="T1527" s="610"/>
      <c r="U1527" s="351"/>
      <c r="V1527" s="613" t="str">
        <f>'refer admin discharge'!H1528</f>
        <v>00/00/0000</v>
      </c>
      <c r="W1527" s="351"/>
      <c r="X1527" s="607"/>
      <c r="Y1527" s="351"/>
      <c r="Z1527" s="614"/>
      <c r="AA1527" s="351"/>
      <c r="AB1527" s="607"/>
      <c r="AC1527" s="351"/>
      <c r="AD1527" s="606"/>
      <c r="AE1527" s="351"/>
      <c r="AF1527" s="607"/>
      <c r="AG1527" s="351"/>
      <c r="AH1527" s="606"/>
      <c r="AI1527" s="351"/>
      <c r="AJ1527" s="607"/>
      <c r="AK1527" s="351"/>
      <c r="AL1527" s="608"/>
      <c r="AM1527" s="350"/>
      <c r="AN1527" s="350"/>
      <c r="AO1527" s="350"/>
      <c r="AP1527" s="350"/>
      <c r="AQ1527" s="350"/>
      <c r="AR1527" s="350"/>
      <c r="AS1527" s="350"/>
      <c r="AT1527" s="350"/>
      <c r="AU1527" s="350"/>
      <c r="AV1527" s="350"/>
      <c r="AW1527" s="350"/>
      <c r="AX1527" s="350"/>
      <c r="AY1527" s="350"/>
      <c r="AZ1527" s="350"/>
      <c r="BA1527" s="350"/>
      <c r="BB1527" s="351"/>
    </row>
    <row r="1528" spans="1:54" ht="15.75" customHeight="1">
      <c r="A1528" s="25">
        <f t="shared" si="5"/>
        <v>1515</v>
      </c>
      <c r="B1528" s="618" t="str">
        <f>'refer admin discharge'!B1524</f>
        <v>x</v>
      </c>
      <c r="C1528" s="351"/>
      <c r="D1528" s="619" t="str">
        <f>'refer admin discharge'!D1524</f>
        <v>xx</v>
      </c>
      <c r="E1528" s="351"/>
      <c r="F1528" s="620" t="str">
        <f>'refer admin discharge'!H1524</f>
        <v>00/00/0000</v>
      </c>
      <c r="G1528" s="351"/>
      <c r="H1528" s="615"/>
      <c r="I1528" s="351"/>
      <c r="J1528" s="621"/>
      <c r="K1528" s="351"/>
      <c r="L1528" s="615"/>
      <c r="M1528" s="351"/>
      <c r="N1528" s="610"/>
      <c r="O1528" s="351"/>
      <c r="P1528" s="615"/>
      <c r="Q1528" s="351"/>
      <c r="R1528" s="610"/>
      <c r="S1528" s="351"/>
      <c r="T1528" s="615"/>
      <c r="U1528" s="351"/>
      <c r="V1528" s="613" t="str">
        <f>'refer admin discharge'!H1529</f>
        <v>00/00/0000</v>
      </c>
      <c r="W1528" s="351"/>
      <c r="X1528" s="616"/>
      <c r="Y1528" s="351"/>
      <c r="Z1528" s="617"/>
      <c r="AA1528" s="351"/>
      <c r="AB1528" s="616"/>
      <c r="AC1528" s="351"/>
      <c r="AD1528" s="607"/>
      <c r="AE1528" s="351"/>
      <c r="AF1528" s="616"/>
      <c r="AG1528" s="351"/>
      <c r="AH1528" s="607"/>
      <c r="AI1528" s="351"/>
      <c r="AJ1528" s="616"/>
      <c r="AK1528" s="351"/>
      <c r="AL1528" s="622"/>
      <c r="AM1528" s="350"/>
      <c r="AN1528" s="350"/>
      <c r="AO1528" s="350"/>
      <c r="AP1528" s="350"/>
      <c r="AQ1528" s="350"/>
      <c r="AR1528" s="350"/>
      <c r="AS1528" s="350"/>
      <c r="AT1528" s="350"/>
      <c r="AU1528" s="350"/>
      <c r="AV1528" s="350"/>
      <c r="AW1528" s="350"/>
      <c r="AX1528" s="350"/>
      <c r="AY1528" s="350"/>
      <c r="AZ1528" s="350"/>
      <c r="BA1528" s="350"/>
      <c r="BB1528" s="351"/>
    </row>
    <row r="1529" spans="1:54" ht="15.75" customHeight="1">
      <c r="A1529" s="25">
        <f t="shared" si="5"/>
        <v>1516</v>
      </c>
      <c r="B1529" s="599" t="str">
        <f>'refer admin discharge'!B1525</f>
        <v>x</v>
      </c>
      <c r="C1529" s="351"/>
      <c r="D1529" s="600" t="str">
        <f>'refer admin discharge'!D1525</f>
        <v>xx</v>
      </c>
      <c r="E1529" s="351"/>
      <c r="F1529" s="609" t="str">
        <f>'refer admin discharge'!H1525</f>
        <v>00/00/0000</v>
      </c>
      <c r="G1529" s="351"/>
      <c r="H1529" s="610"/>
      <c r="I1529" s="351"/>
      <c r="J1529" s="611"/>
      <c r="K1529" s="351"/>
      <c r="L1529" s="610"/>
      <c r="M1529" s="351"/>
      <c r="N1529" s="612"/>
      <c r="O1529" s="351"/>
      <c r="P1529" s="610"/>
      <c r="Q1529" s="351"/>
      <c r="R1529" s="612"/>
      <c r="S1529" s="351"/>
      <c r="T1529" s="610"/>
      <c r="U1529" s="351"/>
      <c r="V1529" s="613" t="str">
        <f>'refer admin discharge'!H1530</f>
        <v>00/00/0000</v>
      </c>
      <c r="W1529" s="351"/>
      <c r="X1529" s="607"/>
      <c r="Y1529" s="351"/>
      <c r="Z1529" s="614"/>
      <c r="AA1529" s="351"/>
      <c r="AB1529" s="607"/>
      <c r="AC1529" s="351"/>
      <c r="AD1529" s="606"/>
      <c r="AE1529" s="351"/>
      <c r="AF1529" s="607"/>
      <c r="AG1529" s="351"/>
      <c r="AH1529" s="606"/>
      <c r="AI1529" s="351"/>
      <c r="AJ1529" s="607"/>
      <c r="AK1529" s="351"/>
      <c r="AL1529" s="608"/>
      <c r="AM1529" s="350"/>
      <c r="AN1529" s="350"/>
      <c r="AO1529" s="350"/>
      <c r="AP1529" s="350"/>
      <c r="AQ1529" s="350"/>
      <c r="AR1529" s="350"/>
      <c r="AS1529" s="350"/>
      <c r="AT1529" s="350"/>
      <c r="AU1529" s="350"/>
      <c r="AV1529" s="350"/>
      <c r="AW1529" s="350"/>
      <c r="AX1529" s="350"/>
      <c r="AY1529" s="350"/>
      <c r="AZ1529" s="350"/>
      <c r="BA1529" s="350"/>
      <c r="BB1529" s="351"/>
    </row>
    <row r="1530" spans="1:54" ht="15.75" customHeight="1">
      <c r="A1530" s="25">
        <f t="shared" si="5"/>
        <v>1517</v>
      </c>
      <c r="B1530" s="618" t="str">
        <f>'refer admin discharge'!B1526</f>
        <v>x</v>
      </c>
      <c r="C1530" s="351"/>
      <c r="D1530" s="619" t="str">
        <f>'refer admin discharge'!D1526</f>
        <v>xx</v>
      </c>
      <c r="E1530" s="351"/>
      <c r="F1530" s="620" t="str">
        <f>'refer admin discharge'!H1526</f>
        <v>00/00/0000</v>
      </c>
      <c r="G1530" s="351"/>
      <c r="H1530" s="615"/>
      <c r="I1530" s="351"/>
      <c r="J1530" s="621"/>
      <c r="K1530" s="351"/>
      <c r="L1530" s="615"/>
      <c r="M1530" s="351"/>
      <c r="N1530" s="610"/>
      <c r="O1530" s="351"/>
      <c r="P1530" s="615"/>
      <c r="Q1530" s="351"/>
      <c r="R1530" s="610"/>
      <c r="S1530" s="351"/>
      <c r="T1530" s="615"/>
      <c r="U1530" s="351"/>
      <c r="V1530" s="613" t="str">
        <f>'refer admin discharge'!H1531</f>
        <v>00/00/0000</v>
      </c>
      <c r="W1530" s="351"/>
      <c r="X1530" s="616"/>
      <c r="Y1530" s="351"/>
      <c r="Z1530" s="617"/>
      <c r="AA1530" s="351"/>
      <c r="AB1530" s="616"/>
      <c r="AC1530" s="351"/>
      <c r="AD1530" s="607"/>
      <c r="AE1530" s="351"/>
      <c r="AF1530" s="616"/>
      <c r="AG1530" s="351"/>
      <c r="AH1530" s="607"/>
      <c r="AI1530" s="351"/>
      <c r="AJ1530" s="616"/>
      <c r="AK1530" s="351"/>
      <c r="AL1530" s="622"/>
      <c r="AM1530" s="350"/>
      <c r="AN1530" s="350"/>
      <c r="AO1530" s="350"/>
      <c r="AP1530" s="350"/>
      <c r="AQ1530" s="350"/>
      <c r="AR1530" s="350"/>
      <c r="AS1530" s="350"/>
      <c r="AT1530" s="350"/>
      <c r="AU1530" s="350"/>
      <c r="AV1530" s="350"/>
      <c r="AW1530" s="350"/>
      <c r="AX1530" s="350"/>
      <c r="AY1530" s="350"/>
      <c r="AZ1530" s="350"/>
      <c r="BA1530" s="350"/>
      <c r="BB1530" s="351"/>
    </row>
    <row r="1531" spans="1:54" ht="15.75" customHeight="1">
      <c r="A1531" s="25">
        <f t="shared" si="5"/>
        <v>1518</v>
      </c>
      <c r="B1531" s="599" t="str">
        <f>'refer admin discharge'!B1527</f>
        <v>x</v>
      </c>
      <c r="C1531" s="351"/>
      <c r="D1531" s="600" t="str">
        <f>'refer admin discharge'!D1527</f>
        <v>xx</v>
      </c>
      <c r="E1531" s="351"/>
      <c r="F1531" s="609" t="str">
        <f>'refer admin discharge'!H1527</f>
        <v>00/00/0000</v>
      </c>
      <c r="G1531" s="351"/>
      <c r="H1531" s="610"/>
      <c r="I1531" s="351"/>
      <c r="J1531" s="611"/>
      <c r="K1531" s="351"/>
      <c r="L1531" s="610"/>
      <c r="M1531" s="351"/>
      <c r="N1531" s="612"/>
      <c r="O1531" s="351"/>
      <c r="P1531" s="610"/>
      <c r="Q1531" s="351"/>
      <c r="R1531" s="612"/>
      <c r="S1531" s="351"/>
      <c r="T1531" s="610"/>
      <c r="U1531" s="351"/>
      <c r="V1531" s="613" t="str">
        <f>'refer admin discharge'!H1532</f>
        <v>00/00/0000</v>
      </c>
      <c r="W1531" s="351"/>
      <c r="X1531" s="607"/>
      <c r="Y1531" s="351"/>
      <c r="Z1531" s="614"/>
      <c r="AA1531" s="351"/>
      <c r="AB1531" s="607"/>
      <c r="AC1531" s="351"/>
      <c r="AD1531" s="606"/>
      <c r="AE1531" s="351"/>
      <c r="AF1531" s="607"/>
      <c r="AG1531" s="351"/>
      <c r="AH1531" s="606"/>
      <c r="AI1531" s="351"/>
      <c r="AJ1531" s="607"/>
      <c r="AK1531" s="351"/>
      <c r="AL1531" s="608"/>
      <c r="AM1531" s="350"/>
      <c r="AN1531" s="350"/>
      <c r="AO1531" s="350"/>
      <c r="AP1531" s="350"/>
      <c r="AQ1531" s="350"/>
      <c r="AR1531" s="350"/>
      <c r="AS1531" s="350"/>
      <c r="AT1531" s="350"/>
      <c r="AU1531" s="350"/>
      <c r="AV1531" s="350"/>
      <c r="AW1531" s="350"/>
      <c r="AX1531" s="350"/>
      <c r="AY1531" s="350"/>
      <c r="AZ1531" s="350"/>
      <c r="BA1531" s="350"/>
      <c r="BB1531" s="351"/>
    </row>
    <row r="1532" spans="1:54" ht="15.75" customHeight="1">
      <c r="A1532" s="25">
        <f t="shared" si="5"/>
        <v>1519</v>
      </c>
      <c r="B1532" s="618" t="str">
        <f>'refer admin discharge'!B1528</f>
        <v>x</v>
      </c>
      <c r="C1532" s="351"/>
      <c r="D1532" s="619" t="str">
        <f>'refer admin discharge'!D1528</f>
        <v>xx</v>
      </c>
      <c r="E1532" s="351"/>
      <c r="F1532" s="620" t="str">
        <f>'refer admin discharge'!H1528</f>
        <v>00/00/0000</v>
      </c>
      <c r="G1532" s="351"/>
      <c r="H1532" s="615"/>
      <c r="I1532" s="351"/>
      <c r="J1532" s="621"/>
      <c r="K1532" s="351"/>
      <c r="L1532" s="615"/>
      <c r="M1532" s="351"/>
      <c r="N1532" s="610"/>
      <c r="O1532" s="351"/>
      <c r="P1532" s="615"/>
      <c r="Q1532" s="351"/>
      <c r="R1532" s="610"/>
      <c r="S1532" s="351"/>
      <c r="T1532" s="615"/>
      <c r="U1532" s="351"/>
      <c r="V1532" s="613" t="str">
        <f>'refer admin discharge'!H1533</f>
        <v>00/00/0000</v>
      </c>
      <c r="W1532" s="351"/>
      <c r="X1532" s="616"/>
      <c r="Y1532" s="351"/>
      <c r="Z1532" s="617"/>
      <c r="AA1532" s="351"/>
      <c r="AB1532" s="616"/>
      <c r="AC1532" s="351"/>
      <c r="AD1532" s="607"/>
      <c r="AE1532" s="351"/>
      <c r="AF1532" s="616"/>
      <c r="AG1532" s="351"/>
      <c r="AH1532" s="607"/>
      <c r="AI1532" s="351"/>
      <c r="AJ1532" s="616"/>
      <c r="AK1532" s="351"/>
      <c r="AL1532" s="622"/>
      <c r="AM1532" s="350"/>
      <c r="AN1532" s="350"/>
      <c r="AO1532" s="350"/>
      <c r="AP1532" s="350"/>
      <c r="AQ1532" s="350"/>
      <c r="AR1532" s="350"/>
      <c r="AS1532" s="350"/>
      <c r="AT1532" s="350"/>
      <c r="AU1532" s="350"/>
      <c r="AV1532" s="350"/>
      <c r="AW1532" s="350"/>
      <c r="AX1532" s="350"/>
      <c r="AY1532" s="350"/>
      <c r="AZ1532" s="350"/>
      <c r="BA1532" s="350"/>
      <c r="BB1532" s="351"/>
    </row>
    <row r="1533" spans="1:54" ht="15.75" customHeight="1">
      <c r="A1533" s="25">
        <f t="shared" si="5"/>
        <v>1520</v>
      </c>
      <c r="B1533" s="599" t="str">
        <f>'refer admin discharge'!B1529</f>
        <v>x</v>
      </c>
      <c r="C1533" s="351"/>
      <c r="D1533" s="600" t="str">
        <f>'refer admin discharge'!D1529</f>
        <v>xx</v>
      </c>
      <c r="E1533" s="351"/>
      <c r="F1533" s="609" t="str">
        <f>'refer admin discharge'!H1529</f>
        <v>00/00/0000</v>
      </c>
      <c r="G1533" s="351"/>
      <c r="H1533" s="610"/>
      <c r="I1533" s="351"/>
      <c r="J1533" s="611"/>
      <c r="K1533" s="351"/>
      <c r="L1533" s="610"/>
      <c r="M1533" s="351"/>
      <c r="N1533" s="612"/>
      <c r="O1533" s="351"/>
      <c r="P1533" s="610"/>
      <c r="Q1533" s="351"/>
      <c r="R1533" s="612"/>
      <c r="S1533" s="351"/>
      <c r="T1533" s="610"/>
      <c r="U1533" s="351"/>
      <c r="V1533" s="613" t="str">
        <f>'refer admin discharge'!H1534</f>
        <v>00/00/0000</v>
      </c>
      <c r="W1533" s="351"/>
      <c r="X1533" s="607"/>
      <c r="Y1533" s="351"/>
      <c r="Z1533" s="614"/>
      <c r="AA1533" s="351"/>
      <c r="AB1533" s="607"/>
      <c r="AC1533" s="351"/>
      <c r="AD1533" s="606"/>
      <c r="AE1533" s="351"/>
      <c r="AF1533" s="607"/>
      <c r="AG1533" s="351"/>
      <c r="AH1533" s="606"/>
      <c r="AI1533" s="351"/>
      <c r="AJ1533" s="607"/>
      <c r="AK1533" s="351"/>
      <c r="AL1533" s="608"/>
      <c r="AM1533" s="350"/>
      <c r="AN1533" s="350"/>
      <c r="AO1533" s="350"/>
      <c r="AP1533" s="350"/>
      <c r="AQ1533" s="350"/>
      <c r="AR1533" s="350"/>
      <c r="AS1533" s="350"/>
      <c r="AT1533" s="350"/>
      <c r="AU1533" s="350"/>
      <c r="AV1533" s="350"/>
      <c r="AW1533" s="350"/>
      <c r="AX1533" s="350"/>
      <c r="AY1533" s="350"/>
      <c r="AZ1533" s="350"/>
      <c r="BA1533" s="350"/>
      <c r="BB1533" s="351"/>
    </row>
    <row r="1534" spans="1:54" ht="15.75" customHeight="1">
      <c r="A1534" s="25">
        <f t="shared" si="5"/>
        <v>1521</v>
      </c>
      <c r="B1534" s="618" t="str">
        <f>'refer admin discharge'!B1530</f>
        <v>x</v>
      </c>
      <c r="C1534" s="351"/>
      <c r="D1534" s="619" t="str">
        <f>'refer admin discharge'!D1530</f>
        <v>xx</v>
      </c>
      <c r="E1534" s="351"/>
      <c r="F1534" s="620" t="str">
        <f>'refer admin discharge'!H1530</f>
        <v>00/00/0000</v>
      </c>
      <c r="G1534" s="351"/>
      <c r="H1534" s="615"/>
      <c r="I1534" s="351"/>
      <c r="J1534" s="621"/>
      <c r="K1534" s="351"/>
      <c r="L1534" s="615"/>
      <c r="M1534" s="351"/>
      <c r="N1534" s="610"/>
      <c r="O1534" s="351"/>
      <c r="P1534" s="615"/>
      <c r="Q1534" s="351"/>
      <c r="R1534" s="610"/>
      <c r="S1534" s="351"/>
      <c r="T1534" s="615"/>
      <c r="U1534" s="351"/>
      <c r="V1534" s="613" t="str">
        <f>'refer admin discharge'!H1535</f>
        <v>00/00/0000</v>
      </c>
      <c r="W1534" s="351"/>
      <c r="X1534" s="616"/>
      <c r="Y1534" s="351"/>
      <c r="Z1534" s="617"/>
      <c r="AA1534" s="351"/>
      <c r="AB1534" s="616"/>
      <c r="AC1534" s="351"/>
      <c r="AD1534" s="607"/>
      <c r="AE1534" s="351"/>
      <c r="AF1534" s="616"/>
      <c r="AG1534" s="351"/>
      <c r="AH1534" s="607"/>
      <c r="AI1534" s="351"/>
      <c r="AJ1534" s="616"/>
      <c r="AK1534" s="351"/>
      <c r="AL1534" s="622"/>
      <c r="AM1534" s="350"/>
      <c r="AN1534" s="350"/>
      <c r="AO1534" s="350"/>
      <c r="AP1534" s="350"/>
      <c r="AQ1534" s="350"/>
      <c r="AR1534" s="350"/>
      <c r="AS1534" s="350"/>
      <c r="AT1534" s="350"/>
      <c r="AU1534" s="350"/>
      <c r="AV1534" s="350"/>
      <c r="AW1534" s="350"/>
      <c r="AX1534" s="350"/>
      <c r="AY1534" s="350"/>
      <c r="AZ1534" s="350"/>
      <c r="BA1534" s="350"/>
      <c r="BB1534" s="351"/>
    </row>
    <row r="1535" spans="1:54" ht="15.75" customHeight="1">
      <c r="A1535" s="25">
        <f t="shared" si="5"/>
        <v>1522</v>
      </c>
      <c r="B1535" s="599" t="str">
        <f>'refer admin discharge'!B1531</f>
        <v>x</v>
      </c>
      <c r="C1535" s="351"/>
      <c r="D1535" s="600" t="str">
        <f>'refer admin discharge'!D1531</f>
        <v>xx</v>
      </c>
      <c r="E1535" s="351"/>
      <c r="F1535" s="609" t="str">
        <f>'refer admin discharge'!H1531</f>
        <v>00/00/0000</v>
      </c>
      <c r="G1535" s="351"/>
      <c r="H1535" s="610"/>
      <c r="I1535" s="351"/>
      <c r="J1535" s="611"/>
      <c r="K1535" s="351"/>
      <c r="L1535" s="610"/>
      <c r="M1535" s="351"/>
      <c r="N1535" s="612"/>
      <c r="O1535" s="351"/>
      <c r="P1535" s="610"/>
      <c r="Q1535" s="351"/>
      <c r="R1535" s="612"/>
      <c r="S1535" s="351"/>
      <c r="T1535" s="610"/>
      <c r="U1535" s="351"/>
      <c r="V1535" s="613" t="str">
        <f>'refer admin discharge'!H1536</f>
        <v>00/00/0000</v>
      </c>
      <c r="W1535" s="351"/>
      <c r="X1535" s="607"/>
      <c r="Y1535" s="351"/>
      <c r="Z1535" s="614"/>
      <c r="AA1535" s="351"/>
      <c r="AB1535" s="607"/>
      <c r="AC1535" s="351"/>
      <c r="AD1535" s="606"/>
      <c r="AE1535" s="351"/>
      <c r="AF1535" s="607"/>
      <c r="AG1535" s="351"/>
      <c r="AH1535" s="606"/>
      <c r="AI1535" s="351"/>
      <c r="AJ1535" s="607"/>
      <c r="AK1535" s="351"/>
      <c r="AL1535" s="608"/>
      <c r="AM1535" s="350"/>
      <c r="AN1535" s="350"/>
      <c r="AO1535" s="350"/>
      <c r="AP1535" s="350"/>
      <c r="AQ1535" s="350"/>
      <c r="AR1535" s="350"/>
      <c r="AS1535" s="350"/>
      <c r="AT1535" s="350"/>
      <c r="AU1535" s="350"/>
      <c r="AV1535" s="350"/>
      <c r="AW1535" s="350"/>
      <c r="AX1535" s="350"/>
      <c r="AY1535" s="350"/>
      <c r="AZ1535" s="350"/>
      <c r="BA1535" s="350"/>
      <c r="BB1535" s="351"/>
    </row>
    <row r="1536" spans="1:54" ht="15.75" customHeight="1">
      <c r="A1536" s="25">
        <f t="shared" si="5"/>
        <v>1523</v>
      </c>
      <c r="B1536" s="618" t="str">
        <f>'refer admin discharge'!B1532</f>
        <v>x</v>
      </c>
      <c r="C1536" s="351"/>
      <c r="D1536" s="619" t="str">
        <f>'refer admin discharge'!D1532</f>
        <v>xx</v>
      </c>
      <c r="E1536" s="351"/>
      <c r="F1536" s="620" t="str">
        <f>'refer admin discharge'!H1532</f>
        <v>00/00/0000</v>
      </c>
      <c r="G1536" s="351"/>
      <c r="H1536" s="615"/>
      <c r="I1536" s="351"/>
      <c r="J1536" s="621"/>
      <c r="K1536" s="351"/>
      <c r="L1536" s="615"/>
      <c r="M1536" s="351"/>
      <c r="N1536" s="610"/>
      <c r="O1536" s="351"/>
      <c r="P1536" s="615"/>
      <c r="Q1536" s="351"/>
      <c r="R1536" s="610"/>
      <c r="S1536" s="351"/>
      <c r="T1536" s="615"/>
      <c r="U1536" s="351"/>
      <c r="V1536" s="613" t="str">
        <f>'refer admin discharge'!H1537</f>
        <v>00/00/0000</v>
      </c>
      <c r="W1536" s="351"/>
      <c r="X1536" s="616"/>
      <c r="Y1536" s="351"/>
      <c r="Z1536" s="617"/>
      <c r="AA1536" s="351"/>
      <c r="AB1536" s="616"/>
      <c r="AC1536" s="351"/>
      <c r="AD1536" s="607"/>
      <c r="AE1536" s="351"/>
      <c r="AF1536" s="616"/>
      <c r="AG1536" s="351"/>
      <c r="AH1536" s="607"/>
      <c r="AI1536" s="351"/>
      <c r="AJ1536" s="616"/>
      <c r="AK1536" s="351"/>
      <c r="AL1536" s="622"/>
      <c r="AM1536" s="350"/>
      <c r="AN1536" s="350"/>
      <c r="AO1536" s="350"/>
      <c r="AP1536" s="350"/>
      <c r="AQ1536" s="350"/>
      <c r="AR1536" s="350"/>
      <c r="AS1536" s="350"/>
      <c r="AT1536" s="350"/>
      <c r="AU1536" s="350"/>
      <c r="AV1536" s="350"/>
      <c r="AW1536" s="350"/>
      <c r="AX1536" s="350"/>
      <c r="AY1536" s="350"/>
      <c r="AZ1536" s="350"/>
      <c r="BA1536" s="350"/>
      <c r="BB1536" s="351"/>
    </row>
    <row r="1537" spans="1:54" ht="15.75" customHeight="1">
      <c r="A1537" s="25">
        <f t="shared" si="5"/>
        <v>1524</v>
      </c>
      <c r="B1537" s="599" t="str">
        <f>'refer admin discharge'!B1533</f>
        <v>x</v>
      </c>
      <c r="C1537" s="351"/>
      <c r="D1537" s="600" t="str">
        <f>'refer admin discharge'!D1533</f>
        <v>xx</v>
      </c>
      <c r="E1537" s="351"/>
      <c r="F1537" s="609" t="str">
        <f>'refer admin discharge'!H1533</f>
        <v>00/00/0000</v>
      </c>
      <c r="G1537" s="351"/>
      <c r="H1537" s="610"/>
      <c r="I1537" s="351"/>
      <c r="J1537" s="611"/>
      <c r="K1537" s="351"/>
      <c r="L1537" s="610"/>
      <c r="M1537" s="351"/>
      <c r="N1537" s="612"/>
      <c r="O1537" s="351"/>
      <c r="P1537" s="610"/>
      <c r="Q1537" s="351"/>
      <c r="R1537" s="612"/>
      <c r="S1537" s="351"/>
      <c r="T1537" s="610"/>
      <c r="U1537" s="351"/>
      <c r="V1537" s="613" t="str">
        <f>'refer admin discharge'!H1538</f>
        <v>00/00/0000</v>
      </c>
      <c r="W1537" s="351"/>
      <c r="X1537" s="607"/>
      <c r="Y1537" s="351"/>
      <c r="Z1537" s="614"/>
      <c r="AA1537" s="351"/>
      <c r="AB1537" s="607"/>
      <c r="AC1537" s="351"/>
      <c r="AD1537" s="606"/>
      <c r="AE1537" s="351"/>
      <c r="AF1537" s="607"/>
      <c r="AG1537" s="351"/>
      <c r="AH1537" s="606"/>
      <c r="AI1537" s="351"/>
      <c r="AJ1537" s="607"/>
      <c r="AK1537" s="351"/>
      <c r="AL1537" s="608"/>
      <c r="AM1537" s="350"/>
      <c r="AN1537" s="350"/>
      <c r="AO1537" s="350"/>
      <c r="AP1537" s="350"/>
      <c r="AQ1537" s="350"/>
      <c r="AR1537" s="350"/>
      <c r="AS1537" s="350"/>
      <c r="AT1537" s="350"/>
      <c r="AU1537" s="350"/>
      <c r="AV1537" s="350"/>
      <c r="AW1537" s="350"/>
      <c r="AX1537" s="350"/>
      <c r="AY1537" s="350"/>
      <c r="AZ1537" s="350"/>
      <c r="BA1537" s="350"/>
      <c r="BB1537" s="351"/>
    </row>
    <row r="1538" spans="1:54" ht="15.75" customHeight="1">
      <c r="A1538" s="25">
        <f t="shared" si="5"/>
        <v>1525</v>
      </c>
      <c r="B1538" s="618" t="str">
        <f>'refer admin discharge'!B1534</f>
        <v>x</v>
      </c>
      <c r="C1538" s="351"/>
      <c r="D1538" s="619" t="str">
        <f>'refer admin discharge'!D1534</f>
        <v>xx</v>
      </c>
      <c r="E1538" s="351"/>
      <c r="F1538" s="620" t="str">
        <f>'refer admin discharge'!H1534</f>
        <v>00/00/0000</v>
      </c>
      <c r="G1538" s="351"/>
      <c r="H1538" s="615"/>
      <c r="I1538" s="351"/>
      <c r="J1538" s="621"/>
      <c r="K1538" s="351"/>
      <c r="L1538" s="615"/>
      <c r="M1538" s="351"/>
      <c r="N1538" s="610"/>
      <c r="O1538" s="351"/>
      <c r="P1538" s="615"/>
      <c r="Q1538" s="351"/>
      <c r="R1538" s="610"/>
      <c r="S1538" s="351"/>
      <c r="T1538" s="615"/>
      <c r="U1538" s="351"/>
      <c r="V1538" s="613" t="str">
        <f>'refer admin discharge'!H1539</f>
        <v>00/00/0000</v>
      </c>
      <c r="W1538" s="351"/>
      <c r="X1538" s="616"/>
      <c r="Y1538" s="351"/>
      <c r="Z1538" s="617"/>
      <c r="AA1538" s="351"/>
      <c r="AB1538" s="616"/>
      <c r="AC1538" s="351"/>
      <c r="AD1538" s="607"/>
      <c r="AE1538" s="351"/>
      <c r="AF1538" s="616"/>
      <c r="AG1538" s="351"/>
      <c r="AH1538" s="607"/>
      <c r="AI1538" s="351"/>
      <c r="AJ1538" s="616"/>
      <c r="AK1538" s="351"/>
      <c r="AL1538" s="622"/>
      <c r="AM1538" s="350"/>
      <c r="AN1538" s="350"/>
      <c r="AO1538" s="350"/>
      <c r="AP1538" s="350"/>
      <c r="AQ1538" s="350"/>
      <c r="AR1538" s="350"/>
      <c r="AS1538" s="350"/>
      <c r="AT1538" s="350"/>
      <c r="AU1538" s="350"/>
      <c r="AV1538" s="350"/>
      <c r="AW1538" s="350"/>
      <c r="AX1538" s="350"/>
      <c r="AY1538" s="350"/>
      <c r="AZ1538" s="350"/>
      <c r="BA1538" s="350"/>
      <c r="BB1538" s="351"/>
    </row>
    <row r="1539" spans="1:54" ht="15.75" customHeight="1">
      <c r="A1539" s="25">
        <f t="shared" si="5"/>
        <v>1526</v>
      </c>
      <c r="B1539" s="599" t="str">
        <f>'refer admin discharge'!B1535</f>
        <v>x</v>
      </c>
      <c r="C1539" s="351"/>
      <c r="D1539" s="600" t="str">
        <f>'refer admin discharge'!D1535</f>
        <v>xx</v>
      </c>
      <c r="E1539" s="351"/>
      <c r="F1539" s="609" t="str">
        <f>'refer admin discharge'!H1535</f>
        <v>00/00/0000</v>
      </c>
      <c r="G1539" s="351"/>
      <c r="H1539" s="610"/>
      <c r="I1539" s="351"/>
      <c r="J1539" s="611"/>
      <c r="K1539" s="351"/>
      <c r="L1539" s="610"/>
      <c r="M1539" s="351"/>
      <c r="N1539" s="612"/>
      <c r="O1539" s="351"/>
      <c r="P1539" s="610"/>
      <c r="Q1539" s="351"/>
      <c r="R1539" s="612"/>
      <c r="S1539" s="351"/>
      <c r="T1539" s="610"/>
      <c r="U1539" s="351"/>
      <c r="V1539" s="613" t="str">
        <f>'refer admin discharge'!H1540</f>
        <v>00/00/0000</v>
      </c>
      <c r="W1539" s="351"/>
      <c r="X1539" s="607"/>
      <c r="Y1539" s="351"/>
      <c r="Z1539" s="614"/>
      <c r="AA1539" s="351"/>
      <c r="AB1539" s="607"/>
      <c r="AC1539" s="351"/>
      <c r="AD1539" s="606"/>
      <c r="AE1539" s="351"/>
      <c r="AF1539" s="607"/>
      <c r="AG1539" s="351"/>
      <c r="AH1539" s="606"/>
      <c r="AI1539" s="351"/>
      <c r="AJ1539" s="607"/>
      <c r="AK1539" s="351"/>
      <c r="AL1539" s="608"/>
      <c r="AM1539" s="350"/>
      <c r="AN1539" s="350"/>
      <c r="AO1539" s="350"/>
      <c r="AP1539" s="350"/>
      <c r="AQ1539" s="350"/>
      <c r="AR1539" s="350"/>
      <c r="AS1539" s="350"/>
      <c r="AT1539" s="350"/>
      <c r="AU1539" s="350"/>
      <c r="AV1539" s="350"/>
      <c r="AW1539" s="350"/>
      <c r="AX1539" s="350"/>
      <c r="AY1539" s="350"/>
      <c r="AZ1539" s="350"/>
      <c r="BA1539" s="350"/>
      <c r="BB1539" s="351"/>
    </row>
    <row r="1540" spans="1:54" ht="15.75" customHeight="1">
      <c r="A1540" s="25">
        <f t="shared" si="5"/>
        <v>1527</v>
      </c>
      <c r="B1540" s="618" t="str">
        <f>'refer admin discharge'!B1536</f>
        <v>x</v>
      </c>
      <c r="C1540" s="351"/>
      <c r="D1540" s="619" t="str">
        <f>'refer admin discharge'!D1536</f>
        <v>xx</v>
      </c>
      <c r="E1540" s="351"/>
      <c r="F1540" s="620" t="str">
        <f>'refer admin discharge'!H1536</f>
        <v>00/00/0000</v>
      </c>
      <c r="G1540" s="351"/>
      <c r="H1540" s="615"/>
      <c r="I1540" s="351"/>
      <c r="J1540" s="621"/>
      <c r="K1540" s="351"/>
      <c r="L1540" s="615"/>
      <c r="M1540" s="351"/>
      <c r="N1540" s="610"/>
      <c r="O1540" s="351"/>
      <c r="P1540" s="615"/>
      <c r="Q1540" s="351"/>
      <c r="R1540" s="610"/>
      <c r="S1540" s="351"/>
      <c r="T1540" s="615"/>
      <c r="U1540" s="351"/>
      <c r="V1540" s="613" t="str">
        <f>'refer admin discharge'!H1541</f>
        <v>00/00/0000</v>
      </c>
      <c r="W1540" s="351"/>
      <c r="X1540" s="616"/>
      <c r="Y1540" s="351"/>
      <c r="Z1540" s="617"/>
      <c r="AA1540" s="351"/>
      <c r="AB1540" s="616"/>
      <c r="AC1540" s="351"/>
      <c r="AD1540" s="607"/>
      <c r="AE1540" s="351"/>
      <c r="AF1540" s="616"/>
      <c r="AG1540" s="351"/>
      <c r="AH1540" s="607"/>
      <c r="AI1540" s="351"/>
      <c r="AJ1540" s="616"/>
      <c r="AK1540" s="351"/>
      <c r="AL1540" s="622"/>
      <c r="AM1540" s="350"/>
      <c r="AN1540" s="350"/>
      <c r="AO1540" s="350"/>
      <c r="AP1540" s="350"/>
      <c r="AQ1540" s="350"/>
      <c r="AR1540" s="350"/>
      <c r="AS1540" s="350"/>
      <c r="AT1540" s="350"/>
      <c r="AU1540" s="350"/>
      <c r="AV1540" s="350"/>
      <c r="AW1540" s="350"/>
      <c r="AX1540" s="350"/>
      <c r="AY1540" s="350"/>
      <c r="AZ1540" s="350"/>
      <c r="BA1540" s="350"/>
      <c r="BB1540" s="351"/>
    </row>
    <row r="1541" spans="1:54" ht="15.75" customHeight="1">
      <c r="A1541" s="25">
        <f t="shared" si="5"/>
        <v>1528</v>
      </c>
      <c r="B1541" s="599" t="str">
        <f>'refer admin discharge'!B1537</f>
        <v>x</v>
      </c>
      <c r="C1541" s="351"/>
      <c r="D1541" s="600" t="str">
        <f>'refer admin discharge'!D1537</f>
        <v>xx</v>
      </c>
      <c r="E1541" s="351"/>
      <c r="F1541" s="609" t="str">
        <f>'refer admin discharge'!H1537</f>
        <v>00/00/0000</v>
      </c>
      <c r="G1541" s="351"/>
      <c r="H1541" s="610"/>
      <c r="I1541" s="351"/>
      <c r="J1541" s="611"/>
      <c r="K1541" s="351"/>
      <c r="L1541" s="610"/>
      <c r="M1541" s="351"/>
      <c r="N1541" s="612"/>
      <c r="O1541" s="351"/>
      <c r="P1541" s="610"/>
      <c r="Q1541" s="351"/>
      <c r="R1541" s="612"/>
      <c r="S1541" s="351"/>
      <c r="T1541" s="610"/>
      <c r="U1541" s="351"/>
      <c r="V1541" s="613" t="str">
        <f>'refer admin discharge'!H1542</f>
        <v>00/00/0000</v>
      </c>
      <c r="W1541" s="351"/>
      <c r="X1541" s="607"/>
      <c r="Y1541" s="351"/>
      <c r="Z1541" s="614"/>
      <c r="AA1541" s="351"/>
      <c r="AB1541" s="607"/>
      <c r="AC1541" s="351"/>
      <c r="AD1541" s="606"/>
      <c r="AE1541" s="351"/>
      <c r="AF1541" s="607"/>
      <c r="AG1541" s="351"/>
      <c r="AH1541" s="606"/>
      <c r="AI1541" s="351"/>
      <c r="AJ1541" s="607"/>
      <c r="AK1541" s="351"/>
      <c r="AL1541" s="608"/>
      <c r="AM1541" s="350"/>
      <c r="AN1541" s="350"/>
      <c r="AO1541" s="350"/>
      <c r="AP1541" s="350"/>
      <c r="AQ1541" s="350"/>
      <c r="AR1541" s="350"/>
      <c r="AS1541" s="350"/>
      <c r="AT1541" s="350"/>
      <c r="AU1541" s="350"/>
      <c r="AV1541" s="350"/>
      <c r="AW1541" s="350"/>
      <c r="AX1541" s="350"/>
      <c r="AY1541" s="350"/>
      <c r="AZ1541" s="350"/>
      <c r="BA1541" s="350"/>
      <c r="BB1541" s="351"/>
    </row>
    <row r="1542" spans="1:54" ht="15.75" customHeight="1">
      <c r="A1542" s="25">
        <f t="shared" si="5"/>
        <v>1529</v>
      </c>
      <c r="B1542" s="618" t="str">
        <f>'refer admin discharge'!B1538</f>
        <v>x</v>
      </c>
      <c r="C1542" s="351"/>
      <c r="D1542" s="619" t="str">
        <f>'refer admin discharge'!D1538</f>
        <v>xx</v>
      </c>
      <c r="E1542" s="351"/>
      <c r="F1542" s="620" t="str">
        <f>'refer admin discharge'!H1538</f>
        <v>00/00/0000</v>
      </c>
      <c r="G1542" s="351"/>
      <c r="H1542" s="615"/>
      <c r="I1542" s="351"/>
      <c r="J1542" s="621"/>
      <c r="K1542" s="351"/>
      <c r="L1542" s="615"/>
      <c r="M1542" s="351"/>
      <c r="N1542" s="610"/>
      <c r="O1542" s="351"/>
      <c r="P1542" s="615"/>
      <c r="Q1542" s="351"/>
      <c r="R1542" s="610"/>
      <c r="S1542" s="351"/>
      <c r="T1542" s="615"/>
      <c r="U1542" s="351"/>
      <c r="V1542" s="613" t="str">
        <f>'refer admin discharge'!H1543</f>
        <v>00/00/0000</v>
      </c>
      <c r="W1542" s="351"/>
      <c r="X1542" s="616"/>
      <c r="Y1542" s="351"/>
      <c r="Z1542" s="617"/>
      <c r="AA1542" s="351"/>
      <c r="AB1542" s="616"/>
      <c r="AC1542" s="351"/>
      <c r="AD1542" s="607"/>
      <c r="AE1542" s="351"/>
      <c r="AF1542" s="616"/>
      <c r="AG1542" s="351"/>
      <c r="AH1542" s="607"/>
      <c r="AI1542" s="351"/>
      <c r="AJ1542" s="616"/>
      <c r="AK1542" s="351"/>
      <c r="AL1542" s="622"/>
      <c r="AM1542" s="350"/>
      <c r="AN1542" s="350"/>
      <c r="AO1542" s="350"/>
      <c r="AP1542" s="350"/>
      <c r="AQ1542" s="350"/>
      <c r="AR1542" s="350"/>
      <c r="AS1542" s="350"/>
      <c r="AT1542" s="350"/>
      <c r="AU1542" s="350"/>
      <c r="AV1542" s="350"/>
      <c r="AW1542" s="350"/>
      <c r="AX1542" s="350"/>
      <c r="AY1542" s="350"/>
      <c r="AZ1542" s="350"/>
      <c r="BA1542" s="350"/>
      <c r="BB1542" s="351"/>
    </row>
    <row r="1543" spans="1:54" ht="15.75" customHeight="1">
      <c r="A1543" s="25">
        <f t="shared" si="5"/>
        <v>1530</v>
      </c>
      <c r="B1543" s="599" t="str">
        <f>'refer admin discharge'!B1539</f>
        <v>x</v>
      </c>
      <c r="C1543" s="351"/>
      <c r="D1543" s="600" t="str">
        <f>'refer admin discharge'!D1539</f>
        <v>xx</v>
      </c>
      <c r="E1543" s="351"/>
      <c r="F1543" s="609" t="str">
        <f>'refer admin discharge'!H1539</f>
        <v>00/00/0000</v>
      </c>
      <c r="G1543" s="351"/>
      <c r="H1543" s="610"/>
      <c r="I1543" s="351"/>
      <c r="J1543" s="611"/>
      <c r="K1543" s="351"/>
      <c r="L1543" s="610"/>
      <c r="M1543" s="351"/>
      <c r="N1543" s="612"/>
      <c r="O1543" s="351"/>
      <c r="P1543" s="610"/>
      <c r="Q1543" s="351"/>
      <c r="R1543" s="612"/>
      <c r="S1543" s="351"/>
      <c r="T1543" s="610"/>
      <c r="U1543" s="351"/>
      <c r="V1543" s="613" t="str">
        <f>'refer admin discharge'!H1544</f>
        <v>00/00/0000</v>
      </c>
      <c r="W1543" s="351"/>
      <c r="X1543" s="607"/>
      <c r="Y1543" s="351"/>
      <c r="Z1543" s="614"/>
      <c r="AA1543" s="351"/>
      <c r="AB1543" s="607"/>
      <c r="AC1543" s="351"/>
      <c r="AD1543" s="606"/>
      <c r="AE1543" s="351"/>
      <c r="AF1543" s="607"/>
      <c r="AG1543" s="351"/>
      <c r="AH1543" s="606"/>
      <c r="AI1543" s="351"/>
      <c r="AJ1543" s="607"/>
      <c r="AK1543" s="351"/>
      <c r="AL1543" s="608"/>
      <c r="AM1543" s="350"/>
      <c r="AN1543" s="350"/>
      <c r="AO1543" s="350"/>
      <c r="AP1543" s="350"/>
      <c r="AQ1543" s="350"/>
      <c r="AR1543" s="350"/>
      <c r="AS1543" s="350"/>
      <c r="AT1543" s="350"/>
      <c r="AU1543" s="350"/>
      <c r="AV1543" s="350"/>
      <c r="AW1543" s="350"/>
      <c r="AX1543" s="350"/>
      <c r="AY1543" s="350"/>
      <c r="AZ1543" s="350"/>
      <c r="BA1543" s="350"/>
      <c r="BB1543" s="351"/>
    </row>
    <row r="1544" spans="1:54" ht="15.75" customHeight="1">
      <c r="A1544" s="25">
        <f t="shared" ref="A1544:A1613" si="6">ROW(A1531)</f>
        <v>1531</v>
      </c>
      <c r="B1544" s="618" t="str">
        <f>'refer admin discharge'!B1540</f>
        <v>x</v>
      </c>
      <c r="C1544" s="351"/>
      <c r="D1544" s="619" t="str">
        <f>'refer admin discharge'!D1540</f>
        <v>xx</v>
      </c>
      <c r="E1544" s="351"/>
      <c r="F1544" s="620" t="str">
        <f>'refer admin discharge'!H1540</f>
        <v>00/00/0000</v>
      </c>
      <c r="G1544" s="351"/>
      <c r="H1544" s="615"/>
      <c r="I1544" s="351"/>
      <c r="J1544" s="621"/>
      <c r="K1544" s="351"/>
      <c r="L1544" s="615"/>
      <c r="M1544" s="351"/>
      <c r="N1544" s="610"/>
      <c r="O1544" s="351"/>
      <c r="P1544" s="615"/>
      <c r="Q1544" s="351"/>
      <c r="R1544" s="610"/>
      <c r="S1544" s="351"/>
      <c r="T1544" s="615"/>
      <c r="U1544" s="351"/>
      <c r="V1544" s="613" t="str">
        <f>'refer admin discharge'!H1545</f>
        <v>00/00/0000</v>
      </c>
      <c r="W1544" s="351"/>
      <c r="X1544" s="616"/>
      <c r="Y1544" s="351"/>
      <c r="Z1544" s="617"/>
      <c r="AA1544" s="351"/>
      <c r="AB1544" s="616"/>
      <c r="AC1544" s="351"/>
      <c r="AD1544" s="607"/>
      <c r="AE1544" s="351"/>
      <c r="AF1544" s="616"/>
      <c r="AG1544" s="351"/>
      <c r="AH1544" s="607"/>
      <c r="AI1544" s="351"/>
      <c r="AJ1544" s="616"/>
      <c r="AK1544" s="351"/>
      <c r="AL1544" s="622"/>
      <c r="AM1544" s="350"/>
      <c r="AN1544" s="350"/>
      <c r="AO1544" s="350"/>
      <c r="AP1544" s="350"/>
      <c r="AQ1544" s="350"/>
      <c r="AR1544" s="350"/>
      <c r="AS1544" s="350"/>
      <c r="AT1544" s="350"/>
      <c r="AU1544" s="350"/>
      <c r="AV1544" s="350"/>
      <c r="AW1544" s="350"/>
      <c r="AX1544" s="350"/>
      <c r="AY1544" s="350"/>
      <c r="AZ1544" s="350"/>
      <c r="BA1544" s="350"/>
      <c r="BB1544" s="351"/>
    </row>
    <row r="1545" spans="1:54" ht="15.75" customHeight="1">
      <c r="A1545" s="25">
        <f t="shared" si="6"/>
        <v>1532</v>
      </c>
      <c r="B1545" s="599" t="str">
        <f>'refer admin discharge'!B1541</f>
        <v>x</v>
      </c>
      <c r="C1545" s="351"/>
      <c r="D1545" s="600" t="str">
        <f>'refer admin discharge'!D1541</f>
        <v>xx</v>
      </c>
      <c r="E1545" s="351"/>
      <c r="F1545" s="609" t="str">
        <f>'refer admin discharge'!H1541</f>
        <v>00/00/0000</v>
      </c>
      <c r="G1545" s="351"/>
      <c r="H1545" s="610"/>
      <c r="I1545" s="351"/>
      <c r="J1545" s="611"/>
      <c r="K1545" s="351"/>
      <c r="L1545" s="610"/>
      <c r="M1545" s="351"/>
      <c r="N1545" s="612"/>
      <c r="O1545" s="351"/>
      <c r="P1545" s="610"/>
      <c r="Q1545" s="351"/>
      <c r="R1545" s="612"/>
      <c r="S1545" s="351"/>
      <c r="T1545" s="610"/>
      <c r="U1545" s="351"/>
      <c r="V1545" s="613" t="str">
        <f>'refer admin discharge'!H1546</f>
        <v>00/00/0000</v>
      </c>
      <c r="W1545" s="351"/>
      <c r="X1545" s="607"/>
      <c r="Y1545" s="351"/>
      <c r="Z1545" s="614"/>
      <c r="AA1545" s="351"/>
      <c r="AB1545" s="607"/>
      <c r="AC1545" s="351"/>
      <c r="AD1545" s="606"/>
      <c r="AE1545" s="351"/>
      <c r="AF1545" s="607"/>
      <c r="AG1545" s="351"/>
      <c r="AH1545" s="606"/>
      <c r="AI1545" s="351"/>
      <c r="AJ1545" s="607"/>
      <c r="AK1545" s="351"/>
      <c r="AL1545" s="608"/>
      <c r="AM1545" s="350"/>
      <c r="AN1545" s="350"/>
      <c r="AO1545" s="350"/>
      <c r="AP1545" s="350"/>
      <c r="AQ1545" s="350"/>
      <c r="AR1545" s="350"/>
      <c r="AS1545" s="350"/>
      <c r="AT1545" s="350"/>
      <c r="AU1545" s="350"/>
      <c r="AV1545" s="350"/>
      <c r="AW1545" s="350"/>
      <c r="AX1545" s="350"/>
      <c r="AY1545" s="350"/>
      <c r="AZ1545" s="350"/>
      <c r="BA1545" s="350"/>
      <c r="BB1545" s="351"/>
    </row>
    <row r="1546" spans="1:54" ht="15.75" customHeight="1">
      <c r="A1546" s="25">
        <f t="shared" si="6"/>
        <v>1533</v>
      </c>
      <c r="B1546" s="618" t="str">
        <f>'refer admin discharge'!B1542</f>
        <v>x</v>
      </c>
      <c r="C1546" s="351"/>
      <c r="D1546" s="619" t="str">
        <f>'refer admin discharge'!D1542</f>
        <v>xx</v>
      </c>
      <c r="E1546" s="351"/>
      <c r="F1546" s="620" t="str">
        <f>'refer admin discharge'!H1542</f>
        <v>00/00/0000</v>
      </c>
      <c r="G1546" s="351"/>
      <c r="H1546" s="615"/>
      <c r="I1546" s="351"/>
      <c r="J1546" s="621"/>
      <c r="K1546" s="351"/>
      <c r="L1546" s="615"/>
      <c r="M1546" s="351"/>
      <c r="N1546" s="610"/>
      <c r="O1546" s="351"/>
      <c r="P1546" s="615"/>
      <c r="Q1546" s="351"/>
      <c r="R1546" s="610"/>
      <c r="S1546" s="351"/>
      <c r="T1546" s="615"/>
      <c r="U1546" s="351"/>
      <c r="V1546" s="613" t="str">
        <f>'refer admin discharge'!H1547</f>
        <v>00/00/0000</v>
      </c>
      <c r="W1546" s="351"/>
      <c r="X1546" s="616"/>
      <c r="Y1546" s="351"/>
      <c r="Z1546" s="617"/>
      <c r="AA1546" s="351"/>
      <c r="AB1546" s="616"/>
      <c r="AC1546" s="351"/>
      <c r="AD1546" s="607"/>
      <c r="AE1546" s="351"/>
      <c r="AF1546" s="616"/>
      <c r="AG1546" s="351"/>
      <c r="AH1546" s="607"/>
      <c r="AI1546" s="351"/>
      <c r="AJ1546" s="616"/>
      <c r="AK1546" s="351"/>
      <c r="AL1546" s="622"/>
      <c r="AM1546" s="350"/>
      <c r="AN1546" s="350"/>
      <c r="AO1546" s="350"/>
      <c r="AP1546" s="350"/>
      <c r="AQ1546" s="350"/>
      <c r="AR1546" s="350"/>
      <c r="AS1546" s="350"/>
      <c r="AT1546" s="350"/>
      <c r="AU1546" s="350"/>
      <c r="AV1546" s="350"/>
      <c r="AW1546" s="350"/>
      <c r="AX1546" s="350"/>
      <c r="AY1546" s="350"/>
      <c r="AZ1546" s="350"/>
      <c r="BA1546" s="350"/>
      <c r="BB1546" s="351"/>
    </row>
    <row r="1547" spans="1:54" ht="15.75" customHeight="1">
      <c r="A1547" s="25">
        <f t="shared" si="6"/>
        <v>1534</v>
      </c>
      <c r="B1547" s="599" t="str">
        <f>'refer admin discharge'!B1543</f>
        <v>x</v>
      </c>
      <c r="C1547" s="351"/>
      <c r="D1547" s="600" t="str">
        <f>'refer admin discharge'!D1543</f>
        <v>xx</v>
      </c>
      <c r="E1547" s="351"/>
      <c r="F1547" s="609" t="str">
        <f>'refer admin discharge'!H1543</f>
        <v>00/00/0000</v>
      </c>
      <c r="G1547" s="351"/>
      <c r="H1547" s="610"/>
      <c r="I1547" s="351"/>
      <c r="J1547" s="611"/>
      <c r="K1547" s="351"/>
      <c r="L1547" s="610"/>
      <c r="M1547" s="351"/>
      <c r="N1547" s="612"/>
      <c r="O1547" s="351"/>
      <c r="P1547" s="610"/>
      <c r="Q1547" s="351"/>
      <c r="R1547" s="612"/>
      <c r="S1547" s="351"/>
      <c r="T1547" s="610"/>
      <c r="U1547" s="351"/>
      <c r="V1547" s="613" t="str">
        <f>'refer admin discharge'!H1548</f>
        <v>00/00/0000</v>
      </c>
      <c r="W1547" s="351"/>
      <c r="X1547" s="607"/>
      <c r="Y1547" s="351"/>
      <c r="Z1547" s="614"/>
      <c r="AA1547" s="351"/>
      <c r="AB1547" s="607"/>
      <c r="AC1547" s="351"/>
      <c r="AD1547" s="606"/>
      <c r="AE1547" s="351"/>
      <c r="AF1547" s="607"/>
      <c r="AG1547" s="351"/>
      <c r="AH1547" s="606"/>
      <c r="AI1547" s="351"/>
      <c r="AJ1547" s="607"/>
      <c r="AK1547" s="351"/>
      <c r="AL1547" s="608"/>
      <c r="AM1547" s="350"/>
      <c r="AN1547" s="350"/>
      <c r="AO1547" s="350"/>
      <c r="AP1547" s="350"/>
      <c r="AQ1547" s="350"/>
      <c r="AR1547" s="350"/>
      <c r="AS1547" s="350"/>
      <c r="AT1547" s="350"/>
      <c r="AU1547" s="350"/>
      <c r="AV1547" s="350"/>
      <c r="AW1547" s="350"/>
      <c r="AX1547" s="350"/>
      <c r="AY1547" s="350"/>
      <c r="AZ1547" s="350"/>
      <c r="BA1547" s="350"/>
      <c r="BB1547" s="351"/>
    </row>
    <row r="1548" spans="1:54" ht="15.75" customHeight="1">
      <c r="A1548" s="25">
        <f t="shared" si="6"/>
        <v>1535</v>
      </c>
      <c r="B1548" s="618" t="str">
        <f>'refer admin discharge'!B1544</f>
        <v>x</v>
      </c>
      <c r="C1548" s="351"/>
      <c r="D1548" s="619" t="str">
        <f>'refer admin discharge'!D1544</f>
        <v>xx</v>
      </c>
      <c r="E1548" s="351"/>
      <c r="F1548" s="620" t="str">
        <f>'refer admin discharge'!H1544</f>
        <v>00/00/0000</v>
      </c>
      <c r="G1548" s="351"/>
      <c r="H1548" s="615"/>
      <c r="I1548" s="351"/>
      <c r="J1548" s="621"/>
      <c r="K1548" s="351"/>
      <c r="L1548" s="615"/>
      <c r="M1548" s="351"/>
      <c r="N1548" s="610"/>
      <c r="O1548" s="351"/>
      <c r="P1548" s="615"/>
      <c r="Q1548" s="351"/>
      <c r="R1548" s="610"/>
      <c r="S1548" s="351"/>
      <c r="T1548" s="615"/>
      <c r="U1548" s="351"/>
      <c r="V1548" s="613" t="str">
        <f>'refer admin discharge'!H1549</f>
        <v>00/00/0000</v>
      </c>
      <c r="W1548" s="351"/>
      <c r="X1548" s="616"/>
      <c r="Y1548" s="351"/>
      <c r="Z1548" s="617"/>
      <c r="AA1548" s="351"/>
      <c r="AB1548" s="616"/>
      <c r="AC1548" s="351"/>
      <c r="AD1548" s="607"/>
      <c r="AE1548" s="351"/>
      <c r="AF1548" s="616"/>
      <c r="AG1548" s="351"/>
      <c r="AH1548" s="607"/>
      <c r="AI1548" s="351"/>
      <c r="AJ1548" s="616"/>
      <c r="AK1548" s="351"/>
      <c r="AL1548" s="622"/>
      <c r="AM1548" s="350"/>
      <c r="AN1548" s="350"/>
      <c r="AO1548" s="350"/>
      <c r="AP1548" s="350"/>
      <c r="AQ1548" s="350"/>
      <c r="AR1548" s="350"/>
      <c r="AS1548" s="350"/>
      <c r="AT1548" s="350"/>
      <c r="AU1548" s="350"/>
      <c r="AV1548" s="350"/>
      <c r="AW1548" s="350"/>
      <c r="AX1548" s="350"/>
      <c r="AY1548" s="350"/>
      <c r="AZ1548" s="350"/>
      <c r="BA1548" s="350"/>
      <c r="BB1548" s="351"/>
    </row>
    <row r="1549" spans="1:54" ht="15.75" customHeight="1">
      <c r="A1549" s="25">
        <f t="shared" si="6"/>
        <v>1536</v>
      </c>
      <c r="B1549" s="599" t="str">
        <f>'refer admin discharge'!B1545</f>
        <v>x</v>
      </c>
      <c r="C1549" s="351"/>
      <c r="D1549" s="600" t="str">
        <f>'refer admin discharge'!D1545</f>
        <v>xx</v>
      </c>
      <c r="E1549" s="351"/>
      <c r="F1549" s="609" t="str">
        <f>'refer admin discharge'!H1545</f>
        <v>00/00/0000</v>
      </c>
      <c r="G1549" s="351"/>
      <c r="H1549" s="610"/>
      <c r="I1549" s="351"/>
      <c r="J1549" s="611"/>
      <c r="K1549" s="351"/>
      <c r="L1549" s="610"/>
      <c r="M1549" s="351"/>
      <c r="N1549" s="612"/>
      <c r="O1549" s="351"/>
      <c r="P1549" s="610"/>
      <c r="Q1549" s="351"/>
      <c r="R1549" s="612"/>
      <c r="S1549" s="351"/>
      <c r="T1549" s="610"/>
      <c r="U1549" s="351"/>
      <c r="V1549" s="613" t="str">
        <f>'refer admin discharge'!H1550</f>
        <v>00/00/0000</v>
      </c>
      <c r="W1549" s="351"/>
      <c r="X1549" s="607"/>
      <c r="Y1549" s="351"/>
      <c r="Z1549" s="614"/>
      <c r="AA1549" s="351"/>
      <c r="AB1549" s="607"/>
      <c r="AC1549" s="351"/>
      <c r="AD1549" s="606"/>
      <c r="AE1549" s="351"/>
      <c r="AF1549" s="607"/>
      <c r="AG1549" s="351"/>
      <c r="AH1549" s="606"/>
      <c r="AI1549" s="351"/>
      <c r="AJ1549" s="607"/>
      <c r="AK1549" s="351"/>
      <c r="AL1549" s="608"/>
      <c r="AM1549" s="350"/>
      <c r="AN1549" s="350"/>
      <c r="AO1549" s="350"/>
      <c r="AP1549" s="350"/>
      <c r="AQ1549" s="350"/>
      <c r="AR1549" s="350"/>
      <c r="AS1549" s="350"/>
      <c r="AT1549" s="350"/>
      <c r="AU1549" s="350"/>
      <c r="AV1549" s="350"/>
      <c r="AW1549" s="350"/>
      <c r="AX1549" s="350"/>
      <c r="AY1549" s="350"/>
      <c r="AZ1549" s="350"/>
      <c r="BA1549" s="350"/>
      <c r="BB1549" s="351"/>
    </row>
    <row r="1550" spans="1:54" ht="15.75" customHeight="1">
      <c r="A1550" s="25">
        <f t="shared" si="6"/>
        <v>1537</v>
      </c>
      <c r="B1550" s="618" t="str">
        <f>'refer admin discharge'!B1546</f>
        <v>x</v>
      </c>
      <c r="C1550" s="351"/>
      <c r="D1550" s="619" t="str">
        <f>'refer admin discharge'!D1546</f>
        <v>xx</v>
      </c>
      <c r="E1550" s="351"/>
      <c r="F1550" s="620" t="str">
        <f>'refer admin discharge'!H1546</f>
        <v>00/00/0000</v>
      </c>
      <c r="G1550" s="351"/>
      <c r="H1550" s="615"/>
      <c r="I1550" s="351"/>
      <c r="J1550" s="621"/>
      <c r="K1550" s="351"/>
      <c r="L1550" s="615"/>
      <c r="M1550" s="351"/>
      <c r="N1550" s="610"/>
      <c r="O1550" s="351"/>
      <c r="P1550" s="615"/>
      <c r="Q1550" s="351"/>
      <c r="R1550" s="610"/>
      <c r="S1550" s="351"/>
      <c r="T1550" s="615"/>
      <c r="U1550" s="351"/>
      <c r="V1550" s="613" t="str">
        <f>'refer admin discharge'!H1551</f>
        <v>00/00/0000</v>
      </c>
      <c r="W1550" s="351"/>
      <c r="X1550" s="616"/>
      <c r="Y1550" s="351"/>
      <c r="Z1550" s="617"/>
      <c r="AA1550" s="351"/>
      <c r="AB1550" s="616"/>
      <c r="AC1550" s="351"/>
      <c r="AD1550" s="607"/>
      <c r="AE1550" s="351"/>
      <c r="AF1550" s="616"/>
      <c r="AG1550" s="351"/>
      <c r="AH1550" s="607"/>
      <c r="AI1550" s="351"/>
      <c r="AJ1550" s="616"/>
      <c r="AK1550" s="351"/>
      <c r="AL1550" s="622"/>
      <c r="AM1550" s="350"/>
      <c r="AN1550" s="350"/>
      <c r="AO1550" s="350"/>
      <c r="AP1550" s="350"/>
      <c r="AQ1550" s="350"/>
      <c r="AR1550" s="350"/>
      <c r="AS1550" s="350"/>
      <c r="AT1550" s="350"/>
      <c r="AU1550" s="350"/>
      <c r="AV1550" s="350"/>
      <c r="AW1550" s="350"/>
      <c r="AX1550" s="350"/>
      <c r="AY1550" s="350"/>
      <c r="AZ1550" s="350"/>
      <c r="BA1550" s="350"/>
      <c r="BB1550" s="351"/>
    </row>
    <row r="1551" spans="1:54" ht="15.75" customHeight="1">
      <c r="A1551" s="25">
        <f t="shared" si="6"/>
        <v>1538</v>
      </c>
      <c r="B1551" s="599" t="str">
        <f>'refer admin discharge'!B1547</f>
        <v>x</v>
      </c>
      <c r="C1551" s="351"/>
      <c r="D1551" s="600" t="str">
        <f>'refer admin discharge'!D1547</f>
        <v>xx</v>
      </c>
      <c r="E1551" s="351"/>
      <c r="F1551" s="609" t="str">
        <f>'refer admin discharge'!H1547</f>
        <v>00/00/0000</v>
      </c>
      <c r="G1551" s="351"/>
      <c r="H1551" s="610"/>
      <c r="I1551" s="351"/>
      <c r="J1551" s="611"/>
      <c r="K1551" s="351"/>
      <c r="L1551" s="610"/>
      <c r="M1551" s="351"/>
      <c r="N1551" s="612"/>
      <c r="O1551" s="351"/>
      <c r="P1551" s="610"/>
      <c r="Q1551" s="351"/>
      <c r="R1551" s="612"/>
      <c r="S1551" s="351"/>
      <c r="T1551" s="610"/>
      <c r="U1551" s="351"/>
      <c r="V1551" s="613" t="str">
        <f>'refer admin discharge'!H1552</f>
        <v>00/00/0000</v>
      </c>
      <c r="W1551" s="351"/>
      <c r="X1551" s="607"/>
      <c r="Y1551" s="351"/>
      <c r="Z1551" s="614"/>
      <c r="AA1551" s="351"/>
      <c r="AB1551" s="607"/>
      <c r="AC1551" s="351"/>
      <c r="AD1551" s="606"/>
      <c r="AE1551" s="351"/>
      <c r="AF1551" s="607"/>
      <c r="AG1551" s="351"/>
      <c r="AH1551" s="606"/>
      <c r="AI1551" s="351"/>
      <c r="AJ1551" s="607"/>
      <c r="AK1551" s="351"/>
      <c r="AL1551" s="608"/>
      <c r="AM1551" s="350"/>
      <c r="AN1551" s="350"/>
      <c r="AO1551" s="350"/>
      <c r="AP1551" s="350"/>
      <c r="AQ1551" s="350"/>
      <c r="AR1551" s="350"/>
      <c r="AS1551" s="350"/>
      <c r="AT1551" s="350"/>
      <c r="AU1551" s="350"/>
      <c r="AV1551" s="350"/>
      <c r="AW1551" s="350"/>
      <c r="AX1551" s="350"/>
      <c r="AY1551" s="350"/>
      <c r="AZ1551" s="350"/>
      <c r="BA1551" s="350"/>
      <c r="BB1551" s="351"/>
    </row>
    <row r="1552" spans="1:54" ht="15.75" customHeight="1">
      <c r="A1552" s="25">
        <f t="shared" si="6"/>
        <v>1539</v>
      </c>
      <c r="B1552" s="618" t="str">
        <f>'refer admin discharge'!B1548</f>
        <v>x</v>
      </c>
      <c r="C1552" s="351"/>
      <c r="D1552" s="619" t="str">
        <f>'refer admin discharge'!D1548</f>
        <v>xx</v>
      </c>
      <c r="E1552" s="351"/>
      <c r="F1552" s="620" t="str">
        <f>'refer admin discharge'!H1548</f>
        <v>00/00/0000</v>
      </c>
      <c r="G1552" s="351"/>
      <c r="H1552" s="615"/>
      <c r="I1552" s="351"/>
      <c r="J1552" s="621"/>
      <c r="K1552" s="351"/>
      <c r="L1552" s="615"/>
      <c r="M1552" s="351"/>
      <c r="N1552" s="610"/>
      <c r="O1552" s="351"/>
      <c r="P1552" s="615"/>
      <c r="Q1552" s="351"/>
      <c r="R1552" s="610"/>
      <c r="S1552" s="351"/>
      <c r="T1552" s="615"/>
      <c r="U1552" s="351"/>
      <c r="V1552" s="613" t="str">
        <f>'refer admin discharge'!H1553</f>
        <v>00/00/0000</v>
      </c>
      <c r="W1552" s="351"/>
      <c r="X1552" s="616"/>
      <c r="Y1552" s="351"/>
      <c r="Z1552" s="617"/>
      <c r="AA1552" s="351"/>
      <c r="AB1552" s="616"/>
      <c r="AC1552" s="351"/>
      <c r="AD1552" s="607"/>
      <c r="AE1552" s="351"/>
      <c r="AF1552" s="616"/>
      <c r="AG1552" s="351"/>
      <c r="AH1552" s="607"/>
      <c r="AI1552" s="351"/>
      <c r="AJ1552" s="616"/>
      <c r="AK1552" s="351"/>
      <c r="AL1552" s="622"/>
      <c r="AM1552" s="350"/>
      <c r="AN1552" s="350"/>
      <c r="AO1552" s="350"/>
      <c r="AP1552" s="350"/>
      <c r="AQ1552" s="350"/>
      <c r="AR1552" s="350"/>
      <c r="AS1552" s="350"/>
      <c r="AT1552" s="350"/>
      <c r="AU1552" s="350"/>
      <c r="AV1552" s="350"/>
      <c r="AW1552" s="350"/>
      <c r="AX1552" s="350"/>
      <c r="AY1552" s="350"/>
      <c r="AZ1552" s="350"/>
      <c r="BA1552" s="350"/>
      <c r="BB1552" s="351"/>
    </row>
    <row r="1553" spans="1:54" ht="15.75" customHeight="1">
      <c r="A1553" s="25">
        <f t="shared" si="6"/>
        <v>1540</v>
      </c>
      <c r="B1553" s="599" t="str">
        <f>'refer admin discharge'!B1549</f>
        <v>x</v>
      </c>
      <c r="C1553" s="351"/>
      <c r="D1553" s="600" t="str">
        <f>'refer admin discharge'!D1549</f>
        <v>xx</v>
      </c>
      <c r="E1553" s="351"/>
      <c r="F1553" s="609" t="str">
        <f>'refer admin discharge'!H1549</f>
        <v>00/00/0000</v>
      </c>
      <c r="G1553" s="351"/>
      <c r="H1553" s="610"/>
      <c r="I1553" s="351"/>
      <c r="J1553" s="611"/>
      <c r="K1553" s="351"/>
      <c r="L1553" s="610"/>
      <c r="M1553" s="351"/>
      <c r="N1553" s="612"/>
      <c r="O1553" s="351"/>
      <c r="P1553" s="610"/>
      <c r="Q1553" s="351"/>
      <c r="R1553" s="612"/>
      <c r="S1553" s="351"/>
      <c r="T1553" s="610"/>
      <c r="U1553" s="351"/>
      <c r="V1553" s="613" t="str">
        <f>'refer admin discharge'!H1554</f>
        <v>00/00/0000</v>
      </c>
      <c r="W1553" s="351"/>
      <c r="X1553" s="607"/>
      <c r="Y1553" s="351"/>
      <c r="Z1553" s="614"/>
      <c r="AA1553" s="351"/>
      <c r="AB1553" s="607"/>
      <c r="AC1553" s="351"/>
      <c r="AD1553" s="606"/>
      <c r="AE1553" s="351"/>
      <c r="AF1553" s="607"/>
      <c r="AG1553" s="351"/>
      <c r="AH1553" s="606"/>
      <c r="AI1553" s="351"/>
      <c r="AJ1553" s="607"/>
      <c r="AK1553" s="351"/>
      <c r="AL1553" s="608"/>
      <c r="AM1553" s="350"/>
      <c r="AN1553" s="350"/>
      <c r="AO1553" s="350"/>
      <c r="AP1553" s="350"/>
      <c r="AQ1553" s="350"/>
      <c r="AR1553" s="350"/>
      <c r="AS1553" s="350"/>
      <c r="AT1553" s="350"/>
      <c r="AU1553" s="350"/>
      <c r="AV1553" s="350"/>
      <c r="AW1553" s="350"/>
      <c r="AX1553" s="350"/>
      <c r="AY1553" s="350"/>
      <c r="AZ1553" s="350"/>
      <c r="BA1553" s="350"/>
      <c r="BB1553" s="351"/>
    </row>
    <row r="1554" spans="1:54" ht="15.75" customHeight="1">
      <c r="A1554" s="25">
        <f t="shared" si="6"/>
        <v>1541</v>
      </c>
      <c r="B1554" s="618" t="str">
        <f>'refer admin discharge'!B1550</f>
        <v>x</v>
      </c>
      <c r="C1554" s="351"/>
      <c r="D1554" s="619" t="str">
        <f>'refer admin discharge'!D1550</f>
        <v>xx</v>
      </c>
      <c r="E1554" s="351"/>
      <c r="F1554" s="620" t="str">
        <f>'refer admin discharge'!H1550</f>
        <v>00/00/0000</v>
      </c>
      <c r="G1554" s="351"/>
      <c r="H1554" s="615"/>
      <c r="I1554" s="351"/>
      <c r="J1554" s="621"/>
      <c r="K1554" s="351"/>
      <c r="L1554" s="615"/>
      <c r="M1554" s="351"/>
      <c r="N1554" s="610"/>
      <c r="O1554" s="351"/>
      <c r="P1554" s="615"/>
      <c r="Q1554" s="351"/>
      <c r="R1554" s="610"/>
      <c r="S1554" s="351"/>
      <c r="T1554" s="615"/>
      <c r="U1554" s="351"/>
      <c r="V1554" s="613" t="str">
        <f>'refer admin discharge'!H1555</f>
        <v>00/00/0000</v>
      </c>
      <c r="W1554" s="351"/>
      <c r="X1554" s="616"/>
      <c r="Y1554" s="351"/>
      <c r="Z1554" s="617"/>
      <c r="AA1554" s="351"/>
      <c r="AB1554" s="616"/>
      <c r="AC1554" s="351"/>
      <c r="AD1554" s="607"/>
      <c r="AE1554" s="351"/>
      <c r="AF1554" s="616"/>
      <c r="AG1554" s="351"/>
      <c r="AH1554" s="607"/>
      <c r="AI1554" s="351"/>
      <c r="AJ1554" s="616"/>
      <c r="AK1554" s="351"/>
      <c r="AL1554" s="622"/>
      <c r="AM1554" s="350"/>
      <c r="AN1554" s="350"/>
      <c r="AO1554" s="350"/>
      <c r="AP1554" s="350"/>
      <c r="AQ1554" s="350"/>
      <c r="AR1554" s="350"/>
      <c r="AS1554" s="350"/>
      <c r="AT1554" s="350"/>
      <c r="AU1554" s="350"/>
      <c r="AV1554" s="350"/>
      <c r="AW1554" s="350"/>
      <c r="AX1554" s="350"/>
      <c r="AY1554" s="350"/>
      <c r="AZ1554" s="350"/>
      <c r="BA1554" s="350"/>
      <c r="BB1554" s="351"/>
    </row>
    <row r="1555" spans="1:54" ht="15.75" customHeight="1">
      <c r="A1555" s="25">
        <f t="shared" si="6"/>
        <v>1542</v>
      </c>
      <c r="B1555" s="599" t="str">
        <f>'refer admin discharge'!B1551</f>
        <v>x</v>
      </c>
      <c r="C1555" s="351"/>
      <c r="D1555" s="600" t="str">
        <f>'refer admin discharge'!D1551</f>
        <v>xx</v>
      </c>
      <c r="E1555" s="351"/>
      <c r="F1555" s="609" t="str">
        <f>'refer admin discharge'!H1551</f>
        <v>00/00/0000</v>
      </c>
      <c r="G1555" s="351"/>
      <c r="H1555" s="610"/>
      <c r="I1555" s="351"/>
      <c r="J1555" s="611"/>
      <c r="K1555" s="351"/>
      <c r="L1555" s="610"/>
      <c r="M1555" s="351"/>
      <c r="N1555" s="612"/>
      <c r="O1555" s="351"/>
      <c r="P1555" s="610"/>
      <c r="Q1555" s="351"/>
      <c r="R1555" s="612"/>
      <c r="S1555" s="351"/>
      <c r="T1555" s="610"/>
      <c r="U1555" s="351"/>
      <c r="V1555" s="613" t="str">
        <f>'refer admin discharge'!H1556</f>
        <v>00/00/0000</v>
      </c>
      <c r="W1555" s="351"/>
      <c r="X1555" s="607"/>
      <c r="Y1555" s="351"/>
      <c r="Z1555" s="614"/>
      <c r="AA1555" s="351"/>
      <c r="AB1555" s="607"/>
      <c r="AC1555" s="351"/>
      <c r="AD1555" s="606"/>
      <c r="AE1555" s="351"/>
      <c r="AF1555" s="607"/>
      <c r="AG1555" s="351"/>
      <c r="AH1555" s="606"/>
      <c r="AI1555" s="351"/>
      <c r="AJ1555" s="607"/>
      <c r="AK1555" s="351"/>
      <c r="AL1555" s="608"/>
      <c r="AM1555" s="350"/>
      <c r="AN1555" s="350"/>
      <c r="AO1555" s="350"/>
      <c r="AP1555" s="350"/>
      <c r="AQ1555" s="350"/>
      <c r="AR1555" s="350"/>
      <c r="AS1555" s="350"/>
      <c r="AT1555" s="350"/>
      <c r="AU1555" s="350"/>
      <c r="AV1555" s="350"/>
      <c r="AW1555" s="350"/>
      <c r="AX1555" s="350"/>
      <c r="AY1555" s="350"/>
      <c r="AZ1555" s="350"/>
      <c r="BA1555" s="350"/>
      <c r="BB1555" s="351"/>
    </row>
    <row r="1556" spans="1:54" ht="15.75" customHeight="1">
      <c r="A1556" s="25">
        <f t="shared" si="6"/>
        <v>1543</v>
      </c>
      <c r="B1556" s="618" t="str">
        <f>'refer admin discharge'!B1552</f>
        <v>x</v>
      </c>
      <c r="C1556" s="351"/>
      <c r="D1556" s="619" t="str">
        <f>'refer admin discharge'!D1552</f>
        <v>xx</v>
      </c>
      <c r="E1556" s="351"/>
      <c r="F1556" s="620" t="str">
        <f>'refer admin discharge'!H1552</f>
        <v>00/00/0000</v>
      </c>
      <c r="G1556" s="351"/>
      <c r="H1556" s="615"/>
      <c r="I1556" s="351"/>
      <c r="J1556" s="621"/>
      <c r="K1556" s="351"/>
      <c r="L1556" s="615"/>
      <c r="M1556" s="351"/>
      <c r="N1556" s="610"/>
      <c r="O1556" s="351"/>
      <c r="P1556" s="615"/>
      <c r="Q1556" s="351"/>
      <c r="R1556" s="610"/>
      <c r="S1556" s="351"/>
      <c r="T1556" s="615"/>
      <c r="U1556" s="351"/>
      <c r="V1556" s="613" t="str">
        <f>'refer admin discharge'!H1557</f>
        <v>00/00/0000</v>
      </c>
      <c r="W1556" s="351"/>
      <c r="X1556" s="616"/>
      <c r="Y1556" s="351"/>
      <c r="Z1556" s="617"/>
      <c r="AA1556" s="351"/>
      <c r="AB1556" s="616"/>
      <c r="AC1556" s="351"/>
      <c r="AD1556" s="607"/>
      <c r="AE1556" s="351"/>
      <c r="AF1556" s="616"/>
      <c r="AG1556" s="351"/>
      <c r="AH1556" s="607"/>
      <c r="AI1556" s="351"/>
      <c r="AJ1556" s="616"/>
      <c r="AK1556" s="351"/>
      <c r="AL1556" s="622"/>
      <c r="AM1556" s="350"/>
      <c r="AN1556" s="350"/>
      <c r="AO1556" s="350"/>
      <c r="AP1556" s="350"/>
      <c r="AQ1556" s="350"/>
      <c r="AR1556" s="350"/>
      <c r="AS1556" s="350"/>
      <c r="AT1556" s="350"/>
      <c r="AU1556" s="350"/>
      <c r="AV1556" s="350"/>
      <c r="AW1556" s="350"/>
      <c r="AX1556" s="350"/>
      <c r="AY1556" s="350"/>
      <c r="AZ1556" s="350"/>
      <c r="BA1556" s="350"/>
      <c r="BB1556" s="351"/>
    </row>
    <row r="1557" spans="1:54" ht="15.75" customHeight="1">
      <c r="A1557" s="25">
        <f t="shared" si="6"/>
        <v>1544</v>
      </c>
      <c r="B1557" s="599" t="str">
        <f>'refer admin discharge'!B1553</f>
        <v>x</v>
      </c>
      <c r="C1557" s="351"/>
      <c r="D1557" s="600" t="str">
        <f>'refer admin discharge'!D1553</f>
        <v>xx</v>
      </c>
      <c r="E1557" s="351"/>
      <c r="F1557" s="609" t="str">
        <f>'refer admin discharge'!H1553</f>
        <v>00/00/0000</v>
      </c>
      <c r="G1557" s="351"/>
      <c r="H1557" s="610"/>
      <c r="I1557" s="351"/>
      <c r="J1557" s="611"/>
      <c r="K1557" s="351"/>
      <c r="L1557" s="610"/>
      <c r="M1557" s="351"/>
      <c r="N1557" s="612"/>
      <c r="O1557" s="351"/>
      <c r="P1557" s="610"/>
      <c r="Q1557" s="351"/>
      <c r="R1557" s="612"/>
      <c r="S1557" s="351"/>
      <c r="T1557" s="610"/>
      <c r="U1557" s="351"/>
      <c r="V1557" s="613" t="str">
        <f>'refer admin discharge'!H1558</f>
        <v>00/00/0000</v>
      </c>
      <c r="W1557" s="351"/>
      <c r="X1557" s="607"/>
      <c r="Y1557" s="351"/>
      <c r="Z1557" s="614"/>
      <c r="AA1557" s="351"/>
      <c r="AB1557" s="607"/>
      <c r="AC1557" s="351"/>
      <c r="AD1557" s="606"/>
      <c r="AE1557" s="351"/>
      <c r="AF1557" s="607"/>
      <c r="AG1557" s="351"/>
      <c r="AH1557" s="606"/>
      <c r="AI1557" s="351"/>
      <c r="AJ1557" s="607"/>
      <c r="AK1557" s="351"/>
      <c r="AL1557" s="608"/>
      <c r="AM1557" s="350"/>
      <c r="AN1557" s="350"/>
      <c r="AO1557" s="350"/>
      <c r="AP1557" s="350"/>
      <c r="AQ1557" s="350"/>
      <c r="AR1557" s="350"/>
      <c r="AS1557" s="350"/>
      <c r="AT1557" s="350"/>
      <c r="AU1557" s="350"/>
      <c r="AV1557" s="350"/>
      <c r="AW1557" s="350"/>
      <c r="AX1557" s="350"/>
      <c r="AY1557" s="350"/>
      <c r="AZ1557" s="350"/>
      <c r="BA1557" s="350"/>
      <c r="BB1557" s="351"/>
    </row>
    <row r="1558" spans="1:54" ht="15.75" customHeight="1">
      <c r="A1558" s="25">
        <f t="shared" si="6"/>
        <v>1545</v>
      </c>
      <c r="B1558" s="618" t="str">
        <f>'refer admin discharge'!B1554</f>
        <v>x</v>
      </c>
      <c r="C1558" s="351"/>
      <c r="D1558" s="619" t="str">
        <f>'refer admin discharge'!D1554</f>
        <v>xx</v>
      </c>
      <c r="E1558" s="351"/>
      <c r="F1558" s="620" t="str">
        <f>'refer admin discharge'!H1554</f>
        <v>00/00/0000</v>
      </c>
      <c r="G1558" s="351"/>
      <c r="H1558" s="615"/>
      <c r="I1558" s="351"/>
      <c r="J1558" s="621"/>
      <c r="K1558" s="351"/>
      <c r="L1558" s="615"/>
      <c r="M1558" s="351"/>
      <c r="N1558" s="610"/>
      <c r="O1558" s="351"/>
      <c r="P1558" s="615"/>
      <c r="Q1558" s="351"/>
      <c r="R1558" s="610"/>
      <c r="S1558" s="351"/>
      <c r="T1558" s="615"/>
      <c r="U1558" s="351"/>
      <c r="V1558" s="613" t="str">
        <f>'refer admin discharge'!H1559</f>
        <v>00/00/0000</v>
      </c>
      <c r="W1558" s="351"/>
      <c r="X1558" s="616"/>
      <c r="Y1558" s="351"/>
      <c r="Z1558" s="617"/>
      <c r="AA1558" s="351"/>
      <c r="AB1558" s="616"/>
      <c r="AC1558" s="351"/>
      <c r="AD1558" s="607"/>
      <c r="AE1558" s="351"/>
      <c r="AF1558" s="616"/>
      <c r="AG1558" s="351"/>
      <c r="AH1558" s="607"/>
      <c r="AI1558" s="351"/>
      <c r="AJ1558" s="616"/>
      <c r="AK1558" s="351"/>
      <c r="AL1558" s="622"/>
      <c r="AM1558" s="350"/>
      <c r="AN1558" s="350"/>
      <c r="AO1558" s="350"/>
      <c r="AP1558" s="350"/>
      <c r="AQ1558" s="350"/>
      <c r="AR1558" s="350"/>
      <c r="AS1558" s="350"/>
      <c r="AT1558" s="350"/>
      <c r="AU1558" s="350"/>
      <c r="AV1558" s="350"/>
      <c r="AW1558" s="350"/>
      <c r="AX1558" s="350"/>
      <c r="AY1558" s="350"/>
      <c r="AZ1558" s="350"/>
      <c r="BA1558" s="350"/>
      <c r="BB1558" s="351"/>
    </row>
    <row r="1559" spans="1:54" ht="15.75" customHeight="1">
      <c r="A1559" s="25">
        <f t="shared" si="6"/>
        <v>1546</v>
      </c>
      <c r="B1559" s="599" t="str">
        <f>'refer admin discharge'!B1555</f>
        <v>x</v>
      </c>
      <c r="C1559" s="351"/>
      <c r="D1559" s="600" t="str">
        <f>'refer admin discharge'!D1555</f>
        <v>xx</v>
      </c>
      <c r="E1559" s="351"/>
      <c r="F1559" s="609" t="str">
        <f>'refer admin discharge'!H1555</f>
        <v>00/00/0000</v>
      </c>
      <c r="G1559" s="351"/>
      <c r="H1559" s="610"/>
      <c r="I1559" s="351"/>
      <c r="J1559" s="611"/>
      <c r="K1559" s="351"/>
      <c r="L1559" s="610"/>
      <c r="M1559" s="351"/>
      <c r="N1559" s="612"/>
      <c r="O1559" s="351"/>
      <c r="P1559" s="610"/>
      <c r="Q1559" s="351"/>
      <c r="R1559" s="612"/>
      <c r="S1559" s="351"/>
      <c r="T1559" s="610"/>
      <c r="U1559" s="351"/>
      <c r="V1559" s="613" t="str">
        <f>'refer admin discharge'!H1560</f>
        <v>00/00/0000</v>
      </c>
      <c r="W1559" s="351"/>
      <c r="X1559" s="607"/>
      <c r="Y1559" s="351"/>
      <c r="Z1559" s="614"/>
      <c r="AA1559" s="351"/>
      <c r="AB1559" s="607"/>
      <c r="AC1559" s="351"/>
      <c r="AD1559" s="606"/>
      <c r="AE1559" s="351"/>
      <c r="AF1559" s="607"/>
      <c r="AG1559" s="351"/>
      <c r="AH1559" s="606"/>
      <c r="AI1559" s="351"/>
      <c r="AJ1559" s="607"/>
      <c r="AK1559" s="351"/>
      <c r="AL1559" s="608"/>
      <c r="AM1559" s="350"/>
      <c r="AN1559" s="350"/>
      <c r="AO1559" s="350"/>
      <c r="AP1559" s="350"/>
      <c r="AQ1559" s="350"/>
      <c r="AR1559" s="350"/>
      <c r="AS1559" s="350"/>
      <c r="AT1559" s="350"/>
      <c r="AU1559" s="350"/>
      <c r="AV1559" s="350"/>
      <c r="AW1559" s="350"/>
      <c r="AX1559" s="350"/>
      <c r="AY1559" s="350"/>
      <c r="AZ1559" s="350"/>
      <c r="BA1559" s="350"/>
      <c r="BB1559" s="351"/>
    </row>
    <row r="1560" spans="1:54" ht="15.75" customHeight="1">
      <c r="A1560" s="25">
        <f t="shared" si="6"/>
        <v>1547</v>
      </c>
      <c r="B1560" s="618" t="str">
        <f>'refer admin discharge'!B1556</f>
        <v>x</v>
      </c>
      <c r="C1560" s="351"/>
      <c r="D1560" s="619" t="str">
        <f>'refer admin discharge'!D1556</f>
        <v>xx</v>
      </c>
      <c r="E1560" s="351"/>
      <c r="F1560" s="620" t="str">
        <f>'refer admin discharge'!H1556</f>
        <v>00/00/0000</v>
      </c>
      <c r="G1560" s="351"/>
      <c r="H1560" s="615"/>
      <c r="I1560" s="351"/>
      <c r="J1560" s="621"/>
      <c r="K1560" s="351"/>
      <c r="L1560" s="615"/>
      <c r="M1560" s="351"/>
      <c r="N1560" s="610"/>
      <c r="O1560" s="351"/>
      <c r="P1560" s="615"/>
      <c r="Q1560" s="351"/>
      <c r="R1560" s="610"/>
      <c r="S1560" s="351"/>
      <c r="T1560" s="615"/>
      <c r="U1560" s="351"/>
      <c r="V1560" s="613" t="str">
        <f>'refer admin discharge'!H1561</f>
        <v>00/00/0000</v>
      </c>
      <c r="W1560" s="351"/>
      <c r="X1560" s="616"/>
      <c r="Y1560" s="351"/>
      <c r="Z1560" s="617"/>
      <c r="AA1560" s="351"/>
      <c r="AB1560" s="616"/>
      <c r="AC1560" s="351"/>
      <c r="AD1560" s="607"/>
      <c r="AE1560" s="351"/>
      <c r="AF1560" s="616"/>
      <c r="AG1560" s="351"/>
      <c r="AH1560" s="607"/>
      <c r="AI1560" s="351"/>
      <c r="AJ1560" s="616"/>
      <c r="AK1560" s="351"/>
      <c r="AL1560" s="622"/>
      <c r="AM1560" s="350"/>
      <c r="AN1560" s="350"/>
      <c r="AO1560" s="350"/>
      <c r="AP1560" s="350"/>
      <c r="AQ1560" s="350"/>
      <c r="AR1560" s="350"/>
      <c r="AS1560" s="350"/>
      <c r="AT1560" s="350"/>
      <c r="AU1560" s="350"/>
      <c r="AV1560" s="350"/>
      <c r="AW1560" s="350"/>
      <c r="AX1560" s="350"/>
      <c r="AY1560" s="350"/>
      <c r="AZ1560" s="350"/>
      <c r="BA1560" s="350"/>
      <c r="BB1560" s="351"/>
    </row>
    <row r="1561" spans="1:54" ht="15.75" customHeight="1">
      <c r="A1561" s="25">
        <f t="shared" si="6"/>
        <v>1548</v>
      </c>
      <c r="B1561" s="599" t="str">
        <f>'refer admin discharge'!B1557</f>
        <v>x</v>
      </c>
      <c r="C1561" s="351"/>
      <c r="D1561" s="600" t="str">
        <f>'refer admin discharge'!D1557</f>
        <v>xx</v>
      </c>
      <c r="E1561" s="351"/>
      <c r="F1561" s="609" t="str">
        <f>'refer admin discharge'!H1557</f>
        <v>00/00/0000</v>
      </c>
      <c r="G1561" s="351"/>
      <c r="H1561" s="610"/>
      <c r="I1561" s="351"/>
      <c r="J1561" s="611"/>
      <c r="K1561" s="351"/>
      <c r="L1561" s="610"/>
      <c r="M1561" s="351"/>
      <c r="N1561" s="612"/>
      <c r="O1561" s="351"/>
      <c r="P1561" s="610"/>
      <c r="Q1561" s="351"/>
      <c r="R1561" s="612"/>
      <c r="S1561" s="351"/>
      <c r="T1561" s="610"/>
      <c r="U1561" s="351"/>
      <c r="V1561" s="613" t="str">
        <f>'refer admin discharge'!H1562</f>
        <v>00/00/0000</v>
      </c>
      <c r="W1561" s="351"/>
      <c r="X1561" s="607"/>
      <c r="Y1561" s="351"/>
      <c r="Z1561" s="614"/>
      <c r="AA1561" s="351"/>
      <c r="AB1561" s="607"/>
      <c r="AC1561" s="351"/>
      <c r="AD1561" s="606"/>
      <c r="AE1561" s="351"/>
      <c r="AF1561" s="607"/>
      <c r="AG1561" s="351"/>
      <c r="AH1561" s="606"/>
      <c r="AI1561" s="351"/>
      <c r="AJ1561" s="607"/>
      <c r="AK1561" s="351"/>
      <c r="AL1561" s="608"/>
      <c r="AM1561" s="350"/>
      <c r="AN1561" s="350"/>
      <c r="AO1561" s="350"/>
      <c r="AP1561" s="350"/>
      <c r="AQ1561" s="350"/>
      <c r="AR1561" s="350"/>
      <c r="AS1561" s="350"/>
      <c r="AT1561" s="350"/>
      <c r="AU1561" s="350"/>
      <c r="AV1561" s="350"/>
      <c r="AW1561" s="350"/>
      <c r="AX1561" s="350"/>
      <c r="AY1561" s="350"/>
      <c r="AZ1561" s="350"/>
      <c r="BA1561" s="350"/>
      <c r="BB1561" s="351"/>
    </row>
    <row r="1562" spans="1:54" ht="15.75" customHeight="1">
      <c r="A1562" s="25">
        <f t="shared" si="6"/>
        <v>1549</v>
      </c>
      <c r="B1562" s="618" t="str">
        <f>'refer admin discharge'!B1558</f>
        <v>x</v>
      </c>
      <c r="C1562" s="351"/>
      <c r="D1562" s="619" t="str">
        <f>'refer admin discharge'!D1558</f>
        <v>xx</v>
      </c>
      <c r="E1562" s="351"/>
      <c r="F1562" s="620" t="str">
        <f>'refer admin discharge'!H1558</f>
        <v>00/00/0000</v>
      </c>
      <c r="G1562" s="351"/>
      <c r="H1562" s="615"/>
      <c r="I1562" s="351"/>
      <c r="J1562" s="621"/>
      <c r="K1562" s="351"/>
      <c r="L1562" s="615"/>
      <c r="M1562" s="351"/>
      <c r="N1562" s="610"/>
      <c r="O1562" s="351"/>
      <c r="P1562" s="615"/>
      <c r="Q1562" s="351"/>
      <c r="R1562" s="610"/>
      <c r="S1562" s="351"/>
      <c r="T1562" s="615"/>
      <c r="U1562" s="351"/>
      <c r="V1562" s="613" t="str">
        <f>'refer admin discharge'!H1563</f>
        <v>00/00/0000</v>
      </c>
      <c r="W1562" s="351"/>
      <c r="X1562" s="616"/>
      <c r="Y1562" s="351"/>
      <c r="Z1562" s="617"/>
      <c r="AA1562" s="351"/>
      <c r="AB1562" s="616"/>
      <c r="AC1562" s="351"/>
      <c r="AD1562" s="607"/>
      <c r="AE1562" s="351"/>
      <c r="AF1562" s="616"/>
      <c r="AG1562" s="351"/>
      <c r="AH1562" s="607"/>
      <c r="AI1562" s="351"/>
      <c r="AJ1562" s="616"/>
      <c r="AK1562" s="351"/>
      <c r="AL1562" s="622"/>
      <c r="AM1562" s="350"/>
      <c r="AN1562" s="350"/>
      <c r="AO1562" s="350"/>
      <c r="AP1562" s="350"/>
      <c r="AQ1562" s="350"/>
      <c r="AR1562" s="350"/>
      <c r="AS1562" s="350"/>
      <c r="AT1562" s="350"/>
      <c r="AU1562" s="350"/>
      <c r="AV1562" s="350"/>
      <c r="AW1562" s="350"/>
      <c r="AX1562" s="350"/>
      <c r="AY1562" s="350"/>
      <c r="AZ1562" s="350"/>
      <c r="BA1562" s="350"/>
      <c r="BB1562" s="351"/>
    </row>
    <row r="1563" spans="1:54" ht="15.75" customHeight="1">
      <c r="A1563" s="25">
        <f t="shared" si="6"/>
        <v>1550</v>
      </c>
      <c r="B1563" s="599" t="str">
        <f>'refer admin discharge'!B1559</f>
        <v>x</v>
      </c>
      <c r="C1563" s="351"/>
      <c r="D1563" s="600" t="str">
        <f>'refer admin discharge'!D1559</f>
        <v>xx</v>
      </c>
      <c r="E1563" s="351"/>
      <c r="F1563" s="609" t="str">
        <f>'refer admin discharge'!H1559</f>
        <v>00/00/0000</v>
      </c>
      <c r="G1563" s="351"/>
      <c r="H1563" s="610"/>
      <c r="I1563" s="351"/>
      <c r="J1563" s="611"/>
      <c r="K1563" s="351"/>
      <c r="L1563" s="610"/>
      <c r="M1563" s="351"/>
      <c r="N1563" s="612"/>
      <c r="O1563" s="351"/>
      <c r="P1563" s="610"/>
      <c r="Q1563" s="351"/>
      <c r="R1563" s="612"/>
      <c r="S1563" s="351"/>
      <c r="T1563" s="610"/>
      <c r="U1563" s="351"/>
      <c r="V1563" s="613" t="str">
        <f>'refer admin discharge'!H1564</f>
        <v>00/00/0000</v>
      </c>
      <c r="W1563" s="351"/>
      <c r="X1563" s="607"/>
      <c r="Y1563" s="351"/>
      <c r="Z1563" s="614"/>
      <c r="AA1563" s="351"/>
      <c r="AB1563" s="607"/>
      <c r="AC1563" s="351"/>
      <c r="AD1563" s="606"/>
      <c r="AE1563" s="351"/>
      <c r="AF1563" s="607"/>
      <c r="AG1563" s="351"/>
      <c r="AH1563" s="606"/>
      <c r="AI1563" s="351"/>
      <c r="AJ1563" s="607"/>
      <c r="AK1563" s="351"/>
      <c r="AL1563" s="608"/>
      <c r="AM1563" s="350"/>
      <c r="AN1563" s="350"/>
      <c r="AO1563" s="350"/>
      <c r="AP1563" s="350"/>
      <c r="AQ1563" s="350"/>
      <c r="AR1563" s="350"/>
      <c r="AS1563" s="350"/>
      <c r="AT1563" s="350"/>
      <c r="AU1563" s="350"/>
      <c r="AV1563" s="350"/>
      <c r="AW1563" s="350"/>
      <c r="AX1563" s="350"/>
      <c r="AY1563" s="350"/>
      <c r="AZ1563" s="350"/>
      <c r="BA1563" s="350"/>
      <c r="BB1563" s="351"/>
    </row>
    <row r="1564" spans="1:54" ht="15.75" customHeight="1">
      <c r="A1564" s="25">
        <f t="shared" si="6"/>
        <v>1551</v>
      </c>
      <c r="B1564" s="618" t="str">
        <f>'refer admin discharge'!B1560</f>
        <v>x</v>
      </c>
      <c r="C1564" s="351"/>
      <c r="D1564" s="619" t="str">
        <f>'refer admin discharge'!D1560</f>
        <v>xx</v>
      </c>
      <c r="E1564" s="351"/>
      <c r="F1564" s="620" t="str">
        <f>'refer admin discharge'!H1560</f>
        <v>00/00/0000</v>
      </c>
      <c r="G1564" s="351"/>
      <c r="H1564" s="615"/>
      <c r="I1564" s="351"/>
      <c r="J1564" s="621"/>
      <c r="K1564" s="351"/>
      <c r="L1564" s="615"/>
      <c r="M1564" s="351"/>
      <c r="N1564" s="610"/>
      <c r="O1564" s="351"/>
      <c r="P1564" s="615"/>
      <c r="Q1564" s="351"/>
      <c r="R1564" s="610"/>
      <c r="S1564" s="351"/>
      <c r="T1564" s="615"/>
      <c r="U1564" s="351"/>
      <c r="V1564" s="613" t="str">
        <f>'refer admin discharge'!H1565</f>
        <v>00/00/0000</v>
      </c>
      <c r="W1564" s="351"/>
      <c r="X1564" s="616"/>
      <c r="Y1564" s="351"/>
      <c r="Z1564" s="617"/>
      <c r="AA1564" s="351"/>
      <c r="AB1564" s="616"/>
      <c r="AC1564" s="351"/>
      <c r="AD1564" s="607"/>
      <c r="AE1564" s="351"/>
      <c r="AF1564" s="616"/>
      <c r="AG1564" s="351"/>
      <c r="AH1564" s="607"/>
      <c r="AI1564" s="351"/>
      <c r="AJ1564" s="616"/>
      <c r="AK1564" s="351"/>
      <c r="AL1564" s="622"/>
      <c r="AM1564" s="350"/>
      <c r="AN1564" s="350"/>
      <c r="AO1564" s="350"/>
      <c r="AP1564" s="350"/>
      <c r="AQ1564" s="350"/>
      <c r="AR1564" s="350"/>
      <c r="AS1564" s="350"/>
      <c r="AT1564" s="350"/>
      <c r="AU1564" s="350"/>
      <c r="AV1564" s="350"/>
      <c r="AW1564" s="350"/>
      <c r="AX1564" s="350"/>
      <c r="AY1564" s="350"/>
      <c r="AZ1564" s="350"/>
      <c r="BA1564" s="350"/>
      <c r="BB1564" s="351"/>
    </row>
    <row r="1565" spans="1:54" ht="15.75" customHeight="1">
      <c r="A1565" s="25">
        <f t="shared" si="6"/>
        <v>1552</v>
      </c>
      <c r="B1565" s="599" t="str">
        <f>'refer admin discharge'!B1561</f>
        <v>x</v>
      </c>
      <c r="C1565" s="351"/>
      <c r="D1565" s="600" t="str">
        <f>'refer admin discharge'!D1561</f>
        <v>xx</v>
      </c>
      <c r="E1565" s="351"/>
      <c r="F1565" s="609" t="str">
        <f>'refer admin discharge'!H1561</f>
        <v>00/00/0000</v>
      </c>
      <c r="G1565" s="351"/>
      <c r="H1565" s="610"/>
      <c r="I1565" s="351"/>
      <c r="J1565" s="611"/>
      <c r="K1565" s="351"/>
      <c r="L1565" s="610"/>
      <c r="M1565" s="351"/>
      <c r="N1565" s="612"/>
      <c r="O1565" s="351"/>
      <c r="P1565" s="610"/>
      <c r="Q1565" s="351"/>
      <c r="R1565" s="612"/>
      <c r="S1565" s="351"/>
      <c r="T1565" s="610"/>
      <c r="U1565" s="351"/>
      <c r="V1565" s="613" t="str">
        <f>'refer admin discharge'!H1566</f>
        <v>00/00/0000</v>
      </c>
      <c r="W1565" s="351"/>
      <c r="X1565" s="607"/>
      <c r="Y1565" s="351"/>
      <c r="Z1565" s="614"/>
      <c r="AA1565" s="351"/>
      <c r="AB1565" s="607"/>
      <c r="AC1565" s="351"/>
      <c r="AD1565" s="606"/>
      <c r="AE1565" s="351"/>
      <c r="AF1565" s="607"/>
      <c r="AG1565" s="351"/>
      <c r="AH1565" s="606"/>
      <c r="AI1565" s="351"/>
      <c r="AJ1565" s="607"/>
      <c r="AK1565" s="351"/>
      <c r="AL1565" s="608"/>
      <c r="AM1565" s="350"/>
      <c r="AN1565" s="350"/>
      <c r="AO1565" s="350"/>
      <c r="AP1565" s="350"/>
      <c r="AQ1565" s="350"/>
      <c r="AR1565" s="350"/>
      <c r="AS1565" s="350"/>
      <c r="AT1565" s="350"/>
      <c r="AU1565" s="350"/>
      <c r="AV1565" s="350"/>
      <c r="AW1565" s="350"/>
      <c r="AX1565" s="350"/>
      <c r="AY1565" s="350"/>
      <c r="AZ1565" s="350"/>
      <c r="BA1565" s="350"/>
      <c r="BB1565" s="351"/>
    </row>
    <row r="1566" spans="1:54" ht="15.75" customHeight="1">
      <c r="A1566" s="25">
        <f t="shared" si="6"/>
        <v>1553</v>
      </c>
      <c r="B1566" s="618" t="str">
        <f>'refer admin discharge'!B1562</f>
        <v>x</v>
      </c>
      <c r="C1566" s="351"/>
      <c r="D1566" s="619" t="str">
        <f>'refer admin discharge'!D1562</f>
        <v>xx</v>
      </c>
      <c r="E1566" s="351"/>
      <c r="F1566" s="620" t="str">
        <f>'refer admin discharge'!H1562</f>
        <v>00/00/0000</v>
      </c>
      <c r="G1566" s="351"/>
      <c r="H1566" s="615"/>
      <c r="I1566" s="351"/>
      <c r="J1566" s="621"/>
      <c r="K1566" s="351"/>
      <c r="L1566" s="615"/>
      <c r="M1566" s="351"/>
      <c r="N1566" s="610"/>
      <c r="O1566" s="351"/>
      <c r="P1566" s="615"/>
      <c r="Q1566" s="351"/>
      <c r="R1566" s="610"/>
      <c r="S1566" s="351"/>
      <c r="T1566" s="615"/>
      <c r="U1566" s="351"/>
      <c r="V1566" s="613" t="str">
        <f>'refer admin discharge'!H1567</f>
        <v>00/00/0000</v>
      </c>
      <c r="W1566" s="351"/>
      <c r="X1566" s="616"/>
      <c r="Y1566" s="351"/>
      <c r="Z1566" s="617"/>
      <c r="AA1566" s="351"/>
      <c r="AB1566" s="616"/>
      <c r="AC1566" s="351"/>
      <c r="AD1566" s="607"/>
      <c r="AE1566" s="351"/>
      <c r="AF1566" s="616"/>
      <c r="AG1566" s="351"/>
      <c r="AH1566" s="607"/>
      <c r="AI1566" s="351"/>
      <c r="AJ1566" s="616"/>
      <c r="AK1566" s="351"/>
      <c r="AL1566" s="622"/>
      <c r="AM1566" s="350"/>
      <c r="AN1566" s="350"/>
      <c r="AO1566" s="350"/>
      <c r="AP1566" s="350"/>
      <c r="AQ1566" s="350"/>
      <c r="AR1566" s="350"/>
      <c r="AS1566" s="350"/>
      <c r="AT1566" s="350"/>
      <c r="AU1566" s="350"/>
      <c r="AV1566" s="350"/>
      <c r="AW1566" s="350"/>
      <c r="AX1566" s="350"/>
      <c r="AY1566" s="350"/>
      <c r="AZ1566" s="350"/>
      <c r="BA1566" s="350"/>
      <c r="BB1566" s="351"/>
    </row>
    <row r="1567" spans="1:54" ht="15.75" customHeight="1">
      <c r="A1567" s="25">
        <f t="shared" si="6"/>
        <v>1554</v>
      </c>
      <c r="B1567" s="599" t="str">
        <f>'refer admin discharge'!B1563</f>
        <v>x</v>
      </c>
      <c r="C1567" s="351"/>
      <c r="D1567" s="600" t="str">
        <f>'refer admin discharge'!D1563</f>
        <v>xx</v>
      </c>
      <c r="E1567" s="351"/>
      <c r="F1567" s="609" t="str">
        <f>'refer admin discharge'!H1563</f>
        <v>00/00/0000</v>
      </c>
      <c r="G1567" s="351"/>
      <c r="H1567" s="610"/>
      <c r="I1567" s="351"/>
      <c r="J1567" s="611"/>
      <c r="K1567" s="351"/>
      <c r="L1567" s="610"/>
      <c r="M1567" s="351"/>
      <c r="N1567" s="612"/>
      <c r="O1567" s="351"/>
      <c r="P1567" s="610"/>
      <c r="Q1567" s="351"/>
      <c r="R1567" s="612"/>
      <c r="S1567" s="351"/>
      <c r="T1567" s="610"/>
      <c r="U1567" s="351"/>
      <c r="V1567" s="613" t="str">
        <f>'refer admin discharge'!H1568</f>
        <v>00/00/0000</v>
      </c>
      <c r="W1567" s="351"/>
      <c r="X1567" s="607"/>
      <c r="Y1567" s="351"/>
      <c r="Z1567" s="614"/>
      <c r="AA1567" s="351"/>
      <c r="AB1567" s="607"/>
      <c r="AC1567" s="351"/>
      <c r="AD1567" s="606"/>
      <c r="AE1567" s="351"/>
      <c r="AF1567" s="607"/>
      <c r="AG1567" s="351"/>
      <c r="AH1567" s="606"/>
      <c r="AI1567" s="351"/>
      <c r="AJ1567" s="607"/>
      <c r="AK1567" s="351"/>
      <c r="AL1567" s="608"/>
      <c r="AM1567" s="350"/>
      <c r="AN1567" s="350"/>
      <c r="AO1567" s="350"/>
      <c r="AP1567" s="350"/>
      <c r="AQ1567" s="350"/>
      <c r="AR1567" s="350"/>
      <c r="AS1567" s="350"/>
      <c r="AT1567" s="350"/>
      <c r="AU1567" s="350"/>
      <c r="AV1567" s="350"/>
      <c r="AW1567" s="350"/>
      <c r="AX1567" s="350"/>
      <c r="AY1567" s="350"/>
      <c r="AZ1567" s="350"/>
      <c r="BA1567" s="350"/>
      <c r="BB1567" s="351"/>
    </row>
    <row r="1568" spans="1:54" ht="15.75" customHeight="1">
      <c r="A1568" s="25">
        <f t="shared" si="6"/>
        <v>1555</v>
      </c>
      <c r="B1568" s="618" t="str">
        <f>'refer admin discharge'!B1564</f>
        <v>x</v>
      </c>
      <c r="C1568" s="351"/>
      <c r="D1568" s="619" t="str">
        <f>'refer admin discharge'!D1564</f>
        <v>xx</v>
      </c>
      <c r="E1568" s="351"/>
      <c r="F1568" s="620" t="str">
        <f>'refer admin discharge'!H1564</f>
        <v>00/00/0000</v>
      </c>
      <c r="G1568" s="351"/>
      <c r="H1568" s="615"/>
      <c r="I1568" s="351"/>
      <c r="J1568" s="621"/>
      <c r="K1568" s="351"/>
      <c r="L1568" s="615"/>
      <c r="M1568" s="351"/>
      <c r="N1568" s="610"/>
      <c r="O1568" s="351"/>
      <c r="P1568" s="615"/>
      <c r="Q1568" s="351"/>
      <c r="R1568" s="610"/>
      <c r="S1568" s="351"/>
      <c r="T1568" s="615"/>
      <c r="U1568" s="351"/>
      <c r="V1568" s="613" t="str">
        <f>'refer admin discharge'!H1569</f>
        <v>00/00/0000</v>
      </c>
      <c r="W1568" s="351"/>
      <c r="X1568" s="616"/>
      <c r="Y1568" s="351"/>
      <c r="Z1568" s="617"/>
      <c r="AA1568" s="351"/>
      <c r="AB1568" s="616"/>
      <c r="AC1568" s="351"/>
      <c r="AD1568" s="607"/>
      <c r="AE1568" s="351"/>
      <c r="AF1568" s="616"/>
      <c r="AG1568" s="351"/>
      <c r="AH1568" s="607"/>
      <c r="AI1568" s="351"/>
      <c r="AJ1568" s="616"/>
      <c r="AK1568" s="351"/>
      <c r="AL1568" s="622"/>
      <c r="AM1568" s="350"/>
      <c r="AN1568" s="350"/>
      <c r="AO1568" s="350"/>
      <c r="AP1568" s="350"/>
      <c r="AQ1568" s="350"/>
      <c r="AR1568" s="350"/>
      <c r="AS1568" s="350"/>
      <c r="AT1568" s="350"/>
      <c r="AU1568" s="350"/>
      <c r="AV1568" s="350"/>
      <c r="AW1568" s="350"/>
      <c r="AX1568" s="350"/>
      <c r="AY1568" s="350"/>
      <c r="AZ1568" s="350"/>
      <c r="BA1568" s="350"/>
      <c r="BB1568" s="351"/>
    </row>
    <row r="1569" spans="1:54" ht="15.75" customHeight="1">
      <c r="A1569" s="25">
        <f t="shared" si="6"/>
        <v>1556</v>
      </c>
      <c r="B1569" s="599" t="str">
        <f>'refer admin discharge'!B1565</f>
        <v>x</v>
      </c>
      <c r="C1569" s="351"/>
      <c r="D1569" s="600" t="str">
        <f>'refer admin discharge'!D1565</f>
        <v>xx</v>
      </c>
      <c r="E1569" s="351"/>
      <c r="F1569" s="609" t="str">
        <f>'refer admin discharge'!H1565</f>
        <v>00/00/0000</v>
      </c>
      <c r="G1569" s="351"/>
      <c r="H1569" s="610"/>
      <c r="I1569" s="351"/>
      <c r="J1569" s="611"/>
      <c r="K1569" s="351"/>
      <c r="L1569" s="610"/>
      <c r="M1569" s="351"/>
      <c r="N1569" s="612"/>
      <c r="O1569" s="351"/>
      <c r="P1569" s="610"/>
      <c r="Q1569" s="351"/>
      <c r="R1569" s="612"/>
      <c r="S1569" s="351"/>
      <c r="T1569" s="610"/>
      <c r="U1569" s="351"/>
      <c r="V1569" s="613" t="str">
        <f>'refer admin discharge'!H1570</f>
        <v>00/00/0000</v>
      </c>
      <c r="W1569" s="351"/>
      <c r="X1569" s="607"/>
      <c r="Y1569" s="351"/>
      <c r="Z1569" s="614"/>
      <c r="AA1569" s="351"/>
      <c r="AB1569" s="607"/>
      <c r="AC1569" s="351"/>
      <c r="AD1569" s="606"/>
      <c r="AE1569" s="351"/>
      <c r="AF1569" s="607"/>
      <c r="AG1569" s="351"/>
      <c r="AH1569" s="606"/>
      <c r="AI1569" s="351"/>
      <c r="AJ1569" s="607"/>
      <c r="AK1569" s="351"/>
      <c r="AL1569" s="608"/>
      <c r="AM1569" s="350"/>
      <c r="AN1569" s="350"/>
      <c r="AO1569" s="350"/>
      <c r="AP1569" s="350"/>
      <c r="AQ1569" s="350"/>
      <c r="AR1569" s="350"/>
      <c r="AS1569" s="350"/>
      <c r="AT1569" s="350"/>
      <c r="AU1569" s="350"/>
      <c r="AV1569" s="350"/>
      <c r="AW1569" s="350"/>
      <c r="AX1569" s="350"/>
      <c r="AY1569" s="350"/>
      <c r="AZ1569" s="350"/>
      <c r="BA1569" s="350"/>
      <c r="BB1569" s="351"/>
    </row>
    <row r="1570" spans="1:54" ht="15.75" customHeight="1">
      <c r="A1570" s="25">
        <f t="shared" si="6"/>
        <v>1557</v>
      </c>
      <c r="B1570" s="618" t="str">
        <f>'refer admin discharge'!B1566</f>
        <v>x</v>
      </c>
      <c r="C1570" s="351"/>
      <c r="D1570" s="619" t="str">
        <f>'refer admin discharge'!D1566</f>
        <v>xx</v>
      </c>
      <c r="E1570" s="351"/>
      <c r="F1570" s="620" t="str">
        <f>'refer admin discharge'!H1566</f>
        <v>00/00/0000</v>
      </c>
      <c r="G1570" s="351"/>
      <c r="H1570" s="615"/>
      <c r="I1570" s="351"/>
      <c r="J1570" s="621"/>
      <c r="K1570" s="351"/>
      <c r="L1570" s="615"/>
      <c r="M1570" s="351"/>
      <c r="N1570" s="610"/>
      <c r="O1570" s="351"/>
      <c r="P1570" s="615"/>
      <c r="Q1570" s="351"/>
      <c r="R1570" s="610"/>
      <c r="S1570" s="351"/>
      <c r="T1570" s="615"/>
      <c r="U1570" s="351"/>
      <c r="V1570" s="613" t="str">
        <f>'refer admin discharge'!H1571</f>
        <v>00/00/0000</v>
      </c>
      <c r="W1570" s="351"/>
      <c r="X1570" s="616"/>
      <c r="Y1570" s="351"/>
      <c r="Z1570" s="617"/>
      <c r="AA1570" s="351"/>
      <c r="AB1570" s="616"/>
      <c r="AC1570" s="351"/>
      <c r="AD1570" s="607"/>
      <c r="AE1570" s="351"/>
      <c r="AF1570" s="616"/>
      <c r="AG1570" s="351"/>
      <c r="AH1570" s="607"/>
      <c r="AI1570" s="351"/>
      <c r="AJ1570" s="616"/>
      <c r="AK1570" s="351"/>
      <c r="AL1570" s="622"/>
      <c r="AM1570" s="350"/>
      <c r="AN1570" s="350"/>
      <c r="AO1570" s="350"/>
      <c r="AP1570" s="350"/>
      <c r="AQ1570" s="350"/>
      <c r="AR1570" s="350"/>
      <c r="AS1570" s="350"/>
      <c r="AT1570" s="350"/>
      <c r="AU1570" s="350"/>
      <c r="AV1570" s="350"/>
      <c r="AW1570" s="350"/>
      <c r="AX1570" s="350"/>
      <c r="AY1570" s="350"/>
      <c r="AZ1570" s="350"/>
      <c r="BA1570" s="350"/>
      <c r="BB1570" s="351"/>
    </row>
    <row r="1571" spans="1:54" ht="15.75" customHeight="1">
      <c r="A1571" s="25">
        <f t="shared" si="6"/>
        <v>1558</v>
      </c>
      <c r="B1571" s="599" t="str">
        <f>'refer admin discharge'!B1567</f>
        <v>x</v>
      </c>
      <c r="C1571" s="351"/>
      <c r="D1571" s="600" t="str">
        <f>'refer admin discharge'!D1567</f>
        <v>xx</v>
      </c>
      <c r="E1571" s="351"/>
      <c r="F1571" s="609" t="str">
        <f>'refer admin discharge'!H1567</f>
        <v>00/00/0000</v>
      </c>
      <c r="G1571" s="351"/>
      <c r="H1571" s="610"/>
      <c r="I1571" s="351"/>
      <c r="J1571" s="611"/>
      <c r="K1571" s="351"/>
      <c r="L1571" s="610"/>
      <c r="M1571" s="351"/>
      <c r="N1571" s="612"/>
      <c r="O1571" s="351"/>
      <c r="P1571" s="610"/>
      <c r="Q1571" s="351"/>
      <c r="R1571" s="612"/>
      <c r="S1571" s="351"/>
      <c r="T1571" s="610"/>
      <c r="U1571" s="351"/>
      <c r="V1571" s="613" t="str">
        <f>'refer admin discharge'!H1572</f>
        <v>00/00/0000</v>
      </c>
      <c r="W1571" s="351"/>
      <c r="X1571" s="607"/>
      <c r="Y1571" s="351"/>
      <c r="Z1571" s="614"/>
      <c r="AA1571" s="351"/>
      <c r="AB1571" s="607"/>
      <c r="AC1571" s="351"/>
      <c r="AD1571" s="606"/>
      <c r="AE1571" s="351"/>
      <c r="AF1571" s="607"/>
      <c r="AG1571" s="351"/>
      <c r="AH1571" s="606"/>
      <c r="AI1571" s="351"/>
      <c r="AJ1571" s="607"/>
      <c r="AK1571" s="351"/>
      <c r="AL1571" s="608"/>
      <c r="AM1571" s="350"/>
      <c r="AN1571" s="350"/>
      <c r="AO1571" s="350"/>
      <c r="AP1571" s="350"/>
      <c r="AQ1571" s="350"/>
      <c r="AR1571" s="350"/>
      <c r="AS1571" s="350"/>
      <c r="AT1571" s="350"/>
      <c r="AU1571" s="350"/>
      <c r="AV1571" s="350"/>
      <c r="AW1571" s="350"/>
      <c r="AX1571" s="350"/>
      <c r="AY1571" s="350"/>
      <c r="AZ1571" s="350"/>
      <c r="BA1571" s="350"/>
      <c r="BB1571" s="351"/>
    </row>
    <row r="1572" spans="1:54" ht="15.75" customHeight="1">
      <c r="A1572" s="25">
        <f t="shared" si="6"/>
        <v>1559</v>
      </c>
      <c r="B1572" s="618" t="str">
        <f>'refer admin discharge'!B1568</f>
        <v>x</v>
      </c>
      <c r="C1572" s="351"/>
      <c r="D1572" s="619" t="str">
        <f>'refer admin discharge'!D1568</f>
        <v>xx</v>
      </c>
      <c r="E1572" s="351"/>
      <c r="F1572" s="620" t="str">
        <f>'refer admin discharge'!H1568</f>
        <v>00/00/0000</v>
      </c>
      <c r="G1572" s="351"/>
      <c r="H1572" s="615"/>
      <c r="I1572" s="351"/>
      <c r="J1572" s="621"/>
      <c r="K1572" s="351"/>
      <c r="L1572" s="615"/>
      <c r="M1572" s="351"/>
      <c r="N1572" s="610"/>
      <c r="O1572" s="351"/>
      <c r="P1572" s="615"/>
      <c r="Q1572" s="351"/>
      <c r="R1572" s="610"/>
      <c r="S1572" s="351"/>
      <c r="T1572" s="615"/>
      <c r="U1572" s="351"/>
      <c r="V1572" s="613" t="str">
        <f>'refer admin discharge'!H1573</f>
        <v>00/00/0000</v>
      </c>
      <c r="W1572" s="351"/>
      <c r="X1572" s="616"/>
      <c r="Y1572" s="351"/>
      <c r="Z1572" s="617"/>
      <c r="AA1572" s="351"/>
      <c r="AB1572" s="616"/>
      <c r="AC1572" s="351"/>
      <c r="AD1572" s="607"/>
      <c r="AE1572" s="351"/>
      <c r="AF1572" s="616"/>
      <c r="AG1572" s="351"/>
      <c r="AH1572" s="607"/>
      <c r="AI1572" s="351"/>
      <c r="AJ1572" s="616"/>
      <c r="AK1572" s="351"/>
      <c r="AL1572" s="622"/>
      <c r="AM1572" s="350"/>
      <c r="AN1572" s="350"/>
      <c r="AO1572" s="350"/>
      <c r="AP1572" s="350"/>
      <c r="AQ1572" s="350"/>
      <c r="AR1572" s="350"/>
      <c r="AS1572" s="350"/>
      <c r="AT1572" s="350"/>
      <c r="AU1572" s="350"/>
      <c r="AV1572" s="350"/>
      <c r="AW1572" s="350"/>
      <c r="AX1572" s="350"/>
      <c r="AY1572" s="350"/>
      <c r="AZ1572" s="350"/>
      <c r="BA1572" s="350"/>
      <c r="BB1572" s="351"/>
    </row>
    <row r="1573" spans="1:54" ht="15.75" customHeight="1">
      <c r="A1573" s="25">
        <f t="shared" si="6"/>
        <v>1560</v>
      </c>
      <c r="B1573" s="599" t="str">
        <f>'refer admin discharge'!B1569</f>
        <v>x</v>
      </c>
      <c r="C1573" s="351"/>
      <c r="D1573" s="600" t="str">
        <f>'refer admin discharge'!D1569</f>
        <v>xx</v>
      </c>
      <c r="E1573" s="351"/>
      <c r="F1573" s="609" t="str">
        <f>'refer admin discharge'!H1569</f>
        <v>00/00/0000</v>
      </c>
      <c r="G1573" s="351"/>
      <c r="H1573" s="610"/>
      <c r="I1573" s="351"/>
      <c r="J1573" s="611"/>
      <c r="K1573" s="351"/>
      <c r="L1573" s="610"/>
      <c r="M1573" s="351"/>
      <c r="N1573" s="612"/>
      <c r="O1573" s="351"/>
      <c r="P1573" s="610"/>
      <c r="Q1573" s="351"/>
      <c r="R1573" s="612"/>
      <c r="S1573" s="351"/>
      <c r="T1573" s="610"/>
      <c r="U1573" s="351"/>
      <c r="V1573" s="613" t="str">
        <f>'refer admin discharge'!H1574</f>
        <v>00/00/0000</v>
      </c>
      <c r="W1573" s="351"/>
      <c r="X1573" s="607"/>
      <c r="Y1573" s="351"/>
      <c r="Z1573" s="614"/>
      <c r="AA1573" s="351"/>
      <c r="AB1573" s="607"/>
      <c r="AC1573" s="351"/>
      <c r="AD1573" s="606"/>
      <c r="AE1573" s="351"/>
      <c r="AF1573" s="607"/>
      <c r="AG1573" s="351"/>
      <c r="AH1573" s="606"/>
      <c r="AI1573" s="351"/>
      <c r="AJ1573" s="607"/>
      <c r="AK1573" s="351"/>
      <c r="AL1573" s="608"/>
      <c r="AM1573" s="350"/>
      <c r="AN1573" s="350"/>
      <c r="AO1573" s="350"/>
      <c r="AP1573" s="350"/>
      <c r="AQ1573" s="350"/>
      <c r="AR1573" s="350"/>
      <c r="AS1573" s="350"/>
      <c r="AT1573" s="350"/>
      <c r="AU1573" s="350"/>
      <c r="AV1573" s="350"/>
      <c r="AW1573" s="350"/>
      <c r="AX1573" s="350"/>
      <c r="AY1573" s="350"/>
      <c r="AZ1573" s="350"/>
      <c r="BA1573" s="350"/>
      <c r="BB1573" s="351"/>
    </row>
    <row r="1574" spans="1:54" ht="15.75" customHeight="1">
      <c r="A1574" s="25">
        <f t="shared" si="6"/>
        <v>1561</v>
      </c>
      <c r="B1574" s="618" t="str">
        <f>'refer admin discharge'!B1570</f>
        <v>x</v>
      </c>
      <c r="C1574" s="351"/>
      <c r="D1574" s="619" t="str">
        <f>'refer admin discharge'!D1570</f>
        <v>xx</v>
      </c>
      <c r="E1574" s="351"/>
      <c r="F1574" s="620" t="str">
        <f>'refer admin discharge'!H1570</f>
        <v>00/00/0000</v>
      </c>
      <c r="G1574" s="351"/>
      <c r="H1574" s="615"/>
      <c r="I1574" s="351"/>
      <c r="J1574" s="621"/>
      <c r="K1574" s="351"/>
      <c r="L1574" s="615"/>
      <c r="M1574" s="351"/>
      <c r="N1574" s="610"/>
      <c r="O1574" s="351"/>
      <c r="P1574" s="615"/>
      <c r="Q1574" s="351"/>
      <c r="R1574" s="610"/>
      <c r="S1574" s="351"/>
      <c r="T1574" s="615"/>
      <c r="U1574" s="351"/>
      <c r="V1574" s="613" t="str">
        <f>'refer admin discharge'!H1575</f>
        <v>00/00/0000</v>
      </c>
      <c r="W1574" s="351"/>
      <c r="X1574" s="616"/>
      <c r="Y1574" s="351"/>
      <c r="Z1574" s="617"/>
      <c r="AA1574" s="351"/>
      <c r="AB1574" s="616"/>
      <c r="AC1574" s="351"/>
      <c r="AD1574" s="607"/>
      <c r="AE1574" s="351"/>
      <c r="AF1574" s="616"/>
      <c r="AG1574" s="351"/>
      <c r="AH1574" s="607"/>
      <c r="AI1574" s="351"/>
      <c r="AJ1574" s="616"/>
      <c r="AK1574" s="351"/>
      <c r="AL1574" s="622"/>
      <c r="AM1574" s="350"/>
      <c r="AN1574" s="350"/>
      <c r="AO1574" s="350"/>
      <c r="AP1574" s="350"/>
      <c r="AQ1574" s="350"/>
      <c r="AR1574" s="350"/>
      <c r="AS1574" s="350"/>
      <c r="AT1574" s="350"/>
      <c r="AU1574" s="350"/>
      <c r="AV1574" s="350"/>
      <c r="AW1574" s="350"/>
      <c r="AX1574" s="350"/>
      <c r="AY1574" s="350"/>
      <c r="AZ1574" s="350"/>
      <c r="BA1574" s="350"/>
      <c r="BB1574" s="351"/>
    </row>
    <row r="1575" spans="1:54" ht="15.75" customHeight="1">
      <c r="A1575" s="25">
        <f t="shared" si="6"/>
        <v>1562</v>
      </c>
      <c r="B1575" s="599" t="str">
        <f>'refer admin discharge'!B1571</f>
        <v>x</v>
      </c>
      <c r="C1575" s="351"/>
      <c r="D1575" s="600" t="str">
        <f>'refer admin discharge'!D1571</f>
        <v>xx</v>
      </c>
      <c r="E1575" s="351"/>
      <c r="F1575" s="609" t="str">
        <f>'refer admin discharge'!H1571</f>
        <v>00/00/0000</v>
      </c>
      <c r="G1575" s="351"/>
      <c r="H1575" s="610"/>
      <c r="I1575" s="351"/>
      <c r="J1575" s="611"/>
      <c r="K1575" s="351"/>
      <c r="L1575" s="610"/>
      <c r="M1575" s="351"/>
      <c r="N1575" s="612"/>
      <c r="O1575" s="351"/>
      <c r="P1575" s="610"/>
      <c r="Q1575" s="351"/>
      <c r="R1575" s="612"/>
      <c r="S1575" s="351"/>
      <c r="T1575" s="610"/>
      <c r="U1575" s="351"/>
      <c r="V1575" s="613" t="str">
        <f>'refer admin discharge'!H1576</f>
        <v>00/00/0000</v>
      </c>
      <c r="W1575" s="351"/>
      <c r="X1575" s="607"/>
      <c r="Y1575" s="351"/>
      <c r="Z1575" s="614"/>
      <c r="AA1575" s="351"/>
      <c r="AB1575" s="607"/>
      <c r="AC1575" s="351"/>
      <c r="AD1575" s="606"/>
      <c r="AE1575" s="351"/>
      <c r="AF1575" s="607"/>
      <c r="AG1575" s="351"/>
      <c r="AH1575" s="606"/>
      <c r="AI1575" s="351"/>
      <c r="AJ1575" s="607"/>
      <c r="AK1575" s="351"/>
      <c r="AL1575" s="608"/>
      <c r="AM1575" s="350"/>
      <c r="AN1575" s="350"/>
      <c r="AO1575" s="350"/>
      <c r="AP1575" s="350"/>
      <c r="AQ1575" s="350"/>
      <c r="AR1575" s="350"/>
      <c r="AS1575" s="350"/>
      <c r="AT1575" s="350"/>
      <c r="AU1575" s="350"/>
      <c r="AV1575" s="350"/>
      <c r="AW1575" s="350"/>
      <c r="AX1575" s="350"/>
      <c r="AY1575" s="350"/>
      <c r="AZ1575" s="350"/>
      <c r="BA1575" s="350"/>
      <c r="BB1575" s="351"/>
    </row>
    <row r="1576" spans="1:54" ht="15.75" customHeight="1">
      <c r="A1576" s="25">
        <f t="shared" si="6"/>
        <v>1563</v>
      </c>
      <c r="B1576" s="618" t="str">
        <f>'refer admin discharge'!B1572</f>
        <v>x</v>
      </c>
      <c r="C1576" s="351"/>
      <c r="D1576" s="619" t="str">
        <f>'refer admin discharge'!D1572</f>
        <v>xx</v>
      </c>
      <c r="E1576" s="351"/>
      <c r="F1576" s="620" t="str">
        <f>'refer admin discharge'!H1572</f>
        <v>00/00/0000</v>
      </c>
      <c r="G1576" s="351"/>
      <c r="H1576" s="615"/>
      <c r="I1576" s="351"/>
      <c r="J1576" s="621"/>
      <c r="K1576" s="351"/>
      <c r="L1576" s="615"/>
      <c r="M1576" s="351"/>
      <c r="N1576" s="610"/>
      <c r="O1576" s="351"/>
      <c r="P1576" s="615"/>
      <c r="Q1576" s="351"/>
      <c r="R1576" s="610"/>
      <c r="S1576" s="351"/>
      <c r="T1576" s="615"/>
      <c r="U1576" s="351"/>
      <c r="V1576" s="613" t="str">
        <f>'refer admin discharge'!H1577</f>
        <v>00/00/0000</v>
      </c>
      <c r="W1576" s="351"/>
      <c r="X1576" s="616"/>
      <c r="Y1576" s="351"/>
      <c r="Z1576" s="617"/>
      <c r="AA1576" s="351"/>
      <c r="AB1576" s="616"/>
      <c r="AC1576" s="351"/>
      <c r="AD1576" s="607"/>
      <c r="AE1576" s="351"/>
      <c r="AF1576" s="616"/>
      <c r="AG1576" s="351"/>
      <c r="AH1576" s="607"/>
      <c r="AI1576" s="351"/>
      <c r="AJ1576" s="616"/>
      <c r="AK1576" s="351"/>
      <c r="AL1576" s="622"/>
      <c r="AM1576" s="350"/>
      <c r="AN1576" s="350"/>
      <c r="AO1576" s="350"/>
      <c r="AP1576" s="350"/>
      <c r="AQ1576" s="350"/>
      <c r="AR1576" s="350"/>
      <c r="AS1576" s="350"/>
      <c r="AT1576" s="350"/>
      <c r="AU1576" s="350"/>
      <c r="AV1576" s="350"/>
      <c r="AW1576" s="350"/>
      <c r="AX1576" s="350"/>
      <c r="AY1576" s="350"/>
      <c r="AZ1576" s="350"/>
      <c r="BA1576" s="350"/>
      <c r="BB1576" s="351"/>
    </row>
    <row r="1577" spans="1:54" ht="15.75" customHeight="1">
      <c r="A1577" s="25">
        <f t="shared" si="6"/>
        <v>1564</v>
      </c>
      <c r="B1577" s="599" t="str">
        <f>'refer admin discharge'!B1573</f>
        <v>x</v>
      </c>
      <c r="C1577" s="351"/>
      <c r="D1577" s="600" t="str">
        <f>'refer admin discharge'!D1573</f>
        <v>xx</v>
      </c>
      <c r="E1577" s="351"/>
      <c r="F1577" s="609" t="str">
        <f>'refer admin discharge'!H1573</f>
        <v>00/00/0000</v>
      </c>
      <c r="G1577" s="351"/>
      <c r="H1577" s="610"/>
      <c r="I1577" s="351"/>
      <c r="J1577" s="611"/>
      <c r="K1577" s="351"/>
      <c r="L1577" s="610"/>
      <c r="M1577" s="351"/>
      <c r="N1577" s="612"/>
      <c r="O1577" s="351"/>
      <c r="P1577" s="610"/>
      <c r="Q1577" s="351"/>
      <c r="R1577" s="612"/>
      <c r="S1577" s="351"/>
      <c r="T1577" s="610"/>
      <c r="U1577" s="351"/>
      <c r="V1577" s="613" t="str">
        <f>'refer admin discharge'!H1578</f>
        <v>00/00/0000</v>
      </c>
      <c r="W1577" s="351"/>
      <c r="X1577" s="607"/>
      <c r="Y1577" s="351"/>
      <c r="Z1577" s="614"/>
      <c r="AA1577" s="351"/>
      <c r="AB1577" s="607"/>
      <c r="AC1577" s="351"/>
      <c r="AD1577" s="606"/>
      <c r="AE1577" s="351"/>
      <c r="AF1577" s="607"/>
      <c r="AG1577" s="351"/>
      <c r="AH1577" s="606"/>
      <c r="AI1577" s="351"/>
      <c r="AJ1577" s="607"/>
      <c r="AK1577" s="351"/>
      <c r="AL1577" s="608"/>
      <c r="AM1577" s="350"/>
      <c r="AN1577" s="350"/>
      <c r="AO1577" s="350"/>
      <c r="AP1577" s="350"/>
      <c r="AQ1577" s="350"/>
      <c r="AR1577" s="350"/>
      <c r="AS1577" s="350"/>
      <c r="AT1577" s="350"/>
      <c r="AU1577" s="350"/>
      <c r="AV1577" s="350"/>
      <c r="AW1577" s="350"/>
      <c r="AX1577" s="350"/>
      <c r="AY1577" s="350"/>
      <c r="AZ1577" s="350"/>
      <c r="BA1577" s="350"/>
      <c r="BB1577" s="351"/>
    </row>
    <row r="1578" spans="1:54" ht="15.75" customHeight="1">
      <c r="A1578" s="25">
        <f t="shared" si="6"/>
        <v>1565</v>
      </c>
      <c r="B1578" s="618" t="str">
        <f>'refer admin discharge'!B1574</f>
        <v>x</v>
      </c>
      <c r="C1578" s="351"/>
      <c r="D1578" s="619" t="str">
        <f>'refer admin discharge'!D1574</f>
        <v>xx</v>
      </c>
      <c r="E1578" s="351"/>
      <c r="F1578" s="620" t="str">
        <f>'refer admin discharge'!H1574</f>
        <v>00/00/0000</v>
      </c>
      <c r="G1578" s="351"/>
      <c r="H1578" s="615"/>
      <c r="I1578" s="351"/>
      <c r="J1578" s="621"/>
      <c r="K1578" s="351"/>
      <c r="L1578" s="615"/>
      <c r="M1578" s="351"/>
      <c r="N1578" s="610"/>
      <c r="O1578" s="351"/>
      <c r="P1578" s="615"/>
      <c r="Q1578" s="351"/>
      <c r="R1578" s="610"/>
      <c r="S1578" s="351"/>
      <c r="T1578" s="615"/>
      <c r="U1578" s="351"/>
      <c r="V1578" s="613" t="str">
        <f>'refer admin discharge'!H1579</f>
        <v>00/00/0000</v>
      </c>
      <c r="W1578" s="351"/>
      <c r="X1578" s="616"/>
      <c r="Y1578" s="351"/>
      <c r="Z1578" s="617"/>
      <c r="AA1578" s="351"/>
      <c r="AB1578" s="616"/>
      <c r="AC1578" s="351"/>
      <c r="AD1578" s="607"/>
      <c r="AE1578" s="351"/>
      <c r="AF1578" s="616"/>
      <c r="AG1578" s="351"/>
      <c r="AH1578" s="607"/>
      <c r="AI1578" s="351"/>
      <c r="AJ1578" s="616"/>
      <c r="AK1578" s="351"/>
      <c r="AL1578" s="622"/>
      <c r="AM1578" s="350"/>
      <c r="AN1578" s="350"/>
      <c r="AO1578" s="350"/>
      <c r="AP1578" s="350"/>
      <c r="AQ1578" s="350"/>
      <c r="AR1578" s="350"/>
      <c r="AS1578" s="350"/>
      <c r="AT1578" s="350"/>
      <c r="AU1578" s="350"/>
      <c r="AV1578" s="350"/>
      <c r="AW1578" s="350"/>
      <c r="AX1578" s="350"/>
      <c r="AY1578" s="350"/>
      <c r="AZ1578" s="350"/>
      <c r="BA1578" s="350"/>
      <c r="BB1578" s="351"/>
    </row>
    <row r="1579" spans="1:54" ht="15.75" customHeight="1">
      <c r="A1579" s="25">
        <f t="shared" si="6"/>
        <v>1566</v>
      </c>
      <c r="B1579" s="599" t="str">
        <f>'refer admin discharge'!B1575</f>
        <v>x</v>
      </c>
      <c r="C1579" s="351"/>
      <c r="D1579" s="600" t="str">
        <f>'refer admin discharge'!D1575</f>
        <v>xx</v>
      </c>
      <c r="E1579" s="351"/>
      <c r="F1579" s="609" t="str">
        <f>'refer admin discharge'!H1575</f>
        <v>00/00/0000</v>
      </c>
      <c r="G1579" s="351"/>
      <c r="H1579" s="610"/>
      <c r="I1579" s="351"/>
      <c r="J1579" s="611"/>
      <c r="K1579" s="351"/>
      <c r="L1579" s="610"/>
      <c r="M1579" s="351"/>
      <c r="N1579" s="612"/>
      <c r="O1579" s="351"/>
      <c r="P1579" s="610"/>
      <c r="Q1579" s="351"/>
      <c r="R1579" s="612"/>
      <c r="S1579" s="351"/>
      <c r="T1579" s="610"/>
      <c r="U1579" s="351"/>
      <c r="V1579" s="613" t="str">
        <f>'refer admin discharge'!H1580</f>
        <v>00/00/0000</v>
      </c>
      <c r="W1579" s="351"/>
      <c r="X1579" s="607"/>
      <c r="Y1579" s="351"/>
      <c r="Z1579" s="614"/>
      <c r="AA1579" s="351"/>
      <c r="AB1579" s="607"/>
      <c r="AC1579" s="351"/>
      <c r="AD1579" s="606"/>
      <c r="AE1579" s="351"/>
      <c r="AF1579" s="607"/>
      <c r="AG1579" s="351"/>
      <c r="AH1579" s="606"/>
      <c r="AI1579" s="351"/>
      <c r="AJ1579" s="607"/>
      <c r="AK1579" s="351"/>
      <c r="AL1579" s="608"/>
      <c r="AM1579" s="350"/>
      <c r="AN1579" s="350"/>
      <c r="AO1579" s="350"/>
      <c r="AP1579" s="350"/>
      <c r="AQ1579" s="350"/>
      <c r="AR1579" s="350"/>
      <c r="AS1579" s="350"/>
      <c r="AT1579" s="350"/>
      <c r="AU1579" s="350"/>
      <c r="AV1579" s="350"/>
      <c r="AW1579" s="350"/>
      <c r="AX1579" s="350"/>
      <c r="AY1579" s="350"/>
      <c r="AZ1579" s="350"/>
      <c r="BA1579" s="350"/>
      <c r="BB1579" s="351"/>
    </row>
    <row r="1580" spans="1:54" ht="15.75" customHeight="1">
      <c r="A1580" s="25">
        <f t="shared" si="6"/>
        <v>1567</v>
      </c>
      <c r="B1580" s="618" t="str">
        <f>'refer admin discharge'!B1576</f>
        <v>x</v>
      </c>
      <c r="C1580" s="351"/>
      <c r="D1580" s="619" t="str">
        <f>'refer admin discharge'!D1576</f>
        <v>xx</v>
      </c>
      <c r="E1580" s="351"/>
      <c r="F1580" s="620" t="str">
        <f>'refer admin discharge'!H1576</f>
        <v>00/00/0000</v>
      </c>
      <c r="G1580" s="351"/>
      <c r="H1580" s="615"/>
      <c r="I1580" s="351"/>
      <c r="J1580" s="621"/>
      <c r="K1580" s="351"/>
      <c r="L1580" s="615"/>
      <c r="M1580" s="351"/>
      <c r="N1580" s="610"/>
      <c r="O1580" s="351"/>
      <c r="P1580" s="615"/>
      <c r="Q1580" s="351"/>
      <c r="R1580" s="610"/>
      <c r="S1580" s="351"/>
      <c r="T1580" s="615"/>
      <c r="U1580" s="351"/>
      <c r="V1580" s="613" t="str">
        <f>'refer admin discharge'!H1581</f>
        <v>00/00/0000</v>
      </c>
      <c r="W1580" s="351"/>
      <c r="X1580" s="616"/>
      <c r="Y1580" s="351"/>
      <c r="Z1580" s="617"/>
      <c r="AA1580" s="351"/>
      <c r="AB1580" s="616"/>
      <c r="AC1580" s="351"/>
      <c r="AD1580" s="607"/>
      <c r="AE1580" s="351"/>
      <c r="AF1580" s="616"/>
      <c r="AG1580" s="351"/>
      <c r="AH1580" s="607"/>
      <c r="AI1580" s="351"/>
      <c r="AJ1580" s="616"/>
      <c r="AK1580" s="351"/>
      <c r="AL1580" s="622"/>
      <c r="AM1580" s="350"/>
      <c r="AN1580" s="350"/>
      <c r="AO1580" s="350"/>
      <c r="AP1580" s="350"/>
      <c r="AQ1580" s="350"/>
      <c r="AR1580" s="350"/>
      <c r="AS1580" s="350"/>
      <c r="AT1580" s="350"/>
      <c r="AU1580" s="350"/>
      <c r="AV1580" s="350"/>
      <c r="AW1580" s="350"/>
      <c r="AX1580" s="350"/>
      <c r="AY1580" s="350"/>
      <c r="AZ1580" s="350"/>
      <c r="BA1580" s="350"/>
      <c r="BB1580" s="351"/>
    </row>
    <row r="1581" spans="1:54" ht="15.75" customHeight="1">
      <c r="A1581" s="25">
        <f t="shared" si="6"/>
        <v>1568</v>
      </c>
      <c r="B1581" s="599" t="str">
        <f>'refer admin discharge'!B1577</f>
        <v>x</v>
      </c>
      <c r="C1581" s="351"/>
      <c r="D1581" s="600" t="str">
        <f>'refer admin discharge'!D1577</f>
        <v>xx</v>
      </c>
      <c r="E1581" s="351"/>
      <c r="F1581" s="609" t="str">
        <f>'refer admin discharge'!H1577</f>
        <v>00/00/0000</v>
      </c>
      <c r="G1581" s="351"/>
      <c r="H1581" s="610"/>
      <c r="I1581" s="351"/>
      <c r="J1581" s="611"/>
      <c r="K1581" s="351"/>
      <c r="L1581" s="610"/>
      <c r="M1581" s="351"/>
      <c r="N1581" s="612"/>
      <c r="O1581" s="351"/>
      <c r="P1581" s="610"/>
      <c r="Q1581" s="351"/>
      <c r="R1581" s="612"/>
      <c r="S1581" s="351"/>
      <c r="T1581" s="610"/>
      <c r="U1581" s="351"/>
      <c r="V1581" s="613" t="str">
        <f>'refer admin discharge'!H1582</f>
        <v>00/00/0000</v>
      </c>
      <c r="W1581" s="351"/>
      <c r="X1581" s="607"/>
      <c r="Y1581" s="351"/>
      <c r="Z1581" s="614"/>
      <c r="AA1581" s="351"/>
      <c r="AB1581" s="607"/>
      <c r="AC1581" s="351"/>
      <c r="AD1581" s="606"/>
      <c r="AE1581" s="351"/>
      <c r="AF1581" s="607"/>
      <c r="AG1581" s="351"/>
      <c r="AH1581" s="606"/>
      <c r="AI1581" s="351"/>
      <c r="AJ1581" s="607"/>
      <c r="AK1581" s="351"/>
      <c r="AL1581" s="608"/>
      <c r="AM1581" s="350"/>
      <c r="AN1581" s="350"/>
      <c r="AO1581" s="350"/>
      <c r="AP1581" s="350"/>
      <c r="AQ1581" s="350"/>
      <c r="AR1581" s="350"/>
      <c r="AS1581" s="350"/>
      <c r="AT1581" s="350"/>
      <c r="AU1581" s="350"/>
      <c r="AV1581" s="350"/>
      <c r="AW1581" s="350"/>
      <c r="AX1581" s="350"/>
      <c r="AY1581" s="350"/>
      <c r="AZ1581" s="350"/>
      <c r="BA1581" s="350"/>
      <c r="BB1581" s="351"/>
    </row>
    <row r="1582" spans="1:54" ht="15.75" customHeight="1">
      <c r="A1582" s="25">
        <f t="shared" si="6"/>
        <v>1569</v>
      </c>
      <c r="B1582" s="618" t="str">
        <f>'refer admin discharge'!B1578</f>
        <v>x</v>
      </c>
      <c r="C1582" s="351"/>
      <c r="D1582" s="619" t="str">
        <f>'refer admin discharge'!D1578</f>
        <v>xx</v>
      </c>
      <c r="E1582" s="351"/>
      <c r="F1582" s="620" t="str">
        <f>'refer admin discharge'!H1578</f>
        <v>00/00/0000</v>
      </c>
      <c r="G1582" s="351"/>
      <c r="H1582" s="615"/>
      <c r="I1582" s="351"/>
      <c r="J1582" s="621"/>
      <c r="K1582" s="351"/>
      <c r="L1582" s="615"/>
      <c r="M1582" s="351"/>
      <c r="N1582" s="610"/>
      <c r="O1582" s="351"/>
      <c r="P1582" s="615"/>
      <c r="Q1582" s="351"/>
      <c r="R1582" s="610"/>
      <c r="S1582" s="351"/>
      <c r="T1582" s="615"/>
      <c r="U1582" s="351"/>
      <c r="V1582" s="613" t="str">
        <f>'refer admin discharge'!H1583</f>
        <v>00/00/0000</v>
      </c>
      <c r="W1582" s="351"/>
      <c r="X1582" s="616"/>
      <c r="Y1582" s="351"/>
      <c r="Z1582" s="617"/>
      <c r="AA1582" s="351"/>
      <c r="AB1582" s="616"/>
      <c r="AC1582" s="351"/>
      <c r="AD1582" s="607"/>
      <c r="AE1582" s="351"/>
      <c r="AF1582" s="616"/>
      <c r="AG1582" s="351"/>
      <c r="AH1582" s="607"/>
      <c r="AI1582" s="351"/>
      <c r="AJ1582" s="616"/>
      <c r="AK1582" s="351"/>
      <c r="AL1582" s="622"/>
      <c r="AM1582" s="350"/>
      <c r="AN1582" s="350"/>
      <c r="AO1582" s="350"/>
      <c r="AP1582" s="350"/>
      <c r="AQ1582" s="350"/>
      <c r="AR1582" s="350"/>
      <c r="AS1582" s="350"/>
      <c r="AT1582" s="350"/>
      <c r="AU1582" s="350"/>
      <c r="AV1582" s="350"/>
      <c r="AW1582" s="350"/>
      <c r="AX1582" s="350"/>
      <c r="AY1582" s="350"/>
      <c r="AZ1582" s="350"/>
      <c r="BA1582" s="350"/>
      <c r="BB1582" s="351"/>
    </row>
    <row r="1583" spans="1:54" ht="15.75" customHeight="1">
      <c r="A1583" s="25">
        <f t="shared" si="6"/>
        <v>1570</v>
      </c>
      <c r="B1583" s="599" t="str">
        <f>'refer admin discharge'!B1579</f>
        <v>x</v>
      </c>
      <c r="C1583" s="351"/>
      <c r="D1583" s="600" t="str">
        <f>'refer admin discharge'!D1579</f>
        <v>xx</v>
      </c>
      <c r="E1583" s="351"/>
      <c r="F1583" s="609" t="str">
        <f>'refer admin discharge'!H1579</f>
        <v>00/00/0000</v>
      </c>
      <c r="G1583" s="351"/>
      <c r="H1583" s="610"/>
      <c r="I1583" s="351"/>
      <c r="J1583" s="611"/>
      <c r="K1583" s="351"/>
      <c r="L1583" s="610"/>
      <c r="M1583" s="351"/>
      <c r="N1583" s="612"/>
      <c r="O1583" s="351"/>
      <c r="P1583" s="610"/>
      <c r="Q1583" s="351"/>
      <c r="R1583" s="612"/>
      <c r="S1583" s="351"/>
      <c r="T1583" s="610"/>
      <c r="U1583" s="351"/>
      <c r="V1583" s="613" t="str">
        <f>'refer admin discharge'!H1584</f>
        <v>00/00/0000</v>
      </c>
      <c r="W1583" s="351"/>
      <c r="X1583" s="607"/>
      <c r="Y1583" s="351"/>
      <c r="Z1583" s="614"/>
      <c r="AA1583" s="351"/>
      <c r="AB1583" s="607"/>
      <c r="AC1583" s="351"/>
      <c r="AD1583" s="606"/>
      <c r="AE1583" s="351"/>
      <c r="AF1583" s="607"/>
      <c r="AG1583" s="351"/>
      <c r="AH1583" s="606"/>
      <c r="AI1583" s="351"/>
      <c r="AJ1583" s="607"/>
      <c r="AK1583" s="351"/>
      <c r="AL1583" s="608"/>
      <c r="AM1583" s="350"/>
      <c r="AN1583" s="350"/>
      <c r="AO1583" s="350"/>
      <c r="AP1583" s="350"/>
      <c r="AQ1583" s="350"/>
      <c r="AR1583" s="350"/>
      <c r="AS1583" s="350"/>
      <c r="AT1583" s="350"/>
      <c r="AU1583" s="350"/>
      <c r="AV1583" s="350"/>
      <c r="AW1583" s="350"/>
      <c r="AX1583" s="350"/>
      <c r="AY1583" s="350"/>
      <c r="AZ1583" s="350"/>
      <c r="BA1583" s="350"/>
      <c r="BB1583" s="351"/>
    </row>
    <row r="1584" spans="1:54" ht="15.75" customHeight="1">
      <c r="A1584" s="25">
        <f t="shared" si="6"/>
        <v>1571</v>
      </c>
      <c r="B1584" s="618" t="str">
        <f>'refer admin discharge'!B1580</f>
        <v>x</v>
      </c>
      <c r="C1584" s="351"/>
      <c r="D1584" s="619" t="str">
        <f>'refer admin discharge'!D1580</f>
        <v>xx</v>
      </c>
      <c r="E1584" s="351"/>
      <c r="F1584" s="620" t="str">
        <f>'refer admin discharge'!H1580</f>
        <v>00/00/0000</v>
      </c>
      <c r="G1584" s="351"/>
      <c r="H1584" s="615"/>
      <c r="I1584" s="351"/>
      <c r="J1584" s="621"/>
      <c r="K1584" s="351"/>
      <c r="L1584" s="615"/>
      <c r="M1584" s="351"/>
      <c r="N1584" s="610"/>
      <c r="O1584" s="351"/>
      <c r="P1584" s="615"/>
      <c r="Q1584" s="351"/>
      <c r="R1584" s="610"/>
      <c r="S1584" s="351"/>
      <c r="T1584" s="615"/>
      <c r="U1584" s="351"/>
      <c r="V1584" s="613" t="str">
        <f>'refer admin discharge'!H1585</f>
        <v>00/00/0000</v>
      </c>
      <c r="W1584" s="351"/>
      <c r="X1584" s="616"/>
      <c r="Y1584" s="351"/>
      <c r="Z1584" s="617"/>
      <c r="AA1584" s="351"/>
      <c r="AB1584" s="616"/>
      <c r="AC1584" s="351"/>
      <c r="AD1584" s="607"/>
      <c r="AE1584" s="351"/>
      <c r="AF1584" s="616"/>
      <c r="AG1584" s="351"/>
      <c r="AH1584" s="607"/>
      <c r="AI1584" s="351"/>
      <c r="AJ1584" s="616"/>
      <c r="AK1584" s="351"/>
      <c r="AL1584" s="622"/>
      <c r="AM1584" s="350"/>
      <c r="AN1584" s="350"/>
      <c r="AO1584" s="350"/>
      <c r="AP1584" s="350"/>
      <c r="AQ1584" s="350"/>
      <c r="AR1584" s="350"/>
      <c r="AS1584" s="350"/>
      <c r="AT1584" s="350"/>
      <c r="AU1584" s="350"/>
      <c r="AV1584" s="350"/>
      <c r="AW1584" s="350"/>
      <c r="AX1584" s="350"/>
      <c r="AY1584" s="350"/>
      <c r="AZ1584" s="350"/>
      <c r="BA1584" s="350"/>
      <c r="BB1584" s="351"/>
    </row>
    <row r="1585" spans="1:54" ht="15.75" customHeight="1">
      <c r="A1585" s="25">
        <f t="shared" si="6"/>
        <v>1572</v>
      </c>
      <c r="B1585" s="599" t="str">
        <f>'refer admin discharge'!B1581</f>
        <v>x</v>
      </c>
      <c r="C1585" s="351"/>
      <c r="D1585" s="600" t="str">
        <f>'refer admin discharge'!D1581</f>
        <v>xx</v>
      </c>
      <c r="E1585" s="351"/>
      <c r="F1585" s="609" t="str">
        <f>'refer admin discharge'!H1581</f>
        <v>00/00/0000</v>
      </c>
      <c r="G1585" s="351"/>
      <c r="H1585" s="610"/>
      <c r="I1585" s="351"/>
      <c r="J1585" s="611"/>
      <c r="K1585" s="351"/>
      <c r="L1585" s="610"/>
      <c r="M1585" s="351"/>
      <c r="N1585" s="612"/>
      <c r="O1585" s="351"/>
      <c r="P1585" s="610"/>
      <c r="Q1585" s="351"/>
      <c r="R1585" s="612"/>
      <c r="S1585" s="351"/>
      <c r="T1585" s="610"/>
      <c r="U1585" s="351"/>
      <c r="V1585" s="613" t="str">
        <f>'refer admin discharge'!H1586</f>
        <v>00/00/0000</v>
      </c>
      <c r="W1585" s="351"/>
      <c r="X1585" s="607"/>
      <c r="Y1585" s="351"/>
      <c r="Z1585" s="614"/>
      <c r="AA1585" s="351"/>
      <c r="AB1585" s="607"/>
      <c r="AC1585" s="351"/>
      <c r="AD1585" s="606"/>
      <c r="AE1585" s="351"/>
      <c r="AF1585" s="607"/>
      <c r="AG1585" s="351"/>
      <c r="AH1585" s="606"/>
      <c r="AI1585" s="351"/>
      <c r="AJ1585" s="607"/>
      <c r="AK1585" s="351"/>
      <c r="AL1585" s="608"/>
      <c r="AM1585" s="350"/>
      <c r="AN1585" s="350"/>
      <c r="AO1585" s="350"/>
      <c r="AP1585" s="350"/>
      <c r="AQ1585" s="350"/>
      <c r="AR1585" s="350"/>
      <c r="AS1585" s="350"/>
      <c r="AT1585" s="350"/>
      <c r="AU1585" s="350"/>
      <c r="AV1585" s="350"/>
      <c r="AW1585" s="350"/>
      <c r="AX1585" s="350"/>
      <c r="AY1585" s="350"/>
      <c r="AZ1585" s="350"/>
      <c r="BA1585" s="350"/>
      <c r="BB1585" s="351"/>
    </row>
    <row r="1586" spans="1:54" ht="15.75" customHeight="1">
      <c r="A1586" s="25">
        <f t="shared" si="6"/>
        <v>1573</v>
      </c>
      <c r="B1586" s="618" t="str">
        <f>'refer admin discharge'!B1582</f>
        <v>x</v>
      </c>
      <c r="C1586" s="351"/>
      <c r="D1586" s="619" t="str">
        <f>'refer admin discharge'!D1582</f>
        <v>xx</v>
      </c>
      <c r="E1586" s="351"/>
      <c r="F1586" s="620" t="str">
        <f>'refer admin discharge'!H1582</f>
        <v>00/00/0000</v>
      </c>
      <c r="G1586" s="351"/>
      <c r="H1586" s="615"/>
      <c r="I1586" s="351"/>
      <c r="J1586" s="621"/>
      <c r="K1586" s="351"/>
      <c r="L1586" s="615"/>
      <c r="M1586" s="351"/>
      <c r="N1586" s="610"/>
      <c r="O1586" s="351"/>
      <c r="P1586" s="615"/>
      <c r="Q1586" s="351"/>
      <c r="R1586" s="610"/>
      <c r="S1586" s="351"/>
      <c r="T1586" s="615"/>
      <c r="U1586" s="351"/>
      <c r="V1586" s="613" t="str">
        <f>'refer admin discharge'!H1587</f>
        <v>00/00/0000</v>
      </c>
      <c r="W1586" s="351"/>
      <c r="X1586" s="616"/>
      <c r="Y1586" s="351"/>
      <c r="Z1586" s="617"/>
      <c r="AA1586" s="351"/>
      <c r="AB1586" s="616"/>
      <c r="AC1586" s="351"/>
      <c r="AD1586" s="607"/>
      <c r="AE1586" s="351"/>
      <c r="AF1586" s="616"/>
      <c r="AG1586" s="351"/>
      <c r="AH1586" s="607"/>
      <c r="AI1586" s="351"/>
      <c r="AJ1586" s="616"/>
      <c r="AK1586" s="351"/>
      <c r="AL1586" s="622"/>
      <c r="AM1586" s="350"/>
      <c r="AN1586" s="350"/>
      <c r="AO1586" s="350"/>
      <c r="AP1586" s="350"/>
      <c r="AQ1586" s="350"/>
      <c r="AR1586" s="350"/>
      <c r="AS1586" s="350"/>
      <c r="AT1586" s="350"/>
      <c r="AU1586" s="350"/>
      <c r="AV1586" s="350"/>
      <c r="AW1586" s="350"/>
      <c r="AX1586" s="350"/>
      <c r="AY1586" s="350"/>
      <c r="AZ1586" s="350"/>
      <c r="BA1586" s="350"/>
      <c r="BB1586" s="351"/>
    </row>
    <row r="1587" spans="1:54" ht="15.75" customHeight="1">
      <c r="A1587" s="25">
        <f t="shared" si="6"/>
        <v>1574</v>
      </c>
      <c r="B1587" s="599" t="str">
        <f>'refer admin discharge'!B1583</f>
        <v>x</v>
      </c>
      <c r="C1587" s="351"/>
      <c r="D1587" s="600" t="str">
        <f>'refer admin discharge'!D1583</f>
        <v>xx</v>
      </c>
      <c r="E1587" s="351"/>
      <c r="F1587" s="609" t="str">
        <f>'refer admin discharge'!H1583</f>
        <v>00/00/0000</v>
      </c>
      <c r="G1587" s="351"/>
      <c r="H1587" s="610"/>
      <c r="I1587" s="351"/>
      <c r="J1587" s="611"/>
      <c r="K1587" s="351"/>
      <c r="L1587" s="610"/>
      <c r="M1587" s="351"/>
      <c r="N1587" s="612"/>
      <c r="O1587" s="351"/>
      <c r="P1587" s="610"/>
      <c r="Q1587" s="351"/>
      <c r="R1587" s="612"/>
      <c r="S1587" s="351"/>
      <c r="T1587" s="610"/>
      <c r="U1587" s="351"/>
      <c r="V1587" s="613" t="str">
        <f>'refer admin discharge'!H1588</f>
        <v>00/00/0000</v>
      </c>
      <c r="W1587" s="351"/>
      <c r="X1587" s="607"/>
      <c r="Y1587" s="351"/>
      <c r="Z1587" s="614"/>
      <c r="AA1587" s="351"/>
      <c r="AB1587" s="607"/>
      <c r="AC1587" s="351"/>
      <c r="AD1587" s="606"/>
      <c r="AE1587" s="351"/>
      <c r="AF1587" s="607"/>
      <c r="AG1587" s="351"/>
      <c r="AH1587" s="606"/>
      <c r="AI1587" s="351"/>
      <c r="AJ1587" s="607"/>
      <c r="AK1587" s="351"/>
      <c r="AL1587" s="608"/>
      <c r="AM1587" s="350"/>
      <c r="AN1587" s="350"/>
      <c r="AO1587" s="350"/>
      <c r="AP1587" s="350"/>
      <c r="AQ1587" s="350"/>
      <c r="AR1587" s="350"/>
      <c r="AS1587" s="350"/>
      <c r="AT1587" s="350"/>
      <c r="AU1587" s="350"/>
      <c r="AV1587" s="350"/>
      <c r="AW1587" s="350"/>
      <c r="AX1587" s="350"/>
      <c r="AY1587" s="350"/>
      <c r="AZ1587" s="350"/>
      <c r="BA1587" s="350"/>
      <c r="BB1587" s="351"/>
    </row>
    <row r="1588" spans="1:54" ht="15.75" customHeight="1">
      <c r="A1588" s="25">
        <f t="shared" si="6"/>
        <v>1575</v>
      </c>
      <c r="B1588" s="618" t="str">
        <f>'refer admin discharge'!B1584</f>
        <v>x</v>
      </c>
      <c r="C1588" s="351"/>
      <c r="D1588" s="619" t="str">
        <f>'refer admin discharge'!D1584</f>
        <v>xx</v>
      </c>
      <c r="E1588" s="351"/>
      <c r="F1588" s="620" t="str">
        <f>'refer admin discharge'!H1584</f>
        <v>00/00/0000</v>
      </c>
      <c r="G1588" s="351"/>
      <c r="H1588" s="615"/>
      <c r="I1588" s="351"/>
      <c r="J1588" s="621"/>
      <c r="K1588" s="351"/>
      <c r="L1588" s="615"/>
      <c r="M1588" s="351"/>
      <c r="N1588" s="610"/>
      <c r="O1588" s="351"/>
      <c r="P1588" s="615"/>
      <c r="Q1588" s="351"/>
      <c r="R1588" s="610"/>
      <c r="S1588" s="351"/>
      <c r="T1588" s="615"/>
      <c r="U1588" s="351"/>
      <c r="V1588" s="613" t="str">
        <f>'refer admin discharge'!H1589</f>
        <v>00/00/0000</v>
      </c>
      <c r="W1588" s="351"/>
      <c r="X1588" s="616"/>
      <c r="Y1588" s="351"/>
      <c r="Z1588" s="617"/>
      <c r="AA1588" s="351"/>
      <c r="AB1588" s="616"/>
      <c r="AC1588" s="351"/>
      <c r="AD1588" s="607"/>
      <c r="AE1588" s="351"/>
      <c r="AF1588" s="616"/>
      <c r="AG1588" s="351"/>
      <c r="AH1588" s="607"/>
      <c r="AI1588" s="351"/>
      <c r="AJ1588" s="616"/>
      <c r="AK1588" s="351"/>
      <c r="AL1588" s="622"/>
      <c r="AM1588" s="350"/>
      <c r="AN1588" s="350"/>
      <c r="AO1588" s="350"/>
      <c r="AP1588" s="350"/>
      <c r="AQ1588" s="350"/>
      <c r="AR1588" s="350"/>
      <c r="AS1588" s="350"/>
      <c r="AT1588" s="350"/>
      <c r="AU1588" s="350"/>
      <c r="AV1588" s="350"/>
      <c r="AW1588" s="350"/>
      <c r="AX1588" s="350"/>
      <c r="AY1588" s="350"/>
      <c r="AZ1588" s="350"/>
      <c r="BA1588" s="350"/>
      <c r="BB1588" s="351"/>
    </row>
    <row r="1589" spans="1:54" ht="15.75" customHeight="1">
      <c r="A1589" s="25">
        <f t="shared" si="6"/>
        <v>1576</v>
      </c>
      <c r="B1589" s="599" t="str">
        <f>'refer admin discharge'!B1585</f>
        <v>x</v>
      </c>
      <c r="C1589" s="351"/>
      <c r="D1589" s="600" t="str">
        <f>'refer admin discharge'!D1585</f>
        <v>xx</v>
      </c>
      <c r="E1589" s="351"/>
      <c r="F1589" s="609" t="str">
        <f>'refer admin discharge'!H1585</f>
        <v>00/00/0000</v>
      </c>
      <c r="G1589" s="351"/>
      <c r="H1589" s="610"/>
      <c r="I1589" s="351"/>
      <c r="J1589" s="611"/>
      <c r="K1589" s="351"/>
      <c r="L1589" s="610"/>
      <c r="M1589" s="351"/>
      <c r="N1589" s="612"/>
      <c r="O1589" s="351"/>
      <c r="P1589" s="610"/>
      <c r="Q1589" s="351"/>
      <c r="R1589" s="612"/>
      <c r="S1589" s="351"/>
      <c r="T1589" s="610"/>
      <c r="U1589" s="351"/>
      <c r="V1589" s="613" t="str">
        <f>'refer admin discharge'!H1590</f>
        <v>00/00/0000</v>
      </c>
      <c r="W1589" s="351"/>
      <c r="X1589" s="607"/>
      <c r="Y1589" s="351"/>
      <c r="Z1589" s="614"/>
      <c r="AA1589" s="351"/>
      <c r="AB1589" s="607"/>
      <c r="AC1589" s="351"/>
      <c r="AD1589" s="606"/>
      <c r="AE1589" s="351"/>
      <c r="AF1589" s="607"/>
      <c r="AG1589" s="351"/>
      <c r="AH1589" s="606"/>
      <c r="AI1589" s="351"/>
      <c r="AJ1589" s="607"/>
      <c r="AK1589" s="351"/>
      <c r="AL1589" s="608"/>
      <c r="AM1589" s="350"/>
      <c r="AN1589" s="350"/>
      <c r="AO1589" s="350"/>
      <c r="AP1589" s="350"/>
      <c r="AQ1589" s="350"/>
      <c r="AR1589" s="350"/>
      <c r="AS1589" s="350"/>
      <c r="AT1589" s="350"/>
      <c r="AU1589" s="350"/>
      <c r="AV1589" s="350"/>
      <c r="AW1589" s="350"/>
      <c r="AX1589" s="350"/>
      <c r="AY1589" s="350"/>
      <c r="AZ1589" s="350"/>
      <c r="BA1589" s="350"/>
      <c r="BB1589" s="351"/>
    </row>
    <row r="1590" spans="1:54" ht="15.75" customHeight="1">
      <c r="A1590" s="25">
        <f t="shared" si="6"/>
        <v>1577</v>
      </c>
      <c r="B1590" s="618" t="str">
        <f>'refer admin discharge'!B1586</f>
        <v>x</v>
      </c>
      <c r="C1590" s="351"/>
      <c r="D1590" s="619" t="str">
        <f>'refer admin discharge'!D1586</f>
        <v>xx</v>
      </c>
      <c r="E1590" s="351"/>
      <c r="F1590" s="620" t="str">
        <f>'refer admin discharge'!H1586</f>
        <v>00/00/0000</v>
      </c>
      <c r="G1590" s="351"/>
      <c r="H1590" s="615"/>
      <c r="I1590" s="351"/>
      <c r="J1590" s="621"/>
      <c r="K1590" s="351"/>
      <c r="L1590" s="615"/>
      <c r="M1590" s="351"/>
      <c r="N1590" s="610"/>
      <c r="O1590" s="351"/>
      <c r="P1590" s="615"/>
      <c r="Q1590" s="351"/>
      <c r="R1590" s="610"/>
      <c r="S1590" s="351"/>
      <c r="T1590" s="615"/>
      <c r="U1590" s="351"/>
      <c r="V1590" s="613" t="str">
        <f>'refer admin discharge'!H1591</f>
        <v>00/00/0000</v>
      </c>
      <c r="W1590" s="351"/>
      <c r="X1590" s="616"/>
      <c r="Y1590" s="351"/>
      <c r="Z1590" s="617"/>
      <c r="AA1590" s="351"/>
      <c r="AB1590" s="616"/>
      <c r="AC1590" s="351"/>
      <c r="AD1590" s="607"/>
      <c r="AE1590" s="351"/>
      <c r="AF1590" s="616"/>
      <c r="AG1590" s="351"/>
      <c r="AH1590" s="607"/>
      <c r="AI1590" s="351"/>
      <c r="AJ1590" s="616"/>
      <c r="AK1590" s="351"/>
      <c r="AL1590" s="622"/>
      <c r="AM1590" s="350"/>
      <c r="AN1590" s="350"/>
      <c r="AO1590" s="350"/>
      <c r="AP1590" s="350"/>
      <c r="AQ1590" s="350"/>
      <c r="AR1590" s="350"/>
      <c r="AS1590" s="350"/>
      <c r="AT1590" s="350"/>
      <c r="AU1590" s="350"/>
      <c r="AV1590" s="350"/>
      <c r="AW1590" s="350"/>
      <c r="AX1590" s="350"/>
      <c r="AY1590" s="350"/>
      <c r="AZ1590" s="350"/>
      <c r="BA1590" s="350"/>
      <c r="BB1590" s="351"/>
    </row>
    <row r="1591" spans="1:54" ht="15.75" customHeight="1">
      <c r="A1591" s="25">
        <f t="shared" si="6"/>
        <v>1578</v>
      </c>
      <c r="B1591" s="599" t="str">
        <f>'refer admin discharge'!B1587</f>
        <v>x</v>
      </c>
      <c r="C1591" s="351"/>
      <c r="D1591" s="600" t="str">
        <f>'refer admin discharge'!D1587</f>
        <v>xx</v>
      </c>
      <c r="E1591" s="351"/>
      <c r="F1591" s="609" t="str">
        <f>'refer admin discharge'!H1587</f>
        <v>00/00/0000</v>
      </c>
      <c r="G1591" s="351"/>
      <c r="H1591" s="610"/>
      <c r="I1591" s="351"/>
      <c r="J1591" s="611"/>
      <c r="K1591" s="351"/>
      <c r="L1591" s="610"/>
      <c r="M1591" s="351"/>
      <c r="N1591" s="612"/>
      <c r="O1591" s="351"/>
      <c r="P1591" s="610"/>
      <c r="Q1591" s="351"/>
      <c r="R1591" s="612"/>
      <c r="S1591" s="351"/>
      <c r="T1591" s="610"/>
      <c r="U1591" s="351"/>
      <c r="V1591" s="613" t="str">
        <f>'refer admin discharge'!H1592</f>
        <v>00/00/0000</v>
      </c>
      <c r="W1591" s="351"/>
      <c r="X1591" s="607"/>
      <c r="Y1591" s="351"/>
      <c r="Z1591" s="614"/>
      <c r="AA1591" s="351"/>
      <c r="AB1591" s="607"/>
      <c r="AC1591" s="351"/>
      <c r="AD1591" s="606"/>
      <c r="AE1591" s="351"/>
      <c r="AF1591" s="607"/>
      <c r="AG1591" s="351"/>
      <c r="AH1591" s="606"/>
      <c r="AI1591" s="351"/>
      <c r="AJ1591" s="607"/>
      <c r="AK1591" s="351"/>
      <c r="AL1591" s="608"/>
      <c r="AM1591" s="350"/>
      <c r="AN1591" s="350"/>
      <c r="AO1591" s="350"/>
      <c r="AP1591" s="350"/>
      <c r="AQ1591" s="350"/>
      <c r="AR1591" s="350"/>
      <c r="AS1591" s="350"/>
      <c r="AT1591" s="350"/>
      <c r="AU1591" s="350"/>
      <c r="AV1591" s="350"/>
      <c r="AW1591" s="350"/>
      <c r="AX1591" s="350"/>
      <c r="AY1591" s="350"/>
      <c r="AZ1591" s="350"/>
      <c r="BA1591" s="350"/>
      <c r="BB1591" s="351"/>
    </row>
    <row r="1592" spans="1:54" ht="15.75" customHeight="1">
      <c r="A1592" s="25">
        <f t="shared" si="6"/>
        <v>1579</v>
      </c>
      <c r="B1592" s="618" t="str">
        <f>'refer admin discharge'!B1588</f>
        <v>x</v>
      </c>
      <c r="C1592" s="351"/>
      <c r="D1592" s="619" t="str">
        <f>'refer admin discharge'!D1588</f>
        <v>xx</v>
      </c>
      <c r="E1592" s="351"/>
      <c r="F1592" s="620" t="str">
        <f>'refer admin discharge'!H1588</f>
        <v>00/00/0000</v>
      </c>
      <c r="G1592" s="351"/>
      <c r="H1592" s="615"/>
      <c r="I1592" s="351"/>
      <c r="J1592" s="621"/>
      <c r="K1592" s="351"/>
      <c r="L1592" s="615"/>
      <c r="M1592" s="351"/>
      <c r="N1592" s="610"/>
      <c r="O1592" s="351"/>
      <c r="P1592" s="615"/>
      <c r="Q1592" s="351"/>
      <c r="R1592" s="610"/>
      <c r="S1592" s="351"/>
      <c r="T1592" s="615"/>
      <c r="U1592" s="351"/>
      <c r="V1592" s="613" t="str">
        <f>'refer admin discharge'!H1593</f>
        <v>00/00/0000</v>
      </c>
      <c r="W1592" s="351"/>
      <c r="X1592" s="616"/>
      <c r="Y1592" s="351"/>
      <c r="Z1592" s="617"/>
      <c r="AA1592" s="351"/>
      <c r="AB1592" s="616"/>
      <c r="AC1592" s="351"/>
      <c r="AD1592" s="607"/>
      <c r="AE1592" s="351"/>
      <c r="AF1592" s="616"/>
      <c r="AG1592" s="351"/>
      <c r="AH1592" s="607"/>
      <c r="AI1592" s="351"/>
      <c r="AJ1592" s="616"/>
      <c r="AK1592" s="351"/>
      <c r="AL1592" s="622"/>
      <c r="AM1592" s="350"/>
      <c r="AN1592" s="350"/>
      <c r="AO1592" s="350"/>
      <c r="AP1592" s="350"/>
      <c r="AQ1592" s="350"/>
      <c r="AR1592" s="350"/>
      <c r="AS1592" s="350"/>
      <c r="AT1592" s="350"/>
      <c r="AU1592" s="350"/>
      <c r="AV1592" s="350"/>
      <c r="AW1592" s="350"/>
      <c r="AX1592" s="350"/>
      <c r="AY1592" s="350"/>
      <c r="AZ1592" s="350"/>
      <c r="BA1592" s="350"/>
      <c r="BB1592" s="351"/>
    </row>
    <row r="1593" spans="1:54" ht="15.75" customHeight="1">
      <c r="A1593" s="25">
        <f t="shared" si="6"/>
        <v>1580</v>
      </c>
      <c r="B1593" s="599" t="str">
        <f>'refer admin discharge'!B1589</f>
        <v>x</v>
      </c>
      <c r="C1593" s="351"/>
      <c r="D1593" s="600" t="str">
        <f>'refer admin discharge'!D1589</f>
        <v>xx</v>
      </c>
      <c r="E1593" s="351"/>
      <c r="F1593" s="609" t="str">
        <f>'refer admin discharge'!H1589</f>
        <v>00/00/0000</v>
      </c>
      <c r="G1593" s="351"/>
      <c r="H1593" s="610"/>
      <c r="I1593" s="351"/>
      <c r="J1593" s="611"/>
      <c r="K1593" s="351"/>
      <c r="L1593" s="610"/>
      <c r="M1593" s="351"/>
      <c r="N1593" s="612"/>
      <c r="O1593" s="351"/>
      <c r="P1593" s="610"/>
      <c r="Q1593" s="351"/>
      <c r="R1593" s="612"/>
      <c r="S1593" s="351"/>
      <c r="T1593" s="610"/>
      <c r="U1593" s="351"/>
      <c r="V1593" s="613" t="str">
        <f>'refer admin discharge'!H1594</f>
        <v>00/00/0000</v>
      </c>
      <c r="W1593" s="351"/>
      <c r="X1593" s="607"/>
      <c r="Y1593" s="351"/>
      <c r="Z1593" s="614"/>
      <c r="AA1593" s="351"/>
      <c r="AB1593" s="607"/>
      <c r="AC1593" s="351"/>
      <c r="AD1593" s="606"/>
      <c r="AE1593" s="351"/>
      <c r="AF1593" s="607"/>
      <c r="AG1593" s="351"/>
      <c r="AH1593" s="606"/>
      <c r="AI1593" s="351"/>
      <c r="AJ1593" s="607"/>
      <c r="AK1593" s="351"/>
      <c r="AL1593" s="608"/>
      <c r="AM1593" s="350"/>
      <c r="AN1593" s="350"/>
      <c r="AO1593" s="350"/>
      <c r="AP1593" s="350"/>
      <c r="AQ1593" s="350"/>
      <c r="AR1593" s="350"/>
      <c r="AS1593" s="350"/>
      <c r="AT1593" s="350"/>
      <c r="AU1593" s="350"/>
      <c r="AV1593" s="350"/>
      <c r="AW1593" s="350"/>
      <c r="AX1593" s="350"/>
      <c r="AY1593" s="350"/>
      <c r="AZ1593" s="350"/>
      <c r="BA1593" s="350"/>
      <c r="BB1593" s="351"/>
    </row>
    <row r="1594" spans="1:54" ht="15.75" customHeight="1">
      <c r="A1594" s="25">
        <f t="shared" si="6"/>
        <v>1581</v>
      </c>
      <c r="B1594" s="618" t="str">
        <f>'refer admin discharge'!B1590</f>
        <v>x</v>
      </c>
      <c r="C1594" s="351"/>
      <c r="D1594" s="619" t="str">
        <f>'refer admin discharge'!D1590</f>
        <v>xx</v>
      </c>
      <c r="E1594" s="351"/>
      <c r="F1594" s="620" t="str">
        <f>'refer admin discharge'!H1590</f>
        <v>00/00/0000</v>
      </c>
      <c r="G1594" s="351"/>
      <c r="H1594" s="615"/>
      <c r="I1594" s="351"/>
      <c r="J1594" s="621"/>
      <c r="K1594" s="351"/>
      <c r="L1594" s="615"/>
      <c r="M1594" s="351"/>
      <c r="N1594" s="610"/>
      <c r="O1594" s="351"/>
      <c r="P1594" s="615"/>
      <c r="Q1594" s="351"/>
      <c r="R1594" s="610"/>
      <c r="S1594" s="351"/>
      <c r="T1594" s="615"/>
      <c r="U1594" s="351"/>
      <c r="V1594" s="613" t="str">
        <f>'refer admin discharge'!H1595</f>
        <v>00/00/0000</v>
      </c>
      <c r="W1594" s="351"/>
      <c r="X1594" s="616"/>
      <c r="Y1594" s="351"/>
      <c r="Z1594" s="617"/>
      <c r="AA1594" s="351"/>
      <c r="AB1594" s="616"/>
      <c r="AC1594" s="351"/>
      <c r="AD1594" s="607"/>
      <c r="AE1594" s="351"/>
      <c r="AF1594" s="616"/>
      <c r="AG1594" s="351"/>
      <c r="AH1594" s="607"/>
      <c r="AI1594" s="351"/>
      <c r="AJ1594" s="616"/>
      <c r="AK1594" s="351"/>
      <c r="AL1594" s="622"/>
      <c r="AM1594" s="350"/>
      <c r="AN1594" s="350"/>
      <c r="AO1594" s="350"/>
      <c r="AP1594" s="350"/>
      <c r="AQ1594" s="350"/>
      <c r="AR1594" s="350"/>
      <c r="AS1594" s="350"/>
      <c r="AT1594" s="350"/>
      <c r="AU1594" s="350"/>
      <c r="AV1594" s="350"/>
      <c r="AW1594" s="350"/>
      <c r="AX1594" s="350"/>
      <c r="AY1594" s="350"/>
      <c r="AZ1594" s="350"/>
      <c r="BA1594" s="350"/>
      <c r="BB1594" s="351"/>
    </row>
    <row r="1595" spans="1:54" ht="15.75" customHeight="1">
      <c r="A1595" s="25">
        <f t="shared" si="6"/>
        <v>1582</v>
      </c>
      <c r="B1595" s="599" t="str">
        <f>'refer admin discharge'!B1591</f>
        <v>x</v>
      </c>
      <c r="C1595" s="351"/>
      <c r="D1595" s="600" t="str">
        <f>'refer admin discharge'!D1591</f>
        <v>xx</v>
      </c>
      <c r="E1595" s="351"/>
      <c r="F1595" s="609" t="str">
        <f>'refer admin discharge'!H1591</f>
        <v>00/00/0000</v>
      </c>
      <c r="G1595" s="351"/>
      <c r="H1595" s="610"/>
      <c r="I1595" s="351"/>
      <c r="J1595" s="611"/>
      <c r="K1595" s="351"/>
      <c r="L1595" s="610"/>
      <c r="M1595" s="351"/>
      <c r="N1595" s="612"/>
      <c r="O1595" s="351"/>
      <c r="P1595" s="610"/>
      <c r="Q1595" s="351"/>
      <c r="R1595" s="612"/>
      <c r="S1595" s="351"/>
      <c r="T1595" s="610"/>
      <c r="U1595" s="351"/>
      <c r="V1595" s="613" t="str">
        <f>'refer admin discharge'!H1596</f>
        <v>00/00/0000</v>
      </c>
      <c r="W1595" s="351"/>
      <c r="X1595" s="607"/>
      <c r="Y1595" s="351"/>
      <c r="Z1595" s="614"/>
      <c r="AA1595" s="351"/>
      <c r="AB1595" s="607"/>
      <c r="AC1595" s="351"/>
      <c r="AD1595" s="606"/>
      <c r="AE1595" s="351"/>
      <c r="AF1595" s="607"/>
      <c r="AG1595" s="351"/>
      <c r="AH1595" s="606"/>
      <c r="AI1595" s="351"/>
      <c r="AJ1595" s="607"/>
      <c r="AK1595" s="351"/>
      <c r="AL1595" s="608"/>
      <c r="AM1595" s="350"/>
      <c r="AN1595" s="350"/>
      <c r="AO1595" s="350"/>
      <c r="AP1595" s="350"/>
      <c r="AQ1595" s="350"/>
      <c r="AR1595" s="350"/>
      <c r="AS1595" s="350"/>
      <c r="AT1595" s="350"/>
      <c r="AU1595" s="350"/>
      <c r="AV1595" s="350"/>
      <c r="AW1595" s="350"/>
      <c r="AX1595" s="350"/>
      <c r="AY1595" s="350"/>
      <c r="AZ1595" s="350"/>
      <c r="BA1595" s="350"/>
      <c r="BB1595" s="351"/>
    </row>
    <row r="1596" spans="1:54" ht="15.75" customHeight="1">
      <c r="A1596" s="25">
        <f t="shared" si="6"/>
        <v>1583</v>
      </c>
      <c r="B1596" s="618" t="str">
        <f>'refer admin discharge'!B1592</f>
        <v>x</v>
      </c>
      <c r="C1596" s="351"/>
      <c r="D1596" s="619" t="str">
        <f>'refer admin discharge'!D1592</f>
        <v>xx</v>
      </c>
      <c r="E1596" s="351"/>
      <c r="F1596" s="620" t="str">
        <f>'refer admin discharge'!H1592</f>
        <v>00/00/0000</v>
      </c>
      <c r="G1596" s="351"/>
      <c r="H1596" s="615"/>
      <c r="I1596" s="351"/>
      <c r="J1596" s="621"/>
      <c r="K1596" s="351"/>
      <c r="L1596" s="615"/>
      <c r="M1596" s="351"/>
      <c r="N1596" s="610"/>
      <c r="O1596" s="351"/>
      <c r="P1596" s="615"/>
      <c r="Q1596" s="351"/>
      <c r="R1596" s="610"/>
      <c r="S1596" s="351"/>
      <c r="T1596" s="615"/>
      <c r="U1596" s="351"/>
      <c r="V1596" s="613" t="str">
        <f>'refer admin discharge'!H1597</f>
        <v>00/00/0000</v>
      </c>
      <c r="W1596" s="351"/>
      <c r="X1596" s="616"/>
      <c r="Y1596" s="351"/>
      <c r="Z1596" s="617"/>
      <c r="AA1596" s="351"/>
      <c r="AB1596" s="616"/>
      <c r="AC1596" s="351"/>
      <c r="AD1596" s="607"/>
      <c r="AE1596" s="351"/>
      <c r="AF1596" s="616"/>
      <c r="AG1596" s="351"/>
      <c r="AH1596" s="607"/>
      <c r="AI1596" s="351"/>
      <c r="AJ1596" s="616"/>
      <c r="AK1596" s="351"/>
      <c r="AL1596" s="622"/>
      <c r="AM1596" s="350"/>
      <c r="AN1596" s="350"/>
      <c r="AO1596" s="350"/>
      <c r="AP1596" s="350"/>
      <c r="AQ1596" s="350"/>
      <c r="AR1596" s="350"/>
      <c r="AS1596" s="350"/>
      <c r="AT1596" s="350"/>
      <c r="AU1596" s="350"/>
      <c r="AV1596" s="350"/>
      <c r="AW1596" s="350"/>
      <c r="AX1596" s="350"/>
      <c r="AY1596" s="350"/>
      <c r="AZ1596" s="350"/>
      <c r="BA1596" s="350"/>
      <c r="BB1596" s="351"/>
    </row>
    <row r="1597" spans="1:54" ht="15.75" customHeight="1">
      <c r="A1597" s="25">
        <f t="shared" si="6"/>
        <v>1584</v>
      </c>
      <c r="B1597" s="599" t="str">
        <f>'refer admin discharge'!B1593</f>
        <v>x</v>
      </c>
      <c r="C1597" s="351"/>
      <c r="D1597" s="600" t="str">
        <f>'refer admin discharge'!D1593</f>
        <v>xx</v>
      </c>
      <c r="E1597" s="351"/>
      <c r="F1597" s="609" t="str">
        <f>'refer admin discharge'!H1593</f>
        <v>00/00/0000</v>
      </c>
      <c r="G1597" s="351"/>
      <c r="H1597" s="610"/>
      <c r="I1597" s="351"/>
      <c r="J1597" s="611"/>
      <c r="K1597" s="351"/>
      <c r="L1597" s="610"/>
      <c r="M1597" s="351"/>
      <c r="N1597" s="612"/>
      <c r="O1597" s="351"/>
      <c r="P1597" s="610"/>
      <c r="Q1597" s="351"/>
      <c r="R1597" s="612"/>
      <c r="S1597" s="351"/>
      <c r="T1597" s="610"/>
      <c r="U1597" s="351"/>
      <c r="V1597" s="613" t="str">
        <f>'refer admin discharge'!H1598</f>
        <v>00/00/0000</v>
      </c>
      <c r="W1597" s="351"/>
      <c r="X1597" s="607"/>
      <c r="Y1597" s="351"/>
      <c r="Z1597" s="614"/>
      <c r="AA1597" s="351"/>
      <c r="AB1597" s="607"/>
      <c r="AC1597" s="351"/>
      <c r="AD1597" s="606"/>
      <c r="AE1597" s="351"/>
      <c r="AF1597" s="607"/>
      <c r="AG1597" s="351"/>
      <c r="AH1597" s="606"/>
      <c r="AI1597" s="351"/>
      <c r="AJ1597" s="607"/>
      <c r="AK1597" s="351"/>
      <c r="AL1597" s="608"/>
      <c r="AM1597" s="350"/>
      <c r="AN1597" s="350"/>
      <c r="AO1597" s="350"/>
      <c r="AP1597" s="350"/>
      <c r="AQ1597" s="350"/>
      <c r="AR1597" s="350"/>
      <c r="AS1597" s="350"/>
      <c r="AT1597" s="350"/>
      <c r="AU1597" s="350"/>
      <c r="AV1597" s="350"/>
      <c r="AW1597" s="350"/>
      <c r="AX1597" s="350"/>
      <c r="AY1597" s="350"/>
      <c r="AZ1597" s="350"/>
      <c r="BA1597" s="350"/>
      <c r="BB1597" s="351"/>
    </row>
    <row r="1598" spans="1:54" ht="15.75" customHeight="1">
      <c r="A1598" s="25">
        <f t="shared" si="6"/>
        <v>1585</v>
      </c>
      <c r="B1598" s="618" t="str">
        <f>'refer admin discharge'!B1594</f>
        <v>x</v>
      </c>
      <c r="C1598" s="351"/>
      <c r="D1598" s="619" t="str">
        <f>'refer admin discharge'!D1594</f>
        <v>xx</v>
      </c>
      <c r="E1598" s="351"/>
      <c r="F1598" s="620" t="str">
        <f>'refer admin discharge'!H1594</f>
        <v>00/00/0000</v>
      </c>
      <c r="G1598" s="351"/>
      <c r="H1598" s="615"/>
      <c r="I1598" s="351"/>
      <c r="J1598" s="621"/>
      <c r="K1598" s="351"/>
      <c r="L1598" s="615"/>
      <c r="M1598" s="351"/>
      <c r="N1598" s="610"/>
      <c r="O1598" s="351"/>
      <c r="P1598" s="615"/>
      <c r="Q1598" s="351"/>
      <c r="R1598" s="610"/>
      <c r="S1598" s="351"/>
      <c r="T1598" s="615"/>
      <c r="U1598" s="351"/>
      <c r="V1598" s="613" t="str">
        <f>'refer admin discharge'!H1599</f>
        <v>00/00/0000</v>
      </c>
      <c r="W1598" s="351"/>
      <c r="X1598" s="616"/>
      <c r="Y1598" s="351"/>
      <c r="Z1598" s="617"/>
      <c r="AA1598" s="351"/>
      <c r="AB1598" s="616"/>
      <c r="AC1598" s="351"/>
      <c r="AD1598" s="607"/>
      <c r="AE1598" s="351"/>
      <c r="AF1598" s="616"/>
      <c r="AG1598" s="351"/>
      <c r="AH1598" s="607"/>
      <c r="AI1598" s="351"/>
      <c r="AJ1598" s="616"/>
      <c r="AK1598" s="351"/>
      <c r="AL1598" s="622"/>
      <c r="AM1598" s="350"/>
      <c r="AN1598" s="350"/>
      <c r="AO1598" s="350"/>
      <c r="AP1598" s="350"/>
      <c r="AQ1598" s="350"/>
      <c r="AR1598" s="350"/>
      <c r="AS1598" s="350"/>
      <c r="AT1598" s="350"/>
      <c r="AU1598" s="350"/>
      <c r="AV1598" s="350"/>
      <c r="AW1598" s="350"/>
      <c r="AX1598" s="350"/>
      <c r="AY1598" s="350"/>
      <c r="AZ1598" s="350"/>
      <c r="BA1598" s="350"/>
      <c r="BB1598" s="351"/>
    </row>
    <row r="1599" spans="1:54" ht="15.75" customHeight="1">
      <c r="A1599" s="25">
        <f t="shared" si="6"/>
        <v>1586</v>
      </c>
      <c r="B1599" s="599" t="str">
        <f>'refer admin discharge'!B1595</f>
        <v>x</v>
      </c>
      <c r="C1599" s="351"/>
      <c r="D1599" s="600" t="str">
        <f>'refer admin discharge'!D1595</f>
        <v>xx</v>
      </c>
      <c r="E1599" s="351"/>
      <c r="F1599" s="609" t="str">
        <f>'refer admin discharge'!H1595</f>
        <v>00/00/0000</v>
      </c>
      <c r="G1599" s="351"/>
      <c r="H1599" s="610"/>
      <c r="I1599" s="351"/>
      <c r="J1599" s="611"/>
      <c r="K1599" s="351"/>
      <c r="L1599" s="610"/>
      <c r="M1599" s="351"/>
      <c r="N1599" s="612"/>
      <c r="O1599" s="351"/>
      <c r="P1599" s="610"/>
      <c r="Q1599" s="351"/>
      <c r="R1599" s="612"/>
      <c r="S1599" s="351"/>
      <c r="T1599" s="610"/>
      <c r="U1599" s="351"/>
      <c r="V1599" s="613" t="str">
        <f>'refer admin discharge'!H1600</f>
        <v>00/00/0000</v>
      </c>
      <c r="W1599" s="351"/>
      <c r="X1599" s="607"/>
      <c r="Y1599" s="351"/>
      <c r="Z1599" s="614"/>
      <c r="AA1599" s="351"/>
      <c r="AB1599" s="607"/>
      <c r="AC1599" s="351"/>
      <c r="AD1599" s="606"/>
      <c r="AE1599" s="351"/>
      <c r="AF1599" s="607"/>
      <c r="AG1599" s="351"/>
      <c r="AH1599" s="606"/>
      <c r="AI1599" s="351"/>
      <c r="AJ1599" s="607"/>
      <c r="AK1599" s="351"/>
      <c r="AL1599" s="608"/>
      <c r="AM1599" s="350"/>
      <c r="AN1599" s="350"/>
      <c r="AO1599" s="350"/>
      <c r="AP1599" s="350"/>
      <c r="AQ1599" s="350"/>
      <c r="AR1599" s="350"/>
      <c r="AS1599" s="350"/>
      <c r="AT1599" s="350"/>
      <c r="AU1599" s="350"/>
      <c r="AV1599" s="350"/>
      <c r="AW1599" s="350"/>
      <c r="AX1599" s="350"/>
      <c r="AY1599" s="350"/>
      <c r="AZ1599" s="350"/>
      <c r="BA1599" s="350"/>
      <c r="BB1599" s="351"/>
    </row>
    <row r="1600" spans="1:54" ht="15.75" customHeight="1">
      <c r="A1600" s="25">
        <f t="shared" si="6"/>
        <v>1587</v>
      </c>
      <c r="B1600" s="618" t="str">
        <f>'refer admin discharge'!B1596</f>
        <v>x</v>
      </c>
      <c r="C1600" s="351"/>
      <c r="D1600" s="619" t="str">
        <f>'refer admin discharge'!D1596</f>
        <v>xx</v>
      </c>
      <c r="E1600" s="351"/>
      <c r="F1600" s="620" t="str">
        <f>'refer admin discharge'!H1596</f>
        <v>00/00/0000</v>
      </c>
      <c r="G1600" s="351"/>
      <c r="H1600" s="615"/>
      <c r="I1600" s="351"/>
      <c r="J1600" s="621"/>
      <c r="K1600" s="351"/>
      <c r="L1600" s="615"/>
      <c r="M1600" s="351"/>
      <c r="N1600" s="610"/>
      <c r="O1600" s="351"/>
      <c r="P1600" s="615"/>
      <c r="Q1600" s="351"/>
      <c r="R1600" s="610"/>
      <c r="S1600" s="351"/>
      <c r="T1600" s="615"/>
      <c r="U1600" s="351"/>
      <c r="V1600" s="613" t="str">
        <f>'refer admin discharge'!H1601</f>
        <v>00/00/0000</v>
      </c>
      <c r="W1600" s="351"/>
      <c r="X1600" s="616"/>
      <c r="Y1600" s="351"/>
      <c r="Z1600" s="617"/>
      <c r="AA1600" s="351"/>
      <c r="AB1600" s="616"/>
      <c r="AC1600" s="351"/>
      <c r="AD1600" s="607"/>
      <c r="AE1600" s="351"/>
      <c r="AF1600" s="616"/>
      <c r="AG1600" s="351"/>
      <c r="AH1600" s="607"/>
      <c r="AI1600" s="351"/>
      <c r="AJ1600" s="616"/>
      <c r="AK1600" s="351"/>
      <c r="AL1600" s="622"/>
      <c r="AM1600" s="350"/>
      <c r="AN1600" s="350"/>
      <c r="AO1600" s="350"/>
      <c r="AP1600" s="350"/>
      <c r="AQ1600" s="350"/>
      <c r="AR1600" s="350"/>
      <c r="AS1600" s="350"/>
      <c r="AT1600" s="350"/>
      <c r="AU1600" s="350"/>
      <c r="AV1600" s="350"/>
      <c r="AW1600" s="350"/>
      <c r="AX1600" s="350"/>
      <c r="AY1600" s="350"/>
      <c r="AZ1600" s="350"/>
      <c r="BA1600" s="350"/>
      <c r="BB1600" s="351"/>
    </row>
    <row r="1601" spans="1:54" ht="15.75" customHeight="1">
      <c r="A1601" s="25">
        <f t="shared" si="6"/>
        <v>1588</v>
      </c>
      <c r="B1601" s="599" t="str">
        <f>'refer admin discharge'!B1597</f>
        <v>x</v>
      </c>
      <c r="C1601" s="351"/>
      <c r="D1601" s="600" t="str">
        <f>'refer admin discharge'!D1597</f>
        <v>xx</v>
      </c>
      <c r="E1601" s="351"/>
      <c r="F1601" s="609" t="str">
        <f>'refer admin discharge'!H1597</f>
        <v>00/00/0000</v>
      </c>
      <c r="G1601" s="351"/>
      <c r="H1601" s="610"/>
      <c r="I1601" s="351"/>
      <c r="J1601" s="611"/>
      <c r="K1601" s="351"/>
      <c r="L1601" s="610"/>
      <c r="M1601" s="351"/>
      <c r="N1601" s="612"/>
      <c r="O1601" s="351"/>
      <c r="P1601" s="610"/>
      <c r="Q1601" s="351"/>
      <c r="R1601" s="612"/>
      <c r="S1601" s="351"/>
      <c r="T1601" s="610"/>
      <c r="U1601" s="351"/>
      <c r="V1601" s="613" t="str">
        <f>'refer admin discharge'!H1602</f>
        <v>00/00/0000</v>
      </c>
      <c r="W1601" s="351"/>
      <c r="X1601" s="607"/>
      <c r="Y1601" s="351"/>
      <c r="Z1601" s="614"/>
      <c r="AA1601" s="351"/>
      <c r="AB1601" s="607"/>
      <c r="AC1601" s="351"/>
      <c r="AD1601" s="606"/>
      <c r="AE1601" s="351"/>
      <c r="AF1601" s="607"/>
      <c r="AG1601" s="351"/>
      <c r="AH1601" s="606"/>
      <c r="AI1601" s="351"/>
      <c r="AJ1601" s="607"/>
      <c r="AK1601" s="351"/>
      <c r="AL1601" s="608"/>
      <c r="AM1601" s="350"/>
      <c r="AN1601" s="350"/>
      <c r="AO1601" s="350"/>
      <c r="AP1601" s="350"/>
      <c r="AQ1601" s="350"/>
      <c r="AR1601" s="350"/>
      <c r="AS1601" s="350"/>
      <c r="AT1601" s="350"/>
      <c r="AU1601" s="350"/>
      <c r="AV1601" s="350"/>
      <c r="AW1601" s="350"/>
      <c r="AX1601" s="350"/>
      <c r="AY1601" s="350"/>
      <c r="AZ1601" s="350"/>
      <c r="BA1601" s="350"/>
      <c r="BB1601" s="351"/>
    </row>
    <row r="1602" spans="1:54" ht="15.75" customHeight="1">
      <c r="A1602" s="25">
        <f t="shared" si="6"/>
        <v>1589</v>
      </c>
      <c r="B1602" s="618" t="str">
        <f>'refer admin discharge'!B1598</f>
        <v>x</v>
      </c>
      <c r="C1602" s="351"/>
      <c r="D1602" s="619" t="str">
        <f>'refer admin discharge'!D1598</f>
        <v>xx</v>
      </c>
      <c r="E1602" s="351"/>
      <c r="F1602" s="620" t="str">
        <f>'refer admin discharge'!H1598</f>
        <v>00/00/0000</v>
      </c>
      <c r="G1602" s="351"/>
      <c r="H1602" s="615"/>
      <c r="I1602" s="351"/>
      <c r="J1602" s="621"/>
      <c r="K1602" s="351"/>
      <c r="L1602" s="615"/>
      <c r="M1602" s="351"/>
      <c r="N1602" s="610"/>
      <c r="O1602" s="351"/>
      <c r="P1602" s="615"/>
      <c r="Q1602" s="351"/>
      <c r="R1602" s="610"/>
      <c r="S1602" s="351"/>
      <c r="T1602" s="615"/>
      <c r="U1602" s="351"/>
      <c r="V1602" s="613" t="str">
        <f>'refer admin discharge'!H1603</f>
        <v>00/00/0000</v>
      </c>
      <c r="W1602" s="351"/>
      <c r="X1602" s="616"/>
      <c r="Y1602" s="351"/>
      <c r="Z1602" s="617"/>
      <c r="AA1602" s="351"/>
      <c r="AB1602" s="616"/>
      <c r="AC1602" s="351"/>
      <c r="AD1602" s="607"/>
      <c r="AE1602" s="351"/>
      <c r="AF1602" s="616"/>
      <c r="AG1602" s="351"/>
      <c r="AH1602" s="607"/>
      <c r="AI1602" s="351"/>
      <c r="AJ1602" s="616"/>
      <c r="AK1602" s="351"/>
      <c r="AL1602" s="622"/>
      <c r="AM1602" s="350"/>
      <c r="AN1602" s="350"/>
      <c r="AO1602" s="350"/>
      <c r="AP1602" s="350"/>
      <c r="AQ1602" s="350"/>
      <c r="AR1602" s="350"/>
      <c r="AS1602" s="350"/>
      <c r="AT1602" s="350"/>
      <c r="AU1602" s="350"/>
      <c r="AV1602" s="350"/>
      <c r="AW1602" s="350"/>
      <c r="AX1602" s="350"/>
      <c r="AY1602" s="350"/>
      <c r="AZ1602" s="350"/>
      <c r="BA1602" s="350"/>
      <c r="BB1602" s="351"/>
    </row>
    <row r="1603" spans="1:54" ht="15.75" customHeight="1">
      <c r="A1603" s="25">
        <f t="shared" si="6"/>
        <v>1590</v>
      </c>
      <c r="B1603" s="599" t="str">
        <f>'refer admin discharge'!B1599</f>
        <v>x</v>
      </c>
      <c r="C1603" s="351"/>
      <c r="D1603" s="600" t="str">
        <f>'refer admin discharge'!D1599</f>
        <v>xx</v>
      </c>
      <c r="E1603" s="351"/>
      <c r="F1603" s="609" t="str">
        <f>'refer admin discharge'!H1599</f>
        <v>00/00/0000</v>
      </c>
      <c r="G1603" s="351"/>
      <c r="H1603" s="610"/>
      <c r="I1603" s="351"/>
      <c r="J1603" s="611"/>
      <c r="K1603" s="351"/>
      <c r="L1603" s="610"/>
      <c r="M1603" s="351"/>
      <c r="N1603" s="612"/>
      <c r="O1603" s="351"/>
      <c r="P1603" s="610"/>
      <c r="Q1603" s="351"/>
      <c r="R1603" s="612"/>
      <c r="S1603" s="351"/>
      <c r="T1603" s="610"/>
      <c r="U1603" s="351"/>
      <c r="V1603" s="613" t="str">
        <f>'refer admin discharge'!H1604</f>
        <v>00/00/0000</v>
      </c>
      <c r="W1603" s="351"/>
      <c r="X1603" s="607"/>
      <c r="Y1603" s="351"/>
      <c r="Z1603" s="614"/>
      <c r="AA1603" s="351"/>
      <c r="AB1603" s="607"/>
      <c r="AC1603" s="351"/>
      <c r="AD1603" s="606"/>
      <c r="AE1603" s="351"/>
      <c r="AF1603" s="607"/>
      <c r="AG1603" s="351"/>
      <c r="AH1603" s="606"/>
      <c r="AI1603" s="351"/>
      <c r="AJ1603" s="607"/>
      <c r="AK1603" s="351"/>
      <c r="AL1603" s="608"/>
      <c r="AM1603" s="350"/>
      <c r="AN1603" s="350"/>
      <c r="AO1603" s="350"/>
      <c r="AP1603" s="350"/>
      <c r="AQ1603" s="350"/>
      <c r="AR1603" s="350"/>
      <c r="AS1603" s="350"/>
      <c r="AT1603" s="350"/>
      <c r="AU1603" s="350"/>
      <c r="AV1603" s="350"/>
      <c r="AW1603" s="350"/>
      <c r="AX1603" s="350"/>
      <c r="AY1603" s="350"/>
      <c r="AZ1603" s="350"/>
      <c r="BA1603" s="350"/>
      <c r="BB1603" s="351"/>
    </row>
    <row r="1604" spans="1:54" ht="15.75" customHeight="1">
      <c r="A1604" s="25">
        <f t="shared" si="6"/>
        <v>1591</v>
      </c>
      <c r="B1604" s="618" t="str">
        <f>'refer admin discharge'!B1600</f>
        <v>x</v>
      </c>
      <c r="C1604" s="351"/>
      <c r="D1604" s="619" t="str">
        <f>'refer admin discharge'!D1600</f>
        <v>xx</v>
      </c>
      <c r="E1604" s="351"/>
      <c r="F1604" s="620" t="str">
        <f>'refer admin discharge'!H1600</f>
        <v>00/00/0000</v>
      </c>
      <c r="G1604" s="351"/>
      <c r="H1604" s="615"/>
      <c r="I1604" s="351"/>
      <c r="J1604" s="621"/>
      <c r="K1604" s="351"/>
      <c r="L1604" s="615"/>
      <c r="M1604" s="351"/>
      <c r="N1604" s="610"/>
      <c r="O1604" s="351"/>
      <c r="P1604" s="615"/>
      <c r="Q1604" s="351"/>
      <c r="R1604" s="610"/>
      <c r="S1604" s="351"/>
      <c r="T1604" s="615"/>
      <c r="U1604" s="351"/>
      <c r="V1604" s="613" t="str">
        <f>'refer admin discharge'!H1605</f>
        <v>00/00/0000</v>
      </c>
      <c r="W1604" s="351"/>
      <c r="X1604" s="616"/>
      <c r="Y1604" s="351"/>
      <c r="Z1604" s="617"/>
      <c r="AA1604" s="351"/>
      <c r="AB1604" s="616"/>
      <c r="AC1604" s="351"/>
      <c r="AD1604" s="607"/>
      <c r="AE1604" s="351"/>
      <c r="AF1604" s="616"/>
      <c r="AG1604" s="351"/>
      <c r="AH1604" s="607"/>
      <c r="AI1604" s="351"/>
      <c r="AJ1604" s="616"/>
      <c r="AK1604" s="351"/>
      <c r="AL1604" s="622"/>
      <c r="AM1604" s="350"/>
      <c r="AN1604" s="350"/>
      <c r="AO1604" s="350"/>
      <c r="AP1604" s="350"/>
      <c r="AQ1604" s="350"/>
      <c r="AR1604" s="350"/>
      <c r="AS1604" s="350"/>
      <c r="AT1604" s="350"/>
      <c r="AU1604" s="350"/>
      <c r="AV1604" s="350"/>
      <c r="AW1604" s="350"/>
      <c r="AX1604" s="350"/>
      <c r="AY1604" s="350"/>
      <c r="AZ1604" s="350"/>
      <c r="BA1604" s="350"/>
      <c r="BB1604" s="351"/>
    </row>
    <row r="1605" spans="1:54" ht="15.75" customHeight="1">
      <c r="A1605" s="25">
        <f t="shared" si="6"/>
        <v>1592</v>
      </c>
      <c r="B1605" s="599" t="str">
        <f>'refer admin discharge'!B1601</f>
        <v>x</v>
      </c>
      <c r="C1605" s="351"/>
      <c r="D1605" s="600" t="str">
        <f>'refer admin discharge'!D1601</f>
        <v>xx</v>
      </c>
      <c r="E1605" s="351"/>
      <c r="F1605" s="609" t="str">
        <f>'refer admin discharge'!H1601</f>
        <v>00/00/0000</v>
      </c>
      <c r="G1605" s="351"/>
      <c r="H1605" s="610"/>
      <c r="I1605" s="351"/>
      <c r="J1605" s="611"/>
      <c r="K1605" s="351"/>
      <c r="L1605" s="610"/>
      <c r="M1605" s="351"/>
      <c r="N1605" s="612"/>
      <c r="O1605" s="351"/>
      <c r="P1605" s="610"/>
      <c r="Q1605" s="351"/>
      <c r="R1605" s="612"/>
      <c r="S1605" s="351"/>
      <c r="T1605" s="610"/>
      <c r="U1605" s="351"/>
      <c r="V1605" s="613" t="str">
        <f>'refer admin discharge'!H1606</f>
        <v>00/00/0000</v>
      </c>
      <c r="W1605" s="351"/>
      <c r="X1605" s="607"/>
      <c r="Y1605" s="351"/>
      <c r="Z1605" s="614"/>
      <c r="AA1605" s="351"/>
      <c r="AB1605" s="607"/>
      <c r="AC1605" s="351"/>
      <c r="AD1605" s="606"/>
      <c r="AE1605" s="351"/>
      <c r="AF1605" s="607"/>
      <c r="AG1605" s="351"/>
      <c r="AH1605" s="606"/>
      <c r="AI1605" s="351"/>
      <c r="AJ1605" s="607"/>
      <c r="AK1605" s="351"/>
      <c r="AL1605" s="608"/>
      <c r="AM1605" s="350"/>
      <c r="AN1605" s="350"/>
      <c r="AO1605" s="350"/>
      <c r="AP1605" s="350"/>
      <c r="AQ1605" s="350"/>
      <c r="AR1605" s="350"/>
      <c r="AS1605" s="350"/>
      <c r="AT1605" s="350"/>
      <c r="AU1605" s="350"/>
      <c r="AV1605" s="350"/>
      <c r="AW1605" s="350"/>
      <c r="AX1605" s="350"/>
      <c r="AY1605" s="350"/>
      <c r="AZ1605" s="350"/>
      <c r="BA1605" s="350"/>
      <c r="BB1605" s="351"/>
    </row>
    <row r="1606" spans="1:54" ht="15.75" customHeight="1">
      <c r="A1606" s="25">
        <f t="shared" si="6"/>
        <v>1593</v>
      </c>
      <c r="B1606" s="618" t="str">
        <f>'refer admin discharge'!B1602</f>
        <v>x</v>
      </c>
      <c r="C1606" s="351"/>
      <c r="D1606" s="619" t="str">
        <f>'refer admin discharge'!D1602</f>
        <v>xx</v>
      </c>
      <c r="E1606" s="351"/>
      <c r="F1606" s="620" t="str">
        <f>'refer admin discharge'!H1602</f>
        <v>00/00/0000</v>
      </c>
      <c r="G1606" s="351"/>
      <c r="H1606" s="615"/>
      <c r="I1606" s="351"/>
      <c r="J1606" s="621"/>
      <c r="K1606" s="351"/>
      <c r="L1606" s="615"/>
      <c r="M1606" s="351"/>
      <c r="N1606" s="610"/>
      <c r="O1606" s="351"/>
      <c r="P1606" s="615"/>
      <c r="Q1606" s="351"/>
      <c r="R1606" s="610"/>
      <c r="S1606" s="351"/>
      <c r="T1606" s="615"/>
      <c r="U1606" s="351"/>
      <c r="V1606" s="613" t="str">
        <f>'refer admin discharge'!H1607</f>
        <v>00/00/0000</v>
      </c>
      <c r="W1606" s="351"/>
      <c r="X1606" s="616"/>
      <c r="Y1606" s="351"/>
      <c r="Z1606" s="617"/>
      <c r="AA1606" s="351"/>
      <c r="AB1606" s="616"/>
      <c r="AC1606" s="351"/>
      <c r="AD1606" s="607"/>
      <c r="AE1606" s="351"/>
      <c r="AF1606" s="616"/>
      <c r="AG1606" s="351"/>
      <c r="AH1606" s="607"/>
      <c r="AI1606" s="351"/>
      <c r="AJ1606" s="616"/>
      <c r="AK1606" s="351"/>
      <c r="AL1606" s="622"/>
      <c r="AM1606" s="350"/>
      <c r="AN1606" s="350"/>
      <c r="AO1606" s="350"/>
      <c r="AP1606" s="350"/>
      <c r="AQ1606" s="350"/>
      <c r="AR1606" s="350"/>
      <c r="AS1606" s="350"/>
      <c r="AT1606" s="350"/>
      <c r="AU1606" s="350"/>
      <c r="AV1606" s="350"/>
      <c r="AW1606" s="350"/>
      <c r="AX1606" s="350"/>
      <c r="AY1606" s="350"/>
      <c r="AZ1606" s="350"/>
      <c r="BA1606" s="350"/>
      <c r="BB1606" s="351"/>
    </row>
    <row r="1607" spans="1:54" ht="15.75" customHeight="1">
      <c r="A1607" s="25">
        <f t="shared" si="6"/>
        <v>1594</v>
      </c>
      <c r="B1607" s="599" t="str">
        <f>'refer admin discharge'!B1603</f>
        <v>x</v>
      </c>
      <c r="C1607" s="351"/>
      <c r="D1607" s="600" t="str">
        <f>'refer admin discharge'!D1603</f>
        <v>xx</v>
      </c>
      <c r="E1607" s="351"/>
      <c r="F1607" s="609" t="str">
        <f>'refer admin discharge'!H1603</f>
        <v>00/00/0000</v>
      </c>
      <c r="G1607" s="351"/>
      <c r="H1607" s="610"/>
      <c r="I1607" s="351"/>
      <c r="J1607" s="611"/>
      <c r="K1607" s="351"/>
      <c r="L1607" s="610"/>
      <c r="M1607" s="351"/>
      <c r="N1607" s="612"/>
      <c r="O1607" s="351"/>
      <c r="P1607" s="610"/>
      <c r="Q1607" s="351"/>
      <c r="R1607" s="612"/>
      <c r="S1607" s="351"/>
      <c r="T1607" s="610"/>
      <c r="U1607" s="351"/>
      <c r="V1607" s="613" t="str">
        <f>'refer admin discharge'!H1608</f>
        <v>00/00/0000</v>
      </c>
      <c r="W1607" s="351"/>
      <c r="X1607" s="607"/>
      <c r="Y1607" s="351"/>
      <c r="Z1607" s="614"/>
      <c r="AA1607" s="351"/>
      <c r="AB1607" s="607"/>
      <c r="AC1607" s="351"/>
      <c r="AD1607" s="606"/>
      <c r="AE1607" s="351"/>
      <c r="AF1607" s="607"/>
      <c r="AG1607" s="351"/>
      <c r="AH1607" s="606"/>
      <c r="AI1607" s="351"/>
      <c r="AJ1607" s="607"/>
      <c r="AK1607" s="351"/>
      <c r="AL1607" s="608"/>
      <c r="AM1607" s="350"/>
      <c r="AN1607" s="350"/>
      <c r="AO1607" s="350"/>
      <c r="AP1607" s="350"/>
      <c r="AQ1607" s="350"/>
      <c r="AR1607" s="350"/>
      <c r="AS1607" s="350"/>
      <c r="AT1607" s="350"/>
      <c r="AU1607" s="350"/>
      <c r="AV1607" s="350"/>
      <c r="AW1607" s="350"/>
      <c r="AX1607" s="350"/>
      <c r="AY1607" s="350"/>
      <c r="AZ1607" s="350"/>
      <c r="BA1607" s="350"/>
      <c r="BB1607" s="351"/>
    </row>
    <row r="1608" spans="1:54" ht="15.75" customHeight="1">
      <c r="A1608" s="25">
        <f t="shared" si="6"/>
        <v>1595</v>
      </c>
      <c r="B1608" s="618" t="str">
        <f>'refer admin discharge'!B1604</f>
        <v>x</v>
      </c>
      <c r="C1608" s="351"/>
      <c r="D1608" s="619" t="str">
        <f>'refer admin discharge'!D1604</f>
        <v>xx</v>
      </c>
      <c r="E1608" s="351"/>
      <c r="F1608" s="620" t="str">
        <f>'refer admin discharge'!H1604</f>
        <v>00/00/0000</v>
      </c>
      <c r="G1608" s="351"/>
      <c r="H1608" s="615"/>
      <c r="I1608" s="351"/>
      <c r="J1608" s="621"/>
      <c r="K1608" s="351"/>
      <c r="L1608" s="615"/>
      <c r="M1608" s="351"/>
      <c r="N1608" s="610"/>
      <c r="O1608" s="351"/>
      <c r="P1608" s="615"/>
      <c r="Q1608" s="351"/>
      <c r="R1608" s="610"/>
      <c r="S1608" s="351"/>
      <c r="T1608" s="615"/>
      <c r="U1608" s="351"/>
      <c r="V1608" s="613" t="str">
        <f>'refer admin discharge'!H1609</f>
        <v>00/00/0000</v>
      </c>
      <c r="W1608" s="351"/>
      <c r="X1608" s="616"/>
      <c r="Y1608" s="351"/>
      <c r="Z1608" s="617"/>
      <c r="AA1608" s="351"/>
      <c r="AB1608" s="616"/>
      <c r="AC1608" s="351"/>
      <c r="AD1608" s="607"/>
      <c r="AE1608" s="351"/>
      <c r="AF1608" s="616"/>
      <c r="AG1608" s="351"/>
      <c r="AH1608" s="607"/>
      <c r="AI1608" s="351"/>
      <c r="AJ1608" s="616"/>
      <c r="AK1608" s="351"/>
      <c r="AL1608" s="622"/>
      <c r="AM1608" s="350"/>
      <c r="AN1608" s="350"/>
      <c r="AO1608" s="350"/>
      <c r="AP1608" s="350"/>
      <c r="AQ1608" s="350"/>
      <c r="AR1608" s="350"/>
      <c r="AS1608" s="350"/>
      <c r="AT1608" s="350"/>
      <c r="AU1608" s="350"/>
      <c r="AV1608" s="350"/>
      <c r="AW1608" s="350"/>
      <c r="AX1608" s="350"/>
      <c r="AY1608" s="350"/>
      <c r="AZ1608" s="350"/>
      <c r="BA1608" s="350"/>
      <c r="BB1608" s="351"/>
    </row>
    <row r="1609" spans="1:54" ht="15.75" customHeight="1">
      <c r="A1609" s="25">
        <f t="shared" si="6"/>
        <v>1596</v>
      </c>
      <c r="B1609" s="599" t="str">
        <f>'refer admin discharge'!B1605</f>
        <v>x</v>
      </c>
      <c r="C1609" s="351"/>
      <c r="D1609" s="600" t="str">
        <f>'refer admin discharge'!D1605</f>
        <v>xx</v>
      </c>
      <c r="E1609" s="351"/>
      <c r="F1609" s="609" t="str">
        <f>'refer admin discharge'!H1605</f>
        <v>00/00/0000</v>
      </c>
      <c r="G1609" s="351"/>
      <c r="H1609" s="610"/>
      <c r="I1609" s="351"/>
      <c r="J1609" s="611"/>
      <c r="K1609" s="351"/>
      <c r="L1609" s="610"/>
      <c r="M1609" s="351"/>
      <c r="N1609" s="612"/>
      <c r="O1609" s="351"/>
      <c r="P1609" s="610"/>
      <c r="Q1609" s="351"/>
      <c r="R1609" s="612"/>
      <c r="S1609" s="351"/>
      <c r="T1609" s="610"/>
      <c r="U1609" s="351"/>
      <c r="V1609" s="613" t="str">
        <f>'refer admin discharge'!H1610</f>
        <v>00/00/0000</v>
      </c>
      <c r="W1609" s="351"/>
      <c r="X1609" s="607"/>
      <c r="Y1609" s="351"/>
      <c r="Z1609" s="614"/>
      <c r="AA1609" s="351"/>
      <c r="AB1609" s="607"/>
      <c r="AC1609" s="351"/>
      <c r="AD1609" s="606"/>
      <c r="AE1609" s="351"/>
      <c r="AF1609" s="607"/>
      <c r="AG1609" s="351"/>
      <c r="AH1609" s="606"/>
      <c r="AI1609" s="351"/>
      <c r="AJ1609" s="607"/>
      <c r="AK1609" s="351"/>
      <c r="AL1609" s="608"/>
      <c r="AM1609" s="350"/>
      <c r="AN1609" s="350"/>
      <c r="AO1609" s="350"/>
      <c r="AP1609" s="350"/>
      <c r="AQ1609" s="350"/>
      <c r="AR1609" s="350"/>
      <c r="AS1609" s="350"/>
      <c r="AT1609" s="350"/>
      <c r="AU1609" s="350"/>
      <c r="AV1609" s="350"/>
      <c r="AW1609" s="350"/>
      <c r="AX1609" s="350"/>
      <c r="AY1609" s="350"/>
      <c r="AZ1609" s="350"/>
      <c r="BA1609" s="350"/>
      <c r="BB1609" s="351"/>
    </row>
    <row r="1610" spans="1:54" ht="15.75" customHeight="1">
      <c r="A1610" s="25">
        <f t="shared" si="6"/>
        <v>1597</v>
      </c>
      <c r="B1610" s="618" t="str">
        <f>'refer admin discharge'!B1606</f>
        <v>x</v>
      </c>
      <c r="C1610" s="351"/>
      <c r="D1610" s="619" t="str">
        <f>'refer admin discharge'!D1606</f>
        <v>xx</v>
      </c>
      <c r="E1610" s="351"/>
      <c r="F1610" s="620" t="str">
        <f>'refer admin discharge'!H1606</f>
        <v>00/00/0000</v>
      </c>
      <c r="G1610" s="351"/>
      <c r="H1610" s="615"/>
      <c r="I1610" s="351"/>
      <c r="J1610" s="621"/>
      <c r="K1610" s="351"/>
      <c r="L1610" s="615"/>
      <c r="M1610" s="351"/>
      <c r="N1610" s="610"/>
      <c r="O1610" s="351"/>
      <c r="P1610" s="615"/>
      <c r="Q1610" s="351"/>
      <c r="R1610" s="610"/>
      <c r="S1610" s="351"/>
      <c r="T1610" s="615"/>
      <c r="U1610" s="351"/>
      <c r="V1610" s="613" t="str">
        <f>'refer admin discharge'!H1611</f>
        <v>00/00/0000</v>
      </c>
      <c r="W1610" s="351"/>
      <c r="X1610" s="616"/>
      <c r="Y1610" s="351"/>
      <c r="Z1610" s="617"/>
      <c r="AA1610" s="351"/>
      <c r="AB1610" s="616"/>
      <c r="AC1610" s="351"/>
      <c r="AD1610" s="607"/>
      <c r="AE1610" s="351"/>
      <c r="AF1610" s="616"/>
      <c r="AG1610" s="351"/>
      <c r="AH1610" s="607"/>
      <c r="AI1610" s="351"/>
      <c r="AJ1610" s="616"/>
      <c r="AK1610" s="351"/>
      <c r="AL1610" s="622"/>
      <c r="AM1610" s="350"/>
      <c r="AN1610" s="350"/>
      <c r="AO1610" s="350"/>
      <c r="AP1610" s="350"/>
      <c r="AQ1610" s="350"/>
      <c r="AR1610" s="350"/>
      <c r="AS1610" s="350"/>
      <c r="AT1610" s="350"/>
      <c r="AU1610" s="350"/>
      <c r="AV1610" s="350"/>
      <c r="AW1610" s="350"/>
      <c r="AX1610" s="350"/>
      <c r="AY1610" s="350"/>
      <c r="AZ1610" s="350"/>
      <c r="BA1610" s="350"/>
      <c r="BB1610" s="351"/>
    </row>
    <row r="1611" spans="1:54" ht="15.75" customHeight="1">
      <c r="A1611" s="25">
        <f t="shared" si="6"/>
        <v>1598</v>
      </c>
      <c r="B1611" s="599" t="str">
        <f>'refer admin discharge'!B1607</f>
        <v>x</v>
      </c>
      <c r="C1611" s="351"/>
      <c r="D1611" s="600" t="str">
        <f>'refer admin discharge'!D1607</f>
        <v>xx</v>
      </c>
      <c r="E1611" s="351"/>
      <c r="F1611" s="609" t="str">
        <f>'refer admin discharge'!H1607</f>
        <v>00/00/0000</v>
      </c>
      <c r="G1611" s="351"/>
      <c r="H1611" s="610"/>
      <c r="I1611" s="351"/>
      <c r="J1611" s="611"/>
      <c r="K1611" s="351"/>
      <c r="L1611" s="610"/>
      <c r="M1611" s="351"/>
      <c r="N1611" s="612"/>
      <c r="O1611" s="351"/>
      <c r="P1611" s="610"/>
      <c r="Q1611" s="351"/>
      <c r="R1611" s="612"/>
      <c r="S1611" s="351"/>
      <c r="T1611" s="610"/>
      <c r="U1611" s="351"/>
      <c r="V1611" s="613" t="str">
        <f>'refer admin discharge'!H1612</f>
        <v>00/00/0000</v>
      </c>
      <c r="W1611" s="351"/>
      <c r="X1611" s="607"/>
      <c r="Y1611" s="351"/>
      <c r="Z1611" s="614"/>
      <c r="AA1611" s="351"/>
      <c r="AB1611" s="607"/>
      <c r="AC1611" s="351"/>
      <c r="AD1611" s="606"/>
      <c r="AE1611" s="351"/>
      <c r="AF1611" s="607"/>
      <c r="AG1611" s="351"/>
      <c r="AH1611" s="606"/>
      <c r="AI1611" s="351"/>
      <c r="AJ1611" s="607"/>
      <c r="AK1611" s="351"/>
      <c r="AL1611" s="608"/>
      <c r="AM1611" s="350"/>
      <c r="AN1611" s="350"/>
      <c r="AO1611" s="350"/>
      <c r="AP1611" s="350"/>
      <c r="AQ1611" s="350"/>
      <c r="AR1611" s="350"/>
      <c r="AS1611" s="350"/>
      <c r="AT1611" s="350"/>
      <c r="AU1611" s="350"/>
      <c r="AV1611" s="350"/>
      <c r="AW1611" s="350"/>
      <c r="AX1611" s="350"/>
      <c r="AY1611" s="350"/>
      <c r="AZ1611" s="350"/>
      <c r="BA1611" s="350"/>
      <c r="BB1611" s="351"/>
    </row>
    <row r="1612" spans="1:54" ht="15.75" customHeight="1">
      <c r="A1612" s="25">
        <f t="shared" si="6"/>
        <v>1599</v>
      </c>
      <c r="B1612" s="618" t="str">
        <f>'refer admin discharge'!B1608</f>
        <v>x</v>
      </c>
      <c r="C1612" s="351"/>
      <c r="D1612" s="619" t="str">
        <f>'refer admin discharge'!D1608</f>
        <v>xx</v>
      </c>
      <c r="E1612" s="351"/>
      <c r="F1612" s="620" t="str">
        <f>'refer admin discharge'!H1608</f>
        <v>00/00/0000</v>
      </c>
      <c r="G1612" s="351"/>
      <c r="H1612" s="615"/>
      <c r="I1612" s="351"/>
      <c r="J1612" s="621"/>
      <c r="K1612" s="351"/>
      <c r="L1612" s="615"/>
      <c r="M1612" s="351"/>
      <c r="N1612" s="610"/>
      <c r="O1612" s="351"/>
      <c r="P1612" s="615"/>
      <c r="Q1612" s="351"/>
      <c r="R1612" s="610"/>
      <c r="S1612" s="351"/>
      <c r="T1612" s="615"/>
      <c r="U1612" s="351"/>
      <c r="V1612" s="613" t="str">
        <f>'refer admin discharge'!H1613</f>
        <v>00/00/0000</v>
      </c>
      <c r="W1612" s="351"/>
      <c r="X1612" s="616"/>
      <c r="Y1612" s="351"/>
      <c r="Z1612" s="617"/>
      <c r="AA1612" s="351"/>
      <c r="AB1612" s="616"/>
      <c r="AC1612" s="351"/>
      <c r="AD1612" s="607"/>
      <c r="AE1612" s="351"/>
      <c r="AF1612" s="616"/>
      <c r="AG1612" s="351"/>
      <c r="AH1612" s="607"/>
      <c r="AI1612" s="351"/>
      <c r="AJ1612" s="616"/>
      <c r="AK1612" s="351"/>
      <c r="AL1612" s="622"/>
      <c r="AM1612" s="350"/>
      <c r="AN1612" s="350"/>
      <c r="AO1612" s="350"/>
      <c r="AP1612" s="350"/>
      <c r="AQ1612" s="350"/>
      <c r="AR1612" s="350"/>
      <c r="AS1612" s="350"/>
      <c r="AT1612" s="350"/>
      <c r="AU1612" s="350"/>
      <c r="AV1612" s="350"/>
      <c r="AW1612" s="350"/>
      <c r="AX1612" s="350"/>
      <c r="AY1612" s="350"/>
      <c r="AZ1612" s="350"/>
      <c r="BA1612" s="350"/>
      <c r="BB1612" s="351"/>
    </row>
    <row r="1613" spans="1:54" ht="15.75" customHeight="1">
      <c r="A1613" s="25">
        <f t="shared" si="6"/>
        <v>1600</v>
      </c>
      <c r="B1613" s="599" t="str">
        <f>'refer admin discharge'!B1609</f>
        <v>x</v>
      </c>
      <c r="C1613" s="351"/>
      <c r="D1613" s="600" t="str">
        <f>'refer admin discharge'!D1609</f>
        <v>xx</v>
      </c>
      <c r="E1613" s="351"/>
      <c r="F1613" s="609" t="str">
        <f>'refer admin discharge'!H1609</f>
        <v>00/00/0000</v>
      </c>
      <c r="G1613" s="351"/>
      <c r="H1613" s="610"/>
      <c r="I1613" s="351"/>
      <c r="J1613" s="611"/>
      <c r="K1613" s="351"/>
      <c r="L1613" s="610"/>
      <c r="M1613" s="351"/>
      <c r="N1613" s="612"/>
      <c r="O1613" s="351"/>
      <c r="P1613" s="610"/>
      <c r="Q1613" s="351"/>
      <c r="R1613" s="612"/>
      <c r="S1613" s="351"/>
      <c r="T1613" s="610"/>
      <c r="U1613" s="351"/>
      <c r="V1613" s="613" t="str">
        <f>'refer admin discharge'!H1614</f>
        <v>00/00/0000</v>
      </c>
      <c r="W1613" s="351"/>
      <c r="X1613" s="607"/>
      <c r="Y1613" s="351"/>
      <c r="Z1613" s="614"/>
      <c r="AA1613" s="351"/>
      <c r="AB1613" s="607"/>
      <c r="AC1613" s="351"/>
      <c r="AD1613" s="606"/>
      <c r="AE1613" s="351"/>
      <c r="AF1613" s="607"/>
      <c r="AG1613" s="351"/>
      <c r="AH1613" s="606"/>
      <c r="AI1613" s="351"/>
      <c r="AJ1613" s="607"/>
      <c r="AK1613" s="351"/>
      <c r="AL1613" s="608"/>
      <c r="AM1613" s="350"/>
      <c r="AN1613" s="350"/>
      <c r="AO1613" s="350"/>
      <c r="AP1613" s="350"/>
      <c r="AQ1613" s="350"/>
      <c r="AR1613" s="350"/>
      <c r="AS1613" s="350"/>
      <c r="AT1613" s="350"/>
      <c r="AU1613" s="350"/>
      <c r="AV1613" s="350"/>
      <c r="AW1613" s="350"/>
      <c r="AX1613" s="350"/>
      <c r="AY1613" s="350"/>
      <c r="AZ1613" s="350"/>
      <c r="BA1613" s="350"/>
      <c r="BB1613" s="351"/>
    </row>
  </sheetData>
  <mergeCells count="30466">
    <mergeCell ref="B1:C1"/>
    <mergeCell ref="D1:E1"/>
    <mergeCell ref="F1:G1"/>
    <mergeCell ref="H1:I1"/>
    <mergeCell ref="J1:K1"/>
    <mergeCell ref="L1:M1"/>
    <mergeCell ref="N1:O1"/>
    <mergeCell ref="AD1:AE1"/>
    <mergeCell ref="AF1:AG1"/>
    <mergeCell ref="AH1:AI1"/>
    <mergeCell ref="AJ1:AK1"/>
    <mergeCell ref="AL1:BB1"/>
    <mergeCell ref="P1:Q1"/>
    <mergeCell ref="R1:S1"/>
    <mergeCell ref="T1:U1"/>
    <mergeCell ref="V1:W1"/>
    <mergeCell ref="X1:Y1"/>
    <mergeCell ref="Z1:AA1"/>
    <mergeCell ref="AB1:AC1"/>
    <mergeCell ref="AF6:AN6"/>
    <mergeCell ref="AO6:BB6"/>
    <mergeCell ref="AF7:AN7"/>
    <mergeCell ref="AO7:BB7"/>
    <mergeCell ref="AF8:AN8"/>
    <mergeCell ref="AO8:BB8"/>
    <mergeCell ref="AF9:AN9"/>
    <mergeCell ref="AO9:BB9"/>
    <mergeCell ref="A2:AT2"/>
    <mergeCell ref="A3:AT3"/>
    <mergeCell ref="A4:BB4"/>
    <mergeCell ref="A5:J5"/>
    <mergeCell ref="AF5:AN5"/>
    <mergeCell ref="AO5:BB5"/>
    <mergeCell ref="A6:J6"/>
    <mergeCell ref="L5:AD5"/>
    <mergeCell ref="L6:AD6"/>
    <mergeCell ref="A7:J8"/>
    <mergeCell ref="L7:AD8"/>
    <mergeCell ref="A9:J9"/>
    <mergeCell ref="L9:T9"/>
    <mergeCell ref="U9:AD9"/>
    <mergeCell ref="D13:E13"/>
    <mergeCell ref="F13:G13"/>
    <mergeCell ref="AJ13:AK13"/>
    <mergeCell ref="AL13:BB13"/>
    <mergeCell ref="A10:BB10"/>
    <mergeCell ref="A11:Y11"/>
    <mergeCell ref="A12:E12"/>
    <mergeCell ref="F12:U12"/>
    <mergeCell ref="V12:AK12"/>
    <mergeCell ref="AL12:BB12"/>
    <mergeCell ref="B13:C13"/>
    <mergeCell ref="L13:M13"/>
    <mergeCell ref="N13:O13"/>
    <mergeCell ref="L14:M14"/>
    <mergeCell ref="N14:O14"/>
    <mergeCell ref="P13:Q13"/>
    <mergeCell ref="R13:S13"/>
    <mergeCell ref="P14:Q14"/>
    <mergeCell ref="R14:S14"/>
    <mergeCell ref="T13:U13"/>
    <mergeCell ref="V13:W13"/>
    <mergeCell ref="T14:U14"/>
    <mergeCell ref="V14:W14"/>
    <mergeCell ref="X13:Y13"/>
    <mergeCell ref="Z13:AA13"/>
    <mergeCell ref="X14:Y14"/>
    <mergeCell ref="Z14:AA14"/>
    <mergeCell ref="AB13:AC13"/>
    <mergeCell ref="AD13:AE13"/>
    <mergeCell ref="AB14:AC14"/>
    <mergeCell ref="AD14:AE14"/>
    <mergeCell ref="AF13:AG13"/>
    <mergeCell ref="AH13:AI13"/>
    <mergeCell ref="AF14:AG14"/>
    <mergeCell ref="AH14:AI14"/>
    <mergeCell ref="AJ14:AK14"/>
    <mergeCell ref="AL14:BB14"/>
    <mergeCell ref="H13:I13"/>
    <mergeCell ref="J13:K13"/>
    <mergeCell ref="B14:C14"/>
    <mergeCell ref="D14:E14"/>
    <mergeCell ref="F14:G14"/>
    <mergeCell ref="H14:I14"/>
    <mergeCell ref="J14:K14"/>
    <mergeCell ref="AD15:AE15"/>
    <mergeCell ref="AF15:AG15"/>
    <mergeCell ref="AH15:AI15"/>
    <mergeCell ref="AJ15:AK15"/>
    <mergeCell ref="AL15:BB15"/>
    <mergeCell ref="P15:Q15"/>
    <mergeCell ref="R15:S15"/>
    <mergeCell ref="T15:U15"/>
    <mergeCell ref="V15:W15"/>
    <mergeCell ref="X15:Y15"/>
    <mergeCell ref="Z15:AA15"/>
    <mergeCell ref="AB15:AC15"/>
    <mergeCell ref="B15:C15"/>
    <mergeCell ref="D15:E15"/>
    <mergeCell ref="F15:G15"/>
    <mergeCell ref="H15:I15"/>
    <mergeCell ref="J15:K15"/>
    <mergeCell ref="L15:M15"/>
    <mergeCell ref="N15:O15"/>
    <mergeCell ref="AD16:AE16"/>
    <mergeCell ref="AF16:AG16"/>
    <mergeCell ref="AH16:AI16"/>
    <mergeCell ref="AJ16:AK16"/>
    <mergeCell ref="AL16:BB16"/>
    <mergeCell ref="P16:Q16"/>
    <mergeCell ref="R16:S16"/>
    <mergeCell ref="T16:U16"/>
    <mergeCell ref="V16:W16"/>
    <mergeCell ref="X16:Y16"/>
    <mergeCell ref="Z16:AA16"/>
    <mergeCell ref="AB16:AC16"/>
    <mergeCell ref="B16:C16"/>
    <mergeCell ref="D16:E16"/>
    <mergeCell ref="F16:G16"/>
    <mergeCell ref="H16:I16"/>
    <mergeCell ref="J16:K16"/>
    <mergeCell ref="L16:M16"/>
    <mergeCell ref="N16:O16"/>
    <mergeCell ref="AH17:AI17"/>
    <mergeCell ref="AJ17:AK17"/>
    <mergeCell ref="AL17:BB17"/>
    <mergeCell ref="B17:C17"/>
    <mergeCell ref="D17:E17"/>
    <mergeCell ref="F17:G17"/>
    <mergeCell ref="H17:I17"/>
    <mergeCell ref="J17:K17"/>
    <mergeCell ref="L17:M17"/>
    <mergeCell ref="N17:O17"/>
    <mergeCell ref="P19:Q19"/>
    <mergeCell ref="R19:S19"/>
    <mergeCell ref="T19:U19"/>
    <mergeCell ref="V19:W19"/>
    <mergeCell ref="X19:Y19"/>
    <mergeCell ref="Z19:AA19"/>
    <mergeCell ref="AB19:AC19"/>
    <mergeCell ref="B19:C19"/>
    <mergeCell ref="D19:E19"/>
    <mergeCell ref="F19:G19"/>
    <mergeCell ref="H19:I19"/>
    <mergeCell ref="J19:K19"/>
    <mergeCell ref="L19:M19"/>
    <mergeCell ref="N19:O19"/>
    <mergeCell ref="P22:Q22"/>
    <mergeCell ref="R22:S22"/>
    <mergeCell ref="T22:U22"/>
    <mergeCell ref="V22:W22"/>
    <mergeCell ref="X22:Y22"/>
    <mergeCell ref="Z22:AA22"/>
    <mergeCell ref="AB22:AC22"/>
    <mergeCell ref="B22:C22"/>
    <mergeCell ref="D22:E22"/>
    <mergeCell ref="F22:G22"/>
    <mergeCell ref="H22:I22"/>
    <mergeCell ref="J22:K22"/>
    <mergeCell ref="L22:M22"/>
    <mergeCell ref="N22:O22"/>
    <mergeCell ref="AB20:AC20"/>
    <mergeCell ref="AD21:AE21"/>
    <mergeCell ref="AF21:AG21"/>
    <mergeCell ref="AH21:AI21"/>
    <mergeCell ref="AJ21:AK21"/>
    <mergeCell ref="AL21:BB21"/>
    <mergeCell ref="P21:Q21"/>
    <mergeCell ref="R21:S21"/>
    <mergeCell ref="T21:U21"/>
    <mergeCell ref="V21:W21"/>
    <mergeCell ref="X21:Y21"/>
    <mergeCell ref="Z21:AA21"/>
    <mergeCell ref="AB21:AC21"/>
    <mergeCell ref="B21:C21"/>
    <mergeCell ref="D21:E21"/>
    <mergeCell ref="F21:G21"/>
    <mergeCell ref="H21:I21"/>
    <mergeCell ref="J21:K21"/>
    <mergeCell ref="L21:M21"/>
    <mergeCell ref="N21:O21"/>
    <mergeCell ref="AD22:AE22"/>
    <mergeCell ref="AF22:AG22"/>
    <mergeCell ref="AH22:AI22"/>
    <mergeCell ref="AJ22:AK22"/>
    <mergeCell ref="AL22:BB22"/>
    <mergeCell ref="P36:Q36"/>
    <mergeCell ref="R36:S36"/>
    <mergeCell ref="T36:U36"/>
    <mergeCell ref="V36:W36"/>
    <mergeCell ref="X36:Y36"/>
    <mergeCell ref="Z36:AA36"/>
    <mergeCell ref="AB36:AC36"/>
    <mergeCell ref="B36:C36"/>
    <mergeCell ref="D36:E36"/>
    <mergeCell ref="F36:G36"/>
    <mergeCell ref="H36:I36"/>
    <mergeCell ref="J36:K36"/>
    <mergeCell ref="L36:M36"/>
    <mergeCell ref="N36:O36"/>
    <mergeCell ref="AD34:AE34"/>
    <mergeCell ref="AF34:AG34"/>
    <mergeCell ref="P34:Q34"/>
    <mergeCell ref="R34:S34"/>
    <mergeCell ref="T34:U34"/>
    <mergeCell ref="V34:W34"/>
    <mergeCell ref="X34:Y34"/>
    <mergeCell ref="Z34:AA34"/>
    <mergeCell ref="AB34:AC34"/>
    <mergeCell ref="AD35:AE35"/>
    <mergeCell ref="AF35:AG35"/>
    <mergeCell ref="P32:Q32"/>
    <mergeCell ref="R32:S32"/>
    <mergeCell ref="T32:U32"/>
    <mergeCell ref="V32:W32"/>
    <mergeCell ref="X32:Y32"/>
    <mergeCell ref="Z32:AA32"/>
    <mergeCell ref="AB32:AC32"/>
    <mergeCell ref="B32:C32"/>
    <mergeCell ref="D32:E32"/>
    <mergeCell ref="F32:G32"/>
    <mergeCell ref="H32:I32"/>
    <mergeCell ref="J32:K32"/>
    <mergeCell ref="L32:M32"/>
    <mergeCell ref="N32:O32"/>
    <mergeCell ref="AD33:AE33"/>
    <mergeCell ref="AF33:AG33"/>
    <mergeCell ref="AH35:AI35"/>
    <mergeCell ref="AJ35:AK35"/>
    <mergeCell ref="AL35:BB35"/>
    <mergeCell ref="P35:Q35"/>
    <mergeCell ref="R35:S35"/>
    <mergeCell ref="T35:U35"/>
    <mergeCell ref="V35:W35"/>
    <mergeCell ref="X35:Y35"/>
    <mergeCell ref="Z35:AA35"/>
    <mergeCell ref="AB35:AC35"/>
    <mergeCell ref="B35:C35"/>
    <mergeCell ref="D35:E35"/>
    <mergeCell ref="F35:G35"/>
    <mergeCell ref="H35:I35"/>
    <mergeCell ref="J35:K35"/>
    <mergeCell ref="L35:M35"/>
    <mergeCell ref="N35:O35"/>
    <mergeCell ref="AD36:AE36"/>
    <mergeCell ref="AF36:AG36"/>
    <mergeCell ref="AH36:AI36"/>
    <mergeCell ref="AJ36:AK36"/>
    <mergeCell ref="AL36:BB36"/>
    <mergeCell ref="AH37:AI37"/>
    <mergeCell ref="AJ37:AK37"/>
    <mergeCell ref="AL37:BB37"/>
    <mergeCell ref="B37:C37"/>
    <mergeCell ref="D37:E37"/>
    <mergeCell ref="F37:G37"/>
    <mergeCell ref="H37:I37"/>
    <mergeCell ref="J37:K37"/>
    <mergeCell ref="L37:M37"/>
    <mergeCell ref="N37:O37"/>
    <mergeCell ref="P39:Q39"/>
    <mergeCell ref="R39:S39"/>
    <mergeCell ref="T39:U39"/>
    <mergeCell ref="V39:W39"/>
    <mergeCell ref="X39:Y39"/>
    <mergeCell ref="Z39:AA39"/>
    <mergeCell ref="AB39:AC39"/>
    <mergeCell ref="B39:C39"/>
    <mergeCell ref="D39:E39"/>
    <mergeCell ref="F39:G39"/>
    <mergeCell ref="H39:I39"/>
    <mergeCell ref="J39:K39"/>
    <mergeCell ref="L39:M39"/>
    <mergeCell ref="N39:O39"/>
    <mergeCell ref="AD37:AE37"/>
    <mergeCell ref="AF37:AG37"/>
    <mergeCell ref="P37:Q37"/>
    <mergeCell ref="R37:S37"/>
    <mergeCell ref="T37:U37"/>
    <mergeCell ref="V37:W37"/>
    <mergeCell ref="X37:Y37"/>
    <mergeCell ref="Z37:AA37"/>
    <mergeCell ref="AB37:AC37"/>
    <mergeCell ref="AD38:AE38"/>
    <mergeCell ref="AF38:AG38"/>
    <mergeCell ref="AH38:AI38"/>
    <mergeCell ref="AJ38:AK38"/>
    <mergeCell ref="AL38:BB38"/>
    <mergeCell ref="P38:Q38"/>
    <mergeCell ref="R38:S38"/>
    <mergeCell ref="T38:U38"/>
    <mergeCell ref="V38:W38"/>
    <mergeCell ref="X38:Y38"/>
    <mergeCell ref="Z38:AA38"/>
    <mergeCell ref="AB38:AC38"/>
    <mergeCell ref="B38:C38"/>
    <mergeCell ref="D38:E38"/>
    <mergeCell ref="F38:G38"/>
    <mergeCell ref="H38:I38"/>
    <mergeCell ref="J38:K38"/>
    <mergeCell ref="L38:M38"/>
    <mergeCell ref="N38:O38"/>
    <mergeCell ref="AD39:AE39"/>
    <mergeCell ref="AF39:AG39"/>
    <mergeCell ref="AH39:AI39"/>
    <mergeCell ref="AJ39:AK39"/>
    <mergeCell ref="AL39:BB39"/>
    <mergeCell ref="AH40:AI40"/>
    <mergeCell ref="AJ40:AK40"/>
    <mergeCell ref="AL40:BB40"/>
    <mergeCell ref="B40:C40"/>
    <mergeCell ref="D40:E40"/>
    <mergeCell ref="F40:G40"/>
    <mergeCell ref="H40:I40"/>
    <mergeCell ref="J40:K40"/>
    <mergeCell ref="L40:M40"/>
    <mergeCell ref="N40:O40"/>
    <mergeCell ref="P42:Q42"/>
    <mergeCell ref="R42:S42"/>
    <mergeCell ref="T42:U42"/>
    <mergeCell ref="V42:W42"/>
    <mergeCell ref="X42:Y42"/>
    <mergeCell ref="Z42:AA42"/>
    <mergeCell ref="AB42:AC42"/>
    <mergeCell ref="B42:C42"/>
    <mergeCell ref="D42:E42"/>
    <mergeCell ref="F42:G42"/>
    <mergeCell ref="H42:I42"/>
    <mergeCell ref="J42:K42"/>
    <mergeCell ref="L42:M42"/>
    <mergeCell ref="N42:O42"/>
    <mergeCell ref="AD40:AE40"/>
    <mergeCell ref="AF40:AG40"/>
    <mergeCell ref="P40:Q40"/>
    <mergeCell ref="R40:S40"/>
    <mergeCell ref="T40:U40"/>
    <mergeCell ref="V40:W40"/>
    <mergeCell ref="X40:Y40"/>
    <mergeCell ref="Z40:AA40"/>
    <mergeCell ref="AB40:AC40"/>
    <mergeCell ref="AD41:AE41"/>
    <mergeCell ref="AF41:AG41"/>
    <mergeCell ref="AH41:AI41"/>
    <mergeCell ref="AJ41:AK41"/>
    <mergeCell ref="AL41:BB41"/>
    <mergeCell ref="P41:Q41"/>
    <mergeCell ref="R41:S41"/>
    <mergeCell ref="T41:U41"/>
    <mergeCell ref="V41:W41"/>
    <mergeCell ref="X41:Y41"/>
    <mergeCell ref="Z41:AA41"/>
    <mergeCell ref="AB41:AC41"/>
    <mergeCell ref="B41:C41"/>
    <mergeCell ref="D41:E41"/>
    <mergeCell ref="F41:G41"/>
    <mergeCell ref="H41:I41"/>
    <mergeCell ref="J41:K41"/>
    <mergeCell ref="L41:M41"/>
    <mergeCell ref="N41:O41"/>
    <mergeCell ref="AD42:AE42"/>
    <mergeCell ref="AF42:AG42"/>
    <mergeCell ref="AH42:AI42"/>
    <mergeCell ref="AJ42:AK42"/>
    <mergeCell ref="AL42:BB42"/>
    <mergeCell ref="AH43:AI43"/>
    <mergeCell ref="AJ43:AK43"/>
    <mergeCell ref="AL43:BB43"/>
    <mergeCell ref="B43:C43"/>
    <mergeCell ref="D43:E43"/>
    <mergeCell ref="F43:G43"/>
    <mergeCell ref="H43:I43"/>
    <mergeCell ref="J43:K43"/>
    <mergeCell ref="L43:M43"/>
    <mergeCell ref="N43:O43"/>
    <mergeCell ref="P45:Q45"/>
    <mergeCell ref="R45:S45"/>
    <mergeCell ref="T45:U45"/>
    <mergeCell ref="V45:W45"/>
    <mergeCell ref="X45:Y45"/>
    <mergeCell ref="Z45:AA45"/>
    <mergeCell ref="AB45:AC45"/>
    <mergeCell ref="B45:C45"/>
    <mergeCell ref="D45:E45"/>
    <mergeCell ref="F45:G45"/>
    <mergeCell ref="H45:I45"/>
    <mergeCell ref="J45:K45"/>
    <mergeCell ref="L45:M45"/>
    <mergeCell ref="N45:O45"/>
    <mergeCell ref="AD43:AE43"/>
    <mergeCell ref="AF43:AG43"/>
    <mergeCell ref="P43:Q43"/>
    <mergeCell ref="R43:S43"/>
    <mergeCell ref="T43:U43"/>
    <mergeCell ref="V43:W43"/>
    <mergeCell ref="X43:Y43"/>
    <mergeCell ref="Z43:AA43"/>
    <mergeCell ref="AB43:AC43"/>
    <mergeCell ref="AD44:AE44"/>
    <mergeCell ref="AF44:AG44"/>
    <mergeCell ref="AH44:AI44"/>
    <mergeCell ref="AJ44:AK44"/>
    <mergeCell ref="AL44:BB44"/>
    <mergeCell ref="P44:Q44"/>
    <mergeCell ref="R44:S44"/>
    <mergeCell ref="T44:U44"/>
    <mergeCell ref="V44:W44"/>
    <mergeCell ref="X44:Y44"/>
    <mergeCell ref="Z44:AA44"/>
    <mergeCell ref="AB44:AC44"/>
    <mergeCell ref="B44:C44"/>
    <mergeCell ref="D44:E44"/>
    <mergeCell ref="F44:G44"/>
    <mergeCell ref="H44:I44"/>
    <mergeCell ref="J44:K44"/>
    <mergeCell ref="L44:M44"/>
    <mergeCell ref="N44:O44"/>
    <mergeCell ref="AD45:AE45"/>
    <mergeCell ref="AF45:AG45"/>
    <mergeCell ref="AH45:AI45"/>
    <mergeCell ref="AJ45:AK45"/>
    <mergeCell ref="L48:M48"/>
    <mergeCell ref="N48:O48"/>
    <mergeCell ref="AD46:AE46"/>
    <mergeCell ref="AF46:AG46"/>
    <mergeCell ref="P46:Q46"/>
    <mergeCell ref="R46:S46"/>
    <mergeCell ref="T46:U46"/>
    <mergeCell ref="V46:W46"/>
    <mergeCell ref="X46:Y46"/>
    <mergeCell ref="Z46:AA46"/>
    <mergeCell ref="AB46:AC46"/>
    <mergeCell ref="AD47:AE47"/>
    <mergeCell ref="AF47:AG47"/>
    <mergeCell ref="AH47:AI47"/>
    <mergeCell ref="AJ47:AK47"/>
    <mergeCell ref="AL47:BB47"/>
    <mergeCell ref="P47:Q47"/>
    <mergeCell ref="R47:S47"/>
    <mergeCell ref="T47:U47"/>
    <mergeCell ref="V47:W47"/>
    <mergeCell ref="X47:Y47"/>
    <mergeCell ref="Z47:AA47"/>
    <mergeCell ref="AB47:AC47"/>
    <mergeCell ref="B47:C47"/>
    <mergeCell ref="D47:E47"/>
    <mergeCell ref="F47:G47"/>
    <mergeCell ref="H47:I47"/>
    <mergeCell ref="J47:K47"/>
    <mergeCell ref="L47:M47"/>
    <mergeCell ref="N47:O47"/>
    <mergeCell ref="AD48:AE48"/>
    <mergeCell ref="AF48:AG48"/>
    <mergeCell ref="AH48:AI48"/>
    <mergeCell ref="AJ48:AK48"/>
    <mergeCell ref="AL48:BB48"/>
    <mergeCell ref="P51:Q51"/>
    <mergeCell ref="R51:S51"/>
    <mergeCell ref="T51:U51"/>
    <mergeCell ref="V51:W51"/>
    <mergeCell ref="X51:Y51"/>
    <mergeCell ref="Z51:AA51"/>
    <mergeCell ref="AB51:AC51"/>
    <mergeCell ref="B51:C51"/>
    <mergeCell ref="D51:E51"/>
    <mergeCell ref="F51:G51"/>
    <mergeCell ref="H51:I51"/>
    <mergeCell ref="J51:K51"/>
    <mergeCell ref="L51:M51"/>
    <mergeCell ref="N51:O51"/>
    <mergeCell ref="AD49:AE49"/>
    <mergeCell ref="AF49:AG49"/>
    <mergeCell ref="P49:Q49"/>
    <mergeCell ref="R49:S49"/>
    <mergeCell ref="T49:U49"/>
    <mergeCell ref="V49:W49"/>
    <mergeCell ref="X49:Y49"/>
    <mergeCell ref="Z49:AA49"/>
    <mergeCell ref="AB49:AC49"/>
    <mergeCell ref="AD50:AE50"/>
    <mergeCell ref="AF50:AG50"/>
    <mergeCell ref="AH50:AI50"/>
    <mergeCell ref="AJ50:AK50"/>
    <mergeCell ref="AL50:BB50"/>
    <mergeCell ref="P50:Q50"/>
    <mergeCell ref="R50:S50"/>
    <mergeCell ref="T50:U50"/>
    <mergeCell ref="V50:W50"/>
    <mergeCell ref="X50:Y50"/>
    <mergeCell ref="Z50:AA50"/>
    <mergeCell ref="AB50:AC50"/>
    <mergeCell ref="B50:C50"/>
    <mergeCell ref="D50:E50"/>
    <mergeCell ref="F50:G50"/>
    <mergeCell ref="H50:I50"/>
    <mergeCell ref="J50:K50"/>
    <mergeCell ref="L50:M50"/>
    <mergeCell ref="N50:O50"/>
    <mergeCell ref="AD51:AE51"/>
    <mergeCell ref="AF51:AG51"/>
    <mergeCell ref="AH51:AI51"/>
    <mergeCell ref="AJ51:AK51"/>
    <mergeCell ref="AL51:BB51"/>
    <mergeCell ref="L29:M29"/>
    <mergeCell ref="N29:O29"/>
    <mergeCell ref="AD30:AE30"/>
    <mergeCell ref="AF30:AG30"/>
    <mergeCell ref="AH30:AI30"/>
    <mergeCell ref="AJ30:AK30"/>
    <mergeCell ref="AL30:BB30"/>
    <mergeCell ref="AH31:AI31"/>
    <mergeCell ref="AJ31:AK31"/>
    <mergeCell ref="AL31:BB31"/>
    <mergeCell ref="B31:C31"/>
    <mergeCell ref="D31:E31"/>
    <mergeCell ref="F31:G31"/>
    <mergeCell ref="H31:I31"/>
    <mergeCell ref="J31:K31"/>
    <mergeCell ref="L31:M31"/>
    <mergeCell ref="N31:O31"/>
    <mergeCell ref="AD31:AE31"/>
    <mergeCell ref="AF31:AG31"/>
    <mergeCell ref="P31:Q31"/>
    <mergeCell ref="R31:S31"/>
    <mergeCell ref="T31:U31"/>
    <mergeCell ref="V31:W31"/>
    <mergeCell ref="X31:Y31"/>
    <mergeCell ref="Z31:AA31"/>
    <mergeCell ref="AB31:AC31"/>
    <mergeCell ref="AD32:AE32"/>
    <mergeCell ref="AF32:AG32"/>
    <mergeCell ref="AH32:AI32"/>
    <mergeCell ref="AJ32:AK32"/>
    <mergeCell ref="AL32:BB32"/>
    <mergeCell ref="AH49:AI49"/>
    <mergeCell ref="AJ49:AK49"/>
    <mergeCell ref="AL49:BB49"/>
    <mergeCell ref="B49:C49"/>
    <mergeCell ref="D49:E49"/>
    <mergeCell ref="F49:G49"/>
    <mergeCell ref="H49:I49"/>
    <mergeCell ref="J49:K49"/>
    <mergeCell ref="L49:M49"/>
    <mergeCell ref="N49:O49"/>
    <mergeCell ref="AL45:BB45"/>
    <mergeCell ref="AH46:AI46"/>
    <mergeCell ref="AJ46:AK46"/>
    <mergeCell ref="AL46:BB46"/>
    <mergeCell ref="B46:C46"/>
    <mergeCell ref="D46:E46"/>
    <mergeCell ref="F46:G46"/>
    <mergeCell ref="H46:I46"/>
    <mergeCell ref="J46:K46"/>
    <mergeCell ref="L46:M46"/>
    <mergeCell ref="N46:O46"/>
    <mergeCell ref="P48:Q48"/>
    <mergeCell ref="R48:S48"/>
    <mergeCell ref="T48:U48"/>
    <mergeCell ref="V48:W48"/>
    <mergeCell ref="X48:Y48"/>
    <mergeCell ref="Z48:AA48"/>
    <mergeCell ref="AB48:AC48"/>
    <mergeCell ref="B48:C48"/>
    <mergeCell ref="D48:E48"/>
    <mergeCell ref="F48:G48"/>
    <mergeCell ref="H48:I48"/>
    <mergeCell ref="J48:K48"/>
    <mergeCell ref="AH34:AI34"/>
    <mergeCell ref="AJ34:AK34"/>
    <mergeCell ref="AL34:BB34"/>
    <mergeCell ref="B34:C34"/>
    <mergeCell ref="D34:E34"/>
    <mergeCell ref="F34:G34"/>
    <mergeCell ref="H34:I34"/>
    <mergeCell ref="J34:K34"/>
    <mergeCell ref="L34:M34"/>
    <mergeCell ref="N34:O34"/>
    <mergeCell ref="AD17:AE17"/>
    <mergeCell ref="AF17:AG17"/>
    <mergeCell ref="P17:Q17"/>
    <mergeCell ref="R17:S17"/>
    <mergeCell ref="T17:U17"/>
    <mergeCell ref="V17:W17"/>
    <mergeCell ref="X17:Y17"/>
    <mergeCell ref="Z17:AA17"/>
    <mergeCell ref="AB17:AC17"/>
    <mergeCell ref="AD18:AE18"/>
    <mergeCell ref="AF18:AG18"/>
    <mergeCell ref="AH18:AI18"/>
    <mergeCell ref="AJ18:AK18"/>
    <mergeCell ref="AL18:BB18"/>
    <mergeCell ref="P18:Q18"/>
    <mergeCell ref="R18:S18"/>
    <mergeCell ref="T18:U18"/>
    <mergeCell ref="V18:W18"/>
    <mergeCell ref="X18:Y18"/>
    <mergeCell ref="Z18:AA18"/>
    <mergeCell ref="AB18:AC18"/>
    <mergeCell ref="B18:C18"/>
    <mergeCell ref="D18:E18"/>
    <mergeCell ref="F18:G18"/>
    <mergeCell ref="H18:I18"/>
    <mergeCell ref="J18:K18"/>
    <mergeCell ref="L18:M18"/>
    <mergeCell ref="N18:O18"/>
    <mergeCell ref="AD19:AE19"/>
    <mergeCell ref="AF19:AG19"/>
    <mergeCell ref="AH19:AI19"/>
    <mergeCell ref="AJ19:AK19"/>
    <mergeCell ref="AL19:BB19"/>
    <mergeCell ref="AH20:AI20"/>
    <mergeCell ref="AJ20:AK20"/>
    <mergeCell ref="AL20:BB20"/>
    <mergeCell ref="B20:C20"/>
    <mergeCell ref="D20:E20"/>
    <mergeCell ref="F20:G20"/>
    <mergeCell ref="H20:I20"/>
    <mergeCell ref="J20:K20"/>
    <mergeCell ref="L20:M20"/>
    <mergeCell ref="N20:O20"/>
    <mergeCell ref="AD20:AE20"/>
    <mergeCell ref="AF20:AG20"/>
    <mergeCell ref="P20:Q20"/>
    <mergeCell ref="R20:S20"/>
    <mergeCell ref="T20:U20"/>
    <mergeCell ref="V20:W20"/>
    <mergeCell ref="X20:Y20"/>
    <mergeCell ref="Z20:AA20"/>
    <mergeCell ref="AD28:AE28"/>
    <mergeCell ref="AF28:AG28"/>
    <mergeCell ref="P28:Q28"/>
    <mergeCell ref="AH23:AI23"/>
    <mergeCell ref="AJ23:AK23"/>
    <mergeCell ref="AL23:BB23"/>
    <mergeCell ref="B23:C23"/>
    <mergeCell ref="D23:E23"/>
    <mergeCell ref="F23:G23"/>
    <mergeCell ref="H23:I23"/>
    <mergeCell ref="J23:K23"/>
    <mergeCell ref="L23:M23"/>
    <mergeCell ref="N23:O23"/>
    <mergeCell ref="AD24:AE24"/>
    <mergeCell ref="AF24:AG24"/>
    <mergeCell ref="AH24:AI24"/>
    <mergeCell ref="AJ24:AK24"/>
    <mergeCell ref="AL24:BB24"/>
    <mergeCell ref="P24:Q24"/>
    <mergeCell ref="R24:S24"/>
    <mergeCell ref="T24:U24"/>
    <mergeCell ref="V24:W24"/>
    <mergeCell ref="X24:Y24"/>
    <mergeCell ref="Z24:AA24"/>
    <mergeCell ref="AB24:AC24"/>
    <mergeCell ref="B24:C24"/>
    <mergeCell ref="D24:E24"/>
    <mergeCell ref="F24:G24"/>
    <mergeCell ref="H24:I24"/>
    <mergeCell ref="J24:K24"/>
    <mergeCell ref="L24:M24"/>
    <mergeCell ref="N24:O24"/>
    <mergeCell ref="AD25:AE25"/>
    <mergeCell ref="AF25:AG25"/>
    <mergeCell ref="AH25:AI25"/>
    <mergeCell ref="AJ25:AK25"/>
    <mergeCell ref="AL25:BB25"/>
    <mergeCell ref="P25:Q25"/>
    <mergeCell ref="R25:S25"/>
    <mergeCell ref="T25:U25"/>
    <mergeCell ref="V25:W25"/>
    <mergeCell ref="X25:Y25"/>
    <mergeCell ref="Z25:AA25"/>
    <mergeCell ref="AB25:AC25"/>
    <mergeCell ref="B25:C25"/>
    <mergeCell ref="D25:E25"/>
    <mergeCell ref="F25:G25"/>
    <mergeCell ref="H25:I25"/>
    <mergeCell ref="J25:K25"/>
    <mergeCell ref="L25:M25"/>
    <mergeCell ref="N25:O25"/>
    <mergeCell ref="AD23:AE23"/>
    <mergeCell ref="AF23:AG23"/>
    <mergeCell ref="P23:Q23"/>
    <mergeCell ref="R23:S23"/>
    <mergeCell ref="T23:U23"/>
    <mergeCell ref="V23:W23"/>
    <mergeCell ref="X23:Y23"/>
    <mergeCell ref="Z23:AA23"/>
    <mergeCell ref="AB23:AC23"/>
    <mergeCell ref="AH26:AI26"/>
    <mergeCell ref="AJ26:AK26"/>
    <mergeCell ref="AL26:BB26"/>
    <mergeCell ref="P26:Q26"/>
    <mergeCell ref="R26:S26"/>
    <mergeCell ref="T26:U26"/>
    <mergeCell ref="V26:W26"/>
    <mergeCell ref="X26:Y26"/>
    <mergeCell ref="Z26:AA26"/>
    <mergeCell ref="AB26:AC26"/>
    <mergeCell ref="B26:C26"/>
    <mergeCell ref="D26:E26"/>
    <mergeCell ref="F26:G26"/>
    <mergeCell ref="H26:I26"/>
    <mergeCell ref="J26:K26"/>
    <mergeCell ref="L26:M26"/>
    <mergeCell ref="N26:O26"/>
    <mergeCell ref="AD27:AE27"/>
    <mergeCell ref="AF27:AG27"/>
    <mergeCell ref="AH27:AI27"/>
    <mergeCell ref="AJ27:AK27"/>
    <mergeCell ref="AL27:BB27"/>
    <mergeCell ref="P27:Q27"/>
    <mergeCell ref="R27:S27"/>
    <mergeCell ref="T27:U27"/>
    <mergeCell ref="V27:W27"/>
    <mergeCell ref="X27:Y27"/>
    <mergeCell ref="Z27:AA27"/>
    <mergeCell ref="AB27:AC27"/>
    <mergeCell ref="B27:C27"/>
    <mergeCell ref="D27:E27"/>
    <mergeCell ref="F27:G27"/>
    <mergeCell ref="H27:I27"/>
    <mergeCell ref="J27:K27"/>
    <mergeCell ref="L27:M27"/>
    <mergeCell ref="N27:O27"/>
    <mergeCell ref="AD26:AE26"/>
    <mergeCell ref="AF26:AG26"/>
    <mergeCell ref="AH28:AI28"/>
    <mergeCell ref="AJ28:AK28"/>
    <mergeCell ref="AL28:BB28"/>
    <mergeCell ref="B28:C28"/>
    <mergeCell ref="D28:E28"/>
    <mergeCell ref="F28:G28"/>
    <mergeCell ref="H28:I28"/>
    <mergeCell ref="J28:K28"/>
    <mergeCell ref="L28:M28"/>
    <mergeCell ref="N28:O28"/>
    <mergeCell ref="P30:Q30"/>
    <mergeCell ref="R30:S30"/>
    <mergeCell ref="T30:U30"/>
    <mergeCell ref="V30:W30"/>
    <mergeCell ref="X30:Y30"/>
    <mergeCell ref="Z30:AA30"/>
    <mergeCell ref="AB30:AC30"/>
    <mergeCell ref="B30:C30"/>
    <mergeCell ref="D30:E30"/>
    <mergeCell ref="F30:G30"/>
    <mergeCell ref="H30:I30"/>
    <mergeCell ref="J30:K30"/>
    <mergeCell ref="L30:M30"/>
    <mergeCell ref="N30:O30"/>
    <mergeCell ref="P33:Q33"/>
    <mergeCell ref="R33:S33"/>
    <mergeCell ref="T33:U33"/>
    <mergeCell ref="V33:W33"/>
    <mergeCell ref="X33:Y33"/>
    <mergeCell ref="Z33:AA33"/>
    <mergeCell ref="AB33:AC33"/>
    <mergeCell ref="B33:C33"/>
    <mergeCell ref="D33:E33"/>
    <mergeCell ref="F33:G33"/>
    <mergeCell ref="H33:I33"/>
    <mergeCell ref="J33:K33"/>
    <mergeCell ref="L33:M33"/>
    <mergeCell ref="N33:O33"/>
    <mergeCell ref="AH33:AI33"/>
    <mergeCell ref="AJ33:AK33"/>
    <mergeCell ref="AL33:BB33"/>
    <mergeCell ref="R28:S28"/>
    <mergeCell ref="T28:U28"/>
    <mergeCell ref="V28:W28"/>
    <mergeCell ref="X28:Y28"/>
    <mergeCell ref="Z28:AA28"/>
    <mergeCell ref="AB28:AC28"/>
    <mergeCell ref="AD29:AE29"/>
    <mergeCell ref="AF29:AG29"/>
    <mergeCell ref="AH29:AI29"/>
    <mergeCell ref="AJ29:AK29"/>
    <mergeCell ref="AL29:BB29"/>
    <mergeCell ref="P29:Q29"/>
    <mergeCell ref="R29:S29"/>
    <mergeCell ref="T29:U29"/>
    <mergeCell ref="V29:W29"/>
    <mergeCell ref="X29:Y29"/>
    <mergeCell ref="Z29:AA29"/>
    <mergeCell ref="AB29:AC29"/>
    <mergeCell ref="B29:C29"/>
    <mergeCell ref="D29:E29"/>
    <mergeCell ref="F29:G29"/>
    <mergeCell ref="H29:I29"/>
    <mergeCell ref="J29:K29"/>
    <mergeCell ref="P54:Q54"/>
    <mergeCell ref="R54:S54"/>
    <mergeCell ref="T54:U54"/>
    <mergeCell ref="V54:W54"/>
    <mergeCell ref="X54:Y54"/>
    <mergeCell ref="Z54:AA54"/>
    <mergeCell ref="AB54:AC54"/>
    <mergeCell ref="B54:C54"/>
    <mergeCell ref="D54:E54"/>
    <mergeCell ref="F54:G54"/>
    <mergeCell ref="H54:I54"/>
    <mergeCell ref="J54:K54"/>
    <mergeCell ref="L54:M54"/>
    <mergeCell ref="N54:O54"/>
    <mergeCell ref="AD52:AE52"/>
    <mergeCell ref="AF52:AG52"/>
    <mergeCell ref="AH52:AI52"/>
    <mergeCell ref="AJ52:AK52"/>
    <mergeCell ref="AL52:BB52"/>
    <mergeCell ref="P52:Q52"/>
    <mergeCell ref="R52:S52"/>
    <mergeCell ref="T52:U52"/>
    <mergeCell ref="V52:W52"/>
    <mergeCell ref="X52:Y52"/>
    <mergeCell ref="Z52:AA52"/>
    <mergeCell ref="AB52:AC52"/>
    <mergeCell ref="AD53:AE53"/>
    <mergeCell ref="AF53:AG53"/>
    <mergeCell ref="AH53:AI53"/>
    <mergeCell ref="AJ53:AK53"/>
    <mergeCell ref="AL53:BB53"/>
    <mergeCell ref="P53:Q53"/>
    <mergeCell ref="R53:S53"/>
    <mergeCell ref="T53:U53"/>
    <mergeCell ref="V53:W53"/>
    <mergeCell ref="X53:Y53"/>
    <mergeCell ref="Z53:AA53"/>
    <mergeCell ref="AB53:AC53"/>
    <mergeCell ref="B53:C53"/>
    <mergeCell ref="D53:E53"/>
    <mergeCell ref="F53:G53"/>
    <mergeCell ref="H53:I53"/>
    <mergeCell ref="J53:K53"/>
    <mergeCell ref="L53:M53"/>
    <mergeCell ref="N53:O53"/>
    <mergeCell ref="AD54:AE54"/>
    <mergeCell ref="AF54:AG54"/>
    <mergeCell ref="AH54:AI54"/>
    <mergeCell ref="AJ54:AK54"/>
    <mergeCell ref="AL54:BB54"/>
    <mergeCell ref="B52:C52"/>
    <mergeCell ref="D52:E52"/>
    <mergeCell ref="F52:G52"/>
    <mergeCell ref="H52:I52"/>
    <mergeCell ref="J52:K52"/>
    <mergeCell ref="L52:M52"/>
    <mergeCell ref="N52:O52"/>
    <mergeCell ref="AL55:BB55"/>
    <mergeCell ref="B55:C55"/>
    <mergeCell ref="D55:E55"/>
    <mergeCell ref="F55:G55"/>
    <mergeCell ref="H55:I55"/>
    <mergeCell ref="J55:K55"/>
    <mergeCell ref="L55:M55"/>
    <mergeCell ref="N55:O55"/>
    <mergeCell ref="P57:Q57"/>
    <mergeCell ref="R57:S57"/>
    <mergeCell ref="T57:U57"/>
    <mergeCell ref="V57:W57"/>
    <mergeCell ref="X57:Y57"/>
    <mergeCell ref="Z57:AA57"/>
    <mergeCell ref="AB57:AC57"/>
    <mergeCell ref="B57:C57"/>
    <mergeCell ref="D57:E57"/>
    <mergeCell ref="F57:G57"/>
    <mergeCell ref="H57:I57"/>
    <mergeCell ref="J57:K57"/>
    <mergeCell ref="L57:M57"/>
    <mergeCell ref="N57:O57"/>
    <mergeCell ref="AD55:AE55"/>
    <mergeCell ref="AF55:AG55"/>
    <mergeCell ref="P55:Q55"/>
    <mergeCell ref="R55:S55"/>
    <mergeCell ref="T55:U55"/>
    <mergeCell ref="V55:W55"/>
    <mergeCell ref="X55:Y55"/>
    <mergeCell ref="Z55:AA55"/>
    <mergeCell ref="AB55:AC55"/>
    <mergeCell ref="AD56:AE56"/>
    <mergeCell ref="AF56:AG56"/>
    <mergeCell ref="AH56:AI56"/>
    <mergeCell ref="AJ56:AK56"/>
    <mergeCell ref="AL56:BB56"/>
    <mergeCell ref="P56:Q56"/>
    <mergeCell ref="R56:S56"/>
    <mergeCell ref="T56:U56"/>
    <mergeCell ref="V56:W56"/>
    <mergeCell ref="X56:Y56"/>
    <mergeCell ref="Z56:AA56"/>
    <mergeCell ref="AB56:AC56"/>
    <mergeCell ref="B56:C56"/>
    <mergeCell ref="D56:E56"/>
    <mergeCell ref="F56:G56"/>
    <mergeCell ref="H56:I56"/>
    <mergeCell ref="J56:K56"/>
    <mergeCell ref="L56:M56"/>
    <mergeCell ref="N56:O56"/>
    <mergeCell ref="AD57:AE57"/>
    <mergeCell ref="AF57:AG57"/>
    <mergeCell ref="AH57:AI57"/>
    <mergeCell ref="AJ57:AK57"/>
    <mergeCell ref="AL57:BB57"/>
    <mergeCell ref="AH55:AI55"/>
    <mergeCell ref="AJ55:AK55"/>
    <mergeCell ref="AH58:AI58"/>
    <mergeCell ref="AJ58:AK58"/>
    <mergeCell ref="AL58:BB58"/>
    <mergeCell ref="B58:C58"/>
    <mergeCell ref="D58:E58"/>
    <mergeCell ref="F58:G58"/>
    <mergeCell ref="H58:I58"/>
    <mergeCell ref="J58:K58"/>
    <mergeCell ref="L58:M58"/>
    <mergeCell ref="N58:O58"/>
    <mergeCell ref="P60:Q60"/>
    <mergeCell ref="R60:S60"/>
    <mergeCell ref="T60:U60"/>
    <mergeCell ref="V60:W60"/>
    <mergeCell ref="X60:Y60"/>
    <mergeCell ref="Z60:AA60"/>
    <mergeCell ref="AB60:AC60"/>
    <mergeCell ref="B60:C60"/>
    <mergeCell ref="D60:E60"/>
    <mergeCell ref="F60:G60"/>
    <mergeCell ref="H60:I60"/>
    <mergeCell ref="J60:K60"/>
    <mergeCell ref="L60:M60"/>
    <mergeCell ref="N60:O60"/>
    <mergeCell ref="AD58:AE58"/>
    <mergeCell ref="AF58:AG58"/>
    <mergeCell ref="P58:Q58"/>
    <mergeCell ref="R58:S58"/>
    <mergeCell ref="T58:U58"/>
    <mergeCell ref="V58:W58"/>
    <mergeCell ref="X58:Y58"/>
    <mergeCell ref="Z58:AA58"/>
    <mergeCell ref="AB58:AC58"/>
    <mergeCell ref="AD59:AE59"/>
    <mergeCell ref="AF59:AG59"/>
    <mergeCell ref="AH59:AI59"/>
    <mergeCell ref="AJ59:AK59"/>
    <mergeCell ref="AL59:BB59"/>
    <mergeCell ref="P59:Q59"/>
    <mergeCell ref="R59:S59"/>
    <mergeCell ref="T59:U59"/>
    <mergeCell ref="V59:W59"/>
    <mergeCell ref="X59:Y59"/>
    <mergeCell ref="Z59:AA59"/>
    <mergeCell ref="AB59:AC59"/>
    <mergeCell ref="B59:C59"/>
    <mergeCell ref="D59:E59"/>
    <mergeCell ref="F59:G59"/>
    <mergeCell ref="H59:I59"/>
    <mergeCell ref="J59:K59"/>
    <mergeCell ref="L59:M59"/>
    <mergeCell ref="N59:O59"/>
    <mergeCell ref="AD60:AE60"/>
    <mergeCell ref="AF60:AG60"/>
    <mergeCell ref="AH60:AI60"/>
    <mergeCell ref="AJ60:AK60"/>
    <mergeCell ref="AL60:BB60"/>
    <mergeCell ref="AH61:AI61"/>
    <mergeCell ref="AJ61:AK61"/>
    <mergeCell ref="AL61:BB61"/>
    <mergeCell ref="B61:C61"/>
    <mergeCell ref="D61:E61"/>
    <mergeCell ref="F61:G61"/>
    <mergeCell ref="H61:I61"/>
    <mergeCell ref="J61:K61"/>
    <mergeCell ref="L61:M61"/>
    <mergeCell ref="N61:O61"/>
    <mergeCell ref="P63:Q63"/>
    <mergeCell ref="R63:S63"/>
    <mergeCell ref="T63:U63"/>
    <mergeCell ref="V63:W63"/>
    <mergeCell ref="X63:Y63"/>
    <mergeCell ref="Z63:AA63"/>
    <mergeCell ref="AB63:AC63"/>
    <mergeCell ref="B63:C63"/>
    <mergeCell ref="D63:E63"/>
    <mergeCell ref="F63:G63"/>
    <mergeCell ref="H63:I63"/>
    <mergeCell ref="J63:K63"/>
    <mergeCell ref="L63:M63"/>
    <mergeCell ref="N63:O63"/>
    <mergeCell ref="AD61:AE61"/>
    <mergeCell ref="AF61:AG61"/>
    <mergeCell ref="P61:Q61"/>
    <mergeCell ref="R61:S61"/>
    <mergeCell ref="T61:U61"/>
    <mergeCell ref="V61:W61"/>
    <mergeCell ref="X61:Y61"/>
    <mergeCell ref="Z61:AA61"/>
    <mergeCell ref="AB61:AC61"/>
    <mergeCell ref="AD62:AE62"/>
    <mergeCell ref="AF62:AG62"/>
    <mergeCell ref="AH62:AI62"/>
    <mergeCell ref="AJ62:AK62"/>
    <mergeCell ref="AL62:BB62"/>
    <mergeCell ref="P62:Q62"/>
    <mergeCell ref="R62:S62"/>
    <mergeCell ref="T62:U62"/>
    <mergeCell ref="V62:W62"/>
    <mergeCell ref="X62:Y62"/>
    <mergeCell ref="Z62:AA62"/>
    <mergeCell ref="AB62:AC62"/>
    <mergeCell ref="B62:C62"/>
    <mergeCell ref="D62:E62"/>
    <mergeCell ref="F62:G62"/>
    <mergeCell ref="H62:I62"/>
    <mergeCell ref="J62:K62"/>
    <mergeCell ref="L62:M62"/>
    <mergeCell ref="N62:O62"/>
    <mergeCell ref="AD63:AE63"/>
    <mergeCell ref="AF63:AG63"/>
    <mergeCell ref="AH63:AI63"/>
    <mergeCell ref="AJ63:AK63"/>
    <mergeCell ref="AL63:BB63"/>
    <mergeCell ref="AH64:AI64"/>
    <mergeCell ref="AJ64:AK64"/>
    <mergeCell ref="AL64:BB64"/>
    <mergeCell ref="B64:C64"/>
    <mergeCell ref="D64:E64"/>
    <mergeCell ref="F64:G64"/>
    <mergeCell ref="H64:I64"/>
    <mergeCell ref="J64:K64"/>
    <mergeCell ref="L64:M64"/>
    <mergeCell ref="N64:O64"/>
    <mergeCell ref="P66:Q66"/>
    <mergeCell ref="R66:S66"/>
    <mergeCell ref="T66:U66"/>
    <mergeCell ref="V66:W66"/>
    <mergeCell ref="X66:Y66"/>
    <mergeCell ref="Z66:AA66"/>
    <mergeCell ref="AB66:AC66"/>
    <mergeCell ref="B66:C66"/>
    <mergeCell ref="D66:E66"/>
    <mergeCell ref="F66:G66"/>
    <mergeCell ref="H66:I66"/>
    <mergeCell ref="J66:K66"/>
    <mergeCell ref="L66:M66"/>
    <mergeCell ref="N66:O66"/>
    <mergeCell ref="AD64:AE64"/>
    <mergeCell ref="AF64:AG64"/>
    <mergeCell ref="P64:Q64"/>
    <mergeCell ref="R64:S64"/>
    <mergeCell ref="T64:U64"/>
    <mergeCell ref="V64:W64"/>
    <mergeCell ref="X64:Y64"/>
    <mergeCell ref="Z64:AA64"/>
    <mergeCell ref="AB64:AC64"/>
    <mergeCell ref="AD65:AE65"/>
    <mergeCell ref="AF65:AG65"/>
    <mergeCell ref="AH65:AI65"/>
    <mergeCell ref="AJ65:AK65"/>
    <mergeCell ref="AL65:BB65"/>
    <mergeCell ref="P65:Q65"/>
    <mergeCell ref="R65:S65"/>
    <mergeCell ref="T65:U65"/>
    <mergeCell ref="V65:W65"/>
    <mergeCell ref="X65:Y65"/>
    <mergeCell ref="Z65:AA65"/>
    <mergeCell ref="AB65:AC65"/>
    <mergeCell ref="B65:C65"/>
    <mergeCell ref="D65:E65"/>
    <mergeCell ref="F65:G65"/>
    <mergeCell ref="H65:I65"/>
    <mergeCell ref="J65:K65"/>
    <mergeCell ref="L65:M65"/>
    <mergeCell ref="N65:O65"/>
    <mergeCell ref="AD66:AE66"/>
    <mergeCell ref="AF66:AG66"/>
    <mergeCell ref="AH66:AI66"/>
    <mergeCell ref="AJ66:AK66"/>
    <mergeCell ref="AL66:BB66"/>
    <mergeCell ref="AH67:AI67"/>
    <mergeCell ref="AJ67:AK67"/>
    <mergeCell ref="AL67:BB67"/>
    <mergeCell ref="B67:C67"/>
    <mergeCell ref="D67:E67"/>
    <mergeCell ref="F67:G67"/>
    <mergeCell ref="H67:I67"/>
    <mergeCell ref="J67:K67"/>
    <mergeCell ref="L67:M67"/>
    <mergeCell ref="N67:O67"/>
    <mergeCell ref="P69:Q69"/>
    <mergeCell ref="R69:S69"/>
    <mergeCell ref="T69:U69"/>
    <mergeCell ref="V69:W69"/>
    <mergeCell ref="X69:Y69"/>
    <mergeCell ref="Z69:AA69"/>
    <mergeCell ref="AB69:AC69"/>
    <mergeCell ref="B69:C69"/>
    <mergeCell ref="D69:E69"/>
    <mergeCell ref="F69:G69"/>
    <mergeCell ref="H69:I69"/>
    <mergeCell ref="J69:K69"/>
    <mergeCell ref="L69:M69"/>
    <mergeCell ref="N69:O69"/>
    <mergeCell ref="AD67:AE67"/>
    <mergeCell ref="AF67:AG67"/>
    <mergeCell ref="P67:Q67"/>
    <mergeCell ref="R67:S67"/>
    <mergeCell ref="T67:U67"/>
    <mergeCell ref="V67:W67"/>
    <mergeCell ref="X67:Y67"/>
    <mergeCell ref="Z67:AA67"/>
    <mergeCell ref="AB67:AC67"/>
    <mergeCell ref="AD68:AE68"/>
    <mergeCell ref="AF68:AG68"/>
    <mergeCell ref="AH68:AI68"/>
    <mergeCell ref="AJ68:AK68"/>
    <mergeCell ref="AL68:BB68"/>
    <mergeCell ref="P68:Q68"/>
    <mergeCell ref="R68:S68"/>
    <mergeCell ref="T68:U68"/>
    <mergeCell ref="V68:W68"/>
    <mergeCell ref="X68:Y68"/>
    <mergeCell ref="Z68:AA68"/>
    <mergeCell ref="AB68:AC68"/>
    <mergeCell ref="B68:C68"/>
    <mergeCell ref="D68:E68"/>
    <mergeCell ref="F68:G68"/>
    <mergeCell ref="H68:I68"/>
    <mergeCell ref="J68:K68"/>
    <mergeCell ref="L68:M68"/>
    <mergeCell ref="N68:O68"/>
    <mergeCell ref="AD69:AE69"/>
    <mergeCell ref="AF69:AG69"/>
    <mergeCell ref="AH69:AI69"/>
    <mergeCell ref="AJ69:AK69"/>
    <mergeCell ref="AL69:BB69"/>
    <mergeCell ref="AH70:AI70"/>
    <mergeCell ref="AJ70:AK70"/>
    <mergeCell ref="AL70:BB70"/>
    <mergeCell ref="B70:C70"/>
    <mergeCell ref="D70:E70"/>
    <mergeCell ref="F70:G70"/>
    <mergeCell ref="H70:I70"/>
    <mergeCell ref="J70:K70"/>
    <mergeCell ref="L70:M70"/>
    <mergeCell ref="N70:O70"/>
    <mergeCell ref="P72:Q72"/>
    <mergeCell ref="R72:S72"/>
    <mergeCell ref="T72:U72"/>
    <mergeCell ref="V72:W72"/>
    <mergeCell ref="X72:Y72"/>
    <mergeCell ref="Z72:AA72"/>
    <mergeCell ref="AB72:AC72"/>
    <mergeCell ref="B72:C72"/>
    <mergeCell ref="D72:E72"/>
    <mergeCell ref="F72:G72"/>
    <mergeCell ref="H72:I72"/>
    <mergeCell ref="J72:K72"/>
    <mergeCell ref="L72:M72"/>
    <mergeCell ref="N72:O72"/>
    <mergeCell ref="AD70:AE70"/>
    <mergeCell ref="AF70:AG70"/>
    <mergeCell ref="P70:Q70"/>
    <mergeCell ref="R70:S70"/>
    <mergeCell ref="T70:U70"/>
    <mergeCell ref="V70:W70"/>
    <mergeCell ref="X70:Y70"/>
    <mergeCell ref="Z70:AA70"/>
    <mergeCell ref="AB70:AC70"/>
    <mergeCell ref="AD71:AE71"/>
    <mergeCell ref="AF71:AG71"/>
    <mergeCell ref="AH71:AI71"/>
    <mergeCell ref="AJ71:AK71"/>
    <mergeCell ref="AL71:BB71"/>
    <mergeCell ref="P71:Q71"/>
    <mergeCell ref="R71:S71"/>
    <mergeCell ref="T71:U71"/>
    <mergeCell ref="V71:W71"/>
    <mergeCell ref="X71:Y71"/>
    <mergeCell ref="Z71:AA71"/>
    <mergeCell ref="AB71:AC71"/>
    <mergeCell ref="B71:C71"/>
    <mergeCell ref="D71:E71"/>
    <mergeCell ref="F71:G71"/>
    <mergeCell ref="H71:I71"/>
    <mergeCell ref="J71:K71"/>
    <mergeCell ref="L71:M71"/>
    <mergeCell ref="N71:O71"/>
    <mergeCell ref="AD72:AE72"/>
    <mergeCell ref="AF72:AG72"/>
    <mergeCell ref="AH72:AI72"/>
    <mergeCell ref="AJ72:AK72"/>
    <mergeCell ref="AL72:BB72"/>
    <mergeCell ref="B73:C73"/>
    <mergeCell ref="D73:E73"/>
    <mergeCell ref="F73:G73"/>
    <mergeCell ref="H73:I73"/>
    <mergeCell ref="J73:K73"/>
    <mergeCell ref="L73:M73"/>
    <mergeCell ref="N73:O73"/>
    <mergeCell ref="AD74:AE74"/>
    <mergeCell ref="AF74:AG74"/>
    <mergeCell ref="AH74:AI74"/>
    <mergeCell ref="AJ74:AK74"/>
    <mergeCell ref="AL74:BB74"/>
    <mergeCell ref="P74:Q74"/>
    <mergeCell ref="R74:S74"/>
    <mergeCell ref="T74:U74"/>
    <mergeCell ref="V74:W74"/>
    <mergeCell ref="X74:Y74"/>
    <mergeCell ref="Z74:AA74"/>
    <mergeCell ref="AB74:AC74"/>
    <mergeCell ref="B74:C74"/>
    <mergeCell ref="D74:E74"/>
    <mergeCell ref="F74:G74"/>
    <mergeCell ref="H74:I74"/>
    <mergeCell ref="J74:K74"/>
    <mergeCell ref="L74:M74"/>
    <mergeCell ref="N74:O74"/>
    <mergeCell ref="AD75:AE75"/>
    <mergeCell ref="AF75:AG75"/>
    <mergeCell ref="AH75:AI75"/>
    <mergeCell ref="AJ75:AK75"/>
    <mergeCell ref="AL75:BB75"/>
    <mergeCell ref="P75:Q75"/>
    <mergeCell ref="R75:S75"/>
    <mergeCell ref="T75:U75"/>
    <mergeCell ref="V75:W75"/>
    <mergeCell ref="X75:Y75"/>
    <mergeCell ref="Z75:AA75"/>
    <mergeCell ref="AB75:AC75"/>
    <mergeCell ref="B75:C75"/>
    <mergeCell ref="D75:E75"/>
    <mergeCell ref="F75:G75"/>
    <mergeCell ref="H75:I75"/>
    <mergeCell ref="J75:K75"/>
    <mergeCell ref="L75:M75"/>
    <mergeCell ref="N75:O75"/>
    <mergeCell ref="AD73:AE73"/>
    <mergeCell ref="AF73:AG73"/>
    <mergeCell ref="AH73:AI73"/>
    <mergeCell ref="AJ73:AK73"/>
    <mergeCell ref="AL73:BB73"/>
    <mergeCell ref="P73:Q73"/>
    <mergeCell ref="R73:S73"/>
    <mergeCell ref="T73:U73"/>
    <mergeCell ref="V73:W73"/>
    <mergeCell ref="X73:Y73"/>
    <mergeCell ref="Z73:AA73"/>
    <mergeCell ref="AB73:AC73"/>
    <mergeCell ref="AH76:AI76"/>
    <mergeCell ref="AJ76:AK76"/>
    <mergeCell ref="AL76:BB76"/>
    <mergeCell ref="B76:C76"/>
    <mergeCell ref="D76:E76"/>
    <mergeCell ref="F76:G76"/>
    <mergeCell ref="H76:I76"/>
    <mergeCell ref="J76:K76"/>
    <mergeCell ref="L76:M76"/>
    <mergeCell ref="N76:O76"/>
    <mergeCell ref="P78:Q78"/>
    <mergeCell ref="R78:S78"/>
    <mergeCell ref="T78:U78"/>
    <mergeCell ref="V78:W78"/>
    <mergeCell ref="X78:Y78"/>
    <mergeCell ref="Z78:AA78"/>
    <mergeCell ref="AB78:AC78"/>
    <mergeCell ref="B78:C78"/>
    <mergeCell ref="D78:E78"/>
    <mergeCell ref="F78:G78"/>
    <mergeCell ref="H78:I78"/>
    <mergeCell ref="J78:K78"/>
    <mergeCell ref="L78:M78"/>
    <mergeCell ref="N78:O78"/>
    <mergeCell ref="AD76:AE76"/>
    <mergeCell ref="AF76:AG76"/>
    <mergeCell ref="P76:Q76"/>
    <mergeCell ref="R76:S76"/>
    <mergeCell ref="T76:U76"/>
    <mergeCell ref="V76:W76"/>
    <mergeCell ref="X76:Y76"/>
    <mergeCell ref="Z76:AA76"/>
    <mergeCell ref="AB76:AC76"/>
    <mergeCell ref="AD77:AE77"/>
    <mergeCell ref="AF77:AG77"/>
    <mergeCell ref="AH77:AI77"/>
    <mergeCell ref="AJ77:AK77"/>
    <mergeCell ref="AL77:BB77"/>
    <mergeCell ref="P77:Q77"/>
    <mergeCell ref="R77:S77"/>
    <mergeCell ref="T77:U77"/>
    <mergeCell ref="V77:W77"/>
    <mergeCell ref="X77:Y77"/>
    <mergeCell ref="Z77:AA77"/>
    <mergeCell ref="AB77:AC77"/>
    <mergeCell ref="B77:C77"/>
    <mergeCell ref="D77:E77"/>
    <mergeCell ref="F77:G77"/>
    <mergeCell ref="H77:I77"/>
    <mergeCell ref="J77:K77"/>
    <mergeCell ref="L77:M77"/>
    <mergeCell ref="N77:O77"/>
    <mergeCell ref="AD78:AE78"/>
    <mergeCell ref="AF78:AG78"/>
    <mergeCell ref="AH78:AI78"/>
    <mergeCell ref="AJ78:AK78"/>
    <mergeCell ref="AL78:BB78"/>
    <mergeCell ref="AH79:AI79"/>
    <mergeCell ref="AJ79:AK79"/>
    <mergeCell ref="AL79:BB79"/>
    <mergeCell ref="B79:C79"/>
    <mergeCell ref="D79:E79"/>
    <mergeCell ref="F79:G79"/>
    <mergeCell ref="H79:I79"/>
    <mergeCell ref="J79:K79"/>
    <mergeCell ref="L79:M79"/>
    <mergeCell ref="N79:O79"/>
    <mergeCell ref="P81:Q81"/>
    <mergeCell ref="R81:S81"/>
    <mergeCell ref="T81:U81"/>
    <mergeCell ref="V81:W81"/>
    <mergeCell ref="X81:Y81"/>
    <mergeCell ref="Z81:AA81"/>
    <mergeCell ref="AB81:AC81"/>
    <mergeCell ref="B81:C81"/>
    <mergeCell ref="D81:E81"/>
    <mergeCell ref="F81:G81"/>
    <mergeCell ref="H81:I81"/>
    <mergeCell ref="J81:K81"/>
    <mergeCell ref="L81:M81"/>
    <mergeCell ref="N81:O81"/>
    <mergeCell ref="P84:Q84"/>
    <mergeCell ref="R84:S84"/>
    <mergeCell ref="T84:U84"/>
    <mergeCell ref="V84:W84"/>
    <mergeCell ref="X84:Y84"/>
    <mergeCell ref="Z84:AA84"/>
    <mergeCell ref="AB84:AC84"/>
    <mergeCell ref="B84:C84"/>
    <mergeCell ref="D84:E84"/>
    <mergeCell ref="F84:G84"/>
    <mergeCell ref="H84:I84"/>
    <mergeCell ref="J84:K84"/>
    <mergeCell ref="L84:M84"/>
    <mergeCell ref="N84:O84"/>
    <mergeCell ref="X82:Y82"/>
    <mergeCell ref="Z82:AA82"/>
    <mergeCell ref="AB82:AC82"/>
    <mergeCell ref="AD83:AE83"/>
    <mergeCell ref="AF83:AG83"/>
    <mergeCell ref="AH83:AI83"/>
    <mergeCell ref="AJ83:AK83"/>
    <mergeCell ref="AL83:BB83"/>
    <mergeCell ref="P83:Q83"/>
    <mergeCell ref="R83:S83"/>
    <mergeCell ref="T83:U83"/>
    <mergeCell ref="V83:W83"/>
    <mergeCell ref="X83:Y83"/>
    <mergeCell ref="Z83:AA83"/>
    <mergeCell ref="AB83:AC83"/>
    <mergeCell ref="B83:C83"/>
    <mergeCell ref="D83:E83"/>
    <mergeCell ref="F83:G83"/>
    <mergeCell ref="H83:I83"/>
    <mergeCell ref="J83:K83"/>
    <mergeCell ref="L83:M83"/>
    <mergeCell ref="N83:O83"/>
    <mergeCell ref="AD84:AE84"/>
    <mergeCell ref="AF84:AG84"/>
    <mergeCell ref="AH84:AI84"/>
    <mergeCell ref="AJ84:AK84"/>
    <mergeCell ref="AD88:AE88"/>
    <mergeCell ref="AF88:AG88"/>
    <mergeCell ref="P88:Q88"/>
    <mergeCell ref="R88:S88"/>
    <mergeCell ref="T88:U88"/>
    <mergeCell ref="V88:W88"/>
    <mergeCell ref="X88:Y88"/>
    <mergeCell ref="Z88:AA88"/>
    <mergeCell ref="AB88:AC88"/>
    <mergeCell ref="AD89:AE89"/>
    <mergeCell ref="AF89:AG89"/>
    <mergeCell ref="AH89:AI89"/>
    <mergeCell ref="AJ89:AK89"/>
    <mergeCell ref="AL89:BB89"/>
    <mergeCell ref="P89:Q89"/>
    <mergeCell ref="R89:S89"/>
    <mergeCell ref="T89:U89"/>
    <mergeCell ref="V89:W89"/>
    <mergeCell ref="X89:Y89"/>
    <mergeCell ref="Z89:AA89"/>
    <mergeCell ref="AB89:AC89"/>
    <mergeCell ref="B89:C89"/>
    <mergeCell ref="D89:E89"/>
    <mergeCell ref="F89:G89"/>
    <mergeCell ref="H89:I89"/>
    <mergeCell ref="J89:K89"/>
    <mergeCell ref="L89:M89"/>
    <mergeCell ref="N89:O89"/>
    <mergeCell ref="AD90:AE90"/>
    <mergeCell ref="AF90:AG90"/>
    <mergeCell ref="AH90:AI90"/>
    <mergeCell ref="AJ90:AK90"/>
    <mergeCell ref="AL90:BB90"/>
    <mergeCell ref="AH88:AI88"/>
    <mergeCell ref="AJ88:AK88"/>
    <mergeCell ref="AL88:BB88"/>
    <mergeCell ref="B88:C88"/>
    <mergeCell ref="D88:E88"/>
    <mergeCell ref="F88:G88"/>
    <mergeCell ref="H88:I88"/>
    <mergeCell ref="J88:K88"/>
    <mergeCell ref="L88:M88"/>
    <mergeCell ref="N88:O88"/>
    <mergeCell ref="P90:Q90"/>
    <mergeCell ref="R90:S90"/>
    <mergeCell ref="T90:U90"/>
    <mergeCell ref="V90:W90"/>
    <mergeCell ref="X90:Y90"/>
    <mergeCell ref="Z90:AA90"/>
    <mergeCell ref="AB90:AC90"/>
    <mergeCell ref="B90:C90"/>
    <mergeCell ref="D90:E90"/>
    <mergeCell ref="F90:G90"/>
    <mergeCell ref="H90:I90"/>
    <mergeCell ref="J90:K90"/>
    <mergeCell ref="L90:M90"/>
    <mergeCell ref="N90:O90"/>
    <mergeCell ref="AH91:AI91"/>
    <mergeCell ref="AJ91:AK91"/>
    <mergeCell ref="AL91:BB91"/>
    <mergeCell ref="B91:C91"/>
    <mergeCell ref="D91:E91"/>
    <mergeCell ref="F91:G91"/>
    <mergeCell ref="H91:I91"/>
    <mergeCell ref="J91:K91"/>
    <mergeCell ref="L91:M91"/>
    <mergeCell ref="N91:O91"/>
    <mergeCell ref="AD91:AE91"/>
    <mergeCell ref="AF91:AG91"/>
    <mergeCell ref="P91:Q91"/>
    <mergeCell ref="R91:S91"/>
    <mergeCell ref="T91:U91"/>
    <mergeCell ref="V91:W91"/>
    <mergeCell ref="X91:Y91"/>
    <mergeCell ref="Z91:AA91"/>
    <mergeCell ref="AB91:AC91"/>
    <mergeCell ref="AD92:AE92"/>
    <mergeCell ref="AF92:AG92"/>
    <mergeCell ref="AH92:AI92"/>
    <mergeCell ref="AJ92:AK92"/>
    <mergeCell ref="AL92:BB92"/>
    <mergeCell ref="P92:Q92"/>
    <mergeCell ref="R92:S92"/>
    <mergeCell ref="T92:U92"/>
    <mergeCell ref="V92:W92"/>
    <mergeCell ref="X92:Y92"/>
    <mergeCell ref="Z92:AA92"/>
    <mergeCell ref="AB92:AC92"/>
    <mergeCell ref="B92:C92"/>
    <mergeCell ref="D92:E92"/>
    <mergeCell ref="F92:G92"/>
    <mergeCell ref="H92:I92"/>
    <mergeCell ref="J92:K92"/>
    <mergeCell ref="L92:M92"/>
    <mergeCell ref="N92:O92"/>
    <mergeCell ref="AD93:AE93"/>
    <mergeCell ref="AF93:AG93"/>
    <mergeCell ref="AH93:AI93"/>
    <mergeCell ref="AJ93:AK93"/>
    <mergeCell ref="AL93:BB93"/>
    <mergeCell ref="AH94:AI94"/>
    <mergeCell ref="AJ94:AK94"/>
    <mergeCell ref="AL94:BB94"/>
    <mergeCell ref="B94:C94"/>
    <mergeCell ref="D94:E94"/>
    <mergeCell ref="F94:G94"/>
    <mergeCell ref="H94:I94"/>
    <mergeCell ref="J94:K94"/>
    <mergeCell ref="L94:M94"/>
    <mergeCell ref="N94:O94"/>
    <mergeCell ref="AD79:AE79"/>
    <mergeCell ref="AF79:AG79"/>
    <mergeCell ref="P79:Q79"/>
    <mergeCell ref="R79:S79"/>
    <mergeCell ref="T79:U79"/>
    <mergeCell ref="V79:W79"/>
    <mergeCell ref="X79:Y79"/>
    <mergeCell ref="Z79:AA79"/>
    <mergeCell ref="AB79:AC79"/>
    <mergeCell ref="AD80:AE80"/>
    <mergeCell ref="AF80:AG80"/>
    <mergeCell ref="AH80:AI80"/>
    <mergeCell ref="AJ80:AK80"/>
    <mergeCell ref="AL80:BB80"/>
    <mergeCell ref="P80:Q80"/>
    <mergeCell ref="R80:S80"/>
    <mergeCell ref="T80:U80"/>
    <mergeCell ref="V80:W80"/>
    <mergeCell ref="X80:Y80"/>
    <mergeCell ref="Z80:AA80"/>
    <mergeCell ref="AB80:AC80"/>
    <mergeCell ref="B80:C80"/>
    <mergeCell ref="D80:E80"/>
    <mergeCell ref="F80:G80"/>
    <mergeCell ref="H80:I80"/>
    <mergeCell ref="J80:K80"/>
    <mergeCell ref="L80:M80"/>
    <mergeCell ref="N80:O80"/>
    <mergeCell ref="AD81:AE81"/>
    <mergeCell ref="AF81:AG81"/>
    <mergeCell ref="AH81:AI81"/>
    <mergeCell ref="AJ81:AK81"/>
    <mergeCell ref="AL81:BB81"/>
    <mergeCell ref="AH82:AI82"/>
    <mergeCell ref="AJ82:AK82"/>
    <mergeCell ref="AL82:BB82"/>
    <mergeCell ref="B82:C82"/>
    <mergeCell ref="D82:E82"/>
    <mergeCell ref="F82:G82"/>
    <mergeCell ref="H82:I82"/>
    <mergeCell ref="J82:K82"/>
    <mergeCell ref="L82:M82"/>
    <mergeCell ref="N82:O82"/>
    <mergeCell ref="AD82:AE82"/>
    <mergeCell ref="AF82:AG82"/>
    <mergeCell ref="P82:Q82"/>
    <mergeCell ref="R82:S82"/>
    <mergeCell ref="T82:U82"/>
    <mergeCell ref="V82:W82"/>
    <mergeCell ref="AL84:BB84"/>
    <mergeCell ref="AH85:AI85"/>
    <mergeCell ref="AJ85:AK85"/>
    <mergeCell ref="AL85:BB85"/>
    <mergeCell ref="B85:C85"/>
    <mergeCell ref="D85:E85"/>
    <mergeCell ref="F85:G85"/>
    <mergeCell ref="H85:I85"/>
    <mergeCell ref="J85:K85"/>
    <mergeCell ref="L85:M85"/>
    <mergeCell ref="N85:O85"/>
    <mergeCell ref="P87:Q87"/>
    <mergeCell ref="R87:S87"/>
    <mergeCell ref="T87:U87"/>
    <mergeCell ref="V87:W87"/>
    <mergeCell ref="X87:Y87"/>
    <mergeCell ref="Z87:AA87"/>
    <mergeCell ref="AB87:AC87"/>
    <mergeCell ref="B87:C87"/>
    <mergeCell ref="D87:E87"/>
    <mergeCell ref="F87:G87"/>
    <mergeCell ref="H87:I87"/>
    <mergeCell ref="J87:K87"/>
    <mergeCell ref="L87:M87"/>
    <mergeCell ref="N87:O87"/>
    <mergeCell ref="AD85:AE85"/>
    <mergeCell ref="AF85:AG85"/>
    <mergeCell ref="P85:Q85"/>
    <mergeCell ref="R85:S85"/>
    <mergeCell ref="T85:U85"/>
    <mergeCell ref="V85:W85"/>
    <mergeCell ref="X85:Y85"/>
    <mergeCell ref="Z85:AA85"/>
    <mergeCell ref="AB85:AC85"/>
    <mergeCell ref="AD86:AE86"/>
    <mergeCell ref="AF86:AG86"/>
    <mergeCell ref="AH86:AI86"/>
    <mergeCell ref="AJ86:AK86"/>
    <mergeCell ref="AL86:BB86"/>
    <mergeCell ref="P86:Q86"/>
    <mergeCell ref="R86:S86"/>
    <mergeCell ref="T86:U86"/>
    <mergeCell ref="V86:W86"/>
    <mergeCell ref="X86:Y86"/>
    <mergeCell ref="Z86:AA86"/>
    <mergeCell ref="AB86:AC86"/>
    <mergeCell ref="B86:C86"/>
    <mergeCell ref="D86:E86"/>
    <mergeCell ref="F86:G86"/>
    <mergeCell ref="H86:I86"/>
    <mergeCell ref="J86:K86"/>
    <mergeCell ref="L86:M86"/>
    <mergeCell ref="N86:O86"/>
    <mergeCell ref="AD87:AE87"/>
    <mergeCell ref="AF87:AG87"/>
    <mergeCell ref="AH87:AI87"/>
    <mergeCell ref="AJ87:AK87"/>
    <mergeCell ref="AL87:BB87"/>
    <mergeCell ref="P93:Q93"/>
    <mergeCell ref="R93:S93"/>
    <mergeCell ref="T93:U93"/>
    <mergeCell ref="V93:W93"/>
    <mergeCell ref="X93:Y93"/>
    <mergeCell ref="Z93:AA93"/>
    <mergeCell ref="AB93:AC93"/>
    <mergeCell ref="B93:C93"/>
    <mergeCell ref="D93:E93"/>
    <mergeCell ref="F93:G93"/>
    <mergeCell ref="H93:I93"/>
    <mergeCell ref="J93:K93"/>
    <mergeCell ref="L93:M93"/>
    <mergeCell ref="N93:O93"/>
    <mergeCell ref="AD115:AE115"/>
    <mergeCell ref="AF115:AG115"/>
    <mergeCell ref="AH115:AI115"/>
    <mergeCell ref="AJ115:AK115"/>
    <mergeCell ref="AL115:BB115"/>
    <mergeCell ref="P115:Q115"/>
    <mergeCell ref="R115:S115"/>
    <mergeCell ref="T115:U115"/>
    <mergeCell ref="V115:W115"/>
    <mergeCell ref="X115:Y115"/>
    <mergeCell ref="Z115:AA115"/>
    <mergeCell ref="AB115:AC115"/>
    <mergeCell ref="P96:Q96"/>
    <mergeCell ref="R96:S96"/>
    <mergeCell ref="T96:U96"/>
    <mergeCell ref="V96:W96"/>
    <mergeCell ref="X96:Y96"/>
    <mergeCell ref="Z96:AA96"/>
    <mergeCell ref="AB96:AC96"/>
    <mergeCell ref="B96:C96"/>
    <mergeCell ref="D96:E96"/>
    <mergeCell ref="F96:G96"/>
    <mergeCell ref="H96:I96"/>
    <mergeCell ref="J96:K96"/>
    <mergeCell ref="L96:M96"/>
    <mergeCell ref="N96:O96"/>
    <mergeCell ref="AD94:AE94"/>
    <mergeCell ref="AF94:AG94"/>
    <mergeCell ref="P94:Q94"/>
    <mergeCell ref="R94:S94"/>
    <mergeCell ref="T94:U94"/>
    <mergeCell ref="V94:W94"/>
    <mergeCell ref="X94:Y94"/>
    <mergeCell ref="Z94:AA94"/>
    <mergeCell ref="AB94:AC94"/>
    <mergeCell ref="AD95:AE95"/>
    <mergeCell ref="AF95:AG95"/>
    <mergeCell ref="AH95:AI95"/>
    <mergeCell ref="AJ95:AK95"/>
    <mergeCell ref="AL95:BB95"/>
    <mergeCell ref="P95:Q95"/>
    <mergeCell ref="R95:S95"/>
    <mergeCell ref="T95:U95"/>
    <mergeCell ref="V95:W95"/>
    <mergeCell ref="X95:Y95"/>
    <mergeCell ref="Z95:AA95"/>
    <mergeCell ref="AB95:AC95"/>
    <mergeCell ref="B95:C95"/>
    <mergeCell ref="D95:E95"/>
    <mergeCell ref="F95:G95"/>
    <mergeCell ref="H95:I95"/>
    <mergeCell ref="J95:K95"/>
    <mergeCell ref="L95:M95"/>
    <mergeCell ref="N95:O95"/>
    <mergeCell ref="AD96:AE96"/>
    <mergeCell ref="AF96:AG96"/>
    <mergeCell ref="AH96:AI96"/>
    <mergeCell ref="AJ96:AK96"/>
    <mergeCell ref="AL96:BB96"/>
    <mergeCell ref="AH97:AI97"/>
    <mergeCell ref="AJ97:AK97"/>
    <mergeCell ref="AL97:BB97"/>
    <mergeCell ref="B97:C97"/>
    <mergeCell ref="D97:E97"/>
    <mergeCell ref="F97:G97"/>
    <mergeCell ref="H97:I97"/>
    <mergeCell ref="J97:K97"/>
    <mergeCell ref="L97:M97"/>
    <mergeCell ref="N97:O97"/>
    <mergeCell ref="P99:Q99"/>
    <mergeCell ref="R99:S99"/>
    <mergeCell ref="T99:U99"/>
    <mergeCell ref="V99:W99"/>
    <mergeCell ref="X99:Y99"/>
    <mergeCell ref="Z99:AA99"/>
    <mergeCell ref="AB99:AC99"/>
    <mergeCell ref="B99:C99"/>
    <mergeCell ref="D99:E99"/>
    <mergeCell ref="F99:G99"/>
    <mergeCell ref="H99:I99"/>
    <mergeCell ref="J99:K99"/>
    <mergeCell ref="L99:M99"/>
    <mergeCell ref="N99:O99"/>
    <mergeCell ref="AD97:AE97"/>
    <mergeCell ref="AF97:AG97"/>
    <mergeCell ref="P97:Q97"/>
    <mergeCell ref="R97:S97"/>
    <mergeCell ref="T97:U97"/>
    <mergeCell ref="V97:W97"/>
    <mergeCell ref="X97:Y97"/>
    <mergeCell ref="Z97:AA97"/>
    <mergeCell ref="AB97:AC97"/>
    <mergeCell ref="AD98:AE98"/>
    <mergeCell ref="AF98:AG98"/>
    <mergeCell ref="AH98:AI98"/>
    <mergeCell ref="AJ98:AK98"/>
    <mergeCell ref="AL98:BB98"/>
    <mergeCell ref="P98:Q98"/>
    <mergeCell ref="R98:S98"/>
    <mergeCell ref="T98:U98"/>
    <mergeCell ref="V98:W98"/>
    <mergeCell ref="X98:Y98"/>
    <mergeCell ref="Z98:AA98"/>
    <mergeCell ref="AB98:AC98"/>
    <mergeCell ref="B98:C98"/>
    <mergeCell ref="D98:E98"/>
    <mergeCell ref="F98:G98"/>
    <mergeCell ref="H98:I98"/>
    <mergeCell ref="J98:K98"/>
    <mergeCell ref="L98:M98"/>
    <mergeCell ref="N98:O98"/>
    <mergeCell ref="AD99:AE99"/>
    <mergeCell ref="AF99:AG99"/>
    <mergeCell ref="AH99:AI99"/>
    <mergeCell ref="AJ99:AK99"/>
    <mergeCell ref="AL99:BB99"/>
    <mergeCell ref="AH100:AI100"/>
    <mergeCell ref="AJ100:AK100"/>
    <mergeCell ref="AL100:BB100"/>
    <mergeCell ref="B100:C100"/>
    <mergeCell ref="D100:E100"/>
    <mergeCell ref="F100:G100"/>
    <mergeCell ref="H100:I100"/>
    <mergeCell ref="J100:K100"/>
    <mergeCell ref="L100:M100"/>
    <mergeCell ref="N100:O100"/>
    <mergeCell ref="P102:Q102"/>
    <mergeCell ref="R102:S102"/>
    <mergeCell ref="T102:U102"/>
    <mergeCell ref="V102:W102"/>
    <mergeCell ref="X102:Y102"/>
    <mergeCell ref="Z102:AA102"/>
    <mergeCell ref="AB102:AC102"/>
    <mergeCell ref="B102:C102"/>
    <mergeCell ref="D102:E102"/>
    <mergeCell ref="F102:G102"/>
    <mergeCell ref="H102:I102"/>
    <mergeCell ref="J102:K102"/>
    <mergeCell ref="L102:M102"/>
    <mergeCell ref="N102:O102"/>
    <mergeCell ref="AD100:AE100"/>
    <mergeCell ref="AF100:AG100"/>
    <mergeCell ref="P100:Q100"/>
    <mergeCell ref="R100:S100"/>
    <mergeCell ref="T100:U100"/>
    <mergeCell ref="V100:W100"/>
    <mergeCell ref="X100:Y100"/>
    <mergeCell ref="Z100:AA100"/>
    <mergeCell ref="AB100:AC100"/>
    <mergeCell ref="AD101:AE101"/>
    <mergeCell ref="AF101:AG101"/>
    <mergeCell ref="AH101:AI101"/>
    <mergeCell ref="AJ101:AK101"/>
    <mergeCell ref="AL101:BB101"/>
    <mergeCell ref="P101:Q101"/>
    <mergeCell ref="R101:S101"/>
    <mergeCell ref="T101:U101"/>
    <mergeCell ref="V101:W101"/>
    <mergeCell ref="X101:Y101"/>
    <mergeCell ref="Z101:AA101"/>
    <mergeCell ref="AB101:AC101"/>
    <mergeCell ref="B101:C101"/>
    <mergeCell ref="D101:E101"/>
    <mergeCell ref="F101:G101"/>
    <mergeCell ref="H101:I101"/>
    <mergeCell ref="J101:K101"/>
    <mergeCell ref="L101:M101"/>
    <mergeCell ref="N101:O101"/>
    <mergeCell ref="AD102:AE102"/>
    <mergeCell ref="AF102:AG102"/>
    <mergeCell ref="AH102:AI102"/>
    <mergeCell ref="AJ102:AK102"/>
    <mergeCell ref="AL102:BB102"/>
    <mergeCell ref="AH103:AI103"/>
    <mergeCell ref="AJ103:AK103"/>
    <mergeCell ref="AL103:BB103"/>
    <mergeCell ref="B103:C103"/>
    <mergeCell ref="D103:E103"/>
    <mergeCell ref="F103:G103"/>
    <mergeCell ref="H103:I103"/>
    <mergeCell ref="J103:K103"/>
    <mergeCell ref="L103:M103"/>
    <mergeCell ref="N103:O103"/>
    <mergeCell ref="P105:Q105"/>
    <mergeCell ref="R105:S105"/>
    <mergeCell ref="T105:U105"/>
    <mergeCell ref="V105:W105"/>
    <mergeCell ref="X105:Y105"/>
    <mergeCell ref="Z105:AA105"/>
    <mergeCell ref="AB105:AC105"/>
    <mergeCell ref="B105:C105"/>
    <mergeCell ref="D105:E105"/>
    <mergeCell ref="F105:G105"/>
    <mergeCell ref="H105:I105"/>
    <mergeCell ref="J105:K105"/>
    <mergeCell ref="L105:M105"/>
    <mergeCell ref="N105:O105"/>
    <mergeCell ref="AD103:AE103"/>
    <mergeCell ref="AF103:AG103"/>
    <mergeCell ref="P103:Q103"/>
    <mergeCell ref="R103:S103"/>
    <mergeCell ref="T103:U103"/>
    <mergeCell ref="V103:W103"/>
    <mergeCell ref="X103:Y103"/>
    <mergeCell ref="Z103:AA103"/>
    <mergeCell ref="AB103:AC103"/>
    <mergeCell ref="AD104:AE104"/>
    <mergeCell ref="AF104:AG104"/>
    <mergeCell ref="AH104:AI104"/>
    <mergeCell ref="AJ104:AK104"/>
    <mergeCell ref="AL104:BB104"/>
    <mergeCell ref="P104:Q104"/>
    <mergeCell ref="R104:S104"/>
    <mergeCell ref="T104:U104"/>
    <mergeCell ref="V104:W104"/>
    <mergeCell ref="X104:Y104"/>
    <mergeCell ref="Z104:AA104"/>
    <mergeCell ref="AB104:AC104"/>
    <mergeCell ref="B104:C104"/>
    <mergeCell ref="D104:E104"/>
    <mergeCell ref="F104:G104"/>
    <mergeCell ref="H104:I104"/>
    <mergeCell ref="J104:K104"/>
    <mergeCell ref="L104:M104"/>
    <mergeCell ref="N104:O104"/>
    <mergeCell ref="AD105:AE105"/>
    <mergeCell ref="AF105:AG105"/>
    <mergeCell ref="AH105:AI105"/>
    <mergeCell ref="AJ105:AK105"/>
    <mergeCell ref="AL105:BB105"/>
    <mergeCell ref="AH106:AI106"/>
    <mergeCell ref="AJ106:AK106"/>
    <mergeCell ref="AL106:BB106"/>
    <mergeCell ref="B106:C106"/>
    <mergeCell ref="D106:E106"/>
    <mergeCell ref="F106:G106"/>
    <mergeCell ref="H106:I106"/>
    <mergeCell ref="J106:K106"/>
    <mergeCell ref="L106:M106"/>
    <mergeCell ref="N106:O106"/>
    <mergeCell ref="P108:Q108"/>
    <mergeCell ref="R108:S108"/>
    <mergeCell ref="T108:U108"/>
    <mergeCell ref="V108:W108"/>
    <mergeCell ref="X108:Y108"/>
    <mergeCell ref="Z108:AA108"/>
    <mergeCell ref="AB108:AC108"/>
    <mergeCell ref="B108:C108"/>
    <mergeCell ref="D108:E108"/>
    <mergeCell ref="F108:G108"/>
    <mergeCell ref="H108:I108"/>
    <mergeCell ref="J108:K108"/>
    <mergeCell ref="L108:M108"/>
    <mergeCell ref="N108:O108"/>
    <mergeCell ref="AD106:AE106"/>
    <mergeCell ref="AF106:AG106"/>
    <mergeCell ref="P106:Q106"/>
    <mergeCell ref="R106:S106"/>
    <mergeCell ref="T106:U106"/>
    <mergeCell ref="V106:W106"/>
    <mergeCell ref="X106:Y106"/>
    <mergeCell ref="Z106:AA106"/>
    <mergeCell ref="AB106:AC106"/>
    <mergeCell ref="AD107:AE107"/>
    <mergeCell ref="AF107:AG107"/>
    <mergeCell ref="AH107:AI107"/>
    <mergeCell ref="AJ107:AK107"/>
    <mergeCell ref="AL107:BB107"/>
    <mergeCell ref="P107:Q107"/>
    <mergeCell ref="R107:S107"/>
    <mergeCell ref="T107:U107"/>
    <mergeCell ref="V107:W107"/>
    <mergeCell ref="X107:Y107"/>
    <mergeCell ref="Z107:AA107"/>
    <mergeCell ref="AB107:AC107"/>
    <mergeCell ref="B107:C107"/>
    <mergeCell ref="D107:E107"/>
    <mergeCell ref="F107:G107"/>
    <mergeCell ref="H107:I107"/>
    <mergeCell ref="J107:K107"/>
    <mergeCell ref="L107:M107"/>
    <mergeCell ref="N107:O107"/>
    <mergeCell ref="AD108:AE108"/>
    <mergeCell ref="AF108:AG108"/>
    <mergeCell ref="AH108:AI108"/>
    <mergeCell ref="AJ108:AK108"/>
    <mergeCell ref="AL108:BB108"/>
    <mergeCell ref="AH109:AI109"/>
    <mergeCell ref="AJ109:AK109"/>
    <mergeCell ref="AL109:BB109"/>
    <mergeCell ref="B109:C109"/>
    <mergeCell ref="D109:E109"/>
    <mergeCell ref="F109:G109"/>
    <mergeCell ref="H109:I109"/>
    <mergeCell ref="J109:K109"/>
    <mergeCell ref="L109:M109"/>
    <mergeCell ref="N109:O109"/>
    <mergeCell ref="P111:Q111"/>
    <mergeCell ref="R111:S111"/>
    <mergeCell ref="T111:U111"/>
    <mergeCell ref="V111:W111"/>
    <mergeCell ref="X111:Y111"/>
    <mergeCell ref="Z111:AA111"/>
    <mergeCell ref="AB111:AC111"/>
    <mergeCell ref="B111:C111"/>
    <mergeCell ref="D111:E111"/>
    <mergeCell ref="F111:G111"/>
    <mergeCell ref="H111:I111"/>
    <mergeCell ref="J111:K111"/>
    <mergeCell ref="L111:M111"/>
    <mergeCell ref="N111:O111"/>
    <mergeCell ref="AD109:AE109"/>
    <mergeCell ref="AF109:AG109"/>
    <mergeCell ref="P109:Q109"/>
    <mergeCell ref="R109:S109"/>
    <mergeCell ref="T109:U109"/>
    <mergeCell ref="V109:W109"/>
    <mergeCell ref="X109:Y109"/>
    <mergeCell ref="Z109:AA109"/>
    <mergeCell ref="AB109:AC109"/>
    <mergeCell ref="AD110:AE110"/>
    <mergeCell ref="AF110:AG110"/>
    <mergeCell ref="AH110:AI110"/>
    <mergeCell ref="AJ110:AK110"/>
    <mergeCell ref="AL110:BB110"/>
    <mergeCell ref="P110:Q110"/>
    <mergeCell ref="R110:S110"/>
    <mergeCell ref="T110:U110"/>
    <mergeCell ref="V110:W110"/>
    <mergeCell ref="X110:Y110"/>
    <mergeCell ref="Z110:AA110"/>
    <mergeCell ref="AB110:AC110"/>
    <mergeCell ref="B110:C110"/>
    <mergeCell ref="D110:E110"/>
    <mergeCell ref="F110:G110"/>
    <mergeCell ref="H110:I110"/>
    <mergeCell ref="J110:K110"/>
    <mergeCell ref="L110:M110"/>
    <mergeCell ref="N110:O110"/>
    <mergeCell ref="AD111:AE111"/>
    <mergeCell ref="AF111:AG111"/>
    <mergeCell ref="AH111:AI111"/>
    <mergeCell ref="AJ111:AK111"/>
    <mergeCell ref="AL111:BB111"/>
    <mergeCell ref="AH112:AI112"/>
    <mergeCell ref="AJ112:AK112"/>
    <mergeCell ref="AL112:BB112"/>
    <mergeCell ref="B112:C112"/>
    <mergeCell ref="D112:E112"/>
    <mergeCell ref="F112:G112"/>
    <mergeCell ref="H112:I112"/>
    <mergeCell ref="J112:K112"/>
    <mergeCell ref="L112:M112"/>
    <mergeCell ref="N112:O112"/>
    <mergeCell ref="P114:Q114"/>
    <mergeCell ref="R114:S114"/>
    <mergeCell ref="T114:U114"/>
    <mergeCell ref="V114:W114"/>
    <mergeCell ref="X114:Y114"/>
    <mergeCell ref="Z114:AA114"/>
    <mergeCell ref="AB114:AC114"/>
    <mergeCell ref="B114:C114"/>
    <mergeCell ref="D114:E114"/>
    <mergeCell ref="F114:G114"/>
    <mergeCell ref="H114:I114"/>
    <mergeCell ref="J114:K114"/>
    <mergeCell ref="L114:M114"/>
    <mergeCell ref="N114:O114"/>
    <mergeCell ref="AD112:AE112"/>
    <mergeCell ref="AF112:AG112"/>
    <mergeCell ref="P112:Q112"/>
    <mergeCell ref="R112:S112"/>
    <mergeCell ref="T112:U112"/>
    <mergeCell ref="V112:W112"/>
    <mergeCell ref="X112:Y112"/>
    <mergeCell ref="Z112:AA112"/>
    <mergeCell ref="AB112:AC112"/>
    <mergeCell ref="AD113:AE113"/>
    <mergeCell ref="AF113:AG113"/>
    <mergeCell ref="AH113:AI113"/>
    <mergeCell ref="AJ113:AK113"/>
    <mergeCell ref="AL113:BB113"/>
    <mergeCell ref="P113:Q113"/>
    <mergeCell ref="R113:S113"/>
    <mergeCell ref="T113:U113"/>
    <mergeCell ref="V113:W113"/>
    <mergeCell ref="X113:Y113"/>
    <mergeCell ref="Z113:AA113"/>
    <mergeCell ref="AB113:AC113"/>
    <mergeCell ref="B113:C113"/>
    <mergeCell ref="D113:E113"/>
    <mergeCell ref="F113:G113"/>
    <mergeCell ref="H113:I113"/>
    <mergeCell ref="J113:K113"/>
    <mergeCell ref="L113:M113"/>
    <mergeCell ref="N113:O113"/>
    <mergeCell ref="AD114:AE114"/>
    <mergeCell ref="AF114:AG114"/>
    <mergeCell ref="AH114:AI114"/>
    <mergeCell ref="AJ114:AK114"/>
    <mergeCell ref="AL114:BB114"/>
    <mergeCell ref="B115:C115"/>
    <mergeCell ref="D115:E115"/>
    <mergeCell ref="F115:G115"/>
    <mergeCell ref="H115:I115"/>
    <mergeCell ref="J115:K115"/>
    <mergeCell ref="L115:M115"/>
    <mergeCell ref="N115:O115"/>
    <mergeCell ref="AD116:AE116"/>
    <mergeCell ref="AF116:AG116"/>
    <mergeCell ref="AH116:AI116"/>
    <mergeCell ref="AJ116:AK116"/>
    <mergeCell ref="AL116:BB116"/>
    <mergeCell ref="P116:Q116"/>
    <mergeCell ref="R116:S116"/>
    <mergeCell ref="T116:U116"/>
    <mergeCell ref="V116:W116"/>
    <mergeCell ref="X116:Y116"/>
    <mergeCell ref="Z116:AA116"/>
    <mergeCell ref="AB116:AC116"/>
    <mergeCell ref="B116:C116"/>
    <mergeCell ref="D116:E116"/>
    <mergeCell ref="F116:G116"/>
    <mergeCell ref="H116:I116"/>
    <mergeCell ref="J116:K116"/>
    <mergeCell ref="L116:M116"/>
    <mergeCell ref="N116:O116"/>
    <mergeCell ref="AD117:AE117"/>
    <mergeCell ref="AF117:AG117"/>
    <mergeCell ref="AH117:AI117"/>
    <mergeCell ref="AJ117:AK117"/>
    <mergeCell ref="AL117:BB117"/>
    <mergeCell ref="P117:Q117"/>
    <mergeCell ref="R117:S117"/>
    <mergeCell ref="T117:U117"/>
    <mergeCell ref="V117:W117"/>
    <mergeCell ref="X117:Y117"/>
    <mergeCell ref="Z117:AA117"/>
    <mergeCell ref="AB117:AC117"/>
    <mergeCell ref="B117:C117"/>
    <mergeCell ref="D117:E117"/>
    <mergeCell ref="F117:G117"/>
    <mergeCell ref="H117:I117"/>
    <mergeCell ref="J117:K117"/>
    <mergeCell ref="L117:M117"/>
    <mergeCell ref="N117:O117"/>
    <mergeCell ref="AH118:AI118"/>
    <mergeCell ref="AJ118:AK118"/>
    <mergeCell ref="AL118:BB118"/>
    <mergeCell ref="B118:C118"/>
    <mergeCell ref="D118:E118"/>
    <mergeCell ref="F118:G118"/>
    <mergeCell ref="H118:I118"/>
    <mergeCell ref="J118:K118"/>
    <mergeCell ref="L118:M118"/>
    <mergeCell ref="N118:O118"/>
    <mergeCell ref="P120:Q120"/>
    <mergeCell ref="R120:S120"/>
    <mergeCell ref="T120:U120"/>
    <mergeCell ref="V120:W120"/>
    <mergeCell ref="X120:Y120"/>
    <mergeCell ref="Z120:AA120"/>
    <mergeCell ref="AB120:AC120"/>
    <mergeCell ref="B120:C120"/>
    <mergeCell ref="D120:E120"/>
    <mergeCell ref="F120:G120"/>
    <mergeCell ref="H120:I120"/>
    <mergeCell ref="J120:K120"/>
    <mergeCell ref="L120:M120"/>
    <mergeCell ref="N120:O120"/>
    <mergeCell ref="AD118:AE118"/>
    <mergeCell ref="AF118:AG118"/>
    <mergeCell ref="P118:Q118"/>
    <mergeCell ref="R118:S118"/>
    <mergeCell ref="T118:U118"/>
    <mergeCell ref="V118:W118"/>
    <mergeCell ref="X118:Y118"/>
    <mergeCell ref="Z118:AA118"/>
    <mergeCell ref="AB118:AC118"/>
    <mergeCell ref="AD119:AE119"/>
    <mergeCell ref="AF119:AG119"/>
    <mergeCell ref="AH119:AI119"/>
    <mergeCell ref="AJ119:AK119"/>
    <mergeCell ref="AL119:BB119"/>
    <mergeCell ref="P119:Q119"/>
    <mergeCell ref="R119:S119"/>
    <mergeCell ref="T119:U119"/>
    <mergeCell ref="V119:W119"/>
    <mergeCell ref="X119:Y119"/>
    <mergeCell ref="Z119:AA119"/>
    <mergeCell ref="AB119:AC119"/>
    <mergeCell ref="B119:C119"/>
    <mergeCell ref="D119:E119"/>
    <mergeCell ref="F119:G119"/>
    <mergeCell ref="H119:I119"/>
    <mergeCell ref="J119:K119"/>
    <mergeCell ref="L119:M119"/>
    <mergeCell ref="N119:O119"/>
    <mergeCell ref="AD120:AE120"/>
    <mergeCell ref="AF120:AG120"/>
    <mergeCell ref="AH120:AI120"/>
    <mergeCell ref="AJ120:AK120"/>
    <mergeCell ref="AL120:BB120"/>
    <mergeCell ref="AH121:AI121"/>
    <mergeCell ref="AJ121:AK121"/>
    <mergeCell ref="AL121:BB121"/>
    <mergeCell ref="B121:C121"/>
    <mergeCell ref="D121:E121"/>
    <mergeCell ref="F121:G121"/>
    <mergeCell ref="H121:I121"/>
    <mergeCell ref="J121:K121"/>
    <mergeCell ref="L121:M121"/>
    <mergeCell ref="N121:O121"/>
    <mergeCell ref="P123:Q123"/>
    <mergeCell ref="R123:S123"/>
    <mergeCell ref="T123:U123"/>
    <mergeCell ref="V123:W123"/>
    <mergeCell ref="X123:Y123"/>
    <mergeCell ref="Z123:AA123"/>
    <mergeCell ref="AB123:AC123"/>
    <mergeCell ref="B123:C123"/>
    <mergeCell ref="D123:E123"/>
    <mergeCell ref="F123:G123"/>
    <mergeCell ref="H123:I123"/>
    <mergeCell ref="J123:K123"/>
    <mergeCell ref="L123:M123"/>
    <mergeCell ref="N123:O123"/>
    <mergeCell ref="P126:Q126"/>
    <mergeCell ref="R126:S126"/>
    <mergeCell ref="T126:U126"/>
    <mergeCell ref="V126:W126"/>
    <mergeCell ref="X126:Y126"/>
    <mergeCell ref="Z126:AA126"/>
    <mergeCell ref="AB126:AC126"/>
    <mergeCell ref="B126:C126"/>
    <mergeCell ref="D126:E126"/>
    <mergeCell ref="F126:G126"/>
    <mergeCell ref="H126:I126"/>
    <mergeCell ref="J126:K126"/>
    <mergeCell ref="L126:M126"/>
    <mergeCell ref="N126:O126"/>
    <mergeCell ref="X124:Y124"/>
    <mergeCell ref="Z124:AA124"/>
    <mergeCell ref="AB124:AC124"/>
    <mergeCell ref="AD125:AE125"/>
    <mergeCell ref="AF125:AG125"/>
    <mergeCell ref="AH125:AI125"/>
    <mergeCell ref="AJ125:AK125"/>
    <mergeCell ref="AL125:BB125"/>
    <mergeCell ref="P125:Q125"/>
    <mergeCell ref="R125:S125"/>
    <mergeCell ref="T125:U125"/>
    <mergeCell ref="V125:W125"/>
    <mergeCell ref="X125:Y125"/>
    <mergeCell ref="Z125:AA125"/>
    <mergeCell ref="AB125:AC125"/>
    <mergeCell ref="B125:C125"/>
    <mergeCell ref="D125:E125"/>
    <mergeCell ref="F125:G125"/>
    <mergeCell ref="H125:I125"/>
    <mergeCell ref="J125:K125"/>
    <mergeCell ref="L125:M125"/>
    <mergeCell ref="N125:O125"/>
    <mergeCell ref="AD126:AE126"/>
    <mergeCell ref="AF126:AG126"/>
    <mergeCell ref="AH126:AI126"/>
    <mergeCell ref="AJ126:AK126"/>
    <mergeCell ref="AD130:AE130"/>
    <mergeCell ref="AF130:AG130"/>
    <mergeCell ref="P130:Q130"/>
    <mergeCell ref="R130:S130"/>
    <mergeCell ref="T130:U130"/>
    <mergeCell ref="V130:W130"/>
    <mergeCell ref="X130:Y130"/>
    <mergeCell ref="Z130:AA130"/>
    <mergeCell ref="AB130:AC130"/>
    <mergeCell ref="AD131:AE131"/>
    <mergeCell ref="AF131:AG131"/>
    <mergeCell ref="AH131:AI131"/>
    <mergeCell ref="AJ131:AK131"/>
    <mergeCell ref="AL131:BB131"/>
    <mergeCell ref="P131:Q131"/>
    <mergeCell ref="R131:S131"/>
    <mergeCell ref="T131:U131"/>
    <mergeCell ref="V131:W131"/>
    <mergeCell ref="X131:Y131"/>
    <mergeCell ref="Z131:AA131"/>
    <mergeCell ref="AB131:AC131"/>
    <mergeCell ref="B131:C131"/>
    <mergeCell ref="D131:E131"/>
    <mergeCell ref="F131:G131"/>
    <mergeCell ref="H131:I131"/>
    <mergeCell ref="J131:K131"/>
    <mergeCell ref="L131:M131"/>
    <mergeCell ref="N131:O131"/>
    <mergeCell ref="AD132:AE132"/>
    <mergeCell ref="AF132:AG132"/>
    <mergeCell ref="AH132:AI132"/>
    <mergeCell ref="AJ132:AK132"/>
    <mergeCell ref="AL132:BB132"/>
    <mergeCell ref="AH130:AI130"/>
    <mergeCell ref="AJ130:AK130"/>
    <mergeCell ref="AL130:BB130"/>
    <mergeCell ref="B130:C130"/>
    <mergeCell ref="D130:E130"/>
    <mergeCell ref="F130:G130"/>
    <mergeCell ref="H130:I130"/>
    <mergeCell ref="J130:K130"/>
    <mergeCell ref="L130:M130"/>
    <mergeCell ref="N130:O130"/>
    <mergeCell ref="P132:Q132"/>
    <mergeCell ref="R132:S132"/>
    <mergeCell ref="T132:U132"/>
    <mergeCell ref="V132:W132"/>
    <mergeCell ref="X132:Y132"/>
    <mergeCell ref="Z132:AA132"/>
    <mergeCell ref="AB132:AC132"/>
    <mergeCell ref="B132:C132"/>
    <mergeCell ref="D132:E132"/>
    <mergeCell ref="F132:G132"/>
    <mergeCell ref="H132:I132"/>
    <mergeCell ref="J132:K132"/>
    <mergeCell ref="L132:M132"/>
    <mergeCell ref="N132:O132"/>
    <mergeCell ref="AH133:AI133"/>
    <mergeCell ref="AJ133:AK133"/>
    <mergeCell ref="AL133:BB133"/>
    <mergeCell ref="B133:C133"/>
    <mergeCell ref="D133:E133"/>
    <mergeCell ref="F133:G133"/>
    <mergeCell ref="H133:I133"/>
    <mergeCell ref="J133:K133"/>
    <mergeCell ref="L133:M133"/>
    <mergeCell ref="N133:O133"/>
    <mergeCell ref="AD133:AE133"/>
    <mergeCell ref="AF133:AG133"/>
    <mergeCell ref="P133:Q133"/>
    <mergeCell ref="R133:S133"/>
    <mergeCell ref="T133:U133"/>
    <mergeCell ref="V133:W133"/>
    <mergeCell ref="X133:Y133"/>
    <mergeCell ref="Z133:AA133"/>
    <mergeCell ref="AB133:AC133"/>
    <mergeCell ref="AD134:AE134"/>
    <mergeCell ref="AF134:AG134"/>
    <mergeCell ref="AH134:AI134"/>
    <mergeCell ref="AJ134:AK134"/>
    <mergeCell ref="AL134:BB134"/>
    <mergeCell ref="P134:Q134"/>
    <mergeCell ref="R134:S134"/>
    <mergeCell ref="T134:U134"/>
    <mergeCell ref="V134:W134"/>
    <mergeCell ref="X134:Y134"/>
    <mergeCell ref="Z134:AA134"/>
    <mergeCell ref="AB134:AC134"/>
    <mergeCell ref="B134:C134"/>
    <mergeCell ref="D134:E134"/>
    <mergeCell ref="F134:G134"/>
    <mergeCell ref="H134:I134"/>
    <mergeCell ref="J134:K134"/>
    <mergeCell ref="L134:M134"/>
    <mergeCell ref="N134:O134"/>
    <mergeCell ref="AD135:AE135"/>
    <mergeCell ref="AF135:AG135"/>
    <mergeCell ref="AH135:AI135"/>
    <mergeCell ref="AJ135:AK135"/>
    <mergeCell ref="AL135:BB135"/>
    <mergeCell ref="AH136:AI136"/>
    <mergeCell ref="AJ136:AK136"/>
    <mergeCell ref="AL136:BB136"/>
    <mergeCell ref="B136:C136"/>
    <mergeCell ref="D136:E136"/>
    <mergeCell ref="F136:G136"/>
    <mergeCell ref="H136:I136"/>
    <mergeCell ref="J136:K136"/>
    <mergeCell ref="L136:M136"/>
    <mergeCell ref="N136:O136"/>
    <mergeCell ref="AD121:AE121"/>
    <mergeCell ref="AF121:AG121"/>
    <mergeCell ref="P121:Q121"/>
    <mergeCell ref="R121:S121"/>
    <mergeCell ref="T121:U121"/>
    <mergeCell ref="V121:W121"/>
    <mergeCell ref="X121:Y121"/>
    <mergeCell ref="Z121:AA121"/>
    <mergeCell ref="AB121:AC121"/>
    <mergeCell ref="AD122:AE122"/>
    <mergeCell ref="AF122:AG122"/>
    <mergeCell ref="AH122:AI122"/>
    <mergeCell ref="AJ122:AK122"/>
    <mergeCell ref="AL122:BB122"/>
    <mergeCell ref="P122:Q122"/>
    <mergeCell ref="R122:S122"/>
    <mergeCell ref="T122:U122"/>
    <mergeCell ref="V122:W122"/>
    <mergeCell ref="X122:Y122"/>
    <mergeCell ref="Z122:AA122"/>
    <mergeCell ref="AB122:AC122"/>
    <mergeCell ref="B122:C122"/>
    <mergeCell ref="D122:E122"/>
    <mergeCell ref="F122:G122"/>
    <mergeCell ref="H122:I122"/>
    <mergeCell ref="J122:K122"/>
    <mergeCell ref="L122:M122"/>
    <mergeCell ref="N122:O122"/>
    <mergeCell ref="AD123:AE123"/>
    <mergeCell ref="AF123:AG123"/>
    <mergeCell ref="AH123:AI123"/>
    <mergeCell ref="AJ123:AK123"/>
    <mergeCell ref="AL123:BB123"/>
    <mergeCell ref="AH124:AI124"/>
    <mergeCell ref="AJ124:AK124"/>
    <mergeCell ref="AL124:BB124"/>
    <mergeCell ref="B124:C124"/>
    <mergeCell ref="D124:E124"/>
    <mergeCell ref="F124:G124"/>
    <mergeCell ref="H124:I124"/>
    <mergeCell ref="J124:K124"/>
    <mergeCell ref="L124:M124"/>
    <mergeCell ref="N124:O124"/>
    <mergeCell ref="AD124:AE124"/>
    <mergeCell ref="AF124:AG124"/>
    <mergeCell ref="P124:Q124"/>
    <mergeCell ref="R124:S124"/>
    <mergeCell ref="T124:U124"/>
    <mergeCell ref="V124:W124"/>
    <mergeCell ref="AL126:BB126"/>
    <mergeCell ref="AH127:AI127"/>
    <mergeCell ref="AJ127:AK127"/>
    <mergeCell ref="AL127:BB127"/>
    <mergeCell ref="B127:C127"/>
    <mergeCell ref="D127:E127"/>
    <mergeCell ref="F127:G127"/>
    <mergeCell ref="H127:I127"/>
    <mergeCell ref="J127:K127"/>
    <mergeCell ref="L127:M127"/>
    <mergeCell ref="N127:O127"/>
    <mergeCell ref="P129:Q129"/>
    <mergeCell ref="R129:S129"/>
    <mergeCell ref="T129:U129"/>
    <mergeCell ref="V129:W129"/>
    <mergeCell ref="X129:Y129"/>
    <mergeCell ref="Z129:AA129"/>
    <mergeCell ref="AB129:AC129"/>
    <mergeCell ref="B129:C129"/>
    <mergeCell ref="D129:E129"/>
    <mergeCell ref="F129:G129"/>
    <mergeCell ref="H129:I129"/>
    <mergeCell ref="J129:K129"/>
    <mergeCell ref="L129:M129"/>
    <mergeCell ref="N129:O129"/>
    <mergeCell ref="AD127:AE127"/>
    <mergeCell ref="AF127:AG127"/>
    <mergeCell ref="P127:Q127"/>
    <mergeCell ref="R127:S127"/>
    <mergeCell ref="T127:U127"/>
    <mergeCell ref="V127:W127"/>
    <mergeCell ref="X127:Y127"/>
    <mergeCell ref="Z127:AA127"/>
    <mergeCell ref="AB127:AC127"/>
    <mergeCell ref="AD128:AE128"/>
    <mergeCell ref="AF128:AG128"/>
    <mergeCell ref="AH128:AI128"/>
    <mergeCell ref="AJ128:AK128"/>
    <mergeCell ref="AL128:BB128"/>
    <mergeCell ref="P128:Q128"/>
    <mergeCell ref="R128:S128"/>
    <mergeCell ref="T128:U128"/>
    <mergeCell ref="V128:W128"/>
    <mergeCell ref="X128:Y128"/>
    <mergeCell ref="Z128:AA128"/>
    <mergeCell ref="AB128:AC128"/>
    <mergeCell ref="B128:C128"/>
    <mergeCell ref="D128:E128"/>
    <mergeCell ref="F128:G128"/>
    <mergeCell ref="H128:I128"/>
    <mergeCell ref="J128:K128"/>
    <mergeCell ref="L128:M128"/>
    <mergeCell ref="N128:O128"/>
    <mergeCell ref="AD129:AE129"/>
    <mergeCell ref="AF129:AG129"/>
    <mergeCell ref="AH129:AI129"/>
    <mergeCell ref="AJ129:AK129"/>
    <mergeCell ref="AL129:BB129"/>
    <mergeCell ref="P135:Q135"/>
    <mergeCell ref="R135:S135"/>
    <mergeCell ref="T135:U135"/>
    <mergeCell ref="V135:W135"/>
    <mergeCell ref="X135:Y135"/>
    <mergeCell ref="Z135:AA135"/>
    <mergeCell ref="AB135:AC135"/>
    <mergeCell ref="B135:C135"/>
    <mergeCell ref="D135:E135"/>
    <mergeCell ref="F135:G135"/>
    <mergeCell ref="H135:I135"/>
    <mergeCell ref="J135:K135"/>
    <mergeCell ref="L135:M135"/>
    <mergeCell ref="N135:O135"/>
    <mergeCell ref="AD157:AE157"/>
    <mergeCell ref="AF157:AG157"/>
    <mergeCell ref="AH157:AI157"/>
    <mergeCell ref="AJ157:AK157"/>
    <mergeCell ref="AL157:BB157"/>
    <mergeCell ref="P157:Q157"/>
    <mergeCell ref="R157:S157"/>
    <mergeCell ref="T157:U157"/>
    <mergeCell ref="V157:W157"/>
    <mergeCell ref="X157:Y157"/>
    <mergeCell ref="Z157:AA157"/>
    <mergeCell ref="AB157:AC157"/>
    <mergeCell ref="P138:Q138"/>
    <mergeCell ref="R138:S138"/>
    <mergeCell ref="T138:U138"/>
    <mergeCell ref="V138:W138"/>
    <mergeCell ref="X138:Y138"/>
    <mergeCell ref="Z138:AA138"/>
    <mergeCell ref="AB138:AC138"/>
    <mergeCell ref="B138:C138"/>
    <mergeCell ref="D138:E138"/>
    <mergeCell ref="F138:G138"/>
    <mergeCell ref="H138:I138"/>
    <mergeCell ref="J138:K138"/>
    <mergeCell ref="L138:M138"/>
    <mergeCell ref="N138:O138"/>
    <mergeCell ref="AD136:AE136"/>
    <mergeCell ref="AF136:AG136"/>
    <mergeCell ref="P136:Q136"/>
    <mergeCell ref="R136:S136"/>
    <mergeCell ref="T136:U136"/>
    <mergeCell ref="V136:W136"/>
    <mergeCell ref="X136:Y136"/>
    <mergeCell ref="Z136:AA136"/>
    <mergeCell ref="AB136:AC136"/>
    <mergeCell ref="AD137:AE137"/>
    <mergeCell ref="AF137:AG137"/>
    <mergeCell ref="AH137:AI137"/>
    <mergeCell ref="AJ137:AK137"/>
    <mergeCell ref="AL137:BB137"/>
    <mergeCell ref="P137:Q137"/>
    <mergeCell ref="R137:S137"/>
    <mergeCell ref="T137:U137"/>
    <mergeCell ref="V137:W137"/>
    <mergeCell ref="X137:Y137"/>
    <mergeCell ref="Z137:AA137"/>
    <mergeCell ref="AB137:AC137"/>
    <mergeCell ref="B137:C137"/>
    <mergeCell ref="D137:E137"/>
    <mergeCell ref="F137:G137"/>
    <mergeCell ref="H137:I137"/>
    <mergeCell ref="J137:K137"/>
    <mergeCell ref="L137:M137"/>
    <mergeCell ref="N137:O137"/>
    <mergeCell ref="AD138:AE138"/>
    <mergeCell ref="AF138:AG138"/>
    <mergeCell ref="AH138:AI138"/>
    <mergeCell ref="AJ138:AK138"/>
    <mergeCell ref="AL138:BB138"/>
    <mergeCell ref="AH139:AI139"/>
    <mergeCell ref="AJ139:AK139"/>
    <mergeCell ref="AL139:BB139"/>
    <mergeCell ref="B139:C139"/>
    <mergeCell ref="D139:E139"/>
    <mergeCell ref="F139:G139"/>
    <mergeCell ref="H139:I139"/>
    <mergeCell ref="J139:K139"/>
    <mergeCell ref="L139:M139"/>
    <mergeCell ref="N139:O139"/>
    <mergeCell ref="P141:Q141"/>
    <mergeCell ref="R141:S141"/>
    <mergeCell ref="T141:U141"/>
    <mergeCell ref="V141:W141"/>
    <mergeCell ref="X141:Y141"/>
    <mergeCell ref="Z141:AA141"/>
    <mergeCell ref="AB141:AC141"/>
    <mergeCell ref="B141:C141"/>
    <mergeCell ref="D141:E141"/>
    <mergeCell ref="F141:G141"/>
    <mergeCell ref="H141:I141"/>
    <mergeCell ref="J141:K141"/>
    <mergeCell ref="L141:M141"/>
    <mergeCell ref="N141:O141"/>
    <mergeCell ref="AD139:AE139"/>
    <mergeCell ref="AF139:AG139"/>
    <mergeCell ref="P139:Q139"/>
    <mergeCell ref="R139:S139"/>
    <mergeCell ref="T139:U139"/>
    <mergeCell ref="V139:W139"/>
    <mergeCell ref="X139:Y139"/>
    <mergeCell ref="Z139:AA139"/>
    <mergeCell ref="AB139:AC139"/>
    <mergeCell ref="AD140:AE140"/>
    <mergeCell ref="AF140:AG140"/>
    <mergeCell ref="AH140:AI140"/>
    <mergeCell ref="AJ140:AK140"/>
    <mergeCell ref="AL140:BB140"/>
    <mergeCell ref="P140:Q140"/>
    <mergeCell ref="R140:S140"/>
    <mergeCell ref="T140:U140"/>
    <mergeCell ref="V140:W140"/>
    <mergeCell ref="X140:Y140"/>
    <mergeCell ref="Z140:AA140"/>
    <mergeCell ref="AB140:AC140"/>
    <mergeCell ref="B140:C140"/>
    <mergeCell ref="D140:E140"/>
    <mergeCell ref="F140:G140"/>
    <mergeCell ref="H140:I140"/>
    <mergeCell ref="J140:K140"/>
    <mergeCell ref="L140:M140"/>
    <mergeCell ref="N140:O140"/>
    <mergeCell ref="AD141:AE141"/>
    <mergeCell ref="AF141:AG141"/>
    <mergeCell ref="AH141:AI141"/>
    <mergeCell ref="AJ141:AK141"/>
    <mergeCell ref="AL141:BB141"/>
    <mergeCell ref="AH142:AI142"/>
    <mergeCell ref="AJ142:AK142"/>
    <mergeCell ref="AL142:BB142"/>
    <mergeCell ref="B142:C142"/>
    <mergeCell ref="D142:E142"/>
    <mergeCell ref="F142:G142"/>
    <mergeCell ref="H142:I142"/>
    <mergeCell ref="J142:K142"/>
    <mergeCell ref="L142:M142"/>
    <mergeCell ref="N142:O142"/>
    <mergeCell ref="P144:Q144"/>
    <mergeCell ref="R144:S144"/>
    <mergeCell ref="T144:U144"/>
    <mergeCell ref="V144:W144"/>
    <mergeCell ref="X144:Y144"/>
    <mergeCell ref="Z144:AA144"/>
    <mergeCell ref="AB144:AC144"/>
    <mergeCell ref="B144:C144"/>
    <mergeCell ref="D144:E144"/>
    <mergeCell ref="F144:G144"/>
    <mergeCell ref="H144:I144"/>
    <mergeCell ref="J144:K144"/>
    <mergeCell ref="L144:M144"/>
    <mergeCell ref="N144:O144"/>
    <mergeCell ref="AD142:AE142"/>
    <mergeCell ref="AF142:AG142"/>
    <mergeCell ref="P142:Q142"/>
    <mergeCell ref="R142:S142"/>
    <mergeCell ref="T142:U142"/>
    <mergeCell ref="V142:W142"/>
    <mergeCell ref="X142:Y142"/>
    <mergeCell ref="Z142:AA142"/>
    <mergeCell ref="AB142:AC142"/>
    <mergeCell ref="AD143:AE143"/>
    <mergeCell ref="AF143:AG143"/>
    <mergeCell ref="AH143:AI143"/>
    <mergeCell ref="AJ143:AK143"/>
    <mergeCell ref="AL143:BB143"/>
    <mergeCell ref="P143:Q143"/>
    <mergeCell ref="R143:S143"/>
    <mergeCell ref="T143:U143"/>
    <mergeCell ref="V143:W143"/>
    <mergeCell ref="X143:Y143"/>
    <mergeCell ref="Z143:AA143"/>
    <mergeCell ref="AB143:AC143"/>
    <mergeCell ref="B143:C143"/>
    <mergeCell ref="D143:E143"/>
    <mergeCell ref="F143:G143"/>
    <mergeCell ref="H143:I143"/>
    <mergeCell ref="J143:K143"/>
    <mergeCell ref="L143:M143"/>
    <mergeCell ref="N143:O143"/>
    <mergeCell ref="AD144:AE144"/>
    <mergeCell ref="AF144:AG144"/>
    <mergeCell ref="AH144:AI144"/>
    <mergeCell ref="AJ144:AK144"/>
    <mergeCell ref="AL144:BB144"/>
    <mergeCell ref="AH145:AI145"/>
    <mergeCell ref="AJ145:AK145"/>
    <mergeCell ref="AL145:BB145"/>
    <mergeCell ref="B145:C145"/>
    <mergeCell ref="D145:E145"/>
    <mergeCell ref="F145:G145"/>
    <mergeCell ref="H145:I145"/>
    <mergeCell ref="J145:K145"/>
    <mergeCell ref="L145:M145"/>
    <mergeCell ref="N145:O145"/>
    <mergeCell ref="P147:Q147"/>
    <mergeCell ref="R147:S147"/>
    <mergeCell ref="T147:U147"/>
    <mergeCell ref="V147:W147"/>
    <mergeCell ref="X147:Y147"/>
    <mergeCell ref="Z147:AA147"/>
    <mergeCell ref="AB147:AC147"/>
    <mergeCell ref="B147:C147"/>
    <mergeCell ref="D147:E147"/>
    <mergeCell ref="F147:G147"/>
    <mergeCell ref="H147:I147"/>
    <mergeCell ref="J147:K147"/>
    <mergeCell ref="L147:M147"/>
    <mergeCell ref="N147:O147"/>
    <mergeCell ref="AD145:AE145"/>
    <mergeCell ref="AF145:AG145"/>
    <mergeCell ref="P145:Q145"/>
    <mergeCell ref="R145:S145"/>
    <mergeCell ref="T145:U145"/>
    <mergeCell ref="V145:W145"/>
    <mergeCell ref="X145:Y145"/>
    <mergeCell ref="Z145:AA145"/>
    <mergeCell ref="AB145:AC145"/>
    <mergeCell ref="AD146:AE146"/>
    <mergeCell ref="AF146:AG146"/>
    <mergeCell ref="AH146:AI146"/>
    <mergeCell ref="AJ146:AK146"/>
    <mergeCell ref="AL146:BB146"/>
    <mergeCell ref="P146:Q146"/>
    <mergeCell ref="R146:S146"/>
    <mergeCell ref="T146:U146"/>
    <mergeCell ref="V146:W146"/>
    <mergeCell ref="X146:Y146"/>
    <mergeCell ref="Z146:AA146"/>
    <mergeCell ref="AB146:AC146"/>
    <mergeCell ref="B146:C146"/>
    <mergeCell ref="D146:E146"/>
    <mergeCell ref="F146:G146"/>
    <mergeCell ref="H146:I146"/>
    <mergeCell ref="J146:K146"/>
    <mergeCell ref="L146:M146"/>
    <mergeCell ref="N146:O146"/>
    <mergeCell ref="AD147:AE147"/>
    <mergeCell ref="AF147:AG147"/>
    <mergeCell ref="AH147:AI147"/>
    <mergeCell ref="AJ147:AK147"/>
    <mergeCell ref="AL147:BB147"/>
    <mergeCell ref="AH148:AI148"/>
    <mergeCell ref="AJ148:AK148"/>
    <mergeCell ref="AL148:BB148"/>
    <mergeCell ref="B148:C148"/>
    <mergeCell ref="D148:E148"/>
    <mergeCell ref="F148:G148"/>
    <mergeCell ref="H148:I148"/>
    <mergeCell ref="J148:K148"/>
    <mergeCell ref="L148:M148"/>
    <mergeCell ref="N148:O148"/>
    <mergeCell ref="P150:Q150"/>
    <mergeCell ref="R150:S150"/>
    <mergeCell ref="T150:U150"/>
    <mergeCell ref="V150:W150"/>
    <mergeCell ref="X150:Y150"/>
    <mergeCell ref="Z150:AA150"/>
    <mergeCell ref="AB150:AC150"/>
    <mergeCell ref="B150:C150"/>
    <mergeCell ref="D150:E150"/>
    <mergeCell ref="F150:G150"/>
    <mergeCell ref="H150:I150"/>
    <mergeCell ref="J150:K150"/>
    <mergeCell ref="L150:M150"/>
    <mergeCell ref="N150:O150"/>
    <mergeCell ref="AD148:AE148"/>
    <mergeCell ref="AF148:AG148"/>
    <mergeCell ref="P148:Q148"/>
    <mergeCell ref="R148:S148"/>
    <mergeCell ref="T148:U148"/>
    <mergeCell ref="V148:W148"/>
    <mergeCell ref="X148:Y148"/>
    <mergeCell ref="Z148:AA148"/>
    <mergeCell ref="AB148:AC148"/>
    <mergeCell ref="AD149:AE149"/>
    <mergeCell ref="AF149:AG149"/>
    <mergeCell ref="AH149:AI149"/>
    <mergeCell ref="AJ149:AK149"/>
    <mergeCell ref="AL149:BB149"/>
    <mergeCell ref="P149:Q149"/>
    <mergeCell ref="R149:S149"/>
    <mergeCell ref="T149:U149"/>
    <mergeCell ref="V149:W149"/>
    <mergeCell ref="X149:Y149"/>
    <mergeCell ref="Z149:AA149"/>
    <mergeCell ref="AB149:AC149"/>
    <mergeCell ref="B149:C149"/>
    <mergeCell ref="D149:E149"/>
    <mergeCell ref="F149:G149"/>
    <mergeCell ref="H149:I149"/>
    <mergeCell ref="J149:K149"/>
    <mergeCell ref="L149:M149"/>
    <mergeCell ref="N149:O149"/>
    <mergeCell ref="AD150:AE150"/>
    <mergeCell ref="AF150:AG150"/>
    <mergeCell ref="AH150:AI150"/>
    <mergeCell ref="AJ150:AK150"/>
    <mergeCell ref="AL150:BB150"/>
    <mergeCell ref="AH151:AI151"/>
    <mergeCell ref="AJ151:AK151"/>
    <mergeCell ref="AL151:BB151"/>
    <mergeCell ref="B151:C151"/>
    <mergeCell ref="D151:E151"/>
    <mergeCell ref="F151:G151"/>
    <mergeCell ref="H151:I151"/>
    <mergeCell ref="J151:K151"/>
    <mergeCell ref="L151:M151"/>
    <mergeCell ref="N151:O151"/>
    <mergeCell ref="P153:Q153"/>
    <mergeCell ref="R153:S153"/>
    <mergeCell ref="T153:U153"/>
    <mergeCell ref="V153:W153"/>
    <mergeCell ref="X153:Y153"/>
    <mergeCell ref="Z153:AA153"/>
    <mergeCell ref="AB153:AC153"/>
    <mergeCell ref="B153:C153"/>
    <mergeCell ref="D153:E153"/>
    <mergeCell ref="F153:G153"/>
    <mergeCell ref="H153:I153"/>
    <mergeCell ref="J153:K153"/>
    <mergeCell ref="L153:M153"/>
    <mergeCell ref="N153:O153"/>
    <mergeCell ref="AD151:AE151"/>
    <mergeCell ref="AF151:AG151"/>
    <mergeCell ref="P151:Q151"/>
    <mergeCell ref="R151:S151"/>
    <mergeCell ref="T151:U151"/>
    <mergeCell ref="V151:W151"/>
    <mergeCell ref="X151:Y151"/>
    <mergeCell ref="Z151:AA151"/>
    <mergeCell ref="AB151:AC151"/>
    <mergeCell ref="AD152:AE152"/>
    <mergeCell ref="AF152:AG152"/>
    <mergeCell ref="AH152:AI152"/>
    <mergeCell ref="AJ152:AK152"/>
    <mergeCell ref="AL152:BB152"/>
    <mergeCell ref="P152:Q152"/>
    <mergeCell ref="R152:S152"/>
    <mergeCell ref="T152:U152"/>
    <mergeCell ref="V152:W152"/>
    <mergeCell ref="X152:Y152"/>
    <mergeCell ref="Z152:AA152"/>
    <mergeCell ref="AB152:AC152"/>
    <mergeCell ref="B152:C152"/>
    <mergeCell ref="D152:E152"/>
    <mergeCell ref="F152:G152"/>
    <mergeCell ref="H152:I152"/>
    <mergeCell ref="J152:K152"/>
    <mergeCell ref="L152:M152"/>
    <mergeCell ref="N152:O152"/>
    <mergeCell ref="AD153:AE153"/>
    <mergeCell ref="AF153:AG153"/>
    <mergeCell ref="AH153:AI153"/>
    <mergeCell ref="AJ153:AK153"/>
    <mergeCell ref="AL153:BB153"/>
    <mergeCell ref="AH154:AI154"/>
    <mergeCell ref="AJ154:AK154"/>
    <mergeCell ref="AL154:BB154"/>
    <mergeCell ref="B154:C154"/>
    <mergeCell ref="D154:E154"/>
    <mergeCell ref="F154:G154"/>
    <mergeCell ref="H154:I154"/>
    <mergeCell ref="J154:K154"/>
    <mergeCell ref="L154:M154"/>
    <mergeCell ref="N154:O154"/>
    <mergeCell ref="P156:Q156"/>
    <mergeCell ref="R156:S156"/>
    <mergeCell ref="T156:U156"/>
    <mergeCell ref="V156:W156"/>
    <mergeCell ref="X156:Y156"/>
    <mergeCell ref="Z156:AA156"/>
    <mergeCell ref="AB156:AC156"/>
    <mergeCell ref="B156:C156"/>
    <mergeCell ref="D156:E156"/>
    <mergeCell ref="F156:G156"/>
    <mergeCell ref="H156:I156"/>
    <mergeCell ref="J156:K156"/>
    <mergeCell ref="L156:M156"/>
    <mergeCell ref="N156:O156"/>
    <mergeCell ref="AD154:AE154"/>
    <mergeCell ref="AF154:AG154"/>
    <mergeCell ref="P154:Q154"/>
    <mergeCell ref="R154:S154"/>
    <mergeCell ref="T154:U154"/>
    <mergeCell ref="V154:W154"/>
    <mergeCell ref="X154:Y154"/>
    <mergeCell ref="Z154:AA154"/>
    <mergeCell ref="AB154:AC154"/>
    <mergeCell ref="AD155:AE155"/>
    <mergeCell ref="AF155:AG155"/>
    <mergeCell ref="AH155:AI155"/>
    <mergeCell ref="AJ155:AK155"/>
    <mergeCell ref="AL155:BB155"/>
    <mergeCell ref="P155:Q155"/>
    <mergeCell ref="R155:S155"/>
    <mergeCell ref="T155:U155"/>
    <mergeCell ref="V155:W155"/>
    <mergeCell ref="X155:Y155"/>
    <mergeCell ref="Z155:AA155"/>
    <mergeCell ref="AB155:AC155"/>
    <mergeCell ref="B155:C155"/>
    <mergeCell ref="D155:E155"/>
    <mergeCell ref="F155:G155"/>
    <mergeCell ref="H155:I155"/>
    <mergeCell ref="J155:K155"/>
    <mergeCell ref="L155:M155"/>
    <mergeCell ref="N155:O155"/>
    <mergeCell ref="AD156:AE156"/>
    <mergeCell ref="AF156:AG156"/>
    <mergeCell ref="AH156:AI156"/>
    <mergeCell ref="AJ156:AK156"/>
    <mergeCell ref="AL156:BB156"/>
    <mergeCell ref="B157:C157"/>
    <mergeCell ref="D157:E157"/>
    <mergeCell ref="F157:G157"/>
    <mergeCell ref="H157:I157"/>
    <mergeCell ref="J157:K157"/>
    <mergeCell ref="L157:M157"/>
    <mergeCell ref="N157:O157"/>
    <mergeCell ref="AD158:AE158"/>
    <mergeCell ref="AF158:AG158"/>
    <mergeCell ref="AH158:AI158"/>
    <mergeCell ref="AJ158:AK158"/>
    <mergeCell ref="AL158:BB158"/>
    <mergeCell ref="P158:Q158"/>
    <mergeCell ref="R158:S158"/>
    <mergeCell ref="T158:U158"/>
    <mergeCell ref="V158:W158"/>
    <mergeCell ref="X158:Y158"/>
    <mergeCell ref="Z158:AA158"/>
    <mergeCell ref="AB158:AC158"/>
    <mergeCell ref="B158:C158"/>
    <mergeCell ref="D158:E158"/>
    <mergeCell ref="F158:G158"/>
    <mergeCell ref="H158:I158"/>
    <mergeCell ref="J158:K158"/>
    <mergeCell ref="L158:M158"/>
    <mergeCell ref="N158:O158"/>
    <mergeCell ref="AD159:AE159"/>
    <mergeCell ref="AF159:AG159"/>
    <mergeCell ref="AH159:AI159"/>
    <mergeCell ref="AJ159:AK159"/>
    <mergeCell ref="AL159:BB159"/>
    <mergeCell ref="P159:Q159"/>
    <mergeCell ref="R159:S159"/>
    <mergeCell ref="T159:U159"/>
    <mergeCell ref="V159:W159"/>
    <mergeCell ref="X159:Y159"/>
    <mergeCell ref="Z159:AA159"/>
    <mergeCell ref="AB159:AC159"/>
    <mergeCell ref="B159:C159"/>
    <mergeCell ref="D159:E159"/>
    <mergeCell ref="F159:G159"/>
    <mergeCell ref="H159:I159"/>
    <mergeCell ref="J159:K159"/>
    <mergeCell ref="L159:M159"/>
    <mergeCell ref="N159:O159"/>
    <mergeCell ref="AH160:AI160"/>
    <mergeCell ref="AJ160:AK160"/>
    <mergeCell ref="AL160:BB160"/>
    <mergeCell ref="B160:C160"/>
    <mergeCell ref="D160:E160"/>
    <mergeCell ref="F160:G160"/>
    <mergeCell ref="H160:I160"/>
    <mergeCell ref="J160:K160"/>
    <mergeCell ref="L160:M160"/>
    <mergeCell ref="N160:O160"/>
    <mergeCell ref="P162:Q162"/>
    <mergeCell ref="R162:S162"/>
    <mergeCell ref="T162:U162"/>
    <mergeCell ref="V162:W162"/>
    <mergeCell ref="X162:Y162"/>
    <mergeCell ref="Z162:AA162"/>
    <mergeCell ref="AB162:AC162"/>
    <mergeCell ref="B162:C162"/>
    <mergeCell ref="D162:E162"/>
    <mergeCell ref="F162:G162"/>
    <mergeCell ref="H162:I162"/>
    <mergeCell ref="J162:K162"/>
    <mergeCell ref="L162:M162"/>
    <mergeCell ref="N162:O162"/>
    <mergeCell ref="AD160:AE160"/>
    <mergeCell ref="AF160:AG160"/>
    <mergeCell ref="P160:Q160"/>
    <mergeCell ref="R160:S160"/>
    <mergeCell ref="T160:U160"/>
    <mergeCell ref="V160:W160"/>
    <mergeCell ref="X160:Y160"/>
    <mergeCell ref="Z160:AA160"/>
    <mergeCell ref="AB160:AC160"/>
    <mergeCell ref="AD161:AE161"/>
    <mergeCell ref="AF161:AG161"/>
    <mergeCell ref="AH161:AI161"/>
    <mergeCell ref="AJ161:AK161"/>
    <mergeCell ref="AL161:BB161"/>
    <mergeCell ref="P161:Q161"/>
    <mergeCell ref="R161:S161"/>
    <mergeCell ref="T161:U161"/>
    <mergeCell ref="V161:W161"/>
    <mergeCell ref="X161:Y161"/>
    <mergeCell ref="Z161:AA161"/>
    <mergeCell ref="AB161:AC161"/>
    <mergeCell ref="B161:C161"/>
    <mergeCell ref="D161:E161"/>
    <mergeCell ref="F161:G161"/>
    <mergeCell ref="H161:I161"/>
    <mergeCell ref="J161:K161"/>
    <mergeCell ref="L161:M161"/>
    <mergeCell ref="N161:O161"/>
    <mergeCell ref="AD162:AE162"/>
    <mergeCell ref="AF162:AG162"/>
    <mergeCell ref="AH162:AI162"/>
    <mergeCell ref="AJ162:AK162"/>
    <mergeCell ref="AL162:BB162"/>
    <mergeCell ref="AH163:AI163"/>
    <mergeCell ref="AJ163:AK163"/>
    <mergeCell ref="AL163:BB163"/>
    <mergeCell ref="B163:C163"/>
    <mergeCell ref="D163:E163"/>
    <mergeCell ref="F163:G163"/>
    <mergeCell ref="H163:I163"/>
    <mergeCell ref="J163:K163"/>
    <mergeCell ref="L163:M163"/>
    <mergeCell ref="N163:O163"/>
    <mergeCell ref="P165:Q165"/>
    <mergeCell ref="R165:S165"/>
    <mergeCell ref="T165:U165"/>
    <mergeCell ref="V165:W165"/>
    <mergeCell ref="X165:Y165"/>
    <mergeCell ref="Z165:AA165"/>
    <mergeCell ref="AB165:AC165"/>
    <mergeCell ref="B165:C165"/>
    <mergeCell ref="D165:E165"/>
    <mergeCell ref="F165:G165"/>
    <mergeCell ref="H165:I165"/>
    <mergeCell ref="J165:K165"/>
    <mergeCell ref="L165:M165"/>
    <mergeCell ref="N165:O165"/>
    <mergeCell ref="P168:Q168"/>
    <mergeCell ref="R168:S168"/>
    <mergeCell ref="T168:U168"/>
    <mergeCell ref="V168:W168"/>
    <mergeCell ref="X168:Y168"/>
    <mergeCell ref="Z168:AA168"/>
    <mergeCell ref="AB168:AC168"/>
    <mergeCell ref="B168:C168"/>
    <mergeCell ref="D168:E168"/>
    <mergeCell ref="F168:G168"/>
    <mergeCell ref="H168:I168"/>
    <mergeCell ref="J168:K168"/>
    <mergeCell ref="L168:M168"/>
    <mergeCell ref="N168:O168"/>
    <mergeCell ref="X166:Y166"/>
    <mergeCell ref="Z166:AA166"/>
    <mergeCell ref="AB166:AC166"/>
    <mergeCell ref="AD167:AE167"/>
    <mergeCell ref="AF167:AG167"/>
    <mergeCell ref="AH167:AI167"/>
    <mergeCell ref="AJ167:AK167"/>
    <mergeCell ref="AL167:BB167"/>
    <mergeCell ref="P167:Q167"/>
    <mergeCell ref="R167:S167"/>
    <mergeCell ref="T167:U167"/>
    <mergeCell ref="V167:W167"/>
    <mergeCell ref="X167:Y167"/>
    <mergeCell ref="Z167:AA167"/>
    <mergeCell ref="AB167:AC167"/>
    <mergeCell ref="B167:C167"/>
    <mergeCell ref="D167:E167"/>
    <mergeCell ref="F167:G167"/>
    <mergeCell ref="H167:I167"/>
    <mergeCell ref="J167:K167"/>
    <mergeCell ref="L167:M167"/>
    <mergeCell ref="N167:O167"/>
    <mergeCell ref="AD168:AE168"/>
    <mergeCell ref="AF168:AG168"/>
    <mergeCell ref="AH168:AI168"/>
    <mergeCell ref="AJ168:AK168"/>
    <mergeCell ref="R299:S299"/>
    <mergeCell ref="T299:U299"/>
    <mergeCell ref="V299:W299"/>
    <mergeCell ref="X299:Y299"/>
    <mergeCell ref="Z299:AA299"/>
    <mergeCell ref="AB299:AC299"/>
    <mergeCell ref="B299:C299"/>
    <mergeCell ref="D299:E299"/>
    <mergeCell ref="F299:G299"/>
    <mergeCell ref="H299:I299"/>
    <mergeCell ref="J299:K299"/>
    <mergeCell ref="L299:M299"/>
    <mergeCell ref="N299:O299"/>
    <mergeCell ref="AD300:AE300"/>
    <mergeCell ref="AF300:AG300"/>
    <mergeCell ref="AH300:AI300"/>
    <mergeCell ref="AJ300:AK300"/>
    <mergeCell ref="AL300:BB300"/>
    <mergeCell ref="AH298:AI298"/>
    <mergeCell ref="AJ298:AK298"/>
    <mergeCell ref="AL298:BB298"/>
    <mergeCell ref="B298:C298"/>
    <mergeCell ref="D298:E298"/>
    <mergeCell ref="F298:G298"/>
    <mergeCell ref="H298:I298"/>
    <mergeCell ref="J298:K298"/>
    <mergeCell ref="L298:M298"/>
    <mergeCell ref="N298:O298"/>
    <mergeCell ref="P300:Q300"/>
    <mergeCell ref="R300:S300"/>
    <mergeCell ref="T300:U300"/>
    <mergeCell ref="V300:W300"/>
    <mergeCell ref="X300:Y300"/>
    <mergeCell ref="Z300:AA300"/>
    <mergeCell ref="AB300:AC300"/>
    <mergeCell ref="B300:C300"/>
    <mergeCell ref="D300:E300"/>
    <mergeCell ref="F300:G300"/>
    <mergeCell ref="H300:I300"/>
    <mergeCell ref="J300:K300"/>
    <mergeCell ref="L300:M300"/>
    <mergeCell ref="N300:O300"/>
    <mergeCell ref="F292:G292"/>
    <mergeCell ref="H292:I292"/>
    <mergeCell ref="J292:K292"/>
    <mergeCell ref="L292:M292"/>
    <mergeCell ref="N292:O292"/>
    <mergeCell ref="AD292:AE292"/>
    <mergeCell ref="AF292:AG292"/>
    <mergeCell ref="P292:Q292"/>
    <mergeCell ref="R292:S292"/>
    <mergeCell ref="T292:U292"/>
    <mergeCell ref="V292:W292"/>
    <mergeCell ref="AH301:AI301"/>
    <mergeCell ref="AJ301:AK301"/>
    <mergeCell ref="AL301:BB301"/>
    <mergeCell ref="B301:C301"/>
    <mergeCell ref="D301:E301"/>
    <mergeCell ref="F301:G301"/>
    <mergeCell ref="H301:I301"/>
    <mergeCell ref="J301:K301"/>
    <mergeCell ref="L301:M301"/>
    <mergeCell ref="N301:O301"/>
    <mergeCell ref="AD301:AE301"/>
    <mergeCell ref="AF301:AG301"/>
    <mergeCell ref="P301:Q301"/>
    <mergeCell ref="R301:S301"/>
    <mergeCell ref="T301:U301"/>
    <mergeCell ref="V301:W301"/>
    <mergeCell ref="X301:Y301"/>
    <mergeCell ref="Z301:AA301"/>
    <mergeCell ref="AB301:AC301"/>
    <mergeCell ref="AD302:AE302"/>
    <mergeCell ref="AF302:AG302"/>
    <mergeCell ref="AH302:AI302"/>
    <mergeCell ref="AJ302:AK302"/>
    <mergeCell ref="AL302:BB302"/>
    <mergeCell ref="P302:Q302"/>
    <mergeCell ref="R302:S302"/>
    <mergeCell ref="T302:U302"/>
    <mergeCell ref="V302:W302"/>
    <mergeCell ref="X302:Y302"/>
    <mergeCell ref="Z302:AA302"/>
    <mergeCell ref="AB302:AC302"/>
    <mergeCell ref="B302:C302"/>
    <mergeCell ref="D302:E302"/>
    <mergeCell ref="F302:G302"/>
    <mergeCell ref="H302:I302"/>
    <mergeCell ref="J302:K302"/>
    <mergeCell ref="L302:M302"/>
    <mergeCell ref="N302:O302"/>
    <mergeCell ref="AD298:AE298"/>
    <mergeCell ref="AF298:AG298"/>
    <mergeCell ref="P298:Q298"/>
    <mergeCell ref="R298:S298"/>
    <mergeCell ref="T298:U298"/>
    <mergeCell ref="V298:W298"/>
    <mergeCell ref="X298:Y298"/>
    <mergeCell ref="Z298:AA298"/>
    <mergeCell ref="AB298:AC298"/>
    <mergeCell ref="AD299:AE299"/>
    <mergeCell ref="AF299:AG299"/>
    <mergeCell ref="AH299:AI299"/>
    <mergeCell ref="AJ299:AK299"/>
    <mergeCell ref="AL299:BB299"/>
    <mergeCell ref="P299:Q299"/>
    <mergeCell ref="AL294:BB294"/>
    <mergeCell ref="AH295:AI295"/>
    <mergeCell ref="AJ295:AK295"/>
    <mergeCell ref="AL295:BB295"/>
    <mergeCell ref="B295:C295"/>
    <mergeCell ref="D295:E295"/>
    <mergeCell ref="F295:G295"/>
    <mergeCell ref="H295:I295"/>
    <mergeCell ref="J295:K295"/>
    <mergeCell ref="L295:M295"/>
    <mergeCell ref="N295:O295"/>
    <mergeCell ref="AD303:AE303"/>
    <mergeCell ref="AF303:AG303"/>
    <mergeCell ref="AH303:AI303"/>
    <mergeCell ref="AJ303:AK303"/>
    <mergeCell ref="AL303:BB303"/>
    <mergeCell ref="AH304:AI304"/>
    <mergeCell ref="AJ304:AK304"/>
    <mergeCell ref="AL304:BB304"/>
    <mergeCell ref="B304:C304"/>
    <mergeCell ref="D304:E304"/>
    <mergeCell ref="F304:G304"/>
    <mergeCell ref="H304:I304"/>
    <mergeCell ref="J304:K304"/>
    <mergeCell ref="L304:M304"/>
    <mergeCell ref="N304:O304"/>
    <mergeCell ref="AD289:AE289"/>
    <mergeCell ref="AF289:AG289"/>
    <mergeCell ref="P289:Q289"/>
    <mergeCell ref="R289:S289"/>
    <mergeCell ref="T289:U289"/>
    <mergeCell ref="V289:W289"/>
    <mergeCell ref="X289:Y289"/>
    <mergeCell ref="Z289:AA289"/>
    <mergeCell ref="AB289:AC289"/>
    <mergeCell ref="AD290:AE290"/>
    <mergeCell ref="AF290:AG290"/>
    <mergeCell ref="AH290:AI290"/>
    <mergeCell ref="AJ290:AK290"/>
    <mergeCell ref="AL290:BB290"/>
    <mergeCell ref="P290:Q290"/>
    <mergeCell ref="R290:S290"/>
    <mergeCell ref="T290:U290"/>
    <mergeCell ref="V290:W290"/>
    <mergeCell ref="X290:Y290"/>
    <mergeCell ref="Z290:AA290"/>
    <mergeCell ref="AB290:AC290"/>
    <mergeCell ref="B290:C290"/>
    <mergeCell ref="D290:E290"/>
    <mergeCell ref="F290:G290"/>
    <mergeCell ref="H290:I290"/>
    <mergeCell ref="J290:K290"/>
    <mergeCell ref="L290:M290"/>
    <mergeCell ref="N290:O290"/>
    <mergeCell ref="AD291:AE291"/>
    <mergeCell ref="AF291:AG291"/>
    <mergeCell ref="AH291:AI291"/>
    <mergeCell ref="AJ291:AK291"/>
    <mergeCell ref="AL291:BB291"/>
    <mergeCell ref="AH292:AI292"/>
    <mergeCell ref="AJ292:AK292"/>
    <mergeCell ref="AL292:BB292"/>
    <mergeCell ref="B292:C292"/>
    <mergeCell ref="D292:E292"/>
    <mergeCell ref="P297:Q297"/>
    <mergeCell ref="R297:S297"/>
    <mergeCell ref="T297:U297"/>
    <mergeCell ref="V297:W297"/>
    <mergeCell ref="X297:Y297"/>
    <mergeCell ref="Z297:AA297"/>
    <mergeCell ref="AB297:AC297"/>
    <mergeCell ref="B297:C297"/>
    <mergeCell ref="D297:E297"/>
    <mergeCell ref="F297:G297"/>
    <mergeCell ref="H297:I297"/>
    <mergeCell ref="J297:K297"/>
    <mergeCell ref="L297:M297"/>
    <mergeCell ref="N297:O297"/>
    <mergeCell ref="AD295:AE295"/>
    <mergeCell ref="AF295:AG295"/>
    <mergeCell ref="P295:Q295"/>
    <mergeCell ref="R295:S295"/>
    <mergeCell ref="T295:U295"/>
    <mergeCell ref="V295:W295"/>
    <mergeCell ref="X295:Y295"/>
    <mergeCell ref="Z295:AA295"/>
    <mergeCell ref="AB295:AC295"/>
    <mergeCell ref="AD296:AE296"/>
    <mergeCell ref="AF296:AG296"/>
    <mergeCell ref="AH296:AI296"/>
    <mergeCell ref="AJ296:AK296"/>
    <mergeCell ref="AL296:BB296"/>
    <mergeCell ref="P296:Q296"/>
    <mergeCell ref="R296:S296"/>
    <mergeCell ref="T296:U296"/>
    <mergeCell ref="V296:W296"/>
    <mergeCell ref="X296:Y296"/>
    <mergeCell ref="Z296:AA296"/>
    <mergeCell ref="AB296:AC296"/>
    <mergeCell ref="B296:C296"/>
    <mergeCell ref="D296:E296"/>
    <mergeCell ref="F296:G296"/>
    <mergeCell ref="H296:I296"/>
    <mergeCell ref="J296:K296"/>
    <mergeCell ref="L296:M296"/>
    <mergeCell ref="N296:O296"/>
    <mergeCell ref="AD297:AE297"/>
    <mergeCell ref="AF297:AG297"/>
    <mergeCell ref="AH297:AI297"/>
    <mergeCell ref="AJ297:AK297"/>
    <mergeCell ref="AL297:BB297"/>
    <mergeCell ref="P303:Q303"/>
    <mergeCell ref="R303:S303"/>
    <mergeCell ref="T303:U303"/>
    <mergeCell ref="V303:W303"/>
    <mergeCell ref="X303:Y303"/>
    <mergeCell ref="Z303:AA303"/>
    <mergeCell ref="AB303:AC303"/>
    <mergeCell ref="B303:C303"/>
    <mergeCell ref="D303:E303"/>
    <mergeCell ref="F303:G303"/>
    <mergeCell ref="H303:I303"/>
    <mergeCell ref="J303:K303"/>
    <mergeCell ref="L303:M303"/>
    <mergeCell ref="N303:O303"/>
    <mergeCell ref="AD325:AE325"/>
    <mergeCell ref="AF325:AG325"/>
    <mergeCell ref="AH325:AI325"/>
    <mergeCell ref="AJ325:AK325"/>
    <mergeCell ref="AL325:BB325"/>
    <mergeCell ref="P325:Q325"/>
    <mergeCell ref="R325:S325"/>
    <mergeCell ref="T325:U325"/>
    <mergeCell ref="V325:W325"/>
    <mergeCell ref="X325:Y325"/>
    <mergeCell ref="Z325:AA325"/>
    <mergeCell ref="AB325:AC325"/>
    <mergeCell ref="P306:Q306"/>
    <mergeCell ref="R306:S306"/>
    <mergeCell ref="T306:U306"/>
    <mergeCell ref="V306:W306"/>
    <mergeCell ref="X306:Y306"/>
    <mergeCell ref="Z306:AA306"/>
    <mergeCell ref="AB306:AC306"/>
    <mergeCell ref="B306:C306"/>
    <mergeCell ref="D306:E306"/>
    <mergeCell ref="F306:G306"/>
    <mergeCell ref="H306:I306"/>
    <mergeCell ref="J306:K306"/>
    <mergeCell ref="L306:M306"/>
    <mergeCell ref="N306:O306"/>
    <mergeCell ref="AD304:AE304"/>
    <mergeCell ref="AF304:AG304"/>
    <mergeCell ref="P304:Q304"/>
    <mergeCell ref="R304:S304"/>
    <mergeCell ref="T304:U304"/>
    <mergeCell ref="V304:W304"/>
    <mergeCell ref="X304:Y304"/>
    <mergeCell ref="Z304:AA304"/>
    <mergeCell ref="AB304:AC304"/>
    <mergeCell ref="AD305:AE305"/>
    <mergeCell ref="AF305:AG305"/>
    <mergeCell ref="AH305:AI305"/>
    <mergeCell ref="AJ305:AK305"/>
    <mergeCell ref="AL305:BB305"/>
    <mergeCell ref="P305:Q305"/>
    <mergeCell ref="R305:S305"/>
    <mergeCell ref="T305:U305"/>
    <mergeCell ref="V305:W305"/>
    <mergeCell ref="X305:Y305"/>
    <mergeCell ref="Z305:AA305"/>
    <mergeCell ref="AB305:AC305"/>
    <mergeCell ref="B305:C305"/>
    <mergeCell ref="D305:E305"/>
    <mergeCell ref="F305:G305"/>
    <mergeCell ref="H305:I305"/>
    <mergeCell ref="J305:K305"/>
    <mergeCell ref="L305:M305"/>
    <mergeCell ref="N305:O305"/>
    <mergeCell ref="AD306:AE306"/>
    <mergeCell ref="AF306:AG306"/>
    <mergeCell ref="AH306:AI306"/>
    <mergeCell ref="AJ306:AK306"/>
    <mergeCell ref="AL306:BB306"/>
    <mergeCell ref="AH307:AI307"/>
    <mergeCell ref="AJ307:AK307"/>
    <mergeCell ref="AL307:BB307"/>
    <mergeCell ref="B307:C307"/>
    <mergeCell ref="D307:E307"/>
    <mergeCell ref="F307:G307"/>
    <mergeCell ref="H307:I307"/>
    <mergeCell ref="J307:K307"/>
    <mergeCell ref="L307:M307"/>
    <mergeCell ref="N307:O307"/>
    <mergeCell ref="P309:Q309"/>
    <mergeCell ref="R309:S309"/>
    <mergeCell ref="T309:U309"/>
    <mergeCell ref="V309:W309"/>
    <mergeCell ref="X309:Y309"/>
    <mergeCell ref="Z309:AA309"/>
    <mergeCell ref="AB309:AC309"/>
    <mergeCell ref="B309:C309"/>
    <mergeCell ref="D309:E309"/>
    <mergeCell ref="F309:G309"/>
    <mergeCell ref="H309:I309"/>
    <mergeCell ref="J309:K309"/>
    <mergeCell ref="L309:M309"/>
    <mergeCell ref="N309:O309"/>
    <mergeCell ref="AD307:AE307"/>
    <mergeCell ref="AF307:AG307"/>
    <mergeCell ref="P307:Q307"/>
    <mergeCell ref="R307:S307"/>
    <mergeCell ref="T307:U307"/>
    <mergeCell ref="V307:W307"/>
    <mergeCell ref="X307:Y307"/>
    <mergeCell ref="Z307:AA307"/>
    <mergeCell ref="AB307:AC307"/>
    <mergeCell ref="AD308:AE308"/>
    <mergeCell ref="AF308:AG308"/>
    <mergeCell ref="AH308:AI308"/>
    <mergeCell ref="AJ308:AK308"/>
    <mergeCell ref="AL308:BB308"/>
    <mergeCell ref="P308:Q308"/>
    <mergeCell ref="R308:S308"/>
    <mergeCell ref="T308:U308"/>
    <mergeCell ref="V308:W308"/>
    <mergeCell ref="X308:Y308"/>
    <mergeCell ref="Z308:AA308"/>
    <mergeCell ref="AB308:AC308"/>
    <mergeCell ref="B308:C308"/>
    <mergeCell ref="D308:E308"/>
    <mergeCell ref="F308:G308"/>
    <mergeCell ref="H308:I308"/>
    <mergeCell ref="J308:K308"/>
    <mergeCell ref="L308:M308"/>
    <mergeCell ref="N308:O308"/>
    <mergeCell ref="AD309:AE309"/>
    <mergeCell ref="AF309:AG309"/>
    <mergeCell ref="AH309:AI309"/>
    <mergeCell ref="AJ309:AK309"/>
    <mergeCell ref="AL309:BB309"/>
    <mergeCell ref="AH310:AI310"/>
    <mergeCell ref="AJ310:AK310"/>
    <mergeCell ref="AL310:BB310"/>
    <mergeCell ref="B310:C310"/>
    <mergeCell ref="D310:E310"/>
    <mergeCell ref="F310:G310"/>
    <mergeCell ref="H310:I310"/>
    <mergeCell ref="J310:K310"/>
    <mergeCell ref="L310:M310"/>
    <mergeCell ref="N310:O310"/>
    <mergeCell ref="P312:Q312"/>
    <mergeCell ref="R312:S312"/>
    <mergeCell ref="T312:U312"/>
    <mergeCell ref="V312:W312"/>
    <mergeCell ref="X312:Y312"/>
    <mergeCell ref="Z312:AA312"/>
    <mergeCell ref="AB312:AC312"/>
    <mergeCell ref="B312:C312"/>
    <mergeCell ref="D312:E312"/>
    <mergeCell ref="F312:G312"/>
    <mergeCell ref="H312:I312"/>
    <mergeCell ref="J312:K312"/>
    <mergeCell ref="L312:M312"/>
    <mergeCell ref="N312:O312"/>
    <mergeCell ref="AD310:AE310"/>
    <mergeCell ref="AF310:AG310"/>
    <mergeCell ref="P310:Q310"/>
    <mergeCell ref="R310:S310"/>
    <mergeCell ref="T310:U310"/>
    <mergeCell ref="V310:W310"/>
    <mergeCell ref="X310:Y310"/>
    <mergeCell ref="Z310:AA310"/>
    <mergeCell ref="AB310:AC310"/>
    <mergeCell ref="AD311:AE311"/>
    <mergeCell ref="AF311:AG311"/>
    <mergeCell ref="AH311:AI311"/>
    <mergeCell ref="AJ311:AK311"/>
    <mergeCell ref="AL311:BB311"/>
    <mergeCell ref="P311:Q311"/>
    <mergeCell ref="R311:S311"/>
    <mergeCell ref="T311:U311"/>
    <mergeCell ref="V311:W311"/>
    <mergeCell ref="X311:Y311"/>
    <mergeCell ref="Z311:AA311"/>
    <mergeCell ref="AB311:AC311"/>
    <mergeCell ref="B311:C311"/>
    <mergeCell ref="D311:E311"/>
    <mergeCell ref="F311:G311"/>
    <mergeCell ref="H311:I311"/>
    <mergeCell ref="J311:K311"/>
    <mergeCell ref="L311:M311"/>
    <mergeCell ref="N311:O311"/>
    <mergeCell ref="AD312:AE312"/>
    <mergeCell ref="AF312:AG312"/>
    <mergeCell ref="AH312:AI312"/>
    <mergeCell ref="AJ312:AK312"/>
    <mergeCell ref="AL312:BB312"/>
    <mergeCell ref="AH313:AI313"/>
    <mergeCell ref="AJ313:AK313"/>
    <mergeCell ref="AL313:BB313"/>
    <mergeCell ref="B313:C313"/>
    <mergeCell ref="D313:E313"/>
    <mergeCell ref="F313:G313"/>
    <mergeCell ref="H313:I313"/>
    <mergeCell ref="J313:K313"/>
    <mergeCell ref="L313:M313"/>
    <mergeCell ref="N313:O313"/>
    <mergeCell ref="P315:Q315"/>
    <mergeCell ref="R315:S315"/>
    <mergeCell ref="T315:U315"/>
    <mergeCell ref="V315:W315"/>
    <mergeCell ref="X315:Y315"/>
    <mergeCell ref="Z315:AA315"/>
    <mergeCell ref="AB315:AC315"/>
    <mergeCell ref="B315:C315"/>
    <mergeCell ref="D315:E315"/>
    <mergeCell ref="F315:G315"/>
    <mergeCell ref="H315:I315"/>
    <mergeCell ref="J315:K315"/>
    <mergeCell ref="L315:M315"/>
    <mergeCell ref="N315:O315"/>
    <mergeCell ref="AD313:AE313"/>
    <mergeCell ref="AF313:AG313"/>
    <mergeCell ref="P313:Q313"/>
    <mergeCell ref="R313:S313"/>
    <mergeCell ref="T313:U313"/>
    <mergeCell ref="V313:W313"/>
    <mergeCell ref="X313:Y313"/>
    <mergeCell ref="Z313:AA313"/>
    <mergeCell ref="AB313:AC313"/>
    <mergeCell ref="AD314:AE314"/>
    <mergeCell ref="AF314:AG314"/>
    <mergeCell ref="AH314:AI314"/>
    <mergeCell ref="AJ314:AK314"/>
    <mergeCell ref="AL314:BB314"/>
    <mergeCell ref="P314:Q314"/>
    <mergeCell ref="R314:S314"/>
    <mergeCell ref="T314:U314"/>
    <mergeCell ref="V314:W314"/>
    <mergeCell ref="X314:Y314"/>
    <mergeCell ref="Z314:AA314"/>
    <mergeCell ref="AB314:AC314"/>
    <mergeCell ref="B314:C314"/>
    <mergeCell ref="D314:E314"/>
    <mergeCell ref="F314:G314"/>
    <mergeCell ref="H314:I314"/>
    <mergeCell ref="J314:K314"/>
    <mergeCell ref="L314:M314"/>
    <mergeCell ref="N314:O314"/>
    <mergeCell ref="AD315:AE315"/>
    <mergeCell ref="AF315:AG315"/>
    <mergeCell ref="AH315:AI315"/>
    <mergeCell ref="AJ315:AK315"/>
    <mergeCell ref="AL315:BB315"/>
    <mergeCell ref="AH316:AI316"/>
    <mergeCell ref="AJ316:AK316"/>
    <mergeCell ref="AL316:BB316"/>
    <mergeCell ref="B316:C316"/>
    <mergeCell ref="D316:E316"/>
    <mergeCell ref="F316:G316"/>
    <mergeCell ref="H316:I316"/>
    <mergeCell ref="J316:K316"/>
    <mergeCell ref="L316:M316"/>
    <mergeCell ref="N316:O316"/>
    <mergeCell ref="P318:Q318"/>
    <mergeCell ref="R318:S318"/>
    <mergeCell ref="T318:U318"/>
    <mergeCell ref="V318:W318"/>
    <mergeCell ref="X318:Y318"/>
    <mergeCell ref="Z318:AA318"/>
    <mergeCell ref="AB318:AC318"/>
    <mergeCell ref="B318:C318"/>
    <mergeCell ref="D318:E318"/>
    <mergeCell ref="F318:G318"/>
    <mergeCell ref="H318:I318"/>
    <mergeCell ref="J318:K318"/>
    <mergeCell ref="L318:M318"/>
    <mergeCell ref="N318:O318"/>
    <mergeCell ref="AD316:AE316"/>
    <mergeCell ref="AF316:AG316"/>
    <mergeCell ref="P316:Q316"/>
    <mergeCell ref="R316:S316"/>
    <mergeCell ref="T316:U316"/>
    <mergeCell ref="V316:W316"/>
    <mergeCell ref="X316:Y316"/>
    <mergeCell ref="Z316:AA316"/>
    <mergeCell ref="AB316:AC316"/>
    <mergeCell ref="AD317:AE317"/>
    <mergeCell ref="AF317:AG317"/>
    <mergeCell ref="AH317:AI317"/>
    <mergeCell ref="AJ317:AK317"/>
    <mergeCell ref="AL317:BB317"/>
    <mergeCell ref="P317:Q317"/>
    <mergeCell ref="R317:S317"/>
    <mergeCell ref="T317:U317"/>
    <mergeCell ref="V317:W317"/>
    <mergeCell ref="X317:Y317"/>
    <mergeCell ref="Z317:AA317"/>
    <mergeCell ref="AB317:AC317"/>
    <mergeCell ref="B317:C317"/>
    <mergeCell ref="D317:E317"/>
    <mergeCell ref="F317:G317"/>
    <mergeCell ref="H317:I317"/>
    <mergeCell ref="J317:K317"/>
    <mergeCell ref="L317:M317"/>
    <mergeCell ref="N317:O317"/>
    <mergeCell ref="AD318:AE318"/>
    <mergeCell ref="AF318:AG318"/>
    <mergeCell ref="AH318:AI318"/>
    <mergeCell ref="AJ318:AK318"/>
    <mergeCell ref="AL318:BB318"/>
    <mergeCell ref="AH319:AI319"/>
    <mergeCell ref="AJ319:AK319"/>
    <mergeCell ref="AL319:BB319"/>
    <mergeCell ref="B319:C319"/>
    <mergeCell ref="D319:E319"/>
    <mergeCell ref="F319:G319"/>
    <mergeCell ref="H319:I319"/>
    <mergeCell ref="J319:K319"/>
    <mergeCell ref="L319:M319"/>
    <mergeCell ref="N319:O319"/>
    <mergeCell ref="P321:Q321"/>
    <mergeCell ref="R321:S321"/>
    <mergeCell ref="T321:U321"/>
    <mergeCell ref="V321:W321"/>
    <mergeCell ref="X321:Y321"/>
    <mergeCell ref="Z321:AA321"/>
    <mergeCell ref="AB321:AC321"/>
    <mergeCell ref="B321:C321"/>
    <mergeCell ref="D321:E321"/>
    <mergeCell ref="F321:G321"/>
    <mergeCell ref="H321:I321"/>
    <mergeCell ref="J321:K321"/>
    <mergeCell ref="L321:M321"/>
    <mergeCell ref="N321:O321"/>
    <mergeCell ref="AD319:AE319"/>
    <mergeCell ref="AF319:AG319"/>
    <mergeCell ref="P319:Q319"/>
    <mergeCell ref="R319:S319"/>
    <mergeCell ref="T319:U319"/>
    <mergeCell ref="V319:W319"/>
    <mergeCell ref="X319:Y319"/>
    <mergeCell ref="Z319:AA319"/>
    <mergeCell ref="AB319:AC319"/>
    <mergeCell ref="AD320:AE320"/>
    <mergeCell ref="AF320:AG320"/>
    <mergeCell ref="AH320:AI320"/>
    <mergeCell ref="AJ320:AK320"/>
    <mergeCell ref="AL320:BB320"/>
    <mergeCell ref="P320:Q320"/>
    <mergeCell ref="R320:S320"/>
    <mergeCell ref="T320:U320"/>
    <mergeCell ref="V320:W320"/>
    <mergeCell ref="X320:Y320"/>
    <mergeCell ref="Z320:AA320"/>
    <mergeCell ref="AB320:AC320"/>
    <mergeCell ref="B320:C320"/>
    <mergeCell ref="D320:E320"/>
    <mergeCell ref="F320:G320"/>
    <mergeCell ref="H320:I320"/>
    <mergeCell ref="J320:K320"/>
    <mergeCell ref="L320:M320"/>
    <mergeCell ref="N320:O320"/>
    <mergeCell ref="AD321:AE321"/>
    <mergeCell ref="AF321:AG321"/>
    <mergeCell ref="AH321:AI321"/>
    <mergeCell ref="AJ321:AK321"/>
    <mergeCell ref="AL321:BB321"/>
    <mergeCell ref="AH322:AI322"/>
    <mergeCell ref="AJ322:AK322"/>
    <mergeCell ref="AL322:BB322"/>
    <mergeCell ref="B322:C322"/>
    <mergeCell ref="D322:E322"/>
    <mergeCell ref="F322:G322"/>
    <mergeCell ref="H322:I322"/>
    <mergeCell ref="J322:K322"/>
    <mergeCell ref="L322:M322"/>
    <mergeCell ref="N322:O322"/>
    <mergeCell ref="P324:Q324"/>
    <mergeCell ref="R324:S324"/>
    <mergeCell ref="T324:U324"/>
    <mergeCell ref="V324:W324"/>
    <mergeCell ref="X324:Y324"/>
    <mergeCell ref="Z324:AA324"/>
    <mergeCell ref="AB324:AC324"/>
    <mergeCell ref="B324:C324"/>
    <mergeCell ref="D324:E324"/>
    <mergeCell ref="F324:G324"/>
    <mergeCell ref="H324:I324"/>
    <mergeCell ref="J324:K324"/>
    <mergeCell ref="L324:M324"/>
    <mergeCell ref="N324:O324"/>
    <mergeCell ref="AD322:AE322"/>
    <mergeCell ref="AF322:AG322"/>
    <mergeCell ref="P322:Q322"/>
    <mergeCell ref="R322:S322"/>
    <mergeCell ref="T322:U322"/>
    <mergeCell ref="V322:W322"/>
    <mergeCell ref="X322:Y322"/>
    <mergeCell ref="Z322:AA322"/>
    <mergeCell ref="AB322:AC322"/>
    <mergeCell ref="AD323:AE323"/>
    <mergeCell ref="AF323:AG323"/>
    <mergeCell ref="AH323:AI323"/>
    <mergeCell ref="AJ323:AK323"/>
    <mergeCell ref="AL323:BB323"/>
    <mergeCell ref="P323:Q323"/>
    <mergeCell ref="R323:S323"/>
    <mergeCell ref="T323:U323"/>
    <mergeCell ref="V323:W323"/>
    <mergeCell ref="X323:Y323"/>
    <mergeCell ref="Z323:AA323"/>
    <mergeCell ref="AB323:AC323"/>
    <mergeCell ref="B323:C323"/>
    <mergeCell ref="D323:E323"/>
    <mergeCell ref="F323:G323"/>
    <mergeCell ref="H323:I323"/>
    <mergeCell ref="J323:K323"/>
    <mergeCell ref="L323:M323"/>
    <mergeCell ref="N323:O323"/>
    <mergeCell ref="AD324:AE324"/>
    <mergeCell ref="AF324:AG324"/>
    <mergeCell ref="AH324:AI324"/>
    <mergeCell ref="AJ324:AK324"/>
    <mergeCell ref="AL324:BB324"/>
    <mergeCell ref="B325:C325"/>
    <mergeCell ref="D325:E325"/>
    <mergeCell ref="F325:G325"/>
    <mergeCell ref="H325:I325"/>
    <mergeCell ref="J325:K325"/>
    <mergeCell ref="L325:M325"/>
    <mergeCell ref="N325:O325"/>
    <mergeCell ref="AD326:AE326"/>
    <mergeCell ref="AF326:AG326"/>
    <mergeCell ref="AH326:AI326"/>
    <mergeCell ref="AJ326:AK326"/>
    <mergeCell ref="AL326:BB326"/>
    <mergeCell ref="P326:Q326"/>
    <mergeCell ref="R326:S326"/>
    <mergeCell ref="T326:U326"/>
    <mergeCell ref="V326:W326"/>
    <mergeCell ref="X326:Y326"/>
    <mergeCell ref="Z326:AA326"/>
    <mergeCell ref="AB326:AC326"/>
    <mergeCell ref="B326:C326"/>
    <mergeCell ref="D326:E326"/>
    <mergeCell ref="F326:G326"/>
    <mergeCell ref="H326:I326"/>
    <mergeCell ref="J326:K326"/>
    <mergeCell ref="L326:M326"/>
    <mergeCell ref="N326:O326"/>
    <mergeCell ref="AD327:AE327"/>
    <mergeCell ref="AF327:AG327"/>
    <mergeCell ref="AH327:AI327"/>
    <mergeCell ref="AJ327:AK327"/>
    <mergeCell ref="AL327:BB327"/>
    <mergeCell ref="P327:Q327"/>
    <mergeCell ref="R327:S327"/>
    <mergeCell ref="T327:U327"/>
    <mergeCell ref="V327:W327"/>
    <mergeCell ref="X327:Y327"/>
    <mergeCell ref="Z327:AA327"/>
    <mergeCell ref="AB327:AC327"/>
    <mergeCell ref="B327:C327"/>
    <mergeCell ref="D327:E327"/>
    <mergeCell ref="F327:G327"/>
    <mergeCell ref="H327:I327"/>
    <mergeCell ref="J327:K327"/>
    <mergeCell ref="L327:M327"/>
    <mergeCell ref="N327:O327"/>
    <mergeCell ref="AH328:AI328"/>
    <mergeCell ref="AJ328:AK328"/>
    <mergeCell ref="AL328:BB328"/>
    <mergeCell ref="B328:C328"/>
    <mergeCell ref="D328:E328"/>
    <mergeCell ref="F328:G328"/>
    <mergeCell ref="H328:I328"/>
    <mergeCell ref="J328:K328"/>
    <mergeCell ref="L328:M328"/>
    <mergeCell ref="N328:O328"/>
    <mergeCell ref="P330:Q330"/>
    <mergeCell ref="R330:S330"/>
    <mergeCell ref="T330:U330"/>
    <mergeCell ref="V330:W330"/>
    <mergeCell ref="X330:Y330"/>
    <mergeCell ref="Z330:AA330"/>
    <mergeCell ref="AB330:AC330"/>
    <mergeCell ref="B330:C330"/>
    <mergeCell ref="D330:E330"/>
    <mergeCell ref="F330:G330"/>
    <mergeCell ref="H330:I330"/>
    <mergeCell ref="J330:K330"/>
    <mergeCell ref="L330:M330"/>
    <mergeCell ref="N330:O330"/>
    <mergeCell ref="AD328:AE328"/>
    <mergeCell ref="AF328:AG328"/>
    <mergeCell ref="P328:Q328"/>
    <mergeCell ref="R328:S328"/>
    <mergeCell ref="T328:U328"/>
    <mergeCell ref="V328:W328"/>
    <mergeCell ref="X328:Y328"/>
    <mergeCell ref="Z328:AA328"/>
    <mergeCell ref="AB328:AC328"/>
    <mergeCell ref="AD329:AE329"/>
    <mergeCell ref="AF329:AG329"/>
    <mergeCell ref="AH329:AI329"/>
    <mergeCell ref="AJ329:AK329"/>
    <mergeCell ref="AL329:BB329"/>
    <mergeCell ref="P329:Q329"/>
    <mergeCell ref="R329:S329"/>
    <mergeCell ref="T329:U329"/>
    <mergeCell ref="V329:W329"/>
    <mergeCell ref="X329:Y329"/>
    <mergeCell ref="Z329:AA329"/>
    <mergeCell ref="AB329:AC329"/>
    <mergeCell ref="B329:C329"/>
    <mergeCell ref="D329:E329"/>
    <mergeCell ref="F329:G329"/>
    <mergeCell ref="H329:I329"/>
    <mergeCell ref="J329:K329"/>
    <mergeCell ref="L329:M329"/>
    <mergeCell ref="N329:O329"/>
    <mergeCell ref="AD330:AE330"/>
    <mergeCell ref="AF330:AG330"/>
    <mergeCell ref="AH330:AI330"/>
    <mergeCell ref="AJ330:AK330"/>
    <mergeCell ref="AL330:BB330"/>
    <mergeCell ref="AH331:AI331"/>
    <mergeCell ref="AJ331:AK331"/>
    <mergeCell ref="AL331:BB331"/>
    <mergeCell ref="B331:C331"/>
    <mergeCell ref="D331:E331"/>
    <mergeCell ref="F331:G331"/>
    <mergeCell ref="H331:I331"/>
    <mergeCell ref="J331:K331"/>
    <mergeCell ref="L331:M331"/>
    <mergeCell ref="N331:O331"/>
    <mergeCell ref="P333:Q333"/>
    <mergeCell ref="R333:S333"/>
    <mergeCell ref="T333:U333"/>
    <mergeCell ref="V333:W333"/>
    <mergeCell ref="X333:Y333"/>
    <mergeCell ref="Z333:AA333"/>
    <mergeCell ref="AB333:AC333"/>
    <mergeCell ref="B333:C333"/>
    <mergeCell ref="D333:E333"/>
    <mergeCell ref="F333:G333"/>
    <mergeCell ref="H333:I333"/>
    <mergeCell ref="J333:K333"/>
    <mergeCell ref="L333:M333"/>
    <mergeCell ref="N333:O333"/>
    <mergeCell ref="P336:Q336"/>
    <mergeCell ref="R336:S336"/>
    <mergeCell ref="T336:U336"/>
    <mergeCell ref="V336:W336"/>
    <mergeCell ref="X336:Y336"/>
    <mergeCell ref="Z336:AA336"/>
    <mergeCell ref="AB336:AC336"/>
    <mergeCell ref="B336:C336"/>
    <mergeCell ref="D336:E336"/>
    <mergeCell ref="F336:G336"/>
    <mergeCell ref="H336:I336"/>
    <mergeCell ref="J336:K336"/>
    <mergeCell ref="L336:M336"/>
    <mergeCell ref="N336:O336"/>
    <mergeCell ref="X334:Y334"/>
    <mergeCell ref="Z334:AA334"/>
    <mergeCell ref="AB334:AC334"/>
    <mergeCell ref="AD335:AE335"/>
    <mergeCell ref="AF335:AG335"/>
    <mergeCell ref="AH335:AI335"/>
    <mergeCell ref="AJ335:AK335"/>
    <mergeCell ref="AL335:BB335"/>
    <mergeCell ref="P335:Q335"/>
    <mergeCell ref="R335:S335"/>
    <mergeCell ref="T335:U335"/>
    <mergeCell ref="V335:W335"/>
    <mergeCell ref="X335:Y335"/>
    <mergeCell ref="Z335:AA335"/>
    <mergeCell ref="AB335:AC335"/>
    <mergeCell ref="B335:C335"/>
    <mergeCell ref="D335:E335"/>
    <mergeCell ref="F335:G335"/>
    <mergeCell ref="H335:I335"/>
    <mergeCell ref="J335:K335"/>
    <mergeCell ref="L335:M335"/>
    <mergeCell ref="N335:O335"/>
    <mergeCell ref="AD336:AE336"/>
    <mergeCell ref="AF336:AG336"/>
    <mergeCell ref="AH336:AI336"/>
    <mergeCell ref="AJ336:AK336"/>
    <mergeCell ref="AD340:AE340"/>
    <mergeCell ref="AF340:AG340"/>
    <mergeCell ref="P340:Q340"/>
    <mergeCell ref="R340:S340"/>
    <mergeCell ref="T340:U340"/>
    <mergeCell ref="V340:W340"/>
    <mergeCell ref="X340:Y340"/>
    <mergeCell ref="Z340:AA340"/>
    <mergeCell ref="AB340:AC340"/>
    <mergeCell ref="AD341:AE341"/>
    <mergeCell ref="AF341:AG341"/>
    <mergeCell ref="AH341:AI341"/>
    <mergeCell ref="AJ341:AK341"/>
    <mergeCell ref="AL341:BB341"/>
    <mergeCell ref="P341:Q341"/>
    <mergeCell ref="R341:S341"/>
    <mergeCell ref="T341:U341"/>
    <mergeCell ref="V341:W341"/>
    <mergeCell ref="X341:Y341"/>
    <mergeCell ref="Z341:AA341"/>
    <mergeCell ref="AB341:AC341"/>
    <mergeCell ref="B341:C341"/>
    <mergeCell ref="D341:E341"/>
    <mergeCell ref="F341:G341"/>
    <mergeCell ref="H341:I341"/>
    <mergeCell ref="J341:K341"/>
    <mergeCell ref="L341:M341"/>
    <mergeCell ref="N341:O341"/>
    <mergeCell ref="AD342:AE342"/>
    <mergeCell ref="AF342:AG342"/>
    <mergeCell ref="AH342:AI342"/>
    <mergeCell ref="AJ342:AK342"/>
    <mergeCell ref="AL342:BB342"/>
    <mergeCell ref="AH340:AI340"/>
    <mergeCell ref="AJ340:AK340"/>
    <mergeCell ref="AL340:BB340"/>
    <mergeCell ref="B340:C340"/>
    <mergeCell ref="D340:E340"/>
    <mergeCell ref="F340:G340"/>
    <mergeCell ref="H340:I340"/>
    <mergeCell ref="J340:K340"/>
    <mergeCell ref="L340:M340"/>
    <mergeCell ref="N340:O340"/>
    <mergeCell ref="P342:Q342"/>
    <mergeCell ref="R342:S342"/>
    <mergeCell ref="T342:U342"/>
    <mergeCell ref="V342:W342"/>
    <mergeCell ref="X342:Y342"/>
    <mergeCell ref="Z342:AA342"/>
    <mergeCell ref="AB342:AC342"/>
    <mergeCell ref="B342:C342"/>
    <mergeCell ref="D342:E342"/>
    <mergeCell ref="F342:G342"/>
    <mergeCell ref="H342:I342"/>
    <mergeCell ref="J342:K342"/>
    <mergeCell ref="L342:M342"/>
    <mergeCell ref="N342:O342"/>
    <mergeCell ref="AH343:AI343"/>
    <mergeCell ref="AJ343:AK343"/>
    <mergeCell ref="AL343:BB343"/>
    <mergeCell ref="B343:C343"/>
    <mergeCell ref="D343:E343"/>
    <mergeCell ref="F343:G343"/>
    <mergeCell ref="H343:I343"/>
    <mergeCell ref="J343:K343"/>
    <mergeCell ref="L343:M343"/>
    <mergeCell ref="N343:O343"/>
    <mergeCell ref="AD343:AE343"/>
    <mergeCell ref="AF343:AG343"/>
    <mergeCell ref="P343:Q343"/>
    <mergeCell ref="R343:S343"/>
    <mergeCell ref="T343:U343"/>
    <mergeCell ref="V343:W343"/>
    <mergeCell ref="X343:Y343"/>
    <mergeCell ref="Z343:AA343"/>
    <mergeCell ref="AB343:AC343"/>
    <mergeCell ref="AD344:AE344"/>
    <mergeCell ref="AF344:AG344"/>
    <mergeCell ref="AH344:AI344"/>
    <mergeCell ref="AJ344:AK344"/>
    <mergeCell ref="AL344:BB344"/>
    <mergeCell ref="P344:Q344"/>
    <mergeCell ref="R344:S344"/>
    <mergeCell ref="T344:U344"/>
    <mergeCell ref="V344:W344"/>
    <mergeCell ref="X344:Y344"/>
    <mergeCell ref="Z344:AA344"/>
    <mergeCell ref="AB344:AC344"/>
    <mergeCell ref="B344:C344"/>
    <mergeCell ref="D344:E344"/>
    <mergeCell ref="F344:G344"/>
    <mergeCell ref="H344:I344"/>
    <mergeCell ref="J344:K344"/>
    <mergeCell ref="L344:M344"/>
    <mergeCell ref="N344:O344"/>
    <mergeCell ref="AD345:AE345"/>
    <mergeCell ref="AF345:AG345"/>
    <mergeCell ref="AH345:AI345"/>
    <mergeCell ref="AJ345:AK345"/>
    <mergeCell ref="AL345:BB345"/>
    <mergeCell ref="AH346:AI346"/>
    <mergeCell ref="AJ346:AK346"/>
    <mergeCell ref="AL346:BB346"/>
    <mergeCell ref="B346:C346"/>
    <mergeCell ref="D346:E346"/>
    <mergeCell ref="F346:G346"/>
    <mergeCell ref="H346:I346"/>
    <mergeCell ref="J346:K346"/>
    <mergeCell ref="L346:M346"/>
    <mergeCell ref="N346:O346"/>
    <mergeCell ref="AD331:AE331"/>
    <mergeCell ref="AF331:AG331"/>
    <mergeCell ref="P331:Q331"/>
    <mergeCell ref="R331:S331"/>
    <mergeCell ref="T331:U331"/>
    <mergeCell ref="V331:W331"/>
    <mergeCell ref="X331:Y331"/>
    <mergeCell ref="Z331:AA331"/>
    <mergeCell ref="AB331:AC331"/>
    <mergeCell ref="AD332:AE332"/>
    <mergeCell ref="AF332:AG332"/>
    <mergeCell ref="AH332:AI332"/>
    <mergeCell ref="AJ332:AK332"/>
    <mergeCell ref="AL332:BB332"/>
    <mergeCell ref="P332:Q332"/>
    <mergeCell ref="R332:S332"/>
    <mergeCell ref="T332:U332"/>
    <mergeCell ref="V332:W332"/>
    <mergeCell ref="X332:Y332"/>
    <mergeCell ref="Z332:AA332"/>
    <mergeCell ref="AB332:AC332"/>
    <mergeCell ref="B332:C332"/>
    <mergeCell ref="D332:E332"/>
    <mergeCell ref="F332:G332"/>
    <mergeCell ref="H332:I332"/>
    <mergeCell ref="J332:K332"/>
    <mergeCell ref="L332:M332"/>
    <mergeCell ref="N332:O332"/>
    <mergeCell ref="AD333:AE333"/>
    <mergeCell ref="AF333:AG333"/>
    <mergeCell ref="AH333:AI333"/>
    <mergeCell ref="AJ333:AK333"/>
    <mergeCell ref="AL333:BB333"/>
    <mergeCell ref="AH334:AI334"/>
    <mergeCell ref="AJ334:AK334"/>
    <mergeCell ref="AL334:BB334"/>
    <mergeCell ref="B334:C334"/>
    <mergeCell ref="D334:E334"/>
    <mergeCell ref="F334:G334"/>
    <mergeCell ref="H334:I334"/>
    <mergeCell ref="J334:K334"/>
    <mergeCell ref="L334:M334"/>
    <mergeCell ref="N334:O334"/>
    <mergeCell ref="AD334:AE334"/>
    <mergeCell ref="AF334:AG334"/>
    <mergeCell ref="P334:Q334"/>
    <mergeCell ref="R334:S334"/>
    <mergeCell ref="T334:U334"/>
    <mergeCell ref="V334:W334"/>
    <mergeCell ref="AL336:BB336"/>
    <mergeCell ref="AH337:AI337"/>
    <mergeCell ref="AJ337:AK337"/>
    <mergeCell ref="AL337:BB337"/>
    <mergeCell ref="B337:C337"/>
    <mergeCell ref="D337:E337"/>
    <mergeCell ref="F337:G337"/>
    <mergeCell ref="H337:I337"/>
    <mergeCell ref="J337:K337"/>
    <mergeCell ref="L337:M337"/>
    <mergeCell ref="N337:O337"/>
    <mergeCell ref="P339:Q339"/>
    <mergeCell ref="R339:S339"/>
    <mergeCell ref="T339:U339"/>
    <mergeCell ref="V339:W339"/>
    <mergeCell ref="X339:Y339"/>
    <mergeCell ref="Z339:AA339"/>
    <mergeCell ref="AB339:AC339"/>
    <mergeCell ref="B339:C339"/>
    <mergeCell ref="D339:E339"/>
    <mergeCell ref="F339:G339"/>
    <mergeCell ref="H339:I339"/>
    <mergeCell ref="J339:K339"/>
    <mergeCell ref="L339:M339"/>
    <mergeCell ref="N339:O339"/>
    <mergeCell ref="AD337:AE337"/>
    <mergeCell ref="AF337:AG337"/>
    <mergeCell ref="P337:Q337"/>
    <mergeCell ref="R337:S337"/>
    <mergeCell ref="T337:U337"/>
    <mergeCell ref="V337:W337"/>
    <mergeCell ref="X337:Y337"/>
    <mergeCell ref="Z337:AA337"/>
    <mergeCell ref="AB337:AC337"/>
    <mergeCell ref="AD338:AE338"/>
    <mergeCell ref="AF338:AG338"/>
    <mergeCell ref="AH338:AI338"/>
    <mergeCell ref="AJ338:AK338"/>
    <mergeCell ref="AL338:BB338"/>
    <mergeCell ref="P338:Q338"/>
    <mergeCell ref="R338:S338"/>
    <mergeCell ref="T338:U338"/>
    <mergeCell ref="V338:W338"/>
    <mergeCell ref="X338:Y338"/>
    <mergeCell ref="Z338:AA338"/>
    <mergeCell ref="AB338:AC338"/>
    <mergeCell ref="B338:C338"/>
    <mergeCell ref="D338:E338"/>
    <mergeCell ref="F338:G338"/>
    <mergeCell ref="H338:I338"/>
    <mergeCell ref="J338:K338"/>
    <mergeCell ref="L338:M338"/>
    <mergeCell ref="N338:O338"/>
    <mergeCell ref="AD339:AE339"/>
    <mergeCell ref="AF339:AG339"/>
    <mergeCell ref="AH339:AI339"/>
    <mergeCell ref="AJ339:AK339"/>
    <mergeCell ref="AL339:BB339"/>
    <mergeCell ref="P345:Q345"/>
    <mergeCell ref="R345:S345"/>
    <mergeCell ref="T345:U345"/>
    <mergeCell ref="V345:W345"/>
    <mergeCell ref="X345:Y345"/>
    <mergeCell ref="Z345:AA345"/>
    <mergeCell ref="AB345:AC345"/>
    <mergeCell ref="B345:C345"/>
    <mergeCell ref="D345:E345"/>
    <mergeCell ref="F345:G345"/>
    <mergeCell ref="H345:I345"/>
    <mergeCell ref="J345:K345"/>
    <mergeCell ref="L345:M345"/>
    <mergeCell ref="N345:O345"/>
    <mergeCell ref="AD367:AE367"/>
    <mergeCell ref="AF367:AG367"/>
    <mergeCell ref="AH367:AI367"/>
    <mergeCell ref="AJ367:AK367"/>
    <mergeCell ref="AL367:BB367"/>
    <mergeCell ref="P367:Q367"/>
    <mergeCell ref="R367:S367"/>
    <mergeCell ref="T367:U367"/>
    <mergeCell ref="V367:W367"/>
    <mergeCell ref="X367:Y367"/>
    <mergeCell ref="Z367:AA367"/>
    <mergeCell ref="AB367:AC367"/>
    <mergeCell ref="P348:Q348"/>
    <mergeCell ref="R348:S348"/>
    <mergeCell ref="T348:U348"/>
    <mergeCell ref="V348:W348"/>
    <mergeCell ref="X348:Y348"/>
    <mergeCell ref="Z348:AA348"/>
    <mergeCell ref="AB348:AC348"/>
    <mergeCell ref="B348:C348"/>
    <mergeCell ref="D348:E348"/>
    <mergeCell ref="F348:G348"/>
    <mergeCell ref="H348:I348"/>
    <mergeCell ref="J348:K348"/>
    <mergeCell ref="L348:M348"/>
    <mergeCell ref="N348:O348"/>
    <mergeCell ref="AD346:AE346"/>
    <mergeCell ref="AF346:AG346"/>
    <mergeCell ref="P346:Q346"/>
    <mergeCell ref="R346:S346"/>
    <mergeCell ref="T346:U346"/>
    <mergeCell ref="V346:W346"/>
    <mergeCell ref="X346:Y346"/>
    <mergeCell ref="Z346:AA346"/>
    <mergeCell ref="AB346:AC346"/>
    <mergeCell ref="AD347:AE347"/>
    <mergeCell ref="AF347:AG347"/>
    <mergeCell ref="AH347:AI347"/>
    <mergeCell ref="AJ347:AK347"/>
    <mergeCell ref="AL347:BB347"/>
    <mergeCell ref="P347:Q347"/>
    <mergeCell ref="R347:S347"/>
    <mergeCell ref="T347:U347"/>
    <mergeCell ref="V347:W347"/>
    <mergeCell ref="X347:Y347"/>
    <mergeCell ref="Z347:AA347"/>
    <mergeCell ref="AB347:AC347"/>
    <mergeCell ref="B347:C347"/>
    <mergeCell ref="D347:E347"/>
    <mergeCell ref="F347:G347"/>
    <mergeCell ref="H347:I347"/>
    <mergeCell ref="J347:K347"/>
    <mergeCell ref="L347:M347"/>
    <mergeCell ref="N347:O347"/>
    <mergeCell ref="AD348:AE348"/>
    <mergeCell ref="AF348:AG348"/>
    <mergeCell ref="AH348:AI348"/>
    <mergeCell ref="AJ348:AK348"/>
    <mergeCell ref="AL348:BB348"/>
    <mergeCell ref="AH349:AI349"/>
    <mergeCell ref="AJ349:AK349"/>
    <mergeCell ref="AL349:BB349"/>
    <mergeCell ref="B349:C349"/>
    <mergeCell ref="D349:E349"/>
    <mergeCell ref="F349:G349"/>
    <mergeCell ref="H349:I349"/>
    <mergeCell ref="J349:K349"/>
    <mergeCell ref="L349:M349"/>
    <mergeCell ref="N349:O349"/>
    <mergeCell ref="P351:Q351"/>
    <mergeCell ref="R351:S351"/>
    <mergeCell ref="T351:U351"/>
    <mergeCell ref="V351:W351"/>
    <mergeCell ref="X351:Y351"/>
    <mergeCell ref="Z351:AA351"/>
    <mergeCell ref="AB351:AC351"/>
    <mergeCell ref="B351:C351"/>
    <mergeCell ref="D351:E351"/>
    <mergeCell ref="F351:G351"/>
    <mergeCell ref="H351:I351"/>
    <mergeCell ref="J351:K351"/>
    <mergeCell ref="L351:M351"/>
    <mergeCell ref="N351:O351"/>
    <mergeCell ref="AD349:AE349"/>
    <mergeCell ref="AF349:AG349"/>
    <mergeCell ref="P349:Q349"/>
    <mergeCell ref="R349:S349"/>
    <mergeCell ref="T349:U349"/>
    <mergeCell ref="V349:W349"/>
    <mergeCell ref="X349:Y349"/>
    <mergeCell ref="Z349:AA349"/>
    <mergeCell ref="AB349:AC349"/>
    <mergeCell ref="AD350:AE350"/>
    <mergeCell ref="AF350:AG350"/>
    <mergeCell ref="AH350:AI350"/>
    <mergeCell ref="AJ350:AK350"/>
    <mergeCell ref="AL350:BB350"/>
    <mergeCell ref="P350:Q350"/>
    <mergeCell ref="R350:S350"/>
    <mergeCell ref="T350:U350"/>
    <mergeCell ref="V350:W350"/>
    <mergeCell ref="X350:Y350"/>
    <mergeCell ref="Z350:AA350"/>
    <mergeCell ref="AB350:AC350"/>
    <mergeCell ref="B350:C350"/>
    <mergeCell ref="D350:E350"/>
    <mergeCell ref="F350:G350"/>
    <mergeCell ref="H350:I350"/>
    <mergeCell ref="J350:K350"/>
    <mergeCell ref="L350:M350"/>
    <mergeCell ref="N350:O350"/>
    <mergeCell ref="AD351:AE351"/>
    <mergeCell ref="AF351:AG351"/>
    <mergeCell ref="AH351:AI351"/>
    <mergeCell ref="AJ351:AK351"/>
    <mergeCell ref="AL351:BB351"/>
    <mergeCell ref="AH352:AI352"/>
    <mergeCell ref="AJ352:AK352"/>
    <mergeCell ref="AL352:BB352"/>
    <mergeCell ref="B352:C352"/>
    <mergeCell ref="D352:E352"/>
    <mergeCell ref="F352:G352"/>
    <mergeCell ref="H352:I352"/>
    <mergeCell ref="J352:K352"/>
    <mergeCell ref="L352:M352"/>
    <mergeCell ref="N352:O352"/>
    <mergeCell ref="P354:Q354"/>
    <mergeCell ref="R354:S354"/>
    <mergeCell ref="T354:U354"/>
    <mergeCell ref="V354:W354"/>
    <mergeCell ref="X354:Y354"/>
    <mergeCell ref="Z354:AA354"/>
    <mergeCell ref="AB354:AC354"/>
    <mergeCell ref="B354:C354"/>
    <mergeCell ref="D354:E354"/>
    <mergeCell ref="F354:G354"/>
    <mergeCell ref="H354:I354"/>
    <mergeCell ref="J354:K354"/>
    <mergeCell ref="L354:M354"/>
    <mergeCell ref="N354:O354"/>
    <mergeCell ref="AD352:AE352"/>
    <mergeCell ref="AF352:AG352"/>
    <mergeCell ref="P352:Q352"/>
    <mergeCell ref="R352:S352"/>
    <mergeCell ref="T352:U352"/>
    <mergeCell ref="V352:W352"/>
    <mergeCell ref="X352:Y352"/>
    <mergeCell ref="Z352:AA352"/>
    <mergeCell ref="AB352:AC352"/>
    <mergeCell ref="AD353:AE353"/>
    <mergeCell ref="AF353:AG353"/>
    <mergeCell ref="AH353:AI353"/>
    <mergeCell ref="AJ353:AK353"/>
    <mergeCell ref="AL353:BB353"/>
    <mergeCell ref="P353:Q353"/>
    <mergeCell ref="R353:S353"/>
    <mergeCell ref="T353:U353"/>
    <mergeCell ref="V353:W353"/>
    <mergeCell ref="X353:Y353"/>
    <mergeCell ref="Z353:AA353"/>
    <mergeCell ref="AB353:AC353"/>
    <mergeCell ref="B353:C353"/>
    <mergeCell ref="D353:E353"/>
    <mergeCell ref="F353:G353"/>
    <mergeCell ref="H353:I353"/>
    <mergeCell ref="J353:K353"/>
    <mergeCell ref="L353:M353"/>
    <mergeCell ref="N353:O353"/>
    <mergeCell ref="AD354:AE354"/>
    <mergeCell ref="AF354:AG354"/>
    <mergeCell ref="AH354:AI354"/>
    <mergeCell ref="AJ354:AK354"/>
    <mergeCell ref="AL354:BB354"/>
    <mergeCell ref="AH355:AI355"/>
    <mergeCell ref="AJ355:AK355"/>
    <mergeCell ref="AL355:BB355"/>
    <mergeCell ref="B355:C355"/>
    <mergeCell ref="D355:E355"/>
    <mergeCell ref="F355:G355"/>
    <mergeCell ref="H355:I355"/>
    <mergeCell ref="J355:K355"/>
    <mergeCell ref="L355:M355"/>
    <mergeCell ref="N355:O355"/>
    <mergeCell ref="P357:Q357"/>
    <mergeCell ref="R357:S357"/>
    <mergeCell ref="T357:U357"/>
    <mergeCell ref="V357:W357"/>
    <mergeCell ref="X357:Y357"/>
    <mergeCell ref="Z357:AA357"/>
    <mergeCell ref="AB357:AC357"/>
    <mergeCell ref="B357:C357"/>
    <mergeCell ref="D357:E357"/>
    <mergeCell ref="F357:G357"/>
    <mergeCell ref="H357:I357"/>
    <mergeCell ref="J357:K357"/>
    <mergeCell ref="L357:M357"/>
    <mergeCell ref="N357:O357"/>
    <mergeCell ref="AD355:AE355"/>
    <mergeCell ref="AF355:AG355"/>
    <mergeCell ref="P355:Q355"/>
    <mergeCell ref="R355:S355"/>
    <mergeCell ref="T355:U355"/>
    <mergeCell ref="V355:W355"/>
    <mergeCell ref="X355:Y355"/>
    <mergeCell ref="Z355:AA355"/>
    <mergeCell ref="AB355:AC355"/>
    <mergeCell ref="AD356:AE356"/>
    <mergeCell ref="AF356:AG356"/>
    <mergeCell ref="AH356:AI356"/>
    <mergeCell ref="AJ356:AK356"/>
    <mergeCell ref="AL356:BB356"/>
    <mergeCell ref="P356:Q356"/>
    <mergeCell ref="R356:S356"/>
    <mergeCell ref="T356:U356"/>
    <mergeCell ref="V356:W356"/>
    <mergeCell ref="X356:Y356"/>
    <mergeCell ref="Z356:AA356"/>
    <mergeCell ref="AB356:AC356"/>
    <mergeCell ref="B356:C356"/>
    <mergeCell ref="D356:E356"/>
    <mergeCell ref="F356:G356"/>
    <mergeCell ref="H356:I356"/>
    <mergeCell ref="J356:K356"/>
    <mergeCell ref="L356:M356"/>
    <mergeCell ref="N356:O356"/>
    <mergeCell ref="AD357:AE357"/>
    <mergeCell ref="AF357:AG357"/>
    <mergeCell ref="AH357:AI357"/>
    <mergeCell ref="AJ357:AK357"/>
    <mergeCell ref="AL357:BB357"/>
    <mergeCell ref="AH358:AI358"/>
    <mergeCell ref="AJ358:AK358"/>
    <mergeCell ref="AL358:BB358"/>
    <mergeCell ref="B358:C358"/>
    <mergeCell ref="D358:E358"/>
    <mergeCell ref="F358:G358"/>
    <mergeCell ref="H358:I358"/>
    <mergeCell ref="J358:K358"/>
    <mergeCell ref="L358:M358"/>
    <mergeCell ref="N358:O358"/>
    <mergeCell ref="P360:Q360"/>
    <mergeCell ref="R360:S360"/>
    <mergeCell ref="T360:U360"/>
    <mergeCell ref="V360:W360"/>
    <mergeCell ref="X360:Y360"/>
    <mergeCell ref="Z360:AA360"/>
    <mergeCell ref="AB360:AC360"/>
    <mergeCell ref="B360:C360"/>
    <mergeCell ref="D360:E360"/>
    <mergeCell ref="F360:G360"/>
    <mergeCell ref="H360:I360"/>
    <mergeCell ref="J360:K360"/>
    <mergeCell ref="L360:M360"/>
    <mergeCell ref="N360:O360"/>
    <mergeCell ref="AD358:AE358"/>
    <mergeCell ref="AF358:AG358"/>
    <mergeCell ref="P358:Q358"/>
    <mergeCell ref="R358:S358"/>
    <mergeCell ref="T358:U358"/>
    <mergeCell ref="V358:W358"/>
    <mergeCell ref="X358:Y358"/>
    <mergeCell ref="Z358:AA358"/>
    <mergeCell ref="AB358:AC358"/>
    <mergeCell ref="AD359:AE359"/>
    <mergeCell ref="AF359:AG359"/>
    <mergeCell ref="AH359:AI359"/>
    <mergeCell ref="AJ359:AK359"/>
    <mergeCell ref="AL359:BB359"/>
    <mergeCell ref="P359:Q359"/>
    <mergeCell ref="R359:S359"/>
    <mergeCell ref="T359:U359"/>
    <mergeCell ref="V359:W359"/>
    <mergeCell ref="X359:Y359"/>
    <mergeCell ref="Z359:AA359"/>
    <mergeCell ref="AB359:AC359"/>
    <mergeCell ref="B359:C359"/>
    <mergeCell ref="D359:E359"/>
    <mergeCell ref="F359:G359"/>
    <mergeCell ref="H359:I359"/>
    <mergeCell ref="J359:K359"/>
    <mergeCell ref="L359:M359"/>
    <mergeCell ref="N359:O359"/>
    <mergeCell ref="AD360:AE360"/>
    <mergeCell ref="AF360:AG360"/>
    <mergeCell ref="AH360:AI360"/>
    <mergeCell ref="AJ360:AK360"/>
    <mergeCell ref="AL360:BB360"/>
    <mergeCell ref="AH361:AI361"/>
    <mergeCell ref="AJ361:AK361"/>
    <mergeCell ref="AL361:BB361"/>
    <mergeCell ref="B361:C361"/>
    <mergeCell ref="D361:E361"/>
    <mergeCell ref="F361:G361"/>
    <mergeCell ref="H361:I361"/>
    <mergeCell ref="J361:K361"/>
    <mergeCell ref="L361:M361"/>
    <mergeCell ref="N361:O361"/>
    <mergeCell ref="P363:Q363"/>
    <mergeCell ref="R363:S363"/>
    <mergeCell ref="T363:U363"/>
    <mergeCell ref="V363:W363"/>
    <mergeCell ref="X363:Y363"/>
    <mergeCell ref="Z363:AA363"/>
    <mergeCell ref="AB363:AC363"/>
    <mergeCell ref="B363:C363"/>
    <mergeCell ref="D363:E363"/>
    <mergeCell ref="F363:G363"/>
    <mergeCell ref="H363:I363"/>
    <mergeCell ref="J363:K363"/>
    <mergeCell ref="L363:M363"/>
    <mergeCell ref="N363:O363"/>
    <mergeCell ref="AD361:AE361"/>
    <mergeCell ref="AF361:AG361"/>
    <mergeCell ref="P361:Q361"/>
    <mergeCell ref="R361:S361"/>
    <mergeCell ref="T361:U361"/>
    <mergeCell ref="V361:W361"/>
    <mergeCell ref="X361:Y361"/>
    <mergeCell ref="Z361:AA361"/>
    <mergeCell ref="AB361:AC361"/>
    <mergeCell ref="AD362:AE362"/>
    <mergeCell ref="AF362:AG362"/>
    <mergeCell ref="AH362:AI362"/>
    <mergeCell ref="AJ362:AK362"/>
    <mergeCell ref="AL362:BB362"/>
    <mergeCell ref="P362:Q362"/>
    <mergeCell ref="R362:S362"/>
    <mergeCell ref="T362:U362"/>
    <mergeCell ref="V362:W362"/>
    <mergeCell ref="X362:Y362"/>
    <mergeCell ref="Z362:AA362"/>
    <mergeCell ref="AB362:AC362"/>
    <mergeCell ref="B362:C362"/>
    <mergeCell ref="D362:E362"/>
    <mergeCell ref="F362:G362"/>
    <mergeCell ref="H362:I362"/>
    <mergeCell ref="J362:K362"/>
    <mergeCell ref="L362:M362"/>
    <mergeCell ref="N362:O362"/>
    <mergeCell ref="AD363:AE363"/>
    <mergeCell ref="AF363:AG363"/>
    <mergeCell ref="AH363:AI363"/>
    <mergeCell ref="AJ363:AK363"/>
    <mergeCell ref="AL363:BB363"/>
    <mergeCell ref="AH364:AI364"/>
    <mergeCell ref="AJ364:AK364"/>
    <mergeCell ref="AL364:BB364"/>
    <mergeCell ref="B364:C364"/>
    <mergeCell ref="D364:E364"/>
    <mergeCell ref="F364:G364"/>
    <mergeCell ref="H364:I364"/>
    <mergeCell ref="J364:K364"/>
    <mergeCell ref="L364:M364"/>
    <mergeCell ref="N364:O364"/>
    <mergeCell ref="P366:Q366"/>
    <mergeCell ref="R366:S366"/>
    <mergeCell ref="T366:U366"/>
    <mergeCell ref="V366:W366"/>
    <mergeCell ref="X366:Y366"/>
    <mergeCell ref="Z366:AA366"/>
    <mergeCell ref="AB366:AC366"/>
    <mergeCell ref="B366:C366"/>
    <mergeCell ref="D366:E366"/>
    <mergeCell ref="F366:G366"/>
    <mergeCell ref="H366:I366"/>
    <mergeCell ref="J366:K366"/>
    <mergeCell ref="L366:M366"/>
    <mergeCell ref="N366:O366"/>
    <mergeCell ref="AD364:AE364"/>
    <mergeCell ref="AF364:AG364"/>
    <mergeCell ref="P364:Q364"/>
    <mergeCell ref="R364:S364"/>
    <mergeCell ref="T364:U364"/>
    <mergeCell ref="V364:W364"/>
    <mergeCell ref="X364:Y364"/>
    <mergeCell ref="Z364:AA364"/>
    <mergeCell ref="AB364:AC364"/>
    <mergeCell ref="AD365:AE365"/>
    <mergeCell ref="AF365:AG365"/>
    <mergeCell ref="AH365:AI365"/>
    <mergeCell ref="AJ365:AK365"/>
    <mergeCell ref="AL365:BB365"/>
    <mergeCell ref="P365:Q365"/>
    <mergeCell ref="R365:S365"/>
    <mergeCell ref="T365:U365"/>
    <mergeCell ref="V365:W365"/>
    <mergeCell ref="X365:Y365"/>
    <mergeCell ref="Z365:AA365"/>
    <mergeCell ref="AB365:AC365"/>
    <mergeCell ref="B365:C365"/>
    <mergeCell ref="D365:E365"/>
    <mergeCell ref="F365:G365"/>
    <mergeCell ref="H365:I365"/>
    <mergeCell ref="J365:K365"/>
    <mergeCell ref="L365:M365"/>
    <mergeCell ref="N365:O365"/>
    <mergeCell ref="AD366:AE366"/>
    <mergeCell ref="AF366:AG366"/>
    <mergeCell ref="AH366:AI366"/>
    <mergeCell ref="AJ366:AK366"/>
    <mergeCell ref="AL366:BB366"/>
    <mergeCell ref="B367:C367"/>
    <mergeCell ref="D367:E367"/>
    <mergeCell ref="F367:G367"/>
    <mergeCell ref="H367:I367"/>
    <mergeCell ref="J367:K367"/>
    <mergeCell ref="L367:M367"/>
    <mergeCell ref="N367:O367"/>
    <mergeCell ref="AD368:AE368"/>
    <mergeCell ref="AF368:AG368"/>
    <mergeCell ref="AH368:AI368"/>
    <mergeCell ref="AJ368:AK368"/>
    <mergeCell ref="AL368:BB368"/>
    <mergeCell ref="P368:Q368"/>
    <mergeCell ref="R368:S368"/>
    <mergeCell ref="T368:U368"/>
    <mergeCell ref="V368:W368"/>
    <mergeCell ref="X368:Y368"/>
    <mergeCell ref="Z368:AA368"/>
    <mergeCell ref="AB368:AC368"/>
    <mergeCell ref="B368:C368"/>
    <mergeCell ref="D368:E368"/>
    <mergeCell ref="F368:G368"/>
    <mergeCell ref="H368:I368"/>
    <mergeCell ref="J368:K368"/>
    <mergeCell ref="L368:M368"/>
    <mergeCell ref="N368:O368"/>
    <mergeCell ref="AD369:AE369"/>
    <mergeCell ref="AF369:AG369"/>
    <mergeCell ref="AH369:AI369"/>
    <mergeCell ref="AJ369:AK369"/>
    <mergeCell ref="AL369:BB369"/>
    <mergeCell ref="P369:Q369"/>
    <mergeCell ref="R369:S369"/>
    <mergeCell ref="T369:U369"/>
    <mergeCell ref="V369:W369"/>
    <mergeCell ref="X369:Y369"/>
    <mergeCell ref="Z369:AA369"/>
    <mergeCell ref="AB369:AC369"/>
    <mergeCell ref="B369:C369"/>
    <mergeCell ref="D369:E369"/>
    <mergeCell ref="F369:G369"/>
    <mergeCell ref="H369:I369"/>
    <mergeCell ref="J369:K369"/>
    <mergeCell ref="L369:M369"/>
    <mergeCell ref="N369:O369"/>
    <mergeCell ref="AH370:AI370"/>
    <mergeCell ref="AJ370:AK370"/>
    <mergeCell ref="AL370:BB370"/>
    <mergeCell ref="B370:C370"/>
    <mergeCell ref="D370:E370"/>
    <mergeCell ref="F370:G370"/>
    <mergeCell ref="H370:I370"/>
    <mergeCell ref="J370:K370"/>
    <mergeCell ref="L370:M370"/>
    <mergeCell ref="N370:O370"/>
    <mergeCell ref="P372:Q372"/>
    <mergeCell ref="R372:S372"/>
    <mergeCell ref="T372:U372"/>
    <mergeCell ref="V372:W372"/>
    <mergeCell ref="X372:Y372"/>
    <mergeCell ref="Z372:AA372"/>
    <mergeCell ref="AB372:AC372"/>
    <mergeCell ref="B372:C372"/>
    <mergeCell ref="D372:E372"/>
    <mergeCell ref="F372:G372"/>
    <mergeCell ref="H372:I372"/>
    <mergeCell ref="J372:K372"/>
    <mergeCell ref="L372:M372"/>
    <mergeCell ref="N372:O372"/>
    <mergeCell ref="AD370:AE370"/>
    <mergeCell ref="AF370:AG370"/>
    <mergeCell ref="P370:Q370"/>
    <mergeCell ref="R370:S370"/>
    <mergeCell ref="T370:U370"/>
    <mergeCell ref="V370:W370"/>
    <mergeCell ref="X370:Y370"/>
    <mergeCell ref="Z370:AA370"/>
    <mergeCell ref="AB370:AC370"/>
    <mergeCell ref="AD371:AE371"/>
    <mergeCell ref="AF371:AG371"/>
    <mergeCell ref="AH371:AI371"/>
    <mergeCell ref="AJ371:AK371"/>
    <mergeCell ref="AL371:BB371"/>
    <mergeCell ref="P371:Q371"/>
    <mergeCell ref="R371:S371"/>
    <mergeCell ref="T371:U371"/>
    <mergeCell ref="V371:W371"/>
    <mergeCell ref="X371:Y371"/>
    <mergeCell ref="Z371:AA371"/>
    <mergeCell ref="AB371:AC371"/>
    <mergeCell ref="B371:C371"/>
    <mergeCell ref="D371:E371"/>
    <mergeCell ref="F371:G371"/>
    <mergeCell ref="H371:I371"/>
    <mergeCell ref="J371:K371"/>
    <mergeCell ref="L371:M371"/>
    <mergeCell ref="N371:O371"/>
    <mergeCell ref="AD372:AE372"/>
    <mergeCell ref="AF372:AG372"/>
    <mergeCell ref="AH372:AI372"/>
    <mergeCell ref="AJ372:AK372"/>
    <mergeCell ref="AL372:BB372"/>
    <mergeCell ref="AH373:AI373"/>
    <mergeCell ref="AJ373:AK373"/>
    <mergeCell ref="AL373:BB373"/>
    <mergeCell ref="B373:C373"/>
    <mergeCell ref="D373:E373"/>
    <mergeCell ref="F373:G373"/>
    <mergeCell ref="H373:I373"/>
    <mergeCell ref="J373:K373"/>
    <mergeCell ref="L373:M373"/>
    <mergeCell ref="N373:O373"/>
    <mergeCell ref="P375:Q375"/>
    <mergeCell ref="R375:S375"/>
    <mergeCell ref="T375:U375"/>
    <mergeCell ref="V375:W375"/>
    <mergeCell ref="X375:Y375"/>
    <mergeCell ref="Z375:AA375"/>
    <mergeCell ref="AB375:AC375"/>
    <mergeCell ref="B375:C375"/>
    <mergeCell ref="D375:E375"/>
    <mergeCell ref="F375:G375"/>
    <mergeCell ref="H375:I375"/>
    <mergeCell ref="J375:K375"/>
    <mergeCell ref="L375:M375"/>
    <mergeCell ref="N375:O375"/>
    <mergeCell ref="P378:Q378"/>
    <mergeCell ref="R378:S378"/>
    <mergeCell ref="T378:U378"/>
    <mergeCell ref="V378:W378"/>
    <mergeCell ref="X378:Y378"/>
    <mergeCell ref="Z378:AA378"/>
    <mergeCell ref="AB378:AC378"/>
    <mergeCell ref="B378:C378"/>
    <mergeCell ref="D378:E378"/>
    <mergeCell ref="F378:G378"/>
    <mergeCell ref="H378:I378"/>
    <mergeCell ref="J378:K378"/>
    <mergeCell ref="L378:M378"/>
    <mergeCell ref="N378:O378"/>
    <mergeCell ref="X376:Y376"/>
    <mergeCell ref="Z376:AA376"/>
    <mergeCell ref="AB376:AC376"/>
    <mergeCell ref="AD377:AE377"/>
    <mergeCell ref="AF377:AG377"/>
    <mergeCell ref="AH377:AI377"/>
    <mergeCell ref="AJ377:AK377"/>
    <mergeCell ref="AL377:BB377"/>
    <mergeCell ref="P377:Q377"/>
    <mergeCell ref="R377:S377"/>
    <mergeCell ref="T377:U377"/>
    <mergeCell ref="V377:W377"/>
    <mergeCell ref="X377:Y377"/>
    <mergeCell ref="Z377:AA377"/>
    <mergeCell ref="AB377:AC377"/>
    <mergeCell ref="B377:C377"/>
    <mergeCell ref="D377:E377"/>
    <mergeCell ref="F377:G377"/>
    <mergeCell ref="H377:I377"/>
    <mergeCell ref="J377:K377"/>
    <mergeCell ref="L377:M377"/>
    <mergeCell ref="N377:O377"/>
    <mergeCell ref="AD378:AE378"/>
    <mergeCell ref="AF378:AG378"/>
    <mergeCell ref="AH378:AI378"/>
    <mergeCell ref="AJ378:AK378"/>
    <mergeCell ref="AD382:AE382"/>
    <mergeCell ref="AF382:AG382"/>
    <mergeCell ref="P382:Q382"/>
    <mergeCell ref="R382:S382"/>
    <mergeCell ref="T382:U382"/>
    <mergeCell ref="V382:W382"/>
    <mergeCell ref="X382:Y382"/>
    <mergeCell ref="Z382:AA382"/>
    <mergeCell ref="AB382:AC382"/>
    <mergeCell ref="AD383:AE383"/>
    <mergeCell ref="AF383:AG383"/>
    <mergeCell ref="AH383:AI383"/>
    <mergeCell ref="AJ383:AK383"/>
    <mergeCell ref="AL383:BB383"/>
    <mergeCell ref="P383:Q383"/>
    <mergeCell ref="R383:S383"/>
    <mergeCell ref="T383:U383"/>
    <mergeCell ref="V383:W383"/>
    <mergeCell ref="X383:Y383"/>
    <mergeCell ref="Z383:AA383"/>
    <mergeCell ref="AB383:AC383"/>
    <mergeCell ref="B383:C383"/>
    <mergeCell ref="D383:E383"/>
    <mergeCell ref="F383:G383"/>
    <mergeCell ref="H383:I383"/>
    <mergeCell ref="J383:K383"/>
    <mergeCell ref="L383:M383"/>
    <mergeCell ref="N383:O383"/>
    <mergeCell ref="AD384:AE384"/>
    <mergeCell ref="AF384:AG384"/>
    <mergeCell ref="AH384:AI384"/>
    <mergeCell ref="AJ384:AK384"/>
    <mergeCell ref="AL384:BB384"/>
    <mergeCell ref="AH382:AI382"/>
    <mergeCell ref="AJ382:AK382"/>
    <mergeCell ref="AL382:BB382"/>
    <mergeCell ref="B382:C382"/>
    <mergeCell ref="D382:E382"/>
    <mergeCell ref="F382:G382"/>
    <mergeCell ref="H382:I382"/>
    <mergeCell ref="J382:K382"/>
    <mergeCell ref="L382:M382"/>
    <mergeCell ref="N382:O382"/>
    <mergeCell ref="P384:Q384"/>
    <mergeCell ref="R384:S384"/>
    <mergeCell ref="T384:U384"/>
    <mergeCell ref="V384:W384"/>
    <mergeCell ref="X384:Y384"/>
    <mergeCell ref="Z384:AA384"/>
    <mergeCell ref="AB384:AC384"/>
    <mergeCell ref="B384:C384"/>
    <mergeCell ref="D384:E384"/>
    <mergeCell ref="F384:G384"/>
    <mergeCell ref="H384:I384"/>
    <mergeCell ref="J384:K384"/>
    <mergeCell ref="L384:M384"/>
    <mergeCell ref="N384:O384"/>
    <mergeCell ref="AH385:AI385"/>
    <mergeCell ref="AJ385:AK385"/>
    <mergeCell ref="AL385:BB385"/>
    <mergeCell ref="B385:C385"/>
    <mergeCell ref="D385:E385"/>
    <mergeCell ref="F385:G385"/>
    <mergeCell ref="H385:I385"/>
    <mergeCell ref="J385:K385"/>
    <mergeCell ref="L385:M385"/>
    <mergeCell ref="N385:O385"/>
    <mergeCell ref="AD385:AE385"/>
    <mergeCell ref="AF385:AG385"/>
    <mergeCell ref="P385:Q385"/>
    <mergeCell ref="R385:S385"/>
    <mergeCell ref="T385:U385"/>
    <mergeCell ref="V385:W385"/>
    <mergeCell ref="X385:Y385"/>
    <mergeCell ref="Z385:AA385"/>
    <mergeCell ref="AB385:AC385"/>
    <mergeCell ref="AD386:AE386"/>
    <mergeCell ref="AF386:AG386"/>
    <mergeCell ref="AH386:AI386"/>
    <mergeCell ref="AJ386:AK386"/>
    <mergeCell ref="AL386:BB386"/>
    <mergeCell ref="P386:Q386"/>
    <mergeCell ref="R386:S386"/>
    <mergeCell ref="T386:U386"/>
    <mergeCell ref="V386:W386"/>
    <mergeCell ref="X386:Y386"/>
    <mergeCell ref="Z386:AA386"/>
    <mergeCell ref="AB386:AC386"/>
    <mergeCell ref="B386:C386"/>
    <mergeCell ref="D386:E386"/>
    <mergeCell ref="F386:G386"/>
    <mergeCell ref="H386:I386"/>
    <mergeCell ref="J386:K386"/>
    <mergeCell ref="L386:M386"/>
    <mergeCell ref="N386:O386"/>
    <mergeCell ref="AD387:AE387"/>
    <mergeCell ref="AF387:AG387"/>
    <mergeCell ref="AH387:AI387"/>
    <mergeCell ref="AJ387:AK387"/>
    <mergeCell ref="AL387:BB387"/>
    <mergeCell ref="AH388:AI388"/>
    <mergeCell ref="AJ388:AK388"/>
    <mergeCell ref="AL388:BB388"/>
    <mergeCell ref="B388:C388"/>
    <mergeCell ref="D388:E388"/>
    <mergeCell ref="F388:G388"/>
    <mergeCell ref="H388:I388"/>
    <mergeCell ref="J388:K388"/>
    <mergeCell ref="L388:M388"/>
    <mergeCell ref="N388:O388"/>
    <mergeCell ref="AD373:AE373"/>
    <mergeCell ref="AF373:AG373"/>
    <mergeCell ref="P373:Q373"/>
    <mergeCell ref="R373:S373"/>
    <mergeCell ref="T373:U373"/>
    <mergeCell ref="V373:W373"/>
    <mergeCell ref="X373:Y373"/>
    <mergeCell ref="Z373:AA373"/>
    <mergeCell ref="AB373:AC373"/>
    <mergeCell ref="AD374:AE374"/>
    <mergeCell ref="AF374:AG374"/>
    <mergeCell ref="AH374:AI374"/>
    <mergeCell ref="AJ374:AK374"/>
    <mergeCell ref="AL374:BB374"/>
    <mergeCell ref="P374:Q374"/>
    <mergeCell ref="R374:S374"/>
    <mergeCell ref="T374:U374"/>
    <mergeCell ref="V374:W374"/>
    <mergeCell ref="X374:Y374"/>
    <mergeCell ref="Z374:AA374"/>
    <mergeCell ref="AB374:AC374"/>
    <mergeCell ref="B374:C374"/>
    <mergeCell ref="D374:E374"/>
    <mergeCell ref="F374:G374"/>
    <mergeCell ref="H374:I374"/>
    <mergeCell ref="J374:K374"/>
    <mergeCell ref="L374:M374"/>
    <mergeCell ref="N374:O374"/>
    <mergeCell ref="AD375:AE375"/>
    <mergeCell ref="AF375:AG375"/>
    <mergeCell ref="AH375:AI375"/>
    <mergeCell ref="AJ375:AK375"/>
    <mergeCell ref="AL375:BB375"/>
    <mergeCell ref="AH376:AI376"/>
    <mergeCell ref="AJ376:AK376"/>
    <mergeCell ref="AL376:BB376"/>
    <mergeCell ref="B376:C376"/>
    <mergeCell ref="D376:E376"/>
    <mergeCell ref="F376:G376"/>
    <mergeCell ref="H376:I376"/>
    <mergeCell ref="J376:K376"/>
    <mergeCell ref="L376:M376"/>
    <mergeCell ref="N376:O376"/>
    <mergeCell ref="AD376:AE376"/>
    <mergeCell ref="AF376:AG376"/>
    <mergeCell ref="P376:Q376"/>
    <mergeCell ref="R376:S376"/>
    <mergeCell ref="T376:U376"/>
    <mergeCell ref="V376:W376"/>
    <mergeCell ref="AL378:BB378"/>
    <mergeCell ref="AH379:AI379"/>
    <mergeCell ref="AJ379:AK379"/>
    <mergeCell ref="AL379:BB379"/>
    <mergeCell ref="B379:C379"/>
    <mergeCell ref="D379:E379"/>
    <mergeCell ref="F379:G379"/>
    <mergeCell ref="H379:I379"/>
    <mergeCell ref="J379:K379"/>
    <mergeCell ref="L379:M379"/>
    <mergeCell ref="N379:O379"/>
    <mergeCell ref="P381:Q381"/>
    <mergeCell ref="R381:S381"/>
    <mergeCell ref="T381:U381"/>
    <mergeCell ref="V381:W381"/>
    <mergeCell ref="X381:Y381"/>
    <mergeCell ref="Z381:AA381"/>
    <mergeCell ref="AB381:AC381"/>
    <mergeCell ref="B381:C381"/>
    <mergeCell ref="D381:E381"/>
    <mergeCell ref="F381:G381"/>
    <mergeCell ref="H381:I381"/>
    <mergeCell ref="J381:K381"/>
    <mergeCell ref="L381:M381"/>
    <mergeCell ref="N381:O381"/>
    <mergeCell ref="AD379:AE379"/>
    <mergeCell ref="AF379:AG379"/>
    <mergeCell ref="P379:Q379"/>
    <mergeCell ref="R379:S379"/>
    <mergeCell ref="T379:U379"/>
    <mergeCell ref="V379:W379"/>
    <mergeCell ref="X379:Y379"/>
    <mergeCell ref="Z379:AA379"/>
    <mergeCell ref="AB379:AC379"/>
    <mergeCell ref="AD380:AE380"/>
    <mergeCell ref="AF380:AG380"/>
    <mergeCell ref="AH380:AI380"/>
    <mergeCell ref="AJ380:AK380"/>
    <mergeCell ref="AL380:BB380"/>
    <mergeCell ref="P380:Q380"/>
    <mergeCell ref="R380:S380"/>
    <mergeCell ref="T380:U380"/>
    <mergeCell ref="V380:W380"/>
    <mergeCell ref="X380:Y380"/>
    <mergeCell ref="Z380:AA380"/>
    <mergeCell ref="AB380:AC380"/>
    <mergeCell ref="B380:C380"/>
    <mergeCell ref="D380:E380"/>
    <mergeCell ref="F380:G380"/>
    <mergeCell ref="H380:I380"/>
    <mergeCell ref="J380:K380"/>
    <mergeCell ref="L380:M380"/>
    <mergeCell ref="N380:O380"/>
    <mergeCell ref="AD381:AE381"/>
    <mergeCell ref="AF381:AG381"/>
    <mergeCell ref="AH381:AI381"/>
    <mergeCell ref="AJ381:AK381"/>
    <mergeCell ref="AL381:BB381"/>
    <mergeCell ref="P387:Q387"/>
    <mergeCell ref="R387:S387"/>
    <mergeCell ref="T387:U387"/>
    <mergeCell ref="V387:W387"/>
    <mergeCell ref="X387:Y387"/>
    <mergeCell ref="Z387:AA387"/>
    <mergeCell ref="AB387:AC387"/>
    <mergeCell ref="B387:C387"/>
    <mergeCell ref="D387:E387"/>
    <mergeCell ref="F387:G387"/>
    <mergeCell ref="H387:I387"/>
    <mergeCell ref="J387:K387"/>
    <mergeCell ref="L387:M387"/>
    <mergeCell ref="N387:O387"/>
    <mergeCell ref="AD409:AE409"/>
    <mergeCell ref="AF409:AG409"/>
    <mergeCell ref="AH409:AI409"/>
    <mergeCell ref="AJ409:AK409"/>
    <mergeCell ref="AL409:BB409"/>
    <mergeCell ref="P409:Q409"/>
    <mergeCell ref="R409:S409"/>
    <mergeCell ref="T409:U409"/>
    <mergeCell ref="V409:W409"/>
    <mergeCell ref="X409:Y409"/>
    <mergeCell ref="Z409:AA409"/>
    <mergeCell ref="AB409:AC409"/>
    <mergeCell ref="P390:Q390"/>
    <mergeCell ref="R390:S390"/>
    <mergeCell ref="T390:U390"/>
    <mergeCell ref="V390:W390"/>
    <mergeCell ref="X390:Y390"/>
    <mergeCell ref="Z390:AA390"/>
    <mergeCell ref="AB390:AC390"/>
    <mergeCell ref="B390:C390"/>
    <mergeCell ref="D390:E390"/>
    <mergeCell ref="F390:G390"/>
    <mergeCell ref="H390:I390"/>
    <mergeCell ref="J390:K390"/>
    <mergeCell ref="L390:M390"/>
    <mergeCell ref="N390:O390"/>
    <mergeCell ref="AD388:AE388"/>
    <mergeCell ref="AF388:AG388"/>
    <mergeCell ref="P388:Q388"/>
    <mergeCell ref="R388:S388"/>
    <mergeCell ref="T388:U388"/>
    <mergeCell ref="V388:W388"/>
    <mergeCell ref="X388:Y388"/>
    <mergeCell ref="Z388:AA388"/>
    <mergeCell ref="AB388:AC388"/>
    <mergeCell ref="AD389:AE389"/>
    <mergeCell ref="AF389:AG389"/>
    <mergeCell ref="AH389:AI389"/>
    <mergeCell ref="AJ389:AK389"/>
    <mergeCell ref="AL389:BB389"/>
    <mergeCell ref="P389:Q389"/>
    <mergeCell ref="R389:S389"/>
    <mergeCell ref="T389:U389"/>
    <mergeCell ref="V389:W389"/>
    <mergeCell ref="X389:Y389"/>
    <mergeCell ref="Z389:AA389"/>
    <mergeCell ref="AB389:AC389"/>
    <mergeCell ref="B389:C389"/>
    <mergeCell ref="D389:E389"/>
    <mergeCell ref="F389:G389"/>
    <mergeCell ref="H389:I389"/>
    <mergeCell ref="J389:K389"/>
    <mergeCell ref="L389:M389"/>
    <mergeCell ref="N389:O389"/>
    <mergeCell ref="AD390:AE390"/>
    <mergeCell ref="AF390:AG390"/>
    <mergeCell ref="AH390:AI390"/>
    <mergeCell ref="AJ390:AK390"/>
    <mergeCell ref="AL390:BB390"/>
    <mergeCell ref="AH391:AI391"/>
    <mergeCell ref="AJ391:AK391"/>
    <mergeCell ref="AL391:BB391"/>
    <mergeCell ref="B391:C391"/>
    <mergeCell ref="D391:E391"/>
    <mergeCell ref="F391:G391"/>
    <mergeCell ref="H391:I391"/>
    <mergeCell ref="J391:K391"/>
    <mergeCell ref="L391:M391"/>
    <mergeCell ref="N391:O391"/>
    <mergeCell ref="P393:Q393"/>
    <mergeCell ref="R393:S393"/>
    <mergeCell ref="T393:U393"/>
    <mergeCell ref="V393:W393"/>
    <mergeCell ref="X393:Y393"/>
    <mergeCell ref="Z393:AA393"/>
    <mergeCell ref="AB393:AC393"/>
    <mergeCell ref="B393:C393"/>
    <mergeCell ref="D393:E393"/>
    <mergeCell ref="F393:G393"/>
    <mergeCell ref="H393:I393"/>
    <mergeCell ref="J393:K393"/>
    <mergeCell ref="L393:M393"/>
    <mergeCell ref="N393:O393"/>
    <mergeCell ref="AD391:AE391"/>
    <mergeCell ref="AF391:AG391"/>
    <mergeCell ref="P391:Q391"/>
    <mergeCell ref="R391:S391"/>
    <mergeCell ref="T391:U391"/>
    <mergeCell ref="V391:W391"/>
    <mergeCell ref="X391:Y391"/>
    <mergeCell ref="Z391:AA391"/>
    <mergeCell ref="AB391:AC391"/>
    <mergeCell ref="AD392:AE392"/>
    <mergeCell ref="AF392:AG392"/>
    <mergeCell ref="AH392:AI392"/>
    <mergeCell ref="AJ392:AK392"/>
    <mergeCell ref="AL392:BB392"/>
    <mergeCell ref="P392:Q392"/>
    <mergeCell ref="R392:S392"/>
    <mergeCell ref="T392:U392"/>
    <mergeCell ref="V392:W392"/>
    <mergeCell ref="X392:Y392"/>
    <mergeCell ref="Z392:AA392"/>
    <mergeCell ref="AB392:AC392"/>
    <mergeCell ref="B392:C392"/>
    <mergeCell ref="D392:E392"/>
    <mergeCell ref="F392:G392"/>
    <mergeCell ref="H392:I392"/>
    <mergeCell ref="J392:K392"/>
    <mergeCell ref="L392:M392"/>
    <mergeCell ref="N392:O392"/>
    <mergeCell ref="AD393:AE393"/>
    <mergeCell ref="AF393:AG393"/>
    <mergeCell ref="AH393:AI393"/>
    <mergeCell ref="AJ393:AK393"/>
    <mergeCell ref="AL393:BB393"/>
    <mergeCell ref="AH394:AI394"/>
    <mergeCell ref="AJ394:AK394"/>
    <mergeCell ref="AL394:BB394"/>
    <mergeCell ref="B394:C394"/>
    <mergeCell ref="D394:E394"/>
    <mergeCell ref="F394:G394"/>
    <mergeCell ref="H394:I394"/>
    <mergeCell ref="J394:K394"/>
    <mergeCell ref="L394:M394"/>
    <mergeCell ref="N394:O394"/>
    <mergeCell ref="P396:Q396"/>
    <mergeCell ref="R396:S396"/>
    <mergeCell ref="T396:U396"/>
    <mergeCell ref="V396:W396"/>
    <mergeCell ref="X396:Y396"/>
    <mergeCell ref="Z396:AA396"/>
    <mergeCell ref="AB396:AC396"/>
    <mergeCell ref="B396:C396"/>
    <mergeCell ref="D396:E396"/>
    <mergeCell ref="F396:G396"/>
    <mergeCell ref="H396:I396"/>
    <mergeCell ref="J396:K396"/>
    <mergeCell ref="L396:M396"/>
    <mergeCell ref="N396:O396"/>
    <mergeCell ref="AD394:AE394"/>
    <mergeCell ref="AF394:AG394"/>
    <mergeCell ref="P394:Q394"/>
    <mergeCell ref="R394:S394"/>
    <mergeCell ref="T394:U394"/>
    <mergeCell ref="V394:W394"/>
    <mergeCell ref="X394:Y394"/>
    <mergeCell ref="Z394:AA394"/>
    <mergeCell ref="AB394:AC394"/>
    <mergeCell ref="AD395:AE395"/>
    <mergeCell ref="AF395:AG395"/>
    <mergeCell ref="AH395:AI395"/>
    <mergeCell ref="AJ395:AK395"/>
    <mergeCell ref="AL395:BB395"/>
    <mergeCell ref="P395:Q395"/>
    <mergeCell ref="R395:S395"/>
    <mergeCell ref="T395:U395"/>
    <mergeCell ref="V395:W395"/>
    <mergeCell ref="X395:Y395"/>
    <mergeCell ref="Z395:AA395"/>
    <mergeCell ref="AB395:AC395"/>
    <mergeCell ref="B395:C395"/>
    <mergeCell ref="D395:E395"/>
    <mergeCell ref="F395:G395"/>
    <mergeCell ref="H395:I395"/>
    <mergeCell ref="J395:K395"/>
    <mergeCell ref="L395:M395"/>
    <mergeCell ref="N395:O395"/>
    <mergeCell ref="AD396:AE396"/>
    <mergeCell ref="AF396:AG396"/>
    <mergeCell ref="AH396:AI396"/>
    <mergeCell ref="AJ396:AK396"/>
    <mergeCell ref="AL396:BB396"/>
    <mergeCell ref="AH397:AI397"/>
    <mergeCell ref="AJ397:AK397"/>
    <mergeCell ref="AL397:BB397"/>
    <mergeCell ref="B397:C397"/>
    <mergeCell ref="D397:E397"/>
    <mergeCell ref="F397:G397"/>
    <mergeCell ref="H397:I397"/>
    <mergeCell ref="J397:K397"/>
    <mergeCell ref="L397:M397"/>
    <mergeCell ref="N397:O397"/>
    <mergeCell ref="P399:Q399"/>
    <mergeCell ref="R399:S399"/>
    <mergeCell ref="T399:U399"/>
    <mergeCell ref="V399:W399"/>
    <mergeCell ref="X399:Y399"/>
    <mergeCell ref="Z399:AA399"/>
    <mergeCell ref="AB399:AC399"/>
    <mergeCell ref="B399:C399"/>
    <mergeCell ref="D399:E399"/>
    <mergeCell ref="F399:G399"/>
    <mergeCell ref="H399:I399"/>
    <mergeCell ref="J399:K399"/>
    <mergeCell ref="L399:M399"/>
    <mergeCell ref="N399:O399"/>
    <mergeCell ref="AD397:AE397"/>
    <mergeCell ref="AF397:AG397"/>
    <mergeCell ref="P397:Q397"/>
    <mergeCell ref="R397:S397"/>
    <mergeCell ref="T397:U397"/>
    <mergeCell ref="V397:W397"/>
    <mergeCell ref="X397:Y397"/>
    <mergeCell ref="Z397:AA397"/>
    <mergeCell ref="AB397:AC397"/>
    <mergeCell ref="AD398:AE398"/>
    <mergeCell ref="AF398:AG398"/>
    <mergeCell ref="AH398:AI398"/>
    <mergeCell ref="AJ398:AK398"/>
    <mergeCell ref="AL398:BB398"/>
    <mergeCell ref="P398:Q398"/>
    <mergeCell ref="R398:S398"/>
    <mergeCell ref="T398:U398"/>
    <mergeCell ref="V398:W398"/>
    <mergeCell ref="X398:Y398"/>
    <mergeCell ref="Z398:AA398"/>
    <mergeCell ref="AB398:AC398"/>
    <mergeCell ref="B398:C398"/>
    <mergeCell ref="D398:E398"/>
    <mergeCell ref="F398:G398"/>
    <mergeCell ref="H398:I398"/>
    <mergeCell ref="J398:K398"/>
    <mergeCell ref="L398:M398"/>
    <mergeCell ref="N398:O398"/>
    <mergeCell ref="AD399:AE399"/>
    <mergeCell ref="AF399:AG399"/>
    <mergeCell ref="AH399:AI399"/>
    <mergeCell ref="AJ399:AK399"/>
    <mergeCell ref="AL399:BB399"/>
    <mergeCell ref="AH400:AI400"/>
    <mergeCell ref="AJ400:AK400"/>
    <mergeCell ref="AL400:BB400"/>
    <mergeCell ref="B400:C400"/>
    <mergeCell ref="D400:E400"/>
    <mergeCell ref="F400:G400"/>
    <mergeCell ref="H400:I400"/>
    <mergeCell ref="J400:K400"/>
    <mergeCell ref="L400:M400"/>
    <mergeCell ref="N400:O400"/>
    <mergeCell ref="P402:Q402"/>
    <mergeCell ref="R402:S402"/>
    <mergeCell ref="T402:U402"/>
    <mergeCell ref="V402:W402"/>
    <mergeCell ref="X402:Y402"/>
    <mergeCell ref="Z402:AA402"/>
    <mergeCell ref="AB402:AC402"/>
    <mergeCell ref="B402:C402"/>
    <mergeCell ref="D402:E402"/>
    <mergeCell ref="F402:G402"/>
    <mergeCell ref="H402:I402"/>
    <mergeCell ref="J402:K402"/>
    <mergeCell ref="L402:M402"/>
    <mergeCell ref="N402:O402"/>
    <mergeCell ref="AD400:AE400"/>
    <mergeCell ref="AF400:AG400"/>
    <mergeCell ref="P400:Q400"/>
    <mergeCell ref="R400:S400"/>
    <mergeCell ref="T400:U400"/>
    <mergeCell ref="V400:W400"/>
    <mergeCell ref="X400:Y400"/>
    <mergeCell ref="Z400:AA400"/>
    <mergeCell ref="AB400:AC400"/>
    <mergeCell ref="AD401:AE401"/>
    <mergeCell ref="AF401:AG401"/>
    <mergeCell ref="AH401:AI401"/>
    <mergeCell ref="AJ401:AK401"/>
    <mergeCell ref="AL401:BB401"/>
    <mergeCell ref="P401:Q401"/>
    <mergeCell ref="R401:S401"/>
    <mergeCell ref="T401:U401"/>
    <mergeCell ref="V401:W401"/>
    <mergeCell ref="X401:Y401"/>
    <mergeCell ref="Z401:AA401"/>
    <mergeCell ref="AB401:AC401"/>
    <mergeCell ref="B401:C401"/>
    <mergeCell ref="D401:E401"/>
    <mergeCell ref="F401:G401"/>
    <mergeCell ref="H401:I401"/>
    <mergeCell ref="J401:K401"/>
    <mergeCell ref="L401:M401"/>
    <mergeCell ref="N401:O401"/>
    <mergeCell ref="AD402:AE402"/>
    <mergeCell ref="AF402:AG402"/>
    <mergeCell ref="AH402:AI402"/>
    <mergeCell ref="AJ402:AK402"/>
    <mergeCell ref="AL402:BB402"/>
    <mergeCell ref="AH403:AI403"/>
    <mergeCell ref="AJ403:AK403"/>
    <mergeCell ref="AL403:BB403"/>
    <mergeCell ref="B403:C403"/>
    <mergeCell ref="D403:E403"/>
    <mergeCell ref="F403:G403"/>
    <mergeCell ref="H403:I403"/>
    <mergeCell ref="J403:K403"/>
    <mergeCell ref="L403:M403"/>
    <mergeCell ref="N403:O403"/>
    <mergeCell ref="P405:Q405"/>
    <mergeCell ref="R405:S405"/>
    <mergeCell ref="T405:U405"/>
    <mergeCell ref="V405:W405"/>
    <mergeCell ref="X405:Y405"/>
    <mergeCell ref="Z405:AA405"/>
    <mergeCell ref="AB405:AC405"/>
    <mergeCell ref="B405:C405"/>
    <mergeCell ref="D405:E405"/>
    <mergeCell ref="F405:G405"/>
    <mergeCell ref="H405:I405"/>
    <mergeCell ref="J405:K405"/>
    <mergeCell ref="L405:M405"/>
    <mergeCell ref="N405:O405"/>
    <mergeCell ref="AD403:AE403"/>
    <mergeCell ref="AF403:AG403"/>
    <mergeCell ref="P403:Q403"/>
    <mergeCell ref="R403:S403"/>
    <mergeCell ref="T403:U403"/>
    <mergeCell ref="V403:W403"/>
    <mergeCell ref="X403:Y403"/>
    <mergeCell ref="Z403:AA403"/>
    <mergeCell ref="AB403:AC403"/>
    <mergeCell ref="AD404:AE404"/>
    <mergeCell ref="AF404:AG404"/>
    <mergeCell ref="AH404:AI404"/>
    <mergeCell ref="AJ404:AK404"/>
    <mergeCell ref="AL404:BB404"/>
    <mergeCell ref="P404:Q404"/>
    <mergeCell ref="R404:S404"/>
    <mergeCell ref="T404:U404"/>
    <mergeCell ref="V404:W404"/>
    <mergeCell ref="X404:Y404"/>
    <mergeCell ref="Z404:AA404"/>
    <mergeCell ref="AB404:AC404"/>
    <mergeCell ref="B404:C404"/>
    <mergeCell ref="D404:E404"/>
    <mergeCell ref="F404:G404"/>
    <mergeCell ref="H404:I404"/>
    <mergeCell ref="J404:K404"/>
    <mergeCell ref="L404:M404"/>
    <mergeCell ref="N404:O404"/>
    <mergeCell ref="AD405:AE405"/>
    <mergeCell ref="AF405:AG405"/>
    <mergeCell ref="AH405:AI405"/>
    <mergeCell ref="AJ405:AK405"/>
    <mergeCell ref="AL405:BB405"/>
    <mergeCell ref="AH406:AI406"/>
    <mergeCell ref="AJ406:AK406"/>
    <mergeCell ref="AL406:BB406"/>
    <mergeCell ref="B406:C406"/>
    <mergeCell ref="D406:E406"/>
    <mergeCell ref="F406:G406"/>
    <mergeCell ref="H406:I406"/>
    <mergeCell ref="J406:K406"/>
    <mergeCell ref="L406:M406"/>
    <mergeCell ref="N406:O406"/>
    <mergeCell ref="P408:Q408"/>
    <mergeCell ref="R408:S408"/>
    <mergeCell ref="T408:U408"/>
    <mergeCell ref="V408:W408"/>
    <mergeCell ref="X408:Y408"/>
    <mergeCell ref="Z408:AA408"/>
    <mergeCell ref="AB408:AC408"/>
    <mergeCell ref="B408:C408"/>
    <mergeCell ref="D408:E408"/>
    <mergeCell ref="F408:G408"/>
    <mergeCell ref="H408:I408"/>
    <mergeCell ref="J408:K408"/>
    <mergeCell ref="L408:M408"/>
    <mergeCell ref="N408:O408"/>
    <mergeCell ref="AD406:AE406"/>
    <mergeCell ref="AF406:AG406"/>
    <mergeCell ref="P406:Q406"/>
    <mergeCell ref="R406:S406"/>
    <mergeCell ref="T406:U406"/>
    <mergeCell ref="V406:W406"/>
    <mergeCell ref="X406:Y406"/>
    <mergeCell ref="Z406:AA406"/>
    <mergeCell ref="AB406:AC406"/>
    <mergeCell ref="AD407:AE407"/>
    <mergeCell ref="AF407:AG407"/>
    <mergeCell ref="AH407:AI407"/>
    <mergeCell ref="AJ407:AK407"/>
    <mergeCell ref="AL407:BB407"/>
    <mergeCell ref="P407:Q407"/>
    <mergeCell ref="R407:S407"/>
    <mergeCell ref="T407:U407"/>
    <mergeCell ref="V407:W407"/>
    <mergeCell ref="X407:Y407"/>
    <mergeCell ref="Z407:AA407"/>
    <mergeCell ref="AB407:AC407"/>
    <mergeCell ref="B407:C407"/>
    <mergeCell ref="D407:E407"/>
    <mergeCell ref="F407:G407"/>
    <mergeCell ref="H407:I407"/>
    <mergeCell ref="J407:K407"/>
    <mergeCell ref="L407:M407"/>
    <mergeCell ref="N407:O407"/>
    <mergeCell ref="AD408:AE408"/>
    <mergeCell ref="AF408:AG408"/>
    <mergeCell ref="AH408:AI408"/>
    <mergeCell ref="AJ408:AK408"/>
    <mergeCell ref="AL408:BB408"/>
    <mergeCell ref="B409:C409"/>
    <mergeCell ref="D409:E409"/>
    <mergeCell ref="F409:G409"/>
    <mergeCell ref="H409:I409"/>
    <mergeCell ref="J409:K409"/>
    <mergeCell ref="L409:M409"/>
    <mergeCell ref="N409:O409"/>
    <mergeCell ref="AD410:AE410"/>
    <mergeCell ref="AF410:AG410"/>
    <mergeCell ref="AH410:AI410"/>
    <mergeCell ref="AJ410:AK410"/>
    <mergeCell ref="AL410:BB410"/>
    <mergeCell ref="P410:Q410"/>
    <mergeCell ref="R410:S410"/>
    <mergeCell ref="T410:U410"/>
    <mergeCell ref="V410:W410"/>
    <mergeCell ref="X410:Y410"/>
    <mergeCell ref="Z410:AA410"/>
    <mergeCell ref="AB410:AC410"/>
    <mergeCell ref="B410:C410"/>
    <mergeCell ref="D410:E410"/>
    <mergeCell ref="F410:G410"/>
    <mergeCell ref="H410:I410"/>
    <mergeCell ref="J410:K410"/>
    <mergeCell ref="L410:M410"/>
    <mergeCell ref="N410:O410"/>
    <mergeCell ref="AD411:AE411"/>
    <mergeCell ref="AF411:AG411"/>
    <mergeCell ref="AH411:AI411"/>
    <mergeCell ref="AJ411:AK411"/>
    <mergeCell ref="AL411:BB411"/>
    <mergeCell ref="P411:Q411"/>
    <mergeCell ref="R411:S411"/>
    <mergeCell ref="T411:U411"/>
    <mergeCell ref="V411:W411"/>
    <mergeCell ref="X411:Y411"/>
    <mergeCell ref="Z411:AA411"/>
    <mergeCell ref="AB411:AC411"/>
    <mergeCell ref="B411:C411"/>
    <mergeCell ref="D411:E411"/>
    <mergeCell ref="F411:G411"/>
    <mergeCell ref="H411:I411"/>
    <mergeCell ref="J411:K411"/>
    <mergeCell ref="L411:M411"/>
    <mergeCell ref="N411:O411"/>
    <mergeCell ref="AH412:AI412"/>
    <mergeCell ref="AJ412:AK412"/>
    <mergeCell ref="AL412:BB412"/>
    <mergeCell ref="B412:C412"/>
    <mergeCell ref="D412:E412"/>
    <mergeCell ref="F412:G412"/>
    <mergeCell ref="H412:I412"/>
    <mergeCell ref="J412:K412"/>
    <mergeCell ref="L412:M412"/>
    <mergeCell ref="N412:O412"/>
    <mergeCell ref="P414:Q414"/>
    <mergeCell ref="R414:S414"/>
    <mergeCell ref="T414:U414"/>
    <mergeCell ref="V414:W414"/>
    <mergeCell ref="X414:Y414"/>
    <mergeCell ref="Z414:AA414"/>
    <mergeCell ref="AB414:AC414"/>
    <mergeCell ref="B414:C414"/>
    <mergeCell ref="D414:E414"/>
    <mergeCell ref="F414:G414"/>
    <mergeCell ref="H414:I414"/>
    <mergeCell ref="J414:K414"/>
    <mergeCell ref="L414:M414"/>
    <mergeCell ref="N414:O414"/>
    <mergeCell ref="AD412:AE412"/>
    <mergeCell ref="AF412:AG412"/>
    <mergeCell ref="P412:Q412"/>
    <mergeCell ref="R412:S412"/>
    <mergeCell ref="T412:U412"/>
    <mergeCell ref="V412:W412"/>
    <mergeCell ref="X412:Y412"/>
    <mergeCell ref="Z412:AA412"/>
    <mergeCell ref="AB412:AC412"/>
    <mergeCell ref="AD413:AE413"/>
    <mergeCell ref="AF413:AG413"/>
    <mergeCell ref="AH413:AI413"/>
    <mergeCell ref="AJ413:AK413"/>
    <mergeCell ref="AL413:BB413"/>
    <mergeCell ref="P413:Q413"/>
    <mergeCell ref="R413:S413"/>
    <mergeCell ref="T413:U413"/>
    <mergeCell ref="V413:W413"/>
    <mergeCell ref="X413:Y413"/>
    <mergeCell ref="Z413:AA413"/>
    <mergeCell ref="AB413:AC413"/>
    <mergeCell ref="B413:C413"/>
    <mergeCell ref="D413:E413"/>
    <mergeCell ref="F413:G413"/>
    <mergeCell ref="H413:I413"/>
    <mergeCell ref="J413:K413"/>
    <mergeCell ref="L413:M413"/>
    <mergeCell ref="N413:O413"/>
    <mergeCell ref="AD414:AE414"/>
    <mergeCell ref="AF414:AG414"/>
    <mergeCell ref="AH414:AI414"/>
    <mergeCell ref="AJ414:AK414"/>
    <mergeCell ref="AL414:BB414"/>
    <mergeCell ref="AH415:AI415"/>
    <mergeCell ref="AJ415:AK415"/>
    <mergeCell ref="AL415:BB415"/>
    <mergeCell ref="B415:C415"/>
    <mergeCell ref="D415:E415"/>
    <mergeCell ref="F415:G415"/>
    <mergeCell ref="H415:I415"/>
    <mergeCell ref="J415:K415"/>
    <mergeCell ref="L415:M415"/>
    <mergeCell ref="N415:O415"/>
    <mergeCell ref="P417:Q417"/>
    <mergeCell ref="R417:S417"/>
    <mergeCell ref="T417:U417"/>
    <mergeCell ref="V417:W417"/>
    <mergeCell ref="X417:Y417"/>
    <mergeCell ref="Z417:AA417"/>
    <mergeCell ref="AB417:AC417"/>
    <mergeCell ref="B417:C417"/>
    <mergeCell ref="D417:E417"/>
    <mergeCell ref="F417:G417"/>
    <mergeCell ref="H417:I417"/>
    <mergeCell ref="J417:K417"/>
    <mergeCell ref="L417:M417"/>
    <mergeCell ref="N417:O417"/>
    <mergeCell ref="P420:Q420"/>
    <mergeCell ref="R420:S420"/>
    <mergeCell ref="T420:U420"/>
    <mergeCell ref="V420:W420"/>
    <mergeCell ref="X420:Y420"/>
    <mergeCell ref="Z420:AA420"/>
    <mergeCell ref="AB420:AC420"/>
    <mergeCell ref="B420:C420"/>
    <mergeCell ref="D420:E420"/>
    <mergeCell ref="F420:G420"/>
    <mergeCell ref="H420:I420"/>
    <mergeCell ref="J420:K420"/>
    <mergeCell ref="L420:M420"/>
    <mergeCell ref="N420:O420"/>
    <mergeCell ref="X418:Y418"/>
    <mergeCell ref="Z418:AA418"/>
    <mergeCell ref="AB418:AC418"/>
    <mergeCell ref="AD419:AE419"/>
    <mergeCell ref="AF419:AG419"/>
    <mergeCell ref="AH419:AI419"/>
    <mergeCell ref="AJ419:AK419"/>
    <mergeCell ref="AL419:BB419"/>
    <mergeCell ref="P419:Q419"/>
    <mergeCell ref="R419:S419"/>
    <mergeCell ref="T419:U419"/>
    <mergeCell ref="V419:W419"/>
    <mergeCell ref="X419:Y419"/>
    <mergeCell ref="Z419:AA419"/>
    <mergeCell ref="AB419:AC419"/>
    <mergeCell ref="B419:C419"/>
    <mergeCell ref="D419:E419"/>
    <mergeCell ref="F419:G419"/>
    <mergeCell ref="H419:I419"/>
    <mergeCell ref="J419:K419"/>
    <mergeCell ref="L419:M419"/>
    <mergeCell ref="N419:O419"/>
    <mergeCell ref="AD420:AE420"/>
    <mergeCell ref="AF420:AG420"/>
    <mergeCell ref="AH420:AI420"/>
    <mergeCell ref="AJ420:AK420"/>
    <mergeCell ref="AD424:AE424"/>
    <mergeCell ref="AF424:AG424"/>
    <mergeCell ref="P424:Q424"/>
    <mergeCell ref="R424:S424"/>
    <mergeCell ref="T424:U424"/>
    <mergeCell ref="V424:W424"/>
    <mergeCell ref="X424:Y424"/>
    <mergeCell ref="Z424:AA424"/>
    <mergeCell ref="AB424:AC424"/>
    <mergeCell ref="AD425:AE425"/>
    <mergeCell ref="AF425:AG425"/>
    <mergeCell ref="AH425:AI425"/>
    <mergeCell ref="AJ425:AK425"/>
    <mergeCell ref="AL425:BB425"/>
    <mergeCell ref="P425:Q425"/>
    <mergeCell ref="R425:S425"/>
    <mergeCell ref="T425:U425"/>
    <mergeCell ref="V425:W425"/>
    <mergeCell ref="X425:Y425"/>
    <mergeCell ref="Z425:AA425"/>
    <mergeCell ref="AB425:AC425"/>
    <mergeCell ref="B425:C425"/>
    <mergeCell ref="D425:E425"/>
    <mergeCell ref="F425:G425"/>
    <mergeCell ref="H425:I425"/>
    <mergeCell ref="J425:K425"/>
    <mergeCell ref="L425:M425"/>
    <mergeCell ref="N425:O425"/>
    <mergeCell ref="AD426:AE426"/>
    <mergeCell ref="AF426:AG426"/>
    <mergeCell ref="AH426:AI426"/>
    <mergeCell ref="AJ426:AK426"/>
    <mergeCell ref="AL426:BB426"/>
    <mergeCell ref="AH424:AI424"/>
    <mergeCell ref="AJ424:AK424"/>
    <mergeCell ref="AL424:BB424"/>
    <mergeCell ref="B424:C424"/>
    <mergeCell ref="D424:E424"/>
    <mergeCell ref="F424:G424"/>
    <mergeCell ref="H424:I424"/>
    <mergeCell ref="J424:K424"/>
    <mergeCell ref="L424:M424"/>
    <mergeCell ref="N424:O424"/>
    <mergeCell ref="P426:Q426"/>
    <mergeCell ref="R426:S426"/>
    <mergeCell ref="T426:U426"/>
    <mergeCell ref="V426:W426"/>
    <mergeCell ref="X426:Y426"/>
    <mergeCell ref="Z426:AA426"/>
    <mergeCell ref="AB426:AC426"/>
    <mergeCell ref="B426:C426"/>
    <mergeCell ref="D426:E426"/>
    <mergeCell ref="F426:G426"/>
    <mergeCell ref="H426:I426"/>
    <mergeCell ref="J426:K426"/>
    <mergeCell ref="L426:M426"/>
    <mergeCell ref="N426:O426"/>
    <mergeCell ref="AH427:AI427"/>
    <mergeCell ref="AJ427:AK427"/>
    <mergeCell ref="AL427:BB427"/>
    <mergeCell ref="B427:C427"/>
    <mergeCell ref="D427:E427"/>
    <mergeCell ref="F427:G427"/>
    <mergeCell ref="H427:I427"/>
    <mergeCell ref="J427:K427"/>
    <mergeCell ref="L427:M427"/>
    <mergeCell ref="N427:O427"/>
    <mergeCell ref="AD427:AE427"/>
    <mergeCell ref="AF427:AG427"/>
    <mergeCell ref="P427:Q427"/>
    <mergeCell ref="R427:S427"/>
    <mergeCell ref="T427:U427"/>
    <mergeCell ref="V427:W427"/>
    <mergeCell ref="X427:Y427"/>
    <mergeCell ref="Z427:AA427"/>
    <mergeCell ref="AB427:AC427"/>
    <mergeCell ref="AD428:AE428"/>
    <mergeCell ref="AF428:AG428"/>
    <mergeCell ref="AH428:AI428"/>
    <mergeCell ref="AJ428:AK428"/>
    <mergeCell ref="AL428:BB428"/>
    <mergeCell ref="P428:Q428"/>
    <mergeCell ref="R428:S428"/>
    <mergeCell ref="T428:U428"/>
    <mergeCell ref="V428:W428"/>
    <mergeCell ref="X428:Y428"/>
    <mergeCell ref="Z428:AA428"/>
    <mergeCell ref="AB428:AC428"/>
    <mergeCell ref="B428:C428"/>
    <mergeCell ref="D428:E428"/>
    <mergeCell ref="F428:G428"/>
    <mergeCell ref="H428:I428"/>
    <mergeCell ref="J428:K428"/>
    <mergeCell ref="L428:M428"/>
    <mergeCell ref="N428:O428"/>
    <mergeCell ref="AD429:AE429"/>
    <mergeCell ref="AF429:AG429"/>
    <mergeCell ref="AH429:AI429"/>
    <mergeCell ref="AJ429:AK429"/>
    <mergeCell ref="AL429:BB429"/>
    <mergeCell ref="AH430:AI430"/>
    <mergeCell ref="AJ430:AK430"/>
    <mergeCell ref="AL430:BB430"/>
    <mergeCell ref="B430:C430"/>
    <mergeCell ref="D430:E430"/>
    <mergeCell ref="F430:G430"/>
    <mergeCell ref="H430:I430"/>
    <mergeCell ref="J430:K430"/>
    <mergeCell ref="L430:M430"/>
    <mergeCell ref="N430:O430"/>
    <mergeCell ref="AD415:AE415"/>
    <mergeCell ref="AF415:AG415"/>
    <mergeCell ref="P415:Q415"/>
    <mergeCell ref="R415:S415"/>
    <mergeCell ref="T415:U415"/>
    <mergeCell ref="V415:W415"/>
    <mergeCell ref="X415:Y415"/>
    <mergeCell ref="Z415:AA415"/>
    <mergeCell ref="AB415:AC415"/>
    <mergeCell ref="AD416:AE416"/>
    <mergeCell ref="AF416:AG416"/>
    <mergeCell ref="AH416:AI416"/>
    <mergeCell ref="AJ416:AK416"/>
    <mergeCell ref="AL416:BB416"/>
    <mergeCell ref="P416:Q416"/>
    <mergeCell ref="R416:S416"/>
    <mergeCell ref="T416:U416"/>
    <mergeCell ref="V416:W416"/>
    <mergeCell ref="X416:Y416"/>
    <mergeCell ref="Z416:AA416"/>
    <mergeCell ref="AB416:AC416"/>
    <mergeCell ref="B416:C416"/>
    <mergeCell ref="D416:E416"/>
    <mergeCell ref="F416:G416"/>
    <mergeCell ref="H416:I416"/>
    <mergeCell ref="J416:K416"/>
    <mergeCell ref="L416:M416"/>
    <mergeCell ref="N416:O416"/>
    <mergeCell ref="AD417:AE417"/>
    <mergeCell ref="AF417:AG417"/>
    <mergeCell ref="AH417:AI417"/>
    <mergeCell ref="AJ417:AK417"/>
    <mergeCell ref="AL417:BB417"/>
    <mergeCell ref="AH418:AI418"/>
    <mergeCell ref="AJ418:AK418"/>
    <mergeCell ref="AL418:BB418"/>
    <mergeCell ref="B418:C418"/>
    <mergeCell ref="D418:E418"/>
    <mergeCell ref="F418:G418"/>
    <mergeCell ref="H418:I418"/>
    <mergeCell ref="J418:K418"/>
    <mergeCell ref="L418:M418"/>
    <mergeCell ref="N418:O418"/>
    <mergeCell ref="AD418:AE418"/>
    <mergeCell ref="AF418:AG418"/>
    <mergeCell ref="P418:Q418"/>
    <mergeCell ref="R418:S418"/>
    <mergeCell ref="T418:U418"/>
    <mergeCell ref="V418:W418"/>
    <mergeCell ref="AL420:BB420"/>
    <mergeCell ref="AH421:AI421"/>
    <mergeCell ref="AJ421:AK421"/>
    <mergeCell ref="AL421:BB421"/>
    <mergeCell ref="B421:C421"/>
    <mergeCell ref="D421:E421"/>
    <mergeCell ref="F421:G421"/>
    <mergeCell ref="H421:I421"/>
    <mergeCell ref="J421:K421"/>
    <mergeCell ref="L421:M421"/>
    <mergeCell ref="N421:O421"/>
    <mergeCell ref="P423:Q423"/>
    <mergeCell ref="R423:S423"/>
    <mergeCell ref="T423:U423"/>
    <mergeCell ref="V423:W423"/>
    <mergeCell ref="X423:Y423"/>
    <mergeCell ref="Z423:AA423"/>
    <mergeCell ref="AB423:AC423"/>
    <mergeCell ref="B423:C423"/>
    <mergeCell ref="D423:E423"/>
    <mergeCell ref="F423:G423"/>
    <mergeCell ref="H423:I423"/>
    <mergeCell ref="J423:K423"/>
    <mergeCell ref="L423:M423"/>
    <mergeCell ref="N423:O423"/>
    <mergeCell ref="AD421:AE421"/>
    <mergeCell ref="AF421:AG421"/>
    <mergeCell ref="P421:Q421"/>
    <mergeCell ref="R421:S421"/>
    <mergeCell ref="T421:U421"/>
    <mergeCell ref="V421:W421"/>
    <mergeCell ref="X421:Y421"/>
    <mergeCell ref="Z421:AA421"/>
    <mergeCell ref="AB421:AC421"/>
    <mergeCell ref="AD422:AE422"/>
    <mergeCell ref="AF422:AG422"/>
    <mergeCell ref="AH422:AI422"/>
    <mergeCell ref="AJ422:AK422"/>
    <mergeCell ref="AL422:BB422"/>
    <mergeCell ref="P422:Q422"/>
    <mergeCell ref="R422:S422"/>
    <mergeCell ref="T422:U422"/>
    <mergeCell ref="V422:W422"/>
    <mergeCell ref="X422:Y422"/>
    <mergeCell ref="Z422:AA422"/>
    <mergeCell ref="AB422:AC422"/>
    <mergeCell ref="B422:C422"/>
    <mergeCell ref="D422:E422"/>
    <mergeCell ref="F422:G422"/>
    <mergeCell ref="H422:I422"/>
    <mergeCell ref="J422:K422"/>
    <mergeCell ref="L422:M422"/>
    <mergeCell ref="N422:O422"/>
    <mergeCell ref="AD423:AE423"/>
    <mergeCell ref="AF423:AG423"/>
    <mergeCell ref="AH423:AI423"/>
    <mergeCell ref="AJ423:AK423"/>
    <mergeCell ref="AL423:BB423"/>
    <mergeCell ref="P429:Q429"/>
    <mergeCell ref="R429:S429"/>
    <mergeCell ref="T429:U429"/>
    <mergeCell ref="V429:W429"/>
    <mergeCell ref="X429:Y429"/>
    <mergeCell ref="Z429:AA429"/>
    <mergeCell ref="AB429:AC429"/>
    <mergeCell ref="B429:C429"/>
    <mergeCell ref="D429:E429"/>
    <mergeCell ref="F429:G429"/>
    <mergeCell ref="H429:I429"/>
    <mergeCell ref="J429:K429"/>
    <mergeCell ref="L429:M429"/>
    <mergeCell ref="N429:O429"/>
    <mergeCell ref="AD451:AE451"/>
    <mergeCell ref="AF451:AG451"/>
    <mergeCell ref="AH451:AI451"/>
    <mergeCell ref="AJ451:AK451"/>
    <mergeCell ref="AL451:BB451"/>
    <mergeCell ref="P451:Q451"/>
    <mergeCell ref="R451:S451"/>
    <mergeCell ref="T451:U451"/>
    <mergeCell ref="V451:W451"/>
    <mergeCell ref="X451:Y451"/>
    <mergeCell ref="Z451:AA451"/>
    <mergeCell ref="AB451:AC451"/>
    <mergeCell ref="P432:Q432"/>
    <mergeCell ref="R432:S432"/>
    <mergeCell ref="T432:U432"/>
    <mergeCell ref="V432:W432"/>
    <mergeCell ref="X432:Y432"/>
    <mergeCell ref="Z432:AA432"/>
    <mergeCell ref="AB432:AC432"/>
    <mergeCell ref="B432:C432"/>
    <mergeCell ref="D432:E432"/>
    <mergeCell ref="F432:G432"/>
    <mergeCell ref="H432:I432"/>
    <mergeCell ref="J432:K432"/>
    <mergeCell ref="L432:M432"/>
    <mergeCell ref="N432:O432"/>
    <mergeCell ref="AD430:AE430"/>
    <mergeCell ref="AF430:AG430"/>
    <mergeCell ref="P430:Q430"/>
    <mergeCell ref="R430:S430"/>
    <mergeCell ref="T430:U430"/>
    <mergeCell ref="V430:W430"/>
    <mergeCell ref="X430:Y430"/>
    <mergeCell ref="Z430:AA430"/>
    <mergeCell ref="AB430:AC430"/>
    <mergeCell ref="AD431:AE431"/>
    <mergeCell ref="AF431:AG431"/>
    <mergeCell ref="AH431:AI431"/>
    <mergeCell ref="AJ431:AK431"/>
    <mergeCell ref="AL431:BB431"/>
    <mergeCell ref="P431:Q431"/>
    <mergeCell ref="R431:S431"/>
    <mergeCell ref="T431:U431"/>
    <mergeCell ref="V431:W431"/>
    <mergeCell ref="X431:Y431"/>
    <mergeCell ref="Z431:AA431"/>
    <mergeCell ref="AB431:AC431"/>
    <mergeCell ref="B431:C431"/>
    <mergeCell ref="D431:E431"/>
    <mergeCell ref="F431:G431"/>
    <mergeCell ref="H431:I431"/>
    <mergeCell ref="J431:K431"/>
    <mergeCell ref="L431:M431"/>
    <mergeCell ref="N431:O431"/>
    <mergeCell ref="AD432:AE432"/>
    <mergeCell ref="AF432:AG432"/>
    <mergeCell ref="AH432:AI432"/>
    <mergeCell ref="AJ432:AK432"/>
    <mergeCell ref="AL432:BB432"/>
    <mergeCell ref="AH433:AI433"/>
    <mergeCell ref="AJ433:AK433"/>
    <mergeCell ref="AL433:BB433"/>
    <mergeCell ref="B433:C433"/>
    <mergeCell ref="D433:E433"/>
    <mergeCell ref="F433:G433"/>
    <mergeCell ref="H433:I433"/>
    <mergeCell ref="J433:K433"/>
    <mergeCell ref="L433:M433"/>
    <mergeCell ref="N433:O433"/>
    <mergeCell ref="P435:Q435"/>
    <mergeCell ref="R435:S435"/>
    <mergeCell ref="T435:U435"/>
    <mergeCell ref="V435:W435"/>
    <mergeCell ref="X435:Y435"/>
    <mergeCell ref="Z435:AA435"/>
    <mergeCell ref="AB435:AC435"/>
    <mergeCell ref="B435:C435"/>
    <mergeCell ref="D435:E435"/>
    <mergeCell ref="F435:G435"/>
    <mergeCell ref="H435:I435"/>
    <mergeCell ref="J435:K435"/>
    <mergeCell ref="L435:M435"/>
    <mergeCell ref="N435:O435"/>
    <mergeCell ref="AD433:AE433"/>
    <mergeCell ref="AF433:AG433"/>
    <mergeCell ref="P433:Q433"/>
    <mergeCell ref="R433:S433"/>
    <mergeCell ref="T433:U433"/>
    <mergeCell ref="V433:W433"/>
    <mergeCell ref="X433:Y433"/>
    <mergeCell ref="Z433:AA433"/>
    <mergeCell ref="AB433:AC433"/>
    <mergeCell ref="AD434:AE434"/>
    <mergeCell ref="AF434:AG434"/>
    <mergeCell ref="AH434:AI434"/>
    <mergeCell ref="AJ434:AK434"/>
    <mergeCell ref="AL434:BB434"/>
    <mergeCell ref="P434:Q434"/>
    <mergeCell ref="R434:S434"/>
    <mergeCell ref="T434:U434"/>
    <mergeCell ref="V434:W434"/>
    <mergeCell ref="X434:Y434"/>
    <mergeCell ref="Z434:AA434"/>
    <mergeCell ref="AB434:AC434"/>
    <mergeCell ref="B434:C434"/>
    <mergeCell ref="D434:E434"/>
    <mergeCell ref="F434:G434"/>
    <mergeCell ref="H434:I434"/>
    <mergeCell ref="J434:K434"/>
    <mergeCell ref="L434:M434"/>
    <mergeCell ref="N434:O434"/>
    <mergeCell ref="AD435:AE435"/>
    <mergeCell ref="AF435:AG435"/>
    <mergeCell ref="AH435:AI435"/>
    <mergeCell ref="AJ435:AK435"/>
    <mergeCell ref="AL435:BB435"/>
    <mergeCell ref="AH436:AI436"/>
    <mergeCell ref="AJ436:AK436"/>
    <mergeCell ref="AL436:BB436"/>
    <mergeCell ref="B436:C436"/>
    <mergeCell ref="D436:E436"/>
    <mergeCell ref="F436:G436"/>
    <mergeCell ref="H436:I436"/>
    <mergeCell ref="J436:K436"/>
    <mergeCell ref="L436:M436"/>
    <mergeCell ref="N436:O436"/>
    <mergeCell ref="P438:Q438"/>
    <mergeCell ref="R438:S438"/>
    <mergeCell ref="T438:U438"/>
    <mergeCell ref="V438:W438"/>
    <mergeCell ref="X438:Y438"/>
    <mergeCell ref="Z438:AA438"/>
    <mergeCell ref="AB438:AC438"/>
    <mergeCell ref="B438:C438"/>
    <mergeCell ref="D438:E438"/>
    <mergeCell ref="F438:G438"/>
    <mergeCell ref="H438:I438"/>
    <mergeCell ref="J438:K438"/>
    <mergeCell ref="L438:M438"/>
    <mergeCell ref="N438:O438"/>
    <mergeCell ref="AD436:AE436"/>
    <mergeCell ref="AF436:AG436"/>
    <mergeCell ref="P436:Q436"/>
    <mergeCell ref="R436:S436"/>
    <mergeCell ref="T436:U436"/>
    <mergeCell ref="V436:W436"/>
    <mergeCell ref="X436:Y436"/>
    <mergeCell ref="Z436:AA436"/>
    <mergeCell ref="AB436:AC436"/>
    <mergeCell ref="AD437:AE437"/>
    <mergeCell ref="AF437:AG437"/>
    <mergeCell ref="AH437:AI437"/>
    <mergeCell ref="AJ437:AK437"/>
    <mergeCell ref="AL437:BB437"/>
    <mergeCell ref="P437:Q437"/>
    <mergeCell ref="R437:S437"/>
    <mergeCell ref="T437:U437"/>
    <mergeCell ref="V437:W437"/>
    <mergeCell ref="X437:Y437"/>
    <mergeCell ref="Z437:AA437"/>
    <mergeCell ref="AB437:AC437"/>
    <mergeCell ref="B437:C437"/>
    <mergeCell ref="D437:E437"/>
    <mergeCell ref="F437:G437"/>
    <mergeCell ref="H437:I437"/>
    <mergeCell ref="J437:K437"/>
    <mergeCell ref="L437:M437"/>
    <mergeCell ref="N437:O437"/>
    <mergeCell ref="AD438:AE438"/>
    <mergeCell ref="AF438:AG438"/>
    <mergeCell ref="AH438:AI438"/>
    <mergeCell ref="AJ438:AK438"/>
    <mergeCell ref="AL438:BB438"/>
    <mergeCell ref="AH439:AI439"/>
    <mergeCell ref="AJ439:AK439"/>
    <mergeCell ref="AL439:BB439"/>
    <mergeCell ref="B439:C439"/>
    <mergeCell ref="D439:E439"/>
    <mergeCell ref="F439:G439"/>
    <mergeCell ref="H439:I439"/>
    <mergeCell ref="J439:K439"/>
    <mergeCell ref="L439:M439"/>
    <mergeCell ref="N439:O439"/>
    <mergeCell ref="P441:Q441"/>
    <mergeCell ref="R441:S441"/>
    <mergeCell ref="T441:U441"/>
    <mergeCell ref="V441:W441"/>
    <mergeCell ref="X441:Y441"/>
    <mergeCell ref="Z441:AA441"/>
    <mergeCell ref="AB441:AC441"/>
    <mergeCell ref="B441:C441"/>
    <mergeCell ref="D441:E441"/>
    <mergeCell ref="F441:G441"/>
    <mergeCell ref="H441:I441"/>
    <mergeCell ref="J441:K441"/>
    <mergeCell ref="L441:M441"/>
    <mergeCell ref="N441:O441"/>
    <mergeCell ref="AD439:AE439"/>
    <mergeCell ref="AF439:AG439"/>
    <mergeCell ref="P439:Q439"/>
    <mergeCell ref="R439:S439"/>
    <mergeCell ref="T439:U439"/>
    <mergeCell ref="V439:W439"/>
    <mergeCell ref="X439:Y439"/>
    <mergeCell ref="Z439:AA439"/>
    <mergeCell ref="AB439:AC439"/>
    <mergeCell ref="AD440:AE440"/>
    <mergeCell ref="AF440:AG440"/>
    <mergeCell ref="AH440:AI440"/>
    <mergeCell ref="AJ440:AK440"/>
    <mergeCell ref="AL440:BB440"/>
    <mergeCell ref="P440:Q440"/>
    <mergeCell ref="R440:S440"/>
    <mergeCell ref="T440:U440"/>
    <mergeCell ref="V440:W440"/>
    <mergeCell ref="X440:Y440"/>
    <mergeCell ref="Z440:AA440"/>
    <mergeCell ref="AB440:AC440"/>
    <mergeCell ref="B440:C440"/>
    <mergeCell ref="D440:E440"/>
    <mergeCell ref="F440:G440"/>
    <mergeCell ref="H440:I440"/>
    <mergeCell ref="J440:K440"/>
    <mergeCell ref="L440:M440"/>
    <mergeCell ref="N440:O440"/>
    <mergeCell ref="AD441:AE441"/>
    <mergeCell ref="AF441:AG441"/>
    <mergeCell ref="AH441:AI441"/>
    <mergeCell ref="AJ441:AK441"/>
    <mergeCell ref="AL441:BB441"/>
    <mergeCell ref="AH442:AI442"/>
    <mergeCell ref="AJ442:AK442"/>
    <mergeCell ref="AL442:BB442"/>
    <mergeCell ref="B442:C442"/>
    <mergeCell ref="D442:E442"/>
    <mergeCell ref="F442:G442"/>
    <mergeCell ref="H442:I442"/>
    <mergeCell ref="J442:K442"/>
    <mergeCell ref="L442:M442"/>
    <mergeCell ref="N442:O442"/>
    <mergeCell ref="P444:Q444"/>
    <mergeCell ref="R444:S444"/>
    <mergeCell ref="T444:U444"/>
    <mergeCell ref="V444:W444"/>
    <mergeCell ref="X444:Y444"/>
    <mergeCell ref="Z444:AA444"/>
    <mergeCell ref="AB444:AC444"/>
    <mergeCell ref="B444:C444"/>
    <mergeCell ref="D444:E444"/>
    <mergeCell ref="F444:G444"/>
    <mergeCell ref="H444:I444"/>
    <mergeCell ref="J444:K444"/>
    <mergeCell ref="L444:M444"/>
    <mergeCell ref="N444:O444"/>
    <mergeCell ref="AD442:AE442"/>
    <mergeCell ref="AF442:AG442"/>
    <mergeCell ref="P442:Q442"/>
    <mergeCell ref="R442:S442"/>
    <mergeCell ref="T442:U442"/>
    <mergeCell ref="V442:W442"/>
    <mergeCell ref="X442:Y442"/>
    <mergeCell ref="Z442:AA442"/>
    <mergeCell ref="AB442:AC442"/>
    <mergeCell ref="AD443:AE443"/>
    <mergeCell ref="AF443:AG443"/>
    <mergeCell ref="AH443:AI443"/>
    <mergeCell ref="AJ443:AK443"/>
    <mergeCell ref="AL443:BB443"/>
    <mergeCell ref="P443:Q443"/>
    <mergeCell ref="R443:S443"/>
    <mergeCell ref="T443:U443"/>
    <mergeCell ref="V443:W443"/>
    <mergeCell ref="X443:Y443"/>
    <mergeCell ref="Z443:AA443"/>
    <mergeCell ref="AB443:AC443"/>
    <mergeCell ref="B443:C443"/>
    <mergeCell ref="D443:E443"/>
    <mergeCell ref="F443:G443"/>
    <mergeCell ref="H443:I443"/>
    <mergeCell ref="J443:K443"/>
    <mergeCell ref="L443:M443"/>
    <mergeCell ref="N443:O443"/>
    <mergeCell ref="AD444:AE444"/>
    <mergeCell ref="AF444:AG444"/>
    <mergeCell ref="AH444:AI444"/>
    <mergeCell ref="AJ444:AK444"/>
    <mergeCell ref="AL444:BB444"/>
    <mergeCell ref="AH445:AI445"/>
    <mergeCell ref="AJ445:AK445"/>
    <mergeCell ref="AL445:BB445"/>
    <mergeCell ref="B445:C445"/>
    <mergeCell ref="D445:E445"/>
    <mergeCell ref="F445:G445"/>
    <mergeCell ref="H445:I445"/>
    <mergeCell ref="J445:K445"/>
    <mergeCell ref="L445:M445"/>
    <mergeCell ref="N445:O445"/>
    <mergeCell ref="P447:Q447"/>
    <mergeCell ref="R447:S447"/>
    <mergeCell ref="T447:U447"/>
    <mergeCell ref="V447:W447"/>
    <mergeCell ref="X447:Y447"/>
    <mergeCell ref="Z447:AA447"/>
    <mergeCell ref="AB447:AC447"/>
    <mergeCell ref="B447:C447"/>
    <mergeCell ref="D447:E447"/>
    <mergeCell ref="F447:G447"/>
    <mergeCell ref="H447:I447"/>
    <mergeCell ref="J447:K447"/>
    <mergeCell ref="L447:M447"/>
    <mergeCell ref="N447:O447"/>
    <mergeCell ref="AD445:AE445"/>
    <mergeCell ref="AF445:AG445"/>
    <mergeCell ref="P445:Q445"/>
    <mergeCell ref="R445:S445"/>
    <mergeCell ref="T445:U445"/>
    <mergeCell ref="V445:W445"/>
    <mergeCell ref="X445:Y445"/>
    <mergeCell ref="Z445:AA445"/>
    <mergeCell ref="AB445:AC445"/>
    <mergeCell ref="AD446:AE446"/>
    <mergeCell ref="AF446:AG446"/>
    <mergeCell ref="AH446:AI446"/>
    <mergeCell ref="AJ446:AK446"/>
    <mergeCell ref="AL446:BB446"/>
    <mergeCell ref="P446:Q446"/>
    <mergeCell ref="R446:S446"/>
    <mergeCell ref="T446:U446"/>
    <mergeCell ref="V446:W446"/>
    <mergeCell ref="X446:Y446"/>
    <mergeCell ref="Z446:AA446"/>
    <mergeCell ref="AB446:AC446"/>
    <mergeCell ref="B446:C446"/>
    <mergeCell ref="D446:E446"/>
    <mergeCell ref="F446:G446"/>
    <mergeCell ref="H446:I446"/>
    <mergeCell ref="J446:K446"/>
    <mergeCell ref="L446:M446"/>
    <mergeCell ref="N446:O446"/>
    <mergeCell ref="AD447:AE447"/>
    <mergeCell ref="AF447:AG447"/>
    <mergeCell ref="AH447:AI447"/>
    <mergeCell ref="AJ447:AK447"/>
    <mergeCell ref="AL447:BB447"/>
    <mergeCell ref="AH448:AI448"/>
    <mergeCell ref="AJ448:AK448"/>
    <mergeCell ref="AL448:BB448"/>
    <mergeCell ref="B448:C448"/>
    <mergeCell ref="D448:E448"/>
    <mergeCell ref="F448:G448"/>
    <mergeCell ref="H448:I448"/>
    <mergeCell ref="J448:K448"/>
    <mergeCell ref="L448:M448"/>
    <mergeCell ref="N448:O448"/>
    <mergeCell ref="P450:Q450"/>
    <mergeCell ref="R450:S450"/>
    <mergeCell ref="T450:U450"/>
    <mergeCell ref="V450:W450"/>
    <mergeCell ref="X450:Y450"/>
    <mergeCell ref="Z450:AA450"/>
    <mergeCell ref="AB450:AC450"/>
    <mergeCell ref="B450:C450"/>
    <mergeCell ref="D450:E450"/>
    <mergeCell ref="F450:G450"/>
    <mergeCell ref="H450:I450"/>
    <mergeCell ref="J450:K450"/>
    <mergeCell ref="L450:M450"/>
    <mergeCell ref="N450:O450"/>
    <mergeCell ref="AD448:AE448"/>
    <mergeCell ref="AF448:AG448"/>
    <mergeCell ref="P448:Q448"/>
    <mergeCell ref="R448:S448"/>
    <mergeCell ref="T448:U448"/>
    <mergeCell ref="V448:W448"/>
    <mergeCell ref="X448:Y448"/>
    <mergeCell ref="Z448:AA448"/>
    <mergeCell ref="AB448:AC448"/>
    <mergeCell ref="AD449:AE449"/>
    <mergeCell ref="AF449:AG449"/>
    <mergeCell ref="AH449:AI449"/>
    <mergeCell ref="AJ449:AK449"/>
    <mergeCell ref="AL449:BB449"/>
    <mergeCell ref="P449:Q449"/>
    <mergeCell ref="R449:S449"/>
    <mergeCell ref="T449:U449"/>
    <mergeCell ref="V449:W449"/>
    <mergeCell ref="X449:Y449"/>
    <mergeCell ref="Z449:AA449"/>
    <mergeCell ref="AB449:AC449"/>
    <mergeCell ref="B449:C449"/>
    <mergeCell ref="D449:E449"/>
    <mergeCell ref="F449:G449"/>
    <mergeCell ref="H449:I449"/>
    <mergeCell ref="J449:K449"/>
    <mergeCell ref="L449:M449"/>
    <mergeCell ref="N449:O449"/>
    <mergeCell ref="AD450:AE450"/>
    <mergeCell ref="AF450:AG450"/>
    <mergeCell ref="AH450:AI450"/>
    <mergeCell ref="AJ450:AK450"/>
    <mergeCell ref="AL450:BB450"/>
    <mergeCell ref="B451:C451"/>
    <mergeCell ref="D451:E451"/>
    <mergeCell ref="F451:G451"/>
    <mergeCell ref="H451:I451"/>
    <mergeCell ref="J451:K451"/>
    <mergeCell ref="L451:M451"/>
    <mergeCell ref="N451:O451"/>
    <mergeCell ref="AD452:AE452"/>
    <mergeCell ref="AF452:AG452"/>
    <mergeCell ref="AH452:AI452"/>
    <mergeCell ref="AJ452:AK452"/>
    <mergeCell ref="AL452:BB452"/>
    <mergeCell ref="P452:Q452"/>
    <mergeCell ref="R452:S452"/>
    <mergeCell ref="T452:U452"/>
    <mergeCell ref="V452:W452"/>
    <mergeCell ref="X452:Y452"/>
    <mergeCell ref="Z452:AA452"/>
    <mergeCell ref="AB452:AC452"/>
    <mergeCell ref="B452:C452"/>
    <mergeCell ref="D452:E452"/>
    <mergeCell ref="F452:G452"/>
    <mergeCell ref="H452:I452"/>
    <mergeCell ref="J452:K452"/>
    <mergeCell ref="L452:M452"/>
    <mergeCell ref="N452:O452"/>
    <mergeCell ref="AD453:AE453"/>
    <mergeCell ref="AF453:AG453"/>
    <mergeCell ref="AH453:AI453"/>
    <mergeCell ref="AJ453:AK453"/>
    <mergeCell ref="AL453:BB453"/>
    <mergeCell ref="P453:Q453"/>
    <mergeCell ref="R453:S453"/>
    <mergeCell ref="T453:U453"/>
    <mergeCell ref="V453:W453"/>
    <mergeCell ref="X453:Y453"/>
    <mergeCell ref="Z453:AA453"/>
    <mergeCell ref="AB453:AC453"/>
    <mergeCell ref="B453:C453"/>
    <mergeCell ref="D453:E453"/>
    <mergeCell ref="F453:G453"/>
    <mergeCell ref="H453:I453"/>
    <mergeCell ref="J453:K453"/>
    <mergeCell ref="L453:M453"/>
    <mergeCell ref="N453:O453"/>
    <mergeCell ref="AH454:AI454"/>
    <mergeCell ref="AJ454:AK454"/>
    <mergeCell ref="AL454:BB454"/>
    <mergeCell ref="B454:C454"/>
    <mergeCell ref="D454:E454"/>
    <mergeCell ref="F454:G454"/>
    <mergeCell ref="H454:I454"/>
    <mergeCell ref="J454:K454"/>
    <mergeCell ref="L454:M454"/>
    <mergeCell ref="N454:O454"/>
    <mergeCell ref="P456:Q456"/>
    <mergeCell ref="R456:S456"/>
    <mergeCell ref="T456:U456"/>
    <mergeCell ref="V456:W456"/>
    <mergeCell ref="X456:Y456"/>
    <mergeCell ref="Z456:AA456"/>
    <mergeCell ref="AB456:AC456"/>
    <mergeCell ref="B456:C456"/>
    <mergeCell ref="D456:E456"/>
    <mergeCell ref="F456:G456"/>
    <mergeCell ref="H456:I456"/>
    <mergeCell ref="J456:K456"/>
    <mergeCell ref="L456:M456"/>
    <mergeCell ref="N456:O456"/>
    <mergeCell ref="AD454:AE454"/>
    <mergeCell ref="AF454:AG454"/>
    <mergeCell ref="P454:Q454"/>
    <mergeCell ref="R454:S454"/>
    <mergeCell ref="T454:U454"/>
    <mergeCell ref="V454:W454"/>
    <mergeCell ref="X454:Y454"/>
    <mergeCell ref="Z454:AA454"/>
    <mergeCell ref="AB454:AC454"/>
    <mergeCell ref="AD455:AE455"/>
    <mergeCell ref="AF455:AG455"/>
    <mergeCell ref="AH455:AI455"/>
    <mergeCell ref="AJ455:AK455"/>
    <mergeCell ref="AL455:BB455"/>
    <mergeCell ref="P455:Q455"/>
    <mergeCell ref="R455:S455"/>
    <mergeCell ref="T455:U455"/>
    <mergeCell ref="V455:W455"/>
    <mergeCell ref="X455:Y455"/>
    <mergeCell ref="Z455:AA455"/>
    <mergeCell ref="AB455:AC455"/>
    <mergeCell ref="B455:C455"/>
    <mergeCell ref="D455:E455"/>
    <mergeCell ref="F455:G455"/>
    <mergeCell ref="H455:I455"/>
    <mergeCell ref="J455:K455"/>
    <mergeCell ref="L455:M455"/>
    <mergeCell ref="N455:O455"/>
    <mergeCell ref="AD456:AE456"/>
    <mergeCell ref="AF456:AG456"/>
    <mergeCell ref="AH456:AI456"/>
    <mergeCell ref="AJ456:AK456"/>
    <mergeCell ref="AL456:BB456"/>
    <mergeCell ref="AH457:AI457"/>
    <mergeCell ref="AJ457:AK457"/>
    <mergeCell ref="AL457:BB457"/>
    <mergeCell ref="B457:C457"/>
    <mergeCell ref="D457:E457"/>
    <mergeCell ref="F457:G457"/>
    <mergeCell ref="H457:I457"/>
    <mergeCell ref="J457:K457"/>
    <mergeCell ref="L457:M457"/>
    <mergeCell ref="N457:O457"/>
    <mergeCell ref="P459:Q459"/>
    <mergeCell ref="R459:S459"/>
    <mergeCell ref="T459:U459"/>
    <mergeCell ref="V459:W459"/>
    <mergeCell ref="X459:Y459"/>
    <mergeCell ref="Z459:AA459"/>
    <mergeCell ref="AB459:AC459"/>
    <mergeCell ref="B459:C459"/>
    <mergeCell ref="D459:E459"/>
    <mergeCell ref="F459:G459"/>
    <mergeCell ref="H459:I459"/>
    <mergeCell ref="J459:K459"/>
    <mergeCell ref="L459:M459"/>
    <mergeCell ref="N459:O459"/>
    <mergeCell ref="P462:Q462"/>
    <mergeCell ref="R462:S462"/>
    <mergeCell ref="T462:U462"/>
    <mergeCell ref="V462:W462"/>
    <mergeCell ref="X462:Y462"/>
    <mergeCell ref="Z462:AA462"/>
    <mergeCell ref="AB462:AC462"/>
    <mergeCell ref="B462:C462"/>
    <mergeCell ref="D462:E462"/>
    <mergeCell ref="F462:G462"/>
    <mergeCell ref="H462:I462"/>
    <mergeCell ref="J462:K462"/>
    <mergeCell ref="L462:M462"/>
    <mergeCell ref="N462:O462"/>
    <mergeCell ref="X460:Y460"/>
    <mergeCell ref="Z460:AA460"/>
    <mergeCell ref="AB460:AC460"/>
    <mergeCell ref="AD461:AE461"/>
    <mergeCell ref="AF461:AG461"/>
    <mergeCell ref="AH461:AI461"/>
    <mergeCell ref="AJ461:AK461"/>
    <mergeCell ref="AL461:BB461"/>
    <mergeCell ref="P461:Q461"/>
    <mergeCell ref="R461:S461"/>
    <mergeCell ref="T461:U461"/>
    <mergeCell ref="V461:W461"/>
    <mergeCell ref="X461:Y461"/>
    <mergeCell ref="Z461:AA461"/>
    <mergeCell ref="AB461:AC461"/>
    <mergeCell ref="B461:C461"/>
    <mergeCell ref="D461:E461"/>
    <mergeCell ref="F461:G461"/>
    <mergeCell ref="H461:I461"/>
    <mergeCell ref="J461:K461"/>
    <mergeCell ref="L461:M461"/>
    <mergeCell ref="N461:O461"/>
    <mergeCell ref="AD462:AE462"/>
    <mergeCell ref="AF462:AG462"/>
    <mergeCell ref="AH462:AI462"/>
    <mergeCell ref="AJ462:AK462"/>
    <mergeCell ref="AD466:AE466"/>
    <mergeCell ref="AF466:AG466"/>
    <mergeCell ref="P466:Q466"/>
    <mergeCell ref="R466:S466"/>
    <mergeCell ref="T466:U466"/>
    <mergeCell ref="V466:W466"/>
    <mergeCell ref="X466:Y466"/>
    <mergeCell ref="Z466:AA466"/>
    <mergeCell ref="AB466:AC466"/>
    <mergeCell ref="AD467:AE467"/>
    <mergeCell ref="AF467:AG467"/>
    <mergeCell ref="AH467:AI467"/>
    <mergeCell ref="AJ467:AK467"/>
    <mergeCell ref="AL467:BB467"/>
    <mergeCell ref="P467:Q467"/>
    <mergeCell ref="R467:S467"/>
    <mergeCell ref="T467:U467"/>
    <mergeCell ref="V467:W467"/>
    <mergeCell ref="X467:Y467"/>
    <mergeCell ref="Z467:AA467"/>
    <mergeCell ref="AB467:AC467"/>
    <mergeCell ref="B467:C467"/>
    <mergeCell ref="D467:E467"/>
    <mergeCell ref="F467:G467"/>
    <mergeCell ref="H467:I467"/>
    <mergeCell ref="J467:K467"/>
    <mergeCell ref="L467:M467"/>
    <mergeCell ref="N467:O467"/>
    <mergeCell ref="AD468:AE468"/>
    <mergeCell ref="AF468:AG468"/>
    <mergeCell ref="AH468:AI468"/>
    <mergeCell ref="AJ468:AK468"/>
    <mergeCell ref="AL468:BB468"/>
    <mergeCell ref="AH466:AI466"/>
    <mergeCell ref="AJ466:AK466"/>
    <mergeCell ref="AL466:BB466"/>
    <mergeCell ref="B466:C466"/>
    <mergeCell ref="D466:E466"/>
    <mergeCell ref="F466:G466"/>
    <mergeCell ref="H466:I466"/>
    <mergeCell ref="J466:K466"/>
    <mergeCell ref="L466:M466"/>
    <mergeCell ref="N466:O466"/>
    <mergeCell ref="P468:Q468"/>
    <mergeCell ref="R468:S468"/>
    <mergeCell ref="T468:U468"/>
    <mergeCell ref="V468:W468"/>
    <mergeCell ref="X468:Y468"/>
    <mergeCell ref="Z468:AA468"/>
    <mergeCell ref="AB468:AC468"/>
    <mergeCell ref="B468:C468"/>
    <mergeCell ref="D468:E468"/>
    <mergeCell ref="F468:G468"/>
    <mergeCell ref="H468:I468"/>
    <mergeCell ref="J468:K468"/>
    <mergeCell ref="L468:M468"/>
    <mergeCell ref="N468:O468"/>
    <mergeCell ref="AH469:AI469"/>
    <mergeCell ref="AJ469:AK469"/>
    <mergeCell ref="AL469:BB469"/>
    <mergeCell ref="B469:C469"/>
    <mergeCell ref="D469:E469"/>
    <mergeCell ref="F469:G469"/>
    <mergeCell ref="H469:I469"/>
    <mergeCell ref="J469:K469"/>
    <mergeCell ref="L469:M469"/>
    <mergeCell ref="N469:O469"/>
    <mergeCell ref="AD469:AE469"/>
    <mergeCell ref="AF469:AG469"/>
    <mergeCell ref="P469:Q469"/>
    <mergeCell ref="R469:S469"/>
    <mergeCell ref="T469:U469"/>
    <mergeCell ref="V469:W469"/>
    <mergeCell ref="X469:Y469"/>
    <mergeCell ref="Z469:AA469"/>
    <mergeCell ref="AB469:AC469"/>
    <mergeCell ref="AD470:AE470"/>
    <mergeCell ref="AF470:AG470"/>
    <mergeCell ref="AH470:AI470"/>
    <mergeCell ref="AJ470:AK470"/>
    <mergeCell ref="AL470:BB470"/>
    <mergeCell ref="P470:Q470"/>
    <mergeCell ref="R470:S470"/>
    <mergeCell ref="T470:U470"/>
    <mergeCell ref="V470:W470"/>
    <mergeCell ref="X470:Y470"/>
    <mergeCell ref="Z470:AA470"/>
    <mergeCell ref="AB470:AC470"/>
    <mergeCell ref="B470:C470"/>
    <mergeCell ref="D470:E470"/>
    <mergeCell ref="F470:G470"/>
    <mergeCell ref="H470:I470"/>
    <mergeCell ref="J470:K470"/>
    <mergeCell ref="L470:M470"/>
    <mergeCell ref="N470:O470"/>
    <mergeCell ref="AD471:AE471"/>
    <mergeCell ref="AF471:AG471"/>
    <mergeCell ref="AH471:AI471"/>
    <mergeCell ref="AJ471:AK471"/>
    <mergeCell ref="AL471:BB471"/>
    <mergeCell ref="AH472:AI472"/>
    <mergeCell ref="AJ472:AK472"/>
    <mergeCell ref="AL472:BB472"/>
    <mergeCell ref="B472:C472"/>
    <mergeCell ref="D472:E472"/>
    <mergeCell ref="F472:G472"/>
    <mergeCell ref="H472:I472"/>
    <mergeCell ref="J472:K472"/>
    <mergeCell ref="L472:M472"/>
    <mergeCell ref="N472:O472"/>
    <mergeCell ref="AD457:AE457"/>
    <mergeCell ref="AF457:AG457"/>
    <mergeCell ref="P457:Q457"/>
    <mergeCell ref="R457:S457"/>
    <mergeCell ref="T457:U457"/>
    <mergeCell ref="V457:W457"/>
    <mergeCell ref="X457:Y457"/>
    <mergeCell ref="Z457:AA457"/>
    <mergeCell ref="AB457:AC457"/>
    <mergeCell ref="AD458:AE458"/>
    <mergeCell ref="AF458:AG458"/>
    <mergeCell ref="AH458:AI458"/>
    <mergeCell ref="AJ458:AK458"/>
    <mergeCell ref="AL458:BB458"/>
    <mergeCell ref="P458:Q458"/>
    <mergeCell ref="R458:S458"/>
    <mergeCell ref="T458:U458"/>
    <mergeCell ref="V458:W458"/>
    <mergeCell ref="X458:Y458"/>
    <mergeCell ref="Z458:AA458"/>
    <mergeCell ref="AB458:AC458"/>
    <mergeCell ref="B458:C458"/>
    <mergeCell ref="D458:E458"/>
    <mergeCell ref="F458:G458"/>
    <mergeCell ref="H458:I458"/>
    <mergeCell ref="J458:K458"/>
    <mergeCell ref="L458:M458"/>
    <mergeCell ref="N458:O458"/>
    <mergeCell ref="AD459:AE459"/>
    <mergeCell ref="AF459:AG459"/>
    <mergeCell ref="AH459:AI459"/>
    <mergeCell ref="AJ459:AK459"/>
    <mergeCell ref="AL459:BB459"/>
    <mergeCell ref="AH460:AI460"/>
    <mergeCell ref="AJ460:AK460"/>
    <mergeCell ref="AL460:BB460"/>
    <mergeCell ref="B460:C460"/>
    <mergeCell ref="D460:E460"/>
    <mergeCell ref="F460:G460"/>
    <mergeCell ref="H460:I460"/>
    <mergeCell ref="J460:K460"/>
    <mergeCell ref="L460:M460"/>
    <mergeCell ref="N460:O460"/>
    <mergeCell ref="AD460:AE460"/>
    <mergeCell ref="AF460:AG460"/>
    <mergeCell ref="P460:Q460"/>
    <mergeCell ref="R460:S460"/>
    <mergeCell ref="T460:U460"/>
    <mergeCell ref="V460:W460"/>
    <mergeCell ref="AL462:BB462"/>
    <mergeCell ref="AH463:AI463"/>
    <mergeCell ref="AJ463:AK463"/>
    <mergeCell ref="AL463:BB463"/>
    <mergeCell ref="B463:C463"/>
    <mergeCell ref="D463:E463"/>
    <mergeCell ref="F463:G463"/>
    <mergeCell ref="H463:I463"/>
    <mergeCell ref="J463:K463"/>
    <mergeCell ref="L463:M463"/>
    <mergeCell ref="N463:O463"/>
    <mergeCell ref="P465:Q465"/>
    <mergeCell ref="R465:S465"/>
    <mergeCell ref="T465:U465"/>
    <mergeCell ref="V465:W465"/>
    <mergeCell ref="X465:Y465"/>
    <mergeCell ref="Z465:AA465"/>
    <mergeCell ref="AB465:AC465"/>
    <mergeCell ref="B465:C465"/>
    <mergeCell ref="D465:E465"/>
    <mergeCell ref="F465:G465"/>
    <mergeCell ref="H465:I465"/>
    <mergeCell ref="J465:K465"/>
    <mergeCell ref="L465:M465"/>
    <mergeCell ref="N465:O465"/>
    <mergeCell ref="AD463:AE463"/>
    <mergeCell ref="AF463:AG463"/>
    <mergeCell ref="P463:Q463"/>
    <mergeCell ref="R463:S463"/>
    <mergeCell ref="T463:U463"/>
    <mergeCell ref="V463:W463"/>
    <mergeCell ref="X463:Y463"/>
    <mergeCell ref="Z463:AA463"/>
    <mergeCell ref="AB463:AC463"/>
    <mergeCell ref="AD464:AE464"/>
    <mergeCell ref="AF464:AG464"/>
    <mergeCell ref="AH464:AI464"/>
    <mergeCell ref="AJ464:AK464"/>
    <mergeCell ref="AL464:BB464"/>
    <mergeCell ref="P464:Q464"/>
    <mergeCell ref="R464:S464"/>
    <mergeCell ref="T464:U464"/>
    <mergeCell ref="V464:W464"/>
    <mergeCell ref="X464:Y464"/>
    <mergeCell ref="Z464:AA464"/>
    <mergeCell ref="AB464:AC464"/>
    <mergeCell ref="B464:C464"/>
    <mergeCell ref="D464:E464"/>
    <mergeCell ref="F464:G464"/>
    <mergeCell ref="H464:I464"/>
    <mergeCell ref="J464:K464"/>
    <mergeCell ref="L464:M464"/>
    <mergeCell ref="N464:O464"/>
    <mergeCell ref="AD465:AE465"/>
    <mergeCell ref="AF465:AG465"/>
    <mergeCell ref="AH465:AI465"/>
    <mergeCell ref="AJ465:AK465"/>
    <mergeCell ref="AL465:BB465"/>
    <mergeCell ref="P471:Q471"/>
    <mergeCell ref="R471:S471"/>
    <mergeCell ref="T471:U471"/>
    <mergeCell ref="V471:W471"/>
    <mergeCell ref="X471:Y471"/>
    <mergeCell ref="Z471:AA471"/>
    <mergeCell ref="AB471:AC471"/>
    <mergeCell ref="B471:C471"/>
    <mergeCell ref="D471:E471"/>
    <mergeCell ref="F471:G471"/>
    <mergeCell ref="H471:I471"/>
    <mergeCell ref="J471:K471"/>
    <mergeCell ref="L471:M471"/>
    <mergeCell ref="N471:O471"/>
    <mergeCell ref="AD493:AE493"/>
    <mergeCell ref="AF493:AG493"/>
    <mergeCell ref="AH493:AI493"/>
    <mergeCell ref="AJ493:AK493"/>
    <mergeCell ref="AL493:BB493"/>
    <mergeCell ref="P493:Q493"/>
    <mergeCell ref="R493:S493"/>
    <mergeCell ref="T493:U493"/>
    <mergeCell ref="V493:W493"/>
    <mergeCell ref="X493:Y493"/>
    <mergeCell ref="Z493:AA493"/>
    <mergeCell ref="AB493:AC493"/>
    <mergeCell ref="P474:Q474"/>
    <mergeCell ref="R474:S474"/>
    <mergeCell ref="T474:U474"/>
    <mergeCell ref="V474:W474"/>
    <mergeCell ref="X474:Y474"/>
    <mergeCell ref="Z474:AA474"/>
    <mergeCell ref="AB474:AC474"/>
    <mergeCell ref="B474:C474"/>
    <mergeCell ref="D474:E474"/>
    <mergeCell ref="F474:G474"/>
    <mergeCell ref="H474:I474"/>
    <mergeCell ref="J474:K474"/>
    <mergeCell ref="L474:M474"/>
    <mergeCell ref="N474:O474"/>
    <mergeCell ref="AD472:AE472"/>
    <mergeCell ref="AF472:AG472"/>
    <mergeCell ref="P472:Q472"/>
    <mergeCell ref="R472:S472"/>
    <mergeCell ref="T472:U472"/>
    <mergeCell ref="V472:W472"/>
    <mergeCell ref="X472:Y472"/>
    <mergeCell ref="Z472:AA472"/>
    <mergeCell ref="AB472:AC472"/>
    <mergeCell ref="AD473:AE473"/>
    <mergeCell ref="AF473:AG473"/>
    <mergeCell ref="AH473:AI473"/>
    <mergeCell ref="AJ473:AK473"/>
    <mergeCell ref="AL473:BB473"/>
    <mergeCell ref="P473:Q473"/>
    <mergeCell ref="R473:S473"/>
    <mergeCell ref="T473:U473"/>
    <mergeCell ref="V473:W473"/>
    <mergeCell ref="X473:Y473"/>
    <mergeCell ref="Z473:AA473"/>
    <mergeCell ref="AB473:AC473"/>
    <mergeCell ref="B473:C473"/>
    <mergeCell ref="D473:E473"/>
    <mergeCell ref="F473:G473"/>
    <mergeCell ref="H473:I473"/>
    <mergeCell ref="J473:K473"/>
    <mergeCell ref="L473:M473"/>
    <mergeCell ref="N473:O473"/>
    <mergeCell ref="AD474:AE474"/>
    <mergeCell ref="AF474:AG474"/>
    <mergeCell ref="AH474:AI474"/>
    <mergeCell ref="AJ474:AK474"/>
    <mergeCell ref="AL474:BB474"/>
    <mergeCell ref="AH475:AI475"/>
    <mergeCell ref="AJ475:AK475"/>
    <mergeCell ref="AL475:BB475"/>
    <mergeCell ref="B475:C475"/>
    <mergeCell ref="D475:E475"/>
    <mergeCell ref="F475:G475"/>
    <mergeCell ref="H475:I475"/>
    <mergeCell ref="J475:K475"/>
    <mergeCell ref="L475:M475"/>
    <mergeCell ref="N475:O475"/>
    <mergeCell ref="P477:Q477"/>
    <mergeCell ref="R477:S477"/>
    <mergeCell ref="T477:U477"/>
    <mergeCell ref="V477:W477"/>
    <mergeCell ref="X477:Y477"/>
    <mergeCell ref="Z477:AA477"/>
    <mergeCell ref="AB477:AC477"/>
    <mergeCell ref="B477:C477"/>
    <mergeCell ref="D477:E477"/>
    <mergeCell ref="F477:G477"/>
    <mergeCell ref="H477:I477"/>
    <mergeCell ref="J477:K477"/>
    <mergeCell ref="L477:M477"/>
    <mergeCell ref="N477:O477"/>
    <mergeCell ref="AD475:AE475"/>
    <mergeCell ref="AF475:AG475"/>
    <mergeCell ref="P475:Q475"/>
    <mergeCell ref="R475:S475"/>
    <mergeCell ref="T475:U475"/>
    <mergeCell ref="V475:W475"/>
    <mergeCell ref="X475:Y475"/>
    <mergeCell ref="Z475:AA475"/>
    <mergeCell ref="AB475:AC475"/>
    <mergeCell ref="AD476:AE476"/>
    <mergeCell ref="AF476:AG476"/>
    <mergeCell ref="AH476:AI476"/>
    <mergeCell ref="AJ476:AK476"/>
    <mergeCell ref="AL476:BB476"/>
    <mergeCell ref="P476:Q476"/>
    <mergeCell ref="R476:S476"/>
    <mergeCell ref="T476:U476"/>
    <mergeCell ref="V476:W476"/>
    <mergeCell ref="X476:Y476"/>
    <mergeCell ref="Z476:AA476"/>
    <mergeCell ref="AB476:AC476"/>
    <mergeCell ref="B476:C476"/>
    <mergeCell ref="D476:E476"/>
    <mergeCell ref="F476:G476"/>
    <mergeCell ref="H476:I476"/>
    <mergeCell ref="J476:K476"/>
    <mergeCell ref="L476:M476"/>
    <mergeCell ref="N476:O476"/>
    <mergeCell ref="AD477:AE477"/>
    <mergeCell ref="AF477:AG477"/>
    <mergeCell ref="AH477:AI477"/>
    <mergeCell ref="AJ477:AK477"/>
    <mergeCell ref="AL477:BB477"/>
    <mergeCell ref="AH478:AI478"/>
    <mergeCell ref="AJ478:AK478"/>
    <mergeCell ref="AL478:BB478"/>
    <mergeCell ref="B478:C478"/>
    <mergeCell ref="D478:E478"/>
    <mergeCell ref="F478:G478"/>
    <mergeCell ref="H478:I478"/>
    <mergeCell ref="J478:K478"/>
    <mergeCell ref="L478:M478"/>
    <mergeCell ref="N478:O478"/>
    <mergeCell ref="P480:Q480"/>
    <mergeCell ref="R480:S480"/>
    <mergeCell ref="T480:U480"/>
    <mergeCell ref="V480:W480"/>
    <mergeCell ref="X480:Y480"/>
    <mergeCell ref="Z480:AA480"/>
    <mergeCell ref="AB480:AC480"/>
    <mergeCell ref="B480:C480"/>
    <mergeCell ref="D480:E480"/>
    <mergeCell ref="F480:G480"/>
    <mergeCell ref="H480:I480"/>
    <mergeCell ref="J480:K480"/>
    <mergeCell ref="L480:M480"/>
    <mergeCell ref="N480:O480"/>
    <mergeCell ref="AD478:AE478"/>
    <mergeCell ref="AF478:AG478"/>
    <mergeCell ref="P478:Q478"/>
    <mergeCell ref="R478:S478"/>
    <mergeCell ref="T478:U478"/>
    <mergeCell ref="V478:W478"/>
    <mergeCell ref="X478:Y478"/>
    <mergeCell ref="Z478:AA478"/>
    <mergeCell ref="AB478:AC478"/>
    <mergeCell ref="AD479:AE479"/>
    <mergeCell ref="AF479:AG479"/>
    <mergeCell ref="AH479:AI479"/>
    <mergeCell ref="AJ479:AK479"/>
    <mergeCell ref="AL479:BB479"/>
    <mergeCell ref="P479:Q479"/>
    <mergeCell ref="R479:S479"/>
    <mergeCell ref="T479:U479"/>
    <mergeCell ref="V479:W479"/>
    <mergeCell ref="X479:Y479"/>
    <mergeCell ref="Z479:AA479"/>
    <mergeCell ref="AB479:AC479"/>
    <mergeCell ref="B479:C479"/>
    <mergeCell ref="D479:E479"/>
    <mergeCell ref="F479:G479"/>
    <mergeCell ref="H479:I479"/>
    <mergeCell ref="J479:K479"/>
    <mergeCell ref="L479:M479"/>
    <mergeCell ref="N479:O479"/>
    <mergeCell ref="AD480:AE480"/>
    <mergeCell ref="AF480:AG480"/>
    <mergeCell ref="AH480:AI480"/>
    <mergeCell ref="AJ480:AK480"/>
    <mergeCell ref="AL480:BB480"/>
    <mergeCell ref="AH481:AI481"/>
    <mergeCell ref="AJ481:AK481"/>
    <mergeCell ref="AL481:BB481"/>
    <mergeCell ref="B481:C481"/>
    <mergeCell ref="D481:E481"/>
    <mergeCell ref="F481:G481"/>
    <mergeCell ref="H481:I481"/>
    <mergeCell ref="J481:K481"/>
    <mergeCell ref="L481:M481"/>
    <mergeCell ref="N481:O481"/>
    <mergeCell ref="P483:Q483"/>
    <mergeCell ref="R483:S483"/>
    <mergeCell ref="T483:U483"/>
    <mergeCell ref="V483:W483"/>
    <mergeCell ref="X483:Y483"/>
    <mergeCell ref="Z483:AA483"/>
    <mergeCell ref="AB483:AC483"/>
    <mergeCell ref="B483:C483"/>
    <mergeCell ref="D483:E483"/>
    <mergeCell ref="F483:G483"/>
    <mergeCell ref="H483:I483"/>
    <mergeCell ref="J483:K483"/>
    <mergeCell ref="L483:M483"/>
    <mergeCell ref="N483:O483"/>
    <mergeCell ref="AD481:AE481"/>
    <mergeCell ref="AF481:AG481"/>
    <mergeCell ref="P481:Q481"/>
    <mergeCell ref="R481:S481"/>
    <mergeCell ref="T481:U481"/>
    <mergeCell ref="V481:W481"/>
    <mergeCell ref="X481:Y481"/>
    <mergeCell ref="Z481:AA481"/>
    <mergeCell ref="AB481:AC481"/>
    <mergeCell ref="AD482:AE482"/>
    <mergeCell ref="AF482:AG482"/>
    <mergeCell ref="AH482:AI482"/>
    <mergeCell ref="AJ482:AK482"/>
    <mergeCell ref="AL482:BB482"/>
    <mergeCell ref="P482:Q482"/>
    <mergeCell ref="R482:S482"/>
    <mergeCell ref="T482:U482"/>
    <mergeCell ref="V482:W482"/>
    <mergeCell ref="X482:Y482"/>
    <mergeCell ref="Z482:AA482"/>
    <mergeCell ref="AB482:AC482"/>
    <mergeCell ref="B482:C482"/>
    <mergeCell ref="D482:E482"/>
    <mergeCell ref="F482:G482"/>
    <mergeCell ref="H482:I482"/>
    <mergeCell ref="J482:K482"/>
    <mergeCell ref="L482:M482"/>
    <mergeCell ref="N482:O482"/>
    <mergeCell ref="AD483:AE483"/>
    <mergeCell ref="AF483:AG483"/>
    <mergeCell ref="AH483:AI483"/>
    <mergeCell ref="AJ483:AK483"/>
    <mergeCell ref="AL483:BB483"/>
    <mergeCell ref="AH484:AI484"/>
    <mergeCell ref="AJ484:AK484"/>
    <mergeCell ref="AL484:BB484"/>
    <mergeCell ref="B484:C484"/>
    <mergeCell ref="D484:E484"/>
    <mergeCell ref="F484:G484"/>
    <mergeCell ref="H484:I484"/>
    <mergeCell ref="J484:K484"/>
    <mergeCell ref="L484:M484"/>
    <mergeCell ref="N484:O484"/>
    <mergeCell ref="P486:Q486"/>
    <mergeCell ref="R486:S486"/>
    <mergeCell ref="T486:U486"/>
    <mergeCell ref="V486:W486"/>
    <mergeCell ref="X486:Y486"/>
    <mergeCell ref="Z486:AA486"/>
    <mergeCell ref="AB486:AC486"/>
    <mergeCell ref="B486:C486"/>
    <mergeCell ref="D486:E486"/>
    <mergeCell ref="F486:G486"/>
    <mergeCell ref="H486:I486"/>
    <mergeCell ref="J486:K486"/>
    <mergeCell ref="L486:M486"/>
    <mergeCell ref="N486:O486"/>
    <mergeCell ref="AD484:AE484"/>
    <mergeCell ref="AF484:AG484"/>
    <mergeCell ref="P484:Q484"/>
    <mergeCell ref="R484:S484"/>
    <mergeCell ref="T484:U484"/>
    <mergeCell ref="V484:W484"/>
    <mergeCell ref="X484:Y484"/>
    <mergeCell ref="Z484:AA484"/>
    <mergeCell ref="AB484:AC484"/>
    <mergeCell ref="AD485:AE485"/>
    <mergeCell ref="AF485:AG485"/>
    <mergeCell ref="AH485:AI485"/>
    <mergeCell ref="AJ485:AK485"/>
    <mergeCell ref="AL485:BB485"/>
    <mergeCell ref="P485:Q485"/>
    <mergeCell ref="R485:S485"/>
    <mergeCell ref="T485:U485"/>
    <mergeCell ref="V485:W485"/>
    <mergeCell ref="X485:Y485"/>
    <mergeCell ref="Z485:AA485"/>
    <mergeCell ref="AB485:AC485"/>
    <mergeCell ref="B485:C485"/>
    <mergeCell ref="D485:E485"/>
    <mergeCell ref="F485:G485"/>
    <mergeCell ref="H485:I485"/>
    <mergeCell ref="J485:K485"/>
    <mergeCell ref="L485:M485"/>
    <mergeCell ref="N485:O485"/>
    <mergeCell ref="AD486:AE486"/>
    <mergeCell ref="AF486:AG486"/>
    <mergeCell ref="AH486:AI486"/>
    <mergeCell ref="AJ486:AK486"/>
    <mergeCell ref="AL486:BB486"/>
    <mergeCell ref="AH487:AI487"/>
    <mergeCell ref="AJ487:AK487"/>
    <mergeCell ref="AL487:BB487"/>
    <mergeCell ref="B487:C487"/>
    <mergeCell ref="D487:E487"/>
    <mergeCell ref="F487:G487"/>
    <mergeCell ref="H487:I487"/>
    <mergeCell ref="J487:K487"/>
    <mergeCell ref="L487:M487"/>
    <mergeCell ref="N487:O487"/>
    <mergeCell ref="P489:Q489"/>
    <mergeCell ref="R489:S489"/>
    <mergeCell ref="T489:U489"/>
    <mergeCell ref="V489:W489"/>
    <mergeCell ref="X489:Y489"/>
    <mergeCell ref="Z489:AA489"/>
    <mergeCell ref="AB489:AC489"/>
    <mergeCell ref="B489:C489"/>
    <mergeCell ref="D489:E489"/>
    <mergeCell ref="F489:G489"/>
    <mergeCell ref="H489:I489"/>
    <mergeCell ref="J489:K489"/>
    <mergeCell ref="L489:M489"/>
    <mergeCell ref="N489:O489"/>
    <mergeCell ref="AD487:AE487"/>
    <mergeCell ref="AF487:AG487"/>
    <mergeCell ref="P487:Q487"/>
    <mergeCell ref="R487:S487"/>
    <mergeCell ref="T487:U487"/>
    <mergeCell ref="V487:W487"/>
    <mergeCell ref="X487:Y487"/>
    <mergeCell ref="Z487:AA487"/>
    <mergeCell ref="AB487:AC487"/>
    <mergeCell ref="AD488:AE488"/>
    <mergeCell ref="AF488:AG488"/>
    <mergeCell ref="AH488:AI488"/>
    <mergeCell ref="AJ488:AK488"/>
    <mergeCell ref="AL488:BB488"/>
    <mergeCell ref="P488:Q488"/>
    <mergeCell ref="R488:S488"/>
    <mergeCell ref="T488:U488"/>
    <mergeCell ref="V488:W488"/>
    <mergeCell ref="X488:Y488"/>
    <mergeCell ref="Z488:AA488"/>
    <mergeCell ref="AB488:AC488"/>
    <mergeCell ref="B488:C488"/>
    <mergeCell ref="D488:E488"/>
    <mergeCell ref="F488:G488"/>
    <mergeCell ref="H488:I488"/>
    <mergeCell ref="J488:K488"/>
    <mergeCell ref="L488:M488"/>
    <mergeCell ref="N488:O488"/>
    <mergeCell ref="AD489:AE489"/>
    <mergeCell ref="AF489:AG489"/>
    <mergeCell ref="AH489:AI489"/>
    <mergeCell ref="AJ489:AK489"/>
    <mergeCell ref="AL489:BB489"/>
    <mergeCell ref="AH490:AI490"/>
    <mergeCell ref="AJ490:AK490"/>
    <mergeCell ref="AL490:BB490"/>
    <mergeCell ref="B490:C490"/>
    <mergeCell ref="D490:E490"/>
    <mergeCell ref="F490:G490"/>
    <mergeCell ref="H490:I490"/>
    <mergeCell ref="J490:K490"/>
    <mergeCell ref="L490:M490"/>
    <mergeCell ref="N490:O490"/>
    <mergeCell ref="P492:Q492"/>
    <mergeCell ref="R492:S492"/>
    <mergeCell ref="T492:U492"/>
    <mergeCell ref="V492:W492"/>
    <mergeCell ref="X492:Y492"/>
    <mergeCell ref="Z492:AA492"/>
    <mergeCell ref="AB492:AC492"/>
    <mergeCell ref="B492:C492"/>
    <mergeCell ref="D492:E492"/>
    <mergeCell ref="F492:G492"/>
    <mergeCell ref="H492:I492"/>
    <mergeCell ref="J492:K492"/>
    <mergeCell ref="L492:M492"/>
    <mergeCell ref="N492:O492"/>
    <mergeCell ref="AD490:AE490"/>
    <mergeCell ref="AF490:AG490"/>
    <mergeCell ref="P490:Q490"/>
    <mergeCell ref="R490:S490"/>
    <mergeCell ref="T490:U490"/>
    <mergeCell ref="V490:W490"/>
    <mergeCell ref="X490:Y490"/>
    <mergeCell ref="Z490:AA490"/>
    <mergeCell ref="AB490:AC490"/>
    <mergeCell ref="AD491:AE491"/>
    <mergeCell ref="AF491:AG491"/>
    <mergeCell ref="AH491:AI491"/>
    <mergeCell ref="AJ491:AK491"/>
    <mergeCell ref="AL491:BB491"/>
    <mergeCell ref="P491:Q491"/>
    <mergeCell ref="R491:S491"/>
    <mergeCell ref="T491:U491"/>
    <mergeCell ref="V491:W491"/>
    <mergeCell ref="X491:Y491"/>
    <mergeCell ref="Z491:AA491"/>
    <mergeCell ref="AB491:AC491"/>
    <mergeCell ref="B491:C491"/>
    <mergeCell ref="D491:E491"/>
    <mergeCell ref="F491:G491"/>
    <mergeCell ref="H491:I491"/>
    <mergeCell ref="J491:K491"/>
    <mergeCell ref="L491:M491"/>
    <mergeCell ref="N491:O491"/>
    <mergeCell ref="AD492:AE492"/>
    <mergeCell ref="AF492:AG492"/>
    <mergeCell ref="AH492:AI492"/>
    <mergeCell ref="AJ492:AK492"/>
    <mergeCell ref="AL492:BB492"/>
    <mergeCell ref="B493:C493"/>
    <mergeCell ref="D493:E493"/>
    <mergeCell ref="F493:G493"/>
    <mergeCell ref="H493:I493"/>
    <mergeCell ref="J493:K493"/>
    <mergeCell ref="L493:M493"/>
    <mergeCell ref="N493:O493"/>
    <mergeCell ref="AD494:AE494"/>
    <mergeCell ref="AF494:AG494"/>
    <mergeCell ref="AH494:AI494"/>
    <mergeCell ref="AJ494:AK494"/>
    <mergeCell ref="AL494:BB494"/>
    <mergeCell ref="P494:Q494"/>
    <mergeCell ref="R494:S494"/>
    <mergeCell ref="T494:U494"/>
    <mergeCell ref="V494:W494"/>
    <mergeCell ref="X494:Y494"/>
    <mergeCell ref="Z494:AA494"/>
    <mergeCell ref="AB494:AC494"/>
    <mergeCell ref="B494:C494"/>
    <mergeCell ref="D494:E494"/>
    <mergeCell ref="F494:G494"/>
    <mergeCell ref="H494:I494"/>
    <mergeCell ref="J494:K494"/>
    <mergeCell ref="L494:M494"/>
    <mergeCell ref="N494:O494"/>
    <mergeCell ref="AD495:AE495"/>
    <mergeCell ref="AF495:AG495"/>
    <mergeCell ref="AH495:AI495"/>
    <mergeCell ref="AJ495:AK495"/>
    <mergeCell ref="AL495:BB495"/>
    <mergeCell ref="P495:Q495"/>
    <mergeCell ref="R495:S495"/>
    <mergeCell ref="T495:U495"/>
    <mergeCell ref="V495:W495"/>
    <mergeCell ref="X495:Y495"/>
    <mergeCell ref="Z495:AA495"/>
    <mergeCell ref="AB495:AC495"/>
    <mergeCell ref="B495:C495"/>
    <mergeCell ref="D495:E495"/>
    <mergeCell ref="F495:G495"/>
    <mergeCell ref="H495:I495"/>
    <mergeCell ref="J495:K495"/>
    <mergeCell ref="L495:M495"/>
    <mergeCell ref="N495:O495"/>
    <mergeCell ref="AH496:AI496"/>
    <mergeCell ref="AJ496:AK496"/>
    <mergeCell ref="AL496:BB496"/>
    <mergeCell ref="B496:C496"/>
    <mergeCell ref="D496:E496"/>
    <mergeCell ref="F496:G496"/>
    <mergeCell ref="H496:I496"/>
    <mergeCell ref="J496:K496"/>
    <mergeCell ref="L496:M496"/>
    <mergeCell ref="N496:O496"/>
    <mergeCell ref="P498:Q498"/>
    <mergeCell ref="R498:S498"/>
    <mergeCell ref="T498:U498"/>
    <mergeCell ref="V498:W498"/>
    <mergeCell ref="X498:Y498"/>
    <mergeCell ref="Z498:AA498"/>
    <mergeCell ref="AB498:AC498"/>
    <mergeCell ref="B498:C498"/>
    <mergeCell ref="D498:E498"/>
    <mergeCell ref="F498:G498"/>
    <mergeCell ref="H498:I498"/>
    <mergeCell ref="J498:K498"/>
    <mergeCell ref="L498:M498"/>
    <mergeCell ref="N498:O498"/>
    <mergeCell ref="AD496:AE496"/>
    <mergeCell ref="AF496:AG496"/>
    <mergeCell ref="P496:Q496"/>
    <mergeCell ref="R496:S496"/>
    <mergeCell ref="T496:U496"/>
    <mergeCell ref="V496:W496"/>
    <mergeCell ref="X496:Y496"/>
    <mergeCell ref="Z496:AA496"/>
    <mergeCell ref="AB496:AC496"/>
    <mergeCell ref="AD497:AE497"/>
    <mergeCell ref="AF497:AG497"/>
    <mergeCell ref="AH497:AI497"/>
    <mergeCell ref="AJ497:AK497"/>
    <mergeCell ref="AL497:BB497"/>
    <mergeCell ref="P497:Q497"/>
    <mergeCell ref="R497:S497"/>
    <mergeCell ref="T497:U497"/>
    <mergeCell ref="V497:W497"/>
    <mergeCell ref="X497:Y497"/>
    <mergeCell ref="Z497:AA497"/>
    <mergeCell ref="AB497:AC497"/>
    <mergeCell ref="B497:C497"/>
    <mergeCell ref="D497:E497"/>
    <mergeCell ref="F497:G497"/>
    <mergeCell ref="H497:I497"/>
    <mergeCell ref="J497:K497"/>
    <mergeCell ref="L497:M497"/>
    <mergeCell ref="N497:O497"/>
    <mergeCell ref="AD498:AE498"/>
    <mergeCell ref="AF498:AG498"/>
    <mergeCell ref="AH498:AI498"/>
    <mergeCell ref="AJ498:AK498"/>
    <mergeCell ref="AL498:BB498"/>
    <mergeCell ref="AH499:AI499"/>
    <mergeCell ref="AJ499:AK499"/>
    <mergeCell ref="AL499:BB499"/>
    <mergeCell ref="B499:C499"/>
    <mergeCell ref="D499:E499"/>
    <mergeCell ref="F499:G499"/>
    <mergeCell ref="H499:I499"/>
    <mergeCell ref="J499:K499"/>
    <mergeCell ref="L499:M499"/>
    <mergeCell ref="N499:O499"/>
    <mergeCell ref="P501:Q501"/>
    <mergeCell ref="R501:S501"/>
    <mergeCell ref="T501:U501"/>
    <mergeCell ref="V501:W501"/>
    <mergeCell ref="X501:Y501"/>
    <mergeCell ref="Z501:AA501"/>
    <mergeCell ref="AB501:AC501"/>
    <mergeCell ref="B501:C501"/>
    <mergeCell ref="D501:E501"/>
    <mergeCell ref="F501:G501"/>
    <mergeCell ref="H501:I501"/>
    <mergeCell ref="J501:K501"/>
    <mergeCell ref="L501:M501"/>
    <mergeCell ref="N501:O501"/>
    <mergeCell ref="P504:Q504"/>
    <mergeCell ref="R504:S504"/>
    <mergeCell ref="T504:U504"/>
    <mergeCell ref="V504:W504"/>
    <mergeCell ref="X504:Y504"/>
    <mergeCell ref="Z504:AA504"/>
    <mergeCell ref="AB504:AC504"/>
    <mergeCell ref="B504:C504"/>
    <mergeCell ref="D504:E504"/>
    <mergeCell ref="F504:G504"/>
    <mergeCell ref="H504:I504"/>
    <mergeCell ref="J504:K504"/>
    <mergeCell ref="L504:M504"/>
    <mergeCell ref="N504:O504"/>
    <mergeCell ref="X502:Y502"/>
    <mergeCell ref="Z502:AA502"/>
    <mergeCell ref="AB502:AC502"/>
    <mergeCell ref="AD503:AE503"/>
    <mergeCell ref="AF503:AG503"/>
    <mergeCell ref="AH503:AI503"/>
    <mergeCell ref="AJ503:AK503"/>
    <mergeCell ref="AL503:BB503"/>
    <mergeCell ref="P503:Q503"/>
    <mergeCell ref="R503:S503"/>
    <mergeCell ref="T503:U503"/>
    <mergeCell ref="V503:W503"/>
    <mergeCell ref="X503:Y503"/>
    <mergeCell ref="Z503:AA503"/>
    <mergeCell ref="AB503:AC503"/>
    <mergeCell ref="B503:C503"/>
    <mergeCell ref="D503:E503"/>
    <mergeCell ref="F503:G503"/>
    <mergeCell ref="H503:I503"/>
    <mergeCell ref="J503:K503"/>
    <mergeCell ref="L503:M503"/>
    <mergeCell ref="N503:O503"/>
    <mergeCell ref="AD504:AE504"/>
    <mergeCell ref="AF504:AG504"/>
    <mergeCell ref="AH504:AI504"/>
    <mergeCell ref="AJ504:AK504"/>
    <mergeCell ref="AD508:AE508"/>
    <mergeCell ref="AF508:AG508"/>
    <mergeCell ref="P508:Q508"/>
    <mergeCell ref="R508:S508"/>
    <mergeCell ref="T508:U508"/>
    <mergeCell ref="V508:W508"/>
    <mergeCell ref="X508:Y508"/>
    <mergeCell ref="Z508:AA508"/>
    <mergeCell ref="AB508:AC508"/>
    <mergeCell ref="AD509:AE509"/>
    <mergeCell ref="AF509:AG509"/>
    <mergeCell ref="AH509:AI509"/>
    <mergeCell ref="AJ509:AK509"/>
    <mergeCell ref="AL509:BB509"/>
    <mergeCell ref="P509:Q509"/>
    <mergeCell ref="R509:S509"/>
    <mergeCell ref="T509:U509"/>
    <mergeCell ref="V509:W509"/>
    <mergeCell ref="X509:Y509"/>
    <mergeCell ref="Z509:AA509"/>
    <mergeCell ref="AB509:AC509"/>
    <mergeCell ref="B509:C509"/>
    <mergeCell ref="D509:E509"/>
    <mergeCell ref="F509:G509"/>
    <mergeCell ref="H509:I509"/>
    <mergeCell ref="J509:K509"/>
    <mergeCell ref="L509:M509"/>
    <mergeCell ref="N509:O509"/>
    <mergeCell ref="AD510:AE510"/>
    <mergeCell ref="AF510:AG510"/>
    <mergeCell ref="AH510:AI510"/>
    <mergeCell ref="AJ510:AK510"/>
    <mergeCell ref="AL510:BB510"/>
    <mergeCell ref="AH508:AI508"/>
    <mergeCell ref="AJ508:AK508"/>
    <mergeCell ref="AL508:BB508"/>
    <mergeCell ref="B508:C508"/>
    <mergeCell ref="D508:E508"/>
    <mergeCell ref="F508:G508"/>
    <mergeCell ref="H508:I508"/>
    <mergeCell ref="J508:K508"/>
    <mergeCell ref="L508:M508"/>
    <mergeCell ref="N508:O508"/>
    <mergeCell ref="P510:Q510"/>
    <mergeCell ref="R510:S510"/>
    <mergeCell ref="T510:U510"/>
    <mergeCell ref="V510:W510"/>
    <mergeCell ref="X510:Y510"/>
    <mergeCell ref="Z510:AA510"/>
    <mergeCell ref="AB510:AC510"/>
    <mergeCell ref="B510:C510"/>
    <mergeCell ref="D510:E510"/>
    <mergeCell ref="F510:G510"/>
    <mergeCell ref="H510:I510"/>
    <mergeCell ref="J510:K510"/>
    <mergeCell ref="L510:M510"/>
    <mergeCell ref="N510:O510"/>
    <mergeCell ref="AH511:AI511"/>
    <mergeCell ref="AJ511:AK511"/>
    <mergeCell ref="AL511:BB511"/>
    <mergeCell ref="B511:C511"/>
    <mergeCell ref="D511:E511"/>
    <mergeCell ref="F511:G511"/>
    <mergeCell ref="H511:I511"/>
    <mergeCell ref="J511:K511"/>
    <mergeCell ref="L511:M511"/>
    <mergeCell ref="N511:O511"/>
    <mergeCell ref="AD511:AE511"/>
    <mergeCell ref="AF511:AG511"/>
    <mergeCell ref="P511:Q511"/>
    <mergeCell ref="R511:S511"/>
    <mergeCell ref="T511:U511"/>
    <mergeCell ref="V511:W511"/>
    <mergeCell ref="X511:Y511"/>
    <mergeCell ref="Z511:AA511"/>
    <mergeCell ref="AB511:AC511"/>
    <mergeCell ref="AD512:AE512"/>
    <mergeCell ref="AF512:AG512"/>
    <mergeCell ref="AH512:AI512"/>
    <mergeCell ref="AJ512:AK512"/>
    <mergeCell ref="AL512:BB512"/>
    <mergeCell ref="P512:Q512"/>
    <mergeCell ref="R512:S512"/>
    <mergeCell ref="T512:U512"/>
    <mergeCell ref="V512:W512"/>
    <mergeCell ref="X512:Y512"/>
    <mergeCell ref="Z512:AA512"/>
    <mergeCell ref="AB512:AC512"/>
    <mergeCell ref="B512:C512"/>
    <mergeCell ref="D512:E512"/>
    <mergeCell ref="F512:G512"/>
    <mergeCell ref="H512:I512"/>
    <mergeCell ref="J512:K512"/>
    <mergeCell ref="L512:M512"/>
    <mergeCell ref="N512:O512"/>
    <mergeCell ref="AD513:AE513"/>
    <mergeCell ref="AF513:AG513"/>
    <mergeCell ref="AH513:AI513"/>
    <mergeCell ref="AJ513:AK513"/>
    <mergeCell ref="AL513:BB513"/>
    <mergeCell ref="AH514:AI514"/>
    <mergeCell ref="AJ514:AK514"/>
    <mergeCell ref="AL514:BB514"/>
    <mergeCell ref="B514:C514"/>
    <mergeCell ref="D514:E514"/>
    <mergeCell ref="F514:G514"/>
    <mergeCell ref="H514:I514"/>
    <mergeCell ref="J514:K514"/>
    <mergeCell ref="L514:M514"/>
    <mergeCell ref="N514:O514"/>
    <mergeCell ref="AD499:AE499"/>
    <mergeCell ref="AF499:AG499"/>
    <mergeCell ref="P499:Q499"/>
    <mergeCell ref="R499:S499"/>
    <mergeCell ref="T499:U499"/>
    <mergeCell ref="V499:W499"/>
    <mergeCell ref="X499:Y499"/>
    <mergeCell ref="Z499:AA499"/>
    <mergeCell ref="AB499:AC499"/>
    <mergeCell ref="AD500:AE500"/>
    <mergeCell ref="AF500:AG500"/>
    <mergeCell ref="AH500:AI500"/>
    <mergeCell ref="AJ500:AK500"/>
    <mergeCell ref="AL500:BB500"/>
    <mergeCell ref="P500:Q500"/>
    <mergeCell ref="R500:S500"/>
    <mergeCell ref="T500:U500"/>
    <mergeCell ref="V500:W500"/>
    <mergeCell ref="X500:Y500"/>
    <mergeCell ref="Z500:AA500"/>
    <mergeCell ref="AB500:AC500"/>
    <mergeCell ref="B500:C500"/>
    <mergeCell ref="D500:E500"/>
    <mergeCell ref="F500:G500"/>
    <mergeCell ref="H500:I500"/>
    <mergeCell ref="J500:K500"/>
    <mergeCell ref="L500:M500"/>
    <mergeCell ref="N500:O500"/>
    <mergeCell ref="AD501:AE501"/>
    <mergeCell ref="AF501:AG501"/>
    <mergeCell ref="AH501:AI501"/>
    <mergeCell ref="AJ501:AK501"/>
    <mergeCell ref="AL501:BB501"/>
    <mergeCell ref="AH502:AI502"/>
    <mergeCell ref="AJ502:AK502"/>
    <mergeCell ref="AL502:BB502"/>
    <mergeCell ref="B502:C502"/>
    <mergeCell ref="D502:E502"/>
    <mergeCell ref="F502:G502"/>
    <mergeCell ref="H502:I502"/>
    <mergeCell ref="J502:K502"/>
    <mergeCell ref="L502:M502"/>
    <mergeCell ref="N502:O502"/>
    <mergeCell ref="AD502:AE502"/>
    <mergeCell ref="AF502:AG502"/>
    <mergeCell ref="P502:Q502"/>
    <mergeCell ref="R502:S502"/>
    <mergeCell ref="T502:U502"/>
    <mergeCell ref="V502:W502"/>
    <mergeCell ref="AL504:BB504"/>
    <mergeCell ref="AH505:AI505"/>
    <mergeCell ref="AJ505:AK505"/>
    <mergeCell ref="AL505:BB505"/>
    <mergeCell ref="B505:C505"/>
    <mergeCell ref="D505:E505"/>
    <mergeCell ref="F505:G505"/>
    <mergeCell ref="H505:I505"/>
    <mergeCell ref="J505:K505"/>
    <mergeCell ref="L505:M505"/>
    <mergeCell ref="N505:O505"/>
    <mergeCell ref="P507:Q507"/>
    <mergeCell ref="R507:S507"/>
    <mergeCell ref="T507:U507"/>
    <mergeCell ref="V507:W507"/>
    <mergeCell ref="X507:Y507"/>
    <mergeCell ref="Z507:AA507"/>
    <mergeCell ref="AB507:AC507"/>
    <mergeCell ref="B507:C507"/>
    <mergeCell ref="D507:E507"/>
    <mergeCell ref="F507:G507"/>
    <mergeCell ref="H507:I507"/>
    <mergeCell ref="J507:K507"/>
    <mergeCell ref="L507:M507"/>
    <mergeCell ref="N507:O507"/>
    <mergeCell ref="AD505:AE505"/>
    <mergeCell ref="AF505:AG505"/>
    <mergeCell ref="P505:Q505"/>
    <mergeCell ref="R505:S505"/>
    <mergeCell ref="T505:U505"/>
    <mergeCell ref="V505:W505"/>
    <mergeCell ref="X505:Y505"/>
    <mergeCell ref="Z505:AA505"/>
    <mergeCell ref="AB505:AC505"/>
    <mergeCell ref="AD506:AE506"/>
    <mergeCell ref="AF506:AG506"/>
    <mergeCell ref="AH506:AI506"/>
    <mergeCell ref="AJ506:AK506"/>
    <mergeCell ref="AL506:BB506"/>
    <mergeCell ref="P506:Q506"/>
    <mergeCell ref="R506:S506"/>
    <mergeCell ref="T506:U506"/>
    <mergeCell ref="V506:W506"/>
    <mergeCell ref="X506:Y506"/>
    <mergeCell ref="Z506:AA506"/>
    <mergeCell ref="AB506:AC506"/>
    <mergeCell ref="B506:C506"/>
    <mergeCell ref="D506:E506"/>
    <mergeCell ref="F506:G506"/>
    <mergeCell ref="H506:I506"/>
    <mergeCell ref="J506:K506"/>
    <mergeCell ref="L506:M506"/>
    <mergeCell ref="N506:O506"/>
    <mergeCell ref="AD507:AE507"/>
    <mergeCell ref="AF507:AG507"/>
    <mergeCell ref="AH507:AI507"/>
    <mergeCell ref="AJ507:AK507"/>
    <mergeCell ref="AL507:BB507"/>
    <mergeCell ref="P513:Q513"/>
    <mergeCell ref="R513:S513"/>
    <mergeCell ref="T513:U513"/>
    <mergeCell ref="V513:W513"/>
    <mergeCell ref="X513:Y513"/>
    <mergeCell ref="Z513:AA513"/>
    <mergeCell ref="AB513:AC513"/>
    <mergeCell ref="B513:C513"/>
    <mergeCell ref="D513:E513"/>
    <mergeCell ref="F513:G513"/>
    <mergeCell ref="H513:I513"/>
    <mergeCell ref="J513:K513"/>
    <mergeCell ref="L513:M513"/>
    <mergeCell ref="N513:O513"/>
    <mergeCell ref="AD535:AE535"/>
    <mergeCell ref="AF535:AG535"/>
    <mergeCell ref="AH535:AI535"/>
    <mergeCell ref="AJ535:AK535"/>
    <mergeCell ref="AL535:BB535"/>
    <mergeCell ref="P535:Q535"/>
    <mergeCell ref="R535:S535"/>
    <mergeCell ref="T535:U535"/>
    <mergeCell ref="V535:W535"/>
    <mergeCell ref="X535:Y535"/>
    <mergeCell ref="Z535:AA535"/>
    <mergeCell ref="AB535:AC535"/>
    <mergeCell ref="P516:Q516"/>
    <mergeCell ref="R516:S516"/>
    <mergeCell ref="T516:U516"/>
    <mergeCell ref="V516:W516"/>
    <mergeCell ref="X516:Y516"/>
    <mergeCell ref="Z516:AA516"/>
    <mergeCell ref="AB516:AC516"/>
    <mergeCell ref="B516:C516"/>
    <mergeCell ref="D516:E516"/>
    <mergeCell ref="F516:G516"/>
    <mergeCell ref="H516:I516"/>
    <mergeCell ref="J516:K516"/>
    <mergeCell ref="L516:M516"/>
    <mergeCell ref="N516:O516"/>
    <mergeCell ref="AD514:AE514"/>
    <mergeCell ref="AF514:AG514"/>
    <mergeCell ref="P514:Q514"/>
    <mergeCell ref="R514:S514"/>
    <mergeCell ref="T514:U514"/>
    <mergeCell ref="V514:W514"/>
    <mergeCell ref="X514:Y514"/>
    <mergeCell ref="Z514:AA514"/>
    <mergeCell ref="AB514:AC514"/>
    <mergeCell ref="AD515:AE515"/>
    <mergeCell ref="AF515:AG515"/>
    <mergeCell ref="AH515:AI515"/>
    <mergeCell ref="AJ515:AK515"/>
    <mergeCell ref="AL515:BB515"/>
    <mergeCell ref="P515:Q515"/>
    <mergeCell ref="R515:S515"/>
    <mergeCell ref="T515:U515"/>
    <mergeCell ref="V515:W515"/>
    <mergeCell ref="X515:Y515"/>
    <mergeCell ref="Z515:AA515"/>
    <mergeCell ref="AB515:AC515"/>
    <mergeCell ref="B515:C515"/>
    <mergeCell ref="D515:E515"/>
    <mergeCell ref="F515:G515"/>
    <mergeCell ref="H515:I515"/>
    <mergeCell ref="J515:K515"/>
    <mergeCell ref="L515:M515"/>
    <mergeCell ref="N515:O515"/>
    <mergeCell ref="AD516:AE516"/>
    <mergeCell ref="AF516:AG516"/>
    <mergeCell ref="AH516:AI516"/>
    <mergeCell ref="AJ516:AK516"/>
    <mergeCell ref="AL516:BB516"/>
    <mergeCell ref="AH517:AI517"/>
    <mergeCell ref="AJ517:AK517"/>
    <mergeCell ref="AL517:BB517"/>
    <mergeCell ref="B517:C517"/>
    <mergeCell ref="D517:E517"/>
    <mergeCell ref="F517:G517"/>
    <mergeCell ref="H517:I517"/>
    <mergeCell ref="J517:K517"/>
    <mergeCell ref="L517:M517"/>
    <mergeCell ref="N517:O517"/>
    <mergeCell ref="P519:Q519"/>
    <mergeCell ref="R519:S519"/>
    <mergeCell ref="T519:U519"/>
    <mergeCell ref="V519:W519"/>
    <mergeCell ref="X519:Y519"/>
    <mergeCell ref="Z519:AA519"/>
    <mergeCell ref="AB519:AC519"/>
    <mergeCell ref="B519:C519"/>
    <mergeCell ref="D519:E519"/>
    <mergeCell ref="F519:G519"/>
    <mergeCell ref="H519:I519"/>
    <mergeCell ref="J519:K519"/>
    <mergeCell ref="L519:M519"/>
    <mergeCell ref="N519:O519"/>
    <mergeCell ref="AD517:AE517"/>
    <mergeCell ref="AF517:AG517"/>
    <mergeCell ref="P517:Q517"/>
    <mergeCell ref="R517:S517"/>
    <mergeCell ref="T517:U517"/>
    <mergeCell ref="V517:W517"/>
    <mergeCell ref="X517:Y517"/>
    <mergeCell ref="Z517:AA517"/>
    <mergeCell ref="AB517:AC517"/>
    <mergeCell ref="AD518:AE518"/>
    <mergeCell ref="AF518:AG518"/>
    <mergeCell ref="AH518:AI518"/>
    <mergeCell ref="AJ518:AK518"/>
    <mergeCell ref="AL518:BB518"/>
    <mergeCell ref="P518:Q518"/>
    <mergeCell ref="R518:S518"/>
    <mergeCell ref="T518:U518"/>
    <mergeCell ref="V518:W518"/>
    <mergeCell ref="X518:Y518"/>
    <mergeCell ref="Z518:AA518"/>
    <mergeCell ref="AB518:AC518"/>
    <mergeCell ref="B518:C518"/>
    <mergeCell ref="D518:E518"/>
    <mergeCell ref="F518:G518"/>
    <mergeCell ref="H518:I518"/>
    <mergeCell ref="J518:K518"/>
    <mergeCell ref="L518:M518"/>
    <mergeCell ref="N518:O518"/>
    <mergeCell ref="AD519:AE519"/>
    <mergeCell ref="AF519:AG519"/>
    <mergeCell ref="AH519:AI519"/>
    <mergeCell ref="AJ519:AK519"/>
    <mergeCell ref="AL519:BB519"/>
    <mergeCell ref="AH520:AI520"/>
    <mergeCell ref="AJ520:AK520"/>
    <mergeCell ref="AL520:BB520"/>
    <mergeCell ref="B520:C520"/>
    <mergeCell ref="D520:E520"/>
    <mergeCell ref="F520:G520"/>
    <mergeCell ref="H520:I520"/>
    <mergeCell ref="J520:K520"/>
    <mergeCell ref="L520:M520"/>
    <mergeCell ref="N520:O520"/>
    <mergeCell ref="P522:Q522"/>
    <mergeCell ref="R522:S522"/>
    <mergeCell ref="T522:U522"/>
    <mergeCell ref="V522:W522"/>
    <mergeCell ref="X522:Y522"/>
    <mergeCell ref="Z522:AA522"/>
    <mergeCell ref="AB522:AC522"/>
    <mergeCell ref="B522:C522"/>
    <mergeCell ref="D522:E522"/>
    <mergeCell ref="F522:G522"/>
    <mergeCell ref="H522:I522"/>
    <mergeCell ref="J522:K522"/>
    <mergeCell ref="L522:M522"/>
    <mergeCell ref="N522:O522"/>
    <mergeCell ref="AD520:AE520"/>
    <mergeCell ref="AF520:AG520"/>
    <mergeCell ref="P520:Q520"/>
    <mergeCell ref="R520:S520"/>
    <mergeCell ref="T520:U520"/>
    <mergeCell ref="V520:W520"/>
    <mergeCell ref="X520:Y520"/>
    <mergeCell ref="Z520:AA520"/>
    <mergeCell ref="AB520:AC520"/>
    <mergeCell ref="AD521:AE521"/>
    <mergeCell ref="AF521:AG521"/>
    <mergeCell ref="AH521:AI521"/>
    <mergeCell ref="AJ521:AK521"/>
    <mergeCell ref="AL521:BB521"/>
    <mergeCell ref="P521:Q521"/>
    <mergeCell ref="R521:S521"/>
    <mergeCell ref="T521:U521"/>
    <mergeCell ref="V521:W521"/>
    <mergeCell ref="X521:Y521"/>
    <mergeCell ref="Z521:AA521"/>
    <mergeCell ref="AB521:AC521"/>
    <mergeCell ref="B521:C521"/>
    <mergeCell ref="D521:E521"/>
    <mergeCell ref="F521:G521"/>
    <mergeCell ref="H521:I521"/>
    <mergeCell ref="J521:K521"/>
    <mergeCell ref="L521:M521"/>
    <mergeCell ref="N521:O521"/>
    <mergeCell ref="AD522:AE522"/>
    <mergeCell ref="AF522:AG522"/>
    <mergeCell ref="AH522:AI522"/>
    <mergeCell ref="AJ522:AK522"/>
    <mergeCell ref="AL522:BB522"/>
    <mergeCell ref="AH523:AI523"/>
    <mergeCell ref="AJ523:AK523"/>
    <mergeCell ref="AL523:BB523"/>
    <mergeCell ref="B523:C523"/>
    <mergeCell ref="D523:E523"/>
    <mergeCell ref="F523:G523"/>
    <mergeCell ref="H523:I523"/>
    <mergeCell ref="J523:K523"/>
    <mergeCell ref="L523:M523"/>
    <mergeCell ref="N523:O523"/>
    <mergeCell ref="P525:Q525"/>
    <mergeCell ref="R525:S525"/>
    <mergeCell ref="T525:U525"/>
    <mergeCell ref="V525:W525"/>
    <mergeCell ref="X525:Y525"/>
    <mergeCell ref="Z525:AA525"/>
    <mergeCell ref="AB525:AC525"/>
    <mergeCell ref="B525:C525"/>
    <mergeCell ref="D525:E525"/>
    <mergeCell ref="F525:G525"/>
    <mergeCell ref="H525:I525"/>
    <mergeCell ref="J525:K525"/>
    <mergeCell ref="L525:M525"/>
    <mergeCell ref="N525:O525"/>
    <mergeCell ref="AD523:AE523"/>
    <mergeCell ref="AF523:AG523"/>
    <mergeCell ref="P523:Q523"/>
    <mergeCell ref="R523:S523"/>
    <mergeCell ref="T523:U523"/>
    <mergeCell ref="V523:W523"/>
    <mergeCell ref="X523:Y523"/>
    <mergeCell ref="Z523:AA523"/>
    <mergeCell ref="AB523:AC523"/>
    <mergeCell ref="AD524:AE524"/>
    <mergeCell ref="AF524:AG524"/>
    <mergeCell ref="AH524:AI524"/>
    <mergeCell ref="AJ524:AK524"/>
    <mergeCell ref="AL524:BB524"/>
    <mergeCell ref="P524:Q524"/>
    <mergeCell ref="R524:S524"/>
    <mergeCell ref="T524:U524"/>
    <mergeCell ref="V524:W524"/>
    <mergeCell ref="X524:Y524"/>
    <mergeCell ref="Z524:AA524"/>
    <mergeCell ref="AB524:AC524"/>
    <mergeCell ref="B524:C524"/>
    <mergeCell ref="D524:E524"/>
    <mergeCell ref="F524:G524"/>
    <mergeCell ref="H524:I524"/>
    <mergeCell ref="J524:K524"/>
    <mergeCell ref="L524:M524"/>
    <mergeCell ref="N524:O524"/>
    <mergeCell ref="AD525:AE525"/>
    <mergeCell ref="AF525:AG525"/>
    <mergeCell ref="AH525:AI525"/>
    <mergeCell ref="AJ525:AK525"/>
    <mergeCell ref="AL525:BB525"/>
    <mergeCell ref="AH526:AI526"/>
    <mergeCell ref="AJ526:AK526"/>
    <mergeCell ref="AL526:BB526"/>
    <mergeCell ref="B526:C526"/>
    <mergeCell ref="D526:E526"/>
    <mergeCell ref="F526:G526"/>
    <mergeCell ref="H526:I526"/>
    <mergeCell ref="J526:K526"/>
    <mergeCell ref="L526:M526"/>
    <mergeCell ref="N526:O526"/>
    <mergeCell ref="P528:Q528"/>
    <mergeCell ref="R528:S528"/>
    <mergeCell ref="T528:U528"/>
    <mergeCell ref="V528:W528"/>
    <mergeCell ref="X528:Y528"/>
    <mergeCell ref="Z528:AA528"/>
    <mergeCell ref="AB528:AC528"/>
    <mergeCell ref="B528:C528"/>
    <mergeCell ref="D528:E528"/>
    <mergeCell ref="F528:G528"/>
    <mergeCell ref="H528:I528"/>
    <mergeCell ref="J528:K528"/>
    <mergeCell ref="L528:M528"/>
    <mergeCell ref="N528:O528"/>
    <mergeCell ref="AD526:AE526"/>
    <mergeCell ref="AF526:AG526"/>
    <mergeCell ref="P526:Q526"/>
    <mergeCell ref="R526:S526"/>
    <mergeCell ref="T526:U526"/>
    <mergeCell ref="V526:W526"/>
    <mergeCell ref="X526:Y526"/>
    <mergeCell ref="Z526:AA526"/>
    <mergeCell ref="AB526:AC526"/>
    <mergeCell ref="AD527:AE527"/>
    <mergeCell ref="AF527:AG527"/>
    <mergeCell ref="AH527:AI527"/>
    <mergeCell ref="AJ527:AK527"/>
    <mergeCell ref="AL527:BB527"/>
    <mergeCell ref="P527:Q527"/>
    <mergeCell ref="R527:S527"/>
    <mergeCell ref="T527:U527"/>
    <mergeCell ref="V527:W527"/>
    <mergeCell ref="X527:Y527"/>
    <mergeCell ref="Z527:AA527"/>
    <mergeCell ref="AB527:AC527"/>
    <mergeCell ref="B527:C527"/>
    <mergeCell ref="D527:E527"/>
    <mergeCell ref="F527:G527"/>
    <mergeCell ref="H527:I527"/>
    <mergeCell ref="J527:K527"/>
    <mergeCell ref="L527:M527"/>
    <mergeCell ref="N527:O527"/>
    <mergeCell ref="AD528:AE528"/>
    <mergeCell ref="AF528:AG528"/>
    <mergeCell ref="AH528:AI528"/>
    <mergeCell ref="AJ528:AK528"/>
    <mergeCell ref="AL528:BB528"/>
    <mergeCell ref="AH529:AI529"/>
    <mergeCell ref="AJ529:AK529"/>
    <mergeCell ref="AL529:BB529"/>
    <mergeCell ref="B529:C529"/>
    <mergeCell ref="D529:E529"/>
    <mergeCell ref="F529:G529"/>
    <mergeCell ref="H529:I529"/>
    <mergeCell ref="J529:K529"/>
    <mergeCell ref="L529:M529"/>
    <mergeCell ref="N529:O529"/>
    <mergeCell ref="P531:Q531"/>
    <mergeCell ref="R531:S531"/>
    <mergeCell ref="T531:U531"/>
    <mergeCell ref="V531:W531"/>
    <mergeCell ref="X531:Y531"/>
    <mergeCell ref="Z531:AA531"/>
    <mergeCell ref="AB531:AC531"/>
    <mergeCell ref="B531:C531"/>
    <mergeCell ref="D531:E531"/>
    <mergeCell ref="F531:G531"/>
    <mergeCell ref="H531:I531"/>
    <mergeCell ref="J531:K531"/>
    <mergeCell ref="L531:M531"/>
    <mergeCell ref="N531:O531"/>
    <mergeCell ref="AD529:AE529"/>
    <mergeCell ref="AF529:AG529"/>
    <mergeCell ref="P529:Q529"/>
    <mergeCell ref="R529:S529"/>
    <mergeCell ref="T529:U529"/>
    <mergeCell ref="V529:W529"/>
    <mergeCell ref="X529:Y529"/>
    <mergeCell ref="Z529:AA529"/>
    <mergeCell ref="AB529:AC529"/>
    <mergeCell ref="AD530:AE530"/>
    <mergeCell ref="AF530:AG530"/>
    <mergeCell ref="AH530:AI530"/>
    <mergeCell ref="AJ530:AK530"/>
    <mergeCell ref="AL530:BB530"/>
    <mergeCell ref="P530:Q530"/>
    <mergeCell ref="R530:S530"/>
    <mergeCell ref="T530:U530"/>
    <mergeCell ref="V530:W530"/>
    <mergeCell ref="X530:Y530"/>
    <mergeCell ref="Z530:AA530"/>
    <mergeCell ref="AB530:AC530"/>
    <mergeCell ref="B530:C530"/>
    <mergeCell ref="D530:E530"/>
    <mergeCell ref="F530:G530"/>
    <mergeCell ref="H530:I530"/>
    <mergeCell ref="J530:K530"/>
    <mergeCell ref="L530:M530"/>
    <mergeCell ref="N530:O530"/>
    <mergeCell ref="AD531:AE531"/>
    <mergeCell ref="AF531:AG531"/>
    <mergeCell ref="AH531:AI531"/>
    <mergeCell ref="AJ531:AK531"/>
    <mergeCell ref="AL531:BB531"/>
    <mergeCell ref="AH532:AI532"/>
    <mergeCell ref="AJ532:AK532"/>
    <mergeCell ref="AL532:BB532"/>
    <mergeCell ref="B532:C532"/>
    <mergeCell ref="D532:E532"/>
    <mergeCell ref="F532:G532"/>
    <mergeCell ref="H532:I532"/>
    <mergeCell ref="J532:K532"/>
    <mergeCell ref="L532:M532"/>
    <mergeCell ref="N532:O532"/>
    <mergeCell ref="P534:Q534"/>
    <mergeCell ref="R534:S534"/>
    <mergeCell ref="T534:U534"/>
    <mergeCell ref="V534:W534"/>
    <mergeCell ref="X534:Y534"/>
    <mergeCell ref="Z534:AA534"/>
    <mergeCell ref="AB534:AC534"/>
    <mergeCell ref="B534:C534"/>
    <mergeCell ref="D534:E534"/>
    <mergeCell ref="F534:G534"/>
    <mergeCell ref="H534:I534"/>
    <mergeCell ref="J534:K534"/>
    <mergeCell ref="L534:M534"/>
    <mergeCell ref="N534:O534"/>
    <mergeCell ref="AD532:AE532"/>
    <mergeCell ref="AF532:AG532"/>
    <mergeCell ref="P532:Q532"/>
    <mergeCell ref="R532:S532"/>
    <mergeCell ref="T532:U532"/>
    <mergeCell ref="V532:W532"/>
    <mergeCell ref="X532:Y532"/>
    <mergeCell ref="Z532:AA532"/>
    <mergeCell ref="AB532:AC532"/>
    <mergeCell ref="AD533:AE533"/>
    <mergeCell ref="AF533:AG533"/>
    <mergeCell ref="AH533:AI533"/>
    <mergeCell ref="AJ533:AK533"/>
    <mergeCell ref="AL533:BB533"/>
    <mergeCell ref="P533:Q533"/>
    <mergeCell ref="R533:S533"/>
    <mergeCell ref="T533:U533"/>
    <mergeCell ref="V533:W533"/>
    <mergeCell ref="X533:Y533"/>
    <mergeCell ref="Z533:AA533"/>
    <mergeCell ref="AB533:AC533"/>
    <mergeCell ref="B533:C533"/>
    <mergeCell ref="D533:E533"/>
    <mergeCell ref="F533:G533"/>
    <mergeCell ref="H533:I533"/>
    <mergeCell ref="J533:K533"/>
    <mergeCell ref="L533:M533"/>
    <mergeCell ref="N533:O533"/>
    <mergeCell ref="AD534:AE534"/>
    <mergeCell ref="AF534:AG534"/>
    <mergeCell ref="AH534:AI534"/>
    <mergeCell ref="AJ534:AK534"/>
    <mergeCell ref="AL534:BB534"/>
    <mergeCell ref="B535:C535"/>
    <mergeCell ref="D535:E535"/>
    <mergeCell ref="F535:G535"/>
    <mergeCell ref="H535:I535"/>
    <mergeCell ref="J535:K535"/>
    <mergeCell ref="L535:M535"/>
    <mergeCell ref="N535:O535"/>
    <mergeCell ref="AD536:AE536"/>
    <mergeCell ref="AF536:AG536"/>
    <mergeCell ref="AH536:AI536"/>
    <mergeCell ref="AJ536:AK536"/>
    <mergeCell ref="AL536:BB536"/>
    <mergeCell ref="P536:Q536"/>
    <mergeCell ref="R536:S536"/>
    <mergeCell ref="T536:U536"/>
    <mergeCell ref="V536:W536"/>
    <mergeCell ref="X536:Y536"/>
    <mergeCell ref="Z536:AA536"/>
    <mergeCell ref="AB536:AC536"/>
    <mergeCell ref="B536:C536"/>
    <mergeCell ref="D536:E536"/>
    <mergeCell ref="F536:G536"/>
    <mergeCell ref="H536:I536"/>
    <mergeCell ref="J536:K536"/>
    <mergeCell ref="L536:M536"/>
    <mergeCell ref="N536:O536"/>
    <mergeCell ref="AD537:AE537"/>
    <mergeCell ref="AF537:AG537"/>
    <mergeCell ref="AH537:AI537"/>
    <mergeCell ref="AJ537:AK537"/>
    <mergeCell ref="AL537:BB537"/>
    <mergeCell ref="P537:Q537"/>
    <mergeCell ref="R537:S537"/>
    <mergeCell ref="T537:U537"/>
    <mergeCell ref="V537:W537"/>
    <mergeCell ref="X537:Y537"/>
    <mergeCell ref="Z537:AA537"/>
    <mergeCell ref="AB537:AC537"/>
    <mergeCell ref="B537:C537"/>
    <mergeCell ref="D537:E537"/>
    <mergeCell ref="F537:G537"/>
    <mergeCell ref="H537:I537"/>
    <mergeCell ref="J537:K537"/>
    <mergeCell ref="L537:M537"/>
    <mergeCell ref="N537:O537"/>
    <mergeCell ref="AH538:AI538"/>
    <mergeCell ref="AJ538:AK538"/>
    <mergeCell ref="AL538:BB538"/>
    <mergeCell ref="B538:C538"/>
    <mergeCell ref="D538:E538"/>
    <mergeCell ref="F538:G538"/>
    <mergeCell ref="H538:I538"/>
    <mergeCell ref="J538:K538"/>
    <mergeCell ref="L538:M538"/>
    <mergeCell ref="N538:O538"/>
    <mergeCell ref="P540:Q540"/>
    <mergeCell ref="R540:S540"/>
    <mergeCell ref="T540:U540"/>
    <mergeCell ref="V540:W540"/>
    <mergeCell ref="X540:Y540"/>
    <mergeCell ref="Z540:AA540"/>
    <mergeCell ref="AB540:AC540"/>
    <mergeCell ref="B540:C540"/>
    <mergeCell ref="D540:E540"/>
    <mergeCell ref="F540:G540"/>
    <mergeCell ref="H540:I540"/>
    <mergeCell ref="J540:K540"/>
    <mergeCell ref="L540:M540"/>
    <mergeCell ref="N540:O540"/>
    <mergeCell ref="AD538:AE538"/>
    <mergeCell ref="AF538:AG538"/>
    <mergeCell ref="P538:Q538"/>
    <mergeCell ref="R538:S538"/>
    <mergeCell ref="T538:U538"/>
    <mergeCell ref="V538:W538"/>
    <mergeCell ref="X538:Y538"/>
    <mergeCell ref="Z538:AA538"/>
    <mergeCell ref="AB538:AC538"/>
    <mergeCell ref="AD539:AE539"/>
    <mergeCell ref="AF539:AG539"/>
    <mergeCell ref="AH539:AI539"/>
    <mergeCell ref="AJ539:AK539"/>
    <mergeCell ref="AL539:BB539"/>
    <mergeCell ref="P539:Q539"/>
    <mergeCell ref="R539:S539"/>
    <mergeCell ref="T539:U539"/>
    <mergeCell ref="V539:W539"/>
    <mergeCell ref="X539:Y539"/>
    <mergeCell ref="Z539:AA539"/>
    <mergeCell ref="AB539:AC539"/>
    <mergeCell ref="B539:C539"/>
    <mergeCell ref="D539:E539"/>
    <mergeCell ref="F539:G539"/>
    <mergeCell ref="H539:I539"/>
    <mergeCell ref="J539:K539"/>
    <mergeCell ref="L539:M539"/>
    <mergeCell ref="N539:O539"/>
    <mergeCell ref="AD540:AE540"/>
    <mergeCell ref="AF540:AG540"/>
    <mergeCell ref="AH540:AI540"/>
    <mergeCell ref="AJ540:AK540"/>
    <mergeCell ref="AL540:BB540"/>
    <mergeCell ref="AH541:AI541"/>
    <mergeCell ref="AJ541:AK541"/>
    <mergeCell ref="AL541:BB541"/>
    <mergeCell ref="B541:C541"/>
    <mergeCell ref="D541:E541"/>
    <mergeCell ref="F541:G541"/>
    <mergeCell ref="H541:I541"/>
    <mergeCell ref="J541:K541"/>
    <mergeCell ref="L541:M541"/>
    <mergeCell ref="N541:O541"/>
    <mergeCell ref="P543:Q543"/>
    <mergeCell ref="R543:S543"/>
    <mergeCell ref="T543:U543"/>
    <mergeCell ref="V543:W543"/>
    <mergeCell ref="X543:Y543"/>
    <mergeCell ref="Z543:AA543"/>
    <mergeCell ref="AB543:AC543"/>
    <mergeCell ref="B543:C543"/>
    <mergeCell ref="D543:E543"/>
    <mergeCell ref="F543:G543"/>
    <mergeCell ref="H543:I543"/>
    <mergeCell ref="J543:K543"/>
    <mergeCell ref="L543:M543"/>
    <mergeCell ref="N543:O543"/>
    <mergeCell ref="P546:Q546"/>
    <mergeCell ref="R546:S546"/>
    <mergeCell ref="T546:U546"/>
    <mergeCell ref="V546:W546"/>
    <mergeCell ref="X546:Y546"/>
    <mergeCell ref="Z546:AA546"/>
    <mergeCell ref="AB546:AC546"/>
    <mergeCell ref="B546:C546"/>
    <mergeCell ref="D546:E546"/>
    <mergeCell ref="F546:G546"/>
    <mergeCell ref="H546:I546"/>
    <mergeCell ref="J546:K546"/>
    <mergeCell ref="L546:M546"/>
    <mergeCell ref="N546:O546"/>
    <mergeCell ref="X544:Y544"/>
    <mergeCell ref="Z544:AA544"/>
    <mergeCell ref="AB544:AC544"/>
    <mergeCell ref="AD545:AE545"/>
    <mergeCell ref="AF545:AG545"/>
    <mergeCell ref="AH545:AI545"/>
    <mergeCell ref="AJ545:AK545"/>
    <mergeCell ref="AL545:BB545"/>
    <mergeCell ref="P545:Q545"/>
    <mergeCell ref="R545:S545"/>
    <mergeCell ref="T545:U545"/>
    <mergeCell ref="V545:W545"/>
    <mergeCell ref="X545:Y545"/>
    <mergeCell ref="Z545:AA545"/>
    <mergeCell ref="AB545:AC545"/>
    <mergeCell ref="B545:C545"/>
    <mergeCell ref="D545:E545"/>
    <mergeCell ref="F545:G545"/>
    <mergeCell ref="H545:I545"/>
    <mergeCell ref="J545:K545"/>
    <mergeCell ref="L545:M545"/>
    <mergeCell ref="N545:O545"/>
    <mergeCell ref="AD546:AE546"/>
    <mergeCell ref="AF546:AG546"/>
    <mergeCell ref="AH546:AI546"/>
    <mergeCell ref="AJ546:AK546"/>
    <mergeCell ref="AD550:AE550"/>
    <mergeCell ref="AF550:AG550"/>
    <mergeCell ref="P550:Q550"/>
    <mergeCell ref="R550:S550"/>
    <mergeCell ref="T550:U550"/>
    <mergeCell ref="V550:W550"/>
    <mergeCell ref="X550:Y550"/>
    <mergeCell ref="Z550:AA550"/>
    <mergeCell ref="AB550:AC550"/>
    <mergeCell ref="AD551:AE551"/>
    <mergeCell ref="AF551:AG551"/>
    <mergeCell ref="AH551:AI551"/>
    <mergeCell ref="AJ551:AK551"/>
    <mergeCell ref="AL551:BB551"/>
    <mergeCell ref="P551:Q551"/>
    <mergeCell ref="R551:S551"/>
    <mergeCell ref="T551:U551"/>
    <mergeCell ref="V551:W551"/>
    <mergeCell ref="X551:Y551"/>
    <mergeCell ref="Z551:AA551"/>
    <mergeCell ref="AB551:AC551"/>
    <mergeCell ref="B551:C551"/>
    <mergeCell ref="D551:E551"/>
    <mergeCell ref="F551:G551"/>
    <mergeCell ref="H551:I551"/>
    <mergeCell ref="J551:K551"/>
    <mergeCell ref="L551:M551"/>
    <mergeCell ref="N551:O551"/>
    <mergeCell ref="AD552:AE552"/>
    <mergeCell ref="AF552:AG552"/>
    <mergeCell ref="AH552:AI552"/>
    <mergeCell ref="AJ552:AK552"/>
    <mergeCell ref="AL552:BB552"/>
    <mergeCell ref="AH550:AI550"/>
    <mergeCell ref="AJ550:AK550"/>
    <mergeCell ref="AL550:BB550"/>
    <mergeCell ref="B550:C550"/>
    <mergeCell ref="D550:E550"/>
    <mergeCell ref="F550:G550"/>
    <mergeCell ref="H550:I550"/>
    <mergeCell ref="J550:K550"/>
    <mergeCell ref="L550:M550"/>
    <mergeCell ref="N550:O550"/>
    <mergeCell ref="P552:Q552"/>
    <mergeCell ref="R552:S552"/>
    <mergeCell ref="T552:U552"/>
    <mergeCell ref="V552:W552"/>
    <mergeCell ref="X552:Y552"/>
    <mergeCell ref="Z552:AA552"/>
    <mergeCell ref="AB552:AC552"/>
    <mergeCell ref="B552:C552"/>
    <mergeCell ref="D552:E552"/>
    <mergeCell ref="F552:G552"/>
    <mergeCell ref="H552:I552"/>
    <mergeCell ref="J552:K552"/>
    <mergeCell ref="L552:M552"/>
    <mergeCell ref="N552:O552"/>
    <mergeCell ref="AH553:AI553"/>
    <mergeCell ref="AJ553:AK553"/>
    <mergeCell ref="AL553:BB553"/>
    <mergeCell ref="B553:C553"/>
    <mergeCell ref="D553:E553"/>
    <mergeCell ref="F553:G553"/>
    <mergeCell ref="H553:I553"/>
    <mergeCell ref="J553:K553"/>
    <mergeCell ref="L553:M553"/>
    <mergeCell ref="N553:O553"/>
    <mergeCell ref="AD553:AE553"/>
    <mergeCell ref="AF553:AG553"/>
    <mergeCell ref="P553:Q553"/>
    <mergeCell ref="R553:S553"/>
    <mergeCell ref="T553:U553"/>
    <mergeCell ref="V553:W553"/>
    <mergeCell ref="X553:Y553"/>
    <mergeCell ref="Z553:AA553"/>
    <mergeCell ref="AB553:AC553"/>
    <mergeCell ref="AD554:AE554"/>
    <mergeCell ref="AF554:AG554"/>
    <mergeCell ref="AH554:AI554"/>
    <mergeCell ref="AJ554:AK554"/>
    <mergeCell ref="AL554:BB554"/>
    <mergeCell ref="P554:Q554"/>
    <mergeCell ref="R554:S554"/>
    <mergeCell ref="T554:U554"/>
    <mergeCell ref="V554:W554"/>
    <mergeCell ref="X554:Y554"/>
    <mergeCell ref="Z554:AA554"/>
    <mergeCell ref="AB554:AC554"/>
    <mergeCell ref="B554:C554"/>
    <mergeCell ref="D554:E554"/>
    <mergeCell ref="F554:G554"/>
    <mergeCell ref="H554:I554"/>
    <mergeCell ref="J554:K554"/>
    <mergeCell ref="L554:M554"/>
    <mergeCell ref="N554:O554"/>
    <mergeCell ref="AD555:AE555"/>
    <mergeCell ref="AF555:AG555"/>
    <mergeCell ref="AH555:AI555"/>
    <mergeCell ref="AJ555:AK555"/>
    <mergeCell ref="AL555:BB555"/>
    <mergeCell ref="AH556:AI556"/>
    <mergeCell ref="AJ556:AK556"/>
    <mergeCell ref="AL556:BB556"/>
    <mergeCell ref="B556:C556"/>
    <mergeCell ref="D556:E556"/>
    <mergeCell ref="F556:G556"/>
    <mergeCell ref="H556:I556"/>
    <mergeCell ref="J556:K556"/>
    <mergeCell ref="L556:M556"/>
    <mergeCell ref="N556:O556"/>
    <mergeCell ref="AD541:AE541"/>
    <mergeCell ref="AF541:AG541"/>
    <mergeCell ref="P541:Q541"/>
    <mergeCell ref="R541:S541"/>
    <mergeCell ref="T541:U541"/>
    <mergeCell ref="V541:W541"/>
    <mergeCell ref="X541:Y541"/>
    <mergeCell ref="Z541:AA541"/>
    <mergeCell ref="AB541:AC541"/>
    <mergeCell ref="AD542:AE542"/>
    <mergeCell ref="AF542:AG542"/>
    <mergeCell ref="AH542:AI542"/>
    <mergeCell ref="AJ542:AK542"/>
    <mergeCell ref="AL542:BB542"/>
    <mergeCell ref="P542:Q542"/>
    <mergeCell ref="R542:S542"/>
    <mergeCell ref="T542:U542"/>
    <mergeCell ref="V542:W542"/>
    <mergeCell ref="X542:Y542"/>
    <mergeCell ref="Z542:AA542"/>
    <mergeCell ref="AB542:AC542"/>
    <mergeCell ref="B542:C542"/>
    <mergeCell ref="D542:E542"/>
    <mergeCell ref="F542:G542"/>
    <mergeCell ref="H542:I542"/>
    <mergeCell ref="J542:K542"/>
    <mergeCell ref="L542:M542"/>
    <mergeCell ref="N542:O542"/>
    <mergeCell ref="AD543:AE543"/>
    <mergeCell ref="AF543:AG543"/>
    <mergeCell ref="AH543:AI543"/>
    <mergeCell ref="AJ543:AK543"/>
    <mergeCell ref="AL543:BB543"/>
    <mergeCell ref="AH544:AI544"/>
    <mergeCell ref="AJ544:AK544"/>
    <mergeCell ref="AL544:BB544"/>
    <mergeCell ref="B544:C544"/>
    <mergeCell ref="D544:E544"/>
    <mergeCell ref="F544:G544"/>
    <mergeCell ref="H544:I544"/>
    <mergeCell ref="J544:K544"/>
    <mergeCell ref="L544:M544"/>
    <mergeCell ref="N544:O544"/>
    <mergeCell ref="AD544:AE544"/>
    <mergeCell ref="AF544:AG544"/>
    <mergeCell ref="P544:Q544"/>
    <mergeCell ref="R544:S544"/>
    <mergeCell ref="T544:U544"/>
    <mergeCell ref="V544:W544"/>
    <mergeCell ref="AL546:BB546"/>
    <mergeCell ref="AH547:AI547"/>
    <mergeCell ref="AJ547:AK547"/>
    <mergeCell ref="AL547:BB547"/>
    <mergeCell ref="B547:C547"/>
    <mergeCell ref="D547:E547"/>
    <mergeCell ref="F547:G547"/>
    <mergeCell ref="H547:I547"/>
    <mergeCell ref="J547:K547"/>
    <mergeCell ref="L547:M547"/>
    <mergeCell ref="N547:O547"/>
    <mergeCell ref="P549:Q549"/>
    <mergeCell ref="R549:S549"/>
    <mergeCell ref="T549:U549"/>
    <mergeCell ref="V549:W549"/>
    <mergeCell ref="X549:Y549"/>
    <mergeCell ref="Z549:AA549"/>
    <mergeCell ref="AB549:AC549"/>
    <mergeCell ref="B549:C549"/>
    <mergeCell ref="D549:E549"/>
    <mergeCell ref="F549:G549"/>
    <mergeCell ref="H549:I549"/>
    <mergeCell ref="J549:K549"/>
    <mergeCell ref="L549:M549"/>
    <mergeCell ref="N549:O549"/>
    <mergeCell ref="AD547:AE547"/>
    <mergeCell ref="AF547:AG547"/>
    <mergeCell ref="P547:Q547"/>
    <mergeCell ref="R547:S547"/>
    <mergeCell ref="T547:U547"/>
    <mergeCell ref="V547:W547"/>
    <mergeCell ref="X547:Y547"/>
    <mergeCell ref="Z547:AA547"/>
    <mergeCell ref="AB547:AC547"/>
    <mergeCell ref="AD548:AE548"/>
    <mergeCell ref="AF548:AG548"/>
    <mergeCell ref="AH548:AI548"/>
    <mergeCell ref="AJ548:AK548"/>
    <mergeCell ref="AL548:BB548"/>
    <mergeCell ref="P548:Q548"/>
    <mergeCell ref="R548:S548"/>
    <mergeCell ref="T548:U548"/>
    <mergeCell ref="V548:W548"/>
    <mergeCell ref="X548:Y548"/>
    <mergeCell ref="Z548:AA548"/>
    <mergeCell ref="AB548:AC548"/>
    <mergeCell ref="B548:C548"/>
    <mergeCell ref="D548:E548"/>
    <mergeCell ref="F548:G548"/>
    <mergeCell ref="H548:I548"/>
    <mergeCell ref="J548:K548"/>
    <mergeCell ref="L548:M548"/>
    <mergeCell ref="N548:O548"/>
    <mergeCell ref="AD549:AE549"/>
    <mergeCell ref="AF549:AG549"/>
    <mergeCell ref="AH549:AI549"/>
    <mergeCell ref="AJ549:AK549"/>
    <mergeCell ref="AL549:BB549"/>
    <mergeCell ref="P555:Q555"/>
    <mergeCell ref="R555:S555"/>
    <mergeCell ref="T555:U555"/>
    <mergeCell ref="V555:W555"/>
    <mergeCell ref="X555:Y555"/>
    <mergeCell ref="Z555:AA555"/>
    <mergeCell ref="AB555:AC555"/>
    <mergeCell ref="B555:C555"/>
    <mergeCell ref="D555:E555"/>
    <mergeCell ref="F555:G555"/>
    <mergeCell ref="H555:I555"/>
    <mergeCell ref="J555:K555"/>
    <mergeCell ref="L555:M555"/>
    <mergeCell ref="N555:O555"/>
    <mergeCell ref="AD577:AE577"/>
    <mergeCell ref="AF577:AG577"/>
    <mergeCell ref="AH577:AI577"/>
    <mergeCell ref="AJ577:AK577"/>
    <mergeCell ref="AL577:BB577"/>
    <mergeCell ref="P577:Q577"/>
    <mergeCell ref="R577:S577"/>
    <mergeCell ref="T577:U577"/>
    <mergeCell ref="V577:W577"/>
    <mergeCell ref="X577:Y577"/>
    <mergeCell ref="Z577:AA577"/>
    <mergeCell ref="AB577:AC577"/>
    <mergeCell ref="P558:Q558"/>
    <mergeCell ref="R558:S558"/>
    <mergeCell ref="T558:U558"/>
    <mergeCell ref="V558:W558"/>
    <mergeCell ref="X558:Y558"/>
    <mergeCell ref="Z558:AA558"/>
    <mergeCell ref="AB558:AC558"/>
    <mergeCell ref="B558:C558"/>
    <mergeCell ref="D558:E558"/>
    <mergeCell ref="F558:G558"/>
    <mergeCell ref="H558:I558"/>
    <mergeCell ref="J558:K558"/>
    <mergeCell ref="L558:M558"/>
    <mergeCell ref="N558:O558"/>
    <mergeCell ref="AD556:AE556"/>
    <mergeCell ref="AF556:AG556"/>
    <mergeCell ref="P556:Q556"/>
    <mergeCell ref="R556:S556"/>
    <mergeCell ref="T556:U556"/>
    <mergeCell ref="V556:W556"/>
    <mergeCell ref="X556:Y556"/>
    <mergeCell ref="Z556:AA556"/>
    <mergeCell ref="AB556:AC556"/>
    <mergeCell ref="AD557:AE557"/>
    <mergeCell ref="AF557:AG557"/>
    <mergeCell ref="AH557:AI557"/>
    <mergeCell ref="AJ557:AK557"/>
    <mergeCell ref="AL557:BB557"/>
    <mergeCell ref="P557:Q557"/>
    <mergeCell ref="R557:S557"/>
    <mergeCell ref="T557:U557"/>
    <mergeCell ref="V557:W557"/>
    <mergeCell ref="X557:Y557"/>
    <mergeCell ref="Z557:AA557"/>
    <mergeCell ref="AB557:AC557"/>
    <mergeCell ref="B557:C557"/>
    <mergeCell ref="D557:E557"/>
    <mergeCell ref="F557:G557"/>
    <mergeCell ref="H557:I557"/>
    <mergeCell ref="J557:K557"/>
    <mergeCell ref="L557:M557"/>
    <mergeCell ref="N557:O557"/>
    <mergeCell ref="AD558:AE558"/>
    <mergeCell ref="AF558:AG558"/>
    <mergeCell ref="AH558:AI558"/>
    <mergeCell ref="AJ558:AK558"/>
    <mergeCell ref="AL558:BB558"/>
    <mergeCell ref="AH559:AI559"/>
    <mergeCell ref="AJ559:AK559"/>
    <mergeCell ref="AL559:BB559"/>
    <mergeCell ref="B559:C559"/>
    <mergeCell ref="D559:E559"/>
    <mergeCell ref="F559:G559"/>
    <mergeCell ref="H559:I559"/>
    <mergeCell ref="J559:K559"/>
    <mergeCell ref="L559:M559"/>
    <mergeCell ref="N559:O559"/>
    <mergeCell ref="P561:Q561"/>
    <mergeCell ref="R561:S561"/>
    <mergeCell ref="T561:U561"/>
    <mergeCell ref="V561:W561"/>
    <mergeCell ref="X561:Y561"/>
    <mergeCell ref="Z561:AA561"/>
    <mergeCell ref="AB561:AC561"/>
    <mergeCell ref="B561:C561"/>
    <mergeCell ref="D561:E561"/>
    <mergeCell ref="F561:G561"/>
    <mergeCell ref="H561:I561"/>
    <mergeCell ref="J561:K561"/>
    <mergeCell ref="L561:M561"/>
    <mergeCell ref="N561:O561"/>
    <mergeCell ref="AD559:AE559"/>
    <mergeCell ref="AF559:AG559"/>
    <mergeCell ref="P559:Q559"/>
    <mergeCell ref="R559:S559"/>
    <mergeCell ref="T559:U559"/>
    <mergeCell ref="V559:W559"/>
    <mergeCell ref="X559:Y559"/>
    <mergeCell ref="Z559:AA559"/>
    <mergeCell ref="AB559:AC559"/>
    <mergeCell ref="AD560:AE560"/>
    <mergeCell ref="AF560:AG560"/>
    <mergeCell ref="AH560:AI560"/>
    <mergeCell ref="AJ560:AK560"/>
    <mergeCell ref="AL560:BB560"/>
    <mergeCell ref="P560:Q560"/>
    <mergeCell ref="R560:S560"/>
    <mergeCell ref="T560:U560"/>
    <mergeCell ref="V560:W560"/>
    <mergeCell ref="X560:Y560"/>
    <mergeCell ref="Z560:AA560"/>
    <mergeCell ref="AB560:AC560"/>
    <mergeCell ref="B560:C560"/>
    <mergeCell ref="D560:E560"/>
    <mergeCell ref="F560:G560"/>
    <mergeCell ref="H560:I560"/>
    <mergeCell ref="J560:K560"/>
    <mergeCell ref="L560:M560"/>
    <mergeCell ref="N560:O560"/>
    <mergeCell ref="AD561:AE561"/>
    <mergeCell ref="AF561:AG561"/>
    <mergeCell ref="AH561:AI561"/>
    <mergeCell ref="AJ561:AK561"/>
    <mergeCell ref="AL561:BB561"/>
    <mergeCell ref="AH562:AI562"/>
    <mergeCell ref="AJ562:AK562"/>
    <mergeCell ref="AL562:BB562"/>
    <mergeCell ref="B562:C562"/>
    <mergeCell ref="D562:E562"/>
    <mergeCell ref="F562:G562"/>
    <mergeCell ref="H562:I562"/>
    <mergeCell ref="J562:K562"/>
    <mergeCell ref="L562:M562"/>
    <mergeCell ref="N562:O562"/>
    <mergeCell ref="P564:Q564"/>
    <mergeCell ref="R564:S564"/>
    <mergeCell ref="T564:U564"/>
    <mergeCell ref="V564:W564"/>
    <mergeCell ref="X564:Y564"/>
    <mergeCell ref="Z564:AA564"/>
    <mergeCell ref="AB564:AC564"/>
    <mergeCell ref="B564:C564"/>
    <mergeCell ref="D564:E564"/>
    <mergeCell ref="F564:G564"/>
    <mergeCell ref="H564:I564"/>
    <mergeCell ref="J564:K564"/>
    <mergeCell ref="L564:M564"/>
    <mergeCell ref="N564:O564"/>
    <mergeCell ref="AD562:AE562"/>
    <mergeCell ref="AF562:AG562"/>
    <mergeCell ref="P562:Q562"/>
    <mergeCell ref="R562:S562"/>
    <mergeCell ref="T562:U562"/>
    <mergeCell ref="V562:W562"/>
    <mergeCell ref="X562:Y562"/>
    <mergeCell ref="Z562:AA562"/>
    <mergeCell ref="AB562:AC562"/>
    <mergeCell ref="AD563:AE563"/>
    <mergeCell ref="AF563:AG563"/>
    <mergeCell ref="AH563:AI563"/>
    <mergeCell ref="AJ563:AK563"/>
    <mergeCell ref="AL563:BB563"/>
    <mergeCell ref="P563:Q563"/>
    <mergeCell ref="R563:S563"/>
    <mergeCell ref="T563:U563"/>
    <mergeCell ref="V563:W563"/>
    <mergeCell ref="X563:Y563"/>
    <mergeCell ref="Z563:AA563"/>
    <mergeCell ref="AB563:AC563"/>
    <mergeCell ref="B563:C563"/>
    <mergeCell ref="D563:E563"/>
    <mergeCell ref="F563:G563"/>
    <mergeCell ref="H563:I563"/>
    <mergeCell ref="J563:K563"/>
    <mergeCell ref="L563:M563"/>
    <mergeCell ref="N563:O563"/>
    <mergeCell ref="AD564:AE564"/>
    <mergeCell ref="AF564:AG564"/>
    <mergeCell ref="AH564:AI564"/>
    <mergeCell ref="AJ564:AK564"/>
    <mergeCell ref="AL564:BB564"/>
    <mergeCell ref="AH565:AI565"/>
    <mergeCell ref="AJ565:AK565"/>
    <mergeCell ref="AL565:BB565"/>
    <mergeCell ref="B565:C565"/>
    <mergeCell ref="D565:E565"/>
    <mergeCell ref="F565:G565"/>
    <mergeCell ref="H565:I565"/>
    <mergeCell ref="J565:K565"/>
    <mergeCell ref="L565:M565"/>
    <mergeCell ref="N565:O565"/>
    <mergeCell ref="P567:Q567"/>
    <mergeCell ref="R567:S567"/>
    <mergeCell ref="T567:U567"/>
    <mergeCell ref="V567:W567"/>
    <mergeCell ref="X567:Y567"/>
    <mergeCell ref="Z567:AA567"/>
    <mergeCell ref="AB567:AC567"/>
    <mergeCell ref="B567:C567"/>
    <mergeCell ref="D567:E567"/>
    <mergeCell ref="F567:G567"/>
    <mergeCell ref="H567:I567"/>
    <mergeCell ref="J567:K567"/>
    <mergeCell ref="L567:M567"/>
    <mergeCell ref="N567:O567"/>
    <mergeCell ref="AD565:AE565"/>
    <mergeCell ref="AF565:AG565"/>
    <mergeCell ref="P565:Q565"/>
    <mergeCell ref="R565:S565"/>
    <mergeCell ref="T565:U565"/>
    <mergeCell ref="V565:W565"/>
    <mergeCell ref="X565:Y565"/>
    <mergeCell ref="Z565:AA565"/>
    <mergeCell ref="AB565:AC565"/>
    <mergeCell ref="AD566:AE566"/>
    <mergeCell ref="AF566:AG566"/>
    <mergeCell ref="AH566:AI566"/>
    <mergeCell ref="AJ566:AK566"/>
    <mergeCell ref="AL566:BB566"/>
    <mergeCell ref="P566:Q566"/>
    <mergeCell ref="R566:S566"/>
    <mergeCell ref="T566:U566"/>
    <mergeCell ref="V566:W566"/>
    <mergeCell ref="X566:Y566"/>
    <mergeCell ref="Z566:AA566"/>
    <mergeCell ref="AB566:AC566"/>
    <mergeCell ref="B566:C566"/>
    <mergeCell ref="D566:E566"/>
    <mergeCell ref="F566:G566"/>
    <mergeCell ref="H566:I566"/>
    <mergeCell ref="J566:K566"/>
    <mergeCell ref="L566:M566"/>
    <mergeCell ref="N566:O566"/>
    <mergeCell ref="AD567:AE567"/>
    <mergeCell ref="AF567:AG567"/>
    <mergeCell ref="AH567:AI567"/>
    <mergeCell ref="AJ567:AK567"/>
    <mergeCell ref="AL567:BB567"/>
    <mergeCell ref="AH568:AI568"/>
    <mergeCell ref="AJ568:AK568"/>
    <mergeCell ref="AL568:BB568"/>
    <mergeCell ref="B568:C568"/>
    <mergeCell ref="D568:E568"/>
    <mergeCell ref="F568:G568"/>
    <mergeCell ref="H568:I568"/>
    <mergeCell ref="J568:K568"/>
    <mergeCell ref="L568:M568"/>
    <mergeCell ref="N568:O568"/>
    <mergeCell ref="P570:Q570"/>
    <mergeCell ref="R570:S570"/>
    <mergeCell ref="T570:U570"/>
    <mergeCell ref="V570:W570"/>
    <mergeCell ref="X570:Y570"/>
    <mergeCell ref="Z570:AA570"/>
    <mergeCell ref="AB570:AC570"/>
    <mergeCell ref="B570:C570"/>
    <mergeCell ref="D570:E570"/>
    <mergeCell ref="F570:G570"/>
    <mergeCell ref="H570:I570"/>
    <mergeCell ref="J570:K570"/>
    <mergeCell ref="L570:M570"/>
    <mergeCell ref="N570:O570"/>
    <mergeCell ref="AD568:AE568"/>
    <mergeCell ref="AF568:AG568"/>
    <mergeCell ref="P568:Q568"/>
    <mergeCell ref="R568:S568"/>
    <mergeCell ref="T568:U568"/>
    <mergeCell ref="V568:W568"/>
    <mergeCell ref="X568:Y568"/>
    <mergeCell ref="Z568:AA568"/>
    <mergeCell ref="AB568:AC568"/>
    <mergeCell ref="AD569:AE569"/>
    <mergeCell ref="AF569:AG569"/>
    <mergeCell ref="AH569:AI569"/>
    <mergeCell ref="AJ569:AK569"/>
    <mergeCell ref="AL569:BB569"/>
    <mergeCell ref="P569:Q569"/>
    <mergeCell ref="R569:S569"/>
    <mergeCell ref="T569:U569"/>
    <mergeCell ref="V569:W569"/>
    <mergeCell ref="X569:Y569"/>
    <mergeCell ref="Z569:AA569"/>
    <mergeCell ref="AB569:AC569"/>
    <mergeCell ref="B569:C569"/>
    <mergeCell ref="D569:E569"/>
    <mergeCell ref="F569:G569"/>
    <mergeCell ref="H569:I569"/>
    <mergeCell ref="J569:K569"/>
    <mergeCell ref="L569:M569"/>
    <mergeCell ref="N569:O569"/>
    <mergeCell ref="AD570:AE570"/>
    <mergeCell ref="AF570:AG570"/>
    <mergeCell ref="AH570:AI570"/>
    <mergeCell ref="AJ570:AK570"/>
    <mergeCell ref="AL570:BB570"/>
    <mergeCell ref="AH571:AI571"/>
    <mergeCell ref="AJ571:AK571"/>
    <mergeCell ref="AL571:BB571"/>
    <mergeCell ref="B571:C571"/>
    <mergeCell ref="D571:E571"/>
    <mergeCell ref="F571:G571"/>
    <mergeCell ref="H571:I571"/>
    <mergeCell ref="J571:K571"/>
    <mergeCell ref="L571:M571"/>
    <mergeCell ref="N571:O571"/>
    <mergeCell ref="P573:Q573"/>
    <mergeCell ref="R573:S573"/>
    <mergeCell ref="T573:U573"/>
    <mergeCell ref="V573:W573"/>
    <mergeCell ref="X573:Y573"/>
    <mergeCell ref="Z573:AA573"/>
    <mergeCell ref="AB573:AC573"/>
    <mergeCell ref="B573:C573"/>
    <mergeCell ref="D573:E573"/>
    <mergeCell ref="F573:G573"/>
    <mergeCell ref="H573:I573"/>
    <mergeCell ref="J573:K573"/>
    <mergeCell ref="L573:M573"/>
    <mergeCell ref="N573:O573"/>
    <mergeCell ref="AD571:AE571"/>
    <mergeCell ref="AF571:AG571"/>
    <mergeCell ref="P571:Q571"/>
    <mergeCell ref="R571:S571"/>
    <mergeCell ref="T571:U571"/>
    <mergeCell ref="V571:W571"/>
    <mergeCell ref="X571:Y571"/>
    <mergeCell ref="Z571:AA571"/>
    <mergeCell ref="AB571:AC571"/>
    <mergeCell ref="AD572:AE572"/>
    <mergeCell ref="AF572:AG572"/>
    <mergeCell ref="AH572:AI572"/>
    <mergeCell ref="AJ572:AK572"/>
    <mergeCell ref="AL572:BB572"/>
    <mergeCell ref="P572:Q572"/>
    <mergeCell ref="R572:S572"/>
    <mergeCell ref="T572:U572"/>
    <mergeCell ref="V572:W572"/>
    <mergeCell ref="X572:Y572"/>
    <mergeCell ref="Z572:AA572"/>
    <mergeCell ref="AB572:AC572"/>
    <mergeCell ref="B572:C572"/>
    <mergeCell ref="D572:E572"/>
    <mergeCell ref="F572:G572"/>
    <mergeCell ref="H572:I572"/>
    <mergeCell ref="J572:K572"/>
    <mergeCell ref="L572:M572"/>
    <mergeCell ref="N572:O572"/>
    <mergeCell ref="AD573:AE573"/>
    <mergeCell ref="AF573:AG573"/>
    <mergeCell ref="AH573:AI573"/>
    <mergeCell ref="AJ573:AK573"/>
    <mergeCell ref="AL573:BB573"/>
    <mergeCell ref="AH574:AI574"/>
    <mergeCell ref="AJ574:AK574"/>
    <mergeCell ref="AL574:BB574"/>
    <mergeCell ref="B574:C574"/>
    <mergeCell ref="D574:E574"/>
    <mergeCell ref="F574:G574"/>
    <mergeCell ref="H574:I574"/>
    <mergeCell ref="J574:K574"/>
    <mergeCell ref="L574:M574"/>
    <mergeCell ref="N574:O574"/>
    <mergeCell ref="P576:Q576"/>
    <mergeCell ref="R576:S576"/>
    <mergeCell ref="T576:U576"/>
    <mergeCell ref="V576:W576"/>
    <mergeCell ref="X576:Y576"/>
    <mergeCell ref="Z576:AA576"/>
    <mergeCell ref="AB576:AC576"/>
    <mergeCell ref="B576:C576"/>
    <mergeCell ref="D576:E576"/>
    <mergeCell ref="F576:G576"/>
    <mergeCell ref="H576:I576"/>
    <mergeCell ref="J576:K576"/>
    <mergeCell ref="L576:M576"/>
    <mergeCell ref="N576:O576"/>
    <mergeCell ref="AD574:AE574"/>
    <mergeCell ref="AF574:AG574"/>
    <mergeCell ref="P574:Q574"/>
    <mergeCell ref="R574:S574"/>
    <mergeCell ref="T574:U574"/>
    <mergeCell ref="V574:W574"/>
    <mergeCell ref="X574:Y574"/>
    <mergeCell ref="Z574:AA574"/>
    <mergeCell ref="AB574:AC574"/>
    <mergeCell ref="AD575:AE575"/>
    <mergeCell ref="AF575:AG575"/>
    <mergeCell ref="AH575:AI575"/>
    <mergeCell ref="AJ575:AK575"/>
    <mergeCell ref="AL575:BB575"/>
    <mergeCell ref="P575:Q575"/>
    <mergeCell ref="R575:S575"/>
    <mergeCell ref="T575:U575"/>
    <mergeCell ref="V575:W575"/>
    <mergeCell ref="X575:Y575"/>
    <mergeCell ref="Z575:AA575"/>
    <mergeCell ref="AB575:AC575"/>
    <mergeCell ref="B575:C575"/>
    <mergeCell ref="D575:E575"/>
    <mergeCell ref="F575:G575"/>
    <mergeCell ref="H575:I575"/>
    <mergeCell ref="J575:K575"/>
    <mergeCell ref="L575:M575"/>
    <mergeCell ref="N575:O575"/>
    <mergeCell ref="AD576:AE576"/>
    <mergeCell ref="AF576:AG576"/>
    <mergeCell ref="AH576:AI576"/>
    <mergeCell ref="AJ576:AK576"/>
    <mergeCell ref="AL576:BB576"/>
    <mergeCell ref="B577:C577"/>
    <mergeCell ref="D577:E577"/>
    <mergeCell ref="F577:G577"/>
    <mergeCell ref="H577:I577"/>
    <mergeCell ref="J577:K577"/>
    <mergeCell ref="L577:M577"/>
    <mergeCell ref="N577:O577"/>
    <mergeCell ref="AD578:AE578"/>
    <mergeCell ref="AF578:AG578"/>
    <mergeCell ref="AH578:AI578"/>
    <mergeCell ref="AJ578:AK578"/>
    <mergeCell ref="AL578:BB578"/>
    <mergeCell ref="P578:Q578"/>
    <mergeCell ref="R578:S578"/>
    <mergeCell ref="T578:U578"/>
    <mergeCell ref="V578:W578"/>
    <mergeCell ref="X578:Y578"/>
    <mergeCell ref="Z578:AA578"/>
    <mergeCell ref="AB578:AC578"/>
    <mergeCell ref="B578:C578"/>
    <mergeCell ref="D578:E578"/>
    <mergeCell ref="F578:G578"/>
    <mergeCell ref="H578:I578"/>
    <mergeCell ref="J578:K578"/>
    <mergeCell ref="L578:M578"/>
    <mergeCell ref="N578:O578"/>
    <mergeCell ref="AD579:AE579"/>
    <mergeCell ref="AF579:AG579"/>
    <mergeCell ref="AH579:AI579"/>
    <mergeCell ref="AJ579:AK579"/>
    <mergeCell ref="AL579:BB579"/>
    <mergeCell ref="P579:Q579"/>
    <mergeCell ref="R579:S579"/>
    <mergeCell ref="T579:U579"/>
    <mergeCell ref="V579:W579"/>
    <mergeCell ref="X579:Y579"/>
    <mergeCell ref="Z579:AA579"/>
    <mergeCell ref="AB579:AC579"/>
    <mergeCell ref="B579:C579"/>
    <mergeCell ref="D579:E579"/>
    <mergeCell ref="F579:G579"/>
    <mergeCell ref="H579:I579"/>
    <mergeCell ref="J579:K579"/>
    <mergeCell ref="L579:M579"/>
    <mergeCell ref="N579:O579"/>
    <mergeCell ref="AH580:AI580"/>
    <mergeCell ref="AJ580:AK580"/>
    <mergeCell ref="AL580:BB580"/>
    <mergeCell ref="B580:C580"/>
    <mergeCell ref="D580:E580"/>
    <mergeCell ref="F580:G580"/>
    <mergeCell ref="H580:I580"/>
    <mergeCell ref="J580:K580"/>
    <mergeCell ref="L580:M580"/>
    <mergeCell ref="N580:O580"/>
    <mergeCell ref="P582:Q582"/>
    <mergeCell ref="R582:S582"/>
    <mergeCell ref="T582:U582"/>
    <mergeCell ref="V582:W582"/>
    <mergeCell ref="X582:Y582"/>
    <mergeCell ref="Z582:AA582"/>
    <mergeCell ref="AB582:AC582"/>
    <mergeCell ref="B582:C582"/>
    <mergeCell ref="D582:E582"/>
    <mergeCell ref="F582:G582"/>
    <mergeCell ref="H582:I582"/>
    <mergeCell ref="J582:K582"/>
    <mergeCell ref="L582:M582"/>
    <mergeCell ref="N582:O582"/>
    <mergeCell ref="AD580:AE580"/>
    <mergeCell ref="AF580:AG580"/>
    <mergeCell ref="P580:Q580"/>
    <mergeCell ref="R580:S580"/>
    <mergeCell ref="T580:U580"/>
    <mergeCell ref="V580:W580"/>
    <mergeCell ref="X580:Y580"/>
    <mergeCell ref="Z580:AA580"/>
    <mergeCell ref="AB580:AC580"/>
    <mergeCell ref="AD581:AE581"/>
    <mergeCell ref="AF581:AG581"/>
    <mergeCell ref="AH581:AI581"/>
    <mergeCell ref="AJ581:AK581"/>
    <mergeCell ref="AL581:BB581"/>
    <mergeCell ref="P581:Q581"/>
    <mergeCell ref="R581:S581"/>
    <mergeCell ref="T581:U581"/>
    <mergeCell ref="V581:W581"/>
    <mergeCell ref="X581:Y581"/>
    <mergeCell ref="Z581:AA581"/>
    <mergeCell ref="AB581:AC581"/>
    <mergeCell ref="B581:C581"/>
    <mergeCell ref="D581:E581"/>
    <mergeCell ref="F581:G581"/>
    <mergeCell ref="H581:I581"/>
    <mergeCell ref="J581:K581"/>
    <mergeCell ref="L581:M581"/>
    <mergeCell ref="N581:O581"/>
    <mergeCell ref="AD582:AE582"/>
    <mergeCell ref="AF582:AG582"/>
    <mergeCell ref="AH582:AI582"/>
    <mergeCell ref="AJ582:AK582"/>
    <mergeCell ref="AL582:BB582"/>
    <mergeCell ref="AH583:AI583"/>
    <mergeCell ref="AJ583:AK583"/>
    <mergeCell ref="AL583:BB583"/>
    <mergeCell ref="B583:C583"/>
    <mergeCell ref="D583:E583"/>
    <mergeCell ref="F583:G583"/>
    <mergeCell ref="H583:I583"/>
    <mergeCell ref="J583:K583"/>
    <mergeCell ref="L583:M583"/>
    <mergeCell ref="N583:O583"/>
    <mergeCell ref="P585:Q585"/>
    <mergeCell ref="R585:S585"/>
    <mergeCell ref="T585:U585"/>
    <mergeCell ref="V585:W585"/>
    <mergeCell ref="X585:Y585"/>
    <mergeCell ref="Z585:AA585"/>
    <mergeCell ref="AB585:AC585"/>
    <mergeCell ref="B585:C585"/>
    <mergeCell ref="D585:E585"/>
    <mergeCell ref="F585:G585"/>
    <mergeCell ref="H585:I585"/>
    <mergeCell ref="J585:K585"/>
    <mergeCell ref="L585:M585"/>
    <mergeCell ref="N585:O585"/>
    <mergeCell ref="P588:Q588"/>
    <mergeCell ref="R588:S588"/>
    <mergeCell ref="T588:U588"/>
    <mergeCell ref="V588:W588"/>
    <mergeCell ref="X588:Y588"/>
    <mergeCell ref="Z588:AA588"/>
    <mergeCell ref="AB588:AC588"/>
    <mergeCell ref="B588:C588"/>
    <mergeCell ref="D588:E588"/>
    <mergeCell ref="F588:G588"/>
    <mergeCell ref="H588:I588"/>
    <mergeCell ref="J588:K588"/>
    <mergeCell ref="L588:M588"/>
    <mergeCell ref="N588:O588"/>
    <mergeCell ref="X586:Y586"/>
    <mergeCell ref="Z586:AA586"/>
    <mergeCell ref="AB586:AC586"/>
    <mergeCell ref="AD587:AE587"/>
    <mergeCell ref="AF587:AG587"/>
    <mergeCell ref="AH587:AI587"/>
    <mergeCell ref="AJ587:AK587"/>
    <mergeCell ref="AL587:BB587"/>
    <mergeCell ref="P587:Q587"/>
    <mergeCell ref="R587:S587"/>
    <mergeCell ref="T587:U587"/>
    <mergeCell ref="V587:W587"/>
    <mergeCell ref="X587:Y587"/>
    <mergeCell ref="Z587:AA587"/>
    <mergeCell ref="AB587:AC587"/>
    <mergeCell ref="B587:C587"/>
    <mergeCell ref="D587:E587"/>
    <mergeCell ref="F587:G587"/>
    <mergeCell ref="H587:I587"/>
    <mergeCell ref="J587:K587"/>
    <mergeCell ref="L587:M587"/>
    <mergeCell ref="N587:O587"/>
    <mergeCell ref="AD588:AE588"/>
    <mergeCell ref="AF588:AG588"/>
    <mergeCell ref="AH588:AI588"/>
    <mergeCell ref="AJ588:AK588"/>
    <mergeCell ref="AD592:AE592"/>
    <mergeCell ref="AF592:AG592"/>
    <mergeCell ref="P592:Q592"/>
    <mergeCell ref="R592:S592"/>
    <mergeCell ref="T592:U592"/>
    <mergeCell ref="V592:W592"/>
    <mergeCell ref="X592:Y592"/>
    <mergeCell ref="Z592:AA592"/>
    <mergeCell ref="AB592:AC592"/>
    <mergeCell ref="AD593:AE593"/>
    <mergeCell ref="AF593:AG593"/>
    <mergeCell ref="AH593:AI593"/>
    <mergeCell ref="AJ593:AK593"/>
    <mergeCell ref="AL593:BB593"/>
    <mergeCell ref="P593:Q593"/>
    <mergeCell ref="R593:S593"/>
    <mergeCell ref="T593:U593"/>
    <mergeCell ref="V593:W593"/>
    <mergeCell ref="X593:Y593"/>
    <mergeCell ref="Z593:AA593"/>
    <mergeCell ref="AB593:AC593"/>
    <mergeCell ref="B593:C593"/>
    <mergeCell ref="D593:E593"/>
    <mergeCell ref="F593:G593"/>
    <mergeCell ref="H593:I593"/>
    <mergeCell ref="J593:K593"/>
    <mergeCell ref="L593:M593"/>
    <mergeCell ref="N593:O593"/>
    <mergeCell ref="AD594:AE594"/>
    <mergeCell ref="AF594:AG594"/>
    <mergeCell ref="AH594:AI594"/>
    <mergeCell ref="AJ594:AK594"/>
    <mergeCell ref="AL594:BB594"/>
    <mergeCell ref="AH592:AI592"/>
    <mergeCell ref="AJ592:AK592"/>
    <mergeCell ref="AL592:BB592"/>
    <mergeCell ref="B592:C592"/>
    <mergeCell ref="D592:E592"/>
    <mergeCell ref="F592:G592"/>
    <mergeCell ref="H592:I592"/>
    <mergeCell ref="J592:K592"/>
    <mergeCell ref="L592:M592"/>
    <mergeCell ref="N592:O592"/>
    <mergeCell ref="P594:Q594"/>
    <mergeCell ref="R594:S594"/>
    <mergeCell ref="T594:U594"/>
    <mergeCell ref="V594:W594"/>
    <mergeCell ref="X594:Y594"/>
    <mergeCell ref="Z594:AA594"/>
    <mergeCell ref="AB594:AC594"/>
    <mergeCell ref="B594:C594"/>
    <mergeCell ref="D594:E594"/>
    <mergeCell ref="F594:G594"/>
    <mergeCell ref="H594:I594"/>
    <mergeCell ref="J594:K594"/>
    <mergeCell ref="L594:M594"/>
    <mergeCell ref="N594:O594"/>
    <mergeCell ref="AH595:AI595"/>
    <mergeCell ref="AJ595:AK595"/>
    <mergeCell ref="AL595:BB595"/>
    <mergeCell ref="B595:C595"/>
    <mergeCell ref="D595:E595"/>
    <mergeCell ref="F595:G595"/>
    <mergeCell ref="H595:I595"/>
    <mergeCell ref="J595:K595"/>
    <mergeCell ref="L595:M595"/>
    <mergeCell ref="N595:O595"/>
    <mergeCell ref="AD595:AE595"/>
    <mergeCell ref="AF595:AG595"/>
    <mergeCell ref="P595:Q595"/>
    <mergeCell ref="R595:S595"/>
    <mergeCell ref="T595:U595"/>
    <mergeCell ref="V595:W595"/>
    <mergeCell ref="X595:Y595"/>
    <mergeCell ref="Z595:AA595"/>
    <mergeCell ref="AB595:AC595"/>
    <mergeCell ref="AD596:AE596"/>
    <mergeCell ref="AF596:AG596"/>
    <mergeCell ref="AH596:AI596"/>
    <mergeCell ref="AJ596:AK596"/>
    <mergeCell ref="AL596:BB596"/>
    <mergeCell ref="P596:Q596"/>
    <mergeCell ref="R596:S596"/>
    <mergeCell ref="T596:U596"/>
    <mergeCell ref="V596:W596"/>
    <mergeCell ref="X596:Y596"/>
    <mergeCell ref="Z596:AA596"/>
    <mergeCell ref="AB596:AC596"/>
    <mergeCell ref="B596:C596"/>
    <mergeCell ref="D596:E596"/>
    <mergeCell ref="F596:G596"/>
    <mergeCell ref="H596:I596"/>
    <mergeCell ref="J596:K596"/>
    <mergeCell ref="L596:M596"/>
    <mergeCell ref="N596:O596"/>
    <mergeCell ref="AD597:AE597"/>
    <mergeCell ref="AF597:AG597"/>
    <mergeCell ref="AH597:AI597"/>
    <mergeCell ref="AJ597:AK597"/>
    <mergeCell ref="AL597:BB597"/>
    <mergeCell ref="AH598:AI598"/>
    <mergeCell ref="AJ598:AK598"/>
    <mergeCell ref="AL598:BB598"/>
    <mergeCell ref="B598:C598"/>
    <mergeCell ref="D598:E598"/>
    <mergeCell ref="F598:G598"/>
    <mergeCell ref="H598:I598"/>
    <mergeCell ref="J598:K598"/>
    <mergeCell ref="L598:M598"/>
    <mergeCell ref="N598:O598"/>
    <mergeCell ref="AD583:AE583"/>
    <mergeCell ref="AF583:AG583"/>
    <mergeCell ref="P583:Q583"/>
    <mergeCell ref="R583:S583"/>
    <mergeCell ref="T583:U583"/>
    <mergeCell ref="V583:W583"/>
    <mergeCell ref="X583:Y583"/>
    <mergeCell ref="Z583:AA583"/>
    <mergeCell ref="AB583:AC583"/>
    <mergeCell ref="AD584:AE584"/>
    <mergeCell ref="AF584:AG584"/>
    <mergeCell ref="AH584:AI584"/>
    <mergeCell ref="AJ584:AK584"/>
    <mergeCell ref="AL584:BB584"/>
    <mergeCell ref="P584:Q584"/>
    <mergeCell ref="R584:S584"/>
    <mergeCell ref="T584:U584"/>
    <mergeCell ref="V584:W584"/>
    <mergeCell ref="X584:Y584"/>
    <mergeCell ref="Z584:AA584"/>
    <mergeCell ref="AB584:AC584"/>
    <mergeCell ref="B584:C584"/>
    <mergeCell ref="D584:E584"/>
    <mergeCell ref="F584:G584"/>
    <mergeCell ref="H584:I584"/>
    <mergeCell ref="J584:K584"/>
    <mergeCell ref="L584:M584"/>
    <mergeCell ref="N584:O584"/>
    <mergeCell ref="AD585:AE585"/>
    <mergeCell ref="AF585:AG585"/>
    <mergeCell ref="AH585:AI585"/>
    <mergeCell ref="AJ585:AK585"/>
    <mergeCell ref="AL585:BB585"/>
    <mergeCell ref="AH586:AI586"/>
    <mergeCell ref="AJ586:AK586"/>
    <mergeCell ref="AL586:BB586"/>
    <mergeCell ref="B586:C586"/>
    <mergeCell ref="D586:E586"/>
    <mergeCell ref="F586:G586"/>
    <mergeCell ref="H586:I586"/>
    <mergeCell ref="J586:K586"/>
    <mergeCell ref="L586:M586"/>
    <mergeCell ref="N586:O586"/>
    <mergeCell ref="AD586:AE586"/>
    <mergeCell ref="AF586:AG586"/>
    <mergeCell ref="P586:Q586"/>
    <mergeCell ref="R586:S586"/>
    <mergeCell ref="T586:U586"/>
    <mergeCell ref="V586:W586"/>
    <mergeCell ref="AL588:BB588"/>
    <mergeCell ref="AH589:AI589"/>
    <mergeCell ref="AJ589:AK589"/>
    <mergeCell ref="AL589:BB589"/>
    <mergeCell ref="B589:C589"/>
    <mergeCell ref="D589:E589"/>
    <mergeCell ref="F589:G589"/>
    <mergeCell ref="H589:I589"/>
    <mergeCell ref="J589:K589"/>
    <mergeCell ref="L589:M589"/>
    <mergeCell ref="N589:O589"/>
    <mergeCell ref="P591:Q591"/>
    <mergeCell ref="R591:S591"/>
    <mergeCell ref="T591:U591"/>
    <mergeCell ref="V591:W591"/>
    <mergeCell ref="X591:Y591"/>
    <mergeCell ref="Z591:AA591"/>
    <mergeCell ref="AB591:AC591"/>
    <mergeCell ref="B591:C591"/>
    <mergeCell ref="D591:E591"/>
    <mergeCell ref="F591:G591"/>
    <mergeCell ref="H591:I591"/>
    <mergeCell ref="J591:K591"/>
    <mergeCell ref="L591:M591"/>
    <mergeCell ref="N591:O591"/>
    <mergeCell ref="AD589:AE589"/>
    <mergeCell ref="AF589:AG589"/>
    <mergeCell ref="P589:Q589"/>
    <mergeCell ref="R589:S589"/>
    <mergeCell ref="T589:U589"/>
    <mergeCell ref="V589:W589"/>
    <mergeCell ref="X589:Y589"/>
    <mergeCell ref="Z589:AA589"/>
    <mergeCell ref="AB589:AC589"/>
    <mergeCell ref="AD590:AE590"/>
    <mergeCell ref="AF590:AG590"/>
    <mergeCell ref="AH590:AI590"/>
    <mergeCell ref="AJ590:AK590"/>
    <mergeCell ref="AL590:BB590"/>
    <mergeCell ref="P590:Q590"/>
    <mergeCell ref="R590:S590"/>
    <mergeCell ref="T590:U590"/>
    <mergeCell ref="V590:W590"/>
    <mergeCell ref="X590:Y590"/>
    <mergeCell ref="Z590:AA590"/>
    <mergeCell ref="AB590:AC590"/>
    <mergeCell ref="B590:C590"/>
    <mergeCell ref="D590:E590"/>
    <mergeCell ref="F590:G590"/>
    <mergeCell ref="H590:I590"/>
    <mergeCell ref="J590:K590"/>
    <mergeCell ref="L590:M590"/>
    <mergeCell ref="N590:O590"/>
    <mergeCell ref="AD591:AE591"/>
    <mergeCell ref="AF591:AG591"/>
    <mergeCell ref="AH591:AI591"/>
    <mergeCell ref="AJ591:AK591"/>
    <mergeCell ref="AL591:BB591"/>
    <mergeCell ref="P597:Q597"/>
    <mergeCell ref="R597:S597"/>
    <mergeCell ref="T597:U597"/>
    <mergeCell ref="V597:W597"/>
    <mergeCell ref="X597:Y597"/>
    <mergeCell ref="Z597:AA597"/>
    <mergeCell ref="AB597:AC597"/>
    <mergeCell ref="B597:C597"/>
    <mergeCell ref="D597:E597"/>
    <mergeCell ref="F597:G597"/>
    <mergeCell ref="H597:I597"/>
    <mergeCell ref="J597:K597"/>
    <mergeCell ref="L597:M597"/>
    <mergeCell ref="N597:O597"/>
    <mergeCell ref="AD619:AE619"/>
    <mergeCell ref="AF619:AG619"/>
    <mergeCell ref="AH619:AI619"/>
    <mergeCell ref="AJ619:AK619"/>
    <mergeCell ref="AL619:BB619"/>
    <mergeCell ref="P619:Q619"/>
    <mergeCell ref="R619:S619"/>
    <mergeCell ref="T619:U619"/>
    <mergeCell ref="V619:W619"/>
    <mergeCell ref="X619:Y619"/>
    <mergeCell ref="Z619:AA619"/>
    <mergeCell ref="AB619:AC619"/>
    <mergeCell ref="P600:Q600"/>
    <mergeCell ref="R600:S600"/>
    <mergeCell ref="T600:U600"/>
    <mergeCell ref="V600:W600"/>
    <mergeCell ref="X600:Y600"/>
    <mergeCell ref="Z600:AA600"/>
    <mergeCell ref="AB600:AC600"/>
    <mergeCell ref="B600:C600"/>
    <mergeCell ref="D600:E600"/>
    <mergeCell ref="F600:G600"/>
    <mergeCell ref="H600:I600"/>
    <mergeCell ref="J600:K600"/>
    <mergeCell ref="L600:M600"/>
    <mergeCell ref="N600:O600"/>
    <mergeCell ref="AD598:AE598"/>
    <mergeCell ref="AF598:AG598"/>
    <mergeCell ref="P598:Q598"/>
    <mergeCell ref="R598:S598"/>
    <mergeCell ref="T598:U598"/>
    <mergeCell ref="V598:W598"/>
    <mergeCell ref="X598:Y598"/>
    <mergeCell ref="Z598:AA598"/>
    <mergeCell ref="AB598:AC598"/>
    <mergeCell ref="AD599:AE599"/>
    <mergeCell ref="AF599:AG599"/>
    <mergeCell ref="AH599:AI599"/>
    <mergeCell ref="AJ599:AK599"/>
    <mergeCell ref="AL599:BB599"/>
    <mergeCell ref="P599:Q599"/>
    <mergeCell ref="R599:S599"/>
    <mergeCell ref="T599:U599"/>
    <mergeCell ref="V599:W599"/>
    <mergeCell ref="X599:Y599"/>
    <mergeCell ref="Z599:AA599"/>
    <mergeCell ref="AB599:AC599"/>
    <mergeCell ref="B599:C599"/>
    <mergeCell ref="D599:E599"/>
    <mergeCell ref="F599:G599"/>
    <mergeCell ref="H599:I599"/>
    <mergeCell ref="J599:K599"/>
    <mergeCell ref="L599:M599"/>
    <mergeCell ref="N599:O599"/>
    <mergeCell ref="AD600:AE600"/>
    <mergeCell ref="AF600:AG600"/>
    <mergeCell ref="AH600:AI600"/>
    <mergeCell ref="AJ600:AK600"/>
    <mergeCell ref="AL600:BB600"/>
    <mergeCell ref="AH601:AI601"/>
    <mergeCell ref="AJ601:AK601"/>
    <mergeCell ref="AL601:BB601"/>
    <mergeCell ref="B601:C601"/>
    <mergeCell ref="D601:E601"/>
    <mergeCell ref="F601:G601"/>
    <mergeCell ref="H601:I601"/>
    <mergeCell ref="J601:K601"/>
    <mergeCell ref="L601:M601"/>
    <mergeCell ref="N601:O601"/>
    <mergeCell ref="P603:Q603"/>
    <mergeCell ref="R603:S603"/>
    <mergeCell ref="T603:U603"/>
    <mergeCell ref="V603:W603"/>
    <mergeCell ref="X603:Y603"/>
    <mergeCell ref="Z603:AA603"/>
    <mergeCell ref="AB603:AC603"/>
    <mergeCell ref="B603:C603"/>
    <mergeCell ref="D603:E603"/>
    <mergeCell ref="F603:G603"/>
    <mergeCell ref="H603:I603"/>
    <mergeCell ref="J603:K603"/>
    <mergeCell ref="L603:M603"/>
    <mergeCell ref="N603:O603"/>
    <mergeCell ref="AD601:AE601"/>
    <mergeCell ref="AF601:AG601"/>
    <mergeCell ref="P601:Q601"/>
    <mergeCell ref="R601:S601"/>
    <mergeCell ref="T601:U601"/>
    <mergeCell ref="V601:W601"/>
    <mergeCell ref="X601:Y601"/>
    <mergeCell ref="Z601:AA601"/>
    <mergeCell ref="AB601:AC601"/>
    <mergeCell ref="AD602:AE602"/>
    <mergeCell ref="AF602:AG602"/>
    <mergeCell ref="AH602:AI602"/>
    <mergeCell ref="AJ602:AK602"/>
    <mergeCell ref="AL602:BB602"/>
    <mergeCell ref="P602:Q602"/>
    <mergeCell ref="R602:S602"/>
    <mergeCell ref="T602:U602"/>
    <mergeCell ref="V602:W602"/>
    <mergeCell ref="X602:Y602"/>
    <mergeCell ref="Z602:AA602"/>
    <mergeCell ref="AB602:AC602"/>
    <mergeCell ref="B602:C602"/>
    <mergeCell ref="D602:E602"/>
    <mergeCell ref="F602:G602"/>
    <mergeCell ref="H602:I602"/>
    <mergeCell ref="J602:K602"/>
    <mergeCell ref="L602:M602"/>
    <mergeCell ref="N602:O602"/>
    <mergeCell ref="AD603:AE603"/>
    <mergeCell ref="AF603:AG603"/>
    <mergeCell ref="AH603:AI603"/>
    <mergeCell ref="AJ603:AK603"/>
    <mergeCell ref="AL603:BB603"/>
    <mergeCell ref="AH604:AI604"/>
    <mergeCell ref="AJ604:AK604"/>
    <mergeCell ref="AL604:BB604"/>
    <mergeCell ref="B604:C604"/>
    <mergeCell ref="D604:E604"/>
    <mergeCell ref="F604:G604"/>
    <mergeCell ref="H604:I604"/>
    <mergeCell ref="J604:K604"/>
    <mergeCell ref="L604:M604"/>
    <mergeCell ref="N604:O604"/>
    <mergeCell ref="P606:Q606"/>
    <mergeCell ref="R606:S606"/>
    <mergeCell ref="T606:U606"/>
    <mergeCell ref="V606:W606"/>
    <mergeCell ref="X606:Y606"/>
    <mergeCell ref="Z606:AA606"/>
    <mergeCell ref="AB606:AC606"/>
    <mergeCell ref="B606:C606"/>
    <mergeCell ref="D606:E606"/>
    <mergeCell ref="F606:G606"/>
    <mergeCell ref="H606:I606"/>
    <mergeCell ref="J606:K606"/>
    <mergeCell ref="L606:M606"/>
    <mergeCell ref="N606:O606"/>
    <mergeCell ref="AD604:AE604"/>
    <mergeCell ref="AF604:AG604"/>
    <mergeCell ref="P604:Q604"/>
    <mergeCell ref="R604:S604"/>
    <mergeCell ref="T604:U604"/>
    <mergeCell ref="V604:W604"/>
    <mergeCell ref="X604:Y604"/>
    <mergeCell ref="Z604:AA604"/>
    <mergeCell ref="AB604:AC604"/>
    <mergeCell ref="AD605:AE605"/>
    <mergeCell ref="AF605:AG605"/>
    <mergeCell ref="AH605:AI605"/>
    <mergeCell ref="AJ605:AK605"/>
    <mergeCell ref="AL605:BB605"/>
    <mergeCell ref="P605:Q605"/>
    <mergeCell ref="R605:S605"/>
    <mergeCell ref="T605:U605"/>
    <mergeCell ref="V605:W605"/>
    <mergeCell ref="X605:Y605"/>
    <mergeCell ref="Z605:AA605"/>
    <mergeCell ref="AB605:AC605"/>
    <mergeCell ref="B605:C605"/>
    <mergeCell ref="D605:E605"/>
    <mergeCell ref="F605:G605"/>
    <mergeCell ref="H605:I605"/>
    <mergeCell ref="J605:K605"/>
    <mergeCell ref="L605:M605"/>
    <mergeCell ref="N605:O605"/>
    <mergeCell ref="AD606:AE606"/>
    <mergeCell ref="AF606:AG606"/>
    <mergeCell ref="AH606:AI606"/>
    <mergeCell ref="AJ606:AK606"/>
    <mergeCell ref="AL606:BB606"/>
    <mergeCell ref="AH607:AI607"/>
    <mergeCell ref="AJ607:AK607"/>
    <mergeCell ref="AL607:BB607"/>
    <mergeCell ref="B607:C607"/>
    <mergeCell ref="D607:E607"/>
    <mergeCell ref="F607:G607"/>
    <mergeCell ref="H607:I607"/>
    <mergeCell ref="J607:K607"/>
    <mergeCell ref="L607:M607"/>
    <mergeCell ref="N607:O607"/>
    <mergeCell ref="P609:Q609"/>
    <mergeCell ref="R609:S609"/>
    <mergeCell ref="T609:U609"/>
    <mergeCell ref="V609:W609"/>
    <mergeCell ref="X609:Y609"/>
    <mergeCell ref="Z609:AA609"/>
    <mergeCell ref="AB609:AC609"/>
    <mergeCell ref="B609:C609"/>
    <mergeCell ref="D609:E609"/>
    <mergeCell ref="F609:G609"/>
    <mergeCell ref="H609:I609"/>
    <mergeCell ref="J609:K609"/>
    <mergeCell ref="L609:M609"/>
    <mergeCell ref="N609:O609"/>
    <mergeCell ref="AD607:AE607"/>
    <mergeCell ref="AF607:AG607"/>
    <mergeCell ref="P607:Q607"/>
    <mergeCell ref="R607:S607"/>
    <mergeCell ref="T607:U607"/>
    <mergeCell ref="V607:W607"/>
    <mergeCell ref="X607:Y607"/>
    <mergeCell ref="Z607:AA607"/>
    <mergeCell ref="AB607:AC607"/>
    <mergeCell ref="AD608:AE608"/>
    <mergeCell ref="AF608:AG608"/>
    <mergeCell ref="AH608:AI608"/>
    <mergeCell ref="AJ608:AK608"/>
    <mergeCell ref="AL608:BB608"/>
    <mergeCell ref="P608:Q608"/>
    <mergeCell ref="R608:S608"/>
    <mergeCell ref="T608:U608"/>
    <mergeCell ref="V608:W608"/>
    <mergeCell ref="X608:Y608"/>
    <mergeCell ref="Z608:AA608"/>
    <mergeCell ref="AB608:AC608"/>
    <mergeCell ref="B608:C608"/>
    <mergeCell ref="D608:E608"/>
    <mergeCell ref="F608:G608"/>
    <mergeCell ref="H608:I608"/>
    <mergeCell ref="J608:K608"/>
    <mergeCell ref="L608:M608"/>
    <mergeCell ref="N608:O608"/>
    <mergeCell ref="AD609:AE609"/>
    <mergeCell ref="AF609:AG609"/>
    <mergeCell ref="AH609:AI609"/>
    <mergeCell ref="AJ609:AK609"/>
    <mergeCell ref="AL609:BB609"/>
    <mergeCell ref="AH610:AI610"/>
    <mergeCell ref="AJ610:AK610"/>
    <mergeCell ref="AL610:BB610"/>
    <mergeCell ref="B610:C610"/>
    <mergeCell ref="D610:E610"/>
    <mergeCell ref="F610:G610"/>
    <mergeCell ref="H610:I610"/>
    <mergeCell ref="J610:K610"/>
    <mergeCell ref="L610:M610"/>
    <mergeCell ref="N610:O610"/>
    <mergeCell ref="P612:Q612"/>
    <mergeCell ref="R612:S612"/>
    <mergeCell ref="T612:U612"/>
    <mergeCell ref="V612:W612"/>
    <mergeCell ref="X612:Y612"/>
    <mergeCell ref="Z612:AA612"/>
    <mergeCell ref="AB612:AC612"/>
    <mergeCell ref="B612:C612"/>
    <mergeCell ref="D612:E612"/>
    <mergeCell ref="F612:G612"/>
    <mergeCell ref="H612:I612"/>
    <mergeCell ref="J612:K612"/>
    <mergeCell ref="L612:M612"/>
    <mergeCell ref="N612:O612"/>
    <mergeCell ref="AD610:AE610"/>
    <mergeCell ref="AF610:AG610"/>
    <mergeCell ref="P610:Q610"/>
    <mergeCell ref="R610:S610"/>
    <mergeCell ref="T610:U610"/>
    <mergeCell ref="V610:W610"/>
    <mergeCell ref="X610:Y610"/>
    <mergeCell ref="Z610:AA610"/>
    <mergeCell ref="AB610:AC610"/>
    <mergeCell ref="AD611:AE611"/>
    <mergeCell ref="AF611:AG611"/>
    <mergeCell ref="AH611:AI611"/>
    <mergeCell ref="AJ611:AK611"/>
    <mergeCell ref="AL611:BB611"/>
    <mergeCell ref="P611:Q611"/>
    <mergeCell ref="R611:S611"/>
    <mergeCell ref="T611:U611"/>
    <mergeCell ref="V611:W611"/>
    <mergeCell ref="X611:Y611"/>
    <mergeCell ref="Z611:AA611"/>
    <mergeCell ref="AB611:AC611"/>
    <mergeCell ref="B611:C611"/>
    <mergeCell ref="D611:E611"/>
    <mergeCell ref="F611:G611"/>
    <mergeCell ref="H611:I611"/>
    <mergeCell ref="J611:K611"/>
    <mergeCell ref="L611:M611"/>
    <mergeCell ref="N611:O611"/>
    <mergeCell ref="AD612:AE612"/>
    <mergeCell ref="AF612:AG612"/>
    <mergeCell ref="AH612:AI612"/>
    <mergeCell ref="AJ612:AK612"/>
    <mergeCell ref="AL612:BB612"/>
    <mergeCell ref="AH613:AI613"/>
    <mergeCell ref="AJ613:AK613"/>
    <mergeCell ref="AL613:BB613"/>
    <mergeCell ref="B613:C613"/>
    <mergeCell ref="D613:E613"/>
    <mergeCell ref="F613:G613"/>
    <mergeCell ref="H613:I613"/>
    <mergeCell ref="J613:K613"/>
    <mergeCell ref="L613:M613"/>
    <mergeCell ref="N613:O613"/>
    <mergeCell ref="P615:Q615"/>
    <mergeCell ref="R615:S615"/>
    <mergeCell ref="T615:U615"/>
    <mergeCell ref="V615:W615"/>
    <mergeCell ref="X615:Y615"/>
    <mergeCell ref="Z615:AA615"/>
    <mergeCell ref="AB615:AC615"/>
    <mergeCell ref="B615:C615"/>
    <mergeCell ref="D615:E615"/>
    <mergeCell ref="F615:G615"/>
    <mergeCell ref="H615:I615"/>
    <mergeCell ref="J615:K615"/>
    <mergeCell ref="L615:M615"/>
    <mergeCell ref="N615:O615"/>
    <mergeCell ref="AD613:AE613"/>
    <mergeCell ref="AF613:AG613"/>
    <mergeCell ref="P613:Q613"/>
    <mergeCell ref="R613:S613"/>
    <mergeCell ref="T613:U613"/>
    <mergeCell ref="V613:W613"/>
    <mergeCell ref="X613:Y613"/>
    <mergeCell ref="Z613:AA613"/>
    <mergeCell ref="AB613:AC613"/>
    <mergeCell ref="AD614:AE614"/>
    <mergeCell ref="AF614:AG614"/>
    <mergeCell ref="AH614:AI614"/>
    <mergeCell ref="AJ614:AK614"/>
    <mergeCell ref="AL614:BB614"/>
    <mergeCell ref="P614:Q614"/>
    <mergeCell ref="R614:S614"/>
    <mergeCell ref="T614:U614"/>
    <mergeCell ref="V614:W614"/>
    <mergeCell ref="X614:Y614"/>
    <mergeCell ref="Z614:AA614"/>
    <mergeCell ref="AB614:AC614"/>
    <mergeCell ref="B614:C614"/>
    <mergeCell ref="D614:E614"/>
    <mergeCell ref="F614:G614"/>
    <mergeCell ref="H614:I614"/>
    <mergeCell ref="J614:K614"/>
    <mergeCell ref="L614:M614"/>
    <mergeCell ref="N614:O614"/>
    <mergeCell ref="AD615:AE615"/>
    <mergeCell ref="AF615:AG615"/>
    <mergeCell ref="AH615:AI615"/>
    <mergeCell ref="AJ615:AK615"/>
    <mergeCell ref="AL615:BB615"/>
    <mergeCell ref="AH616:AI616"/>
    <mergeCell ref="AJ616:AK616"/>
    <mergeCell ref="AL616:BB616"/>
    <mergeCell ref="B616:C616"/>
    <mergeCell ref="D616:E616"/>
    <mergeCell ref="F616:G616"/>
    <mergeCell ref="H616:I616"/>
    <mergeCell ref="J616:K616"/>
    <mergeCell ref="L616:M616"/>
    <mergeCell ref="N616:O616"/>
    <mergeCell ref="P618:Q618"/>
    <mergeCell ref="R618:S618"/>
    <mergeCell ref="T618:U618"/>
    <mergeCell ref="V618:W618"/>
    <mergeCell ref="X618:Y618"/>
    <mergeCell ref="Z618:AA618"/>
    <mergeCell ref="AB618:AC618"/>
    <mergeCell ref="B618:C618"/>
    <mergeCell ref="D618:E618"/>
    <mergeCell ref="F618:G618"/>
    <mergeCell ref="H618:I618"/>
    <mergeCell ref="J618:K618"/>
    <mergeCell ref="L618:M618"/>
    <mergeCell ref="N618:O618"/>
    <mergeCell ref="AD616:AE616"/>
    <mergeCell ref="AF616:AG616"/>
    <mergeCell ref="P616:Q616"/>
    <mergeCell ref="R616:S616"/>
    <mergeCell ref="T616:U616"/>
    <mergeCell ref="V616:W616"/>
    <mergeCell ref="X616:Y616"/>
    <mergeCell ref="Z616:AA616"/>
    <mergeCell ref="AB616:AC616"/>
    <mergeCell ref="AD617:AE617"/>
    <mergeCell ref="AF617:AG617"/>
    <mergeCell ref="AH617:AI617"/>
    <mergeCell ref="AJ617:AK617"/>
    <mergeCell ref="AL617:BB617"/>
    <mergeCell ref="P617:Q617"/>
    <mergeCell ref="R617:S617"/>
    <mergeCell ref="T617:U617"/>
    <mergeCell ref="V617:W617"/>
    <mergeCell ref="X617:Y617"/>
    <mergeCell ref="Z617:AA617"/>
    <mergeCell ref="AB617:AC617"/>
    <mergeCell ref="B617:C617"/>
    <mergeCell ref="D617:E617"/>
    <mergeCell ref="F617:G617"/>
    <mergeCell ref="H617:I617"/>
    <mergeCell ref="J617:K617"/>
    <mergeCell ref="L617:M617"/>
    <mergeCell ref="N617:O617"/>
    <mergeCell ref="AD618:AE618"/>
    <mergeCell ref="AF618:AG618"/>
    <mergeCell ref="AH618:AI618"/>
    <mergeCell ref="AJ618:AK618"/>
    <mergeCell ref="AL618:BB618"/>
    <mergeCell ref="B619:C619"/>
    <mergeCell ref="D619:E619"/>
    <mergeCell ref="F619:G619"/>
    <mergeCell ref="H619:I619"/>
    <mergeCell ref="J619:K619"/>
    <mergeCell ref="L619:M619"/>
    <mergeCell ref="N619:O619"/>
    <mergeCell ref="AD620:AE620"/>
    <mergeCell ref="AF620:AG620"/>
    <mergeCell ref="AH620:AI620"/>
    <mergeCell ref="AJ620:AK620"/>
    <mergeCell ref="AL620:BB620"/>
    <mergeCell ref="P620:Q620"/>
    <mergeCell ref="R620:S620"/>
    <mergeCell ref="T620:U620"/>
    <mergeCell ref="V620:W620"/>
    <mergeCell ref="X620:Y620"/>
    <mergeCell ref="Z620:AA620"/>
    <mergeCell ref="AB620:AC620"/>
    <mergeCell ref="B620:C620"/>
    <mergeCell ref="D620:E620"/>
    <mergeCell ref="F620:G620"/>
    <mergeCell ref="H620:I620"/>
    <mergeCell ref="J620:K620"/>
    <mergeCell ref="L620:M620"/>
    <mergeCell ref="N620:O620"/>
    <mergeCell ref="AD621:AE621"/>
    <mergeCell ref="AF621:AG621"/>
    <mergeCell ref="AH621:AI621"/>
    <mergeCell ref="AJ621:AK621"/>
    <mergeCell ref="AL621:BB621"/>
    <mergeCell ref="P621:Q621"/>
    <mergeCell ref="R621:S621"/>
    <mergeCell ref="T621:U621"/>
    <mergeCell ref="V621:W621"/>
    <mergeCell ref="X621:Y621"/>
    <mergeCell ref="Z621:AA621"/>
    <mergeCell ref="AB621:AC621"/>
    <mergeCell ref="B621:C621"/>
    <mergeCell ref="D621:E621"/>
    <mergeCell ref="F621:G621"/>
    <mergeCell ref="H621:I621"/>
    <mergeCell ref="J621:K621"/>
    <mergeCell ref="L621:M621"/>
    <mergeCell ref="N621:O621"/>
    <mergeCell ref="AH622:AI622"/>
    <mergeCell ref="AJ622:AK622"/>
    <mergeCell ref="AL622:BB622"/>
    <mergeCell ref="B622:C622"/>
    <mergeCell ref="D622:E622"/>
    <mergeCell ref="F622:G622"/>
    <mergeCell ref="H622:I622"/>
    <mergeCell ref="J622:K622"/>
    <mergeCell ref="L622:M622"/>
    <mergeCell ref="N622:O622"/>
    <mergeCell ref="P624:Q624"/>
    <mergeCell ref="R624:S624"/>
    <mergeCell ref="T624:U624"/>
    <mergeCell ref="V624:W624"/>
    <mergeCell ref="X624:Y624"/>
    <mergeCell ref="Z624:AA624"/>
    <mergeCell ref="AB624:AC624"/>
    <mergeCell ref="B624:C624"/>
    <mergeCell ref="D624:E624"/>
    <mergeCell ref="F624:G624"/>
    <mergeCell ref="H624:I624"/>
    <mergeCell ref="J624:K624"/>
    <mergeCell ref="L624:M624"/>
    <mergeCell ref="N624:O624"/>
    <mergeCell ref="AD622:AE622"/>
    <mergeCell ref="AF622:AG622"/>
    <mergeCell ref="P622:Q622"/>
    <mergeCell ref="R622:S622"/>
    <mergeCell ref="T622:U622"/>
    <mergeCell ref="V622:W622"/>
    <mergeCell ref="X622:Y622"/>
    <mergeCell ref="Z622:AA622"/>
    <mergeCell ref="AB622:AC622"/>
    <mergeCell ref="AD623:AE623"/>
    <mergeCell ref="AF623:AG623"/>
    <mergeCell ref="AH623:AI623"/>
    <mergeCell ref="AJ623:AK623"/>
    <mergeCell ref="AL623:BB623"/>
    <mergeCell ref="P623:Q623"/>
    <mergeCell ref="R623:S623"/>
    <mergeCell ref="T623:U623"/>
    <mergeCell ref="V623:W623"/>
    <mergeCell ref="X623:Y623"/>
    <mergeCell ref="Z623:AA623"/>
    <mergeCell ref="AB623:AC623"/>
    <mergeCell ref="B623:C623"/>
    <mergeCell ref="D623:E623"/>
    <mergeCell ref="F623:G623"/>
    <mergeCell ref="H623:I623"/>
    <mergeCell ref="J623:K623"/>
    <mergeCell ref="L623:M623"/>
    <mergeCell ref="N623:O623"/>
    <mergeCell ref="AD624:AE624"/>
    <mergeCell ref="AF624:AG624"/>
    <mergeCell ref="AH624:AI624"/>
    <mergeCell ref="AJ624:AK624"/>
    <mergeCell ref="AL624:BB624"/>
    <mergeCell ref="AH625:AI625"/>
    <mergeCell ref="AJ625:AK625"/>
    <mergeCell ref="AL625:BB625"/>
    <mergeCell ref="B625:C625"/>
    <mergeCell ref="D625:E625"/>
    <mergeCell ref="F625:G625"/>
    <mergeCell ref="H625:I625"/>
    <mergeCell ref="J625:K625"/>
    <mergeCell ref="L625:M625"/>
    <mergeCell ref="N625:O625"/>
    <mergeCell ref="P627:Q627"/>
    <mergeCell ref="R627:S627"/>
    <mergeCell ref="T627:U627"/>
    <mergeCell ref="V627:W627"/>
    <mergeCell ref="X627:Y627"/>
    <mergeCell ref="Z627:AA627"/>
    <mergeCell ref="AB627:AC627"/>
    <mergeCell ref="B627:C627"/>
    <mergeCell ref="D627:E627"/>
    <mergeCell ref="F627:G627"/>
    <mergeCell ref="H627:I627"/>
    <mergeCell ref="J627:K627"/>
    <mergeCell ref="L627:M627"/>
    <mergeCell ref="N627:O627"/>
    <mergeCell ref="P630:Q630"/>
    <mergeCell ref="R630:S630"/>
    <mergeCell ref="T630:U630"/>
    <mergeCell ref="V630:W630"/>
    <mergeCell ref="X630:Y630"/>
    <mergeCell ref="Z630:AA630"/>
    <mergeCell ref="AB630:AC630"/>
    <mergeCell ref="B630:C630"/>
    <mergeCell ref="D630:E630"/>
    <mergeCell ref="F630:G630"/>
    <mergeCell ref="H630:I630"/>
    <mergeCell ref="J630:K630"/>
    <mergeCell ref="L630:M630"/>
    <mergeCell ref="N630:O630"/>
    <mergeCell ref="X628:Y628"/>
    <mergeCell ref="Z628:AA628"/>
    <mergeCell ref="AB628:AC628"/>
    <mergeCell ref="AD629:AE629"/>
    <mergeCell ref="AF629:AG629"/>
    <mergeCell ref="AH629:AI629"/>
    <mergeCell ref="AJ629:AK629"/>
    <mergeCell ref="AL629:BB629"/>
    <mergeCell ref="P629:Q629"/>
    <mergeCell ref="R629:S629"/>
    <mergeCell ref="T629:U629"/>
    <mergeCell ref="V629:W629"/>
    <mergeCell ref="X629:Y629"/>
    <mergeCell ref="Z629:AA629"/>
    <mergeCell ref="AB629:AC629"/>
    <mergeCell ref="B629:C629"/>
    <mergeCell ref="D629:E629"/>
    <mergeCell ref="F629:G629"/>
    <mergeCell ref="H629:I629"/>
    <mergeCell ref="J629:K629"/>
    <mergeCell ref="L629:M629"/>
    <mergeCell ref="N629:O629"/>
    <mergeCell ref="AD630:AE630"/>
    <mergeCell ref="AF630:AG630"/>
    <mergeCell ref="AH630:AI630"/>
    <mergeCell ref="AJ630:AK630"/>
    <mergeCell ref="AD634:AE634"/>
    <mergeCell ref="AF634:AG634"/>
    <mergeCell ref="P634:Q634"/>
    <mergeCell ref="R634:S634"/>
    <mergeCell ref="T634:U634"/>
    <mergeCell ref="V634:W634"/>
    <mergeCell ref="X634:Y634"/>
    <mergeCell ref="Z634:AA634"/>
    <mergeCell ref="AB634:AC634"/>
    <mergeCell ref="AD635:AE635"/>
    <mergeCell ref="AF635:AG635"/>
    <mergeCell ref="AH635:AI635"/>
    <mergeCell ref="AJ635:AK635"/>
    <mergeCell ref="AL635:BB635"/>
    <mergeCell ref="P635:Q635"/>
    <mergeCell ref="R635:S635"/>
    <mergeCell ref="T635:U635"/>
    <mergeCell ref="V635:W635"/>
    <mergeCell ref="X635:Y635"/>
    <mergeCell ref="Z635:AA635"/>
    <mergeCell ref="AB635:AC635"/>
    <mergeCell ref="B635:C635"/>
    <mergeCell ref="D635:E635"/>
    <mergeCell ref="F635:G635"/>
    <mergeCell ref="H635:I635"/>
    <mergeCell ref="J635:K635"/>
    <mergeCell ref="L635:M635"/>
    <mergeCell ref="N635:O635"/>
    <mergeCell ref="AD636:AE636"/>
    <mergeCell ref="AF636:AG636"/>
    <mergeCell ref="AH636:AI636"/>
    <mergeCell ref="AJ636:AK636"/>
    <mergeCell ref="AL636:BB636"/>
    <mergeCell ref="AH634:AI634"/>
    <mergeCell ref="AJ634:AK634"/>
    <mergeCell ref="AL634:BB634"/>
    <mergeCell ref="B634:C634"/>
    <mergeCell ref="D634:E634"/>
    <mergeCell ref="F634:G634"/>
    <mergeCell ref="H634:I634"/>
    <mergeCell ref="J634:K634"/>
    <mergeCell ref="L634:M634"/>
    <mergeCell ref="N634:O634"/>
    <mergeCell ref="P636:Q636"/>
    <mergeCell ref="R636:S636"/>
    <mergeCell ref="T636:U636"/>
    <mergeCell ref="V636:W636"/>
    <mergeCell ref="X636:Y636"/>
    <mergeCell ref="Z636:AA636"/>
    <mergeCell ref="AB636:AC636"/>
    <mergeCell ref="B636:C636"/>
    <mergeCell ref="D636:E636"/>
    <mergeCell ref="F636:G636"/>
    <mergeCell ref="H636:I636"/>
    <mergeCell ref="J636:K636"/>
    <mergeCell ref="L636:M636"/>
    <mergeCell ref="N636:O636"/>
    <mergeCell ref="AH637:AI637"/>
    <mergeCell ref="AJ637:AK637"/>
    <mergeCell ref="AL637:BB637"/>
    <mergeCell ref="B637:C637"/>
    <mergeCell ref="D637:E637"/>
    <mergeCell ref="F637:G637"/>
    <mergeCell ref="H637:I637"/>
    <mergeCell ref="J637:K637"/>
    <mergeCell ref="L637:M637"/>
    <mergeCell ref="N637:O637"/>
    <mergeCell ref="AD637:AE637"/>
    <mergeCell ref="AF637:AG637"/>
    <mergeCell ref="P637:Q637"/>
    <mergeCell ref="R637:S637"/>
    <mergeCell ref="T637:U637"/>
    <mergeCell ref="V637:W637"/>
    <mergeCell ref="X637:Y637"/>
    <mergeCell ref="Z637:AA637"/>
    <mergeCell ref="AB637:AC637"/>
    <mergeCell ref="AD638:AE638"/>
    <mergeCell ref="AF638:AG638"/>
    <mergeCell ref="AH638:AI638"/>
    <mergeCell ref="AJ638:AK638"/>
    <mergeCell ref="AL638:BB638"/>
    <mergeCell ref="P638:Q638"/>
    <mergeCell ref="R638:S638"/>
    <mergeCell ref="T638:U638"/>
    <mergeCell ref="V638:W638"/>
    <mergeCell ref="X638:Y638"/>
    <mergeCell ref="Z638:AA638"/>
    <mergeCell ref="AB638:AC638"/>
    <mergeCell ref="B638:C638"/>
    <mergeCell ref="D638:E638"/>
    <mergeCell ref="F638:G638"/>
    <mergeCell ref="H638:I638"/>
    <mergeCell ref="J638:K638"/>
    <mergeCell ref="L638:M638"/>
    <mergeCell ref="N638:O638"/>
    <mergeCell ref="AD639:AE639"/>
    <mergeCell ref="AF639:AG639"/>
    <mergeCell ref="AH639:AI639"/>
    <mergeCell ref="AJ639:AK639"/>
    <mergeCell ref="AL639:BB639"/>
    <mergeCell ref="AH640:AI640"/>
    <mergeCell ref="AJ640:AK640"/>
    <mergeCell ref="AL640:BB640"/>
    <mergeCell ref="B640:C640"/>
    <mergeCell ref="D640:E640"/>
    <mergeCell ref="F640:G640"/>
    <mergeCell ref="H640:I640"/>
    <mergeCell ref="J640:K640"/>
    <mergeCell ref="L640:M640"/>
    <mergeCell ref="N640:O640"/>
    <mergeCell ref="AD625:AE625"/>
    <mergeCell ref="AF625:AG625"/>
    <mergeCell ref="P625:Q625"/>
    <mergeCell ref="R625:S625"/>
    <mergeCell ref="T625:U625"/>
    <mergeCell ref="V625:W625"/>
    <mergeCell ref="X625:Y625"/>
    <mergeCell ref="Z625:AA625"/>
    <mergeCell ref="AB625:AC625"/>
    <mergeCell ref="AD626:AE626"/>
    <mergeCell ref="AF626:AG626"/>
    <mergeCell ref="AH626:AI626"/>
    <mergeCell ref="AJ626:AK626"/>
    <mergeCell ref="AL626:BB626"/>
    <mergeCell ref="P626:Q626"/>
    <mergeCell ref="R626:S626"/>
    <mergeCell ref="T626:U626"/>
    <mergeCell ref="V626:W626"/>
    <mergeCell ref="X626:Y626"/>
    <mergeCell ref="Z626:AA626"/>
    <mergeCell ref="AB626:AC626"/>
    <mergeCell ref="B626:C626"/>
    <mergeCell ref="D626:E626"/>
    <mergeCell ref="F626:G626"/>
    <mergeCell ref="H626:I626"/>
    <mergeCell ref="J626:K626"/>
    <mergeCell ref="L626:M626"/>
    <mergeCell ref="N626:O626"/>
    <mergeCell ref="AD627:AE627"/>
    <mergeCell ref="AF627:AG627"/>
    <mergeCell ref="AH627:AI627"/>
    <mergeCell ref="AJ627:AK627"/>
    <mergeCell ref="AL627:BB627"/>
    <mergeCell ref="AH628:AI628"/>
    <mergeCell ref="AJ628:AK628"/>
    <mergeCell ref="AL628:BB628"/>
    <mergeCell ref="B628:C628"/>
    <mergeCell ref="D628:E628"/>
    <mergeCell ref="F628:G628"/>
    <mergeCell ref="H628:I628"/>
    <mergeCell ref="J628:K628"/>
    <mergeCell ref="L628:M628"/>
    <mergeCell ref="N628:O628"/>
    <mergeCell ref="AD628:AE628"/>
    <mergeCell ref="AF628:AG628"/>
    <mergeCell ref="P628:Q628"/>
    <mergeCell ref="R628:S628"/>
    <mergeCell ref="T628:U628"/>
    <mergeCell ref="V628:W628"/>
    <mergeCell ref="AL630:BB630"/>
    <mergeCell ref="AH631:AI631"/>
    <mergeCell ref="AJ631:AK631"/>
    <mergeCell ref="AL631:BB631"/>
    <mergeCell ref="B631:C631"/>
    <mergeCell ref="D631:E631"/>
    <mergeCell ref="F631:G631"/>
    <mergeCell ref="H631:I631"/>
    <mergeCell ref="J631:K631"/>
    <mergeCell ref="L631:M631"/>
    <mergeCell ref="N631:O631"/>
    <mergeCell ref="P633:Q633"/>
    <mergeCell ref="R633:S633"/>
    <mergeCell ref="T633:U633"/>
    <mergeCell ref="V633:W633"/>
    <mergeCell ref="X633:Y633"/>
    <mergeCell ref="Z633:AA633"/>
    <mergeCell ref="AB633:AC633"/>
    <mergeCell ref="B633:C633"/>
    <mergeCell ref="D633:E633"/>
    <mergeCell ref="F633:G633"/>
    <mergeCell ref="H633:I633"/>
    <mergeCell ref="J633:K633"/>
    <mergeCell ref="L633:M633"/>
    <mergeCell ref="N633:O633"/>
    <mergeCell ref="AD631:AE631"/>
    <mergeCell ref="AF631:AG631"/>
    <mergeCell ref="P631:Q631"/>
    <mergeCell ref="R631:S631"/>
    <mergeCell ref="T631:U631"/>
    <mergeCell ref="V631:W631"/>
    <mergeCell ref="X631:Y631"/>
    <mergeCell ref="Z631:AA631"/>
    <mergeCell ref="AB631:AC631"/>
    <mergeCell ref="AD632:AE632"/>
    <mergeCell ref="AF632:AG632"/>
    <mergeCell ref="AH632:AI632"/>
    <mergeCell ref="AJ632:AK632"/>
    <mergeCell ref="AL632:BB632"/>
    <mergeCell ref="P632:Q632"/>
    <mergeCell ref="R632:S632"/>
    <mergeCell ref="T632:U632"/>
    <mergeCell ref="V632:W632"/>
    <mergeCell ref="X632:Y632"/>
    <mergeCell ref="Z632:AA632"/>
    <mergeCell ref="AB632:AC632"/>
    <mergeCell ref="B632:C632"/>
    <mergeCell ref="D632:E632"/>
    <mergeCell ref="F632:G632"/>
    <mergeCell ref="H632:I632"/>
    <mergeCell ref="J632:K632"/>
    <mergeCell ref="L632:M632"/>
    <mergeCell ref="N632:O632"/>
    <mergeCell ref="AD633:AE633"/>
    <mergeCell ref="AF633:AG633"/>
    <mergeCell ref="AH633:AI633"/>
    <mergeCell ref="AJ633:AK633"/>
    <mergeCell ref="AL633:BB633"/>
    <mergeCell ref="P639:Q639"/>
    <mergeCell ref="R639:S639"/>
    <mergeCell ref="T639:U639"/>
    <mergeCell ref="V639:W639"/>
    <mergeCell ref="X639:Y639"/>
    <mergeCell ref="Z639:AA639"/>
    <mergeCell ref="AB639:AC639"/>
    <mergeCell ref="B639:C639"/>
    <mergeCell ref="D639:E639"/>
    <mergeCell ref="F639:G639"/>
    <mergeCell ref="H639:I639"/>
    <mergeCell ref="J639:K639"/>
    <mergeCell ref="L639:M639"/>
    <mergeCell ref="N639:O639"/>
    <mergeCell ref="AD661:AE661"/>
    <mergeCell ref="AF661:AG661"/>
    <mergeCell ref="AH661:AI661"/>
    <mergeCell ref="AJ661:AK661"/>
    <mergeCell ref="AL661:BB661"/>
    <mergeCell ref="P661:Q661"/>
    <mergeCell ref="R661:S661"/>
    <mergeCell ref="T661:U661"/>
    <mergeCell ref="V661:W661"/>
    <mergeCell ref="X661:Y661"/>
    <mergeCell ref="Z661:AA661"/>
    <mergeCell ref="AB661:AC661"/>
    <mergeCell ref="P642:Q642"/>
    <mergeCell ref="R642:S642"/>
    <mergeCell ref="T642:U642"/>
    <mergeCell ref="V642:W642"/>
    <mergeCell ref="X642:Y642"/>
    <mergeCell ref="Z642:AA642"/>
    <mergeCell ref="AB642:AC642"/>
    <mergeCell ref="B642:C642"/>
    <mergeCell ref="D642:E642"/>
    <mergeCell ref="F642:G642"/>
    <mergeCell ref="H642:I642"/>
    <mergeCell ref="J642:K642"/>
    <mergeCell ref="L642:M642"/>
    <mergeCell ref="N642:O642"/>
    <mergeCell ref="AD640:AE640"/>
    <mergeCell ref="AF640:AG640"/>
    <mergeCell ref="P640:Q640"/>
    <mergeCell ref="R640:S640"/>
    <mergeCell ref="T640:U640"/>
    <mergeCell ref="V640:W640"/>
    <mergeCell ref="X640:Y640"/>
    <mergeCell ref="Z640:AA640"/>
    <mergeCell ref="AB640:AC640"/>
    <mergeCell ref="AD641:AE641"/>
    <mergeCell ref="AF641:AG641"/>
    <mergeCell ref="AH641:AI641"/>
    <mergeCell ref="AJ641:AK641"/>
    <mergeCell ref="AL641:BB641"/>
    <mergeCell ref="P641:Q641"/>
    <mergeCell ref="R641:S641"/>
    <mergeCell ref="T641:U641"/>
    <mergeCell ref="V641:W641"/>
    <mergeCell ref="X641:Y641"/>
    <mergeCell ref="Z641:AA641"/>
    <mergeCell ref="AB641:AC641"/>
    <mergeCell ref="B641:C641"/>
    <mergeCell ref="D641:E641"/>
    <mergeCell ref="F641:G641"/>
    <mergeCell ref="H641:I641"/>
    <mergeCell ref="J641:K641"/>
    <mergeCell ref="L641:M641"/>
    <mergeCell ref="N641:O641"/>
    <mergeCell ref="AD642:AE642"/>
    <mergeCell ref="AF642:AG642"/>
    <mergeCell ref="AH642:AI642"/>
    <mergeCell ref="AJ642:AK642"/>
    <mergeCell ref="AL642:BB642"/>
    <mergeCell ref="AH643:AI643"/>
    <mergeCell ref="AJ643:AK643"/>
    <mergeCell ref="AL643:BB643"/>
    <mergeCell ref="B643:C643"/>
    <mergeCell ref="D643:E643"/>
    <mergeCell ref="F643:G643"/>
    <mergeCell ref="H643:I643"/>
    <mergeCell ref="J643:K643"/>
    <mergeCell ref="L643:M643"/>
    <mergeCell ref="N643:O643"/>
    <mergeCell ref="P645:Q645"/>
    <mergeCell ref="R645:S645"/>
    <mergeCell ref="T645:U645"/>
    <mergeCell ref="V645:W645"/>
    <mergeCell ref="X645:Y645"/>
    <mergeCell ref="Z645:AA645"/>
    <mergeCell ref="AB645:AC645"/>
    <mergeCell ref="B645:C645"/>
    <mergeCell ref="D645:E645"/>
    <mergeCell ref="F645:G645"/>
    <mergeCell ref="H645:I645"/>
    <mergeCell ref="J645:K645"/>
    <mergeCell ref="L645:M645"/>
    <mergeCell ref="N645:O645"/>
    <mergeCell ref="AD643:AE643"/>
    <mergeCell ref="AF643:AG643"/>
    <mergeCell ref="P643:Q643"/>
    <mergeCell ref="R643:S643"/>
    <mergeCell ref="T643:U643"/>
    <mergeCell ref="V643:W643"/>
    <mergeCell ref="X643:Y643"/>
    <mergeCell ref="Z643:AA643"/>
    <mergeCell ref="AB643:AC643"/>
    <mergeCell ref="AD644:AE644"/>
    <mergeCell ref="AF644:AG644"/>
    <mergeCell ref="AH644:AI644"/>
    <mergeCell ref="AJ644:AK644"/>
    <mergeCell ref="AL644:BB644"/>
    <mergeCell ref="P644:Q644"/>
    <mergeCell ref="R644:S644"/>
    <mergeCell ref="T644:U644"/>
    <mergeCell ref="V644:W644"/>
    <mergeCell ref="X644:Y644"/>
    <mergeCell ref="Z644:AA644"/>
    <mergeCell ref="AB644:AC644"/>
    <mergeCell ref="B644:C644"/>
    <mergeCell ref="D644:E644"/>
    <mergeCell ref="F644:G644"/>
    <mergeCell ref="H644:I644"/>
    <mergeCell ref="J644:K644"/>
    <mergeCell ref="L644:M644"/>
    <mergeCell ref="N644:O644"/>
    <mergeCell ref="AD645:AE645"/>
    <mergeCell ref="AF645:AG645"/>
    <mergeCell ref="AH645:AI645"/>
    <mergeCell ref="AJ645:AK645"/>
    <mergeCell ref="AL645:BB645"/>
    <mergeCell ref="AH646:AI646"/>
    <mergeCell ref="AJ646:AK646"/>
    <mergeCell ref="AL646:BB646"/>
    <mergeCell ref="B646:C646"/>
    <mergeCell ref="D646:E646"/>
    <mergeCell ref="F646:G646"/>
    <mergeCell ref="H646:I646"/>
    <mergeCell ref="J646:K646"/>
    <mergeCell ref="L646:M646"/>
    <mergeCell ref="N646:O646"/>
    <mergeCell ref="P648:Q648"/>
    <mergeCell ref="R648:S648"/>
    <mergeCell ref="T648:U648"/>
    <mergeCell ref="V648:W648"/>
    <mergeCell ref="X648:Y648"/>
    <mergeCell ref="Z648:AA648"/>
    <mergeCell ref="AB648:AC648"/>
    <mergeCell ref="B648:C648"/>
    <mergeCell ref="D648:E648"/>
    <mergeCell ref="F648:G648"/>
    <mergeCell ref="H648:I648"/>
    <mergeCell ref="J648:K648"/>
    <mergeCell ref="L648:M648"/>
    <mergeCell ref="N648:O648"/>
    <mergeCell ref="AD646:AE646"/>
    <mergeCell ref="AF646:AG646"/>
    <mergeCell ref="P646:Q646"/>
    <mergeCell ref="R646:S646"/>
    <mergeCell ref="T646:U646"/>
    <mergeCell ref="V646:W646"/>
    <mergeCell ref="X646:Y646"/>
    <mergeCell ref="Z646:AA646"/>
    <mergeCell ref="AB646:AC646"/>
    <mergeCell ref="AD647:AE647"/>
    <mergeCell ref="AF647:AG647"/>
    <mergeCell ref="AH647:AI647"/>
    <mergeCell ref="AJ647:AK647"/>
    <mergeCell ref="AL647:BB647"/>
    <mergeCell ref="P647:Q647"/>
    <mergeCell ref="R647:S647"/>
    <mergeCell ref="T647:U647"/>
    <mergeCell ref="V647:W647"/>
    <mergeCell ref="X647:Y647"/>
    <mergeCell ref="Z647:AA647"/>
    <mergeCell ref="AB647:AC647"/>
    <mergeCell ref="B647:C647"/>
    <mergeCell ref="D647:E647"/>
    <mergeCell ref="F647:G647"/>
    <mergeCell ref="H647:I647"/>
    <mergeCell ref="J647:K647"/>
    <mergeCell ref="L647:M647"/>
    <mergeCell ref="N647:O647"/>
    <mergeCell ref="AD648:AE648"/>
    <mergeCell ref="AF648:AG648"/>
    <mergeCell ref="AH648:AI648"/>
    <mergeCell ref="AJ648:AK648"/>
    <mergeCell ref="AL648:BB648"/>
    <mergeCell ref="AH649:AI649"/>
    <mergeCell ref="AJ649:AK649"/>
    <mergeCell ref="AL649:BB649"/>
    <mergeCell ref="B649:C649"/>
    <mergeCell ref="D649:E649"/>
    <mergeCell ref="F649:G649"/>
    <mergeCell ref="H649:I649"/>
    <mergeCell ref="J649:K649"/>
    <mergeCell ref="L649:M649"/>
    <mergeCell ref="N649:O649"/>
    <mergeCell ref="P651:Q651"/>
    <mergeCell ref="R651:S651"/>
    <mergeCell ref="T651:U651"/>
    <mergeCell ref="V651:W651"/>
    <mergeCell ref="X651:Y651"/>
    <mergeCell ref="Z651:AA651"/>
    <mergeCell ref="AB651:AC651"/>
    <mergeCell ref="B651:C651"/>
    <mergeCell ref="D651:E651"/>
    <mergeCell ref="F651:G651"/>
    <mergeCell ref="H651:I651"/>
    <mergeCell ref="J651:K651"/>
    <mergeCell ref="L651:M651"/>
    <mergeCell ref="N651:O651"/>
    <mergeCell ref="AD649:AE649"/>
    <mergeCell ref="AF649:AG649"/>
    <mergeCell ref="P649:Q649"/>
    <mergeCell ref="R649:S649"/>
    <mergeCell ref="T649:U649"/>
    <mergeCell ref="V649:W649"/>
    <mergeCell ref="X649:Y649"/>
    <mergeCell ref="Z649:AA649"/>
    <mergeCell ref="AB649:AC649"/>
    <mergeCell ref="AD650:AE650"/>
    <mergeCell ref="AF650:AG650"/>
    <mergeCell ref="AH650:AI650"/>
    <mergeCell ref="AJ650:AK650"/>
    <mergeCell ref="AL650:BB650"/>
    <mergeCell ref="P650:Q650"/>
    <mergeCell ref="R650:S650"/>
    <mergeCell ref="T650:U650"/>
    <mergeCell ref="V650:W650"/>
    <mergeCell ref="X650:Y650"/>
    <mergeCell ref="Z650:AA650"/>
    <mergeCell ref="AB650:AC650"/>
    <mergeCell ref="B650:C650"/>
    <mergeCell ref="D650:E650"/>
    <mergeCell ref="F650:G650"/>
    <mergeCell ref="H650:I650"/>
    <mergeCell ref="J650:K650"/>
    <mergeCell ref="L650:M650"/>
    <mergeCell ref="N650:O650"/>
    <mergeCell ref="AD651:AE651"/>
    <mergeCell ref="AF651:AG651"/>
    <mergeCell ref="AH651:AI651"/>
    <mergeCell ref="AJ651:AK651"/>
    <mergeCell ref="AL651:BB651"/>
    <mergeCell ref="AH652:AI652"/>
    <mergeCell ref="AJ652:AK652"/>
    <mergeCell ref="AL652:BB652"/>
    <mergeCell ref="B652:C652"/>
    <mergeCell ref="D652:E652"/>
    <mergeCell ref="F652:G652"/>
    <mergeCell ref="H652:I652"/>
    <mergeCell ref="J652:K652"/>
    <mergeCell ref="L652:M652"/>
    <mergeCell ref="N652:O652"/>
    <mergeCell ref="P654:Q654"/>
    <mergeCell ref="R654:S654"/>
    <mergeCell ref="T654:U654"/>
    <mergeCell ref="V654:W654"/>
    <mergeCell ref="X654:Y654"/>
    <mergeCell ref="Z654:AA654"/>
    <mergeCell ref="AB654:AC654"/>
    <mergeCell ref="B654:C654"/>
    <mergeCell ref="D654:E654"/>
    <mergeCell ref="F654:G654"/>
    <mergeCell ref="H654:I654"/>
    <mergeCell ref="J654:K654"/>
    <mergeCell ref="L654:M654"/>
    <mergeCell ref="N654:O654"/>
    <mergeCell ref="AD652:AE652"/>
    <mergeCell ref="AF652:AG652"/>
    <mergeCell ref="P652:Q652"/>
    <mergeCell ref="R652:S652"/>
    <mergeCell ref="T652:U652"/>
    <mergeCell ref="V652:W652"/>
    <mergeCell ref="X652:Y652"/>
    <mergeCell ref="Z652:AA652"/>
    <mergeCell ref="AB652:AC652"/>
    <mergeCell ref="AD653:AE653"/>
    <mergeCell ref="AF653:AG653"/>
    <mergeCell ref="AH653:AI653"/>
    <mergeCell ref="AJ653:AK653"/>
    <mergeCell ref="AL653:BB653"/>
    <mergeCell ref="P653:Q653"/>
    <mergeCell ref="R653:S653"/>
    <mergeCell ref="T653:U653"/>
    <mergeCell ref="V653:W653"/>
    <mergeCell ref="X653:Y653"/>
    <mergeCell ref="Z653:AA653"/>
    <mergeCell ref="AB653:AC653"/>
    <mergeCell ref="B653:C653"/>
    <mergeCell ref="D653:E653"/>
    <mergeCell ref="F653:G653"/>
    <mergeCell ref="H653:I653"/>
    <mergeCell ref="J653:K653"/>
    <mergeCell ref="L653:M653"/>
    <mergeCell ref="N653:O653"/>
    <mergeCell ref="AD654:AE654"/>
    <mergeCell ref="AF654:AG654"/>
    <mergeCell ref="AH654:AI654"/>
    <mergeCell ref="AJ654:AK654"/>
    <mergeCell ref="AL654:BB654"/>
    <mergeCell ref="AH655:AI655"/>
    <mergeCell ref="AJ655:AK655"/>
    <mergeCell ref="AL655:BB655"/>
    <mergeCell ref="B655:C655"/>
    <mergeCell ref="D655:E655"/>
    <mergeCell ref="F655:G655"/>
    <mergeCell ref="H655:I655"/>
    <mergeCell ref="J655:K655"/>
    <mergeCell ref="L655:M655"/>
    <mergeCell ref="N655:O655"/>
    <mergeCell ref="P657:Q657"/>
    <mergeCell ref="R657:S657"/>
    <mergeCell ref="T657:U657"/>
    <mergeCell ref="V657:W657"/>
    <mergeCell ref="X657:Y657"/>
    <mergeCell ref="Z657:AA657"/>
    <mergeCell ref="AB657:AC657"/>
    <mergeCell ref="B657:C657"/>
    <mergeCell ref="D657:E657"/>
    <mergeCell ref="F657:G657"/>
    <mergeCell ref="H657:I657"/>
    <mergeCell ref="J657:K657"/>
    <mergeCell ref="L657:M657"/>
    <mergeCell ref="N657:O657"/>
    <mergeCell ref="AD655:AE655"/>
    <mergeCell ref="AF655:AG655"/>
    <mergeCell ref="P655:Q655"/>
    <mergeCell ref="R655:S655"/>
    <mergeCell ref="T655:U655"/>
    <mergeCell ref="V655:W655"/>
    <mergeCell ref="X655:Y655"/>
    <mergeCell ref="Z655:AA655"/>
    <mergeCell ref="AB655:AC655"/>
    <mergeCell ref="AD656:AE656"/>
    <mergeCell ref="AF656:AG656"/>
    <mergeCell ref="AH656:AI656"/>
    <mergeCell ref="AJ656:AK656"/>
    <mergeCell ref="AL656:BB656"/>
    <mergeCell ref="P656:Q656"/>
    <mergeCell ref="R656:S656"/>
    <mergeCell ref="T656:U656"/>
    <mergeCell ref="V656:W656"/>
    <mergeCell ref="X656:Y656"/>
    <mergeCell ref="Z656:AA656"/>
    <mergeCell ref="AB656:AC656"/>
    <mergeCell ref="B656:C656"/>
    <mergeCell ref="D656:E656"/>
    <mergeCell ref="F656:G656"/>
    <mergeCell ref="H656:I656"/>
    <mergeCell ref="J656:K656"/>
    <mergeCell ref="L656:M656"/>
    <mergeCell ref="N656:O656"/>
    <mergeCell ref="AD657:AE657"/>
    <mergeCell ref="AF657:AG657"/>
    <mergeCell ref="AH657:AI657"/>
    <mergeCell ref="AJ657:AK657"/>
    <mergeCell ref="AL657:BB657"/>
    <mergeCell ref="AH658:AI658"/>
    <mergeCell ref="AJ658:AK658"/>
    <mergeCell ref="AL658:BB658"/>
    <mergeCell ref="B658:C658"/>
    <mergeCell ref="D658:E658"/>
    <mergeCell ref="F658:G658"/>
    <mergeCell ref="H658:I658"/>
    <mergeCell ref="J658:K658"/>
    <mergeCell ref="L658:M658"/>
    <mergeCell ref="N658:O658"/>
    <mergeCell ref="P660:Q660"/>
    <mergeCell ref="R660:S660"/>
    <mergeCell ref="T660:U660"/>
    <mergeCell ref="V660:W660"/>
    <mergeCell ref="X660:Y660"/>
    <mergeCell ref="Z660:AA660"/>
    <mergeCell ref="AB660:AC660"/>
    <mergeCell ref="B660:C660"/>
    <mergeCell ref="D660:E660"/>
    <mergeCell ref="F660:G660"/>
    <mergeCell ref="H660:I660"/>
    <mergeCell ref="J660:K660"/>
    <mergeCell ref="L660:M660"/>
    <mergeCell ref="N660:O660"/>
    <mergeCell ref="AD658:AE658"/>
    <mergeCell ref="AF658:AG658"/>
    <mergeCell ref="P658:Q658"/>
    <mergeCell ref="R658:S658"/>
    <mergeCell ref="T658:U658"/>
    <mergeCell ref="V658:W658"/>
    <mergeCell ref="X658:Y658"/>
    <mergeCell ref="Z658:AA658"/>
    <mergeCell ref="AB658:AC658"/>
    <mergeCell ref="AD659:AE659"/>
    <mergeCell ref="AF659:AG659"/>
    <mergeCell ref="AH659:AI659"/>
    <mergeCell ref="AJ659:AK659"/>
    <mergeCell ref="AL659:BB659"/>
    <mergeCell ref="P659:Q659"/>
    <mergeCell ref="R659:S659"/>
    <mergeCell ref="T659:U659"/>
    <mergeCell ref="V659:W659"/>
    <mergeCell ref="X659:Y659"/>
    <mergeCell ref="Z659:AA659"/>
    <mergeCell ref="AB659:AC659"/>
    <mergeCell ref="B659:C659"/>
    <mergeCell ref="D659:E659"/>
    <mergeCell ref="F659:G659"/>
    <mergeCell ref="H659:I659"/>
    <mergeCell ref="J659:K659"/>
    <mergeCell ref="L659:M659"/>
    <mergeCell ref="N659:O659"/>
    <mergeCell ref="AD660:AE660"/>
    <mergeCell ref="AF660:AG660"/>
    <mergeCell ref="AH660:AI660"/>
    <mergeCell ref="AJ660:AK660"/>
    <mergeCell ref="AL660:BB660"/>
    <mergeCell ref="B661:C661"/>
    <mergeCell ref="D661:E661"/>
    <mergeCell ref="F661:G661"/>
    <mergeCell ref="H661:I661"/>
    <mergeCell ref="J661:K661"/>
    <mergeCell ref="L661:M661"/>
    <mergeCell ref="N661:O661"/>
    <mergeCell ref="AD662:AE662"/>
    <mergeCell ref="AF662:AG662"/>
    <mergeCell ref="AH662:AI662"/>
    <mergeCell ref="AJ662:AK662"/>
    <mergeCell ref="AL662:BB662"/>
    <mergeCell ref="P662:Q662"/>
    <mergeCell ref="R662:S662"/>
    <mergeCell ref="T662:U662"/>
    <mergeCell ref="V662:W662"/>
    <mergeCell ref="X662:Y662"/>
    <mergeCell ref="Z662:AA662"/>
    <mergeCell ref="AB662:AC662"/>
    <mergeCell ref="B662:C662"/>
    <mergeCell ref="D662:E662"/>
    <mergeCell ref="F662:G662"/>
    <mergeCell ref="H662:I662"/>
    <mergeCell ref="J662:K662"/>
    <mergeCell ref="L662:M662"/>
    <mergeCell ref="N662:O662"/>
    <mergeCell ref="AD663:AE663"/>
    <mergeCell ref="AF663:AG663"/>
    <mergeCell ref="AH663:AI663"/>
    <mergeCell ref="AJ663:AK663"/>
    <mergeCell ref="AL663:BB663"/>
    <mergeCell ref="P663:Q663"/>
    <mergeCell ref="R663:S663"/>
    <mergeCell ref="T663:U663"/>
    <mergeCell ref="V663:W663"/>
    <mergeCell ref="X663:Y663"/>
    <mergeCell ref="Z663:AA663"/>
    <mergeCell ref="AB663:AC663"/>
    <mergeCell ref="B663:C663"/>
    <mergeCell ref="D663:E663"/>
    <mergeCell ref="F663:G663"/>
    <mergeCell ref="H663:I663"/>
    <mergeCell ref="J663:K663"/>
    <mergeCell ref="L663:M663"/>
    <mergeCell ref="N663:O663"/>
    <mergeCell ref="AH664:AI664"/>
    <mergeCell ref="AJ664:AK664"/>
    <mergeCell ref="AL664:BB664"/>
    <mergeCell ref="B664:C664"/>
    <mergeCell ref="D664:E664"/>
    <mergeCell ref="F664:G664"/>
    <mergeCell ref="H664:I664"/>
    <mergeCell ref="J664:K664"/>
    <mergeCell ref="L664:M664"/>
    <mergeCell ref="N664:O664"/>
    <mergeCell ref="P666:Q666"/>
    <mergeCell ref="R666:S666"/>
    <mergeCell ref="T666:U666"/>
    <mergeCell ref="V666:W666"/>
    <mergeCell ref="X666:Y666"/>
    <mergeCell ref="Z666:AA666"/>
    <mergeCell ref="AB666:AC666"/>
    <mergeCell ref="B666:C666"/>
    <mergeCell ref="D666:E666"/>
    <mergeCell ref="F666:G666"/>
    <mergeCell ref="H666:I666"/>
    <mergeCell ref="J666:K666"/>
    <mergeCell ref="L666:M666"/>
    <mergeCell ref="N666:O666"/>
    <mergeCell ref="AD664:AE664"/>
    <mergeCell ref="AF664:AG664"/>
    <mergeCell ref="P664:Q664"/>
    <mergeCell ref="R664:S664"/>
    <mergeCell ref="T664:U664"/>
    <mergeCell ref="V664:W664"/>
    <mergeCell ref="X664:Y664"/>
    <mergeCell ref="Z664:AA664"/>
    <mergeCell ref="AB664:AC664"/>
    <mergeCell ref="AD665:AE665"/>
    <mergeCell ref="AF665:AG665"/>
    <mergeCell ref="AH665:AI665"/>
    <mergeCell ref="AJ665:AK665"/>
    <mergeCell ref="AL665:BB665"/>
    <mergeCell ref="P665:Q665"/>
    <mergeCell ref="R665:S665"/>
    <mergeCell ref="T665:U665"/>
    <mergeCell ref="V665:W665"/>
    <mergeCell ref="X665:Y665"/>
    <mergeCell ref="Z665:AA665"/>
    <mergeCell ref="AB665:AC665"/>
    <mergeCell ref="B665:C665"/>
    <mergeCell ref="D665:E665"/>
    <mergeCell ref="F665:G665"/>
    <mergeCell ref="H665:I665"/>
    <mergeCell ref="J665:K665"/>
    <mergeCell ref="L665:M665"/>
    <mergeCell ref="N665:O665"/>
    <mergeCell ref="AD666:AE666"/>
    <mergeCell ref="AF666:AG666"/>
    <mergeCell ref="AH666:AI666"/>
    <mergeCell ref="AJ666:AK666"/>
    <mergeCell ref="AL666:BB666"/>
    <mergeCell ref="AH667:AI667"/>
    <mergeCell ref="AJ667:AK667"/>
    <mergeCell ref="AL667:BB667"/>
    <mergeCell ref="B667:C667"/>
    <mergeCell ref="D667:E667"/>
    <mergeCell ref="F667:G667"/>
    <mergeCell ref="H667:I667"/>
    <mergeCell ref="J667:K667"/>
    <mergeCell ref="L667:M667"/>
    <mergeCell ref="N667:O667"/>
    <mergeCell ref="P669:Q669"/>
    <mergeCell ref="R669:S669"/>
    <mergeCell ref="T669:U669"/>
    <mergeCell ref="V669:W669"/>
    <mergeCell ref="X669:Y669"/>
    <mergeCell ref="Z669:AA669"/>
    <mergeCell ref="AB669:AC669"/>
    <mergeCell ref="B669:C669"/>
    <mergeCell ref="D669:E669"/>
    <mergeCell ref="F669:G669"/>
    <mergeCell ref="H669:I669"/>
    <mergeCell ref="J669:K669"/>
    <mergeCell ref="L669:M669"/>
    <mergeCell ref="N669:O669"/>
    <mergeCell ref="P672:Q672"/>
    <mergeCell ref="R672:S672"/>
    <mergeCell ref="T672:U672"/>
    <mergeCell ref="V672:W672"/>
    <mergeCell ref="X672:Y672"/>
    <mergeCell ref="Z672:AA672"/>
    <mergeCell ref="AB672:AC672"/>
    <mergeCell ref="B672:C672"/>
    <mergeCell ref="D672:E672"/>
    <mergeCell ref="F672:G672"/>
    <mergeCell ref="H672:I672"/>
    <mergeCell ref="J672:K672"/>
    <mergeCell ref="L672:M672"/>
    <mergeCell ref="N672:O672"/>
    <mergeCell ref="X670:Y670"/>
    <mergeCell ref="Z670:AA670"/>
    <mergeCell ref="AB670:AC670"/>
    <mergeCell ref="AD671:AE671"/>
    <mergeCell ref="AF671:AG671"/>
    <mergeCell ref="AH671:AI671"/>
    <mergeCell ref="AJ671:AK671"/>
    <mergeCell ref="AL671:BB671"/>
    <mergeCell ref="P671:Q671"/>
    <mergeCell ref="R671:S671"/>
    <mergeCell ref="T671:U671"/>
    <mergeCell ref="V671:W671"/>
    <mergeCell ref="X671:Y671"/>
    <mergeCell ref="Z671:AA671"/>
    <mergeCell ref="AB671:AC671"/>
    <mergeCell ref="B671:C671"/>
    <mergeCell ref="D671:E671"/>
    <mergeCell ref="F671:G671"/>
    <mergeCell ref="H671:I671"/>
    <mergeCell ref="J671:K671"/>
    <mergeCell ref="L671:M671"/>
    <mergeCell ref="N671:O671"/>
    <mergeCell ref="AD672:AE672"/>
    <mergeCell ref="AF672:AG672"/>
    <mergeCell ref="AH672:AI672"/>
    <mergeCell ref="AJ672:AK672"/>
    <mergeCell ref="AD676:AE676"/>
    <mergeCell ref="AF676:AG676"/>
    <mergeCell ref="P676:Q676"/>
    <mergeCell ref="R676:S676"/>
    <mergeCell ref="T676:U676"/>
    <mergeCell ref="V676:W676"/>
    <mergeCell ref="X676:Y676"/>
    <mergeCell ref="Z676:AA676"/>
    <mergeCell ref="AB676:AC676"/>
    <mergeCell ref="AD677:AE677"/>
    <mergeCell ref="AF677:AG677"/>
    <mergeCell ref="AH677:AI677"/>
    <mergeCell ref="AJ677:AK677"/>
    <mergeCell ref="AL677:BB677"/>
    <mergeCell ref="P677:Q677"/>
    <mergeCell ref="R677:S677"/>
    <mergeCell ref="T677:U677"/>
    <mergeCell ref="V677:W677"/>
    <mergeCell ref="X677:Y677"/>
    <mergeCell ref="Z677:AA677"/>
    <mergeCell ref="AB677:AC677"/>
    <mergeCell ref="B677:C677"/>
    <mergeCell ref="D677:E677"/>
    <mergeCell ref="F677:G677"/>
    <mergeCell ref="H677:I677"/>
    <mergeCell ref="J677:K677"/>
    <mergeCell ref="L677:M677"/>
    <mergeCell ref="N677:O677"/>
    <mergeCell ref="AD678:AE678"/>
    <mergeCell ref="AF678:AG678"/>
    <mergeCell ref="AH678:AI678"/>
    <mergeCell ref="AJ678:AK678"/>
    <mergeCell ref="AL678:BB678"/>
    <mergeCell ref="AH676:AI676"/>
    <mergeCell ref="AJ676:AK676"/>
    <mergeCell ref="AL676:BB676"/>
    <mergeCell ref="B676:C676"/>
    <mergeCell ref="D676:E676"/>
    <mergeCell ref="F676:G676"/>
    <mergeCell ref="H676:I676"/>
    <mergeCell ref="J676:K676"/>
    <mergeCell ref="L676:M676"/>
    <mergeCell ref="N676:O676"/>
    <mergeCell ref="P678:Q678"/>
    <mergeCell ref="R678:S678"/>
    <mergeCell ref="T678:U678"/>
    <mergeCell ref="V678:W678"/>
    <mergeCell ref="X678:Y678"/>
    <mergeCell ref="Z678:AA678"/>
    <mergeCell ref="AB678:AC678"/>
    <mergeCell ref="B678:C678"/>
    <mergeCell ref="D678:E678"/>
    <mergeCell ref="F678:G678"/>
    <mergeCell ref="H678:I678"/>
    <mergeCell ref="J678:K678"/>
    <mergeCell ref="L678:M678"/>
    <mergeCell ref="N678:O678"/>
    <mergeCell ref="AH679:AI679"/>
    <mergeCell ref="AJ679:AK679"/>
    <mergeCell ref="AL679:BB679"/>
    <mergeCell ref="B679:C679"/>
    <mergeCell ref="D679:E679"/>
    <mergeCell ref="F679:G679"/>
    <mergeCell ref="H679:I679"/>
    <mergeCell ref="J679:K679"/>
    <mergeCell ref="L679:M679"/>
    <mergeCell ref="N679:O679"/>
    <mergeCell ref="AD679:AE679"/>
    <mergeCell ref="AF679:AG679"/>
    <mergeCell ref="P679:Q679"/>
    <mergeCell ref="R679:S679"/>
    <mergeCell ref="T679:U679"/>
    <mergeCell ref="V679:W679"/>
    <mergeCell ref="X679:Y679"/>
    <mergeCell ref="Z679:AA679"/>
    <mergeCell ref="AB679:AC679"/>
    <mergeCell ref="AD680:AE680"/>
    <mergeCell ref="AF680:AG680"/>
    <mergeCell ref="AH680:AI680"/>
    <mergeCell ref="AJ680:AK680"/>
    <mergeCell ref="AL680:BB680"/>
    <mergeCell ref="P680:Q680"/>
    <mergeCell ref="R680:S680"/>
    <mergeCell ref="T680:U680"/>
    <mergeCell ref="V680:W680"/>
    <mergeCell ref="X680:Y680"/>
    <mergeCell ref="Z680:AA680"/>
    <mergeCell ref="AB680:AC680"/>
    <mergeCell ref="B680:C680"/>
    <mergeCell ref="D680:E680"/>
    <mergeCell ref="F680:G680"/>
    <mergeCell ref="H680:I680"/>
    <mergeCell ref="J680:K680"/>
    <mergeCell ref="L680:M680"/>
    <mergeCell ref="N680:O680"/>
    <mergeCell ref="AD681:AE681"/>
    <mergeCell ref="AF681:AG681"/>
    <mergeCell ref="AH681:AI681"/>
    <mergeCell ref="AJ681:AK681"/>
    <mergeCell ref="AL681:BB681"/>
    <mergeCell ref="AH682:AI682"/>
    <mergeCell ref="AJ682:AK682"/>
    <mergeCell ref="AL682:BB682"/>
    <mergeCell ref="B682:C682"/>
    <mergeCell ref="D682:E682"/>
    <mergeCell ref="F682:G682"/>
    <mergeCell ref="H682:I682"/>
    <mergeCell ref="J682:K682"/>
    <mergeCell ref="L682:M682"/>
    <mergeCell ref="N682:O682"/>
    <mergeCell ref="AD667:AE667"/>
    <mergeCell ref="AF667:AG667"/>
    <mergeCell ref="P667:Q667"/>
    <mergeCell ref="R667:S667"/>
    <mergeCell ref="T667:U667"/>
    <mergeCell ref="V667:W667"/>
    <mergeCell ref="X667:Y667"/>
    <mergeCell ref="Z667:AA667"/>
    <mergeCell ref="AB667:AC667"/>
    <mergeCell ref="AD668:AE668"/>
    <mergeCell ref="AF668:AG668"/>
    <mergeCell ref="AH668:AI668"/>
    <mergeCell ref="AJ668:AK668"/>
    <mergeCell ref="AL668:BB668"/>
    <mergeCell ref="P668:Q668"/>
    <mergeCell ref="R668:S668"/>
    <mergeCell ref="T668:U668"/>
    <mergeCell ref="V668:W668"/>
    <mergeCell ref="X668:Y668"/>
    <mergeCell ref="Z668:AA668"/>
    <mergeCell ref="AB668:AC668"/>
    <mergeCell ref="B668:C668"/>
    <mergeCell ref="D668:E668"/>
    <mergeCell ref="F668:G668"/>
    <mergeCell ref="H668:I668"/>
    <mergeCell ref="J668:K668"/>
    <mergeCell ref="L668:M668"/>
    <mergeCell ref="N668:O668"/>
    <mergeCell ref="AD669:AE669"/>
    <mergeCell ref="AF669:AG669"/>
    <mergeCell ref="AH669:AI669"/>
    <mergeCell ref="AJ669:AK669"/>
    <mergeCell ref="AL669:BB669"/>
    <mergeCell ref="AH670:AI670"/>
    <mergeCell ref="AJ670:AK670"/>
    <mergeCell ref="AL670:BB670"/>
    <mergeCell ref="B670:C670"/>
    <mergeCell ref="D670:E670"/>
    <mergeCell ref="F670:G670"/>
    <mergeCell ref="H670:I670"/>
    <mergeCell ref="J670:K670"/>
    <mergeCell ref="L670:M670"/>
    <mergeCell ref="N670:O670"/>
    <mergeCell ref="AD670:AE670"/>
    <mergeCell ref="AF670:AG670"/>
    <mergeCell ref="P670:Q670"/>
    <mergeCell ref="R670:S670"/>
    <mergeCell ref="T670:U670"/>
    <mergeCell ref="V670:W670"/>
    <mergeCell ref="AL672:BB672"/>
    <mergeCell ref="AH673:AI673"/>
    <mergeCell ref="AJ673:AK673"/>
    <mergeCell ref="AL673:BB673"/>
    <mergeCell ref="B673:C673"/>
    <mergeCell ref="D673:E673"/>
    <mergeCell ref="F673:G673"/>
    <mergeCell ref="H673:I673"/>
    <mergeCell ref="J673:K673"/>
    <mergeCell ref="L673:M673"/>
    <mergeCell ref="N673:O673"/>
    <mergeCell ref="P675:Q675"/>
    <mergeCell ref="R675:S675"/>
    <mergeCell ref="T675:U675"/>
    <mergeCell ref="V675:W675"/>
    <mergeCell ref="X675:Y675"/>
    <mergeCell ref="Z675:AA675"/>
    <mergeCell ref="AB675:AC675"/>
    <mergeCell ref="B675:C675"/>
    <mergeCell ref="D675:E675"/>
    <mergeCell ref="F675:G675"/>
    <mergeCell ref="H675:I675"/>
    <mergeCell ref="J675:K675"/>
    <mergeCell ref="L675:M675"/>
    <mergeCell ref="N675:O675"/>
    <mergeCell ref="AD673:AE673"/>
    <mergeCell ref="AF673:AG673"/>
    <mergeCell ref="P673:Q673"/>
    <mergeCell ref="R673:S673"/>
    <mergeCell ref="T673:U673"/>
    <mergeCell ref="V673:W673"/>
    <mergeCell ref="X673:Y673"/>
    <mergeCell ref="Z673:AA673"/>
    <mergeCell ref="AB673:AC673"/>
    <mergeCell ref="AD674:AE674"/>
    <mergeCell ref="AF674:AG674"/>
    <mergeCell ref="AH674:AI674"/>
    <mergeCell ref="AJ674:AK674"/>
    <mergeCell ref="AL674:BB674"/>
    <mergeCell ref="P674:Q674"/>
    <mergeCell ref="R674:S674"/>
    <mergeCell ref="T674:U674"/>
    <mergeCell ref="V674:W674"/>
    <mergeCell ref="X674:Y674"/>
    <mergeCell ref="Z674:AA674"/>
    <mergeCell ref="AB674:AC674"/>
    <mergeCell ref="B674:C674"/>
    <mergeCell ref="D674:E674"/>
    <mergeCell ref="F674:G674"/>
    <mergeCell ref="H674:I674"/>
    <mergeCell ref="J674:K674"/>
    <mergeCell ref="L674:M674"/>
    <mergeCell ref="N674:O674"/>
    <mergeCell ref="AD675:AE675"/>
    <mergeCell ref="AF675:AG675"/>
    <mergeCell ref="AH675:AI675"/>
    <mergeCell ref="AJ675:AK675"/>
    <mergeCell ref="AL675:BB675"/>
    <mergeCell ref="P681:Q681"/>
    <mergeCell ref="R681:S681"/>
    <mergeCell ref="T681:U681"/>
    <mergeCell ref="V681:W681"/>
    <mergeCell ref="X681:Y681"/>
    <mergeCell ref="Z681:AA681"/>
    <mergeCell ref="AB681:AC681"/>
    <mergeCell ref="B681:C681"/>
    <mergeCell ref="D681:E681"/>
    <mergeCell ref="F681:G681"/>
    <mergeCell ref="H681:I681"/>
    <mergeCell ref="J681:K681"/>
    <mergeCell ref="L681:M681"/>
    <mergeCell ref="N681:O681"/>
    <mergeCell ref="AD703:AE703"/>
    <mergeCell ref="AF703:AG703"/>
    <mergeCell ref="AH703:AI703"/>
    <mergeCell ref="AJ703:AK703"/>
    <mergeCell ref="AL703:BB703"/>
    <mergeCell ref="P703:Q703"/>
    <mergeCell ref="R703:S703"/>
    <mergeCell ref="T703:U703"/>
    <mergeCell ref="V703:W703"/>
    <mergeCell ref="X703:Y703"/>
    <mergeCell ref="Z703:AA703"/>
    <mergeCell ref="AB703:AC703"/>
    <mergeCell ref="P684:Q684"/>
    <mergeCell ref="R684:S684"/>
    <mergeCell ref="T684:U684"/>
    <mergeCell ref="V684:W684"/>
    <mergeCell ref="X684:Y684"/>
    <mergeCell ref="Z684:AA684"/>
    <mergeCell ref="AB684:AC684"/>
    <mergeCell ref="B684:C684"/>
    <mergeCell ref="D684:E684"/>
    <mergeCell ref="F684:G684"/>
    <mergeCell ref="H684:I684"/>
    <mergeCell ref="J684:K684"/>
    <mergeCell ref="L684:M684"/>
    <mergeCell ref="N684:O684"/>
    <mergeCell ref="AD682:AE682"/>
    <mergeCell ref="AF682:AG682"/>
    <mergeCell ref="P682:Q682"/>
    <mergeCell ref="R682:S682"/>
    <mergeCell ref="T682:U682"/>
    <mergeCell ref="V682:W682"/>
    <mergeCell ref="X682:Y682"/>
    <mergeCell ref="Z682:AA682"/>
    <mergeCell ref="AB682:AC682"/>
    <mergeCell ref="AD683:AE683"/>
    <mergeCell ref="AF683:AG683"/>
    <mergeCell ref="AH683:AI683"/>
    <mergeCell ref="AJ683:AK683"/>
    <mergeCell ref="AL683:BB683"/>
    <mergeCell ref="P683:Q683"/>
    <mergeCell ref="R683:S683"/>
    <mergeCell ref="T683:U683"/>
    <mergeCell ref="V683:W683"/>
    <mergeCell ref="X683:Y683"/>
    <mergeCell ref="Z683:AA683"/>
    <mergeCell ref="AB683:AC683"/>
    <mergeCell ref="B683:C683"/>
    <mergeCell ref="D683:E683"/>
    <mergeCell ref="F683:G683"/>
    <mergeCell ref="H683:I683"/>
    <mergeCell ref="J683:K683"/>
    <mergeCell ref="L683:M683"/>
    <mergeCell ref="N683:O683"/>
    <mergeCell ref="AD684:AE684"/>
    <mergeCell ref="AF684:AG684"/>
    <mergeCell ref="AH684:AI684"/>
    <mergeCell ref="AJ684:AK684"/>
    <mergeCell ref="AL684:BB684"/>
    <mergeCell ref="AH685:AI685"/>
    <mergeCell ref="AJ685:AK685"/>
    <mergeCell ref="AL685:BB685"/>
    <mergeCell ref="B685:C685"/>
    <mergeCell ref="D685:E685"/>
    <mergeCell ref="F685:G685"/>
    <mergeCell ref="H685:I685"/>
    <mergeCell ref="J685:K685"/>
    <mergeCell ref="L685:M685"/>
    <mergeCell ref="N685:O685"/>
    <mergeCell ref="P687:Q687"/>
    <mergeCell ref="R687:S687"/>
    <mergeCell ref="T687:U687"/>
    <mergeCell ref="V687:W687"/>
    <mergeCell ref="X687:Y687"/>
    <mergeCell ref="Z687:AA687"/>
    <mergeCell ref="AB687:AC687"/>
    <mergeCell ref="B687:C687"/>
    <mergeCell ref="D687:E687"/>
    <mergeCell ref="F687:G687"/>
    <mergeCell ref="H687:I687"/>
    <mergeCell ref="J687:K687"/>
    <mergeCell ref="L687:M687"/>
    <mergeCell ref="N687:O687"/>
    <mergeCell ref="AD685:AE685"/>
    <mergeCell ref="AF685:AG685"/>
    <mergeCell ref="P685:Q685"/>
    <mergeCell ref="R685:S685"/>
    <mergeCell ref="T685:U685"/>
    <mergeCell ref="V685:W685"/>
    <mergeCell ref="X685:Y685"/>
    <mergeCell ref="Z685:AA685"/>
    <mergeCell ref="AB685:AC685"/>
    <mergeCell ref="AD686:AE686"/>
    <mergeCell ref="AF686:AG686"/>
    <mergeCell ref="AH686:AI686"/>
    <mergeCell ref="AJ686:AK686"/>
    <mergeCell ref="AL686:BB686"/>
    <mergeCell ref="P686:Q686"/>
    <mergeCell ref="R686:S686"/>
    <mergeCell ref="T686:U686"/>
    <mergeCell ref="V686:W686"/>
    <mergeCell ref="X686:Y686"/>
    <mergeCell ref="Z686:AA686"/>
    <mergeCell ref="AB686:AC686"/>
    <mergeCell ref="B686:C686"/>
    <mergeCell ref="D686:E686"/>
    <mergeCell ref="F686:G686"/>
    <mergeCell ref="H686:I686"/>
    <mergeCell ref="J686:K686"/>
    <mergeCell ref="L686:M686"/>
    <mergeCell ref="N686:O686"/>
    <mergeCell ref="AD687:AE687"/>
    <mergeCell ref="AF687:AG687"/>
    <mergeCell ref="AH687:AI687"/>
    <mergeCell ref="AJ687:AK687"/>
    <mergeCell ref="AL687:BB687"/>
    <mergeCell ref="AH688:AI688"/>
    <mergeCell ref="AJ688:AK688"/>
    <mergeCell ref="AL688:BB688"/>
    <mergeCell ref="B688:C688"/>
    <mergeCell ref="D688:E688"/>
    <mergeCell ref="F688:G688"/>
    <mergeCell ref="H688:I688"/>
    <mergeCell ref="J688:K688"/>
    <mergeCell ref="L688:M688"/>
    <mergeCell ref="N688:O688"/>
    <mergeCell ref="P690:Q690"/>
    <mergeCell ref="R690:S690"/>
    <mergeCell ref="T690:U690"/>
    <mergeCell ref="V690:W690"/>
    <mergeCell ref="X690:Y690"/>
    <mergeCell ref="Z690:AA690"/>
    <mergeCell ref="AB690:AC690"/>
    <mergeCell ref="B690:C690"/>
    <mergeCell ref="D690:E690"/>
    <mergeCell ref="F690:G690"/>
    <mergeCell ref="H690:I690"/>
    <mergeCell ref="J690:K690"/>
    <mergeCell ref="L690:M690"/>
    <mergeCell ref="N690:O690"/>
    <mergeCell ref="AD688:AE688"/>
    <mergeCell ref="AF688:AG688"/>
    <mergeCell ref="P688:Q688"/>
    <mergeCell ref="R688:S688"/>
    <mergeCell ref="T688:U688"/>
    <mergeCell ref="V688:W688"/>
    <mergeCell ref="X688:Y688"/>
    <mergeCell ref="Z688:AA688"/>
    <mergeCell ref="AB688:AC688"/>
    <mergeCell ref="AD689:AE689"/>
    <mergeCell ref="AF689:AG689"/>
    <mergeCell ref="AH689:AI689"/>
    <mergeCell ref="AJ689:AK689"/>
    <mergeCell ref="AL689:BB689"/>
    <mergeCell ref="P689:Q689"/>
    <mergeCell ref="R689:S689"/>
    <mergeCell ref="T689:U689"/>
    <mergeCell ref="V689:W689"/>
    <mergeCell ref="X689:Y689"/>
    <mergeCell ref="Z689:AA689"/>
    <mergeCell ref="AB689:AC689"/>
    <mergeCell ref="B689:C689"/>
    <mergeCell ref="D689:E689"/>
    <mergeCell ref="F689:G689"/>
    <mergeCell ref="H689:I689"/>
    <mergeCell ref="J689:K689"/>
    <mergeCell ref="L689:M689"/>
    <mergeCell ref="N689:O689"/>
    <mergeCell ref="AD690:AE690"/>
    <mergeCell ref="AF690:AG690"/>
    <mergeCell ref="AH690:AI690"/>
    <mergeCell ref="AJ690:AK690"/>
    <mergeCell ref="AL690:BB690"/>
    <mergeCell ref="AH691:AI691"/>
    <mergeCell ref="AJ691:AK691"/>
    <mergeCell ref="AL691:BB691"/>
    <mergeCell ref="B691:C691"/>
    <mergeCell ref="D691:E691"/>
    <mergeCell ref="F691:G691"/>
    <mergeCell ref="H691:I691"/>
    <mergeCell ref="J691:K691"/>
    <mergeCell ref="L691:M691"/>
    <mergeCell ref="N691:O691"/>
    <mergeCell ref="P693:Q693"/>
    <mergeCell ref="R693:S693"/>
    <mergeCell ref="T693:U693"/>
    <mergeCell ref="V693:W693"/>
    <mergeCell ref="X693:Y693"/>
    <mergeCell ref="Z693:AA693"/>
    <mergeCell ref="AB693:AC693"/>
    <mergeCell ref="B693:C693"/>
    <mergeCell ref="D693:E693"/>
    <mergeCell ref="F693:G693"/>
    <mergeCell ref="H693:I693"/>
    <mergeCell ref="J693:K693"/>
    <mergeCell ref="L693:M693"/>
    <mergeCell ref="N693:O693"/>
    <mergeCell ref="AD691:AE691"/>
    <mergeCell ref="AF691:AG691"/>
    <mergeCell ref="P691:Q691"/>
    <mergeCell ref="R691:S691"/>
    <mergeCell ref="T691:U691"/>
    <mergeCell ref="V691:W691"/>
    <mergeCell ref="X691:Y691"/>
    <mergeCell ref="Z691:AA691"/>
    <mergeCell ref="AB691:AC691"/>
    <mergeCell ref="AD692:AE692"/>
    <mergeCell ref="AF692:AG692"/>
    <mergeCell ref="AH692:AI692"/>
    <mergeCell ref="AJ692:AK692"/>
    <mergeCell ref="AL692:BB692"/>
    <mergeCell ref="P692:Q692"/>
    <mergeCell ref="R692:S692"/>
    <mergeCell ref="T692:U692"/>
    <mergeCell ref="V692:W692"/>
    <mergeCell ref="X692:Y692"/>
    <mergeCell ref="Z692:AA692"/>
    <mergeCell ref="AB692:AC692"/>
    <mergeCell ref="B692:C692"/>
    <mergeCell ref="D692:E692"/>
    <mergeCell ref="F692:G692"/>
    <mergeCell ref="H692:I692"/>
    <mergeCell ref="J692:K692"/>
    <mergeCell ref="L692:M692"/>
    <mergeCell ref="N692:O692"/>
    <mergeCell ref="AD693:AE693"/>
    <mergeCell ref="AF693:AG693"/>
    <mergeCell ref="AH693:AI693"/>
    <mergeCell ref="AJ693:AK693"/>
    <mergeCell ref="AL693:BB693"/>
    <mergeCell ref="AH694:AI694"/>
    <mergeCell ref="AJ694:AK694"/>
    <mergeCell ref="AL694:BB694"/>
    <mergeCell ref="B694:C694"/>
    <mergeCell ref="D694:E694"/>
    <mergeCell ref="F694:G694"/>
    <mergeCell ref="H694:I694"/>
    <mergeCell ref="J694:K694"/>
    <mergeCell ref="L694:M694"/>
    <mergeCell ref="N694:O694"/>
    <mergeCell ref="P696:Q696"/>
    <mergeCell ref="R696:S696"/>
    <mergeCell ref="T696:U696"/>
    <mergeCell ref="V696:W696"/>
    <mergeCell ref="X696:Y696"/>
    <mergeCell ref="Z696:AA696"/>
    <mergeCell ref="AB696:AC696"/>
    <mergeCell ref="B696:C696"/>
    <mergeCell ref="D696:E696"/>
    <mergeCell ref="F696:G696"/>
    <mergeCell ref="H696:I696"/>
    <mergeCell ref="J696:K696"/>
    <mergeCell ref="L696:M696"/>
    <mergeCell ref="N696:O696"/>
    <mergeCell ref="AD694:AE694"/>
    <mergeCell ref="AF694:AG694"/>
    <mergeCell ref="P694:Q694"/>
    <mergeCell ref="R694:S694"/>
    <mergeCell ref="T694:U694"/>
    <mergeCell ref="V694:W694"/>
    <mergeCell ref="X694:Y694"/>
    <mergeCell ref="Z694:AA694"/>
    <mergeCell ref="AB694:AC694"/>
    <mergeCell ref="AD695:AE695"/>
    <mergeCell ref="AF695:AG695"/>
    <mergeCell ref="AH695:AI695"/>
    <mergeCell ref="AJ695:AK695"/>
    <mergeCell ref="AL695:BB695"/>
    <mergeCell ref="P695:Q695"/>
    <mergeCell ref="R695:S695"/>
    <mergeCell ref="T695:U695"/>
    <mergeCell ref="V695:W695"/>
    <mergeCell ref="X695:Y695"/>
    <mergeCell ref="Z695:AA695"/>
    <mergeCell ref="AB695:AC695"/>
    <mergeCell ref="B695:C695"/>
    <mergeCell ref="D695:E695"/>
    <mergeCell ref="F695:G695"/>
    <mergeCell ref="H695:I695"/>
    <mergeCell ref="J695:K695"/>
    <mergeCell ref="L695:M695"/>
    <mergeCell ref="N695:O695"/>
    <mergeCell ref="AD696:AE696"/>
    <mergeCell ref="AF696:AG696"/>
    <mergeCell ref="AH696:AI696"/>
    <mergeCell ref="AJ696:AK696"/>
    <mergeCell ref="AL696:BB696"/>
    <mergeCell ref="AH697:AI697"/>
    <mergeCell ref="AJ697:AK697"/>
    <mergeCell ref="AL697:BB697"/>
    <mergeCell ref="B697:C697"/>
    <mergeCell ref="D697:E697"/>
    <mergeCell ref="F697:G697"/>
    <mergeCell ref="H697:I697"/>
    <mergeCell ref="J697:K697"/>
    <mergeCell ref="L697:M697"/>
    <mergeCell ref="N697:O697"/>
    <mergeCell ref="P699:Q699"/>
    <mergeCell ref="R699:S699"/>
    <mergeCell ref="T699:U699"/>
    <mergeCell ref="V699:W699"/>
    <mergeCell ref="X699:Y699"/>
    <mergeCell ref="Z699:AA699"/>
    <mergeCell ref="AB699:AC699"/>
    <mergeCell ref="B699:C699"/>
    <mergeCell ref="D699:E699"/>
    <mergeCell ref="F699:G699"/>
    <mergeCell ref="H699:I699"/>
    <mergeCell ref="J699:K699"/>
    <mergeCell ref="L699:M699"/>
    <mergeCell ref="N699:O699"/>
    <mergeCell ref="AD697:AE697"/>
    <mergeCell ref="AF697:AG697"/>
    <mergeCell ref="P697:Q697"/>
    <mergeCell ref="R697:S697"/>
    <mergeCell ref="T697:U697"/>
    <mergeCell ref="V697:W697"/>
    <mergeCell ref="X697:Y697"/>
    <mergeCell ref="Z697:AA697"/>
    <mergeCell ref="AB697:AC697"/>
    <mergeCell ref="AD698:AE698"/>
    <mergeCell ref="AF698:AG698"/>
    <mergeCell ref="AH698:AI698"/>
    <mergeCell ref="AJ698:AK698"/>
    <mergeCell ref="AL698:BB698"/>
    <mergeCell ref="P698:Q698"/>
    <mergeCell ref="R698:S698"/>
    <mergeCell ref="T698:U698"/>
    <mergeCell ref="V698:W698"/>
    <mergeCell ref="X698:Y698"/>
    <mergeCell ref="Z698:AA698"/>
    <mergeCell ref="AB698:AC698"/>
    <mergeCell ref="B698:C698"/>
    <mergeCell ref="D698:E698"/>
    <mergeCell ref="F698:G698"/>
    <mergeCell ref="H698:I698"/>
    <mergeCell ref="J698:K698"/>
    <mergeCell ref="L698:M698"/>
    <mergeCell ref="N698:O698"/>
    <mergeCell ref="AD699:AE699"/>
    <mergeCell ref="AF699:AG699"/>
    <mergeCell ref="AH699:AI699"/>
    <mergeCell ref="AJ699:AK699"/>
    <mergeCell ref="AL699:BB699"/>
    <mergeCell ref="AH700:AI700"/>
    <mergeCell ref="AJ700:AK700"/>
    <mergeCell ref="AL700:BB700"/>
    <mergeCell ref="B700:C700"/>
    <mergeCell ref="D700:E700"/>
    <mergeCell ref="F700:G700"/>
    <mergeCell ref="H700:I700"/>
    <mergeCell ref="J700:K700"/>
    <mergeCell ref="L700:M700"/>
    <mergeCell ref="N700:O700"/>
    <mergeCell ref="P702:Q702"/>
    <mergeCell ref="R702:S702"/>
    <mergeCell ref="T702:U702"/>
    <mergeCell ref="V702:W702"/>
    <mergeCell ref="X702:Y702"/>
    <mergeCell ref="Z702:AA702"/>
    <mergeCell ref="AB702:AC702"/>
    <mergeCell ref="B702:C702"/>
    <mergeCell ref="D702:E702"/>
    <mergeCell ref="F702:G702"/>
    <mergeCell ref="H702:I702"/>
    <mergeCell ref="J702:K702"/>
    <mergeCell ref="L702:M702"/>
    <mergeCell ref="N702:O702"/>
    <mergeCell ref="AD700:AE700"/>
    <mergeCell ref="AF700:AG700"/>
    <mergeCell ref="P700:Q700"/>
    <mergeCell ref="R700:S700"/>
    <mergeCell ref="T700:U700"/>
    <mergeCell ref="V700:W700"/>
    <mergeCell ref="X700:Y700"/>
    <mergeCell ref="Z700:AA700"/>
    <mergeCell ref="AB700:AC700"/>
    <mergeCell ref="AD701:AE701"/>
    <mergeCell ref="AF701:AG701"/>
    <mergeCell ref="AH701:AI701"/>
    <mergeCell ref="AJ701:AK701"/>
    <mergeCell ref="AL701:BB701"/>
    <mergeCell ref="P701:Q701"/>
    <mergeCell ref="R701:S701"/>
    <mergeCell ref="T701:U701"/>
    <mergeCell ref="V701:W701"/>
    <mergeCell ref="X701:Y701"/>
    <mergeCell ref="Z701:AA701"/>
    <mergeCell ref="AB701:AC701"/>
    <mergeCell ref="B701:C701"/>
    <mergeCell ref="D701:E701"/>
    <mergeCell ref="F701:G701"/>
    <mergeCell ref="H701:I701"/>
    <mergeCell ref="J701:K701"/>
    <mergeCell ref="L701:M701"/>
    <mergeCell ref="N701:O701"/>
    <mergeCell ref="AD702:AE702"/>
    <mergeCell ref="AF702:AG702"/>
    <mergeCell ref="AH702:AI702"/>
    <mergeCell ref="AJ702:AK702"/>
    <mergeCell ref="AL702:BB702"/>
    <mergeCell ref="B703:C703"/>
    <mergeCell ref="D703:E703"/>
    <mergeCell ref="F703:G703"/>
    <mergeCell ref="H703:I703"/>
    <mergeCell ref="J703:K703"/>
    <mergeCell ref="L703:M703"/>
    <mergeCell ref="N703:O703"/>
    <mergeCell ref="AD704:AE704"/>
    <mergeCell ref="AF704:AG704"/>
    <mergeCell ref="AH704:AI704"/>
    <mergeCell ref="AJ704:AK704"/>
    <mergeCell ref="AL704:BB704"/>
    <mergeCell ref="P704:Q704"/>
    <mergeCell ref="R704:S704"/>
    <mergeCell ref="T704:U704"/>
    <mergeCell ref="V704:W704"/>
    <mergeCell ref="X704:Y704"/>
    <mergeCell ref="Z704:AA704"/>
    <mergeCell ref="AB704:AC704"/>
    <mergeCell ref="B704:C704"/>
    <mergeCell ref="D704:E704"/>
    <mergeCell ref="F704:G704"/>
    <mergeCell ref="H704:I704"/>
    <mergeCell ref="J704:K704"/>
    <mergeCell ref="L704:M704"/>
    <mergeCell ref="N704:O704"/>
    <mergeCell ref="AD705:AE705"/>
    <mergeCell ref="AF705:AG705"/>
    <mergeCell ref="AH705:AI705"/>
    <mergeCell ref="AJ705:AK705"/>
    <mergeCell ref="AL705:BB705"/>
    <mergeCell ref="P705:Q705"/>
    <mergeCell ref="R705:S705"/>
    <mergeCell ref="T705:U705"/>
    <mergeCell ref="V705:W705"/>
    <mergeCell ref="X705:Y705"/>
    <mergeCell ref="Z705:AA705"/>
    <mergeCell ref="AB705:AC705"/>
    <mergeCell ref="B705:C705"/>
    <mergeCell ref="D705:E705"/>
    <mergeCell ref="F705:G705"/>
    <mergeCell ref="H705:I705"/>
    <mergeCell ref="J705:K705"/>
    <mergeCell ref="L705:M705"/>
    <mergeCell ref="N705:O705"/>
    <mergeCell ref="AH706:AI706"/>
    <mergeCell ref="AJ706:AK706"/>
    <mergeCell ref="AL706:BB706"/>
    <mergeCell ref="B706:C706"/>
    <mergeCell ref="D706:E706"/>
    <mergeCell ref="F706:G706"/>
    <mergeCell ref="H706:I706"/>
    <mergeCell ref="J706:K706"/>
    <mergeCell ref="L706:M706"/>
    <mergeCell ref="N706:O706"/>
    <mergeCell ref="P708:Q708"/>
    <mergeCell ref="R708:S708"/>
    <mergeCell ref="T708:U708"/>
    <mergeCell ref="V708:W708"/>
    <mergeCell ref="X708:Y708"/>
    <mergeCell ref="Z708:AA708"/>
    <mergeCell ref="AB708:AC708"/>
    <mergeCell ref="B708:C708"/>
    <mergeCell ref="D708:E708"/>
    <mergeCell ref="F708:G708"/>
    <mergeCell ref="H708:I708"/>
    <mergeCell ref="J708:K708"/>
    <mergeCell ref="L708:M708"/>
    <mergeCell ref="N708:O708"/>
    <mergeCell ref="AD706:AE706"/>
    <mergeCell ref="AF706:AG706"/>
    <mergeCell ref="P706:Q706"/>
    <mergeCell ref="R706:S706"/>
    <mergeCell ref="T706:U706"/>
    <mergeCell ref="V706:W706"/>
    <mergeCell ref="X706:Y706"/>
    <mergeCell ref="Z706:AA706"/>
    <mergeCell ref="AB706:AC706"/>
    <mergeCell ref="AD707:AE707"/>
    <mergeCell ref="AF707:AG707"/>
    <mergeCell ref="AH707:AI707"/>
    <mergeCell ref="AJ707:AK707"/>
    <mergeCell ref="AL707:BB707"/>
    <mergeCell ref="P707:Q707"/>
    <mergeCell ref="R707:S707"/>
    <mergeCell ref="T707:U707"/>
    <mergeCell ref="V707:W707"/>
    <mergeCell ref="X707:Y707"/>
    <mergeCell ref="Z707:AA707"/>
    <mergeCell ref="AB707:AC707"/>
    <mergeCell ref="B707:C707"/>
    <mergeCell ref="D707:E707"/>
    <mergeCell ref="F707:G707"/>
    <mergeCell ref="H707:I707"/>
    <mergeCell ref="J707:K707"/>
    <mergeCell ref="L707:M707"/>
    <mergeCell ref="N707:O707"/>
    <mergeCell ref="AD708:AE708"/>
    <mergeCell ref="AF708:AG708"/>
    <mergeCell ref="AH708:AI708"/>
    <mergeCell ref="AJ708:AK708"/>
    <mergeCell ref="AL708:BB708"/>
    <mergeCell ref="AH709:AI709"/>
    <mergeCell ref="AJ709:AK709"/>
    <mergeCell ref="AL709:BB709"/>
    <mergeCell ref="B709:C709"/>
    <mergeCell ref="D709:E709"/>
    <mergeCell ref="F709:G709"/>
    <mergeCell ref="H709:I709"/>
    <mergeCell ref="J709:K709"/>
    <mergeCell ref="L709:M709"/>
    <mergeCell ref="N709:O709"/>
    <mergeCell ref="P711:Q711"/>
    <mergeCell ref="R711:S711"/>
    <mergeCell ref="T711:U711"/>
    <mergeCell ref="V711:W711"/>
    <mergeCell ref="X711:Y711"/>
    <mergeCell ref="Z711:AA711"/>
    <mergeCell ref="AB711:AC711"/>
    <mergeCell ref="B711:C711"/>
    <mergeCell ref="D711:E711"/>
    <mergeCell ref="F711:G711"/>
    <mergeCell ref="H711:I711"/>
    <mergeCell ref="J711:K711"/>
    <mergeCell ref="L711:M711"/>
    <mergeCell ref="N711:O711"/>
    <mergeCell ref="P714:Q714"/>
    <mergeCell ref="R714:S714"/>
    <mergeCell ref="T714:U714"/>
    <mergeCell ref="V714:W714"/>
    <mergeCell ref="X714:Y714"/>
    <mergeCell ref="Z714:AA714"/>
    <mergeCell ref="AB714:AC714"/>
    <mergeCell ref="B714:C714"/>
    <mergeCell ref="D714:E714"/>
    <mergeCell ref="F714:G714"/>
    <mergeCell ref="H714:I714"/>
    <mergeCell ref="J714:K714"/>
    <mergeCell ref="L714:M714"/>
    <mergeCell ref="N714:O714"/>
    <mergeCell ref="X712:Y712"/>
    <mergeCell ref="Z712:AA712"/>
    <mergeCell ref="AB712:AC712"/>
    <mergeCell ref="AD713:AE713"/>
    <mergeCell ref="AF713:AG713"/>
    <mergeCell ref="AH713:AI713"/>
    <mergeCell ref="AJ713:AK713"/>
    <mergeCell ref="AL713:BB713"/>
    <mergeCell ref="P713:Q713"/>
    <mergeCell ref="R713:S713"/>
    <mergeCell ref="T713:U713"/>
    <mergeCell ref="V713:W713"/>
    <mergeCell ref="X713:Y713"/>
    <mergeCell ref="Z713:AA713"/>
    <mergeCell ref="AB713:AC713"/>
    <mergeCell ref="B713:C713"/>
    <mergeCell ref="D713:E713"/>
    <mergeCell ref="F713:G713"/>
    <mergeCell ref="H713:I713"/>
    <mergeCell ref="J713:K713"/>
    <mergeCell ref="L713:M713"/>
    <mergeCell ref="N713:O713"/>
    <mergeCell ref="AD714:AE714"/>
    <mergeCell ref="AF714:AG714"/>
    <mergeCell ref="AH714:AI714"/>
    <mergeCell ref="AJ714:AK714"/>
    <mergeCell ref="AD718:AE718"/>
    <mergeCell ref="AF718:AG718"/>
    <mergeCell ref="P718:Q718"/>
    <mergeCell ref="R718:S718"/>
    <mergeCell ref="T718:U718"/>
    <mergeCell ref="V718:W718"/>
    <mergeCell ref="X718:Y718"/>
    <mergeCell ref="Z718:AA718"/>
    <mergeCell ref="AB718:AC718"/>
    <mergeCell ref="AD719:AE719"/>
    <mergeCell ref="AF719:AG719"/>
    <mergeCell ref="AH719:AI719"/>
    <mergeCell ref="AJ719:AK719"/>
    <mergeCell ref="AL719:BB719"/>
    <mergeCell ref="P719:Q719"/>
    <mergeCell ref="R719:S719"/>
    <mergeCell ref="T719:U719"/>
    <mergeCell ref="V719:W719"/>
    <mergeCell ref="X719:Y719"/>
    <mergeCell ref="Z719:AA719"/>
    <mergeCell ref="AB719:AC719"/>
    <mergeCell ref="B719:C719"/>
    <mergeCell ref="D719:E719"/>
    <mergeCell ref="F719:G719"/>
    <mergeCell ref="H719:I719"/>
    <mergeCell ref="J719:K719"/>
    <mergeCell ref="L719:M719"/>
    <mergeCell ref="N719:O719"/>
    <mergeCell ref="AD720:AE720"/>
    <mergeCell ref="AF720:AG720"/>
    <mergeCell ref="AH720:AI720"/>
    <mergeCell ref="AJ720:AK720"/>
    <mergeCell ref="AL720:BB720"/>
    <mergeCell ref="AH718:AI718"/>
    <mergeCell ref="AJ718:AK718"/>
    <mergeCell ref="AL718:BB718"/>
    <mergeCell ref="B718:C718"/>
    <mergeCell ref="D718:E718"/>
    <mergeCell ref="F718:G718"/>
    <mergeCell ref="H718:I718"/>
    <mergeCell ref="J718:K718"/>
    <mergeCell ref="L718:M718"/>
    <mergeCell ref="N718:O718"/>
    <mergeCell ref="P720:Q720"/>
    <mergeCell ref="R720:S720"/>
    <mergeCell ref="T720:U720"/>
    <mergeCell ref="V720:W720"/>
    <mergeCell ref="X720:Y720"/>
    <mergeCell ref="Z720:AA720"/>
    <mergeCell ref="AB720:AC720"/>
    <mergeCell ref="B720:C720"/>
    <mergeCell ref="D720:E720"/>
    <mergeCell ref="F720:G720"/>
    <mergeCell ref="H720:I720"/>
    <mergeCell ref="J720:K720"/>
    <mergeCell ref="L720:M720"/>
    <mergeCell ref="N720:O720"/>
    <mergeCell ref="AH721:AI721"/>
    <mergeCell ref="AJ721:AK721"/>
    <mergeCell ref="AL721:BB721"/>
    <mergeCell ref="B721:C721"/>
    <mergeCell ref="D721:E721"/>
    <mergeCell ref="F721:G721"/>
    <mergeCell ref="H721:I721"/>
    <mergeCell ref="J721:K721"/>
    <mergeCell ref="L721:M721"/>
    <mergeCell ref="N721:O721"/>
    <mergeCell ref="AD721:AE721"/>
    <mergeCell ref="AF721:AG721"/>
    <mergeCell ref="P721:Q721"/>
    <mergeCell ref="R721:S721"/>
    <mergeCell ref="T721:U721"/>
    <mergeCell ref="V721:W721"/>
    <mergeCell ref="X721:Y721"/>
    <mergeCell ref="Z721:AA721"/>
    <mergeCell ref="AB721:AC721"/>
    <mergeCell ref="AD722:AE722"/>
    <mergeCell ref="AF722:AG722"/>
    <mergeCell ref="AH722:AI722"/>
    <mergeCell ref="AJ722:AK722"/>
    <mergeCell ref="AL722:BB722"/>
    <mergeCell ref="P722:Q722"/>
    <mergeCell ref="R722:S722"/>
    <mergeCell ref="T722:U722"/>
    <mergeCell ref="V722:W722"/>
    <mergeCell ref="X722:Y722"/>
    <mergeCell ref="Z722:AA722"/>
    <mergeCell ref="AB722:AC722"/>
    <mergeCell ref="B722:C722"/>
    <mergeCell ref="D722:E722"/>
    <mergeCell ref="F722:G722"/>
    <mergeCell ref="H722:I722"/>
    <mergeCell ref="J722:K722"/>
    <mergeCell ref="L722:M722"/>
    <mergeCell ref="N722:O722"/>
    <mergeCell ref="AD723:AE723"/>
    <mergeCell ref="AF723:AG723"/>
    <mergeCell ref="AH723:AI723"/>
    <mergeCell ref="AJ723:AK723"/>
    <mergeCell ref="AL723:BB723"/>
    <mergeCell ref="AH724:AI724"/>
    <mergeCell ref="AJ724:AK724"/>
    <mergeCell ref="AL724:BB724"/>
    <mergeCell ref="B724:C724"/>
    <mergeCell ref="D724:E724"/>
    <mergeCell ref="F724:G724"/>
    <mergeCell ref="H724:I724"/>
    <mergeCell ref="J724:K724"/>
    <mergeCell ref="L724:M724"/>
    <mergeCell ref="N724:O724"/>
    <mergeCell ref="AD709:AE709"/>
    <mergeCell ref="AF709:AG709"/>
    <mergeCell ref="P709:Q709"/>
    <mergeCell ref="R709:S709"/>
    <mergeCell ref="T709:U709"/>
    <mergeCell ref="V709:W709"/>
    <mergeCell ref="X709:Y709"/>
    <mergeCell ref="Z709:AA709"/>
    <mergeCell ref="AB709:AC709"/>
    <mergeCell ref="AD710:AE710"/>
    <mergeCell ref="AF710:AG710"/>
    <mergeCell ref="AH710:AI710"/>
    <mergeCell ref="AJ710:AK710"/>
    <mergeCell ref="AL710:BB710"/>
    <mergeCell ref="P710:Q710"/>
    <mergeCell ref="R710:S710"/>
    <mergeCell ref="T710:U710"/>
    <mergeCell ref="V710:W710"/>
    <mergeCell ref="X710:Y710"/>
    <mergeCell ref="Z710:AA710"/>
    <mergeCell ref="AB710:AC710"/>
    <mergeCell ref="B710:C710"/>
    <mergeCell ref="D710:E710"/>
    <mergeCell ref="F710:G710"/>
    <mergeCell ref="H710:I710"/>
    <mergeCell ref="J710:K710"/>
    <mergeCell ref="L710:M710"/>
    <mergeCell ref="N710:O710"/>
    <mergeCell ref="AD711:AE711"/>
    <mergeCell ref="AF711:AG711"/>
    <mergeCell ref="AH711:AI711"/>
    <mergeCell ref="AJ711:AK711"/>
    <mergeCell ref="AL711:BB711"/>
    <mergeCell ref="AH712:AI712"/>
    <mergeCell ref="AJ712:AK712"/>
    <mergeCell ref="AL712:BB712"/>
    <mergeCell ref="B712:C712"/>
    <mergeCell ref="D712:E712"/>
    <mergeCell ref="F712:G712"/>
    <mergeCell ref="H712:I712"/>
    <mergeCell ref="J712:K712"/>
    <mergeCell ref="L712:M712"/>
    <mergeCell ref="N712:O712"/>
    <mergeCell ref="AD712:AE712"/>
    <mergeCell ref="AF712:AG712"/>
    <mergeCell ref="P712:Q712"/>
    <mergeCell ref="R712:S712"/>
    <mergeCell ref="T712:U712"/>
    <mergeCell ref="V712:W712"/>
    <mergeCell ref="AL714:BB714"/>
    <mergeCell ref="AH715:AI715"/>
    <mergeCell ref="AJ715:AK715"/>
    <mergeCell ref="AL715:BB715"/>
    <mergeCell ref="B715:C715"/>
    <mergeCell ref="D715:E715"/>
    <mergeCell ref="F715:G715"/>
    <mergeCell ref="H715:I715"/>
    <mergeCell ref="J715:K715"/>
    <mergeCell ref="L715:M715"/>
    <mergeCell ref="N715:O715"/>
    <mergeCell ref="P717:Q717"/>
    <mergeCell ref="R717:S717"/>
    <mergeCell ref="T717:U717"/>
    <mergeCell ref="V717:W717"/>
    <mergeCell ref="X717:Y717"/>
    <mergeCell ref="Z717:AA717"/>
    <mergeCell ref="AB717:AC717"/>
    <mergeCell ref="B717:C717"/>
    <mergeCell ref="D717:E717"/>
    <mergeCell ref="F717:G717"/>
    <mergeCell ref="H717:I717"/>
    <mergeCell ref="J717:K717"/>
    <mergeCell ref="L717:M717"/>
    <mergeCell ref="N717:O717"/>
    <mergeCell ref="AD715:AE715"/>
    <mergeCell ref="AF715:AG715"/>
    <mergeCell ref="P715:Q715"/>
    <mergeCell ref="R715:S715"/>
    <mergeCell ref="T715:U715"/>
    <mergeCell ref="V715:W715"/>
    <mergeCell ref="X715:Y715"/>
    <mergeCell ref="Z715:AA715"/>
    <mergeCell ref="AB715:AC715"/>
    <mergeCell ref="AD716:AE716"/>
    <mergeCell ref="AF716:AG716"/>
    <mergeCell ref="AH716:AI716"/>
    <mergeCell ref="AJ716:AK716"/>
    <mergeCell ref="AL716:BB716"/>
    <mergeCell ref="P716:Q716"/>
    <mergeCell ref="R716:S716"/>
    <mergeCell ref="T716:U716"/>
    <mergeCell ref="V716:W716"/>
    <mergeCell ref="X716:Y716"/>
    <mergeCell ref="Z716:AA716"/>
    <mergeCell ref="AB716:AC716"/>
    <mergeCell ref="B716:C716"/>
    <mergeCell ref="D716:E716"/>
    <mergeCell ref="F716:G716"/>
    <mergeCell ref="H716:I716"/>
    <mergeCell ref="J716:K716"/>
    <mergeCell ref="L716:M716"/>
    <mergeCell ref="N716:O716"/>
    <mergeCell ref="AD717:AE717"/>
    <mergeCell ref="AF717:AG717"/>
    <mergeCell ref="AH717:AI717"/>
    <mergeCell ref="AJ717:AK717"/>
    <mergeCell ref="AL717:BB717"/>
    <mergeCell ref="P723:Q723"/>
    <mergeCell ref="R723:S723"/>
    <mergeCell ref="T723:U723"/>
    <mergeCell ref="V723:W723"/>
    <mergeCell ref="X723:Y723"/>
    <mergeCell ref="Z723:AA723"/>
    <mergeCell ref="AB723:AC723"/>
    <mergeCell ref="B723:C723"/>
    <mergeCell ref="D723:E723"/>
    <mergeCell ref="F723:G723"/>
    <mergeCell ref="H723:I723"/>
    <mergeCell ref="J723:K723"/>
    <mergeCell ref="L723:M723"/>
    <mergeCell ref="N723:O723"/>
    <mergeCell ref="AD745:AE745"/>
    <mergeCell ref="AF745:AG745"/>
    <mergeCell ref="AH745:AI745"/>
    <mergeCell ref="AJ745:AK745"/>
    <mergeCell ref="AL745:BB745"/>
    <mergeCell ref="P745:Q745"/>
    <mergeCell ref="R745:S745"/>
    <mergeCell ref="T745:U745"/>
    <mergeCell ref="V745:W745"/>
    <mergeCell ref="X745:Y745"/>
    <mergeCell ref="Z745:AA745"/>
    <mergeCell ref="AB745:AC745"/>
    <mergeCell ref="P726:Q726"/>
    <mergeCell ref="R726:S726"/>
    <mergeCell ref="T726:U726"/>
    <mergeCell ref="V726:W726"/>
    <mergeCell ref="X726:Y726"/>
    <mergeCell ref="Z726:AA726"/>
    <mergeCell ref="AB726:AC726"/>
    <mergeCell ref="B726:C726"/>
    <mergeCell ref="D726:E726"/>
    <mergeCell ref="F726:G726"/>
    <mergeCell ref="H726:I726"/>
    <mergeCell ref="J726:K726"/>
    <mergeCell ref="L726:M726"/>
    <mergeCell ref="N726:O726"/>
    <mergeCell ref="AD724:AE724"/>
    <mergeCell ref="AF724:AG724"/>
    <mergeCell ref="P724:Q724"/>
    <mergeCell ref="R724:S724"/>
    <mergeCell ref="T724:U724"/>
    <mergeCell ref="V724:W724"/>
    <mergeCell ref="X724:Y724"/>
    <mergeCell ref="Z724:AA724"/>
    <mergeCell ref="AB724:AC724"/>
    <mergeCell ref="AD725:AE725"/>
    <mergeCell ref="AF725:AG725"/>
    <mergeCell ref="AH725:AI725"/>
    <mergeCell ref="AJ725:AK725"/>
    <mergeCell ref="AL725:BB725"/>
    <mergeCell ref="P725:Q725"/>
    <mergeCell ref="R725:S725"/>
    <mergeCell ref="T725:U725"/>
    <mergeCell ref="V725:W725"/>
    <mergeCell ref="X725:Y725"/>
    <mergeCell ref="Z725:AA725"/>
    <mergeCell ref="AB725:AC725"/>
    <mergeCell ref="B725:C725"/>
    <mergeCell ref="D725:E725"/>
    <mergeCell ref="F725:G725"/>
    <mergeCell ref="H725:I725"/>
    <mergeCell ref="J725:K725"/>
    <mergeCell ref="L725:M725"/>
    <mergeCell ref="N725:O725"/>
    <mergeCell ref="AD726:AE726"/>
    <mergeCell ref="AF726:AG726"/>
    <mergeCell ref="AH726:AI726"/>
    <mergeCell ref="AJ726:AK726"/>
    <mergeCell ref="AL726:BB726"/>
    <mergeCell ref="AH727:AI727"/>
    <mergeCell ref="AJ727:AK727"/>
    <mergeCell ref="AL727:BB727"/>
    <mergeCell ref="B727:C727"/>
    <mergeCell ref="D727:E727"/>
    <mergeCell ref="F727:G727"/>
    <mergeCell ref="H727:I727"/>
    <mergeCell ref="J727:K727"/>
    <mergeCell ref="L727:M727"/>
    <mergeCell ref="N727:O727"/>
    <mergeCell ref="P729:Q729"/>
    <mergeCell ref="R729:S729"/>
    <mergeCell ref="T729:U729"/>
    <mergeCell ref="V729:W729"/>
    <mergeCell ref="X729:Y729"/>
    <mergeCell ref="Z729:AA729"/>
    <mergeCell ref="AB729:AC729"/>
    <mergeCell ref="B729:C729"/>
    <mergeCell ref="D729:E729"/>
    <mergeCell ref="F729:G729"/>
    <mergeCell ref="H729:I729"/>
    <mergeCell ref="J729:K729"/>
    <mergeCell ref="L729:M729"/>
    <mergeCell ref="N729:O729"/>
    <mergeCell ref="AD727:AE727"/>
    <mergeCell ref="AF727:AG727"/>
    <mergeCell ref="P727:Q727"/>
    <mergeCell ref="R727:S727"/>
    <mergeCell ref="T727:U727"/>
    <mergeCell ref="V727:W727"/>
    <mergeCell ref="X727:Y727"/>
    <mergeCell ref="Z727:AA727"/>
    <mergeCell ref="AB727:AC727"/>
    <mergeCell ref="AD728:AE728"/>
    <mergeCell ref="AF728:AG728"/>
    <mergeCell ref="AH728:AI728"/>
    <mergeCell ref="AJ728:AK728"/>
    <mergeCell ref="AL728:BB728"/>
    <mergeCell ref="P728:Q728"/>
    <mergeCell ref="R728:S728"/>
    <mergeCell ref="T728:U728"/>
    <mergeCell ref="V728:W728"/>
    <mergeCell ref="X728:Y728"/>
    <mergeCell ref="Z728:AA728"/>
    <mergeCell ref="AB728:AC728"/>
    <mergeCell ref="B728:C728"/>
    <mergeCell ref="D728:E728"/>
    <mergeCell ref="F728:G728"/>
    <mergeCell ref="H728:I728"/>
    <mergeCell ref="J728:K728"/>
    <mergeCell ref="L728:M728"/>
    <mergeCell ref="N728:O728"/>
    <mergeCell ref="AD729:AE729"/>
    <mergeCell ref="AF729:AG729"/>
    <mergeCell ref="AH729:AI729"/>
    <mergeCell ref="AJ729:AK729"/>
    <mergeCell ref="AL729:BB729"/>
    <mergeCell ref="AH730:AI730"/>
    <mergeCell ref="AJ730:AK730"/>
    <mergeCell ref="AL730:BB730"/>
    <mergeCell ref="B730:C730"/>
    <mergeCell ref="D730:E730"/>
    <mergeCell ref="F730:G730"/>
    <mergeCell ref="H730:I730"/>
    <mergeCell ref="J730:K730"/>
    <mergeCell ref="L730:M730"/>
    <mergeCell ref="N730:O730"/>
    <mergeCell ref="P732:Q732"/>
    <mergeCell ref="R732:S732"/>
    <mergeCell ref="T732:U732"/>
    <mergeCell ref="V732:W732"/>
    <mergeCell ref="X732:Y732"/>
    <mergeCell ref="Z732:AA732"/>
    <mergeCell ref="AB732:AC732"/>
    <mergeCell ref="B732:C732"/>
    <mergeCell ref="D732:E732"/>
    <mergeCell ref="F732:G732"/>
    <mergeCell ref="H732:I732"/>
    <mergeCell ref="J732:K732"/>
    <mergeCell ref="L732:M732"/>
    <mergeCell ref="N732:O732"/>
    <mergeCell ref="AD730:AE730"/>
    <mergeCell ref="AF730:AG730"/>
    <mergeCell ref="P730:Q730"/>
    <mergeCell ref="R730:S730"/>
    <mergeCell ref="T730:U730"/>
    <mergeCell ref="V730:W730"/>
    <mergeCell ref="X730:Y730"/>
    <mergeCell ref="Z730:AA730"/>
    <mergeCell ref="AB730:AC730"/>
    <mergeCell ref="AD731:AE731"/>
    <mergeCell ref="AF731:AG731"/>
    <mergeCell ref="AH731:AI731"/>
    <mergeCell ref="AJ731:AK731"/>
    <mergeCell ref="AL731:BB731"/>
    <mergeCell ref="P731:Q731"/>
    <mergeCell ref="R731:S731"/>
    <mergeCell ref="T731:U731"/>
    <mergeCell ref="V731:W731"/>
    <mergeCell ref="X731:Y731"/>
    <mergeCell ref="Z731:AA731"/>
    <mergeCell ref="AB731:AC731"/>
    <mergeCell ref="B731:C731"/>
    <mergeCell ref="D731:E731"/>
    <mergeCell ref="F731:G731"/>
    <mergeCell ref="H731:I731"/>
    <mergeCell ref="J731:K731"/>
    <mergeCell ref="L731:M731"/>
    <mergeCell ref="N731:O731"/>
    <mergeCell ref="AD732:AE732"/>
    <mergeCell ref="AF732:AG732"/>
    <mergeCell ref="AH732:AI732"/>
    <mergeCell ref="AJ732:AK732"/>
    <mergeCell ref="AL732:BB732"/>
    <mergeCell ref="AH733:AI733"/>
    <mergeCell ref="AJ733:AK733"/>
    <mergeCell ref="AL733:BB733"/>
    <mergeCell ref="B733:C733"/>
    <mergeCell ref="D733:E733"/>
    <mergeCell ref="F733:G733"/>
    <mergeCell ref="H733:I733"/>
    <mergeCell ref="J733:K733"/>
    <mergeCell ref="L733:M733"/>
    <mergeCell ref="N733:O733"/>
    <mergeCell ref="P735:Q735"/>
    <mergeCell ref="R735:S735"/>
    <mergeCell ref="T735:U735"/>
    <mergeCell ref="V735:W735"/>
    <mergeCell ref="X735:Y735"/>
    <mergeCell ref="Z735:AA735"/>
    <mergeCell ref="AB735:AC735"/>
    <mergeCell ref="B735:C735"/>
    <mergeCell ref="D735:E735"/>
    <mergeCell ref="F735:G735"/>
    <mergeCell ref="H735:I735"/>
    <mergeCell ref="J735:K735"/>
    <mergeCell ref="L735:M735"/>
    <mergeCell ref="N735:O735"/>
    <mergeCell ref="AD733:AE733"/>
    <mergeCell ref="AF733:AG733"/>
    <mergeCell ref="P733:Q733"/>
    <mergeCell ref="R733:S733"/>
    <mergeCell ref="T733:U733"/>
    <mergeCell ref="V733:W733"/>
    <mergeCell ref="X733:Y733"/>
    <mergeCell ref="Z733:AA733"/>
    <mergeCell ref="AB733:AC733"/>
    <mergeCell ref="AD734:AE734"/>
    <mergeCell ref="AF734:AG734"/>
    <mergeCell ref="AH734:AI734"/>
    <mergeCell ref="AJ734:AK734"/>
    <mergeCell ref="AL734:BB734"/>
    <mergeCell ref="P734:Q734"/>
    <mergeCell ref="R734:S734"/>
    <mergeCell ref="T734:U734"/>
    <mergeCell ref="V734:W734"/>
    <mergeCell ref="X734:Y734"/>
    <mergeCell ref="Z734:AA734"/>
    <mergeCell ref="AB734:AC734"/>
    <mergeCell ref="B734:C734"/>
    <mergeCell ref="D734:E734"/>
    <mergeCell ref="F734:G734"/>
    <mergeCell ref="H734:I734"/>
    <mergeCell ref="J734:K734"/>
    <mergeCell ref="L734:M734"/>
    <mergeCell ref="N734:O734"/>
    <mergeCell ref="AD735:AE735"/>
    <mergeCell ref="AF735:AG735"/>
    <mergeCell ref="AH735:AI735"/>
    <mergeCell ref="AJ735:AK735"/>
    <mergeCell ref="AL735:BB735"/>
    <mergeCell ref="AH736:AI736"/>
    <mergeCell ref="AJ736:AK736"/>
    <mergeCell ref="AL736:BB736"/>
    <mergeCell ref="B736:C736"/>
    <mergeCell ref="D736:E736"/>
    <mergeCell ref="F736:G736"/>
    <mergeCell ref="H736:I736"/>
    <mergeCell ref="J736:K736"/>
    <mergeCell ref="L736:M736"/>
    <mergeCell ref="N736:O736"/>
    <mergeCell ref="P738:Q738"/>
    <mergeCell ref="R738:S738"/>
    <mergeCell ref="T738:U738"/>
    <mergeCell ref="V738:W738"/>
    <mergeCell ref="X738:Y738"/>
    <mergeCell ref="Z738:AA738"/>
    <mergeCell ref="AB738:AC738"/>
    <mergeCell ref="B738:C738"/>
    <mergeCell ref="D738:E738"/>
    <mergeCell ref="F738:G738"/>
    <mergeCell ref="H738:I738"/>
    <mergeCell ref="J738:K738"/>
    <mergeCell ref="L738:M738"/>
    <mergeCell ref="N738:O738"/>
    <mergeCell ref="AD736:AE736"/>
    <mergeCell ref="AF736:AG736"/>
    <mergeCell ref="P736:Q736"/>
    <mergeCell ref="R736:S736"/>
    <mergeCell ref="T736:U736"/>
    <mergeCell ref="V736:W736"/>
    <mergeCell ref="X736:Y736"/>
    <mergeCell ref="Z736:AA736"/>
    <mergeCell ref="AB736:AC736"/>
    <mergeCell ref="AD737:AE737"/>
    <mergeCell ref="AF737:AG737"/>
    <mergeCell ref="AH737:AI737"/>
    <mergeCell ref="AJ737:AK737"/>
    <mergeCell ref="AL737:BB737"/>
    <mergeCell ref="P737:Q737"/>
    <mergeCell ref="R737:S737"/>
    <mergeCell ref="T737:U737"/>
    <mergeCell ref="V737:W737"/>
    <mergeCell ref="X737:Y737"/>
    <mergeCell ref="Z737:AA737"/>
    <mergeCell ref="AB737:AC737"/>
    <mergeCell ref="B737:C737"/>
    <mergeCell ref="D737:E737"/>
    <mergeCell ref="F737:G737"/>
    <mergeCell ref="H737:I737"/>
    <mergeCell ref="J737:K737"/>
    <mergeCell ref="L737:M737"/>
    <mergeCell ref="N737:O737"/>
    <mergeCell ref="AD738:AE738"/>
    <mergeCell ref="AF738:AG738"/>
    <mergeCell ref="AH738:AI738"/>
    <mergeCell ref="AJ738:AK738"/>
    <mergeCell ref="AL738:BB738"/>
    <mergeCell ref="AH739:AI739"/>
    <mergeCell ref="AJ739:AK739"/>
    <mergeCell ref="AL739:BB739"/>
    <mergeCell ref="B739:C739"/>
    <mergeCell ref="D739:E739"/>
    <mergeCell ref="F739:G739"/>
    <mergeCell ref="H739:I739"/>
    <mergeCell ref="J739:K739"/>
    <mergeCell ref="L739:M739"/>
    <mergeCell ref="N739:O739"/>
    <mergeCell ref="P741:Q741"/>
    <mergeCell ref="R741:S741"/>
    <mergeCell ref="T741:U741"/>
    <mergeCell ref="V741:W741"/>
    <mergeCell ref="X741:Y741"/>
    <mergeCell ref="Z741:AA741"/>
    <mergeCell ref="AB741:AC741"/>
    <mergeCell ref="B741:C741"/>
    <mergeCell ref="D741:E741"/>
    <mergeCell ref="F741:G741"/>
    <mergeCell ref="H741:I741"/>
    <mergeCell ref="J741:K741"/>
    <mergeCell ref="L741:M741"/>
    <mergeCell ref="N741:O741"/>
    <mergeCell ref="AD739:AE739"/>
    <mergeCell ref="AF739:AG739"/>
    <mergeCell ref="P739:Q739"/>
    <mergeCell ref="R739:S739"/>
    <mergeCell ref="T739:U739"/>
    <mergeCell ref="V739:W739"/>
    <mergeCell ref="X739:Y739"/>
    <mergeCell ref="Z739:AA739"/>
    <mergeCell ref="AB739:AC739"/>
    <mergeCell ref="AD740:AE740"/>
    <mergeCell ref="AF740:AG740"/>
    <mergeCell ref="AH740:AI740"/>
    <mergeCell ref="AJ740:AK740"/>
    <mergeCell ref="AL740:BB740"/>
    <mergeCell ref="P740:Q740"/>
    <mergeCell ref="R740:S740"/>
    <mergeCell ref="T740:U740"/>
    <mergeCell ref="V740:W740"/>
    <mergeCell ref="X740:Y740"/>
    <mergeCell ref="Z740:AA740"/>
    <mergeCell ref="AB740:AC740"/>
    <mergeCell ref="B740:C740"/>
    <mergeCell ref="D740:E740"/>
    <mergeCell ref="F740:G740"/>
    <mergeCell ref="H740:I740"/>
    <mergeCell ref="J740:K740"/>
    <mergeCell ref="L740:M740"/>
    <mergeCell ref="N740:O740"/>
    <mergeCell ref="AD741:AE741"/>
    <mergeCell ref="AF741:AG741"/>
    <mergeCell ref="AH741:AI741"/>
    <mergeCell ref="AJ741:AK741"/>
    <mergeCell ref="AL741:BB741"/>
    <mergeCell ref="AH742:AI742"/>
    <mergeCell ref="AJ742:AK742"/>
    <mergeCell ref="AL742:BB742"/>
    <mergeCell ref="B742:C742"/>
    <mergeCell ref="D742:E742"/>
    <mergeCell ref="F742:G742"/>
    <mergeCell ref="H742:I742"/>
    <mergeCell ref="J742:K742"/>
    <mergeCell ref="L742:M742"/>
    <mergeCell ref="N742:O742"/>
    <mergeCell ref="P744:Q744"/>
    <mergeCell ref="R744:S744"/>
    <mergeCell ref="T744:U744"/>
    <mergeCell ref="V744:W744"/>
    <mergeCell ref="X744:Y744"/>
    <mergeCell ref="Z744:AA744"/>
    <mergeCell ref="AB744:AC744"/>
    <mergeCell ref="B744:C744"/>
    <mergeCell ref="D744:E744"/>
    <mergeCell ref="F744:G744"/>
    <mergeCell ref="H744:I744"/>
    <mergeCell ref="J744:K744"/>
    <mergeCell ref="L744:M744"/>
    <mergeCell ref="N744:O744"/>
    <mergeCell ref="AD742:AE742"/>
    <mergeCell ref="AF742:AG742"/>
    <mergeCell ref="P742:Q742"/>
    <mergeCell ref="R742:S742"/>
    <mergeCell ref="T742:U742"/>
    <mergeCell ref="V742:W742"/>
    <mergeCell ref="X742:Y742"/>
    <mergeCell ref="Z742:AA742"/>
    <mergeCell ref="AB742:AC742"/>
    <mergeCell ref="AD743:AE743"/>
    <mergeCell ref="AF743:AG743"/>
    <mergeCell ref="AH743:AI743"/>
    <mergeCell ref="AJ743:AK743"/>
    <mergeCell ref="AL743:BB743"/>
    <mergeCell ref="P743:Q743"/>
    <mergeCell ref="R743:S743"/>
    <mergeCell ref="T743:U743"/>
    <mergeCell ref="V743:W743"/>
    <mergeCell ref="X743:Y743"/>
    <mergeCell ref="Z743:AA743"/>
    <mergeCell ref="AB743:AC743"/>
    <mergeCell ref="B743:C743"/>
    <mergeCell ref="D743:E743"/>
    <mergeCell ref="F743:G743"/>
    <mergeCell ref="H743:I743"/>
    <mergeCell ref="J743:K743"/>
    <mergeCell ref="L743:M743"/>
    <mergeCell ref="N743:O743"/>
    <mergeCell ref="AD744:AE744"/>
    <mergeCell ref="AF744:AG744"/>
    <mergeCell ref="AH744:AI744"/>
    <mergeCell ref="AJ744:AK744"/>
    <mergeCell ref="AL744:BB744"/>
    <mergeCell ref="B745:C745"/>
    <mergeCell ref="D745:E745"/>
    <mergeCell ref="F745:G745"/>
    <mergeCell ref="H745:I745"/>
    <mergeCell ref="J745:K745"/>
    <mergeCell ref="L745:M745"/>
    <mergeCell ref="N745:O745"/>
    <mergeCell ref="AD746:AE746"/>
    <mergeCell ref="AF746:AG746"/>
    <mergeCell ref="AH746:AI746"/>
    <mergeCell ref="AJ746:AK746"/>
    <mergeCell ref="AL746:BB746"/>
    <mergeCell ref="P746:Q746"/>
    <mergeCell ref="R746:S746"/>
    <mergeCell ref="T746:U746"/>
    <mergeCell ref="V746:W746"/>
    <mergeCell ref="X746:Y746"/>
    <mergeCell ref="Z746:AA746"/>
    <mergeCell ref="AB746:AC746"/>
    <mergeCell ref="B746:C746"/>
    <mergeCell ref="D746:E746"/>
    <mergeCell ref="F746:G746"/>
    <mergeCell ref="H746:I746"/>
    <mergeCell ref="J746:K746"/>
    <mergeCell ref="L746:M746"/>
    <mergeCell ref="N746:O746"/>
    <mergeCell ref="AD747:AE747"/>
    <mergeCell ref="AF747:AG747"/>
    <mergeCell ref="AH747:AI747"/>
    <mergeCell ref="AJ747:AK747"/>
    <mergeCell ref="AL747:BB747"/>
    <mergeCell ref="P747:Q747"/>
    <mergeCell ref="R747:S747"/>
    <mergeCell ref="T747:U747"/>
    <mergeCell ref="V747:W747"/>
    <mergeCell ref="X747:Y747"/>
    <mergeCell ref="Z747:AA747"/>
    <mergeCell ref="AB747:AC747"/>
    <mergeCell ref="B747:C747"/>
    <mergeCell ref="D747:E747"/>
    <mergeCell ref="F747:G747"/>
    <mergeCell ref="H747:I747"/>
    <mergeCell ref="J747:K747"/>
    <mergeCell ref="L747:M747"/>
    <mergeCell ref="N747:O747"/>
    <mergeCell ref="AH748:AI748"/>
    <mergeCell ref="AJ748:AK748"/>
    <mergeCell ref="AL748:BB748"/>
    <mergeCell ref="B748:C748"/>
    <mergeCell ref="D748:E748"/>
    <mergeCell ref="F748:G748"/>
    <mergeCell ref="H748:I748"/>
    <mergeCell ref="J748:K748"/>
    <mergeCell ref="L748:M748"/>
    <mergeCell ref="N748:O748"/>
    <mergeCell ref="P750:Q750"/>
    <mergeCell ref="R750:S750"/>
    <mergeCell ref="T750:U750"/>
    <mergeCell ref="V750:W750"/>
    <mergeCell ref="X750:Y750"/>
    <mergeCell ref="Z750:AA750"/>
    <mergeCell ref="AB750:AC750"/>
    <mergeCell ref="B750:C750"/>
    <mergeCell ref="D750:E750"/>
    <mergeCell ref="F750:G750"/>
    <mergeCell ref="H750:I750"/>
    <mergeCell ref="J750:K750"/>
    <mergeCell ref="L750:M750"/>
    <mergeCell ref="N750:O750"/>
    <mergeCell ref="AD748:AE748"/>
    <mergeCell ref="AF748:AG748"/>
    <mergeCell ref="P748:Q748"/>
    <mergeCell ref="R748:S748"/>
    <mergeCell ref="T748:U748"/>
    <mergeCell ref="V748:W748"/>
    <mergeCell ref="X748:Y748"/>
    <mergeCell ref="Z748:AA748"/>
    <mergeCell ref="AB748:AC748"/>
    <mergeCell ref="AD749:AE749"/>
    <mergeCell ref="AF749:AG749"/>
    <mergeCell ref="AH749:AI749"/>
    <mergeCell ref="AJ749:AK749"/>
    <mergeCell ref="AL749:BB749"/>
    <mergeCell ref="P749:Q749"/>
    <mergeCell ref="R749:S749"/>
    <mergeCell ref="T749:U749"/>
    <mergeCell ref="V749:W749"/>
    <mergeCell ref="X749:Y749"/>
    <mergeCell ref="Z749:AA749"/>
    <mergeCell ref="AB749:AC749"/>
    <mergeCell ref="B749:C749"/>
    <mergeCell ref="D749:E749"/>
    <mergeCell ref="F749:G749"/>
    <mergeCell ref="H749:I749"/>
    <mergeCell ref="J749:K749"/>
    <mergeCell ref="L749:M749"/>
    <mergeCell ref="N749:O749"/>
    <mergeCell ref="AD750:AE750"/>
    <mergeCell ref="AF750:AG750"/>
    <mergeCell ref="AH750:AI750"/>
    <mergeCell ref="AJ750:AK750"/>
    <mergeCell ref="AL750:BB750"/>
    <mergeCell ref="AH751:AI751"/>
    <mergeCell ref="AJ751:AK751"/>
    <mergeCell ref="AL751:BB751"/>
    <mergeCell ref="B751:C751"/>
    <mergeCell ref="D751:E751"/>
    <mergeCell ref="F751:G751"/>
    <mergeCell ref="H751:I751"/>
    <mergeCell ref="J751:K751"/>
    <mergeCell ref="L751:M751"/>
    <mergeCell ref="N751:O751"/>
    <mergeCell ref="P753:Q753"/>
    <mergeCell ref="R753:S753"/>
    <mergeCell ref="T753:U753"/>
    <mergeCell ref="V753:W753"/>
    <mergeCell ref="X753:Y753"/>
    <mergeCell ref="Z753:AA753"/>
    <mergeCell ref="AB753:AC753"/>
    <mergeCell ref="B753:C753"/>
    <mergeCell ref="D753:E753"/>
    <mergeCell ref="F753:G753"/>
    <mergeCell ref="H753:I753"/>
    <mergeCell ref="J753:K753"/>
    <mergeCell ref="L753:M753"/>
    <mergeCell ref="N753:O753"/>
    <mergeCell ref="P756:Q756"/>
    <mergeCell ref="R756:S756"/>
    <mergeCell ref="T756:U756"/>
    <mergeCell ref="V756:W756"/>
    <mergeCell ref="X756:Y756"/>
    <mergeCell ref="Z756:AA756"/>
    <mergeCell ref="AB756:AC756"/>
    <mergeCell ref="B756:C756"/>
    <mergeCell ref="D756:E756"/>
    <mergeCell ref="F756:G756"/>
    <mergeCell ref="H756:I756"/>
    <mergeCell ref="J756:K756"/>
    <mergeCell ref="L756:M756"/>
    <mergeCell ref="N756:O756"/>
    <mergeCell ref="X754:Y754"/>
    <mergeCell ref="Z754:AA754"/>
    <mergeCell ref="AB754:AC754"/>
    <mergeCell ref="AD755:AE755"/>
    <mergeCell ref="AF755:AG755"/>
    <mergeCell ref="AH755:AI755"/>
    <mergeCell ref="AJ755:AK755"/>
    <mergeCell ref="AL755:BB755"/>
    <mergeCell ref="P755:Q755"/>
    <mergeCell ref="R755:S755"/>
    <mergeCell ref="T755:U755"/>
    <mergeCell ref="V755:W755"/>
    <mergeCell ref="X755:Y755"/>
    <mergeCell ref="Z755:AA755"/>
    <mergeCell ref="AB755:AC755"/>
    <mergeCell ref="B755:C755"/>
    <mergeCell ref="D755:E755"/>
    <mergeCell ref="F755:G755"/>
    <mergeCell ref="H755:I755"/>
    <mergeCell ref="J755:K755"/>
    <mergeCell ref="L755:M755"/>
    <mergeCell ref="N755:O755"/>
    <mergeCell ref="AD756:AE756"/>
    <mergeCell ref="AF756:AG756"/>
    <mergeCell ref="AH756:AI756"/>
    <mergeCell ref="AJ756:AK756"/>
    <mergeCell ref="AD760:AE760"/>
    <mergeCell ref="AF760:AG760"/>
    <mergeCell ref="P760:Q760"/>
    <mergeCell ref="R760:S760"/>
    <mergeCell ref="T760:U760"/>
    <mergeCell ref="V760:W760"/>
    <mergeCell ref="X760:Y760"/>
    <mergeCell ref="Z760:AA760"/>
    <mergeCell ref="AB760:AC760"/>
    <mergeCell ref="AD761:AE761"/>
    <mergeCell ref="AF761:AG761"/>
    <mergeCell ref="AH761:AI761"/>
    <mergeCell ref="AJ761:AK761"/>
    <mergeCell ref="AL761:BB761"/>
    <mergeCell ref="P761:Q761"/>
    <mergeCell ref="R761:S761"/>
    <mergeCell ref="T761:U761"/>
    <mergeCell ref="V761:W761"/>
    <mergeCell ref="X761:Y761"/>
    <mergeCell ref="Z761:AA761"/>
    <mergeCell ref="AB761:AC761"/>
    <mergeCell ref="B761:C761"/>
    <mergeCell ref="D761:E761"/>
    <mergeCell ref="F761:G761"/>
    <mergeCell ref="H761:I761"/>
    <mergeCell ref="J761:K761"/>
    <mergeCell ref="L761:M761"/>
    <mergeCell ref="N761:O761"/>
    <mergeCell ref="AD762:AE762"/>
    <mergeCell ref="AF762:AG762"/>
    <mergeCell ref="AH762:AI762"/>
    <mergeCell ref="AJ762:AK762"/>
    <mergeCell ref="AL762:BB762"/>
    <mergeCell ref="AH760:AI760"/>
    <mergeCell ref="AJ760:AK760"/>
    <mergeCell ref="AL760:BB760"/>
    <mergeCell ref="B760:C760"/>
    <mergeCell ref="D760:E760"/>
    <mergeCell ref="F760:G760"/>
    <mergeCell ref="H760:I760"/>
    <mergeCell ref="J760:K760"/>
    <mergeCell ref="L760:M760"/>
    <mergeCell ref="N760:O760"/>
    <mergeCell ref="P762:Q762"/>
    <mergeCell ref="R762:S762"/>
    <mergeCell ref="T762:U762"/>
    <mergeCell ref="V762:W762"/>
    <mergeCell ref="X762:Y762"/>
    <mergeCell ref="Z762:AA762"/>
    <mergeCell ref="AB762:AC762"/>
    <mergeCell ref="B762:C762"/>
    <mergeCell ref="D762:E762"/>
    <mergeCell ref="F762:G762"/>
    <mergeCell ref="H762:I762"/>
    <mergeCell ref="J762:K762"/>
    <mergeCell ref="L762:M762"/>
    <mergeCell ref="N762:O762"/>
    <mergeCell ref="AH763:AI763"/>
    <mergeCell ref="AJ763:AK763"/>
    <mergeCell ref="AL763:BB763"/>
    <mergeCell ref="B763:C763"/>
    <mergeCell ref="D763:E763"/>
    <mergeCell ref="F763:G763"/>
    <mergeCell ref="H763:I763"/>
    <mergeCell ref="J763:K763"/>
    <mergeCell ref="L763:M763"/>
    <mergeCell ref="N763:O763"/>
    <mergeCell ref="AD763:AE763"/>
    <mergeCell ref="AF763:AG763"/>
    <mergeCell ref="P763:Q763"/>
    <mergeCell ref="R763:S763"/>
    <mergeCell ref="T763:U763"/>
    <mergeCell ref="V763:W763"/>
    <mergeCell ref="X763:Y763"/>
    <mergeCell ref="Z763:AA763"/>
    <mergeCell ref="AB763:AC763"/>
    <mergeCell ref="AD764:AE764"/>
    <mergeCell ref="AF764:AG764"/>
    <mergeCell ref="AH764:AI764"/>
    <mergeCell ref="AJ764:AK764"/>
    <mergeCell ref="AL764:BB764"/>
    <mergeCell ref="P764:Q764"/>
    <mergeCell ref="R764:S764"/>
    <mergeCell ref="T764:U764"/>
    <mergeCell ref="V764:W764"/>
    <mergeCell ref="X764:Y764"/>
    <mergeCell ref="Z764:AA764"/>
    <mergeCell ref="AB764:AC764"/>
    <mergeCell ref="B764:C764"/>
    <mergeCell ref="D764:E764"/>
    <mergeCell ref="F764:G764"/>
    <mergeCell ref="H764:I764"/>
    <mergeCell ref="J764:K764"/>
    <mergeCell ref="L764:M764"/>
    <mergeCell ref="N764:O764"/>
    <mergeCell ref="AD765:AE765"/>
    <mergeCell ref="AF765:AG765"/>
    <mergeCell ref="AH765:AI765"/>
    <mergeCell ref="AJ765:AK765"/>
    <mergeCell ref="AL765:BB765"/>
    <mergeCell ref="AH766:AI766"/>
    <mergeCell ref="AJ766:AK766"/>
    <mergeCell ref="AL766:BB766"/>
    <mergeCell ref="B766:C766"/>
    <mergeCell ref="D766:E766"/>
    <mergeCell ref="F766:G766"/>
    <mergeCell ref="H766:I766"/>
    <mergeCell ref="J766:K766"/>
    <mergeCell ref="L766:M766"/>
    <mergeCell ref="N766:O766"/>
    <mergeCell ref="AD751:AE751"/>
    <mergeCell ref="AF751:AG751"/>
    <mergeCell ref="P751:Q751"/>
    <mergeCell ref="R751:S751"/>
    <mergeCell ref="T751:U751"/>
    <mergeCell ref="V751:W751"/>
    <mergeCell ref="X751:Y751"/>
    <mergeCell ref="Z751:AA751"/>
    <mergeCell ref="AB751:AC751"/>
    <mergeCell ref="AD752:AE752"/>
    <mergeCell ref="AF752:AG752"/>
    <mergeCell ref="AH752:AI752"/>
    <mergeCell ref="AJ752:AK752"/>
    <mergeCell ref="AL752:BB752"/>
    <mergeCell ref="P752:Q752"/>
    <mergeCell ref="R752:S752"/>
    <mergeCell ref="T752:U752"/>
    <mergeCell ref="V752:W752"/>
    <mergeCell ref="X752:Y752"/>
    <mergeCell ref="Z752:AA752"/>
    <mergeCell ref="AB752:AC752"/>
    <mergeCell ref="B752:C752"/>
    <mergeCell ref="D752:E752"/>
    <mergeCell ref="F752:G752"/>
    <mergeCell ref="H752:I752"/>
    <mergeCell ref="J752:K752"/>
    <mergeCell ref="L752:M752"/>
    <mergeCell ref="N752:O752"/>
    <mergeCell ref="AD753:AE753"/>
    <mergeCell ref="AF753:AG753"/>
    <mergeCell ref="AH753:AI753"/>
    <mergeCell ref="AJ753:AK753"/>
    <mergeCell ref="AL753:BB753"/>
    <mergeCell ref="AH754:AI754"/>
    <mergeCell ref="AJ754:AK754"/>
    <mergeCell ref="AL754:BB754"/>
    <mergeCell ref="B754:C754"/>
    <mergeCell ref="D754:E754"/>
    <mergeCell ref="F754:G754"/>
    <mergeCell ref="H754:I754"/>
    <mergeCell ref="J754:K754"/>
    <mergeCell ref="L754:M754"/>
    <mergeCell ref="N754:O754"/>
    <mergeCell ref="AD754:AE754"/>
    <mergeCell ref="AF754:AG754"/>
    <mergeCell ref="P754:Q754"/>
    <mergeCell ref="R754:S754"/>
    <mergeCell ref="T754:U754"/>
    <mergeCell ref="V754:W754"/>
    <mergeCell ref="AL756:BB756"/>
    <mergeCell ref="AH757:AI757"/>
    <mergeCell ref="AJ757:AK757"/>
    <mergeCell ref="AL757:BB757"/>
    <mergeCell ref="B757:C757"/>
    <mergeCell ref="D757:E757"/>
    <mergeCell ref="F757:G757"/>
    <mergeCell ref="H757:I757"/>
    <mergeCell ref="J757:K757"/>
    <mergeCell ref="L757:M757"/>
    <mergeCell ref="N757:O757"/>
    <mergeCell ref="P759:Q759"/>
    <mergeCell ref="R759:S759"/>
    <mergeCell ref="T759:U759"/>
    <mergeCell ref="V759:W759"/>
    <mergeCell ref="X759:Y759"/>
    <mergeCell ref="Z759:AA759"/>
    <mergeCell ref="AB759:AC759"/>
    <mergeCell ref="B759:C759"/>
    <mergeCell ref="D759:E759"/>
    <mergeCell ref="F759:G759"/>
    <mergeCell ref="H759:I759"/>
    <mergeCell ref="J759:K759"/>
    <mergeCell ref="L759:M759"/>
    <mergeCell ref="N759:O759"/>
    <mergeCell ref="AD757:AE757"/>
    <mergeCell ref="AF757:AG757"/>
    <mergeCell ref="P757:Q757"/>
    <mergeCell ref="R757:S757"/>
    <mergeCell ref="T757:U757"/>
    <mergeCell ref="V757:W757"/>
    <mergeCell ref="X757:Y757"/>
    <mergeCell ref="Z757:AA757"/>
    <mergeCell ref="AB757:AC757"/>
    <mergeCell ref="AD758:AE758"/>
    <mergeCell ref="AF758:AG758"/>
    <mergeCell ref="AH758:AI758"/>
    <mergeCell ref="AJ758:AK758"/>
    <mergeCell ref="AL758:BB758"/>
    <mergeCell ref="P758:Q758"/>
    <mergeCell ref="R758:S758"/>
    <mergeCell ref="T758:U758"/>
    <mergeCell ref="V758:W758"/>
    <mergeCell ref="X758:Y758"/>
    <mergeCell ref="Z758:AA758"/>
    <mergeCell ref="AB758:AC758"/>
    <mergeCell ref="B758:C758"/>
    <mergeCell ref="D758:E758"/>
    <mergeCell ref="F758:G758"/>
    <mergeCell ref="H758:I758"/>
    <mergeCell ref="J758:K758"/>
    <mergeCell ref="L758:M758"/>
    <mergeCell ref="N758:O758"/>
    <mergeCell ref="AD759:AE759"/>
    <mergeCell ref="AF759:AG759"/>
    <mergeCell ref="AH759:AI759"/>
    <mergeCell ref="AJ759:AK759"/>
    <mergeCell ref="AL759:BB759"/>
    <mergeCell ref="P765:Q765"/>
    <mergeCell ref="R765:S765"/>
    <mergeCell ref="T765:U765"/>
    <mergeCell ref="V765:W765"/>
    <mergeCell ref="X765:Y765"/>
    <mergeCell ref="Z765:AA765"/>
    <mergeCell ref="AB765:AC765"/>
    <mergeCell ref="B765:C765"/>
    <mergeCell ref="D765:E765"/>
    <mergeCell ref="F765:G765"/>
    <mergeCell ref="H765:I765"/>
    <mergeCell ref="J765:K765"/>
    <mergeCell ref="L765:M765"/>
    <mergeCell ref="N765:O765"/>
    <mergeCell ref="AD787:AE787"/>
    <mergeCell ref="AF787:AG787"/>
    <mergeCell ref="AH787:AI787"/>
    <mergeCell ref="AJ787:AK787"/>
    <mergeCell ref="AL787:BB787"/>
    <mergeCell ref="P787:Q787"/>
    <mergeCell ref="R787:S787"/>
    <mergeCell ref="T787:U787"/>
    <mergeCell ref="V787:W787"/>
    <mergeCell ref="X787:Y787"/>
    <mergeCell ref="Z787:AA787"/>
    <mergeCell ref="AB787:AC787"/>
    <mergeCell ref="P768:Q768"/>
    <mergeCell ref="R768:S768"/>
    <mergeCell ref="T768:U768"/>
    <mergeCell ref="V768:W768"/>
    <mergeCell ref="X768:Y768"/>
    <mergeCell ref="Z768:AA768"/>
    <mergeCell ref="AB768:AC768"/>
    <mergeCell ref="B768:C768"/>
    <mergeCell ref="D768:E768"/>
    <mergeCell ref="F768:G768"/>
    <mergeCell ref="H768:I768"/>
    <mergeCell ref="J768:K768"/>
    <mergeCell ref="L768:M768"/>
    <mergeCell ref="N768:O768"/>
    <mergeCell ref="AD766:AE766"/>
    <mergeCell ref="AF766:AG766"/>
    <mergeCell ref="P766:Q766"/>
    <mergeCell ref="R766:S766"/>
    <mergeCell ref="T766:U766"/>
    <mergeCell ref="V766:W766"/>
    <mergeCell ref="X766:Y766"/>
    <mergeCell ref="Z766:AA766"/>
    <mergeCell ref="AB766:AC766"/>
    <mergeCell ref="AD767:AE767"/>
    <mergeCell ref="AF767:AG767"/>
    <mergeCell ref="AH767:AI767"/>
    <mergeCell ref="AJ767:AK767"/>
    <mergeCell ref="AL767:BB767"/>
    <mergeCell ref="P767:Q767"/>
    <mergeCell ref="R767:S767"/>
    <mergeCell ref="T767:U767"/>
    <mergeCell ref="V767:W767"/>
    <mergeCell ref="X767:Y767"/>
    <mergeCell ref="Z767:AA767"/>
    <mergeCell ref="AB767:AC767"/>
    <mergeCell ref="B767:C767"/>
    <mergeCell ref="D767:E767"/>
    <mergeCell ref="F767:G767"/>
    <mergeCell ref="H767:I767"/>
    <mergeCell ref="J767:K767"/>
    <mergeCell ref="L767:M767"/>
    <mergeCell ref="N767:O767"/>
    <mergeCell ref="AD768:AE768"/>
    <mergeCell ref="AF768:AG768"/>
    <mergeCell ref="AH768:AI768"/>
    <mergeCell ref="AJ768:AK768"/>
    <mergeCell ref="AL768:BB768"/>
    <mergeCell ref="AH769:AI769"/>
    <mergeCell ref="AJ769:AK769"/>
    <mergeCell ref="AL769:BB769"/>
    <mergeCell ref="B769:C769"/>
    <mergeCell ref="D769:E769"/>
    <mergeCell ref="F769:G769"/>
    <mergeCell ref="H769:I769"/>
    <mergeCell ref="J769:K769"/>
    <mergeCell ref="L769:M769"/>
    <mergeCell ref="N769:O769"/>
    <mergeCell ref="P771:Q771"/>
    <mergeCell ref="R771:S771"/>
    <mergeCell ref="T771:U771"/>
    <mergeCell ref="V771:W771"/>
    <mergeCell ref="X771:Y771"/>
    <mergeCell ref="Z771:AA771"/>
    <mergeCell ref="AB771:AC771"/>
    <mergeCell ref="B771:C771"/>
    <mergeCell ref="D771:E771"/>
    <mergeCell ref="F771:G771"/>
    <mergeCell ref="H771:I771"/>
    <mergeCell ref="J771:K771"/>
    <mergeCell ref="L771:M771"/>
    <mergeCell ref="N771:O771"/>
    <mergeCell ref="AD769:AE769"/>
    <mergeCell ref="AF769:AG769"/>
    <mergeCell ref="P769:Q769"/>
    <mergeCell ref="R769:S769"/>
    <mergeCell ref="T769:U769"/>
    <mergeCell ref="V769:W769"/>
    <mergeCell ref="X769:Y769"/>
    <mergeCell ref="Z769:AA769"/>
    <mergeCell ref="AB769:AC769"/>
    <mergeCell ref="AD770:AE770"/>
    <mergeCell ref="AF770:AG770"/>
    <mergeCell ref="AH770:AI770"/>
    <mergeCell ref="AJ770:AK770"/>
    <mergeCell ref="AL770:BB770"/>
    <mergeCell ref="P770:Q770"/>
    <mergeCell ref="R770:S770"/>
    <mergeCell ref="T770:U770"/>
    <mergeCell ref="V770:W770"/>
    <mergeCell ref="X770:Y770"/>
    <mergeCell ref="Z770:AA770"/>
    <mergeCell ref="AB770:AC770"/>
    <mergeCell ref="B770:C770"/>
    <mergeCell ref="D770:E770"/>
    <mergeCell ref="F770:G770"/>
    <mergeCell ref="H770:I770"/>
    <mergeCell ref="J770:K770"/>
    <mergeCell ref="L770:M770"/>
    <mergeCell ref="N770:O770"/>
    <mergeCell ref="AD771:AE771"/>
    <mergeCell ref="AF771:AG771"/>
    <mergeCell ref="AH771:AI771"/>
    <mergeCell ref="AJ771:AK771"/>
    <mergeCell ref="AL771:BB771"/>
    <mergeCell ref="AH772:AI772"/>
    <mergeCell ref="AJ772:AK772"/>
    <mergeCell ref="AL772:BB772"/>
    <mergeCell ref="B772:C772"/>
    <mergeCell ref="D772:E772"/>
    <mergeCell ref="F772:G772"/>
    <mergeCell ref="H772:I772"/>
    <mergeCell ref="J772:K772"/>
    <mergeCell ref="L772:M772"/>
    <mergeCell ref="N772:O772"/>
    <mergeCell ref="P774:Q774"/>
    <mergeCell ref="R774:S774"/>
    <mergeCell ref="T774:U774"/>
    <mergeCell ref="V774:W774"/>
    <mergeCell ref="X774:Y774"/>
    <mergeCell ref="Z774:AA774"/>
    <mergeCell ref="AB774:AC774"/>
    <mergeCell ref="B774:C774"/>
    <mergeCell ref="D774:E774"/>
    <mergeCell ref="F774:G774"/>
    <mergeCell ref="H774:I774"/>
    <mergeCell ref="J774:K774"/>
    <mergeCell ref="L774:M774"/>
    <mergeCell ref="N774:O774"/>
    <mergeCell ref="AD772:AE772"/>
    <mergeCell ref="AF772:AG772"/>
    <mergeCell ref="P772:Q772"/>
    <mergeCell ref="R772:S772"/>
    <mergeCell ref="T772:U772"/>
    <mergeCell ref="V772:W772"/>
    <mergeCell ref="X772:Y772"/>
    <mergeCell ref="Z772:AA772"/>
    <mergeCell ref="AB772:AC772"/>
    <mergeCell ref="AD773:AE773"/>
    <mergeCell ref="AF773:AG773"/>
    <mergeCell ref="AH773:AI773"/>
    <mergeCell ref="AJ773:AK773"/>
    <mergeCell ref="AL773:BB773"/>
    <mergeCell ref="P773:Q773"/>
    <mergeCell ref="R773:S773"/>
    <mergeCell ref="T773:U773"/>
    <mergeCell ref="V773:W773"/>
    <mergeCell ref="X773:Y773"/>
    <mergeCell ref="Z773:AA773"/>
    <mergeCell ref="AB773:AC773"/>
    <mergeCell ref="B773:C773"/>
    <mergeCell ref="D773:E773"/>
    <mergeCell ref="F773:G773"/>
    <mergeCell ref="H773:I773"/>
    <mergeCell ref="J773:K773"/>
    <mergeCell ref="L773:M773"/>
    <mergeCell ref="N773:O773"/>
    <mergeCell ref="AD774:AE774"/>
    <mergeCell ref="AF774:AG774"/>
    <mergeCell ref="AH774:AI774"/>
    <mergeCell ref="AJ774:AK774"/>
    <mergeCell ref="AL774:BB774"/>
    <mergeCell ref="AH775:AI775"/>
    <mergeCell ref="AJ775:AK775"/>
    <mergeCell ref="AL775:BB775"/>
    <mergeCell ref="B775:C775"/>
    <mergeCell ref="D775:E775"/>
    <mergeCell ref="F775:G775"/>
    <mergeCell ref="H775:I775"/>
    <mergeCell ref="J775:K775"/>
    <mergeCell ref="L775:M775"/>
    <mergeCell ref="N775:O775"/>
    <mergeCell ref="P777:Q777"/>
    <mergeCell ref="R777:S777"/>
    <mergeCell ref="T777:U777"/>
    <mergeCell ref="V777:W777"/>
    <mergeCell ref="X777:Y777"/>
    <mergeCell ref="Z777:AA777"/>
    <mergeCell ref="AB777:AC777"/>
    <mergeCell ref="B777:C777"/>
    <mergeCell ref="D777:E777"/>
    <mergeCell ref="F777:G777"/>
    <mergeCell ref="H777:I777"/>
    <mergeCell ref="J777:K777"/>
    <mergeCell ref="L777:M777"/>
    <mergeCell ref="N777:O777"/>
    <mergeCell ref="AD775:AE775"/>
    <mergeCell ref="AF775:AG775"/>
    <mergeCell ref="P775:Q775"/>
    <mergeCell ref="R775:S775"/>
    <mergeCell ref="T775:U775"/>
    <mergeCell ref="V775:W775"/>
    <mergeCell ref="X775:Y775"/>
    <mergeCell ref="Z775:AA775"/>
    <mergeCell ref="AB775:AC775"/>
    <mergeCell ref="AD776:AE776"/>
    <mergeCell ref="AF776:AG776"/>
    <mergeCell ref="AH776:AI776"/>
    <mergeCell ref="AJ776:AK776"/>
    <mergeCell ref="AL776:BB776"/>
    <mergeCell ref="P776:Q776"/>
    <mergeCell ref="R776:S776"/>
    <mergeCell ref="T776:U776"/>
    <mergeCell ref="V776:W776"/>
    <mergeCell ref="X776:Y776"/>
    <mergeCell ref="Z776:AA776"/>
    <mergeCell ref="AB776:AC776"/>
    <mergeCell ref="B776:C776"/>
    <mergeCell ref="D776:E776"/>
    <mergeCell ref="F776:G776"/>
    <mergeCell ref="H776:I776"/>
    <mergeCell ref="J776:K776"/>
    <mergeCell ref="L776:M776"/>
    <mergeCell ref="N776:O776"/>
    <mergeCell ref="AD777:AE777"/>
    <mergeCell ref="AF777:AG777"/>
    <mergeCell ref="AH777:AI777"/>
    <mergeCell ref="AJ777:AK777"/>
    <mergeCell ref="AL777:BB777"/>
    <mergeCell ref="AH778:AI778"/>
    <mergeCell ref="AJ778:AK778"/>
    <mergeCell ref="AL778:BB778"/>
    <mergeCell ref="B778:C778"/>
    <mergeCell ref="D778:E778"/>
    <mergeCell ref="F778:G778"/>
    <mergeCell ref="H778:I778"/>
    <mergeCell ref="J778:K778"/>
    <mergeCell ref="L778:M778"/>
    <mergeCell ref="N778:O778"/>
    <mergeCell ref="P780:Q780"/>
    <mergeCell ref="R780:S780"/>
    <mergeCell ref="T780:U780"/>
    <mergeCell ref="V780:W780"/>
    <mergeCell ref="X780:Y780"/>
    <mergeCell ref="Z780:AA780"/>
    <mergeCell ref="AB780:AC780"/>
    <mergeCell ref="B780:C780"/>
    <mergeCell ref="D780:E780"/>
    <mergeCell ref="F780:G780"/>
    <mergeCell ref="H780:I780"/>
    <mergeCell ref="J780:K780"/>
    <mergeCell ref="L780:M780"/>
    <mergeCell ref="N780:O780"/>
    <mergeCell ref="AD778:AE778"/>
    <mergeCell ref="AF778:AG778"/>
    <mergeCell ref="P778:Q778"/>
    <mergeCell ref="R778:S778"/>
    <mergeCell ref="T778:U778"/>
    <mergeCell ref="V778:W778"/>
    <mergeCell ref="X778:Y778"/>
    <mergeCell ref="Z778:AA778"/>
    <mergeCell ref="AB778:AC778"/>
    <mergeCell ref="AD779:AE779"/>
    <mergeCell ref="AF779:AG779"/>
    <mergeCell ref="AH779:AI779"/>
    <mergeCell ref="AJ779:AK779"/>
    <mergeCell ref="AL779:BB779"/>
    <mergeCell ref="P779:Q779"/>
    <mergeCell ref="R779:S779"/>
    <mergeCell ref="T779:U779"/>
    <mergeCell ref="V779:W779"/>
    <mergeCell ref="X779:Y779"/>
    <mergeCell ref="Z779:AA779"/>
    <mergeCell ref="AB779:AC779"/>
    <mergeCell ref="B779:C779"/>
    <mergeCell ref="D779:E779"/>
    <mergeCell ref="F779:G779"/>
    <mergeCell ref="H779:I779"/>
    <mergeCell ref="J779:K779"/>
    <mergeCell ref="L779:M779"/>
    <mergeCell ref="N779:O779"/>
    <mergeCell ref="AD780:AE780"/>
    <mergeCell ref="AF780:AG780"/>
    <mergeCell ref="AH780:AI780"/>
    <mergeCell ref="AJ780:AK780"/>
    <mergeCell ref="AL780:BB780"/>
    <mergeCell ref="AH781:AI781"/>
    <mergeCell ref="AJ781:AK781"/>
    <mergeCell ref="AL781:BB781"/>
    <mergeCell ref="B781:C781"/>
    <mergeCell ref="D781:E781"/>
    <mergeCell ref="F781:G781"/>
    <mergeCell ref="H781:I781"/>
    <mergeCell ref="J781:K781"/>
    <mergeCell ref="L781:M781"/>
    <mergeCell ref="N781:O781"/>
    <mergeCell ref="P783:Q783"/>
    <mergeCell ref="R783:S783"/>
    <mergeCell ref="T783:U783"/>
    <mergeCell ref="V783:W783"/>
    <mergeCell ref="X783:Y783"/>
    <mergeCell ref="Z783:AA783"/>
    <mergeCell ref="AB783:AC783"/>
    <mergeCell ref="B783:C783"/>
    <mergeCell ref="D783:E783"/>
    <mergeCell ref="F783:G783"/>
    <mergeCell ref="H783:I783"/>
    <mergeCell ref="J783:K783"/>
    <mergeCell ref="L783:M783"/>
    <mergeCell ref="N783:O783"/>
    <mergeCell ref="AD781:AE781"/>
    <mergeCell ref="AF781:AG781"/>
    <mergeCell ref="P781:Q781"/>
    <mergeCell ref="R781:S781"/>
    <mergeCell ref="T781:U781"/>
    <mergeCell ref="V781:W781"/>
    <mergeCell ref="X781:Y781"/>
    <mergeCell ref="Z781:AA781"/>
    <mergeCell ref="AB781:AC781"/>
    <mergeCell ref="AD782:AE782"/>
    <mergeCell ref="AF782:AG782"/>
    <mergeCell ref="AH782:AI782"/>
    <mergeCell ref="AJ782:AK782"/>
    <mergeCell ref="AL782:BB782"/>
    <mergeCell ref="P782:Q782"/>
    <mergeCell ref="R782:S782"/>
    <mergeCell ref="T782:U782"/>
    <mergeCell ref="V782:W782"/>
    <mergeCell ref="X782:Y782"/>
    <mergeCell ref="Z782:AA782"/>
    <mergeCell ref="AB782:AC782"/>
    <mergeCell ref="B782:C782"/>
    <mergeCell ref="D782:E782"/>
    <mergeCell ref="F782:G782"/>
    <mergeCell ref="H782:I782"/>
    <mergeCell ref="J782:K782"/>
    <mergeCell ref="L782:M782"/>
    <mergeCell ref="N782:O782"/>
    <mergeCell ref="AD783:AE783"/>
    <mergeCell ref="AF783:AG783"/>
    <mergeCell ref="AH783:AI783"/>
    <mergeCell ref="AJ783:AK783"/>
    <mergeCell ref="AL783:BB783"/>
    <mergeCell ref="AH784:AI784"/>
    <mergeCell ref="AJ784:AK784"/>
    <mergeCell ref="AL784:BB784"/>
    <mergeCell ref="B784:C784"/>
    <mergeCell ref="D784:E784"/>
    <mergeCell ref="F784:G784"/>
    <mergeCell ref="H784:I784"/>
    <mergeCell ref="J784:K784"/>
    <mergeCell ref="L784:M784"/>
    <mergeCell ref="N784:O784"/>
    <mergeCell ref="P786:Q786"/>
    <mergeCell ref="R786:S786"/>
    <mergeCell ref="T786:U786"/>
    <mergeCell ref="V786:W786"/>
    <mergeCell ref="X786:Y786"/>
    <mergeCell ref="Z786:AA786"/>
    <mergeCell ref="AB786:AC786"/>
    <mergeCell ref="B786:C786"/>
    <mergeCell ref="D786:E786"/>
    <mergeCell ref="F786:G786"/>
    <mergeCell ref="H786:I786"/>
    <mergeCell ref="J786:K786"/>
    <mergeCell ref="L786:M786"/>
    <mergeCell ref="N786:O786"/>
    <mergeCell ref="AD784:AE784"/>
    <mergeCell ref="AF784:AG784"/>
    <mergeCell ref="P784:Q784"/>
    <mergeCell ref="R784:S784"/>
    <mergeCell ref="T784:U784"/>
    <mergeCell ref="V784:W784"/>
    <mergeCell ref="X784:Y784"/>
    <mergeCell ref="Z784:AA784"/>
    <mergeCell ref="AB784:AC784"/>
    <mergeCell ref="AD785:AE785"/>
    <mergeCell ref="AF785:AG785"/>
    <mergeCell ref="AH785:AI785"/>
    <mergeCell ref="AJ785:AK785"/>
    <mergeCell ref="AL785:BB785"/>
    <mergeCell ref="P785:Q785"/>
    <mergeCell ref="R785:S785"/>
    <mergeCell ref="T785:U785"/>
    <mergeCell ref="V785:W785"/>
    <mergeCell ref="X785:Y785"/>
    <mergeCell ref="Z785:AA785"/>
    <mergeCell ref="AB785:AC785"/>
    <mergeCell ref="B785:C785"/>
    <mergeCell ref="D785:E785"/>
    <mergeCell ref="F785:G785"/>
    <mergeCell ref="H785:I785"/>
    <mergeCell ref="J785:K785"/>
    <mergeCell ref="L785:M785"/>
    <mergeCell ref="N785:O785"/>
    <mergeCell ref="AD786:AE786"/>
    <mergeCell ref="AF786:AG786"/>
    <mergeCell ref="AH786:AI786"/>
    <mergeCell ref="AJ786:AK786"/>
    <mergeCell ref="AL786:BB786"/>
    <mergeCell ref="B787:C787"/>
    <mergeCell ref="D787:E787"/>
    <mergeCell ref="F787:G787"/>
    <mergeCell ref="H787:I787"/>
    <mergeCell ref="J787:K787"/>
    <mergeCell ref="L787:M787"/>
    <mergeCell ref="N787:O787"/>
    <mergeCell ref="AD788:AE788"/>
    <mergeCell ref="AF788:AG788"/>
    <mergeCell ref="AH788:AI788"/>
    <mergeCell ref="AJ788:AK788"/>
    <mergeCell ref="AL788:BB788"/>
    <mergeCell ref="P788:Q788"/>
    <mergeCell ref="R788:S788"/>
    <mergeCell ref="T788:U788"/>
    <mergeCell ref="V788:W788"/>
    <mergeCell ref="X788:Y788"/>
    <mergeCell ref="Z788:AA788"/>
    <mergeCell ref="AB788:AC788"/>
    <mergeCell ref="B788:C788"/>
    <mergeCell ref="D788:E788"/>
    <mergeCell ref="F788:G788"/>
    <mergeCell ref="H788:I788"/>
    <mergeCell ref="J788:K788"/>
    <mergeCell ref="L788:M788"/>
    <mergeCell ref="N788:O788"/>
    <mergeCell ref="AD789:AE789"/>
    <mergeCell ref="AF789:AG789"/>
    <mergeCell ref="AH789:AI789"/>
    <mergeCell ref="AJ789:AK789"/>
    <mergeCell ref="AL789:BB789"/>
    <mergeCell ref="P789:Q789"/>
    <mergeCell ref="R789:S789"/>
    <mergeCell ref="T789:U789"/>
    <mergeCell ref="V789:W789"/>
    <mergeCell ref="X789:Y789"/>
    <mergeCell ref="Z789:AA789"/>
    <mergeCell ref="AB789:AC789"/>
    <mergeCell ref="B789:C789"/>
    <mergeCell ref="D789:E789"/>
    <mergeCell ref="F789:G789"/>
    <mergeCell ref="H789:I789"/>
    <mergeCell ref="J789:K789"/>
    <mergeCell ref="L789:M789"/>
    <mergeCell ref="N789:O789"/>
    <mergeCell ref="AH790:AI790"/>
    <mergeCell ref="AJ790:AK790"/>
    <mergeCell ref="AL790:BB790"/>
    <mergeCell ref="B790:C790"/>
    <mergeCell ref="D790:E790"/>
    <mergeCell ref="F790:G790"/>
    <mergeCell ref="H790:I790"/>
    <mergeCell ref="J790:K790"/>
    <mergeCell ref="L790:M790"/>
    <mergeCell ref="N790:O790"/>
    <mergeCell ref="P792:Q792"/>
    <mergeCell ref="R792:S792"/>
    <mergeCell ref="T792:U792"/>
    <mergeCell ref="V792:W792"/>
    <mergeCell ref="X792:Y792"/>
    <mergeCell ref="Z792:AA792"/>
    <mergeCell ref="AB792:AC792"/>
    <mergeCell ref="B792:C792"/>
    <mergeCell ref="D792:E792"/>
    <mergeCell ref="F792:G792"/>
    <mergeCell ref="H792:I792"/>
    <mergeCell ref="J792:K792"/>
    <mergeCell ref="L792:M792"/>
    <mergeCell ref="N792:O792"/>
    <mergeCell ref="AD790:AE790"/>
    <mergeCell ref="AF790:AG790"/>
    <mergeCell ref="P790:Q790"/>
    <mergeCell ref="R790:S790"/>
    <mergeCell ref="T790:U790"/>
    <mergeCell ref="V790:W790"/>
    <mergeCell ref="X790:Y790"/>
    <mergeCell ref="Z790:AA790"/>
    <mergeCell ref="AB790:AC790"/>
    <mergeCell ref="AD791:AE791"/>
    <mergeCell ref="AF791:AG791"/>
    <mergeCell ref="AH791:AI791"/>
    <mergeCell ref="AJ791:AK791"/>
    <mergeCell ref="AL791:BB791"/>
    <mergeCell ref="P791:Q791"/>
    <mergeCell ref="R791:S791"/>
    <mergeCell ref="T791:U791"/>
    <mergeCell ref="V791:W791"/>
    <mergeCell ref="X791:Y791"/>
    <mergeCell ref="Z791:AA791"/>
    <mergeCell ref="AB791:AC791"/>
    <mergeCell ref="B791:C791"/>
    <mergeCell ref="D791:E791"/>
    <mergeCell ref="F791:G791"/>
    <mergeCell ref="H791:I791"/>
    <mergeCell ref="J791:K791"/>
    <mergeCell ref="L791:M791"/>
    <mergeCell ref="N791:O791"/>
    <mergeCell ref="AD792:AE792"/>
    <mergeCell ref="AF792:AG792"/>
    <mergeCell ref="AH792:AI792"/>
    <mergeCell ref="AJ792:AK792"/>
    <mergeCell ref="AL792:BB792"/>
    <mergeCell ref="AH793:AI793"/>
    <mergeCell ref="AJ793:AK793"/>
    <mergeCell ref="AL793:BB793"/>
    <mergeCell ref="B793:C793"/>
    <mergeCell ref="D793:E793"/>
    <mergeCell ref="F793:G793"/>
    <mergeCell ref="H793:I793"/>
    <mergeCell ref="J793:K793"/>
    <mergeCell ref="L793:M793"/>
    <mergeCell ref="N793:O793"/>
    <mergeCell ref="P795:Q795"/>
    <mergeCell ref="R795:S795"/>
    <mergeCell ref="T795:U795"/>
    <mergeCell ref="V795:W795"/>
    <mergeCell ref="X795:Y795"/>
    <mergeCell ref="Z795:AA795"/>
    <mergeCell ref="AB795:AC795"/>
    <mergeCell ref="B795:C795"/>
    <mergeCell ref="D795:E795"/>
    <mergeCell ref="F795:G795"/>
    <mergeCell ref="H795:I795"/>
    <mergeCell ref="J795:K795"/>
    <mergeCell ref="L795:M795"/>
    <mergeCell ref="N795:O795"/>
    <mergeCell ref="P798:Q798"/>
    <mergeCell ref="R798:S798"/>
    <mergeCell ref="T798:U798"/>
    <mergeCell ref="V798:W798"/>
    <mergeCell ref="X798:Y798"/>
    <mergeCell ref="Z798:AA798"/>
    <mergeCell ref="AB798:AC798"/>
    <mergeCell ref="B798:C798"/>
    <mergeCell ref="D798:E798"/>
    <mergeCell ref="F798:G798"/>
    <mergeCell ref="H798:I798"/>
    <mergeCell ref="J798:K798"/>
    <mergeCell ref="L798:M798"/>
    <mergeCell ref="N798:O798"/>
    <mergeCell ref="X796:Y796"/>
    <mergeCell ref="Z796:AA796"/>
    <mergeCell ref="AB796:AC796"/>
    <mergeCell ref="AD797:AE797"/>
    <mergeCell ref="AF797:AG797"/>
    <mergeCell ref="AH797:AI797"/>
    <mergeCell ref="AJ797:AK797"/>
    <mergeCell ref="AL797:BB797"/>
    <mergeCell ref="P797:Q797"/>
    <mergeCell ref="R797:S797"/>
    <mergeCell ref="T797:U797"/>
    <mergeCell ref="V797:W797"/>
    <mergeCell ref="X797:Y797"/>
    <mergeCell ref="Z797:AA797"/>
    <mergeCell ref="AB797:AC797"/>
    <mergeCell ref="B797:C797"/>
    <mergeCell ref="D797:E797"/>
    <mergeCell ref="F797:G797"/>
    <mergeCell ref="H797:I797"/>
    <mergeCell ref="J797:K797"/>
    <mergeCell ref="L797:M797"/>
    <mergeCell ref="N797:O797"/>
    <mergeCell ref="AD798:AE798"/>
    <mergeCell ref="AF798:AG798"/>
    <mergeCell ref="AH798:AI798"/>
    <mergeCell ref="AJ798:AK798"/>
    <mergeCell ref="AD802:AE802"/>
    <mergeCell ref="AF802:AG802"/>
    <mergeCell ref="P802:Q802"/>
    <mergeCell ref="R802:S802"/>
    <mergeCell ref="T802:U802"/>
    <mergeCell ref="V802:W802"/>
    <mergeCell ref="X802:Y802"/>
    <mergeCell ref="Z802:AA802"/>
    <mergeCell ref="AB802:AC802"/>
    <mergeCell ref="AD803:AE803"/>
    <mergeCell ref="AF803:AG803"/>
    <mergeCell ref="AH803:AI803"/>
    <mergeCell ref="AJ803:AK803"/>
    <mergeCell ref="AL803:BB803"/>
    <mergeCell ref="P803:Q803"/>
    <mergeCell ref="R803:S803"/>
    <mergeCell ref="T803:U803"/>
    <mergeCell ref="V803:W803"/>
    <mergeCell ref="X803:Y803"/>
    <mergeCell ref="Z803:AA803"/>
    <mergeCell ref="AB803:AC803"/>
    <mergeCell ref="B803:C803"/>
    <mergeCell ref="D803:E803"/>
    <mergeCell ref="F803:G803"/>
    <mergeCell ref="H803:I803"/>
    <mergeCell ref="J803:K803"/>
    <mergeCell ref="L803:M803"/>
    <mergeCell ref="N803:O803"/>
    <mergeCell ref="AD804:AE804"/>
    <mergeCell ref="AF804:AG804"/>
    <mergeCell ref="AH804:AI804"/>
    <mergeCell ref="AJ804:AK804"/>
    <mergeCell ref="AL804:BB804"/>
    <mergeCell ref="AH802:AI802"/>
    <mergeCell ref="AJ802:AK802"/>
    <mergeCell ref="AL802:BB802"/>
    <mergeCell ref="B802:C802"/>
    <mergeCell ref="D802:E802"/>
    <mergeCell ref="F802:G802"/>
    <mergeCell ref="H802:I802"/>
    <mergeCell ref="J802:K802"/>
    <mergeCell ref="L802:M802"/>
    <mergeCell ref="N802:O802"/>
    <mergeCell ref="P804:Q804"/>
    <mergeCell ref="R804:S804"/>
    <mergeCell ref="T804:U804"/>
    <mergeCell ref="V804:W804"/>
    <mergeCell ref="X804:Y804"/>
    <mergeCell ref="Z804:AA804"/>
    <mergeCell ref="AB804:AC804"/>
    <mergeCell ref="B804:C804"/>
    <mergeCell ref="D804:E804"/>
    <mergeCell ref="F804:G804"/>
    <mergeCell ref="H804:I804"/>
    <mergeCell ref="J804:K804"/>
    <mergeCell ref="L804:M804"/>
    <mergeCell ref="N804:O804"/>
    <mergeCell ref="AH805:AI805"/>
    <mergeCell ref="AJ805:AK805"/>
    <mergeCell ref="AL805:BB805"/>
    <mergeCell ref="B805:C805"/>
    <mergeCell ref="D805:E805"/>
    <mergeCell ref="F805:G805"/>
    <mergeCell ref="H805:I805"/>
    <mergeCell ref="J805:K805"/>
    <mergeCell ref="L805:M805"/>
    <mergeCell ref="N805:O805"/>
    <mergeCell ref="AD805:AE805"/>
    <mergeCell ref="AF805:AG805"/>
    <mergeCell ref="P805:Q805"/>
    <mergeCell ref="R805:S805"/>
    <mergeCell ref="T805:U805"/>
    <mergeCell ref="V805:W805"/>
    <mergeCell ref="X805:Y805"/>
    <mergeCell ref="Z805:AA805"/>
    <mergeCell ref="AB805:AC805"/>
    <mergeCell ref="AD806:AE806"/>
    <mergeCell ref="AF806:AG806"/>
    <mergeCell ref="AH806:AI806"/>
    <mergeCell ref="AJ806:AK806"/>
    <mergeCell ref="AL806:BB806"/>
    <mergeCell ref="P806:Q806"/>
    <mergeCell ref="R806:S806"/>
    <mergeCell ref="T806:U806"/>
    <mergeCell ref="V806:W806"/>
    <mergeCell ref="X806:Y806"/>
    <mergeCell ref="Z806:AA806"/>
    <mergeCell ref="AB806:AC806"/>
    <mergeCell ref="B806:C806"/>
    <mergeCell ref="D806:E806"/>
    <mergeCell ref="F806:G806"/>
    <mergeCell ref="H806:I806"/>
    <mergeCell ref="J806:K806"/>
    <mergeCell ref="L806:M806"/>
    <mergeCell ref="N806:O806"/>
    <mergeCell ref="AD807:AE807"/>
    <mergeCell ref="AF807:AG807"/>
    <mergeCell ref="AH807:AI807"/>
    <mergeCell ref="AJ807:AK807"/>
    <mergeCell ref="AL807:BB807"/>
    <mergeCell ref="AH808:AI808"/>
    <mergeCell ref="AJ808:AK808"/>
    <mergeCell ref="AL808:BB808"/>
    <mergeCell ref="B808:C808"/>
    <mergeCell ref="D808:E808"/>
    <mergeCell ref="F808:G808"/>
    <mergeCell ref="H808:I808"/>
    <mergeCell ref="J808:K808"/>
    <mergeCell ref="L808:M808"/>
    <mergeCell ref="N808:O808"/>
    <mergeCell ref="AD793:AE793"/>
    <mergeCell ref="AF793:AG793"/>
    <mergeCell ref="P793:Q793"/>
    <mergeCell ref="R793:S793"/>
    <mergeCell ref="T793:U793"/>
    <mergeCell ref="V793:W793"/>
    <mergeCell ref="X793:Y793"/>
    <mergeCell ref="Z793:AA793"/>
    <mergeCell ref="AB793:AC793"/>
    <mergeCell ref="AD794:AE794"/>
    <mergeCell ref="AF794:AG794"/>
    <mergeCell ref="AH794:AI794"/>
    <mergeCell ref="AJ794:AK794"/>
    <mergeCell ref="AL794:BB794"/>
    <mergeCell ref="P794:Q794"/>
    <mergeCell ref="R794:S794"/>
    <mergeCell ref="T794:U794"/>
    <mergeCell ref="V794:W794"/>
    <mergeCell ref="X794:Y794"/>
    <mergeCell ref="Z794:AA794"/>
    <mergeCell ref="AB794:AC794"/>
    <mergeCell ref="B794:C794"/>
    <mergeCell ref="D794:E794"/>
    <mergeCell ref="F794:G794"/>
    <mergeCell ref="H794:I794"/>
    <mergeCell ref="J794:K794"/>
    <mergeCell ref="L794:M794"/>
    <mergeCell ref="N794:O794"/>
    <mergeCell ref="AD795:AE795"/>
    <mergeCell ref="AF795:AG795"/>
    <mergeCell ref="AH795:AI795"/>
    <mergeCell ref="AJ795:AK795"/>
    <mergeCell ref="AL795:BB795"/>
    <mergeCell ref="AH796:AI796"/>
    <mergeCell ref="AJ796:AK796"/>
    <mergeCell ref="AL796:BB796"/>
    <mergeCell ref="B796:C796"/>
    <mergeCell ref="D796:E796"/>
    <mergeCell ref="F796:G796"/>
    <mergeCell ref="H796:I796"/>
    <mergeCell ref="J796:K796"/>
    <mergeCell ref="L796:M796"/>
    <mergeCell ref="N796:O796"/>
    <mergeCell ref="AD796:AE796"/>
    <mergeCell ref="AF796:AG796"/>
    <mergeCell ref="P796:Q796"/>
    <mergeCell ref="R796:S796"/>
    <mergeCell ref="T796:U796"/>
    <mergeCell ref="V796:W796"/>
    <mergeCell ref="AL798:BB798"/>
    <mergeCell ref="AH799:AI799"/>
    <mergeCell ref="AJ799:AK799"/>
    <mergeCell ref="AL799:BB799"/>
    <mergeCell ref="B799:C799"/>
    <mergeCell ref="D799:E799"/>
    <mergeCell ref="F799:G799"/>
    <mergeCell ref="H799:I799"/>
    <mergeCell ref="J799:K799"/>
    <mergeCell ref="L799:M799"/>
    <mergeCell ref="N799:O799"/>
    <mergeCell ref="P801:Q801"/>
    <mergeCell ref="R801:S801"/>
    <mergeCell ref="T801:U801"/>
    <mergeCell ref="V801:W801"/>
    <mergeCell ref="X801:Y801"/>
    <mergeCell ref="Z801:AA801"/>
    <mergeCell ref="AB801:AC801"/>
    <mergeCell ref="B801:C801"/>
    <mergeCell ref="D801:E801"/>
    <mergeCell ref="F801:G801"/>
    <mergeCell ref="H801:I801"/>
    <mergeCell ref="J801:K801"/>
    <mergeCell ref="L801:M801"/>
    <mergeCell ref="N801:O801"/>
    <mergeCell ref="AD799:AE799"/>
    <mergeCell ref="AF799:AG799"/>
    <mergeCell ref="P799:Q799"/>
    <mergeCell ref="R799:S799"/>
    <mergeCell ref="T799:U799"/>
    <mergeCell ref="V799:W799"/>
    <mergeCell ref="X799:Y799"/>
    <mergeCell ref="Z799:AA799"/>
    <mergeCell ref="AB799:AC799"/>
    <mergeCell ref="AD800:AE800"/>
    <mergeCell ref="AF800:AG800"/>
    <mergeCell ref="AH800:AI800"/>
    <mergeCell ref="AJ800:AK800"/>
    <mergeCell ref="AL800:BB800"/>
    <mergeCell ref="P800:Q800"/>
    <mergeCell ref="R800:S800"/>
    <mergeCell ref="T800:U800"/>
    <mergeCell ref="V800:W800"/>
    <mergeCell ref="X800:Y800"/>
    <mergeCell ref="Z800:AA800"/>
    <mergeCell ref="AB800:AC800"/>
    <mergeCell ref="B800:C800"/>
    <mergeCell ref="D800:E800"/>
    <mergeCell ref="F800:G800"/>
    <mergeCell ref="H800:I800"/>
    <mergeCell ref="J800:K800"/>
    <mergeCell ref="L800:M800"/>
    <mergeCell ref="N800:O800"/>
    <mergeCell ref="AD801:AE801"/>
    <mergeCell ref="AF801:AG801"/>
    <mergeCell ref="AH801:AI801"/>
    <mergeCell ref="AJ801:AK801"/>
    <mergeCell ref="AL801:BB801"/>
    <mergeCell ref="P807:Q807"/>
    <mergeCell ref="R807:S807"/>
    <mergeCell ref="T807:U807"/>
    <mergeCell ref="V807:W807"/>
    <mergeCell ref="X807:Y807"/>
    <mergeCell ref="Z807:AA807"/>
    <mergeCell ref="AB807:AC807"/>
    <mergeCell ref="B807:C807"/>
    <mergeCell ref="D807:E807"/>
    <mergeCell ref="F807:G807"/>
    <mergeCell ref="H807:I807"/>
    <mergeCell ref="J807:K807"/>
    <mergeCell ref="L807:M807"/>
    <mergeCell ref="N807:O807"/>
    <mergeCell ref="AD829:AE829"/>
    <mergeCell ref="AF829:AG829"/>
    <mergeCell ref="AH829:AI829"/>
    <mergeCell ref="AJ829:AK829"/>
    <mergeCell ref="AL829:BB829"/>
    <mergeCell ref="P829:Q829"/>
    <mergeCell ref="R829:S829"/>
    <mergeCell ref="T829:U829"/>
    <mergeCell ref="V829:W829"/>
    <mergeCell ref="X829:Y829"/>
    <mergeCell ref="Z829:AA829"/>
    <mergeCell ref="AB829:AC829"/>
    <mergeCell ref="P810:Q810"/>
    <mergeCell ref="R810:S810"/>
    <mergeCell ref="T810:U810"/>
    <mergeCell ref="V810:W810"/>
    <mergeCell ref="X810:Y810"/>
    <mergeCell ref="Z810:AA810"/>
    <mergeCell ref="AB810:AC810"/>
    <mergeCell ref="B810:C810"/>
    <mergeCell ref="D810:E810"/>
    <mergeCell ref="F810:G810"/>
    <mergeCell ref="H810:I810"/>
    <mergeCell ref="J810:K810"/>
    <mergeCell ref="L810:M810"/>
    <mergeCell ref="N810:O810"/>
    <mergeCell ref="AD808:AE808"/>
    <mergeCell ref="AF808:AG808"/>
    <mergeCell ref="P808:Q808"/>
    <mergeCell ref="R808:S808"/>
    <mergeCell ref="T808:U808"/>
    <mergeCell ref="V808:W808"/>
    <mergeCell ref="X808:Y808"/>
    <mergeCell ref="Z808:AA808"/>
    <mergeCell ref="AB808:AC808"/>
    <mergeCell ref="AD809:AE809"/>
    <mergeCell ref="AF809:AG809"/>
    <mergeCell ref="AH809:AI809"/>
    <mergeCell ref="AJ809:AK809"/>
    <mergeCell ref="AL809:BB809"/>
    <mergeCell ref="P809:Q809"/>
    <mergeCell ref="R809:S809"/>
    <mergeCell ref="T809:U809"/>
    <mergeCell ref="V809:W809"/>
    <mergeCell ref="X809:Y809"/>
    <mergeCell ref="Z809:AA809"/>
    <mergeCell ref="AB809:AC809"/>
    <mergeCell ref="B809:C809"/>
    <mergeCell ref="D809:E809"/>
    <mergeCell ref="F809:G809"/>
    <mergeCell ref="H809:I809"/>
    <mergeCell ref="J809:K809"/>
    <mergeCell ref="L809:M809"/>
    <mergeCell ref="N809:O809"/>
    <mergeCell ref="AD810:AE810"/>
    <mergeCell ref="AF810:AG810"/>
    <mergeCell ref="AH810:AI810"/>
    <mergeCell ref="AJ810:AK810"/>
    <mergeCell ref="AL810:BB810"/>
    <mergeCell ref="AH811:AI811"/>
    <mergeCell ref="AJ811:AK811"/>
    <mergeCell ref="AL811:BB811"/>
    <mergeCell ref="B811:C811"/>
    <mergeCell ref="D811:E811"/>
    <mergeCell ref="F811:G811"/>
    <mergeCell ref="H811:I811"/>
    <mergeCell ref="J811:K811"/>
    <mergeCell ref="L811:M811"/>
    <mergeCell ref="N811:O811"/>
    <mergeCell ref="P813:Q813"/>
    <mergeCell ref="R813:S813"/>
    <mergeCell ref="T813:U813"/>
    <mergeCell ref="V813:W813"/>
    <mergeCell ref="X813:Y813"/>
    <mergeCell ref="Z813:AA813"/>
    <mergeCell ref="AB813:AC813"/>
    <mergeCell ref="B813:C813"/>
    <mergeCell ref="D813:E813"/>
    <mergeCell ref="F813:G813"/>
    <mergeCell ref="H813:I813"/>
    <mergeCell ref="J813:K813"/>
    <mergeCell ref="L813:M813"/>
    <mergeCell ref="N813:O813"/>
    <mergeCell ref="AD811:AE811"/>
    <mergeCell ref="AF811:AG811"/>
    <mergeCell ref="P811:Q811"/>
    <mergeCell ref="R811:S811"/>
    <mergeCell ref="T811:U811"/>
    <mergeCell ref="V811:W811"/>
    <mergeCell ref="X811:Y811"/>
    <mergeCell ref="Z811:AA811"/>
    <mergeCell ref="AB811:AC811"/>
    <mergeCell ref="AD812:AE812"/>
    <mergeCell ref="AF812:AG812"/>
    <mergeCell ref="AH812:AI812"/>
    <mergeCell ref="AJ812:AK812"/>
    <mergeCell ref="AL812:BB812"/>
    <mergeCell ref="P812:Q812"/>
    <mergeCell ref="R812:S812"/>
    <mergeCell ref="T812:U812"/>
    <mergeCell ref="V812:W812"/>
    <mergeCell ref="X812:Y812"/>
    <mergeCell ref="Z812:AA812"/>
    <mergeCell ref="AB812:AC812"/>
    <mergeCell ref="B812:C812"/>
    <mergeCell ref="D812:E812"/>
    <mergeCell ref="F812:G812"/>
    <mergeCell ref="H812:I812"/>
    <mergeCell ref="J812:K812"/>
    <mergeCell ref="L812:M812"/>
    <mergeCell ref="N812:O812"/>
    <mergeCell ref="AD813:AE813"/>
    <mergeCell ref="AF813:AG813"/>
    <mergeCell ref="AH813:AI813"/>
    <mergeCell ref="AJ813:AK813"/>
    <mergeCell ref="AL813:BB813"/>
    <mergeCell ref="AH814:AI814"/>
    <mergeCell ref="AJ814:AK814"/>
    <mergeCell ref="AL814:BB814"/>
    <mergeCell ref="B814:C814"/>
    <mergeCell ref="D814:E814"/>
    <mergeCell ref="F814:G814"/>
    <mergeCell ref="H814:I814"/>
    <mergeCell ref="J814:K814"/>
    <mergeCell ref="L814:M814"/>
    <mergeCell ref="N814:O814"/>
    <mergeCell ref="P816:Q816"/>
    <mergeCell ref="R816:S816"/>
    <mergeCell ref="T816:U816"/>
    <mergeCell ref="V816:W816"/>
    <mergeCell ref="X816:Y816"/>
    <mergeCell ref="Z816:AA816"/>
    <mergeCell ref="AB816:AC816"/>
    <mergeCell ref="B816:C816"/>
    <mergeCell ref="D816:E816"/>
    <mergeCell ref="F816:G816"/>
    <mergeCell ref="H816:I816"/>
    <mergeCell ref="J816:K816"/>
    <mergeCell ref="L816:M816"/>
    <mergeCell ref="N816:O816"/>
    <mergeCell ref="AD814:AE814"/>
    <mergeCell ref="AF814:AG814"/>
    <mergeCell ref="P814:Q814"/>
    <mergeCell ref="R814:S814"/>
    <mergeCell ref="T814:U814"/>
    <mergeCell ref="V814:W814"/>
    <mergeCell ref="X814:Y814"/>
    <mergeCell ref="Z814:AA814"/>
    <mergeCell ref="AB814:AC814"/>
    <mergeCell ref="AD815:AE815"/>
    <mergeCell ref="AF815:AG815"/>
    <mergeCell ref="AH815:AI815"/>
    <mergeCell ref="AJ815:AK815"/>
    <mergeCell ref="AL815:BB815"/>
    <mergeCell ref="P815:Q815"/>
    <mergeCell ref="R815:S815"/>
    <mergeCell ref="T815:U815"/>
    <mergeCell ref="V815:W815"/>
    <mergeCell ref="X815:Y815"/>
    <mergeCell ref="Z815:AA815"/>
    <mergeCell ref="AB815:AC815"/>
    <mergeCell ref="B815:C815"/>
    <mergeCell ref="D815:E815"/>
    <mergeCell ref="F815:G815"/>
    <mergeCell ref="H815:I815"/>
    <mergeCell ref="J815:K815"/>
    <mergeCell ref="L815:M815"/>
    <mergeCell ref="N815:O815"/>
    <mergeCell ref="AD816:AE816"/>
    <mergeCell ref="AF816:AG816"/>
    <mergeCell ref="AH816:AI816"/>
    <mergeCell ref="AJ816:AK816"/>
    <mergeCell ref="AL816:BB816"/>
    <mergeCell ref="AH817:AI817"/>
    <mergeCell ref="AJ817:AK817"/>
    <mergeCell ref="AL817:BB817"/>
    <mergeCell ref="B817:C817"/>
    <mergeCell ref="D817:E817"/>
    <mergeCell ref="F817:G817"/>
    <mergeCell ref="H817:I817"/>
    <mergeCell ref="J817:K817"/>
    <mergeCell ref="L817:M817"/>
    <mergeCell ref="N817:O817"/>
    <mergeCell ref="P819:Q819"/>
    <mergeCell ref="R819:S819"/>
    <mergeCell ref="T819:U819"/>
    <mergeCell ref="V819:W819"/>
    <mergeCell ref="X819:Y819"/>
    <mergeCell ref="Z819:AA819"/>
    <mergeCell ref="AB819:AC819"/>
    <mergeCell ref="B819:C819"/>
    <mergeCell ref="D819:E819"/>
    <mergeCell ref="F819:G819"/>
    <mergeCell ref="H819:I819"/>
    <mergeCell ref="J819:K819"/>
    <mergeCell ref="L819:M819"/>
    <mergeCell ref="N819:O819"/>
    <mergeCell ref="AD817:AE817"/>
    <mergeCell ref="AF817:AG817"/>
    <mergeCell ref="P817:Q817"/>
    <mergeCell ref="R817:S817"/>
    <mergeCell ref="T817:U817"/>
    <mergeCell ref="V817:W817"/>
    <mergeCell ref="X817:Y817"/>
    <mergeCell ref="Z817:AA817"/>
    <mergeCell ref="AB817:AC817"/>
    <mergeCell ref="AD818:AE818"/>
    <mergeCell ref="AF818:AG818"/>
    <mergeCell ref="AH818:AI818"/>
    <mergeCell ref="AJ818:AK818"/>
    <mergeCell ref="AL818:BB818"/>
    <mergeCell ref="P818:Q818"/>
    <mergeCell ref="R818:S818"/>
    <mergeCell ref="T818:U818"/>
    <mergeCell ref="V818:W818"/>
    <mergeCell ref="X818:Y818"/>
    <mergeCell ref="Z818:AA818"/>
    <mergeCell ref="AB818:AC818"/>
    <mergeCell ref="B818:C818"/>
    <mergeCell ref="D818:E818"/>
    <mergeCell ref="F818:G818"/>
    <mergeCell ref="H818:I818"/>
    <mergeCell ref="J818:K818"/>
    <mergeCell ref="L818:M818"/>
    <mergeCell ref="N818:O818"/>
    <mergeCell ref="AD819:AE819"/>
    <mergeCell ref="AF819:AG819"/>
    <mergeCell ref="AH819:AI819"/>
    <mergeCell ref="AJ819:AK819"/>
    <mergeCell ref="AL819:BB819"/>
    <mergeCell ref="AH820:AI820"/>
    <mergeCell ref="AJ820:AK820"/>
    <mergeCell ref="AL820:BB820"/>
    <mergeCell ref="B820:C820"/>
    <mergeCell ref="D820:E820"/>
    <mergeCell ref="F820:G820"/>
    <mergeCell ref="H820:I820"/>
    <mergeCell ref="J820:K820"/>
    <mergeCell ref="L820:M820"/>
    <mergeCell ref="N820:O820"/>
    <mergeCell ref="P822:Q822"/>
    <mergeCell ref="R822:S822"/>
    <mergeCell ref="T822:U822"/>
    <mergeCell ref="V822:W822"/>
    <mergeCell ref="X822:Y822"/>
    <mergeCell ref="Z822:AA822"/>
    <mergeCell ref="AB822:AC822"/>
    <mergeCell ref="B822:C822"/>
    <mergeCell ref="D822:E822"/>
    <mergeCell ref="F822:G822"/>
    <mergeCell ref="H822:I822"/>
    <mergeCell ref="J822:K822"/>
    <mergeCell ref="L822:M822"/>
    <mergeCell ref="N822:O822"/>
    <mergeCell ref="AD820:AE820"/>
    <mergeCell ref="AF820:AG820"/>
    <mergeCell ref="P820:Q820"/>
    <mergeCell ref="R820:S820"/>
    <mergeCell ref="T820:U820"/>
    <mergeCell ref="V820:W820"/>
    <mergeCell ref="X820:Y820"/>
    <mergeCell ref="Z820:AA820"/>
    <mergeCell ref="AB820:AC820"/>
    <mergeCell ref="AD821:AE821"/>
    <mergeCell ref="AF821:AG821"/>
    <mergeCell ref="AH821:AI821"/>
    <mergeCell ref="AJ821:AK821"/>
    <mergeCell ref="AL821:BB821"/>
    <mergeCell ref="P821:Q821"/>
    <mergeCell ref="R821:S821"/>
    <mergeCell ref="T821:U821"/>
    <mergeCell ref="V821:W821"/>
    <mergeCell ref="X821:Y821"/>
    <mergeCell ref="Z821:AA821"/>
    <mergeCell ref="AB821:AC821"/>
    <mergeCell ref="B821:C821"/>
    <mergeCell ref="D821:E821"/>
    <mergeCell ref="F821:G821"/>
    <mergeCell ref="H821:I821"/>
    <mergeCell ref="J821:K821"/>
    <mergeCell ref="L821:M821"/>
    <mergeCell ref="N821:O821"/>
    <mergeCell ref="AD822:AE822"/>
    <mergeCell ref="AF822:AG822"/>
    <mergeCell ref="AH822:AI822"/>
    <mergeCell ref="AJ822:AK822"/>
    <mergeCell ref="AL822:BB822"/>
    <mergeCell ref="AH823:AI823"/>
    <mergeCell ref="AJ823:AK823"/>
    <mergeCell ref="AL823:BB823"/>
    <mergeCell ref="B823:C823"/>
    <mergeCell ref="D823:E823"/>
    <mergeCell ref="F823:G823"/>
    <mergeCell ref="H823:I823"/>
    <mergeCell ref="J823:K823"/>
    <mergeCell ref="L823:M823"/>
    <mergeCell ref="N823:O823"/>
    <mergeCell ref="P825:Q825"/>
    <mergeCell ref="R825:S825"/>
    <mergeCell ref="T825:U825"/>
    <mergeCell ref="V825:W825"/>
    <mergeCell ref="X825:Y825"/>
    <mergeCell ref="Z825:AA825"/>
    <mergeCell ref="AB825:AC825"/>
    <mergeCell ref="B825:C825"/>
    <mergeCell ref="D825:E825"/>
    <mergeCell ref="F825:G825"/>
    <mergeCell ref="H825:I825"/>
    <mergeCell ref="J825:K825"/>
    <mergeCell ref="L825:M825"/>
    <mergeCell ref="N825:O825"/>
    <mergeCell ref="AD823:AE823"/>
    <mergeCell ref="AF823:AG823"/>
    <mergeCell ref="P823:Q823"/>
    <mergeCell ref="R823:S823"/>
    <mergeCell ref="T823:U823"/>
    <mergeCell ref="V823:W823"/>
    <mergeCell ref="X823:Y823"/>
    <mergeCell ref="Z823:AA823"/>
    <mergeCell ref="AB823:AC823"/>
    <mergeCell ref="AD824:AE824"/>
    <mergeCell ref="AF824:AG824"/>
    <mergeCell ref="AH824:AI824"/>
    <mergeCell ref="AJ824:AK824"/>
    <mergeCell ref="AL824:BB824"/>
    <mergeCell ref="P824:Q824"/>
    <mergeCell ref="R824:S824"/>
    <mergeCell ref="T824:U824"/>
    <mergeCell ref="V824:W824"/>
    <mergeCell ref="X824:Y824"/>
    <mergeCell ref="Z824:AA824"/>
    <mergeCell ref="AB824:AC824"/>
    <mergeCell ref="B824:C824"/>
    <mergeCell ref="D824:E824"/>
    <mergeCell ref="F824:G824"/>
    <mergeCell ref="H824:I824"/>
    <mergeCell ref="J824:K824"/>
    <mergeCell ref="L824:M824"/>
    <mergeCell ref="N824:O824"/>
    <mergeCell ref="AD825:AE825"/>
    <mergeCell ref="AF825:AG825"/>
    <mergeCell ref="AH825:AI825"/>
    <mergeCell ref="AJ825:AK825"/>
    <mergeCell ref="AL825:BB825"/>
    <mergeCell ref="AH826:AI826"/>
    <mergeCell ref="AJ826:AK826"/>
    <mergeCell ref="AL826:BB826"/>
    <mergeCell ref="B826:C826"/>
    <mergeCell ref="D826:E826"/>
    <mergeCell ref="F826:G826"/>
    <mergeCell ref="H826:I826"/>
    <mergeCell ref="J826:K826"/>
    <mergeCell ref="L826:M826"/>
    <mergeCell ref="N826:O826"/>
    <mergeCell ref="P828:Q828"/>
    <mergeCell ref="R828:S828"/>
    <mergeCell ref="T828:U828"/>
    <mergeCell ref="V828:W828"/>
    <mergeCell ref="X828:Y828"/>
    <mergeCell ref="Z828:AA828"/>
    <mergeCell ref="AB828:AC828"/>
    <mergeCell ref="B828:C828"/>
    <mergeCell ref="D828:E828"/>
    <mergeCell ref="F828:G828"/>
    <mergeCell ref="H828:I828"/>
    <mergeCell ref="J828:K828"/>
    <mergeCell ref="L828:M828"/>
    <mergeCell ref="N828:O828"/>
    <mergeCell ref="AD826:AE826"/>
    <mergeCell ref="AF826:AG826"/>
    <mergeCell ref="P826:Q826"/>
    <mergeCell ref="R826:S826"/>
    <mergeCell ref="T826:U826"/>
    <mergeCell ref="V826:W826"/>
    <mergeCell ref="X826:Y826"/>
    <mergeCell ref="Z826:AA826"/>
    <mergeCell ref="AB826:AC826"/>
    <mergeCell ref="AD827:AE827"/>
    <mergeCell ref="AF827:AG827"/>
    <mergeCell ref="AH827:AI827"/>
    <mergeCell ref="AJ827:AK827"/>
    <mergeCell ref="AL827:BB827"/>
    <mergeCell ref="P827:Q827"/>
    <mergeCell ref="R827:S827"/>
    <mergeCell ref="T827:U827"/>
    <mergeCell ref="V827:W827"/>
    <mergeCell ref="X827:Y827"/>
    <mergeCell ref="Z827:AA827"/>
    <mergeCell ref="AB827:AC827"/>
    <mergeCell ref="B827:C827"/>
    <mergeCell ref="D827:E827"/>
    <mergeCell ref="F827:G827"/>
    <mergeCell ref="H827:I827"/>
    <mergeCell ref="J827:K827"/>
    <mergeCell ref="L827:M827"/>
    <mergeCell ref="N827:O827"/>
    <mergeCell ref="AD828:AE828"/>
    <mergeCell ref="AF828:AG828"/>
    <mergeCell ref="AH828:AI828"/>
    <mergeCell ref="AJ828:AK828"/>
    <mergeCell ref="AL828:BB828"/>
    <mergeCell ref="B829:C829"/>
    <mergeCell ref="D829:E829"/>
    <mergeCell ref="F829:G829"/>
    <mergeCell ref="H829:I829"/>
    <mergeCell ref="J829:K829"/>
    <mergeCell ref="L829:M829"/>
    <mergeCell ref="N829:O829"/>
    <mergeCell ref="AD830:AE830"/>
    <mergeCell ref="AF830:AG830"/>
    <mergeCell ref="AH830:AI830"/>
    <mergeCell ref="AJ830:AK830"/>
    <mergeCell ref="AL830:BB830"/>
    <mergeCell ref="P830:Q830"/>
    <mergeCell ref="R830:S830"/>
    <mergeCell ref="T830:U830"/>
    <mergeCell ref="V830:W830"/>
    <mergeCell ref="X830:Y830"/>
    <mergeCell ref="Z830:AA830"/>
    <mergeCell ref="AB830:AC830"/>
    <mergeCell ref="B830:C830"/>
    <mergeCell ref="D830:E830"/>
    <mergeCell ref="F830:G830"/>
    <mergeCell ref="H830:I830"/>
    <mergeCell ref="J830:K830"/>
    <mergeCell ref="L830:M830"/>
    <mergeCell ref="N830:O830"/>
    <mergeCell ref="AD831:AE831"/>
    <mergeCell ref="AF831:AG831"/>
    <mergeCell ref="AH831:AI831"/>
    <mergeCell ref="AJ831:AK831"/>
    <mergeCell ref="AL831:BB831"/>
    <mergeCell ref="P831:Q831"/>
    <mergeCell ref="R831:S831"/>
    <mergeCell ref="T831:U831"/>
    <mergeCell ref="V831:W831"/>
    <mergeCell ref="X831:Y831"/>
    <mergeCell ref="Z831:AA831"/>
    <mergeCell ref="AB831:AC831"/>
    <mergeCell ref="B831:C831"/>
    <mergeCell ref="D831:E831"/>
    <mergeCell ref="F831:G831"/>
    <mergeCell ref="H831:I831"/>
    <mergeCell ref="J831:K831"/>
    <mergeCell ref="L831:M831"/>
    <mergeCell ref="N831:O831"/>
    <mergeCell ref="AH832:AI832"/>
    <mergeCell ref="AJ832:AK832"/>
    <mergeCell ref="AL832:BB832"/>
    <mergeCell ref="B832:C832"/>
    <mergeCell ref="D832:E832"/>
    <mergeCell ref="F832:G832"/>
    <mergeCell ref="H832:I832"/>
    <mergeCell ref="J832:K832"/>
    <mergeCell ref="L832:M832"/>
    <mergeCell ref="N832:O832"/>
    <mergeCell ref="P834:Q834"/>
    <mergeCell ref="R834:S834"/>
    <mergeCell ref="T834:U834"/>
    <mergeCell ref="V834:W834"/>
    <mergeCell ref="X834:Y834"/>
    <mergeCell ref="Z834:AA834"/>
    <mergeCell ref="AB834:AC834"/>
    <mergeCell ref="B834:C834"/>
    <mergeCell ref="D834:E834"/>
    <mergeCell ref="F834:G834"/>
    <mergeCell ref="H834:I834"/>
    <mergeCell ref="J834:K834"/>
    <mergeCell ref="L834:M834"/>
    <mergeCell ref="N834:O834"/>
    <mergeCell ref="AD832:AE832"/>
    <mergeCell ref="AF832:AG832"/>
    <mergeCell ref="P832:Q832"/>
    <mergeCell ref="R832:S832"/>
    <mergeCell ref="T832:U832"/>
    <mergeCell ref="V832:W832"/>
    <mergeCell ref="X832:Y832"/>
    <mergeCell ref="Z832:AA832"/>
    <mergeCell ref="AB832:AC832"/>
    <mergeCell ref="AD833:AE833"/>
    <mergeCell ref="AF833:AG833"/>
    <mergeCell ref="AH833:AI833"/>
    <mergeCell ref="AJ833:AK833"/>
    <mergeCell ref="AL833:BB833"/>
    <mergeCell ref="P833:Q833"/>
    <mergeCell ref="R833:S833"/>
    <mergeCell ref="T833:U833"/>
    <mergeCell ref="V833:W833"/>
    <mergeCell ref="X833:Y833"/>
    <mergeCell ref="Z833:AA833"/>
    <mergeCell ref="AB833:AC833"/>
    <mergeCell ref="B833:C833"/>
    <mergeCell ref="D833:E833"/>
    <mergeCell ref="F833:G833"/>
    <mergeCell ref="H833:I833"/>
    <mergeCell ref="J833:K833"/>
    <mergeCell ref="L833:M833"/>
    <mergeCell ref="N833:O833"/>
    <mergeCell ref="AD834:AE834"/>
    <mergeCell ref="AF834:AG834"/>
    <mergeCell ref="AH834:AI834"/>
    <mergeCell ref="AJ834:AK834"/>
    <mergeCell ref="AL834:BB834"/>
    <mergeCell ref="AH835:AI835"/>
    <mergeCell ref="AJ835:AK835"/>
    <mergeCell ref="AL835:BB835"/>
    <mergeCell ref="B835:C835"/>
    <mergeCell ref="D835:E835"/>
    <mergeCell ref="F835:G835"/>
    <mergeCell ref="H835:I835"/>
    <mergeCell ref="J835:K835"/>
    <mergeCell ref="L835:M835"/>
    <mergeCell ref="N835:O835"/>
    <mergeCell ref="P837:Q837"/>
    <mergeCell ref="R837:S837"/>
    <mergeCell ref="T837:U837"/>
    <mergeCell ref="V837:W837"/>
    <mergeCell ref="X837:Y837"/>
    <mergeCell ref="Z837:AA837"/>
    <mergeCell ref="AB837:AC837"/>
    <mergeCell ref="B837:C837"/>
    <mergeCell ref="D837:E837"/>
    <mergeCell ref="F837:G837"/>
    <mergeCell ref="H837:I837"/>
    <mergeCell ref="J837:K837"/>
    <mergeCell ref="L837:M837"/>
    <mergeCell ref="N837:O837"/>
    <mergeCell ref="P840:Q840"/>
    <mergeCell ref="R840:S840"/>
    <mergeCell ref="T840:U840"/>
    <mergeCell ref="V840:W840"/>
    <mergeCell ref="X840:Y840"/>
    <mergeCell ref="Z840:AA840"/>
    <mergeCell ref="AB840:AC840"/>
    <mergeCell ref="B840:C840"/>
    <mergeCell ref="D840:E840"/>
    <mergeCell ref="F840:G840"/>
    <mergeCell ref="H840:I840"/>
    <mergeCell ref="J840:K840"/>
    <mergeCell ref="L840:M840"/>
    <mergeCell ref="N840:O840"/>
    <mergeCell ref="X838:Y838"/>
    <mergeCell ref="Z838:AA838"/>
    <mergeCell ref="AB838:AC838"/>
    <mergeCell ref="AD839:AE839"/>
    <mergeCell ref="AF839:AG839"/>
    <mergeCell ref="AH839:AI839"/>
    <mergeCell ref="AJ839:AK839"/>
    <mergeCell ref="AL839:BB839"/>
    <mergeCell ref="P839:Q839"/>
    <mergeCell ref="R839:S839"/>
    <mergeCell ref="T839:U839"/>
    <mergeCell ref="V839:W839"/>
    <mergeCell ref="X839:Y839"/>
    <mergeCell ref="Z839:AA839"/>
    <mergeCell ref="AB839:AC839"/>
    <mergeCell ref="B839:C839"/>
    <mergeCell ref="D839:E839"/>
    <mergeCell ref="F839:G839"/>
    <mergeCell ref="H839:I839"/>
    <mergeCell ref="J839:K839"/>
    <mergeCell ref="L839:M839"/>
    <mergeCell ref="N839:O839"/>
    <mergeCell ref="AD840:AE840"/>
    <mergeCell ref="AF840:AG840"/>
    <mergeCell ref="AH840:AI840"/>
    <mergeCell ref="AJ840:AK840"/>
    <mergeCell ref="AD844:AE844"/>
    <mergeCell ref="AF844:AG844"/>
    <mergeCell ref="P844:Q844"/>
    <mergeCell ref="R844:S844"/>
    <mergeCell ref="T844:U844"/>
    <mergeCell ref="V844:W844"/>
    <mergeCell ref="X844:Y844"/>
    <mergeCell ref="Z844:AA844"/>
    <mergeCell ref="AB844:AC844"/>
    <mergeCell ref="AD845:AE845"/>
    <mergeCell ref="AF845:AG845"/>
    <mergeCell ref="AH845:AI845"/>
    <mergeCell ref="AJ845:AK845"/>
    <mergeCell ref="AL845:BB845"/>
    <mergeCell ref="P845:Q845"/>
    <mergeCell ref="R845:S845"/>
    <mergeCell ref="T845:U845"/>
    <mergeCell ref="V845:W845"/>
    <mergeCell ref="X845:Y845"/>
    <mergeCell ref="Z845:AA845"/>
    <mergeCell ref="AB845:AC845"/>
    <mergeCell ref="B845:C845"/>
    <mergeCell ref="D845:E845"/>
    <mergeCell ref="F845:G845"/>
    <mergeCell ref="H845:I845"/>
    <mergeCell ref="J845:K845"/>
    <mergeCell ref="L845:M845"/>
    <mergeCell ref="N845:O845"/>
    <mergeCell ref="AD846:AE846"/>
    <mergeCell ref="AF846:AG846"/>
    <mergeCell ref="AH846:AI846"/>
    <mergeCell ref="AJ846:AK846"/>
    <mergeCell ref="AL846:BB846"/>
    <mergeCell ref="AH844:AI844"/>
    <mergeCell ref="AJ844:AK844"/>
    <mergeCell ref="AL844:BB844"/>
    <mergeCell ref="B844:C844"/>
    <mergeCell ref="D844:E844"/>
    <mergeCell ref="F844:G844"/>
    <mergeCell ref="H844:I844"/>
    <mergeCell ref="J844:K844"/>
    <mergeCell ref="L844:M844"/>
    <mergeCell ref="N844:O844"/>
    <mergeCell ref="P846:Q846"/>
    <mergeCell ref="R846:S846"/>
    <mergeCell ref="T846:U846"/>
    <mergeCell ref="V846:W846"/>
    <mergeCell ref="X846:Y846"/>
    <mergeCell ref="Z846:AA846"/>
    <mergeCell ref="AB846:AC846"/>
    <mergeCell ref="B846:C846"/>
    <mergeCell ref="D846:E846"/>
    <mergeCell ref="F846:G846"/>
    <mergeCell ref="H846:I846"/>
    <mergeCell ref="J846:K846"/>
    <mergeCell ref="L846:M846"/>
    <mergeCell ref="N846:O846"/>
    <mergeCell ref="AH847:AI847"/>
    <mergeCell ref="AJ847:AK847"/>
    <mergeCell ref="AL847:BB847"/>
    <mergeCell ref="B847:C847"/>
    <mergeCell ref="D847:E847"/>
    <mergeCell ref="F847:G847"/>
    <mergeCell ref="H847:I847"/>
    <mergeCell ref="J847:K847"/>
    <mergeCell ref="L847:M847"/>
    <mergeCell ref="N847:O847"/>
    <mergeCell ref="AD847:AE847"/>
    <mergeCell ref="AF847:AG847"/>
    <mergeCell ref="P847:Q847"/>
    <mergeCell ref="R847:S847"/>
    <mergeCell ref="T847:U847"/>
    <mergeCell ref="V847:W847"/>
    <mergeCell ref="X847:Y847"/>
    <mergeCell ref="Z847:AA847"/>
    <mergeCell ref="AB847:AC847"/>
    <mergeCell ref="AD848:AE848"/>
    <mergeCell ref="AF848:AG848"/>
    <mergeCell ref="AH848:AI848"/>
    <mergeCell ref="AJ848:AK848"/>
    <mergeCell ref="AL848:BB848"/>
    <mergeCell ref="P848:Q848"/>
    <mergeCell ref="R848:S848"/>
    <mergeCell ref="T848:U848"/>
    <mergeCell ref="V848:W848"/>
    <mergeCell ref="X848:Y848"/>
    <mergeCell ref="Z848:AA848"/>
    <mergeCell ref="AB848:AC848"/>
    <mergeCell ref="B848:C848"/>
    <mergeCell ref="D848:E848"/>
    <mergeCell ref="F848:G848"/>
    <mergeCell ref="H848:I848"/>
    <mergeCell ref="J848:K848"/>
    <mergeCell ref="L848:M848"/>
    <mergeCell ref="N848:O848"/>
    <mergeCell ref="AD849:AE849"/>
    <mergeCell ref="AF849:AG849"/>
    <mergeCell ref="AH849:AI849"/>
    <mergeCell ref="AJ849:AK849"/>
    <mergeCell ref="AL849:BB849"/>
    <mergeCell ref="AH850:AI850"/>
    <mergeCell ref="AJ850:AK850"/>
    <mergeCell ref="AL850:BB850"/>
    <mergeCell ref="B850:C850"/>
    <mergeCell ref="D850:E850"/>
    <mergeCell ref="F850:G850"/>
    <mergeCell ref="H850:I850"/>
    <mergeCell ref="J850:K850"/>
    <mergeCell ref="L850:M850"/>
    <mergeCell ref="N850:O850"/>
    <mergeCell ref="AD835:AE835"/>
    <mergeCell ref="AF835:AG835"/>
    <mergeCell ref="P835:Q835"/>
    <mergeCell ref="R835:S835"/>
    <mergeCell ref="T835:U835"/>
    <mergeCell ref="V835:W835"/>
    <mergeCell ref="X835:Y835"/>
    <mergeCell ref="Z835:AA835"/>
    <mergeCell ref="AB835:AC835"/>
    <mergeCell ref="AD836:AE836"/>
    <mergeCell ref="AF836:AG836"/>
    <mergeCell ref="AH836:AI836"/>
    <mergeCell ref="AJ836:AK836"/>
    <mergeCell ref="AL836:BB836"/>
    <mergeCell ref="P836:Q836"/>
    <mergeCell ref="R836:S836"/>
    <mergeCell ref="T836:U836"/>
    <mergeCell ref="V836:W836"/>
    <mergeCell ref="X836:Y836"/>
    <mergeCell ref="Z836:AA836"/>
    <mergeCell ref="AB836:AC836"/>
    <mergeCell ref="B836:C836"/>
    <mergeCell ref="D836:E836"/>
    <mergeCell ref="F836:G836"/>
    <mergeCell ref="H836:I836"/>
    <mergeCell ref="J836:K836"/>
    <mergeCell ref="L836:M836"/>
    <mergeCell ref="N836:O836"/>
    <mergeCell ref="AD837:AE837"/>
    <mergeCell ref="AF837:AG837"/>
    <mergeCell ref="AH837:AI837"/>
    <mergeCell ref="AJ837:AK837"/>
    <mergeCell ref="AL837:BB837"/>
    <mergeCell ref="AH838:AI838"/>
    <mergeCell ref="AJ838:AK838"/>
    <mergeCell ref="AL838:BB838"/>
    <mergeCell ref="B838:C838"/>
    <mergeCell ref="D838:E838"/>
    <mergeCell ref="F838:G838"/>
    <mergeCell ref="H838:I838"/>
    <mergeCell ref="J838:K838"/>
    <mergeCell ref="L838:M838"/>
    <mergeCell ref="N838:O838"/>
    <mergeCell ref="AD838:AE838"/>
    <mergeCell ref="AF838:AG838"/>
    <mergeCell ref="P838:Q838"/>
    <mergeCell ref="R838:S838"/>
    <mergeCell ref="T838:U838"/>
    <mergeCell ref="V838:W838"/>
    <mergeCell ref="AL840:BB840"/>
    <mergeCell ref="AH841:AI841"/>
    <mergeCell ref="AJ841:AK841"/>
    <mergeCell ref="AL841:BB841"/>
    <mergeCell ref="B841:C841"/>
    <mergeCell ref="D841:E841"/>
    <mergeCell ref="F841:G841"/>
    <mergeCell ref="H841:I841"/>
    <mergeCell ref="J841:K841"/>
    <mergeCell ref="L841:M841"/>
    <mergeCell ref="N841:O841"/>
    <mergeCell ref="P843:Q843"/>
    <mergeCell ref="R843:S843"/>
    <mergeCell ref="T843:U843"/>
    <mergeCell ref="V843:W843"/>
    <mergeCell ref="X843:Y843"/>
    <mergeCell ref="Z843:AA843"/>
    <mergeCell ref="AB843:AC843"/>
    <mergeCell ref="B843:C843"/>
    <mergeCell ref="D843:E843"/>
    <mergeCell ref="F843:G843"/>
    <mergeCell ref="H843:I843"/>
    <mergeCell ref="J843:K843"/>
    <mergeCell ref="L843:M843"/>
    <mergeCell ref="N843:O843"/>
    <mergeCell ref="AD841:AE841"/>
    <mergeCell ref="AF841:AG841"/>
    <mergeCell ref="P841:Q841"/>
    <mergeCell ref="R841:S841"/>
    <mergeCell ref="T841:U841"/>
    <mergeCell ref="V841:W841"/>
    <mergeCell ref="X841:Y841"/>
    <mergeCell ref="Z841:AA841"/>
    <mergeCell ref="AB841:AC841"/>
    <mergeCell ref="AD842:AE842"/>
    <mergeCell ref="AF842:AG842"/>
    <mergeCell ref="AH842:AI842"/>
    <mergeCell ref="AJ842:AK842"/>
    <mergeCell ref="AL842:BB842"/>
    <mergeCell ref="P842:Q842"/>
    <mergeCell ref="R842:S842"/>
    <mergeCell ref="T842:U842"/>
    <mergeCell ref="V842:W842"/>
    <mergeCell ref="X842:Y842"/>
    <mergeCell ref="Z842:AA842"/>
    <mergeCell ref="AB842:AC842"/>
    <mergeCell ref="B842:C842"/>
    <mergeCell ref="D842:E842"/>
    <mergeCell ref="F842:G842"/>
    <mergeCell ref="H842:I842"/>
    <mergeCell ref="J842:K842"/>
    <mergeCell ref="L842:M842"/>
    <mergeCell ref="N842:O842"/>
    <mergeCell ref="AD843:AE843"/>
    <mergeCell ref="AF843:AG843"/>
    <mergeCell ref="AH843:AI843"/>
    <mergeCell ref="AJ843:AK843"/>
    <mergeCell ref="AL843:BB843"/>
    <mergeCell ref="P849:Q849"/>
    <mergeCell ref="R849:S849"/>
    <mergeCell ref="T849:U849"/>
    <mergeCell ref="V849:W849"/>
    <mergeCell ref="X849:Y849"/>
    <mergeCell ref="Z849:AA849"/>
    <mergeCell ref="AB849:AC849"/>
    <mergeCell ref="B849:C849"/>
    <mergeCell ref="D849:E849"/>
    <mergeCell ref="F849:G849"/>
    <mergeCell ref="H849:I849"/>
    <mergeCell ref="J849:K849"/>
    <mergeCell ref="L849:M849"/>
    <mergeCell ref="N849:O849"/>
    <mergeCell ref="AD871:AE871"/>
    <mergeCell ref="AF871:AG871"/>
    <mergeCell ref="AH871:AI871"/>
    <mergeCell ref="AJ871:AK871"/>
    <mergeCell ref="AL871:BB871"/>
    <mergeCell ref="P871:Q871"/>
    <mergeCell ref="R871:S871"/>
    <mergeCell ref="T871:U871"/>
    <mergeCell ref="V871:W871"/>
    <mergeCell ref="X871:Y871"/>
    <mergeCell ref="Z871:AA871"/>
    <mergeCell ref="AB871:AC871"/>
    <mergeCell ref="P852:Q852"/>
    <mergeCell ref="R852:S852"/>
    <mergeCell ref="T852:U852"/>
    <mergeCell ref="V852:W852"/>
    <mergeCell ref="X852:Y852"/>
    <mergeCell ref="Z852:AA852"/>
    <mergeCell ref="AB852:AC852"/>
    <mergeCell ref="B852:C852"/>
    <mergeCell ref="D852:E852"/>
    <mergeCell ref="F852:G852"/>
    <mergeCell ref="H852:I852"/>
    <mergeCell ref="J852:K852"/>
    <mergeCell ref="L852:M852"/>
    <mergeCell ref="N852:O852"/>
    <mergeCell ref="AD850:AE850"/>
    <mergeCell ref="AF850:AG850"/>
    <mergeCell ref="P850:Q850"/>
    <mergeCell ref="R850:S850"/>
    <mergeCell ref="T850:U850"/>
    <mergeCell ref="V850:W850"/>
    <mergeCell ref="X850:Y850"/>
    <mergeCell ref="Z850:AA850"/>
    <mergeCell ref="AB850:AC850"/>
    <mergeCell ref="AD851:AE851"/>
    <mergeCell ref="AF851:AG851"/>
    <mergeCell ref="AH851:AI851"/>
    <mergeCell ref="AJ851:AK851"/>
    <mergeCell ref="AL851:BB851"/>
    <mergeCell ref="P851:Q851"/>
    <mergeCell ref="R851:S851"/>
    <mergeCell ref="T851:U851"/>
    <mergeCell ref="V851:W851"/>
    <mergeCell ref="X851:Y851"/>
    <mergeCell ref="Z851:AA851"/>
    <mergeCell ref="AB851:AC851"/>
    <mergeCell ref="B851:C851"/>
    <mergeCell ref="D851:E851"/>
    <mergeCell ref="F851:G851"/>
    <mergeCell ref="H851:I851"/>
    <mergeCell ref="J851:K851"/>
    <mergeCell ref="L851:M851"/>
    <mergeCell ref="N851:O851"/>
    <mergeCell ref="AD852:AE852"/>
    <mergeCell ref="AF852:AG852"/>
    <mergeCell ref="AH852:AI852"/>
    <mergeCell ref="AJ852:AK852"/>
    <mergeCell ref="AL852:BB852"/>
    <mergeCell ref="AH853:AI853"/>
    <mergeCell ref="AJ853:AK853"/>
    <mergeCell ref="AL853:BB853"/>
    <mergeCell ref="B853:C853"/>
    <mergeCell ref="D853:E853"/>
    <mergeCell ref="F853:G853"/>
    <mergeCell ref="H853:I853"/>
    <mergeCell ref="J853:K853"/>
    <mergeCell ref="L853:M853"/>
    <mergeCell ref="N853:O853"/>
    <mergeCell ref="P855:Q855"/>
    <mergeCell ref="R855:S855"/>
    <mergeCell ref="T855:U855"/>
    <mergeCell ref="V855:W855"/>
    <mergeCell ref="X855:Y855"/>
    <mergeCell ref="Z855:AA855"/>
    <mergeCell ref="AB855:AC855"/>
    <mergeCell ref="B855:C855"/>
    <mergeCell ref="D855:E855"/>
    <mergeCell ref="F855:G855"/>
    <mergeCell ref="H855:I855"/>
    <mergeCell ref="J855:K855"/>
    <mergeCell ref="L855:M855"/>
    <mergeCell ref="N855:O855"/>
    <mergeCell ref="AD853:AE853"/>
    <mergeCell ref="AF853:AG853"/>
    <mergeCell ref="P853:Q853"/>
    <mergeCell ref="R853:S853"/>
    <mergeCell ref="T853:U853"/>
    <mergeCell ref="V853:W853"/>
    <mergeCell ref="X853:Y853"/>
    <mergeCell ref="Z853:AA853"/>
    <mergeCell ref="AB853:AC853"/>
    <mergeCell ref="AD854:AE854"/>
    <mergeCell ref="AF854:AG854"/>
    <mergeCell ref="AH854:AI854"/>
    <mergeCell ref="AJ854:AK854"/>
    <mergeCell ref="AL854:BB854"/>
    <mergeCell ref="P854:Q854"/>
    <mergeCell ref="R854:S854"/>
    <mergeCell ref="T854:U854"/>
    <mergeCell ref="V854:W854"/>
    <mergeCell ref="X854:Y854"/>
    <mergeCell ref="Z854:AA854"/>
    <mergeCell ref="AB854:AC854"/>
    <mergeCell ref="B854:C854"/>
    <mergeCell ref="D854:E854"/>
    <mergeCell ref="F854:G854"/>
    <mergeCell ref="H854:I854"/>
    <mergeCell ref="J854:K854"/>
    <mergeCell ref="L854:M854"/>
    <mergeCell ref="N854:O854"/>
    <mergeCell ref="AD855:AE855"/>
    <mergeCell ref="AF855:AG855"/>
    <mergeCell ref="AH855:AI855"/>
    <mergeCell ref="AJ855:AK855"/>
    <mergeCell ref="AL855:BB855"/>
    <mergeCell ref="AH856:AI856"/>
    <mergeCell ref="AJ856:AK856"/>
    <mergeCell ref="AL856:BB856"/>
    <mergeCell ref="B856:C856"/>
    <mergeCell ref="D856:E856"/>
    <mergeCell ref="F856:G856"/>
    <mergeCell ref="H856:I856"/>
    <mergeCell ref="J856:K856"/>
    <mergeCell ref="L856:M856"/>
    <mergeCell ref="N856:O856"/>
    <mergeCell ref="P858:Q858"/>
    <mergeCell ref="R858:S858"/>
    <mergeCell ref="T858:U858"/>
    <mergeCell ref="V858:W858"/>
    <mergeCell ref="X858:Y858"/>
    <mergeCell ref="Z858:AA858"/>
    <mergeCell ref="AB858:AC858"/>
    <mergeCell ref="B858:C858"/>
    <mergeCell ref="D858:E858"/>
    <mergeCell ref="F858:G858"/>
    <mergeCell ref="H858:I858"/>
    <mergeCell ref="J858:K858"/>
    <mergeCell ref="L858:M858"/>
    <mergeCell ref="N858:O858"/>
    <mergeCell ref="AD856:AE856"/>
    <mergeCell ref="AF856:AG856"/>
    <mergeCell ref="P856:Q856"/>
    <mergeCell ref="R856:S856"/>
    <mergeCell ref="T856:U856"/>
    <mergeCell ref="V856:W856"/>
    <mergeCell ref="X856:Y856"/>
    <mergeCell ref="Z856:AA856"/>
    <mergeCell ref="AB856:AC856"/>
    <mergeCell ref="AD857:AE857"/>
    <mergeCell ref="AF857:AG857"/>
    <mergeCell ref="AH857:AI857"/>
    <mergeCell ref="AJ857:AK857"/>
    <mergeCell ref="AL857:BB857"/>
    <mergeCell ref="P857:Q857"/>
    <mergeCell ref="R857:S857"/>
    <mergeCell ref="T857:U857"/>
    <mergeCell ref="V857:W857"/>
    <mergeCell ref="X857:Y857"/>
    <mergeCell ref="Z857:AA857"/>
    <mergeCell ref="AB857:AC857"/>
    <mergeCell ref="B857:C857"/>
    <mergeCell ref="D857:E857"/>
    <mergeCell ref="F857:G857"/>
    <mergeCell ref="H857:I857"/>
    <mergeCell ref="J857:K857"/>
    <mergeCell ref="L857:M857"/>
    <mergeCell ref="N857:O857"/>
    <mergeCell ref="AD858:AE858"/>
    <mergeCell ref="AF858:AG858"/>
    <mergeCell ref="AH858:AI858"/>
    <mergeCell ref="AJ858:AK858"/>
    <mergeCell ref="AL858:BB858"/>
    <mergeCell ref="AH859:AI859"/>
    <mergeCell ref="AJ859:AK859"/>
    <mergeCell ref="AL859:BB859"/>
    <mergeCell ref="B859:C859"/>
    <mergeCell ref="D859:E859"/>
    <mergeCell ref="F859:G859"/>
    <mergeCell ref="H859:I859"/>
    <mergeCell ref="J859:K859"/>
    <mergeCell ref="L859:M859"/>
    <mergeCell ref="N859:O859"/>
    <mergeCell ref="P861:Q861"/>
    <mergeCell ref="R861:S861"/>
    <mergeCell ref="T861:U861"/>
    <mergeCell ref="V861:W861"/>
    <mergeCell ref="X861:Y861"/>
    <mergeCell ref="Z861:AA861"/>
    <mergeCell ref="AB861:AC861"/>
    <mergeCell ref="B861:C861"/>
    <mergeCell ref="D861:E861"/>
    <mergeCell ref="F861:G861"/>
    <mergeCell ref="H861:I861"/>
    <mergeCell ref="J861:K861"/>
    <mergeCell ref="L861:M861"/>
    <mergeCell ref="N861:O861"/>
    <mergeCell ref="AD859:AE859"/>
    <mergeCell ref="AF859:AG859"/>
    <mergeCell ref="P859:Q859"/>
    <mergeCell ref="R859:S859"/>
    <mergeCell ref="T859:U859"/>
    <mergeCell ref="V859:W859"/>
    <mergeCell ref="X859:Y859"/>
    <mergeCell ref="Z859:AA859"/>
    <mergeCell ref="AB859:AC859"/>
    <mergeCell ref="AD860:AE860"/>
    <mergeCell ref="AF860:AG860"/>
    <mergeCell ref="AH860:AI860"/>
    <mergeCell ref="AJ860:AK860"/>
    <mergeCell ref="AL860:BB860"/>
    <mergeCell ref="P860:Q860"/>
    <mergeCell ref="R860:S860"/>
    <mergeCell ref="T860:U860"/>
    <mergeCell ref="V860:W860"/>
    <mergeCell ref="X860:Y860"/>
    <mergeCell ref="Z860:AA860"/>
    <mergeCell ref="AB860:AC860"/>
    <mergeCell ref="B860:C860"/>
    <mergeCell ref="D860:E860"/>
    <mergeCell ref="F860:G860"/>
    <mergeCell ref="H860:I860"/>
    <mergeCell ref="J860:K860"/>
    <mergeCell ref="L860:M860"/>
    <mergeCell ref="N860:O860"/>
    <mergeCell ref="AD861:AE861"/>
    <mergeCell ref="AF861:AG861"/>
    <mergeCell ref="AH861:AI861"/>
    <mergeCell ref="AJ861:AK861"/>
    <mergeCell ref="AL861:BB861"/>
    <mergeCell ref="AH862:AI862"/>
    <mergeCell ref="AJ862:AK862"/>
    <mergeCell ref="AL862:BB862"/>
    <mergeCell ref="B862:C862"/>
    <mergeCell ref="D862:E862"/>
    <mergeCell ref="F862:G862"/>
    <mergeCell ref="H862:I862"/>
    <mergeCell ref="J862:K862"/>
    <mergeCell ref="L862:M862"/>
    <mergeCell ref="N862:O862"/>
    <mergeCell ref="P864:Q864"/>
    <mergeCell ref="R864:S864"/>
    <mergeCell ref="T864:U864"/>
    <mergeCell ref="V864:W864"/>
    <mergeCell ref="X864:Y864"/>
    <mergeCell ref="Z864:AA864"/>
    <mergeCell ref="AB864:AC864"/>
    <mergeCell ref="B864:C864"/>
    <mergeCell ref="D864:E864"/>
    <mergeCell ref="F864:G864"/>
    <mergeCell ref="H864:I864"/>
    <mergeCell ref="J864:K864"/>
    <mergeCell ref="L864:M864"/>
    <mergeCell ref="N864:O864"/>
    <mergeCell ref="AD862:AE862"/>
    <mergeCell ref="AF862:AG862"/>
    <mergeCell ref="P862:Q862"/>
    <mergeCell ref="R862:S862"/>
    <mergeCell ref="T862:U862"/>
    <mergeCell ref="V862:W862"/>
    <mergeCell ref="X862:Y862"/>
    <mergeCell ref="Z862:AA862"/>
    <mergeCell ref="AB862:AC862"/>
    <mergeCell ref="AD863:AE863"/>
    <mergeCell ref="AF863:AG863"/>
    <mergeCell ref="AH863:AI863"/>
    <mergeCell ref="AJ863:AK863"/>
    <mergeCell ref="AL863:BB863"/>
    <mergeCell ref="P863:Q863"/>
    <mergeCell ref="R863:S863"/>
    <mergeCell ref="T863:U863"/>
    <mergeCell ref="V863:W863"/>
    <mergeCell ref="X863:Y863"/>
    <mergeCell ref="Z863:AA863"/>
    <mergeCell ref="AB863:AC863"/>
    <mergeCell ref="B863:C863"/>
    <mergeCell ref="D863:E863"/>
    <mergeCell ref="F863:G863"/>
    <mergeCell ref="H863:I863"/>
    <mergeCell ref="J863:K863"/>
    <mergeCell ref="L863:M863"/>
    <mergeCell ref="N863:O863"/>
    <mergeCell ref="AD864:AE864"/>
    <mergeCell ref="AF864:AG864"/>
    <mergeCell ref="AH864:AI864"/>
    <mergeCell ref="AJ864:AK864"/>
    <mergeCell ref="AL864:BB864"/>
    <mergeCell ref="AH865:AI865"/>
    <mergeCell ref="AJ865:AK865"/>
    <mergeCell ref="AL865:BB865"/>
    <mergeCell ref="B865:C865"/>
    <mergeCell ref="D865:E865"/>
    <mergeCell ref="F865:G865"/>
    <mergeCell ref="H865:I865"/>
    <mergeCell ref="J865:K865"/>
    <mergeCell ref="L865:M865"/>
    <mergeCell ref="N865:O865"/>
    <mergeCell ref="P867:Q867"/>
    <mergeCell ref="R867:S867"/>
    <mergeCell ref="T867:U867"/>
    <mergeCell ref="V867:W867"/>
    <mergeCell ref="X867:Y867"/>
    <mergeCell ref="Z867:AA867"/>
    <mergeCell ref="AB867:AC867"/>
    <mergeCell ref="B867:C867"/>
    <mergeCell ref="D867:E867"/>
    <mergeCell ref="F867:G867"/>
    <mergeCell ref="H867:I867"/>
    <mergeCell ref="J867:K867"/>
    <mergeCell ref="L867:M867"/>
    <mergeCell ref="N867:O867"/>
    <mergeCell ref="AD865:AE865"/>
    <mergeCell ref="AF865:AG865"/>
    <mergeCell ref="P865:Q865"/>
    <mergeCell ref="R865:S865"/>
    <mergeCell ref="T865:U865"/>
    <mergeCell ref="V865:W865"/>
    <mergeCell ref="X865:Y865"/>
    <mergeCell ref="Z865:AA865"/>
    <mergeCell ref="AB865:AC865"/>
    <mergeCell ref="AD866:AE866"/>
    <mergeCell ref="AF866:AG866"/>
    <mergeCell ref="AH866:AI866"/>
    <mergeCell ref="AJ866:AK866"/>
    <mergeCell ref="AL866:BB866"/>
    <mergeCell ref="P866:Q866"/>
    <mergeCell ref="R866:S866"/>
    <mergeCell ref="T866:U866"/>
    <mergeCell ref="V866:W866"/>
    <mergeCell ref="X866:Y866"/>
    <mergeCell ref="Z866:AA866"/>
    <mergeCell ref="AB866:AC866"/>
    <mergeCell ref="B866:C866"/>
    <mergeCell ref="D866:E866"/>
    <mergeCell ref="F866:G866"/>
    <mergeCell ref="H866:I866"/>
    <mergeCell ref="J866:K866"/>
    <mergeCell ref="L866:M866"/>
    <mergeCell ref="N866:O866"/>
    <mergeCell ref="AD867:AE867"/>
    <mergeCell ref="AF867:AG867"/>
    <mergeCell ref="AH867:AI867"/>
    <mergeCell ref="AJ867:AK867"/>
    <mergeCell ref="AL867:BB867"/>
    <mergeCell ref="AH868:AI868"/>
    <mergeCell ref="AJ868:AK868"/>
    <mergeCell ref="AL868:BB868"/>
    <mergeCell ref="B868:C868"/>
    <mergeCell ref="D868:E868"/>
    <mergeCell ref="F868:G868"/>
    <mergeCell ref="H868:I868"/>
    <mergeCell ref="J868:K868"/>
    <mergeCell ref="L868:M868"/>
    <mergeCell ref="N868:O868"/>
    <mergeCell ref="P870:Q870"/>
    <mergeCell ref="R870:S870"/>
    <mergeCell ref="T870:U870"/>
    <mergeCell ref="V870:W870"/>
    <mergeCell ref="X870:Y870"/>
    <mergeCell ref="Z870:AA870"/>
    <mergeCell ref="AB870:AC870"/>
    <mergeCell ref="B870:C870"/>
    <mergeCell ref="D870:E870"/>
    <mergeCell ref="F870:G870"/>
    <mergeCell ref="H870:I870"/>
    <mergeCell ref="J870:K870"/>
    <mergeCell ref="L870:M870"/>
    <mergeCell ref="N870:O870"/>
    <mergeCell ref="AD868:AE868"/>
    <mergeCell ref="AF868:AG868"/>
    <mergeCell ref="P868:Q868"/>
    <mergeCell ref="R868:S868"/>
    <mergeCell ref="T868:U868"/>
    <mergeCell ref="V868:W868"/>
    <mergeCell ref="X868:Y868"/>
    <mergeCell ref="Z868:AA868"/>
    <mergeCell ref="AB868:AC868"/>
    <mergeCell ref="AD869:AE869"/>
    <mergeCell ref="AF869:AG869"/>
    <mergeCell ref="AH869:AI869"/>
    <mergeCell ref="AJ869:AK869"/>
    <mergeCell ref="AL869:BB869"/>
    <mergeCell ref="P869:Q869"/>
    <mergeCell ref="R869:S869"/>
    <mergeCell ref="T869:U869"/>
    <mergeCell ref="V869:W869"/>
    <mergeCell ref="X869:Y869"/>
    <mergeCell ref="Z869:AA869"/>
    <mergeCell ref="AB869:AC869"/>
    <mergeCell ref="B869:C869"/>
    <mergeCell ref="D869:E869"/>
    <mergeCell ref="F869:G869"/>
    <mergeCell ref="H869:I869"/>
    <mergeCell ref="J869:K869"/>
    <mergeCell ref="L869:M869"/>
    <mergeCell ref="N869:O869"/>
    <mergeCell ref="AD870:AE870"/>
    <mergeCell ref="AF870:AG870"/>
    <mergeCell ref="AH870:AI870"/>
    <mergeCell ref="AJ870:AK870"/>
    <mergeCell ref="AL870:BB870"/>
    <mergeCell ref="B871:C871"/>
    <mergeCell ref="D871:E871"/>
    <mergeCell ref="F871:G871"/>
    <mergeCell ref="H871:I871"/>
    <mergeCell ref="J871:K871"/>
    <mergeCell ref="L871:M871"/>
    <mergeCell ref="N871:O871"/>
    <mergeCell ref="AD872:AE872"/>
    <mergeCell ref="AF872:AG872"/>
    <mergeCell ref="AH872:AI872"/>
    <mergeCell ref="AJ872:AK872"/>
    <mergeCell ref="AL872:BB872"/>
    <mergeCell ref="P872:Q872"/>
    <mergeCell ref="R872:S872"/>
    <mergeCell ref="T872:U872"/>
    <mergeCell ref="V872:W872"/>
    <mergeCell ref="X872:Y872"/>
    <mergeCell ref="Z872:AA872"/>
    <mergeCell ref="AB872:AC872"/>
    <mergeCell ref="B872:C872"/>
    <mergeCell ref="D872:E872"/>
    <mergeCell ref="F872:G872"/>
    <mergeCell ref="H872:I872"/>
    <mergeCell ref="J872:K872"/>
    <mergeCell ref="L872:M872"/>
    <mergeCell ref="N872:O872"/>
    <mergeCell ref="AD873:AE873"/>
    <mergeCell ref="AF873:AG873"/>
    <mergeCell ref="AH873:AI873"/>
    <mergeCell ref="AJ873:AK873"/>
    <mergeCell ref="AL873:BB873"/>
    <mergeCell ref="P873:Q873"/>
    <mergeCell ref="R873:S873"/>
    <mergeCell ref="T873:U873"/>
    <mergeCell ref="V873:W873"/>
    <mergeCell ref="X873:Y873"/>
    <mergeCell ref="Z873:AA873"/>
    <mergeCell ref="AB873:AC873"/>
    <mergeCell ref="B873:C873"/>
    <mergeCell ref="D873:E873"/>
    <mergeCell ref="F873:G873"/>
    <mergeCell ref="H873:I873"/>
    <mergeCell ref="J873:K873"/>
    <mergeCell ref="L873:M873"/>
    <mergeCell ref="N873:O873"/>
    <mergeCell ref="AH874:AI874"/>
    <mergeCell ref="AJ874:AK874"/>
    <mergeCell ref="AL874:BB874"/>
    <mergeCell ref="B874:C874"/>
    <mergeCell ref="D874:E874"/>
    <mergeCell ref="F874:G874"/>
    <mergeCell ref="H874:I874"/>
    <mergeCell ref="J874:K874"/>
    <mergeCell ref="L874:M874"/>
    <mergeCell ref="N874:O874"/>
    <mergeCell ref="P876:Q876"/>
    <mergeCell ref="R876:S876"/>
    <mergeCell ref="T876:U876"/>
    <mergeCell ref="V876:W876"/>
    <mergeCell ref="X876:Y876"/>
    <mergeCell ref="Z876:AA876"/>
    <mergeCell ref="AB876:AC876"/>
    <mergeCell ref="B876:C876"/>
    <mergeCell ref="D876:E876"/>
    <mergeCell ref="F876:G876"/>
    <mergeCell ref="H876:I876"/>
    <mergeCell ref="J876:K876"/>
    <mergeCell ref="L876:M876"/>
    <mergeCell ref="N876:O876"/>
    <mergeCell ref="AD874:AE874"/>
    <mergeCell ref="AF874:AG874"/>
    <mergeCell ref="P874:Q874"/>
    <mergeCell ref="R874:S874"/>
    <mergeCell ref="T874:U874"/>
    <mergeCell ref="V874:W874"/>
    <mergeCell ref="X874:Y874"/>
    <mergeCell ref="Z874:AA874"/>
    <mergeCell ref="AB874:AC874"/>
    <mergeCell ref="AD875:AE875"/>
    <mergeCell ref="AF875:AG875"/>
    <mergeCell ref="AH875:AI875"/>
    <mergeCell ref="AJ875:AK875"/>
    <mergeCell ref="AL875:BB875"/>
    <mergeCell ref="P875:Q875"/>
    <mergeCell ref="R875:S875"/>
    <mergeCell ref="T875:U875"/>
    <mergeCell ref="V875:W875"/>
    <mergeCell ref="X875:Y875"/>
    <mergeCell ref="Z875:AA875"/>
    <mergeCell ref="AB875:AC875"/>
    <mergeCell ref="B875:C875"/>
    <mergeCell ref="D875:E875"/>
    <mergeCell ref="F875:G875"/>
    <mergeCell ref="H875:I875"/>
    <mergeCell ref="J875:K875"/>
    <mergeCell ref="L875:M875"/>
    <mergeCell ref="N875:O875"/>
    <mergeCell ref="AD876:AE876"/>
    <mergeCell ref="AF876:AG876"/>
    <mergeCell ref="AH876:AI876"/>
    <mergeCell ref="AJ876:AK876"/>
    <mergeCell ref="AL876:BB876"/>
    <mergeCell ref="AH877:AI877"/>
    <mergeCell ref="AJ877:AK877"/>
    <mergeCell ref="AL877:BB877"/>
    <mergeCell ref="B877:C877"/>
    <mergeCell ref="D877:E877"/>
    <mergeCell ref="F877:G877"/>
    <mergeCell ref="H877:I877"/>
    <mergeCell ref="J877:K877"/>
    <mergeCell ref="L877:M877"/>
    <mergeCell ref="N877:O877"/>
    <mergeCell ref="P879:Q879"/>
    <mergeCell ref="R879:S879"/>
    <mergeCell ref="T879:U879"/>
    <mergeCell ref="V879:W879"/>
    <mergeCell ref="X879:Y879"/>
    <mergeCell ref="Z879:AA879"/>
    <mergeCell ref="AB879:AC879"/>
    <mergeCell ref="B879:C879"/>
    <mergeCell ref="D879:E879"/>
    <mergeCell ref="F879:G879"/>
    <mergeCell ref="H879:I879"/>
    <mergeCell ref="J879:K879"/>
    <mergeCell ref="L879:M879"/>
    <mergeCell ref="N879:O879"/>
    <mergeCell ref="P882:Q882"/>
    <mergeCell ref="R882:S882"/>
    <mergeCell ref="T882:U882"/>
    <mergeCell ref="V882:W882"/>
    <mergeCell ref="X882:Y882"/>
    <mergeCell ref="Z882:AA882"/>
    <mergeCell ref="AB882:AC882"/>
    <mergeCell ref="B882:C882"/>
    <mergeCell ref="D882:E882"/>
    <mergeCell ref="F882:G882"/>
    <mergeCell ref="H882:I882"/>
    <mergeCell ref="J882:K882"/>
    <mergeCell ref="L882:M882"/>
    <mergeCell ref="N882:O882"/>
    <mergeCell ref="X880:Y880"/>
    <mergeCell ref="Z880:AA880"/>
    <mergeCell ref="AB880:AC880"/>
    <mergeCell ref="AD881:AE881"/>
    <mergeCell ref="AF881:AG881"/>
    <mergeCell ref="AH881:AI881"/>
    <mergeCell ref="AJ881:AK881"/>
    <mergeCell ref="AL881:BB881"/>
    <mergeCell ref="P881:Q881"/>
    <mergeCell ref="R881:S881"/>
    <mergeCell ref="T881:U881"/>
    <mergeCell ref="V881:W881"/>
    <mergeCell ref="X881:Y881"/>
    <mergeCell ref="Z881:AA881"/>
    <mergeCell ref="AB881:AC881"/>
    <mergeCell ref="B881:C881"/>
    <mergeCell ref="D881:E881"/>
    <mergeCell ref="F881:G881"/>
    <mergeCell ref="H881:I881"/>
    <mergeCell ref="J881:K881"/>
    <mergeCell ref="L881:M881"/>
    <mergeCell ref="N881:O881"/>
    <mergeCell ref="AD882:AE882"/>
    <mergeCell ref="AF882:AG882"/>
    <mergeCell ref="AH882:AI882"/>
    <mergeCell ref="AJ882:AK882"/>
    <mergeCell ref="AD886:AE886"/>
    <mergeCell ref="AF886:AG886"/>
    <mergeCell ref="P886:Q886"/>
    <mergeCell ref="R886:S886"/>
    <mergeCell ref="T886:U886"/>
    <mergeCell ref="V886:W886"/>
    <mergeCell ref="X886:Y886"/>
    <mergeCell ref="Z886:AA886"/>
    <mergeCell ref="AB886:AC886"/>
    <mergeCell ref="AD887:AE887"/>
    <mergeCell ref="AF887:AG887"/>
    <mergeCell ref="AH887:AI887"/>
    <mergeCell ref="AJ887:AK887"/>
    <mergeCell ref="AL887:BB887"/>
    <mergeCell ref="P887:Q887"/>
    <mergeCell ref="R887:S887"/>
    <mergeCell ref="T887:U887"/>
    <mergeCell ref="V887:W887"/>
    <mergeCell ref="X887:Y887"/>
    <mergeCell ref="Z887:AA887"/>
    <mergeCell ref="AB887:AC887"/>
    <mergeCell ref="B887:C887"/>
    <mergeCell ref="D887:E887"/>
    <mergeCell ref="F887:G887"/>
    <mergeCell ref="H887:I887"/>
    <mergeCell ref="J887:K887"/>
    <mergeCell ref="L887:M887"/>
    <mergeCell ref="N887:O887"/>
    <mergeCell ref="AD888:AE888"/>
    <mergeCell ref="AF888:AG888"/>
    <mergeCell ref="AH888:AI888"/>
    <mergeCell ref="AJ888:AK888"/>
    <mergeCell ref="AL888:BB888"/>
    <mergeCell ref="AH886:AI886"/>
    <mergeCell ref="AJ886:AK886"/>
    <mergeCell ref="AL886:BB886"/>
    <mergeCell ref="B886:C886"/>
    <mergeCell ref="D886:E886"/>
    <mergeCell ref="F886:G886"/>
    <mergeCell ref="H886:I886"/>
    <mergeCell ref="J886:K886"/>
    <mergeCell ref="L886:M886"/>
    <mergeCell ref="N886:O886"/>
    <mergeCell ref="P888:Q888"/>
    <mergeCell ref="R888:S888"/>
    <mergeCell ref="T888:U888"/>
    <mergeCell ref="V888:W888"/>
    <mergeCell ref="X888:Y888"/>
    <mergeCell ref="Z888:AA888"/>
    <mergeCell ref="AB888:AC888"/>
    <mergeCell ref="B888:C888"/>
    <mergeCell ref="D888:E888"/>
    <mergeCell ref="F888:G888"/>
    <mergeCell ref="H888:I888"/>
    <mergeCell ref="J888:K888"/>
    <mergeCell ref="L888:M888"/>
    <mergeCell ref="N888:O888"/>
    <mergeCell ref="AH889:AI889"/>
    <mergeCell ref="AJ889:AK889"/>
    <mergeCell ref="AL889:BB889"/>
    <mergeCell ref="B889:C889"/>
    <mergeCell ref="D889:E889"/>
    <mergeCell ref="F889:G889"/>
    <mergeCell ref="H889:I889"/>
    <mergeCell ref="J889:K889"/>
    <mergeCell ref="L889:M889"/>
    <mergeCell ref="N889:O889"/>
    <mergeCell ref="AD889:AE889"/>
    <mergeCell ref="AF889:AG889"/>
    <mergeCell ref="P889:Q889"/>
    <mergeCell ref="R889:S889"/>
    <mergeCell ref="T889:U889"/>
    <mergeCell ref="V889:W889"/>
    <mergeCell ref="X889:Y889"/>
    <mergeCell ref="Z889:AA889"/>
    <mergeCell ref="AB889:AC889"/>
    <mergeCell ref="AD890:AE890"/>
    <mergeCell ref="AF890:AG890"/>
    <mergeCell ref="AH890:AI890"/>
    <mergeCell ref="AJ890:AK890"/>
    <mergeCell ref="AL890:BB890"/>
    <mergeCell ref="P890:Q890"/>
    <mergeCell ref="R890:S890"/>
    <mergeCell ref="T890:U890"/>
    <mergeCell ref="V890:W890"/>
    <mergeCell ref="X890:Y890"/>
    <mergeCell ref="Z890:AA890"/>
    <mergeCell ref="AB890:AC890"/>
    <mergeCell ref="B890:C890"/>
    <mergeCell ref="D890:E890"/>
    <mergeCell ref="F890:G890"/>
    <mergeCell ref="H890:I890"/>
    <mergeCell ref="J890:K890"/>
    <mergeCell ref="L890:M890"/>
    <mergeCell ref="N890:O890"/>
    <mergeCell ref="AD891:AE891"/>
    <mergeCell ref="AF891:AG891"/>
    <mergeCell ref="AH891:AI891"/>
    <mergeCell ref="AJ891:AK891"/>
    <mergeCell ref="AL891:BB891"/>
    <mergeCell ref="AH892:AI892"/>
    <mergeCell ref="AJ892:AK892"/>
    <mergeCell ref="AL892:BB892"/>
    <mergeCell ref="B892:C892"/>
    <mergeCell ref="D892:E892"/>
    <mergeCell ref="F892:G892"/>
    <mergeCell ref="H892:I892"/>
    <mergeCell ref="J892:K892"/>
    <mergeCell ref="L892:M892"/>
    <mergeCell ref="N892:O892"/>
    <mergeCell ref="AD877:AE877"/>
    <mergeCell ref="AF877:AG877"/>
    <mergeCell ref="P877:Q877"/>
    <mergeCell ref="R877:S877"/>
    <mergeCell ref="T877:U877"/>
    <mergeCell ref="V877:W877"/>
    <mergeCell ref="X877:Y877"/>
    <mergeCell ref="Z877:AA877"/>
    <mergeCell ref="AB877:AC877"/>
    <mergeCell ref="AD878:AE878"/>
    <mergeCell ref="AF878:AG878"/>
    <mergeCell ref="AH878:AI878"/>
    <mergeCell ref="AJ878:AK878"/>
    <mergeCell ref="AL878:BB878"/>
    <mergeCell ref="P878:Q878"/>
    <mergeCell ref="R878:S878"/>
    <mergeCell ref="T878:U878"/>
    <mergeCell ref="V878:W878"/>
    <mergeCell ref="X878:Y878"/>
    <mergeCell ref="Z878:AA878"/>
    <mergeCell ref="AB878:AC878"/>
    <mergeCell ref="B878:C878"/>
    <mergeCell ref="D878:E878"/>
    <mergeCell ref="F878:G878"/>
    <mergeCell ref="H878:I878"/>
    <mergeCell ref="J878:K878"/>
    <mergeCell ref="L878:M878"/>
    <mergeCell ref="N878:O878"/>
    <mergeCell ref="AD879:AE879"/>
    <mergeCell ref="AF879:AG879"/>
    <mergeCell ref="AH879:AI879"/>
    <mergeCell ref="AJ879:AK879"/>
    <mergeCell ref="AL879:BB879"/>
    <mergeCell ref="AH880:AI880"/>
    <mergeCell ref="AJ880:AK880"/>
    <mergeCell ref="AL880:BB880"/>
    <mergeCell ref="B880:C880"/>
    <mergeCell ref="D880:E880"/>
    <mergeCell ref="F880:G880"/>
    <mergeCell ref="H880:I880"/>
    <mergeCell ref="J880:K880"/>
    <mergeCell ref="L880:M880"/>
    <mergeCell ref="N880:O880"/>
    <mergeCell ref="AD880:AE880"/>
    <mergeCell ref="AF880:AG880"/>
    <mergeCell ref="P880:Q880"/>
    <mergeCell ref="R880:S880"/>
    <mergeCell ref="T880:U880"/>
    <mergeCell ref="V880:W880"/>
    <mergeCell ref="AL882:BB882"/>
    <mergeCell ref="AH883:AI883"/>
    <mergeCell ref="AJ883:AK883"/>
    <mergeCell ref="AL883:BB883"/>
    <mergeCell ref="B883:C883"/>
    <mergeCell ref="D883:E883"/>
    <mergeCell ref="F883:G883"/>
    <mergeCell ref="H883:I883"/>
    <mergeCell ref="J883:K883"/>
    <mergeCell ref="L883:M883"/>
    <mergeCell ref="N883:O883"/>
    <mergeCell ref="P885:Q885"/>
    <mergeCell ref="R885:S885"/>
    <mergeCell ref="T885:U885"/>
    <mergeCell ref="V885:W885"/>
    <mergeCell ref="X885:Y885"/>
    <mergeCell ref="Z885:AA885"/>
    <mergeCell ref="AB885:AC885"/>
    <mergeCell ref="B885:C885"/>
    <mergeCell ref="D885:E885"/>
    <mergeCell ref="F885:G885"/>
    <mergeCell ref="H885:I885"/>
    <mergeCell ref="J885:K885"/>
    <mergeCell ref="L885:M885"/>
    <mergeCell ref="N885:O885"/>
    <mergeCell ref="AD883:AE883"/>
    <mergeCell ref="AF883:AG883"/>
    <mergeCell ref="P883:Q883"/>
    <mergeCell ref="R883:S883"/>
    <mergeCell ref="T883:U883"/>
    <mergeCell ref="V883:W883"/>
    <mergeCell ref="X883:Y883"/>
    <mergeCell ref="Z883:AA883"/>
    <mergeCell ref="AB883:AC883"/>
    <mergeCell ref="AD884:AE884"/>
    <mergeCell ref="AF884:AG884"/>
    <mergeCell ref="AH884:AI884"/>
    <mergeCell ref="AJ884:AK884"/>
    <mergeCell ref="AL884:BB884"/>
    <mergeCell ref="P884:Q884"/>
    <mergeCell ref="R884:S884"/>
    <mergeCell ref="T884:U884"/>
    <mergeCell ref="V884:W884"/>
    <mergeCell ref="X884:Y884"/>
    <mergeCell ref="Z884:AA884"/>
    <mergeCell ref="AB884:AC884"/>
    <mergeCell ref="B884:C884"/>
    <mergeCell ref="D884:E884"/>
    <mergeCell ref="F884:G884"/>
    <mergeCell ref="H884:I884"/>
    <mergeCell ref="J884:K884"/>
    <mergeCell ref="L884:M884"/>
    <mergeCell ref="N884:O884"/>
    <mergeCell ref="AD885:AE885"/>
    <mergeCell ref="AF885:AG885"/>
    <mergeCell ref="AH885:AI885"/>
    <mergeCell ref="AJ885:AK885"/>
    <mergeCell ref="AL885:BB885"/>
    <mergeCell ref="P891:Q891"/>
    <mergeCell ref="R891:S891"/>
    <mergeCell ref="T891:U891"/>
    <mergeCell ref="V891:W891"/>
    <mergeCell ref="X891:Y891"/>
    <mergeCell ref="Z891:AA891"/>
    <mergeCell ref="AB891:AC891"/>
    <mergeCell ref="B891:C891"/>
    <mergeCell ref="D891:E891"/>
    <mergeCell ref="F891:G891"/>
    <mergeCell ref="H891:I891"/>
    <mergeCell ref="J891:K891"/>
    <mergeCell ref="L891:M891"/>
    <mergeCell ref="N891:O891"/>
    <mergeCell ref="AD913:AE913"/>
    <mergeCell ref="AF913:AG913"/>
    <mergeCell ref="AH913:AI913"/>
    <mergeCell ref="AJ913:AK913"/>
    <mergeCell ref="AL913:BB913"/>
    <mergeCell ref="P913:Q913"/>
    <mergeCell ref="R913:S913"/>
    <mergeCell ref="T913:U913"/>
    <mergeCell ref="V913:W913"/>
    <mergeCell ref="X913:Y913"/>
    <mergeCell ref="Z913:AA913"/>
    <mergeCell ref="AB913:AC913"/>
    <mergeCell ref="P894:Q894"/>
    <mergeCell ref="R894:S894"/>
    <mergeCell ref="T894:U894"/>
    <mergeCell ref="V894:W894"/>
    <mergeCell ref="X894:Y894"/>
    <mergeCell ref="Z894:AA894"/>
    <mergeCell ref="AB894:AC894"/>
    <mergeCell ref="B894:C894"/>
    <mergeCell ref="D894:E894"/>
    <mergeCell ref="F894:G894"/>
    <mergeCell ref="H894:I894"/>
    <mergeCell ref="J894:K894"/>
    <mergeCell ref="L894:M894"/>
    <mergeCell ref="N894:O894"/>
    <mergeCell ref="AD892:AE892"/>
    <mergeCell ref="AF892:AG892"/>
    <mergeCell ref="P892:Q892"/>
    <mergeCell ref="R892:S892"/>
    <mergeCell ref="T892:U892"/>
    <mergeCell ref="V892:W892"/>
    <mergeCell ref="X892:Y892"/>
    <mergeCell ref="Z892:AA892"/>
    <mergeCell ref="AB892:AC892"/>
    <mergeCell ref="AD893:AE893"/>
    <mergeCell ref="AF893:AG893"/>
    <mergeCell ref="AH893:AI893"/>
    <mergeCell ref="AJ893:AK893"/>
    <mergeCell ref="AL893:BB893"/>
    <mergeCell ref="P893:Q893"/>
    <mergeCell ref="R893:S893"/>
    <mergeCell ref="T893:U893"/>
    <mergeCell ref="V893:W893"/>
    <mergeCell ref="X893:Y893"/>
    <mergeCell ref="Z893:AA893"/>
    <mergeCell ref="AB893:AC893"/>
    <mergeCell ref="B893:C893"/>
    <mergeCell ref="D893:E893"/>
    <mergeCell ref="F893:G893"/>
    <mergeCell ref="H893:I893"/>
    <mergeCell ref="J893:K893"/>
    <mergeCell ref="L893:M893"/>
    <mergeCell ref="N893:O893"/>
    <mergeCell ref="AD894:AE894"/>
    <mergeCell ref="AF894:AG894"/>
    <mergeCell ref="AH894:AI894"/>
    <mergeCell ref="AJ894:AK894"/>
    <mergeCell ref="AL894:BB894"/>
    <mergeCell ref="AH895:AI895"/>
    <mergeCell ref="AJ895:AK895"/>
    <mergeCell ref="AL895:BB895"/>
    <mergeCell ref="B895:C895"/>
    <mergeCell ref="D895:E895"/>
    <mergeCell ref="F895:G895"/>
    <mergeCell ref="H895:I895"/>
    <mergeCell ref="J895:K895"/>
    <mergeCell ref="L895:M895"/>
    <mergeCell ref="N895:O895"/>
    <mergeCell ref="P897:Q897"/>
    <mergeCell ref="R897:S897"/>
    <mergeCell ref="T897:U897"/>
    <mergeCell ref="V897:W897"/>
    <mergeCell ref="X897:Y897"/>
    <mergeCell ref="Z897:AA897"/>
    <mergeCell ref="AB897:AC897"/>
    <mergeCell ref="B897:C897"/>
    <mergeCell ref="D897:E897"/>
    <mergeCell ref="F897:G897"/>
    <mergeCell ref="H897:I897"/>
    <mergeCell ref="J897:K897"/>
    <mergeCell ref="L897:M897"/>
    <mergeCell ref="N897:O897"/>
    <mergeCell ref="AD895:AE895"/>
    <mergeCell ref="AF895:AG895"/>
    <mergeCell ref="P895:Q895"/>
    <mergeCell ref="R895:S895"/>
    <mergeCell ref="T895:U895"/>
    <mergeCell ref="V895:W895"/>
    <mergeCell ref="X895:Y895"/>
    <mergeCell ref="Z895:AA895"/>
    <mergeCell ref="AB895:AC895"/>
    <mergeCell ref="AD896:AE896"/>
    <mergeCell ref="AF896:AG896"/>
    <mergeCell ref="AH896:AI896"/>
    <mergeCell ref="AJ896:AK896"/>
    <mergeCell ref="AL896:BB896"/>
    <mergeCell ref="P896:Q896"/>
    <mergeCell ref="R896:S896"/>
    <mergeCell ref="T896:U896"/>
    <mergeCell ref="V896:W896"/>
    <mergeCell ref="X896:Y896"/>
    <mergeCell ref="Z896:AA896"/>
    <mergeCell ref="AB896:AC896"/>
    <mergeCell ref="B896:C896"/>
    <mergeCell ref="D896:E896"/>
    <mergeCell ref="F896:G896"/>
    <mergeCell ref="H896:I896"/>
    <mergeCell ref="J896:K896"/>
    <mergeCell ref="L896:M896"/>
    <mergeCell ref="N896:O896"/>
    <mergeCell ref="AD897:AE897"/>
    <mergeCell ref="AF897:AG897"/>
    <mergeCell ref="AH897:AI897"/>
    <mergeCell ref="AJ897:AK897"/>
    <mergeCell ref="AL897:BB897"/>
    <mergeCell ref="AH898:AI898"/>
    <mergeCell ref="AJ898:AK898"/>
    <mergeCell ref="AL898:BB898"/>
    <mergeCell ref="B898:C898"/>
    <mergeCell ref="D898:E898"/>
    <mergeCell ref="F898:G898"/>
    <mergeCell ref="H898:I898"/>
    <mergeCell ref="J898:K898"/>
    <mergeCell ref="L898:M898"/>
    <mergeCell ref="N898:O898"/>
    <mergeCell ref="P900:Q900"/>
    <mergeCell ref="R900:S900"/>
    <mergeCell ref="T900:U900"/>
    <mergeCell ref="V900:W900"/>
    <mergeCell ref="X900:Y900"/>
    <mergeCell ref="Z900:AA900"/>
    <mergeCell ref="AB900:AC900"/>
    <mergeCell ref="B900:C900"/>
    <mergeCell ref="D900:E900"/>
    <mergeCell ref="F900:G900"/>
    <mergeCell ref="H900:I900"/>
    <mergeCell ref="J900:K900"/>
    <mergeCell ref="L900:M900"/>
    <mergeCell ref="N900:O900"/>
    <mergeCell ref="AD898:AE898"/>
    <mergeCell ref="AF898:AG898"/>
    <mergeCell ref="P898:Q898"/>
    <mergeCell ref="R898:S898"/>
    <mergeCell ref="T898:U898"/>
    <mergeCell ref="V898:W898"/>
    <mergeCell ref="X898:Y898"/>
    <mergeCell ref="Z898:AA898"/>
    <mergeCell ref="AB898:AC898"/>
    <mergeCell ref="AD899:AE899"/>
    <mergeCell ref="AF899:AG899"/>
    <mergeCell ref="AH899:AI899"/>
    <mergeCell ref="AJ899:AK899"/>
    <mergeCell ref="AL899:BB899"/>
    <mergeCell ref="P899:Q899"/>
    <mergeCell ref="R899:S899"/>
    <mergeCell ref="T899:U899"/>
    <mergeCell ref="V899:W899"/>
    <mergeCell ref="X899:Y899"/>
    <mergeCell ref="Z899:AA899"/>
    <mergeCell ref="AB899:AC899"/>
    <mergeCell ref="B899:C899"/>
    <mergeCell ref="D899:E899"/>
    <mergeCell ref="F899:G899"/>
    <mergeCell ref="H899:I899"/>
    <mergeCell ref="J899:K899"/>
    <mergeCell ref="L899:M899"/>
    <mergeCell ref="N899:O899"/>
    <mergeCell ref="AD900:AE900"/>
    <mergeCell ref="AF900:AG900"/>
    <mergeCell ref="AH900:AI900"/>
    <mergeCell ref="AJ900:AK900"/>
    <mergeCell ref="AL900:BB900"/>
    <mergeCell ref="AH901:AI901"/>
    <mergeCell ref="AJ901:AK901"/>
    <mergeCell ref="AL901:BB901"/>
    <mergeCell ref="B901:C901"/>
    <mergeCell ref="D901:E901"/>
    <mergeCell ref="F901:G901"/>
    <mergeCell ref="H901:I901"/>
    <mergeCell ref="J901:K901"/>
    <mergeCell ref="L901:M901"/>
    <mergeCell ref="N901:O901"/>
    <mergeCell ref="P903:Q903"/>
    <mergeCell ref="R903:S903"/>
    <mergeCell ref="T903:U903"/>
    <mergeCell ref="V903:W903"/>
    <mergeCell ref="X903:Y903"/>
    <mergeCell ref="Z903:AA903"/>
    <mergeCell ref="AB903:AC903"/>
    <mergeCell ref="B903:C903"/>
    <mergeCell ref="D903:E903"/>
    <mergeCell ref="F903:G903"/>
    <mergeCell ref="H903:I903"/>
    <mergeCell ref="J903:K903"/>
    <mergeCell ref="L903:M903"/>
    <mergeCell ref="N903:O903"/>
    <mergeCell ref="AD901:AE901"/>
    <mergeCell ref="AF901:AG901"/>
    <mergeCell ref="P901:Q901"/>
    <mergeCell ref="R901:S901"/>
    <mergeCell ref="T901:U901"/>
    <mergeCell ref="V901:W901"/>
    <mergeCell ref="X901:Y901"/>
    <mergeCell ref="Z901:AA901"/>
    <mergeCell ref="AB901:AC901"/>
    <mergeCell ref="AD902:AE902"/>
    <mergeCell ref="AF902:AG902"/>
    <mergeCell ref="AH902:AI902"/>
    <mergeCell ref="AJ902:AK902"/>
    <mergeCell ref="AL902:BB902"/>
    <mergeCell ref="P902:Q902"/>
    <mergeCell ref="R902:S902"/>
    <mergeCell ref="T902:U902"/>
    <mergeCell ref="V902:W902"/>
    <mergeCell ref="X902:Y902"/>
    <mergeCell ref="Z902:AA902"/>
    <mergeCell ref="AB902:AC902"/>
    <mergeCell ref="B902:C902"/>
    <mergeCell ref="D902:E902"/>
    <mergeCell ref="F902:G902"/>
    <mergeCell ref="H902:I902"/>
    <mergeCell ref="J902:K902"/>
    <mergeCell ref="L902:M902"/>
    <mergeCell ref="N902:O902"/>
    <mergeCell ref="AD903:AE903"/>
    <mergeCell ref="AF903:AG903"/>
    <mergeCell ref="AH903:AI903"/>
    <mergeCell ref="AJ903:AK903"/>
    <mergeCell ref="AL903:BB903"/>
    <mergeCell ref="AH904:AI904"/>
    <mergeCell ref="AJ904:AK904"/>
    <mergeCell ref="AL904:BB904"/>
    <mergeCell ref="B904:C904"/>
    <mergeCell ref="D904:E904"/>
    <mergeCell ref="F904:G904"/>
    <mergeCell ref="H904:I904"/>
    <mergeCell ref="J904:K904"/>
    <mergeCell ref="L904:M904"/>
    <mergeCell ref="N904:O904"/>
    <mergeCell ref="P906:Q906"/>
    <mergeCell ref="R906:S906"/>
    <mergeCell ref="T906:U906"/>
    <mergeCell ref="V906:W906"/>
    <mergeCell ref="X906:Y906"/>
    <mergeCell ref="Z906:AA906"/>
    <mergeCell ref="AB906:AC906"/>
    <mergeCell ref="B906:C906"/>
    <mergeCell ref="D906:E906"/>
    <mergeCell ref="F906:G906"/>
    <mergeCell ref="H906:I906"/>
    <mergeCell ref="J906:K906"/>
    <mergeCell ref="L906:M906"/>
    <mergeCell ref="N906:O906"/>
    <mergeCell ref="AD904:AE904"/>
    <mergeCell ref="AF904:AG904"/>
    <mergeCell ref="P904:Q904"/>
    <mergeCell ref="R904:S904"/>
    <mergeCell ref="T904:U904"/>
    <mergeCell ref="V904:W904"/>
    <mergeCell ref="X904:Y904"/>
    <mergeCell ref="Z904:AA904"/>
    <mergeCell ref="AB904:AC904"/>
    <mergeCell ref="AD905:AE905"/>
    <mergeCell ref="AF905:AG905"/>
    <mergeCell ref="AH905:AI905"/>
    <mergeCell ref="AJ905:AK905"/>
    <mergeCell ref="AL905:BB905"/>
    <mergeCell ref="P905:Q905"/>
    <mergeCell ref="R905:S905"/>
    <mergeCell ref="T905:U905"/>
    <mergeCell ref="V905:W905"/>
    <mergeCell ref="X905:Y905"/>
    <mergeCell ref="Z905:AA905"/>
    <mergeCell ref="AB905:AC905"/>
    <mergeCell ref="B905:C905"/>
    <mergeCell ref="D905:E905"/>
    <mergeCell ref="F905:G905"/>
    <mergeCell ref="H905:I905"/>
    <mergeCell ref="J905:K905"/>
    <mergeCell ref="L905:M905"/>
    <mergeCell ref="N905:O905"/>
    <mergeCell ref="AD906:AE906"/>
    <mergeCell ref="AF906:AG906"/>
    <mergeCell ref="AH906:AI906"/>
    <mergeCell ref="AJ906:AK906"/>
    <mergeCell ref="AL906:BB906"/>
    <mergeCell ref="AH907:AI907"/>
    <mergeCell ref="AJ907:AK907"/>
    <mergeCell ref="AL907:BB907"/>
    <mergeCell ref="B907:C907"/>
    <mergeCell ref="D907:E907"/>
    <mergeCell ref="F907:G907"/>
    <mergeCell ref="H907:I907"/>
    <mergeCell ref="J907:K907"/>
    <mergeCell ref="L907:M907"/>
    <mergeCell ref="N907:O907"/>
    <mergeCell ref="P909:Q909"/>
    <mergeCell ref="R909:S909"/>
    <mergeCell ref="T909:U909"/>
    <mergeCell ref="V909:W909"/>
    <mergeCell ref="X909:Y909"/>
    <mergeCell ref="Z909:AA909"/>
    <mergeCell ref="AB909:AC909"/>
    <mergeCell ref="B909:C909"/>
    <mergeCell ref="D909:E909"/>
    <mergeCell ref="F909:G909"/>
    <mergeCell ref="H909:I909"/>
    <mergeCell ref="J909:K909"/>
    <mergeCell ref="L909:M909"/>
    <mergeCell ref="N909:O909"/>
    <mergeCell ref="AD907:AE907"/>
    <mergeCell ref="AF907:AG907"/>
    <mergeCell ref="P907:Q907"/>
    <mergeCell ref="R907:S907"/>
    <mergeCell ref="T907:U907"/>
    <mergeCell ref="V907:W907"/>
    <mergeCell ref="X907:Y907"/>
    <mergeCell ref="Z907:AA907"/>
    <mergeCell ref="AB907:AC907"/>
    <mergeCell ref="AD908:AE908"/>
    <mergeCell ref="AF908:AG908"/>
    <mergeCell ref="AH908:AI908"/>
    <mergeCell ref="AJ908:AK908"/>
    <mergeCell ref="AL908:BB908"/>
    <mergeCell ref="P908:Q908"/>
    <mergeCell ref="R908:S908"/>
    <mergeCell ref="T908:U908"/>
    <mergeCell ref="V908:W908"/>
    <mergeCell ref="X908:Y908"/>
    <mergeCell ref="Z908:AA908"/>
    <mergeCell ref="AB908:AC908"/>
    <mergeCell ref="B908:C908"/>
    <mergeCell ref="D908:E908"/>
    <mergeCell ref="F908:G908"/>
    <mergeCell ref="H908:I908"/>
    <mergeCell ref="J908:K908"/>
    <mergeCell ref="L908:M908"/>
    <mergeCell ref="N908:O908"/>
    <mergeCell ref="AD909:AE909"/>
    <mergeCell ref="AF909:AG909"/>
    <mergeCell ref="AH909:AI909"/>
    <mergeCell ref="AJ909:AK909"/>
    <mergeCell ref="AL909:BB909"/>
    <mergeCell ref="AH910:AI910"/>
    <mergeCell ref="AJ910:AK910"/>
    <mergeCell ref="AL910:BB910"/>
    <mergeCell ref="B910:C910"/>
    <mergeCell ref="D910:E910"/>
    <mergeCell ref="F910:G910"/>
    <mergeCell ref="H910:I910"/>
    <mergeCell ref="J910:K910"/>
    <mergeCell ref="L910:M910"/>
    <mergeCell ref="N910:O910"/>
    <mergeCell ref="P912:Q912"/>
    <mergeCell ref="R912:S912"/>
    <mergeCell ref="T912:U912"/>
    <mergeCell ref="V912:W912"/>
    <mergeCell ref="X912:Y912"/>
    <mergeCell ref="Z912:AA912"/>
    <mergeCell ref="AB912:AC912"/>
    <mergeCell ref="B912:C912"/>
    <mergeCell ref="D912:E912"/>
    <mergeCell ref="F912:G912"/>
    <mergeCell ref="H912:I912"/>
    <mergeCell ref="J912:K912"/>
    <mergeCell ref="L912:M912"/>
    <mergeCell ref="N912:O912"/>
    <mergeCell ref="AD910:AE910"/>
    <mergeCell ref="AF910:AG910"/>
    <mergeCell ref="P910:Q910"/>
    <mergeCell ref="R910:S910"/>
    <mergeCell ref="T910:U910"/>
    <mergeCell ref="V910:W910"/>
    <mergeCell ref="X910:Y910"/>
    <mergeCell ref="Z910:AA910"/>
    <mergeCell ref="AB910:AC910"/>
    <mergeCell ref="AD911:AE911"/>
    <mergeCell ref="AF911:AG911"/>
    <mergeCell ref="AH911:AI911"/>
    <mergeCell ref="AJ911:AK911"/>
    <mergeCell ref="AL911:BB911"/>
    <mergeCell ref="P911:Q911"/>
    <mergeCell ref="R911:S911"/>
    <mergeCell ref="T911:U911"/>
    <mergeCell ref="V911:W911"/>
    <mergeCell ref="X911:Y911"/>
    <mergeCell ref="Z911:AA911"/>
    <mergeCell ref="AB911:AC911"/>
    <mergeCell ref="B911:C911"/>
    <mergeCell ref="D911:E911"/>
    <mergeCell ref="F911:G911"/>
    <mergeCell ref="H911:I911"/>
    <mergeCell ref="J911:K911"/>
    <mergeCell ref="L911:M911"/>
    <mergeCell ref="N911:O911"/>
    <mergeCell ref="AD912:AE912"/>
    <mergeCell ref="AF912:AG912"/>
    <mergeCell ref="AH912:AI912"/>
    <mergeCell ref="AJ912:AK912"/>
    <mergeCell ref="AL912:BB912"/>
    <mergeCell ref="B913:C913"/>
    <mergeCell ref="D913:E913"/>
    <mergeCell ref="F913:G913"/>
    <mergeCell ref="H913:I913"/>
    <mergeCell ref="J913:K913"/>
    <mergeCell ref="L913:M913"/>
    <mergeCell ref="N913:O913"/>
    <mergeCell ref="AD914:AE914"/>
    <mergeCell ref="AF914:AG914"/>
    <mergeCell ref="AH914:AI914"/>
    <mergeCell ref="AJ914:AK914"/>
    <mergeCell ref="AL914:BB914"/>
    <mergeCell ref="P914:Q914"/>
    <mergeCell ref="R914:S914"/>
    <mergeCell ref="T914:U914"/>
    <mergeCell ref="V914:W914"/>
    <mergeCell ref="X914:Y914"/>
    <mergeCell ref="Z914:AA914"/>
    <mergeCell ref="AB914:AC914"/>
    <mergeCell ref="B914:C914"/>
    <mergeCell ref="D914:E914"/>
    <mergeCell ref="F914:G914"/>
    <mergeCell ref="H914:I914"/>
    <mergeCell ref="J914:K914"/>
    <mergeCell ref="L914:M914"/>
    <mergeCell ref="N914:O914"/>
    <mergeCell ref="AD915:AE915"/>
    <mergeCell ref="AF915:AG915"/>
    <mergeCell ref="AH915:AI915"/>
    <mergeCell ref="AJ915:AK915"/>
    <mergeCell ref="AL915:BB915"/>
    <mergeCell ref="P915:Q915"/>
    <mergeCell ref="R915:S915"/>
    <mergeCell ref="T915:U915"/>
    <mergeCell ref="V915:W915"/>
    <mergeCell ref="X915:Y915"/>
    <mergeCell ref="Z915:AA915"/>
    <mergeCell ref="AB915:AC915"/>
    <mergeCell ref="B915:C915"/>
    <mergeCell ref="D915:E915"/>
    <mergeCell ref="F915:G915"/>
    <mergeCell ref="H915:I915"/>
    <mergeCell ref="J915:K915"/>
    <mergeCell ref="L915:M915"/>
    <mergeCell ref="N915:O915"/>
    <mergeCell ref="AH916:AI916"/>
    <mergeCell ref="AJ916:AK916"/>
    <mergeCell ref="AL916:BB916"/>
    <mergeCell ref="B916:C916"/>
    <mergeCell ref="D916:E916"/>
    <mergeCell ref="F916:G916"/>
    <mergeCell ref="H916:I916"/>
    <mergeCell ref="J916:K916"/>
    <mergeCell ref="L916:M916"/>
    <mergeCell ref="N916:O916"/>
    <mergeCell ref="P918:Q918"/>
    <mergeCell ref="R918:S918"/>
    <mergeCell ref="T918:U918"/>
    <mergeCell ref="V918:W918"/>
    <mergeCell ref="X918:Y918"/>
    <mergeCell ref="Z918:AA918"/>
    <mergeCell ref="AB918:AC918"/>
    <mergeCell ref="B918:C918"/>
    <mergeCell ref="D918:E918"/>
    <mergeCell ref="F918:G918"/>
    <mergeCell ref="H918:I918"/>
    <mergeCell ref="J918:K918"/>
    <mergeCell ref="L918:M918"/>
    <mergeCell ref="N918:O918"/>
    <mergeCell ref="AD916:AE916"/>
    <mergeCell ref="AF916:AG916"/>
    <mergeCell ref="P916:Q916"/>
    <mergeCell ref="R916:S916"/>
    <mergeCell ref="T916:U916"/>
    <mergeCell ref="V916:W916"/>
    <mergeCell ref="X916:Y916"/>
    <mergeCell ref="Z916:AA916"/>
    <mergeCell ref="AB916:AC916"/>
    <mergeCell ref="AD917:AE917"/>
    <mergeCell ref="AF917:AG917"/>
    <mergeCell ref="AH917:AI917"/>
    <mergeCell ref="AJ917:AK917"/>
    <mergeCell ref="AL917:BB917"/>
    <mergeCell ref="P917:Q917"/>
    <mergeCell ref="R917:S917"/>
    <mergeCell ref="T917:U917"/>
    <mergeCell ref="V917:W917"/>
    <mergeCell ref="X917:Y917"/>
    <mergeCell ref="Z917:AA917"/>
    <mergeCell ref="AB917:AC917"/>
    <mergeCell ref="B917:C917"/>
    <mergeCell ref="D917:E917"/>
    <mergeCell ref="F917:G917"/>
    <mergeCell ref="H917:I917"/>
    <mergeCell ref="J917:K917"/>
    <mergeCell ref="L917:M917"/>
    <mergeCell ref="N917:O917"/>
    <mergeCell ref="AD918:AE918"/>
    <mergeCell ref="AF918:AG918"/>
    <mergeCell ref="AH918:AI918"/>
    <mergeCell ref="AJ918:AK918"/>
    <mergeCell ref="AL918:BB918"/>
    <mergeCell ref="AH919:AI919"/>
    <mergeCell ref="AJ919:AK919"/>
    <mergeCell ref="AL919:BB919"/>
    <mergeCell ref="B919:C919"/>
    <mergeCell ref="D919:E919"/>
    <mergeCell ref="F919:G919"/>
    <mergeCell ref="H919:I919"/>
    <mergeCell ref="J919:K919"/>
    <mergeCell ref="L919:M919"/>
    <mergeCell ref="N919:O919"/>
    <mergeCell ref="P921:Q921"/>
    <mergeCell ref="R921:S921"/>
    <mergeCell ref="T921:U921"/>
    <mergeCell ref="V921:W921"/>
    <mergeCell ref="X921:Y921"/>
    <mergeCell ref="Z921:AA921"/>
    <mergeCell ref="AB921:AC921"/>
    <mergeCell ref="B921:C921"/>
    <mergeCell ref="D921:E921"/>
    <mergeCell ref="F921:G921"/>
    <mergeCell ref="H921:I921"/>
    <mergeCell ref="J921:K921"/>
    <mergeCell ref="L921:M921"/>
    <mergeCell ref="N921:O921"/>
    <mergeCell ref="P924:Q924"/>
    <mergeCell ref="R924:S924"/>
    <mergeCell ref="T924:U924"/>
    <mergeCell ref="V924:W924"/>
    <mergeCell ref="X924:Y924"/>
    <mergeCell ref="Z924:AA924"/>
    <mergeCell ref="AB924:AC924"/>
    <mergeCell ref="B924:C924"/>
    <mergeCell ref="D924:E924"/>
    <mergeCell ref="F924:G924"/>
    <mergeCell ref="H924:I924"/>
    <mergeCell ref="J924:K924"/>
    <mergeCell ref="L924:M924"/>
    <mergeCell ref="N924:O924"/>
    <mergeCell ref="X922:Y922"/>
    <mergeCell ref="Z922:AA922"/>
    <mergeCell ref="AB922:AC922"/>
    <mergeCell ref="AD923:AE923"/>
    <mergeCell ref="AF923:AG923"/>
    <mergeCell ref="AH923:AI923"/>
    <mergeCell ref="AJ923:AK923"/>
    <mergeCell ref="AL923:BB923"/>
    <mergeCell ref="P923:Q923"/>
    <mergeCell ref="R923:S923"/>
    <mergeCell ref="T923:U923"/>
    <mergeCell ref="V923:W923"/>
    <mergeCell ref="X923:Y923"/>
    <mergeCell ref="Z923:AA923"/>
    <mergeCell ref="AB923:AC923"/>
    <mergeCell ref="B923:C923"/>
    <mergeCell ref="D923:E923"/>
    <mergeCell ref="F923:G923"/>
    <mergeCell ref="H923:I923"/>
    <mergeCell ref="J923:K923"/>
    <mergeCell ref="L923:M923"/>
    <mergeCell ref="N923:O923"/>
    <mergeCell ref="AD924:AE924"/>
    <mergeCell ref="AF924:AG924"/>
    <mergeCell ref="AH924:AI924"/>
    <mergeCell ref="AJ924:AK924"/>
    <mergeCell ref="AD928:AE928"/>
    <mergeCell ref="AF928:AG928"/>
    <mergeCell ref="P928:Q928"/>
    <mergeCell ref="R928:S928"/>
    <mergeCell ref="T928:U928"/>
    <mergeCell ref="V928:W928"/>
    <mergeCell ref="X928:Y928"/>
    <mergeCell ref="Z928:AA928"/>
    <mergeCell ref="AB928:AC928"/>
    <mergeCell ref="AD929:AE929"/>
    <mergeCell ref="AF929:AG929"/>
    <mergeCell ref="AH929:AI929"/>
    <mergeCell ref="AJ929:AK929"/>
    <mergeCell ref="AL929:BB929"/>
    <mergeCell ref="P929:Q929"/>
    <mergeCell ref="R929:S929"/>
    <mergeCell ref="T929:U929"/>
    <mergeCell ref="V929:W929"/>
    <mergeCell ref="X929:Y929"/>
    <mergeCell ref="Z929:AA929"/>
    <mergeCell ref="AB929:AC929"/>
    <mergeCell ref="B929:C929"/>
    <mergeCell ref="D929:E929"/>
    <mergeCell ref="F929:G929"/>
    <mergeCell ref="H929:I929"/>
    <mergeCell ref="J929:K929"/>
    <mergeCell ref="L929:M929"/>
    <mergeCell ref="N929:O929"/>
    <mergeCell ref="AD930:AE930"/>
    <mergeCell ref="AF930:AG930"/>
    <mergeCell ref="AH930:AI930"/>
    <mergeCell ref="AJ930:AK930"/>
    <mergeCell ref="AL930:BB930"/>
    <mergeCell ref="AH928:AI928"/>
    <mergeCell ref="AJ928:AK928"/>
    <mergeCell ref="AL928:BB928"/>
    <mergeCell ref="B928:C928"/>
    <mergeCell ref="D928:E928"/>
    <mergeCell ref="F928:G928"/>
    <mergeCell ref="H928:I928"/>
    <mergeCell ref="J928:K928"/>
    <mergeCell ref="L928:M928"/>
    <mergeCell ref="N928:O928"/>
    <mergeCell ref="P930:Q930"/>
    <mergeCell ref="R930:S930"/>
    <mergeCell ref="T930:U930"/>
    <mergeCell ref="V930:W930"/>
    <mergeCell ref="X930:Y930"/>
    <mergeCell ref="Z930:AA930"/>
    <mergeCell ref="AB930:AC930"/>
    <mergeCell ref="B930:C930"/>
    <mergeCell ref="D930:E930"/>
    <mergeCell ref="F930:G930"/>
    <mergeCell ref="H930:I930"/>
    <mergeCell ref="J930:K930"/>
    <mergeCell ref="L930:M930"/>
    <mergeCell ref="N930:O930"/>
    <mergeCell ref="AH931:AI931"/>
    <mergeCell ref="AJ931:AK931"/>
    <mergeCell ref="AL931:BB931"/>
    <mergeCell ref="B931:C931"/>
    <mergeCell ref="D931:E931"/>
    <mergeCell ref="F931:G931"/>
    <mergeCell ref="H931:I931"/>
    <mergeCell ref="J931:K931"/>
    <mergeCell ref="L931:M931"/>
    <mergeCell ref="N931:O931"/>
    <mergeCell ref="AD931:AE931"/>
    <mergeCell ref="AF931:AG931"/>
    <mergeCell ref="P931:Q931"/>
    <mergeCell ref="R931:S931"/>
    <mergeCell ref="T931:U931"/>
    <mergeCell ref="V931:W931"/>
    <mergeCell ref="X931:Y931"/>
    <mergeCell ref="Z931:AA931"/>
    <mergeCell ref="AB931:AC931"/>
    <mergeCell ref="AD932:AE932"/>
    <mergeCell ref="AF932:AG932"/>
    <mergeCell ref="AH932:AI932"/>
    <mergeCell ref="AJ932:AK932"/>
    <mergeCell ref="AL932:BB932"/>
    <mergeCell ref="P932:Q932"/>
    <mergeCell ref="R932:S932"/>
    <mergeCell ref="T932:U932"/>
    <mergeCell ref="V932:W932"/>
    <mergeCell ref="X932:Y932"/>
    <mergeCell ref="Z932:AA932"/>
    <mergeCell ref="AB932:AC932"/>
    <mergeCell ref="B932:C932"/>
    <mergeCell ref="D932:E932"/>
    <mergeCell ref="F932:G932"/>
    <mergeCell ref="H932:I932"/>
    <mergeCell ref="J932:K932"/>
    <mergeCell ref="L932:M932"/>
    <mergeCell ref="N932:O932"/>
    <mergeCell ref="AD933:AE933"/>
    <mergeCell ref="AF933:AG933"/>
    <mergeCell ref="AH933:AI933"/>
    <mergeCell ref="AJ933:AK933"/>
    <mergeCell ref="AL933:BB933"/>
    <mergeCell ref="AH934:AI934"/>
    <mergeCell ref="AJ934:AK934"/>
    <mergeCell ref="AL934:BB934"/>
    <mergeCell ref="B934:C934"/>
    <mergeCell ref="D934:E934"/>
    <mergeCell ref="F934:G934"/>
    <mergeCell ref="H934:I934"/>
    <mergeCell ref="J934:K934"/>
    <mergeCell ref="L934:M934"/>
    <mergeCell ref="N934:O934"/>
    <mergeCell ref="AD919:AE919"/>
    <mergeCell ref="AF919:AG919"/>
    <mergeCell ref="P919:Q919"/>
    <mergeCell ref="R919:S919"/>
    <mergeCell ref="T919:U919"/>
    <mergeCell ref="V919:W919"/>
    <mergeCell ref="X919:Y919"/>
    <mergeCell ref="Z919:AA919"/>
    <mergeCell ref="AB919:AC919"/>
    <mergeCell ref="AD920:AE920"/>
    <mergeCell ref="AF920:AG920"/>
    <mergeCell ref="AH920:AI920"/>
    <mergeCell ref="AJ920:AK920"/>
    <mergeCell ref="AL920:BB920"/>
    <mergeCell ref="P920:Q920"/>
    <mergeCell ref="R920:S920"/>
    <mergeCell ref="T920:U920"/>
    <mergeCell ref="V920:W920"/>
    <mergeCell ref="X920:Y920"/>
    <mergeCell ref="Z920:AA920"/>
    <mergeCell ref="AB920:AC920"/>
    <mergeCell ref="B920:C920"/>
    <mergeCell ref="D920:E920"/>
    <mergeCell ref="F920:G920"/>
    <mergeCell ref="H920:I920"/>
    <mergeCell ref="J920:K920"/>
    <mergeCell ref="L920:M920"/>
    <mergeCell ref="N920:O920"/>
    <mergeCell ref="AD921:AE921"/>
    <mergeCell ref="AF921:AG921"/>
    <mergeCell ref="AH921:AI921"/>
    <mergeCell ref="AJ921:AK921"/>
    <mergeCell ref="AL921:BB921"/>
    <mergeCell ref="AH922:AI922"/>
    <mergeCell ref="AJ922:AK922"/>
    <mergeCell ref="AL922:BB922"/>
    <mergeCell ref="B922:C922"/>
    <mergeCell ref="D922:E922"/>
    <mergeCell ref="F922:G922"/>
    <mergeCell ref="H922:I922"/>
    <mergeCell ref="J922:K922"/>
    <mergeCell ref="L922:M922"/>
    <mergeCell ref="N922:O922"/>
    <mergeCell ref="AD922:AE922"/>
    <mergeCell ref="AF922:AG922"/>
    <mergeCell ref="P922:Q922"/>
    <mergeCell ref="R922:S922"/>
    <mergeCell ref="T922:U922"/>
    <mergeCell ref="V922:W922"/>
    <mergeCell ref="AL924:BB924"/>
    <mergeCell ref="AH925:AI925"/>
    <mergeCell ref="AJ925:AK925"/>
    <mergeCell ref="AL925:BB925"/>
    <mergeCell ref="B925:C925"/>
    <mergeCell ref="D925:E925"/>
    <mergeCell ref="F925:G925"/>
    <mergeCell ref="H925:I925"/>
    <mergeCell ref="J925:K925"/>
    <mergeCell ref="L925:M925"/>
    <mergeCell ref="N925:O925"/>
    <mergeCell ref="P927:Q927"/>
    <mergeCell ref="R927:S927"/>
    <mergeCell ref="T927:U927"/>
    <mergeCell ref="V927:W927"/>
    <mergeCell ref="X927:Y927"/>
    <mergeCell ref="Z927:AA927"/>
    <mergeCell ref="AB927:AC927"/>
    <mergeCell ref="B927:C927"/>
    <mergeCell ref="D927:E927"/>
    <mergeCell ref="F927:G927"/>
    <mergeCell ref="H927:I927"/>
    <mergeCell ref="J927:K927"/>
    <mergeCell ref="L927:M927"/>
    <mergeCell ref="N927:O927"/>
    <mergeCell ref="AD925:AE925"/>
    <mergeCell ref="AF925:AG925"/>
    <mergeCell ref="P925:Q925"/>
    <mergeCell ref="R925:S925"/>
    <mergeCell ref="T925:U925"/>
    <mergeCell ref="V925:W925"/>
    <mergeCell ref="X925:Y925"/>
    <mergeCell ref="Z925:AA925"/>
    <mergeCell ref="AB925:AC925"/>
    <mergeCell ref="AD926:AE926"/>
    <mergeCell ref="AF926:AG926"/>
    <mergeCell ref="AH926:AI926"/>
    <mergeCell ref="AJ926:AK926"/>
    <mergeCell ref="AL926:BB926"/>
    <mergeCell ref="P926:Q926"/>
    <mergeCell ref="R926:S926"/>
    <mergeCell ref="T926:U926"/>
    <mergeCell ref="V926:W926"/>
    <mergeCell ref="X926:Y926"/>
    <mergeCell ref="Z926:AA926"/>
    <mergeCell ref="AB926:AC926"/>
    <mergeCell ref="B926:C926"/>
    <mergeCell ref="D926:E926"/>
    <mergeCell ref="F926:G926"/>
    <mergeCell ref="H926:I926"/>
    <mergeCell ref="J926:K926"/>
    <mergeCell ref="L926:M926"/>
    <mergeCell ref="N926:O926"/>
    <mergeCell ref="AD927:AE927"/>
    <mergeCell ref="AF927:AG927"/>
    <mergeCell ref="AH927:AI927"/>
    <mergeCell ref="AJ927:AK927"/>
    <mergeCell ref="AL927:BB927"/>
    <mergeCell ref="P933:Q933"/>
    <mergeCell ref="R933:S933"/>
    <mergeCell ref="T933:U933"/>
    <mergeCell ref="V933:W933"/>
    <mergeCell ref="X933:Y933"/>
    <mergeCell ref="Z933:AA933"/>
    <mergeCell ref="AB933:AC933"/>
    <mergeCell ref="B933:C933"/>
    <mergeCell ref="D933:E933"/>
    <mergeCell ref="F933:G933"/>
    <mergeCell ref="H933:I933"/>
    <mergeCell ref="J933:K933"/>
    <mergeCell ref="L933:M933"/>
    <mergeCell ref="N933:O933"/>
    <mergeCell ref="AD955:AE955"/>
    <mergeCell ref="AF955:AG955"/>
    <mergeCell ref="AH955:AI955"/>
    <mergeCell ref="AJ955:AK955"/>
    <mergeCell ref="AL955:BB955"/>
    <mergeCell ref="P955:Q955"/>
    <mergeCell ref="R955:S955"/>
    <mergeCell ref="T955:U955"/>
    <mergeCell ref="V955:W955"/>
    <mergeCell ref="X955:Y955"/>
    <mergeCell ref="Z955:AA955"/>
    <mergeCell ref="AB955:AC955"/>
    <mergeCell ref="P936:Q936"/>
    <mergeCell ref="R936:S936"/>
    <mergeCell ref="T936:U936"/>
    <mergeCell ref="V936:W936"/>
    <mergeCell ref="X936:Y936"/>
    <mergeCell ref="Z936:AA936"/>
    <mergeCell ref="AB936:AC936"/>
    <mergeCell ref="B936:C936"/>
    <mergeCell ref="D936:E936"/>
    <mergeCell ref="F936:G936"/>
    <mergeCell ref="H936:I936"/>
    <mergeCell ref="J936:K936"/>
    <mergeCell ref="L936:M936"/>
    <mergeCell ref="N936:O936"/>
    <mergeCell ref="AD934:AE934"/>
    <mergeCell ref="AF934:AG934"/>
    <mergeCell ref="P934:Q934"/>
    <mergeCell ref="R934:S934"/>
    <mergeCell ref="T934:U934"/>
    <mergeCell ref="V934:W934"/>
    <mergeCell ref="X934:Y934"/>
    <mergeCell ref="Z934:AA934"/>
    <mergeCell ref="AB934:AC934"/>
    <mergeCell ref="AD935:AE935"/>
    <mergeCell ref="AF935:AG935"/>
    <mergeCell ref="AH935:AI935"/>
    <mergeCell ref="AJ935:AK935"/>
    <mergeCell ref="AL935:BB935"/>
    <mergeCell ref="P935:Q935"/>
    <mergeCell ref="R935:S935"/>
    <mergeCell ref="T935:U935"/>
    <mergeCell ref="V935:W935"/>
    <mergeCell ref="X935:Y935"/>
    <mergeCell ref="Z935:AA935"/>
    <mergeCell ref="AB935:AC935"/>
    <mergeCell ref="B935:C935"/>
    <mergeCell ref="D935:E935"/>
    <mergeCell ref="F935:G935"/>
    <mergeCell ref="H935:I935"/>
    <mergeCell ref="J935:K935"/>
    <mergeCell ref="L935:M935"/>
    <mergeCell ref="N935:O935"/>
    <mergeCell ref="AD936:AE936"/>
    <mergeCell ref="AF936:AG936"/>
    <mergeCell ref="AH936:AI936"/>
    <mergeCell ref="AJ936:AK936"/>
    <mergeCell ref="AL936:BB936"/>
    <mergeCell ref="AH937:AI937"/>
    <mergeCell ref="AJ937:AK937"/>
    <mergeCell ref="AL937:BB937"/>
    <mergeCell ref="B937:C937"/>
    <mergeCell ref="D937:E937"/>
    <mergeCell ref="F937:G937"/>
    <mergeCell ref="H937:I937"/>
    <mergeCell ref="J937:K937"/>
    <mergeCell ref="L937:M937"/>
    <mergeCell ref="N937:O937"/>
    <mergeCell ref="P939:Q939"/>
    <mergeCell ref="R939:S939"/>
    <mergeCell ref="T939:U939"/>
    <mergeCell ref="V939:W939"/>
    <mergeCell ref="X939:Y939"/>
    <mergeCell ref="Z939:AA939"/>
    <mergeCell ref="AB939:AC939"/>
    <mergeCell ref="B939:C939"/>
    <mergeCell ref="D939:E939"/>
    <mergeCell ref="F939:G939"/>
    <mergeCell ref="H939:I939"/>
    <mergeCell ref="J939:K939"/>
    <mergeCell ref="L939:M939"/>
    <mergeCell ref="N939:O939"/>
    <mergeCell ref="AD937:AE937"/>
    <mergeCell ref="AF937:AG937"/>
    <mergeCell ref="P937:Q937"/>
    <mergeCell ref="R937:S937"/>
    <mergeCell ref="T937:U937"/>
    <mergeCell ref="V937:W937"/>
    <mergeCell ref="X937:Y937"/>
    <mergeCell ref="Z937:AA937"/>
    <mergeCell ref="AB937:AC937"/>
    <mergeCell ref="AD938:AE938"/>
    <mergeCell ref="AF938:AG938"/>
    <mergeCell ref="AH938:AI938"/>
    <mergeCell ref="AJ938:AK938"/>
    <mergeCell ref="AL938:BB938"/>
    <mergeCell ref="P938:Q938"/>
    <mergeCell ref="R938:S938"/>
    <mergeCell ref="T938:U938"/>
    <mergeCell ref="V938:W938"/>
    <mergeCell ref="X938:Y938"/>
    <mergeCell ref="Z938:AA938"/>
    <mergeCell ref="AB938:AC938"/>
    <mergeCell ref="B938:C938"/>
    <mergeCell ref="D938:E938"/>
    <mergeCell ref="F938:G938"/>
    <mergeCell ref="H938:I938"/>
    <mergeCell ref="J938:K938"/>
    <mergeCell ref="L938:M938"/>
    <mergeCell ref="N938:O938"/>
    <mergeCell ref="AD939:AE939"/>
    <mergeCell ref="AF939:AG939"/>
    <mergeCell ref="AH939:AI939"/>
    <mergeCell ref="AJ939:AK939"/>
    <mergeCell ref="AL939:BB939"/>
    <mergeCell ref="AH940:AI940"/>
    <mergeCell ref="AJ940:AK940"/>
    <mergeCell ref="AL940:BB940"/>
    <mergeCell ref="B940:C940"/>
    <mergeCell ref="D940:E940"/>
    <mergeCell ref="F940:G940"/>
    <mergeCell ref="H940:I940"/>
    <mergeCell ref="J940:K940"/>
    <mergeCell ref="L940:M940"/>
    <mergeCell ref="N940:O940"/>
    <mergeCell ref="P942:Q942"/>
    <mergeCell ref="R942:S942"/>
    <mergeCell ref="T942:U942"/>
    <mergeCell ref="V942:W942"/>
    <mergeCell ref="X942:Y942"/>
    <mergeCell ref="Z942:AA942"/>
    <mergeCell ref="AB942:AC942"/>
    <mergeCell ref="B942:C942"/>
    <mergeCell ref="D942:E942"/>
    <mergeCell ref="F942:G942"/>
    <mergeCell ref="H942:I942"/>
    <mergeCell ref="J942:K942"/>
    <mergeCell ref="L942:M942"/>
    <mergeCell ref="N942:O942"/>
    <mergeCell ref="AD940:AE940"/>
    <mergeCell ref="AF940:AG940"/>
    <mergeCell ref="P940:Q940"/>
    <mergeCell ref="R940:S940"/>
    <mergeCell ref="T940:U940"/>
    <mergeCell ref="V940:W940"/>
    <mergeCell ref="X940:Y940"/>
    <mergeCell ref="Z940:AA940"/>
    <mergeCell ref="AB940:AC940"/>
    <mergeCell ref="AD941:AE941"/>
    <mergeCell ref="AF941:AG941"/>
    <mergeCell ref="AH941:AI941"/>
    <mergeCell ref="AJ941:AK941"/>
    <mergeCell ref="AL941:BB941"/>
    <mergeCell ref="P941:Q941"/>
    <mergeCell ref="R941:S941"/>
    <mergeCell ref="T941:U941"/>
    <mergeCell ref="V941:W941"/>
    <mergeCell ref="X941:Y941"/>
    <mergeCell ref="Z941:AA941"/>
    <mergeCell ref="AB941:AC941"/>
    <mergeCell ref="B941:C941"/>
    <mergeCell ref="D941:E941"/>
    <mergeCell ref="F941:G941"/>
    <mergeCell ref="H941:I941"/>
    <mergeCell ref="J941:K941"/>
    <mergeCell ref="L941:M941"/>
    <mergeCell ref="N941:O941"/>
    <mergeCell ref="AD942:AE942"/>
    <mergeCell ref="AF942:AG942"/>
    <mergeCell ref="AH942:AI942"/>
    <mergeCell ref="AJ942:AK942"/>
    <mergeCell ref="AL942:BB942"/>
    <mergeCell ref="AH943:AI943"/>
    <mergeCell ref="AJ943:AK943"/>
    <mergeCell ref="AL943:BB943"/>
    <mergeCell ref="B943:C943"/>
    <mergeCell ref="D943:E943"/>
    <mergeCell ref="F943:G943"/>
    <mergeCell ref="H943:I943"/>
    <mergeCell ref="J943:K943"/>
    <mergeCell ref="L943:M943"/>
    <mergeCell ref="N943:O943"/>
    <mergeCell ref="P945:Q945"/>
    <mergeCell ref="R945:S945"/>
    <mergeCell ref="T945:U945"/>
    <mergeCell ref="V945:W945"/>
    <mergeCell ref="X945:Y945"/>
    <mergeCell ref="Z945:AA945"/>
    <mergeCell ref="AB945:AC945"/>
    <mergeCell ref="B945:C945"/>
    <mergeCell ref="D945:E945"/>
    <mergeCell ref="F945:G945"/>
    <mergeCell ref="H945:I945"/>
    <mergeCell ref="J945:K945"/>
    <mergeCell ref="L945:M945"/>
    <mergeCell ref="N945:O945"/>
    <mergeCell ref="AD943:AE943"/>
    <mergeCell ref="AF943:AG943"/>
    <mergeCell ref="P943:Q943"/>
    <mergeCell ref="R943:S943"/>
    <mergeCell ref="T943:U943"/>
    <mergeCell ref="V943:W943"/>
    <mergeCell ref="X943:Y943"/>
    <mergeCell ref="Z943:AA943"/>
    <mergeCell ref="AB943:AC943"/>
    <mergeCell ref="AD944:AE944"/>
    <mergeCell ref="AF944:AG944"/>
    <mergeCell ref="AH944:AI944"/>
    <mergeCell ref="AJ944:AK944"/>
    <mergeCell ref="AL944:BB944"/>
    <mergeCell ref="P944:Q944"/>
    <mergeCell ref="R944:S944"/>
    <mergeCell ref="T944:U944"/>
    <mergeCell ref="V944:W944"/>
    <mergeCell ref="X944:Y944"/>
    <mergeCell ref="Z944:AA944"/>
    <mergeCell ref="AB944:AC944"/>
    <mergeCell ref="B944:C944"/>
    <mergeCell ref="D944:E944"/>
    <mergeCell ref="F944:G944"/>
    <mergeCell ref="H944:I944"/>
    <mergeCell ref="J944:K944"/>
    <mergeCell ref="L944:M944"/>
    <mergeCell ref="N944:O944"/>
    <mergeCell ref="AD945:AE945"/>
    <mergeCell ref="AF945:AG945"/>
    <mergeCell ref="AH945:AI945"/>
    <mergeCell ref="AJ945:AK945"/>
    <mergeCell ref="AL945:BB945"/>
    <mergeCell ref="AH946:AI946"/>
    <mergeCell ref="AJ946:AK946"/>
    <mergeCell ref="AL946:BB946"/>
    <mergeCell ref="B946:C946"/>
    <mergeCell ref="D946:E946"/>
    <mergeCell ref="F946:G946"/>
    <mergeCell ref="H946:I946"/>
    <mergeCell ref="J946:K946"/>
    <mergeCell ref="L946:M946"/>
    <mergeCell ref="N946:O946"/>
    <mergeCell ref="P948:Q948"/>
    <mergeCell ref="R948:S948"/>
    <mergeCell ref="T948:U948"/>
    <mergeCell ref="V948:W948"/>
    <mergeCell ref="X948:Y948"/>
    <mergeCell ref="Z948:AA948"/>
    <mergeCell ref="AB948:AC948"/>
    <mergeCell ref="B948:C948"/>
    <mergeCell ref="D948:E948"/>
    <mergeCell ref="F948:G948"/>
    <mergeCell ref="H948:I948"/>
    <mergeCell ref="J948:K948"/>
    <mergeCell ref="L948:M948"/>
    <mergeCell ref="N948:O948"/>
    <mergeCell ref="AD946:AE946"/>
    <mergeCell ref="AF946:AG946"/>
    <mergeCell ref="P946:Q946"/>
    <mergeCell ref="R946:S946"/>
    <mergeCell ref="T946:U946"/>
    <mergeCell ref="V946:W946"/>
    <mergeCell ref="X946:Y946"/>
    <mergeCell ref="Z946:AA946"/>
    <mergeCell ref="AB946:AC946"/>
    <mergeCell ref="AD947:AE947"/>
    <mergeCell ref="AF947:AG947"/>
    <mergeCell ref="AH947:AI947"/>
    <mergeCell ref="AJ947:AK947"/>
    <mergeCell ref="AL947:BB947"/>
    <mergeCell ref="P947:Q947"/>
    <mergeCell ref="R947:S947"/>
    <mergeCell ref="T947:U947"/>
    <mergeCell ref="V947:W947"/>
    <mergeCell ref="X947:Y947"/>
    <mergeCell ref="Z947:AA947"/>
    <mergeCell ref="AB947:AC947"/>
    <mergeCell ref="B947:C947"/>
    <mergeCell ref="D947:E947"/>
    <mergeCell ref="F947:G947"/>
    <mergeCell ref="H947:I947"/>
    <mergeCell ref="J947:K947"/>
    <mergeCell ref="L947:M947"/>
    <mergeCell ref="N947:O947"/>
    <mergeCell ref="AD948:AE948"/>
    <mergeCell ref="AF948:AG948"/>
    <mergeCell ref="AH948:AI948"/>
    <mergeCell ref="AJ948:AK948"/>
    <mergeCell ref="AL948:BB948"/>
    <mergeCell ref="AH949:AI949"/>
    <mergeCell ref="AJ949:AK949"/>
    <mergeCell ref="AL949:BB949"/>
    <mergeCell ref="B949:C949"/>
    <mergeCell ref="D949:E949"/>
    <mergeCell ref="F949:G949"/>
    <mergeCell ref="H949:I949"/>
    <mergeCell ref="J949:K949"/>
    <mergeCell ref="L949:M949"/>
    <mergeCell ref="N949:O949"/>
    <mergeCell ref="P951:Q951"/>
    <mergeCell ref="R951:S951"/>
    <mergeCell ref="T951:U951"/>
    <mergeCell ref="V951:W951"/>
    <mergeCell ref="X951:Y951"/>
    <mergeCell ref="Z951:AA951"/>
    <mergeCell ref="AB951:AC951"/>
    <mergeCell ref="B951:C951"/>
    <mergeCell ref="D951:E951"/>
    <mergeCell ref="F951:G951"/>
    <mergeCell ref="H951:I951"/>
    <mergeCell ref="J951:K951"/>
    <mergeCell ref="L951:M951"/>
    <mergeCell ref="N951:O951"/>
    <mergeCell ref="AD949:AE949"/>
    <mergeCell ref="AF949:AG949"/>
    <mergeCell ref="P949:Q949"/>
    <mergeCell ref="R949:S949"/>
    <mergeCell ref="T949:U949"/>
    <mergeCell ref="V949:W949"/>
    <mergeCell ref="X949:Y949"/>
    <mergeCell ref="Z949:AA949"/>
    <mergeCell ref="AB949:AC949"/>
    <mergeCell ref="AD950:AE950"/>
    <mergeCell ref="AF950:AG950"/>
    <mergeCell ref="AH950:AI950"/>
    <mergeCell ref="AJ950:AK950"/>
    <mergeCell ref="AL950:BB950"/>
    <mergeCell ref="P950:Q950"/>
    <mergeCell ref="R950:S950"/>
    <mergeCell ref="T950:U950"/>
    <mergeCell ref="V950:W950"/>
    <mergeCell ref="X950:Y950"/>
    <mergeCell ref="Z950:AA950"/>
    <mergeCell ref="AB950:AC950"/>
    <mergeCell ref="B950:C950"/>
    <mergeCell ref="D950:E950"/>
    <mergeCell ref="F950:G950"/>
    <mergeCell ref="H950:I950"/>
    <mergeCell ref="J950:K950"/>
    <mergeCell ref="L950:M950"/>
    <mergeCell ref="N950:O950"/>
    <mergeCell ref="AD951:AE951"/>
    <mergeCell ref="AF951:AG951"/>
    <mergeCell ref="AH951:AI951"/>
    <mergeCell ref="AJ951:AK951"/>
    <mergeCell ref="AL951:BB951"/>
    <mergeCell ref="AH952:AI952"/>
    <mergeCell ref="AJ952:AK952"/>
    <mergeCell ref="AL952:BB952"/>
    <mergeCell ref="B952:C952"/>
    <mergeCell ref="D952:E952"/>
    <mergeCell ref="F952:G952"/>
    <mergeCell ref="H952:I952"/>
    <mergeCell ref="J952:K952"/>
    <mergeCell ref="L952:M952"/>
    <mergeCell ref="N952:O952"/>
    <mergeCell ref="P954:Q954"/>
    <mergeCell ref="R954:S954"/>
    <mergeCell ref="T954:U954"/>
    <mergeCell ref="V954:W954"/>
    <mergeCell ref="X954:Y954"/>
    <mergeCell ref="Z954:AA954"/>
    <mergeCell ref="AB954:AC954"/>
    <mergeCell ref="B954:C954"/>
    <mergeCell ref="D954:E954"/>
    <mergeCell ref="F954:G954"/>
    <mergeCell ref="H954:I954"/>
    <mergeCell ref="J954:K954"/>
    <mergeCell ref="L954:M954"/>
    <mergeCell ref="N954:O954"/>
    <mergeCell ref="AD952:AE952"/>
    <mergeCell ref="AF952:AG952"/>
    <mergeCell ref="P952:Q952"/>
    <mergeCell ref="R952:S952"/>
    <mergeCell ref="T952:U952"/>
    <mergeCell ref="V952:W952"/>
    <mergeCell ref="X952:Y952"/>
    <mergeCell ref="Z952:AA952"/>
    <mergeCell ref="AB952:AC952"/>
    <mergeCell ref="AD953:AE953"/>
    <mergeCell ref="AF953:AG953"/>
    <mergeCell ref="AH953:AI953"/>
    <mergeCell ref="AJ953:AK953"/>
    <mergeCell ref="AL953:BB953"/>
    <mergeCell ref="P953:Q953"/>
    <mergeCell ref="R953:S953"/>
    <mergeCell ref="T953:U953"/>
    <mergeCell ref="V953:W953"/>
    <mergeCell ref="X953:Y953"/>
    <mergeCell ref="Z953:AA953"/>
    <mergeCell ref="AB953:AC953"/>
    <mergeCell ref="B953:C953"/>
    <mergeCell ref="D953:E953"/>
    <mergeCell ref="F953:G953"/>
    <mergeCell ref="H953:I953"/>
    <mergeCell ref="J953:K953"/>
    <mergeCell ref="L953:M953"/>
    <mergeCell ref="N953:O953"/>
    <mergeCell ref="AD954:AE954"/>
    <mergeCell ref="AF954:AG954"/>
    <mergeCell ref="AH954:AI954"/>
    <mergeCell ref="AJ954:AK954"/>
    <mergeCell ref="AL954:BB954"/>
    <mergeCell ref="B955:C955"/>
    <mergeCell ref="D955:E955"/>
    <mergeCell ref="F955:G955"/>
    <mergeCell ref="H955:I955"/>
    <mergeCell ref="J955:K955"/>
    <mergeCell ref="L955:M955"/>
    <mergeCell ref="N955:O955"/>
    <mergeCell ref="AD956:AE956"/>
    <mergeCell ref="AF956:AG956"/>
    <mergeCell ref="AH956:AI956"/>
    <mergeCell ref="AJ956:AK956"/>
    <mergeCell ref="AL956:BB956"/>
    <mergeCell ref="P956:Q956"/>
    <mergeCell ref="R956:S956"/>
    <mergeCell ref="T956:U956"/>
    <mergeCell ref="V956:W956"/>
    <mergeCell ref="X956:Y956"/>
    <mergeCell ref="Z956:AA956"/>
    <mergeCell ref="AB956:AC956"/>
    <mergeCell ref="B956:C956"/>
    <mergeCell ref="D956:E956"/>
    <mergeCell ref="F956:G956"/>
    <mergeCell ref="H956:I956"/>
    <mergeCell ref="J956:K956"/>
    <mergeCell ref="L956:M956"/>
    <mergeCell ref="N956:O956"/>
    <mergeCell ref="AD957:AE957"/>
    <mergeCell ref="AF957:AG957"/>
    <mergeCell ref="AH957:AI957"/>
    <mergeCell ref="AJ957:AK957"/>
    <mergeCell ref="AL957:BB957"/>
    <mergeCell ref="P957:Q957"/>
    <mergeCell ref="R957:S957"/>
    <mergeCell ref="T957:U957"/>
    <mergeCell ref="V957:W957"/>
    <mergeCell ref="X957:Y957"/>
    <mergeCell ref="Z957:AA957"/>
    <mergeCell ref="AB957:AC957"/>
    <mergeCell ref="B957:C957"/>
    <mergeCell ref="D957:E957"/>
    <mergeCell ref="F957:G957"/>
    <mergeCell ref="H957:I957"/>
    <mergeCell ref="J957:K957"/>
    <mergeCell ref="L957:M957"/>
    <mergeCell ref="N957:O957"/>
    <mergeCell ref="AH958:AI958"/>
    <mergeCell ref="AJ958:AK958"/>
    <mergeCell ref="AL958:BB958"/>
    <mergeCell ref="B958:C958"/>
    <mergeCell ref="D958:E958"/>
    <mergeCell ref="F958:G958"/>
    <mergeCell ref="H958:I958"/>
    <mergeCell ref="J958:K958"/>
    <mergeCell ref="L958:M958"/>
    <mergeCell ref="N958:O958"/>
    <mergeCell ref="P960:Q960"/>
    <mergeCell ref="R960:S960"/>
    <mergeCell ref="T960:U960"/>
    <mergeCell ref="V960:W960"/>
    <mergeCell ref="X960:Y960"/>
    <mergeCell ref="Z960:AA960"/>
    <mergeCell ref="AB960:AC960"/>
    <mergeCell ref="B960:C960"/>
    <mergeCell ref="D960:E960"/>
    <mergeCell ref="F960:G960"/>
    <mergeCell ref="H960:I960"/>
    <mergeCell ref="J960:K960"/>
    <mergeCell ref="L960:M960"/>
    <mergeCell ref="N960:O960"/>
    <mergeCell ref="AD958:AE958"/>
    <mergeCell ref="AF958:AG958"/>
    <mergeCell ref="P958:Q958"/>
    <mergeCell ref="R958:S958"/>
    <mergeCell ref="T958:U958"/>
    <mergeCell ref="V958:W958"/>
    <mergeCell ref="X958:Y958"/>
    <mergeCell ref="Z958:AA958"/>
    <mergeCell ref="AB958:AC958"/>
    <mergeCell ref="AD959:AE959"/>
    <mergeCell ref="AF959:AG959"/>
    <mergeCell ref="AH959:AI959"/>
    <mergeCell ref="AJ959:AK959"/>
    <mergeCell ref="AL959:BB959"/>
    <mergeCell ref="P959:Q959"/>
    <mergeCell ref="R959:S959"/>
    <mergeCell ref="T959:U959"/>
    <mergeCell ref="V959:W959"/>
    <mergeCell ref="X959:Y959"/>
    <mergeCell ref="Z959:AA959"/>
    <mergeCell ref="AB959:AC959"/>
    <mergeCell ref="B959:C959"/>
    <mergeCell ref="D959:E959"/>
    <mergeCell ref="F959:G959"/>
    <mergeCell ref="H959:I959"/>
    <mergeCell ref="J959:K959"/>
    <mergeCell ref="L959:M959"/>
    <mergeCell ref="N959:O959"/>
    <mergeCell ref="AD960:AE960"/>
    <mergeCell ref="AF960:AG960"/>
    <mergeCell ref="AH960:AI960"/>
    <mergeCell ref="AJ960:AK960"/>
    <mergeCell ref="AL960:BB960"/>
    <mergeCell ref="AH961:AI961"/>
    <mergeCell ref="AJ961:AK961"/>
    <mergeCell ref="AL961:BB961"/>
    <mergeCell ref="B961:C961"/>
    <mergeCell ref="D961:E961"/>
    <mergeCell ref="F961:G961"/>
    <mergeCell ref="H961:I961"/>
    <mergeCell ref="J961:K961"/>
    <mergeCell ref="L961:M961"/>
    <mergeCell ref="N961:O961"/>
    <mergeCell ref="P963:Q963"/>
    <mergeCell ref="R963:S963"/>
    <mergeCell ref="T963:U963"/>
    <mergeCell ref="V963:W963"/>
    <mergeCell ref="X963:Y963"/>
    <mergeCell ref="Z963:AA963"/>
    <mergeCell ref="AB963:AC963"/>
    <mergeCell ref="B963:C963"/>
    <mergeCell ref="D963:E963"/>
    <mergeCell ref="F963:G963"/>
    <mergeCell ref="H963:I963"/>
    <mergeCell ref="J963:K963"/>
    <mergeCell ref="L963:M963"/>
    <mergeCell ref="N963:O963"/>
    <mergeCell ref="P966:Q966"/>
    <mergeCell ref="R966:S966"/>
    <mergeCell ref="T966:U966"/>
    <mergeCell ref="V966:W966"/>
    <mergeCell ref="X966:Y966"/>
    <mergeCell ref="Z966:AA966"/>
    <mergeCell ref="AB966:AC966"/>
    <mergeCell ref="B966:C966"/>
    <mergeCell ref="D966:E966"/>
    <mergeCell ref="F966:G966"/>
    <mergeCell ref="H966:I966"/>
    <mergeCell ref="J966:K966"/>
    <mergeCell ref="L966:M966"/>
    <mergeCell ref="N966:O966"/>
    <mergeCell ref="X964:Y964"/>
    <mergeCell ref="Z964:AA964"/>
    <mergeCell ref="AB964:AC964"/>
    <mergeCell ref="AD965:AE965"/>
    <mergeCell ref="AF965:AG965"/>
    <mergeCell ref="AH965:AI965"/>
    <mergeCell ref="AJ965:AK965"/>
    <mergeCell ref="AL965:BB965"/>
    <mergeCell ref="P965:Q965"/>
    <mergeCell ref="R965:S965"/>
    <mergeCell ref="T965:U965"/>
    <mergeCell ref="V965:W965"/>
    <mergeCell ref="X965:Y965"/>
    <mergeCell ref="Z965:AA965"/>
    <mergeCell ref="AB965:AC965"/>
    <mergeCell ref="B965:C965"/>
    <mergeCell ref="D965:E965"/>
    <mergeCell ref="F965:G965"/>
    <mergeCell ref="H965:I965"/>
    <mergeCell ref="J965:K965"/>
    <mergeCell ref="L965:M965"/>
    <mergeCell ref="N965:O965"/>
    <mergeCell ref="AD966:AE966"/>
    <mergeCell ref="AF966:AG966"/>
    <mergeCell ref="AH966:AI966"/>
    <mergeCell ref="AJ966:AK966"/>
    <mergeCell ref="AD970:AE970"/>
    <mergeCell ref="AF970:AG970"/>
    <mergeCell ref="P970:Q970"/>
    <mergeCell ref="R970:S970"/>
    <mergeCell ref="T970:U970"/>
    <mergeCell ref="V970:W970"/>
    <mergeCell ref="X970:Y970"/>
    <mergeCell ref="Z970:AA970"/>
    <mergeCell ref="AB970:AC970"/>
    <mergeCell ref="AD971:AE971"/>
    <mergeCell ref="AF971:AG971"/>
    <mergeCell ref="AH971:AI971"/>
    <mergeCell ref="AJ971:AK971"/>
    <mergeCell ref="AL971:BB971"/>
    <mergeCell ref="P971:Q971"/>
    <mergeCell ref="R971:S971"/>
    <mergeCell ref="T971:U971"/>
    <mergeCell ref="V971:W971"/>
    <mergeCell ref="X971:Y971"/>
    <mergeCell ref="Z971:AA971"/>
    <mergeCell ref="AB971:AC971"/>
    <mergeCell ref="B971:C971"/>
    <mergeCell ref="D971:E971"/>
    <mergeCell ref="F971:G971"/>
    <mergeCell ref="H971:I971"/>
    <mergeCell ref="J971:K971"/>
    <mergeCell ref="L971:M971"/>
    <mergeCell ref="N971:O971"/>
    <mergeCell ref="AD972:AE972"/>
    <mergeCell ref="AF972:AG972"/>
    <mergeCell ref="AH972:AI972"/>
    <mergeCell ref="AJ972:AK972"/>
    <mergeCell ref="AL972:BB972"/>
    <mergeCell ref="AH970:AI970"/>
    <mergeCell ref="AJ970:AK970"/>
    <mergeCell ref="AL970:BB970"/>
    <mergeCell ref="B970:C970"/>
    <mergeCell ref="D970:E970"/>
    <mergeCell ref="F970:G970"/>
    <mergeCell ref="H970:I970"/>
    <mergeCell ref="J970:K970"/>
    <mergeCell ref="L970:M970"/>
    <mergeCell ref="N970:O970"/>
    <mergeCell ref="P972:Q972"/>
    <mergeCell ref="R972:S972"/>
    <mergeCell ref="T972:U972"/>
    <mergeCell ref="V972:W972"/>
    <mergeCell ref="X972:Y972"/>
    <mergeCell ref="Z972:AA972"/>
    <mergeCell ref="AB972:AC972"/>
    <mergeCell ref="B972:C972"/>
    <mergeCell ref="D972:E972"/>
    <mergeCell ref="F972:G972"/>
    <mergeCell ref="H972:I972"/>
    <mergeCell ref="J972:K972"/>
    <mergeCell ref="L972:M972"/>
    <mergeCell ref="N972:O972"/>
    <mergeCell ref="AH973:AI973"/>
    <mergeCell ref="AJ973:AK973"/>
    <mergeCell ref="AL973:BB973"/>
    <mergeCell ref="B973:C973"/>
    <mergeCell ref="D973:E973"/>
    <mergeCell ref="F973:G973"/>
    <mergeCell ref="H973:I973"/>
    <mergeCell ref="J973:K973"/>
    <mergeCell ref="L973:M973"/>
    <mergeCell ref="N973:O973"/>
    <mergeCell ref="AD973:AE973"/>
    <mergeCell ref="AF973:AG973"/>
    <mergeCell ref="P973:Q973"/>
    <mergeCell ref="R973:S973"/>
    <mergeCell ref="T973:U973"/>
    <mergeCell ref="V973:W973"/>
    <mergeCell ref="X973:Y973"/>
    <mergeCell ref="Z973:AA973"/>
    <mergeCell ref="AB973:AC973"/>
    <mergeCell ref="AD974:AE974"/>
    <mergeCell ref="AF974:AG974"/>
    <mergeCell ref="AH974:AI974"/>
    <mergeCell ref="AJ974:AK974"/>
    <mergeCell ref="AL974:BB974"/>
    <mergeCell ref="P974:Q974"/>
    <mergeCell ref="R974:S974"/>
    <mergeCell ref="T974:U974"/>
    <mergeCell ref="V974:W974"/>
    <mergeCell ref="X974:Y974"/>
    <mergeCell ref="Z974:AA974"/>
    <mergeCell ref="AB974:AC974"/>
    <mergeCell ref="B974:C974"/>
    <mergeCell ref="D974:E974"/>
    <mergeCell ref="F974:G974"/>
    <mergeCell ref="H974:I974"/>
    <mergeCell ref="J974:K974"/>
    <mergeCell ref="L974:M974"/>
    <mergeCell ref="N974:O974"/>
    <mergeCell ref="AD975:AE975"/>
    <mergeCell ref="AF975:AG975"/>
    <mergeCell ref="AH975:AI975"/>
    <mergeCell ref="AJ975:AK975"/>
    <mergeCell ref="AL975:BB975"/>
    <mergeCell ref="AH976:AI976"/>
    <mergeCell ref="AJ976:AK976"/>
    <mergeCell ref="AL976:BB976"/>
    <mergeCell ref="B976:C976"/>
    <mergeCell ref="D976:E976"/>
    <mergeCell ref="F976:G976"/>
    <mergeCell ref="H976:I976"/>
    <mergeCell ref="J976:K976"/>
    <mergeCell ref="L976:M976"/>
    <mergeCell ref="N976:O976"/>
    <mergeCell ref="AD961:AE961"/>
    <mergeCell ref="AF961:AG961"/>
    <mergeCell ref="P961:Q961"/>
    <mergeCell ref="R961:S961"/>
    <mergeCell ref="T961:U961"/>
    <mergeCell ref="V961:W961"/>
    <mergeCell ref="X961:Y961"/>
    <mergeCell ref="Z961:AA961"/>
    <mergeCell ref="AB961:AC961"/>
    <mergeCell ref="AD962:AE962"/>
    <mergeCell ref="AF962:AG962"/>
    <mergeCell ref="AH962:AI962"/>
    <mergeCell ref="AJ962:AK962"/>
    <mergeCell ref="AL962:BB962"/>
    <mergeCell ref="P962:Q962"/>
    <mergeCell ref="R962:S962"/>
    <mergeCell ref="T962:U962"/>
    <mergeCell ref="V962:W962"/>
    <mergeCell ref="X962:Y962"/>
    <mergeCell ref="Z962:AA962"/>
    <mergeCell ref="AB962:AC962"/>
    <mergeCell ref="B962:C962"/>
    <mergeCell ref="D962:E962"/>
    <mergeCell ref="F962:G962"/>
    <mergeCell ref="H962:I962"/>
    <mergeCell ref="J962:K962"/>
    <mergeCell ref="L962:M962"/>
    <mergeCell ref="N962:O962"/>
    <mergeCell ref="AD963:AE963"/>
    <mergeCell ref="AF963:AG963"/>
    <mergeCell ref="AH963:AI963"/>
    <mergeCell ref="AJ963:AK963"/>
    <mergeCell ref="AL963:BB963"/>
    <mergeCell ref="AH964:AI964"/>
    <mergeCell ref="AJ964:AK964"/>
    <mergeCell ref="AL964:BB964"/>
    <mergeCell ref="B964:C964"/>
    <mergeCell ref="D964:E964"/>
    <mergeCell ref="F964:G964"/>
    <mergeCell ref="H964:I964"/>
    <mergeCell ref="J964:K964"/>
    <mergeCell ref="L964:M964"/>
    <mergeCell ref="N964:O964"/>
    <mergeCell ref="AD964:AE964"/>
    <mergeCell ref="AF964:AG964"/>
    <mergeCell ref="P964:Q964"/>
    <mergeCell ref="R964:S964"/>
    <mergeCell ref="T964:U964"/>
    <mergeCell ref="V964:W964"/>
    <mergeCell ref="AL966:BB966"/>
    <mergeCell ref="AH967:AI967"/>
    <mergeCell ref="AJ967:AK967"/>
    <mergeCell ref="AL967:BB967"/>
    <mergeCell ref="B967:C967"/>
    <mergeCell ref="D967:E967"/>
    <mergeCell ref="F967:G967"/>
    <mergeCell ref="H967:I967"/>
    <mergeCell ref="J967:K967"/>
    <mergeCell ref="L967:M967"/>
    <mergeCell ref="N967:O967"/>
    <mergeCell ref="P969:Q969"/>
    <mergeCell ref="R969:S969"/>
    <mergeCell ref="T969:U969"/>
    <mergeCell ref="V969:W969"/>
    <mergeCell ref="X969:Y969"/>
    <mergeCell ref="Z969:AA969"/>
    <mergeCell ref="AB969:AC969"/>
    <mergeCell ref="B969:C969"/>
    <mergeCell ref="D969:E969"/>
    <mergeCell ref="F969:G969"/>
    <mergeCell ref="H969:I969"/>
    <mergeCell ref="J969:K969"/>
    <mergeCell ref="L969:M969"/>
    <mergeCell ref="N969:O969"/>
    <mergeCell ref="AD967:AE967"/>
    <mergeCell ref="AF967:AG967"/>
    <mergeCell ref="P967:Q967"/>
    <mergeCell ref="R967:S967"/>
    <mergeCell ref="T967:U967"/>
    <mergeCell ref="V967:W967"/>
    <mergeCell ref="X967:Y967"/>
    <mergeCell ref="Z967:AA967"/>
    <mergeCell ref="AB967:AC967"/>
    <mergeCell ref="AD968:AE968"/>
    <mergeCell ref="AF968:AG968"/>
    <mergeCell ref="AH968:AI968"/>
    <mergeCell ref="AJ968:AK968"/>
    <mergeCell ref="AL968:BB968"/>
    <mergeCell ref="P968:Q968"/>
    <mergeCell ref="R968:S968"/>
    <mergeCell ref="T968:U968"/>
    <mergeCell ref="V968:W968"/>
    <mergeCell ref="X968:Y968"/>
    <mergeCell ref="Z968:AA968"/>
    <mergeCell ref="AB968:AC968"/>
    <mergeCell ref="B968:C968"/>
    <mergeCell ref="D968:E968"/>
    <mergeCell ref="F968:G968"/>
    <mergeCell ref="H968:I968"/>
    <mergeCell ref="J968:K968"/>
    <mergeCell ref="L968:M968"/>
    <mergeCell ref="N968:O968"/>
    <mergeCell ref="AD969:AE969"/>
    <mergeCell ref="AF969:AG969"/>
    <mergeCell ref="AH969:AI969"/>
    <mergeCell ref="AJ969:AK969"/>
    <mergeCell ref="AL969:BB969"/>
    <mergeCell ref="P975:Q975"/>
    <mergeCell ref="R975:S975"/>
    <mergeCell ref="T975:U975"/>
    <mergeCell ref="V975:W975"/>
    <mergeCell ref="X975:Y975"/>
    <mergeCell ref="Z975:AA975"/>
    <mergeCell ref="AB975:AC975"/>
    <mergeCell ref="B975:C975"/>
    <mergeCell ref="D975:E975"/>
    <mergeCell ref="F975:G975"/>
    <mergeCell ref="H975:I975"/>
    <mergeCell ref="J975:K975"/>
    <mergeCell ref="L975:M975"/>
    <mergeCell ref="N975:O975"/>
    <mergeCell ref="AD997:AE997"/>
    <mergeCell ref="AF997:AG997"/>
    <mergeCell ref="AH997:AI997"/>
    <mergeCell ref="AJ997:AK997"/>
    <mergeCell ref="AL997:BB997"/>
    <mergeCell ref="P997:Q997"/>
    <mergeCell ref="R997:S997"/>
    <mergeCell ref="T997:U997"/>
    <mergeCell ref="V997:W997"/>
    <mergeCell ref="X997:Y997"/>
    <mergeCell ref="Z997:AA997"/>
    <mergeCell ref="AB997:AC997"/>
    <mergeCell ref="P978:Q978"/>
    <mergeCell ref="R978:S978"/>
    <mergeCell ref="T978:U978"/>
    <mergeCell ref="V978:W978"/>
    <mergeCell ref="X978:Y978"/>
    <mergeCell ref="Z978:AA978"/>
    <mergeCell ref="AB978:AC978"/>
    <mergeCell ref="B978:C978"/>
    <mergeCell ref="D978:E978"/>
    <mergeCell ref="F978:G978"/>
    <mergeCell ref="H978:I978"/>
    <mergeCell ref="J978:K978"/>
    <mergeCell ref="L978:M978"/>
    <mergeCell ref="N978:O978"/>
    <mergeCell ref="AD976:AE976"/>
    <mergeCell ref="AF976:AG976"/>
    <mergeCell ref="P976:Q976"/>
    <mergeCell ref="R976:S976"/>
    <mergeCell ref="T976:U976"/>
    <mergeCell ref="V976:W976"/>
    <mergeCell ref="X976:Y976"/>
    <mergeCell ref="Z976:AA976"/>
    <mergeCell ref="AB976:AC976"/>
    <mergeCell ref="AD977:AE977"/>
    <mergeCell ref="AF977:AG977"/>
    <mergeCell ref="AH977:AI977"/>
    <mergeCell ref="AJ977:AK977"/>
    <mergeCell ref="AL977:BB977"/>
    <mergeCell ref="P977:Q977"/>
    <mergeCell ref="R977:S977"/>
    <mergeCell ref="T977:U977"/>
    <mergeCell ref="V977:W977"/>
    <mergeCell ref="X977:Y977"/>
    <mergeCell ref="Z977:AA977"/>
    <mergeCell ref="AB977:AC977"/>
    <mergeCell ref="B977:C977"/>
    <mergeCell ref="D977:E977"/>
    <mergeCell ref="F977:G977"/>
    <mergeCell ref="H977:I977"/>
    <mergeCell ref="J977:K977"/>
    <mergeCell ref="L977:M977"/>
    <mergeCell ref="N977:O977"/>
    <mergeCell ref="AD978:AE978"/>
    <mergeCell ref="AF978:AG978"/>
    <mergeCell ref="AH978:AI978"/>
    <mergeCell ref="AJ978:AK978"/>
    <mergeCell ref="AL978:BB978"/>
    <mergeCell ref="AH979:AI979"/>
    <mergeCell ref="AJ979:AK979"/>
    <mergeCell ref="AL979:BB979"/>
    <mergeCell ref="B979:C979"/>
    <mergeCell ref="D979:E979"/>
    <mergeCell ref="F979:G979"/>
    <mergeCell ref="H979:I979"/>
    <mergeCell ref="J979:K979"/>
    <mergeCell ref="L979:M979"/>
    <mergeCell ref="N979:O979"/>
    <mergeCell ref="P981:Q981"/>
    <mergeCell ref="R981:S981"/>
    <mergeCell ref="T981:U981"/>
    <mergeCell ref="V981:W981"/>
    <mergeCell ref="X981:Y981"/>
    <mergeCell ref="Z981:AA981"/>
    <mergeCell ref="AB981:AC981"/>
    <mergeCell ref="B981:C981"/>
    <mergeCell ref="D981:E981"/>
    <mergeCell ref="F981:G981"/>
    <mergeCell ref="H981:I981"/>
    <mergeCell ref="J981:K981"/>
    <mergeCell ref="L981:M981"/>
    <mergeCell ref="N981:O981"/>
    <mergeCell ref="AD979:AE979"/>
    <mergeCell ref="AF979:AG979"/>
    <mergeCell ref="P979:Q979"/>
    <mergeCell ref="R979:S979"/>
    <mergeCell ref="T979:U979"/>
    <mergeCell ref="V979:W979"/>
    <mergeCell ref="X979:Y979"/>
    <mergeCell ref="Z979:AA979"/>
    <mergeCell ref="AB979:AC979"/>
    <mergeCell ref="AD980:AE980"/>
    <mergeCell ref="AF980:AG980"/>
    <mergeCell ref="AH980:AI980"/>
    <mergeCell ref="AJ980:AK980"/>
    <mergeCell ref="AL980:BB980"/>
    <mergeCell ref="P980:Q980"/>
    <mergeCell ref="R980:S980"/>
    <mergeCell ref="T980:U980"/>
    <mergeCell ref="V980:W980"/>
    <mergeCell ref="X980:Y980"/>
    <mergeCell ref="Z980:AA980"/>
    <mergeCell ref="AB980:AC980"/>
    <mergeCell ref="B980:C980"/>
    <mergeCell ref="D980:E980"/>
    <mergeCell ref="F980:G980"/>
    <mergeCell ref="H980:I980"/>
    <mergeCell ref="J980:K980"/>
    <mergeCell ref="L980:M980"/>
    <mergeCell ref="N980:O980"/>
    <mergeCell ref="AD981:AE981"/>
    <mergeCell ref="AF981:AG981"/>
    <mergeCell ref="AH981:AI981"/>
    <mergeCell ref="AJ981:AK981"/>
    <mergeCell ref="AL981:BB981"/>
    <mergeCell ref="AH982:AI982"/>
    <mergeCell ref="AJ982:AK982"/>
    <mergeCell ref="AL982:BB982"/>
    <mergeCell ref="B982:C982"/>
    <mergeCell ref="D982:E982"/>
    <mergeCell ref="F982:G982"/>
    <mergeCell ref="H982:I982"/>
    <mergeCell ref="J982:K982"/>
    <mergeCell ref="L982:M982"/>
    <mergeCell ref="N982:O982"/>
    <mergeCell ref="P984:Q984"/>
    <mergeCell ref="R984:S984"/>
    <mergeCell ref="T984:U984"/>
    <mergeCell ref="V984:W984"/>
    <mergeCell ref="X984:Y984"/>
    <mergeCell ref="Z984:AA984"/>
    <mergeCell ref="AB984:AC984"/>
    <mergeCell ref="B984:C984"/>
    <mergeCell ref="D984:E984"/>
    <mergeCell ref="F984:G984"/>
    <mergeCell ref="H984:I984"/>
    <mergeCell ref="J984:K984"/>
    <mergeCell ref="L984:M984"/>
    <mergeCell ref="N984:O984"/>
    <mergeCell ref="AD982:AE982"/>
    <mergeCell ref="AF982:AG982"/>
    <mergeCell ref="P982:Q982"/>
    <mergeCell ref="R982:S982"/>
    <mergeCell ref="T982:U982"/>
    <mergeCell ref="V982:W982"/>
    <mergeCell ref="X982:Y982"/>
    <mergeCell ref="Z982:AA982"/>
    <mergeCell ref="AB982:AC982"/>
    <mergeCell ref="AD983:AE983"/>
    <mergeCell ref="AF983:AG983"/>
    <mergeCell ref="AH983:AI983"/>
    <mergeCell ref="AJ983:AK983"/>
    <mergeCell ref="AL983:BB983"/>
    <mergeCell ref="P983:Q983"/>
    <mergeCell ref="R983:S983"/>
    <mergeCell ref="T983:U983"/>
    <mergeCell ref="V983:W983"/>
    <mergeCell ref="X983:Y983"/>
    <mergeCell ref="Z983:AA983"/>
    <mergeCell ref="AB983:AC983"/>
    <mergeCell ref="B983:C983"/>
    <mergeCell ref="D983:E983"/>
    <mergeCell ref="F983:G983"/>
    <mergeCell ref="H983:I983"/>
    <mergeCell ref="J983:K983"/>
    <mergeCell ref="L983:M983"/>
    <mergeCell ref="N983:O983"/>
    <mergeCell ref="AD984:AE984"/>
    <mergeCell ref="AF984:AG984"/>
    <mergeCell ref="AH984:AI984"/>
    <mergeCell ref="AJ984:AK984"/>
    <mergeCell ref="AL984:BB984"/>
    <mergeCell ref="AH985:AI985"/>
    <mergeCell ref="AJ985:AK985"/>
    <mergeCell ref="AL985:BB985"/>
    <mergeCell ref="B985:C985"/>
    <mergeCell ref="D985:E985"/>
    <mergeCell ref="F985:G985"/>
    <mergeCell ref="H985:I985"/>
    <mergeCell ref="J985:K985"/>
    <mergeCell ref="L985:M985"/>
    <mergeCell ref="N985:O985"/>
    <mergeCell ref="P987:Q987"/>
    <mergeCell ref="R987:S987"/>
    <mergeCell ref="T987:U987"/>
    <mergeCell ref="V987:W987"/>
    <mergeCell ref="X987:Y987"/>
    <mergeCell ref="Z987:AA987"/>
    <mergeCell ref="AB987:AC987"/>
    <mergeCell ref="B987:C987"/>
    <mergeCell ref="D987:E987"/>
    <mergeCell ref="F987:G987"/>
    <mergeCell ref="H987:I987"/>
    <mergeCell ref="J987:K987"/>
    <mergeCell ref="L987:M987"/>
    <mergeCell ref="N987:O987"/>
    <mergeCell ref="AD985:AE985"/>
    <mergeCell ref="AF985:AG985"/>
    <mergeCell ref="P985:Q985"/>
    <mergeCell ref="R985:S985"/>
    <mergeCell ref="T985:U985"/>
    <mergeCell ref="V985:W985"/>
    <mergeCell ref="X985:Y985"/>
    <mergeCell ref="Z985:AA985"/>
    <mergeCell ref="AB985:AC985"/>
    <mergeCell ref="AD986:AE986"/>
    <mergeCell ref="AF986:AG986"/>
    <mergeCell ref="AH986:AI986"/>
    <mergeCell ref="AJ986:AK986"/>
    <mergeCell ref="AL986:BB986"/>
    <mergeCell ref="P986:Q986"/>
    <mergeCell ref="R986:S986"/>
    <mergeCell ref="T986:U986"/>
    <mergeCell ref="V986:W986"/>
    <mergeCell ref="X986:Y986"/>
    <mergeCell ref="Z986:AA986"/>
    <mergeCell ref="AB986:AC986"/>
    <mergeCell ref="B986:C986"/>
    <mergeCell ref="D986:E986"/>
    <mergeCell ref="F986:G986"/>
    <mergeCell ref="H986:I986"/>
    <mergeCell ref="J986:K986"/>
    <mergeCell ref="L986:M986"/>
    <mergeCell ref="N986:O986"/>
    <mergeCell ref="AD987:AE987"/>
    <mergeCell ref="AF987:AG987"/>
    <mergeCell ref="AH987:AI987"/>
    <mergeCell ref="AJ987:AK987"/>
    <mergeCell ref="AL987:BB987"/>
    <mergeCell ref="AH988:AI988"/>
    <mergeCell ref="AJ988:AK988"/>
    <mergeCell ref="AL988:BB988"/>
    <mergeCell ref="B988:C988"/>
    <mergeCell ref="D988:E988"/>
    <mergeCell ref="F988:G988"/>
    <mergeCell ref="H988:I988"/>
    <mergeCell ref="J988:K988"/>
    <mergeCell ref="L988:M988"/>
    <mergeCell ref="N988:O988"/>
    <mergeCell ref="P990:Q990"/>
    <mergeCell ref="R990:S990"/>
    <mergeCell ref="T990:U990"/>
    <mergeCell ref="V990:W990"/>
    <mergeCell ref="X990:Y990"/>
    <mergeCell ref="Z990:AA990"/>
    <mergeCell ref="AB990:AC990"/>
    <mergeCell ref="B990:C990"/>
    <mergeCell ref="D990:E990"/>
    <mergeCell ref="F990:G990"/>
    <mergeCell ref="H990:I990"/>
    <mergeCell ref="J990:K990"/>
    <mergeCell ref="L990:M990"/>
    <mergeCell ref="N990:O990"/>
    <mergeCell ref="AD988:AE988"/>
    <mergeCell ref="AF988:AG988"/>
    <mergeCell ref="P988:Q988"/>
    <mergeCell ref="R988:S988"/>
    <mergeCell ref="T988:U988"/>
    <mergeCell ref="V988:W988"/>
    <mergeCell ref="X988:Y988"/>
    <mergeCell ref="Z988:AA988"/>
    <mergeCell ref="AB988:AC988"/>
    <mergeCell ref="AD989:AE989"/>
    <mergeCell ref="AF989:AG989"/>
    <mergeCell ref="AH989:AI989"/>
    <mergeCell ref="AJ989:AK989"/>
    <mergeCell ref="AL989:BB989"/>
    <mergeCell ref="P989:Q989"/>
    <mergeCell ref="R989:S989"/>
    <mergeCell ref="T989:U989"/>
    <mergeCell ref="V989:W989"/>
    <mergeCell ref="X989:Y989"/>
    <mergeCell ref="Z989:AA989"/>
    <mergeCell ref="AB989:AC989"/>
    <mergeCell ref="B989:C989"/>
    <mergeCell ref="D989:E989"/>
    <mergeCell ref="F989:G989"/>
    <mergeCell ref="H989:I989"/>
    <mergeCell ref="J989:K989"/>
    <mergeCell ref="L989:M989"/>
    <mergeCell ref="N989:O989"/>
    <mergeCell ref="AD990:AE990"/>
    <mergeCell ref="AF990:AG990"/>
    <mergeCell ref="AH990:AI990"/>
    <mergeCell ref="AJ990:AK990"/>
    <mergeCell ref="AL990:BB990"/>
    <mergeCell ref="AH991:AI991"/>
    <mergeCell ref="AJ991:AK991"/>
    <mergeCell ref="AL991:BB991"/>
    <mergeCell ref="B991:C991"/>
    <mergeCell ref="D991:E991"/>
    <mergeCell ref="F991:G991"/>
    <mergeCell ref="H991:I991"/>
    <mergeCell ref="J991:K991"/>
    <mergeCell ref="L991:M991"/>
    <mergeCell ref="N991:O991"/>
    <mergeCell ref="P993:Q993"/>
    <mergeCell ref="R993:S993"/>
    <mergeCell ref="T993:U993"/>
    <mergeCell ref="V993:W993"/>
    <mergeCell ref="X993:Y993"/>
    <mergeCell ref="Z993:AA993"/>
    <mergeCell ref="AB993:AC993"/>
    <mergeCell ref="B993:C993"/>
    <mergeCell ref="D993:E993"/>
    <mergeCell ref="F993:G993"/>
    <mergeCell ref="H993:I993"/>
    <mergeCell ref="J993:K993"/>
    <mergeCell ref="L993:M993"/>
    <mergeCell ref="N993:O993"/>
    <mergeCell ref="AD991:AE991"/>
    <mergeCell ref="AF991:AG991"/>
    <mergeCell ref="P991:Q991"/>
    <mergeCell ref="R991:S991"/>
    <mergeCell ref="T991:U991"/>
    <mergeCell ref="V991:W991"/>
    <mergeCell ref="X991:Y991"/>
    <mergeCell ref="Z991:AA991"/>
    <mergeCell ref="AB991:AC991"/>
    <mergeCell ref="AD992:AE992"/>
    <mergeCell ref="AF992:AG992"/>
    <mergeCell ref="AH992:AI992"/>
    <mergeCell ref="AJ992:AK992"/>
    <mergeCell ref="AL992:BB992"/>
    <mergeCell ref="P992:Q992"/>
    <mergeCell ref="R992:S992"/>
    <mergeCell ref="T992:U992"/>
    <mergeCell ref="V992:W992"/>
    <mergeCell ref="X992:Y992"/>
    <mergeCell ref="Z992:AA992"/>
    <mergeCell ref="AB992:AC992"/>
    <mergeCell ref="B992:C992"/>
    <mergeCell ref="D992:E992"/>
    <mergeCell ref="F992:G992"/>
    <mergeCell ref="H992:I992"/>
    <mergeCell ref="J992:K992"/>
    <mergeCell ref="L992:M992"/>
    <mergeCell ref="N992:O992"/>
    <mergeCell ref="AD993:AE993"/>
    <mergeCell ref="AF993:AG993"/>
    <mergeCell ref="AH993:AI993"/>
    <mergeCell ref="AJ993:AK993"/>
    <mergeCell ref="AL993:BB993"/>
    <mergeCell ref="AH994:AI994"/>
    <mergeCell ref="AJ994:AK994"/>
    <mergeCell ref="AL994:BB994"/>
    <mergeCell ref="B994:C994"/>
    <mergeCell ref="D994:E994"/>
    <mergeCell ref="F994:G994"/>
    <mergeCell ref="H994:I994"/>
    <mergeCell ref="J994:K994"/>
    <mergeCell ref="L994:M994"/>
    <mergeCell ref="N994:O994"/>
    <mergeCell ref="P996:Q996"/>
    <mergeCell ref="R996:S996"/>
    <mergeCell ref="T996:U996"/>
    <mergeCell ref="V996:W996"/>
    <mergeCell ref="X996:Y996"/>
    <mergeCell ref="Z996:AA996"/>
    <mergeCell ref="AB996:AC996"/>
    <mergeCell ref="B996:C996"/>
    <mergeCell ref="D996:E996"/>
    <mergeCell ref="F996:G996"/>
    <mergeCell ref="H996:I996"/>
    <mergeCell ref="J996:K996"/>
    <mergeCell ref="L996:M996"/>
    <mergeCell ref="N996:O996"/>
    <mergeCell ref="AD994:AE994"/>
    <mergeCell ref="AF994:AG994"/>
    <mergeCell ref="P994:Q994"/>
    <mergeCell ref="R994:S994"/>
    <mergeCell ref="T994:U994"/>
    <mergeCell ref="V994:W994"/>
    <mergeCell ref="X994:Y994"/>
    <mergeCell ref="Z994:AA994"/>
    <mergeCell ref="AB994:AC994"/>
    <mergeCell ref="AD995:AE995"/>
    <mergeCell ref="AF995:AG995"/>
    <mergeCell ref="AH995:AI995"/>
    <mergeCell ref="AJ995:AK995"/>
    <mergeCell ref="AL995:BB995"/>
    <mergeCell ref="P995:Q995"/>
    <mergeCell ref="R995:S995"/>
    <mergeCell ref="T995:U995"/>
    <mergeCell ref="V995:W995"/>
    <mergeCell ref="X995:Y995"/>
    <mergeCell ref="Z995:AA995"/>
    <mergeCell ref="AB995:AC995"/>
    <mergeCell ref="B995:C995"/>
    <mergeCell ref="D995:E995"/>
    <mergeCell ref="F995:G995"/>
    <mergeCell ref="H995:I995"/>
    <mergeCell ref="J995:K995"/>
    <mergeCell ref="L995:M995"/>
    <mergeCell ref="N995:O995"/>
    <mergeCell ref="AD996:AE996"/>
    <mergeCell ref="AF996:AG996"/>
    <mergeCell ref="AH996:AI996"/>
    <mergeCell ref="AJ996:AK996"/>
    <mergeCell ref="AL996:BB996"/>
    <mergeCell ref="B997:C997"/>
    <mergeCell ref="D997:E997"/>
    <mergeCell ref="F997:G997"/>
    <mergeCell ref="H997:I997"/>
    <mergeCell ref="J997:K997"/>
    <mergeCell ref="L997:M997"/>
    <mergeCell ref="N997:O997"/>
    <mergeCell ref="AD998:AE998"/>
    <mergeCell ref="AF998:AG998"/>
    <mergeCell ref="AH998:AI998"/>
    <mergeCell ref="AJ998:AK998"/>
    <mergeCell ref="AL998:BB998"/>
    <mergeCell ref="P998:Q998"/>
    <mergeCell ref="R998:S998"/>
    <mergeCell ref="T998:U998"/>
    <mergeCell ref="V998:W998"/>
    <mergeCell ref="X998:Y998"/>
    <mergeCell ref="Z998:AA998"/>
    <mergeCell ref="AB998:AC998"/>
    <mergeCell ref="B998:C998"/>
    <mergeCell ref="D998:E998"/>
    <mergeCell ref="F998:G998"/>
    <mergeCell ref="H998:I998"/>
    <mergeCell ref="J998:K998"/>
    <mergeCell ref="L998:M998"/>
    <mergeCell ref="N998:O998"/>
    <mergeCell ref="AD999:AE999"/>
    <mergeCell ref="AF999:AG999"/>
    <mergeCell ref="AH999:AI999"/>
    <mergeCell ref="AJ999:AK999"/>
    <mergeCell ref="AL999:BB999"/>
    <mergeCell ref="P999:Q999"/>
    <mergeCell ref="R999:S999"/>
    <mergeCell ref="T999:U999"/>
    <mergeCell ref="V999:W999"/>
    <mergeCell ref="X999:Y999"/>
    <mergeCell ref="Z999:AA999"/>
    <mergeCell ref="AB999:AC999"/>
    <mergeCell ref="B999:C999"/>
    <mergeCell ref="D999:E999"/>
    <mergeCell ref="F999:G999"/>
    <mergeCell ref="H999:I999"/>
    <mergeCell ref="J999:K999"/>
    <mergeCell ref="L999:M999"/>
    <mergeCell ref="N999:O999"/>
    <mergeCell ref="AH1000:AI1000"/>
    <mergeCell ref="AJ1000:AK1000"/>
    <mergeCell ref="AL1000:BB1000"/>
    <mergeCell ref="B1000:C1000"/>
    <mergeCell ref="D1000:E1000"/>
    <mergeCell ref="F1000:G1000"/>
    <mergeCell ref="H1000:I1000"/>
    <mergeCell ref="J1000:K1000"/>
    <mergeCell ref="L1000:M1000"/>
    <mergeCell ref="N1000:O1000"/>
    <mergeCell ref="P1002:Q1002"/>
    <mergeCell ref="R1002:S1002"/>
    <mergeCell ref="T1002:U1002"/>
    <mergeCell ref="V1002:W1002"/>
    <mergeCell ref="X1002:Y1002"/>
    <mergeCell ref="Z1002:AA1002"/>
    <mergeCell ref="AB1002:AC1002"/>
    <mergeCell ref="B1002:C1002"/>
    <mergeCell ref="D1002:E1002"/>
    <mergeCell ref="F1002:G1002"/>
    <mergeCell ref="H1002:I1002"/>
    <mergeCell ref="J1002:K1002"/>
    <mergeCell ref="L1002:M1002"/>
    <mergeCell ref="N1002:O1002"/>
    <mergeCell ref="AD1000:AE1000"/>
    <mergeCell ref="AF1000:AG1000"/>
    <mergeCell ref="P1000:Q1000"/>
    <mergeCell ref="R1000:S1000"/>
    <mergeCell ref="T1000:U1000"/>
    <mergeCell ref="V1000:W1000"/>
    <mergeCell ref="X1000:Y1000"/>
    <mergeCell ref="Z1000:AA1000"/>
    <mergeCell ref="AB1000:AC1000"/>
    <mergeCell ref="AD1001:AE1001"/>
    <mergeCell ref="AF1001:AG1001"/>
    <mergeCell ref="AH1001:AI1001"/>
    <mergeCell ref="AJ1001:AK1001"/>
    <mergeCell ref="AL1001:BB1001"/>
    <mergeCell ref="P1001:Q1001"/>
    <mergeCell ref="R1001:S1001"/>
    <mergeCell ref="T1001:U1001"/>
    <mergeCell ref="V1001:W1001"/>
    <mergeCell ref="X1001:Y1001"/>
    <mergeCell ref="Z1001:AA1001"/>
    <mergeCell ref="AB1001:AC1001"/>
    <mergeCell ref="B1001:C1001"/>
    <mergeCell ref="D1001:E1001"/>
    <mergeCell ref="F1001:G1001"/>
    <mergeCell ref="H1001:I1001"/>
    <mergeCell ref="J1001:K1001"/>
    <mergeCell ref="L1001:M1001"/>
    <mergeCell ref="N1001:O1001"/>
    <mergeCell ref="AD1002:AE1002"/>
    <mergeCell ref="AF1002:AG1002"/>
    <mergeCell ref="AH1002:AI1002"/>
    <mergeCell ref="AJ1002:AK1002"/>
    <mergeCell ref="AL1002:BB1002"/>
    <mergeCell ref="AH1003:AI1003"/>
    <mergeCell ref="AJ1003:AK1003"/>
    <mergeCell ref="AL1003:BB1003"/>
    <mergeCell ref="B1003:C1003"/>
    <mergeCell ref="D1003:E1003"/>
    <mergeCell ref="F1003:G1003"/>
    <mergeCell ref="H1003:I1003"/>
    <mergeCell ref="J1003:K1003"/>
    <mergeCell ref="L1003:M1003"/>
    <mergeCell ref="N1003:O1003"/>
    <mergeCell ref="P1005:Q1005"/>
    <mergeCell ref="R1005:S1005"/>
    <mergeCell ref="T1005:U1005"/>
    <mergeCell ref="V1005:W1005"/>
    <mergeCell ref="X1005:Y1005"/>
    <mergeCell ref="Z1005:AA1005"/>
    <mergeCell ref="AB1005:AC1005"/>
    <mergeCell ref="B1005:C1005"/>
    <mergeCell ref="D1005:E1005"/>
    <mergeCell ref="F1005:G1005"/>
    <mergeCell ref="H1005:I1005"/>
    <mergeCell ref="J1005:K1005"/>
    <mergeCell ref="L1005:M1005"/>
    <mergeCell ref="N1005:O1005"/>
    <mergeCell ref="P1008:Q1008"/>
    <mergeCell ref="R1008:S1008"/>
    <mergeCell ref="T1008:U1008"/>
    <mergeCell ref="V1008:W1008"/>
    <mergeCell ref="X1008:Y1008"/>
    <mergeCell ref="Z1008:AA1008"/>
    <mergeCell ref="AB1008:AC1008"/>
    <mergeCell ref="B1008:C1008"/>
    <mergeCell ref="D1008:E1008"/>
    <mergeCell ref="F1008:G1008"/>
    <mergeCell ref="H1008:I1008"/>
    <mergeCell ref="J1008:K1008"/>
    <mergeCell ref="L1008:M1008"/>
    <mergeCell ref="N1008:O1008"/>
    <mergeCell ref="X1006:Y1006"/>
    <mergeCell ref="Z1006:AA1006"/>
    <mergeCell ref="AB1006:AC1006"/>
    <mergeCell ref="AD1007:AE1007"/>
    <mergeCell ref="AF1007:AG1007"/>
    <mergeCell ref="AH1007:AI1007"/>
    <mergeCell ref="AJ1007:AK1007"/>
    <mergeCell ref="AL1007:BB1007"/>
    <mergeCell ref="P1007:Q1007"/>
    <mergeCell ref="R1007:S1007"/>
    <mergeCell ref="T1007:U1007"/>
    <mergeCell ref="V1007:W1007"/>
    <mergeCell ref="X1007:Y1007"/>
    <mergeCell ref="Z1007:AA1007"/>
    <mergeCell ref="AB1007:AC1007"/>
    <mergeCell ref="B1007:C1007"/>
    <mergeCell ref="D1007:E1007"/>
    <mergeCell ref="F1007:G1007"/>
    <mergeCell ref="H1007:I1007"/>
    <mergeCell ref="J1007:K1007"/>
    <mergeCell ref="L1007:M1007"/>
    <mergeCell ref="N1007:O1007"/>
    <mergeCell ref="AD1008:AE1008"/>
    <mergeCell ref="AF1008:AG1008"/>
    <mergeCell ref="AH1008:AI1008"/>
    <mergeCell ref="AJ1008:AK1008"/>
    <mergeCell ref="AD1012:AE1012"/>
    <mergeCell ref="AF1012:AG1012"/>
    <mergeCell ref="P1012:Q1012"/>
    <mergeCell ref="R1012:S1012"/>
    <mergeCell ref="T1012:U1012"/>
    <mergeCell ref="V1012:W1012"/>
    <mergeCell ref="X1012:Y1012"/>
    <mergeCell ref="Z1012:AA1012"/>
    <mergeCell ref="AB1012:AC1012"/>
    <mergeCell ref="AD1013:AE1013"/>
    <mergeCell ref="AF1013:AG1013"/>
    <mergeCell ref="AH1013:AI1013"/>
    <mergeCell ref="AJ1013:AK1013"/>
    <mergeCell ref="AL1013:BB1013"/>
    <mergeCell ref="P1013:Q1013"/>
    <mergeCell ref="R1013:S1013"/>
    <mergeCell ref="T1013:U1013"/>
    <mergeCell ref="V1013:W1013"/>
    <mergeCell ref="X1013:Y1013"/>
    <mergeCell ref="Z1013:AA1013"/>
    <mergeCell ref="AB1013:AC1013"/>
    <mergeCell ref="B1013:C1013"/>
    <mergeCell ref="D1013:E1013"/>
    <mergeCell ref="F1013:G1013"/>
    <mergeCell ref="H1013:I1013"/>
    <mergeCell ref="J1013:K1013"/>
    <mergeCell ref="L1013:M1013"/>
    <mergeCell ref="N1013:O1013"/>
    <mergeCell ref="AD1014:AE1014"/>
    <mergeCell ref="AF1014:AG1014"/>
    <mergeCell ref="AH1014:AI1014"/>
    <mergeCell ref="AJ1014:AK1014"/>
    <mergeCell ref="AL1014:BB1014"/>
    <mergeCell ref="AH1012:AI1012"/>
    <mergeCell ref="AJ1012:AK1012"/>
    <mergeCell ref="AL1012:BB1012"/>
    <mergeCell ref="B1012:C1012"/>
    <mergeCell ref="D1012:E1012"/>
    <mergeCell ref="F1012:G1012"/>
    <mergeCell ref="H1012:I1012"/>
    <mergeCell ref="J1012:K1012"/>
    <mergeCell ref="L1012:M1012"/>
    <mergeCell ref="N1012:O1012"/>
    <mergeCell ref="P1014:Q1014"/>
    <mergeCell ref="R1014:S1014"/>
    <mergeCell ref="T1014:U1014"/>
    <mergeCell ref="V1014:W1014"/>
    <mergeCell ref="X1014:Y1014"/>
    <mergeCell ref="Z1014:AA1014"/>
    <mergeCell ref="AB1014:AC1014"/>
    <mergeCell ref="B1014:C1014"/>
    <mergeCell ref="D1014:E1014"/>
    <mergeCell ref="F1014:G1014"/>
    <mergeCell ref="H1014:I1014"/>
    <mergeCell ref="J1014:K1014"/>
    <mergeCell ref="L1014:M1014"/>
    <mergeCell ref="N1014:O1014"/>
    <mergeCell ref="AH1015:AI1015"/>
    <mergeCell ref="AJ1015:AK1015"/>
    <mergeCell ref="AL1015:BB1015"/>
    <mergeCell ref="B1015:C1015"/>
    <mergeCell ref="D1015:E1015"/>
    <mergeCell ref="F1015:G1015"/>
    <mergeCell ref="H1015:I1015"/>
    <mergeCell ref="J1015:K1015"/>
    <mergeCell ref="L1015:M1015"/>
    <mergeCell ref="N1015:O1015"/>
    <mergeCell ref="AD1015:AE1015"/>
    <mergeCell ref="AF1015:AG1015"/>
    <mergeCell ref="P1015:Q1015"/>
    <mergeCell ref="R1015:S1015"/>
    <mergeCell ref="T1015:U1015"/>
    <mergeCell ref="V1015:W1015"/>
    <mergeCell ref="X1015:Y1015"/>
    <mergeCell ref="Z1015:AA1015"/>
    <mergeCell ref="AB1015:AC1015"/>
    <mergeCell ref="AD1016:AE1016"/>
    <mergeCell ref="AF1016:AG1016"/>
    <mergeCell ref="AH1016:AI1016"/>
    <mergeCell ref="AJ1016:AK1016"/>
    <mergeCell ref="AL1016:BB1016"/>
    <mergeCell ref="P1016:Q1016"/>
    <mergeCell ref="R1016:S1016"/>
    <mergeCell ref="T1016:U1016"/>
    <mergeCell ref="V1016:W1016"/>
    <mergeCell ref="X1016:Y1016"/>
    <mergeCell ref="Z1016:AA1016"/>
    <mergeCell ref="AB1016:AC1016"/>
    <mergeCell ref="B1016:C1016"/>
    <mergeCell ref="D1016:E1016"/>
    <mergeCell ref="F1016:G1016"/>
    <mergeCell ref="H1016:I1016"/>
    <mergeCell ref="J1016:K1016"/>
    <mergeCell ref="L1016:M1016"/>
    <mergeCell ref="N1016:O1016"/>
    <mergeCell ref="AD1017:AE1017"/>
    <mergeCell ref="AF1017:AG1017"/>
    <mergeCell ref="AH1017:AI1017"/>
    <mergeCell ref="AJ1017:AK1017"/>
    <mergeCell ref="AL1017:BB1017"/>
    <mergeCell ref="AH1018:AI1018"/>
    <mergeCell ref="AJ1018:AK1018"/>
    <mergeCell ref="AL1018:BB1018"/>
    <mergeCell ref="B1018:C1018"/>
    <mergeCell ref="D1018:E1018"/>
    <mergeCell ref="F1018:G1018"/>
    <mergeCell ref="H1018:I1018"/>
    <mergeCell ref="J1018:K1018"/>
    <mergeCell ref="L1018:M1018"/>
    <mergeCell ref="N1018:O1018"/>
    <mergeCell ref="AD1003:AE1003"/>
    <mergeCell ref="AF1003:AG1003"/>
    <mergeCell ref="P1003:Q1003"/>
    <mergeCell ref="R1003:S1003"/>
    <mergeCell ref="T1003:U1003"/>
    <mergeCell ref="V1003:W1003"/>
    <mergeCell ref="X1003:Y1003"/>
    <mergeCell ref="Z1003:AA1003"/>
    <mergeCell ref="AB1003:AC1003"/>
    <mergeCell ref="AD1004:AE1004"/>
    <mergeCell ref="AF1004:AG1004"/>
    <mergeCell ref="AH1004:AI1004"/>
    <mergeCell ref="AJ1004:AK1004"/>
    <mergeCell ref="AL1004:BB1004"/>
    <mergeCell ref="P1004:Q1004"/>
    <mergeCell ref="R1004:S1004"/>
    <mergeCell ref="T1004:U1004"/>
    <mergeCell ref="V1004:W1004"/>
    <mergeCell ref="X1004:Y1004"/>
    <mergeCell ref="Z1004:AA1004"/>
    <mergeCell ref="AB1004:AC1004"/>
    <mergeCell ref="B1004:C1004"/>
    <mergeCell ref="D1004:E1004"/>
    <mergeCell ref="F1004:G1004"/>
    <mergeCell ref="H1004:I1004"/>
    <mergeCell ref="J1004:K1004"/>
    <mergeCell ref="L1004:M1004"/>
    <mergeCell ref="N1004:O1004"/>
    <mergeCell ref="AD1005:AE1005"/>
    <mergeCell ref="AF1005:AG1005"/>
    <mergeCell ref="AH1005:AI1005"/>
    <mergeCell ref="AJ1005:AK1005"/>
    <mergeCell ref="AL1005:BB1005"/>
    <mergeCell ref="AH1006:AI1006"/>
    <mergeCell ref="AJ1006:AK1006"/>
    <mergeCell ref="AL1006:BB1006"/>
    <mergeCell ref="B1006:C1006"/>
    <mergeCell ref="D1006:E1006"/>
    <mergeCell ref="F1006:G1006"/>
    <mergeCell ref="H1006:I1006"/>
    <mergeCell ref="J1006:K1006"/>
    <mergeCell ref="L1006:M1006"/>
    <mergeCell ref="N1006:O1006"/>
    <mergeCell ref="AD1006:AE1006"/>
    <mergeCell ref="AF1006:AG1006"/>
    <mergeCell ref="P1006:Q1006"/>
    <mergeCell ref="R1006:S1006"/>
    <mergeCell ref="T1006:U1006"/>
    <mergeCell ref="V1006:W1006"/>
    <mergeCell ref="AL1008:BB1008"/>
    <mergeCell ref="AH1009:AI1009"/>
    <mergeCell ref="AJ1009:AK1009"/>
    <mergeCell ref="AL1009:BB1009"/>
    <mergeCell ref="B1009:C1009"/>
    <mergeCell ref="D1009:E1009"/>
    <mergeCell ref="F1009:G1009"/>
    <mergeCell ref="H1009:I1009"/>
    <mergeCell ref="J1009:K1009"/>
    <mergeCell ref="L1009:M1009"/>
    <mergeCell ref="N1009:O1009"/>
    <mergeCell ref="P1011:Q1011"/>
    <mergeCell ref="R1011:S1011"/>
    <mergeCell ref="T1011:U1011"/>
    <mergeCell ref="V1011:W1011"/>
    <mergeCell ref="X1011:Y1011"/>
    <mergeCell ref="Z1011:AA1011"/>
    <mergeCell ref="AB1011:AC1011"/>
    <mergeCell ref="B1011:C1011"/>
    <mergeCell ref="D1011:E1011"/>
    <mergeCell ref="F1011:G1011"/>
    <mergeCell ref="H1011:I1011"/>
    <mergeCell ref="J1011:K1011"/>
    <mergeCell ref="L1011:M1011"/>
    <mergeCell ref="N1011:O1011"/>
    <mergeCell ref="AD1009:AE1009"/>
    <mergeCell ref="AF1009:AG1009"/>
    <mergeCell ref="P1009:Q1009"/>
    <mergeCell ref="R1009:S1009"/>
    <mergeCell ref="T1009:U1009"/>
    <mergeCell ref="V1009:W1009"/>
    <mergeCell ref="X1009:Y1009"/>
    <mergeCell ref="Z1009:AA1009"/>
    <mergeCell ref="AB1009:AC1009"/>
    <mergeCell ref="AD1010:AE1010"/>
    <mergeCell ref="AF1010:AG1010"/>
    <mergeCell ref="AH1010:AI1010"/>
    <mergeCell ref="AJ1010:AK1010"/>
    <mergeCell ref="AL1010:BB1010"/>
    <mergeCell ref="P1010:Q1010"/>
    <mergeCell ref="R1010:S1010"/>
    <mergeCell ref="T1010:U1010"/>
    <mergeCell ref="V1010:W1010"/>
    <mergeCell ref="X1010:Y1010"/>
    <mergeCell ref="Z1010:AA1010"/>
    <mergeCell ref="AB1010:AC1010"/>
    <mergeCell ref="B1010:C1010"/>
    <mergeCell ref="D1010:E1010"/>
    <mergeCell ref="F1010:G1010"/>
    <mergeCell ref="H1010:I1010"/>
    <mergeCell ref="J1010:K1010"/>
    <mergeCell ref="L1010:M1010"/>
    <mergeCell ref="N1010:O1010"/>
    <mergeCell ref="AD1011:AE1011"/>
    <mergeCell ref="AF1011:AG1011"/>
    <mergeCell ref="AH1011:AI1011"/>
    <mergeCell ref="AJ1011:AK1011"/>
    <mergeCell ref="AL1011:BB1011"/>
    <mergeCell ref="P1017:Q1017"/>
    <mergeCell ref="R1017:S1017"/>
    <mergeCell ref="T1017:U1017"/>
    <mergeCell ref="V1017:W1017"/>
    <mergeCell ref="X1017:Y1017"/>
    <mergeCell ref="Z1017:AA1017"/>
    <mergeCell ref="AB1017:AC1017"/>
    <mergeCell ref="B1017:C1017"/>
    <mergeCell ref="D1017:E1017"/>
    <mergeCell ref="F1017:G1017"/>
    <mergeCell ref="H1017:I1017"/>
    <mergeCell ref="J1017:K1017"/>
    <mergeCell ref="L1017:M1017"/>
    <mergeCell ref="N1017:O1017"/>
    <mergeCell ref="AD1039:AE1039"/>
    <mergeCell ref="AF1039:AG1039"/>
    <mergeCell ref="AH1039:AI1039"/>
    <mergeCell ref="AJ1039:AK1039"/>
    <mergeCell ref="AL1039:BB1039"/>
    <mergeCell ref="P1039:Q1039"/>
    <mergeCell ref="R1039:S1039"/>
    <mergeCell ref="T1039:U1039"/>
    <mergeCell ref="V1039:W1039"/>
    <mergeCell ref="X1039:Y1039"/>
    <mergeCell ref="Z1039:AA1039"/>
    <mergeCell ref="AB1039:AC1039"/>
    <mergeCell ref="P1020:Q1020"/>
    <mergeCell ref="R1020:S1020"/>
    <mergeCell ref="T1020:U1020"/>
    <mergeCell ref="V1020:W1020"/>
    <mergeCell ref="X1020:Y1020"/>
    <mergeCell ref="Z1020:AA1020"/>
    <mergeCell ref="AB1020:AC1020"/>
    <mergeCell ref="B1020:C1020"/>
    <mergeCell ref="D1020:E1020"/>
    <mergeCell ref="F1020:G1020"/>
    <mergeCell ref="H1020:I1020"/>
    <mergeCell ref="J1020:K1020"/>
    <mergeCell ref="L1020:M1020"/>
    <mergeCell ref="N1020:O1020"/>
    <mergeCell ref="AD1018:AE1018"/>
    <mergeCell ref="AF1018:AG1018"/>
    <mergeCell ref="P1018:Q1018"/>
    <mergeCell ref="R1018:S1018"/>
    <mergeCell ref="T1018:U1018"/>
    <mergeCell ref="V1018:W1018"/>
    <mergeCell ref="X1018:Y1018"/>
    <mergeCell ref="Z1018:AA1018"/>
    <mergeCell ref="AB1018:AC1018"/>
    <mergeCell ref="AD1019:AE1019"/>
    <mergeCell ref="AF1019:AG1019"/>
    <mergeCell ref="AH1019:AI1019"/>
    <mergeCell ref="AJ1019:AK1019"/>
    <mergeCell ref="AL1019:BB1019"/>
    <mergeCell ref="P1019:Q1019"/>
    <mergeCell ref="R1019:S1019"/>
    <mergeCell ref="T1019:U1019"/>
    <mergeCell ref="V1019:W1019"/>
    <mergeCell ref="X1019:Y1019"/>
    <mergeCell ref="Z1019:AA1019"/>
    <mergeCell ref="AB1019:AC1019"/>
    <mergeCell ref="B1019:C1019"/>
    <mergeCell ref="D1019:E1019"/>
    <mergeCell ref="F1019:G1019"/>
    <mergeCell ref="H1019:I1019"/>
    <mergeCell ref="J1019:K1019"/>
    <mergeCell ref="L1019:M1019"/>
    <mergeCell ref="N1019:O1019"/>
    <mergeCell ref="AD1020:AE1020"/>
    <mergeCell ref="AF1020:AG1020"/>
    <mergeCell ref="AH1020:AI1020"/>
    <mergeCell ref="AJ1020:AK1020"/>
    <mergeCell ref="AL1020:BB1020"/>
    <mergeCell ref="AH1021:AI1021"/>
    <mergeCell ref="AJ1021:AK1021"/>
    <mergeCell ref="AL1021:BB1021"/>
    <mergeCell ref="B1021:C1021"/>
    <mergeCell ref="D1021:E1021"/>
    <mergeCell ref="F1021:G1021"/>
    <mergeCell ref="H1021:I1021"/>
    <mergeCell ref="J1021:K1021"/>
    <mergeCell ref="L1021:M1021"/>
    <mergeCell ref="N1021:O1021"/>
    <mergeCell ref="P1023:Q1023"/>
    <mergeCell ref="R1023:S1023"/>
    <mergeCell ref="T1023:U1023"/>
    <mergeCell ref="V1023:W1023"/>
    <mergeCell ref="X1023:Y1023"/>
    <mergeCell ref="Z1023:AA1023"/>
    <mergeCell ref="AB1023:AC1023"/>
    <mergeCell ref="B1023:C1023"/>
    <mergeCell ref="D1023:E1023"/>
    <mergeCell ref="F1023:G1023"/>
    <mergeCell ref="H1023:I1023"/>
    <mergeCell ref="J1023:K1023"/>
    <mergeCell ref="L1023:M1023"/>
    <mergeCell ref="N1023:O1023"/>
    <mergeCell ref="AD1021:AE1021"/>
    <mergeCell ref="AF1021:AG1021"/>
    <mergeCell ref="P1021:Q1021"/>
    <mergeCell ref="R1021:S1021"/>
    <mergeCell ref="T1021:U1021"/>
    <mergeCell ref="V1021:W1021"/>
    <mergeCell ref="X1021:Y1021"/>
    <mergeCell ref="Z1021:AA1021"/>
    <mergeCell ref="AB1021:AC1021"/>
    <mergeCell ref="AD1022:AE1022"/>
    <mergeCell ref="AF1022:AG1022"/>
    <mergeCell ref="AH1022:AI1022"/>
    <mergeCell ref="AJ1022:AK1022"/>
    <mergeCell ref="AL1022:BB1022"/>
    <mergeCell ref="P1022:Q1022"/>
    <mergeCell ref="R1022:S1022"/>
    <mergeCell ref="T1022:U1022"/>
    <mergeCell ref="V1022:W1022"/>
    <mergeCell ref="X1022:Y1022"/>
    <mergeCell ref="Z1022:AA1022"/>
    <mergeCell ref="AB1022:AC1022"/>
    <mergeCell ref="B1022:C1022"/>
    <mergeCell ref="D1022:E1022"/>
    <mergeCell ref="F1022:G1022"/>
    <mergeCell ref="H1022:I1022"/>
    <mergeCell ref="J1022:K1022"/>
    <mergeCell ref="L1022:M1022"/>
    <mergeCell ref="N1022:O1022"/>
    <mergeCell ref="AD1023:AE1023"/>
    <mergeCell ref="AF1023:AG1023"/>
    <mergeCell ref="AH1023:AI1023"/>
    <mergeCell ref="AJ1023:AK1023"/>
    <mergeCell ref="AL1023:BB1023"/>
    <mergeCell ref="AH1024:AI1024"/>
    <mergeCell ref="AJ1024:AK1024"/>
    <mergeCell ref="AL1024:BB1024"/>
    <mergeCell ref="B1024:C1024"/>
    <mergeCell ref="D1024:E1024"/>
    <mergeCell ref="F1024:G1024"/>
    <mergeCell ref="H1024:I1024"/>
    <mergeCell ref="J1024:K1024"/>
    <mergeCell ref="L1024:M1024"/>
    <mergeCell ref="N1024:O1024"/>
    <mergeCell ref="P1026:Q1026"/>
    <mergeCell ref="R1026:S1026"/>
    <mergeCell ref="T1026:U1026"/>
    <mergeCell ref="V1026:W1026"/>
    <mergeCell ref="X1026:Y1026"/>
    <mergeCell ref="Z1026:AA1026"/>
    <mergeCell ref="AB1026:AC1026"/>
    <mergeCell ref="B1026:C1026"/>
    <mergeCell ref="D1026:E1026"/>
    <mergeCell ref="F1026:G1026"/>
    <mergeCell ref="H1026:I1026"/>
    <mergeCell ref="J1026:K1026"/>
    <mergeCell ref="L1026:M1026"/>
    <mergeCell ref="N1026:O1026"/>
    <mergeCell ref="AD1024:AE1024"/>
    <mergeCell ref="AF1024:AG1024"/>
    <mergeCell ref="P1024:Q1024"/>
    <mergeCell ref="R1024:S1024"/>
    <mergeCell ref="T1024:U1024"/>
    <mergeCell ref="V1024:W1024"/>
    <mergeCell ref="X1024:Y1024"/>
    <mergeCell ref="Z1024:AA1024"/>
    <mergeCell ref="AB1024:AC1024"/>
    <mergeCell ref="AD1025:AE1025"/>
    <mergeCell ref="AF1025:AG1025"/>
    <mergeCell ref="AH1025:AI1025"/>
    <mergeCell ref="AJ1025:AK1025"/>
    <mergeCell ref="AL1025:BB1025"/>
    <mergeCell ref="P1025:Q1025"/>
    <mergeCell ref="R1025:S1025"/>
    <mergeCell ref="T1025:U1025"/>
    <mergeCell ref="V1025:W1025"/>
    <mergeCell ref="X1025:Y1025"/>
    <mergeCell ref="Z1025:AA1025"/>
    <mergeCell ref="AB1025:AC1025"/>
    <mergeCell ref="B1025:C1025"/>
    <mergeCell ref="D1025:E1025"/>
    <mergeCell ref="F1025:G1025"/>
    <mergeCell ref="H1025:I1025"/>
    <mergeCell ref="J1025:K1025"/>
    <mergeCell ref="L1025:M1025"/>
    <mergeCell ref="N1025:O1025"/>
    <mergeCell ref="AD1026:AE1026"/>
    <mergeCell ref="AF1026:AG1026"/>
    <mergeCell ref="AH1026:AI1026"/>
    <mergeCell ref="AJ1026:AK1026"/>
    <mergeCell ref="AL1026:BB1026"/>
    <mergeCell ref="AH1027:AI1027"/>
    <mergeCell ref="AJ1027:AK1027"/>
    <mergeCell ref="AL1027:BB1027"/>
    <mergeCell ref="B1027:C1027"/>
    <mergeCell ref="D1027:E1027"/>
    <mergeCell ref="F1027:G1027"/>
    <mergeCell ref="H1027:I1027"/>
    <mergeCell ref="J1027:K1027"/>
    <mergeCell ref="L1027:M1027"/>
    <mergeCell ref="N1027:O1027"/>
    <mergeCell ref="P1029:Q1029"/>
    <mergeCell ref="R1029:S1029"/>
    <mergeCell ref="T1029:U1029"/>
    <mergeCell ref="V1029:W1029"/>
    <mergeCell ref="X1029:Y1029"/>
    <mergeCell ref="Z1029:AA1029"/>
    <mergeCell ref="AB1029:AC1029"/>
    <mergeCell ref="B1029:C1029"/>
    <mergeCell ref="D1029:E1029"/>
    <mergeCell ref="F1029:G1029"/>
    <mergeCell ref="H1029:I1029"/>
    <mergeCell ref="J1029:K1029"/>
    <mergeCell ref="L1029:M1029"/>
    <mergeCell ref="N1029:O1029"/>
    <mergeCell ref="AD1027:AE1027"/>
    <mergeCell ref="AF1027:AG1027"/>
    <mergeCell ref="P1027:Q1027"/>
    <mergeCell ref="R1027:S1027"/>
    <mergeCell ref="T1027:U1027"/>
    <mergeCell ref="V1027:W1027"/>
    <mergeCell ref="X1027:Y1027"/>
    <mergeCell ref="Z1027:AA1027"/>
    <mergeCell ref="AB1027:AC1027"/>
    <mergeCell ref="AD1028:AE1028"/>
    <mergeCell ref="AF1028:AG1028"/>
    <mergeCell ref="AH1028:AI1028"/>
    <mergeCell ref="AJ1028:AK1028"/>
    <mergeCell ref="AL1028:BB1028"/>
    <mergeCell ref="P1028:Q1028"/>
    <mergeCell ref="R1028:S1028"/>
    <mergeCell ref="T1028:U1028"/>
    <mergeCell ref="V1028:W1028"/>
    <mergeCell ref="X1028:Y1028"/>
    <mergeCell ref="Z1028:AA1028"/>
    <mergeCell ref="AB1028:AC1028"/>
    <mergeCell ref="B1028:C1028"/>
    <mergeCell ref="D1028:E1028"/>
    <mergeCell ref="F1028:G1028"/>
    <mergeCell ref="H1028:I1028"/>
    <mergeCell ref="J1028:K1028"/>
    <mergeCell ref="L1028:M1028"/>
    <mergeCell ref="N1028:O1028"/>
    <mergeCell ref="AD1029:AE1029"/>
    <mergeCell ref="AF1029:AG1029"/>
    <mergeCell ref="AH1029:AI1029"/>
    <mergeCell ref="AJ1029:AK1029"/>
    <mergeCell ref="AL1029:BB1029"/>
    <mergeCell ref="AH1030:AI1030"/>
    <mergeCell ref="AJ1030:AK1030"/>
    <mergeCell ref="AL1030:BB1030"/>
    <mergeCell ref="B1030:C1030"/>
    <mergeCell ref="D1030:E1030"/>
    <mergeCell ref="F1030:G1030"/>
    <mergeCell ref="H1030:I1030"/>
    <mergeCell ref="J1030:K1030"/>
    <mergeCell ref="L1030:M1030"/>
    <mergeCell ref="N1030:O1030"/>
    <mergeCell ref="P1032:Q1032"/>
    <mergeCell ref="R1032:S1032"/>
    <mergeCell ref="T1032:U1032"/>
    <mergeCell ref="V1032:W1032"/>
    <mergeCell ref="X1032:Y1032"/>
    <mergeCell ref="Z1032:AA1032"/>
    <mergeCell ref="AB1032:AC1032"/>
    <mergeCell ref="B1032:C1032"/>
    <mergeCell ref="D1032:E1032"/>
    <mergeCell ref="F1032:G1032"/>
    <mergeCell ref="H1032:I1032"/>
    <mergeCell ref="J1032:K1032"/>
    <mergeCell ref="L1032:M1032"/>
    <mergeCell ref="N1032:O1032"/>
    <mergeCell ref="AD1030:AE1030"/>
    <mergeCell ref="AF1030:AG1030"/>
    <mergeCell ref="P1030:Q1030"/>
    <mergeCell ref="R1030:S1030"/>
    <mergeCell ref="T1030:U1030"/>
    <mergeCell ref="V1030:W1030"/>
    <mergeCell ref="X1030:Y1030"/>
    <mergeCell ref="Z1030:AA1030"/>
    <mergeCell ref="AB1030:AC1030"/>
    <mergeCell ref="AD1031:AE1031"/>
    <mergeCell ref="AF1031:AG1031"/>
    <mergeCell ref="AH1031:AI1031"/>
    <mergeCell ref="AJ1031:AK1031"/>
    <mergeCell ref="AL1031:BB1031"/>
    <mergeCell ref="P1031:Q1031"/>
    <mergeCell ref="R1031:S1031"/>
    <mergeCell ref="T1031:U1031"/>
    <mergeCell ref="V1031:W1031"/>
    <mergeCell ref="X1031:Y1031"/>
    <mergeCell ref="Z1031:AA1031"/>
    <mergeCell ref="AB1031:AC1031"/>
    <mergeCell ref="B1031:C1031"/>
    <mergeCell ref="D1031:E1031"/>
    <mergeCell ref="F1031:G1031"/>
    <mergeCell ref="H1031:I1031"/>
    <mergeCell ref="J1031:K1031"/>
    <mergeCell ref="L1031:M1031"/>
    <mergeCell ref="N1031:O1031"/>
    <mergeCell ref="AD1032:AE1032"/>
    <mergeCell ref="AF1032:AG1032"/>
    <mergeCell ref="AH1032:AI1032"/>
    <mergeCell ref="AJ1032:AK1032"/>
    <mergeCell ref="AL1032:BB1032"/>
    <mergeCell ref="AH1033:AI1033"/>
    <mergeCell ref="AJ1033:AK1033"/>
    <mergeCell ref="AL1033:BB1033"/>
    <mergeCell ref="B1033:C1033"/>
    <mergeCell ref="D1033:E1033"/>
    <mergeCell ref="F1033:G1033"/>
    <mergeCell ref="H1033:I1033"/>
    <mergeCell ref="J1033:K1033"/>
    <mergeCell ref="L1033:M1033"/>
    <mergeCell ref="N1033:O1033"/>
    <mergeCell ref="P1035:Q1035"/>
    <mergeCell ref="R1035:S1035"/>
    <mergeCell ref="T1035:U1035"/>
    <mergeCell ref="V1035:W1035"/>
    <mergeCell ref="X1035:Y1035"/>
    <mergeCell ref="Z1035:AA1035"/>
    <mergeCell ref="AB1035:AC1035"/>
    <mergeCell ref="B1035:C1035"/>
    <mergeCell ref="D1035:E1035"/>
    <mergeCell ref="F1035:G1035"/>
    <mergeCell ref="H1035:I1035"/>
    <mergeCell ref="J1035:K1035"/>
    <mergeCell ref="L1035:M1035"/>
    <mergeCell ref="N1035:O1035"/>
    <mergeCell ref="AD1033:AE1033"/>
    <mergeCell ref="AF1033:AG1033"/>
    <mergeCell ref="P1033:Q1033"/>
    <mergeCell ref="R1033:S1033"/>
    <mergeCell ref="T1033:U1033"/>
    <mergeCell ref="V1033:W1033"/>
    <mergeCell ref="X1033:Y1033"/>
    <mergeCell ref="Z1033:AA1033"/>
    <mergeCell ref="AB1033:AC1033"/>
    <mergeCell ref="AD1034:AE1034"/>
    <mergeCell ref="AF1034:AG1034"/>
    <mergeCell ref="AH1034:AI1034"/>
    <mergeCell ref="AJ1034:AK1034"/>
    <mergeCell ref="AL1034:BB1034"/>
    <mergeCell ref="P1034:Q1034"/>
    <mergeCell ref="R1034:S1034"/>
    <mergeCell ref="T1034:U1034"/>
    <mergeCell ref="V1034:W1034"/>
    <mergeCell ref="X1034:Y1034"/>
    <mergeCell ref="Z1034:AA1034"/>
    <mergeCell ref="AB1034:AC1034"/>
    <mergeCell ref="B1034:C1034"/>
    <mergeCell ref="D1034:E1034"/>
    <mergeCell ref="F1034:G1034"/>
    <mergeCell ref="H1034:I1034"/>
    <mergeCell ref="J1034:K1034"/>
    <mergeCell ref="L1034:M1034"/>
    <mergeCell ref="N1034:O1034"/>
    <mergeCell ref="AD1035:AE1035"/>
    <mergeCell ref="AF1035:AG1035"/>
    <mergeCell ref="AH1035:AI1035"/>
    <mergeCell ref="AJ1035:AK1035"/>
    <mergeCell ref="AL1035:BB1035"/>
    <mergeCell ref="AH1036:AI1036"/>
    <mergeCell ref="AJ1036:AK1036"/>
    <mergeCell ref="AL1036:BB1036"/>
    <mergeCell ref="B1036:C1036"/>
    <mergeCell ref="D1036:E1036"/>
    <mergeCell ref="F1036:G1036"/>
    <mergeCell ref="H1036:I1036"/>
    <mergeCell ref="J1036:K1036"/>
    <mergeCell ref="L1036:M1036"/>
    <mergeCell ref="N1036:O1036"/>
    <mergeCell ref="P1038:Q1038"/>
    <mergeCell ref="R1038:S1038"/>
    <mergeCell ref="T1038:U1038"/>
    <mergeCell ref="V1038:W1038"/>
    <mergeCell ref="X1038:Y1038"/>
    <mergeCell ref="Z1038:AA1038"/>
    <mergeCell ref="AB1038:AC1038"/>
    <mergeCell ref="B1038:C1038"/>
    <mergeCell ref="D1038:E1038"/>
    <mergeCell ref="F1038:G1038"/>
    <mergeCell ref="H1038:I1038"/>
    <mergeCell ref="J1038:K1038"/>
    <mergeCell ref="L1038:M1038"/>
    <mergeCell ref="N1038:O1038"/>
    <mergeCell ref="AD1036:AE1036"/>
    <mergeCell ref="AF1036:AG1036"/>
    <mergeCell ref="P1036:Q1036"/>
    <mergeCell ref="R1036:S1036"/>
    <mergeCell ref="T1036:U1036"/>
    <mergeCell ref="V1036:W1036"/>
    <mergeCell ref="X1036:Y1036"/>
    <mergeCell ref="Z1036:AA1036"/>
    <mergeCell ref="AB1036:AC1036"/>
    <mergeCell ref="AD1037:AE1037"/>
    <mergeCell ref="AF1037:AG1037"/>
    <mergeCell ref="AH1037:AI1037"/>
    <mergeCell ref="AJ1037:AK1037"/>
    <mergeCell ref="AL1037:BB1037"/>
    <mergeCell ref="P1037:Q1037"/>
    <mergeCell ref="R1037:S1037"/>
    <mergeCell ref="T1037:U1037"/>
    <mergeCell ref="V1037:W1037"/>
    <mergeCell ref="X1037:Y1037"/>
    <mergeCell ref="Z1037:AA1037"/>
    <mergeCell ref="AB1037:AC1037"/>
    <mergeCell ref="B1037:C1037"/>
    <mergeCell ref="D1037:E1037"/>
    <mergeCell ref="F1037:G1037"/>
    <mergeCell ref="H1037:I1037"/>
    <mergeCell ref="J1037:K1037"/>
    <mergeCell ref="L1037:M1037"/>
    <mergeCell ref="N1037:O1037"/>
    <mergeCell ref="AD1038:AE1038"/>
    <mergeCell ref="AF1038:AG1038"/>
    <mergeCell ref="AH1038:AI1038"/>
    <mergeCell ref="AJ1038:AK1038"/>
    <mergeCell ref="AL1038:BB1038"/>
    <mergeCell ref="B1039:C1039"/>
    <mergeCell ref="D1039:E1039"/>
    <mergeCell ref="F1039:G1039"/>
    <mergeCell ref="H1039:I1039"/>
    <mergeCell ref="J1039:K1039"/>
    <mergeCell ref="L1039:M1039"/>
    <mergeCell ref="N1039:O1039"/>
    <mergeCell ref="AD1040:AE1040"/>
    <mergeCell ref="AF1040:AG1040"/>
    <mergeCell ref="AH1040:AI1040"/>
    <mergeCell ref="AJ1040:AK1040"/>
    <mergeCell ref="AL1040:BB1040"/>
    <mergeCell ref="P1040:Q1040"/>
    <mergeCell ref="R1040:S1040"/>
    <mergeCell ref="T1040:U1040"/>
    <mergeCell ref="V1040:W1040"/>
    <mergeCell ref="X1040:Y1040"/>
    <mergeCell ref="Z1040:AA1040"/>
    <mergeCell ref="AB1040:AC1040"/>
    <mergeCell ref="B1040:C1040"/>
    <mergeCell ref="D1040:E1040"/>
    <mergeCell ref="F1040:G1040"/>
    <mergeCell ref="H1040:I1040"/>
    <mergeCell ref="J1040:K1040"/>
    <mergeCell ref="L1040:M1040"/>
    <mergeCell ref="N1040:O1040"/>
    <mergeCell ref="AD1041:AE1041"/>
    <mergeCell ref="AF1041:AG1041"/>
    <mergeCell ref="AH1041:AI1041"/>
    <mergeCell ref="AJ1041:AK1041"/>
    <mergeCell ref="AL1041:BB1041"/>
    <mergeCell ref="P1041:Q1041"/>
    <mergeCell ref="R1041:S1041"/>
    <mergeCell ref="T1041:U1041"/>
    <mergeCell ref="V1041:W1041"/>
    <mergeCell ref="X1041:Y1041"/>
    <mergeCell ref="Z1041:AA1041"/>
    <mergeCell ref="AB1041:AC1041"/>
    <mergeCell ref="B1041:C1041"/>
    <mergeCell ref="D1041:E1041"/>
    <mergeCell ref="F1041:G1041"/>
    <mergeCell ref="H1041:I1041"/>
    <mergeCell ref="J1041:K1041"/>
    <mergeCell ref="L1041:M1041"/>
    <mergeCell ref="N1041:O1041"/>
    <mergeCell ref="AH1042:AI1042"/>
    <mergeCell ref="AJ1042:AK1042"/>
    <mergeCell ref="AL1042:BB1042"/>
    <mergeCell ref="B1042:C1042"/>
    <mergeCell ref="D1042:E1042"/>
    <mergeCell ref="F1042:G1042"/>
    <mergeCell ref="H1042:I1042"/>
    <mergeCell ref="J1042:K1042"/>
    <mergeCell ref="L1042:M1042"/>
    <mergeCell ref="N1042:O1042"/>
    <mergeCell ref="P1044:Q1044"/>
    <mergeCell ref="R1044:S1044"/>
    <mergeCell ref="T1044:U1044"/>
    <mergeCell ref="V1044:W1044"/>
    <mergeCell ref="X1044:Y1044"/>
    <mergeCell ref="Z1044:AA1044"/>
    <mergeCell ref="AB1044:AC1044"/>
    <mergeCell ref="B1044:C1044"/>
    <mergeCell ref="D1044:E1044"/>
    <mergeCell ref="F1044:G1044"/>
    <mergeCell ref="H1044:I1044"/>
    <mergeCell ref="J1044:K1044"/>
    <mergeCell ref="L1044:M1044"/>
    <mergeCell ref="N1044:O1044"/>
    <mergeCell ref="AD1042:AE1042"/>
    <mergeCell ref="AF1042:AG1042"/>
    <mergeCell ref="P1042:Q1042"/>
    <mergeCell ref="R1042:S1042"/>
    <mergeCell ref="T1042:U1042"/>
    <mergeCell ref="V1042:W1042"/>
    <mergeCell ref="X1042:Y1042"/>
    <mergeCell ref="Z1042:AA1042"/>
    <mergeCell ref="AB1042:AC1042"/>
    <mergeCell ref="AD1043:AE1043"/>
    <mergeCell ref="AF1043:AG1043"/>
    <mergeCell ref="AH1043:AI1043"/>
    <mergeCell ref="AJ1043:AK1043"/>
    <mergeCell ref="AL1043:BB1043"/>
    <mergeCell ref="P1043:Q1043"/>
    <mergeCell ref="R1043:S1043"/>
    <mergeCell ref="T1043:U1043"/>
    <mergeCell ref="V1043:W1043"/>
    <mergeCell ref="X1043:Y1043"/>
    <mergeCell ref="Z1043:AA1043"/>
    <mergeCell ref="AB1043:AC1043"/>
    <mergeCell ref="B1043:C1043"/>
    <mergeCell ref="D1043:E1043"/>
    <mergeCell ref="F1043:G1043"/>
    <mergeCell ref="H1043:I1043"/>
    <mergeCell ref="J1043:K1043"/>
    <mergeCell ref="L1043:M1043"/>
    <mergeCell ref="N1043:O1043"/>
    <mergeCell ref="AD1044:AE1044"/>
    <mergeCell ref="AF1044:AG1044"/>
    <mergeCell ref="AH1044:AI1044"/>
    <mergeCell ref="AJ1044:AK1044"/>
    <mergeCell ref="AL1044:BB1044"/>
    <mergeCell ref="AH1045:AI1045"/>
    <mergeCell ref="AJ1045:AK1045"/>
    <mergeCell ref="AL1045:BB1045"/>
    <mergeCell ref="B1045:C1045"/>
    <mergeCell ref="D1045:E1045"/>
    <mergeCell ref="F1045:G1045"/>
    <mergeCell ref="H1045:I1045"/>
    <mergeCell ref="J1045:K1045"/>
    <mergeCell ref="L1045:M1045"/>
    <mergeCell ref="N1045:O1045"/>
    <mergeCell ref="P1047:Q1047"/>
    <mergeCell ref="R1047:S1047"/>
    <mergeCell ref="T1047:U1047"/>
    <mergeCell ref="V1047:W1047"/>
    <mergeCell ref="X1047:Y1047"/>
    <mergeCell ref="Z1047:AA1047"/>
    <mergeCell ref="AB1047:AC1047"/>
    <mergeCell ref="B1047:C1047"/>
    <mergeCell ref="D1047:E1047"/>
    <mergeCell ref="F1047:G1047"/>
    <mergeCell ref="H1047:I1047"/>
    <mergeCell ref="J1047:K1047"/>
    <mergeCell ref="L1047:M1047"/>
    <mergeCell ref="N1047:O1047"/>
    <mergeCell ref="P1050:Q1050"/>
    <mergeCell ref="R1050:S1050"/>
    <mergeCell ref="T1050:U1050"/>
    <mergeCell ref="V1050:W1050"/>
    <mergeCell ref="X1050:Y1050"/>
    <mergeCell ref="Z1050:AA1050"/>
    <mergeCell ref="AB1050:AC1050"/>
    <mergeCell ref="B1050:C1050"/>
    <mergeCell ref="D1050:E1050"/>
    <mergeCell ref="F1050:G1050"/>
    <mergeCell ref="H1050:I1050"/>
    <mergeCell ref="J1050:K1050"/>
    <mergeCell ref="L1050:M1050"/>
    <mergeCell ref="N1050:O1050"/>
    <mergeCell ref="X1048:Y1048"/>
    <mergeCell ref="Z1048:AA1048"/>
    <mergeCell ref="AB1048:AC1048"/>
    <mergeCell ref="AD1049:AE1049"/>
    <mergeCell ref="AF1049:AG1049"/>
    <mergeCell ref="AH1049:AI1049"/>
    <mergeCell ref="AJ1049:AK1049"/>
    <mergeCell ref="AL1049:BB1049"/>
    <mergeCell ref="P1049:Q1049"/>
    <mergeCell ref="R1049:S1049"/>
    <mergeCell ref="T1049:U1049"/>
    <mergeCell ref="V1049:W1049"/>
    <mergeCell ref="X1049:Y1049"/>
    <mergeCell ref="Z1049:AA1049"/>
    <mergeCell ref="AB1049:AC1049"/>
    <mergeCell ref="B1049:C1049"/>
    <mergeCell ref="D1049:E1049"/>
    <mergeCell ref="F1049:G1049"/>
    <mergeCell ref="H1049:I1049"/>
    <mergeCell ref="J1049:K1049"/>
    <mergeCell ref="L1049:M1049"/>
    <mergeCell ref="N1049:O1049"/>
    <mergeCell ref="AD1050:AE1050"/>
    <mergeCell ref="AF1050:AG1050"/>
    <mergeCell ref="AH1050:AI1050"/>
    <mergeCell ref="AJ1050:AK1050"/>
    <mergeCell ref="AD1054:AE1054"/>
    <mergeCell ref="AF1054:AG1054"/>
    <mergeCell ref="P1054:Q1054"/>
    <mergeCell ref="R1054:S1054"/>
    <mergeCell ref="T1054:U1054"/>
    <mergeCell ref="V1054:W1054"/>
    <mergeCell ref="X1054:Y1054"/>
    <mergeCell ref="Z1054:AA1054"/>
    <mergeCell ref="AB1054:AC1054"/>
    <mergeCell ref="AD1055:AE1055"/>
    <mergeCell ref="AF1055:AG1055"/>
    <mergeCell ref="AH1055:AI1055"/>
    <mergeCell ref="AJ1055:AK1055"/>
    <mergeCell ref="AL1055:BB1055"/>
    <mergeCell ref="P1055:Q1055"/>
    <mergeCell ref="R1055:S1055"/>
    <mergeCell ref="T1055:U1055"/>
    <mergeCell ref="V1055:W1055"/>
    <mergeCell ref="X1055:Y1055"/>
    <mergeCell ref="Z1055:AA1055"/>
    <mergeCell ref="AB1055:AC1055"/>
    <mergeCell ref="B1055:C1055"/>
    <mergeCell ref="D1055:E1055"/>
    <mergeCell ref="F1055:G1055"/>
    <mergeCell ref="H1055:I1055"/>
    <mergeCell ref="J1055:K1055"/>
    <mergeCell ref="L1055:M1055"/>
    <mergeCell ref="N1055:O1055"/>
    <mergeCell ref="AD1056:AE1056"/>
    <mergeCell ref="AF1056:AG1056"/>
    <mergeCell ref="AH1056:AI1056"/>
    <mergeCell ref="AJ1056:AK1056"/>
    <mergeCell ref="AL1056:BB1056"/>
    <mergeCell ref="AH1054:AI1054"/>
    <mergeCell ref="AJ1054:AK1054"/>
    <mergeCell ref="AL1054:BB1054"/>
    <mergeCell ref="B1054:C1054"/>
    <mergeCell ref="D1054:E1054"/>
    <mergeCell ref="F1054:G1054"/>
    <mergeCell ref="H1054:I1054"/>
    <mergeCell ref="J1054:K1054"/>
    <mergeCell ref="L1054:M1054"/>
    <mergeCell ref="N1054:O1054"/>
    <mergeCell ref="P1056:Q1056"/>
    <mergeCell ref="R1056:S1056"/>
    <mergeCell ref="T1056:U1056"/>
    <mergeCell ref="V1056:W1056"/>
    <mergeCell ref="X1056:Y1056"/>
    <mergeCell ref="Z1056:AA1056"/>
    <mergeCell ref="AB1056:AC1056"/>
    <mergeCell ref="B1056:C1056"/>
    <mergeCell ref="D1056:E1056"/>
    <mergeCell ref="F1056:G1056"/>
    <mergeCell ref="H1056:I1056"/>
    <mergeCell ref="J1056:K1056"/>
    <mergeCell ref="L1056:M1056"/>
    <mergeCell ref="N1056:O1056"/>
    <mergeCell ref="AH1057:AI1057"/>
    <mergeCell ref="AJ1057:AK1057"/>
    <mergeCell ref="AL1057:BB1057"/>
    <mergeCell ref="B1057:C1057"/>
    <mergeCell ref="D1057:E1057"/>
    <mergeCell ref="F1057:G1057"/>
    <mergeCell ref="H1057:I1057"/>
    <mergeCell ref="J1057:K1057"/>
    <mergeCell ref="L1057:M1057"/>
    <mergeCell ref="N1057:O1057"/>
    <mergeCell ref="AD1057:AE1057"/>
    <mergeCell ref="AF1057:AG1057"/>
    <mergeCell ref="P1057:Q1057"/>
    <mergeCell ref="R1057:S1057"/>
    <mergeCell ref="T1057:U1057"/>
    <mergeCell ref="V1057:W1057"/>
    <mergeCell ref="X1057:Y1057"/>
    <mergeCell ref="Z1057:AA1057"/>
    <mergeCell ref="AB1057:AC1057"/>
    <mergeCell ref="AD1058:AE1058"/>
    <mergeCell ref="AF1058:AG1058"/>
    <mergeCell ref="AH1058:AI1058"/>
    <mergeCell ref="AJ1058:AK1058"/>
    <mergeCell ref="AL1058:BB1058"/>
    <mergeCell ref="P1058:Q1058"/>
    <mergeCell ref="R1058:S1058"/>
    <mergeCell ref="T1058:U1058"/>
    <mergeCell ref="V1058:W1058"/>
    <mergeCell ref="X1058:Y1058"/>
    <mergeCell ref="Z1058:AA1058"/>
    <mergeCell ref="AB1058:AC1058"/>
    <mergeCell ref="B1058:C1058"/>
    <mergeCell ref="D1058:E1058"/>
    <mergeCell ref="F1058:G1058"/>
    <mergeCell ref="H1058:I1058"/>
    <mergeCell ref="J1058:K1058"/>
    <mergeCell ref="L1058:M1058"/>
    <mergeCell ref="N1058:O1058"/>
    <mergeCell ref="AD1059:AE1059"/>
    <mergeCell ref="AF1059:AG1059"/>
    <mergeCell ref="AH1059:AI1059"/>
    <mergeCell ref="AJ1059:AK1059"/>
    <mergeCell ref="AL1059:BB1059"/>
    <mergeCell ref="AH1060:AI1060"/>
    <mergeCell ref="AJ1060:AK1060"/>
    <mergeCell ref="AL1060:BB1060"/>
    <mergeCell ref="B1060:C1060"/>
    <mergeCell ref="D1060:E1060"/>
    <mergeCell ref="F1060:G1060"/>
    <mergeCell ref="H1060:I1060"/>
    <mergeCell ref="J1060:K1060"/>
    <mergeCell ref="L1060:M1060"/>
    <mergeCell ref="N1060:O1060"/>
    <mergeCell ref="AD1045:AE1045"/>
    <mergeCell ref="AF1045:AG1045"/>
    <mergeCell ref="P1045:Q1045"/>
    <mergeCell ref="R1045:S1045"/>
    <mergeCell ref="T1045:U1045"/>
    <mergeCell ref="V1045:W1045"/>
    <mergeCell ref="X1045:Y1045"/>
    <mergeCell ref="Z1045:AA1045"/>
    <mergeCell ref="AB1045:AC1045"/>
    <mergeCell ref="AD1046:AE1046"/>
    <mergeCell ref="AF1046:AG1046"/>
    <mergeCell ref="AH1046:AI1046"/>
    <mergeCell ref="AJ1046:AK1046"/>
    <mergeCell ref="AL1046:BB1046"/>
    <mergeCell ref="P1046:Q1046"/>
    <mergeCell ref="R1046:S1046"/>
    <mergeCell ref="T1046:U1046"/>
    <mergeCell ref="V1046:W1046"/>
    <mergeCell ref="X1046:Y1046"/>
    <mergeCell ref="Z1046:AA1046"/>
    <mergeCell ref="AB1046:AC1046"/>
    <mergeCell ref="B1046:C1046"/>
    <mergeCell ref="D1046:E1046"/>
    <mergeCell ref="F1046:G1046"/>
    <mergeCell ref="H1046:I1046"/>
    <mergeCell ref="J1046:K1046"/>
    <mergeCell ref="L1046:M1046"/>
    <mergeCell ref="N1046:O1046"/>
    <mergeCell ref="AD1047:AE1047"/>
    <mergeCell ref="AF1047:AG1047"/>
    <mergeCell ref="AH1047:AI1047"/>
    <mergeCell ref="AJ1047:AK1047"/>
    <mergeCell ref="AL1047:BB1047"/>
    <mergeCell ref="AH1048:AI1048"/>
    <mergeCell ref="AJ1048:AK1048"/>
    <mergeCell ref="AL1048:BB1048"/>
    <mergeCell ref="B1048:C1048"/>
    <mergeCell ref="D1048:E1048"/>
    <mergeCell ref="F1048:G1048"/>
    <mergeCell ref="H1048:I1048"/>
    <mergeCell ref="J1048:K1048"/>
    <mergeCell ref="L1048:M1048"/>
    <mergeCell ref="N1048:O1048"/>
    <mergeCell ref="AD1048:AE1048"/>
    <mergeCell ref="AF1048:AG1048"/>
    <mergeCell ref="P1048:Q1048"/>
    <mergeCell ref="R1048:S1048"/>
    <mergeCell ref="T1048:U1048"/>
    <mergeCell ref="V1048:W1048"/>
    <mergeCell ref="AL1050:BB1050"/>
    <mergeCell ref="AH1051:AI1051"/>
    <mergeCell ref="AJ1051:AK1051"/>
    <mergeCell ref="AL1051:BB1051"/>
    <mergeCell ref="B1051:C1051"/>
    <mergeCell ref="D1051:E1051"/>
    <mergeCell ref="F1051:G1051"/>
    <mergeCell ref="H1051:I1051"/>
    <mergeCell ref="J1051:K1051"/>
    <mergeCell ref="L1051:M1051"/>
    <mergeCell ref="N1051:O1051"/>
    <mergeCell ref="P1053:Q1053"/>
    <mergeCell ref="R1053:S1053"/>
    <mergeCell ref="T1053:U1053"/>
    <mergeCell ref="V1053:W1053"/>
    <mergeCell ref="X1053:Y1053"/>
    <mergeCell ref="Z1053:AA1053"/>
    <mergeCell ref="AB1053:AC1053"/>
    <mergeCell ref="B1053:C1053"/>
    <mergeCell ref="D1053:E1053"/>
    <mergeCell ref="F1053:G1053"/>
    <mergeCell ref="H1053:I1053"/>
    <mergeCell ref="J1053:K1053"/>
    <mergeCell ref="L1053:M1053"/>
    <mergeCell ref="N1053:O1053"/>
    <mergeCell ref="AD1051:AE1051"/>
    <mergeCell ref="AF1051:AG1051"/>
    <mergeCell ref="P1051:Q1051"/>
    <mergeCell ref="R1051:S1051"/>
    <mergeCell ref="T1051:U1051"/>
    <mergeCell ref="V1051:W1051"/>
    <mergeCell ref="X1051:Y1051"/>
    <mergeCell ref="Z1051:AA1051"/>
    <mergeCell ref="AB1051:AC1051"/>
    <mergeCell ref="AD1052:AE1052"/>
    <mergeCell ref="AF1052:AG1052"/>
    <mergeCell ref="AH1052:AI1052"/>
    <mergeCell ref="AJ1052:AK1052"/>
    <mergeCell ref="AL1052:BB1052"/>
    <mergeCell ref="P1052:Q1052"/>
    <mergeCell ref="R1052:S1052"/>
    <mergeCell ref="T1052:U1052"/>
    <mergeCell ref="V1052:W1052"/>
    <mergeCell ref="X1052:Y1052"/>
    <mergeCell ref="Z1052:AA1052"/>
    <mergeCell ref="AB1052:AC1052"/>
    <mergeCell ref="B1052:C1052"/>
    <mergeCell ref="D1052:E1052"/>
    <mergeCell ref="F1052:G1052"/>
    <mergeCell ref="H1052:I1052"/>
    <mergeCell ref="J1052:K1052"/>
    <mergeCell ref="L1052:M1052"/>
    <mergeCell ref="N1052:O1052"/>
    <mergeCell ref="AD1053:AE1053"/>
    <mergeCell ref="AF1053:AG1053"/>
    <mergeCell ref="AH1053:AI1053"/>
    <mergeCell ref="AJ1053:AK1053"/>
    <mergeCell ref="AL1053:BB1053"/>
    <mergeCell ref="P1059:Q1059"/>
    <mergeCell ref="R1059:S1059"/>
    <mergeCell ref="T1059:U1059"/>
    <mergeCell ref="V1059:W1059"/>
    <mergeCell ref="X1059:Y1059"/>
    <mergeCell ref="Z1059:AA1059"/>
    <mergeCell ref="AB1059:AC1059"/>
    <mergeCell ref="B1059:C1059"/>
    <mergeCell ref="D1059:E1059"/>
    <mergeCell ref="F1059:G1059"/>
    <mergeCell ref="H1059:I1059"/>
    <mergeCell ref="J1059:K1059"/>
    <mergeCell ref="L1059:M1059"/>
    <mergeCell ref="N1059:O1059"/>
    <mergeCell ref="AD1081:AE1081"/>
    <mergeCell ref="AF1081:AG1081"/>
    <mergeCell ref="AH1081:AI1081"/>
    <mergeCell ref="AJ1081:AK1081"/>
    <mergeCell ref="AL1081:BB1081"/>
    <mergeCell ref="P1081:Q1081"/>
    <mergeCell ref="R1081:S1081"/>
    <mergeCell ref="T1081:U1081"/>
    <mergeCell ref="V1081:W1081"/>
    <mergeCell ref="X1081:Y1081"/>
    <mergeCell ref="Z1081:AA1081"/>
    <mergeCell ref="AB1081:AC1081"/>
    <mergeCell ref="P1062:Q1062"/>
    <mergeCell ref="R1062:S1062"/>
    <mergeCell ref="T1062:U1062"/>
    <mergeCell ref="V1062:W1062"/>
    <mergeCell ref="X1062:Y1062"/>
    <mergeCell ref="Z1062:AA1062"/>
    <mergeCell ref="AB1062:AC1062"/>
    <mergeCell ref="B1062:C1062"/>
    <mergeCell ref="D1062:E1062"/>
    <mergeCell ref="F1062:G1062"/>
    <mergeCell ref="H1062:I1062"/>
    <mergeCell ref="J1062:K1062"/>
    <mergeCell ref="L1062:M1062"/>
    <mergeCell ref="N1062:O1062"/>
    <mergeCell ref="AD1060:AE1060"/>
    <mergeCell ref="AF1060:AG1060"/>
    <mergeCell ref="P1060:Q1060"/>
    <mergeCell ref="R1060:S1060"/>
    <mergeCell ref="T1060:U1060"/>
    <mergeCell ref="V1060:W1060"/>
    <mergeCell ref="X1060:Y1060"/>
    <mergeCell ref="Z1060:AA1060"/>
    <mergeCell ref="AB1060:AC1060"/>
    <mergeCell ref="AD1061:AE1061"/>
    <mergeCell ref="AF1061:AG1061"/>
    <mergeCell ref="AH1061:AI1061"/>
    <mergeCell ref="AJ1061:AK1061"/>
    <mergeCell ref="AL1061:BB1061"/>
    <mergeCell ref="P1061:Q1061"/>
    <mergeCell ref="R1061:S1061"/>
    <mergeCell ref="T1061:U1061"/>
    <mergeCell ref="V1061:W1061"/>
    <mergeCell ref="X1061:Y1061"/>
    <mergeCell ref="Z1061:AA1061"/>
    <mergeCell ref="AB1061:AC1061"/>
    <mergeCell ref="B1061:C1061"/>
    <mergeCell ref="D1061:E1061"/>
    <mergeCell ref="F1061:G1061"/>
    <mergeCell ref="H1061:I1061"/>
    <mergeCell ref="J1061:K1061"/>
    <mergeCell ref="L1061:M1061"/>
    <mergeCell ref="N1061:O1061"/>
    <mergeCell ref="AD1062:AE1062"/>
    <mergeCell ref="AF1062:AG1062"/>
    <mergeCell ref="AH1062:AI1062"/>
    <mergeCell ref="AJ1062:AK1062"/>
    <mergeCell ref="AL1062:BB1062"/>
    <mergeCell ref="AH1063:AI1063"/>
    <mergeCell ref="AJ1063:AK1063"/>
    <mergeCell ref="AL1063:BB1063"/>
    <mergeCell ref="B1063:C1063"/>
    <mergeCell ref="D1063:E1063"/>
    <mergeCell ref="F1063:G1063"/>
    <mergeCell ref="H1063:I1063"/>
    <mergeCell ref="J1063:K1063"/>
    <mergeCell ref="L1063:M1063"/>
    <mergeCell ref="N1063:O1063"/>
    <mergeCell ref="P1065:Q1065"/>
    <mergeCell ref="R1065:S1065"/>
    <mergeCell ref="T1065:U1065"/>
    <mergeCell ref="V1065:W1065"/>
    <mergeCell ref="X1065:Y1065"/>
    <mergeCell ref="Z1065:AA1065"/>
    <mergeCell ref="AB1065:AC1065"/>
    <mergeCell ref="B1065:C1065"/>
    <mergeCell ref="D1065:E1065"/>
    <mergeCell ref="F1065:G1065"/>
    <mergeCell ref="H1065:I1065"/>
    <mergeCell ref="J1065:K1065"/>
    <mergeCell ref="L1065:M1065"/>
    <mergeCell ref="N1065:O1065"/>
    <mergeCell ref="AD1063:AE1063"/>
    <mergeCell ref="AF1063:AG1063"/>
    <mergeCell ref="P1063:Q1063"/>
    <mergeCell ref="R1063:S1063"/>
    <mergeCell ref="T1063:U1063"/>
    <mergeCell ref="V1063:W1063"/>
    <mergeCell ref="X1063:Y1063"/>
    <mergeCell ref="Z1063:AA1063"/>
    <mergeCell ref="AB1063:AC1063"/>
    <mergeCell ref="AD1064:AE1064"/>
    <mergeCell ref="AF1064:AG1064"/>
    <mergeCell ref="AH1064:AI1064"/>
    <mergeCell ref="AJ1064:AK1064"/>
    <mergeCell ref="AL1064:BB1064"/>
    <mergeCell ref="P1064:Q1064"/>
    <mergeCell ref="R1064:S1064"/>
    <mergeCell ref="T1064:U1064"/>
    <mergeCell ref="V1064:W1064"/>
    <mergeCell ref="X1064:Y1064"/>
    <mergeCell ref="Z1064:AA1064"/>
    <mergeCell ref="AB1064:AC1064"/>
    <mergeCell ref="B1064:C1064"/>
    <mergeCell ref="D1064:E1064"/>
    <mergeCell ref="F1064:G1064"/>
    <mergeCell ref="H1064:I1064"/>
    <mergeCell ref="J1064:K1064"/>
    <mergeCell ref="L1064:M1064"/>
    <mergeCell ref="N1064:O1064"/>
    <mergeCell ref="AD1065:AE1065"/>
    <mergeCell ref="AF1065:AG1065"/>
    <mergeCell ref="AH1065:AI1065"/>
    <mergeCell ref="AJ1065:AK1065"/>
    <mergeCell ref="AL1065:BB1065"/>
    <mergeCell ref="AH1066:AI1066"/>
    <mergeCell ref="AJ1066:AK1066"/>
    <mergeCell ref="AL1066:BB1066"/>
    <mergeCell ref="B1066:C1066"/>
    <mergeCell ref="D1066:E1066"/>
    <mergeCell ref="F1066:G1066"/>
    <mergeCell ref="H1066:I1066"/>
    <mergeCell ref="J1066:K1066"/>
    <mergeCell ref="L1066:M1066"/>
    <mergeCell ref="N1066:O1066"/>
    <mergeCell ref="P1068:Q1068"/>
    <mergeCell ref="R1068:S1068"/>
    <mergeCell ref="T1068:U1068"/>
    <mergeCell ref="V1068:W1068"/>
    <mergeCell ref="X1068:Y1068"/>
    <mergeCell ref="Z1068:AA1068"/>
    <mergeCell ref="AB1068:AC1068"/>
    <mergeCell ref="B1068:C1068"/>
    <mergeCell ref="D1068:E1068"/>
    <mergeCell ref="F1068:G1068"/>
    <mergeCell ref="H1068:I1068"/>
    <mergeCell ref="J1068:K1068"/>
    <mergeCell ref="L1068:M1068"/>
    <mergeCell ref="N1068:O1068"/>
    <mergeCell ref="AD1066:AE1066"/>
    <mergeCell ref="AF1066:AG1066"/>
    <mergeCell ref="P1066:Q1066"/>
    <mergeCell ref="R1066:S1066"/>
    <mergeCell ref="T1066:U1066"/>
    <mergeCell ref="V1066:W1066"/>
    <mergeCell ref="X1066:Y1066"/>
    <mergeCell ref="Z1066:AA1066"/>
    <mergeCell ref="AB1066:AC1066"/>
    <mergeCell ref="AD1067:AE1067"/>
    <mergeCell ref="AF1067:AG1067"/>
    <mergeCell ref="AH1067:AI1067"/>
    <mergeCell ref="AJ1067:AK1067"/>
    <mergeCell ref="AL1067:BB1067"/>
    <mergeCell ref="P1067:Q1067"/>
    <mergeCell ref="R1067:S1067"/>
    <mergeCell ref="T1067:U1067"/>
    <mergeCell ref="V1067:W1067"/>
    <mergeCell ref="X1067:Y1067"/>
    <mergeCell ref="Z1067:AA1067"/>
    <mergeCell ref="AB1067:AC1067"/>
    <mergeCell ref="B1067:C1067"/>
    <mergeCell ref="D1067:E1067"/>
    <mergeCell ref="F1067:G1067"/>
    <mergeCell ref="H1067:I1067"/>
    <mergeCell ref="J1067:K1067"/>
    <mergeCell ref="L1067:M1067"/>
    <mergeCell ref="N1067:O1067"/>
    <mergeCell ref="AD1068:AE1068"/>
    <mergeCell ref="AF1068:AG1068"/>
    <mergeCell ref="AH1068:AI1068"/>
    <mergeCell ref="AJ1068:AK1068"/>
    <mergeCell ref="AL1068:BB1068"/>
    <mergeCell ref="AH1069:AI1069"/>
    <mergeCell ref="AJ1069:AK1069"/>
    <mergeCell ref="AL1069:BB1069"/>
    <mergeCell ref="B1069:C1069"/>
    <mergeCell ref="D1069:E1069"/>
    <mergeCell ref="F1069:G1069"/>
    <mergeCell ref="H1069:I1069"/>
    <mergeCell ref="J1069:K1069"/>
    <mergeCell ref="L1069:M1069"/>
    <mergeCell ref="N1069:O1069"/>
    <mergeCell ref="P1071:Q1071"/>
    <mergeCell ref="R1071:S1071"/>
    <mergeCell ref="T1071:U1071"/>
    <mergeCell ref="V1071:W1071"/>
    <mergeCell ref="X1071:Y1071"/>
    <mergeCell ref="Z1071:AA1071"/>
    <mergeCell ref="AB1071:AC1071"/>
    <mergeCell ref="B1071:C1071"/>
    <mergeCell ref="D1071:E1071"/>
    <mergeCell ref="F1071:G1071"/>
    <mergeCell ref="H1071:I1071"/>
    <mergeCell ref="J1071:K1071"/>
    <mergeCell ref="L1071:M1071"/>
    <mergeCell ref="N1071:O1071"/>
    <mergeCell ref="AD1069:AE1069"/>
    <mergeCell ref="AF1069:AG1069"/>
    <mergeCell ref="P1069:Q1069"/>
    <mergeCell ref="R1069:S1069"/>
    <mergeCell ref="T1069:U1069"/>
    <mergeCell ref="V1069:W1069"/>
    <mergeCell ref="X1069:Y1069"/>
    <mergeCell ref="Z1069:AA1069"/>
    <mergeCell ref="AB1069:AC1069"/>
    <mergeCell ref="AD1070:AE1070"/>
    <mergeCell ref="AF1070:AG1070"/>
    <mergeCell ref="AH1070:AI1070"/>
    <mergeCell ref="AJ1070:AK1070"/>
    <mergeCell ref="AL1070:BB1070"/>
    <mergeCell ref="P1070:Q1070"/>
    <mergeCell ref="R1070:S1070"/>
    <mergeCell ref="T1070:U1070"/>
    <mergeCell ref="V1070:W1070"/>
    <mergeCell ref="X1070:Y1070"/>
    <mergeCell ref="Z1070:AA1070"/>
    <mergeCell ref="AB1070:AC1070"/>
    <mergeCell ref="B1070:C1070"/>
    <mergeCell ref="D1070:E1070"/>
    <mergeCell ref="F1070:G1070"/>
    <mergeCell ref="H1070:I1070"/>
    <mergeCell ref="J1070:K1070"/>
    <mergeCell ref="L1070:M1070"/>
    <mergeCell ref="N1070:O1070"/>
    <mergeCell ref="AD1071:AE1071"/>
    <mergeCell ref="AF1071:AG1071"/>
    <mergeCell ref="AH1071:AI1071"/>
    <mergeCell ref="AJ1071:AK1071"/>
    <mergeCell ref="AL1071:BB1071"/>
    <mergeCell ref="AH1072:AI1072"/>
    <mergeCell ref="AJ1072:AK1072"/>
    <mergeCell ref="AL1072:BB1072"/>
    <mergeCell ref="B1072:C1072"/>
    <mergeCell ref="D1072:E1072"/>
    <mergeCell ref="F1072:G1072"/>
    <mergeCell ref="H1072:I1072"/>
    <mergeCell ref="J1072:K1072"/>
    <mergeCell ref="L1072:M1072"/>
    <mergeCell ref="N1072:O1072"/>
    <mergeCell ref="P1074:Q1074"/>
    <mergeCell ref="R1074:S1074"/>
    <mergeCell ref="T1074:U1074"/>
    <mergeCell ref="V1074:W1074"/>
    <mergeCell ref="X1074:Y1074"/>
    <mergeCell ref="Z1074:AA1074"/>
    <mergeCell ref="AB1074:AC1074"/>
    <mergeCell ref="B1074:C1074"/>
    <mergeCell ref="D1074:E1074"/>
    <mergeCell ref="F1074:G1074"/>
    <mergeCell ref="H1074:I1074"/>
    <mergeCell ref="J1074:K1074"/>
    <mergeCell ref="L1074:M1074"/>
    <mergeCell ref="N1074:O1074"/>
    <mergeCell ref="AD1072:AE1072"/>
    <mergeCell ref="AF1072:AG1072"/>
    <mergeCell ref="P1072:Q1072"/>
    <mergeCell ref="R1072:S1072"/>
    <mergeCell ref="T1072:U1072"/>
    <mergeCell ref="V1072:W1072"/>
    <mergeCell ref="X1072:Y1072"/>
    <mergeCell ref="Z1072:AA1072"/>
    <mergeCell ref="AB1072:AC1072"/>
    <mergeCell ref="AD1073:AE1073"/>
    <mergeCell ref="AF1073:AG1073"/>
    <mergeCell ref="AH1073:AI1073"/>
    <mergeCell ref="AJ1073:AK1073"/>
    <mergeCell ref="AL1073:BB1073"/>
    <mergeCell ref="P1073:Q1073"/>
    <mergeCell ref="R1073:S1073"/>
    <mergeCell ref="T1073:U1073"/>
    <mergeCell ref="V1073:W1073"/>
    <mergeCell ref="X1073:Y1073"/>
    <mergeCell ref="Z1073:AA1073"/>
    <mergeCell ref="AB1073:AC1073"/>
    <mergeCell ref="B1073:C1073"/>
    <mergeCell ref="D1073:E1073"/>
    <mergeCell ref="F1073:G1073"/>
    <mergeCell ref="H1073:I1073"/>
    <mergeCell ref="J1073:K1073"/>
    <mergeCell ref="L1073:M1073"/>
    <mergeCell ref="N1073:O1073"/>
    <mergeCell ref="AD1074:AE1074"/>
    <mergeCell ref="AF1074:AG1074"/>
    <mergeCell ref="AH1074:AI1074"/>
    <mergeCell ref="AJ1074:AK1074"/>
    <mergeCell ref="AL1074:BB1074"/>
    <mergeCell ref="AH1075:AI1075"/>
    <mergeCell ref="AJ1075:AK1075"/>
    <mergeCell ref="AL1075:BB1075"/>
    <mergeCell ref="B1075:C1075"/>
    <mergeCell ref="D1075:E1075"/>
    <mergeCell ref="F1075:G1075"/>
    <mergeCell ref="H1075:I1075"/>
    <mergeCell ref="J1075:K1075"/>
    <mergeCell ref="L1075:M1075"/>
    <mergeCell ref="N1075:O1075"/>
    <mergeCell ref="P1077:Q1077"/>
    <mergeCell ref="R1077:S1077"/>
    <mergeCell ref="T1077:U1077"/>
    <mergeCell ref="V1077:W1077"/>
    <mergeCell ref="X1077:Y1077"/>
    <mergeCell ref="Z1077:AA1077"/>
    <mergeCell ref="AB1077:AC1077"/>
    <mergeCell ref="B1077:C1077"/>
    <mergeCell ref="D1077:E1077"/>
    <mergeCell ref="F1077:G1077"/>
    <mergeCell ref="H1077:I1077"/>
    <mergeCell ref="J1077:K1077"/>
    <mergeCell ref="L1077:M1077"/>
    <mergeCell ref="N1077:O1077"/>
    <mergeCell ref="AD1075:AE1075"/>
    <mergeCell ref="AF1075:AG1075"/>
    <mergeCell ref="P1075:Q1075"/>
    <mergeCell ref="R1075:S1075"/>
    <mergeCell ref="T1075:U1075"/>
    <mergeCell ref="V1075:W1075"/>
    <mergeCell ref="X1075:Y1075"/>
    <mergeCell ref="Z1075:AA1075"/>
    <mergeCell ref="AB1075:AC1075"/>
    <mergeCell ref="AD1076:AE1076"/>
    <mergeCell ref="AF1076:AG1076"/>
    <mergeCell ref="AH1076:AI1076"/>
    <mergeCell ref="AJ1076:AK1076"/>
    <mergeCell ref="AL1076:BB1076"/>
    <mergeCell ref="P1076:Q1076"/>
    <mergeCell ref="R1076:S1076"/>
    <mergeCell ref="T1076:U1076"/>
    <mergeCell ref="V1076:W1076"/>
    <mergeCell ref="X1076:Y1076"/>
    <mergeCell ref="Z1076:AA1076"/>
    <mergeCell ref="AB1076:AC1076"/>
    <mergeCell ref="B1076:C1076"/>
    <mergeCell ref="D1076:E1076"/>
    <mergeCell ref="F1076:G1076"/>
    <mergeCell ref="H1076:I1076"/>
    <mergeCell ref="J1076:K1076"/>
    <mergeCell ref="L1076:M1076"/>
    <mergeCell ref="N1076:O1076"/>
    <mergeCell ref="AD1077:AE1077"/>
    <mergeCell ref="AF1077:AG1077"/>
    <mergeCell ref="AH1077:AI1077"/>
    <mergeCell ref="AJ1077:AK1077"/>
    <mergeCell ref="AL1077:BB1077"/>
    <mergeCell ref="AH1078:AI1078"/>
    <mergeCell ref="AJ1078:AK1078"/>
    <mergeCell ref="AL1078:BB1078"/>
    <mergeCell ref="B1078:C1078"/>
    <mergeCell ref="D1078:E1078"/>
    <mergeCell ref="F1078:G1078"/>
    <mergeCell ref="H1078:I1078"/>
    <mergeCell ref="J1078:K1078"/>
    <mergeCell ref="L1078:M1078"/>
    <mergeCell ref="N1078:O1078"/>
    <mergeCell ref="P1080:Q1080"/>
    <mergeCell ref="R1080:S1080"/>
    <mergeCell ref="T1080:U1080"/>
    <mergeCell ref="V1080:W1080"/>
    <mergeCell ref="X1080:Y1080"/>
    <mergeCell ref="Z1080:AA1080"/>
    <mergeCell ref="AB1080:AC1080"/>
    <mergeCell ref="B1080:C1080"/>
    <mergeCell ref="D1080:E1080"/>
    <mergeCell ref="F1080:G1080"/>
    <mergeCell ref="H1080:I1080"/>
    <mergeCell ref="J1080:K1080"/>
    <mergeCell ref="L1080:M1080"/>
    <mergeCell ref="N1080:O1080"/>
    <mergeCell ref="AD1078:AE1078"/>
    <mergeCell ref="AF1078:AG1078"/>
    <mergeCell ref="P1078:Q1078"/>
    <mergeCell ref="R1078:S1078"/>
    <mergeCell ref="T1078:U1078"/>
    <mergeCell ref="V1078:W1078"/>
    <mergeCell ref="X1078:Y1078"/>
    <mergeCell ref="Z1078:AA1078"/>
    <mergeCell ref="AB1078:AC1078"/>
    <mergeCell ref="AD1079:AE1079"/>
    <mergeCell ref="AF1079:AG1079"/>
    <mergeCell ref="AH1079:AI1079"/>
    <mergeCell ref="AJ1079:AK1079"/>
    <mergeCell ref="AL1079:BB1079"/>
    <mergeCell ref="P1079:Q1079"/>
    <mergeCell ref="R1079:S1079"/>
    <mergeCell ref="T1079:U1079"/>
    <mergeCell ref="V1079:W1079"/>
    <mergeCell ref="X1079:Y1079"/>
    <mergeCell ref="Z1079:AA1079"/>
    <mergeCell ref="AB1079:AC1079"/>
    <mergeCell ref="B1079:C1079"/>
    <mergeCell ref="D1079:E1079"/>
    <mergeCell ref="F1079:G1079"/>
    <mergeCell ref="H1079:I1079"/>
    <mergeCell ref="J1079:K1079"/>
    <mergeCell ref="L1079:M1079"/>
    <mergeCell ref="N1079:O1079"/>
    <mergeCell ref="AD1080:AE1080"/>
    <mergeCell ref="AF1080:AG1080"/>
    <mergeCell ref="AH1080:AI1080"/>
    <mergeCell ref="AJ1080:AK1080"/>
    <mergeCell ref="AL1080:BB1080"/>
    <mergeCell ref="B1081:C1081"/>
    <mergeCell ref="D1081:E1081"/>
    <mergeCell ref="F1081:G1081"/>
    <mergeCell ref="H1081:I1081"/>
    <mergeCell ref="J1081:K1081"/>
    <mergeCell ref="L1081:M1081"/>
    <mergeCell ref="N1081:O1081"/>
    <mergeCell ref="AD1082:AE1082"/>
    <mergeCell ref="AF1082:AG1082"/>
    <mergeCell ref="AH1082:AI1082"/>
    <mergeCell ref="AJ1082:AK1082"/>
    <mergeCell ref="AL1082:BB1082"/>
    <mergeCell ref="P1082:Q1082"/>
    <mergeCell ref="R1082:S1082"/>
    <mergeCell ref="T1082:U1082"/>
    <mergeCell ref="V1082:W1082"/>
    <mergeCell ref="X1082:Y1082"/>
    <mergeCell ref="Z1082:AA1082"/>
    <mergeCell ref="AB1082:AC1082"/>
    <mergeCell ref="B1082:C1082"/>
    <mergeCell ref="D1082:E1082"/>
    <mergeCell ref="F1082:G1082"/>
    <mergeCell ref="H1082:I1082"/>
    <mergeCell ref="J1082:K1082"/>
    <mergeCell ref="L1082:M1082"/>
    <mergeCell ref="N1082:O1082"/>
    <mergeCell ref="AD1083:AE1083"/>
    <mergeCell ref="AF1083:AG1083"/>
    <mergeCell ref="AH1083:AI1083"/>
    <mergeCell ref="AJ1083:AK1083"/>
    <mergeCell ref="AL1083:BB1083"/>
    <mergeCell ref="P1083:Q1083"/>
    <mergeCell ref="R1083:S1083"/>
    <mergeCell ref="T1083:U1083"/>
    <mergeCell ref="V1083:W1083"/>
    <mergeCell ref="X1083:Y1083"/>
    <mergeCell ref="Z1083:AA1083"/>
    <mergeCell ref="AB1083:AC1083"/>
    <mergeCell ref="B1083:C1083"/>
    <mergeCell ref="D1083:E1083"/>
    <mergeCell ref="F1083:G1083"/>
    <mergeCell ref="H1083:I1083"/>
    <mergeCell ref="J1083:K1083"/>
    <mergeCell ref="L1083:M1083"/>
    <mergeCell ref="N1083:O1083"/>
    <mergeCell ref="AH1084:AI1084"/>
    <mergeCell ref="AJ1084:AK1084"/>
    <mergeCell ref="AL1084:BB1084"/>
    <mergeCell ref="B1084:C1084"/>
    <mergeCell ref="D1084:E1084"/>
    <mergeCell ref="F1084:G1084"/>
    <mergeCell ref="H1084:I1084"/>
    <mergeCell ref="J1084:K1084"/>
    <mergeCell ref="L1084:M1084"/>
    <mergeCell ref="N1084:O1084"/>
    <mergeCell ref="P1086:Q1086"/>
    <mergeCell ref="R1086:S1086"/>
    <mergeCell ref="T1086:U1086"/>
    <mergeCell ref="V1086:W1086"/>
    <mergeCell ref="X1086:Y1086"/>
    <mergeCell ref="Z1086:AA1086"/>
    <mergeCell ref="AB1086:AC1086"/>
    <mergeCell ref="B1086:C1086"/>
    <mergeCell ref="D1086:E1086"/>
    <mergeCell ref="F1086:G1086"/>
    <mergeCell ref="H1086:I1086"/>
    <mergeCell ref="J1086:K1086"/>
    <mergeCell ref="L1086:M1086"/>
    <mergeCell ref="N1086:O1086"/>
    <mergeCell ref="AD1084:AE1084"/>
    <mergeCell ref="AF1084:AG1084"/>
    <mergeCell ref="P1084:Q1084"/>
    <mergeCell ref="R1084:S1084"/>
    <mergeCell ref="T1084:U1084"/>
    <mergeCell ref="V1084:W1084"/>
    <mergeCell ref="X1084:Y1084"/>
    <mergeCell ref="Z1084:AA1084"/>
    <mergeCell ref="AB1084:AC1084"/>
    <mergeCell ref="AD1085:AE1085"/>
    <mergeCell ref="AF1085:AG1085"/>
    <mergeCell ref="AH1085:AI1085"/>
    <mergeCell ref="AJ1085:AK1085"/>
    <mergeCell ref="AL1085:BB1085"/>
    <mergeCell ref="P1085:Q1085"/>
    <mergeCell ref="R1085:S1085"/>
    <mergeCell ref="T1085:U1085"/>
    <mergeCell ref="V1085:W1085"/>
    <mergeCell ref="X1085:Y1085"/>
    <mergeCell ref="Z1085:AA1085"/>
    <mergeCell ref="AB1085:AC1085"/>
    <mergeCell ref="B1085:C1085"/>
    <mergeCell ref="D1085:E1085"/>
    <mergeCell ref="F1085:G1085"/>
    <mergeCell ref="H1085:I1085"/>
    <mergeCell ref="J1085:K1085"/>
    <mergeCell ref="L1085:M1085"/>
    <mergeCell ref="N1085:O1085"/>
    <mergeCell ref="AD1086:AE1086"/>
    <mergeCell ref="AF1086:AG1086"/>
    <mergeCell ref="AH1086:AI1086"/>
    <mergeCell ref="AJ1086:AK1086"/>
    <mergeCell ref="AL1086:BB1086"/>
    <mergeCell ref="AH1087:AI1087"/>
    <mergeCell ref="AJ1087:AK1087"/>
    <mergeCell ref="AL1087:BB1087"/>
    <mergeCell ref="B1087:C1087"/>
    <mergeCell ref="D1087:E1087"/>
    <mergeCell ref="F1087:G1087"/>
    <mergeCell ref="H1087:I1087"/>
    <mergeCell ref="J1087:K1087"/>
    <mergeCell ref="L1087:M1087"/>
    <mergeCell ref="N1087:O1087"/>
    <mergeCell ref="P1089:Q1089"/>
    <mergeCell ref="R1089:S1089"/>
    <mergeCell ref="T1089:U1089"/>
    <mergeCell ref="V1089:W1089"/>
    <mergeCell ref="X1089:Y1089"/>
    <mergeCell ref="Z1089:AA1089"/>
    <mergeCell ref="AB1089:AC1089"/>
    <mergeCell ref="B1089:C1089"/>
    <mergeCell ref="D1089:E1089"/>
    <mergeCell ref="F1089:G1089"/>
    <mergeCell ref="H1089:I1089"/>
    <mergeCell ref="J1089:K1089"/>
    <mergeCell ref="L1089:M1089"/>
    <mergeCell ref="N1089:O1089"/>
    <mergeCell ref="P1092:Q1092"/>
    <mergeCell ref="R1092:S1092"/>
    <mergeCell ref="T1092:U1092"/>
    <mergeCell ref="V1092:W1092"/>
    <mergeCell ref="X1092:Y1092"/>
    <mergeCell ref="Z1092:AA1092"/>
    <mergeCell ref="AB1092:AC1092"/>
    <mergeCell ref="B1092:C1092"/>
    <mergeCell ref="D1092:E1092"/>
    <mergeCell ref="F1092:G1092"/>
    <mergeCell ref="H1092:I1092"/>
    <mergeCell ref="J1092:K1092"/>
    <mergeCell ref="L1092:M1092"/>
    <mergeCell ref="N1092:O1092"/>
    <mergeCell ref="X1090:Y1090"/>
    <mergeCell ref="Z1090:AA1090"/>
    <mergeCell ref="AB1090:AC1090"/>
    <mergeCell ref="AD1091:AE1091"/>
    <mergeCell ref="AF1091:AG1091"/>
    <mergeCell ref="AH1091:AI1091"/>
    <mergeCell ref="AJ1091:AK1091"/>
    <mergeCell ref="AL1091:BB1091"/>
    <mergeCell ref="P1091:Q1091"/>
    <mergeCell ref="R1091:S1091"/>
    <mergeCell ref="T1091:U1091"/>
    <mergeCell ref="V1091:W1091"/>
    <mergeCell ref="X1091:Y1091"/>
    <mergeCell ref="Z1091:AA1091"/>
    <mergeCell ref="AB1091:AC1091"/>
    <mergeCell ref="B1091:C1091"/>
    <mergeCell ref="D1091:E1091"/>
    <mergeCell ref="F1091:G1091"/>
    <mergeCell ref="H1091:I1091"/>
    <mergeCell ref="J1091:K1091"/>
    <mergeCell ref="L1091:M1091"/>
    <mergeCell ref="N1091:O1091"/>
    <mergeCell ref="AD1092:AE1092"/>
    <mergeCell ref="AF1092:AG1092"/>
    <mergeCell ref="AH1092:AI1092"/>
    <mergeCell ref="AJ1092:AK1092"/>
    <mergeCell ref="AD1096:AE1096"/>
    <mergeCell ref="AF1096:AG1096"/>
    <mergeCell ref="P1096:Q1096"/>
    <mergeCell ref="R1096:S1096"/>
    <mergeCell ref="T1096:U1096"/>
    <mergeCell ref="V1096:W1096"/>
    <mergeCell ref="X1096:Y1096"/>
    <mergeCell ref="Z1096:AA1096"/>
    <mergeCell ref="AB1096:AC1096"/>
    <mergeCell ref="AD1097:AE1097"/>
    <mergeCell ref="AF1097:AG1097"/>
    <mergeCell ref="AH1097:AI1097"/>
    <mergeCell ref="AJ1097:AK1097"/>
    <mergeCell ref="AL1097:BB1097"/>
    <mergeCell ref="P1097:Q1097"/>
    <mergeCell ref="R1097:S1097"/>
    <mergeCell ref="T1097:U1097"/>
    <mergeCell ref="V1097:W1097"/>
    <mergeCell ref="X1097:Y1097"/>
    <mergeCell ref="Z1097:AA1097"/>
    <mergeCell ref="AB1097:AC1097"/>
    <mergeCell ref="B1097:C1097"/>
    <mergeCell ref="D1097:E1097"/>
    <mergeCell ref="F1097:G1097"/>
    <mergeCell ref="H1097:I1097"/>
    <mergeCell ref="J1097:K1097"/>
    <mergeCell ref="L1097:M1097"/>
    <mergeCell ref="N1097:O1097"/>
    <mergeCell ref="AD1098:AE1098"/>
    <mergeCell ref="AF1098:AG1098"/>
    <mergeCell ref="AH1098:AI1098"/>
    <mergeCell ref="AJ1098:AK1098"/>
    <mergeCell ref="AL1098:BB1098"/>
    <mergeCell ref="AH1096:AI1096"/>
    <mergeCell ref="AJ1096:AK1096"/>
    <mergeCell ref="AL1096:BB1096"/>
    <mergeCell ref="B1096:C1096"/>
    <mergeCell ref="D1096:E1096"/>
    <mergeCell ref="F1096:G1096"/>
    <mergeCell ref="H1096:I1096"/>
    <mergeCell ref="J1096:K1096"/>
    <mergeCell ref="L1096:M1096"/>
    <mergeCell ref="N1096:O1096"/>
    <mergeCell ref="P1098:Q1098"/>
    <mergeCell ref="R1098:S1098"/>
    <mergeCell ref="T1098:U1098"/>
    <mergeCell ref="V1098:W1098"/>
    <mergeCell ref="X1098:Y1098"/>
    <mergeCell ref="Z1098:AA1098"/>
    <mergeCell ref="AB1098:AC1098"/>
    <mergeCell ref="B1098:C1098"/>
    <mergeCell ref="D1098:E1098"/>
    <mergeCell ref="F1098:G1098"/>
    <mergeCell ref="H1098:I1098"/>
    <mergeCell ref="J1098:K1098"/>
    <mergeCell ref="L1098:M1098"/>
    <mergeCell ref="N1098:O1098"/>
    <mergeCell ref="AH1099:AI1099"/>
    <mergeCell ref="AJ1099:AK1099"/>
    <mergeCell ref="AL1099:BB1099"/>
    <mergeCell ref="B1099:C1099"/>
    <mergeCell ref="D1099:E1099"/>
    <mergeCell ref="F1099:G1099"/>
    <mergeCell ref="H1099:I1099"/>
    <mergeCell ref="J1099:K1099"/>
    <mergeCell ref="L1099:M1099"/>
    <mergeCell ref="N1099:O1099"/>
    <mergeCell ref="AD1099:AE1099"/>
    <mergeCell ref="AF1099:AG1099"/>
    <mergeCell ref="P1099:Q1099"/>
    <mergeCell ref="R1099:S1099"/>
    <mergeCell ref="T1099:U1099"/>
    <mergeCell ref="V1099:W1099"/>
    <mergeCell ref="X1099:Y1099"/>
    <mergeCell ref="Z1099:AA1099"/>
    <mergeCell ref="AB1099:AC1099"/>
    <mergeCell ref="AD1100:AE1100"/>
    <mergeCell ref="AF1100:AG1100"/>
    <mergeCell ref="AH1100:AI1100"/>
    <mergeCell ref="AJ1100:AK1100"/>
    <mergeCell ref="AL1100:BB1100"/>
    <mergeCell ref="P1100:Q1100"/>
    <mergeCell ref="R1100:S1100"/>
    <mergeCell ref="T1100:U1100"/>
    <mergeCell ref="V1100:W1100"/>
    <mergeCell ref="X1100:Y1100"/>
    <mergeCell ref="Z1100:AA1100"/>
    <mergeCell ref="AB1100:AC1100"/>
    <mergeCell ref="B1100:C1100"/>
    <mergeCell ref="D1100:E1100"/>
    <mergeCell ref="F1100:G1100"/>
    <mergeCell ref="H1100:I1100"/>
    <mergeCell ref="J1100:K1100"/>
    <mergeCell ref="L1100:M1100"/>
    <mergeCell ref="N1100:O1100"/>
    <mergeCell ref="AD1101:AE1101"/>
    <mergeCell ref="AF1101:AG1101"/>
    <mergeCell ref="AH1101:AI1101"/>
    <mergeCell ref="AJ1101:AK1101"/>
    <mergeCell ref="AL1101:BB1101"/>
    <mergeCell ref="AH1102:AI1102"/>
    <mergeCell ref="AJ1102:AK1102"/>
    <mergeCell ref="AL1102:BB1102"/>
    <mergeCell ref="B1102:C1102"/>
    <mergeCell ref="D1102:E1102"/>
    <mergeCell ref="F1102:G1102"/>
    <mergeCell ref="H1102:I1102"/>
    <mergeCell ref="J1102:K1102"/>
    <mergeCell ref="L1102:M1102"/>
    <mergeCell ref="N1102:O1102"/>
    <mergeCell ref="AD1087:AE1087"/>
    <mergeCell ref="AF1087:AG1087"/>
    <mergeCell ref="P1087:Q1087"/>
    <mergeCell ref="R1087:S1087"/>
    <mergeCell ref="T1087:U1087"/>
    <mergeCell ref="V1087:W1087"/>
    <mergeCell ref="X1087:Y1087"/>
    <mergeCell ref="Z1087:AA1087"/>
    <mergeCell ref="AB1087:AC1087"/>
    <mergeCell ref="AD1088:AE1088"/>
    <mergeCell ref="AF1088:AG1088"/>
    <mergeCell ref="AH1088:AI1088"/>
    <mergeCell ref="AJ1088:AK1088"/>
    <mergeCell ref="AL1088:BB1088"/>
    <mergeCell ref="P1088:Q1088"/>
    <mergeCell ref="R1088:S1088"/>
    <mergeCell ref="T1088:U1088"/>
    <mergeCell ref="V1088:W1088"/>
    <mergeCell ref="X1088:Y1088"/>
    <mergeCell ref="Z1088:AA1088"/>
    <mergeCell ref="AB1088:AC1088"/>
    <mergeCell ref="B1088:C1088"/>
    <mergeCell ref="D1088:E1088"/>
    <mergeCell ref="F1088:G1088"/>
    <mergeCell ref="H1088:I1088"/>
    <mergeCell ref="J1088:K1088"/>
    <mergeCell ref="L1088:M1088"/>
    <mergeCell ref="N1088:O1088"/>
    <mergeCell ref="AD1089:AE1089"/>
    <mergeCell ref="AF1089:AG1089"/>
    <mergeCell ref="AH1089:AI1089"/>
    <mergeCell ref="AJ1089:AK1089"/>
    <mergeCell ref="AL1089:BB1089"/>
    <mergeCell ref="AH1090:AI1090"/>
    <mergeCell ref="AJ1090:AK1090"/>
    <mergeCell ref="AL1090:BB1090"/>
    <mergeCell ref="B1090:C1090"/>
    <mergeCell ref="D1090:E1090"/>
    <mergeCell ref="F1090:G1090"/>
    <mergeCell ref="H1090:I1090"/>
    <mergeCell ref="J1090:K1090"/>
    <mergeCell ref="L1090:M1090"/>
    <mergeCell ref="N1090:O1090"/>
    <mergeCell ref="AD1090:AE1090"/>
    <mergeCell ref="AF1090:AG1090"/>
    <mergeCell ref="P1090:Q1090"/>
    <mergeCell ref="R1090:S1090"/>
    <mergeCell ref="T1090:U1090"/>
    <mergeCell ref="V1090:W1090"/>
    <mergeCell ref="AL1092:BB1092"/>
    <mergeCell ref="AH1093:AI1093"/>
    <mergeCell ref="AJ1093:AK1093"/>
    <mergeCell ref="AL1093:BB1093"/>
    <mergeCell ref="B1093:C1093"/>
    <mergeCell ref="D1093:E1093"/>
    <mergeCell ref="F1093:G1093"/>
    <mergeCell ref="H1093:I1093"/>
    <mergeCell ref="J1093:K1093"/>
    <mergeCell ref="L1093:M1093"/>
    <mergeCell ref="N1093:O1093"/>
    <mergeCell ref="P1095:Q1095"/>
    <mergeCell ref="R1095:S1095"/>
    <mergeCell ref="T1095:U1095"/>
    <mergeCell ref="V1095:W1095"/>
    <mergeCell ref="X1095:Y1095"/>
    <mergeCell ref="Z1095:AA1095"/>
    <mergeCell ref="AB1095:AC1095"/>
    <mergeCell ref="B1095:C1095"/>
    <mergeCell ref="D1095:E1095"/>
    <mergeCell ref="F1095:G1095"/>
    <mergeCell ref="H1095:I1095"/>
    <mergeCell ref="J1095:K1095"/>
    <mergeCell ref="L1095:M1095"/>
    <mergeCell ref="N1095:O1095"/>
    <mergeCell ref="AD1093:AE1093"/>
    <mergeCell ref="AF1093:AG1093"/>
    <mergeCell ref="P1093:Q1093"/>
    <mergeCell ref="R1093:S1093"/>
    <mergeCell ref="T1093:U1093"/>
    <mergeCell ref="V1093:W1093"/>
    <mergeCell ref="X1093:Y1093"/>
    <mergeCell ref="Z1093:AA1093"/>
    <mergeCell ref="AB1093:AC1093"/>
    <mergeCell ref="AD1094:AE1094"/>
    <mergeCell ref="AF1094:AG1094"/>
    <mergeCell ref="AH1094:AI1094"/>
    <mergeCell ref="AJ1094:AK1094"/>
    <mergeCell ref="AL1094:BB1094"/>
    <mergeCell ref="P1094:Q1094"/>
    <mergeCell ref="R1094:S1094"/>
    <mergeCell ref="T1094:U1094"/>
    <mergeCell ref="V1094:W1094"/>
    <mergeCell ref="X1094:Y1094"/>
    <mergeCell ref="Z1094:AA1094"/>
    <mergeCell ref="AB1094:AC1094"/>
    <mergeCell ref="B1094:C1094"/>
    <mergeCell ref="D1094:E1094"/>
    <mergeCell ref="F1094:G1094"/>
    <mergeCell ref="H1094:I1094"/>
    <mergeCell ref="J1094:K1094"/>
    <mergeCell ref="L1094:M1094"/>
    <mergeCell ref="N1094:O1094"/>
    <mergeCell ref="AD1095:AE1095"/>
    <mergeCell ref="AF1095:AG1095"/>
    <mergeCell ref="AH1095:AI1095"/>
    <mergeCell ref="AJ1095:AK1095"/>
    <mergeCell ref="AL1095:BB1095"/>
    <mergeCell ref="P1101:Q1101"/>
    <mergeCell ref="R1101:S1101"/>
    <mergeCell ref="T1101:U1101"/>
    <mergeCell ref="V1101:W1101"/>
    <mergeCell ref="X1101:Y1101"/>
    <mergeCell ref="Z1101:AA1101"/>
    <mergeCell ref="AB1101:AC1101"/>
    <mergeCell ref="B1101:C1101"/>
    <mergeCell ref="D1101:E1101"/>
    <mergeCell ref="F1101:G1101"/>
    <mergeCell ref="H1101:I1101"/>
    <mergeCell ref="J1101:K1101"/>
    <mergeCell ref="L1101:M1101"/>
    <mergeCell ref="N1101:O1101"/>
    <mergeCell ref="AD1123:AE1123"/>
    <mergeCell ref="AF1123:AG1123"/>
    <mergeCell ref="AH1123:AI1123"/>
    <mergeCell ref="AJ1123:AK1123"/>
    <mergeCell ref="AL1123:BB1123"/>
    <mergeCell ref="P1123:Q1123"/>
    <mergeCell ref="R1123:S1123"/>
    <mergeCell ref="T1123:U1123"/>
    <mergeCell ref="V1123:W1123"/>
    <mergeCell ref="X1123:Y1123"/>
    <mergeCell ref="Z1123:AA1123"/>
    <mergeCell ref="AB1123:AC1123"/>
    <mergeCell ref="P1104:Q1104"/>
    <mergeCell ref="R1104:S1104"/>
    <mergeCell ref="T1104:U1104"/>
    <mergeCell ref="V1104:W1104"/>
    <mergeCell ref="X1104:Y1104"/>
    <mergeCell ref="Z1104:AA1104"/>
    <mergeCell ref="AB1104:AC1104"/>
    <mergeCell ref="B1104:C1104"/>
    <mergeCell ref="D1104:E1104"/>
    <mergeCell ref="F1104:G1104"/>
    <mergeCell ref="H1104:I1104"/>
    <mergeCell ref="J1104:K1104"/>
    <mergeCell ref="L1104:M1104"/>
    <mergeCell ref="N1104:O1104"/>
    <mergeCell ref="AD1102:AE1102"/>
    <mergeCell ref="AF1102:AG1102"/>
    <mergeCell ref="P1102:Q1102"/>
    <mergeCell ref="R1102:S1102"/>
    <mergeCell ref="T1102:U1102"/>
    <mergeCell ref="V1102:W1102"/>
    <mergeCell ref="X1102:Y1102"/>
    <mergeCell ref="Z1102:AA1102"/>
    <mergeCell ref="AB1102:AC1102"/>
    <mergeCell ref="AD1103:AE1103"/>
    <mergeCell ref="AF1103:AG1103"/>
    <mergeCell ref="AH1103:AI1103"/>
    <mergeCell ref="AJ1103:AK1103"/>
    <mergeCell ref="AL1103:BB1103"/>
    <mergeCell ref="P1103:Q1103"/>
    <mergeCell ref="R1103:S1103"/>
    <mergeCell ref="T1103:U1103"/>
    <mergeCell ref="V1103:W1103"/>
    <mergeCell ref="X1103:Y1103"/>
    <mergeCell ref="Z1103:AA1103"/>
    <mergeCell ref="AB1103:AC1103"/>
    <mergeCell ref="B1103:C1103"/>
    <mergeCell ref="D1103:E1103"/>
    <mergeCell ref="F1103:G1103"/>
    <mergeCell ref="H1103:I1103"/>
    <mergeCell ref="J1103:K1103"/>
    <mergeCell ref="L1103:M1103"/>
    <mergeCell ref="N1103:O1103"/>
    <mergeCell ref="AD1104:AE1104"/>
    <mergeCell ref="AF1104:AG1104"/>
    <mergeCell ref="AH1104:AI1104"/>
    <mergeCell ref="AJ1104:AK1104"/>
    <mergeCell ref="AL1104:BB1104"/>
    <mergeCell ref="AH1105:AI1105"/>
    <mergeCell ref="AJ1105:AK1105"/>
    <mergeCell ref="AL1105:BB1105"/>
    <mergeCell ref="B1105:C1105"/>
    <mergeCell ref="D1105:E1105"/>
    <mergeCell ref="F1105:G1105"/>
    <mergeCell ref="H1105:I1105"/>
    <mergeCell ref="J1105:K1105"/>
    <mergeCell ref="L1105:M1105"/>
    <mergeCell ref="N1105:O1105"/>
    <mergeCell ref="P1107:Q1107"/>
    <mergeCell ref="R1107:S1107"/>
    <mergeCell ref="T1107:U1107"/>
    <mergeCell ref="V1107:W1107"/>
    <mergeCell ref="X1107:Y1107"/>
    <mergeCell ref="Z1107:AA1107"/>
    <mergeCell ref="AB1107:AC1107"/>
    <mergeCell ref="B1107:C1107"/>
    <mergeCell ref="D1107:E1107"/>
    <mergeCell ref="F1107:G1107"/>
    <mergeCell ref="H1107:I1107"/>
    <mergeCell ref="J1107:K1107"/>
    <mergeCell ref="L1107:M1107"/>
    <mergeCell ref="N1107:O1107"/>
    <mergeCell ref="AD1105:AE1105"/>
    <mergeCell ref="AF1105:AG1105"/>
    <mergeCell ref="P1105:Q1105"/>
    <mergeCell ref="R1105:S1105"/>
    <mergeCell ref="T1105:U1105"/>
    <mergeCell ref="V1105:W1105"/>
    <mergeCell ref="X1105:Y1105"/>
    <mergeCell ref="Z1105:AA1105"/>
    <mergeCell ref="AB1105:AC1105"/>
    <mergeCell ref="AD1106:AE1106"/>
    <mergeCell ref="AF1106:AG1106"/>
    <mergeCell ref="AH1106:AI1106"/>
    <mergeCell ref="AJ1106:AK1106"/>
    <mergeCell ref="AL1106:BB1106"/>
    <mergeCell ref="P1106:Q1106"/>
    <mergeCell ref="R1106:S1106"/>
    <mergeCell ref="T1106:U1106"/>
    <mergeCell ref="V1106:W1106"/>
    <mergeCell ref="X1106:Y1106"/>
    <mergeCell ref="Z1106:AA1106"/>
    <mergeCell ref="AB1106:AC1106"/>
    <mergeCell ref="B1106:C1106"/>
    <mergeCell ref="D1106:E1106"/>
    <mergeCell ref="F1106:G1106"/>
    <mergeCell ref="H1106:I1106"/>
    <mergeCell ref="J1106:K1106"/>
    <mergeCell ref="L1106:M1106"/>
    <mergeCell ref="N1106:O1106"/>
    <mergeCell ref="AD1107:AE1107"/>
    <mergeCell ref="AF1107:AG1107"/>
    <mergeCell ref="AH1107:AI1107"/>
    <mergeCell ref="AJ1107:AK1107"/>
    <mergeCell ref="AL1107:BB1107"/>
    <mergeCell ref="AH1108:AI1108"/>
    <mergeCell ref="AJ1108:AK1108"/>
    <mergeCell ref="AL1108:BB1108"/>
    <mergeCell ref="B1108:C1108"/>
    <mergeCell ref="D1108:E1108"/>
    <mergeCell ref="F1108:G1108"/>
    <mergeCell ref="H1108:I1108"/>
    <mergeCell ref="J1108:K1108"/>
    <mergeCell ref="L1108:M1108"/>
    <mergeCell ref="N1108:O1108"/>
    <mergeCell ref="P1110:Q1110"/>
    <mergeCell ref="R1110:S1110"/>
    <mergeCell ref="T1110:U1110"/>
    <mergeCell ref="V1110:W1110"/>
    <mergeCell ref="X1110:Y1110"/>
    <mergeCell ref="Z1110:AA1110"/>
    <mergeCell ref="AB1110:AC1110"/>
    <mergeCell ref="B1110:C1110"/>
    <mergeCell ref="D1110:E1110"/>
    <mergeCell ref="F1110:G1110"/>
    <mergeCell ref="H1110:I1110"/>
    <mergeCell ref="J1110:K1110"/>
    <mergeCell ref="L1110:M1110"/>
    <mergeCell ref="N1110:O1110"/>
    <mergeCell ref="AD1108:AE1108"/>
    <mergeCell ref="AF1108:AG1108"/>
    <mergeCell ref="P1108:Q1108"/>
    <mergeCell ref="R1108:S1108"/>
    <mergeCell ref="T1108:U1108"/>
    <mergeCell ref="V1108:W1108"/>
    <mergeCell ref="X1108:Y1108"/>
    <mergeCell ref="Z1108:AA1108"/>
    <mergeCell ref="AB1108:AC1108"/>
    <mergeCell ref="AD1109:AE1109"/>
    <mergeCell ref="AF1109:AG1109"/>
    <mergeCell ref="AH1109:AI1109"/>
    <mergeCell ref="AJ1109:AK1109"/>
    <mergeCell ref="AL1109:BB1109"/>
    <mergeCell ref="P1109:Q1109"/>
    <mergeCell ref="R1109:S1109"/>
    <mergeCell ref="T1109:U1109"/>
    <mergeCell ref="V1109:W1109"/>
    <mergeCell ref="X1109:Y1109"/>
    <mergeCell ref="Z1109:AA1109"/>
    <mergeCell ref="AB1109:AC1109"/>
    <mergeCell ref="B1109:C1109"/>
    <mergeCell ref="D1109:E1109"/>
    <mergeCell ref="F1109:G1109"/>
    <mergeCell ref="H1109:I1109"/>
    <mergeCell ref="J1109:K1109"/>
    <mergeCell ref="L1109:M1109"/>
    <mergeCell ref="N1109:O1109"/>
    <mergeCell ref="AD1110:AE1110"/>
    <mergeCell ref="AF1110:AG1110"/>
    <mergeCell ref="AH1110:AI1110"/>
    <mergeCell ref="AJ1110:AK1110"/>
    <mergeCell ref="AL1110:BB1110"/>
    <mergeCell ref="AH1111:AI1111"/>
    <mergeCell ref="AJ1111:AK1111"/>
    <mergeCell ref="AL1111:BB1111"/>
    <mergeCell ref="B1111:C1111"/>
    <mergeCell ref="D1111:E1111"/>
    <mergeCell ref="F1111:G1111"/>
    <mergeCell ref="H1111:I1111"/>
    <mergeCell ref="J1111:K1111"/>
    <mergeCell ref="L1111:M1111"/>
    <mergeCell ref="N1111:O1111"/>
    <mergeCell ref="P1113:Q1113"/>
    <mergeCell ref="R1113:S1113"/>
    <mergeCell ref="T1113:U1113"/>
    <mergeCell ref="V1113:W1113"/>
    <mergeCell ref="X1113:Y1113"/>
    <mergeCell ref="Z1113:AA1113"/>
    <mergeCell ref="AB1113:AC1113"/>
    <mergeCell ref="B1113:C1113"/>
    <mergeCell ref="D1113:E1113"/>
    <mergeCell ref="F1113:G1113"/>
    <mergeCell ref="H1113:I1113"/>
    <mergeCell ref="J1113:K1113"/>
    <mergeCell ref="L1113:M1113"/>
    <mergeCell ref="N1113:O1113"/>
    <mergeCell ref="AD1111:AE1111"/>
    <mergeCell ref="AF1111:AG1111"/>
    <mergeCell ref="P1111:Q1111"/>
    <mergeCell ref="R1111:S1111"/>
    <mergeCell ref="T1111:U1111"/>
    <mergeCell ref="V1111:W1111"/>
    <mergeCell ref="X1111:Y1111"/>
    <mergeCell ref="Z1111:AA1111"/>
    <mergeCell ref="AB1111:AC1111"/>
    <mergeCell ref="AD1112:AE1112"/>
    <mergeCell ref="AF1112:AG1112"/>
    <mergeCell ref="AH1112:AI1112"/>
    <mergeCell ref="AJ1112:AK1112"/>
    <mergeCell ref="AL1112:BB1112"/>
    <mergeCell ref="P1112:Q1112"/>
    <mergeCell ref="R1112:S1112"/>
    <mergeCell ref="T1112:U1112"/>
    <mergeCell ref="V1112:W1112"/>
    <mergeCell ref="X1112:Y1112"/>
    <mergeCell ref="Z1112:AA1112"/>
    <mergeCell ref="AB1112:AC1112"/>
    <mergeCell ref="B1112:C1112"/>
    <mergeCell ref="D1112:E1112"/>
    <mergeCell ref="F1112:G1112"/>
    <mergeCell ref="H1112:I1112"/>
    <mergeCell ref="J1112:K1112"/>
    <mergeCell ref="L1112:M1112"/>
    <mergeCell ref="N1112:O1112"/>
    <mergeCell ref="AD1113:AE1113"/>
    <mergeCell ref="AF1113:AG1113"/>
    <mergeCell ref="AH1113:AI1113"/>
    <mergeCell ref="AJ1113:AK1113"/>
    <mergeCell ref="AL1113:BB1113"/>
    <mergeCell ref="AH1114:AI1114"/>
    <mergeCell ref="AJ1114:AK1114"/>
    <mergeCell ref="AL1114:BB1114"/>
    <mergeCell ref="B1114:C1114"/>
    <mergeCell ref="D1114:E1114"/>
    <mergeCell ref="F1114:G1114"/>
    <mergeCell ref="H1114:I1114"/>
    <mergeCell ref="J1114:K1114"/>
    <mergeCell ref="L1114:M1114"/>
    <mergeCell ref="N1114:O1114"/>
    <mergeCell ref="P1116:Q1116"/>
    <mergeCell ref="R1116:S1116"/>
    <mergeCell ref="T1116:U1116"/>
    <mergeCell ref="V1116:W1116"/>
    <mergeCell ref="X1116:Y1116"/>
    <mergeCell ref="Z1116:AA1116"/>
    <mergeCell ref="AB1116:AC1116"/>
    <mergeCell ref="B1116:C1116"/>
    <mergeCell ref="D1116:E1116"/>
    <mergeCell ref="F1116:G1116"/>
    <mergeCell ref="H1116:I1116"/>
    <mergeCell ref="J1116:K1116"/>
    <mergeCell ref="L1116:M1116"/>
    <mergeCell ref="N1116:O1116"/>
    <mergeCell ref="AD1114:AE1114"/>
    <mergeCell ref="AF1114:AG1114"/>
    <mergeCell ref="P1114:Q1114"/>
    <mergeCell ref="R1114:S1114"/>
    <mergeCell ref="T1114:U1114"/>
    <mergeCell ref="V1114:W1114"/>
    <mergeCell ref="X1114:Y1114"/>
    <mergeCell ref="Z1114:AA1114"/>
    <mergeCell ref="AB1114:AC1114"/>
    <mergeCell ref="AD1115:AE1115"/>
    <mergeCell ref="AF1115:AG1115"/>
    <mergeCell ref="AH1115:AI1115"/>
    <mergeCell ref="AJ1115:AK1115"/>
    <mergeCell ref="AL1115:BB1115"/>
    <mergeCell ref="P1115:Q1115"/>
    <mergeCell ref="R1115:S1115"/>
    <mergeCell ref="T1115:U1115"/>
    <mergeCell ref="V1115:W1115"/>
    <mergeCell ref="X1115:Y1115"/>
    <mergeCell ref="Z1115:AA1115"/>
    <mergeCell ref="AB1115:AC1115"/>
    <mergeCell ref="B1115:C1115"/>
    <mergeCell ref="D1115:E1115"/>
    <mergeCell ref="F1115:G1115"/>
    <mergeCell ref="H1115:I1115"/>
    <mergeCell ref="J1115:K1115"/>
    <mergeCell ref="L1115:M1115"/>
    <mergeCell ref="N1115:O1115"/>
    <mergeCell ref="AD1116:AE1116"/>
    <mergeCell ref="AF1116:AG1116"/>
    <mergeCell ref="AH1116:AI1116"/>
    <mergeCell ref="AJ1116:AK1116"/>
    <mergeCell ref="AL1116:BB1116"/>
    <mergeCell ref="AH1117:AI1117"/>
    <mergeCell ref="AJ1117:AK1117"/>
    <mergeCell ref="AL1117:BB1117"/>
    <mergeCell ref="B1117:C1117"/>
    <mergeCell ref="D1117:E1117"/>
    <mergeCell ref="F1117:G1117"/>
    <mergeCell ref="H1117:I1117"/>
    <mergeCell ref="J1117:K1117"/>
    <mergeCell ref="L1117:M1117"/>
    <mergeCell ref="N1117:O1117"/>
    <mergeCell ref="P1119:Q1119"/>
    <mergeCell ref="R1119:S1119"/>
    <mergeCell ref="T1119:U1119"/>
    <mergeCell ref="V1119:W1119"/>
    <mergeCell ref="X1119:Y1119"/>
    <mergeCell ref="Z1119:AA1119"/>
    <mergeCell ref="AB1119:AC1119"/>
    <mergeCell ref="B1119:C1119"/>
    <mergeCell ref="D1119:E1119"/>
    <mergeCell ref="F1119:G1119"/>
    <mergeCell ref="H1119:I1119"/>
    <mergeCell ref="J1119:K1119"/>
    <mergeCell ref="L1119:M1119"/>
    <mergeCell ref="N1119:O1119"/>
    <mergeCell ref="AD1117:AE1117"/>
    <mergeCell ref="AF1117:AG1117"/>
    <mergeCell ref="P1117:Q1117"/>
    <mergeCell ref="R1117:S1117"/>
    <mergeCell ref="T1117:U1117"/>
    <mergeCell ref="V1117:W1117"/>
    <mergeCell ref="X1117:Y1117"/>
    <mergeCell ref="Z1117:AA1117"/>
    <mergeCell ref="AB1117:AC1117"/>
    <mergeCell ref="AD1118:AE1118"/>
    <mergeCell ref="AF1118:AG1118"/>
    <mergeCell ref="AH1118:AI1118"/>
    <mergeCell ref="AJ1118:AK1118"/>
    <mergeCell ref="AL1118:BB1118"/>
    <mergeCell ref="P1118:Q1118"/>
    <mergeCell ref="R1118:S1118"/>
    <mergeCell ref="T1118:U1118"/>
    <mergeCell ref="V1118:W1118"/>
    <mergeCell ref="X1118:Y1118"/>
    <mergeCell ref="Z1118:AA1118"/>
    <mergeCell ref="AB1118:AC1118"/>
    <mergeCell ref="B1118:C1118"/>
    <mergeCell ref="D1118:E1118"/>
    <mergeCell ref="F1118:G1118"/>
    <mergeCell ref="H1118:I1118"/>
    <mergeCell ref="J1118:K1118"/>
    <mergeCell ref="L1118:M1118"/>
    <mergeCell ref="N1118:O1118"/>
    <mergeCell ref="AD1119:AE1119"/>
    <mergeCell ref="AF1119:AG1119"/>
    <mergeCell ref="AH1119:AI1119"/>
    <mergeCell ref="AJ1119:AK1119"/>
    <mergeCell ref="AL1119:BB1119"/>
    <mergeCell ref="AH1120:AI1120"/>
    <mergeCell ref="AJ1120:AK1120"/>
    <mergeCell ref="AL1120:BB1120"/>
    <mergeCell ref="B1120:C1120"/>
    <mergeCell ref="D1120:E1120"/>
    <mergeCell ref="F1120:G1120"/>
    <mergeCell ref="H1120:I1120"/>
    <mergeCell ref="J1120:K1120"/>
    <mergeCell ref="L1120:M1120"/>
    <mergeCell ref="N1120:O1120"/>
    <mergeCell ref="P1122:Q1122"/>
    <mergeCell ref="R1122:S1122"/>
    <mergeCell ref="T1122:U1122"/>
    <mergeCell ref="V1122:W1122"/>
    <mergeCell ref="X1122:Y1122"/>
    <mergeCell ref="Z1122:AA1122"/>
    <mergeCell ref="AB1122:AC1122"/>
    <mergeCell ref="B1122:C1122"/>
    <mergeCell ref="D1122:E1122"/>
    <mergeCell ref="F1122:G1122"/>
    <mergeCell ref="H1122:I1122"/>
    <mergeCell ref="J1122:K1122"/>
    <mergeCell ref="L1122:M1122"/>
    <mergeCell ref="N1122:O1122"/>
    <mergeCell ref="AD1120:AE1120"/>
    <mergeCell ref="AF1120:AG1120"/>
    <mergeCell ref="P1120:Q1120"/>
    <mergeCell ref="R1120:S1120"/>
    <mergeCell ref="T1120:U1120"/>
    <mergeCell ref="V1120:W1120"/>
    <mergeCell ref="X1120:Y1120"/>
    <mergeCell ref="Z1120:AA1120"/>
    <mergeCell ref="AB1120:AC1120"/>
    <mergeCell ref="AD1121:AE1121"/>
    <mergeCell ref="AF1121:AG1121"/>
    <mergeCell ref="AH1121:AI1121"/>
    <mergeCell ref="AJ1121:AK1121"/>
    <mergeCell ref="AL1121:BB1121"/>
    <mergeCell ref="P1121:Q1121"/>
    <mergeCell ref="R1121:S1121"/>
    <mergeCell ref="T1121:U1121"/>
    <mergeCell ref="V1121:W1121"/>
    <mergeCell ref="X1121:Y1121"/>
    <mergeCell ref="Z1121:AA1121"/>
    <mergeCell ref="AB1121:AC1121"/>
    <mergeCell ref="B1121:C1121"/>
    <mergeCell ref="D1121:E1121"/>
    <mergeCell ref="F1121:G1121"/>
    <mergeCell ref="H1121:I1121"/>
    <mergeCell ref="J1121:K1121"/>
    <mergeCell ref="L1121:M1121"/>
    <mergeCell ref="N1121:O1121"/>
    <mergeCell ref="AD1122:AE1122"/>
    <mergeCell ref="AF1122:AG1122"/>
    <mergeCell ref="AH1122:AI1122"/>
    <mergeCell ref="AJ1122:AK1122"/>
    <mergeCell ref="AL1122:BB1122"/>
    <mergeCell ref="B1123:C1123"/>
    <mergeCell ref="D1123:E1123"/>
    <mergeCell ref="F1123:G1123"/>
    <mergeCell ref="H1123:I1123"/>
    <mergeCell ref="J1123:K1123"/>
    <mergeCell ref="L1123:M1123"/>
    <mergeCell ref="N1123:O1123"/>
    <mergeCell ref="AD1124:AE1124"/>
    <mergeCell ref="AF1124:AG1124"/>
    <mergeCell ref="AH1124:AI1124"/>
    <mergeCell ref="AJ1124:AK1124"/>
    <mergeCell ref="AL1124:BB1124"/>
    <mergeCell ref="P1124:Q1124"/>
    <mergeCell ref="R1124:S1124"/>
    <mergeCell ref="T1124:U1124"/>
    <mergeCell ref="V1124:W1124"/>
    <mergeCell ref="X1124:Y1124"/>
    <mergeCell ref="Z1124:AA1124"/>
    <mergeCell ref="AB1124:AC1124"/>
    <mergeCell ref="B1124:C1124"/>
    <mergeCell ref="D1124:E1124"/>
    <mergeCell ref="F1124:G1124"/>
    <mergeCell ref="H1124:I1124"/>
    <mergeCell ref="J1124:K1124"/>
    <mergeCell ref="L1124:M1124"/>
    <mergeCell ref="N1124:O1124"/>
    <mergeCell ref="AD1125:AE1125"/>
    <mergeCell ref="AF1125:AG1125"/>
    <mergeCell ref="AH1125:AI1125"/>
    <mergeCell ref="AJ1125:AK1125"/>
    <mergeCell ref="AL1125:BB1125"/>
    <mergeCell ref="P1125:Q1125"/>
    <mergeCell ref="R1125:S1125"/>
    <mergeCell ref="T1125:U1125"/>
    <mergeCell ref="V1125:W1125"/>
    <mergeCell ref="X1125:Y1125"/>
    <mergeCell ref="Z1125:AA1125"/>
    <mergeCell ref="AB1125:AC1125"/>
    <mergeCell ref="B1125:C1125"/>
    <mergeCell ref="D1125:E1125"/>
    <mergeCell ref="F1125:G1125"/>
    <mergeCell ref="H1125:I1125"/>
    <mergeCell ref="J1125:K1125"/>
    <mergeCell ref="L1125:M1125"/>
    <mergeCell ref="N1125:O1125"/>
    <mergeCell ref="AH1126:AI1126"/>
    <mergeCell ref="AJ1126:AK1126"/>
    <mergeCell ref="AL1126:BB1126"/>
    <mergeCell ref="B1126:C1126"/>
    <mergeCell ref="D1126:E1126"/>
    <mergeCell ref="F1126:G1126"/>
    <mergeCell ref="H1126:I1126"/>
    <mergeCell ref="J1126:K1126"/>
    <mergeCell ref="L1126:M1126"/>
    <mergeCell ref="N1126:O1126"/>
    <mergeCell ref="P1128:Q1128"/>
    <mergeCell ref="R1128:S1128"/>
    <mergeCell ref="T1128:U1128"/>
    <mergeCell ref="V1128:W1128"/>
    <mergeCell ref="X1128:Y1128"/>
    <mergeCell ref="Z1128:AA1128"/>
    <mergeCell ref="AB1128:AC1128"/>
    <mergeCell ref="B1128:C1128"/>
    <mergeCell ref="D1128:E1128"/>
    <mergeCell ref="F1128:G1128"/>
    <mergeCell ref="H1128:I1128"/>
    <mergeCell ref="J1128:K1128"/>
    <mergeCell ref="L1128:M1128"/>
    <mergeCell ref="N1128:O1128"/>
    <mergeCell ref="AD1126:AE1126"/>
    <mergeCell ref="AF1126:AG1126"/>
    <mergeCell ref="P1126:Q1126"/>
    <mergeCell ref="R1126:S1126"/>
    <mergeCell ref="T1126:U1126"/>
    <mergeCell ref="V1126:W1126"/>
    <mergeCell ref="X1126:Y1126"/>
    <mergeCell ref="Z1126:AA1126"/>
    <mergeCell ref="AB1126:AC1126"/>
    <mergeCell ref="AD1127:AE1127"/>
    <mergeCell ref="AF1127:AG1127"/>
    <mergeCell ref="AH1127:AI1127"/>
    <mergeCell ref="AJ1127:AK1127"/>
    <mergeCell ref="AL1127:BB1127"/>
    <mergeCell ref="P1127:Q1127"/>
    <mergeCell ref="R1127:S1127"/>
    <mergeCell ref="T1127:U1127"/>
    <mergeCell ref="V1127:W1127"/>
    <mergeCell ref="X1127:Y1127"/>
    <mergeCell ref="Z1127:AA1127"/>
    <mergeCell ref="AB1127:AC1127"/>
    <mergeCell ref="B1127:C1127"/>
    <mergeCell ref="D1127:E1127"/>
    <mergeCell ref="F1127:G1127"/>
    <mergeCell ref="H1127:I1127"/>
    <mergeCell ref="J1127:K1127"/>
    <mergeCell ref="L1127:M1127"/>
    <mergeCell ref="N1127:O1127"/>
    <mergeCell ref="AD1128:AE1128"/>
    <mergeCell ref="AF1128:AG1128"/>
    <mergeCell ref="AH1128:AI1128"/>
    <mergeCell ref="AJ1128:AK1128"/>
    <mergeCell ref="AL1128:BB1128"/>
    <mergeCell ref="AH1129:AI1129"/>
    <mergeCell ref="AJ1129:AK1129"/>
    <mergeCell ref="AL1129:BB1129"/>
    <mergeCell ref="B1129:C1129"/>
    <mergeCell ref="D1129:E1129"/>
    <mergeCell ref="F1129:G1129"/>
    <mergeCell ref="H1129:I1129"/>
    <mergeCell ref="J1129:K1129"/>
    <mergeCell ref="L1129:M1129"/>
    <mergeCell ref="N1129:O1129"/>
    <mergeCell ref="P1131:Q1131"/>
    <mergeCell ref="R1131:S1131"/>
    <mergeCell ref="T1131:U1131"/>
    <mergeCell ref="V1131:W1131"/>
    <mergeCell ref="X1131:Y1131"/>
    <mergeCell ref="Z1131:AA1131"/>
    <mergeCell ref="AB1131:AC1131"/>
    <mergeCell ref="B1131:C1131"/>
    <mergeCell ref="D1131:E1131"/>
    <mergeCell ref="F1131:G1131"/>
    <mergeCell ref="H1131:I1131"/>
    <mergeCell ref="J1131:K1131"/>
    <mergeCell ref="L1131:M1131"/>
    <mergeCell ref="N1131:O1131"/>
    <mergeCell ref="P1134:Q1134"/>
    <mergeCell ref="R1134:S1134"/>
    <mergeCell ref="T1134:U1134"/>
    <mergeCell ref="V1134:W1134"/>
    <mergeCell ref="X1134:Y1134"/>
    <mergeCell ref="Z1134:AA1134"/>
    <mergeCell ref="AB1134:AC1134"/>
    <mergeCell ref="B1134:C1134"/>
    <mergeCell ref="D1134:E1134"/>
    <mergeCell ref="F1134:G1134"/>
    <mergeCell ref="H1134:I1134"/>
    <mergeCell ref="J1134:K1134"/>
    <mergeCell ref="L1134:M1134"/>
    <mergeCell ref="N1134:O1134"/>
    <mergeCell ref="X1132:Y1132"/>
    <mergeCell ref="Z1132:AA1132"/>
    <mergeCell ref="AB1132:AC1132"/>
    <mergeCell ref="AD1133:AE1133"/>
    <mergeCell ref="AF1133:AG1133"/>
    <mergeCell ref="AH1133:AI1133"/>
    <mergeCell ref="AJ1133:AK1133"/>
    <mergeCell ref="AL1133:BB1133"/>
    <mergeCell ref="P1133:Q1133"/>
    <mergeCell ref="R1133:S1133"/>
    <mergeCell ref="T1133:U1133"/>
    <mergeCell ref="V1133:W1133"/>
    <mergeCell ref="X1133:Y1133"/>
    <mergeCell ref="Z1133:AA1133"/>
    <mergeCell ref="AB1133:AC1133"/>
    <mergeCell ref="B1133:C1133"/>
    <mergeCell ref="D1133:E1133"/>
    <mergeCell ref="F1133:G1133"/>
    <mergeCell ref="H1133:I1133"/>
    <mergeCell ref="J1133:K1133"/>
    <mergeCell ref="L1133:M1133"/>
    <mergeCell ref="N1133:O1133"/>
    <mergeCell ref="AD1134:AE1134"/>
    <mergeCell ref="AF1134:AG1134"/>
    <mergeCell ref="AH1134:AI1134"/>
    <mergeCell ref="AJ1134:AK1134"/>
    <mergeCell ref="R1433:S1433"/>
    <mergeCell ref="T1433:U1433"/>
    <mergeCell ref="V1433:W1433"/>
    <mergeCell ref="X1433:Y1433"/>
    <mergeCell ref="Z1433:AA1433"/>
    <mergeCell ref="AB1433:AC1433"/>
    <mergeCell ref="B1433:C1433"/>
    <mergeCell ref="D1433:E1433"/>
    <mergeCell ref="F1433:G1433"/>
    <mergeCell ref="H1433:I1433"/>
    <mergeCell ref="J1433:K1433"/>
    <mergeCell ref="L1433:M1433"/>
    <mergeCell ref="N1433:O1433"/>
    <mergeCell ref="AD1434:AE1434"/>
    <mergeCell ref="AF1434:AG1434"/>
    <mergeCell ref="AH1434:AI1434"/>
    <mergeCell ref="AJ1434:AK1434"/>
    <mergeCell ref="AL1434:BB1434"/>
    <mergeCell ref="AH1432:AI1432"/>
    <mergeCell ref="AJ1432:AK1432"/>
    <mergeCell ref="AL1432:BB1432"/>
    <mergeCell ref="B1432:C1432"/>
    <mergeCell ref="D1432:E1432"/>
    <mergeCell ref="F1432:G1432"/>
    <mergeCell ref="H1432:I1432"/>
    <mergeCell ref="J1432:K1432"/>
    <mergeCell ref="L1432:M1432"/>
    <mergeCell ref="N1432:O1432"/>
    <mergeCell ref="P1434:Q1434"/>
    <mergeCell ref="R1434:S1434"/>
    <mergeCell ref="T1434:U1434"/>
    <mergeCell ref="V1434:W1434"/>
    <mergeCell ref="X1434:Y1434"/>
    <mergeCell ref="Z1434:AA1434"/>
    <mergeCell ref="AB1434:AC1434"/>
    <mergeCell ref="B1434:C1434"/>
    <mergeCell ref="D1434:E1434"/>
    <mergeCell ref="F1434:G1434"/>
    <mergeCell ref="H1434:I1434"/>
    <mergeCell ref="J1434:K1434"/>
    <mergeCell ref="L1434:M1434"/>
    <mergeCell ref="N1434:O1434"/>
    <mergeCell ref="F1426:G1426"/>
    <mergeCell ref="H1426:I1426"/>
    <mergeCell ref="J1426:K1426"/>
    <mergeCell ref="L1426:M1426"/>
    <mergeCell ref="N1426:O1426"/>
    <mergeCell ref="AD1426:AE1426"/>
    <mergeCell ref="AF1426:AG1426"/>
    <mergeCell ref="P1426:Q1426"/>
    <mergeCell ref="R1426:S1426"/>
    <mergeCell ref="T1426:U1426"/>
    <mergeCell ref="V1426:W1426"/>
    <mergeCell ref="AH1435:AI1435"/>
    <mergeCell ref="AJ1435:AK1435"/>
    <mergeCell ref="AL1435:BB1435"/>
    <mergeCell ref="B1435:C1435"/>
    <mergeCell ref="D1435:E1435"/>
    <mergeCell ref="F1435:G1435"/>
    <mergeCell ref="H1435:I1435"/>
    <mergeCell ref="J1435:K1435"/>
    <mergeCell ref="L1435:M1435"/>
    <mergeCell ref="N1435:O1435"/>
    <mergeCell ref="AD1435:AE1435"/>
    <mergeCell ref="AF1435:AG1435"/>
    <mergeCell ref="P1435:Q1435"/>
    <mergeCell ref="R1435:S1435"/>
    <mergeCell ref="T1435:U1435"/>
    <mergeCell ref="V1435:W1435"/>
    <mergeCell ref="X1435:Y1435"/>
    <mergeCell ref="Z1435:AA1435"/>
    <mergeCell ref="AB1435:AC1435"/>
    <mergeCell ref="AD1436:AE1436"/>
    <mergeCell ref="AF1436:AG1436"/>
    <mergeCell ref="AH1436:AI1436"/>
    <mergeCell ref="AJ1436:AK1436"/>
    <mergeCell ref="AL1436:BB1436"/>
    <mergeCell ref="P1436:Q1436"/>
    <mergeCell ref="R1436:S1436"/>
    <mergeCell ref="T1436:U1436"/>
    <mergeCell ref="V1436:W1436"/>
    <mergeCell ref="X1436:Y1436"/>
    <mergeCell ref="Z1436:AA1436"/>
    <mergeCell ref="AB1436:AC1436"/>
    <mergeCell ref="B1436:C1436"/>
    <mergeCell ref="D1436:E1436"/>
    <mergeCell ref="F1436:G1436"/>
    <mergeCell ref="H1436:I1436"/>
    <mergeCell ref="J1436:K1436"/>
    <mergeCell ref="L1436:M1436"/>
    <mergeCell ref="N1436:O1436"/>
    <mergeCell ref="AD1432:AE1432"/>
    <mergeCell ref="AF1432:AG1432"/>
    <mergeCell ref="P1432:Q1432"/>
    <mergeCell ref="R1432:S1432"/>
    <mergeCell ref="T1432:U1432"/>
    <mergeCell ref="V1432:W1432"/>
    <mergeCell ref="X1432:Y1432"/>
    <mergeCell ref="Z1432:AA1432"/>
    <mergeCell ref="AB1432:AC1432"/>
    <mergeCell ref="AD1433:AE1433"/>
    <mergeCell ref="AF1433:AG1433"/>
    <mergeCell ref="AH1433:AI1433"/>
    <mergeCell ref="AJ1433:AK1433"/>
    <mergeCell ref="AL1433:BB1433"/>
    <mergeCell ref="P1433:Q1433"/>
    <mergeCell ref="AL1428:BB1428"/>
    <mergeCell ref="AH1429:AI1429"/>
    <mergeCell ref="AJ1429:AK1429"/>
    <mergeCell ref="AL1429:BB1429"/>
    <mergeCell ref="B1429:C1429"/>
    <mergeCell ref="D1429:E1429"/>
    <mergeCell ref="F1429:G1429"/>
    <mergeCell ref="H1429:I1429"/>
    <mergeCell ref="J1429:K1429"/>
    <mergeCell ref="L1429:M1429"/>
    <mergeCell ref="N1429:O1429"/>
    <mergeCell ref="AD1437:AE1437"/>
    <mergeCell ref="AF1437:AG1437"/>
    <mergeCell ref="AH1437:AI1437"/>
    <mergeCell ref="AJ1437:AK1437"/>
    <mergeCell ref="AL1437:BB1437"/>
    <mergeCell ref="AH1438:AI1438"/>
    <mergeCell ref="AJ1438:AK1438"/>
    <mergeCell ref="AL1438:BB1438"/>
    <mergeCell ref="B1438:C1438"/>
    <mergeCell ref="D1438:E1438"/>
    <mergeCell ref="F1438:G1438"/>
    <mergeCell ref="H1438:I1438"/>
    <mergeCell ref="J1438:K1438"/>
    <mergeCell ref="L1438:M1438"/>
    <mergeCell ref="N1438:O1438"/>
    <mergeCell ref="AD1423:AE1423"/>
    <mergeCell ref="AF1423:AG1423"/>
    <mergeCell ref="P1423:Q1423"/>
    <mergeCell ref="R1423:S1423"/>
    <mergeCell ref="T1423:U1423"/>
    <mergeCell ref="V1423:W1423"/>
    <mergeCell ref="X1423:Y1423"/>
    <mergeCell ref="Z1423:AA1423"/>
    <mergeCell ref="AB1423:AC1423"/>
    <mergeCell ref="AD1424:AE1424"/>
    <mergeCell ref="AF1424:AG1424"/>
    <mergeCell ref="AH1424:AI1424"/>
    <mergeCell ref="AJ1424:AK1424"/>
    <mergeCell ref="AL1424:BB1424"/>
    <mergeCell ref="P1424:Q1424"/>
    <mergeCell ref="R1424:S1424"/>
    <mergeCell ref="T1424:U1424"/>
    <mergeCell ref="V1424:W1424"/>
    <mergeCell ref="X1424:Y1424"/>
    <mergeCell ref="Z1424:AA1424"/>
    <mergeCell ref="AB1424:AC1424"/>
    <mergeCell ref="B1424:C1424"/>
    <mergeCell ref="D1424:E1424"/>
    <mergeCell ref="F1424:G1424"/>
    <mergeCell ref="H1424:I1424"/>
    <mergeCell ref="J1424:K1424"/>
    <mergeCell ref="L1424:M1424"/>
    <mergeCell ref="N1424:O1424"/>
    <mergeCell ref="AD1425:AE1425"/>
    <mergeCell ref="AF1425:AG1425"/>
    <mergeCell ref="AH1425:AI1425"/>
    <mergeCell ref="AJ1425:AK1425"/>
    <mergeCell ref="AL1425:BB1425"/>
    <mergeCell ref="AH1426:AI1426"/>
    <mergeCell ref="AJ1426:AK1426"/>
    <mergeCell ref="AL1426:BB1426"/>
    <mergeCell ref="B1426:C1426"/>
    <mergeCell ref="D1426:E1426"/>
    <mergeCell ref="P1431:Q1431"/>
    <mergeCell ref="R1431:S1431"/>
    <mergeCell ref="T1431:U1431"/>
    <mergeCell ref="V1431:W1431"/>
    <mergeCell ref="X1431:Y1431"/>
    <mergeCell ref="Z1431:AA1431"/>
    <mergeCell ref="AB1431:AC1431"/>
    <mergeCell ref="B1431:C1431"/>
    <mergeCell ref="D1431:E1431"/>
    <mergeCell ref="F1431:G1431"/>
    <mergeCell ref="H1431:I1431"/>
    <mergeCell ref="J1431:K1431"/>
    <mergeCell ref="L1431:M1431"/>
    <mergeCell ref="N1431:O1431"/>
    <mergeCell ref="AD1429:AE1429"/>
    <mergeCell ref="AF1429:AG1429"/>
    <mergeCell ref="P1429:Q1429"/>
    <mergeCell ref="R1429:S1429"/>
    <mergeCell ref="T1429:U1429"/>
    <mergeCell ref="V1429:W1429"/>
    <mergeCell ref="X1429:Y1429"/>
    <mergeCell ref="Z1429:AA1429"/>
    <mergeCell ref="AB1429:AC1429"/>
    <mergeCell ref="AD1430:AE1430"/>
    <mergeCell ref="AF1430:AG1430"/>
    <mergeCell ref="AH1430:AI1430"/>
    <mergeCell ref="AJ1430:AK1430"/>
    <mergeCell ref="AL1430:BB1430"/>
    <mergeCell ref="P1430:Q1430"/>
    <mergeCell ref="R1430:S1430"/>
    <mergeCell ref="T1430:U1430"/>
    <mergeCell ref="V1430:W1430"/>
    <mergeCell ref="X1430:Y1430"/>
    <mergeCell ref="Z1430:AA1430"/>
    <mergeCell ref="AB1430:AC1430"/>
    <mergeCell ref="B1430:C1430"/>
    <mergeCell ref="D1430:E1430"/>
    <mergeCell ref="F1430:G1430"/>
    <mergeCell ref="H1430:I1430"/>
    <mergeCell ref="J1430:K1430"/>
    <mergeCell ref="L1430:M1430"/>
    <mergeCell ref="N1430:O1430"/>
    <mergeCell ref="AD1431:AE1431"/>
    <mergeCell ref="AF1431:AG1431"/>
    <mergeCell ref="AH1431:AI1431"/>
    <mergeCell ref="AJ1431:AK1431"/>
    <mergeCell ref="AL1431:BB1431"/>
    <mergeCell ref="P1437:Q1437"/>
    <mergeCell ref="R1437:S1437"/>
    <mergeCell ref="T1437:U1437"/>
    <mergeCell ref="V1437:W1437"/>
    <mergeCell ref="X1437:Y1437"/>
    <mergeCell ref="Z1437:AA1437"/>
    <mergeCell ref="AB1437:AC1437"/>
    <mergeCell ref="B1437:C1437"/>
    <mergeCell ref="D1437:E1437"/>
    <mergeCell ref="F1437:G1437"/>
    <mergeCell ref="H1437:I1437"/>
    <mergeCell ref="J1437:K1437"/>
    <mergeCell ref="L1437:M1437"/>
    <mergeCell ref="N1437:O1437"/>
    <mergeCell ref="AD1459:AE1459"/>
    <mergeCell ref="AF1459:AG1459"/>
    <mergeCell ref="AH1459:AI1459"/>
    <mergeCell ref="AJ1459:AK1459"/>
    <mergeCell ref="AL1459:BB1459"/>
    <mergeCell ref="P1459:Q1459"/>
    <mergeCell ref="R1459:S1459"/>
    <mergeCell ref="T1459:U1459"/>
    <mergeCell ref="V1459:W1459"/>
    <mergeCell ref="X1459:Y1459"/>
    <mergeCell ref="Z1459:AA1459"/>
    <mergeCell ref="AB1459:AC1459"/>
    <mergeCell ref="P1440:Q1440"/>
    <mergeCell ref="R1440:S1440"/>
    <mergeCell ref="T1440:U1440"/>
    <mergeCell ref="V1440:W1440"/>
    <mergeCell ref="X1440:Y1440"/>
    <mergeCell ref="Z1440:AA1440"/>
    <mergeCell ref="AB1440:AC1440"/>
    <mergeCell ref="B1440:C1440"/>
    <mergeCell ref="D1440:E1440"/>
    <mergeCell ref="F1440:G1440"/>
    <mergeCell ref="H1440:I1440"/>
    <mergeCell ref="J1440:K1440"/>
    <mergeCell ref="L1440:M1440"/>
    <mergeCell ref="N1440:O1440"/>
    <mergeCell ref="AD1438:AE1438"/>
    <mergeCell ref="AF1438:AG1438"/>
    <mergeCell ref="P1438:Q1438"/>
    <mergeCell ref="R1438:S1438"/>
    <mergeCell ref="T1438:U1438"/>
    <mergeCell ref="V1438:W1438"/>
    <mergeCell ref="X1438:Y1438"/>
    <mergeCell ref="Z1438:AA1438"/>
    <mergeCell ref="AB1438:AC1438"/>
    <mergeCell ref="AD1439:AE1439"/>
    <mergeCell ref="AF1439:AG1439"/>
    <mergeCell ref="AH1439:AI1439"/>
    <mergeCell ref="AJ1439:AK1439"/>
    <mergeCell ref="AL1439:BB1439"/>
    <mergeCell ref="P1439:Q1439"/>
    <mergeCell ref="R1439:S1439"/>
    <mergeCell ref="T1439:U1439"/>
    <mergeCell ref="V1439:W1439"/>
    <mergeCell ref="X1439:Y1439"/>
    <mergeCell ref="Z1439:AA1439"/>
    <mergeCell ref="AB1439:AC1439"/>
    <mergeCell ref="B1439:C1439"/>
    <mergeCell ref="D1439:E1439"/>
    <mergeCell ref="F1439:G1439"/>
    <mergeCell ref="H1439:I1439"/>
    <mergeCell ref="J1439:K1439"/>
    <mergeCell ref="L1439:M1439"/>
    <mergeCell ref="N1439:O1439"/>
    <mergeCell ref="AD1440:AE1440"/>
    <mergeCell ref="AF1440:AG1440"/>
    <mergeCell ref="AH1440:AI1440"/>
    <mergeCell ref="AJ1440:AK1440"/>
    <mergeCell ref="AL1440:BB1440"/>
    <mergeCell ref="AH1441:AI1441"/>
    <mergeCell ref="AJ1441:AK1441"/>
    <mergeCell ref="AL1441:BB1441"/>
    <mergeCell ref="B1441:C1441"/>
    <mergeCell ref="D1441:E1441"/>
    <mergeCell ref="F1441:G1441"/>
    <mergeCell ref="H1441:I1441"/>
    <mergeCell ref="J1441:K1441"/>
    <mergeCell ref="L1441:M1441"/>
    <mergeCell ref="N1441:O1441"/>
    <mergeCell ref="P1443:Q1443"/>
    <mergeCell ref="R1443:S1443"/>
    <mergeCell ref="T1443:U1443"/>
    <mergeCell ref="V1443:W1443"/>
    <mergeCell ref="X1443:Y1443"/>
    <mergeCell ref="Z1443:AA1443"/>
    <mergeCell ref="AB1443:AC1443"/>
    <mergeCell ref="B1443:C1443"/>
    <mergeCell ref="D1443:E1443"/>
    <mergeCell ref="F1443:G1443"/>
    <mergeCell ref="H1443:I1443"/>
    <mergeCell ref="J1443:K1443"/>
    <mergeCell ref="L1443:M1443"/>
    <mergeCell ref="N1443:O1443"/>
    <mergeCell ref="AD1441:AE1441"/>
    <mergeCell ref="AF1441:AG1441"/>
    <mergeCell ref="P1441:Q1441"/>
    <mergeCell ref="R1441:S1441"/>
    <mergeCell ref="T1441:U1441"/>
    <mergeCell ref="V1441:W1441"/>
    <mergeCell ref="X1441:Y1441"/>
    <mergeCell ref="Z1441:AA1441"/>
    <mergeCell ref="AB1441:AC1441"/>
    <mergeCell ref="AD1442:AE1442"/>
    <mergeCell ref="AF1442:AG1442"/>
    <mergeCell ref="AH1442:AI1442"/>
    <mergeCell ref="AJ1442:AK1442"/>
    <mergeCell ref="AL1442:BB1442"/>
    <mergeCell ref="P1442:Q1442"/>
    <mergeCell ref="R1442:S1442"/>
    <mergeCell ref="T1442:U1442"/>
    <mergeCell ref="V1442:W1442"/>
    <mergeCell ref="X1442:Y1442"/>
    <mergeCell ref="Z1442:AA1442"/>
    <mergeCell ref="AB1442:AC1442"/>
    <mergeCell ref="B1442:C1442"/>
    <mergeCell ref="D1442:E1442"/>
    <mergeCell ref="F1442:G1442"/>
    <mergeCell ref="H1442:I1442"/>
    <mergeCell ref="J1442:K1442"/>
    <mergeCell ref="L1442:M1442"/>
    <mergeCell ref="N1442:O1442"/>
    <mergeCell ref="AD1443:AE1443"/>
    <mergeCell ref="AF1443:AG1443"/>
    <mergeCell ref="AH1443:AI1443"/>
    <mergeCell ref="AJ1443:AK1443"/>
    <mergeCell ref="AL1443:BB1443"/>
    <mergeCell ref="AH1444:AI1444"/>
    <mergeCell ref="AJ1444:AK1444"/>
    <mergeCell ref="AL1444:BB1444"/>
    <mergeCell ref="B1444:C1444"/>
    <mergeCell ref="D1444:E1444"/>
    <mergeCell ref="F1444:G1444"/>
    <mergeCell ref="H1444:I1444"/>
    <mergeCell ref="J1444:K1444"/>
    <mergeCell ref="L1444:M1444"/>
    <mergeCell ref="N1444:O1444"/>
    <mergeCell ref="P1446:Q1446"/>
    <mergeCell ref="R1446:S1446"/>
    <mergeCell ref="T1446:U1446"/>
    <mergeCell ref="V1446:W1446"/>
    <mergeCell ref="X1446:Y1446"/>
    <mergeCell ref="Z1446:AA1446"/>
    <mergeCell ref="AB1446:AC1446"/>
    <mergeCell ref="B1446:C1446"/>
    <mergeCell ref="D1446:E1446"/>
    <mergeCell ref="F1446:G1446"/>
    <mergeCell ref="H1446:I1446"/>
    <mergeCell ref="J1446:K1446"/>
    <mergeCell ref="L1446:M1446"/>
    <mergeCell ref="N1446:O1446"/>
    <mergeCell ref="AD1444:AE1444"/>
    <mergeCell ref="AF1444:AG1444"/>
    <mergeCell ref="P1444:Q1444"/>
    <mergeCell ref="R1444:S1444"/>
    <mergeCell ref="T1444:U1444"/>
    <mergeCell ref="V1444:W1444"/>
    <mergeCell ref="X1444:Y1444"/>
    <mergeCell ref="Z1444:AA1444"/>
    <mergeCell ref="AB1444:AC1444"/>
    <mergeCell ref="AD1445:AE1445"/>
    <mergeCell ref="AF1445:AG1445"/>
    <mergeCell ref="AH1445:AI1445"/>
    <mergeCell ref="AJ1445:AK1445"/>
    <mergeCell ref="AL1445:BB1445"/>
    <mergeCell ref="P1445:Q1445"/>
    <mergeCell ref="R1445:S1445"/>
    <mergeCell ref="T1445:U1445"/>
    <mergeCell ref="V1445:W1445"/>
    <mergeCell ref="X1445:Y1445"/>
    <mergeCell ref="Z1445:AA1445"/>
    <mergeCell ref="AB1445:AC1445"/>
    <mergeCell ref="B1445:C1445"/>
    <mergeCell ref="D1445:E1445"/>
    <mergeCell ref="F1445:G1445"/>
    <mergeCell ref="H1445:I1445"/>
    <mergeCell ref="J1445:K1445"/>
    <mergeCell ref="L1445:M1445"/>
    <mergeCell ref="N1445:O1445"/>
    <mergeCell ref="AD1446:AE1446"/>
    <mergeCell ref="AF1446:AG1446"/>
    <mergeCell ref="AH1446:AI1446"/>
    <mergeCell ref="AJ1446:AK1446"/>
    <mergeCell ref="AL1446:BB1446"/>
    <mergeCell ref="AH1447:AI1447"/>
    <mergeCell ref="AJ1447:AK1447"/>
    <mergeCell ref="AL1447:BB1447"/>
    <mergeCell ref="B1447:C1447"/>
    <mergeCell ref="D1447:E1447"/>
    <mergeCell ref="F1447:G1447"/>
    <mergeCell ref="H1447:I1447"/>
    <mergeCell ref="J1447:K1447"/>
    <mergeCell ref="L1447:M1447"/>
    <mergeCell ref="N1447:O1447"/>
    <mergeCell ref="P1449:Q1449"/>
    <mergeCell ref="R1449:S1449"/>
    <mergeCell ref="T1449:U1449"/>
    <mergeCell ref="V1449:W1449"/>
    <mergeCell ref="X1449:Y1449"/>
    <mergeCell ref="Z1449:AA1449"/>
    <mergeCell ref="AB1449:AC1449"/>
    <mergeCell ref="B1449:C1449"/>
    <mergeCell ref="D1449:E1449"/>
    <mergeCell ref="F1449:G1449"/>
    <mergeCell ref="H1449:I1449"/>
    <mergeCell ref="J1449:K1449"/>
    <mergeCell ref="L1449:M1449"/>
    <mergeCell ref="N1449:O1449"/>
    <mergeCell ref="AD1447:AE1447"/>
    <mergeCell ref="AF1447:AG1447"/>
    <mergeCell ref="P1447:Q1447"/>
    <mergeCell ref="R1447:S1447"/>
    <mergeCell ref="T1447:U1447"/>
    <mergeCell ref="V1447:W1447"/>
    <mergeCell ref="X1447:Y1447"/>
    <mergeCell ref="Z1447:AA1447"/>
    <mergeCell ref="AB1447:AC1447"/>
    <mergeCell ref="AD1448:AE1448"/>
    <mergeCell ref="AF1448:AG1448"/>
    <mergeCell ref="AH1448:AI1448"/>
    <mergeCell ref="AJ1448:AK1448"/>
    <mergeCell ref="AL1448:BB1448"/>
    <mergeCell ref="P1448:Q1448"/>
    <mergeCell ref="R1448:S1448"/>
    <mergeCell ref="T1448:U1448"/>
    <mergeCell ref="V1448:W1448"/>
    <mergeCell ref="X1448:Y1448"/>
    <mergeCell ref="Z1448:AA1448"/>
    <mergeCell ref="AB1448:AC1448"/>
    <mergeCell ref="B1448:C1448"/>
    <mergeCell ref="D1448:E1448"/>
    <mergeCell ref="F1448:G1448"/>
    <mergeCell ref="H1448:I1448"/>
    <mergeCell ref="J1448:K1448"/>
    <mergeCell ref="L1448:M1448"/>
    <mergeCell ref="N1448:O1448"/>
    <mergeCell ref="AD1449:AE1449"/>
    <mergeCell ref="AF1449:AG1449"/>
    <mergeCell ref="AH1449:AI1449"/>
    <mergeCell ref="AJ1449:AK1449"/>
    <mergeCell ref="AL1449:BB1449"/>
    <mergeCell ref="AH1450:AI1450"/>
    <mergeCell ref="AJ1450:AK1450"/>
    <mergeCell ref="AL1450:BB1450"/>
    <mergeCell ref="B1450:C1450"/>
    <mergeCell ref="D1450:E1450"/>
    <mergeCell ref="F1450:G1450"/>
    <mergeCell ref="H1450:I1450"/>
    <mergeCell ref="J1450:K1450"/>
    <mergeCell ref="L1450:M1450"/>
    <mergeCell ref="N1450:O1450"/>
    <mergeCell ref="P1452:Q1452"/>
    <mergeCell ref="R1452:S1452"/>
    <mergeCell ref="T1452:U1452"/>
    <mergeCell ref="V1452:W1452"/>
    <mergeCell ref="X1452:Y1452"/>
    <mergeCell ref="Z1452:AA1452"/>
    <mergeCell ref="AB1452:AC1452"/>
    <mergeCell ref="B1452:C1452"/>
    <mergeCell ref="D1452:E1452"/>
    <mergeCell ref="F1452:G1452"/>
    <mergeCell ref="H1452:I1452"/>
    <mergeCell ref="J1452:K1452"/>
    <mergeCell ref="L1452:M1452"/>
    <mergeCell ref="N1452:O1452"/>
    <mergeCell ref="AD1450:AE1450"/>
    <mergeCell ref="AF1450:AG1450"/>
    <mergeCell ref="P1450:Q1450"/>
    <mergeCell ref="R1450:S1450"/>
    <mergeCell ref="T1450:U1450"/>
    <mergeCell ref="V1450:W1450"/>
    <mergeCell ref="X1450:Y1450"/>
    <mergeCell ref="Z1450:AA1450"/>
    <mergeCell ref="AB1450:AC1450"/>
    <mergeCell ref="AD1451:AE1451"/>
    <mergeCell ref="AF1451:AG1451"/>
    <mergeCell ref="AH1451:AI1451"/>
    <mergeCell ref="AJ1451:AK1451"/>
    <mergeCell ref="AL1451:BB1451"/>
    <mergeCell ref="P1451:Q1451"/>
    <mergeCell ref="R1451:S1451"/>
    <mergeCell ref="T1451:U1451"/>
    <mergeCell ref="V1451:W1451"/>
    <mergeCell ref="X1451:Y1451"/>
    <mergeCell ref="Z1451:AA1451"/>
    <mergeCell ref="AB1451:AC1451"/>
    <mergeCell ref="B1451:C1451"/>
    <mergeCell ref="D1451:E1451"/>
    <mergeCell ref="F1451:G1451"/>
    <mergeCell ref="H1451:I1451"/>
    <mergeCell ref="J1451:K1451"/>
    <mergeCell ref="L1451:M1451"/>
    <mergeCell ref="N1451:O1451"/>
    <mergeCell ref="AD1452:AE1452"/>
    <mergeCell ref="AF1452:AG1452"/>
    <mergeCell ref="AH1452:AI1452"/>
    <mergeCell ref="AJ1452:AK1452"/>
    <mergeCell ref="AL1452:BB1452"/>
    <mergeCell ref="AH1453:AI1453"/>
    <mergeCell ref="AJ1453:AK1453"/>
    <mergeCell ref="AL1453:BB1453"/>
    <mergeCell ref="B1453:C1453"/>
    <mergeCell ref="D1453:E1453"/>
    <mergeCell ref="F1453:G1453"/>
    <mergeCell ref="H1453:I1453"/>
    <mergeCell ref="J1453:K1453"/>
    <mergeCell ref="L1453:M1453"/>
    <mergeCell ref="N1453:O1453"/>
    <mergeCell ref="P1455:Q1455"/>
    <mergeCell ref="R1455:S1455"/>
    <mergeCell ref="T1455:U1455"/>
    <mergeCell ref="V1455:W1455"/>
    <mergeCell ref="X1455:Y1455"/>
    <mergeCell ref="Z1455:AA1455"/>
    <mergeCell ref="AB1455:AC1455"/>
    <mergeCell ref="B1455:C1455"/>
    <mergeCell ref="D1455:E1455"/>
    <mergeCell ref="F1455:G1455"/>
    <mergeCell ref="H1455:I1455"/>
    <mergeCell ref="J1455:K1455"/>
    <mergeCell ref="L1455:M1455"/>
    <mergeCell ref="N1455:O1455"/>
    <mergeCell ref="AD1453:AE1453"/>
    <mergeCell ref="AF1453:AG1453"/>
    <mergeCell ref="P1453:Q1453"/>
    <mergeCell ref="R1453:S1453"/>
    <mergeCell ref="T1453:U1453"/>
    <mergeCell ref="V1453:W1453"/>
    <mergeCell ref="X1453:Y1453"/>
    <mergeCell ref="Z1453:AA1453"/>
    <mergeCell ref="AB1453:AC1453"/>
    <mergeCell ref="AD1454:AE1454"/>
    <mergeCell ref="AF1454:AG1454"/>
    <mergeCell ref="AH1454:AI1454"/>
    <mergeCell ref="AJ1454:AK1454"/>
    <mergeCell ref="AL1454:BB1454"/>
    <mergeCell ref="P1454:Q1454"/>
    <mergeCell ref="R1454:S1454"/>
    <mergeCell ref="T1454:U1454"/>
    <mergeCell ref="V1454:W1454"/>
    <mergeCell ref="X1454:Y1454"/>
    <mergeCell ref="Z1454:AA1454"/>
    <mergeCell ref="AB1454:AC1454"/>
    <mergeCell ref="B1454:C1454"/>
    <mergeCell ref="D1454:E1454"/>
    <mergeCell ref="F1454:G1454"/>
    <mergeCell ref="H1454:I1454"/>
    <mergeCell ref="J1454:K1454"/>
    <mergeCell ref="L1454:M1454"/>
    <mergeCell ref="N1454:O1454"/>
    <mergeCell ref="AD1455:AE1455"/>
    <mergeCell ref="AF1455:AG1455"/>
    <mergeCell ref="AH1455:AI1455"/>
    <mergeCell ref="AJ1455:AK1455"/>
    <mergeCell ref="AL1455:BB1455"/>
    <mergeCell ref="AH1456:AI1456"/>
    <mergeCell ref="AJ1456:AK1456"/>
    <mergeCell ref="AL1456:BB1456"/>
    <mergeCell ref="B1456:C1456"/>
    <mergeCell ref="D1456:E1456"/>
    <mergeCell ref="F1456:G1456"/>
    <mergeCell ref="H1456:I1456"/>
    <mergeCell ref="J1456:K1456"/>
    <mergeCell ref="L1456:M1456"/>
    <mergeCell ref="N1456:O1456"/>
    <mergeCell ref="P1458:Q1458"/>
    <mergeCell ref="R1458:S1458"/>
    <mergeCell ref="T1458:U1458"/>
    <mergeCell ref="V1458:W1458"/>
    <mergeCell ref="X1458:Y1458"/>
    <mergeCell ref="Z1458:AA1458"/>
    <mergeCell ref="AB1458:AC1458"/>
    <mergeCell ref="B1458:C1458"/>
    <mergeCell ref="D1458:E1458"/>
    <mergeCell ref="F1458:G1458"/>
    <mergeCell ref="H1458:I1458"/>
    <mergeCell ref="J1458:K1458"/>
    <mergeCell ref="L1458:M1458"/>
    <mergeCell ref="N1458:O1458"/>
    <mergeCell ref="AD1456:AE1456"/>
    <mergeCell ref="AF1456:AG1456"/>
    <mergeCell ref="P1456:Q1456"/>
    <mergeCell ref="R1456:S1456"/>
    <mergeCell ref="T1456:U1456"/>
    <mergeCell ref="V1456:W1456"/>
    <mergeCell ref="X1456:Y1456"/>
    <mergeCell ref="Z1456:AA1456"/>
    <mergeCell ref="AB1456:AC1456"/>
    <mergeCell ref="AD1457:AE1457"/>
    <mergeCell ref="AF1457:AG1457"/>
    <mergeCell ref="AH1457:AI1457"/>
    <mergeCell ref="AJ1457:AK1457"/>
    <mergeCell ref="AL1457:BB1457"/>
    <mergeCell ref="P1457:Q1457"/>
    <mergeCell ref="R1457:S1457"/>
    <mergeCell ref="T1457:U1457"/>
    <mergeCell ref="V1457:W1457"/>
    <mergeCell ref="X1457:Y1457"/>
    <mergeCell ref="Z1457:AA1457"/>
    <mergeCell ref="AB1457:AC1457"/>
    <mergeCell ref="B1457:C1457"/>
    <mergeCell ref="D1457:E1457"/>
    <mergeCell ref="F1457:G1457"/>
    <mergeCell ref="H1457:I1457"/>
    <mergeCell ref="J1457:K1457"/>
    <mergeCell ref="L1457:M1457"/>
    <mergeCell ref="N1457:O1457"/>
    <mergeCell ref="AD1458:AE1458"/>
    <mergeCell ref="AF1458:AG1458"/>
    <mergeCell ref="AH1458:AI1458"/>
    <mergeCell ref="AJ1458:AK1458"/>
    <mergeCell ref="AL1458:BB1458"/>
    <mergeCell ref="B1459:C1459"/>
    <mergeCell ref="D1459:E1459"/>
    <mergeCell ref="F1459:G1459"/>
    <mergeCell ref="H1459:I1459"/>
    <mergeCell ref="J1459:K1459"/>
    <mergeCell ref="L1459:M1459"/>
    <mergeCell ref="N1459:O1459"/>
    <mergeCell ref="AD1460:AE1460"/>
    <mergeCell ref="AF1460:AG1460"/>
    <mergeCell ref="AH1460:AI1460"/>
    <mergeCell ref="AJ1460:AK1460"/>
    <mergeCell ref="AL1460:BB1460"/>
    <mergeCell ref="P1460:Q1460"/>
    <mergeCell ref="R1460:S1460"/>
    <mergeCell ref="T1460:U1460"/>
    <mergeCell ref="V1460:W1460"/>
    <mergeCell ref="X1460:Y1460"/>
    <mergeCell ref="Z1460:AA1460"/>
    <mergeCell ref="AB1460:AC1460"/>
    <mergeCell ref="B1460:C1460"/>
    <mergeCell ref="D1460:E1460"/>
    <mergeCell ref="F1460:G1460"/>
    <mergeCell ref="H1460:I1460"/>
    <mergeCell ref="J1460:K1460"/>
    <mergeCell ref="L1460:M1460"/>
    <mergeCell ref="N1460:O1460"/>
    <mergeCell ref="AD1461:AE1461"/>
    <mergeCell ref="AF1461:AG1461"/>
    <mergeCell ref="AH1461:AI1461"/>
    <mergeCell ref="AJ1461:AK1461"/>
    <mergeCell ref="AL1461:BB1461"/>
    <mergeCell ref="P1461:Q1461"/>
    <mergeCell ref="R1461:S1461"/>
    <mergeCell ref="T1461:U1461"/>
    <mergeCell ref="V1461:W1461"/>
    <mergeCell ref="X1461:Y1461"/>
    <mergeCell ref="Z1461:AA1461"/>
    <mergeCell ref="AB1461:AC1461"/>
    <mergeCell ref="B1461:C1461"/>
    <mergeCell ref="D1461:E1461"/>
    <mergeCell ref="F1461:G1461"/>
    <mergeCell ref="H1461:I1461"/>
    <mergeCell ref="J1461:K1461"/>
    <mergeCell ref="L1461:M1461"/>
    <mergeCell ref="N1461:O1461"/>
    <mergeCell ref="AH1462:AI1462"/>
    <mergeCell ref="AJ1462:AK1462"/>
    <mergeCell ref="AL1462:BB1462"/>
    <mergeCell ref="B1462:C1462"/>
    <mergeCell ref="D1462:E1462"/>
    <mergeCell ref="F1462:G1462"/>
    <mergeCell ref="H1462:I1462"/>
    <mergeCell ref="J1462:K1462"/>
    <mergeCell ref="L1462:M1462"/>
    <mergeCell ref="N1462:O1462"/>
    <mergeCell ref="P1464:Q1464"/>
    <mergeCell ref="R1464:S1464"/>
    <mergeCell ref="T1464:U1464"/>
    <mergeCell ref="V1464:W1464"/>
    <mergeCell ref="X1464:Y1464"/>
    <mergeCell ref="Z1464:AA1464"/>
    <mergeCell ref="AB1464:AC1464"/>
    <mergeCell ref="B1464:C1464"/>
    <mergeCell ref="D1464:E1464"/>
    <mergeCell ref="F1464:G1464"/>
    <mergeCell ref="H1464:I1464"/>
    <mergeCell ref="J1464:K1464"/>
    <mergeCell ref="L1464:M1464"/>
    <mergeCell ref="N1464:O1464"/>
    <mergeCell ref="AD1462:AE1462"/>
    <mergeCell ref="AF1462:AG1462"/>
    <mergeCell ref="P1462:Q1462"/>
    <mergeCell ref="R1462:S1462"/>
    <mergeCell ref="T1462:U1462"/>
    <mergeCell ref="V1462:W1462"/>
    <mergeCell ref="X1462:Y1462"/>
    <mergeCell ref="Z1462:AA1462"/>
    <mergeCell ref="AB1462:AC1462"/>
    <mergeCell ref="AD1463:AE1463"/>
    <mergeCell ref="AF1463:AG1463"/>
    <mergeCell ref="AH1463:AI1463"/>
    <mergeCell ref="AJ1463:AK1463"/>
    <mergeCell ref="AL1463:BB1463"/>
    <mergeCell ref="P1463:Q1463"/>
    <mergeCell ref="R1463:S1463"/>
    <mergeCell ref="T1463:U1463"/>
    <mergeCell ref="V1463:W1463"/>
    <mergeCell ref="X1463:Y1463"/>
    <mergeCell ref="Z1463:AA1463"/>
    <mergeCell ref="AB1463:AC1463"/>
    <mergeCell ref="B1463:C1463"/>
    <mergeCell ref="D1463:E1463"/>
    <mergeCell ref="F1463:G1463"/>
    <mergeCell ref="H1463:I1463"/>
    <mergeCell ref="J1463:K1463"/>
    <mergeCell ref="L1463:M1463"/>
    <mergeCell ref="N1463:O1463"/>
    <mergeCell ref="AD1464:AE1464"/>
    <mergeCell ref="AF1464:AG1464"/>
    <mergeCell ref="AH1464:AI1464"/>
    <mergeCell ref="AJ1464:AK1464"/>
    <mergeCell ref="AL1464:BB1464"/>
    <mergeCell ref="AH1465:AI1465"/>
    <mergeCell ref="AJ1465:AK1465"/>
    <mergeCell ref="AL1465:BB1465"/>
    <mergeCell ref="B1465:C1465"/>
    <mergeCell ref="D1465:E1465"/>
    <mergeCell ref="F1465:G1465"/>
    <mergeCell ref="H1465:I1465"/>
    <mergeCell ref="J1465:K1465"/>
    <mergeCell ref="L1465:M1465"/>
    <mergeCell ref="N1465:O1465"/>
    <mergeCell ref="P1467:Q1467"/>
    <mergeCell ref="R1467:S1467"/>
    <mergeCell ref="T1467:U1467"/>
    <mergeCell ref="V1467:W1467"/>
    <mergeCell ref="X1467:Y1467"/>
    <mergeCell ref="Z1467:AA1467"/>
    <mergeCell ref="AB1467:AC1467"/>
    <mergeCell ref="B1467:C1467"/>
    <mergeCell ref="D1467:E1467"/>
    <mergeCell ref="F1467:G1467"/>
    <mergeCell ref="H1467:I1467"/>
    <mergeCell ref="J1467:K1467"/>
    <mergeCell ref="L1467:M1467"/>
    <mergeCell ref="N1467:O1467"/>
    <mergeCell ref="P1470:Q1470"/>
    <mergeCell ref="R1470:S1470"/>
    <mergeCell ref="T1470:U1470"/>
    <mergeCell ref="V1470:W1470"/>
    <mergeCell ref="X1470:Y1470"/>
    <mergeCell ref="Z1470:AA1470"/>
    <mergeCell ref="AB1470:AC1470"/>
    <mergeCell ref="B1470:C1470"/>
    <mergeCell ref="D1470:E1470"/>
    <mergeCell ref="F1470:G1470"/>
    <mergeCell ref="H1470:I1470"/>
    <mergeCell ref="J1470:K1470"/>
    <mergeCell ref="L1470:M1470"/>
    <mergeCell ref="N1470:O1470"/>
    <mergeCell ref="X1468:Y1468"/>
    <mergeCell ref="Z1468:AA1468"/>
    <mergeCell ref="AB1468:AC1468"/>
    <mergeCell ref="AD1469:AE1469"/>
    <mergeCell ref="AF1469:AG1469"/>
    <mergeCell ref="AH1469:AI1469"/>
    <mergeCell ref="AJ1469:AK1469"/>
    <mergeCell ref="AL1469:BB1469"/>
    <mergeCell ref="P1469:Q1469"/>
    <mergeCell ref="R1469:S1469"/>
    <mergeCell ref="T1469:U1469"/>
    <mergeCell ref="V1469:W1469"/>
    <mergeCell ref="X1469:Y1469"/>
    <mergeCell ref="Z1469:AA1469"/>
    <mergeCell ref="AB1469:AC1469"/>
    <mergeCell ref="B1469:C1469"/>
    <mergeCell ref="D1469:E1469"/>
    <mergeCell ref="F1469:G1469"/>
    <mergeCell ref="H1469:I1469"/>
    <mergeCell ref="J1469:K1469"/>
    <mergeCell ref="L1469:M1469"/>
    <mergeCell ref="N1469:O1469"/>
    <mergeCell ref="AD1470:AE1470"/>
    <mergeCell ref="AF1470:AG1470"/>
    <mergeCell ref="AH1470:AI1470"/>
    <mergeCell ref="AJ1470:AK1470"/>
    <mergeCell ref="AD1474:AE1474"/>
    <mergeCell ref="AF1474:AG1474"/>
    <mergeCell ref="P1474:Q1474"/>
    <mergeCell ref="R1474:S1474"/>
    <mergeCell ref="T1474:U1474"/>
    <mergeCell ref="V1474:W1474"/>
    <mergeCell ref="X1474:Y1474"/>
    <mergeCell ref="Z1474:AA1474"/>
    <mergeCell ref="AB1474:AC1474"/>
    <mergeCell ref="AD1475:AE1475"/>
    <mergeCell ref="AF1475:AG1475"/>
    <mergeCell ref="AH1475:AI1475"/>
    <mergeCell ref="AJ1475:AK1475"/>
    <mergeCell ref="AL1475:BB1475"/>
    <mergeCell ref="P1475:Q1475"/>
    <mergeCell ref="R1475:S1475"/>
    <mergeCell ref="T1475:U1475"/>
    <mergeCell ref="V1475:W1475"/>
    <mergeCell ref="X1475:Y1475"/>
    <mergeCell ref="Z1475:AA1475"/>
    <mergeCell ref="AB1475:AC1475"/>
    <mergeCell ref="B1475:C1475"/>
    <mergeCell ref="D1475:E1475"/>
    <mergeCell ref="F1475:G1475"/>
    <mergeCell ref="H1475:I1475"/>
    <mergeCell ref="J1475:K1475"/>
    <mergeCell ref="L1475:M1475"/>
    <mergeCell ref="N1475:O1475"/>
    <mergeCell ref="AD1476:AE1476"/>
    <mergeCell ref="AF1476:AG1476"/>
    <mergeCell ref="AH1476:AI1476"/>
    <mergeCell ref="AJ1476:AK1476"/>
    <mergeCell ref="AL1476:BB1476"/>
    <mergeCell ref="AH1474:AI1474"/>
    <mergeCell ref="AJ1474:AK1474"/>
    <mergeCell ref="AL1474:BB1474"/>
    <mergeCell ref="B1474:C1474"/>
    <mergeCell ref="D1474:E1474"/>
    <mergeCell ref="F1474:G1474"/>
    <mergeCell ref="H1474:I1474"/>
    <mergeCell ref="J1474:K1474"/>
    <mergeCell ref="L1474:M1474"/>
    <mergeCell ref="N1474:O1474"/>
    <mergeCell ref="P1476:Q1476"/>
    <mergeCell ref="R1476:S1476"/>
    <mergeCell ref="T1476:U1476"/>
    <mergeCell ref="V1476:W1476"/>
    <mergeCell ref="X1476:Y1476"/>
    <mergeCell ref="Z1476:AA1476"/>
    <mergeCell ref="AB1476:AC1476"/>
    <mergeCell ref="B1476:C1476"/>
    <mergeCell ref="D1476:E1476"/>
    <mergeCell ref="F1476:G1476"/>
    <mergeCell ref="H1476:I1476"/>
    <mergeCell ref="J1476:K1476"/>
    <mergeCell ref="L1476:M1476"/>
    <mergeCell ref="N1476:O1476"/>
    <mergeCell ref="AH1477:AI1477"/>
    <mergeCell ref="AJ1477:AK1477"/>
    <mergeCell ref="AL1477:BB1477"/>
    <mergeCell ref="B1477:C1477"/>
    <mergeCell ref="D1477:E1477"/>
    <mergeCell ref="F1477:G1477"/>
    <mergeCell ref="H1477:I1477"/>
    <mergeCell ref="J1477:K1477"/>
    <mergeCell ref="L1477:M1477"/>
    <mergeCell ref="N1477:O1477"/>
    <mergeCell ref="AD1477:AE1477"/>
    <mergeCell ref="AF1477:AG1477"/>
    <mergeCell ref="P1477:Q1477"/>
    <mergeCell ref="R1477:S1477"/>
    <mergeCell ref="T1477:U1477"/>
    <mergeCell ref="V1477:W1477"/>
    <mergeCell ref="X1477:Y1477"/>
    <mergeCell ref="Z1477:AA1477"/>
    <mergeCell ref="AB1477:AC1477"/>
    <mergeCell ref="AD1478:AE1478"/>
    <mergeCell ref="AF1478:AG1478"/>
    <mergeCell ref="AH1478:AI1478"/>
    <mergeCell ref="AJ1478:AK1478"/>
    <mergeCell ref="AL1478:BB1478"/>
    <mergeCell ref="P1478:Q1478"/>
    <mergeCell ref="R1478:S1478"/>
    <mergeCell ref="T1478:U1478"/>
    <mergeCell ref="V1478:W1478"/>
    <mergeCell ref="X1478:Y1478"/>
    <mergeCell ref="Z1478:AA1478"/>
    <mergeCell ref="AB1478:AC1478"/>
    <mergeCell ref="B1478:C1478"/>
    <mergeCell ref="D1478:E1478"/>
    <mergeCell ref="F1478:G1478"/>
    <mergeCell ref="H1478:I1478"/>
    <mergeCell ref="J1478:K1478"/>
    <mergeCell ref="L1478:M1478"/>
    <mergeCell ref="N1478:O1478"/>
    <mergeCell ref="AD1479:AE1479"/>
    <mergeCell ref="AF1479:AG1479"/>
    <mergeCell ref="AH1479:AI1479"/>
    <mergeCell ref="AJ1479:AK1479"/>
    <mergeCell ref="AL1479:BB1479"/>
    <mergeCell ref="AH1480:AI1480"/>
    <mergeCell ref="AJ1480:AK1480"/>
    <mergeCell ref="AL1480:BB1480"/>
    <mergeCell ref="B1480:C1480"/>
    <mergeCell ref="D1480:E1480"/>
    <mergeCell ref="F1480:G1480"/>
    <mergeCell ref="H1480:I1480"/>
    <mergeCell ref="J1480:K1480"/>
    <mergeCell ref="L1480:M1480"/>
    <mergeCell ref="N1480:O1480"/>
    <mergeCell ref="AD1465:AE1465"/>
    <mergeCell ref="AF1465:AG1465"/>
    <mergeCell ref="P1465:Q1465"/>
    <mergeCell ref="R1465:S1465"/>
    <mergeCell ref="T1465:U1465"/>
    <mergeCell ref="V1465:W1465"/>
    <mergeCell ref="X1465:Y1465"/>
    <mergeCell ref="Z1465:AA1465"/>
    <mergeCell ref="AB1465:AC1465"/>
    <mergeCell ref="AD1466:AE1466"/>
    <mergeCell ref="AF1466:AG1466"/>
    <mergeCell ref="AH1466:AI1466"/>
    <mergeCell ref="AJ1466:AK1466"/>
    <mergeCell ref="AL1466:BB1466"/>
    <mergeCell ref="P1466:Q1466"/>
    <mergeCell ref="R1466:S1466"/>
    <mergeCell ref="T1466:U1466"/>
    <mergeCell ref="V1466:W1466"/>
    <mergeCell ref="X1466:Y1466"/>
    <mergeCell ref="Z1466:AA1466"/>
    <mergeCell ref="AB1466:AC1466"/>
    <mergeCell ref="B1466:C1466"/>
    <mergeCell ref="D1466:E1466"/>
    <mergeCell ref="F1466:G1466"/>
    <mergeCell ref="H1466:I1466"/>
    <mergeCell ref="J1466:K1466"/>
    <mergeCell ref="L1466:M1466"/>
    <mergeCell ref="N1466:O1466"/>
    <mergeCell ref="AD1467:AE1467"/>
    <mergeCell ref="AF1467:AG1467"/>
    <mergeCell ref="AH1467:AI1467"/>
    <mergeCell ref="AJ1467:AK1467"/>
    <mergeCell ref="AL1467:BB1467"/>
    <mergeCell ref="AH1468:AI1468"/>
    <mergeCell ref="AJ1468:AK1468"/>
    <mergeCell ref="AL1468:BB1468"/>
    <mergeCell ref="B1468:C1468"/>
    <mergeCell ref="D1468:E1468"/>
    <mergeCell ref="F1468:G1468"/>
    <mergeCell ref="H1468:I1468"/>
    <mergeCell ref="J1468:K1468"/>
    <mergeCell ref="L1468:M1468"/>
    <mergeCell ref="N1468:O1468"/>
    <mergeCell ref="AD1468:AE1468"/>
    <mergeCell ref="AF1468:AG1468"/>
    <mergeCell ref="P1468:Q1468"/>
    <mergeCell ref="R1468:S1468"/>
    <mergeCell ref="T1468:U1468"/>
    <mergeCell ref="V1468:W1468"/>
    <mergeCell ref="AL1470:BB1470"/>
    <mergeCell ref="AH1471:AI1471"/>
    <mergeCell ref="AJ1471:AK1471"/>
    <mergeCell ref="AL1471:BB1471"/>
    <mergeCell ref="B1471:C1471"/>
    <mergeCell ref="D1471:E1471"/>
    <mergeCell ref="F1471:G1471"/>
    <mergeCell ref="H1471:I1471"/>
    <mergeCell ref="J1471:K1471"/>
    <mergeCell ref="L1471:M1471"/>
    <mergeCell ref="N1471:O1471"/>
    <mergeCell ref="P1473:Q1473"/>
    <mergeCell ref="R1473:S1473"/>
    <mergeCell ref="T1473:U1473"/>
    <mergeCell ref="V1473:W1473"/>
    <mergeCell ref="X1473:Y1473"/>
    <mergeCell ref="Z1473:AA1473"/>
    <mergeCell ref="AB1473:AC1473"/>
    <mergeCell ref="B1473:C1473"/>
    <mergeCell ref="D1473:E1473"/>
    <mergeCell ref="F1473:G1473"/>
    <mergeCell ref="H1473:I1473"/>
    <mergeCell ref="J1473:K1473"/>
    <mergeCell ref="L1473:M1473"/>
    <mergeCell ref="N1473:O1473"/>
    <mergeCell ref="AD1471:AE1471"/>
    <mergeCell ref="AF1471:AG1471"/>
    <mergeCell ref="P1471:Q1471"/>
    <mergeCell ref="R1471:S1471"/>
    <mergeCell ref="T1471:U1471"/>
    <mergeCell ref="V1471:W1471"/>
    <mergeCell ref="X1471:Y1471"/>
    <mergeCell ref="Z1471:AA1471"/>
    <mergeCell ref="AB1471:AC1471"/>
    <mergeCell ref="AD1472:AE1472"/>
    <mergeCell ref="AF1472:AG1472"/>
    <mergeCell ref="AH1472:AI1472"/>
    <mergeCell ref="AJ1472:AK1472"/>
    <mergeCell ref="AL1472:BB1472"/>
    <mergeCell ref="P1472:Q1472"/>
    <mergeCell ref="R1472:S1472"/>
    <mergeCell ref="T1472:U1472"/>
    <mergeCell ref="V1472:W1472"/>
    <mergeCell ref="X1472:Y1472"/>
    <mergeCell ref="Z1472:AA1472"/>
    <mergeCell ref="AB1472:AC1472"/>
    <mergeCell ref="B1472:C1472"/>
    <mergeCell ref="D1472:E1472"/>
    <mergeCell ref="F1472:G1472"/>
    <mergeCell ref="H1472:I1472"/>
    <mergeCell ref="J1472:K1472"/>
    <mergeCell ref="L1472:M1472"/>
    <mergeCell ref="N1472:O1472"/>
    <mergeCell ref="AD1473:AE1473"/>
    <mergeCell ref="AF1473:AG1473"/>
    <mergeCell ref="AH1473:AI1473"/>
    <mergeCell ref="AJ1473:AK1473"/>
    <mergeCell ref="AL1473:BB1473"/>
    <mergeCell ref="P1479:Q1479"/>
    <mergeCell ref="R1479:S1479"/>
    <mergeCell ref="T1479:U1479"/>
    <mergeCell ref="V1479:W1479"/>
    <mergeCell ref="X1479:Y1479"/>
    <mergeCell ref="Z1479:AA1479"/>
    <mergeCell ref="AB1479:AC1479"/>
    <mergeCell ref="B1479:C1479"/>
    <mergeCell ref="D1479:E1479"/>
    <mergeCell ref="F1479:G1479"/>
    <mergeCell ref="H1479:I1479"/>
    <mergeCell ref="J1479:K1479"/>
    <mergeCell ref="L1479:M1479"/>
    <mergeCell ref="N1479:O1479"/>
    <mergeCell ref="AD1501:AE1501"/>
    <mergeCell ref="AF1501:AG1501"/>
    <mergeCell ref="AH1501:AI1501"/>
    <mergeCell ref="AJ1501:AK1501"/>
    <mergeCell ref="AL1501:BB1501"/>
    <mergeCell ref="P1501:Q1501"/>
    <mergeCell ref="R1501:S1501"/>
    <mergeCell ref="T1501:U1501"/>
    <mergeCell ref="V1501:W1501"/>
    <mergeCell ref="X1501:Y1501"/>
    <mergeCell ref="Z1501:AA1501"/>
    <mergeCell ref="AB1501:AC1501"/>
    <mergeCell ref="P1482:Q1482"/>
    <mergeCell ref="R1482:S1482"/>
    <mergeCell ref="T1482:U1482"/>
    <mergeCell ref="V1482:W1482"/>
    <mergeCell ref="X1482:Y1482"/>
    <mergeCell ref="Z1482:AA1482"/>
    <mergeCell ref="AB1482:AC1482"/>
    <mergeCell ref="B1482:C1482"/>
    <mergeCell ref="D1482:E1482"/>
    <mergeCell ref="F1482:G1482"/>
    <mergeCell ref="H1482:I1482"/>
    <mergeCell ref="J1482:K1482"/>
    <mergeCell ref="L1482:M1482"/>
    <mergeCell ref="N1482:O1482"/>
    <mergeCell ref="AD1480:AE1480"/>
    <mergeCell ref="AF1480:AG1480"/>
    <mergeCell ref="P1480:Q1480"/>
    <mergeCell ref="R1480:S1480"/>
    <mergeCell ref="T1480:U1480"/>
    <mergeCell ref="V1480:W1480"/>
    <mergeCell ref="X1480:Y1480"/>
    <mergeCell ref="Z1480:AA1480"/>
    <mergeCell ref="AB1480:AC1480"/>
    <mergeCell ref="AD1481:AE1481"/>
    <mergeCell ref="AF1481:AG1481"/>
    <mergeCell ref="AH1481:AI1481"/>
    <mergeCell ref="AJ1481:AK1481"/>
    <mergeCell ref="AL1481:BB1481"/>
    <mergeCell ref="P1481:Q1481"/>
    <mergeCell ref="R1481:S1481"/>
    <mergeCell ref="T1481:U1481"/>
    <mergeCell ref="V1481:W1481"/>
    <mergeCell ref="X1481:Y1481"/>
    <mergeCell ref="Z1481:AA1481"/>
    <mergeCell ref="AB1481:AC1481"/>
    <mergeCell ref="B1481:C1481"/>
    <mergeCell ref="D1481:E1481"/>
    <mergeCell ref="F1481:G1481"/>
    <mergeCell ref="H1481:I1481"/>
    <mergeCell ref="J1481:K1481"/>
    <mergeCell ref="L1481:M1481"/>
    <mergeCell ref="N1481:O1481"/>
    <mergeCell ref="AD1482:AE1482"/>
    <mergeCell ref="AF1482:AG1482"/>
    <mergeCell ref="AH1482:AI1482"/>
    <mergeCell ref="AJ1482:AK1482"/>
    <mergeCell ref="AL1482:BB1482"/>
    <mergeCell ref="AH1483:AI1483"/>
    <mergeCell ref="AJ1483:AK1483"/>
    <mergeCell ref="AL1483:BB1483"/>
    <mergeCell ref="B1483:C1483"/>
    <mergeCell ref="D1483:E1483"/>
    <mergeCell ref="F1483:G1483"/>
    <mergeCell ref="H1483:I1483"/>
    <mergeCell ref="J1483:K1483"/>
    <mergeCell ref="L1483:M1483"/>
    <mergeCell ref="N1483:O1483"/>
    <mergeCell ref="P1485:Q1485"/>
    <mergeCell ref="R1485:S1485"/>
    <mergeCell ref="T1485:U1485"/>
    <mergeCell ref="V1485:W1485"/>
    <mergeCell ref="X1485:Y1485"/>
    <mergeCell ref="Z1485:AA1485"/>
    <mergeCell ref="AB1485:AC1485"/>
    <mergeCell ref="B1485:C1485"/>
    <mergeCell ref="D1485:E1485"/>
    <mergeCell ref="F1485:G1485"/>
    <mergeCell ref="H1485:I1485"/>
    <mergeCell ref="J1485:K1485"/>
    <mergeCell ref="L1485:M1485"/>
    <mergeCell ref="N1485:O1485"/>
    <mergeCell ref="AD1483:AE1483"/>
    <mergeCell ref="AF1483:AG1483"/>
    <mergeCell ref="P1483:Q1483"/>
    <mergeCell ref="R1483:S1483"/>
    <mergeCell ref="T1483:U1483"/>
    <mergeCell ref="V1483:W1483"/>
    <mergeCell ref="X1483:Y1483"/>
    <mergeCell ref="Z1483:AA1483"/>
    <mergeCell ref="AB1483:AC1483"/>
    <mergeCell ref="AD1484:AE1484"/>
    <mergeCell ref="AF1484:AG1484"/>
    <mergeCell ref="AH1484:AI1484"/>
    <mergeCell ref="AJ1484:AK1484"/>
    <mergeCell ref="AL1484:BB1484"/>
    <mergeCell ref="P1484:Q1484"/>
    <mergeCell ref="R1484:S1484"/>
    <mergeCell ref="T1484:U1484"/>
    <mergeCell ref="V1484:W1484"/>
    <mergeCell ref="X1484:Y1484"/>
    <mergeCell ref="Z1484:AA1484"/>
    <mergeCell ref="AB1484:AC1484"/>
    <mergeCell ref="B1484:C1484"/>
    <mergeCell ref="D1484:E1484"/>
    <mergeCell ref="F1484:G1484"/>
    <mergeCell ref="H1484:I1484"/>
    <mergeCell ref="J1484:K1484"/>
    <mergeCell ref="L1484:M1484"/>
    <mergeCell ref="N1484:O1484"/>
    <mergeCell ref="AD1485:AE1485"/>
    <mergeCell ref="AF1485:AG1485"/>
    <mergeCell ref="AH1485:AI1485"/>
    <mergeCell ref="AJ1485:AK1485"/>
    <mergeCell ref="AL1485:BB1485"/>
    <mergeCell ref="AH1486:AI1486"/>
    <mergeCell ref="AJ1486:AK1486"/>
    <mergeCell ref="AL1486:BB1486"/>
    <mergeCell ref="B1486:C1486"/>
    <mergeCell ref="D1486:E1486"/>
    <mergeCell ref="F1486:G1486"/>
    <mergeCell ref="H1486:I1486"/>
    <mergeCell ref="J1486:K1486"/>
    <mergeCell ref="L1486:M1486"/>
    <mergeCell ref="N1486:O1486"/>
    <mergeCell ref="P1488:Q1488"/>
    <mergeCell ref="R1488:S1488"/>
    <mergeCell ref="T1488:U1488"/>
    <mergeCell ref="V1488:W1488"/>
    <mergeCell ref="X1488:Y1488"/>
    <mergeCell ref="Z1488:AA1488"/>
    <mergeCell ref="AB1488:AC1488"/>
    <mergeCell ref="B1488:C1488"/>
    <mergeCell ref="D1488:E1488"/>
    <mergeCell ref="F1488:G1488"/>
    <mergeCell ref="H1488:I1488"/>
    <mergeCell ref="J1488:K1488"/>
    <mergeCell ref="L1488:M1488"/>
    <mergeCell ref="N1488:O1488"/>
    <mergeCell ref="AD1486:AE1486"/>
    <mergeCell ref="AF1486:AG1486"/>
    <mergeCell ref="P1486:Q1486"/>
    <mergeCell ref="R1486:S1486"/>
    <mergeCell ref="T1486:U1486"/>
    <mergeCell ref="V1486:W1486"/>
    <mergeCell ref="X1486:Y1486"/>
    <mergeCell ref="Z1486:AA1486"/>
    <mergeCell ref="AB1486:AC1486"/>
    <mergeCell ref="AD1487:AE1487"/>
    <mergeCell ref="AF1487:AG1487"/>
    <mergeCell ref="AH1487:AI1487"/>
    <mergeCell ref="AJ1487:AK1487"/>
    <mergeCell ref="AL1487:BB1487"/>
    <mergeCell ref="P1487:Q1487"/>
    <mergeCell ref="R1487:S1487"/>
    <mergeCell ref="T1487:U1487"/>
    <mergeCell ref="V1487:W1487"/>
    <mergeCell ref="X1487:Y1487"/>
    <mergeCell ref="Z1487:AA1487"/>
    <mergeCell ref="AB1487:AC1487"/>
    <mergeCell ref="B1487:C1487"/>
    <mergeCell ref="D1487:E1487"/>
    <mergeCell ref="F1487:G1487"/>
    <mergeCell ref="H1487:I1487"/>
    <mergeCell ref="J1487:K1487"/>
    <mergeCell ref="L1487:M1487"/>
    <mergeCell ref="N1487:O1487"/>
    <mergeCell ref="AD1488:AE1488"/>
    <mergeCell ref="AF1488:AG1488"/>
    <mergeCell ref="AH1488:AI1488"/>
    <mergeCell ref="AJ1488:AK1488"/>
    <mergeCell ref="AL1488:BB1488"/>
    <mergeCell ref="AH1489:AI1489"/>
    <mergeCell ref="AJ1489:AK1489"/>
    <mergeCell ref="AL1489:BB1489"/>
    <mergeCell ref="B1489:C1489"/>
    <mergeCell ref="D1489:E1489"/>
    <mergeCell ref="F1489:G1489"/>
    <mergeCell ref="H1489:I1489"/>
    <mergeCell ref="J1489:K1489"/>
    <mergeCell ref="L1489:M1489"/>
    <mergeCell ref="N1489:O1489"/>
    <mergeCell ref="P1491:Q1491"/>
    <mergeCell ref="R1491:S1491"/>
    <mergeCell ref="T1491:U1491"/>
    <mergeCell ref="V1491:W1491"/>
    <mergeCell ref="X1491:Y1491"/>
    <mergeCell ref="Z1491:AA1491"/>
    <mergeCell ref="AB1491:AC1491"/>
    <mergeCell ref="B1491:C1491"/>
    <mergeCell ref="D1491:E1491"/>
    <mergeCell ref="F1491:G1491"/>
    <mergeCell ref="H1491:I1491"/>
    <mergeCell ref="J1491:K1491"/>
    <mergeCell ref="L1491:M1491"/>
    <mergeCell ref="N1491:O1491"/>
    <mergeCell ref="AD1489:AE1489"/>
    <mergeCell ref="AF1489:AG1489"/>
    <mergeCell ref="P1489:Q1489"/>
    <mergeCell ref="R1489:S1489"/>
    <mergeCell ref="T1489:U1489"/>
    <mergeCell ref="V1489:W1489"/>
    <mergeCell ref="X1489:Y1489"/>
    <mergeCell ref="Z1489:AA1489"/>
    <mergeCell ref="AB1489:AC1489"/>
    <mergeCell ref="AD1490:AE1490"/>
    <mergeCell ref="AF1490:AG1490"/>
    <mergeCell ref="AH1490:AI1490"/>
    <mergeCell ref="AJ1490:AK1490"/>
    <mergeCell ref="AL1490:BB1490"/>
    <mergeCell ref="P1490:Q1490"/>
    <mergeCell ref="R1490:S1490"/>
    <mergeCell ref="T1490:U1490"/>
    <mergeCell ref="V1490:W1490"/>
    <mergeCell ref="X1490:Y1490"/>
    <mergeCell ref="Z1490:AA1490"/>
    <mergeCell ref="AB1490:AC1490"/>
    <mergeCell ref="B1490:C1490"/>
    <mergeCell ref="D1490:E1490"/>
    <mergeCell ref="F1490:G1490"/>
    <mergeCell ref="H1490:I1490"/>
    <mergeCell ref="J1490:K1490"/>
    <mergeCell ref="L1490:M1490"/>
    <mergeCell ref="N1490:O1490"/>
    <mergeCell ref="AD1491:AE1491"/>
    <mergeCell ref="AF1491:AG1491"/>
    <mergeCell ref="AH1491:AI1491"/>
    <mergeCell ref="AJ1491:AK1491"/>
    <mergeCell ref="AL1491:BB1491"/>
    <mergeCell ref="AH1492:AI1492"/>
    <mergeCell ref="AJ1492:AK1492"/>
    <mergeCell ref="AL1492:BB1492"/>
    <mergeCell ref="B1492:C1492"/>
    <mergeCell ref="D1492:E1492"/>
    <mergeCell ref="F1492:G1492"/>
    <mergeCell ref="H1492:I1492"/>
    <mergeCell ref="J1492:K1492"/>
    <mergeCell ref="L1492:M1492"/>
    <mergeCell ref="N1492:O1492"/>
    <mergeCell ref="P1494:Q1494"/>
    <mergeCell ref="R1494:S1494"/>
    <mergeCell ref="T1494:U1494"/>
    <mergeCell ref="V1494:W1494"/>
    <mergeCell ref="X1494:Y1494"/>
    <mergeCell ref="Z1494:AA1494"/>
    <mergeCell ref="AB1494:AC1494"/>
    <mergeCell ref="B1494:C1494"/>
    <mergeCell ref="D1494:E1494"/>
    <mergeCell ref="F1494:G1494"/>
    <mergeCell ref="H1494:I1494"/>
    <mergeCell ref="J1494:K1494"/>
    <mergeCell ref="L1494:M1494"/>
    <mergeCell ref="N1494:O1494"/>
    <mergeCell ref="AD1492:AE1492"/>
    <mergeCell ref="AF1492:AG1492"/>
    <mergeCell ref="P1492:Q1492"/>
    <mergeCell ref="R1492:S1492"/>
    <mergeCell ref="T1492:U1492"/>
    <mergeCell ref="V1492:W1492"/>
    <mergeCell ref="X1492:Y1492"/>
    <mergeCell ref="Z1492:AA1492"/>
    <mergeCell ref="AB1492:AC1492"/>
    <mergeCell ref="AD1493:AE1493"/>
    <mergeCell ref="AF1493:AG1493"/>
    <mergeCell ref="AH1493:AI1493"/>
    <mergeCell ref="AJ1493:AK1493"/>
    <mergeCell ref="AL1493:BB1493"/>
    <mergeCell ref="P1493:Q1493"/>
    <mergeCell ref="R1493:S1493"/>
    <mergeCell ref="T1493:U1493"/>
    <mergeCell ref="V1493:W1493"/>
    <mergeCell ref="X1493:Y1493"/>
    <mergeCell ref="Z1493:AA1493"/>
    <mergeCell ref="AB1493:AC1493"/>
    <mergeCell ref="B1493:C1493"/>
    <mergeCell ref="D1493:E1493"/>
    <mergeCell ref="F1493:G1493"/>
    <mergeCell ref="H1493:I1493"/>
    <mergeCell ref="J1493:K1493"/>
    <mergeCell ref="L1493:M1493"/>
    <mergeCell ref="N1493:O1493"/>
    <mergeCell ref="AD1494:AE1494"/>
    <mergeCell ref="AF1494:AG1494"/>
    <mergeCell ref="AH1494:AI1494"/>
    <mergeCell ref="AJ1494:AK1494"/>
    <mergeCell ref="AL1494:BB1494"/>
    <mergeCell ref="AH1495:AI1495"/>
    <mergeCell ref="AJ1495:AK1495"/>
    <mergeCell ref="AL1495:BB1495"/>
    <mergeCell ref="B1495:C1495"/>
    <mergeCell ref="D1495:E1495"/>
    <mergeCell ref="F1495:G1495"/>
    <mergeCell ref="H1495:I1495"/>
    <mergeCell ref="J1495:K1495"/>
    <mergeCell ref="L1495:M1495"/>
    <mergeCell ref="N1495:O1495"/>
    <mergeCell ref="P1497:Q1497"/>
    <mergeCell ref="R1497:S1497"/>
    <mergeCell ref="T1497:U1497"/>
    <mergeCell ref="V1497:W1497"/>
    <mergeCell ref="X1497:Y1497"/>
    <mergeCell ref="Z1497:AA1497"/>
    <mergeCell ref="AB1497:AC1497"/>
    <mergeCell ref="B1497:C1497"/>
    <mergeCell ref="D1497:E1497"/>
    <mergeCell ref="F1497:G1497"/>
    <mergeCell ref="H1497:I1497"/>
    <mergeCell ref="J1497:K1497"/>
    <mergeCell ref="L1497:M1497"/>
    <mergeCell ref="N1497:O1497"/>
    <mergeCell ref="AD1495:AE1495"/>
    <mergeCell ref="AF1495:AG1495"/>
    <mergeCell ref="P1495:Q1495"/>
    <mergeCell ref="R1495:S1495"/>
    <mergeCell ref="T1495:U1495"/>
    <mergeCell ref="V1495:W1495"/>
    <mergeCell ref="X1495:Y1495"/>
    <mergeCell ref="Z1495:AA1495"/>
    <mergeCell ref="AB1495:AC1495"/>
    <mergeCell ref="AD1496:AE1496"/>
    <mergeCell ref="AF1496:AG1496"/>
    <mergeCell ref="AH1496:AI1496"/>
    <mergeCell ref="AJ1496:AK1496"/>
    <mergeCell ref="AL1496:BB1496"/>
    <mergeCell ref="P1496:Q1496"/>
    <mergeCell ref="R1496:S1496"/>
    <mergeCell ref="T1496:U1496"/>
    <mergeCell ref="V1496:W1496"/>
    <mergeCell ref="X1496:Y1496"/>
    <mergeCell ref="Z1496:AA1496"/>
    <mergeCell ref="AB1496:AC1496"/>
    <mergeCell ref="B1496:C1496"/>
    <mergeCell ref="D1496:E1496"/>
    <mergeCell ref="F1496:G1496"/>
    <mergeCell ref="H1496:I1496"/>
    <mergeCell ref="J1496:K1496"/>
    <mergeCell ref="L1496:M1496"/>
    <mergeCell ref="N1496:O1496"/>
    <mergeCell ref="AD1497:AE1497"/>
    <mergeCell ref="AF1497:AG1497"/>
    <mergeCell ref="AH1497:AI1497"/>
    <mergeCell ref="AJ1497:AK1497"/>
    <mergeCell ref="AL1497:BB1497"/>
    <mergeCell ref="AH1498:AI1498"/>
    <mergeCell ref="AJ1498:AK1498"/>
    <mergeCell ref="AL1498:BB1498"/>
    <mergeCell ref="B1498:C1498"/>
    <mergeCell ref="D1498:E1498"/>
    <mergeCell ref="F1498:G1498"/>
    <mergeCell ref="H1498:I1498"/>
    <mergeCell ref="J1498:K1498"/>
    <mergeCell ref="L1498:M1498"/>
    <mergeCell ref="N1498:O1498"/>
    <mergeCell ref="P1500:Q1500"/>
    <mergeCell ref="R1500:S1500"/>
    <mergeCell ref="T1500:U1500"/>
    <mergeCell ref="V1500:W1500"/>
    <mergeCell ref="X1500:Y1500"/>
    <mergeCell ref="Z1500:AA1500"/>
    <mergeCell ref="AB1500:AC1500"/>
    <mergeCell ref="B1500:C1500"/>
    <mergeCell ref="D1500:E1500"/>
    <mergeCell ref="F1500:G1500"/>
    <mergeCell ref="H1500:I1500"/>
    <mergeCell ref="J1500:K1500"/>
    <mergeCell ref="L1500:M1500"/>
    <mergeCell ref="N1500:O1500"/>
    <mergeCell ref="AD1498:AE1498"/>
    <mergeCell ref="AF1498:AG1498"/>
    <mergeCell ref="P1498:Q1498"/>
    <mergeCell ref="R1498:S1498"/>
    <mergeCell ref="T1498:U1498"/>
    <mergeCell ref="V1498:W1498"/>
    <mergeCell ref="X1498:Y1498"/>
    <mergeCell ref="Z1498:AA1498"/>
    <mergeCell ref="AB1498:AC1498"/>
    <mergeCell ref="AD1499:AE1499"/>
    <mergeCell ref="AF1499:AG1499"/>
    <mergeCell ref="AH1499:AI1499"/>
    <mergeCell ref="AJ1499:AK1499"/>
    <mergeCell ref="AL1499:BB1499"/>
    <mergeCell ref="P1499:Q1499"/>
    <mergeCell ref="R1499:S1499"/>
    <mergeCell ref="T1499:U1499"/>
    <mergeCell ref="V1499:W1499"/>
    <mergeCell ref="X1499:Y1499"/>
    <mergeCell ref="Z1499:AA1499"/>
    <mergeCell ref="AB1499:AC1499"/>
    <mergeCell ref="B1499:C1499"/>
    <mergeCell ref="D1499:E1499"/>
    <mergeCell ref="F1499:G1499"/>
    <mergeCell ref="H1499:I1499"/>
    <mergeCell ref="J1499:K1499"/>
    <mergeCell ref="L1499:M1499"/>
    <mergeCell ref="N1499:O1499"/>
    <mergeCell ref="AD1500:AE1500"/>
    <mergeCell ref="AF1500:AG1500"/>
    <mergeCell ref="AH1500:AI1500"/>
    <mergeCell ref="AJ1500:AK1500"/>
    <mergeCell ref="AL1500:BB1500"/>
    <mergeCell ref="B1501:C1501"/>
    <mergeCell ref="D1501:E1501"/>
    <mergeCell ref="F1501:G1501"/>
    <mergeCell ref="H1501:I1501"/>
    <mergeCell ref="J1501:K1501"/>
    <mergeCell ref="L1501:M1501"/>
    <mergeCell ref="N1501:O1501"/>
    <mergeCell ref="AD1502:AE1502"/>
    <mergeCell ref="AF1502:AG1502"/>
    <mergeCell ref="AH1502:AI1502"/>
    <mergeCell ref="AJ1502:AK1502"/>
    <mergeCell ref="AL1502:BB1502"/>
    <mergeCell ref="P1502:Q1502"/>
    <mergeCell ref="R1502:S1502"/>
    <mergeCell ref="T1502:U1502"/>
    <mergeCell ref="V1502:W1502"/>
    <mergeCell ref="X1502:Y1502"/>
    <mergeCell ref="Z1502:AA1502"/>
    <mergeCell ref="AB1502:AC1502"/>
    <mergeCell ref="B1502:C1502"/>
    <mergeCell ref="D1502:E1502"/>
    <mergeCell ref="F1502:G1502"/>
    <mergeCell ref="H1502:I1502"/>
    <mergeCell ref="J1502:K1502"/>
    <mergeCell ref="L1502:M1502"/>
    <mergeCell ref="N1502:O1502"/>
    <mergeCell ref="AD1503:AE1503"/>
    <mergeCell ref="AF1503:AG1503"/>
    <mergeCell ref="AH1503:AI1503"/>
    <mergeCell ref="AJ1503:AK1503"/>
    <mergeCell ref="AL1503:BB1503"/>
    <mergeCell ref="P1503:Q1503"/>
    <mergeCell ref="R1503:S1503"/>
    <mergeCell ref="T1503:U1503"/>
    <mergeCell ref="V1503:W1503"/>
    <mergeCell ref="X1503:Y1503"/>
    <mergeCell ref="Z1503:AA1503"/>
    <mergeCell ref="AB1503:AC1503"/>
    <mergeCell ref="B1503:C1503"/>
    <mergeCell ref="D1503:E1503"/>
    <mergeCell ref="F1503:G1503"/>
    <mergeCell ref="H1503:I1503"/>
    <mergeCell ref="J1503:K1503"/>
    <mergeCell ref="L1503:M1503"/>
    <mergeCell ref="N1503:O1503"/>
    <mergeCell ref="AH1504:AI1504"/>
    <mergeCell ref="AJ1504:AK1504"/>
    <mergeCell ref="AL1504:BB1504"/>
    <mergeCell ref="B1504:C1504"/>
    <mergeCell ref="D1504:E1504"/>
    <mergeCell ref="F1504:G1504"/>
    <mergeCell ref="H1504:I1504"/>
    <mergeCell ref="J1504:K1504"/>
    <mergeCell ref="L1504:M1504"/>
    <mergeCell ref="N1504:O1504"/>
    <mergeCell ref="P1506:Q1506"/>
    <mergeCell ref="R1506:S1506"/>
    <mergeCell ref="T1506:U1506"/>
    <mergeCell ref="V1506:W1506"/>
    <mergeCell ref="X1506:Y1506"/>
    <mergeCell ref="Z1506:AA1506"/>
    <mergeCell ref="AB1506:AC1506"/>
    <mergeCell ref="B1506:C1506"/>
    <mergeCell ref="D1506:E1506"/>
    <mergeCell ref="F1506:G1506"/>
    <mergeCell ref="H1506:I1506"/>
    <mergeCell ref="J1506:K1506"/>
    <mergeCell ref="L1506:M1506"/>
    <mergeCell ref="N1506:O1506"/>
    <mergeCell ref="AD1504:AE1504"/>
    <mergeCell ref="AF1504:AG1504"/>
    <mergeCell ref="P1504:Q1504"/>
    <mergeCell ref="R1504:S1504"/>
    <mergeCell ref="T1504:U1504"/>
    <mergeCell ref="V1504:W1504"/>
    <mergeCell ref="X1504:Y1504"/>
    <mergeCell ref="Z1504:AA1504"/>
    <mergeCell ref="AB1504:AC1504"/>
    <mergeCell ref="AD1505:AE1505"/>
    <mergeCell ref="AF1505:AG1505"/>
    <mergeCell ref="AH1505:AI1505"/>
    <mergeCell ref="AJ1505:AK1505"/>
    <mergeCell ref="AL1505:BB1505"/>
    <mergeCell ref="P1505:Q1505"/>
    <mergeCell ref="R1505:S1505"/>
    <mergeCell ref="T1505:U1505"/>
    <mergeCell ref="V1505:W1505"/>
    <mergeCell ref="X1505:Y1505"/>
    <mergeCell ref="Z1505:AA1505"/>
    <mergeCell ref="AB1505:AC1505"/>
    <mergeCell ref="B1505:C1505"/>
    <mergeCell ref="D1505:E1505"/>
    <mergeCell ref="F1505:G1505"/>
    <mergeCell ref="H1505:I1505"/>
    <mergeCell ref="J1505:K1505"/>
    <mergeCell ref="L1505:M1505"/>
    <mergeCell ref="N1505:O1505"/>
    <mergeCell ref="AD1506:AE1506"/>
    <mergeCell ref="AF1506:AG1506"/>
    <mergeCell ref="AH1506:AI1506"/>
    <mergeCell ref="AJ1506:AK1506"/>
    <mergeCell ref="AL1506:BB1506"/>
    <mergeCell ref="AH1507:AI1507"/>
    <mergeCell ref="AJ1507:AK1507"/>
    <mergeCell ref="AL1507:BB1507"/>
    <mergeCell ref="B1507:C1507"/>
    <mergeCell ref="D1507:E1507"/>
    <mergeCell ref="F1507:G1507"/>
    <mergeCell ref="H1507:I1507"/>
    <mergeCell ref="J1507:K1507"/>
    <mergeCell ref="L1507:M1507"/>
    <mergeCell ref="N1507:O1507"/>
    <mergeCell ref="P1509:Q1509"/>
    <mergeCell ref="R1509:S1509"/>
    <mergeCell ref="T1509:U1509"/>
    <mergeCell ref="V1509:W1509"/>
    <mergeCell ref="X1509:Y1509"/>
    <mergeCell ref="Z1509:AA1509"/>
    <mergeCell ref="AB1509:AC1509"/>
    <mergeCell ref="B1509:C1509"/>
    <mergeCell ref="D1509:E1509"/>
    <mergeCell ref="F1509:G1509"/>
    <mergeCell ref="H1509:I1509"/>
    <mergeCell ref="J1509:K1509"/>
    <mergeCell ref="L1509:M1509"/>
    <mergeCell ref="N1509:O1509"/>
    <mergeCell ref="P1512:Q1512"/>
    <mergeCell ref="R1512:S1512"/>
    <mergeCell ref="T1512:U1512"/>
    <mergeCell ref="V1512:W1512"/>
    <mergeCell ref="X1512:Y1512"/>
    <mergeCell ref="Z1512:AA1512"/>
    <mergeCell ref="AB1512:AC1512"/>
    <mergeCell ref="B1512:C1512"/>
    <mergeCell ref="D1512:E1512"/>
    <mergeCell ref="F1512:G1512"/>
    <mergeCell ref="H1512:I1512"/>
    <mergeCell ref="J1512:K1512"/>
    <mergeCell ref="L1512:M1512"/>
    <mergeCell ref="N1512:O1512"/>
    <mergeCell ref="X1510:Y1510"/>
    <mergeCell ref="Z1510:AA1510"/>
    <mergeCell ref="AB1510:AC1510"/>
    <mergeCell ref="AD1511:AE1511"/>
    <mergeCell ref="AF1511:AG1511"/>
    <mergeCell ref="AH1511:AI1511"/>
    <mergeCell ref="AJ1511:AK1511"/>
    <mergeCell ref="AL1511:BB1511"/>
    <mergeCell ref="P1511:Q1511"/>
    <mergeCell ref="R1511:S1511"/>
    <mergeCell ref="T1511:U1511"/>
    <mergeCell ref="V1511:W1511"/>
    <mergeCell ref="X1511:Y1511"/>
    <mergeCell ref="Z1511:AA1511"/>
    <mergeCell ref="AB1511:AC1511"/>
    <mergeCell ref="B1511:C1511"/>
    <mergeCell ref="D1511:E1511"/>
    <mergeCell ref="F1511:G1511"/>
    <mergeCell ref="H1511:I1511"/>
    <mergeCell ref="J1511:K1511"/>
    <mergeCell ref="L1511:M1511"/>
    <mergeCell ref="N1511:O1511"/>
    <mergeCell ref="AD1512:AE1512"/>
    <mergeCell ref="AF1512:AG1512"/>
    <mergeCell ref="AH1512:AI1512"/>
    <mergeCell ref="AJ1512:AK1512"/>
    <mergeCell ref="AD1516:AE1516"/>
    <mergeCell ref="AF1516:AG1516"/>
    <mergeCell ref="P1516:Q1516"/>
    <mergeCell ref="R1516:S1516"/>
    <mergeCell ref="T1516:U1516"/>
    <mergeCell ref="V1516:W1516"/>
    <mergeCell ref="X1516:Y1516"/>
    <mergeCell ref="Z1516:AA1516"/>
    <mergeCell ref="AB1516:AC1516"/>
    <mergeCell ref="AD1517:AE1517"/>
    <mergeCell ref="AF1517:AG1517"/>
    <mergeCell ref="AH1517:AI1517"/>
    <mergeCell ref="AJ1517:AK1517"/>
    <mergeCell ref="AL1517:BB1517"/>
    <mergeCell ref="P1517:Q1517"/>
    <mergeCell ref="R1517:S1517"/>
    <mergeCell ref="T1517:U1517"/>
    <mergeCell ref="V1517:W1517"/>
    <mergeCell ref="X1517:Y1517"/>
    <mergeCell ref="Z1517:AA1517"/>
    <mergeCell ref="AB1517:AC1517"/>
    <mergeCell ref="B1517:C1517"/>
    <mergeCell ref="D1517:E1517"/>
    <mergeCell ref="F1517:G1517"/>
    <mergeCell ref="H1517:I1517"/>
    <mergeCell ref="J1517:K1517"/>
    <mergeCell ref="L1517:M1517"/>
    <mergeCell ref="N1517:O1517"/>
    <mergeCell ref="AD1518:AE1518"/>
    <mergeCell ref="AF1518:AG1518"/>
    <mergeCell ref="AH1518:AI1518"/>
    <mergeCell ref="AJ1518:AK1518"/>
    <mergeCell ref="AL1518:BB1518"/>
    <mergeCell ref="AH1516:AI1516"/>
    <mergeCell ref="AJ1516:AK1516"/>
    <mergeCell ref="AL1516:BB1516"/>
    <mergeCell ref="B1516:C1516"/>
    <mergeCell ref="D1516:E1516"/>
    <mergeCell ref="F1516:G1516"/>
    <mergeCell ref="H1516:I1516"/>
    <mergeCell ref="J1516:K1516"/>
    <mergeCell ref="L1516:M1516"/>
    <mergeCell ref="N1516:O1516"/>
    <mergeCell ref="P1518:Q1518"/>
    <mergeCell ref="R1518:S1518"/>
    <mergeCell ref="T1518:U1518"/>
    <mergeCell ref="V1518:W1518"/>
    <mergeCell ref="X1518:Y1518"/>
    <mergeCell ref="Z1518:AA1518"/>
    <mergeCell ref="AB1518:AC1518"/>
    <mergeCell ref="B1518:C1518"/>
    <mergeCell ref="D1518:E1518"/>
    <mergeCell ref="F1518:G1518"/>
    <mergeCell ref="H1518:I1518"/>
    <mergeCell ref="J1518:K1518"/>
    <mergeCell ref="L1518:M1518"/>
    <mergeCell ref="N1518:O1518"/>
    <mergeCell ref="AH1519:AI1519"/>
    <mergeCell ref="AJ1519:AK1519"/>
    <mergeCell ref="AL1519:BB1519"/>
    <mergeCell ref="B1519:C1519"/>
    <mergeCell ref="D1519:E1519"/>
    <mergeCell ref="F1519:G1519"/>
    <mergeCell ref="H1519:I1519"/>
    <mergeCell ref="J1519:K1519"/>
    <mergeCell ref="L1519:M1519"/>
    <mergeCell ref="N1519:O1519"/>
    <mergeCell ref="AD1519:AE1519"/>
    <mergeCell ref="AF1519:AG1519"/>
    <mergeCell ref="P1519:Q1519"/>
    <mergeCell ref="R1519:S1519"/>
    <mergeCell ref="T1519:U1519"/>
    <mergeCell ref="V1519:W1519"/>
    <mergeCell ref="X1519:Y1519"/>
    <mergeCell ref="Z1519:AA1519"/>
    <mergeCell ref="AB1519:AC1519"/>
    <mergeCell ref="AD1520:AE1520"/>
    <mergeCell ref="AF1520:AG1520"/>
    <mergeCell ref="AH1520:AI1520"/>
    <mergeCell ref="AJ1520:AK1520"/>
    <mergeCell ref="AL1520:BB1520"/>
    <mergeCell ref="P1520:Q1520"/>
    <mergeCell ref="R1520:S1520"/>
    <mergeCell ref="T1520:U1520"/>
    <mergeCell ref="V1520:W1520"/>
    <mergeCell ref="X1520:Y1520"/>
    <mergeCell ref="Z1520:AA1520"/>
    <mergeCell ref="AB1520:AC1520"/>
    <mergeCell ref="B1520:C1520"/>
    <mergeCell ref="D1520:E1520"/>
    <mergeCell ref="F1520:G1520"/>
    <mergeCell ref="H1520:I1520"/>
    <mergeCell ref="J1520:K1520"/>
    <mergeCell ref="L1520:M1520"/>
    <mergeCell ref="N1520:O1520"/>
    <mergeCell ref="AD1521:AE1521"/>
    <mergeCell ref="AF1521:AG1521"/>
    <mergeCell ref="AH1521:AI1521"/>
    <mergeCell ref="AJ1521:AK1521"/>
    <mergeCell ref="AL1521:BB1521"/>
    <mergeCell ref="AH1522:AI1522"/>
    <mergeCell ref="AJ1522:AK1522"/>
    <mergeCell ref="AL1522:BB1522"/>
    <mergeCell ref="B1522:C1522"/>
    <mergeCell ref="D1522:E1522"/>
    <mergeCell ref="F1522:G1522"/>
    <mergeCell ref="H1522:I1522"/>
    <mergeCell ref="J1522:K1522"/>
    <mergeCell ref="L1522:M1522"/>
    <mergeCell ref="N1522:O1522"/>
    <mergeCell ref="AD1507:AE1507"/>
    <mergeCell ref="AF1507:AG1507"/>
    <mergeCell ref="P1507:Q1507"/>
    <mergeCell ref="R1507:S1507"/>
    <mergeCell ref="T1507:U1507"/>
    <mergeCell ref="V1507:W1507"/>
    <mergeCell ref="X1507:Y1507"/>
    <mergeCell ref="Z1507:AA1507"/>
    <mergeCell ref="AB1507:AC1507"/>
    <mergeCell ref="AD1508:AE1508"/>
    <mergeCell ref="AF1508:AG1508"/>
    <mergeCell ref="AH1508:AI1508"/>
    <mergeCell ref="AJ1508:AK1508"/>
    <mergeCell ref="AL1508:BB1508"/>
    <mergeCell ref="P1508:Q1508"/>
    <mergeCell ref="R1508:S1508"/>
    <mergeCell ref="T1508:U1508"/>
    <mergeCell ref="V1508:W1508"/>
    <mergeCell ref="X1508:Y1508"/>
    <mergeCell ref="Z1508:AA1508"/>
    <mergeCell ref="AB1508:AC1508"/>
    <mergeCell ref="B1508:C1508"/>
    <mergeCell ref="D1508:E1508"/>
    <mergeCell ref="F1508:G1508"/>
    <mergeCell ref="H1508:I1508"/>
    <mergeCell ref="J1508:K1508"/>
    <mergeCell ref="L1508:M1508"/>
    <mergeCell ref="N1508:O1508"/>
    <mergeCell ref="AD1509:AE1509"/>
    <mergeCell ref="AF1509:AG1509"/>
    <mergeCell ref="AH1509:AI1509"/>
    <mergeCell ref="AJ1509:AK1509"/>
    <mergeCell ref="AL1509:BB1509"/>
    <mergeCell ref="AH1510:AI1510"/>
    <mergeCell ref="AJ1510:AK1510"/>
    <mergeCell ref="AL1510:BB1510"/>
    <mergeCell ref="B1510:C1510"/>
    <mergeCell ref="D1510:E1510"/>
    <mergeCell ref="F1510:G1510"/>
    <mergeCell ref="H1510:I1510"/>
    <mergeCell ref="J1510:K1510"/>
    <mergeCell ref="L1510:M1510"/>
    <mergeCell ref="N1510:O1510"/>
    <mergeCell ref="AD1510:AE1510"/>
    <mergeCell ref="AF1510:AG1510"/>
    <mergeCell ref="P1510:Q1510"/>
    <mergeCell ref="R1510:S1510"/>
    <mergeCell ref="T1510:U1510"/>
    <mergeCell ref="V1510:W1510"/>
    <mergeCell ref="AL1512:BB1512"/>
    <mergeCell ref="AH1513:AI1513"/>
    <mergeCell ref="AJ1513:AK1513"/>
    <mergeCell ref="AL1513:BB1513"/>
    <mergeCell ref="B1513:C1513"/>
    <mergeCell ref="D1513:E1513"/>
    <mergeCell ref="F1513:G1513"/>
    <mergeCell ref="H1513:I1513"/>
    <mergeCell ref="J1513:K1513"/>
    <mergeCell ref="L1513:M1513"/>
    <mergeCell ref="N1513:O1513"/>
    <mergeCell ref="P1515:Q1515"/>
    <mergeCell ref="R1515:S1515"/>
    <mergeCell ref="T1515:U1515"/>
    <mergeCell ref="V1515:W1515"/>
    <mergeCell ref="X1515:Y1515"/>
    <mergeCell ref="Z1515:AA1515"/>
    <mergeCell ref="AB1515:AC1515"/>
    <mergeCell ref="B1515:C1515"/>
    <mergeCell ref="D1515:E1515"/>
    <mergeCell ref="F1515:G1515"/>
    <mergeCell ref="H1515:I1515"/>
    <mergeCell ref="J1515:K1515"/>
    <mergeCell ref="L1515:M1515"/>
    <mergeCell ref="N1515:O1515"/>
    <mergeCell ref="AD1513:AE1513"/>
    <mergeCell ref="AF1513:AG1513"/>
    <mergeCell ref="P1513:Q1513"/>
    <mergeCell ref="R1513:S1513"/>
    <mergeCell ref="T1513:U1513"/>
    <mergeCell ref="V1513:W1513"/>
    <mergeCell ref="X1513:Y1513"/>
    <mergeCell ref="Z1513:AA1513"/>
    <mergeCell ref="AB1513:AC1513"/>
    <mergeCell ref="AD1514:AE1514"/>
    <mergeCell ref="AF1514:AG1514"/>
    <mergeCell ref="AH1514:AI1514"/>
    <mergeCell ref="AJ1514:AK1514"/>
    <mergeCell ref="AL1514:BB1514"/>
    <mergeCell ref="P1514:Q1514"/>
    <mergeCell ref="R1514:S1514"/>
    <mergeCell ref="T1514:U1514"/>
    <mergeCell ref="V1514:W1514"/>
    <mergeCell ref="X1514:Y1514"/>
    <mergeCell ref="Z1514:AA1514"/>
    <mergeCell ref="AB1514:AC1514"/>
    <mergeCell ref="B1514:C1514"/>
    <mergeCell ref="D1514:E1514"/>
    <mergeCell ref="F1514:G1514"/>
    <mergeCell ref="H1514:I1514"/>
    <mergeCell ref="J1514:K1514"/>
    <mergeCell ref="L1514:M1514"/>
    <mergeCell ref="N1514:O1514"/>
    <mergeCell ref="AD1515:AE1515"/>
    <mergeCell ref="AF1515:AG1515"/>
    <mergeCell ref="AH1515:AI1515"/>
    <mergeCell ref="AJ1515:AK1515"/>
    <mergeCell ref="AL1515:BB1515"/>
    <mergeCell ref="P1521:Q1521"/>
    <mergeCell ref="R1521:S1521"/>
    <mergeCell ref="T1521:U1521"/>
    <mergeCell ref="V1521:W1521"/>
    <mergeCell ref="X1521:Y1521"/>
    <mergeCell ref="Z1521:AA1521"/>
    <mergeCell ref="AB1521:AC1521"/>
    <mergeCell ref="B1521:C1521"/>
    <mergeCell ref="D1521:E1521"/>
    <mergeCell ref="F1521:G1521"/>
    <mergeCell ref="H1521:I1521"/>
    <mergeCell ref="J1521:K1521"/>
    <mergeCell ref="L1521:M1521"/>
    <mergeCell ref="N1521:O1521"/>
    <mergeCell ref="AD1543:AE1543"/>
    <mergeCell ref="AF1543:AG1543"/>
    <mergeCell ref="AH1543:AI1543"/>
    <mergeCell ref="AJ1543:AK1543"/>
    <mergeCell ref="AL1543:BB1543"/>
    <mergeCell ref="P1543:Q1543"/>
    <mergeCell ref="R1543:S1543"/>
    <mergeCell ref="T1543:U1543"/>
    <mergeCell ref="V1543:W1543"/>
    <mergeCell ref="X1543:Y1543"/>
    <mergeCell ref="Z1543:AA1543"/>
    <mergeCell ref="AB1543:AC1543"/>
    <mergeCell ref="P1524:Q1524"/>
    <mergeCell ref="R1524:S1524"/>
    <mergeCell ref="T1524:U1524"/>
    <mergeCell ref="V1524:W1524"/>
    <mergeCell ref="X1524:Y1524"/>
    <mergeCell ref="Z1524:AA1524"/>
    <mergeCell ref="AB1524:AC1524"/>
    <mergeCell ref="B1524:C1524"/>
    <mergeCell ref="D1524:E1524"/>
    <mergeCell ref="F1524:G1524"/>
    <mergeCell ref="H1524:I1524"/>
    <mergeCell ref="J1524:K1524"/>
    <mergeCell ref="L1524:M1524"/>
    <mergeCell ref="N1524:O1524"/>
    <mergeCell ref="AD1522:AE1522"/>
    <mergeCell ref="AF1522:AG1522"/>
    <mergeCell ref="P1522:Q1522"/>
    <mergeCell ref="R1522:S1522"/>
    <mergeCell ref="T1522:U1522"/>
    <mergeCell ref="V1522:W1522"/>
    <mergeCell ref="X1522:Y1522"/>
    <mergeCell ref="Z1522:AA1522"/>
    <mergeCell ref="AB1522:AC1522"/>
    <mergeCell ref="AD1523:AE1523"/>
    <mergeCell ref="AF1523:AG1523"/>
    <mergeCell ref="AH1523:AI1523"/>
    <mergeCell ref="AJ1523:AK1523"/>
    <mergeCell ref="AL1523:BB1523"/>
    <mergeCell ref="P1523:Q1523"/>
    <mergeCell ref="R1523:S1523"/>
    <mergeCell ref="T1523:U1523"/>
    <mergeCell ref="V1523:W1523"/>
    <mergeCell ref="X1523:Y1523"/>
    <mergeCell ref="Z1523:AA1523"/>
    <mergeCell ref="AB1523:AC1523"/>
    <mergeCell ref="B1523:C1523"/>
    <mergeCell ref="D1523:E1523"/>
    <mergeCell ref="F1523:G1523"/>
    <mergeCell ref="H1523:I1523"/>
    <mergeCell ref="J1523:K1523"/>
    <mergeCell ref="L1523:M1523"/>
    <mergeCell ref="N1523:O1523"/>
    <mergeCell ref="AD1524:AE1524"/>
    <mergeCell ref="AF1524:AG1524"/>
    <mergeCell ref="AH1524:AI1524"/>
    <mergeCell ref="AJ1524:AK1524"/>
    <mergeCell ref="AL1524:BB1524"/>
    <mergeCell ref="AH1525:AI1525"/>
    <mergeCell ref="AJ1525:AK1525"/>
    <mergeCell ref="AL1525:BB1525"/>
    <mergeCell ref="B1525:C1525"/>
    <mergeCell ref="D1525:E1525"/>
    <mergeCell ref="F1525:G1525"/>
    <mergeCell ref="H1525:I1525"/>
    <mergeCell ref="J1525:K1525"/>
    <mergeCell ref="L1525:M1525"/>
    <mergeCell ref="N1525:O1525"/>
    <mergeCell ref="P1527:Q1527"/>
    <mergeCell ref="R1527:S1527"/>
    <mergeCell ref="T1527:U1527"/>
    <mergeCell ref="V1527:W1527"/>
    <mergeCell ref="X1527:Y1527"/>
    <mergeCell ref="Z1527:AA1527"/>
    <mergeCell ref="AB1527:AC1527"/>
    <mergeCell ref="B1527:C1527"/>
    <mergeCell ref="D1527:E1527"/>
    <mergeCell ref="F1527:G1527"/>
    <mergeCell ref="H1527:I1527"/>
    <mergeCell ref="J1527:K1527"/>
    <mergeCell ref="L1527:M1527"/>
    <mergeCell ref="N1527:O1527"/>
    <mergeCell ref="AD1525:AE1525"/>
    <mergeCell ref="AF1525:AG1525"/>
    <mergeCell ref="P1525:Q1525"/>
    <mergeCell ref="R1525:S1525"/>
    <mergeCell ref="T1525:U1525"/>
    <mergeCell ref="V1525:W1525"/>
    <mergeCell ref="X1525:Y1525"/>
    <mergeCell ref="Z1525:AA1525"/>
    <mergeCell ref="AB1525:AC1525"/>
    <mergeCell ref="AD1526:AE1526"/>
    <mergeCell ref="AF1526:AG1526"/>
    <mergeCell ref="AH1526:AI1526"/>
    <mergeCell ref="AJ1526:AK1526"/>
    <mergeCell ref="AL1526:BB1526"/>
    <mergeCell ref="P1526:Q1526"/>
    <mergeCell ref="R1526:S1526"/>
    <mergeCell ref="T1526:U1526"/>
    <mergeCell ref="V1526:W1526"/>
    <mergeCell ref="X1526:Y1526"/>
    <mergeCell ref="Z1526:AA1526"/>
    <mergeCell ref="AB1526:AC1526"/>
    <mergeCell ref="B1526:C1526"/>
    <mergeCell ref="D1526:E1526"/>
    <mergeCell ref="F1526:G1526"/>
    <mergeCell ref="H1526:I1526"/>
    <mergeCell ref="J1526:K1526"/>
    <mergeCell ref="L1526:M1526"/>
    <mergeCell ref="N1526:O1526"/>
    <mergeCell ref="AD1527:AE1527"/>
    <mergeCell ref="AF1527:AG1527"/>
    <mergeCell ref="AH1527:AI1527"/>
    <mergeCell ref="AJ1527:AK1527"/>
    <mergeCell ref="AL1527:BB1527"/>
    <mergeCell ref="AH1528:AI1528"/>
    <mergeCell ref="AJ1528:AK1528"/>
    <mergeCell ref="AL1528:BB1528"/>
    <mergeCell ref="B1528:C1528"/>
    <mergeCell ref="D1528:E1528"/>
    <mergeCell ref="F1528:G1528"/>
    <mergeCell ref="H1528:I1528"/>
    <mergeCell ref="J1528:K1528"/>
    <mergeCell ref="L1528:M1528"/>
    <mergeCell ref="N1528:O1528"/>
    <mergeCell ref="P1530:Q1530"/>
    <mergeCell ref="R1530:S1530"/>
    <mergeCell ref="T1530:U1530"/>
    <mergeCell ref="V1530:W1530"/>
    <mergeCell ref="X1530:Y1530"/>
    <mergeCell ref="Z1530:AA1530"/>
    <mergeCell ref="AB1530:AC1530"/>
    <mergeCell ref="B1530:C1530"/>
    <mergeCell ref="D1530:E1530"/>
    <mergeCell ref="F1530:G1530"/>
    <mergeCell ref="H1530:I1530"/>
    <mergeCell ref="J1530:K1530"/>
    <mergeCell ref="L1530:M1530"/>
    <mergeCell ref="N1530:O1530"/>
    <mergeCell ref="AD1528:AE1528"/>
    <mergeCell ref="AF1528:AG1528"/>
    <mergeCell ref="P1528:Q1528"/>
    <mergeCell ref="R1528:S1528"/>
    <mergeCell ref="T1528:U1528"/>
    <mergeCell ref="V1528:W1528"/>
    <mergeCell ref="X1528:Y1528"/>
    <mergeCell ref="Z1528:AA1528"/>
    <mergeCell ref="AB1528:AC1528"/>
    <mergeCell ref="AD1529:AE1529"/>
    <mergeCell ref="AF1529:AG1529"/>
    <mergeCell ref="AH1529:AI1529"/>
    <mergeCell ref="AJ1529:AK1529"/>
    <mergeCell ref="AL1529:BB1529"/>
    <mergeCell ref="P1529:Q1529"/>
    <mergeCell ref="R1529:S1529"/>
    <mergeCell ref="T1529:U1529"/>
    <mergeCell ref="V1529:W1529"/>
    <mergeCell ref="X1529:Y1529"/>
    <mergeCell ref="Z1529:AA1529"/>
    <mergeCell ref="AB1529:AC1529"/>
    <mergeCell ref="B1529:C1529"/>
    <mergeCell ref="D1529:E1529"/>
    <mergeCell ref="F1529:G1529"/>
    <mergeCell ref="H1529:I1529"/>
    <mergeCell ref="J1529:K1529"/>
    <mergeCell ref="L1529:M1529"/>
    <mergeCell ref="N1529:O1529"/>
    <mergeCell ref="AD1530:AE1530"/>
    <mergeCell ref="AF1530:AG1530"/>
    <mergeCell ref="AH1530:AI1530"/>
    <mergeCell ref="AJ1530:AK1530"/>
    <mergeCell ref="AL1530:BB1530"/>
    <mergeCell ref="AH1531:AI1531"/>
    <mergeCell ref="AJ1531:AK1531"/>
    <mergeCell ref="AL1531:BB1531"/>
    <mergeCell ref="B1531:C1531"/>
    <mergeCell ref="D1531:E1531"/>
    <mergeCell ref="F1531:G1531"/>
    <mergeCell ref="H1531:I1531"/>
    <mergeCell ref="J1531:K1531"/>
    <mergeCell ref="L1531:M1531"/>
    <mergeCell ref="N1531:O1531"/>
    <mergeCell ref="P1533:Q1533"/>
    <mergeCell ref="R1533:S1533"/>
    <mergeCell ref="T1533:U1533"/>
    <mergeCell ref="V1533:W1533"/>
    <mergeCell ref="X1533:Y1533"/>
    <mergeCell ref="Z1533:AA1533"/>
    <mergeCell ref="AB1533:AC1533"/>
    <mergeCell ref="B1533:C1533"/>
    <mergeCell ref="D1533:E1533"/>
    <mergeCell ref="F1533:G1533"/>
    <mergeCell ref="H1533:I1533"/>
    <mergeCell ref="J1533:K1533"/>
    <mergeCell ref="L1533:M1533"/>
    <mergeCell ref="N1533:O1533"/>
    <mergeCell ref="AD1531:AE1531"/>
    <mergeCell ref="AF1531:AG1531"/>
    <mergeCell ref="P1531:Q1531"/>
    <mergeCell ref="R1531:S1531"/>
    <mergeCell ref="T1531:U1531"/>
    <mergeCell ref="V1531:W1531"/>
    <mergeCell ref="X1531:Y1531"/>
    <mergeCell ref="Z1531:AA1531"/>
    <mergeCell ref="AB1531:AC1531"/>
    <mergeCell ref="AD1532:AE1532"/>
    <mergeCell ref="AF1532:AG1532"/>
    <mergeCell ref="AH1532:AI1532"/>
    <mergeCell ref="AJ1532:AK1532"/>
    <mergeCell ref="AL1532:BB1532"/>
    <mergeCell ref="P1532:Q1532"/>
    <mergeCell ref="R1532:S1532"/>
    <mergeCell ref="T1532:U1532"/>
    <mergeCell ref="V1532:W1532"/>
    <mergeCell ref="X1532:Y1532"/>
    <mergeCell ref="Z1532:AA1532"/>
    <mergeCell ref="AB1532:AC1532"/>
    <mergeCell ref="B1532:C1532"/>
    <mergeCell ref="D1532:E1532"/>
    <mergeCell ref="F1532:G1532"/>
    <mergeCell ref="H1532:I1532"/>
    <mergeCell ref="J1532:K1532"/>
    <mergeCell ref="L1532:M1532"/>
    <mergeCell ref="N1532:O1532"/>
    <mergeCell ref="AD1533:AE1533"/>
    <mergeCell ref="AF1533:AG1533"/>
    <mergeCell ref="AH1533:AI1533"/>
    <mergeCell ref="AJ1533:AK1533"/>
    <mergeCell ref="AL1533:BB1533"/>
    <mergeCell ref="AH1534:AI1534"/>
    <mergeCell ref="AJ1534:AK1534"/>
    <mergeCell ref="AL1534:BB1534"/>
    <mergeCell ref="B1534:C1534"/>
    <mergeCell ref="D1534:E1534"/>
    <mergeCell ref="F1534:G1534"/>
    <mergeCell ref="H1534:I1534"/>
    <mergeCell ref="J1534:K1534"/>
    <mergeCell ref="L1534:M1534"/>
    <mergeCell ref="N1534:O1534"/>
    <mergeCell ref="P1536:Q1536"/>
    <mergeCell ref="R1536:S1536"/>
    <mergeCell ref="T1536:U1536"/>
    <mergeCell ref="V1536:W1536"/>
    <mergeCell ref="X1536:Y1536"/>
    <mergeCell ref="Z1536:AA1536"/>
    <mergeCell ref="AB1536:AC1536"/>
    <mergeCell ref="B1536:C1536"/>
    <mergeCell ref="D1536:E1536"/>
    <mergeCell ref="F1536:G1536"/>
    <mergeCell ref="H1536:I1536"/>
    <mergeCell ref="J1536:K1536"/>
    <mergeCell ref="L1536:M1536"/>
    <mergeCell ref="N1536:O1536"/>
    <mergeCell ref="AD1534:AE1534"/>
    <mergeCell ref="AF1534:AG1534"/>
    <mergeCell ref="P1534:Q1534"/>
    <mergeCell ref="R1534:S1534"/>
    <mergeCell ref="T1534:U1534"/>
    <mergeCell ref="V1534:W1534"/>
    <mergeCell ref="X1534:Y1534"/>
    <mergeCell ref="Z1534:AA1534"/>
    <mergeCell ref="AB1534:AC1534"/>
    <mergeCell ref="AD1535:AE1535"/>
    <mergeCell ref="AF1535:AG1535"/>
    <mergeCell ref="AH1535:AI1535"/>
    <mergeCell ref="AJ1535:AK1535"/>
    <mergeCell ref="AL1535:BB1535"/>
    <mergeCell ref="P1535:Q1535"/>
    <mergeCell ref="R1535:S1535"/>
    <mergeCell ref="T1535:U1535"/>
    <mergeCell ref="V1535:W1535"/>
    <mergeCell ref="X1535:Y1535"/>
    <mergeCell ref="Z1535:AA1535"/>
    <mergeCell ref="AB1535:AC1535"/>
    <mergeCell ref="B1535:C1535"/>
    <mergeCell ref="D1535:E1535"/>
    <mergeCell ref="F1535:G1535"/>
    <mergeCell ref="H1535:I1535"/>
    <mergeCell ref="J1535:K1535"/>
    <mergeCell ref="L1535:M1535"/>
    <mergeCell ref="N1535:O1535"/>
    <mergeCell ref="AD1536:AE1536"/>
    <mergeCell ref="AF1536:AG1536"/>
    <mergeCell ref="AH1536:AI1536"/>
    <mergeCell ref="AJ1536:AK1536"/>
    <mergeCell ref="AL1536:BB1536"/>
    <mergeCell ref="AH1537:AI1537"/>
    <mergeCell ref="AJ1537:AK1537"/>
    <mergeCell ref="AL1537:BB1537"/>
    <mergeCell ref="B1537:C1537"/>
    <mergeCell ref="D1537:E1537"/>
    <mergeCell ref="F1537:G1537"/>
    <mergeCell ref="H1537:I1537"/>
    <mergeCell ref="J1537:K1537"/>
    <mergeCell ref="L1537:M1537"/>
    <mergeCell ref="N1537:O1537"/>
    <mergeCell ref="P1539:Q1539"/>
    <mergeCell ref="R1539:S1539"/>
    <mergeCell ref="T1539:U1539"/>
    <mergeCell ref="V1539:W1539"/>
    <mergeCell ref="X1539:Y1539"/>
    <mergeCell ref="Z1539:AA1539"/>
    <mergeCell ref="AB1539:AC1539"/>
    <mergeCell ref="B1539:C1539"/>
    <mergeCell ref="D1539:E1539"/>
    <mergeCell ref="F1539:G1539"/>
    <mergeCell ref="H1539:I1539"/>
    <mergeCell ref="J1539:K1539"/>
    <mergeCell ref="L1539:M1539"/>
    <mergeCell ref="N1539:O1539"/>
    <mergeCell ref="AD1537:AE1537"/>
    <mergeCell ref="AF1537:AG1537"/>
    <mergeCell ref="P1537:Q1537"/>
    <mergeCell ref="R1537:S1537"/>
    <mergeCell ref="T1537:U1537"/>
    <mergeCell ref="V1537:W1537"/>
    <mergeCell ref="X1537:Y1537"/>
    <mergeCell ref="Z1537:AA1537"/>
    <mergeCell ref="AB1537:AC1537"/>
    <mergeCell ref="AD1538:AE1538"/>
    <mergeCell ref="AF1538:AG1538"/>
    <mergeCell ref="AH1538:AI1538"/>
    <mergeCell ref="AJ1538:AK1538"/>
    <mergeCell ref="AL1538:BB1538"/>
    <mergeCell ref="P1538:Q1538"/>
    <mergeCell ref="R1538:S1538"/>
    <mergeCell ref="T1538:U1538"/>
    <mergeCell ref="V1538:W1538"/>
    <mergeCell ref="X1538:Y1538"/>
    <mergeCell ref="Z1538:AA1538"/>
    <mergeCell ref="AB1538:AC1538"/>
    <mergeCell ref="B1538:C1538"/>
    <mergeCell ref="D1538:E1538"/>
    <mergeCell ref="F1538:G1538"/>
    <mergeCell ref="H1538:I1538"/>
    <mergeCell ref="J1538:K1538"/>
    <mergeCell ref="L1538:M1538"/>
    <mergeCell ref="N1538:O1538"/>
    <mergeCell ref="AD1539:AE1539"/>
    <mergeCell ref="AF1539:AG1539"/>
    <mergeCell ref="AH1539:AI1539"/>
    <mergeCell ref="AJ1539:AK1539"/>
    <mergeCell ref="AL1539:BB1539"/>
    <mergeCell ref="AH1540:AI1540"/>
    <mergeCell ref="AJ1540:AK1540"/>
    <mergeCell ref="AL1540:BB1540"/>
    <mergeCell ref="B1540:C1540"/>
    <mergeCell ref="D1540:E1540"/>
    <mergeCell ref="F1540:G1540"/>
    <mergeCell ref="H1540:I1540"/>
    <mergeCell ref="J1540:K1540"/>
    <mergeCell ref="L1540:M1540"/>
    <mergeCell ref="N1540:O1540"/>
    <mergeCell ref="P1542:Q1542"/>
    <mergeCell ref="R1542:S1542"/>
    <mergeCell ref="T1542:U1542"/>
    <mergeCell ref="V1542:W1542"/>
    <mergeCell ref="X1542:Y1542"/>
    <mergeCell ref="Z1542:AA1542"/>
    <mergeCell ref="AB1542:AC1542"/>
    <mergeCell ref="B1542:C1542"/>
    <mergeCell ref="D1542:E1542"/>
    <mergeCell ref="F1542:G1542"/>
    <mergeCell ref="H1542:I1542"/>
    <mergeCell ref="J1542:K1542"/>
    <mergeCell ref="L1542:M1542"/>
    <mergeCell ref="N1542:O1542"/>
    <mergeCell ref="AD1540:AE1540"/>
    <mergeCell ref="AF1540:AG1540"/>
    <mergeCell ref="P1540:Q1540"/>
    <mergeCell ref="R1540:S1540"/>
    <mergeCell ref="T1540:U1540"/>
    <mergeCell ref="V1540:W1540"/>
    <mergeCell ref="X1540:Y1540"/>
    <mergeCell ref="Z1540:AA1540"/>
    <mergeCell ref="AB1540:AC1540"/>
    <mergeCell ref="AD1541:AE1541"/>
    <mergeCell ref="AF1541:AG1541"/>
    <mergeCell ref="AH1541:AI1541"/>
    <mergeCell ref="AJ1541:AK1541"/>
    <mergeCell ref="AL1541:BB1541"/>
    <mergeCell ref="P1541:Q1541"/>
    <mergeCell ref="R1541:S1541"/>
    <mergeCell ref="T1541:U1541"/>
    <mergeCell ref="V1541:W1541"/>
    <mergeCell ref="X1541:Y1541"/>
    <mergeCell ref="Z1541:AA1541"/>
    <mergeCell ref="AB1541:AC1541"/>
    <mergeCell ref="B1541:C1541"/>
    <mergeCell ref="D1541:E1541"/>
    <mergeCell ref="F1541:G1541"/>
    <mergeCell ref="H1541:I1541"/>
    <mergeCell ref="J1541:K1541"/>
    <mergeCell ref="L1541:M1541"/>
    <mergeCell ref="N1541:O1541"/>
    <mergeCell ref="AD1542:AE1542"/>
    <mergeCell ref="AF1542:AG1542"/>
    <mergeCell ref="AH1542:AI1542"/>
    <mergeCell ref="AJ1542:AK1542"/>
    <mergeCell ref="AL1542:BB1542"/>
    <mergeCell ref="B1543:C1543"/>
    <mergeCell ref="D1543:E1543"/>
    <mergeCell ref="F1543:G1543"/>
    <mergeCell ref="H1543:I1543"/>
    <mergeCell ref="J1543:K1543"/>
    <mergeCell ref="L1543:M1543"/>
    <mergeCell ref="N1543:O1543"/>
    <mergeCell ref="AD1544:AE1544"/>
    <mergeCell ref="AF1544:AG1544"/>
    <mergeCell ref="AH1544:AI1544"/>
    <mergeCell ref="AJ1544:AK1544"/>
    <mergeCell ref="AL1544:BB1544"/>
    <mergeCell ref="P1544:Q1544"/>
    <mergeCell ref="R1544:S1544"/>
    <mergeCell ref="T1544:U1544"/>
    <mergeCell ref="V1544:W1544"/>
    <mergeCell ref="X1544:Y1544"/>
    <mergeCell ref="Z1544:AA1544"/>
    <mergeCell ref="AB1544:AC1544"/>
    <mergeCell ref="B1544:C1544"/>
    <mergeCell ref="D1544:E1544"/>
    <mergeCell ref="F1544:G1544"/>
    <mergeCell ref="H1544:I1544"/>
    <mergeCell ref="J1544:K1544"/>
    <mergeCell ref="L1544:M1544"/>
    <mergeCell ref="N1544:O1544"/>
    <mergeCell ref="AD1545:AE1545"/>
    <mergeCell ref="AF1545:AG1545"/>
    <mergeCell ref="AH1545:AI1545"/>
    <mergeCell ref="AJ1545:AK1545"/>
    <mergeCell ref="AL1545:BB1545"/>
    <mergeCell ref="P1545:Q1545"/>
    <mergeCell ref="R1545:S1545"/>
    <mergeCell ref="T1545:U1545"/>
    <mergeCell ref="V1545:W1545"/>
    <mergeCell ref="X1545:Y1545"/>
    <mergeCell ref="Z1545:AA1545"/>
    <mergeCell ref="AB1545:AC1545"/>
    <mergeCell ref="B1545:C1545"/>
    <mergeCell ref="D1545:E1545"/>
    <mergeCell ref="F1545:G1545"/>
    <mergeCell ref="H1545:I1545"/>
    <mergeCell ref="J1545:K1545"/>
    <mergeCell ref="L1545:M1545"/>
    <mergeCell ref="N1545:O1545"/>
    <mergeCell ref="AH1546:AI1546"/>
    <mergeCell ref="AJ1546:AK1546"/>
    <mergeCell ref="AL1546:BB1546"/>
    <mergeCell ref="B1546:C1546"/>
    <mergeCell ref="D1546:E1546"/>
    <mergeCell ref="F1546:G1546"/>
    <mergeCell ref="H1546:I1546"/>
    <mergeCell ref="J1546:K1546"/>
    <mergeCell ref="L1546:M1546"/>
    <mergeCell ref="N1546:O1546"/>
    <mergeCell ref="P1548:Q1548"/>
    <mergeCell ref="R1548:S1548"/>
    <mergeCell ref="T1548:U1548"/>
    <mergeCell ref="V1548:W1548"/>
    <mergeCell ref="X1548:Y1548"/>
    <mergeCell ref="Z1548:AA1548"/>
    <mergeCell ref="AB1548:AC1548"/>
    <mergeCell ref="B1548:C1548"/>
    <mergeCell ref="D1548:E1548"/>
    <mergeCell ref="F1548:G1548"/>
    <mergeCell ref="H1548:I1548"/>
    <mergeCell ref="J1548:K1548"/>
    <mergeCell ref="L1548:M1548"/>
    <mergeCell ref="N1548:O1548"/>
    <mergeCell ref="AD1546:AE1546"/>
    <mergeCell ref="AF1546:AG1546"/>
    <mergeCell ref="P1546:Q1546"/>
    <mergeCell ref="R1546:S1546"/>
    <mergeCell ref="T1546:U1546"/>
    <mergeCell ref="V1546:W1546"/>
    <mergeCell ref="X1546:Y1546"/>
    <mergeCell ref="Z1546:AA1546"/>
    <mergeCell ref="AB1546:AC1546"/>
    <mergeCell ref="AD1547:AE1547"/>
    <mergeCell ref="AF1547:AG1547"/>
    <mergeCell ref="AH1547:AI1547"/>
    <mergeCell ref="AJ1547:AK1547"/>
    <mergeCell ref="AL1547:BB1547"/>
    <mergeCell ref="P1547:Q1547"/>
    <mergeCell ref="R1547:S1547"/>
    <mergeCell ref="T1547:U1547"/>
    <mergeCell ref="V1547:W1547"/>
    <mergeCell ref="X1547:Y1547"/>
    <mergeCell ref="Z1547:AA1547"/>
    <mergeCell ref="AB1547:AC1547"/>
    <mergeCell ref="B1547:C1547"/>
    <mergeCell ref="D1547:E1547"/>
    <mergeCell ref="F1547:G1547"/>
    <mergeCell ref="H1547:I1547"/>
    <mergeCell ref="J1547:K1547"/>
    <mergeCell ref="L1547:M1547"/>
    <mergeCell ref="N1547:O1547"/>
    <mergeCell ref="AD1548:AE1548"/>
    <mergeCell ref="AF1548:AG1548"/>
    <mergeCell ref="AH1548:AI1548"/>
    <mergeCell ref="AJ1548:AK1548"/>
    <mergeCell ref="AL1548:BB1548"/>
    <mergeCell ref="AH1549:AI1549"/>
    <mergeCell ref="AJ1549:AK1549"/>
    <mergeCell ref="AL1549:BB1549"/>
    <mergeCell ref="B1549:C1549"/>
    <mergeCell ref="D1549:E1549"/>
    <mergeCell ref="F1549:G1549"/>
    <mergeCell ref="H1549:I1549"/>
    <mergeCell ref="J1549:K1549"/>
    <mergeCell ref="L1549:M1549"/>
    <mergeCell ref="N1549:O1549"/>
    <mergeCell ref="P1551:Q1551"/>
    <mergeCell ref="R1551:S1551"/>
    <mergeCell ref="T1551:U1551"/>
    <mergeCell ref="V1551:W1551"/>
    <mergeCell ref="X1551:Y1551"/>
    <mergeCell ref="Z1551:AA1551"/>
    <mergeCell ref="AB1551:AC1551"/>
    <mergeCell ref="B1551:C1551"/>
    <mergeCell ref="D1551:E1551"/>
    <mergeCell ref="F1551:G1551"/>
    <mergeCell ref="H1551:I1551"/>
    <mergeCell ref="J1551:K1551"/>
    <mergeCell ref="L1551:M1551"/>
    <mergeCell ref="N1551:O1551"/>
    <mergeCell ref="P1554:Q1554"/>
    <mergeCell ref="R1554:S1554"/>
    <mergeCell ref="T1554:U1554"/>
    <mergeCell ref="V1554:W1554"/>
    <mergeCell ref="X1554:Y1554"/>
    <mergeCell ref="Z1554:AA1554"/>
    <mergeCell ref="AB1554:AC1554"/>
    <mergeCell ref="B1554:C1554"/>
    <mergeCell ref="D1554:E1554"/>
    <mergeCell ref="F1554:G1554"/>
    <mergeCell ref="H1554:I1554"/>
    <mergeCell ref="J1554:K1554"/>
    <mergeCell ref="L1554:M1554"/>
    <mergeCell ref="N1554:O1554"/>
    <mergeCell ref="X1552:Y1552"/>
    <mergeCell ref="Z1552:AA1552"/>
    <mergeCell ref="AB1552:AC1552"/>
    <mergeCell ref="AD1553:AE1553"/>
    <mergeCell ref="AF1553:AG1553"/>
    <mergeCell ref="AH1553:AI1553"/>
    <mergeCell ref="AJ1553:AK1553"/>
    <mergeCell ref="AL1553:BB1553"/>
    <mergeCell ref="P1553:Q1553"/>
    <mergeCell ref="R1553:S1553"/>
    <mergeCell ref="T1553:U1553"/>
    <mergeCell ref="V1553:W1553"/>
    <mergeCell ref="X1553:Y1553"/>
    <mergeCell ref="Z1553:AA1553"/>
    <mergeCell ref="AB1553:AC1553"/>
    <mergeCell ref="B1553:C1553"/>
    <mergeCell ref="D1553:E1553"/>
    <mergeCell ref="F1553:G1553"/>
    <mergeCell ref="H1553:I1553"/>
    <mergeCell ref="J1553:K1553"/>
    <mergeCell ref="L1553:M1553"/>
    <mergeCell ref="N1553:O1553"/>
    <mergeCell ref="AD1554:AE1554"/>
    <mergeCell ref="AF1554:AG1554"/>
    <mergeCell ref="AH1554:AI1554"/>
    <mergeCell ref="AJ1554:AK1554"/>
    <mergeCell ref="AD1558:AE1558"/>
    <mergeCell ref="AF1558:AG1558"/>
    <mergeCell ref="P1558:Q1558"/>
    <mergeCell ref="R1558:S1558"/>
    <mergeCell ref="T1558:U1558"/>
    <mergeCell ref="V1558:W1558"/>
    <mergeCell ref="X1558:Y1558"/>
    <mergeCell ref="Z1558:AA1558"/>
    <mergeCell ref="AB1558:AC1558"/>
    <mergeCell ref="AD1559:AE1559"/>
    <mergeCell ref="AF1559:AG1559"/>
    <mergeCell ref="AH1559:AI1559"/>
    <mergeCell ref="AJ1559:AK1559"/>
    <mergeCell ref="AL1559:BB1559"/>
    <mergeCell ref="P1559:Q1559"/>
    <mergeCell ref="R1559:S1559"/>
    <mergeCell ref="T1559:U1559"/>
    <mergeCell ref="V1559:W1559"/>
    <mergeCell ref="X1559:Y1559"/>
    <mergeCell ref="Z1559:AA1559"/>
    <mergeCell ref="AB1559:AC1559"/>
    <mergeCell ref="B1559:C1559"/>
    <mergeCell ref="D1559:E1559"/>
    <mergeCell ref="F1559:G1559"/>
    <mergeCell ref="H1559:I1559"/>
    <mergeCell ref="J1559:K1559"/>
    <mergeCell ref="L1559:M1559"/>
    <mergeCell ref="N1559:O1559"/>
    <mergeCell ref="AD1560:AE1560"/>
    <mergeCell ref="AF1560:AG1560"/>
    <mergeCell ref="AH1560:AI1560"/>
    <mergeCell ref="AJ1560:AK1560"/>
    <mergeCell ref="AL1560:BB1560"/>
    <mergeCell ref="AH1558:AI1558"/>
    <mergeCell ref="AJ1558:AK1558"/>
    <mergeCell ref="AL1558:BB1558"/>
    <mergeCell ref="B1558:C1558"/>
    <mergeCell ref="D1558:E1558"/>
    <mergeCell ref="F1558:G1558"/>
    <mergeCell ref="H1558:I1558"/>
    <mergeCell ref="J1558:K1558"/>
    <mergeCell ref="L1558:M1558"/>
    <mergeCell ref="N1558:O1558"/>
    <mergeCell ref="P1560:Q1560"/>
    <mergeCell ref="R1560:S1560"/>
    <mergeCell ref="T1560:U1560"/>
    <mergeCell ref="V1560:W1560"/>
    <mergeCell ref="X1560:Y1560"/>
    <mergeCell ref="Z1560:AA1560"/>
    <mergeCell ref="AB1560:AC1560"/>
    <mergeCell ref="B1560:C1560"/>
    <mergeCell ref="D1560:E1560"/>
    <mergeCell ref="F1560:G1560"/>
    <mergeCell ref="H1560:I1560"/>
    <mergeCell ref="J1560:K1560"/>
    <mergeCell ref="L1560:M1560"/>
    <mergeCell ref="N1560:O1560"/>
    <mergeCell ref="AH1561:AI1561"/>
    <mergeCell ref="AJ1561:AK1561"/>
    <mergeCell ref="AL1561:BB1561"/>
    <mergeCell ref="B1561:C1561"/>
    <mergeCell ref="D1561:E1561"/>
    <mergeCell ref="F1561:G1561"/>
    <mergeCell ref="H1561:I1561"/>
    <mergeCell ref="J1561:K1561"/>
    <mergeCell ref="L1561:M1561"/>
    <mergeCell ref="N1561:O1561"/>
    <mergeCell ref="AD1561:AE1561"/>
    <mergeCell ref="AF1561:AG1561"/>
    <mergeCell ref="P1561:Q1561"/>
    <mergeCell ref="R1561:S1561"/>
    <mergeCell ref="T1561:U1561"/>
    <mergeCell ref="V1561:W1561"/>
    <mergeCell ref="X1561:Y1561"/>
    <mergeCell ref="Z1561:AA1561"/>
    <mergeCell ref="AB1561:AC1561"/>
    <mergeCell ref="AD1562:AE1562"/>
    <mergeCell ref="AF1562:AG1562"/>
    <mergeCell ref="AH1562:AI1562"/>
    <mergeCell ref="AJ1562:AK1562"/>
    <mergeCell ref="AL1562:BB1562"/>
    <mergeCell ref="P1562:Q1562"/>
    <mergeCell ref="R1562:S1562"/>
    <mergeCell ref="T1562:U1562"/>
    <mergeCell ref="V1562:W1562"/>
    <mergeCell ref="X1562:Y1562"/>
    <mergeCell ref="Z1562:AA1562"/>
    <mergeCell ref="AB1562:AC1562"/>
    <mergeCell ref="B1562:C1562"/>
    <mergeCell ref="D1562:E1562"/>
    <mergeCell ref="F1562:G1562"/>
    <mergeCell ref="H1562:I1562"/>
    <mergeCell ref="J1562:K1562"/>
    <mergeCell ref="L1562:M1562"/>
    <mergeCell ref="N1562:O1562"/>
    <mergeCell ref="AD1563:AE1563"/>
    <mergeCell ref="AF1563:AG1563"/>
    <mergeCell ref="AH1563:AI1563"/>
    <mergeCell ref="AJ1563:AK1563"/>
    <mergeCell ref="AL1563:BB1563"/>
    <mergeCell ref="AH1564:AI1564"/>
    <mergeCell ref="AJ1564:AK1564"/>
    <mergeCell ref="AL1564:BB1564"/>
    <mergeCell ref="B1564:C1564"/>
    <mergeCell ref="D1564:E1564"/>
    <mergeCell ref="F1564:G1564"/>
    <mergeCell ref="H1564:I1564"/>
    <mergeCell ref="J1564:K1564"/>
    <mergeCell ref="L1564:M1564"/>
    <mergeCell ref="N1564:O1564"/>
    <mergeCell ref="AD1549:AE1549"/>
    <mergeCell ref="AF1549:AG1549"/>
    <mergeCell ref="P1549:Q1549"/>
    <mergeCell ref="R1549:S1549"/>
    <mergeCell ref="T1549:U1549"/>
    <mergeCell ref="V1549:W1549"/>
    <mergeCell ref="X1549:Y1549"/>
    <mergeCell ref="Z1549:AA1549"/>
    <mergeCell ref="AB1549:AC1549"/>
    <mergeCell ref="AD1550:AE1550"/>
    <mergeCell ref="AF1550:AG1550"/>
    <mergeCell ref="AH1550:AI1550"/>
    <mergeCell ref="AJ1550:AK1550"/>
    <mergeCell ref="AL1550:BB1550"/>
    <mergeCell ref="P1550:Q1550"/>
    <mergeCell ref="R1550:S1550"/>
    <mergeCell ref="T1550:U1550"/>
    <mergeCell ref="V1550:W1550"/>
    <mergeCell ref="X1550:Y1550"/>
    <mergeCell ref="Z1550:AA1550"/>
    <mergeCell ref="AB1550:AC1550"/>
    <mergeCell ref="B1550:C1550"/>
    <mergeCell ref="D1550:E1550"/>
    <mergeCell ref="F1550:G1550"/>
    <mergeCell ref="H1550:I1550"/>
    <mergeCell ref="J1550:K1550"/>
    <mergeCell ref="L1550:M1550"/>
    <mergeCell ref="N1550:O1550"/>
    <mergeCell ref="AD1551:AE1551"/>
    <mergeCell ref="AF1551:AG1551"/>
    <mergeCell ref="AH1551:AI1551"/>
    <mergeCell ref="AJ1551:AK1551"/>
    <mergeCell ref="AL1551:BB1551"/>
    <mergeCell ref="AH1552:AI1552"/>
    <mergeCell ref="AJ1552:AK1552"/>
    <mergeCell ref="AL1552:BB1552"/>
    <mergeCell ref="B1552:C1552"/>
    <mergeCell ref="D1552:E1552"/>
    <mergeCell ref="F1552:G1552"/>
    <mergeCell ref="H1552:I1552"/>
    <mergeCell ref="J1552:K1552"/>
    <mergeCell ref="L1552:M1552"/>
    <mergeCell ref="N1552:O1552"/>
    <mergeCell ref="AD1552:AE1552"/>
    <mergeCell ref="AF1552:AG1552"/>
    <mergeCell ref="P1552:Q1552"/>
    <mergeCell ref="R1552:S1552"/>
    <mergeCell ref="T1552:U1552"/>
    <mergeCell ref="V1552:W1552"/>
    <mergeCell ref="AL1554:BB1554"/>
    <mergeCell ref="AH1555:AI1555"/>
    <mergeCell ref="AJ1555:AK1555"/>
    <mergeCell ref="AL1555:BB1555"/>
    <mergeCell ref="B1555:C1555"/>
    <mergeCell ref="D1555:E1555"/>
    <mergeCell ref="F1555:G1555"/>
    <mergeCell ref="H1555:I1555"/>
    <mergeCell ref="J1555:K1555"/>
    <mergeCell ref="L1555:M1555"/>
    <mergeCell ref="N1555:O1555"/>
    <mergeCell ref="P1557:Q1557"/>
    <mergeCell ref="R1557:S1557"/>
    <mergeCell ref="T1557:U1557"/>
    <mergeCell ref="V1557:W1557"/>
    <mergeCell ref="X1557:Y1557"/>
    <mergeCell ref="Z1557:AA1557"/>
    <mergeCell ref="AB1557:AC1557"/>
    <mergeCell ref="B1557:C1557"/>
    <mergeCell ref="D1557:E1557"/>
    <mergeCell ref="F1557:G1557"/>
    <mergeCell ref="H1557:I1557"/>
    <mergeCell ref="J1557:K1557"/>
    <mergeCell ref="L1557:M1557"/>
    <mergeCell ref="N1557:O1557"/>
    <mergeCell ref="AD1555:AE1555"/>
    <mergeCell ref="AF1555:AG1555"/>
    <mergeCell ref="P1555:Q1555"/>
    <mergeCell ref="R1555:S1555"/>
    <mergeCell ref="T1555:U1555"/>
    <mergeCell ref="V1555:W1555"/>
    <mergeCell ref="X1555:Y1555"/>
    <mergeCell ref="Z1555:AA1555"/>
    <mergeCell ref="AB1555:AC1555"/>
    <mergeCell ref="AD1556:AE1556"/>
    <mergeCell ref="AF1556:AG1556"/>
    <mergeCell ref="AH1556:AI1556"/>
    <mergeCell ref="AJ1556:AK1556"/>
    <mergeCell ref="AL1556:BB1556"/>
    <mergeCell ref="P1556:Q1556"/>
    <mergeCell ref="R1556:S1556"/>
    <mergeCell ref="T1556:U1556"/>
    <mergeCell ref="V1556:W1556"/>
    <mergeCell ref="X1556:Y1556"/>
    <mergeCell ref="Z1556:AA1556"/>
    <mergeCell ref="AB1556:AC1556"/>
    <mergeCell ref="B1556:C1556"/>
    <mergeCell ref="D1556:E1556"/>
    <mergeCell ref="F1556:G1556"/>
    <mergeCell ref="H1556:I1556"/>
    <mergeCell ref="J1556:K1556"/>
    <mergeCell ref="L1556:M1556"/>
    <mergeCell ref="N1556:O1556"/>
    <mergeCell ref="AD1557:AE1557"/>
    <mergeCell ref="AF1557:AG1557"/>
    <mergeCell ref="AH1557:AI1557"/>
    <mergeCell ref="AJ1557:AK1557"/>
    <mergeCell ref="AL1557:BB1557"/>
    <mergeCell ref="P1563:Q1563"/>
    <mergeCell ref="R1563:S1563"/>
    <mergeCell ref="T1563:U1563"/>
    <mergeCell ref="V1563:W1563"/>
    <mergeCell ref="X1563:Y1563"/>
    <mergeCell ref="Z1563:AA1563"/>
    <mergeCell ref="AB1563:AC1563"/>
    <mergeCell ref="B1563:C1563"/>
    <mergeCell ref="D1563:E1563"/>
    <mergeCell ref="F1563:G1563"/>
    <mergeCell ref="H1563:I1563"/>
    <mergeCell ref="J1563:K1563"/>
    <mergeCell ref="L1563:M1563"/>
    <mergeCell ref="N1563:O1563"/>
    <mergeCell ref="AD1585:AE1585"/>
    <mergeCell ref="AF1585:AG1585"/>
    <mergeCell ref="AH1585:AI1585"/>
    <mergeCell ref="AJ1585:AK1585"/>
    <mergeCell ref="AL1585:BB1585"/>
    <mergeCell ref="P1585:Q1585"/>
    <mergeCell ref="R1585:S1585"/>
    <mergeCell ref="T1585:U1585"/>
    <mergeCell ref="V1585:W1585"/>
    <mergeCell ref="X1585:Y1585"/>
    <mergeCell ref="Z1585:AA1585"/>
    <mergeCell ref="AB1585:AC1585"/>
    <mergeCell ref="P1566:Q1566"/>
    <mergeCell ref="R1566:S1566"/>
    <mergeCell ref="T1566:U1566"/>
    <mergeCell ref="V1566:W1566"/>
    <mergeCell ref="X1566:Y1566"/>
    <mergeCell ref="Z1566:AA1566"/>
    <mergeCell ref="AB1566:AC1566"/>
    <mergeCell ref="B1566:C1566"/>
    <mergeCell ref="D1566:E1566"/>
    <mergeCell ref="F1566:G1566"/>
    <mergeCell ref="H1566:I1566"/>
    <mergeCell ref="J1566:K1566"/>
    <mergeCell ref="L1566:M1566"/>
    <mergeCell ref="N1566:O1566"/>
    <mergeCell ref="AD1564:AE1564"/>
    <mergeCell ref="AF1564:AG1564"/>
    <mergeCell ref="P1564:Q1564"/>
    <mergeCell ref="R1564:S1564"/>
    <mergeCell ref="T1564:U1564"/>
    <mergeCell ref="V1564:W1564"/>
    <mergeCell ref="X1564:Y1564"/>
    <mergeCell ref="Z1564:AA1564"/>
    <mergeCell ref="AB1564:AC1564"/>
    <mergeCell ref="AD1565:AE1565"/>
    <mergeCell ref="AF1565:AG1565"/>
    <mergeCell ref="AH1565:AI1565"/>
    <mergeCell ref="AJ1565:AK1565"/>
    <mergeCell ref="AL1565:BB1565"/>
    <mergeCell ref="P1565:Q1565"/>
    <mergeCell ref="R1565:S1565"/>
    <mergeCell ref="T1565:U1565"/>
    <mergeCell ref="V1565:W1565"/>
    <mergeCell ref="X1565:Y1565"/>
    <mergeCell ref="Z1565:AA1565"/>
    <mergeCell ref="AB1565:AC1565"/>
    <mergeCell ref="B1565:C1565"/>
    <mergeCell ref="D1565:E1565"/>
    <mergeCell ref="F1565:G1565"/>
    <mergeCell ref="H1565:I1565"/>
    <mergeCell ref="J1565:K1565"/>
    <mergeCell ref="L1565:M1565"/>
    <mergeCell ref="N1565:O1565"/>
    <mergeCell ref="AD1566:AE1566"/>
    <mergeCell ref="AF1566:AG1566"/>
    <mergeCell ref="AH1566:AI1566"/>
    <mergeCell ref="AJ1566:AK1566"/>
    <mergeCell ref="AL1566:BB1566"/>
    <mergeCell ref="AH1567:AI1567"/>
    <mergeCell ref="AJ1567:AK1567"/>
    <mergeCell ref="AL1567:BB1567"/>
    <mergeCell ref="B1567:C1567"/>
    <mergeCell ref="D1567:E1567"/>
    <mergeCell ref="F1567:G1567"/>
    <mergeCell ref="H1567:I1567"/>
    <mergeCell ref="J1567:K1567"/>
    <mergeCell ref="L1567:M1567"/>
    <mergeCell ref="N1567:O1567"/>
    <mergeCell ref="P1569:Q1569"/>
    <mergeCell ref="R1569:S1569"/>
    <mergeCell ref="T1569:U1569"/>
    <mergeCell ref="V1569:W1569"/>
    <mergeCell ref="X1569:Y1569"/>
    <mergeCell ref="Z1569:AA1569"/>
    <mergeCell ref="AB1569:AC1569"/>
    <mergeCell ref="B1569:C1569"/>
    <mergeCell ref="D1569:E1569"/>
    <mergeCell ref="F1569:G1569"/>
    <mergeCell ref="H1569:I1569"/>
    <mergeCell ref="J1569:K1569"/>
    <mergeCell ref="L1569:M1569"/>
    <mergeCell ref="N1569:O1569"/>
    <mergeCell ref="AD1567:AE1567"/>
    <mergeCell ref="AF1567:AG1567"/>
    <mergeCell ref="P1567:Q1567"/>
    <mergeCell ref="R1567:S1567"/>
    <mergeCell ref="T1567:U1567"/>
    <mergeCell ref="V1567:W1567"/>
    <mergeCell ref="X1567:Y1567"/>
    <mergeCell ref="Z1567:AA1567"/>
    <mergeCell ref="AB1567:AC1567"/>
    <mergeCell ref="AD1568:AE1568"/>
    <mergeCell ref="AF1568:AG1568"/>
    <mergeCell ref="AH1568:AI1568"/>
    <mergeCell ref="AJ1568:AK1568"/>
    <mergeCell ref="AL1568:BB1568"/>
    <mergeCell ref="P1568:Q1568"/>
    <mergeCell ref="R1568:S1568"/>
    <mergeCell ref="T1568:U1568"/>
    <mergeCell ref="V1568:W1568"/>
    <mergeCell ref="X1568:Y1568"/>
    <mergeCell ref="Z1568:AA1568"/>
    <mergeCell ref="AB1568:AC1568"/>
    <mergeCell ref="B1568:C1568"/>
    <mergeCell ref="D1568:E1568"/>
    <mergeCell ref="F1568:G1568"/>
    <mergeCell ref="H1568:I1568"/>
    <mergeCell ref="J1568:K1568"/>
    <mergeCell ref="L1568:M1568"/>
    <mergeCell ref="N1568:O1568"/>
    <mergeCell ref="AD1569:AE1569"/>
    <mergeCell ref="AF1569:AG1569"/>
    <mergeCell ref="AH1569:AI1569"/>
    <mergeCell ref="AJ1569:AK1569"/>
    <mergeCell ref="AL1569:BB1569"/>
    <mergeCell ref="AH1570:AI1570"/>
    <mergeCell ref="AJ1570:AK1570"/>
    <mergeCell ref="AL1570:BB1570"/>
    <mergeCell ref="B1570:C1570"/>
    <mergeCell ref="D1570:E1570"/>
    <mergeCell ref="F1570:G1570"/>
    <mergeCell ref="H1570:I1570"/>
    <mergeCell ref="J1570:K1570"/>
    <mergeCell ref="L1570:M1570"/>
    <mergeCell ref="N1570:O1570"/>
    <mergeCell ref="P1572:Q1572"/>
    <mergeCell ref="R1572:S1572"/>
    <mergeCell ref="T1572:U1572"/>
    <mergeCell ref="V1572:W1572"/>
    <mergeCell ref="X1572:Y1572"/>
    <mergeCell ref="Z1572:AA1572"/>
    <mergeCell ref="AB1572:AC1572"/>
    <mergeCell ref="B1572:C1572"/>
    <mergeCell ref="D1572:E1572"/>
    <mergeCell ref="F1572:G1572"/>
    <mergeCell ref="H1572:I1572"/>
    <mergeCell ref="J1572:K1572"/>
    <mergeCell ref="L1572:M1572"/>
    <mergeCell ref="N1572:O1572"/>
    <mergeCell ref="AD1570:AE1570"/>
    <mergeCell ref="AF1570:AG1570"/>
    <mergeCell ref="P1570:Q1570"/>
    <mergeCell ref="R1570:S1570"/>
    <mergeCell ref="T1570:U1570"/>
    <mergeCell ref="V1570:W1570"/>
    <mergeCell ref="X1570:Y1570"/>
    <mergeCell ref="Z1570:AA1570"/>
    <mergeCell ref="AB1570:AC1570"/>
    <mergeCell ref="AD1571:AE1571"/>
    <mergeCell ref="AF1571:AG1571"/>
    <mergeCell ref="AH1571:AI1571"/>
    <mergeCell ref="AJ1571:AK1571"/>
    <mergeCell ref="AL1571:BB1571"/>
    <mergeCell ref="P1571:Q1571"/>
    <mergeCell ref="R1571:S1571"/>
    <mergeCell ref="T1571:U1571"/>
    <mergeCell ref="V1571:W1571"/>
    <mergeCell ref="X1571:Y1571"/>
    <mergeCell ref="Z1571:AA1571"/>
    <mergeCell ref="AB1571:AC1571"/>
    <mergeCell ref="B1571:C1571"/>
    <mergeCell ref="D1571:E1571"/>
    <mergeCell ref="F1571:G1571"/>
    <mergeCell ref="H1571:I1571"/>
    <mergeCell ref="J1571:K1571"/>
    <mergeCell ref="L1571:M1571"/>
    <mergeCell ref="N1571:O1571"/>
    <mergeCell ref="AD1572:AE1572"/>
    <mergeCell ref="AF1572:AG1572"/>
    <mergeCell ref="AH1572:AI1572"/>
    <mergeCell ref="AJ1572:AK1572"/>
    <mergeCell ref="AL1572:BB1572"/>
    <mergeCell ref="AH1573:AI1573"/>
    <mergeCell ref="AJ1573:AK1573"/>
    <mergeCell ref="AL1573:BB1573"/>
    <mergeCell ref="B1573:C1573"/>
    <mergeCell ref="D1573:E1573"/>
    <mergeCell ref="F1573:G1573"/>
    <mergeCell ref="H1573:I1573"/>
    <mergeCell ref="J1573:K1573"/>
    <mergeCell ref="L1573:M1573"/>
    <mergeCell ref="N1573:O1573"/>
    <mergeCell ref="P1575:Q1575"/>
    <mergeCell ref="R1575:S1575"/>
    <mergeCell ref="T1575:U1575"/>
    <mergeCell ref="V1575:W1575"/>
    <mergeCell ref="X1575:Y1575"/>
    <mergeCell ref="Z1575:AA1575"/>
    <mergeCell ref="AB1575:AC1575"/>
    <mergeCell ref="B1575:C1575"/>
    <mergeCell ref="D1575:E1575"/>
    <mergeCell ref="F1575:G1575"/>
    <mergeCell ref="H1575:I1575"/>
    <mergeCell ref="J1575:K1575"/>
    <mergeCell ref="L1575:M1575"/>
    <mergeCell ref="N1575:O1575"/>
    <mergeCell ref="AD1573:AE1573"/>
    <mergeCell ref="AF1573:AG1573"/>
    <mergeCell ref="P1573:Q1573"/>
    <mergeCell ref="R1573:S1573"/>
    <mergeCell ref="T1573:U1573"/>
    <mergeCell ref="V1573:W1573"/>
    <mergeCell ref="X1573:Y1573"/>
    <mergeCell ref="Z1573:AA1573"/>
    <mergeCell ref="AB1573:AC1573"/>
    <mergeCell ref="AD1574:AE1574"/>
    <mergeCell ref="AF1574:AG1574"/>
    <mergeCell ref="AH1574:AI1574"/>
    <mergeCell ref="AJ1574:AK1574"/>
    <mergeCell ref="AL1574:BB1574"/>
    <mergeCell ref="P1574:Q1574"/>
    <mergeCell ref="R1574:S1574"/>
    <mergeCell ref="T1574:U1574"/>
    <mergeCell ref="V1574:W1574"/>
    <mergeCell ref="X1574:Y1574"/>
    <mergeCell ref="Z1574:AA1574"/>
    <mergeCell ref="AB1574:AC1574"/>
    <mergeCell ref="B1574:C1574"/>
    <mergeCell ref="D1574:E1574"/>
    <mergeCell ref="F1574:G1574"/>
    <mergeCell ref="H1574:I1574"/>
    <mergeCell ref="J1574:K1574"/>
    <mergeCell ref="L1574:M1574"/>
    <mergeCell ref="N1574:O1574"/>
    <mergeCell ref="AD1575:AE1575"/>
    <mergeCell ref="AF1575:AG1575"/>
    <mergeCell ref="AH1575:AI1575"/>
    <mergeCell ref="AJ1575:AK1575"/>
    <mergeCell ref="AL1575:BB1575"/>
    <mergeCell ref="AH1576:AI1576"/>
    <mergeCell ref="AJ1576:AK1576"/>
    <mergeCell ref="AL1576:BB1576"/>
    <mergeCell ref="B1576:C1576"/>
    <mergeCell ref="D1576:E1576"/>
    <mergeCell ref="F1576:G1576"/>
    <mergeCell ref="H1576:I1576"/>
    <mergeCell ref="J1576:K1576"/>
    <mergeCell ref="L1576:M1576"/>
    <mergeCell ref="N1576:O1576"/>
    <mergeCell ref="P1578:Q1578"/>
    <mergeCell ref="R1578:S1578"/>
    <mergeCell ref="T1578:U1578"/>
    <mergeCell ref="V1578:W1578"/>
    <mergeCell ref="X1578:Y1578"/>
    <mergeCell ref="Z1578:AA1578"/>
    <mergeCell ref="AB1578:AC1578"/>
    <mergeCell ref="B1578:C1578"/>
    <mergeCell ref="D1578:E1578"/>
    <mergeCell ref="F1578:G1578"/>
    <mergeCell ref="H1578:I1578"/>
    <mergeCell ref="J1578:K1578"/>
    <mergeCell ref="L1578:M1578"/>
    <mergeCell ref="N1578:O1578"/>
    <mergeCell ref="AD1576:AE1576"/>
    <mergeCell ref="AF1576:AG1576"/>
    <mergeCell ref="P1576:Q1576"/>
    <mergeCell ref="R1576:S1576"/>
    <mergeCell ref="T1576:U1576"/>
    <mergeCell ref="V1576:W1576"/>
    <mergeCell ref="X1576:Y1576"/>
    <mergeCell ref="Z1576:AA1576"/>
    <mergeCell ref="AB1576:AC1576"/>
    <mergeCell ref="AD1577:AE1577"/>
    <mergeCell ref="AF1577:AG1577"/>
    <mergeCell ref="AH1577:AI1577"/>
    <mergeCell ref="AJ1577:AK1577"/>
    <mergeCell ref="AL1577:BB1577"/>
    <mergeCell ref="P1577:Q1577"/>
    <mergeCell ref="R1577:S1577"/>
    <mergeCell ref="T1577:U1577"/>
    <mergeCell ref="V1577:W1577"/>
    <mergeCell ref="X1577:Y1577"/>
    <mergeCell ref="Z1577:AA1577"/>
    <mergeCell ref="AB1577:AC1577"/>
    <mergeCell ref="B1577:C1577"/>
    <mergeCell ref="D1577:E1577"/>
    <mergeCell ref="F1577:G1577"/>
    <mergeCell ref="H1577:I1577"/>
    <mergeCell ref="J1577:K1577"/>
    <mergeCell ref="L1577:M1577"/>
    <mergeCell ref="N1577:O1577"/>
    <mergeCell ref="AD1578:AE1578"/>
    <mergeCell ref="AF1578:AG1578"/>
    <mergeCell ref="AH1578:AI1578"/>
    <mergeCell ref="AJ1578:AK1578"/>
    <mergeCell ref="AL1578:BB1578"/>
    <mergeCell ref="AH1579:AI1579"/>
    <mergeCell ref="AJ1579:AK1579"/>
    <mergeCell ref="AL1579:BB1579"/>
    <mergeCell ref="B1579:C1579"/>
    <mergeCell ref="D1579:E1579"/>
    <mergeCell ref="F1579:G1579"/>
    <mergeCell ref="H1579:I1579"/>
    <mergeCell ref="J1579:K1579"/>
    <mergeCell ref="L1579:M1579"/>
    <mergeCell ref="N1579:O1579"/>
    <mergeCell ref="P1581:Q1581"/>
    <mergeCell ref="R1581:S1581"/>
    <mergeCell ref="T1581:U1581"/>
    <mergeCell ref="V1581:W1581"/>
    <mergeCell ref="X1581:Y1581"/>
    <mergeCell ref="Z1581:AA1581"/>
    <mergeCell ref="AB1581:AC1581"/>
    <mergeCell ref="B1581:C1581"/>
    <mergeCell ref="D1581:E1581"/>
    <mergeCell ref="F1581:G1581"/>
    <mergeCell ref="H1581:I1581"/>
    <mergeCell ref="J1581:K1581"/>
    <mergeCell ref="L1581:M1581"/>
    <mergeCell ref="N1581:O1581"/>
    <mergeCell ref="AD1579:AE1579"/>
    <mergeCell ref="AF1579:AG1579"/>
    <mergeCell ref="P1579:Q1579"/>
    <mergeCell ref="R1579:S1579"/>
    <mergeCell ref="T1579:U1579"/>
    <mergeCell ref="V1579:W1579"/>
    <mergeCell ref="X1579:Y1579"/>
    <mergeCell ref="Z1579:AA1579"/>
    <mergeCell ref="AB1579:AC1579"/>
    <mergeCell ref="AD1580:AE1580"/>
    <mergeCell ref="AF1580:AG1580"/>
    <mergeCell ref="AH1580:AI1580"/>
    <mergeCell ref="AJ1580:AK1580"/>
    <mergeCell ref="AL1580:BB1580"/>
    <mergeCell ref="P1580:Q1580"/>
    <mergeCell ref="R1580:S1580"/>
    <mergeCell ref="T1580:U1580"/>
    <mergeCell ref="V1580:W1580"/>
    <mergeCell ref="X1580:Y1580"/>
    <mergeCell ref="Z1580:AA1580"/>
    <mergeCell ref="AB1580:AC1580"/>
    <mergeCell ref="B1580:C1580"/>
    <mergeCell ref="D1580:E1580"/>
    <mergeCell ref="F1580:G1580"/>
    <mergeCell ref="H1580:I1580"/>
    <mergeCell ref="J1580:K1580"/>
    <mergeCell ref="L1580:M1580"/>
    <mergeCell ref="N1580:O1580"/>
    <mergeCell ref="AD1581:AE1581"/>
    <mergeCell ref="AF1581:AG1581"/>
    <mergeCell ref="AH1581:AI1581"/>
    <mergeCell ref="AJ1581:AK1581"/>
    <mergeCell ref="AL1581:BB1581"/>
    <mergeCell ref="AH1582:AI1582"/>
    <mergeCell ref="AJ1582:AK1582"/>
    <mergeCell ref="AL1582:BB1582"/>
    <mergeCell ref="B1582:C1582"/>
    <mergeCell ref="D1582:E1582"/>
    <mergeCell ref="F1582:G1582"/>
    <mergeCell ref="H1582:I1582"/>
    <mergeCell ref="J1582:K1582"/>
    <mergeCell ref="L1582:M1582"/>
    <mergeCell ref="N1582:O1582"/>
    <mergeCell ref="P1584:Q1584"/>
    <mergeCell ref="R1584:S1584"/>
    <mergeCell ref="T1584:U1584"/>
    <mergeCell ref="V1584:W1584"/>
    <mergeCell ref="X1584:Y1584"/>
    <mergeCell ref="Z1584:AA1584"/>
    <mergeCell ref="AB1584:AC1584"/>
    <mergeCell ref="B1584:C1584"/>
    <mergeCell ref="D1584:E1584"/>
    <mergeCell ref="F1584:G1584"/>
    <mergeCell ref="H1584:I1584"/>
    <mergeCell ref="J1584:K1584"/>
    <mergeCell ref="L1584:M1584"/>
    <mergeCell ref="N1584:O1584"/>
    <mergeCell ref="AD1582:AE1582"/>
    <mergeCell ref="AF1582:AG1582"/>
    <mergeCell ref="P1582:Q1582"/>
    <mergeCell ref="R1582:S1582"/>
    <mergeCell ref="T1582:U1582"/>
    <mergeCell ref="V1582:W1582"/>
    <mergeCell ref="X1582:Y1582"/>
    <mergeCell ref="Z1582:AA1582"/>
    <mergeCell ref="AB1582:AC1582"/>
    <mergeCell ref="AD1583:AE1583"/>
    <mergeCell ref="AF1583:AG1583"/>
    <mergeCell ref="AH1583:AI1583"/>
    <mergeCell ref="AJ1583:AK1583"/>
    <mergeCell ref="AL1583:BB1583"/>
    <mergeCell ref="P1583:Q1583"/>
    <mergeCell ref="R1583:S1583"/>
    <mergeCell ref="T1583:U1583"/>
    <mergeCell ref="V1583:W1583"/>
    <mergeCell ref="X1583:Y1583"/>
    <mergeCell ref="Z1583:AA1583"/>
    <mergeCell ref="AB1583:AC1583"/>
    <mergeCell ref="B1583:C1583"/>
    <mergeCell ref="D1583:E1583"/>
    <mergeCell ref="F1583:G1583"/>
    <mergeCell ref="H1583:I1583"/>
    <mergeCell ref="J1583:K1583"/>
    <mergeCell ref="L1583:M1583"/>
    <mergeCell ref="N1583:O1583"/>
    <mergeCell ref="AD1584:AE1584"/>
    <mergeCell ref="AF1584:AG1584"/>
    <mergeCell ref="AH1584:AI1584"/>
    <mergeCell ref="AJ1584:AK1584"/>
    <mergeCell ref="AL1584:BB1584"/>
    <mergeCell ref="B1585:C1585"/>
    <mergeCell ref="D1585:E1585"/>
    <mergeCell ref="F1585:G1585"/>
    <mergeCell ref="H1585:I1585"/>
    <mergeCell ref="J1585:K1585"/>
    <mergeCell ref="L1585:M1585"/>
    <mergeCell ref="N1585:O1585"/>
    <mergeCell ref="AD1586:AE1586"/>
    <mergeCell ref="AF1586:AG1586"/>
    <mergeCell ref="AH1586:AI1586"/>
    <mergeCell ref="AJ1586:AK1586"/>
    <mergeCell ref="AL1586:BB1586"/>
    <mergeCell ref="P1586:Q1586"/>
    <mergeCell ref="R1586:S1586"/>
    <mergeCell ref="T1586:U1586"/>
    <mergeCell ref="V1586:W1586"/>
    <mergeCell ref="X1586:Y1586"/>
    <mergeCell ref="Z1586:AA1586"/>
    <mergeCell ref="AB1586:AC1586"/>
    <mergeCell ref="B1586:C1586"/>
    <mergeCell ref="D1586:E1586"/>
    <mergeCell ref="F1586:G1586"/>
    <mergeCell ref="H1586:I1586"/>
    <mergeCell ref="J1586:K1586"/>
    <mergeCell ref="L1586:M1586"/>
    <mergeCell ref="N1586:O1586"/>
    <mergeCell ref="AD1587:AE1587"/>
    <mergeCell ref="AF1587:AG1587"/>
    <mergeCell ref="AH1587:AI1587"/>
    <mergeCell ref="AJ1587:AK1587"/>
    <mergeCell ref="AL1587:BB1587"/>
    <mergeCell ref="P1587:Q1587"/>
    <mergeCell ref="R1587:S1587"/>
    <mergeCell ref="T1587:U1587"/>
    <mergeCell ref="V1587:W1587"/>
    <mergeCell ref="X1587:Y1587"/>
    <mergeCell ref="Z1587:AA1587"/>
    <mergeCell ref="AB1587:AC1587"/>
    <mergeCell ref="B1587:C1587"/>
    <mergeCell ref="D1587:E1587"/>
    <mergeCell ref="F1587:G1587"/>
    <mergeCell ref="H1587:I1587"/>
    <mergeCell ref="J1587:K1587"/>
    <mergeCell ref="L1587:M1587"/>
    <mergeCell ref="N1587:O1587"/>
    <mergeCell ref="AH1588:AI1588"/>
    <mergeCell ref="AJ1588:AK1588"/>
    <mergeCell ref="AL1588:BB1588"/>
    <mergeCell ref="B1588:C1588"/>
    <mergeCell ref="D1588:E1588"/>
    <mergeCell ref="F1588:G1588"/>
    <mergeCell ref="H1588:I1588"/>
    <mergeCell ref="J1588:K1588"/>
    <mergeCell ref="L1588:M1588"/>
    <mergeCell ref="N1588:O1588"/>
    <mergeCell ref="P1590:Q1590"/>
    <mergeCell ref="R1590:S1590"/>
    <mergeCell ref="T1590:U1590"/>
    <mergeCell ref="V1590:W1590"/>
    <mergeCell ref="X1590:Y1590"/>
    <mergeCell ref="Z1590:AA1590"/>
    <mergeCell ref="AB1590:AC1590"/>
    <mergeCell ref="B1590:C1590"/>
    <mergeCell ref="D1590:E1590"/>
    <mergeCell ref="F1590:G1590"/>
    <mergeCell ref="H1590:I1590"/>
    <mergeCell ref="J1590:K1590"/>
    <mergeCell ref="L1590:M1590"/>
    <mergeCell ref="N1590:O1590"/>
    <mergeCell ref="AD1588:AE1588"/>
    <mergeCell ref="AF1588:AG1588"/>
    <mergeCell ref="P1588:Q1588"/>
    <mergeCell ref="R1588:S1588"/>
    <mergeCell ref="T1588:U1588"/>
    <mergeCell ref="V1588:W1588"/>
    <mergeCell ref="X1588:Y1588"/>
    <mergeCell ref="Z1588:AA1588"/>
    <mergeCell ref="AB1588:AC1588"/>
    <mergeCell ref="AD1589:AE1589"/>
    <mergeCell ref="AF1589:AG1589"/>
    <mergeCell ref="AH1589:AI1589"/>
    <mergeCell ref="AJ1589:AK1589"/>
    <mergeCell ref="AL1589:BB1589"/>
    <mergeCell ref="P1589:Q1589"/>
    <mergeCell ref="R1589:S1589"/>
    <mergeCell ref="T1589:U1589"/>
    <mergeCell ref="V1589:W1589"/>
    <mergeCell ref="X1589:Y1589"/>
    <mergeCell ref="Z1589:AA1589"/>
    <mergeCell ref="AB1589:AC1589"/>
    <mergeCell ref="B1589:C1589"/>
    <mergeCell ref="D1589:E1589"/>
    <mergeCell ref="F1589:G1589"/>
    <mergeCell ref="H1589:I1589"/>
    <mergeCell ref="J1589:K1589"/>
    <mergeCell ref="L1589:M1589"/>
    <mergeCell ref="N1589:O1589"/>
    <mergeCell ref="AD1590:AE1590"/>
    <mergeCell ref="AF1590:AG1590"/>
    <mergeCell ref="AH1590:AI1590"/>
    <mergeCell ref="AJ1590:AK1590"/>
    <mergeCell ref="AL1590:BB1590"/>
    <mergeCell ref="P1596:Q1596"/>
    <mergeCell ref="R1596:S1596"/>
    <mergeCell ref="T1596:U1596"/>
    <mergeCell ref="V1596:W1596"/>
    <mergeCell ref="X1596:Y1596"/>
    <mergeCell ref="Z1596:AA1596"/>
    <mergeCell ref="AB1596:AC1596"/>
    <mergeCell ref="B1596:C1596"/>
    <mergeCell ref="D1596:E1596"/>
    <mergeCell ref="F1596:G1596"/>
    <mergeCell ref="H1596:I1596"/>
    <mergeCell ref="J1596:K1596"/>
    <mergeCell ref="L1596:M1596"/>
    <mergeCell ref="N1596:O1596"/>
    <mergeCell ref="AH1595:AI1595"/>
    <mergeCell ref="AJ1595:AK1595"/>
    <mergeCell ref="AL1595:BB1595"/>
    <mergeCell ref="P1595:Q1595"/>
    <mergeCell ref="R1595:S1595"/>
    <mergeCell ref="T1595:U1595"/>
    <mergeCell ref="V1595:W1595"/>
    <mergeCell ref="X1595:Y1595"/>
    <mergeCell ref="Z1595:AA1595"/>
    <mergeCell ref="AB1595:AC1595"/>
    <mergeCell ref="B1595:C1595"/>
    <mergeCell ref="D1595:E1595"/>
    <mergeCell ref="F1595:G1595"/>
    <mergeCell ref="H1595:I1595"/>
    <mergeCell ref="J1595:K1595"/>
    <mergeCell ref="L1595:M1595"/>
    <mergeCell ref="N1595:O1595"/>
    <mergeCell ref="AD1596:AE1596"/>
    <mergeCell ref="AF1596:AG1596"/>
    <mergeCell ref="AH1596:AI1596"/>
    <mergeCell ref="AJ1596:AK1596"/>
    <mergeCell ref="AL1596:BB1596"/>
    <mergeCell ref="AD172:AE172"/>
    <mergeCell ref="AF172:AG172"/>
    <mergeCell ref="P172:Q172"/>
    <mergeCell ref="R172:S172"/>
    <mergeCell ref="T172:U172"/>
    <mergeCell ref="V172:W172"/>
    <mergeCell ref="X172:Y172"/>
    <mergeCell ref="Z172:AA172"/>
    <mergeCell ref="AB172:AC172"/>
    <mergeCell ref="AD173:AE173"/>
    <mergeCell ref="AF173:AG173"/>
    <mergeCell ref="AH173:AI173"/>
    <mergeCell ref="AJ173:AK173"/>
    <mergeCell ref="AL173:BB173"/>
    <mergeCell ref="P173:Q173"/>
    <mergeCell ref="R173:S173"/>
    <mergeCell ref="T173:U173"/>
    <mergeCell ref="V173:W173"/>
    <mergeCell ref="X173:Y173"/>
    <mergeCell ref="Z173:AA173"/>
    <mergeCell ref="AB173:AC173"/>
    <mergeCell ref="B173:C173"/>
    <mergeCell ref="D173:E173"/>
    <mergeCell ref="F173:G173"/>
    <mergeCell ref="H173:I173"/>
    <mergeCell ref="J173:K173"/>
    <mergeCell ref="L173:M173"/>
    <mergeCell ref="N173:O173"/>
    <mergeCell ref="AD174:AE174"/>
    <mergeCell ref="AF174:AG174"/>
    <mergeCell ref="AH174:AI174"/>
    <mergeCell ref="AJ174:AK174"/>
    <mergeCell ref="AL174:BB174"/>
    <mergeCell ref="AH172:AI172"/>
    <mergeCell ref="AJ172:AK172"/>
    <mergeCell ref="AL172:BB172"/>
    <mergeCell ref="B172:C172"/>
    <mergeCell ref="D172:E172"/>
    <mergeCell ref="F172:G172"/>
    <mergeCell ref="H172:I172"/>
    <mergeCell ref="J172:K172"/>
    <mergeCell ref="L172:M172"/>
    <mergeCell ref="N172:O172"/>
    <mergeCell ref="P174:Q174"/>
    <mergeCell ref="R174:S174"/>
    <mergeCell ref="T174:U174"/>
    <mergeCell ref="V174:W174"/>
    <mergeCell ref="X174:Y174"/>
    <mergeCell ref="Z174:AA174"/>
    <mergeCell ref="AB174:AC174"/>
    <mergeCell ref="B174:C174"/>
    <mergeCell ref="D174:E174"/>
    <mergeCell ref="F174:G174"/>
    <mergeCell ref="H174:I174"/>
    <mergeCell ref="J174:K174"/>
    <mergeCell ref="L174:M174"/>
    <mergeCell ref="N174:O174"/>
    <mergeCell ref="AH175:AI175"/>
    <mergeCell ref="AJ175:AK175"/>
    <mergeCell ref="AL175:BB175"/>
    <mergeCell ref="B175:C175"/>
    <mergeCell ref="D175:E175"/>
    <mergeCell ref="F175:G175"/>
    <mergeCell ref="H175:I175"/>
    <mergeCell ref="J175:K175"/>
    <mergeCell ref="L175:M175"/>
    <mergeCell ref="N175:O175"/>
    <mergeCell ref="AD175:AE175"/>
    <mergeCell ref="AF175:AG175"/>
    <mergeCell ref="P175:Q175"/>
    <mergeCell ref="R175:S175"/>
    <mergeCell ref="T175:U175"/>
    <mergeCell ref="V175:W175"/>
    <mergeCell ref="X175:Y175"/>
    <mergeCell ref="Z175:AA175"/>
    <mergeCell ref="AB175:AC175"/>
    <mergeCell ref="AD176:AE176"/>
    <mergeCell ref="AF176:AG176"/>
    <mergeCell ref="AH176:AI176"/>
    <mergeCell ref="AJ176:AK176"/>
    <mergeCell ref="AL176:BB176"/>
    <mergeCell ref="P176:Q176"/>
    <mergeCell ref="R176:S176"/>
    <mergeCell ref="T176:U176"/>
    <mergeCell ref="V176:W176"/>
    <mergeCell ref="X176:Y176"/>
    <mergeCell ref="Z176:AA176"/>
    <mergeCell ref="AB176:AC176"/>
    <mergeCell ref="B176:C176"/>
    <mergeCell ref="D176:E176"/>
    <mergeCell ref="F176:G176"/>
    <mergeCell ref="H176:I176"/>
    <mergeCell ref="J176:K176"/>
    <mergeCell ref="L176:M176"/>
    <mergeCell ref="N176:O176"/>
    <mergeCell ref="AD177:AE177"/>
    <mergeCell ref="AF177:AG177"/>
    <mergeCell ref="AH177:AI177"/>
    <mergeCell ref="AJ177:AK177"/>
    <mergeCell ref="AL177:BB177"/>
    <mergeCell ref="AH178:AI178"/>
    <mergeCell ref="AJ178:AK178"/>
    <mergeCell ref="AL178:BB178"/>
    <mergeCell ref="B178:C178"/>
    <mergeCell ref="D178:E178"/>
    <mergeCell ref="F178:G178"/>
    <mergeCell ref="H178:I178"/>
    <mergeCell ref="J178:K178"/>
    <mergeCell ref="L178:M178"/>
    <mergeCell ref="N178:O178"/>
    <mergeCell ref="AD163:AE163"/>
    <mergeCell ref="AF163:AG163"/>
    <mergeCell ref="P163:Q163"/>
    <mergeCell ref="R163:S163"/>
    <mergeCell ref="T163:U163"/>
    <mergeCell ref="V163:W163"/>
    <mergeCell ref="X163:Y163"/>
    <mergeCell ref="Z163:AA163"/>
    <mergeCell ref="AB163:AC163"/>
    <mergeCell ref="AD164:AE164"/>
    <mergeCell ref="AF164:AG164"/>
    <mergeCell ref="AH164:AI164"/>
    <mergeCell ref="AJ164:AK164"/>
    <mergeCell ref="AL164:BB164"/>
    <mergeCell ref="P164:Q164"/>
    <mergeCell ref="R164:S164"/>
    <mergeCell ref="T164:U164"/>
    <mergeCell ref="V164:W164"/>
    <mergeCell ref="X164:Y164"/>
    <mergeCell ref="Z164:AA164"/>
    <mergeCell ref="AB164:AC164"/>
    <mergeCell ref="B164:C164"/>
    <mergeCell ref="D164:E164"/>
    <mergeCell ref="F164:G164"/>
    <mergeCell ref="H164:I164"/>
    <mergeCell ref="J164:K164"/>
    <mergeCell ref="L164:M164"/>
    <mergeCell ref="N164:O164"/>
    <mergeCell ref="AD165:AE165"/>
    <mergeCell ref="AF165:AG165"/>
    <mergeCell ref="AH165:AI165"/>
    <mergeCell ref="AJ165:AK165"/>
    <mergeCell ref="AL165:BB165"/>
    <mergeCell ref="AH166:AI166"/>
    <mergeCell ref="AJ166:AK166"/>
    <mergeCell ref="AL166:BB166"/>
    <mergeCell ref="B166:C166"/>
    <mergeCell ref="D166:E166"/>
    <mergeCell ref="F166:G166"/>
    <mergeCell ref="H166:I166"/>
    <mergeCell ref="J166:K166"/>
    <mergeCell ref="L166:M166"/>
    <mergeCell ref="N166:O166"/>
    <mergeCell ref="AD166:AE166"/>
    <mergeCell ref="AF166:AG166"/>
    <mergeCell ref="P166:Q166"/>
    <mergeCell ref="R166:S166"/>
    <mergeCell ref="T166:U166"/>
    <mergeCell ref="V166:W166"/>
    <mergeCell ref="AL168:BB168"/>
    <mergeCell ref="AH169:AI169"/>
    <mergeCell ref="AJ169:AK169"/>
    <mergeCell ref="AL169:BB169"/>
    <mergeCell ref="B169:C169"/>
    <mergeCell ref="D169:E169"/>
    <mergeCell ref="F169:G169"/>
    <mergeCell ref="H169:I169"/>
    <mergeCell ref="J169:K169"/>
    <mergeCell ref="L169:M169"/>
    <mergeCell ref="N169:O169"/>
    <mergeCell ref="P171:Q171"/>
    <mergeCell ref="R171:S171"/>
    <mergeCell ref="T171:U171"/>
    <mergeCell ref="V171:W171"/>
    <mergeCell ref="X171:Y171"/>
    <mergeCell ref="Z171:AA171"/>
    <mergeCell ref="AB171:AC171"/>
    <mergeCell ref="B171:C171"/>
    <mergeCell ref="D171:E171"/>
    <mergeCell ref="F171:G171"/>
    <mergeCell ref="H171:I171"/>
    <mergeCell ref="J171:K171"/>
    <mergeCell ref="L171:M171"/>
    <mergeCell ref="N171:O171"/>
    <mergeCell ref="AD169:AE169"/>
    <mergeCell ref="AF169:AG169"/>
    <mergeCell ref="P169:Q169"/>
    <mergeCell ref="R169:S169"/>
    <mergeCell ref="T169:U169"/>
    <mergeCell ref="V169:W169"/>
    <mergeCell ref="X169:Y169"/>
    <mergeCell ref="Z169:AA169"/>
    <mergeCell ref="AB169:AC169"/>
    <mergeCell ref="AD170:AE170"/>
    <mergeCell ref="AF170:AG170"/>
    <mergeCell ref="AH170:AI170"/>
    <mergeCell ref="AJ170:AK170"/>
    <mergeCell ref="AL170:BB170"/>
    <mergeCell ref="P170:Q170"/>
    <mergeCell ref="R170:S170"/>
    <mergeCell ref="T170:U170"/>
    <mergeCell ref="V170:W170"/>
    <mergeCell ref="X170:Y170"/>
    <mergeCell ref="Z170:AA170"/>
    <mergeCell ref="AB170:AC170"/>
    <mergeCell ref="B170:C170"/>
    <mergeCell ref="D170:E170"/>
    <mergeCell ref="F170:G170"/>
    <mergeCell ref="H170:I170"/>
    <mergeCell ref="J170:K170"/>
    <mergeCell ref="L170:M170"/>
    <mergeCell ref="N170:O170"/>
    <mergeCell ref="AD171:AE171"/>
    <mergeCell ref="AF171:AG171"/>
    <mergeCell ref="AH171:AI171"/>
    <mergeCell ref="AJ171:AK171"/>
    <mergeCell ref="AL171:BB171"/>
    <mergeCell ref="P177:Q177"/>
    <mergeCell ref="R177:S177"/>
    <mergeCell ref="T177:U177"/>
    <mergeCell ref="V177:W177"/>
    <mergeCell ref="X177:Y177"/>
    <mergeCell ref="Z177:AA177"/>
    <mergeCell ref="AB177:AC177"/>
    <mergeCell ref="B177:C177"/>
    <mergeCell ref="D177:E177"/>
    <mergeCell ref="F177:G177"/>
    <mergeCell ref="H177:I177"/>
    <mergeCell ref="J177:K177"/>
    <mergeCell ref="L177:M177"/>
    <mergeCell ref="N177:O177"/>
    <mergeCell ref="AD199:AE199"/>
    <mergeCell ref="AF199:AG199"/>
    <mergeCell ref="AH199:AI199"/>
    <mergeCell ref="AJ199:AK199"/>
    <mergeCell ref="AL199:BB199"/>
    <mergeCell ref="P199:Q199"/>
    <mergeCell ref="R199:S199"/>
    <mergeCell ref="T199:U199"/>
    <mergeCell ref="V199:W199"/>
    <mergeCell ref="X199:Y199"/>
    <mergeCell ref="Z199:AA199"/>
    <mergeCell ref="AB199:AC199"/>
    <mergeCell ref="P180:Q180"/>
    <mergeCell ref="R180:S180"/>
    <mergeCell ref="T180:U180"/>
    <mergeCell ref="V180:W180"/>
    <mergeCell ref="X180:Y180"/>
    <mergeCell ref="Z180:AA180"/>
    <mergeCell ref="AB180:AC180"/>
    <mergeCell ref="B180:C180"/>
    <mergeCell ref="D180:E180"/>
    <mergeCell ref="F180:G180"/>
    <mergeCell ref="H180:I180"/>
    <mergeCell ref="J180:K180"/>
    <mergeCell ref="L180:M180"/>
    <mergeCell ref="N180:O180"/>
    <mergeCell ref="AD178:AE178"/>
    <mergeCell ref="AF178:AG178"/>
    <mergeCell ref="P178:Q178"/>
    <mergeCell ref="R178:S178"/>
    <mergeCell ref="T178:U178"/>
    <mergeCell ref="V178:W178"/>
    <mergeCell ref="X178:Y178"/>
    <mergeCell ref="Z178:AA178"/>
    <mergeCell ref="AB178:AC178"/>
    <mergeCell ref="AD179:AE179"/>
    <mergeCell ref="AF179:AG179"/>
    <mergeCell ref="AH179:AI179"/>
    <mergeCell ref="AJ179:AK179"/>
    <mergeCell ref="AL179:BB179"/>
    <mergeCell ref="P179:Q179"/>
    <mergeCell ref="R179:S179"/>
    <mergeCell ref="T179:U179"/>
    <mergeCell ref="V179:W179"/>
    <mergeCell ref="X179:Y179"/>
    <mergeCell ref="Z179:AA179"/>
    <mergeCell ref="AB179:AC179"/>
    <mergeCell ref="B179:C179"/>
    <mergeCell ref="D179:E179"/>
    <mergeCell ref="F179:G179"/>
    <mergeCell ref="H179:I179"/>
    <mergeCell ref="J179:K179"/>
    <mergeCell ref="L179:M179"/>
    <mergeCell ref="N179:O179"/>
    <mergeCell ref="AD180:AE180"/>
    <mergeCell ref="AF180:AG180"/>
    <mergeCell ref="AH180:AI180"/>
    <mergeCell ref="AJ180:AK180"/>
    <mergeCell ref="AL180:BB180"/>
    <mergeCell ref="AH181:AI181"/>
    <mergeCell ref="AJ181:AK181"/>
    <mergeCell ref="AL181:BB181"/>
    <mergeCell ref="B181:C181"/>
    <mergeCell ref="D181:E181"/>
    <mergeCell ref="F181:G181"/>
    <mergeCell ref="H181:I181"/>
    <mergeCell ref="J181:K181"/>
    <mergeCell ref="L181:M181"/>
    <mergeCell ref="N181:O181"/>
    <mergeCell ref="P183:Q183"/>
    <mergeCell ref="R183:S183"/>
    <mergeCell ref="T183:U183"/>
    <mergeCell ref="V183:W183"/>
    <mergeCell ref="X183:Y183"/>
    <mergeCell ref="Z183:AA183"/>
    <mergeCell ref="AB183:AC183"/>
    <mergeCell ref="B183:C183"/>
    <mergeCell ref="D183:E183"/>
    <mergeCell ref="F183:G183"/>
    <mergeCell ref="H183:I183"/>
    <mergeCell ref="J183:K183"/>
    <mergeCell ref="L183:M183"/>
    <mergeCell ref="N183:O183"/>
    <mergeCell ref="AD181:AE181"/>
    <mergeCell ref="AF181:AG181"/>
    <mergeCell ref="P181:Q181"/>
    <mergeCell ref="R181:S181"/>
    <mergeCell ref="T181:U181"/>
    <mergeCell ref="V181:W181"/>
    <mergeCell ref="X181:Y181"/>
    <mergeCell ref="Z181:AA181"/>
    <mergeCell ref="AB181:AC181"/>
    <mergeCell ref="AD182:AE182"/>
    <mergeCell ref="AF182:AG182"/>
    <mergeCell ref="AH182:AI182"/>
    <mergeCell ref="AJ182:AK182"/>
    <mergeCell ref="AL182:BB182"/>
    <mergeCell ref="P182:Q182"/>
    <mergeCell ref="R182:S182"/>
    <mergeCell ref="T182:U182"/>
    <mergeCell ref="V182:W182"/>
    <mergeCell ref="X182:Y182"/>
    <mergeCell ref="Z182:AA182"/>
    <mergeCell ref="AB182:AC182"/>
    <mergeCell ref="B182:C182"/>
    <mergeCell ref="D182:E182"/>
    <mergeCell ref="F182:G182"/>
    <mergeCell ref="H182:I182"/>
    <mergeCell ref="J182:K182"/>
    <mergeCell ref="L182:M182"/>
    <mergeCell ref="N182:O182"/>
    <mergeCell ref="AD183:AE183"/>
    <mergeCell ref="AF183:AG183"/>
    <mergeCell ref="AH183:AI183"/>
    <mergeCell ref="AJ183:AK183"/>
    <mergeCell ref="AL183:BB183"/>
    <mergeCell ref="AH184:AI184"/>
    <mergeCell ref="AJ184:AK184"/>
    <mergeCell ref="AL184:BB184"/>
    <mergeCell ref="B184:C184"/>
    <mergeCell ref="D184:E184"/>
    <mergeCell ref="F184:G184"/>
    <mergeCell ref="H184:I184"/>
    <mergeCell ref="J184:K184"/>
    <mergeCell ref="L184:M184"/>
    <mergeCell ref="N184:O184"/>
    <mergeCell ref="P186:Q186"/>
    <mergeCell ref="R186:S186"/>
    <mergeCell ref="T186:U186"/>
    <mergeCell ref="V186:W186"/>
    <mergeCell ref="X186:Y186"/>
    <mergeCell ref="Z186:AA186"/>
    <mergeCell ref="AB186:AC186"/>
    <mergeCell ref="B186:C186"/>
    <mergeCell ref="D186:E186"/>
    <mergeCell ref="F186:G186"/>
    <mergeCell ref="H186:I186"/>
    <mergeCell ref="J186:K186"/>
    <mergeCell ref="L186:M186"/>
    <mergeCell ref="N186:O186"/>
    <mergeCell ref="AD184:AE184"/>
    <mergeCell ref="AF184:AG184"/>
    <mergeCell ref="P184:Q184"/>
    <mergeCell ref="R184:S184"/>
    <mergeCell ref="T184:U184"/>
    <mergeCell ref="V184:W184"/>
    <mergeCell ref="X184:Y184"/>
    <mergeCell ref="Z184:AA184"/>
    <mergeCell ref="AB184:AC184"/>
    <mergeCell ref="AD185:AE185"/>
    <mergeCell ref="AF185:AG185"/>
    <mergeCell ref="AH185:AI185"/>
    <mergeCell ref="AJ185:AK185"/>
    <mergeCell ref="AL185:BB185"/>
    <mergeCell ref="P185:Q185"/>
    <mergeCell ref="R185:S185"/>
    <mergeCell ref="T185:U185"/>
    <mergeCell ref="V185:W185"/>
    <mergeCell ref="X185:Y185"/>
    <mergeCell ref="Z185:AA185"/>
    <mergeCell ref="AB185:AC185"/>
    <mergeCell ref="B185:C185"/>
    <mergeCell ref="D185:E185"/>
    <mergeCell ref="F185:G185"/>
    <mergeCell ref="H185:I185"/>
    <mergeCell ref="J185:K185"/>
    <mergeCell ref="L185:M185"/>
    <mergeCell ref="N185:O185"/>
    <mergeCell ref="AD186:AE186"/>
    <mergeCell ref="AF186:AG186"/>
    <mergeCell ref="AH186:AI186"/>
    <mergeCell ref="AJ186:AK186"/>
    <mergeCell ref="AL186:BB186"/>
    <mergeCell ref="AH187:AI187"/>
    <mergeCell ref="AJ187:AK187"/>
    <mergeCell ref="AL187:BB187"/>
    <mergeCell ref="B187:C187"/>
    <mergeCell ref="D187:E187"/>
    <mergeCell ref="F187:G187"/>
    <mergeCell ref="H187:I187"/>
    <mergeCell ref="J187:K187"/>
    <mergeCell ref="L187:M187"/>
    <mergeCell ref="N187:O187"/>
    <mergeCell ref="P189:Q189"/>
    <mergeCell ref="R189:S189"/>
    <mergeCell ref="T189:U189"/>
    <mergeCell ref="V189:W189"/>
    <mergeCell ref="X189:Y189"/>
    <mergeCell ref="Z189:AA189"/>
    <mergeCell ref="AB189:AC189"/>
    <mergeCell ref="B189:C189"/>
    <mergeCell ref="D189:E189"/>
    <mergeCell ref="F189:G189"/>
    <mergeCell ref="H189:I189"/>
    <mergeCell ref="J189:K189"/>
    <mergeCell ref="L189:M189"/>
    <mergeCell ref="N189:O189"/>
    <mergeCell ref="AD187:AE187"/>
    <mergeCell ref="AF187:AG187"/>
    <mergeCell ref="P187:Q187"/>
    <mergeCell ref="R187:S187"/>
    <mergeCell ref="T187:U187"/>
    <mergeCell ref="V187:W187"/>
    <mergeCell ref="X187:Y187"/>
    <mergeCell ref="Z187:AA187"/>
    <mergeCell ref="AB187:AC187"/>
    <mergeCell ref="AD188:AE188"/>
    <mergeCell ref="AF188:AG188"/>
    <mergeCell ref="AH188:AI188"/>
    <mergeCell ref="AJ188:AK188"/>
    <mergeCell ref="AL188:BB188"/>
    <mergeCell ref="P188:Q188"/>
    <mergeCell ref="R188:S188"/>
    <mergeCell ref="T188:U188"/>
    <mergeCell ref="V188:W188"/>
    <mergeCell ref="X188:Y188"/>
    <mergeCell ref="Z188:AA188"/>
    <mergeCell ref="AB188:AC188"/>
    <mergeCell ref="B188:C188"/>
    <mergeCell ref="D188:E188"/>
    <mergeCell ref="F188:G188"/>
    <mergeCell ref="H188:I188"/>
    <mergeCell ref="J188:K188"/>
    <mergeCell ref="L188:M188"/>
    <mergeCell ref="N188:O188"/>
    <mergeCell ref="AD189:AE189"/>
    <mergeCell ref="AF189:AG189"/>
    <mergeCell ref="AH189:AI189"/>
    <mergeCell ref="AJ189:AK189"/>
    <mergeCell ref="AL189:BB189"/>
    <mergeCell ref="AH190:AI190"/>
    <mergeCell ref="AJ190:AK190"/>
    <mergeCell ref="AL190:BB190"/>
    <mergeCell ref="B190:C190"/>
    <mergeCell ref="D190:E190"/>
    <mergeCell ref="F190:G190"/>
    <mergeCell ref="H190:I190"/>
    <mergeCell ref="J190:K190"/>
    <mergeCell ref="L190:M190"/>
    <mergeCell ref="N190:O190"/>
    <mergeCell ref="P192:Q192"/>
    <mergeCell ref="R192:S192"/>
    <mergeCell ref="T192:U192"/>
    <mergeCell ref="V192:W192"/>
    <mergeCell ref="X192:Y192"/>
    <mergeCell ref="Z192:AA192"/>
    <mergeCell ref="AB192:AC192"/>
    <mergeCell ref="B192:C192"/>
    <mergeCell ref="D192:E192"/>
    <mergeCell ref="F192:G192"/>
    <mergeCell ref="H192:I192"/>
    <mergeCell ref="J192:K192"/>
    <mergeCell ref="L192:M192"/>
    <mergeCell ref="N192:O192"/>
    <mergeCell ref="AD190:AE190"/>
    <mergeCell ref="AF190:AG190"/>
    <mergeCell ref="P190:Q190"/>
    <mergeCell ref="R190:S190"/>
    <mergeCell ref="T190:U190"/>
    <mergeCell ref="V190:W190"/>
    <mergeCell ref="X190:Y190"/>
    <mergeCell ref="Z190:AA190"/>
    <mergeCell ref="AB190:AC190"/>
    <mergeCell ref="AD191:AE191"/>
    <mergeCell ref="AF191:AG191"/>
    <mergeCell ref="AH191:AI191"/>
    <mergeCell ref="AJ191:AK191"/>
    <mergeCell ref="AL191:BB191"/>
    <mergeCell ref="P191:Q191"/>
    <mergeCell ref="R191:S191"/>
    <mergeCell ref="T191:U191"/>
    <mergeCell ref="V191:W191"/>
    <mergeCell ref="X191:Y191"/>
    <mergeCell ref="Z191:AA191"/>
    <mergeCell ref="AB191:AC191"/>
    <mergeCell ref="B191:C191"/>
    <mergeCell ref="D191:E191"/>
    <mergeCell ref="F191:G191"/>
    <mergeCell ref="H191:I191"/>
    <mergeCell ref="J191:K191"/>
    <mergeCell ref="L191:M191"/>
    <mergeCell ref="N191:O191"/>
    <mergeCell ref="AD192:AE192"/>
    <mergeCell ref="AF192:AG192"/>
    <mergeCell ref="AH192:AI192"/>
    <mergeCell ref="AJ192:AK192"/>
    <mergeCell ref="AL192:BB192"/>
    <mergeCell ref="AH193:AI193"/>
    <mergeCell ref="AJ193:AK193"/>
    <mergeCell ref="AL193:BB193"/>
    <mergeCell ref="B193:C193"/>
    <mergeCell ref="D193:E193"/>
    <mergeCell ref="F193:G193"/>
    <mergeCell ref="H193:I193"/>
    <mergeCell ref="J193:K193"/>
    <mergeCell ref="L193:M193"/>
    <mergeCell ref="N193:O193"/>
    <mergeCell ref="P195:Q195"/>
    <mergeCell ref="R195:S195"/>
    <mergeCell ref="T195:U195"/>
    <mergeCell ref="V195:W195"/>
    <mergeCell ref="X195:Y195"/>
    <mergeCell ref="Z195:AA195"/>
    <mergeCell ref="AB195:AC195"/>
    <mergeCell ref="B195:C195"/>
    <mergeCell ref="D195:E195"/>
    <mergeCell ref="F195:G195"/>
    <mergeCell ref="H195:I195"/>
    <mergeCell ref="J195:K195"/>
    <mergeCell ref="L195:M195"/>
    <mergeCell ref="N195:O195"/>
    <mergeCell ref="AD193:AE193"/>
    <mergeCell ref="AF193:AG193"/>
    <mergeCell ref="P193:Q193"/>
    <mergeCell ref="R193:S193"/>
    <mergeCell ref="T193:U193"/>
    <mergeCell ref="V193:W193"/>
    <mergeCell ref="X193:Y193"/>
    <mergeCell ref="Z193:AA193"/>
    <mergeCell ref="AB193:AC193"/>
    <mergeCell ref="AD194:AE194"/>
    <mergeCell ref="AF194:AG194"/>
    <mergeCell ref="AH194:AI194"/>
    <mergeCell ref="AJ194:AK194"/>
    <mergeCell ref="AL194:BB194"/>
    <mergeCell ref="P194:Q194"/>
    <mergeCell ref="R194:S194"/>
    <mergeCell ref="T194:U194"/>
    <mergeCell ref="V194:W194"/>
    <mergeCell ref="X194:Y194"/>
    <mergeCell ref="Z194:AA194"/>
    <mergeCell ref="AB194:AC194"/>
    <mergeCell ref="B194:C194"/>
    <mergeCell ref="D194:E194"/>
    <mergeCell ref="F194:G194"/>
    <mergeCell ref="H194:I194"/>
    <mergeCell ref="J194:K194"/>
    <mergeCell ref="L194:M194"/>
    <mergeCell ref="N194:O194"/>
    <mergeCell ref="AD195:AE195"/>
    <mergeCell ref="AF195:AG195"/>
    <mergeCell ref="AH195:AI195"/>
    <mergeCell ref="AJ195:AK195"/>
    <mergeCell ref="AL195:BB195"/>
    <mergeCell ref="AH196:AI196"/>
    <mergeCell ref="AJ196:AK196"/>
    <mergeCell ref="AL196:BB196"/>
    <mergeCell ref="B196:C196"/>
    <mergeCell ref="D196:E196"/>
    <mergeCell ref="F196:G196"/>
    <mergeCell ref="H196:I196"/>
    <mergeCell ref="J196:K196"/>
    <mergeCell ref="L196:M196"/>
    <mergeCell ref="N196:O196"/>
    <mergeCell ref="P198:Q198"/>
    <mergeCell ref="R198:S198"/>
    <mergeCell ref="T198:U198"/>
    <mergeCell ref="V198:W198"/>
    <mergeCell ref="X198:Y198"/>
    <mergeCell ref="Z198:AA198"/>
    <mergeCell ref="AB198:AC198"/>
    <mergeCell ref="B198:C198"/>
    <mergeCell ref="D198:E198"/>
    <mergeCell ref="F198:G198"/>
    <mergeCell ref="H198:I198"/>
    <mergeCell ref="J198:K198"/>
    <mergeCell ref="L198:M198"/>
    <mergeCell ref="N198:O198"/>
    <mergeCell ref="AD196:AE196"/>
    <mergeCell ref="AF196:AG196"/>
    <mergeCell ref="P196:Q196"/>
    <mergeCell ref="R196:S196"/>
    <mergeCell ref="T196:U196"/>
    <mergeCell ref="V196:W196"/>
    <mergeCell ref="X196:Y196"/>
    <mergeCell ref="Z196:AA196"/>
    <mergeCell ref="AB196:AC196"/>
    <mergeCell ref="AD197:AE197"/>
    <mergeCell ref="AF197:AG197"/>
    <mergeCell ref="AH197:AI197"/>
    <mergeCell ref="AJ197:AK197"/>
    <mergeCell ref="AL197:BB197"/>
    <mergeCell ref="P197:Q197"/>
    <mergeCell ref="R197:S197"/>
    <mergeCell ref="T197:U197"/>
    <mergeCell ref="V197:W197"/>
    <mergeCell ref="X197:Y197"/>
    <mergeCell ref="Z197:AA197"/>
    <mergeCell ref="AB197:AC197"/>
    <mergeCell ref="B197:C197"/>
    <mergeCell ref="D197:E197"/>
    <mergeCell ref="F197:G197"/>
    <mergeCell ref="H197:I197"/>
    <mergeCell ref="J197:K197"/>
    <mergeCell ref="L197:M197"/>
    <mergeCell ref="N197:O197"/>
    <mergeCell ref="AD198:AE198"/>
    <mergeCell ref="AF198:AG198"/>
    <mergeCell ref="AH198:AI198"/>
    <mergeCell ref="AJ198:AK198"/>
    <mergeCell ref="AL198:BB198"/>
    <mergeCell ref="B199:C199"/>
    <mergeCell ref="D199:E199"/>
    <mergeCell ref="F199:G199"/>
    <mergeCell ref="H199:I199"/>
    <mergeCell ref="J199:K199"/>
    <mergeCell ref="L199:M199"/>
    <mergeCell ref="N199:O199"/>
    <mergeCell ref="AD200:AE200"/>
    <mergeCell ref="AF200:AG200"/>
    <mergeCell ref="AH200:AI200"/>
    <mergeCell ref="AJ200:AK200"/>
    <mergeCell ref="AL200:BB200"/>
    <mergeCell ref="P200:Q200"/>
    <mergeCell ref="R200:S200"/>
    <mergeCell ref="T200:U200"/>
    <mergeCell ref="V200:W200"/>
    <mergeCell ref="X200:Y200"/>
    <mergeCell ref="Z200:AA200"/>
    <mergeCell ref="AB200:AC200"/>
    <mergeCell ref="B200:C200"/>
    <mergeCell ref="D200:E200"/>
    <mergeCell ref="F200:G200"/>
    <mergeCell ref="H200:I200"/>
    <mergeCell ref="J200:K200"/>
    <mergeCell ref="L200:M200"/>
    <mergeCell ref="N200:O200"/>
    <mergeCell ref="AD201:AE201"/>
    <mergeCell ref="AF201:AG201"/>
    <mergeCell ref="AH201:AI201"/>
    <mergeCell ref="AJ201:AK201"/>
    <mergeCell ref="AL201:BB201"/>
    <mergeCell ref="P201:Q201"/>
    <mergeCell ref="R201:S201"/>
    <mergeCell ref="T201:U201"/>
    <mergeCell ref="V201:W201"/>
    <mergeCell ref="X201:Y201"/>
    <mergeCell ref="Z201:AA201"/>
    <mergeCell ref="AB201:AC201"/>
    <mergeCell ref="B201:C201"/>
    <mergeCell ref="D201:E201"/>
    <mergeCell ref="F201:G201"/>
    <mergeCell ref="H201:I201"/>
    <mergeCell ref="J201:K201"/>
    <mergeCell ref="L201:M201"/>
    <mergeCell ref="N201:O201"/>
    <mergeCell ref="AH202:AI202"/>
    <mergeCell ref="AJ202:AK202"/>
    <mergeCell ref="AL202:BB202"/>
    <mergeCell ref="B202:C202"/>
    <mergeCell ref="D202:E202"/>
    <mergeCell ref="F202:G202"/>
    <mergeCell ref="H202:I202"/>
    <mergeCell ref="J202:K202"/>
    <mergeCell ref="L202:M202"/>
    <mergeCell ref="N202:O202"/>
    <mergeCell ref="P204:Q204"/>
    <mergeCell ref="R204:S204"/>
    <mergeCell ref="T204:U204"/>
    <mergeCell ref="V204:W204"/>
    <mergeCell ref="X204:Y204"/>
    <mergeCell ref="Z204:AA204"/>
    <mergeCell ref="AB204:AC204"/>
    <mergeCell ref="B204:C204"/>
    <mergeCell ref="D204:E204"/>
    <mergeCell ref="F204:G204"/>
    <mergeCell ref="H204:I204"/>
    <mergeCell ref="J204:K204"/>
    <mergeCell ref="L204:M204"/>
    <mergeCell ref="N204:O204"/>
    <mergeCell ref="AD202:AE202"/>
    <mergeCell ref="AF202:AG202"/>
    <mergeCell ref="P202:Q202"/>
    <mergeCell ref="R202:S202"/>
    <mergeCell ref="T202:U202"/>
    <mergeCell ref="V202:W202"/>
    <mergeCell ref="X202:Y202"/>
    <mergeCell ref="Z202:AA202"/>
    <mergeCell ref="AB202:AC202"/>
    <mergeCell ref="AD203:AE203"/>
    <mergeCell ref="AF203:AG203"/>
    <mergeCell ref="AH203:AI203"/>
    <mergeCell ref="AJ203:AK203"/>
    <mergeCell ref="AL203:BB203"/>
    <mergeCell ref="P203:Q203"/>
    <mergeCell ref="R203:S203"/>
    <mergeCell ref="T203:U203"/>
    <mergeCell ref="V203:W203"/>
    <mergeCell ref="X203:Y203"/>
    <mergeCell ref="Z203:AA203"/>
    <mergeCell ref="AB203:AC203"/>
    <mergeCell ref="B203:C203"/>
    <mergeCell ref="D203:E203"/>
    <mergeCell ref="F203:G203"/>
    <mergeCell ref="H203:I203"/>
    <mergeCell ref="J203:K203"/>
    <mergeCell ref="L203:M203"/>
    <mergeCell ref="N203:O203"/>
    <mergeCell ref="AD204:AE204"/>
    <mergeCell ref="AF204:AG204"/>
    <mergeCell ref="AH204:AI204"/>
    <mergeCell ref="AJ204:AK204"/>
    <mergeCell ref="AL204:BB204"/>
    <mergeCell ref="AH205:AI205"/>
    <mergeCell ref="AJ205:AK205"/>
    <mergeCell ref="AL205:BB205"/>
    <mergeCell ref="B205:C205"/>
    <mergeCell ref="D205:E205"/>
    <mergeCell ref="F205:G205"/>
    <mergeCell ref="H205:I205"/>
    <mergeCell ref="J205:K205"/>
    <mergeCell ref="L205:M205"/>
    <mergeCell ref="N205:O205"/>
    <mergeCell ref="P207:Q207"/>
    <mergeCell ref="R207:S207"/>
    <mergeCell ref="T207:U207"/>
    <mergeCell ref="V207:W207"/>
    <mergeCell ref="X207:Y207"/>
    <mergeCell ref="Z207:AA207"/>
    <mergeCell ref="AB207:AC207"/>
    <mergeCell ref="B207:C207"/>
    <mergeCell ref="D207:E207"/>
    <mergeCell ref="F207:G207"/>
    <mergeCell ref="H207:I207"/>
    <mergeCell ref="J207:K207"/>
    <mergeCell ref="L207:M207"/>
    <mergeCell ref="N207:O207"/>
    <mergeCell ref="P210:Q210"/>
    <mergeCell ref="R210:S210"/>
    <mergeCell ref="T210:U210"/>
    <mergeCell ref="V210:W210"/>
    <mergeCell ref="X210:Y210"/>
    <mergeCell ref="Z210:AA210"/>
    <mergeCell ref="AB210:AC210"/>
    <mergeCell ref="B210:C210"/>
    <mergeCell ref="D210:E210"/>
    <mergeCell ref="F210:G210"/>
    <mergeCell ref="H210:I210"/>
    <mergeCell ref="J210:K210"/>
    <mergeCell ref="L210:M210"/>
    <mergeCell ref="N210:O210"/>
    <mergeCell ref="X208:Y208"/>
    <mergeCell ref="Z208:AA208"/>
    <mergeCell ref="AB208:AC208"/>
    <mergeCell ref="AD209:AE209"/>
    <mergeCell ref="AF209:AG209"/>
    <mergeCell ref="AH209:AI209"/>
    <mergeCell ref="AJ209:AK209"/>
    <mergeCell ref="AL209:BB209"/>
    <mergeCell ref="P209:Q209"/>
    <mergeCell ref="R209:S209"/>
    <mergeCell ref="T209:U209"/>
    <mergeCell ref="V209:W209"/>
    <mergeCell ref="X209:Y209"/>
    <mergeCell ref="Z209:AA209"/>
    <mergeCell ref="AB209:AC209"/>
    <mergeCell ref="B209:C209"/>
    <mergeCell ref="D209:E209"/>
    <mergeCell ref="F209:G209"/>
    <mergeCell ref="H209:I209"/>
    <mergeCell ref="J209:K209"/>
    <mergeCell ref="L209:M209"/>
    <mergeCell ref="N209:O209"/>
    <mergeCell ref="AD210:AE210"/>
    <mergeCell ref="AF210:AG210"/>
    <mergeCell ref="AH210:AI210"/>
    <mergeCell ref="AJ210:AK210"/>
    <mergeCell ref="AD214:AE214"/>
    <mergeCell ref="AF214:AG214"/>
    <mergeCell ref="P214:Q214"/>
    <mergeCell ref="R214:S214"/>
    <mergeCell ref="T214:U214"/>
    <mergeCell ref="V214:W214"/>
    <mergeCell ref="X214:Y214"/>
    <mergeCell ref="Z214:AA214"/>
    <mergeCell ref="AB214:AC214"/>
    <mergeCell ref="AD215:AE215"/>
    <mergeCell ref="AF215:AG215"/>
    <mergeCell ref="AH215:AI215"/>
    <mergeCell ref="AJ215:AK215"/>
    <mergeCell ref="AL215:BB215"/>
    <mergeCell ref="P215:Q215"/>
    <mergeCell ref="R215:S215"/>
    <mergeCell ref="T215:U215"/>
    <mergeCell ref="V215:W215"/>
    <mergeCell ref="X215:Y215"/>
    <mergeCell ref="Z215:AA215"/>
    <mergeCell ref="AB215:AC215"/>
    <mergeCell ref="B215:C215"/>
    <mergeCell ref="D215:E215"/>
    <mergeCell ref="F215:G215"/>
    <mergeCell ref="H215:I215"/>
    <mergeCell ref="J215:K215"/>
    <mergeCell ref="L215:M215"/>
    <mergeCell ref="N215:O215"/>
    <mergeCell ref="AD216:AE216"/>
    <mergeCell ref="AF216:AG216"/>
    <mergeCell ref="AH216:AI216"/>
    <mergeCell ref="AJ216:AK216"/>
    <mergeCell ref="AL216:BB216"/>
    <mergeCell ref="AH214:AI214"/>
    <mergeCell ref="AJ214:AK214"/>
    <mergeCell ref="AL214:BB214"/>
    <mergeCell ref="B214:C214"/>
    <mergeCell ref="D214:E214"/>
    <mergeCell ref="F214:G214"/>
    <mergeCell ref="H214:I214"/>
    <mergeCell ref="J214:K214"/>
    <mergeCell ref="L214:M214"/>
    <mergeCell ref="N214:O214"/>
    <mergeCell ref="P216:Q216"/>
    <mergeCell ref="R216:S216"/>
    <mergeCell ref="T216:U216"/>
    <mergeCell ref="V216:W216"/>
    <mergeCell ref="X216:Y216"/>
    <mergeCell ref="Z216:AA216"/>
    <mergeCell ref="AB216:AC216"/>
    <mergeCell ref="B216:C216"/>
    <mergeCell ref="D216:E216"/>
    <mergeCell ref="F216:G216"/>
    <mergeCell ref="H216:I216"/>
    <mergeCell ref="J216:K216"/>
    <mergeCell ref="L216:M216"/>
    <mergeCell ref="N216:O216"/>
    <mergeCell ref="AH217:AI217"/>
    <mergeCell ref="AJ217:AK217"/>
    <mergeCell ref="AL217:BB217"/>
    <mergeCell ref="B217:C217"/>
    <mergeCell ref="D217:E217"/>
    <mergeCell ref="F217:G217"/>
    <mergeCell ref="H217:I217"/>
    <mergeCell ref="J217:K217"/>
    <mergeCell ref="L217:M217"/>
    <mergeCell ref="N217:O217"/>
    <mergeCell ref="AD217:AE217"/>
    <mergeCell ref="AF217:AG217"/>
    <mergeCell ref="P217:Q217"/>
    <mergeCell ref="R217:S217"/>
    <mergeCell ref="T217:U217"/>
    <mergeCell ref="V217:W217"/>
    <mergeCell ref="X217:Y217"/>
    <mergeCell ref="Z217:AA217"/>
    <mergeCell ref="AB217:AC217"/>
    <mergeCell ref="AD218:AE218"/>
    <mergeCell ref="AF218:AG218"/>
    <mergeCell ref="AH218:AI218"/>
    <mergeCell ref="AJ218:AK218"/>
    <mergeCell ref="AL218:BB218"/>
    <mergeCell ref="P218:Q218"/>
    <mergeCell ref="R218:S218"/>
    <mergeCell ref="T218:U218"/>
    <mergeCell ref="V218:W218"/>
    <mergeCell ref="X218:Y218"/>
    <mergeCell ref="Z218:AA218"/>
    <mergeCell ref="AB218:AC218"/>
    <mergeCell ref="B218:C218"/>
    <mergeCell ref="D218:E218"/>
    <mergeCell ref="F218:G218"/>
    <mergeCell ref="H218:I218"/>
    <mergeCell ref="J218:K218"/>
    <mergeCell ref="L218:M218"/>
    <mergeCell ref="N218:O218"/>
    <mergeCell ref="AD219:AE219"/>
    <mergeCell ref="AF219:AG219"/>
    <mergeCell ref="AH219:AI219"/>
    <mergeCell ref="AJ219:AK219"/>
    <mergeCell ref="AL219:BB219"/>
    <mergeCell ref="AH220:AI220"/>
    <mergeCell ref="AJ220:AK220"/>
    <mergeCell ref="AL220:BB220"/>
    <mergeCell ref="B220:C220"/>
    <mergeCell ref="D220:E220"/>
    <mergeCell ref="F220:G220"/>
    <mergeCell ref="H220:I220"/>
    <mergeCell ref="J220:K220"/>
    <mergeCell ref="L220:M220"/>
    <mergeCell ref="N220:O220"/>
    <mergeCell ref="AD205:AE205"/>
    <mergeCell ref="AF205:AG205"/>
    <mergeCell ref="P205:Q205"/>
    <mergeCell ref="R205:S205"/>
    <mergeCell ref="T205:U205"/>
    <mergeCell ref="V205:W205"/>
    <mergeCell ref="X205:Y205"/>
    <mergeCell ref="Z205:AA205"/>
    <mergeCell ref="AB205:AC205"/>
    <mergeCell ref="AD206:AE206"/>
    <mergeCell ref="AF206:AG206"/>
    <mergeCell ref="AH206:AI206"/>
    <mergeCell ref="AJ206:AK206"/>
    <mergeCell ref="AL206:BB206"/>
    <mergeCell ref="P206:Q206"/>
    <mergeCell ref="R206:S206"/>
    <mergeCell ref="T206:U206"/>
    <mergeCell ref="V206:W206"/>
    <mergeCell ref="X206:Y206"/>
    <mergeCell ref="Z206:AA206"/>
    <mergeCell ref="AB206:AC206"/>
    <mergeCell ref="B206:C206"/>
    <mergeCell ref="D206:E206"/>
    <mergeCell ref="F206:G206"/>
    <mergeCell ref="H206:I206"/>
    <mergeCell ref="J206:K206"/>
    <mergeCell ref="L206:M206"/>
    <mergeCell ref="N206:O206"/>
    <mergeCell ref="AD207:AE207"/>
    <mergeCell ref="AF207:AG207"/>
    <mergeCell ref="AH207:AI207"/>
    <mergeCell ref="AJ207:AK207"/>
    <mergeCell ref="AL207:BB207"/>
    <mergeCell ref="AH208:AI208"/>
    <mergeCell ref="AJ208:AK208"/>
    <mergeCell ref="AL208:BB208"/>
    <mergeCell ref="B208:C208"/>
    <mergeCell ref="D208:E208"/>
    <mergeCell ref="F208:G208"/>
    <mergeCell ref="H208:I208"/>
    <mergeCell ref="J208:K208"/>
    <mergeCell ref="L208:M208"/>
    <mergeCell ref="N208:O208"/>
    <mergeCell ref="AD208:AE208"/>
    <mergeCell ref="AF208:AG208"/>
    <mergeCell ref="P208:Q208"/>
    <mergeCell ref="R208:S208"/>
    <mergeCell ref="T208:U208"/>
    <mergeCell ref="V208:W208"/>
    <mergeCell ref="AL210:BB210"/>
    <mergeCell ref="AH211:AI211"/>
    <mergeCell ref="AJ211:AK211"/>
    <mergeCell ref="AL211:BB211"/>
    <mergeCell ref="B211:C211"/>
    <mergeCell ref="D211:E211"/>
    <mergeCell ref="F211:G211"/>
    <mergeCell ref="H211:I211"/>
    <mergeCell ref="J211:K211"/>
    <mergeCell ref="L211:M211"/>
    <mergeCell ref="N211:O211"/>
    <mergeCell ref="P213:Q213"/>
    <mergeCell ref="R213:S213"/>
    <mergeCell ref="T213:U213"/>
    <mergeCell ref="V213:W213"/>
    <mergeCell ref="X213:Y213"/>
    <mergeCell ref="Z213:AA213"/>
    <mergeCell ref="AB213:AC213"/>
    <mergeCell ref="B213:C213"/>
    <mergeCell ref="D213:E213"/>
    <mergeCell ref="F213:G213"/>
    <mergeCell ref="H213:I213"/>
    <mergeCell ref="J213:K213"/>
    <mergeCell ref="L213:M213"/>
    <mergeCell ref="N213:O213"/>
    <mergeCell ref="AD211:AE211"/>
    <mergeCell ref="AF211:AG211"/>
    <mergeCell ref="P211:Q211"/>
    <mergeCell ref="R211:S211"/>
    <mergeCell ref="T211:U211"/>
    <mergeCell ref="V211:W211"/>
    <mergeCell ref="X211:Y211"/>
    <mergeCell ref="Z211:AA211"/>
    <mergeCell ref="AB211:AC211"/>
    <mergeCell ref="AD212:AE212"/>
    <mergeCell ref="AF212:AG212"/>
    <mergeCell ref="AH212:AI212"/>
    <mergeCell ref="AJ212:AK212"/>
    <mergeCell ref="AL212:BB212"/>
    <mergeCell ref="P212:Q212"/>
    <mergeCell ref="R212:S212"/>
    <mergeCell ref="T212:U212"/>
    <mergeCell ref="V212:W212"/>
    <mergeCell ref="X212:Y212"/>
    <mergeCell ref="Z212:AA212"/>
    <mergeCell ref="AB212:AC212"/>
    <mergeCell ref="B212:C212"/>
    <mergeCell ref="D212:E212"/>
    <mergeCell ref="F212:G212"/>
    <mergeCell ref="H212:I212"/>
    <mergeCell ref="J212:K212"/>
    <mergeCell ref="L212:M212"/>
    <mergeCell ref="N212:O212"/>
    <mergeCell ref="AD213:AE213"/>
    <mergeCell ref="AF213:AG213"/>
    <mergeCell ref="AH213:AI213"/>
    <mergeCell ref="AJ213:AK213"/>
    <mergeCell ref="AL213:BB213"/>
    <mergeCell ref="P219:Q219"/>
    <mergeCell ref="R219:S219"/>
    <mergeCell ref="T219:U219"/>
    <mergeCell ref="V219:W219"/>
    <mergeCell ref="X219:Y219"/>
    <mergeCell ref="Z219:AA219"/>
    <mergeCell ref="AB219:AC219"/>
    <mergeCell ref="B219:C219"/>
    <mergeCell ref="D219:E219"/>
    <mergeCell ref="F219:G219"/>
    <mergeCell ref="H219:I219"/>
    <mergeCell ref="J219:K219"/>
    <mergeCell ref="L219:M219"/>
    <mergeCell ref="N219:O219"/>
    <mergeCell ref="AD241:AE241"/>
    <mergeCell ref="AF241:AG241"/>
    <mergeCell ref="AH241:AI241"/>
    <mergeCell ref="AJ241:AK241"/>
    <mergeCell ref="AL241:BB241"/>
    <mergeCell ref="P241:Q241"/>
    <mergeCell ref="R241:S241"/>
    <mergeCell ref="T241:U241"/>
    <mergeCell ref="V241:W241"/>
    <mergeCell ref="X241:Y241"/>
    <mergeCell ref="Z241:AA241"/>
    <mergeCell ref="AB241:AC241"/>
    <mergeCell ref="P222:Q222"/>
    <mergeCell ref="R222:S222"/>
    <mergeCell ref="T222:U222"/>
    <mergeCell ref="V222:W222"/>
    <mergeCell ref="X222:Y222"/>
    <mergeCell ref="Z222:AA222"/>
    <mergeCell ref="AB222:AC222"/>
    <mergeCell ref="B222:C222"/>
    <mergeCell ref="D222:E222"/>
    <mergeCell ref="F222:G222"/>
    <mergeCell ref="H222:I222"/>
    <mergeCell ref="J222:K222"/>
    <mergeCell ref="L222:M222"/>
    <mergeCell ref="N222:O222"/>
    <mergeCell ref="AD220:AE220"/>
    <mergeCell ref="AF220:AG220"/>
    <mergeCell ref="P220:Q220"/>
    <mergeCell ref="R220:S220"/>
    <mergeCell ref="T220:U220"/>
    <mergeCell ref="V220:W220"/>
    <mergeCell ref="X220:Y220"/>
    <mergeCell ref="Z220:AA220"/>
    <mergeCell ref="AB220:AC220"/>
    <mergeCell ref="AD221:AE221"/>
    <mergeCell ref="AF221:AG221"/>
    <mergeCell ref="AH221:AI221"/>
    <mergeCell ref="AJ221:AK221"/>
    <mergeCell ref="AL221:BB221"/>
    <mergeCell ref="P221:Q221"/>
    <mergeCell ref="R221:S221"/>
    <mergeCell ref="T221:U221"/>
    <mergeCell ref="V221:W221"/>
    <mergeCell ref="X221:Y221"/>
    <mergeCell ref="Z221:AA221"/>
    <mergeCell ref="AB221:AC221"/>
    <mergeCell ref="B221:C221"/>
    <mergeCell ref="D221:E221"/>
    <mergeCell ref="F221:G221"/>
    <mergeCell ref="H221:I221"/>
    <mergeCell ref="J221:K221"/>
    <mergeCell ref="L221:M221"/>
    <mergeCell ref="N221:O221"/>
    <mergeCell ref="AD222:AE222"/>
    <mergeCell ref="AF222:AG222"/>
    <mergeCell ref="AH222:AI222"/>
    <mergeCell ref="AJ222:AK222"/>
    <mergeCell ref="AL222:BB222"/>
    <mergeCell ref="AH223:AI223"/>
    <mergeCell ref="AJ223:AK223"/>
    <mergeCell ref="AL223:BB223"/>
    <mergeCell ref="B223:C223"/>
    <mergeCell ref="D223:E223"/>
    <mergeCell ref="F223:G223"/>
    <mergeCell ref="H223:I223"/>
    <mergeCell ref="J223:K223"/>
    <mergeCell ref="L223:M223"/>
    <mergeCell ref="N223:O223"/>
    <mergeCell ref="P225:Q225"/>
    <mergeCell ref="R225:S225"/>
    <mergeCell ref="T225:U225"/>
    <mergeCell ref="V225:W225"/>
    <mergeCell ref="X225:Y225"/>
    <mergeCell ref="Z225:AA225"/>
    <mergeCell ref="AB225:AC225"/>
    <mergeCell ref="B225:C225"/>
    <mergeCell ref="D225:E225"/>
    <mergeCell ref="F225:G225"/>
    <mergeCell ref="H225:I225"/>
    <mergeCell ref="J225:K225"/>
    <mergeCell ref="L225:M225"/>
    <mergeCell ref="N225:O225"/>
    <mergeCell ref="AD223:AE223"/>
    <mergeCell ref="AF223:AG223"/>
    <mergeCell ref="P223:Q223"/>
    <mergeCell ref="R223:S223"/>
    <mergeCell ref="T223:U223"/>
    <mergeCell ref="V223:W223"/>
    <mergeCell ref="X223:Y223"/>
    <mergeCell ref="Z223:AA223"/>
    <mergeCell ref="AB223:AC223"/>
    <mergeCell ref="AD224:AE224"/>
    <mergeCell ref="AF224:AG224"/>
    <mergeCell ref="AH224:AI224"/>
    <mergeCell ref="AJ224:AK224"/>
    <mergeCell ref="AL224:BB224"/>
    <mergeCell ref="P224:Q224"/>
    <mergeCell ref="R224:S224"/>
    <mergeCell ref="T224:U224"/>
    <mergeCell ref="V224:W224"/>
    <mergeCell ref="X224:Y224"/>
    <mergeCell ref="Z224:AA224"/>
    <mergeCell ref="AB224:AC224"/>
    <mergeCell ref="B224:C224"/>
    <mergeCell ref="D224:E224"/>
    <mergeCell ref="F224:G224"/>
    <mergeCell ref="H224:I224"/>
    <mergeCell ref="J224:K224"/>
    <mergeCell ref="L224:M224"/>
    <mergeCell ref="N224:O224"/>
    <mergeCell ref="AD225:AE225"/>
    <mergeCell ref="AF225:AG225"/>
    <mergeCell ref="AH225:AI225"/>
    <mergeCell ref="AJ225:AK225"/>
    <mergeCell ref="AL225:BB225"/>
    <mergeCell ref="AH226:AI226"/>
    <mergeCell ref="AJ226:AK226"/>
    <mergeCell ref="AL226:BB226"/>
    <mergeCell ref="B226:C226"/>
    <mergeCell ref="D226:E226"/>
    <mergeCell ref="F226:G226"/>
    <mergeCell ref="H226:I226"/>
    <mergeCell ref="J226:K226"/>
    <mergeCell ref="L226:M226"/>
    <mergeCell ref="N226:O226"/>
    <mergeCell ref="P228:Q228"/>
    <mergeCell ref="R228:S228"/>
    <mergeCell ref="T228:U228"/>
    <mergeCell ref="V228:W228"/>
    <mergeCell ref="X228:Y228"/>
    <mergeCell ref="Z228:AA228"/>
    <mergeCell ref="AB228:AC228"/>
    <mergeCell ref="B228:C228"/>
    <mergeCell ref="D228:E228"/>
    <mergeCell ref="F228:G228"/>
    <mergeCell ref="H228:I228"/>
    <mergeCell ref="J228:K228"/>
    <mergeCell ref="L228:M228"/>
    <mergeCell ref="N228:O228"/>
    <mergeCell ref="AD226:AE226"/>
    <mergeCell ref="AF226:AG226"/>
    <mergeCell ref="P226:Q226"/>
    <mergeCell ref="R226:S226"/>
    <mergeCell ref="T226:U226"/>
    <mergeCell ref="V226:W226"/>
    <mergeCell ref="X226:Y226"/>
    <mergeCell ref="Z226:AA226"/>
    <mergeCell ref="AB226:AC226"/>
    <mergeCell ref="AD227:AE227"/>
    <mergeCell ref="AF227:AG227"/>
    <mergeCell ref="AH227:AI227"/>
    <mergeCell ref="AJ227:AK227"/>
    <mergeCell ref="AL227:BB227"/>
    <mergeCell ref="P227:Q227"/>
    <mergeCell ref="R227:S227"/>
    <mergeCell ref="T227:U227"/>
    <mergeCell ref="V227:W227"/>
    <mergeCell ref="X227:Y227"/>
    <mergeCell ref="Z227:AA227"/>
    <mergeCell ref="AB227:AC227"/>
    <mergeCell ref="B227:C227"/>
    <mergeCell ref="D227:E227"/>
    <mergeCell ref="F227:G227"/>
    <mergeCell ref="H227:I227"/>
    <mergeCell ref="J227:K227"/>
    <mergeCell ref="L227:M227"/>
    <mergeCell ref="N227:O227"/>
    <mergeCell ref="AD228:AE228"/>
    <mergeCell ref="AF228:AG228"/>
    <mergeCell ref="AH228:AI228"/>
    <mergeCell ref="AJ228:AK228"/>
    <mergeCell ref="AL228:BB228"/>
    <mergeCell ref="AH229:AI229"/>
    <mergeCell ref="AJ229:AK229"/>
    <mergeCell ref="AL229:BB229"/>
    <mergeCell ref="B229:C229"/>
    <mergeCell ref="D229:E229"/>
    <mergeCell ref="F229:G229"/>
    <mergeCell ref="H229:I229"/>
    <mergeCell ref="J229:K229"/>
    <mergeCell ref="L229:M229"/>
    <mergeCell ref="N229:O229"/>
    <mergeCell ref="P231:Q231"/>
    <mergeCell ref="R231:S231"/>
    <mergeCell ref="T231:U231"/>
    <mergeCell ref="V231:W231"/>
    <mergeCell ref="X231:Y231"/>
    <mergeCell ref="Z231:AA231"/>
    <mergeCell ref="AB231:AC231"/>
    <mergeCell ref="B231:C231"/>
    <mergeCell ref="D231:E231"/>
    <mergeCell ref="F231:G231"/>
    <mergeCell ref="H231:I231"/>
    <mergeCell ref="J231:K231"/>
    <mergeCell ref="L231:M231"/>
    <mergeCell ref="N231:O231"/>
    <mergeCell ref="AD229:AE229"/>
    <mergeCell ref="AF229:AG229"/>
    <mergeCell ref="P229:Q229"/>
    <mergeCell ref="R229:S229"/>
    <mergeCell ref="T229:U229"/>
    <mergeCell ref="V229:W229"/>
    <mergeCell ref="X229:Y229"/>
    <mergeCell ref="Z229:AA229"/>
    <mergeCell ref="AB229:AC229"/>
    <mergeCell ref="AD230:AE230"/>
    <mergeCell ref="AF230:AG230"/>
    <mergeCell ref="AH230:AI230"/>
    <mergeCell ref="AJ230:AK230"/>
    <mergeCell ref="AL230:BB230"/>
    <mergeCell ref="P230:Q230"/>
    <mergeCell ref="R230:S230"/>
    <mergeCell ref="T230:U230"/>
    <mergeCell ref="V230:W230"/>
    <mergeCell ref="X230:Y230"/>
    <mergeCell ref="Z230:AA230"/>
    <mergeCell ref="AB230:AC230"/>
    <mergeCell ref="B230:C230"/>
    <mergeCell ref="D230:E230"/>
    <mergeCell ref="F230:G230"/>
    <mergeCell ref="H230:I230"/>
    <mergeCell ref="J230:K230"/>
    <mergeCell ref="L230:M230"/>
    <mergeCell ref="N230:O230"/>
    <mergeCell ref="AD231:AE231"/>
    <mergeCell ref="AF231:AG231"/>
    <mergeCell ref="AH231:AI231"/>
    <mergeCell ref="AJ231:AK231"/>
    <mergeCell ref="AL231:BB231"/>
    <mergeCell ref="AH232:AI232"/>
    <mergeCell ref="AJ232:AK232"/>
    <mergeCell ref="AL232:BB232"/>
    <mergeCell ref="B232:C232"/>
    <mergeCell ref="D232:E232"/>
    <mergeCell ref="F232:G232"/>
    <mergeCell ref="H232:I232"/>
    <mergeCell ref="J232:K232"/>
    <mergeCell ref="L232:M232"/>
    <mergeCell ref="N232:O232"/>
    <mergeCell ref="P234:Q234"/>
    <mergeCell ref="R234:S234"/>
    <mergeCell ref="T234:U234"/>
    <mergeCell ref="V234:W234"/>
    <mergeCell ref="X234:Y234"/>
    <mergeCell ref="Z234:AA234"/>
    <mergeCell ref="AB234:AC234"/>
    <mergeCell ref="B234:C234"/>
    <mergeCell ref="D234:E234"/>
    <mergeCell ref="F234:G234"/>
    <mergeCell ref="H234:I234"/>
    <mergeCell ref="J234:K234"/>
    <mergeCell ref="L234:M234"/>
    <mergeCell ref="N234:O234"/>
    <mergeCell ref="AD232:AE232"/>
    <mergeCell ref="AF232:AG232"/>
    <mergeCell ref="P232:Q232"/>
    <mergeCell ref="R232:S232"/>
    <mergeCell ref="T232:U232"/>
    <mergeCell ref="V232:W232"/>
    <mergeCell ref="X232:Y232"/>
    <mergeCell ref="Z232:AA232"/>
    <mergeCell ref="AB232:AC232"/>
    <mergeCell ref="AD233:AE233"/>
    <mergeCell ref="AF233:AG233"/>
    <mergeCell ref="AH233:AI233"/>
    <mergeCell ref="AJ233:AK233"/>
    <mergeCell ref="AL233:BB233"/>
    <mergeCell ref="P233:Q233"/>
    <mergeCell ref="R233:S233"/>
    <mergeCell ref="T233:U233"/>
    <mergeCell ref="V233:W233"/>
    <mergeCell ref="X233:Y233"/>
    <mergeCell ref="Z233:AA233"/>
    <mergeCell ref="AB233:AC233"/>
    <mergeCell ref="B233:C233"/>
    <mergeCell ref="D233:E233"/>
    <mergeCell ref="F233:G233"/>
    <mergeCell ref="H233:I233"/>
    <mergeCell ref="J233:K233"/>
    <mergeCell ref="L233:M233"/>
    <mergeCell ref="N233:O233"/>
    <mergeCell ref="AD234:AE234"/>
    <mergeCell ref="AF234:AG234"/>
    <mergeCell ref="AH234:AI234"/>
    <mergeCell ref="AJ234:AK234"/>
    <mergeCell ref="AL234:BB234"/>
    <mergeCell ref="AH235:AI235"/>
    <mergeCell ref="AJ235:AK235"/>
    <mergeCell ref="AL235:BB235"/>
    <mergeCell ref="B235:C235"/>
    <mergeCell ref="D235:E235"/>
    <mergeCell ref="F235:G235"/>
    <mergeCell ref="H235:I235"/>
    <mergeCell ref="J235:K235"/>
    <mergeCell ref="L235:M235"/>
    <mergeCell ref="N235:O235"/>
    <mergeCell ref="P237:Q237"/>
    <mergeCell ref="R237:S237"/>
    <mergeCell ref="T237:U237"/>
    <mergeCell ref="V237:W237"/>
    <mergeCell ref="X237:Y237"/>
    <mergeCell ref="Z237:AA237"/>
    <mergeCell ref="AB237:AC237"/>
    <mergeCell ref="B237:C237"/>
    <mergeCell ref="D237:E237"/>
    <mergeCell ref="F237:G237"/>
    <mergeCell ref="H237:I237"/>
    <mergeCell ref="J237:K237"/>
    <mergeCell ref="L237:M237"/>
    <mergeCell ref="N237:O237"/>
    <mergeCell ref="AD235:AE235"/>
    <mergeCell ref="AF235:AG235"/>
    <mergeCell ref="P235:Q235"/>
    <mergeCell ref="R235:S235"/>
    <mergeCell ref="T235:U235"/>
    <mergeCell ref="V235:W235"/>
    <mergeCell ref="X235:Y235"/>
    <mergeCell ref="Z235:AA235"/>
    <mergeCell ref="AB235:AC235"/>
    <mergeCell ref="AD236:AE236"/>
    <mergeCell ref="AF236:AG236"/>
    <mergeCell ref="AH236:AI236"/>
    <mergeCell ref="AJ236:AK236"/>
    <mergeCell ref="AL236:BB236"/>
    <mergeCell ref="P236:Q236"/>
    <mergeCell ref="R236:S236"/>
    <mergeCell ref="T236:U236"/>
    <mergeCell ref="V236:W236"/>
    <mergeCell ref="X236:Y236"/>
    <mergeCell ref="Z236:AA236"/>
    <mergeCell ref="AB236:AC236"/>
    <mergeCell ref="B236:C236"/>
    <mergeCell ref="D236:E236"/>
    <mergeCell ref="F236:G236"/>
    <mergeCell ref="H236:I236"/>
    <mergeCell ref="J236:K236"/>
    <mergeCell ref="L236:M236"/>
    <mergeCell ref="N236:O236"/>
    <mergeCell ref="AD237:AE237"/>
    <mergeCell ref="AF237:AG237"/>
    <mergeCell ref="AH237:AI237"/>
    <mergeCell ref="AJ237:AK237"/>
    <mergeCell ref="AL237:BB237"/>
    <mergeCell ref="AH238:AI238"/>
    <mergeCell ref="AJ238:AK238"/>
    <mergeCell ref="AL238:BB238"/>
    <mergeCell ref="B238:C238"/>
    <mergeCell ref="D238:E238"/>
    <mergeCell ref="F238:G238"/>
    <mergeCell ref="H238:I238"/>
    <mergeCell ref="J238:K238"/>
    <mergeCell ref="L238:M238"/>
    <mergeCell ref="N238:O238"/>
    <mergeCell ref="P240:Q240"/>
    <mergeCell ref="R240:S240"/>
    <mergeCell ref="T240:U240"/>
    <mergeCell ref="V240:W240"/>
    <mergeCell ref="X240:Y240"/>
    <mergeCell ref="Z240:AA240"/>
    <mergeCell ref="AB240:AC240"/>
    <mergeCell ref="B240:C240"/>
    <mergeCell ref="D240:E240"/>
    <mergeCell ref="F240:G240"/>
    <mergeCell ref="H240:I240"/>
    <mergeCell ref="J240:K240"/>
    <mergeCell ref="L240:M240"/>
    <mergeCell ref="N240:O240"/>
    <mergeCell ref="AD238:AE238"/>
    <mergeCell ref="AF238:AG238"/>
    <mergeCell ref="P238:Q238"/>
    <mergeCell ref="R238:S238"/>
    <mergeCell ref="T238:U238"/>
    <mergeCell ref="V238:W238"/>
    <mergeCell ref="X238:Y238"/>
    <mergeCell ref="Z238:AA238"/>
    <mergeCell ref="AB238:AC238"/>
    <mergeCell ref="AD239:AE239"/>
    <mergeCell ref="AF239:AG239"/>
    <mergeCell ref="AH239:AI239"/>
    <mergeCell ref="AJ239:AK239"/>
    <mergeCell ref="AL239:BB239"/>
    <mergeCell ref="P239:Q239"/>
    <mergeCell ref="R239:S239"/>
    <mergeCell ref="T239:U239"/>
    <mergeCell ref="V239:W239"/>
    <mergeCell ref="X239:Y239"/>
    <mergeCell ref="Z239:AA239"/>
    <mergeCell ref="AB239:AC239"/>
    <mergeCell ref="B239:C239"/>
    <mergeCell ref="D239:E239"/>
    <mergeCell ref="F239:G239"/>
    <mergeCell ref="H239:I239"/>
    <mergeCell ref="J239:K239"/>
    <mergeCell ref="L239:M239"/>
    <mergeCell ref="N239:O239"/>
    <mergeCell ref="AD240:AE240"/>
    <mergeCell ref="AF240:AG240"/>
    <mergeCell ref="AH240:AI240"/>
    <mergeCell ref="AJ240:AK240"/>
    <mergeCell ref="AL240:BB240"/>
    <mergeCell ref="B241:C241"/>
    <mergeCell ref="D241:E241"/>
    <mergeCell ref="F241:G241"/>
    <mergeCell ref="H241:I241"/>
    <mergeCell ref="J241:K241"/>
    <mergeCell ref="L241:M241"/>
    <mergeCell ref="N241:O241"/>
    <mergeCell ref="AD242:AE242"/>
    <mergeCell ref="AF242:AG242"/>
    <mergeCell ref="AH242:AI242"/>
    <mergeCell ref="AJ242:AK242"/>
    <mergeCell ref="AL242:BB242"/>
    <mergeCell ref="P242:Q242"/>
    <mergeCell ref="R242:S242"/>
    <mergeCell ref="T242:U242"/>
    <mergeCell ref="V242:W242"/>
    <mergeCell ref="X242:Y242"/>
    <mergeCell ref="Z242:AA242"/>
    <mergeCell ref="AB242:AC242"/>
    <mergeCell ref="B242:C242"/>
    <mergeCell ref="D242:E242"/>
    <mergeCell ref="F242:G242"/>
    <mergeCell ref="H242:I242"/>
    <mergeCell ref="J242:K242"/>
    <mergeCell ref="L242:M242"/>
    <mergeCell ref="N242:O242"/>
    <mergeCell ref="AD243:AE243"/>
    <mergeCell ref="AF243:AG243"/>
    <mergeCell ref="AH243:AI243"/>
    <mergeCell ref="AJ243:AK243"/>
    <mergeCell ref="AL243:BB243"/>
    <mergeCell ref="P243:Q243"/>
    <mergeCell ref="R243:S243"/>
    <mergeCell ref="T243:U243"/>
    <mergeCell ref="V243:W243"/>
    <mergeCell ref="X243:Y243"/>
    <mergeCell ref="Z243:AA243"/>
    <mergeCell ref="AB243:AC243"/>
    <mergeCell ref="B243:C243"/>
    <mergeCell ref="D243:E243"/>
    <mergeCell ref="F243:G243"/>
    <mergeCell ref="H243:I243"/>
    <mergeCell ref="J243:K243"/>
    <mergeCell ref="L243:M243"/>
    <mergeCell ref="N243:O243"/>
    <mergeCell ref="AH244:AI244"/>
    <mergeCell ref="AJ244:AK244"/>
    <mergeCell ref="AL244:BB244"/>
    <mergeCell ref="B244:C244"/>
    <mergeCell ref="D244:E244"/>
    <mergeCell ref="F244:G244"/>
    <mergeCell ref="H244:I244"/>
    <mergeCell ref="J244:K244"/>
    <mergeCell ref="L244:M244"/>
    <mergeCell ref="N244:O244"/>
    <mergeCell ref="P246:Q246"/>
    <mergeCell ref="R246:S246"/>
    <mergeCell ref="T246:U246"/>
    <mergeCell ref="V246:W246"/>
    <mergeCell ref="X246:Y246"/>
    <mergeCell ref="Z246:AA246"/>
    <mergeCell ref="AB246:AC246"/>
    <mergeCell ref="B246:C246"/>
    <mergeCell ref="D246:E246"/>
    <mergeCell ref="F246:G246"/>
    <mergeCell ref="H246:I246"/>
    <mergeCell ref="J246:K246"/>
    <mergeCell ref="L246:M246"/>
    <mergeCell ref="N246:O246"/>
    <mergeCell ref="AD244:AE244"/>
    <mergeCell ref="AF244:AG244"/>
    <mergeCell ref="P244:Q244"/>
    <mergeCell ref="R244:S244"/>
    <mergeCell ref="T244:U244"/>
    <mergeCell ref="V244:W244"/>
    <mergeCell ref="X244:Y244"/>
    <mergeCell ref="Z244:AA244"/>
    <mergeCell ref="AB244:AC244"/>
    <mergeCell ref="AD245:AE245"/>
    <mergeCell ref="AF245:AG245"/>
    <mergeCell ref="AH245:AI245"/>
    <mergeCell ref="AJ245:AK245"/>
    <mergeCell ref="AL245:BB245"/>
    <mergeCell ref="P245:Q245"/>
    <mergeCell ref="R245:S245"/>
    <mergeCell ref="T245:U245"/>
    <mergeCell ref="V245:W245"/>
    <mergeCell ref="X245:Y245"/>
    <mergeCell ref="Z245:AA245"/>
    <mergeCell ref="AB245:AC245"/>
    <mergeCell ref="B245:C245"/>
    <mergeCell ref="D245:E245"/>
    <mergeCell ref="F245:G245"/>
    <mergeCell ref="H245:I245"/>
    <mergeCell ref="J245:K245"/>
    <mergeCell ref="L245:M245"/>
    <mergeCell ref="N245:O245"/>
    <mergeCell ref="AD246:AE246"/>
    <mergeCell ref="AF246:AG246"/>
    <mergeCell ref="AH246:AI246"/>
    <mergeCell ref="AJ246:AK246"/>
    <mergeCell ref="AL246:BB246"/>
    <mergeCell ref="AH247:AI247"/>
    <mergeCell ref="AJ247:AK247"/>
    <mergeCell ref="AL247:BB247"/>
    <mergeCell ref="B247:C247"/>
    <mergeCell ref="D247:E247"/>
    <mergeCell ref="F247:G247"/>
    <mergeCell ref="H247:I247"/>
    <mergeCell ref="J247:K247"/>
    <mergeCell ref="L247:M247"/>
    <mergeCell ref="N247:O247"/>
    <mergeCell ref="P249:Q249"/>
    <mergeCell ref="R249:S249"/>
    <mergeCell ref="T249:U249"/>
    <mergeCell ref="V249:W249"/>
    <mergeCell ref="X249:Y249"/>
    <mergeCell ref="Z249:AA249"/>
    <mergeCell ref="AB249:AC249"/>
    <mergeCell ref="B249:C249"/>
    <mergeCell ref="D249:E249"/>
    <mergeCell ref="F249:G249"/>
    <mergeCell ref="H249:I249"/>
    <mergeCell ref="J249:K249"/>
    <mergeCell ref="L249:M249"/>
    <mergeCell ref="N249:O249"/>
    <mergeCell ref="P252:Q252"/>
    <mergeCell ref="R252:S252"/>
    <mergeCell ref="T252:U252"/>
    <mergeCell ref="V252:W252"/>
    <mergeCell ref="X252:Y252"/>
    <mergeCell ref="Z252:AA252"/>
    <mergeCell ref="AB252:AC252"/>
    <mergeCell ref="B252:C252"/>
    <mergeCell ref="D252:E252"/>
    <mergeCell ref="F252:G252"/>
    <mergeCell ref="H252:I252"/>
    <mergeCell ref="J252:K252"/>
    <mergeCell ref="L252:M252"/>
    <mergeCell ref="N252:O252"/>
    <mergeCell ref="X250:Y250"/>
    <mergeCell ref="Z250:AA250"/>
    <mergeCell ref="AB250:AC250"/>
    <mergeCell ref="AD251:AE251"/>
    <mergeCell ref="AF251:AG251"/>
    <mergeCell ref="AH251:AI251"/>
    <mergeCell ref="AJ251:AK251"/>
    <mergeCell ref="AL251:BB251"/>
    <mergeCell ref="P251:Q251"/>
    <mergeCell ref="R251:S251"/>
    <mergeCell ref="T251:U251"/>
    <mergeCell ref="V251:W251"/>
    <mergeCell ref="X251:Y251"/>
    <mergeCell ref="Z251:AA251"/>
    <mergeCell ref="AB251:AC251"/>
    <mergeCell ref="B251:C251"/>
    <mergeCell ref="D251:E251"/>
    <mergeCell ref="F251:G251"/>
    <mergeCell ref="H251:I251"/>
    <mergeCell ref="J251:K251"/>
    <mergeCell ref="L251:M251"/>
    <mergeCell ref="N251:O251"/>
    <mergeCell ref="AD252:AE252"/>
    <mergeCell ref="AF252:AG252"/>
    <mergeCell ref="AH252:AI252"/>
    <mergeCell ref="AJ252:AK252"/>
    <mergeCell ref="AD256:AE256"/>
    <mergeCell ref="AF256:AG256"/>
    <mergeCell ref="P256:Q256"/>
    <mergeCell ref="R256:S256"/>
    <mergeCell ref="T256:U256"/>
    <mergeCell ref="V256:W256"/>
    <mergeCell ref="X256:Y256"/>
    <mergeCell ref="Z256:AA256"/>
    <mergeCell ref="AB256:AC256"/>
    <mergeCell ref="AD257:AE257"/>
    <mergeCell ref="AF257:AG257"/>
    <mergeCell ref="AH257:AI257"/>
    <mergeCell ref="AJ257:AK257"/>
    <mergeCell ref="AL257:BB257"/>
    <mergeCell ref="P257:Q257"/>
    <mergeCell ref="R257:S257"/>
    <mergeCell ref="T257:U257"/>
    <mergeCell ref="V257:W257"/>
    <mergeCell ref="X257:Y257"/>
    <mergeCell ref="Z257:AA257"/>
    <mergeCell ref="AB257:AC257"/>
    <mergeCell ref="B257:C257"/>
    <mergeCell ref="D257:E257"/>
    <mergeCell ref="F257:G257"/>
    <mergeCell ref="H257:I257"/>
    <mergeCell ref="J257:K257"/>
    <mergeCell ref="L257:M257"/>
    <mergeCell ref="N257:O257"/>
    <mergeCell ref="AD258:AE258"/>
    <mergeCell ref="AF258:AG258"/>
    <mergeCell ref="AH258:AI258"/>
    <mergeCell ref="AJ258:AK258"/>
    <mergeCell ref="AL258:BB258"/>
    <mergeCell ref="AH256:AI256"/>
    <mergeCell ref="AJ256:AK256"/>
    <mergeCell ref="AL256:BB256"/>
    <mergeCell ref="B256:C256"/>
    <mergeCell ref="D256:E256"/>
    <mergeCell ref="F256:G256"/>
    <mergeCell ref="H256:I256"/>
    <mergeCell ref="J256:K256"/>
    <mergeCell ref="L256:M256"/>
    <mergeCell ref="N256:O256"/>
    <mergeCell ref="P258:Q258"/>
    <mergeCell ref="R258:S258"/>
    <mergeCell ref="T258:U258"/>
    <mergeCell ref="V258:W258"/>
    <mergeCell ref="X258:Y258"/>
    <mergeCell ref="Z258:AA258"/>
    <mergeCell ref="AB258:AC258"/>
    <mergeCell ref="B258:C258"/>
    <mergeCell ref="D258:E258"/>
    <mergeCell ref="F258:G258"/>
    <mergeCell ref="H258:I258"/>
    <mergeCell ref="J258:K258"/>
    <mergeCell ref="L258:M258"/>
    <mergeCell ref="N258:O258"/>
    <mergeCell ref="AH259:AI259"/>
    <mergeCell ref="AJ259:AK259"/>
    <mergeCell ref="AL259:BB259"/>
    <mergeCell ref="B259:C259"/>
    <mergeCell ref="D259:E259"/>
    <mergeCell ref="F259:G259"/>
    <mergeCell ref="H259:I259"/>
    <mergeCell ref="J259:K259"/>
    <mergeCell ref="L259:M259"/>
    <mergeCell ref="N259:O259"/>
    <mergeCell ref="AD259:AE259"/>
    <mergeCell ref="AF259:AG259"/>
    <mergeCell ref="P259:Q259"/>
    <mergeCell ref="R259:S259"/>
    <mergeCell ref="T259:U259"/>
    <mergeCell ref="V259:W259"/>
    <mergeCell ref="X259:Y259"/>
    <mergeCell ref="Z259:AA259"/>
    <mergeCell ref="AB259:AC259"/>
    <mergeCell ref="AD260:AE260"/>
    <mergeCell ref="AF260:AG260"/>
    <mergeCell ref="AH260:AI260"/>
    <mergeCell ref="AJ260:AK260"/>
    <mergeCell ref="AL260:BB260"/>
    <mergeCell ref="P260:Q260"/>
    <mergeCell ref="R260:S260"/>
    <mergeCell ref="T260:U260"/>
    <mergeCell ref="V260:W260"/>
    <mergeCell ref="X260:Y260"/>
    <mergeCell ref="Z260:AA260"/>
    <mergeCell ref="AB260:AC260"/>
    <mergeCell ref="B260:C260"/>
    <mergeCell ref="D260:E260"/>
    <mergeCell ref="F260:G260"/>
    <mergeCell ref="H260:I260"/>
    <mergeCell ref="J260:K260"/>
    <mergeCell ref="L260:M260"/>
    <mergeCell ref="N260:O260"/>
    <mergeCell ref="AD261:AE261"/>
    <mergeCell ref="AF261:AG261"/>
    <mergeCell ref="AH261:AI261"/>
    <mergeCell ref="AJ261:AK261"/>
    <mergeCell ref="AL261:BB261"/>
    <mergeCell ref="AH262:AI262"/>
    <mergeCell ref="AJ262:AK262"/>
    <mergeCell ref="AL262:BB262"/>
    <mergeCell ref="B262:C262"/>
    <mergeCell ref="D262:E262"/>
    <mergeCell ref="F262:G262"/>
    <mergeCell ref="H262:I262"/>
    <mergeCell ref="J262:K262"/>
    <mergeCell ref="L262:M262"/>
    <mergeCell ref="N262:O262"/>
    <mergeCell ref="AD247:AE247"/>
    <mergeCell ref="AF247:AG247"/>
    <mergeCell ref="P247:Q247"/>
    <mergeCell ref="R247:S247"/>
    <mergeCell ref="T247:U247"/>
    <mergeCell ref="V247:W247"/>
    <mergeCell ref="X247:Y247"/>
    <mergeCell ref="Z247:AA247"/>
    <mergeCell ref="AB247:AC247"/>
    <mergeCell ref="AD248:AE248"/>
    <mergeCell ref="AF248:AG248"/>
    <mergeCell ref="AH248:AI248"/>
    <mergeCell ref="AJ248:AK248"/>
    <mergeCell ref="AL248:BB248"/>
    <mergeCell ref="P248:Q248"/>
    <mergeCell ref="R248:S248"/>
    <mergeCell ref="T248:U248"/>
    <mergeCell ref="V248:W248"/>
    <mergeCell ref="X248:Y248"/>
    <mergeCell ref="Z248:AA248"/>
    <mergeCell ref="AB248:AC248"/>
    <mergeCell ref="B248:C248"/>
    <mergeCell ref="D248:E248"/>
    <mergeCell ref="F248:G248"/>
    <mergeCell ref="H248:I248"/>
    <mergeCell ref="J248:K248"/>
    <mergeCell ref="L248:M248"/>
    <mergeCell ref="N248:O248"/>
    <mergeCell ref="AD249:AE249"/>
    <mergeCell ref="AF249:AG249"/>
    <mergeCell ref="AH249:AI249"/>
    <mergeCell ref="AJ249:AK249"/>
    <mergeCell ref="AL249:BB249"/>
    <mergeCell ref="AH250:AI250"/>
    <mergeCell ref="AJ250:AK250"/>
    <mergeCell ref="AL250:BB250"/>
    <mergeCell ref="B250:C250"/>
    <mergeCell ref="D250:E250"/>
    <mergeCell ref="F250:G250"/>
    <mergeCell ref="H250:I250"/>
    <mergeCell ref="J250:K250"/>
    <mergeCell ref="L250:M250"/>
    <mergeCell ref="N250:O250"/>
    <mergeCell ref="AD250:AE250"/>
    <mergeCell ref="AF250:AG250"/>
    <mergeCell ref="P250:Q250"/>
    <mergeCell ref="R250:S250"/>
    <mergeCell ref="T250:U250"/>
    <mergeCell ref="V250:W250"/>
    <mergeCell ref="AL252:BB252"/>
    <mergeCell ref="AH253:AI253"/>
    <mergeCell ref="AJ253:AK253"/>
    <mergeCell ref="AL253:BB253"/>
    <mergeCell ref="B253:C253"/>
    <mergeCell ref="D253:E253"/>
    <mergeCell ref="F253:G253"/>
    <mergeCell ref="H253:I253"/>
    <mergeCell ref="J253:K253"/>
    <mergeCell ref="L253:M253"/>
    <mergeCell ref="N253:O253"/>
    <mergeCell ref="P255:Q255"/>
    <mergeCell ref="R255:S255"/>
    <mergeCell ref="T255:U255"/>
    <mergeCell ref="V255:W255"/>
    <mergeCell ref="X255:Y255"/>
    <mergeCell ref="Z255:AA255"/>
    <mergeCell ref="AB255:AC255"/>
    <mergeCell ref="B255:C255"/>
    <mergeCell ref="D255:E255"/>
    <mergeCell ref="F255:G255"/>
    <mergeCell ref="H255:I255"/>
    <mergeCell ref="J255:K255"/>
    <mergeCell ref="L255:M255"/>
    <mergeCell ref="N255:O255"/>
    <mergeCell ref="AD253:AE253"/>
    <mergeCell ref="AF253:AG253"/>
    <mergeCell ref="P253:Q253"/>
    <mergeCell ref="R253:S253"/>
    <mergeCell ref="T253:U253"/>
    <mergeCell ref="V253:W253"/>
    <mergeCell ref="X253:Y253"/>
    <mergeCell ref="Z253:AA253"/>
    <mergeCell ref="AB253:AC253"/>
    <mergeCell ref="AD254:AE254"/>
    <mergeCell ref="AF254:AG254"/>
    <mergeCell ref="AH254:AI254"/>
    <mergeCell ref="AJ254:AK254"/>
    <mergeCell ref="AL254:BB254"/>
    <mergeCell ref="P254:Q254"/>
    <mergeCell ref="R254:S254"/>
    <mergeCell ref="T254:U254"/>
    <mergeCell ref="V254:W254"/>
    <mergeCell ref="X254:Y254"/>
    <mergeCell ref="Z254:AA254"/>
    <mergeCell ref="AB254:AC254"/>
    <mergeCell ref="B254:C254"/>
    <mergeCell ref="D254:E254"/>
    <mergeCell ref="F254:G254"/>
    <mergeCell ref="H254:I254"/>
    <mergeCell ref="J254:K254"/>
    <mergeCell ref="L254:M254"/>
    <mergeCell ref="N254:O254"/>
    <mergeCell ref="AD255:AE255"/>
    <mergeCell ref="AF255:AG255"/>
    <mergeCell ref="AH255:AI255"/>
    <mergeCell ref="AJ255:AK255"/>
    <mergeCell ref="AL255:BB255"/>
    <mergeCell ref="P261:Q261"/>
    <mergeCell ref="R261:S261"/>
    <mergeCell ref="T261:U261"/>
    <mergeCell ref="V261:W261"/>
    <mergeCell ref="X261:Y261"/>
    <mergeCell ref="Z261:AA261"/>
    <mergeCell ref="AB261:AC261"/>
    <mergeCell ref="B261:C261"/>
    <mergeCell ref="D261:E261"/>
    <mergeCell ref="F261:G261"/>
    <mergeCell ref="H261:I261"/>
    <mergeCell ref="J261:K261"/>
    <mergeCell ref="L261:M261"/>
    <mergeCell ref="N261:O261"/>
    <mergeCell ref="AD283:AE283"/>
    <mergeCell ref="AF283:AG283"/>
    <mergeCell ref="AH283:AI283"/>
    <mergeCell ref="AJ283:AK283"/>
    <mergeCell ref="AL283:BB283"/>
    <mergeCell ref="P283:Q283"/>
    <mergeCell ref="R283:S283"/>
    <mergeCell ref="T283:U283"/>
    <mergeCell ref="V283:W283"/>
    <mergeCell ref="X283:Y283"/>
    <mergeCell ref="Z283:AA283"/>
    <mergeCell ref="AB283:AC283"/>
    <mergeCell ref="P264:Q264"/>
    <mergeCell ref="R264:S264"/>
    <mergeCell ref="T264:U264"/>
    <mergeCell ref="V264:W264"/>
    <mergeCell ref="X264:Y264"/>
    <mergeCell ref="Z264:AA264"/>
    <mergeCell ref="AB264:AC264"/>
    <mergeCell ref="B264:C264"/>
    <mergeCell ref="D264:E264"/>
    <mergeCell ref="F264:G264"/>
    <mergeCell ref="H264:I264"/>
    <mergeCell ref="J264:K264"/>
    <mergeCell ref="L264:M264"/>
    <mergeCell ref="N264:O264"/>
    <mergeCell ref="AD262:AE262"/>
    <mergeCell ref="AF262:AG262"/>
    <mergeCell ref="P262:Q262"/>
    <mergeCell ref="R262:S262"/>
    <mergeCell ref="T262:U262"/>
    <mergeCell ref="V262:W262"/>
    <mergeCell ref="X262:Y262"/>
    <mergeCell ref="Z262:AA262"/>
    <mergeCell ref="AB262:AC262"/>
    <mergeCell ref="AD263:AE263"/>
    <mergeCell ref="AF263:AG263"/>
    <mergeCell ref="AH263:AI263"/>
    <mergeCell ref="AJ263:AK263"/>
    <mergeCell ref="AL263:BB263"/>
    <mergeCell ref="P263:Q263"/>
    <mergeCell ref="R263:S263"/>
    <mergeCell ref="T263:U263"/>
    <mergeCell ref="V263:W263"/>
    <mergeCell ref="X263:Y263"/>
    <mergeCell ref="Z263:AA263"/>
    <mergeCell ref="AB263:AC263"/>
    <mergeCell ref="B263:C263"/>
    <mergeCell ref="D263:E263"/>
    <mergeCell ref="F263:G263"/>
    <mergeCell ref="H263:I263"/>
    <mergeCell ref="J263:K263"/>
    <mergeCell ref="L263:M263"/>
    <mergeCell ref="N263:O263"/>
    <mergeCell ref="AD264:AE264"/>
    <mergeCell ref="AF264:AG264"/>
    <mergeCell ref="AH264:AI264"/>
    <mergeCell ref="AJ264:AK264"/>
    <mergeCell ref="AL264:BB264"/>
    <mergeCell ref="AH265:AI265"/>
    <mergeCell ref="AJ265:AK265"/>
    <mergeCell ref="AL265:BB265"/>
    <mergeCell ref="B265:C265"/>
    <mergeCell ref="D265:E265"/>
    <mergeCell ref="F265:G265"/>
    <mergeCell ref="H265:I265"/>
    <mergeCell ref="J265:K265"/>
    <mergeCell ref="L265:M265"/>
    <mergeCell ref="N265:O265"/>
    <mergeCell ref="P267:Q267"/>
    <mergeCell ref="R267:S267"/>
    <mergeCell ref="T267:U267"/>
    <mergeCell ref="V267:W267"/>
    <mergeCell ref="X267:Y267"/>
    <mergeCell ref="Z267:AA267"/>
    <mergeCell ref="AB267:AC267"/>
    <mergeCell ref="B267:C267"/>
    <mergeCell ref="D267:E267"/>
    <mergeCell ref="F267:G267"/>
    <mergeCell ref="H267:I267"/>
    <mergeCell ref="J267:K267"/>
    <mergeCell ref="L267:M267"/>
    <mergeCell ref="N267:O267"/>
    <mergeCell ref="AD265:AE265"/>
    <mergeCell ref="AF265:AG265"/>
    <mergeCell ref="P265:Q265"/>
    <mergeCell ref="R265:S265"/>
    <mergeCell ref="T265:U265"/>
    <mergeCell ref="V265:W265"/>
    <mergeCell ref="X265:Y265"/>
    <mergeCell ref="Z265:AA265"/>
    <mergeCell ref="AB265:AC265"/>
    <mergeCell ref="AD266:AE266"/>
    <mergeCell ref="AF266:AG266"/>
    <mergeCell ref="AH266:AI266"/>
    <mergeCell ref="AJ266:AK266"/>
    <mergeCell ref="AL266:BB266"/>
    <mergeCell ref="P266:Q266"/>
    <mergeCell ref="R266:S266"/>
    <mergeCell ref="T266:U266"/>
    <mergeCell ref="V266:W266"/>
    <mergeCell ref="X266:Y266"/>
    <mergeCell ref="Z266:AA266"/>
    <mergeCell ref="AB266:AC266"/>
    <mergeCell ref="B266:C266"/>
    <mergeCell ref="D266:E266"/>
    <mergeCell ref="F266:G266"/>
    <mergeCell ref="H266:I266"/>
    <mergeCell ref="J266:K266"/>
    <mergeCell ref="L266:M266"/>
    <mergeCell ref="N266:O266"/>
    <mergeCell ref="AD267:AE267"/>
    <mergeCell ref="AF267:AG267"/>
    <mergeCell ref="AH267:AI267"/>
    <mergeCell ref="AJ267:AK267"/>
    <mergeCell ref="AL267:BB267"/>
    <mergeCell ref="AH268:AI268"/>
    <mergeCell ref="AJ268:AK268"/>
    <mergeCell ref="AL268:BB268"/>
    <mergeCell ref="B268:C268"/>
    <mergeCell ref="D268:E268"/>
    <mergeCell ref="F268:G268"/>
    <mergeCell ref="H268:I268"/>
    <mergeCell ref="J268:K268"/>
    <mergeCell ref="L268:M268"/>
    <mergeCell ref="N268:O268"/>
    <mergeCell ref="P270:Q270"/>
    <mergeCell ref="R270:S270"/>
    <mergeCell ref="T270:U270"/>
    <mergeCell ref="V270:W270"/>
    <mergeCell ref="X270:Y270"/>
    <mergeCell ref="Z270:AA270"/>
    <mergeCell ref="AB270:AC270"/>
    <mergeCell ref="B270:C270"/>
    <mergeCell ref="D270:E270"/>
    <mergeCell ref="F270:G270"/>
    <mergeCell ref="H270:I270"/>
    <mergeCell ref="J270:K270"/>
    <mergeCell ref="L270:M270"/>
    <mergeCell ref="N270:O270"/>
    <mergeCell ref="AD268:AE268"/>
    <mergeCell ref="AF268:AG268"/>
    <mergeCell ref="P268:Q268"/>
    <mergeCell ref="R268:S268"/>
    <mergeCell ref="T268:U268"/>
    <mergeCell ref="V268:W268"/>
    <mergeCell ref="X268:Y268"/>
    <mergeCell ref="Z268:AA268"/>
    <mergeCell ref="AB268:AC268"/>
    <mergeCell ref="AD269:AE269"/>
    <mergeCell ref="AF269:AG269"/>
    <mergeCell ref="AH269:AI269"/>
    <mergeCell ref="AJ269:AK269"/>
    <mergeCell ref="AL269:BB269"/>
    <mergeCell ref="P269:Q269"/>
    <mergeCell ref="R269:S269"/>
    <mergeCell ref="T269:U269"/>
    <mergeCell ref="V269:W269"/>
    <mergeCell ref="X269:Y269"/>
    <mergeCell ref="Z269:AA269"/>
    <mergeCell ref="AB269:AC269"/>
    <mergeCell ref="B269:C269"/>
    <mergeCell ref="D269:E269"/>
    <mergeCell ref="F269:G269"/>
    <mergeCell ref="H269:I269"/>
    <mergeCell ref="J269:K269"/>
    <mergeCell ref="L269:M269"/>
    <mergeCell ref="N269:O269"/>
    <mergeCell ref="AD270:AE270"/>
    <mergeCell ref="AF270:AG270"/>
    <mergeCell ref="AH270:AI270"/>
    <mergeCell ref="AJ270:AK270"/>
    <mergeCell ref="AL270:BB270"/>
    <mergeCell ref="AH271:AI271"/>
    <mergeCell ref="AJ271:AK271"/>
    <mergeCell ref="AL271:BB271"/>
    <mergeCell ref="B271:C271"/>
    <mergeCell ref="D271:E271"/>
    <mergeCell ref="F271:G271"/>
    <mergeCell ref="H271:I271"/>
    <mergeCell ref="J271:K271"/>
    <mergeCell ref="L271:M271"/>
    <mergeCell ref="N271:O271"/>
    <mergeCell ref="P273:Q273"/>
    <mergeCell ref="R273:S273"/>
    <mergeCell ref="T273:U273"/>
    <mergeCell ref="V273:W273"/>
    <mergeCell ref="X273:Y273"/>
    <mergeCell ref="Z273:AA273"/>
    <mergeCell ref="AB273:AC273"/>
    <mergeCell ref="B273:C273"/>
    <mergeCell ref="D273:E273"/>
    <mergeCell ref="F273:G273"/>
    <mergeCell ref="H273:I273"/>
    <mergeCell ref="J273:K273"/>
    <mergeCell ref="L273:M273"/>
    <mergeCell ref="N273:O273"/>
    <mergeCell ref="AD271:AE271"/>
    <mergeCell ref="AF271:AG271"/>
    <mergeCell ref="P271:Q271"/>
    <mergeCell ref="R271:S271"/>
    <mergeCell ref="T271:U271"/>
    <mergeCell ref="V271:W271"/>
    <mergeCell ref="X271:Y271"/>
    <mergeCell ref="Z271:AA271"/>
    <mergeCell ref="AB271:AC271"/>
    <mergeCell ref="AD272:AE272"/>
    <mergeCell ref="AF272:AG272"/>
    <mergeCell ref="AH272:AI272"/>
    <mergeCell ref="AJ272:AK272"/>
    <mergeCell ref="AL272:BB272"/>
    <mergeCell ref="P272:Q272"/>
    <mergeCell ref="R272:S272"/>
    <mergeCell ref="T272:U272"/>
    <mergeCell ref="V272:W272"/>
    <mergeCell ref="X272:Y272"/>
    <mergeCell ref="Z272:AA272"/>
    <mergeCell ref="AB272:AC272"/>
    <mergeCell ref="B272:C272"/>
    <mergeCell ref="D272:E272"/>
    <mergeCell ref="F272:G272"/>
    <mergeCell ref="H272:I272"/>
    <mergeCell ref="J272:K272"/>
    <mergeCell ref="L272:M272"/>
    <mergeCell ref="N272:O272"/>
    <mergeCell ref="AD273:AE273"/>
    <mergeCell ref="AF273:AG273"/>
    <mergeCell ref="AH273:AI273"/>
    <mergeCell ref="AJ273:AK273"/>
    <mergeCell ref="AL273:BB273"/>
    <mergeCell ref="AH274:AI274"/>
    <mergeCell ref="AJ274:AK274"/>
    <mergeCell ref="AL274:BB274"/>
    <mergeCell ref="B274:C274"/>
    <mergeCell ref="D274:E274"/>
    <mergeCell ref="F274:G274"/>
    <mergeCell ref="H274:I274"/>
    <mergeCell ref="J274:K274"/>
    <mergeCell ref="L274:M274"/>
    <mergeCell ref="N274:O274"/>
    <mergeCell ref="P276:Q276"/>
    <mergeCell ref="R276:S276"/>
    <mergeCell ref="T276:U276"/>
    <mergeCell ref="V276:W276"/>
    <mergeCell ref="X276:Y276"/>
    <mergeCell ref="Z276:AA276"/>
    <mergeCell ref="AB276:AC276"/>
    <mergeCell ref="B276:C276"/>
    <mergeCell ref="D276:E276"/>
    <mergeCell ref="F276:G276"/>
    <mergeCell ref="H276:I276"/>
    <mergeCell ref="J276:K276"/>
    <mergeCell ref="L276:M276"/>
    <mergeCell ref="N276:O276"/>
    <mergeCell ref="AD274:AE274"/>
    <mergeCell ref="AF274:AG274"/>
    <mergeCell ref="P274:Q274"/>
    <mergeCell ref="R274:S274"/>
    <mergeCell ref="T274:U274"/>
    <mergeCell ref="V274:W274"/>
    <mergeCell ref="X274:Y274"/>
    <mergeCell ref="Z274:AA274"/>
    <mergeCell ref="AB274:AC274"/>
    <mergeCell ref="AD275:AE275"/>
    <mergeCell ref="AF275:AG275"/>
    <mergeCell ref="AH275:AI275"/>
    <mergeCell ref="AJ275:AK275"/>
    <mergeCell ref="AL275:BB275"/>
    <mergeCell ref="P275:Q275"/>
    <mergeCell ref="R275:S275"/>
    <mergeCell ref="T275:U275"/>
    <mergeCell ref="V275:W275"/>
    <mergeCell ref="X275:Y275"/>
    <mergeCell ref="Z275:AA275"/>
    <mergeCell ref="AB275:AC275"/>
    <mergeCell ref="B275:C275"/>
    <mergeCell ref="D275:E275"/>
    <mergeCell ref="F275:G275"/>
    <mergeCell ref="H275:I275"/>
    <mergeCell ref="J275:K275"/>
    <mergeCell ref="L275:M275"/>
    <mergeCell ref="N275:O275"/>
    <mergeCell ref="AD276:AE276"/>
    <mergeCell ref="AF276:AG276"/>
    <mergeCell ref="AH276:AI276"/>
    <mergeCell ref="AJ276:AK276"/>
    <mergeCell ref="AL276:BB276"/>
    <mergeCell ref="AH277:AI277"/>
    <mergeCell ref="AJ277:AK277"/>
    <mergeCell ref="AL277:BB277"/>
    <mergeCell ref="B277:C277"/>
    <mergeCell ref="D277:E277"/>
    <mergeCell ref="F277:G277"/>
    <mergeCell ref="H277:I277"/>
    <mergeCell ref="J277:K277"/>
    <mergeCell ref="L277:M277"/>
    <mergeCell ref="N277:O277"/>
    <mergeCell ref="P279:Q279"/>
    <mergeCell ref="R279:S279"/>
    <mergeCell ref="T279:U279"/>
    <mergeCell ref="V279:W279"/>
    <mergeCell ref="X279:Y279"/>
    <mergeCell ref="Z279:AA279"/>
    <mergeCell ref="AB279:AC279"/>
    <mergeCell ref="B279:C279"/>
    <mergeCell ref="D279:E279"/>
    <mergeCell ref="F279:G279"/>
    <mergeCell ref="H279:I279"/>
    <mergeCell ref="J279:K279"/>
    <mergeCell ref="L279:M279"/>
    <mergeCell ref="N279:O279"/>
    <mergeCell ref="AD277:AE277"/>
    <mergeCell ref="AF277:AG277"/>
    <mergeCell ref="P277:Q277"/>
    <mergeCell ref="R277:S277"/>
    <mergeCell ref="T277:U277"/>
    <mergeCell ref="V277:W277"/>
    <mergeCell ref="X277:Y277"/>
    <mergeCell ref="Z277:AA277"/>
    <mergeCell ref="AB277:AC277"/>
    <mergeCell ref="AD278:AE278"/>
    <mergeCell ref="AF278:AG278"/>
    <mergeCell ref="AH278:AI278"/>
    <mergeCell ref="AJ278:AK278"/>
    <mergeCell ref="AL278:BB278"/>
    <mergeCell ref="P278:Q278"/>
    <mergeCell ref="R278:S278"/>
    <mergeCell ref="T278:U278"/>
    <mergeCell ref="V278:W278"/>
    <mergeCell ref="X278:Y278"/>
    <mergeCell ref="Z278:AA278"/>
    <mergeCell ref="AB278:AC278"/>
    <mergeCell ref="B278:C278"/>
    <mergeCell ref="D278:E278"/>
    <mergeCell ref="F278:G278"/>
    <mergeCell ref="H278:I278"/>
    <mergeCell ref="J278:K278"/>
    <mergeCell ref="L278:M278"/>
    <mergeCell ref="N278:O278"/>
    <mergeCell ref="AD279:AE279"/>
    <mergeCell ref="AF279:AG279"/>
    <mergeCell ref="AH279:AI279"/>
    <mergeCell ref="AJ279:AK279"/>
    <mergeCell ref="AL279:BB279"/>
    <mergeCell ref="AH280:AI280"/>
    <mergeCell ref="AJ280:AK280"/>
    <mergeCell ref="AL280:BB280"/>
    <mergeCell ref="B280:C280"/>
    <mergeCell ref="D280:E280"/>
    <mergeCell ref="F280:G280"/>
    <mergeCell ref="H280:I280"/>
    <mergeCell ref="J280:K280"/>
    <mergeCell ref="L280:M280"/>
    <mergeCell ref="N280:O280"/>
    <mergeCell ref="P282:Q282"/>
    <mergeCell ref="R282:S282"/>
    <mergeCell ref="T282:U282"/>
    <mergeCell ref="V282:W282"/>
    <mergeCell ref="X282:Y282"/>
    <mergeCell ref="Z282:AA282"/>
    <mergeCell ref="AB282:AC282"/>
    <mergeCell ref="B282:C282"/>
    <mergeCell ref="D282:E282"/>
    <mergeCell ref="F282:G282"/>
    <mergeCell ref="H282:I282"/>
    <mergeCell ref="J282:K282"/>
    <mergeCell ref="L282:M282"/>
    <mergeCell ref="N282:O282"/>
    <mergeCell ref="AD280:AE280"/>
    <mergeCell ref="AF280:AG280"/>
    <mergeCell ref="P280:Q280"/>
    <mergeCell ref="R280:S280"/>
    <mergeCell ref="T280:U280"/>
    <mergeCell ref="V280:W280"/>
    <mergeCell ref="X280:Y280"/>
    <mergeCell ref="Z280:AA280"/>
    <mergeCell ref="AB280:AC280"/>
    <mergeCell ref="AD281:AE281"/>
    <mergeCell ref="AF281:AG281"/>
    <mergeCell ref="AH281:AI281"/>
    <mergeCell ref="AJ281:AK281"/>
    <mergeCell ref="AL281:BB281"/>
    <mergeCell ref="P281:Q281"/>
    <mergeCell ref="R281:S281"/>
    <mergeCell ref="T281:U281"/>
    <mergeCell ref="V281:W281"/>
    <mergeCell ref="X281:Y281"/>
    <mergeCell ref="Z281:AA281"/>
    <mergeCell ref="AB281:AC281"/>
    <mergeCell ref="B281:C281"/>
    <mergeCell ref="D281:E281"/>
    <mergeCell ref="F281:G281"/>
    <mergeCell ref="H281:I281"/>
    <mergeCell ref="J281:K281"/>
    <mergeCell ref="L281:M281"/>
    <mergeCell ref="N281:O281"/>
    <mergeCell ref="AD282:AE282"/>
    <mergeCell ref="AF282:AG282"/>
    <mergeCell ref="AH282:AI282"/>
    <mergeCell ref="AJ282:AK282"/>
    <mergeCell ref="AL282:BB282"/>
    <mergeCell ref="B283:C283"/>
    <mergeCell ref="D283:E283"/>
    <mergeCell ref="F283:G283"/>
    <mergeCell ref="H283:I283"/>
    <mergeCell ref="J283:K283"/>
    <mergeCell ref="L283:M283"/>
    <mergeCell ref="N283:O283"/>
    <mergeCell ref="AD284:AE284"/>
    <mergeCell ref="AF284:AG284"/>
    <mergeCell ref="AH284:AI284"/>
    <mergeCell ref="AJ284:AK284"/>
    <mergeCell ref="AL284:BB284"/>
    <mergeCell ref="P284:Q284"/>
    <mergeCell ref="R284:S284"/>
    <mergeCell ref="T284:U284"/>
    <mergeCell ref="V284:W284"/>
    <mergeCell ref="X284:Y284"/>
    <mergeCell ref="Z284:AA284"/>
    <mergeCell ref="AB284:AC284"/>
    <mergeCell ref="B284:C284"/>
    <mergeCell ref="D284:E284"/>
    <mergeCell ref="F284:G284"/>
    <mergeCell ref="H284:I284"/>
    <mergeCell ref="J284:K284"/>
    <mergeCell ref="L284:M284"/>
    <mergeCell ref="N284:O284"/>
    <mergeCell ref="AD285:AE285"/>
    <mergeCell ref="AF285:AG285"/>
    <mergeCell ref="AH285:AI285"/>
    <mergeCell ref="AJ285:AK285"/>
    <mergeCell ref="AL285:BB285"/>
    <mergeCell ref="P285:Q285"/>
    <mergeCell ref="R285:S285"/>
    <mergeCell ref="T285:U285"/>
    <mergeCell ref="V285:W285"/>
    <mergeCell ref="X285:Y285"/>
    <mergeCell ref="Z285:AA285"/>
    <mergeCell ref="AB285:AC285"/>
    <mergeCell ref="B285:C285"/>
    <mergeCell ref="D285:E285"/>
    <mergeCell ref="F285:G285"/>
    <mergeCell ref="H285:I285"/>
    <mergeCell ref="J285:K285"/>
    <mergeCell ref="L285:M285"/>
    <mergeCell ref="N285:O285"/>
    <mergeCell ref="AH286:AI286"/>
    <mergeCell ref="AJ286:AK286"/>
    <mergeCell ref="AL286:BB286"/>
    <mergeCell ref="B286:C286"/>
    <mergeCell ref="D286:E286"/>
    <mergeCell ref="F286:G286"/>
    <mergeCell ref="H286:I286"/>
    <mergeCell ref="J286:K286"/>
    <mergeCell ref="L286:M286"/>
    <mergeCell ref="N286:O286"/>
    <mergeCell ref="P288:Q288"/>
    <mergeCell ref="R288:S288"/>
    <mergeCell ref="T288:U288"/>
    <mergeCell ref="V288:W288"/>
    <mergeCell ref="X288:Y288"/>
    <mergeCell ref="Z288:AA288"/>
    <mergeCell ref="AB288:AC288"/>
    <mergeCell ref="B288:C288"/>
    <mergeCell ref="D288:E288"/>
    <mergeCell ref="F288:G288"/>
    <mergeCell ref="H288:I288"/>
    <mergeCell ref="J288:K288"/>
    <mergeCell ref="L288:M288"/>
    <mergeCell ref="N288:O288"/>
    <mergeCell ref="AD286:AE286"/>
    <mergeCell ref="AF286:AG286"/>
    <mergeCell ref="P286:Q286"/>
    <mergeCell ref="R286:S286"/>
    <mergeCell ref="T286:U286"/>
    <mergeCell ref="V286:W286"/>
    <mergeCell ref="X286:Y286"/>
    <mergeCell ref="Z286:AA286"/>
    <mergeCell ref="AB286:AC286"/>
    <mergeCell ref="AD287:AE287"/>
    <mergeCell ref="AF287:AG287"/>
    <mergeCell ref="AH287:AI287"/>
    <mergeCell ref="AJ287:AK287"/>
    <mergeCell ref="AL287:BB287"/>
    <mergeCell ref="P287:Q287"/>
    <mergeCell ref="R287:S287"/>
    <mergeCell ref="T287:U287"/>
    <mergeCell ref="V287:W287"/>
    <mergeCell ref="X287:Y287"/>
    <mergeCell ref="Z287:AA287"/>
    <mergeCell ref="AB287:AC287"/>
    <mergeCell ref="B287:C287"/>
    <mergeCell ref="D287:E287"/>
    <mergeCell ref="F287:G287"/>
    <mergeCell ref="H287:I287"/>
    <mergeCell ref="J287:K287"/>
    <mergeCell ref="L287:M287"/>
    <mergeCell ref="N287:O287"/>
    <mergeCell ref="AD288:AE288"/>
    <mergeCell ref="AF288:AG288"/>
    <mergeCell ref="AH288:AI288"/>
    <mergeCell ref="AJ288:AK288"/>
    <mergeCell ref="AL288:BB288"/>
    <mergeCell ref="AH289:AI289"/>
    <mergeCell ref="AJ289:AK289"/>
    <mergeCell ref="AL289:BB289"/>
    <mergeCell ref="B289:C289"/>
    <mergeCell ref="D289:E289"/>
    <mergeCell ref="F289:G289"/>
    <mergeCell ref="H289:I289"/>
    <mergeCell ref="J289:K289"/>
    <mergeCell ref="L289:M289"/>
    <mergeCell ref="N289:O289"/>
    <mergeCell ref="P291:Q291"/>
    <mergeCell ref="R291:S291"/>
    <mergeCell ref="T291:U291"/>
    <mergeCell ref="V291:W291"/>
    <mergeCell ref="X291:Y291"/>
    <mergeCell ref="Z291:AA291"/>
    <mergeCell ref="AB291:AC291"/>
    <mergeCell ref="B291:C291"/>
    <mergeCell ref="D291:E291"/>
    <mergeCell ref="F291:G291"/>
    <mergeCell ref="H291:I291"/>
    <mergeCell ref="J291:K291"/>
    <mergeCell ref="L291:M291"/>
    <mergeCell ref="N291:O291"/>
    <mergeCell ref="P294:Q294"/>
    <mergeCell ref="R294:S294"/>
    <mergeCell ref="T294:U294"/>
    <mergeCell ref="V294:W294"/>
    <mergeCell ref="X294:Y294"/>
    <mergeCell ref="Z294:AA294"/>
    <mergeCell ref="AB294:AC294"/>
    <mergeCell ref="B294:C294"/>
    <mergeCell ref="D294:E294"/>
    <mergeCell ref="F294:G294"/>
    <mergeCell ref="H294:I294"/>
    <mergeCell ref="J294:K294"/>
    <mergeCell ref="L294:M294"/>
    <mergeCell ref="N294:O294"/>
    <mergeCell ref="X292:Y292"/>
    <mergeCell ref="Z292:AA292"/>
    <mergeCell ref="AB292:AC292"/>
    <mergeCell ref="AD293:AE293"/>
    <mergeCell ref="AF293:AG293"/>
    <mergeCell ref="AH293:AI293"/>
    <mergeCell ref="AJ293:AK293"/>
    <mergeCell ref="AL293:BB293"/>
    <mergeCell ref="P293:Q293"/>
    <mergeCell ref="R293:S293"/>
    <mergeCell ref="T293:U293"/>
    <mergeCell ref="V293:W293"/>
    <mergeCell ref="X293:Y293"/>
    <mergeCell ref="Z293:AA293"/>
    <mergeCell ref="AB293:AC293"/>
    <mergeCell ref="B293:C293"/>
    <mergeCell ref="D293:E293"/>
    <mergeCell ref="F293:G293"/>
    <mergeCell ref="H293:I293"/>
    <mergeCell ref="J293:K293"/>
    <mergeCell ref="L293:M293"/>
    <mergeCell ref="N293:O293"/>
    <mergeCell ref="AD294:AE294"/>
    <mergeCell ref="AF294:AG294"/>
    <mergeCell ref="AH294:AI294"/>
    <mergeCell ref="AJ294:AK294"/>
    <mergeCell ref="AD1600:AE1600"/>
    <mergeCell ref="AF1600:AG1600"/>
    <mergeCell ref="P1600:Q1600"/>
    <mergeCell ref="R1600:S1600"/>
    <mergeCell ref="T1600:U1600"/>
    <mergeCell ref="V1600:W1600"/>
    <mergeCell ref="X1600:Y1600"/>
    <mergeCell ref="Z1600:AA1600"/>
    <mergeCell ref="AB1600:AC1600"/>
    <mergeCell ref="AD1601:AE1601"/>
    <mergeCell ref="AF1601:AG1601"/>
    <mergeCell ref="AH1601:AI1601"/>
    <mergeCell ref="AJ1601:AK1601"/>
    <mergeCell ref="AL1601:BB1601"/>
    <mergeCell ref="P1601:Q1601"/>
    <mergeCell ref="R1601:S1601"/>
    <mergeCell ref="T1601:U1601"/>
    <mergeCell ref="V1601:W1601"/>
    <mergeCell ref="X1601:Y1601"/>
    <mergeCell ref="Z1601:AA1601"/>
    <mergeCell ref="AB1601:AC1601"/>
    <mergeCell ref="B1601:C1601"/>
    <mergeCell ref="D1601:E1601"/>
    <mergeCell ref="F1601:G1601"/>
    <mergeCell ref="H1601:I1601"/>
    <mergeCell ref="J1601:K1601"/>
    <mergeCell ref="L1601:M1601"/>
    <mergeCell ref="N1601:O1601"/>
    <mergeCell ref="AD1602:AE1602"/>
    <mergeCell ref="AF1602:AG1602"/>
    <mergeCell ref="AH1602:AI1602"/>
    <mergeCell ref="AJ1602:AK1602"/>
    <mergeCell ref="AL1602:BB1602"/>
    <mergeCell ref="AH1600:AI1600"/>
    <mergeCell ref="AJ1600:AK1600"/>
    <mergeCell ref="AL1600:BB1600"/>
    <mergeCell ref="B1600:C1600"/>
    <mergeCell ref="D1600:E1600"/>
    <mergeCell ref="F1600:G1600"/>
    <mergeCell ref="H1600:I1600"/>
    <mergeCell ref="J1600:K1600"/>
    <mergeCell ref="L1600:M1600"/>
    <mergeCell ref="N1600:O1600"/>
    <mergeCell ref="P1602:Q1602"/>
    <mergeCell ref="R1602:S1602"/>
    <mergeCell ref="T1602:U1602"/>
    <mergeCell ref="V1602:W1602"/>
    <mergeCell ref="X1602:Y1602"/>
    <mergeCell ref="Z1602:AA1602"/>
    <mergeCell ref="AB1602:AC1602"/>
    <mergeCell ref="B1602:C1602"/>
    <mergeCell ref="D1602:E1602"/>
    <mergeCell ref="F1602:G1602"/>
    <mergeCell ref="H1602:I1602"/>
    <mergeCell ref="J1602:K1602"/>
    <mergeCell ref="L1602:M1602"/>
    <mergeCell ref="N1602:O1602"/>
    <mergeCell ref="AH1603:AI1603"/>
    <mergeCell ref="AJ1603:AK1603"/>
    <mergeCell ref="AL1603:BB1603"/>
    <mergeCell ref="B1603:C1603"/>
    <mergeCell ref="D1603:E1603"/>
    <mergeCell ref="F1603:G1603"/>
    <mergeCell ref="H1603:I1603"/>
    <mergeCell ref="J1603:K1603"/>
    <mergeCell ref="L1603:M1603"/>
    <mergeCell ref="N1603:O1603"/>
    <mergeCell ref="AD1603:AE1603"/>
    <mergeCell ref="AF1603:AG1603"/>
    <mergeCell ref="P1603:Q1603"/>
    <mergeCell ref="R1603:S1603"/>
    <mergeCell ref="T1603:U1603"/>
    <mergeCell ref="V1603:W1603"/>
    <mergeCell ref="X1603:Y1603"/>
    <mergeCell ref="Z1603:AA1603"/>
    <mergeCell ref="AB1603:AC1603"/>
    <mergeCell ref="AD1604:AE1604"/>
    <mergeCell ref="AF1604:AG1604"/>
    <mergeCell ref="AH1604:AI1604"/>
    <mergeCell ref="AJ1604:AK1604"/>
    <mergeCell ref="AL1604:BB1604"/>
    <mergeCell ref="P1604:Q1604"/>
    <mergeCell ref="R1604:S1604"/>
    <mergeCell ref="T1604:U1604"/>
    <mergeCell ref="V1604:W1604"/>
    <mergeCell ref="X1604:Y1604"/>
    <mergeCell ref="Z1604:AA1604"/>
    <mergeCell ref="AB1604:AC1604"/>
    <mergeCell ref="B1604:C1604"/>
    <mergeCell ref="D1604:E1604"/>
    <mergeCell ref="F1604:G1604"/>
    <mergeCell ref="H1604:I1604"/>
    <mergeCell ref="J1604:K1604"/>
    <mergeCell ref="L1604:M1604"/>
    <mergeCell ref="N1604:O1604"/>
    <mergeCell ref="AD1605:AE1605"/>
    <mergeCell ref="AF1605:AG1605"/>
    <mergeCell ref="AH1605:AI1605"/>
    <mergeCell ref="AJ1605:AK1605"/>
    <mergeCell ref="AL1605:BB1605"/>
    <mergeCell ref="AH1606:AI1606"/>
    <mergeCell ref="AJ1606:AK1606"/>
    <mergeCell ref="AL1606:BB1606"/>
    <mergeCell ref="B1606:C1606"/>
    <mergeCell ref="D1606:E1606"/>
    <mergeCell ref="F1606:G1606"/>
    <mergeCell ref="H1606:I1606"/>
    <mergeCell ref="J1606:K1606"/>
    <mergeCell ref="L1606:M1606"/>
    <mergeCell ref="N1606:O1606"/>
    <mergeCell ref="P1608:Q1608"/>
    <mergeCell ref="R1608:S1608"/>
    <mergeCell ref="T1608:U1608"/>
    <mergeCell ref="V1608:W1608"/>
    <mergeCell ref="X1608:Y1608"/>
    <mergeCell ref="Z1608:AA1608"/>
    <mergeCell ref="AB1608:AC1608"/>
    <mergeCell ref="B1608:C1608"/>
    <mergeCell ref="D1608:E1608"/>
    <mergeCell ref="F1608:G1608"/>
    <mergeCell ref="H1608:I1608"/>
    <mergeCell ref="J1608:K1608"/>
    <mergeCell ref="L1608:M1608"/>
    <mergeCell ref="N1608:O1608"/>
    <mergeCell ref="AD1606:AE1606"/>
    <mergeCell ref="AF1606:AG1606"/>
    <mergeCell ref="P1606:Q1606"/>
    <mergeCell ref="R1606:S1606"/>
    <mergeCell ref="T1606:U1606"/>
    <mergeCell ref="V1606:W1606"/>
    <mergeCell ref="X1606:Y1606"/>
    <mergeCell ref="Z1606:AA1606"/>
    <mergeCell ref="AB1606:AC1606"/>
    <mergeCell ref="AD1607:AE1607"/>
    <mergeCell ref="AF1607:AG1607"/>
    <mergeCell ref="AH1607:AI1607"/>
    <mergeCell ref="AJ1607:AK1607"/>
    <mergeCell ref="AL1607:BB1607"/>
    <mergeCell ref="P1607:Q1607"/>
    <mergeCell ref="R1607:S1607"/>
    <mergeCell ref="T1607:U1607"/>
    <mergeCell ref="V1607:W1607"/>
    <mergeCell ref="X1607:Y1607"/>
    <mergeCell ref="Z1607:AA1607"/>
    <mergeCell ref="AB1607:AC1607"/>
    <mergeCell ref="B1607:C1607"/>
    <mergeCell ref="D1607:E1607"/>
    <mergeCell ref="F1607:G1607"/>
    <mergeCell ref="H1607:I1607"/>
    <mergeCell ref="J1607:K1607"/>
    <mergeCell ref="L1607:M1607"/>
    <mergeCell ref="N1607:O1607"/>
    <mergeCell ref="AD1608:AE1608"/>
    <mergeCell ref="AF1608:AG1608"/>
    <mergeCell ref="AH1608:AI1608"/>
    <mergeCell ref="AJ1608:AK1608"/>
    <mergeCell ref="AL1608:BB1608"/>
    <mergeCell ref="P1605:Q1605"/>
    <mergeCell ref="R1605:S1605"/>
    <mergeCell ref="AH1594:AI1594"/>
    <mergeCell ref="AJ1594:AK1594"/>
    <mergeCell ref="AL1594:BB1594"/>
    <mergeCell ref="B1594:C1594"/>
    <mergeCell ref="D1594:E1594"/>
    <mergeCell ref="F1594:G1594"/>
    <mergeCell ref="H1594:I1594"/>
    <mergeCell ref="J1594:K1594"/>
    <mergeCell ref="L1594:M1594"/>
    <mergeCell ref="N1594:O1594"/>
    <mergeCell ref="AD1594:AE1594"/>
    <mergeCell ref="AF1594:AG1594"/>
    <mergeCell ref="P1594:Q1594"/>
    <mergeCell ref="R1594:S1594"/>
    <mergeCell ref="T1594:U1594"/>
    <mergeCell ref="V1594:W1594"/>
    <mergeCell ref="X1594:Y1594"/>
    <mergeCell ref="Z1594:AA1594"/>
    <mergeCell ref="AB1594:AC1594"/>
    <mergeCell ref="AD1595:AE1595"/>
    <mergeCell ref="AF1595:AG1595"/>
    <mergeCell ref="AH1609:AI1609"/>
    <mergeCell ref="AJ1609:AK1609"/>
    <mergeCell ref="AL1609:BB1609"/>
    <mergeCell ref="B1609:C1609"/>
    <mergeCell ref="D1609:E1609"/>
    <mergeCell ref="F1609:G1609"/>
    <mergeCell ref="H1609:I1609"/>
    <mergeCell ref="J1609:K1609"/>
    <mergeCell ref="L1609:M1609"/>
    <mergeCell ref="N1609:O1609"/>
    <mergeCell ref="P1611:Q1611"/>
    <mergeCell ref="R1611:S1611"/>
    <mergeCell ref="T1611:U1611"/>
    <mergeCell ref="V1611:W1611"/>
    <mergeCell ref="X1611:Y1611"/>
    <mergeCell ref="Z1611:AA1611"/>
    <mergeCell ref="AB1611:AC1611"/>
    <mergeCell ref="B1611:C1611"/>
    <mergeCell ref="D1611:E1611"/>
    <mergeCell ref="F1611:G1611"/>
    <mergeCell ref="H1611:I1611"/>
    <mergeCell ref="J1611:K1611"/>
    <mergeCell ref="L1611:M1611"/>
    <mergeCell ref="N1611:O1611"/>
    <mergeCell ref="AD1609:AE1609"/>
    <mergeCell ref="AF1609:AG1609"/>
    <mergeCell ref="P1609:Q1609"/>
    <mergeCell ref="R1609:S1609"/>
    <mergeCell ref="T1609:U1609"/>
    <mergeCell ref="V1609:W1609"/>
    <mergeCell ref="X1609:Y1609"/>
    <mergeCell ref="Z1609:AA1609"/>
    <mergeCell ref="AB1609:AC1609"/>
    <mergeCell ref="AD1610:AE1610"/>
    <mergeCell ref="AF1610:AG1610"/>
    <mergeCell ref="AH1610:AI1610"/>
    <mergeCell ref="AJ1610:AK1610"/>
    <mergeCell ref="AL1610:BB1610"/>
    <mergeCell ref="P1610:Q1610"/>
    <mergeCell ref="R1610:S1610"/>
    <mergeCell ref="T1610:U1610"/>
    <mergeCell ref="V1610:W1610"/>
    <mergeCell ref="X1610:Y1610"/>
    <mergeCell ref="AD1591:AE1591"/>
    <mergeCell ref="AF1591:AG1591"/>
    <mergeCell ref="P1591:Q1591"/>
    <mergeCell ref="R1591:S1591"/>
    <mergeCell ref="T1591:U1591"/>
    <mergeCell ref="V1591:W1591"/>
    <mergeCell ref="X1591:Y1591"/>
    <mergeCell ref="Z1591:AA1591"/>
    <mergeCell ref="AB1591:AC1591"/>
    <mergeCell ref="AD1592:AE1592"/>
    <mergeCell ref="AF1592:AG1592"/>
    <mergeCell ref="AH1592:AI1592"/>
    <mergeCell ref="AJ1592:AK1592"/>
    <mergeCell ref="AL1592:BB1592"/>
    <mergeCell ref="P1592:Q1592"/>
    <mergeCell ref="R1592:S1592"/>
    <mergeCell ref="T1592:U1592"/>
    <mergeCell ref="V1592:W1592"/>
    <mergeCell ref="X1592:Y1592"/>
    <mergeCell ref="Z1592:AA1592"/>
    <mergeCell ref="AB1592:AC1592"/>
    <mergeCell ref="B1592:C1592"/>
    <mergeCell ref="D1592:E1592"/>
    <mergeCell ref="F1592:G1592"/>
    <mergeCell ref="H1592:I1592"/>
    <mergeCell ref="J1592:K1592"/>
    <mergeCell ref="L1592:M1592"/>
    <mergeCell ref="N1592:O1592"/>
    <mergeCell ref="AD1593:AE1593"/>
    <mergeCell ref="AF1593:AG1593"/>
    <mergeCell ref="AH1593:AI1593"/>
    <mergeCell ref="AJ1593:AK1593"/>
    <mergeCell ref="AL1593:BB1593"/>
    <mergeCell ref="AH1591:AI1591"/>
    <mergeCell ref="AJ1591:AK1591"/>
    <mergeCell ref="AL1591:BB1591"/>
    <mergeCell ref="B1591:C1591"/>
    <mergeCell ref="D1591:E1591"/>
    <mergeCell ref="F1591:G1591"/>
    <mergeCell ref="H1591:I1591"/>
    <mergeCell ref="J1591:K1591"/>
    <mergeCell ref="L1591:M1591"/>
    <mergeCell ref="N1591:O1591"/>
    <mergeCell ref="P1593:Q1593"/>
    <mergeCell ref="R1593:S1593"/>
    <mergeCell ref="T1593:U1593"/>
    <mergeCell ref="V1593:W1593"/>
    <mergeCell ref="X1593:Y1593"/>
    <mergeCell ref="Z1593:AA1593"/>
    <mergeCell ref="AB1593:AC1593"/>
    <mergeCell ref="B1593:C1593"/>
    <mergeCell ref="D1593:E1593"/>
    <mergeCell ref="F1593:G1593"/>
    <mergeCell ref="H1593:I1593"/>
    <mergeCell ref="J1593:K1593"/>
    <mergeCell ref="L1593:M1593"/>
    <mergeCell ref="N1593:O1593"/>
    <mergeCell ref="AH1597:AI1597"/>
    <mergeCell ref="AJ1597:AK1597"/>
    <mergeCell ref="AL1597:BB1597"/>
    <mergeCell ref="B1597:C1597"/>
    <mergeCell ref="D1597:E1597"/>
    <mergeCell ref="F1597:G1597"/>
    <mergeCell ref="H1597:I1597"/>
    <mergeCell ref="J1597:K1597"/>
    <mergeCell ref="L1597:M1597"/>
    <mergeCell ref="N1597:O1597"/>
    <mergeCell ref="P1599:Q1599"/>
    <mergeCell ref="R1599:S1599"/>
    <mergeCell ref="T1599:U1599"/>
    <mergeCell ref="V1599:W1599"/>
    <mergeCell ref="X1599:Y1599"/>
    <mergeCell ref="Z1599:AA1599"/>
    <mergeCell ref="AB1599:AC1599"/>
    <mergeCell ref="B1599:C1599"/>
    <mergeCell ref="D1599:E1599"/>
    <mergeCell ref="F1599:G1599"/>
    <mergeCell ref="H1599:I1599"/>
    <mergeCell ref="J1599:K1599"/>
    <mergeCell ref="L1599:M1599"/>
    <mergeCell ref="N1599:O1599"/>
    <mergeCell ref="AD1597:AE1597"/>
    <mergeCell ref="AF1597:AG1597"/>
    <mergeCell ref="P1597:Q1597"/>
    <mergeCell ref="R1597:S1597"/>
    <mergeCell ref="T1597:U1597"/>
    <mergeCell ref="V1597:W1597"/>
    <mergeCell ref="X1597:Y1597"/>
    <mergeCell ref="Z1597:AA1597"/>
    <mergeCell ref="AB1597:AC1597"/>
    <mergeCell ref="AD1598:AE1598"/>
    <mergeCell ref="AF1598:AG1598"/>
    <mergeCell ref="AH1598:AI1598"/>
    <mergeCell ref="AJ1598:AK1598"/>
    <mergeCell ref="AL1598:BB1598"/>
    <mergeCell ref="P1598:Q1598"/>
    <mergeCell ref="R1598:S1598"/>
    <mergeCell ref="T1598:U1598"/>
    <mergeCell ref="V1598:W1598"/>
    <mergeCell ref="X1598:Y1598"/>
    <mergeCell ref="Z1598:AA1598"/>
    <mergeCell ref="AB1598:AC1598"/>
    <mergeCell ref="B1598:C1598"/>
    <mergeCell ref="D1598:E1598"/>
    <mergeCell ref="F1598:G1598"/>
    <mergeCell ref="H1598:I1598"/>
    <mergeCell ref="J1598:K1598"/>
    <mergeCell ref="L1598:M1598"/>
    <mergeCell ref="N1598:O1598"/>
    <mergeCell ref="AD1599:AE1599"/>
    <mergeCell ref="AF1599:AG1599"/>
    <mergeCell ref="AH1599:AI1599"/>
    <mergeCell ref="AJ1599:AK1599"/>
    <mergeCell ref="AL1599:BB1599"/>
    <mergeCell ref="T1605:U1605"/>
    <mergeCell ref="V1605:W1605"/>
    <mergeCell ref="X1605:Y1605"/>
    <mergeCell ref="Z1605:AA1605"/>
    <mergeCell ref="AB1605:AC1605"/>
    <mergeCell ref="B1605:C1605"/>
    <mergeCell ref="D1605:E1605"/>
    <mergeCell ref="F1605:G1605"/>
    <mergeCell ref="H1605:I1605"/>
    <mergeCell ref="J1605:K1605"/>
    <mergeCell ref="L1605:M1605"/>
    <mergeCell ref="N1605:O1605"/>
    <mergeCell ref="AD1612:AE1612"/>
    <mergeCell ref="AF1612:AG1612"/>
    <mergeCell ref="P1612:Q1612"/>
    <mergeCell ref="R1612:S1612"/>
    <mergeCell ref="T1612:U1612"/>
    <mergeCell ref="V1612:W1612"/>
    <mergeCell ref="X1612:Y1612"/>
    <mergeCell ref="Z1612:AA1612"/>
    <mergeCell ref="AB1612:AC1612"/>
    <mergeCell ref="B1613:C1613"/>
    <mergeCell ref="D1613:E1613"/>
    <mergeCell ref="F1613:G1613"/>
    <mergeCell ref="H1613:I1613"/>
    <mergeCell ref="J1613:K1613"/>
    <mergeCell ref="L1613:M1613"/>
    <mergeCell ref="N1613:O1613"/>
    <mergeCell ref="AD1613:AE1613"/>
    <mergeCell ref="AF1613:AG1613"/>
    <mergeCell ref="AH1613:AI1613"/>
    <mergeCell ref="AJ1613:AK1613"/>
    <mergeCell ref="AL1613:BB1613"/>
    <mergeCell ref="P1613:Q1613"/>
    <mergeCell ref="R1613:S1613"/>
    <mergeCell ref="T1613:U1613"/>
    <mergeCell ref="V1613:W1613"/>
    <mergeCell ref="X1613:Y1613"/>
    <mergeCell ref="Z1613:AA1613"/>
    <mergeCell ref="AB1613:AC1613"/>
    <mergeCell ref="AH1612:AI1612"/>
    <mergeCell ref="AJ1612:AK1612"/>
    <mergeCell ref="AL1612:BB1612"/>
    <mergeCell ref="B1612:C1612"/>
    <mergeCell ref="D1612:E1612"/>
    <mergeCell ref="F1612:G1612"/>
    <mergeCell ref="H1612:I1612"/>
    <mergeCell ref="J1612:K1612"/>
    <mergeCell ref="L1612:M1612"/>
    <mergeCell ref="N1612:O1612"/>
    <mergeCell ref="Z1610:AA1610"/>
    <mergeCell ref="AB1610:AC1610"/>
    <mergeCell ref="B1610:C1610"/>
    <mergeCell ref="D1610:E1610"/>
    <mergeCell ref="F1610:G1610"/>
    <mergeCell ref="H1610:I1610"/>
    <mergeCell ref="J1610:K1610"/>
    <mergeCell ref="L1610:M1610"/>
    <mergeCell ref="N1610:O1610"/>
    <mergeCell ref="AD1611:AE1611"/>
    <mergeCell ref="AF1611:AG1611"/>
    <mergeCell ref="AH1611:AI1611"/>
    <mergeCell ref="AJ1611:AK1611"/>
    <mergeCell ref="AL1611:BB1611"/>
    <mergeCell ref="AD1138:AE1138"/>
    <mergeCell ref="AF1138:AG1138"/>
    <mergeCell ref="P1138:Q1138"/>
    <mergeCell ref="R1138:S1138"/>
    <mergeCell ref="T1138:U1138"/>
    <mergeCell ref="V1138:W1138"/>
    <mergeCell ref="X1138:Y1138"/>
    <mergeCell ref="Z1138:AA1138"/>
    <mergeCell ref="AB1138:AC1138"/>
    <mergeCell ref="AD1139:AE1139"/>
    <mergeCell ref="AF1139:AG1139"/>
    <mergeCell ref="AH1139:AI1139"/>
    <mergeCell ref="AJ1139:AK1139"/>
    <mergeCell ref="AL1139:BB1139"/>
    <mergeCell ref="P1139:Q1139"/>
    <mergeCell ref="R1139:S1139"/>
    <mergeCell ref="T1139:U1139"/>
    <mergeCell ref="V1139:W1139"/>
    <mergeCell ref="X1139:Y1139"/>
    <mergeCell ref="Z1139:AA1139"/>
    <mergeCell ref="AB1139:AC1139"/>
    <mergeCell ref="B1139:C1139"/>
    <mergeCell ref="D1139:E1139"/>
    <mergeCell ref="F1139:G1139"/>
    <mergeCell ref="H1139:I1139"/>
    <mergeCell ref="J1139:K1139"/>
    <mergeCell ref="L1139:M1139"/>
    <mergeCell ref="N1139:O1139"/>
    <mergeCell ref="AD1140:AE1140"/>
    <mergeCell ref="AF1140:AG1140"/>
    <mergeCell ref="AH1140:AI1140"/>
    <mergeCell ref="AJ1140:AK1140"/>
    <mergeCell ref="AL1140:BB1140"/>
    <mergeCell ref="AH1138:AI1138"/>
    <mergeCell ref="AJ1138:AK1138"/>
    <mergeCell ref="AL1138:BB1138"/>
    <mergeCell ref="B1138:C1138"/>
    <mergeCell ref="D1138:E1138"/>
    <mergeCell ref="F1138:G1138"/>
    <mergeCell ref="H1138:I1138"/>
    <mergeCell ref="J1138:K1138"/>
    <mergeCell ref="L1138:M1138"/>
    <mergeCell ref="N1138:O1138"/>
    <mergeCell ref="P1140:Q1140"/>
    <mergeCell ref="R1140:S1140"/>
    <mergeCell ref="T1140:U1140"/>
    <mergeCell ref="V1140:W1140"/>
    <mergeCell ref="X1140:Y1140"/>
    <mergeCell ref="Z1140:AA1140"/>
    <mergeCell ref="AB1140:AC1140"/>
    <mergeCell ref="B1140:C1140"/>
    <mergeCell ref="D1140:E1140"/>
    <mergeCell ref="F1140:G1140"/>
    <mergeCell ref="H1140:I1140"/>
    <mergeCell ref="J1140:K1140"/>
    <mergeCell ref="L1140:M1140"/>
    <mergeCell ref="N1140:O1140"/>
    <mergeCell ref="AH1141:AI1141"/>
    <mergeCell ref="AJ1141:AK1141"/>
    <mergeCell ref="AL1141:BB1141"/>
    <mergeCell ref="B1141:C1141"/>
    <mergeCell ref="D1141:E1141"/>
    <mergeCell ref="F1141:G1141"/>
    <mergeCell ref="H1141:I1141"/>
    <mergeCell ref="J1141:K1141"/>
    <mergeCell ref="L1141:M1141"/>
    <mergeCell ref="N1141:O1141"/>
    <mergeCell ref="AD1141:AE1141"/>
    <mergeCell ref="AF1141:AG1141"/>
    <mergeCell ref="P1141:Q1141"/>
    <mergeCell ref="R1141:S1141"/>
    <mergeCell ref="T1141:U1141"/>
    <mergeCell ref="V1141:W1141"/>
    <mergeCell ref="X1141:Y1141"/>
    <mergeCell ref="Z1141:AA1141"/>
    <mergeCell ref="AB1141:AC1141"/>
    <mergeCell ref="AD1142:AE1142"/>
    <mergeCell ref="AF1142:AG1142"/>
    <mergeCell ref="AH1142:AI1142"/>
    <mergeCell ref="AJ1142:AK1142"/>
    <mergeCell ref="AL1142:BB1142"/>
    <mergeCell ref="P1142:Q1142"/>
    <mergeCell ref="R1142:S1142"/>
    <mergeCell ref="T1142:U1142"/>
    <mergeCell ref="V1142:W1142"/>
    <mergeCell ref="X1142:Y1142"/>
    <mergeCell ref="Z1142:AA1142"/>
    <mergeCell ref="AB1142:AC1142"/>
    <mergeCell ref="B1142:C1142"/>
    <mergeCell ref="D1142:E1142"/>
    <mergeCell ref="F1142:G1142"/>
    <mergeCell ref="H1142:I1142"/>
    <mergeCell ref="J1142:K1142"/>
    <mergeCell ref="L1142:M1142"/>
    <mergeCell ref="N1142:O1142"/>
    <mergeCell ref="AD1143:AE1143"/>
    <mergeCell ref="AF1143:AG1143"/>
    <mergeCell ref="AH1143:AI1143"/>
    <mergeCell ref="AJ1143:AK1143"/>
    <mergeCell ref="AL1143:BB1143"/>
    <mergeCell ref="AH1144:AI1144"/>
    <mergeCell ref="AJ1144:AK1144"/>
    <mergeCell ref="AL1144:BB1144"/>
    <mergeCell ref="B1144:C1144"/>
    <mergeCell ref="D1144:E1144"/>
    <mergeCell ref="F1144:G1144"/>
    <mergeCell ref="H1144:I1144"/>
    <mergeCell ref="J1144:K1144"/>
    <mergeCell ref="L1144:M1144"/>
    <mergeCell ref="N1144:O1144"/>
    <mergeCell ref="AD1129:AE1129"/>
    <mergeCell ref="AF1129:AG1129"/>
    <mergeCell ref="P1129:Q1129"/>
    <mergeCell ref="R1129:S1129"/>
    <mergeCell ref="T1129:U1129"/>
    <mergeCell ref="V1129:W1129"/>
    <mergeCell ref="X1129:Y1129"/>
    <mergeCell ref="Z1129:AA1129"/>
    <mergeCell ref="AB1129:AC1129"/>
    <mergeCell ref="AD1130:AE1130"/>
    <mergeCell ref="AF1130:AG1130"/>
    <mergeCell ref="AH1130:AI1130"/>
    <mergeCell ref="AJ1130:AK1130"/>
    <mergeCell ref="AL1130:BB1130"/>
    <mergeCell ref="P1130:Q1130"/>
    <mergeCell ref="R1130:S1130"/>
    <mergeCell ref="T1130:U1130"/>
    <mergeCell ref="V1130:W1130"/>
    <mergeCell ref="X1130:Y1130"/>
    <mergeCell ref="Z1130:AA1130"/>
    <mergeCell ref="AB1130:AC1130"/>
    <mergeCell ref="B1130:C1130"/>
    <mergeCell ref="D1130:E1130"/>
    <mergeCell ref="F1130:G1130"/>
    <mergeCell ref="H1130:I1130"/>
    <mergeCell ref="J1130:K1130"/>
    <mergeCell ref="L1130:M1130"/>
    <mergeCell ref="N1130:O1130"/>
    <mergeCell ref="AD1131:AE1131"/>
    <mergeCell ref="AF1131:AG1131"/>
    <mergeCell ref="AH1131:AI1131"/>
    <mergeCell ref="AJ1131:AK1131"/>
    <mergeCell ref="AL1131:BB1131"/>
    <mergeCell ref="AH1132:AI1132"/>
    <mergeCell ref="AJ1132:AK1132"/>
    <mergeCell ref="AL1132:BB1132"/>
    <mergeCell ref="B1132:C1132"/>
    <mergeCell ref="D1132:E1132"/>
    <mergeCell ref="F1132:G1132"/>
    <mergeCell ref="H1132:I1132"/>
    <mergeCell ref="J1132:K1132"/>
    <mergeCell ref="L1132:M1132"/>
    <mergeCell ref="N1132:O1132"/>
    <mergeCell ref="AD1132:AE1132"/>
    <mergeCell ref="AF1132:AG1132"/>
    <mergeCell ref="P1132:Q1132"/>
    <mergeCell ref="R1132:S1132"/>
    <mergeCell ref="T1132:U1132"/>
    <mergeCell ref="V1132:W1132"/>
    <mergeCell ref="AL1134:BB1134"/>
    <mergeCell ref="AH1135:AI1135"/>
    <mergeCell ref="AJ1135:AK1135"/>
    <mergeCell ref="AL1135:BB1135"/>
    <mergeCell ref="B1135:C1135"/>
    <mergeCell ref="D1135:E1135"/>
    <mergeCell ref="F1135:G1135"/>
    <mergeCell ref="H1135:I1135"/>
    <mergeCell ref="J1135:K1135"/>
    <mergeCell ref="L1135:M1135"/>
    <mergeCell ref="N1135:O1135"/>
    <mergeCell ref="P1137:Q1137"/>
    <mergeCell ref="R1137:S1137"/>
    <mergeCell ref="T1137:U1137"/>
    <mergeCell ref="V1137:W1137"/>
    <mergeCell ref="X1137:Y1137"/>
    <mergeCell ref="Z1137:AA1137"/>
    <mergeCell ref="AB1137:AC1137"/>
    <mergeCell ref="B1137:C1137"/>
    <mergeCell ref="D1137:E1137"/>
    <mergeCell ref="F1137:G1137"/>
    <mergeCell ref="H1137:I1137"/>
    <mergeCell ref="J1137:K1137"/>
    <mergeCell ref="L1137:M1137"/>
    <mergeCell ref="N1137:O1137"/>
    <mergeCell ref="AD1135:AE1135"/>
    <mergeCell ref="AF1135:AG1135"/>
    <mergeCell ref="P1135:Q1135"/>
    <mergeCell ref="R1135:S1135"/>
    <mergeCell ref="T1135:U1135"/>
    <mergeCell ref="V1135:W1135"/>
    <mergeCell ref="X1135:Y1135"/>
    <mergeCell ref="Z1135:AA1135"/>
    <mergeCell ref="AB1135:AC1135"/>
    <mergeCell ref="AD1136:AE1136"/>
    <mergeCell ref="AF1136:AG1136"/>
    <mergeCell ref="AH1136:AI1136"/>
    <mergeCell ref="AJ1136:AK1136"/>
    <mergeCell ref="AL1136:BB1136"/>
    <mergeCell ref="P1136:Q1136"/>
    <mergeCell ref="R1136:S1136"/>
    <mergeCell ref="T1136:U1136"/>
    <mergeCell ref="V1136:W1136"/>
    <mergeCell ref="X1136:Y1136"/>
    <mergeCell ref="Z1136:AA1136"/>
    <mergeCell ref="AB1136:AC1136"/>
    <mergeCell ref="B1136:C1136"/>
    <mergeCell ref="D1136:E1136"/>
    <mergeCell ref="F1136:G1136"/>
    <mergeCell ref="H1136:I1136"/>
    <mergeCell ref="J1136:K1136"/>
    <mergeCell ref="L1136:M1136"/>
    <mergeCell ref="N1136:O1136"/>
    <mergeCell ref="AD1137:AE1137"/>
    <mergeCell ref="AF1137:AG1137"/>
    <mergeCell ref="AH1137:AI1137"/>
    <mergeCell ref="AJ1137:AK1137"/>
    <mergeCell ref="AL1137:BB1137"/>
    <mergeCell ref="P1143:Q1143"/>
    <mergeCell ref="R1143:S1143"/>
    <mergeCell ref="T1143:U1143"/>
    <mergeCell ref="V1143:W1143"/>
    <mergeCell ref="X1143:Y1143"/>
    <mergeCell ref="Z1143:AA1143"/>
    <mergeCell ref="AB1143:AC1143"/>
    <mergeCell ref="B1143:C1143"/>
    <mergeCell ref="D1143:E1143"/>
    <mergeCell ref="F1143:G1143"/>
    <mergeCell ref="H1143:I1143"/>
    <mergeCell ref="J1143:K1143"/>
    <mergeCell ref="L1143:M1143"/>
    <mergeCell ref="N1143:O1143"/>
    <mergeCell ref="AD1165:AE1165"/>
    <mergeCell ref="AF1165:AG1165"/>
    <mergeCell ref="AH1165:AI1165"/>
    <mergeCell ref="AJ1165:AK1165"/>
    <mergeCell ref="AL1165:BB1165"/>
    <mergeCell ref="P1165:Q1165"/>
    <mergeCell ref="R1165:S1165"/>
    <mergeCell ref="T1165:U1165"/>
    <mergeCell ref="V1165:W1165"/>
    <mergeCell ref="X1165:Y1165"/>
    <mergeCell ref="Z1165:AA1165"/>
    <mergeCell ref="AB1165:AC1165"/>
    <mergeCell ref="P1146:Q1146"/>
    <mergeCell ref="R1146:S1146"/>
    <mergeCell ref="T1146:U1146"/>
    <mergeCell ref="V1146:W1146"/>
    <mergeCell ref="X1146:Y1146"/>
    <mergeCell ref="Z1146:AA1146"/>
    <mergeCell ref="AB1146:AC1146"/>
    <mergeCell ref="B1146:C1146"/>
    <mergeCell ref="D1146:E1146"/>
    <mergeCell ref="F1146:G1146"/>
    <mergeCell ref="H1146:I1146"/>
    <mergeCell ref="J1146:K1146"/>
    <mergeCell ref="L1146:M1146"/>
    <mergeCell ref="N1146:O1146"/>
    <mergeCell ref="AD1144:AE1144"/>
    <mergeCell ref="AF1144:AG1144"/>
    <mergeCell ref="P1144:Q1144"/>
    <mergeCell ref="R1144:S1144"/>
    <mergeCell ref="T1144:U1144"/>
    <mergeCell ref="V1144:W1144"/>
    <mergeCell ref="X1144:Y1144"/>
    <mergeCell ref="Z1144:AA1144"/>
    <mergeCell ref="AB1144:AC1144"/>
    <mergeCell ref="AD1145:AE1145"/>
    <mergeCell ref="AF1145:AG1145"/>
    <mergeCell ref="AH1145:AI1145"/>
    <mergeCell ref="AJ1145:AK1145"/>
    <mergeCell ref="AL1145:BB1145"/>
    <mergeCell ref="P1145:Q1145"/>
    <mergeCell ref="R1145:S1145"/>
    <mergeCell ref="T1145:U1145"/>
    <mergeCell ref="V1145:W1145"/>
    <mergeCell ref="X1145:Y1145"/>
    <mergeCell ref="Z1145:AA1145"/>
    <mergeCell ref="AB1145:AC1145"/>
    <mergeCell ref="B1145:C1145"/>
    <mergeCell ref="D1145:E1145"/>
    <mergeCell ref="F1145:G1145"/>
    <mergeCell ref="H1145:I1145"/>
    <mergeCell ref="J1145:K1145"/>
    <mergeCell ref="L1145:M1145"/>
    <mergeCell ref="N1145:O1145"/>
    <mergeCell ref="AD1146:AE1146"/>
    <mergeCell ref="AF1146:AG1146"/>
    <mergeCell ref="AH1146:AI1146"/>
    <mergeCell ref="AJ1146:AK1146"/>
    <mergeCell ref="AL1146:BB1146"/>
    <mergeCell ref="AH1147:AI1147"/>
    <mergeCell ref="AJ1147:AK1147"/>
    <mergeCell ref="AL1147:BB1147"/>
    <mergeCell ref="B1147:C1147"/>
    <mergeCell ref="D1147:E1147"/>
    <mergeCell ref="F1147:G1147"/>
    <mergeCell ref="H1147:I1147"/>
    <mergeCell ref="J1147:K1147"/>
    <mergeCell ref="L1147:M1147"/>
    <mergeCell ref="N1147:O1147"/>
    <mergeCell ref="P1149:Q1149"/>
    <mergeCell ref="R1149:S1149"/>
    <mergeCell ref="T1149:U1149"/>
    <mergeCell ref="V1149:W1149"/>
    <mergeCell ref="X1149:Y1149"/>
    <mergeCell ref="Z1149:AA1149"/>
    <mergeCell ref="AB1149:AC1149"/>
    <mergeCell ref="B1149:C1149"/>
    <mergeCell ref="D1149:E1149"/>
    <mergeCell ref="F1149:G1149"/>
    <mergeCell ref="H1149:I1149"/>
    <mergeCell ref="J1149:K1149"/>
    <mergeCell ref="L1149:M1149"/>
    <mergeCell ref="N1149:O1149"/>
    <mergeCell ref="AD1147:AE1147"/>
    <mergeCell ref="AF1147:AG1147"/>
    <mergeCell ref="P1147:Q1147"/>
    <mergeCell ref="R1147:S1147"/>
    <mergeCell ref="T1147:U1147"/>
    <mergeCell ref="V1147:W1147"/>
    <mergeCell ref="X1147:Y1147"/>
    <mergeCell ref="Z1147:AA1147"/>
    <mergeCell ref="AB1147:AC1147"/>
    <mergeCell ref="AD1148:AE1148"/>
    <mergeCell ref="AF1148:AG1148"/>
    <mergeCell ref="AH1148:AI1148"/>
    <mergeCell ref="AJ1148:AK1148"/>
    <mergeCell ref="AL1148:BB1148"/>
    <mergeCell ref="P1148:Q1148"/>
    <mergeCell ref="R1148:S1148"/>
    <mergeCell ref="T1148:U1148"/>
    <mergeCell ref="V1148:W1148"/>
    <mergeCell ref="X1148:Y1148"/>
    <mergeCell ref="Z1148:AA1148"/>
    <mergeCell ref="AB1148:AC1148"/>
    <mergeCell ref="B1148:C1148"/>
    <mergeCell ref="D1148:E1148"/>
    <mergeCell ref="F1148:G1148"/>
    <mergeCell ref="H1148:I1148"/>
    <mergeCell ref="J1148:K1148"/>
    <mergeCell ref="L1148:M1148"/>
    <mergeCell ref="N1148:O1148"/>
    <mergeCell ref="AD1149:AE1149"/>
    <mergeCell ref="AF1149:AG1149"/>
    <mergeCell ref="AH1149:AI1149"/>
    <mergeCell ref="AJ1149:AK1149"/>
    <mergeCell ref="AL1149:BB1149"/>
    <mergeCell ref="AH1150:AI1150"/>
    <mergeCell ref="AJ1150:AK1150"/>
    <mergeCell ref="AL1150:BB1150"/>
    <mergeCell ref="B1150:C1150"/>
    <mergeCell ref="D1150:E1150"/>
    <mergeCell ref="F1150:G1150"/>
    <mergeCell ref="H1150:I1150"/>
    <mergeCell ref="J1150:K1150"/>
    <mergeCell ref="L1150:M1150"/>
    <mergeCell ref="N1150:O1150"/>
    <mergeCell ref="P1152:Q1152"/>
    <mergeCell ref="R1152:S1152"/>
    <mergeCell ref="T1152:U1152"/>
    <mergeCell ref="V1152:W1152"/>
    <mergeCell ref="X1152:Y1152"/>
    <mergeCell ref="Z1152:AA1152"/>
    <mergeCell ref="AB1152:AC1152"/>
    <mergeCell ref="B1152:C1152"/>
    <mergeCell ref="D1152:E1152"/>
    <mergeCell ref="F1152:G1152"/>
    <mergeCell ref="H1152:I1152"/>
    <mergeCell ref="J1152:K1152"/>
    <mergeCell ref="L1152:M1152"/>
    <mergeCell ref="N1152:O1152"/>
    <mergeCell ref="AD1150:AE1150"/>
    <mergeCell ref="AF1150:AG1150"/>
    <mergeCell ref="P1150:Q1150"/>
    <mergeCell ref="R1150:S1150"/>
    <mergeCell ref="T1150:U1150"/>
    <mergeCell ref="V1150:W1150"/>
    <mergeCell ref="X1150:Y1150"/>
    <mergeCell ref="Z1150:AA1150"/>
    <mergeCell ref="AB1150:AC1150"/>
    <mergeCell ref="AD1151:AE1151"/>
    <mergeCell ref="AF1151:AG1151"/>
    <mergeCell ref="AH1151:AI1151"/>
    <mergeCell ref="AJ1151:AK1151"/>
    <mergeCell ref="AL1151:BB1151"/>
    <mergeCell ref="P1151:Q1151"/>
    <mergeCell ref="R1151:S1151"/>
    <mergeCell ref="T1151:U1151"/>
    <mergeCell ref="V1151:W1151"/>
    <mergeCell ref="X1151:Y1151"/>
    <mergeCell ref="Z1151:AA1151"/>
    <mergeCell ref="AB1151:AC1151"/>
    <mergeCell ref="B1151:C1151"/>
    <mergeCell ref="D1151:E1151"/>
    <mergeCell ref="F1151:G1151"/>
    <mergeCell ref="H1151:I1151"/>
    <mergeCell ref="J1151:K1151"/>
    <mergeCell ref="L1151:M1151"/>
    <mergeCell ref="N1151:O1151"/>
    <mergeCell ref="AD1152:AE1152"/>
    <mergeCell ref="AF1152:AG1152"/>
    <mergeCell ref="AH1152:AI1152"/>
    <mergeCell ref="AJ1152:AK1152"/>
    <mergeCell ref="AL1152:BB1152"/>
    <mergeCell ref="AH1153:AI1153"/>
    <mergeCell ref="AJ1153:AK1153"/>
    <mergeCell ref="AL1153:BB1153"/>
    <mergeCell ref="B1153:C1153"/>
    <mergeCell ref="D1153:E1153"/>
    <mergeCell ref="F1153:G1153"/>
    <mergeCell ref="H1153:I1153"/>
    <mergeCell ref="J1153:K1153"/>
    <mergeCell ref="L1153:M1153"/>
    <mergeCell ref="N1153:O1153"/>
    <mergeCell ref="P1155:Q1155"/>
    <mergeCell ref="R1155:S1155"/>
    <mergeCell ref="T1155:U1155"/>
    <mergeCell ref="V1155:W1155"/>
    <mergeCell ref="X1155:Y1155"/>
    <mergeCell ref="Z1155:AA1155"/>
    <mergeCell ref="AB1155:AC1155"/>
    <mergeCell ref="B1155:C1155"/>
    <mergeCell ref="D1155:E1155"/>
    <mergeCell ref="F1155:G1155"/>
    <mergeCell ref="H1155:I1155"/>
    <mergeCell ref="J1155:K1155"/>
    <mergeCell ref="L1155:M1155"/>
    <mergeCell ref="N1155:O1155"/>
    <mergeCell ref="AD1153:AE1153"/>
    <mergeCell ref="AF1153:AG1153"/>
    <mergeCell ref="P1153:Q1153"/>
    <mergeCell ref="R1153:S1153"/>
    <mergeCell ref="T1153:U1153"/>
    <mergeCell ref="V1153:W1153"/>
    <mergeCell ref="X1153:Y1153"/>
    <mergeCell ref="Z1153:AA1153"/>
    <mergeCell ref="AB1153:AC1153"/>
    <mergeCell ref="AD1154:AE1154"/>
    <mergeCell ref="AF1154:AG1154"/>
    <mergeCell ref="AH1154:AI1154"/>
    <mergeCell ref="AJ1154:AK1154"/>
    <mergeCell ref="AL1154:BB1154"/>
    <mergeCell ref="P1154:Q1154"/>
    <mergeCell ref="R1154:S1154"/>
    <mergeCell ref="T1154:U1154"/>
    <mergeCell ref="V1154:W1154"/>
    <mergeCell ref="X1154:Y1154"/>
    <mergeCell ref="Z1154:AA1154"/>
    <mergeCell ref="AB1154:AC1154"/>
    <mergeCell ref="B1154:C1154"/>
    <mergeCell ref="D1154:E1154"/>
    <mergeCell ref="F1154:G1154"/>
    <mergeCell ref="H1154:I1154"/>
    <mergeCell ref="J1154:K1154"/>
    <mergeCell ref="L1154:M1154"/>
    <mergeCell ref="N1154:O1154"/>
    <mergeCell ref="AD1155:AE1155"/>
    <mergeCell ref="AF1155:AG1155"/>
    <mergeCell ref="AH1155:AI1155"/>
    <mergeCell ref="AJ1155:AK1155"/>
    <mergeCell ref="AL1155:BB1155"/>
    <mergeCell ref="AH1156:AI1156"/>
    <mergeCell ref="AJ1156:AK1156"/>
    <mergeCell ref="AL1156:BB1156"/>
    <mergeCell ref="B1156:C1156"/>
    <mergeCell ref="D1156:E1156"/>
    <mergeCell ref="F1156:G1156"/>
    <mergeCell ref="H1156:I1156"/>
    <mergeCell ref="J1156:K1156"/>
    <mergeCell ref="L1156:M1156"/>
    <mergeCell ref="N1156:O1156"/>
    <mergeCell ref="P1158:Q1158"/>
    <mergeCell ref="R1158:S1158"/>
    <mergeCell ref="T1158:U1158"/>
    <mergeCell ref="V1158:W1158"/>
    <mergeCell ref="X1158:Y1158"/>
    <mergeCell ref="Z1158:AA1158"/>
    <mergeCell ref="AB1158:AC1158"/>
    <mergeCell ref="B1158:C1158"/>
    <mergeCell ref="D1158:E1158"/>
    <mergeCell ref="F1158:G1158"/>
    <mergeCell ref="H1158:I1158"/>
    <mergeCell ref="J1158:K1158"/>
    <mergeCell ref="L1158:M1158"/>
    <mergeCell ref="N1158:O1158"/>
    <mergeCell ref="AD1156:AE1156"/>
    <mergeCell ref="AF1156:AG1156"/>
    <mergeCell ref="P1156:Q1156"/>
    <mergeCell ref="R1156:S1156"/>
    <mergeCell ref="T1156:U1156"/>
    <mergeCell ref="V1156:W1156"/>
    <mergeCell ref="X1156:Y1156"/>
    <mergeCell ref="Z1156:AA1156"/>
    <mergeCell ref="AB1156:AC1156"/>
    <mergeCell ref="AD1157:AE1157"/>
    <mergeCell ref="AF1157:AG1157"/>
    <mergeCell ref="AH1157:AI1157"/>
    <mergeCell ref="AJ1157:AK1157"/>
    <mergeCell ref="AL1157:BB1157"/>
    <mergeCell ref="P1157:Q1157"/>
    <mergeCell ref="R1157:S1157"/>
    <mergeCell ref="T1157:U1157"/>
    <mergeCell ref="V1157:W1157"/>
    <mergeCell ref="X1157:Y1157"/>
    <mergeCell ref="Z1157:AA1157"/>
    <mergeCell ref="AB1157:AC1157"/>
    <mergeCell ref="B1157:C1157"/>
    <mergeCell ref="D1157:E1157"/>
    <mergeCell ref="F1157:G1157"/>
    <mergeCell ref="H1157:I1157"/>
    <mergeCell ref="J1157:K1157"/>
    <mergeCell ref="L1157:M1157"/>
    <mergeCell ref="N1157:O1157"/>
    <mergeCell ref="AD1158:AE1158"/>
    <mergeCell ref="AF1158:AG1158"/>
    <mergeCell ref="AH1158:AI1158"/>
    <mergeCell ref="AJ1158:AK1158"/>
    <mergeCell ref="AL1158:BB1158"/>
    <mergeCell ref="AH1159:AI1159"/>
    <mergeCell ref="AJ1159:AK1159"/>
    <mergeCell ref="AL1159:BB1159"/>
    <mergeCell ref="B1159:C1159"/>
    <mergeCell ref="D1159:E1159"/>
    <mergeCell ref="F1159:G1159"/>
    <mergeCell ref="H1159:I1159"/>
    <mergeCell ref="J1159:K1159"/>
    <mergeCell ref="L1159:M1159"/>
    <mergeCell ref="N1159:O1159"/>
    <mergeCell ref="P1161:Q1161"/>
    <mergeCell ref="R1161:S1161"/>
    <mergeCell ref="T1161:U1161"/>
    <mergeCell ref="V1161:W1161"/>
    <mergeCell ref="X1161:Y1161"/>
    <mergeCell ref="Z1161:AA1161"/>
    <mergeCell ref="AB1161:AC1161"/>
    <mergeCell ref="B1161:C1161"/>
    <mergeCell ref="D1161:E1161"/>
    <mergeCell ref="F1161:G1161"/>
    <mergeCell ref="H1161:I1161"/>
    <mergeCell ref="J1161:K1161"/>
    <mergeCell ref="L1161:M1161"/>
    <mergeCell ref="N1161:O1161"/>
    <mergeCell ref="AD1159:AE1159"/>
    <mergeCell ref="AF1159:AG1159"/>
    <mergeCell ref="P1159:Q1159"/>
    <mergeCell ref="R1159:S1159"/>
    <mergeCell ref="T1159:U1159"/>
    <mergeCell ref="V1159:W1159"/>
    <mergeCell ref="X1159:Y1159"/>
    <mergeCell ref="Z1159:AA1159"/>
    <mergeCell ref="AB1159:AC1159"/>
    <mergeCell ref="AD1160:AE1160"/>
    <mergeCell ref="AF1160:AG1160"/>
    <mergeCell ref="AH1160:AI1160"/>
    <mergeCell ref="AJ1160:AK1160"/>
    <mergeCell ref="AL1160:BB1160"/>
    <mergeCell ref="P1160:Q1160"/>
    <mergeCell ref="R1160:S1160"/>
    <mergeCell ref="T1160:U1160"/>
    <mergeCell ref="V1160:W1160"/>
    <mergeCell ref="X1160:Y1160"/>
    <mergeCell ref="Z1160:AA1160"/>
    <mergeCell ref="AB1160:AC1160"/>
    <mergeCell ref="B1160:C1160"/>
    <mergeCell ref="D1160:E1160"/>
    <mergeCell ref="F1160:G1160"/>
    <mergeCell ref="H1160:I1160"/>
    <mergeCell ref="J1160:K1160"/>
    <mergeCell ref="L1160:M1160"/>
    <mergeCell ref="N1160:O1160"/>
    <mergeCell ref="AD1161:AE1161"/>
    <mergeCell ref="AF1161:AG1161"/>
    <mergeCell ref="AH1161:AI1161"/>
    <mergeCell ref="AJ1161:AK1161"/>
    <mergeCell ref="AL1161:BB1161"/>
    <mergeCell ref="AH1162:AI1162"/>
    <mergeCell ref="AJ1162:AK1162"/>
    <mergeCell ref="AL1162:BB1162"/>
    <mergeCell ref="B1162:C1162"/>
    <mergeCell ref="D1162:E1162"/>
    <mergeCell ref="F1162:G1162"/>
    <mergeCell ref="H1162:I1162"/>
    <mergeCell ref="J1162:K1162"/>
    <mergeCell ref="L1162:M1162"/>
    <mergeCell ref="N1162:O1162"/>
    <mergeCell ref="P1164:Q1164"/>
    <mergeCell ref="R1164:S1164"/>
    <mergeCell ref="T1164:U1164"/>
    <mergeCell ref="V1164:W1164"/>
    <mergeCell ref="X1164:Y1164"/>
    <mergeCell ref="Z1164:AA1164"/>
    <mergeCell ref="AB1164:AC1164"/>
    <mergeCell ref="B1164:C1164"/>
    <mergeCell ref="D1164:E1164"/>
    <mergeCell ref="F1164:G1164"/>
    <mergeCell ref="H1164:I1164"/>
    <mergeCell ref="J1164:K1164"/>
    <mergeCell ref="L1164:M1164"/>
    <mergeCell ref="N1164:O1164"/>
    <mergeCell ref="AD1162:AE1162"/>
    <mergeCell ref="AF1162:AG1162"/>
    <mergeCell ref="P1162:Q1162"/>
    <mergeCell ref="R1162:S1162"/>
    <mergeCell ref="T1162:U1162"/>
    <mergeCell ref="V1162:W1162"/>
    <mergeCell ref="X1162:Y1162"/>
    <mergeCell ref="Z1162:AA1162"/>
    <mergeCell ref="AB1162:AC1162"/>
    <mergeCell ref="AD1163:AE1163"/>
    <mergeCell ref="AF1163:AG1163"/>
    <mergeCell ref="AH1163:AI1163"/>
    <mergeCell ref="AJ1163:AK1163"/>
    <mergeCell ref="AL1163:BB1163"/>
    <mergeCell ref="P1163:Q1163"/>
    <mergeCell ref="R1163:S1163"/>
    <mergeCell ref="T1163:U1163"/>
    <mergeCell ref="V1163:W1163"/>
    <mergeCell ref="X1163:Y1163"/>
    <mergeCell ref="Z1163:AA1163"/>
    <mergeCell ref="AB1163:AC1163"/>
    <mergeCell ref="B1163:C1163"/>
    <mergeCell ref="D1163:E1163"/>
    <mergeCell ref="F1163:G1163"/>
    <mergeCell ref="H1163:I1163"/>
    <mergeCell ref="J1163:K1163"/>
    <mergeCell ref="L1163:M1163"/>
    <mergeCell ref="N1163:O1163"/>
    <mergeCell ref="AD1164:AE1164"/>
    <mergeCell ref="AF1164:AG1164"/>
    <mergeCell ref="AH1164:AI1164"/>
    <mergeCell ref="AJ1164:AK1164"/>
    <mergeCell ref="AL1164:BB1164"/>
    <mergeCell ref="B1165:C1165"/>
    <mergeCell ref="D1165:E1165"/>
    <mergeCell ref="F1165:G1165"/>
    <mergeCell ref="H1165:I1165"/>
    <mergeCell ref="J1165:K1165"/>
    <mergeCell ref="L1165:M1165"/>
    <mergeCell ref="N1165:O1165"/>
    <mergeCell ref="AD1166:AE1166"/>
    <mergeCell ref="AF1166:AG1166"/>
    <mergeCell ref="AH1166:AI1166"/>
    <mergeCell ref="AJ1166:AK1166"/>
    <mergeCell ref="AL1166:BB1166"/>
    <mergeCell ref="P1166:Q1166"/>
    <mergeCell ref="R1166:S1166"/>
    <mergeCell ref="T1166:U1166"/>
    <mergeCell ref="V1166:W1166"/>
    <mergeCell ref="X1166:Y1166"/>
    <mergeCell ref="Z1166:AA1166"/>
    <mergeCell ref="AB1166:AC1166"/>
    <mergeCell ref="B1166:C1166"/>
    <mergeCell ref="D1166:E1166"/>
    <mergeCell ref="F1166:G1166"/>
    <mergeCell ref="H1166:I1166"/>
    <mergeCell ref="J1166:K1166"/>
    <mergeCell ref="L1166:M1166"/>
    <mergeCell ref="N1166:O1166"/>
    <mergeCell ref="AD1167:AE1167"/>
    <mergeCell ref="AF1167:AG1167"/>
    <mergeCell ref="AH1167:AI1167"/>
    <mergeCell ref="AJ1167:AK1167"/>
    <mergeCell ref="AL1167:BB1167"/>
    <mergeCell ref="P1167:Q1167"/>
    <mergeCell ref="R1167:S1167"/>
    <mergeCell ref="T1167:U1167"/>
    <mergeCell ref="V1167:W1167"/>
    <mergeCell ref="X1167:Y1167"/>
    <mergeCell ref="Z1167:AA1167"/>
    <mergeCell ref="AB1167:AC1167"/>
    <mergeCell ref="B1167:C1167"/>
    <mergeCell ref="D1167:E1167"/>
    <mergeCell ref="F1167:G1167"/>
    <mergeCell ref="H1167:I1167"/>
    <mergeCell ref="J1167:K1167"/>
    <mergeCell ref="L1167:M1167"/>
    <mergeCell ref="N1167:O1167"/>
    <mergeCell ref="AH1168:AI1168"/>
    <mergeCell ref="AJ1168:AK1168"/>
    <mergeCell ref="AL1168:BB1168"/>
    <mergeCell ref="B1168:C1168"/>
    <mergeCell ref="D1168:E1168"/>
    <mergeCell ref="F1168:G1168"/>
    <mergeCell ref="H1168:I1168"/>
    <mergeCell ref="J1168:K1168"/>
    <mergeCell ref="L1168:M1168"/>
    <mergeCell ref="N1168:O1168"/>
    <mergeCell ref="P1170:Q1170"/>
    <mergeCell ref="R1170:S1170"/>
    <mergeCell ref="T1170:U1170"/>
    <mergeCell ref="V1170:W1170"/>
    <mergeCell ref="X1170:Y1170"/>
    <mergeCell ref="Z1170:AA1170"/>
    <mergeCell ref="AB1170:AC1170"/>
    <mergeCell ref="B1170:C1170"/>
    <mergeCell ref="D1170:E1170"/>
    <mergeCell ref="F1170:G1170"/>
    <mergeCell ref="H1170:I1170"/>
    <mergeCell ref="J1170:K1170"/>
    <mergeCell ref="L1170:M1170"/>
    <mergeCell ref="N1170:O1170"/>
    <mergeCell ref="AD1168:AE1168"/>
    <mergeCell ref="AF1168:AG1168"/>
    <mergeCell ref="P1168:Q1168"/>
    <mergeCell ref="R1168:S1168"/>
    <mergeCell ref="T1168:U1168"/>
    <mergeCell ref="V1168:W1168"/>
    <mergeCell ref="X1168:Y1168"/>
    <mergeCell ref="Z1168:AA1168"/>
    <mergeCell ref="AB1168:AC1168"/>
    <mergeCell ref="AD1169:AE1169"/>
    <mergeCell ref="AF1169:AG1169"/>
    <mergeCell ref="AH1169:AI1169"/>
    <mergeCell ref="AJ1169:AK1169"/>
    <mergeCell ref="AL1169:BB1169"/>
    <mergeCell ref="P1169:Q1169"/>
    <mergeCell ref="R1169:S1169"/>
    <mergeCell ref="T1169:U1169"/>
    <mergeCell ref="V1169:W1169"/>
    <mergeCell ref="X1169:Y1169"/>
    <mergeCell ref="Z1169:AA1169"/>
    <mergeCell ref="AB1169:AC1169"/>
    <mergeCell ref="B1169:C1169"/>
    <mergeCell ref="D1169:E1169"/>
    <mergeCell ref="F1169:G1169"/>
    <mergeCell ref="H1169:I1169"/>
    <mergeCell ref="J1169:K1169"/>
    <mergeCell ref="L1169:M1169"/>
    <mergeCell ref="N1169:O1169"/>
    <mergeCell ref="AD1170:AE1170"/>
    <mergeCell ref="AF1170:AG1170"/>
    <mergeCell ref="AH1170:AI1170"/>
    <mergeCell ref="AJ1170:AK1170"/>
    <mergeCell ref="AL1170:BB1170"/>
    <mergeCell ref="AH1171:AI1171"/>
    <mergeCell ref="AJ1171:AK1171"/>
    <mergeCell ref="AL1171:BB1171"/>
    <mergeCell ref="B1171:C1171"/>
    <mergeCell ref="D1171:E1171"/>
    <mergeCell ref="F1171:G1171"/>
    <mergeCell ref="H1171:I1171"/>
    <mergeCell ref="J1171:K1171"/>
    <mergeCell ref="L1171:M1171"/>
    <mergeCell ref="N1171:O1171"/>
    <mergeCell ref="P1173:Q1173"/>
    <mergeCell ref="R1173:S1173"/>
    <mergeCell ref="T1173:U1173"/>
    <mergeCell ref="V1173:W1173"/>
    <mergeCell ref="X1173:Y1173"/>
    <mergeCell ref="Z1173:AA1173"/>
    <mergeCell ref="AB1173:AC1173"/>
    <mergeCell ref="B1173:C1173"/>
    <mergeCell ref="D1173:E1173"/>
    <mergeCell ref="F1173:G1173"/>
    <mergeCell ref="H1173:I1173"/>
    <mergeCell ref="J1173:K1173"/>
    <mergeCell ref="L1173:M1173"/>
    <mergeCell ref="N1173:O1173"/>
    <mergeCell ref="P1176:Q1176"/>
    <mergeCell ref="R1176:S1176"/>
    <mergeCell ref="T1176:U1176"/>
    <mergeCell ref="V1176:W1176"/>
    <mergeCell ref="X1176:Y1176"/>
    <mergeCell ref="Z1176:AA1176"/>
    <mergeCell ref="AB1176:AC1176"/>
    <mergeCell ref="B1176:C1176"/>
    <mergeCell ref="D1176:E1176"/>
    <mergeCell ref="F1176:G1176"/>
    <mergeCell ref="H1176:I1176"/>
    <mergeCell ref="J1176:K1176"/>
    <mergeCell ref="L1176:M1176"/>
    <mergeCell ref="N1176:O1176"/>
    <mergeCell ref="X1174:Y1174"/>
    <mergeCell ref="Z1174:AA1174"/>
    <mergeCell ref="AB1174:AC1174"/>
    <mergeCell ref="AD1175:AE1175"/>
    <mergeCell ref="AF1175:AG1175"/>
    <mergeCell ref="AH1175:AI1175"/>
    <mergeCell ref="AJ1175:AK1175"/>
    <mergeCell ref="AL1175:BB1175"/>
    <mergeCell ref="P1175:Q1175"/>
    <mergeCell ref="R1175:S1175"/>
    <mergeCell ref="T1175:U1175"/>
    <mergeCell ref="V1175:W1175"/>
    <mergeCell ref="X1175:Y1175"/>
    <mergeCell ref="Z1175:AA1175"/>
    <mergeCell ref="AB1175:AC1175"/>
    <mergeCell ref="B1175:C1175"/>
    <mergeCell ref="D1175:E1175"/>
    <mergeCell ref="F1175:G1175"/>
    <mergeCell ref="H1175:I1175"/>
    <mergeCell ref="J1175:K1175"/>
    <mergeCell ref="L1175:M1175"/>
    <mergeCell ref="N1175:O1175"/>
    <mergeCell ref="AD1176:AE1176"/>
    <mergeCell ref="AF1176:AG1176"/>
    <mergeCell ref="AH1176:AI1176"/>
    <mergeCell ref="AJ1176:AK1176"/>
    <mergeCell ref="AD1180:AE1180"/>
    <mergeCell ref="AF1180:AG1180"/>
    <mergeCell ref="P1180:Q1180"/>
    <mergeCell ref="R1180:S1180"/>
    <mergeCell ref="T1180:U1180"/>
    <mergeCell ref="V1180:W1180"/>
    <mergeCell ref="X1180:Y1180"/>
    <mergeCell ref="Z1180:AA1180"/>
    <mergeCell ref="AB1180:AC1180"/>
    <mergeCell ref="AD1181:AE1181"/>
    <mergeCell ref="AF1181:AG1181"/>
    <mergeCell ref="AH1181:AI1181"/>
    <mergeCell ref="AJ1181:AK1181"/>
    <mergeCell ref="AL1181:BB1181"/>
    <mergeCell ref="P1181:Q1181"/>
    <mergeCell ref="R1181:S1181"/>
    <mergeCell ref="T1181:U1181"/>
    <mergeCell ref="V1181:W1181"/>
    <mergeCell ref="X1181:Y1181"/>
    <mergeCell ref="Z1181:AA1181"/>
    <mergeCell ref="AB1181:AC1181"/>
    <mergeCell ref="B1181:C1181"/>
    <mergeCell ref="D1181:E1181"/>
    <mergeCell ref="F1181:G1181"/>
    <mergeCell ref="H1181:I1181"/>
    <mergeCell ref="J1181:K1181"/>
    <mergeCell ref="L1181:M1181"/>
    <mergeCell ref="N1181:O1181"/>
    <mergeCell ref="AD1182:AE1182"/>
    <mergeCell ref="AF1182:AG1182"/>
    <mergeCell ref="AH1182:AI1182"/>
    <mergeCell ref="AJ1182:AK1182"/>
    <mergeCell ref="AL1182:BB1182"/>
    <mergeCell ref="AH1180:AI1180"/>
    <mergeCell ref="AJ1180:AK1180"/>
    <mergeCell ref="AL1180:BB1180"/>
    <mergeCell ref="B1180:C1180"/>
    <mergeCell ref="D1180:E1180"/>
    <mergeCell ref="F1180:G1180"/>
    <mergeCell ref="H1180:I1180"/>
    <mergeCell ref="J1180:K1180"/>
    <mergeCell ref="L1180:M1180"/>
    <mergeCell ref="N1180:O1180"/>
    <mergeCell ref="P1182:Q1182"/>
    <mergeCell ref="R1182:S1182"/>
    <mergeCell ref="T1182:U1182"/>
    <mergeCell ref="V1182:W1182"/>
    <mergeCell ref="X1182:Y1182"/>
    <mergeCell ref="Z1182:AA1182"/>
    <mergeCell ref="AB1182:AC1182"/>
    <mergeCell ref="B1182:C1182"/>
    <mergeCell ref="D1182:E1182"/>
    <mergeCell ref="F1182:G1182"/>
    <mergeCell ref="H1182:I1182"/>
    <mergeCell ref="J1182:K1182"/>
    <mergeCell ref="L1182:M1182"/>
    <mergeCell ref="N1182:O1182"/>
    <mergeCell ref="AH1183:AI1183"/>
    <mergeCell ref="AJ1183:AK1183"/>
    <mergeCell ref="AL1183:BB1183"/>
    <mergeCell ref="B1183:C1183"/>
    <mergeCell ref="D1183:E1183"/>
    <mergeCell ref="F1183:G1183"/>
    <mergeCell ref="H1183:I1183"/>
    <mergeCell ref="J1183:K1183"/>
    <mergeCell ref="L1183:M1183"/>
    <mergeCell ref="N1183:O1183"/>
    <mergeCell ref="AD1183:AE1183"/>
    <mergeCell ref="AF1183:AG1183"/>
    <mergeCell ref="P1183:Q1183"/>
    <mergeCell ref="R1183:S1183"/>
    <mergeCell ref="T1183:U1183"/>
    <mergeCell ref="V1183:W1183"/>
    <mergeCell ref="X1183:Y1183"/>
    <mergeCell ref="Z1183:AA1183"/>
    <mergeCell ref="AB1183:AC1183"/>
    <mergeCell ref="AD1184:AE1184"/>
    <mergeCell ref="AF1184:AG1184"/>
    <mergeCell ref="AH1184:AI1184"/>
    <mergeCell ref="AJ1184:AK1184"/>
    <mergeCell ref="AL1184:BB1184"/>
    <mergeCell ref="P1184:Q1184"/>
    <mergeCell ref="R1184:S1184"/>
    <mergeCell ref="T1184:U1184"/>
    <mergeCell ref="V1184:W1184"/>
    <mergeCell ref="X1184:Y1184"/>
    <mergeCell ref="Z1184:AA1184"/>
    <mergeCell ref="AB1184:AC1184"/>
    <mergeCell ref="B1184:C1184"/>
    <mergeCell ref="D1184:E1184"/>
    <mergeCell ref="F1184:G1184"/>
    <mergeCell ref="H1184:I1184"/>
    <mergeCell ref="J1184:K1184"/>
    <mergeCell ref="L1184:M1184"/>
    <mergeCell ref="N1184:O1184"/>
    <mergeCell ref="AD1185:AE1185"/>
    <mergeCell ref="AF1185:AG1185"/>
    <mergeCell ref="AH1185:AI1185"/>
    <mergeCell ref="AJ1185:AK1185"/>
    <mergeCell ref="AL1185:BB1185"/>
    <mergeCell ref="AH1186:AI1186"/>
    <mergeCell ref="AJ1186:AK1186"/>
    <mergeCell ref="AL1186:BB1186"/>
    <mergeCell ref="B1186:C1186"/>
    <mergeCell ref="D1186:E1186"/>
    <mergeCell ref="F1186:G1186"/>
    <mergeCell ref="H1186:I1186"/>
    <mergeCell ref="J1186:K1186"/>
    <mergeCell ref="L1186:M1186"/>
    <mergeCell ref="N1186:O1186"/>
    <mergeCell ref="AD1171:AE1171"/>
    <mergeCell ref="AF1171:AG1171"/>
    <mergeCell ref="P1171:Q1171"/>
    <mergeCell ref="R1171:S1171"/>
    <mergeCell ref="T1171:U1171"/>
    <mergeCell ref="V1171:W1171"/>
    <mergeCell ref="X1171:Y1171"/>
    <mergeCell ref="Z1171:AA1171"/>
    <mergeCell ref="AB1171:AC1171"/>
    <mergeCell ref="AD1172:AE1172"/>
    <mergeCell ref="AF1172:AG1172"/>
    <mergeCell ref="AH1172:AI1172"/>
    <mergeCell ref="AJ1172:AK1172"/>
    <mergeCell ref="AL1172:BB1172"/>
    <mergeCell ref="P1172:Q1172"/>
    <mergeCell ref="R1172:S1172"/>
    <mergeCell ref="T1172:U1172"/>
    <mergeCell ref="V1172:W1172"/>
    <mergeCell ref="X1172:Y1172"/>
    <mergeCell ref="Z1172:AA1172"/>
    <mergeCell ref="AB1172:AC1172"/>
    <mergeCell ref="B1172:C1172"/>
    <mergeCell ref="D1172:E1172"/>
    <mergeCell ref="F1172:G1172"/>
    <mergeCell ref="H1172:I1172"/>
    <mergeCell ref="J1172:K1172"/>
    <mergeCell ref="L1172:M1172"/>
    <mergeCell ref="N1172:O1172"/>
    <mergeCell ref="AD1173:AE1173"/>
    <mergeCell ref="AF1173:AG1173"/>
    <mergeCell ref="AH1173:AI1173"/>
    <mergeCell ref="AJ1173:AK1173"/>
    <mergeCell ref="AL1173:BB1173"/>
    <mergeCell ref="AH1174:AI1174"/>
    <mergeCell ref="AJ1174:AK1174"/>
    <mergeCell ref="AL1174:BB1174"/>
    <mergeCell ref="B1174:C1174"/>
    <mergeCell ref="D1174:E1174"/>
    <mergeCell ref="F1174:G1174"/>
    <mergeCell ref="H1174:I1174"/>
    <mergeCell ref="J1174:K1174"/>
    <mergeCell ref="L1174:M1174"/>
    <mergeCell ref="N1174:O1174"/>
    <mergeCell ref="AD1174:AE1174"/>
    <mergeCell ref="AF1174:AG1174"/>
    <mergeCell ref="P1174:Q1174"/>
    <mergeCell ref="R1174:S1174"/>
    <mergeCell ref="T1174:U1174"/>
    <mergeCell ref="V1174:W1174"/>
    <mergeCell ref="AL1176:BB1176"/>
    <mergeCell ref="AH1177:AI1177"/>
    <mergeCell ref="AJ1177:AK1177"/>
    <mergeCell ref="AL1177:BB1177"/>
    <mergeCell ref="B1177:C1177"/>
    <mergeCell ref="D1177:E1177"/>
    <mergeCell ref="F1177:G1177"/>
    <mergeCell ref="H1177:I1177"/>
    <mergeCell ref="J1177:K1177"/>
    <mergeCell ref="L1177:M1177"/>
    <mergeCell ref="N1177:O1177"/>
    <mergeCell ref="P1179:Q1179"/>
    <mergeCell ref="R1179:S1179"/>
    <mergeCell ref="T1179:U1179"/>
    <mergeCell ref="V1179:W1179"/>
    <mergeCell ref="X1179:Y1179"/>
    <mergeCell ref="Z1179:AA1179"/>
    <mergeCell ref="AB1179:AC1179"/>
    <mergeCell ref="B1179:C1179"/>
    <mergeCell ref="D1179:E1179"/>
    <mergeCell ref="F1179:G1179"/>
    <mergeCell ref="H1179:I1179"/>
    <mergeCell ref="J1179:K1179"/>
    <mergeCell ref="L1179:M1179"/>
    <mergeCell ref="N1179:O1179"/>
    <mergeCell ref="AD1177:AE1177"/>
    <mergeCell ref="AF1177:AG1177"/>
    <mergeCell ref="P1177:Q1177"/>
    <mergeCell ref="R1177:S1177"/>
    <mergeCell ref="T1177:U1177"/>
    <mergeCell ref="V1177:W1177"/>
    <mergeCell ref="X1177:Y1177"/>
    <mergeCell ref="Z1177:AA1177"/>
    <mergeCell ref="AB1177:AC1177"/>
    <mergeCell ref="AD1178:AE1178"/>
    <mergeCell ref="AF1178:AG1178"/>
    <mergeCell ref="AH1178:AI1178"/>
    <mergeCell ref="AJ1178:AK1178"/>
    <mergeCell ref="AL1178:BB1178"/>
    <mergeCell ref="P1178:Q1178"/>
    <mergeCell ref="R1178:S1178"/>
    <mergeCell ref="T1178:U1178"/>
    <mergeCell ref="V1178:W1178"/>
    <mergeCell ref="X1178:Y1178"/>
    <mergeCell ref="Z1178:AA1178"/>
    <mergeCell ref="AB1178:AC1178"/>
    <mergeCell ref="B1178:C1178"/>
    <mergeCell ref="D1178:E1178"/>
    <mergeCell ref="F1178:G1178"/>
    <mergeCell ref="H1178:I1178"/>
    <mergeCell ref="J1178:K1178"/>
    <mergeCell ref="L1178:M1178"/>
    <mergeCell ref="N1178:O1178"/>
    <mergeCell ref="AD1179:AE1179"/>
    <mergeCell ref="AF1179:AG1179"/>
    <mergeCell ref="AH1179:AI1179"/>
    <mergeCell ref="AJ1179:AK1179"/>
    <mergeCell ref="AL1179:BB1179"/>
    <mergeCell ref="P1185:Q1185"/>
    <mergeCell ref="R1185:S1185"/>
    <mergeCell ref="T1185:U1185"/>
    <mergeCell ref="V1185:W1185"/>
    <mergeCell ref="X1185:Y1185"/>
    <mergeCell ref="Z1185:AA1185"/>
    <mergeCell ref="AB1185:AC1185"/>
    <mergeCell ref="B1185:C1185"/>
    <mergeCell ref="D1185:E1185"/>
    <mergeCell ref="F1185:G1185"/>
    <mergeCell ref="H1185:I1185"/>
    <mergeCell ref="J1185:K1185"/>
    <mergeCell ref="L1185:M1185"/>
    <mergeCell ref="N1185:O1185"/>
    <mergeCell ref="AD1207:AE1207"/>
    <mergeCell ref="AF1207:AG1207"/>
    <mergeCell ref="AH1207:AI1207"/>
    <mergeCell ref="AJ1207:AK1207"/>
    <mergeCell ref="AL1207:BB1207"/>
    <mergeCell ref="P1207:Q1207"/>
    <mergeCell ref="R1207:S1207"/>
    <mergeCell ref="T1207:U1207"/>
    <mergeCell ref="V1207:W1207"/>
    <mergeCell ref="X1207:Y1207"/>
    <mergeCell ref="Z1207:AA1207"/>
    <mergeCell ref="AB1207:AC1207"/>
    <mergeCell ref="P1188:Q1188"/>
    <mergeCell ref="R1188:S1188"/>
    <mergeCell ref="T1188:U1188"/>
    <mergeCell ref="V1188:W1188"/>
    <mergeCell ref="X1188:Y1188"/>
    <mergeCell ref="Z1188:AA1188"/>
    <mergeCell ref="AB1188:AC1188"/>
    <mergeCell ref="B1188:C1188"/>
    <mergeCell ref="D1188:E1188"/>
    <mergeCell ref="F1188:G1188"/>
    <mergeCell ref="H1188:I1188"/>
    <mergeCell ref="J1188:K1188"/>
    <mergeCell ref="L1188:M1188"/>
    <mergeCell ref="N1188:O1188"/>
    <mergeCell ref="AD1186:AE1186"/>
    <mergeCell ref="AF1186:AG1186"/>
    <mergeCell ref="P1186:Q1186"/>
    <mergeCell ref="R1186:S1186"/>
    <mergeCell ref="T1186:U1186"/>
    <mergeCell ref="V1186:W1186"/>
    <mergeCell ref="X1186:Y1186"/>
    <mergeCell ref="Z1186:AA1186"/>
    <mergeCell ref="AB1186:AC1186"/>
    <mergeCell ref="AD1187:AE1187"/>
    <mergeCell ref="AF1187:AG1187"/>
    <mergeCell ref="AH1187:AI1187"/>
    <mergeCell ref="AJ1187:AK1187"/>
    <mergeCell ref="AL1187:BB1187"/>
    <mergeCell ref="P1187:Q1187"/>
    <mergeCell ref="R1187:S1187"/>
    <mergeCell ref="T1187:U1187"/>
    <mergeCell ref="V1187:W1187"/>
    <mergeCell ref="X1187:Y1187"/>
    <mergeCell ref="Z1187:AA1187"/>
    <mergeCell ref="AB1187:AC1187"/>
    <mergeCell ref="B1187:C1187"/>
    <mergeCell ref="D1187:E1187"/>
    <mergeCell ref="F1187:G1187"/>
    <mergeCell ref="H1187:I1187"/>
    <mergeCell ref="J1187:K1187"/>
    <mergeCell ref="L1187:M1187"/>
    <mergeCell ref="N1187:O1187"/>
    <mergeCell ref="AD1188:AE1188"/>
    <mergeCell ref="AF1188:AG1188"/>
    <mergeCell ref="AH1188:AI1188"/>
    <mergeCell ref="AJ1188:AK1188"/>
    <mergeCell ref="AL1188:BB1188"/>
    <mergeCell ref="AH1189:AI1189"/>
    <mergeCell ref="AJ1189:AK1189"/>
    <mergeCell ref="AL1189:BB1189"/>
    <mergeCell ref="B1189:C1189"/>
    <mergeCell ref="D1189:E1189"/>
    <mergeCell ref="F1189:G1189"/>
    <mergeCell ref="H1189:I1189"/>
    <mergeCell ref="J1189:K1189"/>
    <mergeCell ref="L1189:M1189"/>
    <mergeCell ref="N1189:O1189"/>
    <mergeCell ref="P1191:Q1191"/>
    <mergeCell ref="R1191:S1191"/>
    <mergeCell ref="T1191:U1191"/>
    <mergeCell ref="V1191:W1191"/>
    <mergeCell ref="X1191:Y1191"/>
    <mergeCell ref="Z1191:AA1191"/>
    <mergeCell ref="AB1191:AC1191"/>
    <mergeCell ref="B1191:C1191"/>
    <mergeCell ref="D1191:E1191"/>
    <mergeCell ref="F1191:G1191"/>
    <mergeCell ref="H1191:I1191"/>
    <mergeCell ref="J1191:K1191"/>
    <mergeCell ref="L1191:M1191"/>
    <mergeCell ref="N1191:O1191"/>
    <mergeCell ref="AD1189:AE1189"/>
    <mergeCell ref="AF1189:AG1189"/>
    <mergeCell ref="P1189:Q1189"/>
    <mergeCell ref="R1189:S1189"/>
    <mergeCell ref="T1189:U1189"/>
    <mergeCell ref="V1189:W1189"/>
    <mergeCell ref="X1189:Y1189"/>
    <mergeCell ref="Z1189:AA1189"/>
    <mergeCell ref="AB1189:AC1189"/>
    <mergeCell ref="AD1190:AE1190"/>
    <mergeCell ref="AF1190:AG1190"/>
    <mergeCell ref="AH1190:AI1190"/>
    <mergeCell ref="AJ1190:AK1190"/>
    <mergeCell ref="AL1190:BB1190"/>
    <mergeCell ref="P1190:Q1190"/>
    <mergeCell ref="R1190:S1190"/>
    <mergeCell ref="T1190:U1190"/>
    <mergeCell ref="V1190:W1190"/>
    <mergeCell ref="X1190:Y1190"/>
    <mergeCell ref="Z1190:AA1190"/>
    <mergeCell ref="AB1190:AC1190"/>
    <mergeCell ref="B1190:C1190"/>
    <mergeCell ref="D1190:E1190"/>
    <mergeCell ref="F1190:G1190"/>
    <mergeCell ref="H1190:I1190"/>
    <mergeCell ref="J1190:K1190"/>
    <mergeCell ref="L1190:M1190"/>
    <mergeCell ref="N1190:O1190"/>
    <mergeCell ref="AD1191:AE1191"/>
    <mergeCell ref="AF1191:AG1191"/>
    <mergeCell ref="AH1191:AI1191"/>
    <mergeCell ref="AJ1191:AK1191"/>
    <mergeCell ref="AL1191:BB1191"/>
    <mergeCell ref="AH1192:AI1192"/>
    <mergeCell ref="AJ1192:AK1192"/>
    <mergeCell ref="AL1192:BB1192"/>
    <mergeCell ref="B1192:C1192"/>
    <mergeCell ref="D1192:E1192"/>
    <mergeCell ref="F1192:G1192"/>
    <mergeCell ref="H1192:I1192"/>
    <mergeCell ref="J1192:K1192"/>
    <mergeCell ref="L1192:M1192"/>
    <mergeCell ref="N1192:O1192"/>
    <mergeCell ref="P1194:Q1194"/>
    <mergeCell ref="R1194:S1194"/>
    <mergeCell ref="T1194:U1194"/>
    <mergeCell ref="V1194:W1194"/>
    <mergeCell ref="X1194:Y1194"/>
    <mergeCell ref="Z1194:AA1194"/>
    <mergeCell ref="AB1194:AC1194"/>
    <mergeCell ref="B1194:C1194"/>
    <mergeCell ref="D1194:E1194"/>
    <mergeCell ref="F1194:G1194"/>
    <mergeCell ref="H1194:I1194"/>
    <mergeCell ref="J1194:K1194"/>
    <mergeCell ref="L1194:M1194"/>
    <mergeCell ref="N1194:O1194"/>
    <mergeCell ref="AD1192:AE1192"/>
    <mergeCell ref="AF1192:AG1192"/>
    <mergeCell ref="P1192:Q1192"/>
    <mergeCell ref="R1192:S1192"/>
    <mergeCell ref="T1192:U1192"/>
    <mergeCell ref="V1192:W1192"/>
    <mergeCell ref="X1192:Y1192"/>
    <mergeCell ref="Z1192:AA1192"/>
    <mergeCell ref="AB1192:AC1192"/>
    <mergeCell ref="AD1193:AE1193"/>
    <mergeCell ref="AF1193:AG1193"/>
    <mergeCell ref="AH1193:AI1193"/>
    <mergeCell ref="AJ1193:AK1193"/>
    <mergeCell ref="AL1193:BB1193"/>
    <mergeCell ref="P1193:Q1193"/>
    <mergeCell ref="R1193:S1193"/>
    <mergeCell ref="T1193:U1193"/>
    <mergeCell ref="V1193:W1193"/>
    <mergeCell ref="X1193:Y1193"/>
    <mergeCell ref="Z1193:AA1193"/>
    <mergeCell ref="AB1193:AC1193"/>
    <mergeCell ref="B1193:C1193"/>
    <mergeCell ref="D1193:E1193"/>
    <mergeCell ref="F1193:G1193"/>
    <mergeCell ref="H1193:I1193"/>
    <mergeCell ref="J1193:K1193"/>
    <mergeCell ref="L1193:M1193"/>
    <mergeCell ref="N1193:O1193"/>
    <mergeCell ref="AD1194:AE1194"/>
    <mergeCell ref="AF1194:AG1194"/>
    <mergeCell ref="AH1194:AI1194"/>
    <mergeCell ref="AJ1194:AK1194"/>
    <mergeCell ref="AL1194:BB1194"/>
    <mergeCell ref="AH1195:AI1195"/>
    <mergeCell ref="AJ1195:AK1195"/>
    <mergeCell ref="AL1195:BB1195"/>
    <mergeCell ref="B1195:C1195"/>
    <mergeCell ref="D1195:E1195"/>
    <mergeCell ref="F1195:G1195"/>
    <mergeCell ref="H1195:I1195"/>
    <mergeCell ref="J1195:K1195"/>
    <mergeCell ref="L1195:M1195"/>
    <mergeCell ref="N1195:O1195"/>
    <mergeCell ref="P1197:Q1197"/>
    <mergeCell ref="R1197:S1197"/>
    <mergeCell ref="T1197:U1197"/>
    <mergeCell ref="V1197:W1197"/>
    <mergeCell ref="X1197:Y1197"/>
    <mergeCell ref="Z1197:AA1197"/>
    <mergeCell ref="AB1197:AC1197"/>
    <mergeCell ref="B1197:C1197"/>
    <mergeCell ref="D1197:E1197"/>
    <mergeCell ref="F1197:G1197"/>
    <mergeCell ref="H1197:I1197"/>
    <mergeCell ref="J1197:K1197"/>
    <mergeCell ref="L1197:M1197"/>
    <mergeCell ref="N1197:O1197"/>
    <mergeCell ref="AD1195:AE1195"/>
    <mergeCell ref="AF1195:AG1195"/>
    <mergeCell ref="P1195:Q1195"/>
    <mergeCell ref="R1195:S1195"/>
    <mergeCell ref="T1195:U1195"/>
    <mergeCell ref="V1195:W1195"/>
    <mergeCell ref="X1195:Y1195"/>
    <mergeCell ref="Z1195:AA1195"/>
    <mergeCell ref="AB1195:AC1195"/>
    <mergeCell ref="AD1196:AE1196"/>
    <mergeCell ref="AF1196:AG1196"/>
    <mergeCell ref="AH1196:AI1196"/>
    <mergeCell ref="AJ1196:AK1196"/>
    <mergeCell ref="AL1196:BB1196"/>
    <mergeCell ref="P1196:Q1196"/>
    <mergeCell ref="R1196:S1196"/>
    <mergeCell ref="T1196:U1196"/>
    <mergeCell ref="V1196:W1196"/>
    <mergeCell ref="X1196:Y1196"/>
    <mergeCell ref="Z1196:AA1196"/>
    <mergeCell ref="AB1196:AC1196"/>
    <mergeCell ref="B1196:C1196"/>
    <mergeCell ref="D1196:E1196"/>
    <mergeCell ref="F1196:G1196"/>
    <mergeCell ref="H1196:I1196"/>
    <mergeCell ref="J1196:K1196"/>
    <mergeCell ref="L1196:M1196"/>
    <mergeCell ref="N1196:O1196"/>
    <mergeCell ref="AD1197:AE1197"/>
    <mergeCell ref="AF1197:AG1197"/>
    <mergeCell ref="AH1197:AI1197"/>
    <mergeCell ref="AJ1197:AK1197"/>
    <mergeCell ref="AL1197:BB1197"/>
    <mergeCell ref="AH1198:AI1198"/>
    <mergeCell ref="AJ1198:AK1198"/>
    <mergeCell ref="AL1198:BB1198"/>
    <mergeCell ref="B1198:C1198"/>
    <mergeCell ref="D1198:E1198"/>
    <mergeCell ref="F1198:G1198"/>
    <mergeCell ref="H1198:I1198"/>
    <mergeCell ref="J1198:K1198"/>
    <mergeCell ref="L1198:M1198"/>
    <mergeCell ref="N1198:O1198"/>
    <mergeCell ref="P1200:Q1200"/>
    <mergeCell ref="R1200:S1200"/>
    <mergeCell ref="T1200:U1200"/>
    <mergeCell ref="V1200:W1200"/>
    <mergeCell ref="X1200:Y1200"/>
    <mergeCell ref="Z1200:AA1200"/>
    <mergeCell ref="AB1200:AC1200"/>
    <mergeCell ref="B1200:C1200"/>
    <mergeCell ref="D1200:E1200"/>
    <mergeCell ref="F1200:G1200"/>
    <mergeCell ref="H1200:I1200"/>
    <mergeCell ref="J1200:K1200"/>
    <mergeCell ref="L1200:M1200"/>
    <mergeCell ref="N1200:O1200"/>
    <mergeCell ref="AD1198:AE1198"/>
    <mergeCell ref="AF1198:AG1198"/>
    <mergeCell ref="P1198:Q1198"/>
    <mergeCell ref="R1198:S1198"/>
    <mergeCell ref="T1198:U1198"/>
    <mergeCell ref="V1198:W1198"/>
    <mergeCell ref="X1198:Y1198"/>
    <mergeCell ref="Z1198:AA1198"/>
    <mergeCell ref="AB1198:AC1198"/>
    <mergeCell ref="AD1199:AE1199"/>
    <mergeCell ref="AF1199:AG1199"/>
    <mergeCell ref="AH1199:AI1199"/>
    <mergeCell ref="AJ1199:AK1199"/>
    <mergeCell ref="AL1199:BB1199"/>
    <mergeCell ref="P1199:Q1199"/>
    <mergeCell ref="R1199:S1199"/>
    <mergeCell ref="T1199:U1199"/>
    <mergeCell ref="V1199:W1199"/>
    <mergeCell ref="X1199:Y1199"/>
    <mergeCell ref="Z1199:AA1199"/>
    <mergeCell ref="AB1199:AC1199"/>
    <mergeCell ref="B1199:C1199"/>
    <mergeCell ref="D1199:E1199"/>
    <mergeCell ref="F1199:G1199"/>
    <mergeCell ref="H1199:I1199"/>
    <mergeCell ref="J1199:K1199"/>
    <mergeCell ref="L1199:M1199"/>
    <mergeCell ref="N1199:O1199"/>
    <mergeCell ref="AD1200:AE1200"/>
    <mergeCell ref="AF1200:AG1200"/>
    <mergeCell ref="AH1200:AI1200"/>
    <mergeCell ref="AJ1200:AK1200"/>
    <mergeCell ref="AL1200:BB1200"/>
    <mergeCell ref="AH1201:AI1201"/>
    <mergeCell ref="AJ1201:AK1201"/>
    <mergeCell ref="AL1201:BB1201"/>
    <mergeCell ref="B1201:C1201"/>
    <mergeCell ref="D1201:E1201"/>
    <mergeCell ref="F1201:G1201"/>
    <mergeCell ref="H1201:I1201"/>
    <mergeCell ref="J1201:K1201"/>
    <mergeCell ref="L1201:M1201"/>
    <mergeCell ref="N1201:O1201"/>
    <mergeCell ref="P1203:Q1203"/>
    <mergeCell ref="R1203:S1203"/>
    <mergeCell ref="T1203:U1203"/>
    <mergeCell ref="V1203:W1203"/>
    <mergeCell ref="X1203:Y1203"/>
    <mergeCell ref="Z1203:AA1203"/>
    <mergeCell ref="AB1203:AC1203"/>
    <mergeCell ref="B1203:C1203"/>
    <mergeCell ref="D1203:E1203"/>
    <mergeCell ref="F1203:G1203"/>
    <mergeCell ref="H1203:I1203"/>
    <mergeCell ref="J1203:K1203"/>
    <mergeCell ref="L1203:M1203"/>
    <mergeCell ref="N1203:O1203"/>
    <mergeCell ref="AD1201:AE1201"/>
    <mergeCell ref="AF1201:AG1201"/>
    <mergeCell ref="P1201:Q1201"/>
    <mergeCell ref="R1201:S1201"/>
    <mergeCell ref="T1201:U1201"/>
    <mergeCell ref="V1201:W1201"/>
    <mergeCell ref="X1201:Y1201"/>
    <mergeCell ref="Z1201:AA1201"/>
    <mergeCell ref="AB1201:AC1201"/>
    <mergeCell ref="AD1202:AE1202"/>
    <mergeCell ref="AF1202:AG1202"/>
    <mergeCell ref="AH1202:AI1202"/>
    <mergeCell ref="AJ1202:AK1202"/>
    <mergeCell ref="AL1202:BB1202"/>
    <mergeCell ref="P1202:Q1202"/>
    <mergeCell ref="R1202:S1202"/>
    <mergeCell ref="T1202:U1202"/>
    <mergeCell ref="V1202:W1202"/>
    <mergeCell ref="X1202:Y1202"/>
    <mergeCell ref="Z1202:AA1202"/>
    <mergeCell ref="AB1202:AC1202"/>
    <mergeCell ref="B1202:C1202"/>
    <mergeCell ref="D1202:E1202"/>
    <mergeCell ref="F1202:G1202"/>
    <mergeCell ref="H1202:I1202"/>
    <mergeCell ref="J1202:K1202"/>
    <mergeCell ref="L1202:M1202"/>
    <mergeCell ref="N1202:O1202"/>
    <mergeCell ref="AD1203:AE1203"/>
    <mergeCell ref="AF1203:AG1203"/>
    <mergeCell ref="AH1203:AI1203"/>
    <mergeCell ref="AJ1203:AK1203"/>
    <mergeCell ref="AL1203:BB1203"/>
    <mergeCell ref="AH1204:AI1204"/>
    <mergeCell ref="AJ1204:AK1204"/>
    <mergeCell ref="AL1204:BB1204"/>
    <mergeCell ref="B1204:C1204"/>
    <mergeCell ref="D1204:E1204"/>
    <mergeCell ref="F1204:G1204"/>
    <mergeCell ref="H1204:I1204"/>
    <mergeCell ref="J1204:K1204"/>
    <mergeCell ref="L1204:M1204"/>
    <mergeCell ref="N1204:O1204"/>
    <mergeCell ref="P1206:Q1206"/>
    <mergeCell ref="R1206:S1206"/>
    <mergeCell ref="T1206:U1206"/>
    <mergeCell ref="V1206:W1206"/>
    <mergeCell ref="X1206:Y1206"/>
    <mergeCell ref="Z1206:AA1206"/>
    <mergeCell ref="AB1206:AC1206"/>
    <mergeCell ref="B1206:C1206"/>
    <mergeCell ref="D1206:E1206"/>
    <mergeCell ref="F1206:G1206"/>
    <mergeCell ref="H1206:I1206"/>
    <mergeCell ref="J1206:K1206"/>
    <mergeCell ref="L1206:M1206"/>
    <mergeCell ref="N1206:O1206"/>
    <mergeCell ref="AD1204:AE1204"/>
    <mergeCell ref="AF1204:AG1204"/>
    <mergeCell ref="P1204:Q1204"/>
    <mergeCell ref="R1204:S1204"/>
    <mergeCell ref="T1204:U1204"/>
    <mergeCell ref="V1204:W1204"/>
    <mergeCell ref="X1204:Y1204"/>
    <mergeCell ref="Z1204:AA1204"/>
    <mergeCell ref="AB1204:AC1204"/>
    <mergeCell ref="AD1205:AE1205"/>
    <mergeCell ref="AF1205:AG1205"/>
    <mergeCell ref="AH1205:AI1205"/>
    <mergeCell ref="AJ1205:AK1205"/>
    <mergeCell ref="AL1205:BB1205"/>
    <mergeCell ref="P1205:Q1205"/>
    <mergeCell ref="R1205:S1205"/>
    <mergeCell ref="T1205:U1205"/>
    <mergeCell ref="V1205:W1205"/>
    <mergeCell ref="X1205:Y1205"/>
    <mergeCell ref="Z1205:AA1205"/>
    <mergeCell ref="AB1205:AC1205"/>
    <mergeCell ref="B1205:C1205"/>
    <mergeCell ref="D1205:E1205"/>
    <mergeCell ref="F1205:G1205"/>
    <mergeCell ref="H1205:I1205"/>
    <mergeCell ref="J1205:K1205"/>
    <mergeCell ref="L1205:M1205"/>
    <mergeCell ref="N1205:O1205"/>
    <mergeCell ref="AD1206:AE1206"/>
    <mergeCell ref="AF1206:AG1206"/>
    <mergeCell ref="AH1206:AI1206"/>
    <mergeCell ref="AJ1206:AK1206"/>
    <mergeCell ref="AL1206:BB1206"/>
    <mergeCell ref="B1207:C1207"/>
    <mergeCell ref="D1207:E1207"/>
    <mergeCell ref="F1207:G1207"/>
    <mergeCell ref="H1207:I1207"/>
    <mergeCell ref="J1207:K1207"/>
    <mergeCell ref="L1207:M1207"/>
    <mergeCell ref="N1207:O1207"/>
    <mergeCell ref="AD1208:AE1208"/>
    <mergeCell ref="AF1208:AG1208"/>
    <mergeCell ref="AH1208:AI1208"/>
    <mergeCell ref="AJ1208:AK1208"/>
    <mergeCell ref="AL1208:BB1208"/>
    <mergeCell ref="P1208:Q1208"/>
    <mergeCell ref="R1208:S1208"/>
    <mergeCell ref="T1208:U1208"/>
    <mergeCell ref="V1208:W1208"/>
    <mergeCell ref="X1208:Y1208"/>
    <mergeCell ref="Z1208:AA1208"/>
    <mergeCell ref="AB1208:AC1208"/>
    <mergeCell ref="B1208:C1208"/>
    <mergeCell ref="D1208:E1208"/>
    <mergeCell ref="F1208:G1208"/>
    <mergeCell ref="H1208:I1208"/>
    <mergeCell ref="J1208:K1208"/>
    <mergeCell ref="L1208:M1208"/>
    <mergeCell ref="N1208:O1208"/>
    <mergeCell ref="AD1209:AE1209"/>
    <mergeCell ref="AF1209:AG1209"/>
    <mergeCell ref="AH1209:AI1209"/>
    <mergeCell ref="AJ1209:AK1209"/>
    <mergeCell ref="AL1209:BB1209"/>
    <mergeCell ref="P1209:Q1209"/>
    <mergeCell ref="R1209:S1209"/>
    <mergeCell ref="T1209:U1209"/>
    <mergeCell ref="V1209:W1209"/>
    <mergeCell ref="X1209:Y1209"/>
    <mergeCell ref="Z1209:AA1209"/>
    <mergeCell ref="AB1209:AC1209"/>
    <mergeCell ref="B1209:C1209"/>
    <mergeCell ref="D1209:E1209"/>
    <mergeCell ref="F1209:G1209"/>
    <mergeCell ref="H1209:I1209"/>
    <mergeCell ref="J1209:K1209"/>
    <mergeCell ref="L1209:M1209"/>
    <mergeCell ref="N1209:O1209"/>
    <mergeCell ref="AH1210:AI1210"/>
    <mergeCell ref="AJ1210:AK1210"/>
    <mergeCell ref="AL1210:BB1210"/>
    <mergeCell ref="B1210:C1210"/>
    <mergeCell ref="D1210:E1210"/>
    <mergeCell ref="F1210:G1210"/>
    <mergeCell ref="H1210:I1210"/>
    <mergeCell ref="J1210:K1210"/>
    <mergeCell ref="L1210:M1210"/>
    <mergeCell ref="N1210:O1210"/>
    <mergeCell ref="P1212:Q1212"/>
    <mergeCell ref="R1212:S1212"/>
    <mergeCell ref="T1212:U1212"/>
    <mergeCell ref="V1212:W1212"/>
    <mergeCell ref="X1212:Y1212"/>
    <mergeCell ref="Z1212:AA1212"/>
    <mergeCell ref="AB1212:AC1212"/>
    <mergeCell ref="B1212:C1212"/>
    <mergeCell ref="D1212:E1212"/>
    <mergeCell ref="F1212:G1212"/>
    <mergeCell ref="H1212:I1212"/>
    <mergeCell ref="J1212:K1212"/>
    <mergeCell ref="L1212:M1212"/>
    <mergeCell ref="N1212:O1212"/>
    <mergeCell ref="AD1210:AE1210"/>
    <mergeCell ref="AF1210:AG1210"/>
    <mergeCell ref="P1210:Q1210"/>
    <mergeCell ref="R1210:S1210"/>
    <mergeCell ref="T1210:U1210"/>
    <mergeCell ref="V1210:W1210"/>
    <mergeCell ref="X1210:Y1210"/>
    <mergeCell ref="Z1210:AA1210"/>
    <mergeCell ref="AB1210:AC1210"/>
    <mergeCell ref="AD1211:AE1211"/>
    <mergeCell ref="AF1211:AG1211"/>
    <mergeCell ref="AH1211:AI1211"/>
    <mergeCell ref="AJ1211:AK1211"/>
    <mergeCell ref="AL1211:BB1211"/>
    <mergeCell ref="P1211:Q1211"/>
    <mergeCell ref="R1211:S1211"/>
    <mergeCell ref="T1211:U1211"/>
    <mergeCell ref="V1211:W1211"/>
    <mergeCell ref="X1211:Y1211"/>
    <mergeCell ref="Z1211:AA1211"/>
    <mergeCell ref="AB1211:AC1211"/>
    <mergeCell ref="B1211:C1211"/>
    <mergeCell ref="D1211:E1211"/>
    <mergeCell ref="F1211:G1211"/>
    <mergeCell ref="H1211:I1211"/>
    <mergeCell ref="J1211:K1211"/>
    <mergeCell ref="L1211:M1211"/>
    <mergeCell ref="N1211:O1211"/>
    <mergeCell ref="AD1212:AE1212"/>
    <mergeCell ref="AF1212:AG1212"/>
    <mergeCell ref="AH1212:AI1212"/>
    <mergeCell ref="AJ1212:AK1212"/>
    <mergeCell ref="AL1212:BB1212"/>
    <mergeCell ref="AH1213:AI1213"/>
    <mergeCell ref="AJ1213:AK1213"/>
    <mergeCell ref="AL1213:BB1213"/>
    <mergeCell ref="B1213:C1213"/>
    <mergeCell ref="D1213:E1213"/>
    <mergeCell ref="F1213:G1213"/>
    <mergeCell ref="H1213:I1213"/>
    <mergeCell ref="J1213:K1213"/>
    <mergeCell ref="L1213:M1213"/>
    <mergeCell ref="N1213:O1213"/>
    <mergeCell ref="P1215:Q1215"/>
    <mergeCell ref="R1215:S1215"/>
    <mergeCell ref="T1215:U1215"/>
    <mergeCell ref="V1215:W1215"/>
    <mergeCell ref="X1215:Y1215"/>
    <mergeCell ref="Z1215:AA1215"/>
    <mergeCell ref="AB1215:AC1215"/>
    <mergeCell ref="B1215:C1215"/>
    <mergeCell ref="D1215:E1215"/>
    <mergeCell ref="F1215:G1215"/>
    <mergeCell ref="H1215:I1215"/>
    <mergeCell ref="J1215:K1215"/>
    <mergeCell ref="L1215:M1215"/>
    <mergeCell ref="N1215:O1215"/>
    <mergeCell ref="P1218:Q1218"/>
    <mergeCell ref="R1218:S1218"/>
    <mergeCell ref="T1218:U1218"/>
    <mergeCell ref="V1218:W1218"/>
    <mergeCell ref="X1218:Y1218"/>
    <mergeCell ref="Z1218:AA1218"/>
    <mergeCell ref="AB1218:AC1218"/>
    <mergeCell ref="B1218:C1218"/>
    <mergeCell ref="D1218:E1218"/>
    <mergeCell ref="F1218:G1218"/>
    <mergeCell ref="H1218:I1218"/>
    <mergeCell ref="J1218:K1218"/>
    <mergeCell ref="L1218:M1218"/>
    <mergeCell ref="N1218:O1218"/>
    <mergeCell ref="X1216:Y1216"/>
    <mergeCell ref="Z1216:AA1216"/>
    <mergeCell ref="AB1216:AC1216"/>
    <mergeCell ref="AD1217:AE1217"/>
    <mergeCell ref="AF1217:AG1217"/>
    <mergeCell ref="AH1217:AI1217"/>
    <mergeCell ref="AJ1217:AK1217"/>
    <mergeCell ref="AL1217:BB1217"/>
    <mergeCell ref="P1217:Q1217"/>
    <mergeCell ref="R1217:S1217"/>
    <mergeCell ref="T1217:U1217"/>
    <mergeCell ref="V1217:W1217"/>
    <mergeCell ref="X1217:Y1217"/>
    <mergeCell ref="Z1217:AA1217"/>
    <mergeCell ref="AB1217:AC1217"/>
    <mergeCell ref="B1217:C1217"/>
    <mergeCell ref="D1217:E1217"/>
    <mergeCell ref="F1217:G1217"/>
    <mergeCell ref="H1217:I1217"/>
    <mergeCell ref="J1217:K1217"/>
    <mergeCell ref="L1217:M1217"/>
    <mergeCell ref="N1217:O1217"/>
    <mergeCell ref="AD1218:AE1218"/>
    <mergeCell ref="AF1218:AG1218"/>
    <mergeCell ref="AH1218:AI1218"/>
    <mergeCell ref="AJ1218:AK1218"/>
    <mergeCell ref="AD1222:AE1222"/>
    <mergeCell ref="AF1222:AG1222"/>
    <mergeCell ref="P1222:Q1222"/>
    <mergeCell ref="R1222:S1222"/>
    <mergeCell ref="T1222:U1222"/>
    <mergeCell ref="V1222:W1222"/>
    <mergeCell ref="X1222:Y1222"/>
    <mergeCell ref="Z1222:AA1222"/>
    <mergeCell ref="AB1222:AC1222"/>
    <mergeCell ref="AD1223:AE1223"/>
    <mergeCell ref="AF1223:AG1223"/>
    <mergeCell ref="AH1223:AI1223"/>
    <mergeCell ref="AJ1223:AK1223"/>
    <mergeCell ref="AL1223:BB1223"/>
    <mergeCell ref="P1223:Q1223"/>
    <mergeCell ref="R1223:S1223"/>
    <mergeCell ref="T1223:U1223"/>
    <mergeCell ref="V1223:W1223"/>
    <mergeCell ref="X1223:Y1223"/>
    <mergeCell ref="Z1223:AA1223"/>
    <mergeCell ref="AB1223:AC1223"/>
    <mergeCell ref="B1223:C1223"/>
    <mergeCell ref="D1223:E1223"/>
    <mergeCell ref="F1223:G1223"/>
    <mergeCell ref="H1223:I1223"/>
    <mergeCell ref="J1223:K1223"/>
    <mergeCell ref="L1223:M1223"/>
    <mergeCell ref="N1223:O1223"/>
    <mergeCell ref="AD1224:AE1224"/>
    <mergeCell ref="AF1224:AG1224"/>
    <mergeCell ref="AH1224:AI1224"/>
    <mergeCell ref="AJ1224:AK1224"/>
    <mergeCell ref="AL1224:BB1224"/>
    <mergeCell ref="AH1222:AI1222"/>
    <mergeCell ref="AJ1222:AK1222"/>
    <mergeCell ref="AL1222:BB1222"/>
    <mergeCell ref="B1222:C1222"/>
    <mergeCell ref="D1222:E1222"/>
    <mergeCell ref="F1222:G1222"/>
    <mergeCell ref="H1222:I1222"/>
    <mergeCell ref="J1222:K1222"/>
    <mergeCell ref="L1222:M1222"/>
    <mergeCell ref="N1222:O1222"/>
    <mergeCell ref="P1224:Q1224"/>
    <mergeCell ref="R1224:S1224"/>
    <mergeCell ref="T1224:U1224"/>
    <mergeCell ref="V1224:W1224"/>
    <mergeCell ref="X1224:Y1224"/>
    <mergeCell ref="Z1224:AA1224"/>
    <mergeCell ref="AB1224:AC1224"/>
    <mergeCell ref="B1224:C1224"/>
    <mergeCell ref="D1224:E1224"/>
    <mergeCell ref="F1224:G1224"/>
    <mergeCell ref="H1224:I1224"/>
    <mergeCell ref="J1224:K1224"/>
    <mergeCell ref="L1224:M1224"/>
    <mergeCell ref="N1224:O1224"/>
    <mergeCell ref="AH1225:AI1225"/>
    <mergeCell ref="AJ1225:AK1225"/>
    <mergeCell ref="AL1225:BB1225"/>
    <mergeCell ref="B1225:C1225"/>
    <mergeCell ref="D1225:E1225"/>
    <mergeCell ref="F1225:G1225"/>
    <mergeCell ref="H1225:I1225"/>
    <mergeCell ref="J1225:K1225"/>
    <mergeCell ref="L1225:M1225"/>
    <mergeCell ref="N1225:O1225"/>
    <mergeCell ref="AD1225:AE1225"/>
    <mergeCell ref="AF1225:AG1225"/>
    <mergeCell ref="P1225:Q1225"/>
    <mergeCell ref="R1225:S1225"/>
    <mergeCell ref="T1225:U1225"/>
    <mergeCell ref="V1225:W1225"/>
    <mergeCell ref="X1225:Y1225"/>
    <mergeCell ref="Z1225:AA1225"/>
    <mergeCell ref="AB1225:AC1225"/>
    <mergeCell ref="AD1226:AE1226"/>
    <mergeCell ref="AF1226:AG1226"/>
    <mergeCell ref="AH1226:AI1226"/>
    <mergeCell ref="AJ1226:AK1226"/>
    <mergeCell ref="AL1226:BB1226"/>
    <mergeCell ref="P1226:Q1226"/>
    <mergeCell ref="R1226:S1226"/>
    <mergeCell ref="T1226:U1226"/>
    <mergeCell ref="V1226:W1226"/>
    <mergeCell ref="X1226:Y1226"/>
    <mergeCell ref="Z1226:AA1226"/>
    <mergeCell ref="AB1226:AC1226"/>
    <mergeCell ref="B1226:C1226"/>
    <mergeCell ref="D1226:E1226"/>
    <mergeCell ref="F1226:G1226"/>
    <mergeCell ref="H1226:I1226"/>
    <mergeCell ref="J1226:K1226"/>
    <mergeCell ref="L1226:M1226"/>
    <mergeCell ref="N1226:O1226"/>
    <mergeCell ref="AD1227:AE1227"/>
    <mergeCell ref="AF1227:AG1227"/>
    <mergeCell ref="AH1227:AI1227"/>
    <mergeCell ref="AJ1227:AK1227"/>
    <mergeCell ref="AL1227:BB1227"/>
    <mergeCell ref="AH1228:AI1228"/>
    <mergeCell ref="AJ1228:AK1228"/>
    <mergeCell ref="AL1228:BB1228"/>
    <mergeCell ref="B1228:C1228"/>
    <mergeCell ref="D1228:E1228"/>
    <mergeCell ref="F1228:G1228"/>
    <mergeCell ref="H1228:I1228"/>
    <mergeCell ref="J1228:K1228"/>
    <mergeCell ref="L1228:M1228"/>
    <mergeCell ref="N1228:O1228"/>
    <mergeCell ref="AD1213:AE1213"/>
    <mergeCell ref="AF1213:AG1213"/>
    <mergeCell ref="P1213:Q1213"/>
    <mergeCell ref="R1213:S1213"/>
    <mergeCell ref="T1213:U1213"/>
    <mergeCell ref="V1213:W1213"/>
    <mergeCell ref="X1213:Y1213"/>
    <mergeCell ref="Z1213:AA1213"/>
    <mergeCell ref="AB1213:AC1213"/>
    <mergeCell ref="AD1214:AE1214"/>
    <mergeCell ref="AF1214:AG1214"/>
    <mergeCell ref="AH1214:AI1214"/>
    <mergeCell ref="AJ1214:AK1214"/>
    <mergeCell ref="AL1214:BB1214"/>
    <mergeCell ref="P1214:Q1214"/>
    <mergeCell ref="R1214:S1214"/>
    <mergeCell ref="T1214:U1214"/>
    <mergeCell ref="V1214:W1214"/>
    <mergeCell ref="X1214:Y1214"/>
    <mergeCell ref="Z1214:AA1214"/>
    <mergeCell ref="AB1214:AC1214"/>
    <mergeCell ref="B1214:C1214"/>
    <mergeCell ref="D1214:E1214"/>
    <mergeCell ref="F1214:G1214"/>
    <mergeCell ref="H1214:I1214"/>
    <mergeCell ref="J1214:K1214"/>
    <mergeCell ref="L1214:M1214"/>
    <mergeCell ref="N1214:O1214"/>
    <mergeCell ref="AD1215:AE1215"/>
    <mergeCell ref="AF1215:AG1215"/>
    <mergeCell ref="AH1215:AI1215"/>
    <mergeCell ref="AJ1215:AK1215"/>
    <mergeCell ref="AL1215:BB1215"/>
    <mergeCell ref="AH1216:AI1216"/>
    <mergeCell ref="AJ1216:AK1216"/>
    <mergeCell ref="AL1216:BB1216"/>
    <mergeCell ref="B1216:C1216"/>
    <mergeCell ref="D1216:E1216"/>
    <mergeCell ref="F1216:G1216"/>
    <mergeCell ref="H1216:I1216"/>
    <mergeCell ref="J1216:K1216"/>
    <mergeCell ref="L1216:M1216"/>
    <mergeCell ref="N1216:O1216"/>
    <mergeCell ref="AD1216:AE1216"/>
    <mergeCell ref="AF1216:AG1216"/>
    <mergeCell ref="P1216:Q1216"/>
    <mergeCell ref="R1216:S1216"/>
    <mergeCell ref="T1216:U1216"/>
    <mergeCell ref="V1216:W1216"/>
    <mergeCell ref="AL1218:BB1218"/>
    <mergeCell ref="AH1219:AI1219"/>
    <mergeCell ref="AJ1219:AK1219"/>
    <mergeCell ref="AL1219:BB1219"/>
    <mergeCell ref="B1219:C1219"/>
    <mergeCell ref="D1219:E1219"/>
    <mergeCell ref="F1219:G1219"/>
    <mergeCell ref="H1219:I1219"/>
    <mergeCell ref="J1219:K1219"/>
    <mergeCell ref="L1219:M1219"/>
    <mergeCell ref="N1219:O1219"/>
    <mergeCell ref="P1221:Q1221"/>
    <mergeCell ref="R1221:S1221"/>
    <mergeCell ref="T1221:U1221"/>
    <mergeCell ref="V1221:W1221"/>
    <mergeCell ref="X1221:Y1221"/>
    <mergeCell ref="Z1221:AA1221"/>
    <mergeCell ref="AB1221:AC1221"/>
    <mergeCell ref="B1221:C1221"/>
    <mergeCell ref="D1221:E1221"/>
    <mergeCell ref="F1221:G1221"/>
    <mergeCell ref="H1221:I1221"/>
    <mergeCell ref="J1221:K1221"/>
    <mergeCell ref="L1221:M1221"/>
    <mergeCell ref="N1221:O1221"/>
    <mergeCell ref="AD1219:AE1219"/>
    <mergeCell ref="AF1219:AG1219"/>
    <mergeCell ref="P1219:Q1219"/>
    <mergeCell ref="R1219:S1219"/>
    <mergeCell ref="T1219:U1219"/>
    <mergeCell ref="V1219:W1219"/>
    <mergeCell ref="X1219:Y1219"/>
    <mergeCell ref="Z1219:AA1219"/>
    <mergeCell ref="AB1219:AC1219"/>
    <mergeCell ref="AD1220:AE1220"/>
    <mergeCell ref="AF1220:AG1220"/>
    <mergeCell ref="AH1220:AI1220"/>
    <mergeCell ref="AJ1220:AK1220"/>
    <mergeCell ref="AL1220:BB1220"/>
    <mergeCell ref="P1220:Q1220"/>
    <mergeCell ref="R1220:S1220"/>
    <mergeCell ref="T1220:U1220"/>
    <mergeCell ref="V1220:W1220"/>
    <mergeCell ref="X1220:Y1220"/>
    <mergeCell ref="Z1220:AA1220"/>
    <mergeCell ref="AB1220:AC1220"/>
    <mergeCell ref="B1220:C1220"/>
    <mergeCell ref="D1220:E1220"/>
    <mergeCell ref="F1220:G1220"/>
    <mergeCell ref="H1220:I1220"/>
    <mergeCell ref="J1220:K1220"/>
    <mergeCell ref="L1220:M1220"/>
    <mergeCell ref="N1220:O1220"/>
    <mergeCell ref="AD1221:AE1221"/>
    <mergeCell ref="AF1221:AG1221"/>
    <mergeCell ref="AH1221:AI1221"/>
    <mergeCell ref="AJ1221:AK1221"/>
    <mergeCell ref="AL1221:BB1221"/>
    <mergeCell ref="P1227:Q1227"/>
    <mergeCell ref="R1227:S1227"/>
    <mergeCell ref="T1227:U1227"/>
    <mergeCell ref="V1227:W1227"/>
    <mergeCell ref="X1227:Y1227"/>
    <mergeCell ref="Z1227:AA1227"/>
    <mergeCell ref="AB1227:AC1227"/>
    <mergeCell ref="B1227:C1227"/>
    <mergeCell ref="D1227:E1227"/>
    <mergeCell ref="F1227:G1227"/>
    <mergeCell ref="H1227:I1227"/>
    <mergeCell ref="J1227:K1227"/>
    <mergeCell ref="L1227:M1227"/>
    <mergeCell ref="N1227:O1227"/>
    <mergeCell ref="AD1249:AE1249"/>
    <mergeCell ref="AF1249:AG1249"/>
    <mergeCell ref="AH1249:AI1249"/>
    <mergeCell ref="AJ1249:AK1249"/>
    <mergeCell ref="AL1249:BB1249"/>
    <mergeCell ref="P1249:Q1249"/>
    <mergeCell ref="R1249:S1249"/>
    <mergeCell ref="T1249:U1249"/>
    <mergeCell ref="V1249:W1249"/>
    <mergeCell ref="X1249:Y1249"/>
    <mergeCell ref="Z1249:AA1249"/>
    <mergeCell ref="AB1249:AC1249"/>
    <mergeCell ref="P1230:Q1230"/>
    <mergeCell ref="R1230:S1230"/>
    <mergeCell ref="T1230:U1230"/>
    <mergeCell ref="V1230:W1230"/>
    <mergeCell ref="X1230:Y1230"/>
    <mergeCell ref="Z1230:AA1230"/>
    <mergeCell ref="AB1230:AC1230"/>
    <mergeCell ref="B1230:C1230"/>
    <mergeCell ref="D1230:E1230"/>
    <mergeCell ref="F1230:G1230"/>
    <mergeCell ref="H1230:I1230"/>
    <mergeCell ref="J1230:K1230"/>
    <mergeCell ref="L1230:M1230"/>
    <mergeCell ref="N1230:O1230"/>
    <mergeCell ref="AD1228:AE1228"/>
    <mergeCell ref="AF1228:AG1228"/>
    <mergeCell ref="P1228:Q1228"/>
    <mergeCell ref="R1228:S1228"/>
    <mergeCell ref="T1228:U1228"/>
    <mergeCell ref="V1228:W1228"/>
    <mergeCell ref="X1228:Y1228"/>
    <mergeCell ref="Z1228:AA1228"/>
    <mergeCell ref="AB1228:AC1228"/>
    <mergeCell ref="AD1229:AE1229"/>
    <mergeCell ref="AF1229:AG1229"/>
    <mergeCell ref="AH1229:AI1229"/>
    <mergeCell ref="AJ1229:AK1229"/>
    <mergeCell ref="AL1229:BB1229"/>
    <mergeCell ref="P1229:Q1229"/>
    <mergeCell ref="R1229:S1229"/>
    <mergeCell ref="T1229:U1229"/>
    <mergeCell ref="V1229:W1229"/>
    <mergeCell ref="X1229:Y1229"/>
    <mergeCell ref="Z1229:AA1229"/>
    <mergeCell ref="AB1229:AC1229"/>
    <mergeCell ref="B1229:C1229"/>
    <mergeCell ref="D1229:E1229"/>
    <mergeCell ref="F1229:G1229"/>
    <mergeCell ref="H1229:I1229"/>
    <mergeCell ref="J1229:K1229"/>
    <mergeCell ref="L1229:M1229"/>
    <mergeCell ref="N1229:O1229"/>
    <mergeCell ref="AD1230:AE1230"/>
    <mergeCell ref="AF1230:AG1230"/>
    <mergeCell ref="AH1230:AI1230"/>
    <mergeCell ref="AJ1230:AK1230"/>
    <mergeCell ref="AL1230:BB1230"/>
    <mergeCell ref="AH1231:AI1231"/>
    <mergeCell ref="AJ1231:AK1231"/>
    <mergeCell ref="AL1231:BB1231"/>
    <mergeCell ref="B1231:C1231"/>
    <mergeCell ref="D1231:E1231"/>
    <mergeCell ref="F1231:G1231"/>
    <mergeCell ref="H1231:I1231"/>
    <mergeCell ref="J1231:K1231"/>
    <mergeCell ref="L1231:M1231"/>
    <mergeCell ref="N1231:O1231"/>
    <mergeCell ref="P1233:Q1233"/>
    <mergeCell ref="R1233:S1233"/>
    <mergeCell ref="T1233:U1233"/>
    <mergeCell ref="V1233:W1233"/>
    <mergeCell ref="X1233:Y1233"/>
    <mergeCell ref="Z1233:AA1233"/>
    <mergeCell ref="AB1233:AC1233"/>
    <mergeCell ref="B1233:C1233"/>
    <mergeCell ref="D1233:E1233"/>
    <mergeCell ref="F1233:G1233"/>
    <mergeCell ref="H1233:I1233"/>
    <mergeCell ref="J1233:K1233"/>
    <mergeCell ref="L1233:M1233"/>
    <mergeCell ref="N1233:O1233"/>
    <mergeCell ref="AD1231:AE1231"/>
    <mergeCell ref="AF1231:AG1231"/>
    <mergeCell ref="P1231:Q1231"/>
    <mergeCell ref="R1231:S1231"/>
    <mergeCell ref="T1231:U1231"/>
    <mergeCell ref="V1231:W1231"/>
    <mergeCell ref="X1231:Y1231"/>
    <mergeCell ref="Z1231:AA1231"/>
    <mergeCell ref="AB1231:AC1231"/>
    <mergeCell ref="AD1232:AE1232"/>
    <mergeCell ref="AF1232:AG1232"/>
    <mergeCell ref="AH1232:AI1232"/>
    <mergeCell ref="AJ1232:AK1232"/>
    <mergeCell ref="AL1232:BB1232"/>
    <mergeCell ref="P1232:Q1232"/>
    <mergeCell ref="R1232:S1232"/>
    <mergeCell ref="T1232:U1232"/>
    <mergeCell ref="V1232:W1232"/>
    <mergeCell ref="X1232:Y1232"/>
    <mergeCell ref="Z1232:AA1232"/>
    <mergeCell ref="AB1232:AC1232"/>
    <mergeCell ref="B1232:C1232"/>
    <mergeCell ref="D1232:E1232"/>
    <mergeCell ref="F1232:G1232"/>
    <mergeCell ref="H1232:I1232"/>
    <mergeCell ref="J1232:K1232"/>
    <mergeCell ref="L1232:M1232"/>
    <mergeCell ref="N1232:O1232"/>
    <mergeCell ref="AD1233:AE1233"/>
    <mergeCell ref="AF1233:AG1233"/>
    <mergeCell ref="AH1233:AI1233"/>
    <mergeCell ref="AJ1233:AK1233"/>
    <mergeCell ref="AL1233:BB1233"/>
    <mergeCell ref="AH1234:AI1234"/>
    <mergeCell ref="AJ1234:AK1234"/>
    <mergeCell ref="AL1234:BB1234"/>
    <mergeCell ref="B1234:C1234"/>
    <mergeCell ref="D1234:E1234"/>
    <mergeCell ref="F1234:G1234"/>
    <mergeCell ref="H1234:I1234"/>
    <mergeCell ref="J1234:K1234"/>
    <mergeCell ref="L1234:M1234"/>
    <mergeCell ref="N1234:O1234"/>
    <mergeCell ref="P1236:Q1236"/>
    <mergeCell ref="R1236:S1236"/>
    <mergeCell ref="T1236:U1236"/>
    <mergeCell ref="V1236:W1236"/>
    <mergeCell ref="X1236:Y1236"/>
    <mergeCell ref="Z1236:AA1236"/>
    <mergeCell ref="AB1236:AC1236"/>
    <mergeCell ref="B1236:C1236"/>
    <mergeCell ref="D1236:E1236"/>
    <mergeCell ref="F1236:G1236"/>
    <mergeCell ref="H1236:I1236"/>
    <mergeCell ref="J1236:K1236"/>
    <mergeCell ref="L1236:M1236"/>
    <mergeCell ref="N1236:O1236"/>
    <mergeCell ref="AD1234:AE1234"/>
    <mergeCell ref="AF1234:AG1234"/>
    <mergeCell ref="P1234:Q1234"/>
    <mergeCell ref="R1234:S1234"/>
    <mergeCell ref="T1234:U1234"/>
    <mergeCell ref="V1234:W1234"/>
    <mergeCell ref="X1234:Y1234"/>
    <mergeCell ref="Z1234:AA1234"/>
    <mergeCell ref="AB1234:AC1234"/>
    <mergeCell ref="AD1235:AE1235"/>
    <mergeCell ref="AF1235:AG1235"/>
    <mergeCell ref="AH1235:AI1235"/>
    <mergeCell ref="AJ1235:AK1235"/>
    <mergeCell ref="AL1235:BB1235"/>
    <mergeCell ref="P1235:Q1235"/>
    <mergeCell ref="R1235:S1235"/>
    <mergeCell ref="T1235:U1235"/>
    <mergeCell ref="V1235:W1235"/>
    <mergeCell ref="X1235:Y1235"/>
    <mergeCell ref="Z1235:AA1235"/>
    <mergeCell ref="AB1235:AC1235"/>
    <mergeCell ref="B1235:C1235"/>
    <mergeCell ref="D1235:E1235"/>
    <mergeCell ref="F1235:G1235"/>
    <mergeCell ref="H1235:I1235"/>
    <mergeCell ref="J1235:K1235"/>
    <mergeCell ref="L1235:M1235"/>
    <mergeCell ref="N1235:O1235"/>
    <mergeCell ref="AD1236:AE1236"/>
    <mergeCell ref="AF1236:AG1236"/>
    <mergeCell ref="AH1236:AI1236"/>
    <mergeCell ref="AJ1236:AK1236"/>
    <mergeCell ref="AL1236:BB1236"/>
    <mergeCell ref="AH1237:AI1237"/>
    <mergeCell ref="AJ1237:AK1237"/>
    <mergeCell ref="AL1237:BB1237"/>
    <mergeCell ref="B1237:C1237"/>
    <mergeCell ref="D1237:E1237"/>
    <mergeCell ref="F1237:G1237"/>
    <mergeCell ref="H1237:I1237"/>
    <mergeCell ref="J1237:K1237"/>
    <mergeCell ref="L1237:M1237"/>
    <mergeCell ref="N1237:O1237"/>
    <mergeCell ref="P1239:Q1239"/>
    <mergeCell ref="R1239:S1239"/>
    <mergeCell ref="T1239:U1239"/>
    <mergeCell ref="V1239:W1239"/>
    <mergeCell ref="X1239:Y1239"/>
    <mergeCell ref="Z1239:AA1239"/>
    <mergeCell ref="AB1239:AC1239"/>
    <mergeCell ref="B1239:C1239"/>
    <mergeCell ref="D1239:E1239"/>
    <mergeCell ref="F1239:G1239"/>
    <mergeCell ref="H1239:I1239"/>
    <mergeCell ref="J1239:K1239"/>
    <mergeCell ref="L1239:M1239"/>
    <mergeCell ref="N1239:O1239"/>
    <mergeCell ref="AD1237:AE1237"/>
    <mergeCell ref="AF1237:AG1237"/>
    <mergeCell ref="P1237:Q1237"/>
    <mergeCell ref="R1237:S1237"/>
    <mergeCell ref="T1237:U1237"/>
    <mergeCell ref="V1237:W1237"/>
    <mergeCell ref="X1237:Y1237"/>
    <mergeCell ref="Z1237:AA1237"/>
    <mergeCell ref="AB1237:AC1237"/>
    <mergeCell ref="AD1238:AE1238"/>
    <mergeCell ref="AF1238:AG1238"/>
    <mergeCell ref="AH1238:AI1238"/>
    <mergeCell ref="AJ1238:AK1238"/>
    <mergeCell ref="AL1238:BB1238"/>
    <mergeCell ref="P1238:Q1238"/>
    <mergeCell ref="R1238:S1238"/>
    <mergeCell ref="T1238:U1238"/>
    <mergeCell ref="V1238:W1238"/>
    <mergeCell ref="X1238:Y1238"/>
    <mergeCell ref="Z1238:AA1238"/>
    <mergeCell ref="AB1238:AC1238"/>
    <mergeCell ref="B1238:C1238"/>
    <mergeCell ref="D1238:E1238"/>
    <mergeCell ref="F1238:G1238"/>
    <mergeCell ref="H1238:I1238"/>
    <mergeCell ref="J1238:K1238"/>
    <mergeCell ref="L1238:M1238"/>
    <mergeCell ref="N1238:O1238"/>
    <mergeCell ref="AD1239:AE1239"/>
    <mergeCell ref="AF1239:AG1239"/>
    <mergeCell ref="AH1239:AI1239"/>
    <mergeCell ref="AJ1239:AK1239"/>
    <mergeCell ref="AL1239:BB1239"/>
    <mergeCell ref="AH1240:AI1240"/>
    <mergeCell ref="AJ1240:AK1240"/>
    <mergeCell ref="AL1240:BB1240"/>
    <mergeCell ref="B1240:C1240"/>
    <mergeCell ref="D1240:E1240"/>
    <mergeCell ref="F1240:G1240"/>
    <mergeCell ref="H1240:I1240"/>
    <mergeCell ref="J1240:K1240"/>
    <mergeCell ref="L1240:M1240"/>
    <mergeCell ref="N1240:O1240"/>
    <mergeCell ref="P1242:Q1242"/>
    <mergeCell ref="R1242:S1242"/>
    <mergeCell ref="T1242:U1242"/>
    <mergeCell ref="V1242:W1242"/>
    <mergeCell ref="X1242:Y1242"/>
    <mergeCell ref="Z1242:AA1242"/>
    <mergeCell ref="AB1242:AC1242"/>
    <mergeCell ref="B1242:C1242"/>
    <mergeCell ref="D1242:E1242"/>
    <mergeCell ref="F1242:G1242"/>
    <mergeCell ref="H1242:I1242"/>
    <mergeCell ref="J1242:K1242"/>
    <mergeCell ref="L1242:M1242"/>
    <mergeCell ref="N1242:O1242"/>
    <mergeCell ref="AD1240:AE1240"/>
    <mergeCell ref="AF1240:AG1240"/>
    <mergeCell ref="P1240:Q1240"/>
    <mergeCell ref="R1240:S1240"/>
    <mergeCell ref="T1240:U1240"/>
    <mergeCell ref="V1240:W1240"/>
    <mergeCell ref="X1240:Y1240"/>
    <mergeCell ref="Z1240:AA1240"/>
    <mergeCell ref="AB1240:AC1240"/>
    <mergeCell ref="AD1241:AE1241"/>
    <mergeCell ref="AF1241:AG1241"/>
    <mergeCell ref="AH1241:AI1241"/>
    <mergeCell ref="AJ1241:AK1241"/>
    <mergeCell ref="AL1241:BB1241"/>
    <mergeCell ref="P1241:Q1241"/>
    <mergeCell ref="R1241:S1241"/>
    <mergeCell ref="T1241:U1241"/>
    <mergeCell ref="V1241:W1241"/>
    <mergeCell ref="X1241:Y1241"/>
    <mergeCell ref="Z1241:AA1241"/>
    <mergeCell ref="AB1241:AC1241"/>
    <mergeCell ref="B1241:C1241"/>
    <mergeCell ref="D1241:E1241"/>
    <mergeCell ref="F1241:G1241"/>
    <mergeCell ref="H1241:I1241"/>
    <mergeCell ref="J1241:K1241"/>
    <mergeCell ref="L1241:M1241"/>
    <mergeCell ref="N1241:O1241"/>
    <mergeCell ref="AD1242:AE1242"/>
    <mergeCell ref="AF1242:AG1242"/>
    <mergeCell ref="AH1242:AI1242"/>
    <mergeCell ref="AJ1242:AK1242"/>
    <mergeCell ref="AL1242:BB1242"/>
    <mergeCell ref="AH1243:AI1243"/>
    <mergeCell ref="AJ1243:AK1243"/>
    <mergeCell ref="AL1243:BB1243"/>
    <mergeCell ref="B1243:C1243"/>
    <mergeCell ref="D1243:E1243"/>
    <mergeCell ref="F1243:G1243"/>
    <mergeCell ref="H1243:I1243"/>
    <mergeCell ref="J1243:K1243"/>
    <mergeCell ref="L1243:M1243"/>
    <mergeCell ref="N1243:O1243"/>
    <mergeCell ref="P1245:Q1245"/>
    <mergeCell ref="R1245:S1245"/>
    <mergeCell ref="T1245:U1245"/>
    <mergeCell ref="V1245:W1245"/>
    <mergeCell ref="X1245:Y1245"/>
    <mergeCell ref="Z1245:AA1245"/>
    <mergeCell ref="AB1245:AC1245"/>
    <mergeCell ref="B1245:C1245"/>
    <mergeCell ref="D1245:E1245"/>
    <mergeCell ref="F1245:G1245"/>
    <mergeCell ref="H1245:I1245"/>
    <mergeCell ref="J1245:K1245"/>
    <mergeCell ref="L1245:M1245"/>
    <mergeCell ref="N1245:O1245"/>
    <mergeCell ref="AD1243:AE1243"/>
    <mergeCell ref="AF1243:AG1243"/>
    <mergeCell ref="P1243:Q1243"/>
    <mergeCell ref="R1243:S1243"/>
    <mergeCell ref="T1243:U1243"/>
    <mergeCell ref="V1243:W1243"/>
    <mergeCell ref="X1243:Y1243"/>
    <mergeCell ref="Z1243:AA1243"/>
    <mergeCell ref="AB1243:AC1243"/>
    <mergeCell ref="AD1244:AE1244"/>
    <mergeCell ref="AF1244:AG1244"/>
    <mergeCell ref="AH1244:AI1244"/>
    <mergeCell ref="AJ1244:AK1244"/>
    <mergeCell ref="AL1244:BB1244"/>
    <mergeCell ref="P1244:Q1244"/>
    <mergeCell ref="R1244:S1244"/>
    <mergeCell ref="T1244:U1244"/>
    <mergeCell ref="V1244:W1244"/>
    <mergeCell ref="X1244:Y1244"/>
    <mergeCell ref="Z1244:AA1244"/>
    <mergeCell ref="AB1244:AC1244"/>
    <mergeCell ref="B1244:C1244"/>
    <mergeCell ref="D1244:E1244"/>
    <mergeCell ref="F1244:G1244"/>
    <mergeCell ref="H1244:I1244"/>
    <mergeCell ref="J1244:K1244"/>
    <mergeCell ref="L1244:M1244"/>
    <mergeCell ref="N1244:O1244"/>
    <mergeCell ref="AD1245:AE1245"/>
    <mergeCell ref="AF1245:AG1245"/>
    <mergeCell ref="AH1245:AI1245"/>
    <mergeCell ref="AJ1245:AK1245"/>
    <mergeCell ref="AL1245:BB1245"/>
    <mergeCell ref="AH1246:AI1246"/>
    <mergeCell ref="AJ1246:AK1246"/>
    <mergeCell ref="AL1246:BB1246"/>
    <mergeCell ref="B1246:C1246"/>
    <mergeCell ref="D1246:E1246"/>
    <mergeCell ref="F1246:G1246"/>
    <mergeCell ref="H1246:I1246"/>
    <mergeCell ref="J1246:K1246"/>
    <mergeCell ref="L1246:M1246"/>
    <mergeCell ref="N1246:O1246"/>
    <mergeCell ref="P1248:Q1248"/>
    <mergeCell ref="R1248:S1248"/>
    <mergeCell ref="T1248:U1248"/>
    <mergeCell ref="V1248:W1248"/>
    <mergeCell ref="X1248:Y1248"/>
    <mergeCell ref="Z1248:AA1248"/>
    <mergeCell ref="AB1248:AC1248"/>
    <mergeCell ref="B1248:C1248"/>
    <mergeCell ref="D1248:E1248"/>
    <mergeCell ref="F1248:G1248"/>
    <mergeCell ref="H1248:I1248"/>
    <mergeCell ref="J1248:K1248"/>
    <mergeCell ref="L1248:M1248"/>
    <mergeCell ref="N1248:O1248"/>
    <mergeCell ref="AD1246:AE1246"/>
    <mergeCell ref="AF1246:AG1246"/>
    <mergeCell ref="P1246:Q1246"/>
    <mergeCell ref="R1246:S1246"/>
    <mergeCell ref="T1246:U1246"/>
    <mergeCell ref="V1246:W1246"/>
    <mergeCell ref="X1246:Y1246"/>
    <mergeCell ref="Z1246:AA1246"/>
    <mergeCell ref="AB1246:AC1246"/>
    <mergeCell ref="AD1247:AE1247"/>
    <mergeCell ref="AF1247:AG1247"/>
    <mergeCell ref="AH1247:AI1247"/>
    <mergeCell ref="AJ1247:AK1247"/>
    <mergeCell ref="AL1247:BB1247"/>
    <mergeCell ref="P1247:Q1247"/>
    <mergeCell ref="R1247:S1247"/>
    <mergeCell ref="T1247:U1247"/>
    <mergeCell ref="V1247:W1247"/>
    <mergeCell ref="X1247:Y1247"/>
    <mergeCell ref="Z1247:AA1247"/>
    <mergeCell ref="AB1247:AC1247"/>
    <mergeCell ref="B1247:C1247"/>
    <mergeCell ref="D1247:E1247"/>
    <mergeCell ref="F1247:G1247"/>
    <mergeCell ref="H1247:I1247"/>
    <mergeCell ref="J1247:K1247"/>
    <mergeCell ref="L1247:M1247"/>
    <mergeCell ref="N1247:O1247"/>
    <mergeCell ref="AD1248:AE1248"/>
    <mergeCell ref="AF1248:AG1248"/>
    <mergeCell ref="AH1248:AI1248"/>
    <mergeCell ref="AJ1248:AK1248"/>
    <mergeCell ref="AL1248:BB1248"/>
    <mergeCell ref="B1249:C1249"/>
    <mergeCell ref="D1249:E1249"/>
    <mergeCell ref="F1249:G1249"/>
    <mergeCell ref="H1249:I1249"/>
    <mergeCell ref="J1249:K1249"/>
    <mergeCell ref="L1249:M1249"/>
    <mergeCell ref="N1249:O1249"/>
    <mergeCell ref="AD1250:AE1250"/>
    <mergeCell ref="AF1250:AG1250"/>
    <mergeCell ref="AH1250:AI1250"/>
    <mergeCell ref="AJ1250:AK1250"/>
    <mergeCell ref="AL1250:BB1250"/>
    <mergeCell ref="P1250:Q1250"/>
    <mergeCell ref="R1250:S1250"/>
    <mergeCell ref="T1250:U1250"/>
    <mergeCell ref="V1250:W1250"/>
    <mergeCell ref="X1250:Y1250"/>
    <mergeCell ref="Z1250:AA1250"/>
    <mergeCell ref="AB1250:AC1250"/>
    <mergeCell ref="B1250:C1250"/>
    <mergeCell ref="D1250:E1250"/>
    <mergeCell ref="F1250:G1250"/>
    <mergeCell ref="H1250:I1250"/>
    <mergeCell ref="J1250:K1250"/>
    <mergeCell ref="L1250:M1250"/>
    <mergeCell ref="N1250:O1250"/>
    <mergeCell ref="AD1251:AE1251"/>
    <mergeCell ref="AF1251:AG1251"/>
    <mergeCell ref="AH1251:AI1251"/>
    <mergeCell ref="AJ1251:AK1251"/>
    <mergeCell ref="AL1251:BB1251"/>
    <mergeCell ref="P1251:Q1251"/>
    <mergeCell ref="R1251:S1251"/>
    <mergeCell ref="T1251:U1251"/>
    <mergeCell ref="V1251:W1251"/>
    <mergeCell ref="X1251:Y1251"/>
    <mergeCell ref="Z1251:AA1251"/>
    <mergeCell ref="AB1251:AC1251"/>
    <mergeCell ref="B1251:C1251"/>
    <mergeCell ref="D1251:E1251"/>
    <mergeCell ref="F1251:G1251"/>
    <mergeCell ref="H1251:I1251"/>
    <mergeCell ref="J1251:K1251"/>
    <mergeCell ref="L1251:M1251"/>
    <mergeCell ref="N1251:O1251"/>
    <mergeCell ref="AH1252:AI1252"/>
    <mergeCell ref="AJ1252:AK1252"/>
    <mergeCell ref="AL1252:BB1252"/>
    <mergeCell ref="B1252:C1252"/>
    <mergeCell ref="D1252:E1252"/>
    <mergeCell ref="F1252:G1252"/>
    <mergeCell ref="H1252:I1252"/>
    <mergeCell ref="J1252:K1252"/>
    <mergeCell ref="L1252:M1252"/>
    <mergeCell ref="N1252:O1252"/>
    <mergeCell ref="P1254:Q1254"/>
    <mergeCell ref="R1254:S1254"/>
    <mergeCell ref="T1254:U1254"/>
    <mergeCell ref="V1254:W1254"/>
    <mergeCell ref="X1254:Y1254"/>
    <mergeCell ref="Z1254:AA1254"/>
    <mergeCell ref="AB1254:AC1254"/>
    <mergeCell ref="B1254:C1254"/>
    <mergeCell ref="D1254:E1254"/>
    <mergeCell ref="F1254:G1254"/>
    <mergeCell ref="H1254:I1254"/>
    <mergeCell ref="J1254:K1254"/>
    <mergeCell ref="L1254:M1254"/>
    <mergeCell ref="N1254:O1254"/>
    <mergeCell ref="AD1252:AE1252"/>
    <mergeCell ref="AF1252:AG1252"/>
    <mergeCell ref="P1252:Q1252"/>
    <mergeCell ref="R1252:S1252"/>
    <mergeCell ref="T1252:U1252"/>
    <mergeCell ref="V1252:W1252"/>
    <mergeCell ref="X1252:Y1252"/>
    <mergeCell ref="Z1252:AA1252"/>
    <mergeCell ref="AB1252:AC1252"/>
    <mergeCell ref="AD1253:AE1253"/>
    <mergeCell ref="AF1253:AG1253"/>
    <mergeCell ref="AH1253:AI1253"/>
    <mergeCell ref="AJ1253:AK1253"/>
    <mergeCell ref="AL1253:BB1253"/>
    <mergeCell ref="P1253:Q1253"/>
    <mergeCell ref="R1253:S1253"/>
    <mergeCell ref="T1253:U1253"/>
    <mergeCell ref="V1253:W1253"/>
    <mergeCell ref="X1253:Y1253"/>
    <mergeCell ref="Z1253:AA1253"/>
    <mergeCell ref="AB1253:AC1253"/>
    <mergeCell ref="B1253:C1253"/>
    <mergeCell ref="D1253:E1253"/>
    <mergeCell ref="F1253:G1253"/>
    <mergeCell ref="H1253:I1253"/>
    <mergeCell ref="J1253:K1253"/>
    <mergeCell ref="L1253:M1253"/>
    <mergeCell ref="N1253:O1253"/>
    <mergeCell ref="AD1254:AE1254"/>
    <mergeCell ref="AF1254:AG1254"/>
    <mergeCell ref="AH1254:AI1254"/>
    <mergeCell ref="AJ1254:AK1254"/>
    <mergeCell ref="AL1254:BB1254"/>
    <mergeCell ref="AH1255:AI1255"/>
    <mergeCell ref="AJ1255:AK1255"/>
    <mergeCell ref="AL1255:BB1255"/>
    <mergeCell ref="B1255:C1255"/>
    <mergeCell ref="D1255:E1255"/>
    <mergeCell ref="F1255:G1255"/>
    <mergeCell ref="H1255:I1255"/>
    <mergeCell ref="J1255:K1255"/>
    <mergeCell ref="L1255:M1255"/>
    <mergeCell ref="N1255:O1255"/>
    <mergeCell ref="P1257:Q1257"/>
    <mergeCell ref="R1257:S1257"/>
    <mergeCell ref="T1257:U1257"/>
    <mergeCell ref="V1257:W1257"/>
    <mergeCell ref="X1257:Y1257"/>
    <mergeCell ref="Z1257:AA1257"/>
    <mergeCell ref="AB1257:AC1257"/>
    <mergeCell ref="B1257:C1257"/>
    <mergeCell ref="D1257:E1257"/>
    <mergeCell ref="F1257:G1257"/>
    <mergeCell ref="H1257:I1257"/>
    <mergeCell ref="J1257:K1257"/>
    <mergeCell ref="L1257:M1257"/>
    <mergeCell ref="N1257:O1257"/>
    <mergeCell ref="P1260:Q1260"/>
    <mergeCell ref="R1260:S1260"/>
    <mergeCell ref="T1260:U1260"/>
    <mergeCell ref="V1260:W1260"/>
    <mergeCell ref="X1260:Y1260"/>
    <mergeCell ref="Z1260:AA1260"/>
    <mergeCell ref="AB1260:AC1260"/>
    <mergeCell ref="B1260:C1260"/>
    <mergeCell ref="D1260:E1260"/>
    <mergeCell ref="F1260:G1260"/>
    <mergeCell ref="H1260:I1260"/>
    <mergeCell ref="J1260:K1260"/>
    <mergeCell ref="L1260:M1260"/>
    <mergeCell ref="N1260:O1260"/>
    <mergeCell ref="X1258:Y1258"/>
    <mergeCell ref="Z1258:AA1258"/>
    <mergeCell ref="AB1258:AC1258"/>
    <mergeCell ref="AD1259:AE1259"/>
    <mergeCell ref="AF1259:AG1259"/>
    <mergeCell ref="AH1259:AI1259"/>
    <mergeCell ref="AJ1259:AK1259"/>
    <mergeCell ref="AL1259:BB1259"/>
    <mergeCell ref="P1259:Q1259"/>
    <mergeCell ref="R1259:S1259"/>
    <mergeCell ref="T1259:U1259"/>
    <mergeCell ref="V1259:W1259"/>
    <mergeCell ref="X1259:Y1259"/>
    <mergeCell ref="Z1259:AA1259"/>
    <mergeCell ref="AB1259:AC1259"/>
    <mergeCell ref="B1259:C1259"/>
    <mergeCell ref="D1259:E1259"/>
    <mergeCell ref="F1259:G1259"/>
    <mergeCell ref="H1259:I1259"/>
    <mergeCell ref="J1259:K1259"/>
    <mergeCell ref="L1259:M1259"/>
    <mergeCell ref="N1259:O1259"/>
    <mergeCell ref="AD1260:AE1260"/>
    <mergeCell ref="AF1260:AG1260"/>
    <mergeCell ref="AH1260:AI1260"/>
    <mergeCell ref="AJ1260:AK1260"/>
    <mergeCell ref="AD1264:AE1264"/>
    <mergeCell ref="AF1264:AG1264"/>
    <mergeCell ref="P1264:Q1264"/>
    <mergeCell ref="R1264:S1264"/>
    <mergeCell ref="T1264:U1264"/>
    <mergeCell ref="V1264:W1264"/>
    <mergeCell ref="X1264:Y1264"/>
    <mergeCell ref="Z1264:AA1264"/>
    <mergeCell ref="AB1264:AC1264"/>
    <mergeCell ref="AD1265:AE1265"/>
    <mergeCell ref="AF1265:AG1265"/>
    <mergeCell ref="AH1265:AI1265"/>
    <mergeCell ref="AJ1265:AK1265"/>
    <mergeCell ref="AL1265:BB1265"/>
    <mergeCell ref="P1265:Q1265"/>
    <mergeCell ref="R1265:S1265"/>
    <mergeCell ref="T1265:U1265"/>
    <mergeCell ref="V1265:W1265"/>
    <mergeCell ref="X1265:Y1265"/>
    <mergeCell ref="Z1265:AA1265"/>
    <mergeCell ref="AB1265:AC1265"/>
    <mergeCell ref="B1265:C1265"/>
    <mergeCell ref="D1265:E1265"/>
    <mergeCell ref="F1265:G1265"/>
    <mergeCell ref="H1265:I1265"/>
    <mergeCell ref="J1265:K1265"/>
    <mergeCell ref="L1265:M1265"/>
    <mergeCell ref="N1265:O1265"/>
    <mergeCell ref="AD1266:AE1266"/>
    <mergeCell ref="AF1266:AG1266"/>
    <mergeCell ref="AH1266:AI1266"/>
    <mergeCell ref="AJ1266:AK1266"/>
    <mergeCell ref="AL1266:BB1266"/>
    <mergeCell ref="AH1264:AI1264"/>
    <mergeCell ref="AJ1264:AK1264"/>
    <mergeCell ref="AL1264:BB1264"/>
    <mergeCell ref="B1264:C1264"/>
    <mergeCell ref="D1264:E1264"/>
    <mergeCell ref="F1264:G1264"/>
    <mergeCell ref="H1264:I1264"/>
    <mergeCell ref="J1264:K1264"/>
    <mergeCell ref="L1264:M1264"/>
    <mergeCell ref="N1264:O1264"/>
    <mergeCell ref="P1266:Q1266"/>
    <mergeCell ref="R1266:S1266"/>
    <mergeCell ref="T1266:U1266"/>
    <mergeCell ref="V1266:W1266"/>
    <mergeCell ref="X1266:Y1266"/>
    <mergeCell ref="Z1266:AA1266"/>
    <mergeCell ref="AB1266:AC1266"/>
    <mergeCell ref="B1266:C1266"/>
    <mergeCell ref="D1266:E1266"/>
    <mergeCell ref="F1266:G1266"/>
    <mergeCell ref="H1266:I1266"/>
    <mergeCell ref="J1266:K1266"/>
    <mergeCell ref="L1266:M1266"/>
    <mergeCell ref="N1266:O1266"/>
    <mergeCell ref="AH1267:AI1267"/>
    <mergeCell ref="AJ1267:AK1267"/>
    <mergeCell ref="AL1267:BB1267"/>
    <mergeCell ref="B1267:C1267"/>
    <mergeCell ref="D1267:E1267"/>
    <mergeCell ref="F1267:G1267"/>
    <mergeCell ref="H1267:I1267"/>
    <mergeCell ref="J1267:K1267"/>
    <mergeCell ref="L1267:M1267"/>
    <mergeCell ref="N1267:O1267"/>
    <mergeCell ref="AD1267:AE1267"/>
    <mergeCell ref="AF1267:AG1267"/>
    <mergeCell ref="P1267:Q1267"/>
    <mergeCell ref="R1267:S1267"/>
    <mergeCell ref="T1267:U1267"/>
    <mergeCell ref="V1267:W1267"/>
    <mergeCell ref="X1267:Y1267"/>
    <mergeCell ref="Z1267:AA1267"/>
    <mergeCell ref="AB1267:AC1267"/>
    <mergeCell ref="AD1268:AE1268"/>
    <mergeCell ref="AF1268:AG1268"/>
    <mergeCell ref="AH1268:AI1268"/>
    <mergeCell ref="AJ1268:AK1268"/>
    <mergeCell ref="AL1268:BB1268"/>
    <mergeCell ref="P1268:Q1268"/>
    <mergeCell ref="R1268:S1268"/>
    <mergeCell ref="T1268:U1268"/>
    <mergeCell ref="V1268:W1268"/>
    <mergeCell ref="X1268:Y1268"/>
    <mergeCell ref="Z1268:AA1268"/>
    <mergeCell ref="AB1268:AC1268"/>
    <mergeCell ref="B1268:C1268"/>
    <mergeCell ref="D1268:E1268"/>
    <mergeCell ref="F1268:G1268"/>
    <mergeCell ref="H1268:I1268"/>
    <mergeCell ref="J1268:K1268"/>
    <mergeCell ref="L1268:M1268"/>
    <mergeCell ref="N1268:O1268"/>
    <mergeCell ref="AD1269:AE1269"/>
    <mergeCell ref="AF1269:AG1269"/>
    <mergeCell ref="AH1269:AI1269"/>
    <mergeCell ref="AJ1269:AK1269"/>
    <mergeCell ref="AL1269:BB1269"/>
    <mergeCell ref="AH1270:AI1270"/>
    <mergeCell ref="AJ1270:AK1270"/>
    <mergeCell ref="AL1270:BB1270"/>
    <mergeCell ref="B1270:C1270"/>
    <mergeCell ref="D1270:E1270"/>
    <mergeCell ref="F1270:G1270"/>
    <mergeCell ref="H1270:I1270"/>
    <mergeCell ref="J1270:K1270"/>
    <mergeCell ref="L1270:M1270"/>
    <mergeCell ref="N1270:O1270"/>
    <mergeCell ref="AD1255:AE1255"/>
    <mergeCell ref="AF1255:AG1255"/>
    <mergeCell ref="P1255:Q1255"/>
    <mergeCell ref="R1255:S1255"/>
    <mergeCell ref="T1255:U1255"/>
    <mergeCell ref="V1255:W1255"/>
    <mergeCell ref="X1255:Y1255"/>
    <mergeCell ref="Z1255:AA1255"/>
    <mergeCell ref="AB1255:AC1255"/>
    <mergeCell ref="AD1256:AE1256"/>
    <mergeCell ref="AF1256:AG1256"/>
    <mergeCell ref="AH1256:AI1256"/>
    <mergeCell ref="AJ1256:AK1256"/>
    <mergeCell ref="AL1256:BB1256"/>
    <mergeCell ref="P1256:Q1256"/>
    <mergeCell ref="R1256:S1256"/>
    <mergeCell ref="T1256:U1256"/>
    <mergeCell ref="V1256:W1256"/>
    <mergeCell ref="X1256:Y1256"/>
    <mergeCell ref="Z1256:AA1256"/>
    <mergeCell ref="AB1256:AC1256"/>
    <mergeCell ref="B1256:C1256"/>
    <mergeCell ref="D1256:E1256"/>
    <mergeCell ref="F1256:G1256"/>
    <mergeCell ref="H1256:I1256"/>
    <mergeCell ref="J1256:K1256"/>
    <mergeCell ref="L1256:M1256"/>
    <mergeCell ref="N1256:O1256"/>
    <mergeCell ref="AD1257:AE1257"/>
    <mergeCell ref="AF1257:AG1257"/>
    <mergeCell ref="AH1257:AI1257"/>
    <mergeCell ref="AJ1257:AK1257"/>
    <mergeCell ref="AL1257:BB1257"/>
    <mergeCell ref="AH1258:AI1258"/>
    <mergeCell ref="AJ1258:AK1258"/>
    <mergeCell ref="AL1258:BB1258"/>
    <mergeCell ref="B1258:C1258"/>
    <mergeCell ref="D1258:E1258"/>
    <mergeCell ref="F1258:G1258"/>
    <mergeCell ref="H1258:I1258"/>
    <mergeCell ref="J1258:K1258"/>
    <mergeCell ref="L1258:M1258"/>
    <mergeCell ref="N1258:O1258"/>
    <mergeCell ref="AD1258:AE1258"/>
    <mergeCell ref="AF1258:AG1258"/>
    <mergeCell ref="P1258:Q1258"/>
    <mergeCell ref="R1258:S1258"/>
    <mergeCell ref="T1258:U1258"/>
    <mergeCell ref="V1258:W1258"/>
    <mergeCell ref="AL1260:BB1260"/>
    <mergeCell ref="AH1261:AI1261"/>
    <mergeCell ref="AJ1261:AK1261"/>
    <mergeCell ref="AL1261:BB1261"/>
    <mergeCell ref="B1261:C1261"/>
    <mergeCell ref="D1261:E1261"/>
    <mergeCell ref="F1261:G1261"/>
    <mergeCell ref="H1261:I1261"/>
    <mergeCell ref="J1261:K1261"/>
    <mergeCell ref="L1261:M1261"/>
    <mergeCell ref="N1261:O1261"/>
    <mergeCell ref="P1263:Q1263"/>
    <mergeCell ref="R1263:S1263"/>
    <mergeCell ref="T1263:U1263"/>
    <mergeCell ref="V1263:W1263"/>
    <mergeCell ref="X1263:Y1263"/>
    <mergeCell ref="Z1263:AA1263"/>
    <mergeCell ref="AB1263:AC1263"/>
    <mergeCell ref="B1263:C1263"/>
    <mergeCell ref="D1263:E1263"/>
    <mergeCell ref="F1263:G1263"/>
    <mergeCell ref="H1263:I1263"/>
    <mergeCell ref="J1263:K1263"/>
    <mergeCell ref="L1263:M1263"/>
    <mergeCell ref="N1263:O1263"/>
    <mergeCell ref="AD1261:AE1261"/>
    <mergeCell ref="AF1261:AG1261"/>
    <mergeCell ref="P1261:Q1261"/>
    <mergeCell ref="R1261:S1261"/>
    <mergeCell ref="T1261:U1261"/>
    <mergeCell ref="V1261:W1261"/>
    <mergeCell ref="X1261:Y1261"/>
    <mergeCell ref="Z1261:AA1261"/>
    <mergeCell ref="AB1261:AC1261"/>
    <mergeCell ref="AD1262:AE1262"/>
    <mergeCell ref="AF1262:AG1262"/>
    <mergeCell ref="AH1262:AI1262"/>
    <mergeCell ref="AJ1262:AK1262"/>
    <mergeCell ref="AL1262:BB1262"/>
    <mergeCell ref="P1262:Q1262"/>
    <mergeCell ref="R1262:S1262"/>
    <mergeCell ref="T1262:U1262"/>
    <mergeCell ref="V1262:W1262"/>
    <mergeCell ref="X1262:Y1262"/>
    <mergeCell ref="Z1262:AA1262"/>
    <mergeCell ref="AB1262:AC1262"/>
    <mergeCell ref="B1262:C1262"/>
    <mergeCell ref="D1262:E1262"/>
    <mergeCell ref="F1262:G1262"/>
    <mergeCell ref="H1262:I1262"/>
    <mergeCell ref="J1262:K1262"/>
    <mergeCell ref="L1262:M1262"/>
    <mergeCell ref="N1262:O1262"/>
    <mergeCell ref="AD1263:AE1263"/>
    <mergeCell ref="AF1263:AG1263"/>
    <mergeCell ref="AH1263:AI1263"/>
    <mergeCell ref="AJ1263:AK1263"/>
    <mergeCell ref="AL1263:BB1263"/>
    <mergeCell ref="P1269:Q1269"/>
    <mergeCell ref="R1269:S1269"/>
    <mergeCell ref="T1269:U1269"/>
    <mergeCell ref="V1269:W1269"/>
    <mergeCell ref="X1269:Y1269"/>
    <mergeCell ref="Z1269:AA1269"/>
    <mergeCell ref="AB1269:AC1269"/>
    <mergeCell ref="B1269:C1269"/>
    <mergeCell ref="D1269:E1269"/>
    <mergeCell ref="F1269:G1269"/>
    <mergeCell ref="H1269:I1269"/>
    <mergeCell ref="J1269:K1269"/>
    <mergeCell ref="L1269:M1269"/>
    <mergeCell ref="N1269:O1269"/>
    <mergeCell ref="AD1291:AE1291"/>
    <mergeCell ref="AF1291:AG1291"/>
    <mergeCell ref="AH1291:AI1291"/>
    <mergeCell ref="AJ1291:AK1291"/>
    <mergeCell ref="AL1291:BB1291"/>
    <mergeCell ref="P1291:Q1291"/>
    <mergeCell ref="R1291:S1291"/>
    <mergeCell ref="T1291:U1291"/>
    <mergeCell ref="V1291:W1291"/>
    <mergeCell ref="X1291:Y1291"/>
    <mergeCell ref="Z1291:AA1291"/>
    <mergeCell ref="AB1291:AC1291"/>
    <mergeCell ref="P1272:Q1272"/>
    <mergeCell ref="R1272:S1272"/>
    <mergeCell ref="T1272:U1272"/>
    <mergeCell ref="V1272:W1272"/>
    <mergeCell ref="X1272:Y1272"/>
    <mergeCell ref="Z1272:AA1272"/>
    <mergeCell ref="AB1272:AC1272"/>
    <mergeCell ref="B1272:C1272"/>
    <mergeCell ref="D1272:E1272"/>
    <mergeCell ref="F1272:G1272"/>
    <mergeCell ref="H1272:I1272"/>
    <mergeCell ref="J1272:K1272"/>
    <mergeCell ref="L1272:M1272"/>
    <mergeCell ref="N1272:O1272"/>
    <mergeCell ref="AD1270:AE1270"/>
    <mergeCell ref="AF1270:AG1270"/>
    <mergeCell ref="P1270:Q1270"/>
    <mergeCell ref="R1270:S1270"/>
    <mergeCell ref="T1270:U1270"/>
    <mergeCell ref="V1270:W1270"/>
    <mergeCell ref="X1270:Y1270"/>
    <mergeCell ref="Z1270:AA1270"/>
    <mergeCell ref="AB1270:AC1270"/>
    <mergeCell ref="AD1271:AE1271"/>
    <mergeCell ref="AF1271:AG1271"/>
    <mergeCell ref="AH1271:AI1271"/>
    <mergeCell ref="AJ1271:AK1271"/>
    <mergeCell ref="AL1271:BB1271"/>
    <mergeCell ref="P1271:Q1271"/>
    <mergeCell ref="R1271:S1271"/>
    <mergeCell ref="T1271:U1271"/>
    <mergeCell ref="V1271:W1271"/>
    <mergeCell ref="X1271:Y1271"/>
    <mergeCell ref="Z1271:AA1271"/>
    <mergeCell ref="AB1271:AC1271"/>
    <mergeCell ref="B1271:C1271"/>
    <mergeCell ref="D1271:E1271"/>
    <mergeCell ref="F1271:G1271"/>
    <mergeCell ref="H1271:I1271"/>
    <mergeCell ref="J1271:K1271"/>
    <mergeCell ref="L1271:M1271"/>
    <mergeCell ref="N1271:O1271"/>
    <mergeCell ref="AD1272:AE1272"/>
    <mergeCell ref="AF1272:AG1272"/>
    <mergeCell ref="AH1272:AI1272"/>
    <mergeCell ref="AJ1272:AK1272"/>
    <mergeCell ref="AL1272:BB1272"/>
    <mergeCell ref="AH1273:AI1273"/>
    <mergeCell ref="AJ1273:AK1273"/>
    <mergeCell ref="AL1273:BB1273"/>
    <mergeCell ref="B1273:C1273"/>
    <mergeCell ref="D1273:E1273"/>
    <mergeCell ref="F1273:G1273"/>
    <mergeCell ref="H1273:I1273"/>
    <mergeCell ref="J1273:K1273"/>
    <mergeCell ref="L1273:M1273"/>
    <mergeCell ref="N1273:O1273"/>
    <mergeCell ref="P1275:Q1275"/>
    <mergeCell ref="R1275:S1275"/>
    <mergeCell ref="T1275:U1275"/>
    <mergeCell ref="V1275:W1275"/>
    <mergeCell ref="X1275:Y1275"/>
    <mergeCell ref="Z1275:AA1275"/>
    <mergeCell ref="AB1275:AC1275"/>
    <mergeCell ref="B1275:C1275"/>
    <mergeCell ref="D1275:E1275"/>
    <mergeCell ref="F1275:G1275"/>
    <mergeCell ref="H1275:I1275"/>
    <mergeCell ref="J1275:K1275"/>
    <mergeCell ref="L1275:M1275"/>
    <mergeCell ref="N1275:O1275"/>
    <mergeCell ref="AD1273:AE1273"/>
    <mergeCell ref="AF1273:AG1273"/>
    <mergeCell ref="P1273:Q1273"/>
    <mergeCell ref="R1273:S1273"/>
    <mergeCell ref="T1273:U1273"/>
    <mergeCell ref="V1273:W1273"/>
    <mergeCell ref="X1273:Y1273"/>
    <mergeCell ref="Z1273:AA1273"/>
    <mergeCell ref="AB1273:AC1273"/>
    <mergeCell ref="AD1274:AE1274"/>
    <mergeCell ref="AF1274:AG1274"/>
    <mergeCell ref="AH1274:AI1274"/>
    <mergeCell ref="AJ1274:AK1274"/>
    <mergeCell ref="AL1274:BB1274"/>
    <mergeCell ref="P1274:Q1274"/>
    <mergeCell ref="R1274:S1274"/>
    <mergeCell ref="T1274:U1274"/>
    <mergeCell ref="V1274:W1274"/>
    <mergeCell ref="X1274:Y1274"/>
    <mergeCell ref="Z1274:AA1274"/>
    <mergeCell ref="AB1274:AC1274"/>
    <mergeCell ref="B1274:C1274"/>
    <mergeCell ref="D1274:E1274"/>
    <mergeCell ref="F1274:G1274"/>
    <mergeCell ref="H1274:I1274"/>
    <mergeCell ref="J1274:K1274"/>
    <mergeCell ref="L1274:M1274"/>
    <mergeCell ref="N1274:O1274"/>
    <mergeCell ref="AD1275:AE1275"/>
    <mergeCell ref="AF1275:AG1275"/>
    <mergeCell ref="AH1275:AI1275"/>
    <mergeCell ref="AJ1275:AK1275"/>
    <mergeCell ref="AL1275:BB1275"/>
    <mergeCell ref="AH1276:AI1276"/>
    <mergeCell ref="AJ1276:AK1276"/>
    <mergeCell ref="AL1276:BB1276"/>
    <mergeCell ref="B1276:C1276"/>
    <mergeCell ref="D1276:E1276"/>
    <mergeCell ref="F1276:G1276"/>
    <mergeCell ref="H1276:I1276"/>
    <mergeCell ref="J1276:K1276"/>
    <mergeCell ref="L1276:M1276"/>
    <mergeCell ref="N1276:O1276"/>
    <mergeCell ref="P1278:Q1278"/>
    <mergeCell ref="R1278:S1278"/>
    <mergeCell ref="T1278:U1278"/>
    <mergeCell ref="V1278:W1278"/>
    <mergeCell ref="X1278:Y1278"/>
    <mergeCell ref="Z1278:AA1278"/>
    <mergeCell ref="AB1278:AC1278"/>
    <mergeCell ref="B1278:C1278"/>
    <mergeCell ref="D1278:E1278"/>
    <mergeCell ref="F1278:G1278"/>
    <mergeCell ref="H1278:I1278"/>
    <mergeCell ref="J1278:K1278"/>
    <mergeCell ref="L1278:M1278"/>
    <mergeCell ref="N1278:O1278"/>
    <mergeCell ref="AD1276:AE1276"/>
    <mergeCell ref="AF1276:AG1276"/>
    <mergeCell ref="P1276:Q1276"/>
    <mergeCell ref="R1276:S1276"/>
    <mergeCell ref="T1276:U1276"/>
    <mergeCell ref="V1276:W1276"/>
    <mergeCell ref="X1276:Y1276"/>
    <mergeCell ref="Z1276:AA1276"/>
    <mergeCell ref="AB1276:AC1276"/>
    <mergeCell ref="AD1277:AE1277"/>
    <mergeCell ref="AF1277:AG1277"/>
    <mergeCell ref="AH1277:AI1277"/>
    <mergeCell ref="AJ1277:AK1277"/>
    <mergeCell ref="AL1277:BB1277"/>
    <mergeCell ref="P1277:Q1277"/>
    <mergeCell ref="R1277:S1277"/>
    <mergeCell ref="T1277:U1277"/>
    <mergeCell ref="V1277:W1277"/>
    <mergeCell ref="X1277:Y1277"/>
    <mergeCell ref="Z1277:AA1277"/>
    <mergeCell ref="AB1277:AC1277"/>
    <mergeCell ref="B1277:C1277"/>
    <mergeCell ref="D1277:E1277"/>
    <mergeCell ref="F1277:G1277"/>
    <mergeCell ref="H1277:I1277"/>
    <mergeCell ref="J1277:K1277"/>
    <mergeCell ref="L1277:M1277"/>
    <mergeCell ref="N1277:O1277"/>
    <mergeCell ref="AD1278:AE1278"/>
    <mergeCell ref="AF1278:AG1278"/>
    <mergeCell ref="AH1278:AI1278"/>
    <mergeCell ref="AJ1278:AK1278"/>
    <mergeCell ref="AL1278:BB1278"/>
    <mergeCell ref="AH1279:AI1279"/>
    <mergeCell ref="AJ1279:AK1279"/>
    <mergeCell ref="AL1279:BB1279"/>
    <mergeCell ref="B1279:C1279"/>
    <mergeCell ref="D1279:E1279"/>
    <mergeCell ref="F1279:G1279"/>
    <mergeCell ref="H1279:I1279"/>
    <mergeCell ref="J1279:K1279"/>
    <mergeCell ref="L1279:M1279"/>
    <mergeCell ref="N1279:O1279"/>
    <mergeCell ref="P1281:Q1281"/>
    <mergeCell ref="R1281:S1281"/>
    <mergeCell ref="T1281:U1281"/>
    <mergeCell ref="V1281:W1281"/>
    <mergeCell ref="X1281:Y1281"/>
    <mergeCell ref="Z1281:AA1281"/>
    <mergeCell ref="AB1281:AC1281"/>
    <mergeCell ref="B1281:C1281"/>
    <mergeCell ref="D1281:E1281"/>
    <mergeCell ref="F1281:G1281"/>
    <mergeCell ref="H1281:I1281"/>
    <mergeCell ref="J1281:K1281"/>
    <mergeCell ref="L1281:M1281"/>
    <mergeCell ref="N1281:O1281"/>
    <mergeCell ref="AD1279:AE1279"/>
    <mergeCell ref="AF1279:AG1279"/>
    <mergeCell ref="P1279:Q1279"/>
    <mergeCell ref="R1279:S1279"/>
    <mergeCell ref="T1279:U1279"/>
    <mergeCell ref="V1279:W1279"/>
    <mergeCell ref="X1279:Y1279"/>
    <mergeCell ref="Z1279:AA1279"/>
    <mergeCell ref="AB1279:AC1279"/>
    <mergeCell ref="AD1280:AE1280"/>
    <mergeCell ref="AF1280:AG1280"/>
    <mergeCell ref="AH1280:AI1280"/>
    <mergeCell ref="AJ1280:AK1280"/>
    <mergeCell ref="AL1280:BB1280"/>
    <mergeCell ref="P1280:Q1280"/>
    <mergeCell ref="R1280:S1280"/>
    <mergeCell ref="T1280:U1280"/>
    <mergeCell ref="V1280:W1280"/>
    <mergeCell ref="X1280:Y1280"/>
    <mergeCell ref="Z1280:AA1280"/>
    <mergeCell ref="AB1280:AC1280"/>
    <mergeCell ref="B1280:C1280"/>
    <mergeCell ref="D1280:E1280"/>
    <mergeCell ref="F1280:G1280"/>
    <mergeCell ref="H1280:I1280"/>
    <mergeCell ref="J1280:K1280"/>
    <mergeCell ref="L1280:M1280"/>
    <mergeCell ref="N1280:O1280"/>
    <mergeCell ref="AD1281:AE1281"/>
    <mergeCell ref="AF1281:AG1281"/>
    <mergeCell ref="AH1281:AI1281"/>
    <mergeCell ref="AJ1281:AK1281"/>
    <mergeCell ref="AL1281:BB1281"/>
    <mergeCell ref="AH1282:AI1282"/>
    <mergeCell ref="AJ1282:AK1282"/>
    <mergeCell ref="AL1282:BB1282"/>
    <mergeCell ref="B1282:C1282"/>
    <mergeCell ref="D1282:E1282"/>
    <mergeCell ref="F1282:G1282"/>
    <mergeCell ref="H1282:I1282"/>
    <mergeCell ref="J1282:K1282"/>
    <mergeCell ref="L1282:M1282"/>
    <mergeCell ref="N1282:O1282"/>
    <mergeCell ref="P1284:Q1284"/>
    <mergeCell ref="R1284:S1284"/>
    <mergeCell ref="T1284:U1284"/>
    <mergeCell ref="V1284:W1284"/>
    <mergeCell ref="X1284:Y1284"/>
    <mergeCell ref="Z1284:AA1284"/>
    <mergeCell ref="AB1284:AC1284"/>
    <mergeCell ref="B1284:C1284"/>
    <mergeCell ref="D1284:E1284"/>
    <mergeCell ref="F1284:G1284"/>
    <mergeCell ref="H1284:I1284"/>
    <mergeCell ref="J1284:K1284"/>
    <mergeCell ref="L1284:M1284"/>
    <mergeCell ref="N1284:O1284"/>
    <mergeCell ref="AD1282:AE1282"/>
    <mergeCell ref="AF1282:AG1282"/>
    <mergeCell ref="P1282:Q1282"/>
    <mergeCell ref="R1282:S1282"/>
    <mergeCell ref="T1282:U1282"/>
    <mergeCell ref="V1282:W1282"/>
    <mergeCell ref="X1282:Y1282"/>
    <mergeCell ref="Z1282:AA1282"/>
    <mergeCell ref="AB1282:AC1282"/>
    <mergeCell ref="AD1283:AE1283"/>
    <mergeCell ref="AF1283:AG1283"/>
    <mergeCell ref="AH1283:AI1283"/>
    <mergeCell ref="AJ1283:AK1283"/>
    <mergeCell ref="AL1283:BB1283"/>
    <mergeCell ref="P1283:Q1283"/>
    <mergeCell ref="R1283:S1283"/>
    <mergeCell ref="T1283:U1283"/>
    <mergeCell ref="V1283:W1283"/>
    <mergeCell ref="X1283:Y1283"/>
    <mergeCell ref="Z1283:AA1283"/>
    <mergeCell ref="AB1283:AC1283"/>
    <mergeCell ref="B1283:C1283"/>
    <mergeCell ref="D1283:E1283"/>
    <mergeCell ref="F1283:G1283"/>
    <mergeCell ref="H1283:I1283"/>
    <mergeCell ref="J1283:K1283"/>
    <mergeCell ref="L1283:M1283"/>
    <mergeCell ref="N1283:O1283"/>
    <mergeCell ref="AD1284:AE1284"/>
    <mergeCell ref="AF1284:AG1284"/>
    <mergeCell ref="AH1284:AI1284"/>
    <mergeCell ref="AJ1284:AK1284"/>
    <mergeCell ref="AL1284:BB1284"/>
    <mergeCell ref="AH1285:AI1285"/>
    <mergeCell ref="AJ1285:AK1285"/>
    <mergeCell ref="AL1285:BB1285"/>
    <mergeCell ref="B1285:C1285"/>
    <mergeCell ref="D1285:E1285"/>
    <mergeCell ref="F1285:G1285"/>
    <mergeCell ref="H1285:I1285"/>
    <mergeCell ref="J1285:K1285"/>
    <mergeCell ref="L1285:M1285"/>
    <mergeCell ref="N1285:O1285"/>
    <mergeCell ref="P1287:Q1287"/>
    <mergeCell ref="R1287:S1287"/>
    <mergeCell ref="T1287:U1287"/>
    <mergeCell ref="V1287:W1287"/>
    <mergeCell ref="X1287:Y1287"/>
    <mergeCell ref="Z1287:AA1287"/>
    <mergeCell ref="AB1287:AC1287"/>
    <mergeCell ref="B1287:C1287"/>
    <mergeCell ref="D1287:E1287"/>
    <mergeCell ref="F1287:G1287"/>
    <mergeCell ref="H1287:I1287"/>
    <mergeCell ref="J1287:K1287"/>
    <mergeCell ref="L1287:M1287"/>
    <mergeCell ref="N1287:O1287"/>
    <mergeCell ref="AD1285:AE1285"/>
    <mergeCell ref="AF1285:AG1285"/>
    <mergeCell ref="P1285:Q1285"/>
    <mergeCell ref="R1285:S1285"/>
    <mergeCell ref="T1285:U1285"/>
    <mergeCell ref="V1285:W1285"/>
    <mergeCell ref="X1285:Y1285"/>
    <mergeCell ref="Z1285:AA1285"/>
    <mergeCell ref="AB1285:AC1285"/>
    <mergeCell ref="AD1286:AE1286"/>
    <mergeCell ref="AF1286:AG1286"/>
    <mergeCell ref="AH1286:AI1286"/>
    <mergeCell ref="AJ1286:AK1286"/>
    <mergeCell ref="AL1286:BB1286"/>
    <mergeCell ref="P1286:Q1286"/>
    <mergeCell ref="R1286:S1286"/>
    <mergeCell ref="T1286:U1286"/>
    <mergeCell ref="V1286:W1286"/>
    <mergeCell ref="X1286:Y1286"/>
    <mergeCell ref="Z1286:AA1286"/>
    <mergeCell ref="AB1286:AC1286"/>
    <mergeCell ref="B1286:C1286"/>
    <mergeCell ref="D1286:E1286"/>
    <mergeCell ref="F1286:G1286"/>
    <mergeCell ref="H1286:I1286"/>
    <mergeCell ref="J1286:K1286"/>
    <mergeCell ref="L1286:M1286"/>
    <mergeCell ref="N1286:O1286"/>
    <mergeCell ref="AD1287:AE1287"/>
    <mergeCell ref="AF1287:AG1287"/>
    <mergeCell ref="AH1287:AI1287"/>
    <mergeCell ref="AJ1287:AK1287"/>
    <mergeCell ref="AL1287:BB1287"/>
    <mergeCell ref="AH1288:AI1288"/>
    <mergeCell ref="AJ1288:AK1288"/>
    <mergeCell ref="AL1288:BB1288"/>
    <mergeCell ref="B1288:C1288"/>
    <mergeCell ref="D1288:E1288"/>
    <mergeCell ref="F1288:G1288"/>
    <mergeCell ref="H1288:I1288"/>
    <mergeCell ref="J1288:K1288"/>
    <mergeCell ref="L1288:M1288"/>
    <mergeCell ref="N1288:O1288"/>
    <mergeCell ref="P1290:Q1290"/>
    <mergeCell ref="R1290:S1290"/>
    <mergeCell ref="T1290:U1290"/>
    <mergeCell ref="V1290:W1290"/>
    <mergeCell ref="X1290:Y1290"/>
    <mergeCell ref="Z1290:AA1290"/>
    <mergeCell ref="AB1290:AC1290"/>
    <mergeCell ref="B1290:C1290"/>
    <mergeCell ref="D1290:E1290"/>
    <mergeCell ref="F1290:G1290"/>
    <mergeCell ref="H1290:I1290"/>
    <mergeCell ref="J1290:K1290"/>
    <mergeCell ref="L1290:M1290"/>
    <mergeCell ref="N1290:O1290"/>
    <mergeCell ref="AD1288:AE1288"/>
    <mergeCell ref="AF1288:AG1288"/>
    <mergeCell ref="P1288:Q1288"/>
    <mergeCell ref="R1288:S1288"/>
    <mergeCell ref="T1288:U1288"/>
    <mergeCell ref="V1288:W1288"/>
    <mergeCell ref="X1288:Y1288"/>
    <mergeCell ref="Z1288:AA1288"/>
    <mergeCell ref="AB1288:AC1288"/>
    <mergeCell ref="AD1289:AE1289"/>
    <mergeCell ref="AF1289:AG1289"/>
    <mergeCell ref="AH1289:AI1289"/>
    <mergeCell ref="AJ1289:AK1289"/>
    <mergeCell ref="AL1289:BB1289"/>
    <mergeCell ref="P1289:Q1289"/>
    <mergeCell ref="R1289:S1289"/>
    <mergeCell ref="T1289:U1289"/>
    <mergeCell ref="V1289:W1289"/>
    <mergeCell ref="X1289:Y1289"/>
    <mergeCell ref="Z1289:AA1289"/>
    <mergeCell ref="AB1289:AC1289"/>
    <mergeCell ref="B1289:C1289"/>
    <mergeCell ref="D1289:E1289"/>
    <mergeCell ref="F1289:G1289"/>
    <mergeCell ref="H1289:I1289"/>
    <mergeCell ref="J1289:K1289"/>
    <mergeCell ref="L1289:M1289"/>
    <mergeCell ref="N1289:O1289"/>
    <mergeCell ref="AD1290:AE1290"/>
    <mergeCell ref="AF1290:AG1290"/>
    <mergeCell ref="AH1290:AI1290"/>
    <mergeCell ref="AJ1290:AK1290"/>
    <mergeCell ref="AL1290:BB1290"/>
    <mergeCell ref="B1291:C1291"/>
    <mergeCell ref="D1291:E1291"/>
    <mergeCell ref="F1291:G1291"/>
    <mergeCell ref="H1291:I1291"/>
    <mergeCell ref="J1291:K1291"/>
    <mergeCell ref="L1291:M1291"/>
    <mergeCell ref="N1291:O1291"/>
    <mergeCell ref="AD1292:AE1292"/>
    <mergeCell ref="AF1292:AG1292"/>
    <mergeCell ref="AH1292:AI1292"/>
    <mergeCell ref="AJ1292:AK1292"/>
    <mergeCell ref="AL1292:BB1292"/>
    <mergeCell ref="P1292:Q1292"/>
    <mergeCell ref="R1292:S1292"/>
    <mergeCell ref="T1292:U1292"/>
    <mergeCell ref="V1292:W1292"/>
    <mergeCell ref="X1292:Y1292"/>
    <mergeCell ref="Z1292:AA1292"/>
    <mergeCell ref="AB1292:AC1292"/>
    <mergeCell ref="B1292:C1292"/>
    <mergeCell ref="D1292:E1292"/>
    <mergeCell ref="F1292:G1292"/>
    <mergeCell ref="H1292:I1292"/>
    <mergeCell ref="J1292:K1292"/>
    <mergeCell ref="L1292:M1292"/>
    <mergeCell ref="N1292:O1292"/>
    <mergeCell ref="AD1293:AE1293"/>
    <mergeCell ref="AF1293:AG1293"/>
    <mergeCell ref="AH1293:AI1293"/>
    <mergeCell ref="AJ1293:AK1293"/>
    <mergeCell ref="AL1293:BB1293"/>
    <mergeCell ref="P1293:Q1293"/>
    <mergeCell ref="R1293:S1293"/>
    <mergeCell ref="T1293:U1293"/>
    <mergeCell ref="V1293:W1293"/>
    <mergeCell ref="X1293:Y1293"/>
    <mergeCell ref="Z1293:AA1293"/>
    <mergeCell ref="AB1293:AC1293"/>
    <mergeCell ref="B1293:C1293"/>
    <mergeCell ref="D1293:E1293"/>
    <mergeCell ref="F1293:G1293"/>
    <mergeCell ref="H1293:I1293"/>
    <mergeCell ref="J1293:K1293"/>
    <mergeCell ref="L1293:M1293"/>
    <mergeCell ref="N1293:O1293"/>
    <mergeCell ref="AH1294:AI1294"/>
    <mergeCell ref="AJ1294:AK1294"/>
    <mergeCell ref="AL1294:BB1294"/>
    <mergeCell ref="B1294:C1294"/>
    <mergeCell ref="D1294:E1294"/>
    <mergeCell ref="F1294:G1294"/>
    <mergeCell ref="H1294:I1294"/>
    <mergeCell ref="J1294:K1294"/>
    <mergeCell ref="L1294:M1294"/>
    <mergeCell ref="N1294:O1294"/>
    <mergeCell ref="P1296:Q1296"/>
    <mergeCell ref="R1296:S1296"/>
    <mergeCell ref="T1296:U1296"/>
    <mergeCell ref="V1296:W1296"/>
    <mergeCell ref="X1296:Y1296"/>
    <mergeCell ref="Z1296:AA1296"/>
    <mergeCell ref="AB1296:AC1296"/>
    <mergeCell ref="B1296:C1296"/>
    <mergeCell ref="D1296:E1296"/>
    <mergeCell ref="F1296:G1296"/>
    <mergeCell ref="H1296:I1296"/>
    <mergeCell ref="J1296:K1296"/>
    <mergeCell ref="L1296:M1296"/>
    <mergeCell ref="N1296:O1296"/>
    <mergeCell ref="AD1294:AE1294"/>
    <mergeCell ref="AF1294:AG1294"/>
    <mergeCell ref="P1294:Q1294"/>
    <mergeCell ref="R1294:S1294"/>
    <mergeCell ref="T1294:U1294"/>
    <mergeCell ref="V1294:W1294"/>
    <mergeCell ref="X1294:Y1294"/>
    <mergeCell ref="Z1294:AA1294"/>
    <mergeCell ref="AB1294:AC1294"/>
    <mergeCell ref="AD1295:AE1295"/>
    <mergeCell ref="AF1295:AG1295"/>
    <mergeCell ref="AH1295:AI1295"/>
    <mergeCell ref="AJ1295:AK1295"/>
    <mergeCell ref="AL1295:BB1295"/>
    <mergeCell ref="P1295:Q1295"/>
    <mergeCell ref="R1295:S1295"/>
    <mergeCell ref="T1295:U1295"/>
    <mergeCell ref="V1295:W1295"/>
    <mergeCell ref="X1295:Y1295"/>
    <mergeCell ref="Z1295:AA1295"/>
    <mergeCell ref="AB1295:AC1295"/>
    <mergeCell ref="B1295:C1295"/>
    <mergeCell ref="D1295:E1295"/>
    <mergeCell ref="F1295:G1295"/>
    <mergeCell ref="H1295:I1295"/>
    <mergeCell ref="J1295:K1295"/>
    <mergeCell ref="L1295:M1295"/>
    <mergeCell ref="N1295:O1295"/>
    <mergeCell ref="AD1296:AE1296"/>
    <mergeCell ref="AF1296:AG1296"/>
    <mergeCell ref="AH1296:AI1296"/>
    <mergeCell ref="AJ1296:AK1296"/>
    <mergeCell ref="AL1296:BB1296"/>
    <mergeCell ref="AH1297:AI1297"/>
    <mergeCell ref="AJ1297:AK1297"/>
    <mergeCell ref="AL1297:BB1297"/>
    <mergeCell ref="B1297:C1297"/>
    <mergeCell ref="D1297:E1297"/>
    <mergeCell ref="F1297:G1297"/>
    <mergeCell ref="H1297:I1297"/>
    <mergeCell ref="J1297:K1297"/>
    <mergeCell ref="L1297:M1297"/>
    <mergeCell ref="N1297:O1297"/>
    <mergeCell ref="P1299:Q1299"/>
    <mergeCell ref="R1299:S1299"/>
    <mergeCell ref="T1299:U1299"/>
    <mergeCell ref="V1299:W1299"/>
    <mergeCell ref="X1299:Y1299"/>
    <mergeCell ref="Z1299:AA1299"/>
    <mergeCell ref="AB1299:AC1299"/>
    <mergeCell ref="B1299:C1299"/>
    <mergeCell ref="D1299:E1299"/>
    <mergeCell ref="F1299:G1299"/>
    <mergeCell ref="H1299:I1299"/>
    <mergeCell ref="J1299:K1299"/>
    <mergeCell ref="L1299:M1299"/>
    <mergeCell ref="N1299:O1299"/>
    <mergeCell ref="P1302:Q1302"/>
    <mergeCell ref="R1302:S1302"/>
    <mergeCell ref="T1302:U1302"/>
    <mergeCell ref="V1302:W1302"/>
    <mergeCell ref="X1302:Y1302"/>
    <mergeCell ref="Z1302:AA1302"/>
    <mergeCell ref="AB1302:AC1302"/>
    <mergeCell ref="B1302:C1302"/>
    <mergeCell ref="D1302:E1302"/>
    <mergeCell ref="F1302:G1302"/>
    <mergeCell ref="H1302:I1302"/>
    <mergeCell ref="J1302:K1302"/>
    <mergeCell ref="L1302:M1302"/>
    <mergeCell ref="N1302:O1302"/>
    <mergeCell ref="X1300:Y1300"/>
    <mergeCell ref="Z1300:AA1300"/>
    <mergeCell ref="AB1300:AC1300"/>
    <mergeCell ref="AD1301:AE1301"/>
    <mergeCell ref="AF1301:AG1301"/>
    <mergeCell ref="AH1301:AI1301"/>
    <mergeCell ref="AJ1301:AK1301"/>
    <mergeCell ref="AL1301:BB1301"/>
    <mergeCell ref="P1301:Q1301"/>
    <mergeCell ref="R1301:S1301"/>
    <mergeCell ref="T1301:U1301"/>
    <mergeCell ref="V1301:W1301"/>
    <mergeCell ref="X1301:Y1301"/>
    <mergeCell ref="Z1301:AA1301"/>
    <mergeCell ref="AB1301:AC1301"/>
    <mergeCell ref="B1301:C1301"/>
    <mergeCell ref="D1301:E1301"/>
    <mergeCell ref="F1301:G1301"/>
    <mergeCell ref="H1301:I1301"/>
    <mergeCell ref="J1301:K1301"/>
    <mergeCell ref="L1301:M1301"/>
    <mergeCell ref="N1301:O1301"/>
    <mergeCell ref="AD1302:AE1302"/>
    <mergeCell ref="AF1302:AG1302"/>
    <mergeCell ref="AH1302:AI1302"/>
    <mergeCell ref="AJ1302:AK1302"/>
    <mergeCell ref="AD1306:AE1306"/>
    <mergeCell ref="AF1306:AG1306"/>
    <mergeCell ref="P1306:Q1306"/>
    <mergeCell ref="R1306:S1306"/>
    <mergeCell ref="T1306:U1306"/>
    <mergeCell ref="V1306:W1306"/>
    <mergeCell ref="X1306:Y1306"/>
    <mergeCell ref="Z1306:AA1306"/>
    <mergeCell ref="AB1306:AC1306"/>
    <mergeCell ref="AD1307:AE1307"/>
    <mergeCell ref="AF1307:AG1307"/>
    <mergeCell ref="AH1307:AI1307"/>
    <mergeCell ref="AJ1307:AK1307"/>
    <mergeCell ref="AL1307:BB1307"/>
    <mergeCell ref="P1307:Q1307"/>
    <mergeCell ref="R1307:S1307"/>
    <mergeCell ref="T1307:U1307"/>
    <mergeCell ref="V1307:W1307"/>
    <mergeCell ref="X1307:Y1307"/>
    <mergeCell ref="Z1307:AA1307"/>
    <mergeCell ref="AB1307:AC1307"/>
    <mergeCell ref="B1307:C1307"/>
    <mergeCell ref="D1307:E1307"/>
    <mergeCell ref="F1307:G1307"/>
    <mergeCell ref="H1307:I1307"/>
    <mergeCell ref="J1307:K1307"/>
    <mergeCell ref="L1307:M1307"/>
    <mergeCell ref="N1307:O1307"/>
    <mergeCell ref="AD1308:AE1308"/>
    <mergeCell ref="AF1308:AG1308"/>
    <mergeCell ref="AH1308:AI1308"/>
    <mergeCell ref="AJ1308:AK1308"/>
    <mergeCell ref="AL1308:BB1308"/>
    <mergeCell ref="AH1306:AI1306"/>
    <mergeCell ref="AJ1306:AK1306"/>
    <mergeCell ref="AL1306:BB1306"/>
    <mergeCell ref="B1306:C1306"/>
    <mergeCell ref="D1306:E1306"/>
    <mergeCell ref="F1306:G1306"/>
    <mergeCell ref="H1306:I1306"/>
    <mergeCell ref="J1306:K1306"/>
    <mergeCell ref="L1306:M1306"/>
    <mergeCell ref="N1306:O1306"/>
    <mergeCell ref="P1308:Q1308"/>
    <mergeCell ref="R1308:S1308"/>
    <mergeCell ref="T1308:U1308"/>
    <mergeCell ref="V1308:W1308"/>
    <mergeCell ref="X1308:Y1308"/>
    <mergeCell ref="Z1308:AA1308"/>
    <mergeCell ref="AB1308:AC1308"/>
    <mergeCell ref="B1308:C1308"/>
    <mergeCell ref="D1308:E1308"/>
    <mergeCell ref="F1308:G1308"/>
    <mergeCell ref="H1308:I1308"/>
    <mergeCell ref="J1308:K1308"/>
    <mergeCell ref="L1308:M1308"/>
    <mergeCell ref="N1308:O1308"/>
    <mergeCell ref="AH1309:AI1309"/>
    <mergeCell ref="AJ1309:AK1309"/>
    <mergeCell ref="AL1309:BB1309"/>
    <mergeCell ref="B1309:C1309"/>
    <mergeCell ref="D1309:E1309"/>
    <mergeCell ref="F1309:G1309"/>
    <mergeCell ref="H1309:I1309"/>
    <mergeCell ref="J1309:K1309"/>
    <mergeCell ref="L1309:M1309"/>
    <mergeCell ref="N1309:O1309"/>
    <mergeCell ref="AD1309:AE1309"/>
    <mergeCell ref="AF1309:AG1309"/>
    <mergeCell ref="P1309:Q1309"/>
    <mergeCell ref="R1309:S1309"/>
    <mergeCell ref="T1309:U1309"/>
    <mergeCell ref="V1309:W1309"/>
    <mergeCell ref="X1309:Y1309"/>
    <mergeCell ref="Z1309:AA1309"/>
    <mergeCell ref="AB1309:AC1309"/>
    <mergeCell ref="AD1310:AE1310"/>
    <mergeCell ref="AF1310:AG1310"/>
    <mergeCell ref="AH1310:AI1310"/>
    <mergeCell ref="AJ1310:AK1310"/>
    <mergeCell ref="AL1310:BB1310"/>
    <mergeCell ref="P1310:Q1310"/>
    <mergeCell ref="R1310:S1310"/>
    <mergeCell ref="T1310:U1310"/>
    <mergeCell ref="V1310:W1310"/>
    <mergeCell ref="X1310:Y1310"/>
    <mergeCell ref="Z1310:AA1310"/>
    <mergeCell ref="AB1310:AC1310"/>
    <mergeCell ref="B1310:C1310"/>
    <mergeCell ref="D1310:E1310"/>
    <mergeCell ref="F1310:G1310"/>
    <mergeCell ref="H1310:I1310"/>
    <mergeCell ref="J1310:K1310"/>
    <mergeCell ref="L1310:M1310"/>
    <mergeCell ref="N1310:O1310"/>
    <mergeCell ref="AD1311:AE1311"/>
    <mergeCell ref="AF1311:AG1311"/>
    <mergeCell ref="AH1311:AI1311"/>
    <mergeCell ref="AJ1311:AK1311"/>
    <mergeCell ref="AL1311:BB1311"/>
    <mergeCell ref="AH1312:AI1312"/>
    <mergeCell ref="AJ1312:AK1312"/>
    <mergeCell ref="AL1312:BB1312"/>
    <mergeCell ref="B1312:C1312"/>
    <mergeCell ref="D1312:E1312"/>
    <mergeCell ref="F1312:G1312"/>
    <mergeCell ref="H1312:I1312"/>
    <mergeCell ref="J1312:K1312"/>
    <mergeCell ref="L1312:M1312"/>
    <mergeCell ref="N1312:O1312"/>
    <mergeCell ref="AD1297:AE1297"/>
    <mergeCell ref="AF1297:AG1297"/>
    <mergeCell ref="P1297:Q1297"/>
    <mergeCell ref="R1297:S1297"/>
    <mergeCell ref="T1297:U1297"/>
    <mergeCell ref="V1297:W1297"/>
    <mergeCell ref="X1297:Y1297"/>
    <mergeCell ref="Z1297:AA1297"/>
    <mergeCell ref="AB1297:AC1297"/>
    <mergeCell ref="AD1298:AE1298"/>
    <mergeCell ref="AF1298:AG1298"/>
    <mergeCell ref="AH1298:AI1298"/>
    <mergeCell ref="AJ1298:AK1298"/>
    <mergeCell ref="AL1298:BB1298"/>
    <mergeCell ref="P1298:Q1298"/>
    <mergeCell ref="R1298:S1298"/>
    <mergeCell ref="T1298:U1298"/>
    <mergeCell ref="V1298:W1298"/>
    <mergeCell ref="X1298:Y1298"/>
    <mergeCell ref="Z1298:AA1298"/>
    <mergeCell ref="AB1298:AC1298"/>
    <mergeCell ref="B1298:C1298"/>
    <mergeCell ref="D1298:E1298"/>
    <mergeCell ref="F1298:G1298"/>
    <mergeCell ref="H1298:I1298"/>
    <mergeCell ref="J1298:K1298"/>
    <mergeCell ref="L1298:M1298"/>
    <mergeCell ref="N1298:O1298"/>
    <mergeCell ref="AD1299:AE1299"/>
    <mergeCell ref="AF1299:AG1299"/>
    <mergeCell ref="AH1299:AI1299"/>
    <mergeCell ref="AJ1299:AK1299"/>
    <mergeCell ref="AL1299:BB1299"/>
    <mergeCell ref="AH1300:AI1300"/>
    <mergeCell ref="AJ1300:AK1300"/>
    <mergeCell ref="AL1300:BB1300"/>
    <mergeCell ref="B1300:C1300"/>
    <mergeCell ref="D1300:E1300"/>
    <mergeCell ref="F1300:G1300"/>
    <mergeCell ref="H1300:I1300"/>
    <mergeCell ref="J1300:K1300"/>
    <mergeCell ref="L1300:M1300"/>
    <mergeCell ref="N1300:O1300"/>
    <mergeCell ref="AD1300:AE1300"/>
    <mergeCell ref="AF1300:AG1300"/>
    <mergeCell ref="P1300:Q1300"/>
    <mergeCell ref="R1300:S1300"/>
    <mergeCell ref="T1300:U1300"/>
    <mergeCell ref="V1300:W1300"/>
    <mergeCell ref="AL1302:BB1302"/>
    <mergeCell ref="AH1303:AI1303"/>
    <mergeCell ref="AJ1303:AK1303"/>
    <mergeCell ref="AL1303:BB1303"/>
    <mergeCell ref="B1303:C1303"/>
    <mergeCell ref="D1303:E1303"/>
    <mergeCell ref="F1303:G1303"/>
    <mergeCell ref="H1303:I1303"/>
    <mergeCell ref="J1303:K1303"/>
    <mergeCell ref="L1303:M1303"/>
    <mergeCell ref="N1303:O1303"/>
    <mergeCell ref="P1305:Q1305"/>
    <mergeCell ref="R1305:S1305"/>
    <mergeCell ref="T1305:U1305"/>
    <mergeCell ref="V1305:W1305"/>
    <mergeCell ref="X1305:Y1305"/>
    <mergeCell ref="Z1305:AA1305"/>
    <mergeCell ref="AB1305:AC1305"/>
    <mergeCell ref="B1305:C1305"/>
    <mergeCell ref="D1305:E1305"/>
    <mergeCell ref="F1305:G1305"/>
    <mergeCell ref="H1305:I1305"/>
    <mergeCell ref="J1305:K1305"/>
    <mergeCell ref="L1305:M1305"/>
    <mergeCell ref="N1305:O1305"/>
    <mergeCell ref="AD1303:AE1303"/>
    <mergeCell ref="AF1303:AG1303"/>
    <mergeCell ref="P1303:Q1303"/>
    <mergeCell ref="R1303:S1303"/>
    <mergeCell ref="T1303:U1303"/>
    <mergeCell ref="V1303:W1303"/>
    <mergeCell ref="X1303:Y1303"/>
    <mergeCell ref="Z1303:AA1303"/>
    <mergeCell ref="AB1303:AC1303"/>
    <mergeCell ref="AD1304:AE1304"/>
    <mergeCell ref="AF1304:AG1304"/>
    <mergeCell ref="AH1304:AI1304"/>
    <mergeCell ref="AJ1304:AK1304"/>
    <mergeCell ref="AL1304:BB1304"/>
    <mergeCell ref="P1304:Q1304"/>
    <mergeCell ref="R1304:S1304"/>
    <mergeCell ref="T1304:U1304"/>
    <mergeCell ref="V1304:W1304"/>
    <mergeCell ref="X1304:Y1304"/>
    <mergeCell ref="Z1304:AA1304"/>
    <mergeCell ref="AB1304:AC1304"/>
    <mergeCell ref="B1304:C1304"/>
    <mergeCell ref="D1304:E1304"/>
    <mergeCell ref="F1304:G1304"/>
    <mergeCell ref="H1304:I1304"/>
    <mergeCell ref="J1304:K1304"/>
    <mergeCell ref="L1304:M1304"/>
    <mergeCell ref="N1304:O1304"/>
    <mergeCell ref="AD1305:AE1305"/>
    <mergeCell ref="AF1305:AG1305"/>
    <mergeCell ref="AH1305:AI1305"/>
    <mergeCell ref="AJ1305:AK1305"/>
    <mergeCell ref="AL1305:BB1305"/>
    <mergeCell ref="P1311:Q1311"/>
    <mergeCell ref="R1311:S1311"/>
    <mergeCell ref="T1311:U1311"/>
    <mergeCell ref="V1311:W1311"/>
    <mergeCell ref="X1311:Y1311"/>
    <mergeCell ref="Z1311:AA1311"/>
    <mergeCell ref="AB1311:AC1311"/>
    <mergeCell ref="B1311:C1311"/>
    <mergeCell ref="D1311:E1311"/>
    <mergeCell ref="F1311:G1311"/>
    <mergeCell ref="H1311:I1311"/>
    <mergeCell ref="J1311:K1311"/>
    <mergeCell ref="L1311:M1311"/>
    <mergeCell ref="N1311:O1311"/>
    <mergeCell ref="AD1333:AE1333"/>
    <mergeCell ref="AF1333:AG1333"/>
    <mergeCell ref="AH1333:AI1333"/>
    <mergeCell ref="AJ1333:AK1333"/>
    <mergeCell ref="AL1333:BB1333"/>
    <mergeCell ref="P1333:Q1333"/>
    <mergeCell ref="R1333:S1333"/>
    <mergeCell ref="T1333:U1333"/>
    <mergeCell ref="V1333:W1333"/>
    <mergeCell ref="X1333:Y1333"/>
    <mergeCell ref="Z1333:AA1333"/>
    <mergeCell ref="AB1333:AC1333"/>
    <mergeCell ref="P1314:Q1314"/>
    <mergeCell ref="R1314:S1314"/>
    <mergeCell ref="T1314:U1314"/>
    <mergeCell ref="V1314:W1314"/>
    <mergeCell ref="X1314:Y1314"/>
    <mergeCell ref="Z1314:AA1314"/>
    <mergeCell ref="AB1314:AC1314"/>
    <mergeCell ref="B1314:C1314"/>
    <mergeCell ref="D1314:E1314"/>
    <mergeCell ref="F1314:G1314"/>
    <mergeCell ref="H1314:I1314"/>
    <mergeCell ref="J1314:K1314"/>
    <mergeCell ref="L1314:M1314"/>
    <mergeCell ref="N1314:O1314"/>
    <mergeCell ref="AD1312:AE1312"/>
    <mergeCell ref="AF1312:AG1312"/>
    <mergeCell ref="P1312:Q1312"/>
    <mergeCell ref="R1312:S1312"/>
    <mergeCell ref="T1312:U1312"/>
    <mergeCell ref="V1312:W1312"/>
    <mergeCell ref="X1312:Y1312"/>
    <mergeCell ref="Z1312:AA1312"/>
    <mergeCell ref="AB1312:AC1312"/>
    <mergeCell ref="AD1313:AE1313"/>
    <mergeCell ref="AF1313:AG1313"/>
    <mergeCell ref="AH1313:AI1313"/>
    <mergeCell ref="AJ1313:AK1313"/>
    <mergeCell ref="AL1313:BB1313"/>
    <mergeCell ref="P1313:Q1313"/>
    <mergeCell ref="R1313:S1313"/>
    <mergeCell ref="T1313:U1313"/>
    <mergeCell ref="V1313:W1313"/>
    <mergeCell ref="X1313:Y1313"/>
    <mergeCell ref="Z1313:AA1313"/>
    <mergeCell ref="AB1313:AC1313"/>
    <mergeCell ref="B1313:C1313"/>
    <mergeCell ref="D1313:E1313"/>
    <mergeCell ref="F1313:G1313"/>
    <mergeCell ref="H1313:I1313"/>
    <mergeCell ref="J1313:K1313"/>
    <mergeCell ref="L1313:M1313"/>
    <mergeCell ref="N1313:O1313"/>
    <mergeCell ref="AD1314:AE1314"/>
    <mergeCell ref="AF1314:AG1314"/>
    <mergeCell ref="AH1314:AI1314"/>
    <mergeCell ref="AJ1314:AK1314"/>
    <mergeCell ref="AL1314:BB1314"/>
    <mergeCell ref="AH1315:AI1315"/>
    <mergeCell ref="AJ1315:AK1315"/>
    <mergeCell ref="AL1315:BB1315"/>
    <mergeCell ref="B1315:C1315"/>
    <mergeCell ref="D1315:E1315"/>
    <mergeCell ref="F1315:G1315"/>
    <mergeCell ref="H1315:I1315"/>
    <mergeCell ref="J1315:K1315"/>
    <mergeCell ref="L1315:M1315"/>
    <mergeCell ref="N1315:O1315"/>
    <mergeCell ref="P1317:Q1317"/>
    <mergeCell ref="R1317:S1317"/>
    <mergeCell ref="T1317:U1317"/>
    <mergeCell ref="V1317:W1317"/>
    <mergeCell ref="X1317:Y1317"/>
    <mergeCell ref="Z1317:AA1317"/>
    <mergeCell ref="AB1317:AC1317"/>
    <mergeCell ref="B1317:C1317"/>
    <mergeCell ref="D1317:E1317"/>
    <mergeCell ref="F1317:G1317"/>
    <mergeCell ref="H1317:I1317"/>
    <mergeCell ref="J1317:K1317"/>
    <mergeCell ref="L1317:M1317"/>
    <mergeCell ref="N1317:O1317"/>
    <mergeCell ref="AD1315:AE1315"/>
    <mergeCell ref="AF1315:AG1315"/>
    <mergeCell ref="P1315:Q1315"/>
    <mergeCell ref="R1315:S1315"/>
    <mergeCell ref="T1315:U1315"/>
    <mergeCell ref="V1315:W1315"/>
    <mergeCell ref="X1315:Y1315"/>
    <mergeCell ref="Z1315:AA1315"/>
    <mergeCell ref="AB1315:AC1315"/>
    <mergeCell ref="AD1316:AE1316"/>
    <mergeCell ref="AF1316:AG1316"/>
    <mergeCell ref="AH1316:AI1316"/>
    <mergeCell ref="AJ1316:AK1316"/>
    <mergeCell ref="AL1316:BB1316"/>
    <mergeCell ref="P1316:Q1316"/>
    <mergeCell ref="R1316:S1316"/>
    <mergeCell ref="T1316:U1316"/>
    <mergeCell ref="V1316:W1316"/>
    <mergeCell ref="X1316:Y1316"/>
    <mergeCell ref="Z1316:AA1316"/>
    <mergeCell ref="AB1316:AC1316"/>
    <mergeCell ref="B1316:C1316"/>
    <mergeCell ref="D1316:E1316"/>
    <mergeCell ref="F1316:G1316"/>
    <mergeCell ref="H1316:I1316"/>
    <mergeCell ref="J1316:K1316"/>
    <mergeCell ref="L1316:M1316"/>
    <mergeCell ref="N1316:O1316"/>
    <mergeCell ref="AD1317:AE1317"/>
    <mergeCell ref="AF1317:AG1317"/>
    <mergeCell ref="AH1317:AI1317"/>
    <mergeCell ref="AJ1317:AK1317"/>
    <mergeCell ref="AL1317:BB1317"/>
    <mergeCell ref="AH1318:AI1318"/>
    <mergeCell ref="AJ1318:AK1318"/>
    <mergeCell ref="AL1318:BB1318"/>
    <mergeCell ref="B1318:C1318"/>
    <mergeCell ref="D1318:E1318"/>
    <mergeCell ref="F1318:G1318"/>
    <mergeCell ref="H1318:I1318"/>
    <mergeCell ref="J1318:K1318"/>
    <mergeCell ref="L1318:M1318"/>
    <mergeCell ref="N1318:O1318"/>
    <mergeCell ref="P1320:Q1320"/>
    <mergeCell ref="R1320:S1320"/>
    <mergeCell ref="T1320:U1320"/>
    <mergeCell ref="V1320:W1320"/>
    <mergeCell ref="X1320:Y1320"/>
    <mergeCell ref="Z1320:AA1320"/>
    <mergeCell ref="AB1320:AC1320"/>
    <mergeCell ref="B1320:C1320"/>
    <mergeCell ref="D1320:E1320"/>
    <mergeCell ref="F1320:G1320"/>
    <mergeCell ref="H1320:I1320"/>
    <mergeCell ref="J1320:K1320"/>
    <mergeCell ref="L1320:M1320"/>
    <mergeCell ref="N1320:O1320"/>
    <mergeCell ref="AD1318:AE1318"/>
    <mergeCell ref="AF1318:AG1318"/>
    <mergeCell ref="P1318:Q1318"/>
    <mergeCell ref="R1318:S1318"/>
    <mergeCell ref="T1318:U1318"/>
    <mergeCell ref="V1318:W1318"/>
    <mergeCell ref="X1318:Y1318"/>
    <mergeCell ref="Z1318:AA1318"/>
    <mergeCell ref="AB1318:AC1318"/>
    <mergeCell ref="AD1319:AE1319"/>
    <mergeCell ref="AF1319:AG1319"/>
    <mergeCell ref="AH1319:AI1319"/>
    <mergeCell ref="AJ1319:AK1319"/>
    <mergeCell ref="AL1319:BB1319"/>
    <mergeCell ref="P1319:Q1319"/>
    <mergeCell ref="R1319:S1319"/>
    <mergeCell ref="T1319:U1319"/>
    <mergeCell ref="V1319:W1319"/>
    <mergeCell ref="X1319:Y1319"/>
    <mergeCell ref="Z1319:AA1319"/>
    <mergeCell ref="AB1319:AC1319"/>
    <mergeCell ref="B1319:C1319"/>
    <mergeCell ref="D1319:E1319"/>
    <mergeCell ref="F1319:G1319"/>
    <mergeCell ref="H1319:I1319"/>
    <mergeCell ref="J1319:K1319"/>
    <mergeCell ref="L1319:M1319"/>
    <mergeCell ref="N1319:O1319"/>
    <mergeCell ref="AD1320:AE1320"/>
    <mergeCell ref="AF1320:AG1320"/>
    <mergeCell ref="AH1320:AI1320"/>
    <mergeCell ref="AJ1320:AK1320"/>
    <mergeCell ref="AL1320:BB1320"/>
    <mergeCell ref="AH1321:AI1321"/>
    <mergeCell ref="AJ1321:AK1321"/>
    <mergeCell ref="AL1321:BB1321"/>
    <mergeCell ref="B1321:C1321"/>
    <mergeCell ref="D1321:E1321"/>
    <mergeCell ref="F1321:G1321"/>
    <mergeCell ref="H1321:I1321"/>
    <mergeCell ref="J1321:K1321"/>
    <mergeCell ref="L1321:M1321"/>
    <mergeCell ref="N1321:O1321"/>
    <mergeCell ref="P1323:Q1323"/>
    <mergeCell ref="R1323:S1323"/>
    <mergeCell ref="T1323:U1323"/>
    <mergeCell ref="V1323:W1323"/>
    <mergeCell ref="X1323:Y1323"/>
    <mergeCell ref="Z1323:AA1323"/>
    <mergeCell ref="AB1323:AC1323"/>
    <mergeCell ref="B1323:C1323"/>
    <mergeCell ref="D1323:E1323"/>
    <mergeCell ref="F1323:G1323"/>
    <mergeCell ref="H1323:I1323"/>
    <mergeCell ref="J1323:K1323"/>
    <mergeCell ref="L1323:M1323"/>
    <mergeCell ref="N1323:O1323"/>
    <mergeCell ref="AD1321:AE1321"/>
    <mergeCell ref="AF1321:AG1321"/>
    <mergeCell ref="P1321:Q1321"/>
    <mergeCell ref="R1321:S1321"/>
    <mergeCell ref="T1321:U1321"/>
    <mergeCell ref="V1321:W1321"/>
    <mergeCell ref="X1321:Y1321"/>
    <mergeCell ref="Z1321:AA1321"/>
    <mergeCell ref="AB1321:AC1321"/>
    <mergeCell ref="AD1322:AE1322"/>
    <mergeCell ref="AF1322:AG1322"/>
    <mergeCell ref="AH1322:AI1322"/>
    <mergeCell ref="AJ1322:AK1322"/>
    <mergeCell ref="AL1322:BB1322"/>
    <mergeCell ref="P1322:Q1322"/>
    <mergeCell ref="R1322:S1322"/>
    <mergeCell ref="T1322:U1322"/>
    <mergeCell ref="V1322:W1322"/>
    <mergeCell ref="X1322:Y1322"/>
    <mergeCell ref="Z1322:AA1322"/>
    <mergeCell ref="AB1322:AC1322"/>
    <mergeCell ref="B1322:C1322"/>
    <mergeCell ref="D1322:E1322"/>
    <mergeCell ref="F1322:G1322"/>
    <mergeCell ref="H1322:I1322"/>
    <mergeCell ref="J1322:K1322"/>
    <mergeCell ref="L1322:M1322"/>
    <mergeCell ref="N1322:O1322"/>
    <mergeCell ref="AD1323:AE1323"/>
    <mergeCell ref="AF1323:AG1323"/>
    <mergeCell ref="AH1323:AI1323"/>
    <mergeCell ref="AJ1323:AK1323"/>
    <mergeCell ref="AL1323:BB1323"/>
    <mergeCell ref="AH1324:AI1324"/>
    <mergeCell ref="AJ1324:AK1324"/>
    <mergeCell ref="AL1324:BB1324"/>
    <mergeCell ref="B1324:C1324"/>
    <mergeCell ref="D1324:E1324"/>
    <mergeCell ref="F1324:G1324"/>
    <mergeCell ref="H1324:I1324"/>
    <mergeCell ref="J1324:K1324"/>
    <mergeCell ref="L1324:M1324"/>
    <mergeCell ref="N1324:O1324"/>
    <mergeCell ref="P1326:Q1326"/>
    <mergeCell ref="R1326:S1326"/>
    <mergeCell ref="T1326:U1326"/>
    <mergeCell ref="V1326:W1326"/>
    <mergeCell ref="X1326:Y1326"/>
    <mergeCell ref="Z1326:AA1326"/>
    <mergeCell ref="AB1326:AC1326"/>
    <mergeCell ref="B1326:C1326"/>
    <mergeCell ref="D1326:E1326"/>
    <mergeCell ref="F1326:G1326"/>
    <mergeCell ref="H1326:I1326"/>
    <mergeCell ref="J1326:K1326"/>
    <mergeCell ref="L1326:M1326"/>
    <mergeCell ref="N1326:O1326"/>
    <mergeCell ref="AD1324:AE1324"/>
    <mergeCell ref="AF1324:AG1324"/>
    <mergeCell ref="P1324:Q1324"/>
    <mergeCell ref="R1324:S1324"/>
    <mergeCell ref="T1324:U1324"/>
    <mergeCell ref="V1324:W1324"/>
    <mergeCell ref="X1324:Y1324"/>
    <mergeCell ref="Z1324:AA1324"/>
    <mergeCell ref="AB1324:AC1324"/>
    <mergeCell ref="AD1325:AE1325"/>
    <mergeCell ref="AF1325:AG1325"/>
    <mergeCell ref="AH1325:AI1325"/>
    <mergeCell ref="AJ1325:AK1325"/>
    <mergeCell ref="AL1325:BB1325"/>
    <mergeCell ref="P1325:Q1325"/>
    <mergeCell ref="R1325:S1325"/>
    <mergeCell ref="T1325:U1325"/>
    <mergeCell ref="V1325:W1325"/>
    <mergeCell ref="X1325:Y1325"/>
    <mergeCell ref="Z1325:AA1325"/>
    <mergeCell ref="AB1325:AC1325"/>
    <mergeCell ref="B1325:C1325"/>
    <mergeCell ref="D1325:E1325"/>
    <mergeCell ref="F1325:G1325"/>
    <mergeCell ref="H1325:I1325"/>
    <mergeCell ref="J1325:K1325"/>
    <mergeCell ref="L1325:M1325"/>
    <mergeCell ref="N1325:O1325"/>
    <mergeCell ref="AD1326:AE1326"/>
    <mergeCell ref="AF1326:AG1326"/>
    <mergeCell ref="AH1326:AI1326"/>
    <mergeCell ref="AJ1326:AK1326"/>
    <mergeCell ref="AL1326:BB1326"/>
    <mergeCell ref="AH1327:AI1327"/>
    <mergeCell ref="AJ1327:AK1327"/>
    <mergeCell ref="AL1327:BB1327"/>
    <mergeCell ref="B1327:C1327"/>
    <mergeCell ref="D1327:E1327"/>
    <mergeCell ref="F1327:G1327"/>
    <mergeCell ref="H1327:I1327"/>
    <mergeCell ref="J1327:K1327"/>
    <mergeCell ref="L1327:M1327"/>
    <mergeCell ref="N1327:O1327"/>
    <mergeCell ref="P1329:Q1329"/>
    <mergeCell ref="R1329:S1329"/>
    <mergeCell ref="T1329:U1329"/>
    <mergeCell ref="V1329:W1329"/>
    <mergeCell ref="X1329:Y1329"/>
    <mergeCell ref="Z1329:AA1329"/>
    <mergeCell ref="AB1329:AC1329"/>
    <mergeCell ref="B1329:C1329"/>
    <mergeCell ref="D1329:E1329"/>
    <mergeCell ref="F1329:G1329"/>
    <mergeCell ref="H1329:I1329"/>
    <mergeCell ref="J1329:K1329"/>
    <mergeCell ref="L1329:M1329"/>
    <mergeCell ref="N1329:O1329"/>
    <mergeCell ref="AD1327:AE1327"/>
    <mergeCell ref="AF1327:AG1327"/>
    <mergeCell ref="P1327:Q1327"/>
    <mergeCell ref="R1327:S1327"/>
    <mergeCell ref="T1327:U1327"/>
    <mergeCell ref="V1327:W1327"/>
    <mergeCell ref="X1327:Y1327"/>
    <mergeCell ref="Z1327:AA1327"/>
    <mergeCell ref="AB1327:AC1327"/>
    <mergeCell ref="AD1328:AE1328"/>
    <mergeCell ref="AF1328:AG1328"/>
    <mergeCell ref="AH1328:AI1328"/>
    <mergeCell ref="AJ1328:AK1328"/>
    <mergeCell ref="AL1328:BB1328"/>
    <mergeCell ref="P1328:Q1328"/>
    <mergeCell ref="R1328:S1328"/>
    <mergeCell ref="T1328:U1328"/>
    <mergeCell ref="V1328:W1328"/>
    <mergeCell ref="X1328:Y1328"/>
    <mergeCell ref="Z1328:AA1328"/>
    <mergeCell ref="AB1328:AC1328"/>
    <mergeCell ref="B1328:C1328"/>
    <mergeCell ref="D1328:E1328"/>
    <mergeCell ref="F1328:G1328"/>
    <mergeCell ref="H1328:I1328"/>
    <mergeCell ref="J1328:K1328"/>
    <mergeCell ref="L1328:M1328"/>
    <mergeCell ref="N1328:O1328"/>
    <mergeCell ref="AD1329:AE1329"/>
    <mergeCell ref="AF1329:AG1329"/>
    <mergeCell ref="AH1329:AI1329"/>
    <mergeCell ref="AJ1329:AK1329"/>
    <mergeCell ref="AL1329:BB1329"/>
    <mergeCell ref="AH1330:AI1330"/>
    <mergeCell ref="AJ1330:AK1330"/>
    <mergeCell ref="AL1330:BB1330"/>
    <mergeCell ref="B1330:C1330"/>
    <mergeCell ref="D1330:E1330"/>
    <mergeCell ref="F1330:G1330"/>
    <mergeCell ref="H1330:I1330"/>
    <mergeCell ref="J1330:K1330"/>
    <mergeCell ref="L1330:M1330"/>
    <mergeCell ref="N1330:O1330"/>
    <mergeCell ref="P1332:Q1332"/>
    <mergeCell ref="R1332:S1332"/>
    <mergeCell ref="T1332:U1332"/>
    <mergeCell ref="V1332:W1332"/>
    <mergeCell ref="X1332:Y1332"/>
    <mergeCell ref="Z1332:AA1332"/>
    <mergeCell ref="AB1332:AC1332"/>
    <mergeCell ref="B1332:C1332"/>
    <mergeCell ref="D1332:E1332"/>
    <mergeCell ref="F1332:G1332"/>
    <mergeCell ref="H1332:I1332"/>
    <mergeCell ref="J1332:K1332"/>
    <mergeCell ref="L1332:M1332"/>
    <mergeCell ref="N1332:O1332"/>
    <mergeCell ref="AD1330:AE1330"/>
    <mergeCell ref="AF1330:AG1330"/>
    <mergeCell ref="P1330:Q1330"/>
    <mergeCell ref="R1330:S1330"/>
    <mergeCell ref="T1330:U1330"/>
    <mergeCell ref="V1330:W1330"/>
    <mergeCell ref="X1330:Y1330"/>
    <mergeCell ref="Z1330:AA1330"/>
    <mergeCell ref="AB1330:AC1330"/>
    <mergeCell ref="AD1331:AE1331"/>
    <mergeCell ref="AF1331:AG1331"/>
    <mergeCell ref="AH1331:AI1331"/>
    <mergeCell ref="AJ1331:AK1331"/>
    <mergeCell ref="AL1331:BB1331"/>
    <mergeCell ref="P1331:Q1331"/>
    <mergeCell ref="R1331:S1331"/>
    <mergeCell ref="T1331:U1331"/>
    <mergeCell ref="V1331:W1331"/>
    <mergeCell ref="X1331:Y1331"/>
    <mergeCell ref="Z1331:AA1331"/>
    <mergeCell ref="AB1331:AC1331"/>
    <mergeCell ref="B1331:C1331"/>
    <mergeCell ref="D1331:E1331"/>
    <mergeCell ref="F1331:G1331"/>
    <mergeCell ref="H1331:I1331"/>
    <mergeCell ref="J1331:K1331"/>
    <mergeCell ref="L1331:M1331"/>
    <mergeCell ref="N1331:O1331"/>
    <mergeCell ref="AD1332:AE1332"/>
    <mergeCell ref="AF1332:AG1332"/>
    <mergeCell ref="AH1332:AI1332"/>
    <mergeCell ref="AJ1332:AK1332"/>
    <mergeCell ref="AL1332:BB1332"/>
    <mergeCell ref="B1333:C1333"/>
    <mergeCell ref="D1333:E1333"/>
    <mergeCell ref="F1333:G1333"/>
    <mergeCell ref="H1333:I1333"/>
    <mergeCell ref="J1333:K1333"/>
    <mergeCell ref="L1333:M1333"/>
    <mergeCell ref="N1333:O1333"/>
    <mergeCell ref="AD1334:AE1334"/>
    <mergeCell ref="AF1334:AG1334"/>
    <mergeCell ref="AH1334:AI1334"/>
    <mergeCell ref="AJ1334:AK1334"/>
    <mergeCell ref="AL1334:BB1334"/>
    <mergeCell ref="P1334:Q1334"/>
    <mergeCell ref="R1334:S1334"/>
    <mergeCell ref="T1334:U1334"/>
    <mergeCell ref="V1334:W1334"/>
    <mergeCell ref="X1334:Y1334"/>
    <mergeCell ref="Z1334:AA1334"/>
    <mergeCell ref="AB1334:AC1334"/>
    <mergeCell ref="B1334:C1334"/>
    <mergeCell ref="D1334:E1334"/>
    <mergeCell ref="F1334:G1334"/>
    <mergeCell ref="H1334:I1334"/>
    <mergeCell ref="J1334:K1334"/>
    <mergeCell ref="L1334:M1334"/>
    <mergeCell ref="N1334:O1334"/>
    <mergeCell ref="AD1335:AE1335"/>
    <mergeCell ref="AF1335:AG1335"/>
    <mergeCell ref="AH1335:AI1335"/>
    <mergeCell ref="AJ1335:AK1335"/>
    <mergeCell ref="AL1335:BB1335"/>
    <mergeCell ref="P1335:Q1335"/>
    <mergeCell ref="R1335:S1335"/>
    <mergeCell ref="T1335:U1335"/>
    <mergeCell ref="V1335:W1335"/>
    <mergeCell ref="X1335:Y1335"/>
    <mergeCell ref="Z1335:AA1335"/>
    <mergeCell ref="AB1335:AC1335"/>
    <mergeCell ref="B1335:C1335"/>
    <mergeCell ref="D1335:E1335"/>
    <mergeCell ref="F1335:G1335"/>
    <mergeCell ref="H1335:I1335"/>
    <mergeCell ref="J1335:K1335"/>
    <mergeCell ref="L1335:M1335"/>
    <mergeCell ref="N1335:O1335"/>
    <mergeCell ref="AH1336:AI1336"/>
    <mergeCell ref="AJ1336:AK1336"/>
    <mergeCell ref="AL1336:BB1336"/>
    <mergeCell ref="B1336:C1336"/>
    <mergeCell ref="D1336:E1336"/>
    <mergeCell ref="F1336:G1336"/>
    <mergeCell ref="H1336:I1336"/>
    <mergeCell ref="J1336:K1336"/>
    <mergeCell ref="L1336:M1336"/>
    <mergeCell ref="N1336:O1336"/>
    <mergeCell ref="P1338:Q1338"/>
    <mergeCell ref="R1338:S1338"/>
    <mergeCell ref="T1338:U1338"/>
    <mergeCell ref="V1338:W1338"/>
    <mergeCell ref="X1338:Y1338"/>
    <mergeCell ref="Z1338:AA1338"/>
    <mergeCell ref="AB1338:AC1338"/>
    <mergeCell ref="B1338:C1338"/>
    <mergeCell ref="D1338:E1338"/>
    <mergeCell ref="F1338:G1338"/>
    <mergeCell ref="H1338:I1338"/>
    <mergeCell ref="J1338:K1338"/>
    <mergeCell ref="L1338:M1338"/>
    <mergeCell ref="N1338:O1338"/>
    <mergeCell ref="AD1336:AE1336"/>
    <mergeCell ref="AF1336:AG1336"/>
    <mergeCell ref="P1336:Q1336"/>
    <mergeCell ref="R1336:S1336"/>
    <mergeCell ref="T1336:U1336"/>
    <mergeCell ref="V1336:W1336"/>
    <mergeCell ref="X1336:Y1336"/>
    <mergeCell ref="Z1336:AA1336"/>
    <mergeCell ref="AB1336:AC1336"/>
    <mergeCell ref="AD1337:AE1337"/>
    <mergeCell ref="AF1337:AG1337"/>
    <mergeCell ref="AH1337:AI1337"/>
    <mergeCell ref="AJ1337:AK1337"/>
    <mergeCell ref="AL1337:BB1337"/>
    <mergeCell ref="P1337:Q1337"/>
    <mergeCell ref="R1337:S1337"/>
    <mergeCell ref="T1337:U1337"/>
    <mergeCell ref="V1337:W1337"/>
    <mergeCell ref="X1337:Y1337"/>
    <mergeCell ref="Z1337:AA1337"/>
    <mergeCell ref="AB1337:AC1337"/>
    <mergeCell ref="B1337:C1337"/>
    <mergeCell ref="D1337:E1337"/>
    <mergeCell ref="F1337:G1337"/>
    <mergeCell ref="H1337:I1337"/>
    <mergeCell ref="J1337:K1337"/>
    <mergeCell ref="L1337:M1337"/>
    <mergeCell ref="N1337:O1337"/>
    <mergeCell ref="AD1338:AE1338"/>
    <mergeCell ref="AF1338:AG1338"/>
    <mergeCell ref="AH1338:AI1338"/>
    <mergeCell ref="AJ1338:AK1338"/>
    <mergeCell ref="AL1338:BB1338"/>
    <mergeCell ref="AH1339:AI1339"/>
    <mergeCell ref="AJ1339:AK1339"/>
    <mergeCell ref="AL1339:BB1339"/>
    <mergeCell ref="B1339:C1339"/>
    <mergeCell ref="D1339:E1339"/>
    <mergeCell ref="F1339:G1339"/>
    <mergeCell ref="H1339:I1339"/>
    <mergeCell ref="J1339:K1339"/>
    <mergeCell ref="L1339:M1339"/>
    <mergeCell ref="N1339:O1339"/>
    <mergeCell ref="P1341:Q1341"/>
    <mergeCell ref="R1341:S1341"/>
    <mergeCell ref="T1341:U1341"/>
    <mergeCell ref="V1341:W1341"/>
    <mergeCell ref="X1341:Y1341"/>
    <mergeCell ref="Z1341:AA1341"/>
    <mergeCell ref="AB1341:AC1341"/>
    <mergeCell ref="B1341:C1341"/>
    <mergeCell ref="D1341:E1341"/>
    <mergeCell ref="F1341:G1341"/>
    <mergeCell ref="H1341:I1341"/>
    <mergeCell ref="J1341:K1341"/>
    <mergeCell ref="L1341:M1341"/>
    <mergeCell ref="N1341:O1341"/>
    <mergeCell ref="P1344:Q1344"/>
    <mergeCell ref="R1344:S1344"/>
    <mergeCell ref="T1344:U1344"/>
    <mergeCell ref="V1344:W1344"/>
    <mergeCell ref="X1344:Y1344"/>
    <mergeCell ref="Z1344:AA1344"/>
    <mergeCell ref="AB1344:AC1344"/>
    <mergeCell ref="B1344:C1344"/>
    <mergeCell ref="D1344:E1344"/>
    <mergeCell ref="F1344:G1344"/>
    <mergeCell ref="H1344:I1344"/>
    <mergeCell ref="J1344:K1344"/>
    <mergeCell ref="L1344:M1344"/>
    <mergeCell ref="N1344:O1344"/>
    <mergeCell ref="X1342:Y1342"/>
    <mergeCell ref="Z1342:AA1342"/>
    <mergeCell ref="AB1342:AC1342"/>
    <mergeCell ref="AD1343:AE1343"/>
    <mergeCell ref="AF1343:AG1343"/>
    <mergeCell ref="AH1343:AI1343"/>
    <mergeCell ref="AJ1343:AK1343"/>
    <mergeCell ref="AL1343:BB1343"/>
    <mergeCell ref="P1343:Q1343"/>
    <mergeCell ref="R1343:S1343"/>
    <mergeCell ref="T1343:U1343"/>
    <mergeCell ref="V1343:W1343"/>
    <mergeCell ref="X1343:Y1343"/>
    <mergeCell ref="Z1343:AA1343"/>
    <mergeCell ref="AB1343:AC1343"/>
    <mergeCell ref="B1343:C1343"/>
    <mergeCell ref="D1343:E1343"/>
    <mergeCell ref="F1343:G1343"/>
    <mergeCell ref="H1343:I1343"/>
    <mergeCell ref="J1343:K1343"/>
    <mergeCell ref="L1343:M1343"/>
    <mergeCell ref="N1343:O1343"/>
    <mergeCell ref="AD1344:AE1344"/>
    <mergeCell ref="AF1344:AG1344"/>
    <mergeCell ref="AH1344:AI1344"/>
    <mergeCell ref="AJ1344:AK1344"/>
    <mergeCell ref="AD1348:AE1348"/>
    <mergeCell ref="AF1348:AG1348"/>
    <mergeCell ref="P1348:Q1348"/>
    <mergeCell ref="R1348:S1348"/>
    <mergeCell ref="T1348:U1348"/>
    <mergeCell ref="V1348:W1348"/>
    <mergeCell ref="X1348:Y1348"/>
    <mergeCell ref="Z1348:AA1348"/>
    <mergeCell ref="AB1348:AC1348"/>
    <mergeCell ref="AD1349:AE1349"/>
    <mergeCell ref="AF1349:AG1349"/>
    <mergeCell ref="AH1349:AI1349"/>
    <mergeCell ref="AJ1349:AK1349"/>
    <mergeCell ref="AL1349:BB1349"/>
    <mergeCell ref="P1349:Q1349"/>
    <mergeCell ref="R1349:S1349"/>
    <mergeCell ref="T1349:U1349"/>
    <mergeCell ref="V1349:W1349"/>
    <mergeCell ref="X1349:Y1349"/>
    <mergeCell ref="Z1349:AA1349"/>
    <mergeCell ref="AB1349:AC1349"/>
    <mergeCell ref="B1349:C1349"/>
    <mergeCell ref="D1349:E1349"/>
    <mergeCell ref="F1349:G1349"/>
    <mergeCell ref="H1349:I1349"/>
    <mergeCell ref="J1349:K1349"/>
    <mergeCell ref="L1349:M1349"/>
    <mergeCell ref="N1349:O1349"/>
    <mergeCell ref="AD1350:AE1350"/>
    <mergeCell ref="AF1350:AG1350"/>
    <mergeCell ref="AH1350:AI1350"/>
    <mergeCell ref="AJ1350:AK1350"/>
    <mergeCell ref="AL1350:BB1350"/>
    <mergeCell ref="AH1348:AI1348"/>
    <mergeCell ref="AJ1348:AK1348"/>
    <mergeCell ref="AL1348:BB1348"/>
    <mergeCell ref="B1348:C1348"/>
    <mergeCell ref="D1348:E1348"/>
    <mergeCell ref="F1348:G1348"/>
    <mergeCell ref="H1348:I1348"/>
    <mergeCell ref="J1348:K1348"/>
    <mergeCell ref="L1348:M1348"/>
    <mergeCell ref="N1348:O1348"/>
    <mergeCell ref="P1350:Q1350"/>
    <mergeCell ref="R1350:S1350"/>
    <mergeCell ref="T1350:U1350"/>
    <mergeCell ref="V1350:W1350"/>
    <mergeCell ref="X1350:Y1350"/>
    <mergeCell ref="Z1350:AA1350"/>
    <mergeCell ref="AB1350:AC1350"/>
    <mergeCell ref="B1350:C1350"/>
    <mergeCell ref="D1350:E1350"/>
    <mergeCell ref="F1350:G1350"/>
    <mergeCell ref="H1350:I1350"/>
    <mergeCell ref="J1350:K1350"/>
    <mergeCell ref="L1350:M1350"/>
    <mergeCell ref="N1350:O1350"/>
    <mergeCell ref="AH1351:AI1351"/>
    <mergeCell ref="AJ1351:AK1351"/>
    <mergeCell ref="AL1351:BB1351"/>
    <mergeCell ref="B1351:C1351"/>
    <mergeCell ref="D1351:E1351"/>
    <mergeCell ref="F1351:G1351"/>
    <mergeCell ref="H1351:I1351"/>
    <mergeCell ref="J1351:K1351"/>
    <mergeCell ref="L1351:M1351"/>
    <mergeCell ref="N1351:O1351"/>
    <mergeCell ref="AD1351:AE1351"/>
    <mergeCell ref="AF1351:AG1351"/>
    <mergeCell ref="P1351:Q1351"/>
    <mergeCell ref="R1351:S1351"/>
    <mergeCell ref="T1351:U1351"/>
    <mergeCell ref="V1351:W1351"/>
    <mergeCell ref="X1351:Y1351"/>
    <mergeCell ref="Z1351:AA1351"/>
    <mergeCell ref="AB1351:AC1351"/>
    <mergeCell ref="AD1352:AE1352"/>
    <mergeCell ref="AF1352:AG1352"/>
    <mergeCell ref="AH1352:AI1352"/>
    <mergeCell ref="AJ1352:AK1352"/>
    <mergeCell ref="AL1352:BB1352"/>
    <mergeCell ref="P1352:Q1352"/>
    <mergeCell ref="R1352:S1352"/>
    <mergeCell ref="T1352:U1352"/>
    <mergeCell ref="V1352:W1352"/>
    <mergeCell ref="X1352:Y1352"/>
    <mergeCell ref="Z1352:AA1352"/>
    <mergeCell ref="AB1352:AC1352"/>
    <mergeCell ref="B1352:C1352"/>
    <mergeCell ref="D1352:E1352"/>
    <mergeCell ref="F1352:G1352"/>
    <mergeCell ref="H1352:I1352"/>
    <mergeCell ref="J1352:K1352"/>
    <mergeCell ref="L1352:M1352"/>
    <mergeCell ref="N1352:O1352"/>
    <mergeCell ref="AD1353:AE1353"/>
    <mergeCell ref="AF1353:AG1353"/>
    <mergeCell ref="AH1353:AI1353"/>
    <mergeCell ref="AJ1353:AK1353"/>
    <mergeCell ref="AL1353:BB1353"/>
    <mergeCell ref="AH1354:AI1354"/>
    <mergeCell ref="AJ1354:AK1354"/>
    <mergeCell ref="AL1354:BB1354"/>
    <mergeCell ref="B1354:C1354"/>
    <mergeCell ref="D1354:E1354"/>
    <mergeCell ref="F1354:G1354"/>
    <mergeCell ref="H1354:I1354"/>
    <mergeCell ref="J1354:K1354"/>
    <mergeCell ref="L1354:M1354"/>
    <mergeCell ref="N1354:O1354"/>
    <mergeCell ref="AD1339:AE1339"/>
    <mergeCell ref="AF1339:AG1339"/>
    <mergeCell ref="P1339:Q1339"/>
    <mergeCell ref="R1339:S1339"/>
    <mergeCell ref="T1339:U1339"/>
    <mergeCell ref="V1339:W1339"/>
    <mergeCell ref="X1339:Y1339"/>
    <mergeCell ref="Z1339:AA1339"/>
    <mergeCell ref="AB1339:AC1339"/>
    <mergeCell ref="AD1340:AE1340"/>
    <mergeCell ref="AF1340:AG1340"/>
    <mergeCell ref="AH1340:AI1340"/>
    <mergeCell ref="AJ1340:AK1340"/>
    <mergeCell ref="AL1340:BB1340"/>
    <mergeCell ref="P1340:Q1340"/>
    <mergeCell ref="R1340:S1340"/>
    <mergeCell ref="T1340:U1340"/>
    <mergeCell ref="V1340:W1340"/>
    <mergeCell ref="X1340:Y1340"/>
    <mergeCell ref="Z1340:AA1340"/>
    <mergeCell ref="AB1340:AC1340"/>
    <mergeCell ref="B1340:C1340"/>
    <mergeCell ref="D1340:E1340"/>
    <mergeCell ref="F1340:G1340"/>
    <mergeCell ref="H1340:I1340"/>
    <mergeCell ref="J1340:K1340"/>
    <mergeCell ref="L1340:M1340"/>
    <mergeCell ref="N1340:O1340"/>
    <mergeCell ref="AD1341:AE1341"/>
    <mergeCell ref="AF1341:AG1341"/>
    <mergeCell ref="AH1341:AI1341"/>
    <mergeCell ref="AJ1341:AK1341"/>
    <mergeCell ref="AL1341:BB1341"/>
    <mergeCell ref="AH1342:AI1342"/>
    <mergeCell ref="AJ1342:AK1342"/>
    <mergeCell ref="AL1342:BB1342"/>
    <mergeCell ref="B1342:C1342"/>
    <mergeCell ref="D1342:E1342"/>
    <mergeCell ref="F1342:G1342"/>
    <mergeCell ref="H1342:I1342"/>
    <mergeCell ref="J1342:K1342"/>
    <mergeCell ref="L1342:M1342"/>
    <mergeCell ref="N1342:O1342"/>
    <mergeCell ref="AD1342:AE1342"/>
    <mergeCell ref="AF1342:AG1342"/>
    <mergeCell ref="P1342:Q1342"/>
    <mergeCell ref="R1342:S1342"/>
    <mergeCell ref="T1342:U1342"/>
    <mergeCell ref="V1342:W1342"/>
    <mergeCell ref="AL1344:BB1344"/>
    <mergeCell ref="AH1345:AI1345"/>
    <mergeCell ref="AJ1345:AK1345"/>
    <mergeCell ref="AL1345:BB1345"/>
    <mergeCell ref="B1345:C1345"/>
    <mergeCell ref="D1345:E1345"/>
    <mergeCell ref="F1345:G1345"/>
    <mergeCell ref="H1345:I1345"/>
    <mergeCell ref="J1345:K1345"/>
    <mergeCell ref="L1345:M1345"/>
    <mergeCell ref="N1345:O1345"/>
    <mergeCell ref="P1347:Q1347"/>
    <mergeCell ref="R1347:S1347"/>
    <mergeCell ref="T1347:U1347"/>
    <mergeCell ref="V1347:W1347"/>
    <mergeCell ref="X1347:Y1347"/>
    <mergeCell ref="Z1347:AA1347"/>
    <mergeCell ref="AB1347:AC1347"/>
    <mergeCell ref="B1347:C1347"/>
    <mergeCell ref="D1347:E1347"/>
    <mergeCell ref="F1347:G1347"/>
    <mergeCell ref="H1347:I1347"/>
    <mergeCell ref="J1347:K1347"/>
    <mergeCell ref="L1347:M1347"/>
    <mergeCell ref="N1347:O1347"/>
    <mergeCell ref="AD1345:AE1345"/>
    <mergeCell ref="AF1345:AG1345"/>
    <mergeCell ref="P1345:Q1345"/>
    <mergeCell ref="R1345:S1345"/>
    <mergeCell ref="T1345:U1345"/>
    <mergeCell ref="V1345:W1345"/>
    <mergeCell ref="X1345:Y1345"/>
    <mergeCell ref="Z1345:AA1345"/>
    <mergeCell ref="AB1345:AC1345"/>
    <mergeCell ref="AD1346:AE1346"/>
    <mergeCell ref="AF1346:AG1346"/>
    <mergeCell ref="AH1346:AI1346"/>
    <mergeCell ref="AJ1346:AK1346"/>
    <mergeCell ref="AL1346:BB1346"/>
    <mergeCell ref="P1346:Q1346"/>
    <mergeCell ref="R1346:S1346"/>
    <mergeCell ref="T1346:U1346"/>
    <mergeCell ref="V1346:W1346"/>
    <mergeCell ref="X1346:Y1346"/>
    <mergeCell ref="Z1346:AA1346"/>
    <mergeCell ref="AB1346:AC1346"/>
    <mergeCell ref="B1346:C1346"/>
    <mergeCell ref="D1346:E1346"/>
    <mergeCell ref="F1346:G1346"/>
    <mergeCell ref="H1346:I1346"/>
    <mergeCell ref="J1346:K1346"/>
    <mergeCell ref="L1346:M1346"/>
    <mergeCell ref="N1346:O1346"/>
    <mergeCell ref="AD1347:AE1347"/>
    <mergeCell ref="AF1347:AG1347"/>
    <mergeCell ref="AH1347:AI1347"/>
    <mergeCell ref="AJ1347:AK1347"/>
    <mergeCell ref="AL1347:BB1347"/>
    <mergeCell ref="P1353:Q1353"/>
    <mergeCell ref="R1353:S1353"/>
    <mergeCell ref="T1353:U1353"/>
    <mergeCell ref="V1353:W1353"/>
    <mergeCell ref="X1353:Y1353"/>
    <mergeCell ref="Z1353:AA1353"/>
    <mergeCell ref="AB1353:AC1353"/>
    <mergeCell ref="B1353:C1353"/>
    <mergeCell ref="D1353:E1353"/>
    <mergeCell ref="F1353:G1353"/>
    <mergeCell ref="H1353:I1353"/>
    <mergeCell ref="J1353:K1353"/>
    <mergeCell ref="L1353:M1353"/>
    <mergeCell ref="N1353:O1353"/>
    <mergeCell ref="AD1375:AE1375"/>
    <mergeCell ref="AF1375:AG1375"/>
    <mergeCell ref="AH1375:AI1375"/>
    <mergeCell ref="AJ1375:AK1375"/>
    <mergeCell ref="AL1375:BB1375"/>
    <mergeCell ref="P1375:Q1375"/>
    <mergeCell ref="R1375:S1375"/>
    <mergeCell ref="T1375:U1375"/>
    <mergeCell ref="V1375:W1375"/>
    <mergeCell ref="X1375:Y1375"/>
    <mergeCell ref="Z1375:AA1375"/>
    <mergeCell ref="AB1375:AC1375"/>
    <mergeCell ref="P1356:Q1356"/>
    <mergeCell ref="R1356:S1356"/>
    <mergeCell ref="T1356:U1356"/>
    <mergeCell ref="V1356:W1356"/>
    <mergeCell ref="X1356:Y1356"/>
    <mergeCell ref="Z1356:AA1356"/>
    <mergeCell ref="AB1356:AC1356"/>
    <mergeCell ref="B1356:C1356"/>
    <mergeCell ref="D1356:E1356"/>
    <mergeCell ref="F1356:G1356"/>
    <mergeCell ref="H1356:I1356"/>
    <mergeCell ref="J1356:K1356"/>
    <mergeCell ref="L1356:M1356"/>
    <mergeCell ref="N1356:O1356"/>
    <mergeCell ref="AD1354:AE1354"/>
    <mergeCell ref="AF1354:AG1354"/>
    <mergeCell ref="P1354:Q1354"/>
    <mergeCell ref="R1354:S1354"/>
    <mergeCell ref="T1354:U1354"/>
    <mergeCell ref="V1354:W1354"/>
    <mergeCell ref="X1354:Y1354"/>
    <mergeCell ref="Z1354:AA1354"/>
    <mergeCell ref="AB1354:AC1354"/>
    <mergeCell ref="AD1355:AE1355"/>
    <mergeCell ref="AF1355:AG1355"/>
    <mergeCell ref="AH1355:AI1355"/>
    <mergeCell ref="AJ1355:AK1355"/>
    <mergeCell ref="AL1355:BB1355"/>
    <mergeCell ref="P1355:Q1355"/>
    <mergeCell ref="R1355:S1355"/>
    <mergeCell ref="T1355:U1355"/>
    <mergeCell ref="V1355:W1355"/>
    <mergeCell ref="X1355:Y1355"/>
    <mergeCell ref="Z1355:AA1355"/>
    <mergeCell ref="AB1355:AC1355"/>
    <mergeCell ref="B1355:C1355"/>
    <mergeCell ref="D1355:E1355"/>
    <mergeCell ref="F1355:G1355"/>
    <mergeCell ref="H1355:I1355"/>
    <mergeCell ref="J1355:K1355"/>
    <mergeCell ref="L1355:M1355"/>
    <mergeCell ref="N1355:O1355"/>
    <mergeCell ref="AD1356:AE1356"/>
    <mergeCell ref="AF1356:AG1356"/>
    <mergeCell ref="AH1356:AI1356"/>
    <mergeCell ref="AJ1356:AK1356"/>
    <mergeCell ref="AL1356:BB1356"/>
    <mergeCell ref="AH1357:AI1357"/>
    <mergeCell ref="AJ1357:AK1357"/>
    <mergeCell ref="AL1357:BB1357"/>
    <mergeCell ref="B1357:C1357"/>
    <mergeCell ref="D1357:E1357"/>
    <mergeCell ref="F1357:G1357"/>
    <mergeCell ref="H1357:I1357"/>
    <mergeCell ref="J1357:K1357"/>
    <mergeCell ref="L1357:M1357"/>
    <mergeCell ref="N1357:O1357"/>
    <mergeCell ref="P1359:Q1359"/>
    <mergeCell ref="R1359:S1359"/>
    <mergeCell ref="T1359:U1359"/>
    <mergeCell ref="V1359:W1359"/>
    <mergeCell ref="X1359:Y1359"/>
    <mergeCell ref="Z1359:AA1359"/>
    <mergeCell ref="AB1359:AC1359"/>
    <mergeCell ref="B1359:C1359"/>
    <mergeCell ref="D1359:E1359"/>
    <mergeCell ref="F1359:G1359"/>
    <mergeCell ref="H1359:I1359"/>
    <mergeCell ref="J1359:K1359"/>
    <mergeCell ref="L1359:M1359"/>
    <mergeCell ref="N1359:O1359"/>
    <mergeCell ref="AD1357:AE1357"/>
    <mergeCell ref="AF1357:AG1357"/>
    <mergeCell ref="P1357:Q1357"/>
    <mergeCell ref="R1357:S1357"/>
    <mergeCell ref="T1357:U1357"/>
    <mergeCell ref="V1357:W1357"/>
    <mergeCell ref="X1357:Y1357"/>
    <mergeCell ref="Z1357:AA1357"/>
    <mergeCell ref="AB1357:AC1357"/>
    <mergeCell ref="AD1358:AE1358"/>
    <mergeCell ref="AF1358:AG1358"/>
    <mergeCell ref="AH1358:AI1358"/>
    <mergeCell ref="AJ1358:AK1358"/>
    <mergeCell ref="AL1358:BB1358"/>
    <mergeCell ref="P1358:Q1358"/>
    <mergeCell ref="R1358:S1358"/>
    <mergeCell ref="T1358:U1358"/>
    <mergeCell ref="V1358:W1358"/>
    <mergeCell ref="X1358:Y1358"/>
    <mergeCell ref="Z1358:AA1358"/>
    <mergeCell ref="AB1358:AC1358"/>
    <mergeCell ref="B1358:C1358"/>
    <mergeCell ref="D1358:E1358"/>
    <mergeCell ref="F1358:G1358"/>
    <mergeCell ref="H1358:I1358"/>
    <mergeCell ref="J1358:K1358"/>
    <mergeCell ref="L1358:M1358"/>
    <mergeCell ref="N1358:O1358"/>
    <mergeCell ref="AD1359:AE1359"/>
    <mergeCell ref="AF1359:AG1359"/>
    <mergeCell ref="AH1359:AI1359"/>
    <mergeCell ref="AJ1359:AK1359"/>
    <mergeCell ref="AL1359:BB1359"/>
    <mergeCell ref="AH1360:AI1360"/>
    <mergeCell ref="AJ1360:AK1360"/>
    <mergeCell ref="AL1360:BB1360"/>
    <mergeCell ref="B1360:C1360"/>
    <mergeCell ref="D1360:E1360"/>
    <mergeCell ref="F1360:G1360"/>
    <mergeCell ref="H1360:I1360"/>
    <mergeCell ref="J1360:K1360"/>
    <mergeCell ref="L1360:M1360"/>
    <mergeCell ref="N1360:O1360"/>
    <mergeCell ref="P1362:Q1362"/>
    <mergeCell ref="R1362:S1362"/>
    <mergeCell ref="T1362:U1362"/>
    <mergeCell ref="V1362:W1362"/>
    <mergeCell ref="X1362:Y1362"/>
    <mergeCell ref="Z1362:AA1362"/>
    <mergeCell ref="AB1362:AC1362"/>
    <mergeCell ref="B1362:C1362"/>
    <mergeCell ref="D1362:E1362"/>
    <mergeCell ref="F1362:G1362"/>
    <mergeCell ref="H1362:I1362"/>
    <mergeCell ref="J1362:K1362"/>
    <mergeCell ref="L1362:M1362"/>
    <mergeCell ref="N1362:O1362"/>
    <mergeCell ref="AD1360:AE1360"/>
    <mergeCell ref="AF1360:AG1360"/>
    <mergeCell ref="P1360:Q1360"/>
    <mergeCell ref="R1360:S1360"/>
    <mergeCell ref="T1360:U1360"/>
    <mergeCell ref="V1360:W1360"/>
    <mergeCell ref="X1360:Y1360"/>
    <mergeCell ref="Z1360:AA1360"/>
    <mergeCell ref="AB1360:AC1360"/>
    <mergeCell ref="AD1361:AE1361"/>
    <mergeCell ref="AF1361:AG1361"/>
    <mergeCell ref="AH1361:AI1361"/>
    <mergeCell ref="AJ1361:AK1361"/>
    <mergeCell ref="AL1361:BB1361"/>
    <mergeCell ref="P1361:Q1361"/>
    <mergeCell ref="R1361:S1361"/>
    <mergeCell ref="T1361:U1361"/>
    <mergeCell ref="V1361:W1361"/>
    <mergeCell ref="X1361:Y1361"/>
    <mergeCell ref="Z1361:AA1361"/>
    <mergeCell ref="AB1361:AC1361"/>
    <mergeCell ref="B1361:C1361"/>
    <mergeCell ref="D1361:E1361"/>
    <mergeCell ref="F1361:G1361"/>
    <mergeCell ref="H1361:I1361"/>
    <mergeCell ref="J1361:K1361"/>
    <mergeCell ref="L1361:M1361"/>
    <mergeCell ref="N1361:O1361"/>
    <mergeCell ref="AD1362:AE1362"/>
    <mergeCell ref="AF1362:AG1362"/>
    <mergeCell ref="AH1362:AI1362"/>
    <mergeCell ref="AJ1362:AK1362"/>
    <mergeCell ref="AL1362:BB1362"/>
    <mergeCell ref="AH1363:AI1363"/>
    <mergeCell ref="AJ1363:AK1363"/>
    <mergeCell ref="AL1363:BB1363"/>
    <mergeCell ref="B1363:C1363"/>
    <mergeCell ref="D1363:E1363"/>
    <mergeCell ref="F1363:G1363"/>
    <mergeCell ref="H1363:I1363"/>
    <mergeCell ref="J1363:K1363"/>
    <mergeCell ref="L1363:M1363"/>
    <mergeCell ref="N1363:O1363"/>
    <mergeCell ref="P1365:Q1365"/>
    <mergeCell ref="R1365:S1365"/>
    <mergeCell ref="T1365:U1365"/>
    <mergeCell ref="V1365:W1365"/>
    <mergeCell ref="X1365:Y1365"/>
    <mergeCell ref="Z1365:AA1365"/>
    <mergeCell ref="AB1365:AC1365"/>
    <mergeCell ref="B1365:C1365"/>
    <mergeCell ref="D1365:E1365"/>
    <mergeCell ref="F1365:G1365"/>
    <mergeCell ref="H1365:I1365"/>
    <mergeCell ref="J1365:K1365"/>
    <mergeCell ref="L1365:M1365"/>
    <mergeCell ref="N1365:O1365"/>
    <mergeCell ref="AD1363:AE1363"/>
    <mergeCell ref="AF1363:AG1363"/>
    <mergeCell ref="P1363:Q1363"/>
    <mergeCell ref="R1363:S1363"/>
    <mergeCell ref="T1363:U1363"/>
    <mergeCell ref="V1363:W1363"/>
    <mergeCell ref="X1363:Y1363"/>
    <mergeCell ref="Z1363:AA1363"/>
    <mergeCell ref="AB1363:AC1363"/>
    <mergeCell ref="AD1364:AE1364"/>
    <mergeCell ref="AF1364:AG1364"/>
    <mergeCell ref="AH1364:AI1364"/>
    <mergeCell ref="AJ1364:AK1364"/>
    <mergeCell ref="AL1364:BB1364"/>
    <mergeCell ref="P1364:Q1364"/>
    <mergeCell ref="R1364:S1364"/>
    <mergeCell ref="T1364:U1364"/>
    <mergeCell ref="V1364:W1364"/>
    <mergeCell ref="X1364:Y1364"/>
    <mergeCell ref="Z1364:AA1364"/>
    <mergeCell ref="AB1364:AC1364"/>
    <mergeCell ref="B1364:C1364"/>
    <mergeCell ref="D1364:E1364"/>
    <mergeCell ref="F1364:G1364"/>
    <mergeCell ref="H1364:I1364"/>
    <mergeCell ref="J1364:K1364"/>
    <mergeCell ref="L1364:M1364"/>
    <mergeCell ref="N1364:O1364"/>
    <mergeCell ref="AD1365:AE1365"/>
    <mergeCell ref="AF1365:AG1365"/>
    <mergeCell ref="AH1365:AI1365"/>
    <mergeCell ref="AJ1365:AK1365"/>
    <mergeCell ref="AL1365:BB1365"/>
    <mergeCell ref="AH1366:AI1366"/>
    <mergeCell ref="AJ1366:AK1366"/>
    <mergeCell ref="AL1366:BB1366"/>
    <mergeCell ref="B1366:C1366"/>
    <mergeCell ref="D1366:E1366"/>
    <mergeCell ref="F1366:G1366"/>
    <mergeCell ref="H1366:I1366"/>
    <mergeCell ref="J1366:K1366"/>
    <mergeCell ref="L1366:M1366"/>
    <mergeCell ref="N1366:O1366"/>
    <mergeCell ref="P1368:Q1368"/>
    <mergeCell ref="R1368:S1368"/>
    <mergeCell ref="T1368:U1368"/>
    <mergeCell ref="V1368:W1368"/>
    <mergeCell ref="X1368:Y1368"/>
    <mergeCell ref="Z1368:AA1368"/>
    <mergeCell ref="AB1368:AC1368"/>
    <mergeCell ref="B1368:C1368"/>
    <mergeCell ref="D1368:E1368"/>
    <mergeCell ref="F1368:G1368"/>
    <mergeCell ref="H1368:I1368"/>
    <mergeCell ref="J1368:K1368"/>
    <mergeCell ref="L1368:M1368"/>
    <mergeCell ref="N1368:O1368"/>
    <mergeCell ref="AD1366:AE1366"/>
    <mergeCell ref="AF1366:AG1366"/>
    <mergeCell ref="P1366:Q1366"/>
    <mergeCell ref="R1366:S1366"/>
    <mergeCell ref="T1366:U1366"/>
    <mergeCell ref="V1366:W1366"/>
    <mergeCell ref="X1366:Y1366"/>
    <mergeCell ref="Z1366:AA1366"/>
    <mergeCell ref="AB1366:AC1366"/>
    <mergeCell ref="AD1367:AE1367"/>
    <mergeCell ref="AF1367:AG1367"/>
    <mergeCell ref="AH1367:AI1367"/>
    <mergeCell ref="AJ1367:AK1367"/>
    <mergeCell ref="AL1367:BB1367"/>
    <mergeCell ref="P1367:Q1367"/>
    <mergeCell ref="R1367:S1367"/>
    <mergeCell ref="T1367:U1367"/>
    <mergeCell ref="V1367:W1367"/>
    <mergeCell ref="X1367:Y1367"/>
    <mergeCell ref="Z1367:AA1367"/>
    <mergeCell ref="AB1367:AC1367"/>
    <mergeCell ref="B1367:C1367"/>
    <mergeCell ref="D1367:E1367"/>
    <mergeCell ref="F1367:G1367"/>
    <mergeCell ref="H1367:I1367"/>
    <mergeCell ref="J1367:K1367"/>
    <mergeCell ref="L1367:M1367"/>
    <mergeCell ref="N1367:O1367"/>
    <mergeCell ref="AD1368:AE1368"/>
    <mergeCell ref="AF1368:AG1368"/>
    <mergeCell ref="AH1368:AI1368"/>
    <mergeCell ref="AJ1368:AK1368"/>
    <mergeCell ref="AL1368:BB1368"/>
    <mergeCell ref="AH1369:AI1369"/>
    <mergeCell ref="AJ1369:AK1369"/>
    <mergeCell ref="AL1369:BB1369"/>
    <mergeCell ref="B1369:C1369"/>
    <mergeCell ref="D1369:E1369"/>
    <mergeCell ref="F1369:G1369"/>
    <mergeCell ref="H1369:I1369"/>
    <mergeCell ref="J1369:K1369"/>
    <mergeCell ref="L1369:M1369"/>
    <mergeCell ref="N1369:O1369"/>
    <mergeCell ref="P1371:Q1371"/>
    <mergeCell ref="R1371:S1371"/>
    <mergeCell ref="T1371:U1371"/>
    <mergeCell ref="V1371:W1371"/>
    <mergeCell ref="X1371:Y1371"/>
    <mergeCell ref="Z1371:AA1371"/>
    <mergeCell ref="AB1371:AC1371"/>
    <mergeCell ref="B1371:C1371"/>
    <mergeCell ref="D1371:E1371"/>
    <mergeCell ref="F1371:G1371"/>
    <mergeCell ref="H1371:I1371"/>
    <mergeCell ref="J1371:K1371"/>
    <mergeCell ref="L1371:M1371"/>
    <mergeCell ref="N1371:O1371"/>
    <mergeCell ref="AD1369:AE1369"/>
    <mergeCell ref="AF1369:AG1369"/>
    <mergeCell ref="P1369:Q1369"/>
    <mergeCell ref="R1369:S1369"/>
    <mergeCell ref="T1369:U1369"/>
    <mergeCell ref="V1369:W1369"/>
    <mergeCell ref="X1369:Y1369"/>
    <mergeCell ref="Z1369:AA1369"/>
    <mergeCell ref="AB1369:AC1369"/>
    <mergeCell ref="AD1370:AE1370"/>
    <mergeCell ref="AF1370:AG1370"/>
    <mergeCell ref="AH1370:AI1370"/>
    <mergeCell ref="AJ1370:AK1370"/>
    <mergeCell ref="AL1370:BB1370"/>
    <mergeCell ref="P1370:Q1370"/>
    <mergeCell ref="R1370:S1370"/>
    <mergeCell ref="T1370:U1370"/>
    <mergeCell ref="V1370:W1370"/>
    <mergeCell ref="X1370:Y1370"/>
    <mergeCell ref="Z1370:AA1370"/>
    <mergeCell ref="AB1370:AC1370"/>
    <mergeCell ref="B1370:C1370"/>
    <mergeCell ref="D1370:E1370"/>
    <mergeCell ref="F1370:G1370"/>
    <mergeCell ref="H1370:I1370"/>
    <mergeCell ref="J1370:K1370"/>
    <mergeCell ref="L1370:M1370"/>
    <mergeCell ref="N1370:O1370"/>
    <mergeCell ref="AD1371:AE1371"/>
    <mergeCell ref="AF1371:AG1371"/>
    <mergeCell ref="AH1371:AI1371"/>
    <mergeCell ref="AJ1371:AK1371"/>
    <mergeCell ref="AL1371:BB1371"/>
    <mergeCell ref="AH1372:AI1372"/>
    <mergeCell ref="AJ1372:AK1372"/>
    <mergeCell ref="AL1372:BB1372"/>
    <mergeCell ref="B1372:C1372"/>
    <mergeCell ref="D1372:E1372"/>
    <mergeCell ref="F1372:G1372"/>
    <mergeCell ref="H1372:I1372"/>
    <mergeCell ref="J1372:K1372"/>
    <mergeCell ref="L1372:M1372"/>
    <mergeCell ref="N1372:O1372"/>
    <mergeCell ref="P1374:Q1374"/>
    <mergeCell ref="R1374:S1374"/>
    <mergeCell ref="T1374:U1374"/>
    <mergeCell ref="V1374:W1374"/>
    <mergeCell ref="X1374:Y1374"/>
    <mergeCell ref="Z1374:AA1374"/>
    <mergeCell ref="AB1374:AC1374"/>
    <mergeCell ref="B1374:C1374"/>
    <mergeCell ref="D1374:E1374"/>
    <mergeCell ref="F1374:G1374"/>
    <mergeCell ref="H1374:I1374"/>
    <mergeCell ref="J1374:K1374"/>
    <mergeCell ref="L1374:M1374"/>
    <mergeCell ref="N1374:O1374"/>
    <mergeCell ref="AD1372:AE1372"/>
    <mergeCell ref="AF1372:AG1372"/>
    <mergeCell ref="P1372:Q1372"/>
    <mergeCell ref="R1372:S1372"/>
    <mergeCell ref="T1372:U1372"/>
    <mergeCell ref="V1372:W1372"/>
    <mergeCell ref="X1372:Y1372"/>
    <mergeCell ref="Z1372:AA1372"/>
    <mergeCell ref="AB1372:AC1372"/>
    <mergeCell ref="AD1373:AE1373"/>
    <mergeCell ref="AF1373:AG1373"/>
    <mergeCell ref="AH1373:AI1373"/>
    <mergeCell ref="AJ1373:AK1373"/>
    <mergeCell ref="AL1373:BB1373"/>
    <mergeCell ref="P1373:Q1373"/>
    <mergeCell ref="R1373:S1373"/>
    <mergeCell ref="T1373:U1373"/>
    <mergeCell ref="V1373:W1373"/>
    <mergeCell ref="X1373:Y1373"/>
    <mergeCell ref="Z1373:AA1373"/>
    <mergeCell ref="AB1373:AC1373"/>
    <mergeCell ref="B1373:C1373"/>
    <mergeCell ref="D1373:E1373"/>
    <mergeCell ref="F1373:G1373"/>
    <mergeCell ref="H1373:I1373"/>
    <mergeCell ref="J1373:K1373"/>
    <mergeCell ref="L1373:M1373"/>
    <mergeCell ref="N1373:O1373"/>
    <mergeCell ref="AD1374:AE1374"/>
    <mergeCell ref="AF1374:AG1374"/>
    <mergeCell ref="AH1374:AI1374"/>
    <mergeCell ref="AJ1374:AK1374"/>
    <mergeCell ref="AL1374:BB1374"/>
    <mergeCell ref="B1375:C1375"/>
    <mergeCell ref="D1375:E1375"/>
    <mergeCell ref="F1375:G1375"/>
    <mergeCell ref="H1375:I1375"/>
    <mergeCell ref="J1375:K1375"/>
    <mergeCell ref="L1375:M1375"/>
    <mergeCell ref="N1375:O1375"/>
    <mergeCell ref="AD1376:AE1376"/>
    <mergeCell ref="AF1376:AG1376"/>
    <mergeCell ref="AH1376:AI1376"/>
    <mergeCell ref="AJ1376:AK1376"/>
    <mergeCell ref="AL1376:BB1376"/>
    <mergeCell ref="P1376:Q1376"/>
    <mergeCell ref="R1376:S1376"/>
    <mergeCell ref="T1376:U1376"/>
    <mergeCell ref="V1376:W1376"/>
    <mergeCell ref="X1376:Y1376"/>
    <mergeCell ref="Z1376:AA1376"/>
    <mergeCell ref="AB1376:AC1376"/>
    <mergeCell ref="B1376:C1376"/>
    <mergeCell ref="D1376:E1376"/>
    <mergeCell ref="F1376:G1376"/>
    <mergeCell ref="H1376:I1376"/>
    <mergeCell ref="J1376:K1376"/>
    <mergeCell ref="L1376:M1376"/>
    <mergeCell ref="N1376:O1376"/>
    <mergeCell ref="AD1377:AE1377"/>
    <mergeCell ref="AF1377:AG1377"/>
    <mergeCell ref="AH1377:AI1377"/>
    <mergeCell ref="AJ1377:AK1377"/>
    <mergeCell ref="AL1377:BB1377"/>
    <mergeCell ref="P1377:Q1377"/>
    <mergeCell ref="R1377:S1377"/>
    <mergeCell ref="T1377:U1377"/>
    <mergeCell ref="V1377:W1377"/>
    <mergeCell ref="X1377:Y1377"/>
    <mergeCell ref="Z1377:AA1377"/>
    <mergeCell ref="AB1377:AC1377"/>
    <mergeCell ref="B1377:C1377"/>
    <mergeCell ref="D1377:E1377"/>
    <mergeCell ref="F1377:G1377"/>
    <mergeCell ref="H1377:I1377"/>
    <mergeCell ref="J1377:K1377"/>
    <mergeCell ref="L1377:M1377"/>
    <mergeCell ref="N1377:O1377"/>
    <mergeCell ref="AH1378:AI1378"/>
    <mergeCell ref="AJ1378:AK1378"/>
    <mergeCell ref="AL1378:BB1378"/>
    <mergeCell ref="B1378:C1378"/>
    <mergeCell ref="D1378:E1378"/>
    <mergeCell ref="F1378:G1378"/>
    <mergeCell ref="H1378:I1378"/>
    <mergeCell ref="J1378:K1378"/>
    <mergeCell ref="L1378:M1378"/>
    <mergeCell ref="N1378:O1378"/>
    <mergeCell ref="P1380:Q1380"/>
    <mergeCell ref="R1380:S1380"/>
    <mergeCell ref="T1380:U1380"/>
    <mergeCell ref="V1380:W1380"/>
    <mergeCell ref="X1380:Y1380"/>
    <mergeCell ref="Z1380:AA1380"/>
    <mergeCell ref="AB1380:AC1380"/>
    <mergeCell ref="B1380:C1380"/>
    <mergeCell ref="D1380:E1380"/>
    <mergeCell ref="F1380:G1380"/>
    <mergeCell ref="H1380:I1380"/>
    <mergeCell ref="J1380:K1380"/>
    <mergeCell ref="L1380:M1380"/>
    <mergeCell ref="N1380:O1380"/>
    <mergeCell ref="AD1378:AE1378"/>
    <mergeCell ref="AF1378:AG1378"/>
    <mergeCell ref="P1378:Q1378"/>
    <mergeCell ref="R1378:S1378"/>
    <mergeCell ref="T1378:U1378"/>
    <mergeCell ref="V1378:W1378"/>
    <mergeCell ref="X1378:Y1378"/>
    <mergeCell ref="Z1378:AA1378"/>
    <mergeCell ref="AB1378:AC1378"/>
    <mergeCell ref="AD1379:AE1379"/>
    <mergeCell ref="AF1379:AG1379"/>
    <mergeCell ref="AH1379:AI1379"/>
    <mergeCell ref="AJ1379:AK1379"/>
    <mergeCell ref="AL1379:BB1379"/>
    <mergeCell ref="P1379:Q1379"/>
    <mergeCell ref="R1379:S1379"/>
    <mergeCell ref="T1379:U1379"/>
    <mergeCell ref="V1379:W1379"/>
    <mergeCell ref="X1379:Y1379"/>
    <mergeCell ref="Z1379:AA1379"/>
    <mergeCell ref="AB1379:AC1379"/>
    <mergeCell ref="B1379:C1379"/>
    <mergeCell ref="D1379:E1379"/>
    <mergeCell ref="F1379:G1379"/>
    <mergeCell ref="H1379:I1379"/>
    <mergeCell ref="J1379:K1379"/>
    <mergeCell ref="L1379:M1379"/>
    <mergeCell ref="N1379:O1379"/>
    <mergeCell ref="AD1380:AE1380"/>
    <mergeCell ref="AF1380:AG1380"/>
    <mergeCell ref="AH1380:AI1380"/>
    <mergeCell ref="AJ1380:AK1380"/>
    <mergeCell ref="AL1380:BB1380"/>
    <mergeCell ref="AH1381:AI1381"/>
    <mergeCell ref="AJ1381:AK1381"/>
    <mergeCell ref="AL1381:BB1381"/>
    <mergeCell ref="B1381:C1381"/>
    <mergeCell ref="D1381:E1381"/>
    <mergeCell ref="F1381:G1381"/>
    <mergeCell ref="H1381:I1381"/>
    <mergeCell ref="J1381:K1381"/>
    <mergeCell ref="L1381:M1381"/>
    <mergeCell ref="N1381:O1381"/>
    <mergeCell ref="P1383:Q1383"/>
    <mergeCell ref="R1383:S1383"/>
    <mergeCell ref="T1383:U1383"/>
    <mergeCell ref="V1383:W1383"/>
    <mergeCell ref="X1383:Y1383"/>
    <mergeCell ref="Z1383:AA1383"/>
    <mergeCell ref="AB1383:AC1383"/>
    <mergeCell ref="B1383:C1383"/>
    <mergeCell ref="D1383:E1383"/>
    <mergeCell ref="F1383:G1383"/>
    <mergeCell ref="H1383:I1383"/>
    <mergeCell ref="J1383:K1383"/>
    <mergeCell ref="L1383:M1383"/>
    <mergeCell ref="N1383:O1383"/>
    <mergeCell ref="P1386:Q1386"/>
    <mergeCell ref="R1386:S1386"/>
    <mergeCell ref="T1386:U1386"/>
    <mergeCell ref="V1386:W1386"/>
    <mergeCell ref="X1386:Y1386"/>
    <mergeCell ref="Z1386:AA1386"/>
    <mergeCell ref="AB1386:AC1386"/>
    <mergeCell ref="B1386:C1386"/>
    <mergeCell ref="D1386:E1386"/>
    <mergeCell ref="F1386:G1386"/>
    <mergeCell ref="H1386:I1386"/>
    <mergeCell ref="J1386:K1386"/>
    <mergeCell ref="L1386:M1386"/>
    <mergeCell ref="N1386:O1386"/>
    <mergeCell ref="X1384:Y1384"/>
    <mergeCell ref="Z1384:AA1384"/>
    <mergeCell ref="AB1384:AC1384"/>
    <mergeCell ref="AD1385:AE1385"/>
    <mergeCell ref="AF1385:AG1385"/>
    <mergeCell ref="AH1385:AI1385"/>
    <mergeCell ref="AJ1385:AK1385"/>
    <mergeCell ref="AL1385:BB1385"/>
    <mergeCell ref="P1385:Q1385"/>
    <mergeCell ref="R1385:S1385"/>
    <mergeCell ref="T1385:U1385"/>
    <mergeCell ref="V1385:W1385"/>
    <mergeCell ref="X1385:Y1385"/>
    <mergeCell ref="Z1385:AA1385"/>
    <mergeCell ref="AB1385:AC1385"/>
    <mergeCell ref="B1385:C1385"/>
    <mergeCell ref="D1385:E1385"/>
    <mergeCell ref="F1385:G1385"/>
    <mergeCell ref="H1385:I1385"/>
    <mergeCell ref="J1385:K1385"/>
    <mergeCell ref="L1385:M1385"/>
    <mergeCell ref="N1385:O1385"/>
    <mergeCell ref="AD1386:AE1386"/>
    <mergeCell ref="AF1386:AG1386"/>
    <mergeCell ref="AH1386:AI1386"/>
    <mergeCell ref="AJ1386:AK1386"/>
    <mergeCell ref="AD1390:AE1390"/>
    <mergeCell ref="AF1390:AG1390"/>
    <mergeCell ref="P1390:Q1390"/>
    <mergeCell ref="R1390:S1390"/>
    <mergeCell ref="T1390:U1390"/>
    <mergeCell ref="V1390:W1390"/>
    <mergeCell ref="X1390:Y1390"/>
    <mergeCell ref="Z1390:AA1390"/>
    <mergeCell ref="AB1390:AC1390"/>
    <mergeCell ref="AD1391:AE1391"/>
    <mergeCell ref="AF1391:AG1391"/>
    <mergeCell ref="AH1391:AI1391"/>
    <mergeCell ref="AJ1391:AK1391"/>
    <mergeCell ref="AL1391:BB1391"/>
    <mergeCell ref="P1391:Q1391"/>
    <mergeCell ref="R1391:S1391"/>
    <mergeCell ref="T1391:U1391"/>
    <mergeCell ref="V1391:W1391"/>
    <mergeCell ref="X1391:Y1391"/>
    <mergeCell ref="Z1391:AA1391"/>
    <mergeCell ref="AB1391:AC1391"/>
    <mergeCell ref="B1391:C1391"/>
    <mergeCell ref="D1391:E1391"/>
    <mergeCell ref="F1391:G1391"/>
    <mergeCell ref="H1391:I1391"/>
    <mergeCell ref="J1391:K1391"/>
    <mergeCell ref="L1391:M1391"/>
    <mergeCell ref="N1391:O1391"/>
    <mergeCell ref="AD1392:AE1392"/>
    <mergeCell ref="AF1392:AG1392"/>
    <mergeCell ref="AH1392:AI1392"/>
    <mergeCell ref="AJ1392:AK1392"/>
    <mergeCell ref="AL1392:BB1392"/>
    <mergeCell ref="AH1390:AI1390"/>
    <mergeCell ref="AJ1390:AK1390"/>
    <mergeCell ref="AL1390:BB1390"/>
    <mergeCell ref="B1390:C1390"/>
    <mergeCell ref="D1390:E1390"/>
    <mergeCell ref="F1390:G1390"/>
    <mergeCell ref="H1390:I1390"/>
    <mergeCell ref="J1390:K1390"/>
    <mergeCell ref="L1390:M1390"/>
    <mergeCell ref="N1390:O1390"/>
    <mergeCell ref="P1392:Q1392"/>
    <mergeCell ref="R1392:S1392"/>
    <mergeCell ref="T1392:U1392"/>
    <mergeCell ref="V1392:W1392"/>
    <mergeCell ref="X1392:Y1392"/>
    <mergeCell ref="Z1392:AA1392"/>
    <mergeCell ref="AB1392:AC1392"/>
    <mergeCell ref="B1392:C1392"/>
    <mergeCell ref="D1392:E1392"/>
    <mergeCell ref="F1392:G1392"/>
    <mergeCell ref="H1392:I1392"/>
    <mergeCell ref="J1392:K1392"/>
    <mergeCell ref="L1392:M1392"/>
    <mergeCell ref="N1392:O1392"/>
    <mergeCell ref="AH1393:AI1393"/>
    <mergeCell ref="AJ1393:AK1393"/>
    <mergeCell ref="AL1393:BB1393"/>
    <mergeCell ref="B1393:C1393"/>
    <mergeCell ref="D1393:E1393"/>
    <mergeCell ref="F1393:G1393"/>
    <mergeCell ref="H1393:I1393"/>
    <mergeCell ref="J1393:K1393"/>
    <mergeCell ref="L1393:M1393"/>
    <mergeCell ref="N1393:O1393"/>
    <mergeCell ref="AD1393:AE1393"/>
    <mergeCell ref="AF1393:AG1393"/>
    <mergeCell ref="P1393:Q1393"/>
    <mergeCell ref="R1393:S1393"/>
    <mergeCell ref="T1393:U1393"/>
    <mergeCell ref="V1393:W1393"/>
    <mergeCell ref="X1393:Y1393"/>
    <mergeCell ref="Z1393:AA1393"/>
    <mergeCell ref="AB1393:AC1393"/>
    <mergeCell ref="AD1394:AE1394"/>
    <mergeCell ref="AF1394:AG1394"/>
    <mergeCell ref="AH1394:AI1394"/>
    <mergeCell ref="AJ1394:AK1394"/>
    <mergeCell ref="AL1394:BB1394"/>
    <mergeCell ref="P1394:Q1394"/>
    <mergeCell ref="R1394:S1394"/>
    <mergeCell ref="T1394:U1394"/>
    <mergeCell ref="V1394:W1394"/>
    <mergeCell ref="X1394:Y1394"/>
    <mergeCell ref="Z1394:AA1394"/>
    <mergeCell ref="AB1394:AC1394"/>
    <mergeCell ref="B1394:C1394"/>
    <mergeCell ref="D1394:E1394"/>
    <mergeCell ref="F1394:G1394"/>
    <mergeCell ref="H1394:I1394"/>
    <mergeCell ref="J1394:K1394"/>
    <mergeCell ref="L1394:M1394"/>
    <mergeCell ref="N1394:O1394"/>
    <mergeCell ref="AD1395:AE1395"/>
    <mergeCell ref="AF1395:AG1395"/>
    <mergeCell ref="AH1395:AI1395"/>
    <mergeCell ref="AJ1395:AK1395"/>
    <mergeCell ref="AL1395:BB1395"/>
    <mergeCell ref="AH1396:AI1396"/>
    <mergeCell ref="AJ1396:AK1396"/>
    <mergeCell ref="AL1396:BB1396"/>
    <mergeCell ref="B1396:C1396"/>
    <mergeCell ref="D1396:E1396"/>
    <mergeCell ref="F1396:G1396"/>
    <mergeCell ref="H1396:I1396"/>
    <mergeCell ref="J1396:K1396"/>
    <mergeCell ref="L1396:M1396"/>
    <mergeCell ref="N1396:O1396"/>
    <mergeCell ref="AD1381:AE1381"/>
    <mergeCell ref="AF1381:AG1381"/>
    <mergeCell ref="P1381:Q1381"/>
    <mergeCell ref="R1381:S1381"/>
    <mergeCell ref="T1381:U1381"/>
    <mergeCell ref="V1381:W1381"/>
    <mergeCell ref="X1381:Y1381"/>
    <mergeCell ref="Z1381:AA1381"/>
    <mergeCell ref="AB1381:AC1381"/>
    <mergeCell ref="AD1382:AE1382"/>
    <mergeCell ref="AF1382:AG1382"/>
    <mergeCell ref="AH1382:AI1382"/>
    <mergeCell ref="AJ1382:AK1382"/>
    <mergeCell ref="AL1382:BB1382"/>
    <mergeCell ref="P1382:Q1382"/>
    <mergeCell ref="R1382:S1382"/>
    <mergeCell ref="T1382:U1382"/>
    <mergeCell ref="V1382:W1382"/>
    <mergeCell ref="X1382:Y1382"/>
    <mergeCell ref="Z1382:AA1382"/>
    <mergeCell ref="AB1382:AC1382"/>
    <mergeCell ref="B1382:C1382"/>
    <mergeCell ref="D1382:E1382"/>
    <mergeCell ref="F1382:G1382"/>
    <mergeCell ref="H1382:I1382"/>
    <mergeCell ref="J1382:K1382"/>
    <mergeCell ref="L1382:M1382"/>
    <mergeCell ref="N1382:O1382"/>
    <mergeCell ref="AD1383:AE1383"/>
    <mergeCell ref="AF1383:AG1383"/>
    <mergeCell ref="AH1383:AI1383"/>
    <mergeCell ref="AJ1383:AK1383"/>
    <mergeCell ref="AL1383:BB1383"/>
    <mergeCell ref="AH1384:AI1384"/>
    <mergeCell ref="AJ1384:AK1384"/>
    <mergeCell ref="AL1384:BB1384"/>
    <mergeCell ref="B1384:C1384"/>
    <mergeCell ref="D1384:E1384"/>
    <mergeCell ref="F1384:G1384"/>
    <mergeCell ref="H1384:I1384"/>
    <mergeCell ref="J1384:K1384"/>
    <mergeCell ref="L1384:M1384"/>
    <mergeCell ref="N1384:O1384"/>
    <mergeCell ref="AD1384:AE1384"/>
    <mergeCell ref="AF1384:AG1384"/>
    <mergeCell ref="P1384:Q1384"/>
    <mergeCell ref="R1384:S1384"/>
    <mergeCell ref="T1384:U1384"/>
    <mergeCell ref="V1384:W1384"/>
    <mergeCell ref="AL1386:BB1386"/>
    <mergeCell ref="AH1387:AI1387"/>
    <mergeCell ref="AJ1387:AK1387"/>
    <mergeCell ref="AL1387:BB1387"/>
    <mergeCell ref="B1387:C1387"/>
    <mergeCell ref="D1387:E1387"/>
    <mergeCell ref="F1387:G1387"/>
    <mergeCell ref="H1387:I1387"/>
    <mergeCell ref="J1387:K1387"/>
    <mergeCell ref="L1387:M1387"/>
    <mergeCell ref="N1387:O1387"/>
    <mergeCell ref="P1389:Q1389"/>
    <mergeCell ref="R1389:S1389"/>
    <mergeCell ref="T1389:U1389"/>
    <mergeCell ref="V1389:W1389"/>
    <mergeCell ref="X1389:Y1389"/>
    <mergeCell ref="Z1389:AA1389"/>
    <mergeCell ref="AB1389:AC1389"/>
    <mergeCell ref="B1389:C1389"/>
    <mergeCell ref="D1389:E1389"/>
    <mergeCell ref="F1389:G1389"/>
    <mergeCell ref="H1389:I1389"/>
    <mergeCell ref="J1389:K1389"/>
    <mergeCell ref="L1389:M1389"/>
    <mergeCell ref="N1389:O1389"/>
    <mergeCell ref="AD1387:AE1387"/>
    <mergeCell ref="AF1387:AG1387"/>
    <mergeCell ref="P1387:Q1387"/>
    <mergeCell ref="R1387:S1387"/>
    <mergeCell ref="T1387:U1387"/>
    <mergeCell ref="V1387:W1387"/>
    <mergeCell ref="X1387:Y1387"/>
    <mergeCell ref="Z1387:AA1387"/>
    <mergeCell ref="AB1387:AC1387"/>
    <mergeCell ref="AD1388:AE1388"/>
    <mergeCell ref="AF1388:AG1388"/>
    <mergeCell ref="AH1388:AI1388"/>
    <mergeCell ref="AJ1388:AK1388"/>
    <mergeCell ref="AL1388:BB1388"/>
    <mergeCell ref="P1388:Q1388"/>
    <mergeCell ref="R1388:S1388"/>
    <mergeCell ref="T1388:U1388"/>
    <mergeCell ref="V1388:W1388"/>
    <mergeCell ref="X1388:Y1388"/>
    <mergeCell ref="Z1388:AA1388"/>
    <mergeCell ref="AB1388:AC1388"/>
    <mergeCell ref="B1388:C1388"/>
    <mergeCell ref="D1388:E1388"/>
    <mergeCell ref="F1388:G1388"/>
    <mergeCell ref="H1388:I1388"/>
    <mergeCell ref="J1388:K1388"/>
    <mergeCell ref="L1388:M1388"/>
    <mergeCell ref="N1388:O1388"/>
    <mergeCell ref="AD1389:AE1389"/>
    <mergeCell ref="AF1389:AG1389"/>
    <mergeCell ref="AH1389:AI1389"/>
    <mergeCell ref="AJ1389:AK1389"/>
    <mergeCell ref="AL1389:BB1389"/>
    <mergeCell ref="P1395:Q1395"/>
    <mergeCell ref="R1395:S1395"/>
    <mergeCell ref="T1395:U1395"/>
    <mergeCell ref="V1395:W1395"/>
    <mergeCell ref="X1395:Y1395"/>
    <mergeCell ref="Z1395:AA1395"/>
    <mergeCell ref="AB1395:AC1395"/>
    <mergeCell ref="B1395:C1395"/>
    <mergeCell ref="D1395:E1395"/>
    <mergeCell ref="F1395:G1395"/>
    <mergeCell ref="H1395:I1395"/>
    <mergeCell ref="J1395:K1395"/>
    <mergeCell ref="L1395:M1395"/>
    <mergeCell ref="N1395:O1395"/>
    <mergeCell ref="AD1417:AE1417"/>
    <mergeCell ref="AF1417:AG1417"/>
    <mergeCell ref="AH1417:AI1417"/>
    <mergeCell ref="AJ1417:AK1417"/>
    <mergeCell ref="AL1417:BB1417"/>
    <mergeCell ref="P1417:Q1417"/>
    <mergeCell ref="R1417:S1417"/>
    <mergeCell ref="T1417:U1417"/>
    <mergeCell ref="V1417:W1417"/>
    <mergeCell ref="X1417:Y1417"/>
    <mergeCell ref="Z1417:AA1417"/>
    <mergeCell ref="AB1417:AC1417"/>
    <mergeCell ref="P1398:Q1398"/>
    <mergeCell ref="R1398:S1398"/>
    <mergeCell ref="T1398:U1398"/>
    <mergeCell ref="V1398:W1398"/>
    <mergeCell ref="X1398:Y1398"/>
    <mergeCell ref="Z1398:AA1398"/>
    <mergeCell ref="AB1398:AC1398"/>
    <mergeCell ref="B1398:C1398"/>
    <mergeCell ref="D1398:E1398"/>
    <mergeCell ref="F1398:G1398"/>
    <mergeCell ref="H1398:I1398"/>
    <mergeCell ref="J1398:K1398"/>
    <mergeCell ref="L1398:M1398"/>
    <mergeCell ref="N1398:O1398"/>
    <mergeCell ref="AD1396:AE1396"/>
    <mergeCell ref="AF1396:AG1396"/>
    <mergeCell ref="P1396:Q1396"/>
    <mergeCell ref="R1396:S1396"/>
    <mergeCell ref="T1396:U1396"/>
    <mergeCell ref="V1396:W1396"/>
    <mergeCell ref="X1396:Y1396"/>
    <mergeCell ref="Z1396:AA1396"/>
    <mergeCell ref="AB1396:AC1396"/>
    <mergeCell ref="AD1397:AE1397"/>
    <mergeCell ref="AF1397:AG1397"/>
    <mergeCell ref="AH1397:AI1397"/>
    <mergeCell ref="AJ1397:AK1397"/>
    <mergeCell ref="AL1397:BB1397"/>
    <mergeCell ref="P1397:Q1397"/>
    <mergeCell ref="R1397:S1397"/>
    <mergeCell ref="T1397:U1397"/>
    <mergeCell ref="V1397:W1397"/>
    <mergeCell ref="X1397:Y1397"/>
    <mergeCell ref="Z1397:AA1397"/>
    <mergeCell ref="AB1397:AC1397"/>
    <mergeCell ref="B1397:C1397"/>
    <mergeCell ref="D1397:E1397"/>
    <mergeCell ref="F1397:G1397"/>
    <mergeCell ref="H1397:I1397"/>
    <mergeCell ref="J1397:K1397"/>
    <mergeCell ref="L1397:M1397"/>
    <mergeCell ref="N1397:O1397"/>
    <mergeCell ref="AD1398:AE1398"/>
    <mergeCell ref="AF1398:AG1398"/>
    <mergeCell ref="AH1398:AI1398"/>
    <mergeCell ref="AJ1398:AK1398"/>
    <mergeCell ref="AL1398:BB1398"/>
    <mergeCell ref="AH1399:AI1399"/>
    <mergeCell ref="AJ1399:AK1399"/>
    <mergeCell ref="AL1399:BB1399"/>
    <mergeCell ref="B1399:C1399"/>
    <mergeCell ref="D1399:E1399"/>
    <mergeCell ref="F1399:G1399"/>
    <mergeCell ref="H1399:I1399"/>
    <mergeCell ref="J1399:K1399"/>
    <mergeCell ref="L1399:M1399"/>
    <mergeCell ref="N1399:O1399"/>
    <mergeCell ref="P1401:Q1401"/>
    <mergeCell ref="R1401:S1401"/>
    <mergeCell ref="T1401:U1401"/>
    <mergeCell ref="V1401:W1401"/>
    <mergeCell ref="X1401:Y1401"/>
    <mergeCell ref="Z1401:AA1401"/>
    <mergeCell ref="AB1401:AC1401"/>
    <mergeCell ref="B1401:C1401"/>
    <mergeCell ref="D1401:E1401"/>
    <mergeCell ref="F1401:G1401"/>
    <mergeCell ref="H1401:I1401"/>
    <mergeCell ref="J1401:K1401"/>
    <mergeCell ref="L1401:M1401"/>
    <mergeCell ref="N1401:O1401"/>
    <mergeCell ref="AD1399:AE1399"/>
    <mergeCell ref="AF1399:AG1399"/>
    <mergeCell ref="P1399:Q1399"/>
    <mergeCell ref="R1399:S1399"/>
    <mergeCell ref="T1399:U1399"/>
    <mergeCell ref="V1399:W1399"/>
    <mergeCell ref="X1399:Y1399"/>
    <mergeCell ref="Z1399:AA1399"/>
    <mergeCell ref="AB1399:AC1399"/>
    <mergeCell ref="AD1400:AE1400"/>
    <mergeCell ref="AF1400:AG1400"/>
    <mergeCell ref="AH1400:AI1400"/>
    <mergeCell ref="AJ1400:AK1400"/>
    <mergeCell ref="AL1400:BB1400"/>
    <mergeCell ref="P1400:Q1400"/>
    <mergeCell ref="R1400:S1400"/>
    <mergeCell ref="T1400:U1400"/>
    <mergeCell ref="V1400:W1400"/>
    <mergeCell ref="X1400:Y1400"/>
    <mergeCell ref="Z1400:AA1400"/>
    <mergeCell ref="AB1400:AC1400"/>
    <mergeCell ref="B1400:C1400"/>
    <mergeCell ref="D1400:E1400"/>
    <mergeCell ref="F1400:G1400"/>
    <mergeCell ref="H1400:I1400"/>
    <mergeCell ref="J1400:K1400"/>
    <mergeCell ref="L1400:M1400"/>
    <mergeCell ref="N1400:O1400"/>
    <mergeCell ref="AD1401:AE1401"/>
    <mergeCell ref="AF1401:AG1401"/>
    <mergeCell ref="AH1401:AI1401"/>
    <mergeCell ref="AJ1401:AK1401"/>
    <mergeCell ref="AL1401:BB1401"/>
    <mergeCell ref="AH1402:AI1402"/>
    <mergeCell ref="AJ1402:AK1402"/>
    <mergeCell ref="AL1402:BB1402"/>
    <mergeCell ref="B1402:C1402"/>
    <mergeCell ref="D1402:E1402"/>
    <mergeCell ref="F1402:G1402"/>
    <mergeCell ref="H1402:I1402"/>
    <mergeCell ref="J1402:K1402"/>
    <mergeCell ref="L1402:M1402"/>
    <mergeCell ref="N1402:O1402"/>
    <mergeCell ref="P1404:Q1404"/>
    <mergeCell ref="R1404:S1404"/>
    <mergeCell ref="T1404:U1404"/>
    <mergeCell ref="V1404:W1404"/>
    <mergeCell ref="X1404:Y1404"/>
    <mergeCell ref="Z1404:AA1404"/>
    <mergeCell ref="AB1404:AC1404"/>
    <mergeCell ref="B1404:C1404"/>
    <mergeCell ref="D1404:E1404"/>
    <mergeCell ref="F1404:G1404"/>
    <mergeCell ref="H1404:I1404"/>
    <mergeCell ref="J1404:K1404"/>
    <mergeCell ref="L1404:M1404"/>
    <mergeCell ref="N1404:O1404"/>
    <mergeCell ref="AD1402:AE1402"/>
    <mergeCell ref="AF1402:AG1402"/>
    <mergeCell ref="P1402:Q1402"/>
    <mergeCell ref="R1402:S1402"/>
    <mergeCell ref="T1402:U1402"/>
    <mergeCell ref="V1402:W1402"/>
    <mergeCell ref="X1402:Y1402"/>
    <mergeCell ref="Z1402:AA1402"/>
    <mergeCell ref="AB1402:AC1402"/>
    <mergeCell ref="AD1403:AE1403"/>
    <mergeCell ref="AF1403:AG1403"/>
    <mergeCell ref="AH1403:AI1403"/>
    <mergeCell ref="AJ1403:AK1403"/>
    <mergeCell ref="AL1403:BB1403"/>
    <mergeCell ref="P1403:Q1403"/>
    <mergeCell ref="R1403:S1403"/>
    <mergeCell ref="T1403:U1403"/>
    <mergeCell ref="V1403:W1403"/>
    <mergeCell ref="X1403:Y1403"/>
    <mergeCell ref="Z1403:AA1403"/>
    <mergeCell ref="AB1403:AC1403"/>
    <mergeCell ref="B1403:C1403"/>
    <mergeCell ref="D1403:E1403"/>
    <mergeCell ref="F1403:G1403"/>
    <mergeCell ref="H1403:I1403"/>
    <mergeCell ref="J1403:K1403"/>
    <mergeCell ref="L1403:M1403"/>
    <mergeCell ref="N1403:O1403"/>
    <mergeCell ref="AD1404:AE1404"/>
    <mergeCell ref="AF1404:AG1404"/>
    <mergeCell ref="AH1404:AI1404"/>
    <mergeCell ref="AJ1404:AK1404"/>
    <mergeCell ref="AL1404:BB1404"/>
    <mergeCell ref="AH1405:AI1405"/>
    <mergeCell ref="AJ1405:AK1405"/>
    <mergeCell ref="AL1405:BB1405"/>
    <mergeCell ref="B1405:C1405"/>
    <mergeCell ref="D1405:E1405"/>
    <mergeCell ref="F1405:G1405"/>
    <mergeCell ref="H1405:I1405"/>
    <mergeCell ref="J1405:K1405"/>
    <mergeCell ref="L1405:M1405"/>
    <mergeCell ref="N1405:O1405"/>
    <mergeCell ref="P1407:Q1407"/>
    <mergeCell ref="R1407:S1407"/>
    <mergeCell ref="T1407:U1407"/>
    <mergeCell ref="V1407:W1407"/>
    <mergeCell ref="X1407:Y1407"/>
    <mergeCell ref="Z1407:AA1407"/>
    <mergeCell ref="AB1407:AC1407"/>
    <mergeCell ref="B1407:C1407"/>
    <mergeCell ref="D1407:E1407"/>
    <mergeCell ref="F1407:G1407"/>
    <mergeCell ref="H1407:I1407"/>
    <mergeCell ref="J1407:K1407"/>
    <mergeCell ref="L1407:M1407"/>
    <mergeCell ref="N1407:O1407"/>
    <mergeCell ref="AD1405:AE1405"/>
    <mergeCell ref="AF1405:AG1405"/>
    <mergeCell ref="P1405:Q1405"/>
    <mergeCell ref="R1405:S1405"/>
    <mergeCell ref="T1405:U1405"/>
    <mergeCell ref="V1405:W1405"/>
    <mergeCell ref="X1405:Y1405"/>
    <mergeCell ref="Z1405:AA1405"/>
    <mergeCell ref="AB1405:AC1405"/>
    <mergeCell ref="AD1406:AE1406"/>
    <mergeCell ref="AF1406:AG1406"/>
    <mergeCell ref="AH1406:AI1406"/>
    <mergeCell ref="AJ1406:AK1406"/>
    <mergeCell ref="AL1406:BB1406"/>
    <mergeCell ref="P1406:Q1406"/>
    <mergeCell ref="R1406:S1406"/>
    <mergeCell ref="T1406:U1406"/>
    <mergeCell ref="V1406:W1406"/>
    <mergeCell ref="X1406:Y1406"/>
    <mergeCell ref="Z1406:AA1406"/>
    <mergeCell ref="AB1406:AC1406"/>
    <mergeCell ref="B1406:C1406"/>
    <mergeCell ref="D1406:E1406"/>
    <mergeCell ref="F1406:G1406"/>
    <mergeCell ref="H1406:I1406"/>
    <mergeCell ref="J1406:K1406"/>
    <mergeCell ref="L1406:M1406"/>
    <mergeCell ref="N1406:O1406"/>
    <mergeCell ref="AD1407:AE1407"/>
    <mergeCell ref="AF1407:AG1407"/>
    <mergeCell ref="AH1407:AI1407"/>
    <mergeCell ref="AJ1407:AK1407"/>
    <mergeCell ref="AL1407:BB1407"/>
    <mergeCell ref="AH1408:AI1408"/>
    <mergeCell ref="AJ1408:AK1408"/>
    <mergeCell ref="AL1408:BB1408"/>
    <mergeCell ref="B1408:C1408"/>
    <mergeCell ref="D1408:E1408"/>
    <mergeCell ref="F1408:G1408"/>
    <mergeCell ref="H1408:I1408"/>
    <mergeCell ref="J1408:K1408"/>
    <mergeCell ref="L1408:M1408"/>
    <mergeCell ref="N1408:O1408"/>
    <mergeCell ref="P1410:Q1410"/>
    <mergeCell ref="R1410:S1410"/>
    <mergeCell ref="T1410:U1410"/>
    <mergeCell ref="V1410:W1410"/>
    <mergeCell ref="X1410:Y1410"/>
    <mergeCell ref="Z1410:AA1410"/>
    <mergeCell ref="AB1410:AC1410"/>
    <mergeCell ref="B1410:C1410"/>
    <mergeCell ref="D1410:E1410"/>
    <mergeCell ref="F1410:G1410"/>
    <mergeCell ref="H1410:I1410"/>
    <mergeCell ref="J1410:K1410"/>
    <mergeCell ref="L1410:M1410"/>
    <mergeCell ref="N1410:O1410"/>
    <mergeCell ref="AD1408:AE1408"/>
    <mergeCell ref="AF1408:AG1408"/>
    <mergeCell ref="P1408:Q1408"/>
    <mergeCell ref="R1408:S1408"/>
    <mergeCell ref="T1408:U1408"/>
    <mergeCell ref="V1408:W1408"/>
    <mergeCell ref="X1408:Y1408"/>
    <mergeCell ref="Z1408:AA1408"/>
    <mergeCell ref="AB1408:AC1408"/>
    <mergeCell ref="AD1409:AE1409"/>
    <mergeCell ref="AF1409:AG1409"/>
    <mergeCell ref="AH1409:AI1409"/>
    <mergeCell ref="AJ1409:AK1409"/>
    <mergeCell ref="AL1409:BB1409"/>
    <mergeCell ref="P1409:Q1409"/>
    <mergeCell ref="R1409:S1409"/>
    <mergeCell ref="T1409:U1409"/>
    <mergeCell ref="V1409:W1409"/>
    <mergeCell ref="X1409:Y1409"/>
    <mergeCell ref="Z1409:AA1409"/>
    <mergeCell ref="AB1409:AC1409"/>
    <mergeCell ref="B1409:C1409"/>
    <mergeCell ref="D1409:E1409"/>
    <mergeCell ref="F1409:G1409"/>
    <mergeCell ref="H1409:I1409"/>
    <mergeCell ref="J1409:K1409"/>
    <mergeCell ref="L1409:M1409"/>
    <mergeCell ref="N1409:O1409"/>
    <mergeCell ref="AD1410:AE1410"/>
    <mergeCell ref="AF1410:AG1410"/>
    <mergeCell ref="AH1410:AI1410"/>
    <mergeCell ref="AJ1410:AK1410"/>
    <mergeCell ref="AL1410:BB1410"/>
    <mergeCell ref="AH1411:AI1411"/>
    <mergeCell ref="AJ1411:AK1411"/>
    <mergeCell ref="AL1411:BB1411"/>
    <mergeCell ref="B1411:C1411"/>
    <mergeCell ref="D1411:E1411"/>
    <mergeCell ref="F1411:G1411"/>
    <mergeCell ref="H1411:I1411"/>
    <mergeCell ref="J1411:K1411"/>
    <mergeCell ref="L1411:M1411"/>
    <mergeCell ref="N1411:O1411"/>
    <mergeCell ref="P1413:Q1413"/>
    <mergeCell ref="R1413:S1413"/>
    <mergeCell ref="T1413:U1413"/>
    <mergeCell ref="V1413:W1413"/>
    <mergeCell ref="X1413:Y1413"/>
    <mergeCell ref="Z1413:AA1413"/>
    <mergeCell ref="AB1413:AC1413"/>
    <mergeCell ref="B1413:C1413"/>
    <mergeCell ref="D1413:E1413"/>
    <mergeCell ref="F1413:G1413"/>
    <mergeCell ref="H1413:I1413"/>
    <mergeCell ref="J1413:K1413"/>
    <mergeCell ref="L1413:M1413"/>
    <mergeCell ref="N1413:O1413"/>
    <mergeCell ref="AD1411:AE1411"/>
    <mergeCell ref="AF1411:AG1411"/>
    <mergeCell ref="P1411:Q1411"/>
    <mergeCell ref="R1411:S1411"/>
    <mergeCell ref="T1411:U1411"/>
    <mergeCell ref="V1411:W1411"/>
    <mergeCell ref="X1411:Y1411"/>
    <mergeCell ref="Z1411:AA1411"/>
    <mergeCell ref="AB1411:AC1411"/>
    <mergeCell ref="AD1412:AE1412"/>
    <mergeCell ref="AF1412:AG1412"/>
    <mergeCell ref="AH1412:AI1412"/>
    <mergeCell ref="AJ1412:AK1412"/>
    <mergeCell ref="AL1412:BB1412"/>
    <mergeCell ref="P1412:Q1412"/>
    <mergeCell ref="R1412:S1412"/>
    <mergeCell ref="T1412:U1412"/>
    <mergeCell ref="V1412:W1412"/>
    <mergeCell ref="X1412:Y1412"/>
    <mergeCell ref="Z1412:AA1412"/>
    <mergeCell ref="AB1412:AC1412"/>
    <mergeCell ref="B1412:C1412"/>
    <mergeCell ref="D1412:E1412"/>
    <mergeCell ref="F1412:G1412"/>
    <mergeCell ref="H1412:I1412"/>
    <mergeCell ref="J1412:K1412"/>
    <mergeCell ref="L1412:M1412"/>
    <mergeCell ref="N1412:O1412"/>
    <mergeCell ref="AD1413:AE1413"/>
    <mergeCell ref="AF1413:AG1413"/>
    <mergeCell ref="AH1413:AI1413"/>
    <mergeCell ref="AJ1413:AK1413"/>
    <mergeCell ref="AL1413:BB1413"/>
    <mergeCell ref="AH1414:AI1414"/>
    <mergeCell ref="AJ1414:AK1414"/>
    <mergeCell ref="AL1414:BB1414"/>
    <mergeCell ref="B1414:C1414"/>
    <mergeCell ref="D1414:E1414"/>
    <mergeCell ref="F1414:G1414"/>
    <mergeCell ref="H1414:I1414"/>
    <mergeCell ref="J1414:K1414"/>
    <mergeCell ref="L1414:M1414"/>
    <mergeCell ref="N1414:O1414"/>
    <mergeCell ref="P1416:Q1416"/>
    <mergeCell ref="R1416:S1416"/>
    <mergeCell ref="T1416:U1416"/>
    <mergeCell ref="V1416:W1416"/>
    <mergeCell ref="X1416:Y1416"/>
    <mergeCell ref="Z1416:AA1416"/>
    <mergeCell ref="AB1416:AC1416"/>
    <mergeCell ref="B1416:C1416"/>
    <mergeCell ref="D1416:E1416"/>
    <mergeCell ref="F1416:G1416"/>
    <mergeCell ref="H1416:I1416"/>
    <mergeCell ref="J1416:K1416"/>
    <mergeCell ref="L1416:M1416"/>
    <mergeCell ref="N1416:O1416"/>
    <mergeCell ref="AD1414:AE1414"/>
    <mergeCell ref="AF1414:AG1414"/>
    <mergeCell ref="P1414:Q1414"/>
    <mergeCell ref="R1414:S1414"/>
    <mergeCell ref="T1414:U1414"/>
    <mergeCell ref="V1414:W1414"/>
    <mergeCell ref="X1414:Y1414"/>
    <mergeCell ref="Z1414:AA1414"/>
    <mergeCell ref="AB1414:AC1414"/>
    <mergeCell ref="AD1415:AE1415"/>
    <mergeCell ref="AF1415:AG1415"/>
    <mergeCell ref="AH1415:AI1415"/>
    <mergeCell ref="AJ1415:AK1415"/>
    <mergeCell ref="AL1415:BB1415"/>
    <mergeCell ref="P1415:Q1415"/>
    <mergeCell ref="R1415:S1415"/>
    <mergeCell ref="T1415:U1415"/>
    <mergeCell ref="V1415:W1415"/>
    <mergeCell ref="X1415:Y1415"/>
    <mergeCell ref="Z1415:AA1415"/>
    <mergeCell ref="AB1415:AC1415"/>
    <mergeCell ref="B1415:C1415"/>
    <mergeCell ref="D1415:E1415"/>
    <mergeCell ref="F1415:G1415"/>
    <mergeCell ref="H1415:I1415"/>
    <mergeCell ref="J1415:K1415"/>
    <mergeCell ref="L1415:M1415"/>
    <mergeCell ref="N1415:O1415"/>
    <mergeCell ref="AD1416:AE1416"/>
    <mergeCell ref="AF1416:AG1416"/>
    <mergeCell ref="AH1416:AI1416"/>
    <mergeCell ref="AJ1416:AK1416"/>
    <mergeCell ref="AL1416:BB1416"/>
    <mergeCell ref="B1417:C1417"/>
    <mergeCell ref="D1417:E1417"/>
    <mergeCell ref="F1417:G1417"/>
    <mergeCell ref="H1417:I1417"/>
    <mergeCell ref="J1417:K1417"/>
    <mergeCell ref="L1417:M1417"/>
    <mergeCell ref="N1417:O1417"/>
    <mergeCell ref="AD1418:AE1418"/>
    <mergeCell ref="AF1418:AG1418"/>
    <mergeCell ref="AH1418:AI1418"/>
    <mergeCell ref="AJ1418:AK1418"/>
    <mergeCell ref="AL1418:BB1418"/>
    <mergeCell ref="P1418:Q1418"/>
    <mergeCell ref="R1418:S1418"/>
    <mergeCell ref="T1418:U1418"/>
    <mergeCell ref="V1418:W1418"/>
    <mergeCell ref="X1418:Y1418"/>
    <mergeCell ref="Z1418:AA1418"/>
    <mergeCell ref="AB1418:AC1418"/>
    <mergeCell ref="B1418:C1418"/>
    <mergeCell ref="D1418:E1418"/>
    <mergeCell ref="F1418:G1418"/>
    <mergeCell ref="H1418:I1418"/>
    <mergeCell ref="J1418:K1418"/>
    <mergeCell ref="L1418:M1418"/>
    <mergeCell ref="N1418:O1418"/>
    <mergeCell ref="AD1419:AE1419"/>
    <mergeCell ref="AF1419:AG1419"/>
    <mergeCell ref="AH1419:AI1419"/>
    <mergeCell ref="AJ1419:AK1419"/>
    <mergeCell ref="AL1419:BB1419"/>
    <mergeCell ref="P1419:Q1419"/>
    <mergeCell ref="R1419:S1419"/>
    <mergeCell ref="T1419:U1419"/>
    <mergeCell ref="V1419:W1419"/>
    <mergeCell ref="X1419:Y1419"/>
    <mergeCell ref="Z1419:AA1419"/>
    <mergeCell ref="AB1419:AC1419"/>
    <mergeCell ref="B1419:C1419"/>
    <mergeCell ref="D1419:E1419"/>
    <mergeCell ref="F1419:G1419"/>
    <mergeCell ref="H1419:I1419"/>
    <mergeCell ref="J1419:K1419"/>
    <mergeCell ref="L1419:M1419"/>
    <mergeCell ref="N1419:O1419"/>
    <mergeCell ref="AH1420:AI1420"/>
    <mergeCell ref="AJ1420:AK1420"/>
    <mergeCell ref="AL1420:BB1420"/>
    <mergeCell ref="B1420:C1420"/>
    <mergeCell ref="D1420:E1420"/>
    <mergeCell ref="F1420:G1420"/>
    <mergeCell ref="H1420:I1420"/>
    <mergeCell ref="J1420:K1420"/>
    <mergeCell ref="L1420:M1420"/>
    <mergeCell ref="N1420:O1420"/>
    <mergeCell ref="P1422:Q1422"/>
    <mergeCell ref="R1422:S1422"/>
    <mergeCell ref="T1422:U1422"/>
    <mergeCell ref="V1422:W1422"/>
    <mergeCell ref="X1422:Y1422"/>
    <mergeCell ref="Z1422:AA1422"/>
    <mergeCell ref="AB1422:AC1422"/>
    <mergeCell ref="B1422:C1422"/>
    <mergeCell ref="D1422:E1422"/>
    <mergeCell ref="F1422:G1422"/>
    <mergeCell ref="H1422:I1422"/>
    <mergeCell ref="J1422:K1422"/>
    <mergeCell ref="L1422:M1422"/>
    <mergeCell ref="N1422:O1422"/>
    <mergeCell ref="AD1420:AE1420"/>
    <mergeCell ref="AF1420:AG1420"/>
    <mergeCell ref="P1420:Q1420"/>
    <mergeCell ref="R1420:S1420"/>
    <mergeCell ref="T1420:U1420"/>
    <mergeCell ref="V1420:W1420"/>
    <mergeCell ref="X1420:Y1420"/>
    <mergeCell ref="Z1420:AA1420"/>
    <mergeCell ref="AB1420:AC1420"/>
    <mergeCell ref="AD1421:AE1421"/>
    <mergeCell ref="AF1421:AG1421"/>
    <mergeCell ref="AH1421:AI1421"/>
    <mergeCell ref="AJ1421:AK1421"/>
    <mergeCell ref="AL1421:BB1421"/>
    <mergeCell ref="P1421:Q1421"/>
    <mergeCell ref="R1421:S1421"/>
    <mergeCell ref="T1421:U1421"/>
    <mergeCell ref="V1421:W1421"/>
    <mergeCell ref="X1421:Y1421"/>
    <mergeCell ref="Z1421:AA1421"/>
    <mergeCell ref="AB1421:AC1421"/>
    <mergeCell ref="B1421:C1421"/>
    <mergeCell ref="D1421:E1421"/>
    <mergeCell ref="F1421:G1421"/>
    <mergeCell ref="H1421:I1421"/>
    <mergeCell ref="J1421:K1421"/>
    <mergeCell ref="L1421:M1421"/>
    <mergeCell ref="N1421:O1421"/>
    <mergeCell ref="AD1422:AE1422"/>
    <mergeCell ref="AF1422:AG1422"/>
    <mergeCell ref="AH1422:AI1422"/>
    <mergeCell ref="AJ1422:AK1422"/>
    <mergeCell ref="AL1422:BB1422"/>
    <mergeCell ref="AH1423:AI1423"/>
    <mergeCell ref="AJ1423:AK1423"/>
    <mergeCell ref="AL1423:BB1423"/>
    <mergeCell ref="B1423:C1423"/>
    <mergeCell ref="D1423:E1423"/>
    <mergeCell ref="F1423:G1423"/>
    <mergeCell ref="H1423:I1423"/>
    <mergeCell ref="J1423:K1423"/>
    <mergeCell ref="L1423:M1423"/>
    <mergeCell ref="N1423:O1423"/>
    <mergeCell ref="P1425:Q1425"/>
    <mergeCell ref="R1425:S1425"/>
    <mergeCell ref="T1425:U1425"/>
    <mergeCell ref="V1425:W1425"/>
    <mergeCell ref="X1425:Y1425"/>
    <mergeCell ref="Z1425:AA1425"/>
    <mergeCell ref="AB1425:AC1425"/>
    <mergeCell ref="B1425:C1425"/>
    <mergeCell ref="D1425:E1425"/>
    <mergeCell ref="F1425:G1425"/>
    <mergeCell ref="H1425:I1425"/>
    <mergeCell ref="J1425:K1425"/>
    <mergeCell ref="L1425:M1425"/>
    <mergeCell ref="N1425:O1425"/>
    <mergeCell ref="P1428:Q1428"/>
    <mergeCell ref="R1428:S1428"/>
    <mergeCell ref="T1428:U1428"/>
    <mergeCell ref="V1428:W1428"/>
    <mergeCell ref="X1428:Y1428"/>
    <mergeCell ref="Z1428:AA1428"/>
    <mergeCell ref="AB1428:AC1428"/>
    <mergeCell ref="B1428:C1428"/>
    <mergeCell ref="D1428:E1428"/>
    <mergeCell ref="F1428:G1428"/>
    <mergeCell ref="H1428:I1428"/>
    <mergeCell ref="J1428:K1428"/>
    <mergeCell ref="L1428:M1428"/>
    <mergeCell ref="N1428:O1428"/>
    <mergeCell ref="X1426:Y1426"/>
    <mergeCell ref="Z1426:AA1426"/>
    <mergeCell ref="AB1426:AC1426"/>
    <mergeCell ref="AD1427:AE1427"/>
    <mergeCell ref="AF1427:AG1427"/>
    <mergeCell ref="AH1427:AI1427"/>
    <mergeCell ref="AJ1427:AK1427"/>
    <mergeCell ref="AL1427:BB1427"/>
    <mergeCell ref="P1427:Q1427"/>
    <mergeCell ref="R1427:S1427"/>
    <mergeCell ref="T1427:U1427"/>
    <mergeCell ref="V1427:W1427"/>
    <mergeCell ref="X1427:Y1427"/>
    <mergeCell ref="Z1427:AA1427"/>
    <mergeCell ref="AB1427:AC1427"/>
    <mergeCell ref="B1427:C1427"/>
    <mergeCell ref="D1427:E1427"/>
    <mergeCell ref="F1427:G1427"/>
    <mergeCell ref="H1427:I1427"/>
    <mergeCell ref="J1427:K1427"/>
    <mergeCell ref="L1427:M1427"/>
    <mergeCell ref="N1427:O1427"/>
    <mergeCell ref="AD1428:AE1428"/>
    <mergeCell ref="AF1428:AG1428"/>
    <mergeCell ref="AH1428:AI1428"/>
    <mergeCell ref="AJ1428:AK1428"/>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BW535"/>
  <sheetViews>
    <sheetView workbookViewId="0">
      <pane ySplit="1" topLeftCell="A15" activePane="bottomLeft" state="frozen"/>
      <selection pane="bottomLeft" activeCell="D15" sqref="D15:K15"/>
    </sheetView>
  </sheetViews>
  <sheetFormatPr defaultColWidth="14.42578125" defaultRowHeight="15" customHeight="1"/>
  <cols>
    <col min="1" max="11" width="4.7109375" customWidth="1"/>
    <col min="12" max="12" width="9.28515625" customWidth="1"/>
    <col min="13" max="15" width="11" customWidth="1"/>
    <col min="16" max="75" width="4.7109375" customWidth="1"/>
  </cols>
  <sheetData>
    <row r="1" spans="1:75" ht="60" customHeight="1">
      <c r="A1" s="45" t="s">
        <v>287</v>
      </c>
      <c r="B1" s="670" t="s">
        <v>434</v>
      </c>
      <c r="C1" s="385"/>
      <c r="D1" s="671" t="s">
        <v>435</v>
      </c>
      <c r="E1" s="384"/>
      <c r="F1" s="384"/>
      <c r="G1" s="384"/>
      <c r="H1" s="384"/>
      <c r="I1" s="384"/>
      <c r="J1" s="384"/>
      <c r="K1" s="385"/>
      <c r="L1" s="506" t="s">
        <v>436</v>
      </c>
      <c r="M1" s="350"/>
      <c r="N1" s="350"/>
      <c r="O1" s="351"/>
      <c r="P1" s="571" t="s">
        <v>437</v>
      </c>
      <c r="Q1" s="350"/>
      <c r="R1" s="350"/>
      <c r="S1" s="351"/>
      <c r="T1" s="670" t="s">
        <v>438</v>
      </c>
      <c r="U1" s="384"/>
      <c r="V1" s="384"/>
      <c r="W1" s="385"/>
      <c r="X1" s="672" t="s">
        <v>439</v>
      </c>
      <c r="Y1" s="384"/>
      <c r="Z1" s="384"/>
      <c r="AA1" s="385"/>
      <c r="AB1" s="670" t="s">
        <v>440</v>
      </c>
      <c r="AC1" s="384"/>
      <c r="AD1" s="385"/>
      <c r="AE1" s="672" t="s">
        <v>441</v>
      </c>
      <c r="AF1" s="384"/>
      <c r="AG1" s="385"/>
      <c r="AH1" s="673" t="s">
        <v>442</v>
      </c>
      <c r="AI1" s="384"/>
      <c r="AJ1" s="385"/>
      <c r="AK1" s="674" t="s">
        <v>443</v>
      </c>
      <c r="AL1" s="384"/>
      <c r="AM1" s="385"/>
      <c r="AN1" s="46" t="s">
        <v>444</v>
      </c>
      <c r="AO1" s="47" t="s">
        <v>445</v>
      </c>
      <c r="AP1" s="46" t="s">
        <v>446</v>
      </c>
      <c r="AQ1" s="47" t="s">
        <v>447</v>
      </c>
      <c r="AR1" s="46" t="s">
        <v>448</v>
      </c>
      <c r="AS1" s="47" t="s">
        <v>449</v>
      </c>
      <c r="AT1" s="46" t="s">
        <v>450</v>
      </c>
      <c r="AU1" s="47" t="s">
        <v>451</v>
      </c>
      <c r="AV1" s="46" t="s">
        <v>452</v>
      </c>
      <c r="AW1" s="47" t="s">
        <v>453</v>
      </c>
      <c r="AX1" s="46" t="s">
        <v>454</v>
      </c>
      <c r="AY1" s="47" t="s">
        <v>455</v>
      </c>
      <c r="AZ1" s="48" t="s">
        <v>456</v>
      </c>
      <c r="BA1" s="49" t="s">
        <v>457</v>
      </c>
      <c r="BB1" s="48" t="s">
        <v>458</v>
      </c>
      <c r="BC1" s="49" t="s">
        <v>459</v>
      </c>
      <c r="BD1" s="48" t="s">
        <v>460</v>
      </c>
      <c r="BE1" s="49" t="s">
        <v>461</v>
      </c>
      <c r="BF1" s="48" t="s">
        <v>462</v>
      </c>
      <c r="BG1" s="49" t="s">
        <v>463</v>
      </c>
      <c r="BH1" s="48" t="s">
        <v>464</v>
      </c>
      <c r="BI1" s="675" t="s">
        <v>315</v>
      </c>
      <c r="BJ1" s="384"/>
      <c r="BK1" s="384"/>
      <c r="BL1" s="384"/>
      <c r="BM1" s="384"/>
      <c r="BN1" s="384"/>
      <c r="BO1" s="384"/>
      <c r="BP1" s="384"/>
      <c r="BQ1" s="384"/>
      <c r="BR1" s="384"/>
      <c r="BS1" s="384"/>
      <c r="BT1" s="384"/>
      <c r="BU1" s="384"/>
      <c r="BV1" s="436"/>
    </row>
    <row r="2" spans="1:75" ht="15.75" customHeight="1">
      <c r="A2" s="466" t="str">
        <f>'GRANTEE SET UP INFO &amp; DATE '!A1</f>
        <v>WV Bureau for Behavioral Health  - Peer Recovery Support Services  V 20200110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428"/>
    </row>
    <row r="3" spans="1:75" ht="15" customHeight="1">
      <c r="A3" s="467" t="str">
        <f>'GRANTEE SET UP INFO &amp; DATE '!A2</f>
        <v xml:space="preserve">Program reports need to be submitted electronically, via e-mail to DHHRBBHReporting@wv.gov  within 25 calendar days of the end of each month </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428"/>
    </row>
    <row r="4" spans="1:75" ht="19.5" customHeight="1">
      <c r="A4" s="514" t="s">
        <v>465</v>
      </c>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428"/>
    </row>
    <row r="5" spans="1:75" ht="15" customHeight="1">
      <c r="A5" s="371" t="s">
        <v>466</v>
      </c>
      <c r="B5" s="350"/>
      <c r="C5" s="350"/>
      <c r="D5" s="350"/>
      <c r="E5" s="350"/>
      <c r="F5" s="350"/>
      <c r="G5" s="350"/>
      <c r="H5" s="350"/>
      <c r="I5" s="350"/>
      <c r="J5" s="351"/>
      <c r="K5" s="676" t="str">
        <f>'GRANTEE SET UP INFO &amp; DATE '!H4</f>
        <v>Recovery Community Organization (RCO)</v>
      </c>
      <c r="L5" s="361"/>
      <c r="M5" s="361"/>
      <c r="N5" s="361"/>
      <c r="O5" s="361"/>
      <c r="P5" s="361"/>
      <c r="Q5" s="361"/>
      <c r="R5" s="361"/>
      <c r="S5" s="361"/>
      <c r="T5" s="361"/>
      <c r="U5" s="361"/>
      <c r="V5" s="361"/>
      <c r="W5" s="361"/>
      <c r="X5" s="361"/>
      <c r="Y5" s="361"/>
      <c r="Z5" s="361"/>
      <c r="AA5" s="361"/>
      <c r="AB5" s="361"/>
      <c r="AC5" s="361"/>
      <c r="AD5" s="361"/>
      <c r="AE5" s="362"/>
      <c r="AF5" s="5"/>
      <c r="AG5" s="374" t="s">
        <v>32</v>
      </c>
      <c r="AH5" s="350"/>
      <c r="AI5" s="350"/>
      <c r="AJ5" s="350"/>
      <c r="AK5" s="350"/>
      <c r="AL5" s="350"/>
      <c r="AM5" s="350"/>
      <c r="AN5" s="351"/>
      <c r="AO5" s="517">
        <f>'GRANTEE SET UP INFO &amp; DATE '!Z4</f>
        <v>0</v>
      </c>
      <c r="AP5" s="350"/>
      <c r="AQ5" s="350"/>
      <c r="AR5" s="350"/>
      <c r="AS5" s="350"/>
      <c r="AT5" s="350"/>
      <c r="AU5" s="350"/>
      <c r="AV5" s="350"/>
      <c r="AW5" s="350"/>
      <c r="AX5" s="350"/>
      <c r="AY5" s="350"/>
      <c r="AZ5" s="350"/>
      <c r="BA5" s="351"/>
      <c r="BB5" s="9"/>
      <c r="BC5" s="9"/>
      <c r="BD5" s="9"/>
      <c r="BE5" s="9"/>
      <c r="BF5" s="9"/>
      <c r="BG5" s="9"/>
      <c r="BH5" s="9"/>
      <c r="BI5" s="9"/>
      <c r="BJ5" s="9"/>
      <c r="BK5" s="9"/>
      <c r="BL5" s="9"/>
      <c r="BM5" s="9"/>
      <c r="BN5" s="9"/>
      <c r="BO5" s="9"/>
      <c r="BP5" s="9"/>
      <c r="BQ5" s="9"/>
      <c r="BR5" s="9"/>
      <c r="BS5" s="9"/>
      <c r="BT5" s="9"/>
      <c r="BU5" s="9"/>
      <c r="BV5" s="9"/>
    </row>
    <row r="6" spans="1:75" ht="14.25" customHeight="1">
      <c r="A6" s="368" t="s">
        <v>467</v>
      </c>
      <c r="B6" s="350"/>
      <c r="C6" s="350"/>
      <c r="D6" s="350"/>
      <c r="E6" s="350"/>
      <c r="F6" s="350"/>
      <c r="G6" s="350"/>
      <c r="H6" s="350"/>
      <c r="I6" s="350"/>
      <c r="J6" s="351"/>
      <c r="K6" s="413">
        <f>'GRANTEE SET UP INFO &amp; DATE '!H5</f>
        <v>0</v>
      </c>
      <c r="L6" s="350"/>
      <c r="M6" s="350"/>
      <c r="N6" s="350"/>
      <c r="O6" s="350"/>
      <c r="P6" s="350"/>
      <c r="Q6" s="350"/>
      <c r="R6" s="350"/>
      <c r="S6" s="350"/>
      <c r="T6" s="350"/>
      <c r="U6" s="350"/>
      <c r="V6" s="350"/>
      <c r="W6" s="350"/>
      <c r="X6" s="350"/>
      <c r="Y6" s="350"/>
      <c r="Z6" s="350"/>
      <c r="AA6" s="350"/>
      <c r="AB6" s="350"/>
      <c r="AC6" s="350"/>
      <c r="AD6" s="350"/>
      <c r="AE6" s="351"/>
      <c r="AF6" s="5"/>
      <c r="AG6" s="479" t="s">
        <v>36</v>
      </c>
      <c r="AH6" s="350"/>
      <c r="AI6" s="350"/>
      <c r="AJ6" s="350"/>
      <c r="AK6" s="350"/>
      <c r="AL6" s="350"/>
      <c r="AM6" s="350"/>
      <c r="AN6" s="351"/>
      <c r="AO6" s="413" t="str">
        <f>'GRANTEE SET UP INFO &amp; DATE '!Z5</f>
        <v xml:space="preserve">Names of Contact(s): </v>
      </c>
      <c r="AP6" s="350"/>
      <c r="AQ6" s="350"/>
      <c r="AR6" s="350"/>
      <c r="AS6" s="350"/>
      <c r="AT6" s="350"/>
      <c r="AU6" s="350"/>
      <c r="AV6" s="350"/>
      <c r="AW6" s="350"/>
      <c r="AX6" s="350"/>
      <c r="AY6" s="350"/>
      <c r="AZ6" s="350"/>
      <c r="BA6" s="351"/>
      <c r="BB6" s="9"/>
      <c r="BC6" s="9"/>
      <c r="BD6" s="9"/>
      <c r="BE6" s="9"/>
      <c r="BF6" s="9"/>
      <c r="BG6" s="9"/>
      <c r="BH6" s="9"/>
      <c r="BI6" s="9"/>
      <c r="BJ6" s="9"/>
      <c r="BK6" s="9"/>
      <c r="BL6" s="9"/>
      <c r="BM6" s="9"/>
      <c r="BN6" s="9"/>
      <c r="BO6" s="9"/>
      <c r="BP6" s="9"/>
      <c r="BQ6" s="9"/>
      <c r="BR6" s="9"/>
      <c r="BS6" s="9"/>
      <c r="BT6" s="9"/>
      <c r="BU6" s="9"/>
      <c r="BV6" s="9"/>
    </row>
    <row r="7" spans="1:75" ht="15" customHeight="1">
      <c r="A7" s="453" t="s">
        <v>38</v>
      </c>
      <c r="B7" s="355"/>
      <c r="C7" s="355"/>
      <c r="D7" s="355"/>
      <c r="E7" s="355"/>
      <c r="F7" s="355"/>
      <c r="G7" s="355"/>
      <c r="H7" s="355"/>
      <c r="I7" s="355"/>
      <c r="J7" s="356"/>
      <c r="K7" s="668">
        <f>'GRANTEE SET UP INFO &amp; DATE '!H6</f>
        <v>0</v>
      </c>
      <c r="L7" s="355"/>
      <c r="M7" s="355"/>
      <c r="N7" s="355"/>
      <c r="O7" s="355"/>
      <c r="P7" s="355"/>
      <c r="Q7" s="355"/>
      <c r="R7" s="355"/>
      <c r="S7" s="355"/>
      <c r="T7" s="355"/>
      <c r="U7" s="355"/>
      <c r="V7" s="355"/>
      <c r="W7" s="355"/>
      <c r="X7" s="355"/>
      <c r="Y7" s="355"/>
      <c r="Z7" s="355"/>
      <c r="AA7" s="355"/>
      <c r="AB7" s="355"/>
      <c r="AC7" s="355"/>
      <c r="AD7" s="355"/>
      <c r="AE7" s="356"/>
      <c r="AF7" s="5"/>
      <c r="AG7" s="368" t="s">
        <v>40</v>
      </c>
      <c r="AH7" s="350"/>
      <c r="AI7" s="350"/>
      <c r="AJ7" s="350"/>
      <c r="AK7" s="350"/>
      <c r="AL7" s="350"/>
      <c r="AM7" s="350"/>
      <c r="AN7" s="351"/>
      <c r="AO7" s="412">
        <f>'GRANTEE SET UP INFO &amp; DATE '!Z6</f>
        <v>0</v>
      </c>
      <c r="AP7" s="350"/>
      <c r="AQ7" s="350"/>
      <c r="AR7" s="350"/>
      <c r="AS7" s="350"/>
      <c r="AT7" s="350"/>
      <c r="AU7" s="350"/>
      <c r="AV7" s="350"/>
      <c r="AW7" s="350"/>
      <c r="AX7" s="350"/>
      <c r="AY7" s="350"/>
      <c r="AZ7" s="350"/>
      <c r="BA7" s="351"/>
      <c r="BB7" s="9"/>
      <c r="BC7" s="9"/>
      <c r="BD7" s="9"/>
      <c r="BE7" s="9"/>
      <c r="BF7" s="9"/>
      <c r="BG7" s="9"/>
      <c r="BH7" s="9"/>
      <c r="BI7" s="9"/>
      <c r="BJ7" s="9"/>
      <c r="BK7" s="9"/>
      <c r="BL7" s="9"/>
      <c r="BM7" s="9"/>
      <c r="BN7" s="9"/>
      <c r="BO7" s="9"/>
      <c r="BP7" s="9"/>
      <c r="BQ7" s="9"/>
      <c r="BR7" s="9"/>
      <c r="BS7" s="9"/>
      <c r="BT7" s="9"/>
      <c r="BU7" s="9"/>
      <c r="BV7" s="9"/>
    </row>
    <row r="8" spans="1:75" ht="15" customHeight="1">
      <c r="A8" s="360"/>
      <c r="B8" s="361"/>
      <c r="C8" s="361"/>
      <c r="D8" s="361"/>
      <c r="E8" s="361"/>
      <c r="F8" s="361"/>
      <c r="G8" s="361"/>
      <c r="H8" s="361"/>
      <c r="I8" s="361"/>
      <c r="J8" s="362"/>
      <c r="K8" s="360"/>
      <c r="L8" s="361"/>
      <c r="M8" s="361"/>
      <c r="N8" s="361"/>
      <c r="O8" s="361"/>
      <c r="P8" s="361"/>
      <c r="Q8" s="361"/>
      <c r="R8" s="361"/>
      <c r="S8" s="361"/>
      <c r="T8" s="361"/>
      <c r="U8" s="361"/>
      <c r="V8" s="361"/>
      <c r="W8" s="361"/>
      <c r="X8" s="361"/>
      <c r="Y8" s="361"/>
      <c r="Z8" s="361"/>
      <c r="AA8" s="361"/>
      <c r="AB8" s="361"/>
      <c r="AC8" s="361"/>
      <c r="AD8" s="361"/>
      <c r="AE8" s="362"/>
      <c r="AF8" s="5"/>
      <c r="AG8" s="368" t="s">
        <v>42</v>
      </c>
      <c r="AH8" s="350"/>
      <c r="AI8" s="350"/>
      <c r="AJ8" s="350"/>
      <c r="AK8" s="350"/>
      <c r="AL8" s="350"/>
      <c r="AM8" s="350"/>
      <c r="AN8" s="351"/>
      <c r="AO8" s="412">
        <f>'GRANTEE SET UP INFO &amp; DATE '!Z7</f>
        <v>0</v>
      </c>
      <c r="AP8" s="350"/>
      <c r="AQ8" s="350"/>
      <c r="AR8" s="350"/>
      <c r="AS8" s="350"/>
      <c r="AT8" s="350"/>
      <c r="AU8" s="350"/>
      <c r="AV8" s="350"/>
      <c r="AW8" s="350"/>
      <c r="AX8" s="350"/>
      <c r="AY8" s="350"/>
      <c r="AZ8" s="350"/>
      <c r="BA8" s="351"/>
      <c r="BB8" s="9"/>
      <c r="BC8" s="9"/>
      <c r="BD8" s="9"/>
      <c r="BE8" s="9"/>
      <c r="BF8" s="9"/>
      <c r="BG8" s="9"/>
      <c r="BH8" s="9"/>
      <c r="BI8" s="9"/>
      <c r="BJ8" s="9"/>
      <c r="BK8" s="9"/>
      <c r="BL8" s="9"/>
      <c r="BM8" s="9"/>
      <c r="BN8" s="9"/>
      <c r="BO8" s="9"/>
      <c r="BP8" s="9"/>
      <c r="BQ8" s="9"/>
      <c r="BR8" s="9"/>
      <c r="BS8" s="9"/>
      <c r="BT8" s="9"/>
      <c r="BU8" s="9"/>
      <c r="BV8" s="9"/>
    </row>
    <row r="9" spans="1:75" ht="24.75" customHeight="1">
      <c r="A9" s="521" t="s">
        <v>468</v>
      </c>
      <c r="B9" s="350"/>
      <c r="C9" s="350"/>
      <c r="D9" s="350"/>
      <c r="E9" s="350"/>
      <c r="F9" s="350"/>
      <c r="G9" s="350"/>
      <c r="H9" s="350"/>
      <c r="I9" s="350"/>
      <c r="J9" s="351"/>
      <c r="K9" s="669" t="str">
        <f>'GRANTEE SET UP INFO &amp; DATE '!H8</f>
        <v>June 1 - 30</v>
      </c>
      <c r="L9" s="350"/>
      <c r="M9" s="350"/>
      <c r="N9" s="350"/>
      <c r="O9" s="350"/>
      <c r="P9" s="350"/>
      <c r="Q9" s="350"/>
      <c r="R9" s="350"/>
      <c r="S9" s="350"/>
      <c r="T9" s="350"/>
      <c r="U9" s="350"/>
      <c r="V9" s="350"/>
      <c r="W9" s="350"/>
      <c r="X9" s="350"/>
      <c r="Y9" s="351"/>
      <c r="Z9" s="454">
        <f>'GRANTEE SET UP INFO &amp; DATE '!P8</f>
        <v>2022</v>
      </c>
      <c r="AA9" s="350"/>
      <c r="AB9" s="350"/>
      <c r="AC9" s="350"/>
      <c r="AD9" s="350"/>
      <c r="AE9" s="351"/>
      <c r="AF9" s="5"/>
      <c r="AG9" s="471" t="s">
        <v>46</v>
      </c>
      <c r="AH9" s="350"/>
      <c r="AI9" s="350"/>
      <c r="AJ9" s="350"/>
      <c r="AK9" s="350"/>
      <c r="AL9" s="350"/>
      <c r="AM9" s="350"/>
      <c r="AN9" s="351"/>
      <c r="AO9" s="513">
        <f>'GRANTEE SET UP INFO &amp; DATE '!Z8</f>
        <v>0</v>
      </c>
      <c r="AP9" s="350"/>
      <c r="AQ9" s="350"/>
      <c r="AR9" s="350"/>
      <c r="AS9" s="350"/>
      <c r="AT9" s="350"/>
      <c r="AU9" s="350"/>
      <c r="AV9" s="350"/>
      <c r="AW9" s="350"/>
      <c r="AX9" s="350"/>
      <c r="AY9" s="350"/>
      <c r="AZ9" s="350"/>
      <c r="BA9" s="351"/>
      <c r="BB9" s="9"/>
      <c r="BC9" s="9"/>
      <c r="BD9" s="9"/>
      <c r="BE9" s="9"/>
      <c r="BF9" s="9"/>
      <c r="BG9" s="9"/>
      <c r="BH9" s="9"/>
      <c r="BI9" s="9"/>
      <c r="BJ9" s="9"/>
      <c r="BK9" s="9"/>
      <c r="BL9" s="9"/>
      <c r="BM9" s="9"/>
      <c r="BN9" s="9"/>
      <c r="BO9" s="9"/>
      <c r="BP9" s="9"/>
      <c r="BQ9" s="9"/>
      <c r="BR9" s="9"/>
      <c r="BS9" s="9"/>
      <c r="BT9" s="9"/>
      <c r="BU9" s="9"/>
      <c r="BV9" s="9"/>
    </row>
    <row r="10" spans="1:75" ht="39.75" customHeight="1">
      <c r="A10" s="660" t="s">
        <v>469</v>
      </c>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428"/>
      <c r="BI10" s="9"/>
      <c r="BJ10" s="9"/>
      <c r="BK10" s="9"/>
      <c r="BL10" s="9"/>
      <c r="BM10" s="9"/>
      <c r="BN10" s="9"/>
      <c r="BO10" s="9"/>
      <c r="BP10" s="9"/>
      <c r="BQ10" s="9"/>
      <c r="BR10" s="9"/>
      <c r="BS10" s="9"/>
      <c r="BT10" s="9"/>
      <c r="BU10" s="9"/>
      <c r="BV10" s="9"/>
    </row>
    <row r="11" spans="1:75" ht="15" customHeight="1">
      <c r="A11" s="661" t="s">
        <v>470</v>
      </c>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662"/>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row>
    <row r="12" spans="1:75" ht="60" customHeight="1">
      <c r="A12" s="50" t="s">
        <v>287</v>
      </c>
      <c r="B12" s="649" t="s">
        <v>471</v>
      </c>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1"/>
      <c r="AN12" s="650" t="s">
        <v>1071</v>
      </c>
      <c r="AO12" s="384"/>
      <c r="AP12" s="384"/>
      <c r="AQ12" s="384"/>
      <c r="AR12" s="384"/>
      <c r="AS12" s="384"/>
      <c r="AT12" s="384"/>
      <c r="AU12" s="384"/>
      <c r="AV12" s="384"/>
      <c r="AW12" s="384"/>
      <c r="AX12" s="384"/>
      <c r="AY12" s="436"/>
      <c r="AZ12" s="651" t="s">
        <v>472</v>
      </c>
      <c r="BA12" s="384"/>
      <c r="BB12" s="384"/>
      <c r="BC12" s="384"/>
      <c r="BD12" s="384"/>
      <c r="BE12" s="384"/>
      <c r="BF12" s="384"/>
      <c r="BG12" s="384"/>
      <c r="BH12" s="385"/>
      <c r="BI12" s="652"/>
      <c r="BJ12" s="378"/>
      <c r="BK12" s="378"/>
      <c r="BL12" s="378"/>
      <c r="BM12" s="378"/>
      <c r="BN12" s="378"/>
      <c r="BO12" s="378"/>
      <c r="BP12" s="378"/>
      <c r="BQ12" s="378"/>
      <c r="BR12" s="378"/>
      <c r="BS12" s="378"/>
      <c r="BT12" s="378"/>
      <c r="BU12" s="378"/>
      <c r="BV12" s="379"/>
    </row>
    <row r="13" spans="1:75" ht="54.75" customHeight="1">
      <c r="A13" s="653" t="s">
        <v>287</v>
      </c>
      <c r="B13" s="655" t="s">
        <v>434</v>
      </c>
      <c r="C13" s="356"/>
      <c r="D13" s="656" t="s">
        <v>435</v>
      </c>
      <c r="E13" s="355"/>
      <c r="F13" s="355"/>
      <c r="G13" s="355"/>
      <c r="H13" s="355"/>
      <c r="I13" s="355"/>
      <c r="J13" s="355"/>
      <c r="K13" s="356"/>
      <c r="L13" s="657" t="s">
        <v>436</v>
      </c>
      <c r="M13" s="355"/>
      <c r="N13" s="355"/>
      <c r="O13" s="356"/>
      <c r="P13" s="658" t="s">
        <v>437</v>
      </c>
      <c r="Q13" s="355"/>
      <c r="R13" s="355"/>
      <c r="S13" s="356"/>
      <c r="T13" s="657" t="s">
        <v>438</v>
      </c>
      <c r="U13" s="355"/>
      <c r="V13" s="355"/>
      <c r="W13" s="356"/>
      <c r="X13" s="658" t="s">
        <v>439</v>
      </c>
      <c r="Y13" s="355"/>
      <c r="Z13" s="355"/>
      <c r="AA13" s="356"/>
      <c r="AB13" s="657" t="s">
        <v>440</v>
      </c>
      <c r="AC13" s="355"/>
      <c r="AD13" s="356"/>
      <c r="AE13" s="658" t="s">
        <v>441</v>
      </c>
      <c r="AF13" s="355"/>
      <c r="AG13" s="356"/>
      <c r="AH13" s="663" t="s">
        <v>473</v>
      </c>
      <c r="AI13" s="355"/>
      <c r="AJ13" s="356"/>
      <c r="AK13" s="664" t="s">
        <v>474</v>
      </c>
      <c r="AL13" s="355"/>
      <c r="AM13" s="356"/>
      <c r="AN13" s="46" t="s">
        <v>444</v>
      </c>
      <c r="AO13" s="47" t="s">
        <v>445</v>
      </c>
      <c r="AP13" s="46" t="s">
        <v>446</v>
      </c>
      <c r="AQ13" s="47" t="s">
        <v>447</v>
      </c>
      <c r="AR13" s="46" t="s">
        <v>448</v>
      </c>
      <c r="AS13" s="47" t="s">
        <v>449</v>
      </c>
      <c r="AT13" s="46" t="s">
        <v>450</v>
      </c>
      <c r="AU13" s="47" t="s">
        <v>451</v>
      </c>
      <c r="AV13" s="46" t="s">
        <v>452</v>
      </c>
      <c r="AW13" s="47" t="s">
        <v>453</v>
      </c>
      <c r="AX13" s="46" t="s">
        <v>454</v>
      </c>
      <c r="AY13" s="47" t="s">
        <v>455</v>
      </c>
      <c r="AZ13" s="665" t="s">
        <v>456</v>
      </c>
      <c r="BA13" s="667" t="s">
        <v>457</v>
      </c>
      <c r="BB13" s="665" t="s">
        <v>458</v>
      </c>
      <c r="BC13" s="667" t="s">
        <v>459</v>
      </c>
      <c r="BD13" s="665" t="s">
        <v>460</v>
      </c>
      <c r="BE13" s="667" t="s">
        <v>461</v>
      </c>
      <c r="BF13" s="665" t="s">
        <v>462</v>
      </c>
      <c r="BG13" s="667" t="s">
        <v>463</v>
      </c>
      <c r="BH13" s="665" t="s">
        <v>464</v>
      </c>
      <c r="BI13" s="647" t="s">
        <v>315</v>
      </c>
      <c r="BJ13" s="390"/>
      <c r="BK13" s="390"/>
      <c r="BL13" s="390"/>
      <c r="BM13" s="390"/>
      <c r="BN13" s="390"/>
      <c r="BO13" s="390"/>
      <c r="BP13" s="390"/>
      <c r="BQ13" s="390"/>
      <c r="BR13" s="390"/>
      <c r="BS13" s="390"/>
      <c r="BT13" s="390"/>
      <c r="BU13" s="390"/>
      <c r="BV13" s="648"/>
    </row>
    <row r="14" spans="1:75" ht="24.75" customHeight="1">
      <c r="A14" s="654"/>
      <c r="B14" s="360"/>
      <c r="C14" s="362"/>
      <c r="D14" s="360"/>
      <c r="E14" s="361"/>
      <c r="F14" s="361"/>
      <c r="G14" s="361"/>
      <c r="H14" s="361"/>
      <c r="I14" s="361"/>
      <c r="J14" s="361"/>
      <c r="K14" s="362"/>
      <c r="L14" s="360"/>
      <c r="M14" s="361"/>
      <c r="N14" s="361"/>
      <c r="O14" s="362"/>
      <c r="P14" s="360"/>
      <c r="Q14" s="361"/>
      <c r="R14" s="361"/>
      <c r="S14" s="362"/>
      <c r="T14" s="360"/>
      <c r="U14" s="361"/>
      <c r="V14" s="361"/>
      <c r="W14" s="362"/>
      <c r="X14" s="360"/>
      <c r="Y14" s="361"/>
      <c r="Z14" s="361"/>
      <c r="AA14" s="362"/>
      <c r="AB14" s="360"/>
      <c r="AC14" s="361"/>
      <c r="AD14" s="362"/>
      <c r="AE14" s="360"/>
      <c r="AF14" s="361"/>
      <c r="AG14" s="362"/>
      <c r="AH14" s="360"/>
      <c r="AI14" s="361"/>
      <c r="AJ14" s="362"/>
      <c r="AK14" s="360"/>
      <c r="AL14" s="361"/>
      <c r="AM14" s="362"/>
      <c r="AN14" s="51">
        <f>'GRANTEE SET UP INFO &amp; DATE '!C11</f>
        <v>0</v>
      </c>
      <c r="AO14" s="52">
        <f>'GRANTEE SET UP INFO &amp; DATE '!C12</f>
        <v>0</v>
      </c>
      <c r="AP14" s="51">
        <f>'GRANTEE SET UP INFO &amp; DATE '!C13</f>
        <v>0</v>
      </c>
      <c r="AQ14" s="52">
        <f>'GRANTEE SET UP INFO &amp; DATE '!C14</f>
        <v>0</v>
      </c>
      <c r="AR14" s="51">
        <f>'GRANTEE SET UP INFO &amp; DATE '!C15</f>
        <v>0</v>
      </c>
      <c r="AS14" s="52">
        <f>'GRANTEE SET UP INFO &amp; DATE '!C16</f>
        <v>0</v>
      </c>
      <c r="AT14" s="51">
        <f>'GRANTEE SET UP INFO &amp; DATE '!C17</f>
        <v>0</v>
      </c>
      <c r="AU14" s="52">
        <f>'GRANTEE SET UP INFO &amp; DATE '!C18</f>
        <v>0</v>
      </c>
      <c r="AV14" s="53">
        <f>'GRANTEE SET UP INFO &amp; DATE '!D18</f>
        <v>0</v>
      </c>
      <c r="AW14" s="52">
        <f>'GRANTEE SET UP INFO &amp; DATE '!E18</f>
        <v>0</v>
      </c>
      <c r="AX14" s="54">
        <f>'GRANTEE SET UP INFO &amp; DATE '!F18</f>
        <v>0</v>
      </c>
      <c r="AY14" s="52">
        <f>'GRANTEE SET UP INFO &amp; DATE '!G18</f>
        <v>0</v>
      </c>
      <c r="AZ14" s="666"/>
      <c r="BA14" s="666"/>
      <c r="BB14" s="666"/>
      <c r="BC14" s="666"/>
      <c r="BD14" s="666"/>
      <c r="BE14" s="666"/>
      <c r="BF14" s="666"/>
      <c r="BG14" s="666"/>
      <c r="BH14" s="666"/>
      <c r="BI14" s="360"/>
      <c r="BJ14" s="361"/>
      <c r="BK14" s="361"/>
      <c r="BL14" s="361"/>
      <c r="BM14" s="361"/>
      <c r="BN14" s="361"/>
      <c r="BO14" s="361"/>
      <c r="BP14" s="361"/>
      <c r="BQ14" s="361"/>
      <c r="BR14" s="361"/>
      <c r="BS14" s="361"/>
      <c r="BT14" s="361"/>
      <c r="BU14" s="361"/>
      <c r="BV14" s="362"/>
    </row>
    <row r="15" spans="1:75" ht="30" customHeight="1">
      <c r="A15" s="55">
        <f t="shared" ref="A15:A269" si="0">ROW(A1)</f>
        <v>1</v>
      </c>
      <c r="B15" s="56" t="s">
        <v>325</v>
      </c>
      <c r="C15" s="57"/>
      <c r="D15" s="644"/>
      <c r="E15" s="350"/>
      <c r="F15" s="350"/>
      <c r="G15" s="350"/>
      <c r="H15" s="350"/>
      <c r="I15" s="350"/>
      <c r="J15" s="350"/>
      <c r="K15" s="351"/>
      <c r="L15" s="643" t="s">
        <v>294</v>
      </c>
      <c r="M15" s="350"/>
      <c r="N15" s="350"/>
      <c r="O15" s="351"/>
      <c r="P15" s="659" t="s">
        <v>294</v>
      </c>
      <c r="Q15" s="350"/>
      <c r="R15" s="350"/>
      <c r="S15" s="351"/>
      <c r="T15" s="643" t="s">
        <v>294</v>
      </c>
      <c r="U15" s="350"/>
      <c r="V15" s="350"/>
      <c r="W15" s="351"/>
      <c r="X15" s="644" t="s">
        <v>294</v>
      </c>
      <c r="Y15" s="350"/>
      <c r="Z15" s="350"/>
      <c r="AA15" s="351"/>
      <c r="AB15" s="506" t="s">
        <v>294</v>
      </c>
      <c r="AC15" s="350"/>
      <c r="AD15" s="351"/>
      <c r="AE15" s="571"/>
      <c r="AF15" s="350"/>
      <c r="AG15" s="351"/>
      <c r="AH15" s="645"/>
      <c r="AI15" s="350"/>
      <c r="AJ15" s="351"/>
      <c r="AK15" s="567"/>
      <c r="AL15" s="350"/>
      <c r="AM15" s="351"/>
      <c r="AN15" s="58"/>
      <c r="AO15" s="59"/>
      <c r="AP15" s="58"/>
      <c r="AQ15" s="59"/>
      <c r="AR15" s="58"/>
      <c r="AS15" s="59"/>
      <c r="AT15" s="58"/>
      <c r="AU15" s="59"/>
      <c r="AV15" s="58"/>
      <c r="AW15" s="59"/>
      <c r="AX15" s="58"/>
      <c r="AY15" s="59"/>
      <c r="AZ15" s="60"/>
      <c r="BA15" s="61"/>
      <c r="BB15" s="62"/>
      <c r="BC15" s="61"/>
      <c r="BD15" s="62"/>
      <c r="BE15" s="61"/>
      <c r="BF15" s="62"/>
      <c r="BG15" s="61"/>
      <c r="BH15" s="62"/>
      <c r="BI15" s="646" t="s">
        <v>298</v>
      </c>
      <c r="BJ15" s="350"/>
      <c r="BK15" s="350"/>
      <c r="BL15" s="350"/>
      <c r="BM15" s="350"/>
      <c r="BN15" s="350"/>
      <c r="BO15" s="350"/>
      <c r="BP15" s="350"/>
      <c r="BQ15" s="350"/>
      <c r="BR15" s="350"/>
      <c r="BS15" s="350"/>
      <c r="BT15" s="350"/>
      <c r="BU15" s="350"/>
      <c r="BV15" s="351"/>
    </row>
    <row r="16" spans="1:75" ht="30" customHeight="1">
      <c r="A16" s="63">
        <f t="shared" si="0"/>
        <v>2</v>
      </c>
      <c r="B16" s="56" t="s">
        <v>325</v>
      </c>
      <c r="C16" s="57"/>
      <c r="D16" s="644"/>
      <c r="E16" s="350"/>
      <c r="F16" s="350"/>
      <c r="G16" s="350"/>
      <c r="H16" s="350"/>
      <c r="I16" s="350"/>
      <c r="J16" s="350"/>
      <c r="K16" s="351"/>
      <c r="L16" s="643"/>
      <c r="M16" s="350"/>
      <c r="N16" s="350"/>
      <c r="O16" s="351"/>
      <c r="P16" s="644"/>
      <c r="Q16" s="350"/>
      <c r="R16" s="350"/>
      <c r="S16" s="351"/>
      <c r="T16" s="643"/>
      <c r="U16" s="350"/>
      <c r="V16" s="350"/>
      <c r="W16" s="351"/>
      <c r="X16" s="644"/>
      <c r="Y16" s="350"/>
      <c r="Z16" s="350"/>
      <c r="AA16" s="351"/>
      <c r="AB16" s="506"/>
      <c r="AC16" s="350"/>
      <c r="AD16" s="351"/>
      <c r="AE16" s="571"/>
      <c r="AF16" s="350"/>
      <c r="AG16" s="351"/>
      <c r="AH16" s="645"/>
      <c r="AI16" s="350"/>
      <c r="AJ16" s="351"/>
      <c r="AK16" s="567"/>
      <c r="AL16" s="350"/>
      <c r="AM16" s="351"/>
      <c r="AN16" s="58"/>
      <c r="AO16" s="59"/>
      <c r="AP16" s="58"/>
      <c r="AQ16" s="59"/>
      <c r="AR16" s="58"/>
      <c r="AS16" s="59"/>
      <c r="AT16" s="58"/>
      <c r="AU16" s="59"/>
      <c r="AV16" s="58"/>
      <c r="AW16" s="59"/>
      <c r="AX16" s="58"/>
      <c r="AY16" s="59"/>
      <c r="AZ16" s="60"/>
      <c r="BA16" s="61"/>
      <c r="BB16" s="62"/>
      <c r="BC16" s="61"/>
      <c r="BD16" s="62"/>
      <c r="BE16" s="61"/>
      <c r="BF16" s="62"/>
      <c r="BG16" s="61"/>
      <c r="BH16" s="62"/>
      <c r="BI16" s="646" t="s">
        <v>298</v>
      </c>
      <c r="BJ16" s="350"/>
      <c r="BK16" s="350"/>
      <c r="BL16" s="350"/>
      <c r="BM16" s="350"/>
      <c r="BN16" s="350"/>
      <c r="BO16" s="350"/>
      <c r="BP16" s="350"/>
      <c r="BQ16" s="350"/>
      <c r="BR16" s="350"/>
      <c r="BS16" s="350"/>
      <c r="BT16" s="350"/>
      <c r="BU16" s="350"/>
      <c r="BV16" s="351"/>
    </row>
    <row r="17" spans="1:74" ht="30" customHeight="1">
      <c r="A17" s="63">
        <f t="shared" si="0"/>
        <v>3</v>
      </c>
      <c r="B17" s="56" t="s">
        <v>325</v>
      </c>
      <c r="C17" s="57"/>
      <c r="D17" s="644"/>
      <c r="E17" s="350"/>
      <c r="F17" s="350"/>
      <c r="G17" s="350"/>
      <c r="H17" s="350"/>
      <c r="I17" s="350"/>
      <c r="J17" s="350"/>
      <c r="K17" s="351"/>
      <c r="L17" s="643"/>
      <c r="M17" s="350"/>
      <c r="N17" s="350"/>
      <c r="O17" s="351"/>
      <c r="P17" s="644"/>
      <c r="Q17" s="350"/>
      <c r="R17" s="350"/>
      <c r="S17" s="351"/>
      <c r="T17" s="643"/>
      <c r="U17" s="350"/>
      <c r="V17" s="350"/>
      <c r="W17" s="351"/>
      <c r="X17" s="644"/>
      <c r="Y17" s="350"/>
      <c r="Z17" s="350"/>
      <c r="AA17" s="351"/>
      <c r="AB17" s="506"/>
      <c r="AC17" s="350"/>
      <c r="AD17" s="351"/>
      <c r="AE17" s="571"/>
      <c r="AF17" s="350"/>
      <c r="AG17" s="351"/>
      <c r="AH17" s="645"/>
      <c r="AI17" s="350"/>
      <c r="AJ17" s="351"/>
      <c r="AK17" s="567"/>
      <c r="AL17" s="350"/>
      <c r="AM17" s="351"/>
      <c r="AN17" s="58"/>
      <c r="AO17" s="59"/>
      <c r="AP17" s="58"/>
      <c r="AQ17" s="59"/>
      <c r="AR17" s="58"/>
      <c r="AS17" s="59"/>
      <c r="AT17" s="58"/>
      <c r="AU17" s="59"/>
      <c r="AV17" s="58"/>
      <c r="AW17" s="59"/>
      <c r="AX17" s="58"/>
      <c r="AY17" s="59"/>
      <c r="AZ17" s="60"/>
      <c r="BA17" s="61"/>
      <c r="BB17" s="62"/>
      <c r="BC17" s="61"/>
      <c r="BD17" s="62"/>
      <c r="BE17" s="61"/>
      <c r="BF17" s="62"/>
      <c r="BG17" s="61"/>
      <c r="BH17" s="62"/>
      <c r="BI17" s="646" t="s">
        <v>298</v>
      </c>
      <c r="BJ17" s="350"/>
      <c r="BK17" s="350"/>
      <c r="BL17" s="350"/>
      <c r="BM17" s="350"/>
      <c r="BN17" s="350"/>
      <c r="BO17" s="350"/>
      <c r="BP17" s="350"/>
      <c r="BQ17" s="350"/>
      <c r="BR17" s="350"/>
      <c r="BS17" s="350"/>
      <c r="BT17" s="350"/>
      <c r="BU17" s="350"/>
      <c r="BV17" s="351"/>
    </row>
    <row r="18" spans="1:74" ht="30" customHeight="1">
      <c r="A18" s="63">
        <f t="shared" si="0"/>
        <v>4</v>
      </c>
      <c r="B18" s="56" t="s">
        <v>325</v>
      </c>
      <c r="C18" s="57"/>
      <c r="D18" s="644"/>
      <c r="E18" s="350"/>
      <c r="F18" s="350"/>
      <c r="G18" s="350"/>
      <c r="H18" s="350"/>
      <c r="I18" s="350"/>
      <c r="J18" s="350"/>
      <c r="K18" s="351"/>
      <c r="L18" s="643"/>
      <c r="M18" s="350"/>
      <c r="N18" s="350"/>
      <c r="O18" s="351"/>
      <c r="P18" s="644"/>
      <c r="Q18" s="350"/>
      <c r="R18" s="350"/>
      <c r="S18" s="351"/>
      <c r="T18" s="643"/>
      <c r="U18" s="350"/>
      <c r="V18" s="350"/>
      <c r="W18" s="351"/>
      <c r="X18" s="644"/>
      <c r="Y18" s="350"/>
      <c r="Z18" s="350"/>
      <c r="AA18" s="351"/>
      <c r="AB18" s="506"/>
      <c r="AC18" s="350"/>
      <c r="AD18" s="351"/>
      <c r="AE18" s="571"/>
      <c r="AF18" s="350"/>
      <c r="AG18" s="351"/>
      <c r="AH18" s="645"/>
      <c r="AI18" s="350"/>
      <c r="AJ18" s="351"/>
      <c r="AK18" s="567"/>
      <c r="AL18" s="350"/>
      <c r="AM18" s="351"/>
      <c r="AN18" s="58"/>
      <c r="AO18" s="59"/>
      <c r="AP18" s="58"/>
      <c r="AQ18" s="59"/>
      <c r="AR18" s="58"/>
      <c r="AS18" s="59"/>
      <c r="AT18" s="58"/>
      <c r="AU18" s="59"/>
      <c r="AV18" s="58"/>
      <c r="AW18" s="59"/>
      <c r="AX18" s="58"/>
      <c r="AY18" s="59"/>
      <c r="AZ18" s="60"/>
      <c r="BA18" s="61"/>
      <c r="BB18" s="62"/>
      <c r="BC18" s="61"/>
      <c r="BD18" s="62"/>
      <c r="BE18" s="61"/>
      <c r="BF18" s="62"/>
      <c r="BG18" s="61"/>
      <c r="BH18" s="62"/>
      <c r="BI18" s="646" t="s">
        <v>298</v>
      </c>
      <c r="BJ18" s="350"/>
      <c r="BK18" s="350"/>
      <c r="BL18" s="350"/>
      <c r="BM18" s="350"/>
      <c r="BN18" s="350"/>
      <c r="BO18" s="350"/>
      <c r="BP18" s="350"/>
      <c r="BQ18" s="350"/>
      <c r="BR18" s="350"/>
      <c r="BS18" s="350"/>
      <c r="BT18" s="350"/>
      <c r="BU18" s="350"/>
      <c r="BV18" s="351"/>
    </row>
    <row r="19" spans="1:74" ht="30" customHeight="1">
      <c r="A19" s="63">
        <f t="shared" si="0"/>
        <v>5</v>
      </c>
      <c r="B19" s="56" t="s">
        <v>325</v>
      </c>
      <c r="C19" s="57"/>
      <c r="D19" s="644"/>
      <c r="E19" s="350"/>
      <c r="F19" s="350"/>
      <c r="G19" s="350"/>
      <c r="H19" s="350"/>
      <c r="I19" s="350"/>
      <c r="J19" s="350"/>
      <c r="K19" s="351"/>
      <c r="L19" s="643"/>
      <c r="M19" s="350"/>
      <c r="N19" s="350"/>
      <c r="O19" s="351"/>
      <c r="P19" s="644"/>
      <c r="Q19" s="350"/>
      <c r="R19" s="350"/>
      <c r="S19" s="351"/>
      <c r="T19" s="643"/>
      <c r="U19" s="350"/>
      <c r="V19" s="350"/>
      <c r="W19" s="351"/>
      <c r="X19" s="644"/>
      <c r="Y19" s="350"/>
      <c r="Z19" s="350"/>
      <c r="AA19" s="351"/>
      <c r="AB19" s="506"/>
      <c r="AC19" s="350"/>
      <c r="AD19" s="351"/>
      <c r="AE19" s="571"/>
      <c r="AF19" s="350"/>
      <c r="AG19" s="351"/>
      <c r="AH19" s="645"/>
      <c r="AI19" s="350"/>
      <c r="AJ19" s="351"/>
      <c r="AK19" s="567"/>
      <c r="AL19" s="350"/>
      <c r="AM19" s="351"/>
      <c r="AN19" s="58"/>
      <c r="AO19" s="59"/>
      <c r="AP19" s="58"/>
      <c r="AQ19" s="59"/>
      <c r="AR19" s="58"/>
      <c r="AS19" s="59"/>
      <c r="AT19" s="58"/>
      <c r="AU19" s="59"/>
      <c r="AV19" s="58"/>
      <c r="AW19" s="59"/>
      <c r="AX19" s="58"/>
      <c r="AY19" s="59"/>
      <c r="AZ19" s="60"/>
      <c r="BA19" s="61"/>
      <c r="BB19" s="62"/>
      <c r="BC19" s="61"/>
      <c r="BD19" s="62"/>
      <c r="BE19" s="61"/>
      <c r="BF19" s="62"/>
      <c r="BG19" s="61"/>
      <c r="BH19" s="62"/>
      <c r="BI19" s="646" t="s">
        <v>298</v>
      </c>
      <c r="BJ19" s="350"/>
      <c r="BK19" s="350"/>
      <c r="BL19" s="350"/>
      <c r="BM19" s="350"/>
      <c r="BN19" s="350"/>
      <c r="BO19" s="350"/>
      <c r="BP19" s="350"/>
      <c r="BQ19" s="350"/>
      <c r="BR19" s="350"/>
      <c r="BS19" s="350"/>
      <c r="BT19" s="350"/>
      <c r="BU19" s="350"/>
      <c r="BV19" s="351"/>
    </row>
    <row r="20" spans="1:74" ht="30" customHeight="1">
      <c r="A20" s="63">
        <f t="shared" si="0"/>
        <v>6</v>
      </c>
      <c r="B20" s="56" t="s">
        <v>325</v>
      </c>
      <c r="C20" s="57"/>
      <c r="D20" s="644"/>
      <c r="E20" s="350"/>
      <c r="F20" s="350"/>
      <c r="G20" s="350"/>
      <c r="H20" s="350"/>
      <c r="I20" s="350"/>
      <c r="J20" s="350"/>
      <c r="K20" s="351"/>
      <c r="L20" s="643"/>
      <c r="M20" s="350"/>
      <c r="N20" s="350"/>
      <c r="O20" s="351"/>
      <c r="P20" s="644"/>
      <c r="Q20" s="350"/>
      <c r="R20" s="350"/>
      <c r="S20" s="351"/>
      <c r="T20" s="643"/>
      <c r="U20" s="350"/>
      <c r="V20" s="350"/>
      <c r="W20" s="351"/>
      <c r="X20" s="644"/>
      <c r="Y20" s="350"/>
      <c r="Z20" s="350"/>
      <c r="AA20" s="351"/>
      <c r="AB20" s="506"/>
      <c r="AC20" s="350"/>
      <c r="AD20" s="351"/>
      <c r="AE20" s="571"/>
      <c r="AF20" s="350"/>
      <c r="AG20" s="351"/>
      <c r="AH20" s="645"/>
      <c r="AI20" s="350"/>
      <c r="AJ20" s="351"/>
      <c r="AK20" s="567"/>
      <c r="AL20" s="350"/>
      <c r="AM20" s="351"/>
      <c r="AN20" s="58"/>
      <c r="AO20" s="59"/>
      <c r="AP20" s="58"/>
      <c r="AQ20" s="59"/>
      <c r="AR20" s="58"/>
      <c r="AS20" s="59"/>
      <c r="AT20" s="58"/>
      <c r="AU20" s="59"/>
      <c r="AV20" s="58"/>
      <c r="AW20" s="59"/>
      <c r="AX20" s="58"/>
      <c r="AY20" s="59"/>
      <c r="AZ20" s="60"/>
      <c r="BA20" s="61"/>
      <c r="BB20" s="62"/>
      <c r="BC20" s="61"/>
      <c r="BD20" s="62"/>
      <c r="BE20" s="61"/>
      <c r="BF20" s="62"/>
      <c r="BG20" s="61"/>
      <c r="BH20" s="62"/>
      <c r="BI20" s="646" t="s">
        <v>294</v>
      </c>
      <c r="BJ20" s="350"/>
      <c r="BK20" s="350"/>
      <c r="BL20" s="350"/>
      <c r="BM20" s="350"/>
      <c r="BN20" s="350"/>
      <c r="BO20" s="350"/>
      <c r="BP20" s="350"/>
      <c r="BQ20" s="350"/>
      <c r="BR20" s="350"/>
      <c r="BS20" s="350"/>
      <c r="BT20" s="350"/>
      <c r="BU20" s="350"/>
      <c r="BV20" s="351"/>
    </row>
    <row r="21" spans="1:74" ht="30" customHeight="1">
      <c r="A21" s="63">
        <f t="shared" si="0"/>
        <v>7</v>
      </c>
      <c r="B21" s="56" t="s">
        <v>325</v>
      </c>
      <c r="C21" s="57"/>
      <c r="D21" s="644"/>
      <c r="E21" s="350"/>
      <c r="F21" s="350"/>
      <c r="G21" s="350"/>
      <c r="H21" s="350"/>
      <c r="I21" s="350"/>
      <c r="J21" s="350"/>
      <c r="K21" s="351"/>
      <c r="L21" s="643"/>
      <c r="M21" s="350"/>
      <c r="N21" s="350"/>
      <c r="O21" s="351"/>
      <c r="P21" s="644"/>
      <c r="Q21" s="350"/>
      <c r="R21" s="350"/>
      <c r="S21" s="351"/>
      <c r="T21" s="643"/>
      <c r="U21" s="350"/>
      <c r="V21" s="350"/>
      <c r="W21" s="351"/>
      <c r="X21" s="644"/>
      <c r="Y21" s="350"/>
      <c r="Z21" s="350"/>
      <c r="AA21" s="351"/>
      <c r="AB21" s="506"/>
      <c r="AC21" s="350"/>
      <c r="AD21" s="351"/>
      <c r="AE21" s="571"/>
      <c r="AF21" s="350"/>
      <c r="AG21" s="351"/>
      <c r="AH21" s="645"/>
      <c r="AI21" s="350"/>
      <c r="AJ21" s="351"/>
      <c r="AK21" s="567"/>
      <c r="AL21" s="350"/>
      <c r="AM21" s="351"/>
      <c r="AN21" s="58"/>
      <c r="AO21" s="59"/>
      <c r="AP21" s="58"/>
      <c r="AQ21" s="59"/>
      <c r="AR21" s="58"/>
      <c r="AS21" s="59"/>
      <c r="AT21" s="58"/>
      <c r="AU21" s="59"/>
      <c r="AV21" s="58"/>
      <c r="AW21" s="59"/>
      <c r="AX21" s="58"/>
      <c r="AY21" s="59"/>
      <c r="AZ21" s="60"/>
      <c r="BA21" s="61"/>
      <c r="BB21" s="62"/>
      <c r="BC21" s="61"/>
      <c r="BD21" s="62"/>
      <c r="BE21" s="61"/>
      <c r="BF21" s="62"/>
      <c r="BG21" s="61"/>
      <c r="BH21" s="62"/>
      <c r="BI21" s="646" t="s">
        <v>294</v>
      </c>
      <c r="BJ21" s="350"/>
      <c r="BK21" s="350"/>
      <c r="BL21" s="350"/>
      <c r="BM21" s="350"/>
      <c r="BN21" s="350"/>
      <c r="BO21" s="350"/>
      <c r="BP21" s="350"/>
      <c r="BQ21" s="350"/>
      <c r="BR21" s="350"/>
      <c r="BS21" s="350"/>
      <c r="BT21" s="350"/>
      <c r="BU21" s="350"/>
      <c r="BV21" s="351"/>
    </row>
    <row r="22" spans="1:74" ht="30" customHeight="1">
      <c r="A22" s="55">
        <f t="shared" si="0"/>
        <v>8</v>
      </c>
      <c r="B22" s="56" t="s">
        <v>325</v>
      </c>
      <c r="C22" s="57"/>
      <c r="D22" s="644"/>
      <c r="E22" s="350"/>
      <c r="F22" s="350"/>
      <c r="G22" s="350"/>
      <c r="H22" s="350"/>
      <c r="I22" s="350"/>
      <c r="J22" s="350"/>
      <c r="K22" s="351"/>
      <c r="L22" s="643"/>
      <c r="M22" s="350"/>
      <c r="N22" s="350"/>
      <c r="O22" s="351"/>
      <c r="P22" s="644"/>
      <c r="Q22" s="350"/>
      <c r="R22" s="350"/>
      <c r="S22" s="351"/>
      <c r="T22" s="643"/>
      <c r="U22" s="350"/>
      <c r="V22" s="350"/>
      <c r="W22" s="351"/>
      <c r="X22" s="644"/>
      <c r="Y22" s="350"/>
      <c r="Z22" s="350"/>
      <c r="AA22" s="351"/>
      <c r="AB22" s="506"/>
      <c r="AC22" s="350"/>
      <c r="AD22" s="351"/>
      <c r="AE22" s="571"/>
      <c r="AF22" s="350"/>
      <c r="AG22" s="351"/>
      <c r="AH22" s="645"/>
      <c r="AI22" s="350"/>
      <c r="AJ22" s="351"/>
      <c r="AK22" s="567"/>
      <c r="AL22" s="350"/>
      <c r="AM22" s="351"/>
      <c r="AN22" s="58"/>
      <c r="AO22" s="59"/>
      <c r="AP22" s="58"/>
      <c r="AQ22" s="59"/>
      <c r="AR22" s="58"/>
      <c r="AS22" s="59"/>
      <c r="AT22" s="58"/>
      <c r="AU22" s="59"/>
      <c r="AV22" s="58"/>
      <c r="AW22" s="59"/>
      <c r="AX22" s="58"/>
      <c r="AY22" s="59"/>
      <c r="AZ22" s="60"/>
      <c r="BA22" s="61"/>
      <c r="BB22" s="62"/>
      <c r="BC22" s="61"/>
      <c r="BD22" s="62"/>
      <c r="BE22" s="61"/>
      <c r="BF22" s="62"/>
      <c r="BG22" s="61"/>
      <c r="BH22" s="62"/>
      <c r="BI22" s="646" t="s">
        <v>298</v>
      </c>
      <c r="BJ22" s="350"/>
      <c r="BK22" s="350"/>
      <c r="BL22" s="350"/>
      <c r="BM22" s="350"/>
      <c r="BN22" s="350"/>
      <c r="BO22" s="350"/>
      <c r="BP22" s="350"/>
      <c r="BQ22" s="350"/>
      <c r="BR22" s="350"/>
      <c r="BS22" s="350"/>
      <c r="BT22" s="350"/>
      <c r="BU22" s="350"/>
      <c r="BV22" s="351"/>
    </row>
    <row r="23" spans="1:74" ht="30" customHeight="1">
      <c r="A23" s="63">
        <f t="shared" si="0"/>
        <v>9</v>
      </c>
      <c r="B23" s="56" t="s">
        <v>325</v>
      </c>
      <c r="C23" s="57"/>
      <c r="D23" s="644"/>
      <c r="E23" s="350"/>
      <c r="F23" s="350"/>
      <c r="G23" s="350"/>
      <c r="H23" s="350"/>
      <c r="I23" s="350"/>
      <c r="J23" s="350"/>
      <c r="K23" s="351"/>
      <c r="L23" s="643"/>
      <c r="M23" s="350"/>
      <c r="N23" s="350"/>
      <c r="O23" s="351"/>
      <c r="P23" s="644"/>
      <c r="Q23" s="350"/>
      <c r="R23" s="350"/>
      <c r="S23" s="351"/>
      <c r="T23" s="643"/>
      <c r="U23" s="350"/>
      <c r="V23" s="350"/>
      <c r="W23" s="351"/>
      <c r="X23" s="644"/>
      <c r="Y23" s="350"/>
      <c r="Z23" s="350"/>
      <c r="AA23" s="351"/>
      <c r="AB23" s="506"/>
      <c r="AC23" s="350"/>
      <c r="AD23" s="351"/>
      <c r="AE23" s="571"/>
      <c r="AF23" s="350"/>
      <c r="AG23" s="351"/>
      <c r="AH23" s="645"/>
      <c r="AI23" s="350"/>
      <c r="AJ23" s="351"/>
      <c r="AK23" s="567"/>
      <c r="AL23" s="350"/>
      <c r="AM23" s="351"/>
      <c r="AN23" s="58"/>
      <c r="AO23" s="59"/>
      <c r="AP23" s="58"/>
      <c r="AQ23" s="59"/>
      <c r="AR23" s="58"/>
      <c r="AS23" s="59"/>
      <c r="AT23" s="58"/>
      <c r="AU23" s="59"/>
      <c r="AV23" s="58"/>
      <c r="AW23" s="59"/>
      <c r="AX23" s="58"/>
      <c r="AY23" s="59"/>
      <c r="AZ23" s="60"/>
      <c r="BA23" s="61"/>
      <c r="BB23" s="62"/>
      <c r="BC23" s="61"/>
      <c r="BD23" s="62"/>
      <c r="BE23" s="61"/>
      <c r="BF23" s="62"/>
      <c r="BG23" s="61"/>
      <c r="BH23" s="62"/>
      <c r="BI23" s="646" t="s">
        <v>298</v>
      </c>
      <c r="BJ23" s="350"/>
      <c r="BK23" s="350"/>
      <c r="BL23" s="350"/>
      <c r="BM23" s="350"/>
      <c r="BN23" s="350"/>
      <c r="BO23" s="350"/>
      <c r="BP23" s="350"/>
      <c r="BQ23" s="350"/>
      <c r="BR23" s="350"/>
      <c r="BS23" s="350"/>
      <c r="BT23" s="350"/>
      <c r="BU23" s="350"/>
      <c r="BV23" s="351"/>
    </row>
    <row r="24" spans="1:74" ht="30" customHeight="1">
      <c r="A24" s="63">
        <f t="shared" si="0"/>
        <v>10</v>
      </c>
      <c r="B24" s="56" t="s">
        <v>325</v>
      </c>
      <c r="C24" s="57"/>
      <c r="D24" s="644"/>
      <c r="E24" s="350"/>
      <c r="F24" s="350"/>
      <c r="G24" s="350"/>
      <c r="H24" s="350"/>
      <c r="I24" s="350"/>
      <c r="J24" s="350"/>
      <c r="K24" s="351"/>
      <c r="L24" s="643"/>
      <c r="M24" s="350"/>
      <c r="N24" s="350"/>
      <c r="O24" s="351"/>
      <c r="P24" s="644"/>
      <c r="Q24" s="350"/>
      <c r="R24" s="350"/>
      <c r="S24" s="351"/>
      <c r="T24" s="643"/>
      <c r="U24" s="350"/>
      <c r="V24" s="350"/>
      <c r="W24" s="351"/>
      <c r="X24" s="644"/>
      <c r="Y24" s="350"/>
      <c r="Z24" s="350"/>
      <c r="AA24" s="351"/>
      <c r="AB24" s="506"/>
      <c r="AC24" s="350"/>
      <c r="AD24" s="351"/>
      <c r="AE24" s="571"/>
      <c r="AF24" s="350"/>
      <c r="AG24" s="351"/>
      <c r="AH24" s="645"/>
      <c r="AI24" s="350"/>
      <c r="AJ24" s="351"/>
      <c r="AK24" s="567"/>
      <c r="AL24" s="350"/>
      <c r="AM24" s="351"/>
      <c r="AN24" s="58"/>
      <c r="AO24" s="59"/>
      <c r="AP24" s="58"/>
      <c r="AQ24" s="59"/>
      <c r="AR24" s="58"/>
      <c r="AS24" s="59"/>
      <c r="AT24" s="58"/>
      <c r="AU24" s="59"/>
      <c r="AV24" s="58"/>
      <c r="AW24" s="59"/>
      <c r="AX24" s="58"/>
      <c r="AY24" s="59"/>
      <c r="AZ24" s="60"/>
      <c r="BA24" s="61"/>
      <c r="BB24" s="62"/>
      <c r="BC24" s="61"/>
      <c r="BD24" s="62"/>
      <c r="BE24" s="61"/>
      <c r="BF24" s="62"/>
      <c r="BG24" s="61"/>
      <c r="BH24" s="62"/>
      <c r="BI24" s="646" t="s">
        <v>298</v>
      </c>
      <c r="BJ24" s="350"/>
      <c r="BK24" s="350"/>
      <c r="BL24" s="350"/>
      <c r="BM24" s="350"/>
      <c r="BN24" s="350"/>
      <c r="BO24" s="350"/>
      <c r="BP24" s="350"/>
      <c r="BQ24" s="350"/>
      <c r="BR24" s="350"/>
      <c r="BS24" s="350"/>
      <c r="BT24" s="350"/>
      <c r="BU24" s="350"/>
      <c r="BV24" s="351"/>
    </row>
    <row r="25" spans="1:74" ht="30" customHeight="1">
      <c r="A25" s="63">
        <f t="shared" si="0"/>
        <v>11</v>
      </c>
      <c r="B25" s="56" t="s">
        <v>325</v>
      </c>
      <c r="C25" s="57"/>
      <c r="D25" s="644"/>
      <c r="E25" s="350"/>
      <c r="F25" s="350"/>
      <c r="G25" s="350"/>
      <c r="H25" s="350"/>
      <c r="I25" s="350"/>
      <c r="J25" s="350"/>
      <c r="K25" s="351"/>
      <c r="L25" s="643"/>
      <c r="M25" s="350"/>
      <c r="N25" s="350"/>
      <c r="O25" s="351"/>
      <c r="P25" s="644"/>
      <c r="Q25" s="350"/>
      <c r="R25" s="350"/>
      <c r="S25" s="351"/>
      <c r="T25" s="643"/>
      <c r="U25" s="350"/>
      <c r="V25" s="350"/>
      <c r="W25" s="351"/>
      <c r="X25" s="644"/>
      <c r="Y25" s="350"/>
      <c r="Z25" s="350"/>
      <c r="AA25" s="351"/>
      <c r="AB25" s="506"/>
      <c r="AC25" s="350"/>
      <c r="AD25" s="351"/>
      <c r="AE25" s="571"/>
      <c r="AF25" s="350"/>
      <c r="AG25" s="351"/>
      <c r="AH25" s="645"/>
      <c r="AI25" s="350"/>
      <c r="AJ25" s="351"/>
      <c r="AK25" s="567"/>
      <c r="AL25" s="350"/>
      <c r="AM25" s="351"/>
      <c r="AN25" s="58"/>
      <c r="AO25" s="59"/>
      <c r="AP25" s="58"/>
      <c r="AQ25" s="59"/>
      <c r="AR25" s="58"/>
      <c r="AS25" s="59"/>
      <c r="AT25" s="58"/>
      <c r="AU25" s="59"/>
      <c r="AV25" s="58"/>
      <c r="AW25" s="59"/>
      <c r="AX25" s="58"/>
      <c r="AY25" s="59"/>
      <c r="AZ25" s="60"/>
      <c r="BA25" s="61"/>
      <c r="BB25" s="62"/>
      <c r="BC25" s="61"/>
      <c r="BD25" s="62"/>
      <c r="BE25" s="61"/>
      <c r="BF25" s="62"/>
      <c r="BG25" s="61"/>
      <c r="BH25" s="62"/>
      <c r="BI25" s="646" t="s">
        <v>298</v>
      </c>
      <c r="BJ25" s="350"/>
      <c r="BK25" s="350"/>
      <c r="BL25" s="350"/>
      <c r="BM25" s="350"/>
      <c r="BN25" s="350"/>
      <c r="BO25" s="350"/>
      <c r="BP25" s="350"/>
      <c r="BQ25" s="350"/>
      <c r="BR25" s="350"/>
      <c r="BS25" s="350"/>
      <c r="BT25" s="350"/>
      <c r="BU25" s="350"/>
      <c r="BV25" s="351"/>
    </row>
    <row r="26" spans="1:74" ht="30" customHeight="1">
      <c r="A26" s="63">
        <f t="shared" si="0"/>
        <v>12</v>
      </c>
      <c r="B26" s="56" t="s">
        <v>325</v>
      </c>
      <c r="C26" s="57"/>
      <c r="D26" s="644"/>
      <c r="E26" s="350"/>
      <c r="F26" s="350"/>
      <c r="G26" s="350"/>
      <c r="H26" s="350"/>
      <c r="I26" s="350"/>
      <c r="J26" s="350"/>
      <c r="K26" s="351"/>
      <c r="L26" s="643"/>
      <c r="M26" s="350"/>
      <c r="N26" s="350"/>
      <c r="O26" s="351"/>
      <c r="P26" s="644"/>
      <c r="Q26" s="350"/>
      <c r="R26" s="350"/>
      <c r="S26" s="351"/>
      <c r="T26" s="643"/>
      <c r="U26" s="350"/>
      <c r="V26" s="350"/>
      <c r="W26" s="351"/>
      <c r="X26" s="644"/>
      <c r="Y26" s="350"/>
      <c r="Z26" s="350"/>
      <c r="AA26" s="351"/>
      <c r="AB26" s="506"/>
      <c r="AC26" s="350"/>
      <c r="AD26" s="351"/>
      <c r="AE26" s="571"/>
      <c r="AF26" s="350"/>
      <c r="AG26" s="351"/>
      <c r="AH26" s="645"/>
      <c r="AI26" s="350"/>
      <c r="AJ26" s="351"/>
      <c r="AK26" s="567"/>
      <c r="AL26" s="350"/>
      <c r="AM26" s="351"/>
      <c r="AN26" s="58"/>
      <c r="AO26" s="59"/>
      <c r="AP26" s="58"/>
      <c r="AQ26" s="59"/>
      <c r="AR26" s="58"/>
      <c r="AS26" s="59"/>
      <c r="AT26" s="58"/>
      <c r="AU26" s="59"/>
      <c r="AV26" s="58"/>
      <c r="AW26" s="59"/>
      <c r="AX26" s="58"/>
      <c r="AY26" s="59"/>
      <c r="AZ26" s="60"/>
      <c r="BA26" s="61"/>
      <c r="BB26" s="62"/>
      <c r="BC26" s="61"/>
      <c r="BD26" s="62"/>
      <c r="BE26" s="61"/>
      <c r="BF26" s="62"/>
      <c r="BG26" s="61"/>
      <c r="BH26" s="62"/>
      <c r="BI26" s="646" t="s">
        <v>298</v>
      </c>
      <c r="BJ26" s="350"/>
      <c r="BK26" s="350"/>
      <c r="BL26" s="350"/>
      <c r="BM26" s="350"/>
      <c r="BN26" s="350"/>
      <c r="BO26" s="350"/>
      <c r="BP26" s="350"/>
      <c r="BQ26" s="350"/>
      <c r="BR26" s="350"/>
      <c r="BS26" s="350"/>
      <c r="BT26" s="350"/>
      <c r="BU26" s="350"/>
      <c r="BV26" s="351"/>
    </row>
    <row r="27" spans="1:74" ht="30" customHeight="1">
      <c r="A27" s="63">
        <f t="shared" si="0"/>
        <v>13</v>
      </c>
      <c r="B27" s="56" t="s">
        <v>325</v>
      </c>
      <c r="C27" s="57"/>
      <c r="D27" s="644"/>
      <c r="E27" s="350"/>
      <c r="F27" s="350"/>
      <c r="G27" s="350"/>
      <c r="H27" s="350"/>
      <c r="I27" s="350"/>
      <c r="J27" s="350"/>
      <c r="K27" s="351"/>
      <c r="L27" s="643"/>
      <c r="M27" s="350"/>
      <c r="N27" s="350"/>
      <c r="O27" s="351"/>
      <c r="P27" s="644"/>
      <c r="Q27" s="350"/>
      <c r="R27" s="350"/>
      <c r="S27" s="351"/>
      <c r="T27" s="643"/>
      <c r="U27" s="350"/>
      <c r="V27" s="350"/>
      <c r="W27" s="351"/>
      <c r="X27" s="644"/>
      <c r="Y27" s="350"/>
      <c r="Z27" s="350"/>
      <c r="AA27" s="351"/>
      <c r="AB27" s="506"/>
      <c r="AC27" s="350"/>
      <c r="AD27" s="351"/>
      <c r="AE27" s="571"/>
      <c r="AF27" s="350"/>
      <c r="AG27" s="351"/>
      <c r="AH27" s="645"/>
      <c r="AI27" s="350"/>
      <c r="AJ27" s="351"/>
      <c r="AK27" s="567"/>
      <c r="AL27" s="350"/>
      <c r="AM27" s="351"/>
      <c r="AN27" s="58"/>
      <c r="AO27" s="59"/>
      <c r="AP27" s="58"/>
      <c r="AQ27" s="59"/>
      <c r="AR27" s="58"/>
      <c r="AS27" s="59"/>
      <c r="AT27" s="58"/>
      <c r="AU27" s="59"/>
      <c r="AV27" s="58"/>
      <c r="AW27" s="59"/>
      <c r="AX27" s="58"/>
      <c r="AY27" s="59"/>
      <c r="AZ27" s="60"/>
      <c r="BA27" s="61"/>
      <c r="BB27" s="62"/>
      <c r="BC27" s="61"/>
      <c r="BD27" s="62"/>
      <c r="BE27" s="61"/>
      <c r="BF27" s="62"/>
      <c r="BG27" s="61"/>
      <c r="BH27" s="62"/>
      <c r="BI27" s="646" t="s">
        <v>294</v>
      </c>
      <c r="BJ27" s="350"/>
      <c r="BK27" s="350"/>
      <c r="BL27" s="350"/>
      <c r="BM27" s="350"/>
      <c r="BN27" s="350"/>
      <c r="BO27" s="350"/>
      <c r="BP27" s="350"/>
      <c r="BQ27" s="350"/>
      <c r="BR27" s="350"/>
      <c r="BS27" s="350"/>
      <c r="BT27" s="350"/>
      <c r="BU27" s="350"/>
      <c r="BV27" s="351"/>
    </row>
    <row r="28" spans="1:74" ht="30" customHeight="1">
      <c r="A28" s="63">
        <f t="shared" si="0"/>
        <v>14</v>
      </c>
      <c r="B28" s="56" t="s">
        <v>325</v>
      </c>
      <c r="C28" s="57"/>
      <c r="D28" s="644"/>
      <c r="E28" s="350"/>
      <c r="F28" s="350"/>
      <c r="G28" s="350"/>
      <c r="H28" s="350"/>
      <c r="I28" s="350"/>
      <c r="J28" s="350"/>
      <c r="K28" s="351"/>
      <c r="L28" s="643"/>
      <c r="M28" s="350"/>
      <c r="N28" s="350"/>
      <c r="O28" s="351"/>
      <c r="P28" s="644"/>
      <c r="Q28" s="350"/>
      <c r="R28" s="350"/>
      <c r="S28" s="351"/>
      <c r="T28" s="643"/>
      <c r="U28" s="350"/>
      <c r="V28" s="350"/>
      <c r="W28" s="351"/>
      <c r="X28" s="644"/>
      <c r="Y28" s="350"/>
      <c r="Z28" s="350"/>
      <c r="AA28" s="351"/>
      <c r="AB28" s="506"/>
      <c r="AC28" s="350"/>
      <c r="AD28" s="351"/>
      <c r="AE28" s="571"/>
      <c r="AF28" s="350"/>
      <c r="AG28" s="351"/>
      <c r="AH28" s="645"/>
      <c r="AI28" s="350"/>
      <c r="AJ28" s="351"/>
      <c r="AK28" s="567"/>
      <c r="AL28" s="350"/>
      <c r="AM28" s="351"/>
      <c r="AN28" s="58"/>
      <c r="AO28" s="59"/>
      <c r="AP28" s="58"/>
      <c r="AQ28" s="59"/>
      <c r="AR28" s="58"/>
      <c r="AS28" s="59"/>
      <c r="AT28" s="58"/>
      <c r="AU28" s="59"/>
      <c r="AV28" s="58"/>
      <c r="AW28" s="59"/>
      <c r="AX28" s="58"/>
      <c r="AY28" s="59"/>
      <c r="AZ28" s="60"/>
      <c r="BA28" s="61"/>
      <c r="BB28" s="62"/>
      <c r="BC28" s="61"/>
      <c r="BD28" s="62"/>
      <c r="BE28" s="61"/>
      <c r="BF28" s="62"/>
      <c r="BG28" s="61"/>
      <c r="BH28" s="62"/>
      <c r="BI28" s="646" t="s">
        <v>294</v>
      </c>
      <c r="BJ28" s="350"/>
      <c r="BK28" s="350"/>
      <c r="BL28" s="350"/>
      <c r="BM28" s="350"/>
      <c r="BN28" s="350"/>
      <c r="BO28" s="350"/>
      <c r="BP28" s="350"/>
      <c r="BQ28" s="350"/>
      <c r="BR28" s="350"/>
      <c r="BS28" s="350"/>
      <c r="BT28" s="350"/>
      <c r="BU28" s="350"/>
      <c r="BV28" s="351"/>
    </row>
    <row r="29" spans="1:74" ht="30" customHeight="1">
      <c r="A29" s="55">
        <f t="shared" si="0"/>
        <v>15</v>
      </c>
      <c r="B29" s="56" t="s">
        <v>325</v>
      </c>
      <c r="C29" s="57"/>
      <c r="D29" s="644"/>
      <c r="E29" s="350"/>
      <c r="F29" s="350"/>
      <c r="G29" s="350"/>
      <c r="H29" s="350"/>
      <c r="I29" s="350"/>
      <c r="J29" s="350"/>
      <c r="K29" s="351"/>
      <c r="L29" s="643"/>
      <c r="M29" s="350"/>
      <c r="N29" s="350"/>
      <c r="O29" s="351"/>
      <c r="P29" s="644"/>
      <c r="Q29" s="350"/>
      <c r="R29" s="350"/>
      <c r="S29" s="351"/>
      <c r="T29" s="643"/>
      <c r="U29" s="350"/>
      <c r="V29" s="350"/>
      <c r="W29" s="351"/>
      <c r="X29" s="644"/>
      <c r="Y29" s="350"/>
      <c r="Z29" s="350"/>
      <c r="AA29" s="351"/>
      <c r="AB29" s="506"/>
      <c r="AC29" s="350"/>
      <c r="AD29" s="351"/>
      <c r="AE29" s="571"/>
      <c r="AF29" s="350"/>
      <c r="AG29" s="351"/>
      <c r="AH29" s="645"/>
      <c r="AI29" s="350"/>
      <c r="AJ29" s="351"/>
      <c r="AK29" s="567"/>
      <c r="AL29" s="350"/>
      <c r="AM29" s="351"/>
      <c r="AN29" s="58"/>
      <c r="AO29" s="59"/>
      <c r="AP29" s="58"/>
      <c r="AQ29" s="59"/>
      <c r="AR29" s="58"/>
      <c r="AS29" s="59"/>
      <c r="AT29" s="58"/>
      <c r="AU29" s="59"/>
      <c r="AV29" s="58"/>
      <c r="AW29" s="59"/>
      <c r="AX29" s="58"/>
      <c r="AY29" s="59"/>
      <c r="AZ29" s="60"/>
      <c r="BA29" s="61"/>
      <c r="BB29" s="62"/>
      <c r="BC29" s="61"/>
      <c r="BD29" s="62"/>
      <c r="BE29" s="61"/>
      <c r="BF29" s="62"/>
      <c r="BG29" s="61"/>
      <c r="BH29" s="62"/>
      <c r="BI29" s="646" t="s">
        <v>298</v>
      </c>
      <c r="BJ29" s="350"/>
      <c r="BK29" s="350"/>
      <c r="BL29" s="350"/>
      <c r="BM29" s="350"/>
      <c r="BN29" s="350"/>
      <c r="BO29" s="350"/>
      <c r="BP29" s="350"/>
      <c r="BQ29" s="350"/>
      <c r="BR29" s="350"/>
      <c r="BS29" s="350"/>
      <c r="BT29" s="350"/>
      <c r="BU29" s="350"/>
      <c r="BV29" s="351"/>
    </row>
    <row r="30" spans="1:74" ht="30" customHeight="1">
      <c r="A30" s="63">
        <f t="shared" si="0"/>
        <v>16</v>
      </c>
      <c r="B30" s="56" t="s">
        <v>325</v>
      </c>
      <c r="C30" s="57"/>
      <c r="D30" s="644"/>
      <c r="E30" s="350"/>
      <c r="F30" s="350"/>
      <c r="G30" s="350"/>
      <c r="H30" s="350"/>
      <c r="I30" s="350"/>
      <c r="J30" s="350"/>
      <c r="K30" s="351"/>
      <c r="L30" s="643"/>
      <c r="M30" s="350"/>
      <c r="N30" s="350"/>
      <c r="O30" s="351"/>
      <c r="P30" s="644"/>
      <c r="Q30" s="350"/>
      <c r="R30" s="350"/>
      <c r="S30" s="351"/>
      <c r="T30" s="643"/>
      <c r="U30" s="350"/>
      <c r="V30" s="350"/>
      <c r="W30" s="351"/>
      <c r="X30" s="644"/>
      <c r="Y30" s="350"/>
      <c r="Z30" s="350"/>
      <c r="AA30" s="351"/>
      <c r="AB30" s="506"/>
      <c r="AC30" s="350"/>
      <c r="AD30" s="351"/>
      <c r="AE30" s="571"/>
      <c r="AF30" s="350"/>
      <c r="AG30" s="351"/>
      <c r="AH30" s="645"/>
      <c r="AI30" s="350"/>
      <c r="AJ30" s="351"/>
      <c r="AK30" s="567"/>
      <c r="AL30" s="350"/>
      <c r="AM30" s="351"/>
      <c r="AN30" s="58"/>
      <c r="AO30" s="59"/>
      <c r="AP30" s="58"/>
      <c r="AQ30" s="59"/>
      <c r="AR30" s="58"/>
      <c r="AS30" s="59"/>
      <c r="AT30" s="58"/>
      <c r="AU30" s="59"/>
      <c r="AV30" s="58"/>
      <c r="AW30" s="59"/>
      <c r="AX30" s="58"/>
      <c r="AY30" s="59"/>
      <c r="AZ30" s="60"/>
      <c r="BA30" s="61"/>
      <c r="BB30" s="62"/>
      <c r="BC30" s="61"/>
      <c r="BD30" s="62"/>
      <c r="BE30" s="61"/>
      <c r="BF30" s="62"/>
      <c r="BG30" s="61"/>
      <c r="BH30" s="62"/>
      <c r="BI30" s="646" t="s">
        <v>298</v>
      </c>
      <c r="BJ30" s="350"/>
      <c r="BK30" s="350"/>
      <c r="BL30" s="350"/>
      <c r="BM30" s="350"/>
      <c r="BN30" s="350"/>
      <c r="BO30" s="350"/>
      <c r="BP30" s="350"/>
      <c r="BQ30" s="350"/>
      <c r="BR30" s="350"/>
      <c r="BS30" s="350"/>
      <c r="BT30" s="350"/>
      <c r="BU30" s="350"/>
      <c r="BV30" s="351"/>
    </row>
    <row r="31" spans="1:74" ht="30" customHeight="1">
      <c r="A31" s="63">
        <f t="shared" si="0"/>
        <v>17</v>
      </c>
      <c r="B31" s="56" t="s">
        <v>325</v>
      </c>
      <c r="C31" s="57"/>
      <c r="D31" s="644"/>
      <c r="E31" s="350"/>
      <c r="F31" s="350"/>
      <c r="G31" s="350"/>
      <c r="H31" s="350"/>
      <c r="I31" s="350"/>
      <c r="J31" s="350"/>
      <c r="K31" s="351"/>
      <c r="L31" s="643"/>
      <c r="M31" s="350"/>
      <c r="N31" s="350"/>
      <c r="O31" s="351"/>
      <c r="P31" s="644"/>
      <c r="Q31" s="350"/>
      <c r="R31" s="350"/>
      <c r="S31" s="351"/>
      <c r="T31" s="643"/>
      <c r="U31" s="350"/>
      <c r="V31" s="350"/>
      <c r="W31" s="351"/>
      <c r="X31" s="644"/>
      <c r="Y31" s="350"/>
      <c r="Z31" s="350"/>
      <c r="AA31" s="351"/>
      <c r="AB31" s="506"/>
      <c r="AC31" s="350"/>
      <c r="AD31" s="351"/>
      <c r="AE31" s="571"/>
      <c r="AF31" s="350"/>
      <c r="AG31" s="351"/>
      <c r="AH31" s="645"/>
      <c r="AI31" s="350"/>
      <c r="AJ31" s="351"/>
      <c r="AK31" s="567"/>
      <c r="AL31" s="350"/>
      <c r="AM31" s="351"/>
      <c r="AN31" s="58"/>
      <c r="AO31" s="59"/>
      <c r="AP31" s="58"/>
      <c r="AQ31" s="59"/>
      <c r="AR31" s="58"/>
      <c r="AS31" s="59"/>
      <c r="AT31" s="58"/>
      <c r="AU31" s="59"/>
      <c r="AV31" s="58"/>
      <c r="AW31" s="59"/>
      <c r="AX31" s="58"/>
      <c r="AY31" s="59"/>
      <c r="AZ31" s="60"/>
      <c r="BA31" s="61"/>
      <c r="BB31" s="62"/>
      <c r="BC31" s="61"/>
      <c r="BD31" s="62"/>
      <c r="BE31" s="61"/>
      <c r="BF31" s="62"/>
      <c r="BG31" s="61"/>
      <c r="BH31" s="62"/>
      <c r="BI31" s="646" t="s">
        <v>298</v>
      </c>
      <c r="BJ31" s="350"/>
      <c r="BK31" s="350"/>
      <c r="BL31" s="350"/>
      <c r="BM31" s="350"/>
      <c r="BN31" s="350"/>
      <c r="BO31" s="350"/>
      <c r="BP31" s="350"/>
      <c r="BQ31" s="350"/>
      <c r="BR31" s="350"/>
      <c r="BS31" s="350"/>
      <c r="BT31" s="350"/>
      <c r="BU31" s="350"/>
      <c r="BV31" s="351"/>
    </row>
    <row r="32" spans="1:74" ht="30" customHeight="1">
      <c r="A32" s="63">
        <f t="shared" si="0"/>
        <v>18</v>
      </c>
      <c r="B32" s="56" t="s">
        <v>325</v>
      </c>
      <c r="C32" s="57"/>
      <c r="D32" s="644"/>
      <c r="E32" s="350"/>
      <c r="F32" s="350"/>
      <c r="G32" s="350"/>
      <c r="H32" s="350"/>
      <c r="I32" s="350"/>
      <c r="J32" s="350"/>
      <c r="K32" s="351"/>
      <c r="L32" s="643"/>
      <c r="M32" s="350"/>
      <c r="N32" s="350"/>
      <c r="O32" s="351"/>
      <c r="P32" s="644"/>
      <c r="Q32" s="350"/>
      <c r="R32" s="350"/>
      <c r="S32" s="351"/>
      <c r="T32" s="643"/>
      <c r="U32" s="350"/>
      <c r="V32" s="350"/>
      <c r="W32" s="351"/>
      <c r="X32" s="644"/>
      <c r="Y32" s="350"/>
      <c r="Z32" s="350"/>
      <c r="AA32" s="351"/>
      <c r="AB32" s="506"/>
      <c r="AC32" s="350"/>
      <c r="AD32" s="351"/>
      <c r="AE32" s="571"/>
      <c r="AF32" s="350"/>
      <c r="AG32" s="351"/>
      <c r="AH32" s="645"/>
      <c r="AI32" s="350"/>
      <c r="AJ32" s="351"/>
      <c r="AK32" s="567"/>
      <c r="AL32" s="350"/>
      <c r="AM32" s="351"/>
      <c r="AN32" s="58"/>
      <c r="AO32" s="59"/>
      <c r="AP32" s="58"/>
      <c r="AQ32" s="59"/>
      <c r="AR32" s="58"/>
      <c r="AS32" s="59"/>
      <c r="AT32" s="58"/>
      <c r="AU32" s="59"/>
      <c r="AV32" s="58"/>
      <c r="AW32" s="59"/>
      <c r="AX32" s="58"/>
      <c r="AY32" s="59"/>
      <c r="AZ32" s="60"/>
      <c r="BA32" s="61"/>
      <c r="BB32" s="62"/>
      <c r="BC32" s="61"/>
      <c r="BD32" s="62"/>
      <c r="BE32" s="61"/>
      <c r="BF32" s="62"/>
      <c r="BG32" s="61"/>
      <c r="BH32" s="62"/>
      <c r="BI32" s="646" t="s">
        <v>298</v>
      </c>
      <c r="BJ32" s="350"/>
      <c r="BK32" s="350"/>
      <c r="BL32" s="350"/>
      <c r="BM32" s="350"/>
      <c r="BN32" s="350"/>
      <c r="BO32" s="350"/>
      <c r="BP32" s="350"/>
      <c r="BQ32" s="350"/>
      <c r="BR32" s="350"/>
      <c r="BS32" s="350"/>
      <c r="BT32" s="350"/>
      <c r="BU32" s="350"/>
      <c r="BV32" s="351"/>
    </row>
    <row r="33" spans="1:74" ht="30" customHeight="1">
      <c r="A33" s="63">
        <f t="shared" si="0"/>
        <v>19</v>
      </c>
      <c r="B33" s="56" t="s">
        <v>325</v>
      </c>
      <c r="C33" s="57"/>
      <c r="D33" s="644"/>
      <c r="E33" s="350"/>
      <c r="F33" s="350"/>
      <c r="G33" s="350"/>
      <c r="H33" s="350"/>
      <c r="I33" s="350"/>
      <c r="J33" s="350"/>
      <c r="K33" s="351"/>
      <c r="L33" s="643"/>
      <c r="M33" s="350"/>
      <c r="N33" s="350"/>
      <c r="O33" s="351"/>
      <c r="P33" s="644"/>
      <c r="Q33" s="350"/>
      <c r="R33" s="350"/>
      <c r="S33" s="351"/>
      <c r="T33" s="643"/>
      <c r="U33" s="350"/>
      <c r="V33" s="350"/>
      <c r="W33" s="351"/>
      <c r="X33" s="644"/>
      <c r="Y33" s="350"/>
      <c r="Z33" s="350"/>
      <c r="AA33" s="351"/>
      <c r="AB33" s="506"/>
      <c r="AC33" s="350"/>
      <c r="AD33" s="351"/>
      <c r="AE33" s="571"/>
      <c r="AF33" s="350"/>
      <c r="AG33" s="351"/>
      <c r="AH33" s="645"/>
      <c r="AI33" s="350"/>
      <c r="AJ33" s="351"/>
      <c r="AK33" s="567"/>
      <c r="AL33" s="350"/>
      <c r="AM33" s="351"/>
      <c r="AN33" s="58"/>
      <c r="AO33" s="59"/>
      <c r="AP33" s="58"/>
      <c r="AQ33" s="59"/>
      <c r="AR33" s="58"/>
      <c r="AS33" s="59"/>
      <c r="AT33" s="58"/>
      <c r="AU33" s="59"/>
      <c r="AV33" s="58"/>
      <c r="AW33" s="59"/>
      <c r="AX33" s="58"/>
      <c r="AY33" s="59"/>
      <c r="AZ33" s="60"/>
      <c r="BA33" s="61"/>
      <c r="BB33" s="62"/>
      <c r="BC33" s="61"/>
      <c r="BD33" s="62"/>
      <c r="BE33" s="61"/>
      <c r="BF33" s="62"/>
      <c r="BG33" s="61"/>
      <c r="BH33" s="62"/>
      <c r="BI33" s="646" t="s">
        <v>298</v>
      </c>
      <c r="BJ33" s="350"/>
      <c r="BK33" s="350"/>
      <c r="BL33" s="350"/>
      <c r="BM33" s="350"/>
      <c r="BN33" s="350"/>
      <c r="BO33" s="350"/>
      <c r="BP33" s="350"/>
      <c r="BQ33" s="350"/>
      <c r="BR33" s="350"/>
      <c r="BS33" s="350"/>
      <c r="BT33" s="350"/>
      <c r="BU33" s="350"/>
      <c r="BV33" s="351"/>
    </row>
    <row r="34" spans="1:74" ht="30" customHeight="1">
      <c r="A34" s="63">
        <f t="shared" si="0"/>
        <v>20</v>
      </c>
      <c r="B34" s="56" t="s">
        <v>325</v>
      </c>
      <c r="C34" s="57"/>
      <c r="D34" s="644"/>
      <c r="E34" s="350"/>
      <c r="F34" s="350"/>
      <c r="G34" s="350"/>
      <c r="H34" s="350"/>
      <c r="I34" s="350"/>
      <c r="J34" s="350"/>
      <c r="K34" s="351"/>
      <c r="L34" s="643"/>
      <c r="M34" s="350"/>
      <c r="N34" s="350"/>
      <c r="O34" s="351"/>
      <c r="P34" s="644"/>
      <c r="Q34" s="350"/>
      <c r="R34" s="350"/>
      <c r="S34" s="351"/>
      <c r="T34" s="643"/>
      <c r="U34" s="350"/>
      <c r="V34" s="350"/>
      <c r="W34" s="351"/>
      <c r="X34" s="644"/>
      <c r="Y34" s="350"/>
      <c r="Z34" s="350"/>
      <c r="AA34" s="351"/>
      <c r="AB34" s="506"/>
      <c r="AC34" s="350"/>
      <c r="AD34" s="351"/>
      <c r="AE34" s="571"/>
      <c r="AF34" s="350"/>
      <c r="AG34" s="351"/>
      <c r="AH34" s="645"/>
      <c r="AI34" s="350"/>
      <c r="AJ34" s="351"/>
      <c r="AK34" s="567"/>
      <c r="AL34" s="350"/>
      <c r="AM34" s="351"/>
      <c r="AN34" s="58"/>
      <c r="AO34" s="59"/>
      <c r="AP34" s="58"/>
      <c r="AQ34" s="59"/>
      <c r="AR34" s="58"/>
      <c r="AS34" s="59"/>
      <c r="AT34" s="58"/>
      <c r="AU34" s="59"/>
      <c r="AV34" s="58"/>
      <c r="AW34" s="59"/>
      <c r="AX34" s="58"/>
      <c r="AY34" s="59"/>
      <c r="AZ34" s="60"/>
      <c r="BA34" s="61"/>
      <c r="BB34" s="62"/>
      <c r="BC34" s="61"/>
      <c r="BD34" s="62"/>
      <c r="BE34" s="61"/>
      <c r="BF34" s="62"/>
      <c r="BG34" s="61"/>
      <c r="BH34" s="62"/>
      <c r="BI34" s="646" t="s">
        <v>294</v>
      </c>
      <c r="BJ34" s="350"/>
      <c r="BK34" s="350"/>
      <c r="BL34" s="350"/>
      <c r="BM34" s="350"/>
      <c r="BN34" s="350"/>
      <c r="BO34" s="350"/>
      <c r="BP34" s="350"/>
      <c r="BQ34" s="350"/>
      <c r="BR34" s="350"/>
      <c r="BS34" s="350"/>
      <c r="BT34" s="350"/>
      <c r="BU34" s="350"/>
      <c r="BV34" s="351"/>
    </row>
    <row r="35" spans="1:74" ht="30" customHeight="1">
      <c r="A35" s="63">
        <f t="shared" si="0"/>
        <v>21</v>
      </c>
      <c r="B35" s="56" t="s">
        <v>325</v>
      </c>
      <c r="C35" s="57"/>
      <c r="D35" s="644"/>
      <c r="E35" s="350"/>
      <c r="F35" s="350"/>
      <c r="G35" s="350"/>
      <c r="H35" s="350"/>
      <c r="I35" s="350"/>
      <c r="J35" s="350"/>
      <c r="K35" s="351"/>
      <c r="L35" s="643"/>
      <c r="M35" s="350"/>
      <c r="N35" s="350"/>
      <c r="O35" s="351"/>
      <c r="P35" s="644"/>
      <c r="Q35" s="350"/>
      <c r="R35" s="350"/>
      <c r="S35" s="351"/>
      <c r="T35" s="643"/>
      <c r="U35" s="350"/>
      <c r="V35" s="350"/>
      <c r="W35" s="351"/>
      <c r="X35" s="644"/>
      <c r="Y35" s="350"/>
      <c r="Z35" s="350"/>
      <c r="AA35" s="351"/>
      <c r="AB35" s="506"/>
      <c r="AC35" s="350"/>
      <c r="AD35" s="351"/>
      <c r="AE35" s="571"/>
      <c r="AF35" s="350"/>
      <c r="AG35" s="351"/>
      <c r="AH35" s="645"/>
      <c r="AI35" s="350"/>
      <c r="AJ35" s="351"/>
      <c r="AK35" s="567"/>
      <c r="AL35" s="350"/>
      <c r="AM35" s="351"/>
      <c r="AN35" s="58"/>
      <c r="AO35" s="59"/>
      <c r="AP35" s="58"/>
      <c r="AQ35" s="59"/>
      <c r="AR35" s="58"/>
      <c r="AS35" s="59"/>
      <c r="AT35" s="58"/>
      <c r="AU35" s="59"/>
      <c r="AV35" s="58"/>
      <c r="AW35" s="59"/>
      <c r="AX35" s="58"/>
      <c r="AY35" s="59"/>
      <c r="AZ35" s="60"/>
      <c r="BA35" s="61"/>
      <c r="BB35" s="62"/>
      <c r="BC35" s="61"/>
      <c r="BD35" s="62"/>
      <c r="BE35" s="61"/>
      <c r="BF35" s="62"/>
      <c r="BG35" s="61"/>
      <c r="BH35" s="62"/>
      <c r="BI35" s="646" t="s">
        <v>294</v>
      </c>
      <c r="BJ35" s="350"/>
      <c r="BK35" s="350"/>
      <c r="BL35" s="350"/>
      <c r="BM35" s="350"/>
      <c r="BN35" s="350"/>
      <c r="BO35" s="350"/>
      <c r="BP35" s="350"/>
      <c r="BQ35" s="350"/>
      <c r="BR35" s="350"/>
      <c r="BS35" s="350"/>
      <c r="BT35" s="350"/>
      <c r="BU35" s="350"/>
      <c r="BV35" s="351"/>
    </row>
    <row r="36" spans="1:74" ht="30" customHeight="1">
      <c r="A36" s="55">
        <f t="shared" si="0"/>
        <v>22</v>
      </c>
      <c r="B36" s="56" t="s">
        <v>325</v>
      </c>
      <c r="C36" s="57"/>
      <c r="D36" s="644"/>
      <c r="E36" s="350"/>
      <c r="F36" s="350"/>
      <c r="G36" s="350"/>
      <c r="H36" s="350"/>
      <c r="I36" s="350"/>
      <c r="J36" s="350"/>
      <c r="K36" s="351"/>
      <c r="L36" s="643"/>
      <c r="M36" s="350"/>
      <c r="N36" s="350"/>
      <c r="O36" s="351"/>
      <c r="P36" s="644"/>
      <c r="Q36" s="350"/>
      <c r="R36" s="350"/>
      <c r="S36" s="351"/>
      <c r="T36" s="643"/>
      <c r="U36" s="350"/>
      <c r="V36" s="350"/>
      <c r="W36" s="351"/>
      <c r="X36" s="644"/>
      <c r="Y36" s="350"/>
      <c r="Z36" s="350"/>
      <c r="AA36" s="351"/>
      <c r="AB36" s="506"/>
      <c r="AC36" s="350"/>
      <c r="AD36" s="351"/>
      <c r="AE36" s="571"/>
      <c r="AF36" s="350"/>
      <c r="AG36" s="351"/>
      <c r="AH36" s="645"/>
      <c r="AI36" s="350"/>
      <c r="AJ36" s="351"/>
      <c r="AK36" s="567"/>
      <c r="AL36" s="350"/>
      <c r="AM36" s="351"/>
      <c r="AN36" s="58"/>
      <c r="AO36" s="59"/>
      <c r="AP36" s="58"/>
      <c r="AQ36" s="59"/>
      <c r="AR36" s="58"/>
      <c r="AS36" s="59"/>
      <c r="AT36" s="58"/>
      <c r="AU36" s="59"/>
      <c r="AV36" s="58"/>
      <c r="AW36" s="59"/>
      <c r="AX36" s="58"/>
      <c r="AY36" s="59"/>
      <c r="AZ36" s="60"/>
      <c r="BA36" s="61"/>
      <c r="BB36" s="62"/>
      <c r="BC36" s="61"/>
      <c r="BD36" s="62"/>
      <c r="BE36" s="61"/>
      <c r="BF36" s="62"/>
      <c r="BG36" s="61"/>
      <c r="BH36" s="62"/>
      <c r="BI36" s="646" t="s">
        <v>298</v>
      </c>
      <c r="BJ36" s="350"/>
      <c r="BK36" s="350"/>
      <c r="BL36" s="350"/>
      <c r="BM36" s="350"/>
      <c r="BN36" s="350"/>
      <c r="BO36" s="350"/>
      <c r="BP36" s="350"/>
      <c r="BQ36" s="350"/>
      <c r="BR36" s="350"/>
      <c r="BS36" s="350"/>
      <c r="BT36" s="350"/>
      <c r="BU36" s="350"/>
      <c r="BV36" s="351"/>
    </row>
    <row r="37" spans="1:74" ht="30" customHeight="1">
      <c r="A37" s="63">
        <f t="shared" si="0"/>
        <v>23</v>
      </c>
      <c r="B37" s="56" t="s">
        <v>325</v>
      </c>
      <c r="C37" s="57"/>
      <c r="D37" s="644"/>
      <c r="E37" s="350"/>
      <c r="F37" s="350"/>
      <c r="G37" s="350"/>
      <c r="H37" s="350"/>
      <c r="I37" s="350"/>
      <c r="J37" s="350"/>
      <c r="K37" s="351"/>
      <c r="L37" s="643"/>
      <c r="M37" s="350"/>
      <c r="N37" s="350"/>
      <c r="O37" s="351"/>
      <c r="P37" s="644"/>
      <c r="Q37" s="350"/>
      <c r="R37" s="350"/>
      <c r="S37" s="351"/>
      <c r="T37" s="643"/>
      <c r="U37" s="350"/>
      <c r="V37" s="350"/>
      <c r="W37" s="351"/>
      <c r="X37" s="644"/>
      <c r="Y37" s="350"/>
      <c r="Z37" s="350"/>
      <c r="AA37" s="351"/>
      <c r="AB37" s="506"/>
      <c r="AC37" s="350"/>
      <c r="AD37" s="351"/>
      <c r="AE37" s="571"/>
      <c r="AF37" s="350"/>
      <c r="AG37" s="351"/>
      <c r="AH37" s="645"/>
      <c r="AI37" s="350"/>
      <c r="AJ37" s="351"/>
      <c r="AK37" s="567"/>
      <c r="AL37" s="350"/>
      <c r="AM37" s="351"/>
      <c r="AN37" s="58"/>
      <c r="AO37" s="59"/>
      <c r="AP37" s="58"/>
      <c r="AQ37" s="59"/>
      <c r="AR37" s="58"/>
      <c r="AS37" s="59"/>
      <c r="AT37" s="58"/>
      <c r="AU37" s="59"/>
      <c r="AV37" s="58"/>
      <c r="AW37" s="59"/>
      <c r="AX37" s="58"/>
      <c r="AY37" s="59"/>
      <c r="AZ37" s="60"/>
      <c r="BA37" s="61"/>
      <c r="BB37" s="62"/>
      <c r="BC37" s="61"/>
      <c r="BD37" s="62"/>
      <c r="BE37" s="61"/>
      <c r="BF37" s="62"/>
      <c r="BG37" s="61"/>
      <c r="BH37" s="62"/>
      <c r="BI37" s="646" t="s">
        <v>298</v>
      </c>
      <c r="BJ37" s="350"/>
      <c r="BK37" s="350"/>
      <c r="BL37" s="350"/>
      <c r="BM37" s="350"/>
      <c r="BN37" s="350"/>
      <c r="BO37" s="350"/>
      <c r="BP37" s="350"/>
      <c r="BQ37" s="350"/>
      <c r="BR37" s="350"/>
      <c r="BS37" s="350"/>
      <c r="BT37" s="350"/>
      <c r="BU37" s="350"/>
      <c r="BV37" s="351"/>
    </row>
    <row r="38" spans="1:74" ht="30" customHeight="1">
      <c r="A38" s="63">
        <f t="shared" si="0"/>
        <v>24</v>
      </c>
      <c r="B38" s="56" t="s">
        <v>325</v>
      </c>
      <c r="C38" s="57"/>
      <c r="D38" s="644"/>
      <c r="E38" s="350"/>
      <c r="F38" s="350"/>
      <c r="G38" s="350"/>
      <c r="H38" s="350"/>
      <c r="I38" s="350"/>
      <c r="J38" s="350"/>
      <c r="K38" s="351"/>
      <c r="L38" s="643"/>
      <c r="M38" s="350"/>
      <c r="N38" s="350"/>
      <c r="O38" s="351"/>
      <c r="P38" s="644"/>
      <c r="Q38" s="350"/>
      <c r="R38" s="350"/>
      <c r="S38" s="351"/>
      <c r="T38" s="643"/>
      <c r="U38" s="350"/>
      <c r="V38" s="350"/>
      <c r="W38" s="351"/>
      <c r="X38" s="644"/>
      <c r="Y38" s="350"/>
      <c r="Z38" s="350"/>
      <c r="AA38" s="351"/>
      <c r="AB38" s="506"/>
      <c r="AC38" s="350"/>
      <c r="AD38" s="351"/>
      <c r="AE38" s="571"/>
      <c r="AF38" s="350"/>
      <c r="AG38" s="351"/>
      <c r="AH38" s="645"/>
      <c r="AI38" s="350"/>
      <c r="AJ38" s="351"/>
      <c r="AK38" s="567"/>
      <c r="AL38" s="350"/>
      <c r="AM38" s="351"/>
      <c r="AN38" s="58"/>
      <c r="AO38" s="59"/>
      <c r="AP38" s="58"/>
      <c r="AQ38" s="59"/>
      <c r="AR38" s="58"/>
      <c r="AS38" s="59"/>
      <c r="AT38" s="58"/>
      <c r="AU38" s="59"/>
      <c r="AV38" s="58"/>
      <c r="AW38" s="59"/>
      <c r="AX38" s="58"/>
      <c r="AY38" s="59"/>
      <c r="AZ38" s="60"/>
      <c r="BA38" s="61"/>
      <c r="BB38" s="62"/>
      <c r="BC38" s="61"/>
      <c r="BD38" s="62"/>
      <c r="BE38" s="61"/>
      <c r="BF38" s="62"/>
      <c r="BG38" s="61"/>
      <c r="BH38" s="62"/>
      <c r="BI38" s="646" t="s">
        <v>298</v>
      </c>
      <c r="BJ38" s="350"/>
      <c r="BK38" s="350"/>
      <c r="BL38" s="350"/>
      <c r="BM38" s="350"/>
      <c r="BN38" s="350"/>
      <c r="BO38" s="350"/>
      <c r="BP38" s="350"/>
      <c r="BQ38" s="350"/>
      <c r="BR38" s="350"/>
      <c r="BS38" s="350"/>
      <c r="BT38" s="350"/>
      <c r="BU38" s="350"/>
      <c r="BV38" s="351"/>
    </row>
    <row r="39" spans="1:74" ht="30" customHeight="1">
      <c r="A39" s="63">
        <f t="shared" si="0"/>
        <v>25</v>
      </c>
      <c r="B39" s="56" t="s">
        <v>325</v>
      </c>
      <c r="C39" s="57"/>
      <c r="D39" s="644"/>
      <c r="E39" s="350"/>
      <c r="F39" s="350"/>
      <c r="G39" s="350"/>
      <c r="H39" s="350"/>
      <c r="I39" s="350"/>
      <c r="J39" s="350"/>
      <c r="K39" s="351"/>
      <c r="L39" s="643"/>
      <c r="M39" s="350"/>
      <c r="N39" s="350"/>
      <c r="O39" s="351"/>
      <c r="P39" s="644"/>
      <c r="Q39" s="350"/>
      <c r="R39" s="350"/>
      <c r="S39" s="351"/>
      <c r="T39" s="643"/>
      <c r="U39" s="350"/>
      <c r="V39" s="350"/>
      <c r="W39" s="351"/>
      <c r="X39" s="644"/>
      <c r="Y39" s="350"/>
      <c r="Z39" s="350"/>
      <c r="AA39" s="351"/>
      <c r="AB39" s="506"/>
      <c r="AC39" s="350"/>
      <c r="AD39" s="351"/>
      <c r="AE39" s="571"/>
      <c r="AF39" s="350"/>
      <c r="AG39" s="351"/>
      <c r="AH39" s="645"/>
      <c r="AI39" s="350"/>
      <c r="AJ39" s="351"/>
      <c r="AK39" s="567"/>
      <c r="AL39" s="350"/>
      <c r="AM39" s="351"/>
      <c r="AN39" s="58"/>
      <c r="AO39" s="59"/>
      <c r="AP39" s="58"/>
      <c r="AQ39" s="59"/>
      <c r="AR39" s="58"/>
      <c r="AS39" s="59"/>
      <c r="AT39" s="58"/>
      <c r="AU39" s="59"/>
      <c r="AV39" s="58"/>
      <c r="AW39" s="59"/>
      <c r="AX39" s="58"/>
      <c r="AY39" s="59"/>
      <c r="AZ39" s="60"/>
      <c r="BA39" s="61"/>
      <c r="BB39" s="62"/>
      <c r="BC39" s="61"/>
      <c r="BD39" s="62"/>
      <c r="BE39" s="61"/>
      <c r="BF39" s="62"/>
      <c r="BG39" s="61"/>
      <c r="BH39" s="62"/>
      <c r="BI39" s="646" t="s">
        <v>298</v>
      </c>
      <c r="BJ39" s="350"/>
      <c r="BK39" s="350"/>
      <c r="BL39" s="350"/>
      <c r="BM39" s="350"/>
      <c r="BN39" s="350"/>
      <c r="BO39" s="350"/>
      <c r="BP39" s="350"/>
      <c r="BQ39" s="350"/>
      <c r="BR39" s="350"/>
      <c r="BS39" s="350"/>
      <c r="BT39" s="350"/>
      <c r="BU39" s="350"/>
      <c r="BV39" s="351"/>
    </row>
    <row r="40" spans="1:74" ht="30" customHeight="1">
      <c r="A40" s="63">
        <f t="shared" si="0"/>
        <v>26</v>
      </c>
      <c r="B40" s="56" t="s">
        <v>325</v>
      </c>
      <c r="C40" s="57"/>
      <c r="D40" s="644"/>
      <c r="E40" s="350"/>
      <c r="F40" s="350"/>
      <c r="G40" s="350"/>
      <c r="H40" s="350"/>
      <c r="I40" s="350"/>
      <c r="J40" s="350"/>
      <c r="K40" s="351"/>
      <c r="L40" s="643"/>
      <c r="M40" s="350"/>
      <c r="N40" s="350"/>
      <c r="O40" s="351"/>
      <c r="P40" s="644"/>
      <c r="Q40" s="350"/>
      <c r="R40" s="350"/>
      <c r="S40" s="351"/>
      <c r="T40" s="643"/>
      <c r="U40" s="350"/>
      <c r="V40" s="350"/>
      <c r="W40" s="351"/>
      <c r="X40" s="644"/>
      <c r="Y40" s="350"/>
      <c r="Z40" s="350"/>
      <c r="AA40" s="351"/>
      <c r="AB40" s="506"/>
      <c r="AC40" s="350"/>
      <c r="AD40" s="351"/>
      <c r="AE40" s="571"/>
      <c r="AF40" s="350"/>
      <c r="AG40" s="351"/>
      <c r="AH40" s="645"/>
      <c r="AI40" s="350"/>
      <c r="AJ40" s="351"/>
      <c r="AK40" s="567"/>
      <c r="AL40" s="350"/>
      <c r="AM40" s="351"/>
      <c r="AN40" s="58"/>
      <c r="AO40" s="59"/>
      <c r="AP40" s="58"/>
      <c r="AQ40" s="59"/>
      <c r="AR40" s="58"/>
      <c r="AS40" s="59"/>
      <c r="AT40" s="58"/>
      <c r="AU40" s="59"/>
      <c r="AV40" s="58"/>
      <c r="AW40" s="59"/>
      <c r="AX40" s="58"/>
      <c r="AY40" s="59"/>
      <c r="AZ40" s="60"/>
      <c r="BA40" s="61"/>
      <c r="BB40" s="62"/>
      <c r="BC40" s="61"/>
      <c r="BD40" s="62"/>
      <c r="BE40" s="61"/>
      <c r="BF40" s="62"/>
      <c r="BG40" s="61"/>
      <c r="BH40" s="62"/>
      <c r="BI40" s="646" t="s">
        <v>298</v>
      </c>
      <c r="BJ40" s="350"/>
      <c r="BK40" s="350"/>
      <c r="BL40" s="350"/>
      <c r="BM40" s="350"/>
      <c r="BN40" s="350"/>
      <c r="BO40" s="350"/>
      <c r="BP40" s="350"/>
      <c r="BQ40" s="350"/>
      <c r="BR40" s="350"/>
      <c r="BS40" s="350"/>
      <c r="BT40" s="350"/>
      <c r="BU40" s="350"/>
      <c r="BV40" s="351"/>
    </row>
    <row r="41" spans="1:74" ht="30" customHeight="1">
      <c r="A41" s="63">
        <f t="shared" si="0"/>
        <v>27</v>
      </c>
      <c r="B41" s="56" t="s">
        <v>325</v>
      </c>
      <c r="C41" s="57"/>
      <c r="D41" s="644"/>
      <c r="E41" s="350"/>
      <c r="F41" s="350"/>
      <c r="G41" s="350"/>
      <c r="H41" s="350"/>
      <c r="I41" s="350"/>
      <c r="J41" s="350"/>
      <c r="K41" s="351"/>
      <c r="L41" s="643"/>
      <c r="M41" s="350"/>
      <c r="N41" s="350"/>
      <c r="O41" s="351"/>
      <c r="P41" s="644"/>
      <c r="Q41" s="350"/>
      <c r="R41" s="350"/>
      <c r="S41" s="351"/>
      <c r="T41" s="643"/>
      <c r="U41" s="350"/>
      <c r="V41" s="350"/>
      <c r="W41" s="351"/>
      <c r="X41" s="644"/>
      <c r="Y41" s="350"/>
      <c r="Z41" s="350"/>
      <c r="AA41" s="351"/>
      <c r="AB41" s="506"/>
      <c r="AC41" s="350"/>
      <c r="AD41" s="351"/>
      <c r="AE41" s="571"/>
      <c r="AF41" s="350"/>
      <c r="AG41" s="351"/>
      <c r="AH41" s="645"/>
      <c r="AI41" s="350"/>
      <c r="AJ41" s="351"/>
      <c r="AK41" s="567"/>
      <c r="AL41" s="350"/>
      <c r="AM41" s="351"/>
      <c r="AN41" s="58"/>
      <c r="AO41" s="59"/>
      <c r="AP41" s="58"/>
      <c r="AQ41" s="59"/>
      <c r="AR41" s="58"/>
      <c r="AS41" s="59"/>
      <c r="AT41" s="58"/>
      <c r="AU41" s="59"/>
      <c r="AV41" s="58"/>
      <c r="AW41" s="59"/>
      <c r="AX41" s="58"/>
      <c r="AY41" s="59"/>
      <c r="AZ41" s="60"/>
      <c r="BA41" s="61"/>
      <c r="BB41" s="62"/>
      <c r="BC41" s="61"/>
      <c r="BD41" s="62"/>
      <c r="BE41" s="61"/>
      <c r="BF41" s="62"/>
      <c r="BG41" s="61"/>
      <c r="BH41" s="62"/>
      <c r="BI41" s="646" t="s">
        <v>294</v>
      </c>
      <c r="BJ41" s="350"/>
      <c r="BK41" s="350"/>
      <c r="BL41" s="350"/>
      <c r="BM41" s="350"/>
      <c r="BN41" s="350"/>
      <c r="BO41" s="350"/>
      <c r="BP41" s="350"/>
      <c r="BQ41" s="350"/>
      <c r="BR41" s="350"/>
      <c r="BS41" s="350"/>
      <c r="BT41" s="350"/>
      <c r="BU41" s="350"/>
      <c r="BV41" s="351"/>
    </row>
    <row r="42" spans="1:74" ht="30" customHeight="1">
      <c r="A42" s="63">
        <f t="shared" si="0"/>
        <v>28</v>
      </c>
      <c r="B42" s="56" t="s">
        <v>325</v>
      </c>
      <c r="C42" s="57"/>
      <c r="D42" s="644"/>
      <c r="E42" s="350"/>
      <c r="F42" s="350"/>
      <c r="G42" s="350"/>
      <c r="H42" s="350"/>
      <c r="I42" s="350"/>
      <c r="J42" s="350"/>
      <c r="K42" s="351"/>
      <c r="L42" s="643"/>
      <c r="M42" s="350"/>
      <c r="N42" s="350"/>
      <c r="O42" s="351"/>
      <c r="P42" s="644"/>
      <c r="Q42" s="350"/>
      <c r="R42" s="350"/>
      <c r="S42" s="351"/>
      <c r="T42" s="643"/>
      <c r="U42" s="350"/>
      <c r="V42" s="350"/>
      <c r="W42" s="351"/>
      <c r="X42" s="644"/>
      <c r="Y42" s="350"/>
      <c r="Z42" s="350"/>
      <c r="AA42" s="351"/>
      <c r="AB42" s="506"/>
      <c r="AC42" s="350"/>
      <c r="AD42" s="351"/>
      <c r="AE42" s="571"/>
      <c r="AF42" s="350"/>
      <c r="AG42" s="351"/>
      <c r="AH42" s="645"/>
      <c r="AI42" s="350"/>
      <c r="AJ42" s="351"/>
      <c r="AK42" s="567"/>
      <c r="AL42" s="350"/>
      <c r="AM42" s="351"/>
      <c r="AN42" s="58"/>
      <c r="AO42" s="59"/>
      <c r="AP42" s="58"/>
      <c r="AQ42" s="59"/>
      <c r="AR42" s="58"/>
      <c r="AS42" s="59"/>
      <c r="AT42" s="58"/>
      <c r="AU42" s="59"/>
      <c r="AV42" s="58"/>
      <c r="AW42" s="59"/>
      <c r="AX42" s="58"/>
      <c r="AY42" s="59"/>
      <c r="AZ42" s="60"/>
      <c r="BA42" s="61"/>
      <c r="BB42" s="62"/>
      <c r="BC42" s="61"/>
      <c r="BD42" s="62"/>
      <c r="BE42" s="61"/>
      <c r="BF42" s="62"/>
      <c r="BG42" s="61"/>
      <c r="BH42" s="62"/>
      <c r="BI42" s="646" t="s">
        <v>294</v>
      </c>
      <c r="BJ42" s="350"/>
      <c r="BK42" s="350"/>
      <c r="BL42" s="350"/>
      <c r="BM42" s="350"/>
      <c r="BN42" s="350"/>
      <c r="BO42" s="350"/>
      <c r="BP42" s="350"/>
      <c r="BQ42" s="350"/>
      <c r="BR42" s="350"/>
      <c r="BS42" s="350"/>
      <c r="BT42" s="350"/>
      <c r="BU42" s="350"/>
      <c r="BV42" s="351"/>
    </row>
    <row r="43" spans="1:74" ht="30" customHeight="1">
      <c r="A43" s="55">
        <f t="shared" si="0"/>
        <v>29</v>
      </c>
      <c r="B43" s="56" t="s">
        <v>325</v>
      </c>
      <c r="C43" s="57"/>
      <c r="D43" s="644"/>
      <c r="E43" s="350"/>
      <c r="F43" s="350"/>
      <c r="G43" s="350"/>
      <c r="H43" s="350"/>
      <c r="I43" s="350"/>
      <c r="J43" s="350"/>
      <c r="K43" s="351"/>
      <c r="L43" s="643"/>
      <c r="M43" s="350"/>
      <c r="N43" s="350"/>
      <c r="O43" s="351"/>
      <c r="P43" s="644"/>
      <c r="Q43" s="350"/>
      <c r="R43" s="350"/>
      <c r="S43" s="351"/>
      <c r="T43" s="643"/>
      <c r="U43" s="350"/>
      <c r="V43" s="350"/>
      <c r="W43" s="351"/>
      <c r="X43" s="644"/>
      <c r="Y43" s="350"/>
      <c r="Z43" s="350"/>
      <c r="AA43" s="351"/>
      <c r="AB43" s="506"/>
      <c r="AC43" s="350"/>
      <c r="AD43" s="351"/>
      <c r="AE43" s="571"/>
      <c r="AF43" s="350"/>
      <c r="AG43" s="351"/>
      <c r="AH43" s="645"/>
      <c r="AI43" s="350"/>
      <c r="AJ43" s="351"/>
      <c r="AK43" s="567"/>
      <c r="AL43" s="350"/>
      <c r="AM43" s="351"/>
      <c r="AN43" s="58"/>
      <c r="AO43" s="59"/>
      <c r="AP43" s="58"/>
      <c r="AQ43" s="59"/>
      <c r="AR43" s="58"/>
      <c r="AS43" s="59"/>
      <c r="AT43" s="58"/>
      <c r="AU43" s="59"/>
      <c r="AV43" s="58"/>
      <c r="AW43" s="59"/>
      <c r="AX43" s="58"/>
      <c r="AY43" s="59"/>
      <c r="AZ43" s="60"/>
      <c r="BA43" s="61"/>
      <c r="BB43" s="62"/>
      <c r="BC43" s="61"/>
      <c r="BD43" s="62"/>
      <c r="BE43" s="61"/>
      <c r="BF43" s="62"/>
      <c r="BG43" s="61"/>
      <c r="BH43" s="62"/>
      <c r="BI43" s="646" t="s">
        <v>298</v>
      </c>
      <c r="BJ43" s="350"/>
      <c r="BK43" s="350"/>
      <c r="BL43" s="350"/>
      <c r="BM43" s="350"/>
      <c r="BN43" s="350"/>
      <c r="BO43" s="350"/>
      <c r="BP43" s="350"/>
      <c r="BQ43" s="350"/>
      <c r="BR43" s="350"/>
      <c r="BS43" s="350"/>
      <c r="BT43" s="350"/>
      <c r="BU43" s="350"/>
      <c r="BV43" s="351"/>
    </row>
    <row r="44" spans="1:74" ht="30" customHeight="1">
      <c r="A44" s="63">
        <f t="shared" si="0"/>
        <v>30</v>
      </c>
      <c r="B44" s="56" t="s">
        <v>325</v>
      </c>
      <c r="C44" s="57"/>
      <c r="D44" s="644"/>
      <c r="E44" s="350"/>
      <c r="F44" s="350"/>
      <c r="G44" s="350"/>
      <c r="H44" s="350"/>
      <c r="I44" s="350"/>
      <c r="J44" s="350"/>
      <c r="K44" s="351"/>
      <c r="L44" s="643"/>
      <c r="M44" s="350"/>
      <c r="N44" s="350"/>
      <c r="O44" s="351"/>
      <c r="P44" s="644"/>
      <c r="Q44" s="350"/>
      <c r="R44" s="350"/>
      <c r="S44" s="351"/>
      <c r="T44" s="643"/>
      <c r="U44" s="350"/>
      <c r="V44" s="350"/>
      <c r="W44" s="351"/>
      <c r="X44" s="644"/>
      <c r="Y44" s="350"/>
      <c r="Z44" s="350"/>
      <c r="AA44" s="351"/>
      <c r="AB44" s="506"/>
      <c r="AC44" s="350"/>
      <c r="AD44" s="351"/>
      <c r="AE44" s="571"/>
      <c r="AF44" s="350"/>
      <c r="AG44" s="351"/>
      <c r="AH44" s="645"/>
      <c r="AI44" s="350"/>
      <c r="AJ44" s="351"/>
      <c r="AK44" s="567"/>
      <c r="AL44" s="350"/>
      <c r="AM44" s="351"/>
      <c r="AN44" s="58"/>
      <c r="AO44" s="59"/>
      <c r="AP44" s="58"/>
      <c r="AQ44" s="59"/>
      <c r="AR44" s="58"/>
      <c r="AS44" s="59"/>
      <c r="AT44" s="58"/>
      <c r="AU44" s="59"/>
      <c r="AV44" s="58"/>
      <c r="AW44" s="59"/>
      <c r="AX44" s="58"/>
      <c r="AY44" s="59"/>
      <c r="AZ44" s="60"/>
      <c r="BA44" s="61"/>
      <c r="BB44" s="62"/>
      <c r="BC44" s="61"/>
      <c r="BD44" s="62"/>
      <c r="BE44" s="61"/>
      <c r="BF44" s="62"/>
      <c r="BG44" s="61"/>
      <c r="BH44" s="62"/>
      <c r="BI44" s="646" t="s">
        <v>298</v>
      </c>
      <c r="BJ44" s="350"/>
      <c r="BK44" s="350"/>
      <c r="BL44" s="350"/>
      <c r="BM44" s="350"/>
      <c r="BN44" s="350"/>
      <c r="BO44" s="350"/>
      <c r="BP44" s="350"/>
      <c r="BQ44" s="350"/>
      <c r="BR44" s="350"/>
      <c r="BS44" s="350"/>
      <c r="BT44" s="350"/>
      <c r="BU44" s="350"/>
      <c r="BV44" s="351"/>
    </row>
    <row r="45" spans="1:74" ht="30" customHeight="1">
      <c r="A45" s="63">
        <f t="shared" si="0"/>
        <v>31</v>
      </c>
      <c r="B45" s="56" t="s">
        <v>325</v>
      </c>
      <c r="C45" s="57"/>
      <c r="D45" s="644"/>
      <c r="E45" s="350"/>
      <c r="F45" s="350"/>
      <c r="G45" s="350"/>
      <c r="H45" s="350"/>
      <c r="I45" s="350"/>
      <c r="J45" s="350"/>
      <c r="K45" s="351"/>
      <c r="L45" s="643"/>
      <c r="M45" s="350"/>
      <c r="N45" s="350"/>
      <c r="O45" s="351"/>
      <c r="P45" s="644"/>
      <c r="Q45" s="350"/>
      <c r="R45" s="350"/>
      <c r="S45" s="351"/>
      <c r="T45" s="643"/>
      <c r="U45" s="350"/>
      <c r="V45" s="350"/>
      <c r="W45" s="351"/>
      <c r="X45" s="644"/>
      <c r="Y45" s="350"/>
      <c r="Z45" s="350"/>
      <c r="AA45" s="351"/>
      <c r="AB45" s="506"/>
      <c r="AC45" s="350"/>
      <c r="AD45" s="351"/>
      <c r="AE45" s="571"/>
      <c r="AF45" s="350"/>
      <c r="AG45" s="351"/>
      <c r="AH45" s="645"/>
      <c r="AI45" s="350"/>
      <c r="AJ45" s="351"/>
      <c r="AK45" s="567"/>
      <c r="AL45" s="350"/>
      <c r="AM45" s="351"/>
      <c r="AN45" s="58"/>
      <c r="AO45" s="59"/>
      <c r="AP45" s="58"/>
      <c r="AQ45" s="59"/>
      <c r="AR45" s="58"/>
      <c r="AS45" s="59"/>
      <c r="AT45" s="58"/>
      <c r="AU45" s="59"/>
      <c r="AV45" s="58"/>
      <c r="AW45" s="59"/>
      <c r="AX45" s="58"/>
      <c r="AY45" s="59"/>
      <c r="AZ45" s="60"/>
      <c r="BA45" s="61"/>
      <c r="BB45" s="62"/>
      <c r="BC45" s="61"/>
      <c r="BD45" s="62"/>
      <c r="BE45" s="61"/>
      <c r="BF45" s="62"/>
      <c r="BG45" s="61"/>
      <c r="BH45" s="62"/>
      <c r="BI45" s="646" t="s">
        <v>298</v>
      </c>
      <c r="BJ45" s="350"/>
      <c r="BK45" s="350"/>
      <c r="BL45" s="350"/>
      <c r="BM45" s="350"/>
      <c r="BN45" s="350"/>
      <c r="BO45" s="350"/>
      <c r="BP45" s="350"/>
      <c r="BQ45" s="350"/>
      <c r="BR45" s="350"/>
      <c r="BS45" s="350"/>
      <c r="BT45" s="350"/>
      <c r="BU45" s="350"/>
      <c r="BV45" s="351"/>
    </row>
    <row r="46" spans="1:74" ht="30" customHeight="1">
      <c r="A46" s="63">
        <f t="shared" si="0"/>
        <v>32</v>
      </c>
      <c r="B46" s="56" t="s">
        <v>325</v>
      </c>
      <c r="C46" s="57"/>
      <c r="D46" s="644"/>
      <c r="E46" s="350"/>
      <c r="F46" s="350"/>
      <c r="G46" s="350"/>
      <c r="H46" s="350"/>
      <c r="I46" s="350"/>
      <c r="J46" s="350"/>
      <c r="K46" s="351"/>
      <c r="L46" s="643"/>
      <c r="M46" s="350"/>
      <c r="N46" s="350"/>
      <c r="O46" s="351"/>
      <c r="P46" s="644"/>
      <c r="Q46" s="350"/>
      <c r="R46" s="350"/>
      <c r="S46" s="351"/>
      <c r="T46" s="643"/>
      <c r="U46" s="350"/>
      <c r="V46" s="350"/>
      <c r="W46" s="351"/>
      <c r="X46" s="644"/>
      <c r="Y46" s="350"/>
      <c r="Z46" s="350"/>
      <c r="AA46" s="351"/>
      <c r="AB46" s="506"/>
      <c r="AC46" s="350"/>
      <c r="AD46" s="351"/>
      <c r="AE46" s="571"/>
      <c r="AF46" s="350"/>
      <c r="AG46" s="351"/>
      <c r="AH46" s="645"/>
      <c r="AI46" s="350"/>
      <c r="AJ46" s="351"/>
      <c r="AK46" s="567"/>
      <c r="AL46" s="350"/>
      <c r="AM46" s="351"/>
      <c r="AN46" s="58"/>
      <c r="AO46" s="59"/>
      <c r="AP46" s="58"/>
      <c r="AQ46" s="59"/>
      <c r="AR46" s="58"/>
      <c r="AS46" s="59"/>
      <c r="AT46" s="58"/>
      <c r="AU46" s="59"/>
      <c r="AV46" s="58"/>
      <c r="AW46" s="59"/>
      <c r="AX46" s="58"/>
      <c r="AY46" s="59"/>
      <c r="AZ46" s="60"/>
      <c r="BA46" s="61"/>
      <c r="BB46" s="62"/>
      <c r="BC46" s="61"/>
      <c r="BD46" s="62"/>
      <c r="BE46" s="61"/>
      <c r="BF46" s="62"/>
      <c r="BG46" s="61"/>
      <c r="BH46" s="62"/>
      <c r="BI46" s="646" t="s">
        <v>298</v>
      </c>
      <c r="BJ46" s="350"/>
      <c r="BK46" s="350"/>
      <c r="BL46" s="350"/>
      <c r="BM46" s="350"/>
      <c r="BN46" s="350"/>
      <c r="BO46" s="350"/>
      <c r="BP46" s="350"/>
      <c r="BQ46" s="350"/>
      <c r="BR46" s="350"/>
      <c r="BS46" s="350"/>
      <c r="BT46" s="350"/>
      <c r="BU46" s="350"/>
      <c r="BV46" s="351"/>
    </row>
    <row r="47" spans="1:74" ht="30" customHeight="1">
      <c r="A47" s="63">
        <f t="shared" si="0"/>
        <v>33</v>
      </c>
      <c r="B47" s="56" t="s">
        <v>325</v>
      </c>
      <c r="C47" s="57"/>
      <c r="D47" s="644"/>
      <c r="E47" s="350"/>
      <c r="F47" s="350"/>
      <c r="G47" s="350"/>
      <c r="H47" s="350"/>
      <c r="I47" s="350"/>
      <c r="J47" s="350"/>
      <c r="K47" s="351"/>
      <c r="L47" s="643"/>
      <c r="M47" s="350"/>
      <c r="N47" s="350"/>
      <c r="O47" s="351"/>
      <c r="P47" s="644"/>
      <c r="Q47" s="350"/>
      <c r="R47" s="350"/>
      <c r="S47" s="351"/>
      <c r="T47" s="643"/>
      <c r="U47" s="350"/>
      <c r="V47" s="350"/>
      <c r="W47" s="351"/>
      <c r="X47" s="644"/>
      <c r="Y47" s="350"/>
      <c r="Z47" s="350"/>
      <c r="AA47" s="351"/>
      <c r="AB47" s="506"/>
      <c r="AC47" s="350"/>
      <c r="AD47" s="351"/>
      <c r="AE47" s="571"/>
      <c r="AF47" s="350"/>
      <c r="AG47" s="351"/>
      <c r="AH47" s="645"/>
      <c r="AI47" s="350"/>
      <c r="AJ47" s="351"/>
      <c r="AK47" s="567"/>
      <c r="AL47" s="350"/>
      <c r="AM47" s="351"/>
      <c r="AN47" s="58"/>
      <c r="AO47" s="59"/>
      <c r="AP47" s="58"/>
      <c r="AQ47" s="59"/>
      <c r="AR47" s="58"/>
      <c r="AS47" s="59"/>
      <c r="AT47" s="58"/>
      <c r="AU47" s="59"/>
      <c r="AV47" s="58"/>
      <c r="AW47" s="59"/>
      <c r="AX47" s="58"/>
      <c r="AY47" s="59"/>
      <c r="AZ47" s="60"/>
      <c r="BA47" s="61"/>
      <c r="BB47" s="62"/>
      <c r="BC47" s="61"/>
      <c r="BD47" s="62"/>
      <c r="BE47" s="61"/>
      <c r="BF47" s="62"/>
      <c r="BG47" s="61"/>
      <c r="BH47" s="62"/>
      <c r="BI47" s="646" t="s">
        <v>298</v>
      </c>
      <c r="BJ47" s="350"/>
      <c r="BK47" s="350"/>
      <c r="BL47" s="350"/>
      <c r="BM47" s="350"/>
      <c r="BN47" s="350"/>
      <c r="BO47" s="350"/>
      <c r="BP47" s="350"/>
      <c r="BQ47" s="350"/>
      <c r="BR47" s="350"/>
      <c r="BS47" s="350"/>
      <c r="BT47" s="350"/>
      <c r="BU47" s="350"/>
      <c r="BV47" s="351"/>
    </row>
    <row r="48" spans="1:74" ht="30" customHeight="1">
      <c r="A48" s="63">
        <f t="shared" si="0"/>
        <v>34</v>
      </c>
      <c r="B48" s="56" t="s">
        <v>325</v>
      </c>
      <c r="C48" s="57"/>
      <c r="D48" s="644"/>
      <c r="E48" s="350"/>
      <c r="F48" s="350"/>
      <c r="G48" s="350"/>
      <c r="H48" s="350"/>
      <c r="I48" s="350"/>
      <c r="J48" s="350"/>
      <c r="K48" s="351"/>
      <c r="L48" s="643"/>
      <c r="M48" s="350"/>
      <c r="N48" s="350"/>
      <c r="O48" s="351"/>
      <c r="P48" s="644"/>
      <c r="Q48" s="350"/>
      <c r="R48" s="350"/>
      <c r="S48" s="351"/>
      <c r="T48" s="643"/>
      <c r="U48" s="350"/>
      <c r="V48" s="350"/>
      <c r="W48" s="351"/>
      <c r="X48" s="644"/>
      <c r="Y48" s="350"/>
      <c r="Z48" s="350"/>
      <c r="AA48" s="351"/>
      <c r="AB48" s="506"/>
      <c r="AC48" s="350"/>
      <c r="AD48" s="351"/>
      <c r="AE48" s="571"/>
      <c r="AF48" s="350"/>
      <c r="AG48" s="351"/>
      <c r="AH48" s="645"/>
      <c r="AI48" s="350"/>
      <c r="AJ48" s="351"/>
      <c r="AK48" s="567"/>
      <c r="AL48" s="350"/>
      <c r="AM48" s="351"/>
      <c r="AN48" s="58"/>
      <c r="AO48" s="59"/>
      <c r="AP48" s="58"/>
      <c r="AQ48" s="59"/>
      <c r="AR48" s="58"/>
      <c r="AS48" s="59"/>
      <c r="AT48" s="58"/>
      <c r="AU48" s="59"/>
      <c r="AV48" s="58"/>
      <c r="AW48" s="59"/>
      <c r="AX48" s="58"/>
      <c r="AY48" s="59"/>
      <c r="AZ48" s="60"/>
      <c r="BA48" s="61"/>
      <c r="BB48" s="62"/>
      <c r="BC48" s="61"/>
      <c r="BD48" s="62"/>
      <c r="BE48" s="61"/>
      <c r="BF48" s="62"/>
      <c r="BG48" s="61"/>
      <c r="BH48" s="62"/>
      <c r="BI48" s="646" t="s">
        <v>294</v>
      </c>
      <c r="BJ48" s="350"/>
      <c r="BK48" s="350"/>
      <c r="BL48" s="350"/>
      <c r="BM48" s="350"/>
      <c r="BN48" s="350"/>
      <c r="BO48" s="350"/>
      <c r="BP48" s="350"/>
      <c r="BQ48" s="350"/>
      <c r="BR48" s="350"/>
      <c r="BS48" s="350"/>
      <c r="BT48" s="350"/>
      <c r="BU48" s="350"/>
      <c r="BV48" s="351"/>
    </row>
    <row r="49" spans="1:74" ht="30" customHeight="1">
      <c r="A49" s="63">
        <f t="shared" si="0"/>
        <v>35</v>
      </c>
      <c r="B49" s="56" t="s">
        <v>325</v>
      </c>
      <c r="C49" s="57"/>
      <c r="D49" s="644"/>
      <c r="E49" s="350"/>
      <c r="F49" s="350"/>
      <c r="G49" s="350"/>
      <c r="H49" s="350"/>
      <c r="I49" s="350"/>
      <c r="J49" s="350"/>
      <c r="K49" s="351"/>
      <c r="L49" s="643"/>
      <c r="M49" s="350"/>
      <c r="N49" s="350"/>
      <c r="O49" s="351"/>
      <c r="P49" s="644"/>
      <c r="Q49" s="350"/>
      <c r="R49" s="350"/>
      <c r="S49" s="351"/>
      <c r="T49" s="643"/>
      <c r="U49" s="350"/>
      <c r="V49" s="350"/>
      <c r="W49" s="351"/>
      <c r="X49" s="644"/>
      <c r="Y49" s="350"/>
      <c r="Z49" s="350"/>
      <c r="AA49" s="351"/>
      <c r="AB49" s="506"/>
      <c r="AC49" s="350"/>
      <c r="AD49" s="351"/>
      <c r="AE49" s="571"/>
      <c r="AF49" s="350"/>
      <c r="AG49" s="351"/>
      <c r="AH49" s="645"/>
      <c r="AI49" s="350"/>
      <c r="AJ49" s="351"/>
      <c r="AK49" s="567"/>
      <c r="AL49" s="350"/>
      <c r="AM49" s="351"/>
      <c r="AN49" s="58"/>
      <c r="AO49" s="59"/>
      <c r="AP49" s="58"/>
      <c r="AQ49" s="59"/>
      <c r="AR49" s="58"/>
      <c r="AS49" s="59"/>
      <c r="AT49" s="58"/>
      <c r="AU49" s="59"/>
      <c r="AV49" s="58"/>
      <c r="AW49" s="59"/>
      <c r="AX49" s="58"/>
      <c r="AY49" s="59"/>
      <c r="AZ49" s="60"/>
      <c r="BA49" s="61"/>
      <c r="BB49" s="62"/>
      <c r="BC49" s="61"/>
      <c r="BD49" s="62"/>
      <c r="BE49" s="61"/>
      <c r="BF49" s="62"/>
      <c r="BG49" s="61"/>
      <c r="BH49" s="62"/>
      <c r="BI49" s="646" t="s">
        <v>294</v>
      </c>
      <c r="BJ49" s="350"/>
      <c r="BK49" s="350"/>
      <c r="BL49" s="350"/>
      <c r="BM49" s="350"/>
      <c r="BN49" s="350"/>
      <c r="BO49" s="350"/>
      <c r="BP49" s="350"/>
      <c r="BQ49" s="350"/>
      <c r="BR49" s="350"/>
      <c r="BS49" s="350"/>
      <c r="BT49" s="350"/>
      <c r="BU49" s="350"/>
      <c r="BV49" s="351"/>
    </row>
    <row r="50" spans="1:74" ht="30" customHeight="1">
      <c r="A50" s="55">
        <f t="shared" si="0"/>
        <v>36</v>
      </c>
      <c r="B50" s="56" t="s">
        <v>325</v>
      </c>
      <c r="C50" s="57"/>
      <c r="D50" s="644"/>
      <c r="E50" s="350"/>
      <c r="F50" s="350"/>
      <c r="G50" s="350"/>
      <c r="H50" s="350"/>
      <c r="I50" s="350"/>
      <c r="J50" s="350"/>
      <c r="K50" s="351"/>
      <c r="L50" s="643"/>
      <c r="M50" s="350"/>
      <c r="N50" s="350"/>
      <c r="O50" s="351"/>
      <c r="P50" s="644"/>
      <c r="Q50" s="350"/>
      <c r="R50" s="350"/>
      <c r="S50" s="351"/>
      <c r="T50" s="643"/>
      <c r="U50" s="350"/>
      <c r="V50" s="350"/>
      <c r="W50" s="351"/>
      <c r="X50" s="644"/>
      <c r="Y50" s="350"/>
      <c r="Z50" s="350"/>
      <c r="AA50" s="351"/>
      <c r="AB50" s="506"/>
      <c r="AC50" s="350"/>
      <c r="AD50" s="351"/>
      <c r="AE50" s="571"/>
      <c r="AF50" s="350"/>
      <c r="AG50" s="351"/>
      <c r="AH50" s="645"/>
      <c r="AI50" s="350"/>
      <c r="AJ50" s="351"/>
      <c r="AK50" s="567"/>
      <c r="AL50" s="350"/>
      <c r="AM50" s="351"/>
      <c r="AN50" s="58"/>
      <c r="AO50" s="59"/>
      <c r="AP50" s="58"/>
      <c r="AQ50" s="59"/>
      <c r="AR50" s="58"/>
      <c r="AS50" s="59"/>
      <c r="AT50" s="58"/>
      <c r="AU50" s="59"/>
      <c r="AV50" s="58"/>
      <c r="AW50" s="59"/>
      <c r="AX50" s="58"/>
      <c r="AY50" s="59"/>
      <c r="AZ50" s="60"/>
      <c r="BA50" s="61"/>
      <c r="BB50" s="62"/>
      <c r="BC50" s="61"/>
      <c r="BD50" s="62"/>
      <c r="BE50" s="61"/>
      <c r="BF50" s="62"/>
      <c r="BG50" s="61"/>
      <c r="BH50" s="62"/>
      <c r="BI50" s="646" t="s">
        <v>298</v>
      </c>
      <c r="BJ50" s="350"/>
      <c r="BK50" s="350"/>
      <c r="BL50" s="350"/>
      <c r="BM50" s="350"/>
      <c r="BN50" s="350"/>
      <c r="BO50" s="350"/>
      <c r="BP50" s="350"/>
      <c r="BQ50" s="350"/>
      <c r="BR50" s="350"/>
      <c r="BS50" s="350"/>
      <c r="BT50" s="350"/>
      <c r="BU50" s="350"/>
      <c r="BV50" s="351"/>
    </row>
    <row r="51" spans="1:74" ht="30" customHeight="1">
      <c r="A51" s="63">
        <f t="shared" si="0"/>
        <v>37</v>
      </c>
      <c r="B51" s="56" t="s">
        <v>325</v>
      </c>
      <c r="C51" s="57"/>
      <c r="D51" s="644"/>
      <c r="E51" s="350"/>
      <c r="F51" s="350"/>
      <c r="G51" s="350"/>
      <c r="H51" s="350"/>
      <c r="I51" s="350"/>
      <c r="J51" s="350"/>
      <c r="K51" s="351"/>
      <c r="L51" s="643"/>
      <c r="M51" s="350"/>
      <c r="N51" s="350"/>
      <c r="O51" s="351"/>
      <c r="P51" s="644"/>
      <c r="Q51" s="350"/>
      <c r="R51" s="350"/>
      <c r="S51" s="351"/>
      <c r="T51" s="643"/>
      <c r="U51" s="350"/>
      <c r="V51" s="350"/>
      <c r="W51" s="351"/>
      <c r="X51" s="644"/>
      <c r="Y51" s="350"/>
      <c r="Z51" s="350"/>
      <c r="AA51" s="351"/>
      <c r="AB51" s="506"/>
      <c r="AC51" s="350"/>
      <c r="AD51" s="351"/>
      <c r="AE51" s="571"/>
      <c r="AF51" s="350"/>
      <c r="AG51" s="351"/>
      <c r="AH51" s="645"/>
      <c r="AI51" s="350"/>
      <c r="AJ51" s="351"/>
      <c r="AK51" s="567"/>
      <c r="AL51" s="350"/>
      <c r="AM51" s="351"/>
      <c r="AN51" s="58"/>
      <c r="AO51" s="59"/>
      <c r="AP51" s="58"/>
      <c r="AQ51" s="59"/>
      <c r="AR51" s="58"/>
      <c r="AS51" s="59"/>
      <c r="AT51" s="58"/>
      <c r="AU51" s="59"/>
      <c r="AV51" s="58"/>
      <c r="AW51" s="59"/>
      <c r="AX51" s="58"/>
      <c r="AY51" s="59"/>
      <c r="AZ51" s="60"/>
      <c r="BA51" s="61"/>
      <c r="BB51" s="62"/>
      <c r="BC51" s="61"/>
      <c r="BD51" s="62"/>
      <c r="BE51" s="61"/>
      <c r="BF51" s="62"/>
      <c r="BG51" s="61"/>
      <c r="BH51" s="62"/>
      <c r="BI51" s="646" t="s">
        <v>298</v>
      </c>
      <c r="BJ51" s="350"/>
      <c r="BK51" s="350"/>
      <c r="BL51" s="350"/>
      <c r="BM51" s="350"/>
      <c r="BN51" s="350"/>
      <c r="BO51" s="350"/>
      <c r="BP51" s="350"/>
      <c r="BQ51" s="350"/>
      <c r="BR51" s="350"/>
      <c r="BS51" s="350"/>
      <c r="BT51" s="350"/>
      <c r="BU51" s="350"/>
      <c r="BV51" s="351"/>
    </row>
    <row r="52" spans="1:74" ht="30" customHeight="1">
      <c r="A52" s="63">
        <f t="shared" si="0"/>
        <v>38</v>
      </c>
      <c r="B52" s="56" t="s">
        <v>325</v>
      </c>
      <c r="C52" s="57"/>
      <c r="D52" s="644"/>
      <c r="E52" s="350"/>
      <c r="F52" s="350"/>
      <c r="G52" s="350"/>
      <c r="H52" s="350"/>
      <c r="I52" s="350"/>
      <c r="J52" s="350"/>
      <c r="K52" s="351"/>
      <c r="L52" s="643"/>
      <c r="M52" s="350"/>
      <c r="N52" s="350"/>
      <c r="O52" s="351"/>
      <c r="P52" s="644"/>
      <c r="Q52" s="350"/>
      <c r="R52" s="350"/>
      <c r="S52" s="351"/>
      <c r="T52" s="643"/>
      <c r="U52" s="350"/>
      <c r="V52" s="350"/>
      <c r="W52" s="351"/>
      <c r="X52" s="644"/>
      <c r="Y52" s="350"/>
      <c r="Z52" s="350"/>
      <c r="AA52" s="351"/>
      <c r="AB52" s="506"/>
      <c r="AC52" s="350"/>
      <c r="AD52" s="351"/>
      <c r="AE52" s="571"/>
      <c r="AF52" s="350"/>
      <c r="AG52" s="351"/>
      <c r="AH52" s="645"/>
      <c r="AI52" s="350"/>
      <c r="AJ52" s="351"/>
      <c r="AK52" s="567"/>
      <c r="AL52" s="350"/>
      <c r="AM52" s="351"/>
      <c r="AN52" s="58"/>
      <c r="AO52" s="59"/>
      <c r="AP52" s="58"/>
      <c r="AQ52" s="59"/>
      <c r="AR52" s="58"/>
      <c r="AS52" s="59"/>
      <c r="AT52" s="58"/>
      <c r="AU52" s="59"/>
      <c r="AV52" s="58"/>
      <c r="AW52" s="59"/>
      <c r="AX52" s="58"/>
      <c r="AY52" s="59"/>
      <c r="AZ52" s="60"/>
      <c r="BA52" s="61"/>
      <c r="BB52" s="62"/>
      <c r="BC52" s="61"/>
      <c r="BD52" s="62"/>
      <c r="BE52" s="61"/>
      <c r="BF52" s="62"/>
      <c r="BG52" s="61"/>
      <c r="BH52" s="62"/>
      <c r="BI52" s="646" t="s">
        <v>298</v>
      </c>
      <c r="BJ52" s="350"/>
      <c r="BK52" s="350"/>
      <c r="BL52" s="350"/>
      <c r="BM52" s="350"/>
      <c r="BN52" s="350"/>
      <c r="BO52" s="350"/>
      <c r="BP52" s="350"/>
      <c r="BQ52" s="350"/>
      <c r="BR52" s="350"/>
      <c r="BS52" s="350"/>
      <c r="BT52" s="350"/>
      <c r="BU52" s="350"/>
      <c r="BV52" s="351"/>
    </row>
    <row r="53" spans="1:74" ht="30" customHeight="1">
      <c r="A53" s="63">
        <f t="shared" si="0"/>
        <v>39</v>
      </c>
      <c r="B53" s="56" t="s">
        <v>325</v>
      </c>
      <c r="C53" s="57"/>
      <c r="D53" s="644"/>
      <c r="E53" s="350"/>
      <c r="F53" s="350"/>
      <c r="G53" s="350"/>
      <c r="H53" s="350"/>
      <c r="I53" s="350"/>
      <c r="J53" s="350"/>
      <c r="K53" s="351"/>
      <c r="L53" s="643"/>
      <c r="M53" s="350"/>
      <c r="N53" s="350"/>
      <c r="O53" s="351"/>
      <c r="P53" s="644"/>
      <c r="Q53" s="350"/>
      <c r="R53" s="350"/>
      <c r="S53" s="351"/>
      <c r="T53" s="643"/>
      <c r="U53" s="350"/>
      <c r="V53" s="350"/>
      <c r="W53" s="351"/>
      <c r="X53" s="644"/>
      <c r="Y53" s="350"/>
      <c r="Z53" s="350"/>
      <c r="AA53" s="351"/>
      <c r="AB53" s="506"/>
      <c r="AC53" s="350"/>
      <c r="AD53" s="351"/>
      <c r="AE53" s="571"/>
      <c r="AF53" s="350"/>
      <c r="AG53" s="351"/>
      <c r="AH53" s="645"/>
      <c r="AI53" s="350"/>
      <c r="AJ53" s="351"/>
      <c r="AK53" s="567"/>
      <c r="AL53" s="350"/>
      <c r="AM53" s="351"/>
      <c r="AN53" s="58"/>
      <c r="AO53" s="59"/>
      <c r="AP53" s="58"/>
      <c r="AQ53" s="59"/>
      <c r="AR53" s="58"/>
      <c r="AS53" s="59"/>
      <c r="AT53" s="58"/>
      <c r="AU53" s="59"/>
      <c r="AV53" s="58"/>
      <c r="AW53" s="59"/>
      <c r="AX53" s="58"/>
      <c r="AY53" s="59"/>
      <c r="AZ53" s="60"/>
      <c r="BA53" s="61"/>
      <c r="BB53" s="62"/>
      <c r="BC53" s="61"/>
      <c r="BD53" s="62"/>
      <c r="BE53" s="61"/>
      <c r="BF53" s="62"/>
      <c r="BG53" s="61"/>
      <c r="BH53" s="62"/>
      <c r="BI53" s="646" t="s">
        <v>298</v>
      </c>
      <c r="BJ53" s="350"/>
      <c r="BK53" s="350"/>
      <c r="BL53" s="350"/>
      <c r="BM53" s="350"/>
      <c r="BN53" s="350"/>
      <c r="BO53" s="350"/>
      <c r="BP53" s="350"/>
      <c r="BQ53" s="350"/>
      <c r="BR53" s="350"/>
      <c r="BS53" s="350"/>
      <c r="BT53" s="350"/>
      <c r="BU53" s="350"/>
      <c r="BV53" s="351"/>
    </row>
    <row r="54" spans="1:74" ht="30" customHeight="1">
      <c r="A54" s="63">
        <f t="shared" si="0"/>
        <v>40</v>
      </c>
      <c r="B54" s="56" t="s">
        <v>325</v>
      </c>
      <c r="C54" s="57"/>
      <c r="D54" s="644"/>
      <c r="E54" s="350"/>
      <c r="F54" s="350"/>
      <c r="G54" s="350"/>
      <c r="H54" s="350"/>
      <c r="I54" s="350"/>
      <c r="J54" s="350"/>
      <c r="K54" s="351"/>
      <c r="L54" s="643"/>
      <c r="M54" s="350"/>
      <c r="N54" s="350"/>
      <c r="O54" s="351"/>
      <c r="P54" s="644"/>
      <c r="Q54" s="350"/>
      <c r="R54" s="350"/>
      <c r="S54" s="351"/>
      <c r="T54" s="643"/>
      <c r="U54" s="350"/>
      <c r="V54" s="350"/>
      <c r="W54" s="351"/>
      <c r="X54" s="644"/>
      <c r="Y54" s="350"/>
      <c r="Z54" s="350"/>
      <c r="AA54" s="351"/>
      <c r="AB54" s="506"/>
      <c r="AC54" s="350"/>
      <c r="AD54" s="351"/>
      <c r="AE54" s="571"/>
      <c r="AF54" s="350"/>
      <c r="AG54" s="351"/>
      <c r="AH54" s="645"/>
      <c r="AI54" s="350"/>
      <c r="AJ54" s="351"/>
      <c r="AK54" s="567"/>
      <c r="AL54" s="350"/>
      <c r="AM54" s="351"/>
      <c r="AN54" s="58"/>
      <c r="AO54" s="59"/>
      <c r="AP54" s="58"/>
      <c r="AQ54" s="59"/>
      <c r="AR54" s="58"/>
      <c r="AS54" s="59"/>
      <c r="AT54" s="58"/>
      <c r="AU54" s="59"/>
      <c r="AV54" s="58"/>
      <c r="AW54" s="59"/>
      <c r="AX54" s="58"/>
      <c r="AY54" s="59"/>
      <c r="AZ54" s="60"/>
      <c r="BA54" s="61"/>
      <c r="BB54" s="62"/>
      <c r="BC54" s="61"/>
      <c r="BD54" s="62"/>
      <c r="BE54" s="61"/>
      <c r="BF54" s="62"/>
      <c r="BG54" s="61"/>
      <c r="BH54" s="62"/>
      <c r="BI54" s="646" t="s">
        <v>298</v>
      </c>
      <c r="BJ54" s="350"/>
      <c r="BK54" s="350"/>
      <c r="BL54" s="350"/>
      <c r="BM54" s="350"/>
      <c r="BN54" s="350"/>
      <c r="BO54" s="350"/>
      <c r="BP54" s="350"/>
      <c r="BQ54" s="350"/>
      <c r="BR54" s="350"/>
      <c r="BS54" s="350"/>
      <c r="BT54" s="350"/>
      <c r="BU54" s="350"/>
      <c r="BV54" s="351"/>
    </row>
    <row r="55" spans="1:74" ht="30" customHeight="1">
      <c r="A55" s="63">
        <f t="shared" si="0"/>
        <v>41</v>
      </c>
      <c r="B55" s="56" t="s">
        <v>325</v>
      </c>
      <c r="C55" s="57"/>
      <c r="D55" s="644"/>
      <c r="E55" s="350"/>
      <c r="F55" s="350"/>
      <c r="G55" s="350"/>
      <c r="H55" s="350"/>
      <c r="I55" s="350"/>
      <c r="J55" s="350"/>
      <c r="K55" s="351"/>
      <c r="L55" s="643"/>
      <c r="M55" s="350"/>
      <c r="N55" s="350"/>
      <c r="O55" s="351"/>
      <c r="P55" s="644"/>
      <c r="Q55" s="350"/>
      <c r="R55" s="350"/>
      <c r="S55" s="351"/>
      <c r="T55" s="643"/>
      <c r="U55" s="350"/>
      <c r="V55" s="350"/>
      <c r="W55" s="351"/>
      <c r="X55" s="644"/>
      <c r="Y55" s="350"/>
      <c r="Z55" s="350"/>
      <c r="AA55" s="351"/>
      <c r="AB55" s="506"/>
      <c r="AC55" s="350"/>
      <c r="AD55" s="351"/>
      <c r="AE55" s="571"/>
      <c r="AF55" s="350"/>
      <c r="AG55" s="351"/>
      <c r="AH55" s="645"/>
      <c r="AI55" s="350"/>
      <c r="AJ55" s="351"/>
      <c r="AK55" s="567"/>
      <c r="AL55" s="350"/>
      <c r="AM55" s="351"/>
      <c r="AN55" s="58"/>
      <c r="AO55" s="59"/>
      <c r="AP55" s="58"/>
      <c r="AQ55" s="59"/>
      <c r="AR55" s="58"/>
      <c r="AS55" s="59"/>
      <c r="AT55" s="58"/>
      <c r="AU55" s="59"/>
      <c r="AV55" s="58"/>
      <c r="AW55" s="59"/>
      <c r="AX55" s="58"/>
      <c r="AY55" s="59"/>
      <c r="AZ55" s="60"/>
      <c r="BA55" s="61"/>
      <c r="BB55" s="62"/>
      <c r="BC55" s="61"/>
      <c r="BD55" s="62"/>
      <c r="BE55" s="61"/>
      <c r="BF55" s="62"/>
      <c r="BG55" s="61"/>
      <c r="BH55" s="62"/>
      <c r="BI55" s="646" t="s">
        <v>294</v>
      </c>
      <c r="BJ55" s="350"/>
      <c r="BK55" s="350"/>
      <c r="BL55" s="350"/>
      <c r="BM55" s="350"/>
      <c r="BN55" s="350"/>
      <c r="BO55" s="350"/>
      <c r="BP55" s="350"/>
      <c r="BQ55" s="350"/>
      <c r="BR55" s="350"/>
      <c r="BS55" s="350"/>
      <c r="BT55" s="350"/>
      <c r="BU55" s="350"/>
      <c r="BV55" s="351"/>
    </row>
    <row r="56" spans="1:74" ht="30" customHeight="1">
      <c r="A56" s="63">
        <f t="shared" si="0"/>
        <v>42</v>
      </c>
      <c r="B56" s="56" t="s">
        <v>325</v>
      </c>
      <c r="C56" s="57"/>
      <c r="D56" s="644"/>
      <c r="E56" s="350"/>
      <c r="F56" s="350"/>
      <c r="G56" s="350"/>
      <c r="H56" s="350"/>
      <c r="I56" s="350"/>
      <c r="J56" s="350"/>
      <c r="K56" s="351"/>
      <c r="L56" s="643"/>
      <c r="M56" s="350"/>
      <c r="N56" s="350"/>
      <c r="O56" s="351"/>
      <c r="P56" s="644"/>
      <c r="Q56" s="350"/>
      <c r="R56" s="350"/>
      <c r="S56" s="351"/>
      <c r="T56" s="643"/>
      <c r="U56" s="350"/>
      <c r="V56" s="350"/>
      <c r="W56" s="351"/>
      <c r="X56" s="644"/>
      <c r="Y56" s="350"/>
      <c r="Z56" s="350"/>
      <c r="AA56" s="351"/>
      <c r="AB56" s="506"/>
      <c r="AC56" s="350"/>
      <c r="AD56" s="351"/>
      <c r="AE56" s="571"/>
      <c r="AF56" s="350"/>
      <c r="AG56" s="351"/>
      <c r="AH56" s="645"/>
      <c r="AI56" s="350"/>
      <c r="AJ56" s="351"/>
      <c r="AK56" s="567"/>
      <c r="AL56" s="350"/>
      <c r="AM56" s="351"/>
      <c r="AN56" s="58"/>
      <c r="AO56" s="59"/>
      <c r="AP56" s="58"/>
      <c r="AQ56" s="59"/>
      <c r="AR56" s="58"/>
      <c r="AS56" s="59"/>
      <c r="AT56" s="58"/>
      <c r="AU56" s="59"/>
      <c r="AV56" s="58"/>
      <c r="AW56" s="59"/>
      <c r="AX56" s="58"/>
      <c r="AY56" s="59"/>
      <c r="AZ56" s="60"/>
      <c r="BA56" s="61"/>
      <c r="BB56" s="62"/>
      <c r="BC56" s="61"/>
      <c r="BD56" s="62"/>
      <c r="BE56" s="61"/>
      <c r="BF56" s="62"/>
      <c r="BG56" s="61"/>
      <c r="BH56" s="62"/>
      <c r="BI56" s="646" t="s">
        <v>294</v>
      </c>
      <c r="BJ56" s="350"/>
      <c r="BK56" s="350"/>
      <c r="BL56" s="350"/>
      <c r="BM56" s="350"/>
      <c r="BN56" s="350"/>
      <c r="BO56" s="350"/>
      <c r="BP56" s="350"/>
      <c r="BQ56" s="350"/>
      <c r="BR56" s="350"/>
      <c r="BS56" s="350"/>
      <c r="BT56" s="350"/>
      <c r="BU56" s="350"/>
      <c r="BV56" s="351"/>
    </row>
    <row r="57" spans="1:74" ht="30" customHeight="1">
      <c r="A57" s="55">
        <f t="shared" si="0"/>
        <v>43</v>
      </c>
      <c r="B57" s="56" t="s">
        <v>325</v>
      </c>
      <c r="C57" s="57"/>
      <c r="D57" s="644"/>
      <c r="E57" s="350"/>
      <c r="F57" s="350"/>
      <c r="G57" s="350"/>
      <c r="H57" s="350"/>
      <c r="I57" s="350"/>
      <c r="J57" s="350"/>
      <c r="K57" s="351"/>
      <c r="L57" s="643"/>
      <c r="M57" s="350"/>
      <c r="N57" s="350"/>
      <c r="O57" s="351"/>
      <c r="P57" s="644"/>
      <c r="Q57" s="350"/>
      <c r="R57" s="350"/>
      <c r="S57" s="351"/>
      <c r="T57" s="643"/>
      <c r="U57" s="350"/>
      <c r="V57" s="350"/>
      <c r="W57" s="351"/>
      <c r="X57" s="644"/>
      <c r="Y57" s="350"/>
      <c r="Z57" s="350"/>
      <c r="AA57" s="351"/>
      <c r="AB57" s="506"/>
      <c r="AC57" s="350"/>
      <c r="AD57" s="351"/>
      <c r="AE57" s="571"/>
      <c r="AF57" s="350"/>
      <c r="AG57" s="351"/>
      <c r="AH57" s="645"/>
      <c r="AI57" s="350"/>
      <c r="AJ57" s="351"/>
      <c r="AK57" s="567"/>
      <c r="AL57" s="350"/>
      <c r="AM57" s="351"/>
      <c r="AN57" s="58"/>
      <c r="AO57" s="59"/>
      <c r="AP57" s="58"/>
      <c r="AQ57" s="59"/>
      <c r="AR57" s="58"/>
      <c r="AS57" s="59"/>
      <c r="AT57" s="58"/>
      <c r="AU57" s="59"/>
      <c r="AV57" s="58"/>
      <c r="AW57" s="59"/>
      <c r="AX57" s="58"/>
      <c r="AY57" s="59"/>
      <c r="AZ57" s="60"/>
      <c r="BA57" s="61"/>
      <c r="BB57" s="62"/>
      <c r="BC57" s="61"/>
      <c r="BD57" s="62"/>
      <c r="BE57" s="61"/>
      <c r="BF57" s="62"/>
      <c r="BG57" s="61"/>
      <c r="BH57" s="62"/>
      <c r="BI57" s="646" t="s">
        <v>298</v>
      </c>
      <c r="BJ57" s="350"/>
      <c r="BK57" s="350"/>
      <c r="BL57" s="350"/>
      <c r="BM57" s="350"/>
      <c r="BN57" s="350"/>
      <c r="BO57" s="350"/>
      <c r="BP57" s="350"/>
      <c r="BQ57" s="350"/>
      <c r="BR57" s="350"/>
      <c r="BS57" s="350"/>
      <c r="BT57" s="350"/>
      <c r="BU57" s="350"/>
      <c r="BV57" s="351"/>
    </row>
    <row r="58" spans="1:74" ht="30" customHeight="1">
      <c r="A58" s="63">
        <f t="shared" si="0"/>
        <v>44</v>
      </c>
      <c r="B58" s="56" t="s">
        <v>325</v>
      </c>
      <c r="C58" s="57"/>
      <c r="D58" s="644"/>
      <c r="E58" s="350"/>
      <c r="F58" s="350"/>
      <c r="G58" s="350"/>
      <c r="H58" s="350"/>
      <c r="I58" s="350"/>
      <c r="J58" s="350"/>
      <c r="K58" s="351"/>
      <c r="L58" s="643"/>
      <c r="M58" s="350"/>
      <c r="N58" s="350"/>
      <c r="O58" s="351"/>
      <c r="P58" s="644"/>
      <c r="Q58" s="350"/>
      <c r="R58" s="350"/>
      <c r="S58" s="351"/>
      <c r="T58" s="643"/>
      <c r="U58" s="350"/>
      <c r="V58" s="350"/>
      <c r="W58" s="351"/>
      <c r="X58" s="644"/>
      <c r="Y58" s="350"/>
      <c r="Z58" s="350"/>
      <c r="AA58" s="351"/>
      <c r="AB58" s="506"/>
      <c r="AC58" s="350"/>
      <c r="AD58" s="351"/>
      <c r="AE58" s="571"/>
      <c r="AF58" s="350"/>
      <c r="AG58" s="351"/>
      <c r="AH58" s="645"/>
      <c r="AI58" s="350"/>
      <c r="AJ58" s="351"/>
      <c r="AK58" s="567"/>
      <c r="AL58" s="350"/>
      <c r="AM58" s="351"/>
      <c r="AN58" s="58"/>
      <c r="AO58" s="59"/>
      <c r="AP58" s="58"/>
      <c r="AQ58" s="59"/>
      <c r="AR58" s="58"/>
      <c r="AS58" s="59"/>
      <c r="AT58" s="58"/>
      <c r="AU58" s="59"/>
      <c r="AV58" s="58"/>
      <c r="AW58" s="59"/>
      <c r="AX58" s="58"/>
      <c r="AY58" s="59"/>
      <c r="AZ58" s="60"/>
      <c r="BA58" s="61"/>
      <c r="BB58" s="62"/>
      <c r="BC58" s="61"/>
      <c r="BD58" s="62"/>
      <c r="BE58" s="61"/>
      <c r="BF58" s="62"/>
      <c r="BG58" s="61"/>
      <c r="BH58" s="62"/>
      <c r="BI58" s="646" t="s">
        <v>298</v>
      </c>
      <c r="BJ58" s="350"/>
      <c r="BK58" s="350"/>
      <c r="BL58" s="350"/>
      <c r="BM58" s="350"/>
      <c r="BN58" s="350"/>
      <c r="BO58" s="350"/>
      <c r="BP58" s="350"/>
      <c r="BQ58" s="350"/>
      <c r="BR58" s="350"/>
      <c r="BS58" s="350"/>
      <c r="BT58" s="350"/>
      <c r="BU58" s="350"/>
      <c r="BV58" s="351"/>
    </row>
    <row r="59" spans="1:74" ht="30" customHeight="1">
      <c r="A59" s="63">
        <f t="shared" si="0"/>
        <v>45</v>
      </c>
      <c r="B59" s="56" t="s">
        <v>325</v>
      </c>
      <c r="C59" s="57"/>
      <c r="D59" s="644"/>
      <c r="E59" s="350"/>
      <c r="F59" s="350"/>
      <c r="G59" s="350"/>
      <c r="H59" s="350"/>
      <c r="I59" s="350"/>
      <c r="J59" s="350"/>
      <c r="K59" s="351"/>
      <c r="L59" s="643"/>
      <c r="M59" s="350"/>
      <c r="N59" s="350"/>
      <c r="O59" s="351"/>
      <c r="P59" s="644"/>
      <c r="Q59" s="350"/>
      <c r="R59" s="350"/>
      <c r="S59" s="351"/>
      <c r="T59" s="643"/>
      <c r="U59" s="350"/>
      <c r="V59" s="350"/>
      <c r="W59" s="351"/>
      <c r="X59" s="644"/>
      <c r="Y59" s="350"/>
      <c r="Z59" s="350"/>
      <c r="AA59" s="351"/>
      <c r="AB59" s="506"/>
      <c r="AC59" s="350"/>
      <c r="AD59" s="351"/>
      <c r="AE59" s="571"/>
      <c r="AF59" s="350"/>
      <c r="AG59" s="351"/>
      <c r="AH59" s="645"/>
      <c r="AI59" s="350"/>
      <c r="AJ59" s="351"/>
      <c r="AK59" s="567"/>
      <c r="AL59" s="350"/>
      <c r="AM59" s="351"/>
      <c r="AN59" s="58"/>
      <c r="AO59" s="59"/>
      <c r="AP59" s="58"/>
      <c r="AQ59" s="59"/>
      <c r="AR59" s="58"/>
      <c r="AS59" s="59"/>
      <c r="AT59" s="58"/>
      <c r="AU59" s="59"/>
      <c r="AV59" s="58"/>
      <c r="AW59" s="59"/>
      <c r="AX59" s="58"/>
      <c r="AY59" s="59"/>
      <c r="AZ59" s="60"/>
      <c r="BA59" s="61"/>
      <c r="BB59" s="62"/>
      <c r="BC59" s="61"/>
      <c r="BD59" s="62"/>
      <c r="BE59" s="61"/>
      <c r="BF59" s="62"/>
      <c r="BG59" s="61"/>
      <c r="BH59" s="62"/>
      <c r="BI59" s="646" t="s">
        <v>298</v>
      </c>
      <c r="BJ59" s="350"/>
      <c r="BK59" s="350"/>
      <c r="BL59" s="350"/>
      <c r="BM59" s="350"/>
      <c r="BN59" s="350"/>
      <c r="BO59" s="350"/>
      <c r="BP59" s="350"/>
      <c r="BQ59" s="350"/>
      <c r="BR59" s="350"/>
      <c r="BS59" s="350"/>
      <c r="BT59" s="350"/>
      <c r="BU59" s="350"/>
      <c r="BV59" s="351"/>
    </row>
    <row r="60" spans="1:74" ht="30" customHeight="1">
      <c r="A60" s="63">
        <f t="shared" si="0"/>
        <v>46</v>
      </c>
      <c r="B60" s="56" t="s">
        <v>325</v>
      </c>
      <c r="C60" s="57"/>
      <c r="D60" s="644"/>
      <c r="E60" s="350"/>
      <c r="F60" s="350"/>
      <c r="G60" s="350"/>
      <c r="H60" s="350"/>
      <c r="I60" s="350"/>
      <c r="J60" s="350"/>
      <c r="K60" s="351"/>
      <c r="L60" s="643"/>
      <c r="M60" s="350"/>
      <c r="N60" s="350"/>
      <c r="O60" s="351"/>
      <c r="P60" s="644"/>
      <c r="Q60" s="350"/>
      <c r="R60" s="350"/>
      <c r="S60" s="351"/>
      <c r="T60" s="643"/>
      <c r="U60" s="350"/>
      <c r="V60" s="350"/>
      <c r="W60" s="351"/>
      <c r="X60" s="644"/>
      <c r="Y60" s="350"/>
      <c r="Z60" s="350"/>
      <c r="AA60" s="351"/>
      <c r="AB60" s="506"/>
      <c r="AC60" s="350"/>
      <c r="AD60" s="351"/>
      <c r="AE60" s="571"/>
      <c r="AF60" s="350"/>
      <c r="AG60" s="351"/>
      <c r="AH60" s="645"/>
      <c r="AI60" s="350"/>
      <c r="AJ60" s="351"/>
      <c r="AK60" s="567"/>
      <c r="AL60" s="350"/>
      <c r="AM60" s="351"/>
      <c r="AN60" s="58"/>
      <c r="AO60" s="59"/>
      <c r="AP60" s="58"/>
      <c r="AQ60" s="59"/>
      <c r="AR60" s="58"/>
      <c r="AS60" s="59"/>
      <c r="AT60" s="58"/>
      <c r="AU60" s="59"/>
      <c r="AV60" s="58"/>
      <c r="AW60" s="59"/>
      <c r="AX60" s="58"/>
      <c r="AY60" s="59"/>
      <c r="AZ60" s="60"/>
      <c r="BA60" s="61"/>
      <c r="BB60" s="62"/>
      <c r="BC60" s="61"/>
      <c r="BD60" s="62"/>
      <c r="BE60" s="61"/>
      <c r="BF60" s="62"/>
      <c r="BG60" s="61"/>
      <c r="BH60" s="62"/>
      <c r="BI60" s="646" t="s">
        <v>298</v>
      </c>
      <c r="BJ60" s="350"/>
      <c r="BK60" s="350"/>
      <c r="BL60" s="350"/>
      <c r="BM60" s="350"/>
      <c r="BN60" s="350"/>
      <c r="BO60" s="350"/>
      <c r="BP60" s="350"/>
      <c r="BQ60" s="350"/>
      <c r="BR60" s="350"/>
      <c r="BS60" s="350"/>
      <c r="BT60" s="350"/>
      <c r="BU60" s="350"/>
      <c r="BV60" s="351"/>
    </row>
    <row r="61" spans="1:74" ht="30" customHeight="1">
      <c r="A61" s="63">
        <f t="shared" si="0"/>
        <v>47</v>
      </c>
      <c r="B61" s="56" t="s">
        <v>325</v>
      </c>
      <c r="C61" s="57"/>
      <c r="D61" s="644"/>
      <c r="E61" s="350"/>
      <c r="F61" s="350"/>
      <c r="G61" s="350"/>
      <c r="H61" s="350"/>
      <c r="I61" s="350"/>
      <c r="J61" s="350"/>
      <c r="K61" s="351"/>
      <c r="L61" s="643"/>
      <c r="M61" s="350"/>
      <c r="N61" s="350"/>
      <c r="O61" s="351"/>
      <c r="P61" s="644"/>
      <c r="Q61" s="350"/>
      <c r="R61" s="350"/>
      <c r="S61" s="351"/>
      <c r="T61" s="643"/>
      <c r="U61" s="350"/>
      <c r="V61" s="350"/>
      <c r="W61" s="351"/>
      <c r="X61" s="644"/>
      <c r="Y61" s="350"/>
      <c r="Z61" s="350"/>
      <c r="AA61" s="351"/>
      <c r="AB61" s="506"/>
      <c r="AC61" s="350"/>
      <c r="AD61" s="351"/>
      <c r="AE61" s="571"/>
      <c r="AF61" s="350"/>
      <c r="AG61" s="351"/>
      <c r="AH61" s="645"/>
      <c r="AI61" s="350"/>
      <c r="AJ61" s="351"/>
      <c r="AK61" s="567"/>
      <c r="AL61" s="350"/>
      <c r="AM61" s="351"/>
      <c r="AN61" s="58"/>
      <c r="AO61" s="59"/>
      <c r="AP61" s="58"/>
      <c r="AQ61" s="59"/>
      <c r="AR61" s="58"/>
      <c r="AS61" s="59"/>
      <c r="AT61" s="58"/>
      <c r="AU61" s="59"/>
      <c r="AV61" s="58"/>
      <c r="AW61" s="59"/>
      <c r="AX61" s="58"/>
      <c r="AY61" s="59"/>
      <c r="AZ61" s="60"/>
      <c r="BA61" s="61"/>
      <c r="BB61" s="62"/>
      <c r="BC61" s="61"/>
      <c r="BD61" s="62"/>
      <c r="BE61" s="61"/>
      <c r="BF61" s="62"/>
      <c r="BG61" s="61"/>
      <c r="BH61" s="62"/>
      <c r="BI61" s="646" t="s">
        <v>298</v>
      </c>
      <c r="BJ61" s="350"/>
      <c r="BK61" s="350"/>
      <c r="BL61" s="350"/>
      <c r="BM61" s="350"/>
      <c r="BN61" s="350"/>
      <c r="BO61" s="350"/>
      <c r="BP61" s="350"/>
      <c r="BQ61" s="350"/>
      <c r="BR61" s="350"/>
      <c r="BS61" s="350"/>
      <c r="BT61" s="350"/>
      <c r="BU61" s="350"/>
      <c r="BV61" s="351"/>
    </row>
    <row r="62" spans="1:74" ht="30" customHeight="1">
      <c r="A62" s="63">
        <f t="shared" si="0"/>
        <v>48</v>
      </c>
      <c r="B62" s="56" t="s">
        <v>325</v>
      </c>
      <c r="C62" s="57"/>
      <c r="D62" s="644"/>
      <c r="E62" s="350"/>
      <c r="F62" s="350"/>
      <c r="G62" s="350"/>
      <c r="H62" s="350"/>
      <c r="I62" s="350"/>
      <c r="J62" s="350"/>
      <c r="K62" s="351"/>
      <c r="L62" s="643"/>
      <c r="M62" s="350"/>
      <c r="N62" s="350"/>
      <c r="O62" s="351"/>
      <c r="P62" s="644"/>
      <c r="Q62" s="350"/>
      <c r="R62" s="350"/>
      <c r="S62" s="351"/>
      <c r="T62" s="643"/>
      <c r="U62" s="350"/>
      <c r="V62" s="350"/>
      <c r="W62" s="351"/>
      <c r="X62" s="644"/>
      <c r="Y62" s="350"/>
      <c r="Z62" s="350"/>
      <c r="AA62" s="351"/>
      <c r="AB62" s="506"/>
      <c r="AC62" s="350"/>
      <c r="AD62" s="351"/>
      <c r="AE62" s="571"/>
      <c r="AF62" s="350"/>
      <c r="AG62" s="351"/>
      <c r="AH62" s="645"/>
      <c r="AI62" s="350"/>
      <c r="AJ62" s="351"/>
      <c r="AK62" s="567"/>
      <c r="AL62" s="350"/>
      <c r="AM62" s="351"/>
      <c r="AN62" s="58"/>
      <c r="AO62" s="59"/>
      <c r="AP62" s="58"/>
      <c r="AQ62" s="59"/>
      <c r="AR62" s="58"/>
      <c r="AS62" s="59"/>
      <c r="AT62" s="58"/>
      <c r="AU62" s="59"/>
      <c r="AV62" s="58"/>
      <c r="AW62" s="59"/>
      <c r="AX62" s="58"/>
      <c r="AY62" s="59"/>
      <c r="AZ62" s="60"/>
      <c r="BA62" s="61"/>
      <c r="BB62" s="62"/>
      <c r="BC62" s="61"/>
      <c r="BD62" s="62"/>
      <c r="BE62" s="61"/>
      <c r="BF62" s="62"/>
      <c r="BG62" s="61"/>
      <c r="BH62" s="62"/>
      <c r="BI62" s="646" t="s">
        <v>294</v>
      </c>
      <c r="BJ62" s="350"/>
      <c r="BK62" s="350"/>
      <c r="BL62" s="350"/>
      <c r="BM62" s="350"/>
      <c r="BN62" s="350"/>
      <c r="BO62" s="350"/>
      <c r="BP62" s="350"/>
      <c r="BQ62" s="350"/>
      <c r="BR62" s="350"/>
      <c r="BS62" s="350"/>
      <c r="BT62" s="350"/>
      <c r="BU62" s="350"/>
      <c r="BV62" s="351"/>
    </row>
    <row r="63" spans="1:74" ht="30" customHeight="1">
      <c r="A63" s="63">
        <f t="shared" si="0"/>
        <v>49</v>
      </c>
      <c r="B63" s="56" t="s">
        <v>325</v>
      </c>
      <c r="C63" s="57"/>
      <c r="D63" s="644"/>
      <c r="E63" s="350"/>
      <c r="F63" s="350"/>
      <c r="G63" s="350"/>
      <c r="H63" s="350"/>
      <c r="I63" s="350"/>
      <c r="J63" s="350"/>
      <c r="K63" s="351"/>
      <c r="L63" s="643"/>
      <c r="M63" s="350"/>
      <c r="N63" s="350"/>
      <c r="O63" s="351"/>
      <c r="P63" s="644"/>
      <c r="Q63" s="350"/>
      <c r="R63" s="350"/>
      <c r="S63" s="351"/>
      <c r="T63" s="643"/>
      <c r="U63" s="350"/>
      <c r="V63" s="350"/>
      <c r="W63" s="351"/>
      <c r="X63" s="644"/>
      <c r="Y63" s="350"/>
      <c r="Z63" s="350"/>
      <c r="AA63" s="351"/>
      <c r="AB63" s="506"/>
      <c r="AC63" s="350"/>
      <c r="AD63" s="351"/>
      <c r="AE63" s="571"/>
      <c r="AF63" s="350"/>
      <c r="AG63" s="351"/>
      <c r="AH63" s="645"/>
      <c r="AI63" s="350"/>
      <c r="AJ63" s="351"/>
      <c r="AK63" s="567"/>
      <c r="AL63" s="350"/>
      <c r="AM63" s="351"/>
      <c r="AN63" s="58"/>
      <c r="AO63" s="59"/>
      <c r="AP63" s="58"/>
      <c r="AQ63" s="59"/>
      <c r="AR63" s="58"/>
      <c r="AS63" s="59"/>
      <c r="AT63" s="58"/>
      <c r="AU63" s="59"/>
      <c r="AV63" s="58"/>
      <c r="AW63" s="59"/>
      <c r="AX63" s="58"/>
      <c r="AY63" s="59"/>
      <c r="AZ63" s="60"/>
      <c r="BA63" s="61"/>
      <c r="BB63" s="62"/>
      <c r="BC63" s="61"/>
      <c r="BD63" s="62"/>
      <c r="BE63" s="61"/>
      <c r="BF63" s="62"/>
      <c r="BG63" s="61"/>
      <c r="BH63" s="62"/>
      <c r="BI63" s="646" t="s">
        <v>294</v>
      </c>
      <c r="BJ63" s="350"/>
      <c r="BK63" s="350"/>
      <c r="BL63" s="350"/>
      <c r="BM63" s="350"/>
      <c r="BN63" s="350"/>
      <c r="BO63" s="350"/>
      <c r="BP63" s="350"/>
      <c r="BQ63" s="350"/>
      <c r="BR63" s="350"/>
      <c r="BS63" s="350"/>
      <c r="BT63" s="350"/>
      <c r="BU63" s="350"/>
      <c r="BV63" s="351"/>
    </row>
    <row r="64" spans="1:74" ht="30" customHeight="1">
      <c r="A64" s="55">
        <f t="shared" si="0"/>
        <v>50</v>
      </c>
      <c r="B64" s="56" t="s">
        <v>325</v>
      </c>
      <c r="C64" s="57"/>
      <c r="D64" s="644"/>
      <c r="E64" s="350"/>
      <c r="F64" s="350"/>
      <c r="G64" s="350"/>
      <c r="H64" s="350"/>
      <c r="I64" s="350"/>
      <c r="J64" s="350"/>
      <c r="K64" s="351"/>
      <c r="L64" s="643"/>
      <c r="M64" s="350"/>
      <c r="N64" s="350"/>
      <c r="O64" s="351"/>
      <c r="P64" s="644"/>
      <c r="Q64" s="350"/>
      <c r="R64" s="350"/>
      <c r="S64" s="351"/>
      <c r="T64" s="643"/>
      <c r="U64" s="350"/>
      <c r="V64" s="350"/>
      <c r="W64" s="351"/>
      <c r="X64" s="644"/>
      <c r="Y64" s="350"/>
      <c r="Z64" s="350"/>
      <c r="AA64" s="351"/>
      <c r="AB64" s="506"/>
      <c r="AC64" s="350"/>
      <c r="AD64" s="351"/>
      <c r="AE64" s="571"/>
      <c r="AF64" s="350"/>
      <c r="AG64" s="351"/>
      <c r="AH64" s="645"/>
      <c r="AI64" s="350"/>
      <c r="AJ64" s="351"/>
      <c r="AK64" s="567"/>
      <c r="AL64" s="350"/>
      <c r="AM64" s="351"/>
      <c r="AN64" s="58"/>
      <c r="AO64" s="59"/>
      <c r="AP64" s="58"/>
      <c r="AQ64" s="59"/>
      <c r="AR64" s="58"/>
      <c r="AS64" s="59"/>
      <c r="AT64" s="58"/>
      <c r="AU64" s="59"/>
      <c r="AV64" s="58"/>
      <c r="AW64" s="59"/>
      <c r="AX64" s="58"/>
      <c r="AY64" s="59"/>
      <c r="AZ64" s="60"/>
      <c r="BA64" s="61"/>
      <c r="BB64" s="62"/>
      <c r="BC64" s="61"/>
      <c r="BD64" s="60"/>
      <c r="BE64" s="61"/>
      <c r="BF64" s="60"/>
      <c r="BG64" s="61"/>
      <c r="BH64" s="60"/>
      <c r="BI64" s="646" t="s">
        <v>298</v>
      </c>
      <c r="BJ64" s="350"/>
      <c r="BK64" s="350"/>
      <c r="BL64" s="350"/>
      <c r="BM64" s="350"/>
      <c r="BN64" s="350"/>
      <c r="BO64" s="350"/>
      <c r="BP64" s="350"/>
      <c r="BQ64" s="350"/>
      <c r="BR64" s="350"/>
      <c r="BS64" s="350"/>
      <c r="BT64" s="350"/>
      <c r="BU64" s="350"/>
      <c r="BV64" s="351"/>
    </row>
    <row r="65" spans="1:74" ht="30" customHeight="1">
      <c r="A65" s="63">
        <f t="shared" si="0"/>
        <v>51</v>
      </c>
      <c r="B65" s="56" t="s">
        <v>325</v>
      </c>
      <c r="C65" s="57"/>
      <c r="D65" s="644"/>
      <c r="E65" s="350"/>
      <c r="F65" s="350"/>
      <c r="G65" s="350"/>
      <c r="H65" s="350"/>
      <c r="I65" s="350"/>
      <c r="J65" s="350"/>
      <c r="K65" s="351"/>
      <c r="L65" s="643"/>
      <c r="M65" s="350"/>
      <c r="N65" s="350"/>
      <c r="O65" s="351"/>
      <c r="P65" s="644"/>
      <c r="Q65" s="350"/>
      <c r="R65" s="350"/>
      <c r="S65" s="351"/>
      <c r="T65" s="643"/>
      <c r="U65" s="350"/>
      <c r="V65" s="350"/>
      <c r="W65" s="351"/>
      <c r="X65" s="644"/>
      <c r="Y65" s="350"/>
      <c r="Z65" s="350"/>
      <c r="AA65" s="351"/>
      <c r="AB65" s="506"/>
      <c r="AC65" s="350"/>
      <c r="AD65" s="351"/>
      <c r="AE65" s="571"/>
      <c r="AF65" s="350"/>
      <c r="AG65" s="351"/>
      <c r="AH65" s="645"/>
      <c r="AI65" s="350"/>
      <c r="AJ65" s="351"/>
      <c r="AK65" s="567"/>
      <c r="AL65" s="350"/>
      <c r="AM65" s="351"/>
      <c r="AN65" s="58"/>
      <c r="AO65" s="59"/>
      <c r="AP65" s="58"/>
      <c r="AQ65" s="59"/>
      <c r="AR65" s="58"/>
      <c r="AS65" s="59"/>
      <c r="AT65" s="58"/>
      <c r="AU65" s="59"/>
      <c r="AV65" s="58"/>
      <c r="AW65" s="59"/>
      <c r="AX65" s="58"/>
      <c r="AY65" s="59"/>
      <c r="AZ65" s="64"/>
      <c r="BA65" s="61"/>
      <c r="BB65" s="64"/>
      <c r="BC65" s="61"/>
      <c r="BD65" s="64"/>
      <c r="BE65" s="61"/>
      <c r="BF65" s="64"/>
      <c r="BG65" s="61"/>
      <c r="BH65" s="64"/>
      <c r="BI65" s="646" t="s">
        <v>298</v>
      </c>
      <c r="BJ65" s="350"/>
      <c r="BK65" s="350"/>
      <c r="BL65" s="350"/>
      <c r="BM65" s="350"/>
      <c r="BN65" s="350"/>
      <c r="BO65" s="350"/>
      <c r="BP65" s="350"/>
      <c r="BQ65" s="350"/>
      <c r="BR65" s="350"/>
      <c r="BS65" s="350"/>
      <c r="BT65" s="350"/>
      <c r="BU65" s="350"/>
      <c r="BV65" s="351"/>
    </row>
    <row r="66" spans="1:74" ht="30" customHeight="1">
      <c r="A66" s="63">
        <f t="shared" si="0"/>
        <v>52</v>
      </c>
      <c r="B66" s="56" t="s">
        <v>325</v>
      </c>
      <c r="C66" s="57"/>
      <c r="D66" s="644"/>
      <c r="E66" s="350"/>
      <c r="F66" s="350"/>
      <c r="G66" s="350"/>
      <c r="H66" s="350"/>
      <c r="I66" s="350"/>
      <c r="J66" s="350"/>
      <c r="K66" s="351"/>
      <c r="L66" s="643"/>
      <c r="M66" s="350"/>
      <c r="N66" s="350"/>
      <c r="O66" s="351"/>
      <c r="P66" s="644"/>
      <c r="Q66" s="350"/>
      <c r="R66" s="350"/>
      <c r="S66" s="351"/>
      <c r="T66" s="643"/>
      <c r="U66" s="350"/>
      <c r="V66" s="350"/>
      <c r="W66" s="351"/>
      <c r="X66" s="644"/>
      <c r="Y66" s="350"/>
      <c r="Z66" s="350"/>
      <c r="AA66" s="351"/>
      <c r="AB66" s="506"/>
      <c r="AC66" s="350"/>
      <c r="AD66" s="351"/>
      <c r="AE66" s="571"/>
      <c r="AF66" s="350"/>
      <c r="AG66" s="351"/>
      <c r="AH66" s="645"/>
      <c r="AI66" s="350"/>
      <c r="AJ66" s="351"/>
      <c r="AK66" s="567"/>
      <c r="AL66" s="350"/>
      <c r="AM66" s="351"/>
      <c r="AN66" s="58"/>
      <c r="AO66" s="59"/>
      <c r="AP66" s="58"/>
      <c r="AQ66" s="59"/>
      <c r="AR66" s="58"/>
      <c r="AS66" s="59"/>
      <c r="AT66" s="58"/>
      <c r="AU66" s="59"/>
      <c r="AV66" s="58"/>
      <c r="AW66" s="59"/>
      <c r="AX66" s="58"/>
      <c r="AY66" s="59"/>
      <c r="AZ66" s="64"/>
      <c r="BA66" s="61"/>
      <c r="BB66" s="64"/>
      <c r="BC66" s="61"/>
      <c r="BD66" s="64"/>
      <c r="BE66" s="61"/>
      <c r="BF66" s="64"/>
      <c r="BG66" s="61"/>
      <c r="BH66" s="64"/>
      <c r="BI66" s="646" t="s">
        <v>298</v>
      </c>
      <c r="BJ66" s="350"/>
      <c r="BK66" s="350"/>
      <c r="BL66" s="350"/>
      <c r="BM66" s="350"/>
      <c r="BN66" s="350"/>
      <c r="BO66" s="350"/>
      <c r="BP66" s="350"/>
      <c r="BQ66" s="350"/>
      <c r="BR66" s="350"/>
      <c r="BS66" s="350"/>
      <c r="BT66" s="350"/>
      <c r="BU66" s="350"/>
      <c r="BV66" s="351"/>
    </row>
    <row r="67" spans="1:74" ht="30" customHeight="1">
      <c r="A67" s="63">
        <f t="shared" si="0"/>
        <v>53</v>
      </c>
      <c r="B67" s="56" t="s">
        <v>325</v>
      </c>
      <c r="C67" s="57"/>
      <c r="D67" s="644"/>
      <c r="E67" s="350"/>
      <c r="F67" s="350"/>
      <c r="G67" s="350"/>
      <c r="H67" s="350"/>
      <c r="I67" s="350"/>
      <c r="J67" s="350"/>
      <c r="K67" s="351"/>
      <c r="L67" s="643"/>
      <c r="M67" s="350"/>
      <c r="N67" s="350"/>
      <c r="O67" s="351"/>
      <c r="P67" s="644"/>
      <c r="Q67" s="350"/>
      <c r="R67" s="350"/>
      <c r="S67" s="351"/>
      <c r="T67" s="643"/>
      <c r="U67" s="350"/>
      <c r="V67" s="350"/>
      <c r="W67" s="351"/>
      <c r="X67" s="644"/>
      <c r="Y67" s="350"/>
      <c r="Z67" s="350"/>
      <c r="AA67" s="351"/>
      <c r="AB67" s="506"/>
      <c r="AC67" s="350"/>
      <c r="AD67" s="351"/>
      <c r="AE67" s="571"/>
      <c r="AF67" s="350"/>
      <c r="AG67" s="351"/>
      <c r="AH67" s="645"/>
      <c r="AI67" s="350"/>
      <c r="AJ67" s="351"/>
      <c r="AK67" s="567"/>
      <c r="AL67" s="350"/>
      <c r="AM67" s="351"/>
      <c r="AN67" s="58"/>
      <c r="AO67" s="59"/>
      <c r="AP67" s="58"/>
      <c r="AQ67" s="59"/>
      <c r="AR67" s="58"/>
      <c r="AS67" s="59"/>
      <c r="AT67" s="58"/>
      <c r="AU67" s="59"/>
      <c r="AV67" s="58"/>
      <c r="AW67" s="59"/>
      <c r="AX67" s="58"/>
      <c r="AY67" s="59"/>
      <c r="AZ67" s="64"/>
      <c r="BA67" s="61"/>
      <c r="BB67" s="64"/>
      <c r="BC67" s="61"/>
      <c r="BD67" s="64"/>
      <c r="BE67" s="61"/>
      <c r="BF67" s="64"/>
      <c r="BG67" s="61"/>
      <c r="BH67" s="64"/>
      <c r="BI67" s="646" t="s">
        <v>298</v>
      </c>
      <c r="BJ67" s="350"/>
      <c r="BK67" s="350"/>
      <c r="BL67" s="350"/>
      <c r="BM67" s="350"/>
      <c r="BN67" s="350"/>
      <c r="BO67" s="350"/>
      <c r="BP67" s="350"/>
      <c r="BQ67" s="350"/>
      <c r="BR67" s="350"/>
      <c r="BS67" s="350"/>
      <c r="BT67" s="350"/>
      <c r="BU67" s="350"/>
      <c r="BV67" s="351"/>
    </row>
    <row r="68" spans="1:74" ht="30" customHeight="1">
      <c r="A68" s="63">
        <f t="shared" si="0"/>
        <v>54</v>
      </c>
      <c r="B68" s="56" t="s">
        <v>325</v>
      </c>
      <c r="C68" s="57"/>
      <c r="D68" s="644"/>
      <c r="E68" s="350"/>
      <c r="F68" s="350"/>
      <c r="G68" s="350"/>
      <c r="H68" s="350"/>
      <c r="I68" s="350"/>
      <c r="J68" s="350"/>
      <c r="K68" s="351"/>
      <c r="L68" s="643"/>
      <c r="M68" s="350"/>
      <c r="N68" s="350"/>
      <c r="O68" s="351"/>
      <c r="P68" s="644"/>
      <c r="Q68" s="350"/>
      <c r="R68" s="350"/>
      <c r="S68" s="351"/>
      <c r="T68" s="643"/>
      <c r="U68" s="350"/>
      <c r="V68" s="350"/>
      <c r="W68" s="351"/>
      <c r="X68" s="644"/>
      <c r="Y68" s="350"/>
      <c r="Z68" s="350"/>
      <c r="AA68" s="351"/>
      <c r="AB68" s="506"/>
      <c r="AC68" s="350"/>
      <c r="AD68" s="351"/>
      <c r="AE68" s="571"/>
      <c r="AF68" s="350"/>
      <c r="AG68" s="351"/>
      <c r="AH68" s="645"/>
      <c r="AI68" s="350"/>
      <c r="AJ68" s="351"/>
      <c r="AK68" s="567"/>
      <c r="AL68" s="350"/>
      <c r="AM68" s="351"/>
      <c r="AN68" s="58"/>
      <c r="AO68" s="59"/>
      <c r="AP68" s="58"/>
      <c r="AQ68" s="59"/>
      <c r="AR68" s="58"/>
      <c r="AS68" s="59"/>
      <c r="AT68" s="58"/>
      <c r="AU68" s="59"/>
      <c r="AV68" s="58"/>
      <c r="AW68" s="59"/>
      <c r="AX68" s="58"/>
      <c r="AY68" s="59"/>
      <c r="AZ68" s="64"/>
      <c r="BA68" s="61"/>
      <c r="BB68" s="64"/>
      <c r="BC68" s="61"/>
      <c r="BD68" s="64"/>
      <c r="BE68" s="61"/>
      <c r="BF68" s="64"/>
      <c r="BG68" s="61"/>
      <c r="BH68" s="64"/>
      <c r="BI68" s="646" t="s">
        <v>298</v>
      </c>
      <c r="BJ68" s="350"/>
      <c r="BK68" s="350"/>
      <c r="BL68" s="350"/>
      <c r="BM68" s="350"/>
      <c r="BN68" s="350"/>
      <c r="BO68" s="350"/>
      <c r="BP68" s="350"/>
      <c r="BQ68" s="350"/>
      <c r="BR68" s="350"/>
      <c r="BS68" s="350"/>
      <c r="BT68" s="350"/>
      <c r="BU68" s="350"/>
      <c r="BV68" s="351"/>
    </row>
    <row r="69" spans="1:74" ht="30" customHeight="1">
      <c r="A69" s="63">
        <f t="shared" si="0"/>
        <v>55</v>
      </c>
      <c r="B69" s="56" t="s">
        <v>325</v>
      </c>
      <c r="C69" s="57"/>
      <c r="D69" s="644"/>
      <c r="E69" s="350"/>
      <c r="F69" s="350"/>
      <c r="G69" s="350"/>
      <c r="H69" s="350"/>
      <c r="I69" s="350"/>
      <c r="J69" s="350"/>
      <c r="K69" s="351"/>
      <c r="L69" s="643"/>
      <c r="M69" s="350"/>
      <c r="N69" s="350"/>
      <c r="O69" s="351"/>
      <c r="P69" s="644"/>
      <c r="Q69" s="350"/>
      <c r="R69" s="350"/>
      <c r="S69" s="351"/>
      <c r="T69" s="643"/>
      <c r="U69" s="350"/>
      <c r="V69" s="350"/>
      <c r="W69" s="351"/>
      <c r="X69" s="644"/>
      <c r="Y69" s="350"/>
      <c r="Z69" s="350"/>
      <c r="AA69" s="351"/>
      <c r="AB69" s="506"/>
      <c r="AC69" s="350"/>
      <c r="AD69" s="351"/>
      <c r="AE69" s="571"/>
      <c r="AF69" s="350"/>
      <c r="AG69" s="351"/>
      <c r="AH69" s="645"/>
      <c r="AI69" s="350"/>
      <c r="AJ69" s="351"/>
      <c r="AK69" s="567"/>
      <c r="AL69" s="350"/>
      <c r="AM69" s="351"/>
      <c r="AN69" s="58"/>
      <c r="AO69" s="59"/>
      <c r="AP69" s="58"/>
      <c r="AQ69" s="59"/>
      <c r="AR69" s="58"/>
      <c r="AS69" s="59"/>
      <c r="AT69" s="58"/>
      <c r="AU69" s="59"/>
      <c r="AV69" s="58"/>
      <c r="AW69" s="59"/>
      <c r="AX69" s="58"/>
      <c r="AY69" s="59"/>
      <c r="AZ69" s="64"/>
      <c r="BA69" s="61"/>
      <c r="BB69" s="64"/>
      <c r="BC69" s="61"/>
      <c r="BD69" s="64"/>
      <c r="BE69" s="61"/>
      <c r="BF69" s="64"/>
      <c r="BG69" s="61"/>
      <c r="BH69" s="64"/>
      <c r="BI69" s="646" t="s">
        <v>294</v>
      </c>
      <c r="BJ69" s="350"/>
      <c r="BK69" s="350"/>
      <c r="BL69" s="350"/>
      <c r="BM69" s="350"/>
      <c r="BN69" s="350"/>
      <c r="BO69" s="350"/>
      <c r="BP69" s="350"/>
      <c r="BQ69" s="350"/>
      <c r="BR69" s="350"/>
      <c r="BS69" s="350"/>
      <c r="BT69" s="350"/>
      <c r="BU69" s="350"/>
      <c r="BV69" s="351"/>
    </row>
    <row r="70" spans="1:74" ht="30" customHeight="1">
      <c r="A70" s="63">
        <f t="shared" si="0"/>
        <v>56</v>
      </c>
      <c r="B70" s="56" t="s">
        <v>325</v>
      </c>
      <c r="C70" s="57"/>
      <c r="D70" s="644"/>
      <c r="E70" s="350"/>
      <c r="F70" s="350"/>
      <c r="G70" s="350"/>
      <c r="H70" s="350"/>
      <c r="I70" s="350"/>
      <c r="J70" s="350"/>
      <c r="K70" s="351"/>
      <c r="L70" s="643"/>
      <c r="M70" s="350"/>
      <c r="N70" s="350"/>
      <c r="O70" s="351"/>
      <c r="P70" s="644"/>
      <c r="Q70" s="350"/>
      <c r="R70" s="350"/>
      <c r="S70" s="351"/>
      <c r="T70" s="643"/>
      <c r="U70" s="350"/>
      <c r="V70" s="350"/>
      <c r="W70" s="351"/>
      <c r="X70" s="644"/>
      <c r="Y70" s="350"/>
      <c r="Z70" s="350"/>
      <c r="AA70" s="351"/>
      <c r="AB70" s="506"/>
      <c r="AC70" s="350"/>
      <c r="AD70" s="351"/>
      <c r="AE70" s="571"/>
      <c r="AF70" s="350"/>
      <c r="AG70" s="351"/>
      <c r="AH70" s="645"/>
      <c r="AI70" s="350"/>
      <c r="AJ70" s="351"/>
      <c r="AK70" s="567"/>
      <c r="AL70" s="350"/>
      <c r="AM70" s="351"/>
      <c r="AN70" s="58"/>
      <c r="AO70" s="59"/>
      <c r="AP70" s="58"/>
      <c r="AQ70" s="59"/>
      <c r="AR70" s="58"/>
      <c r="AS70" s="59"/>
      <c r="AT70" s="58"/>
      <c r="AU70" s="59"/>
      <c r="AV70" s="58"/>
      <c r="AW70" s="59"/>
      <c r="AX70" s="58"/>
      <c r="AY70" s="59"/>
      <c r="AZ70" s="64"/>
      <c r="BA70" s="61"/>
      <c r="BB70" s="64"/>
      <c r="BC70" s="61"/>
      <c r="BD70" s="64"/>
      <c r="BE70" s="61"/>
      <c r="BF70" s="64"/>
      <c r="BG70" s="61"/>
      <c r="BH70" s="64"/>
      <c r="BI70" s="646" t="s">
        <v>294</v>
      </c>
      <c r="BJ70" s="350"/>
      <c r="BK70" s="350"/>
      <c r="BL70" s="350"/>
      <c r="BM70" s="350"/>
      <c r="BN70" s="350"/>
      <c r="BO70" s="350"/>
      <c r="BP70" s="350"/>
      <c r="BQ70" s="350"/>
      <c r="BR70" s="350"/>
      <c r="BS70" s="350"/>
      <c r="BT70" s="350"/>
      <c r="BU70" s="350"/>
      <c r="BV70" s="351"/>
    </row>
    <row r="71" spans="1:74" ht="30" customHeight="1">
      <c r="A71" s="55">
        <f t="shared" si="0"/>
        <v>57</v>
      </c>
      <c r="B71" s="56" t="s">
        <v>325</v>
      </c>
      <c r="C71" s="57"/>
      <c r="D71" s="644"/>
      <c r="E71" s="350"/>
      <c r="F71" s="350"/>
      <c r="G71" s="350"/>
      <c r="H71" s="350"/>
      <c r="I71" s="350"/>
      <c r="J71" s="350"/>
      <c r="K71" s="351"/>
      <c r="L71" s="643"/>
      <c r="M71" s="350"/>
      <c r="N71" s="350"/>
      <c r="O71" s="351"/>
      <c r="P71" s="644"/>
      <c r="Q71" s="350"/>
      <c r="R71" s="350"/>
      <c r="S71" s="351"/>
      <c r="T71" s="643"/>
      <c r="U71" s="350"/>
      <c r="V71" s="350"/>
      <c r="W71" s="351"/>
      <c r="X71" s="644"/>
      <c r="Y71" s="350"/>
      <c r="Z71" s="350"/>
      <c r="AA71" s="351"/>
      <c r="AB71" s="506"/>
      <c r="AC71" s="350"/>
      <c r="AD71" s="351"/>
      <c r="AE71" s="571"/>
      <c r="AF71" s="350"/>
      <c r="AG71" s="351"/>
      <c r="AH71" s="645"/>
      <c r="AI71" s="350"/>
      <c r="AJ71" s="351"/>
      <c r="AK71" s="567"/>
      <c r="AL71" s="350"/>
      <c r="AM71" s="351"/>
      <c r="AN71" s="58"/>
      <c r="AO71" s="59"/>
      <c r="AP71" s="58"/>
      <c r="AQ71" s="59"/>
      <c r="AR71" s="58"/>
      <c r="AS71" s="59"/>
      <c r="AT71" s="58"/>
      <c r="AU71" s="59"/>
      <c r="AV71" s="58"/>
      <c r="AW71" s="59"/>
      <c r="AX71" s="58"/>
      <c r="AY71" s="59"/>
      <c r="AZ71" s="64"/>
      <c r="BA71" s="61"/>
      <c r="BB71" s="64"/>
      <c r="BC71" s="61"/>
      <c r="BD71" s="64"/>
      <c r="BE71" s="61"/>
      <c r="BF71" s="64"/>
      <c r="BG71" s="61"/>
      <c r="BH71" s="64"/>
      <c r="BI71" s="646" t="s">
        <v>298</v>
      </c>
      <c r="BJ71" s="350"/>
      <c r="BK71" s="350"/>
      <c r="BL71" s="350"/>
      <c r="BM71" s="350"/>
      <c r="BN71" s="350"/>
      <c r="BO71" s="350"/>
      <c r="BP71" s="350"/>
      <c r="BQ71" s="350"/>
      <c r="BR71" s="350"/>
      <c r="BS71" s="350"/>
      <c r="BT71" s="350"/>
      <c r="BU71" s="350"/>
      <c r="BV71" s="351"/>
    </row>
    <row r="72" spans="1:74" ht="30" customHeight="1">
      <c r="A72" s="63">
        <f t="shared" si="0"/>
        <v>58</v>
      </c>
      <c r="B72" s="56" t="s">
        <v>325</v>
      </c>
      <c r="C72" s="57"/>
      <c r="D72" s="644"/>
      <c r="E72" s="350"/>
      <c r="F72" s="350"/>
      <c r="G72" s="350"/>
      <c r="H72" s="350"/>
      <c r="I72" s="350"/>
      <c r="J72" s="350"/>
      <c r="K72" s="351"/>
      <c r="L72" s="643"/>
      <c r="M72" s="350"/>
      <c r="N72" s="350"/>
      <c r="O72" s="351"/>
      <c r="P72" s="644"/>
      <c r="Q72" s="350"/>
      <c r="R72" s="350"/>
      <c r="S72" s="351"/>
      <c r="T72" s="643"/>
      <c r="U72" s="350"/>
      <c r="V72" s="350"/>
      <c r="W72" s="351"/>
      <c r="X72" s="644"/>
      <c r="Y72" s="350"/>
      <c r="Z72" s="350"/>
      <c r="AA72" s="351"/>
      <c r="AB72" s="506"/>
      <c r="AC72" s="350"/>
      <c r="AD72" s="351"/>
      <c r="AE72" s="571"/>
      <c r="AF72" s="350"/>
      <c r="AG72" s="351"/>
      <c r="AH72" s="645"/>
      <c r="AI72" s="350"/>
      <c r="AJ72" s="351"/>
      <c r="AK72" s="567"/>
      <c r="AL72" s="350"/>
      <c r="AM72" s="351"/>
      <c r="AN72" s="58"/>
      <c r="AO72" s="59"/>
      <c r="AP72" s="58"/>
      <c r="AQ72" s="59"/>
      <c r="AR72" s="58"/>
      <c r="AS72" s="59"/>
      <c r="AT72" s="58"/>
      <c r="AU72" s="59"/>
      <c r="AV72" s="58"/>
      <c r="AW72" s="59"/>
      <c r="AX72" s="58"/>
      <c r="AY72" s="59"/>
      <c r="AZ72" s="64"/>
      <c r="BA72" s="61"/>
      <c r="BB72" s="64"/>
      <c r="BC72" s="61"/>
      <c r="BD72" s="64"/>
      <c r="BE72" s="61"/>
      <c r="BF72" s="64"/>
      <c r="BG72" s="61"/>
      <c r="BH72" s="64"/>
      <c r="BI72" s="646" t="s">
        <v>298</v>
      </c>
      <c r="BJ72" s="350"/>
      <c r="BK72" s="350"/>
      <c r="BL72" s="350"/>
      <c r="BM72" s="350"/>
      <c r="BN72" s="350"/>
      <c r="BO72" s="350"/>
      <c r="BP72" s="350"/>
      <c r="BQ72" s="350"/>
      <c r="BR72" s="350"/>
      <c r="BS72" s="350"/>
      <c r="BT72" s="350"/>
      <c r="BU72" s="350"/>
      <c r="BV72" s="351"/>
    </row>
    <row r="73" spans="1:74" ht="30" customHeight="1">
      <c r="A73" s="63">
        <f t="shared" si="0"/>
        <v>59</v>
      </c>
      <c r="B73" s="56" t="s">
        <v>325</v>
      </c>
      <c r="C73" s="57"/>
      <c r="D73" s="644"/>
      <c r="E73" s="350"/>
      <c r="F73" s="350"/>
      <c r="G73" s="350"/>
      <c r="H73" s="350"/>
      <c r="I73" s="350"/>
      <c r="J73" s="350"/>
      <c r="K73" s="351"/>
      <c r="L73" s="643"/>
      <c r="M73" s="350"/>
      <c r="N73" s="350"/>
      <c r="O73" s="351"/>
      <c r="P73" s="644"/>
      <c r="Q73" s="350"/>
      <c r="R73" s="350"/>
      <c r="S73" s="351"/>
      <c r="T73" s="643"/>
      <c r="U73" s="350"/>
      <c r="V73" s="350"/>
      <c r="W73" s="351"/>
      <c r="X73" s="644"/>
      <c r="Y73" s="350"/>
      <c r="Z73" s="350"/>
      <c r="AA73" s="351"/>
      <c r="AB73" s="506"/>
      <c r="AC73" s="350"/>
      <c r="AD73" s="351"/>
      <c r="AE73" s="571"/>
      <c r="AF73" s="350"/>
      <c r="AG73" s="351"/>
      <c r="AH73" s="645"/>
      <c r="AI73" s="350"/>
      <c r="AJ73" s="351"/>
      <c r="AK73" s="567"/>
      <c r="AL73" s="350"/>
      <c r="AM73" s="351"/>
      <c r="AN73" s="58"/>
      <c r="AO73" s="59"/>
      <c r="AP73" s="58"/>
      <c r="AQ73" s="59"/>
      <c r="AR73" s="58"/>
      <c r="AS73" s="59"/>
      <c r="AT73" s="58"/>
      <c r="AU73" s="59"/>
      <c r="AV73" s="58"/>
      <c r="AW73" s="59"/>
      <c r="AX73" s="58"/>
      <c r="AY73" s="59"/>
      <c r="AZ73" s="64"/>
      <c r="BA73" s="61"/>
      <c r="BB73" s="64"/>
      <c r="BC73" s="61"/>
      <c r="BD73" s="64"/>
      <c r="BE73" s="61"/>
      <c r="BF73" s="64"/>
      <c r="BG73" s="61"/>
      <c r="BH73" s="64"/>
      <c r="BI73" s="646" t="s">
        <v>298</v>
      </c>
      <c r="BJ73" s="350"/>
      <c r="BK73" s="350"/>
      <c r="BL73" s="350"/>
      <c r="BM73" s="350"/>
      <c r="BN73" s="350"/>
      <c r="BO73" s="350"/>
      <c r="BP73" s="350"/>
      <c r="BQ73" s="350"/>
      <c r="BR73" s="350"/>
      <c r="BS73" s="350"/>
      <c r="BT73" s="350"/>
      <c r="BU73" s="350"/>
      <c r="BV73" s="351"/>
    </row>
    <row r="74" spans="1:74" ht="30" customHeight="1">
      <c r="A74" s="63">
        <f t="shared" si="0"/>
        <v>60</v>
      </c>
      <c r="B74" s="56" t="s">
        <v>325</v>
      </c>
      <c r="C74" s="57"/>
      <c r="D74" s="644"/>
      <c r="E74" s="350"/>
      <c r="F74" s="350"/>
      <c r="G74" s="350"/>
      <c r="H74" s="350"/>
      <c r="I74" s="350"/>
      <c r="J74" s="350"/>
      <c r="K74" s="351"/>
      <c r="L74" s="643"/>
      <c r="M74" s="350"/>
      <c r="N74" s="350"/>
      <c r="O74" s="351"/>
      <c r="P74" s="644"/>
      <c r="Q74" s="350"/>
      <c r="R74" s="350"/>
      <c r="S74" s="351"/>
      <c r="T74" s="643"/>
      <c r="U74" s="350"/>
      <c r="V74" s="350"/>
      <c r="W74" s="351"/>
      <c r="X74" s="644"/>
      <c r="Y74" s="350"/>
      <c r="Z74" s="350"/>
      <c r="AA74" s="351"/>
      <c r="AB74" s="506"/>
      <c r="AC74" s="350"/>
      <c r="AD74" s="351"/>
      <c r="AE74" s="571"/>
      <c r="AF74" s="350"/>
      <c r="AG74" s="351"/>
      <c r="AH74" s="645"/>
      <c r="AI74" s="350"/>
      <c r="AJ74" s="351"/>
      <c r="AK74" s="567"/>
      <c r="AL74" s="350"/>
      <c r="AM74" s="351"/>
      <c r="AN74" s="58"/>
      <c r="AO74" s="59"/>
      <c r="AP74" s="58"/>
      <c r="AQ74" s="59"/>
      <c r="AR74" s="58"/>
      <c r="AS74" s="59"/>
      <c r="AT74" s="58"/>
      <c r="AU74" s="59"/>
      <c r="AV74" s="58"/>
      <c r="AW74" s="59"/>
      <c r="AX74" s="58"/>
      <c r="AY74" s="59"/>
      <c r="AZ74" s="64"/>
      <c r="BA74" s="61"/>
      <c r="BB74" s="64"/>
      <c r="BC74" s="61"/>
      <c r="BD74" s="64"/>
      <c r="BE74" s="61"/>
      <c r="BF74" s="64"/>
      <c r="BG74" s="61"/>
      <c r="BH74" s="64"/>
      <c r="BI74" s="646" t="s">
        <v>298</v>
      </c>
      <c r="BJ74" s="350"/>
      <c r="BK74" s="350"/>
      <c r="BL74" s="350"/>
      <c r="BM74" s="350"/>
      <c r="BN74" s="350"/>
      <c r="BO74" s="350"/>
      <c r="BP74" s="350"/>
      <c r="BQ74" s="350"/>
      <c r="BR74" s="350"/>
      <c r="BS74" s="350"/>
      <c r="BT74" s="350"/>
      <c r="BU74" s="350"/>
      <c r="BV74" s="351"/>
    </row>
    <row r="75" spans="1:74" ht="30" customHeight="1">
      <c r="A75" s="63">
        <f t="shared" si="0"/>
        <v>61</v>
      </c>
      <c r="B75" s="56" t="s">
        <v>325</v>
      </c>
      <c r="C75" s="57"/>
      <c r="D75" s="644"/>
      <c r="E75" s="350"/>
      <c r="F75" s="350"/>
      <c r="G75" s="350"/>
      <c r="H75" s="350"/>
      <c r="I75" s="350"/>
      <c r="J75" s="350"/>
      <c r="K75" s="351"/>
      <c r="L75" s="643"/>
      <c r="M75" s="350"/>
      <c r="N75" s="350"/>
      <c r="O75" s="351"/>
      <c r="P75" s="644"/>
      <c r="Q75" s="350"/>
      <c r="R75" s="350"/>
      <c r="S75" s="351"/>
      <c r="T75" s="643"/>
      <c r="U75" s="350"/>
      <c r="V75" s="350"/>
      <c r="W75" s="351"/>
      <c r="X75" s="644"/>
      <c r="Y75" s="350"/>
      <c r="Z75" s="350"/>
      <c r="AA75" s="351"/>
      <c r="AB75" s="506"/>
      <c r="AC75" s="350"/>
      <c r="AD75" s="351"/>
      <c r="AE75" s="571"/>
      <c r="AF75" s="350"/>
      <c r="AG75" s="351"/>
      <c r="AH75" s="645"/>
      <c r="AI75" s="350"/>
      <c r="AJ75" s="351"/>
      <c r="AK75" s="567"/>
      <c r="AL75" s="350"/>
      <c r="AM75" s="351"/>
      <c r="AN75" s="58"/>
      <c r="AO75" s="59"/>
      <c r="AP75" s="58"/>
      <c r="AQ75" s="59"/>
      <c r="AR75" s="58"/>
      <c r="AS75" s="59"/>
      <c r="AT75" s="58"/>
      <c r="AU75" s="59"/>
      <c r="AV75" s="58"/>
      <c r="AW75" s="59"/>
      <c r="AX75" s="58"/>
      <c r="AY75" s="59"/>
      <c r="AZ75" s="64"/>
      <c r="BA75" s="61"/>
      <c r="BB75" s="64"/>
      <c r="BC75" s="61"/>
      <c r="BD75" s="64"/>
      <c r="BE75" s="61"/>
      <c r="BF75" s="64"/>
      <c r="BG75" s="61"/>
      <c r="BH75" s="64"/>
      <c r="BI75" s="646" t="s">
        <v>298</v>
      </c>
      <c r="BJ75" s="350"/>
      <c r="BK75" s="350"/>
      <c r="BL75" s="350"/>
      <c r="BM75" s="350"/>
      <c r="BN75" s="350"/>
      <c r="BO75" s="350"/>
      <c r="BP75" s="350"/>
      <c r="BQ75" s="350"/>
      <c r="BR75" s="350"/>
      <c r="BS75" s="350"/>
      <c r="BT75" s="350"/>
      <c r="BU75" s="350"/>
      <c r="BV75" s="351"/>
    </row>
    <row r="76" spans="1:74" ht="30" customHeight="1">
      <c r="A76" s="63">
        <f t="shared" si="0"/>
        <v>62</v>
      </c>
      <c r="B76" s="56" t="s">
        <v>325</v>
      </c>
      <c r="C76" s="57"/>
      <c r="D76" s="644"/>
      <c r="E76" s="350"/>
      <c r="F76" s="350"/>
      <c r="G76" s="350"/>
      <c r="H76" s="350"/>
      <c r="I76" s="350"/>
      <c r="J76" s="350"/>
      <c r="K76" s="351"/>
      <c r="L76" s="643"/>
      <c r="M76" s="350"/>
      <c r="N76" s="350"/>
      <c r="O76" s="351"/>
      <c r="P76" s="644"/>
      <c r="Q76" s="350"/>
      <c r="R76" s="350"/>
      <c r="S76" s="351"/>
      <c r="T76" s="643"/>
      <c r="U76" s="350"/>
      <c r="V76" s="350"/>
      <c r="W76" s="351"/>
      <c r="X76" s="644"/>
      <c r="Y76" s="350"/>
      <c r="Z76" s="350"/>
      <c r="AA76" s="351"/>
      <c r="AB76" s="506"/>
      <c r="AC76" s="350"/>
      <c r="AD76" s="351"/>
      <c r="AE76" s="571"/>
      <c r="AF76" s="350"/>
      <c r="AG76" s="351"/>
      <c r="AH76" s="645"/>
      <c r="AI76" s="350"/>
      <c r="AJ76" s="351"/>
      <c r="AK76" s="567"/>
      <c r="AL76" s="350"/>
      <c r="AM76" s="351"/>
      <c r="AN76" s="58"/>
      <c r="AO76" s="59"/>
      <c r="AP76" s="58"/>
      <c r="AQ76" s="59"/>
      <c r="AR76" s="58"/>
      <c r="AS76" s="59"/>
      <c r="AT76" s="58"/>
      <c r="AU76" s="59"/>
      <c r="AV76" s="58"/>
      <c r="AW76" s="59"/>
      <c r="AX76" s="58"/>
      <c r="AY76" s="59"/>
      <c r="AZ76" s="64"/>
      <c r="BA76" s="61"/>
      <c r="BB76" s="64"/>
      <c r="BC76" s="61"/>
      <c r="BD76" s="64"/>
      <c r="BE76" s="61"/>
      <c r="BF76" s="64"/>
      <c r="BG76" s="61"/>
      <c r="BH76" s="64"/>
      <c r="BI76" s="646" t="s">
        <v>294</v>
      </c>
      <c r="BJ76" s="350"/>
      <c r="BK76" s="350"/>
      <c r="BL76" s="350"/>
      <c r="BM76" s="350"/>
      <c r="BN76" s="350"/>
      <c r="BO76" s="350"/>
      <c r="BP76" s="350"/>
      <c r="BQ76" s="350"/>
      <c r="BR76" s="350"/>
      <c r="BS76" s="350"/>
      <c r="BT76" s="350"/>
      <c r="BU76" s="350"/>
      <c r="BV76" s="351"/>
    </row>
    <row r="77" spans="1:74" ht="30" customHeight="1">
      <c r="A77" s="63">
        <f t="shared" si="0"/>
        <v>63</v>
      </c>
      <c r="B77" s="56" t="s">
        <v>325</v>
      </c>
      <c r="C77" s="57"/>
      <c r="D77" s="644"/>
      <c r="E77" s="350"/>
      <c r="F77" s="350"/>
      <c r="G77" s="350"/>
      <c r="H77" s="350"/>
      <c r="I77" s="350"/>
      <c r="J77" s="350"/>
      <c r="K77" s="351"/>
      <c r="L77" s="643"/>
      <c r="M77" s="350"/>
      <c r="N77" s="350"/>
      <c r="O77" s="351"/>
      <c r="P77" s="644"/>
      <c r="Q77" s="350"/>
      <c r="R77" s="350"/>
      <c r="S77" s="351"/>
      <c r="T77" s="643"/>
      <c r="U77" s="350"/>
      <c r="V77" s="350"/>
      <c r="W77" s="351"/>
      <c r="X77" s="644"/>
      <c r="Y77" s="350"/>
      <c r="Z77" s="350"/>
      <c r="AA77" s="351"/>
      <c r="AB77" s="506"/>
      <c r="AC77" s="350"/>
      <c r="AD77" s="351"/>
      <c r="AE77" s="571"/>
      <c r="AF77" s="350"/>
      <c r="AG77" s="351"/>
      <c r="AH77" s="645"/>
      <c r="AI77" s="350"/>
      <c r="AJ77" s="351"/>
      <c r="AK77" s="567"/>
      <c r="AL77" s="350"/>
      <c r="AM77" s="351"/>
      <c r="AN77" s="58"/>
      <c r="AO77" s="59"/>
      <c r="AP77" s="58"/>
      <c r="AQ77" s="59"/>
      <c r="AR77" s="58"/>
      <c r="AS77" s="59"/>
      <c r="AT77" s="58"/>
      <c r="AU77" s="59"/>
      <c r="AV77" s="58"/>
      <c r="AW77" s="59"/>
      <c r="AX77" s="58"/>
      <c r="AY77" s="59"/>
      <c r="AZ77" s="64"/>
      <c r="BA77" s="61"/>
      <c r="BB77" s="64"/>
      <c r="BC77" s="61"/>
      <c r="BD77" s="64"/>
      <c r="BE77" s="61"/>
      <c r="BF77" s="64"/>
      <c r="BG77" s="61"/>
      <c r="BH77" s="64"/>
      <c r="BI77" s="646" t="s">
        <v>294</v>
      </c>
      <c r="BJ77" s="350"/>
      <c r="BK77" s="350"/>
      <c r="BL77" s="350"/>
      <c r="BM77" s="350"/>
      <c r="BN77" s="350"/>
      <c r="BO77" s="350"/>
      <c r="BP77" s="350"/>
      <c r="BQ77" s="350"/>
      <c r="BR77" s="350"/>
      <c r="BS77" s="350"/>
      <c r="BT77" s="350"/>
      <c r="BU77" s="350"/>
      <c r="BV77" s="351"/>
    </row>
    <row r="78" spans="1:74" ht="30" customHeight="1">
      <c r="A78" s="55">
        <f t="shared" si="0"/>
        <v>64</v>
      </c>
      <c r="B78" s="56" t="s">
        <v>325</v>
      </c>
      <c r="C78" s="57"/>
      <c r="D78" s="644"/>
      <c r="E78" s="350"/>
      <c r="F78" s="350"/>
      <c r="G78" s="350"/>
      <c r="H78" s="350"/>
      <c r="I78" s="350"/>
      <c r="J78" s="350"/>
      <c r="K78" s="351"/>
      <c r="L78" s="643"/>
      <c r="M78" s="350"/>
      <c r="N78" s="350"/>
      <c r="O78" s="351"/>
      <c r="P78" s="644"/>
      <c r="Q78" s="350"/>
      <c r="R78" s="350"/>
      <c r="S78" s="351"/>
      <c r="T78" s="643"/>
      <c r="U78" s="350"/>
      <c r="V78" s="350"/>
      <c r="W78" s="351"/>
      <c r="X78" s="644"/>
      <c r="Y78" s="350"/>
      <c r="Z78" s="350"/>
      <c r="AA78" s="351"/>
      <c r="AB78" s="506"/>
      <c r="AC78" s="350"/>
      <c r="AD78" s="351"/>
      <c r="AE78" s="571"/>
      <c r="AF78" s="350"/>
      <c r="AG78" s="351"/>
      <c r="AH78" s="645"/>
      <c r="AI78" s="350"/>
      <c r="AJ78" s="351"/>
      <c r="AK78" s="567"/>
      <c r="AL78" s="350"/>
      <c r="AM78" s="351"/>
      <c r="AN78" s="58"/>
      <c r="AO78" s="59"/>
      <c r="AP78" s="58"/>
      <c r="AQ78" s="59"/>
      <c r="AR78" s="58"/>
      <c r="AS78" s="59"/>
      <c r="AT78" s="58"/>
      <c r="AU78" s="59"/>
      <c r="AV78" s="58"/>
      <c r="AW78" s="59"/>
      <c r="AX78" s="58"/>
      <c r="AY78" s="59"/>
      <c r="AZ78" s="64"/>
      <c r="BA78" s="61"/>
      <c r="BB78" s="64"/>
      <c r="BC78" s="61"/>
      <c r="BD78" s="64"/>
      <c r="BE78" s="61"/>
      <c r="BF78" s="64"/>
      <c r="BG78" s="61"/>
      <c r="BH78" s="64"/>
      <c r="BI78" s="646" t="s">
        <v>298</v>
      </c>
      <c r="BJ78" s="350"/>
      <c r="BK78" s="350"/>
      <c r="BL78" s="350"/>
      <c r="BM78" s="350"/>
      <c r="BN78" s="350"/>
      <c r="BO78" s="350"/>
      <c r="BP78" s="350"/>
      <c r="BQ78" s="350"/>
      <c r="BR78" s="350"/>
      <c r="BS78" s="350"/>
      <c r="BT78" s="350"/>
      <c r="BU78" s="350"/>
      <c r="BV78" s="351"/>
    </row>
    <row r="79" spans="1:74" ht="30" customHeight="1">
      <c r="A79" s="63">
        <f t="shared" si="0"/>
        <v>65</v>
      </c>
      <c r="B79" s="56" t="s">
        <v>325</v>
      </c>
      <c r="C79" s="57"/>
      <c r="D79" s="644"/>
      <c r="E79" s="350"/>
      <c r="F79" s="350"/>
      <c r="G79" s="350"/>
      <c r="H79" s="350"/>
      <c r="I79" s="350"/>
      <c r="J79" s="350"/>
      <c r="K79" s="351"/>
      <c r="L79" s="643"/>
      <c r="M79" s="350"/>
      <c r="N79" s="350"/>
      <c r="O79" s="351"/>
      <c r="P79" s="644"/>
      <c r="Q79" s="350"/>
      <c r="R79" s="350"/>
      <c r="S79" s="351"/>
      <c r="T79" s="643"/>
      <c r="U79" s="350"/>
      <c r="V79" s="350"/>
      <c r="W79" s="351"/>
      <c r="X79" s="644"/>
      <c r="Y79" s="350"/>
      <c r="Z79" s="350"/>
      <c r="AA79" s="351"/>
      <c r="AB79" s="506"/>
      <c r="AC79" s="350"/>
      <c r="AD79" s="351"/>
      <c r="AE79" s="571"/>
      <c r="AF79" s="350"/>
      <c r="AG79" s="351"/>
      <c r="AH79" s="645"/>
      <c r="AI79" s="350"/>
      <c r="AJ79" s="351"/>
      <c r="AK79" s="567"/>
      <c r="AL79" s="350"/>
      <c r="AM79" s="351"/>
      <c r="AN79" s="58"/>
      <c r="AO79" s="59"/>
      <c r="AP79" s="58"/>
      <c r="AQ79" s="59"/>
      <c r="AR79" s="58"/>
      <c r="AS79" s="59"/>
      <c r="AT79" s="58"/>
      <c r="AU79" s="59"/>
      <c r="AV79" s="58"/>
      <c r="AW79" s="59"/>
      <c r="AX79" s="58"/>
      <c r="AY79" s="59"/>
      <c r="AZ79" s="64"/>
      <c r="BA79" s="61"/>
      <c r="BB79" s="64"/>
      <c r="BC79" s="61"/>
      <c r="BD79" s="64"/>
      <c r="BE79" s="61"/>
      <c r="BF79" s="64"/>
      <c r="BG79" s="61"/>
      <c r="BH79" s="64"/>
      <c r="BI79" s="646" t="s">
        <v>298</v>
      </c>
      <c r="BJ79" s="350"/>
      <c r="BK79" s="350"/>
      <c r="BL79" s="350"/>
      <c r="BM79" s="350"/>
      <c r="BN79" s="350"/>
      <c r="BO79" s="350"/>
      <c r="BP79" s="350"/>
      <c r="BQ79" s="350"/>
      <c r="BR79" s="350"/>
      <c r="BS79" s="350"/>
      <c r="BT79" s="350"/>
      <c r="BU79" s="350"/>
      <c r="BV79" s="351"/>
    </row>
    <row r="80" spans="1:74" ht="30" customHeight="1">
      <c r="A80" s="63">
        <f t="shared" si="0"/>
        <v>66</v>
      </c>
      <c r="B80" s="56" t="s">
        <v>325</v>
      </c>
      <c r="C80" s="57"/>
      <c r="D80" s="644"/>
      <c r="E80" s="350"/>
      <c r="F80" s="350"/>
      <c r="G80" s="350"/>
      <c r="H80" s="350"/>
      <c r="I80" s="350"/>
      <c r="J80" s="350"/>
      <c r="K80" s="351"/>
      <c r="L80" s="643"/>
      <c r="M80" s="350"/>
      <c r="N80" s="350"/>
      <c r="O80" s="351"/>
      <c r="P80" s="644"/>
      <c r="Q80" s="350"/>
      <c r="R80" s="350"/>
      <c r="S80" s="351"/>
      <c r="T80" s="643"/>
      <c r="U80" s="350"/>
      <c r="V80" s="350"/>
      <c r="W80" s="351"/>
      <c r="X80" s="644"/>
      <c r="Y80" s="350"/>
      <c r="Z80" s="350"/>
      <c r="AA80" s="351"/>
      <c r="AB80" s="506"/>
      <c r="AC80" s="350"/>
      <c r="AD80" s="351"/>
      <c r="AE80" s="571"/>
      <c r="AF80" s="350"/>
      <c r="AG80" s="351"/>
      <c r="AH80" s="645"/>
      <c r="AI80" s="350"/>
      <c r="AJ80" s="351"/>
      <c r="AK80" s="567"/>
      <c r="AL80" s="350"/>
      <c r="AM80" s="351"/>
      <c r="AN80" s="58"/>
      <c r="AO80" s="59"/>
      <c r="AP80" s="58"/>
      <c r="AQ80" s="59"/>
      <c r="AR80" s="58"/>
      <c r="AS80" s="59"/>
      <c r="AT80" s="58"/>
      <c r="AU80" s="59"/>
      <c r="AV80" s="58"/>
      <c r="AW80" s="59"/>
      <c r="AX80" s="58"/>
      <c r="AY80" s="59"/>
      <c r="AZ80" s="64"/>
      <c r="BA80" s="61"/>
      <c r="BB80" s="64"/>
      <c r="BC80" s="61"/>
      <c r="BD80" s="64"/>
      <c r="BE80" s="61"/>
      <c r="BF80" s="64"/>
      <c r="BG80" s="61"/>
      <c r="BH80" s="64"/>
      <c r="BI80" s="646" t="s">
        <v>298</v>
      </c>
      <c r="BJ80" s="350"/>
      <c r="BK80" s="350"/>
      <c r="BL80" s="350"/>
      <c r="BM80" s="350"/>
      <c r="BN80" s="350"/>
      <c r="BO80" s="350"/>
      <c r="BP80" s="350"/>
      <c r="BQ80" s="350"/>
      <c r="BR80" s="350"/>
      <c r="BS80" s="350"/>
      <c r="BT80" s="350"/>
      <c r="BU80" s="350"/>
      <c r="BV80" s="351"/>
    </row>
    <row r="81" spans="1:74" ht="30" customHeight="1">
      <c r="A81" s="63">
        <f t="shared" si="0"/>
        <v>67</v>
      </c>
      <c r="B81" s="56" t="s">
        <v>325</v>
      </c>
      <c r="C81" s="57"/>
      <c r="D81" s="644"/>
      <c r="E81" s="350"/>
      <c r="F81" s="350"/>
      <c r="G81" s="350"/>
      <c r="H81" s="350"/>
      <c r="I81" s="350"/>
      <c r="J81" s="350"/>
      <c r="K81" s="351"/>
      <c r="L81" s="643"/>
      <c r="M81" s="350"/>
      <c r="N81" s="350"/>
      <c r="O81" s="351"/>
      <c r="P81" s="644"/>
      <c r="Q81" s="350"/>
      <c r="R81" s="350"/>
      <c r="S81" s="351"/>
      <c r="T81" s="643"/>
      <c r="U81" s="350"/>
      <c r="V81" s="350"/>
      <c r="W81" s="351"/>
      <c r="X81" s="644"/>
      <c r="Y81" s="350"/>
      <c r="Z81" s="350"/>
      <c r="AA81" s="351"/>
      <c r="AB81" s="506"/>
      <c r="AC81" s="350"/>
      <c r="AD81" s="351"/>
      <c r="AE81" s="571"/>
      <c r="AF81" s="350"/>
      <c r="AG81" s="351"/>
      <c r="AH81" s="645"/>
      <c r="AI81" s="350"/>
      <c r="AJ81" s="351"/>
      <c r="AK81" s="567"/>
      <c r="AL81" s="350"/>
      <c r="AM81" s="351"/>
      <c r="AN81" s="58"/>
      <c r="AO81" s="59"/>
      <c r="AP81" s="58"/>
      <c r="AQ81" s="59"/>
      <c r="AR81" s="58"/>
      <c r="AS81" s="59"/>
      <c r="AT81" s="58"/>
      <c r="AU81" s="59"/>
      <c r="AV81" s="58"/>
      <c r="AW81" s="59"/>
      <c r="AX81" s="58"/>
      <c r="AY81" s="59"/>
      <c r="AZ81" s="64"/>
      <c r="BA81" s="61"/>
      <c r="BB81" s="64"/>
      <c r="BC81" s="61"/>
      <c r="BD81" s="64"/>
      <c r="BE81" s="61"/>
      <c r="BF81" s="64"/>
      <c r="BG81" s="61"/>
      <c r="BH81" s="64"/>
      <c r="BI81" s="646" t="s">
        <v>298</v>
      </c>
      <c r="BJ81" s="350"/>
      <c r="BK81" s="350"/>
      <c r="BL81" s="350"/>
      <c r="BM81" s="350"/>
      <c r="BN81" s="350"/>
      <c r="BO81" s="350"/>
      <c r="BP81" s="350"/>
      <c r="BQ81" s="350"/>
      <c r="BR81" s="350"/>
      <c r="BS81" s="350"/>
      <c r="BT81" s="350"/>
      <c r="BU81" s="350"/>
      <c r="BV81" s="351"/>
    </row>
    <row r="82" spans="1:74" ht="30" customHeight="1">
      <c r="A82" s="63">
        <f t="shared" si="0"/>
        <v>68</v>
      </c>
      <c r="B82" s="56" t="s">
        <v>325</v>
      </c>
      <c r="C82" s="57"/>
      <c r="D82" s="644"/>
      <c r="E82" s="350"/>
      <c r="F82" s="350"/>
      <c r="G82" s="350"/>
      <c r="H82" s="350"/>
      <c r="I82" s="350"/>
      <c r="J82" s="350"/>
      <c r="K82" s="351"/>
      <c r="L82" s="643"/>
      <c r="M82" s="350"/>
      <c r="N82" s="350"/>
      <c r="O82" s="351"/>
      <c r="P82" s="644"/>
      <c r="Q82" s="350"/>
      <c r="R82" s="350"/>
      <c r="S82" s="351"/>
      <c r="T82" s="643"/>
      <c r="U82" s="350"/>
      <c r="V82" s="350"/>
      <c r="W82" s="351"/>
      <c r="X82" s="644"/>
      <c r="Y82" s="350"/>
      <c r="Z82" s="350"/>
      <c r="AA82" s="351"/>
      <c r="AB82" s="506"/>
      <c r="AC82" s="350"/>
      <c r="AD82" s="351"/>
      <c r="AE82" s="571"/>
      <c r="AF82" s="350"/>
      <c r="AG82" s="351"/>
      <c r="AH82" s="645"/>
      <c r="AI82" s="350"/>
      <c r="AJ82" s="351"/>
      <c r="AK82" s="567"/>
      <c r="AL82" s="350"/>
      <c r="AM82" s="351"/>
      <c r="AN82" s="58"/>
      <c r="AO82" s="59"/>
      <c r="AP82" s="58"/>
      <c r="AQ82" s="59"/>
      <c r="AR82" s="58"/>
      <c r="AS82" s="59"/>
      <c r="AT82" s="58"/>
      <c r="AU82" s="59"/>
      <c r="AV82" s="58"/>
      <c r="AW82" s="59"/>
      <c r="AX82" s="58"/>
      <c r="AY82" s="59"/>
      <c r="AZ82" s="64"/>
      <c r="BA82" s="61"/>
      <c r="BB82" s="64"/>
      <c r="BC82" s="61"/>
      <c r="BD82" s="64"/>
      <c r="BE82" s="61"/>
      <c r="BF82" s="64"/>
      <c r="BG82" s="61"/>
      <c r="BH82" s="64"/>
      <c r="BI82" s="646" t="s">
        <v>298</v>
      </c>
      <c r="BJ82" s="350"/>
      <c r="BK82" s="350"/>
      <c r="BL82" s="350"/>
      <c r="BM82" s="350"/>
      <c r="BN82" s="350"/>
      <c r="BO82" s="350"/>
      <c r="BP82" s="350"/>
      <c r="BQ82" s="350"/>
      <c r="BR82" s="350"/>
      <c r="BS82" s="350"/>
      <c r="BT82" s="350"/>
      <c r="BU82" s="350"/>
      <c r="BV82" s="351"/>
    </row>
    <row r="83" spans="1:74" ht="30" customHeight="1">
      <c r="A83" s="63">
        <f t="shared" si="0"/>
        <v>69</v>
      </c>
      <c r="B83" s="56" t="s">
        <v>325</v>
      </c>
      <c r="C83" s="57"/>
      <c r="D83" s="644"/>
      <c r="E83" s="350"/>
      <c r="F83" s="350"/>
      <c r="G83" s="350"/>
      <c r="H83" s="350"/>
      <c r="I83" s="350"/>
      <c r="J83" s="350"/>
      <c r="K83" s="351"/>
      <c r="L83" s="643"/>
      <c r="M83" s="350"/>
      <c r="N83" s="350"/>
      <c r="O83" s="351"/>
      <c r="P83" s="644"/>
      <c r="Q83" s="350"/>
      <c r="R83" s="350"/>
      <c r="S83" s="351"/>
      <c r="T83" s="643"/>
      <c r="U83" s="350"/>
      <c r="V83" s="350"/>
      <c r="W83" s="351"/>
      <c r="X83" s="644"/>
      <c r="Y83" s="350"/>
      <c r="Z83" s="350"/>
      <c r="AA83" s="351"/>
      <c r="AB83" s="506"/>
      <c r="AC83" s="350"/>
      <c r="AD83" s="351"/>
      <c r="AE83" s="571"/>
      <c r="AF83" s="350"/>
      <c r="AG83" s="351"/>
      <c r="AH83" s="645"/>
      <c r="AI83" s="350"/>
      <c r="AJ83" s="351"/>
      <c r="AK83" s="567"/>
      <c r="AL83" s="350"/>
      <c r="AM83" s="351"/>
      <c r="AN83" s="58"/>
      <c r="AO83" s="59"/>
      <c r="AP83" s="58"/>
      <c r="AQ83" s="59"/>
      <c r="AR83" s="58"/>
      <c r="AS83" s="59"/>
      <c r="AT83" s="58"/>
      <c r="AU83" s="59"/>
      <c r="AV83" s="58"/>
      <c r="AW83" s="59"/>
      <c r="AX83" s="58"/>
      <c r="AY83" s="59"/>
      <c r="AZ83" s="64"/>
      <c r="BA83" s="61"/>
      <c r="BB83" s="64"/>
      <c r="BC83" s="61"/>
      <c r="BD83" s="64"/>
      <c r="BE83" s="61"/>
      <c r="BF83" s="64"/>
      <c r="BG83" s="61"/>
      <c r="BH83" s="64"/>
      <c r="BI83" s="646" t="s">
        <v>294</v>
      </c>
      <c r="BJ83" s="350"/>
      <c r="BK83" s="350"/>
      <c r="BL83" s="350"/>
      <c r="BM83" s="350"/>
      <c r="BN83" s="350"/>
      <c r="BO83" s="350"/>
      <c r="BP83" s="350"/>
      <c r="BQ83" s="350"/>
      <c r="BR83" s="350"/>
      <c r="BS83" s="350"/>
      <c r="BT83" s="350"/>
      <c r="BU83" s="350"/>
      <c r="BV83" s="351"/>
    </row>
    <row r="84" spans="1:74" ht="30" customHeight="1">
      <c r="A84" s="63">
        <f t="shared" si="0"/>
        <v>70</v>
      </c>
      <c r="B84" s="56" t="s">
        <v>325</v>
      </c>
      <c r="C84" s="57"/>
      <c r="D84" s="644"/>
      <c r="E84" s="350"/>
      <c r="F84" s="350"/>
      <c r="G84" s="350"/>
      <c r="H84" s="350"/>
      <c r="I84" s="350"/>
      <c r="J84" s="350"/>
      <c r="K84" s="351"/>
      <c r="L84" s="643"/>
      <c r="M84" s="350"/>
      <c r="N84" s="350"/>
      <c r="O84" s="351"/>
      <c r="P84" s="644"/>
      <c r="Q84" s="350"/>
      <c r="R84" s="350"/>
      <c r="S84" s="351"/>
      <c r="T84" s="643"/>
      <c r="U84" s="350"/>
      <c r="V84" s="350"/>
      <c r="W84" s="351"/>
      <c r="X84" s="644"/>
      <c r="Y84" s="350"/>
      <c r="Z84" s="350"/>
      <c r="AA84" s="351"/>
      <c r="AB84" s="506"/>
      <c r="AC84" s="350"/>
      <c r="AD84" s="351"/>
      <c r="AE84" s="571"/>
      <c r="AF84" s="350"/>
      <c r="AG84" s="351"/>
      <c r="AH84" s="645"/>
      <c r="AI84" s="350"/>
      <c r="AJ84" s="351"/>
      <c r="AK84" s="567"/>
      <c r="AL84" s="350"/>
      <c r="AM84" s="351"/>
      <c r="AN84" s="58"/>
      <c r="AO84" s="59"/>
      <c r="AP84" s="58"/>
      <c r="AQ84" s="59"/>
      <c r="AR84" s="58"/>
      <c r="AS84" s="59"/>
      <c r="AT84" s="58"/>
      <c r="AU84" s="59"/>
      <c r="AV84" s="58"/>
      <c r="AW84" s="59"/>
      <c r="AX84" s="58"/>
      <c r="AY84" s="59"/>
      <c r="AZ84" s="64"/>
      <c r="BA84" s="61"/>
      <c r="BB84" s="64"/>
      <c r="BC84" s="61"/>
      <c r="BD84" s="64"/>
      <c r="BE84" s="61"/>
      <c r="BF84" s="64"/>
      <c r="BG84" s="61"/>
      <c r="BH84" s="64"/>
      <c r="BI84" s="646" t="s">
        <v>294</v>
      </c>
      <c r="BJ84" s="350"/>
      <c r="BK84" s="350"/>
      <c r="BL84" s="350"/>
      <c r="BM84" s="350"/>
      <c r="BN84" s="350"/>
      <c r="BO84" s="350"/>
      <c r="BP84" s="350"/>
      <c r="BQ84" s="350"/>
      <c r="BR84" s="350"/>
      <c r="BS84" s="350"/>
      <c r="BT84" s="350"/>
      <c r="BU84" s="350"/>
      <c r="BV84" s="351"/>
    </row>
    <row r="85" spans="1:74" ht="30" customHeight="1">
      <c r="A85" s="55">
        <f t="shared" si="0"/>
        <v>71</v>
      </c>
      <c r="B85" s="56" t="s">
        <v>325</v>
      </c>
      <c r="C85" s="57"/>
      <c r="D85" s="644"/>
      <c r="E85" s="350"/>
      <c r="F85" s="350"/>
      <c r="G85" s="350"/>
      <c r="H85" s="350"/>
      <c r="I85" s="350"/>
      <c r="J85" s="350"/>
      <c r="K85" s="351"/>
      <c r="L85" s="643"/>
      <c r="M85" s="350"/>
      <c r="N85" s="350"/>
      <c r="O85" s="351"/>
      <c r="P85" s="644"/>
      <c r="Q85" s="350"/>
      <c r="R85" s="350"/>
      <c r="S85" s="351"/>
      <c r="T85" s="643"/>
      <c r="U85" s="350"/>
      <c r="V85" s="350"/>
      <c r="W85" s="351"/>
      <c r="X85" s="644"/>
      <c r="Y85" s="350"/>
      <c r="Z85" s="350"/>
      <c r="AA85" s="351"/>
      <c r="AB85" s="506"/>
      <c r="AC85" s="350"/>
      <c r="AD85" s="351"/>
      <c r="AE85" s="571"/>
      <c r="AF85" s="350"/>
      <c r="AG85" s="351"/>
      <c r="AH85" s="645"/>
      <c r="AI85" s="350"/>
      <c r="AJ85" s="351"/>
      <c r="AK85" s="567"/>
      <c r="AL85" s="350"/>
      <c r="AM85" s="351"/>
      <c r="AN85" s="58"/>
      <c r="AO85" s="59"/>
      <c r="AP85" s="58"/>
      <c r="AQ85" s="59"/>
      <c r="AR85" s="58"/>
      <c r="AS85" s="59"/>
      <c r="AT85" s="58"/>
      <c r="AU85" s="59"/>
      <c r="AV85" s="58"/>
      <c r="AW85" s="59"/>
      <c r="AX85" s="58"/>
      <c r="AY85" s="59"/>
      <c r="AZ85" s="64"/>
      <c r="BA85" s="61"/>
      <c r="BB85" s="64"/>
      <c r="BC85" s="61"/>
      <c r="BD85" s="64"/>
      <c r="BE85" s="61"/>
      <c r="BF85" s="64"/>
      <c r="BG85" s="61"/>
      <c r="BH85" s="64"/>
      <c r="BI85" s="646" t="s">
        <v>298</v>
      </c>
      <c r="BJ85" s="350"/>
      <c r="BK85" s="350"/>
      <c r="BL85" s="350"/>
      <c r="BM85" s="350"/>
      <c r="BN85" s="350"/>
      <c r="BO85" s="350"/>
      <c r="BP85" s="350"/>
      <c r="BQ85" s="350"/>
      <c r="BR85" s="350"/>
      <c r="BS85" s="350"/>
      <c r="BT85" s="350"/>
      <c r="BU85" s="350"/>
      <c r="BV85" s="351"/>
    </row>
    <row r="86" spans="1:74" ht="30" customHeight="1">
      <c r="A86" s="63">
        <f t="shared" si="0"/>
        <v>72</v>
      </c>
      <c r="B86" s="56" t="s">
        <v>325</v>
      </c>
      <c r="C86" s="57"/>
      <c r="D86" s="644"/>
      <c r="E86" s="350"/>
      <c r="F86" s="350"/>
      <c r="G86" s="350"/>
      <c r="H86" s="350"/>
      <c r="I86" s="350"/>
      <c r="J86" s="350"/>
      <c r="K86" s="351"/>
      <c r="L86" s="643"/>
      <c r="M86" s="350"/>
      <c r="N86" s="350"/>
      <c r="O86" s="351"/>
      <c r="P86" s="644"/>
      <c r="Q86" s="350"/>
      <c r="R86" s="350"/>
      <c r="S86" s="351"/>
      <c r="T86" s="643"/>
      <c r="U86" s="350"/>
      <c r="V86" s="350"/>
      <c r="W86" s="351"/>
      <c r="X86" s="644"/>
      <c r="Y86" s="350"/>
      <c r="Z86" s="350"/>
      <c r="AA86" s="351"/>
      <c r="AB86" s="506"/>
      <c r="AC86" s="350"/>
      <c r="AD86" s="351"/>
      <c r="AE86" s="571"/>
      <c r="AF86" s="350"/>
      <c r="AG86" s="351"/>
      <c r="AH86" s="645"/>
      <c r="AI86" s="350"/>
      <c r="AJ86" s="351"/>
      <c r="AK86" s="567"/>
      <c r="AL86" s="350"/>
      <c r="AM86" s="351"/>
      <c r="AN86" s="58"/>
      <c r="AO86" s="59"/>
      <c r="AP86" s="58"/>
      <c r="AQ86" s="59"/>
      <c r="AR86" s="58"/>
      <c r="AS86" s="59"/>
      <c r="AT86" s="58"/>
      <c r="AU86" s="59"/>
      <c r="AV86" s="58"/>
      <c r="AW86" s="59"/>
      <c r="AX86" s="58"/>
      <c r="AY86" s="59"/>
      <c r="AZ86" s="64"/>
      <c r="BA86" s="61"/>
      <c r="BB86" s="64"/>
      <c r="BC86" s="61"/>
      <c r="BD86" s="64"/>
      <c r="BE86" s="61"/>
      <c r="BF86" s="64"/>
      <c r="BG86" s="61"/>
      <c r="BH86" s="64"/>
      <c r="BI86" s="646" t="s">
        <v>298</v>
      </c>
      <c r="BJ86" s="350"/>
      <c r="BK86" s="350"/>
      <c r="BL86" s="350"/>
      <c r="BM86" s="350"/>
      <c r="BN86" s="350"/>
      <c r="BO86" s="350"/>
      <c r="BP86" s="350"/>
      <c r="BQ86" s="350"/>
      <c r="BR86" s="350"/>
      <c r="BS86" s="350"/>
      <c r="BT86" s="350"/>
      <c r="BU86" s="350"/>
      <c r="BV86" s="351"/>
    </row>
    <row r="87" spans="1:74" ht="30" customHeight="1">
      <c r="A87" s="63">
        <f t="shared" si="0"/>
        <v>73</v>
      </c>
      <c r="B87" s="56" t="s">
        <v>325</v>
      </c>
      <c r="C87" s="57"/>
      <c r="D87" s="644"/>
      <c r="E87" s="350"/>
      <c r="F87" s="350"/>
      <c r="G87" s="350"/>
      <c r="H87" s="350"/>
      <c r="I87" s="350"/>
      <c r="J87" s="350"/>
      <c r="K87" s="351"/>
      <c r="L87" s="643"/>
      <c r="M87" s="350"/>
      <c r="N87" s="350"/>
      <c r="O87" s="351"/>
      <c r="P87" s="644"/>
      <c r="Q87" s="350"/>
      <c r="R87" s="350"/>
      <c r="S87" s="351"/>
      <c r="T87" s="643"/>
      <c r="U87" s="350"/>
      <c r="V87" s="350"/>
      <c r="W87" s="351"/>
      <c r="X87" s="644"/>
      <c r="Y87" s="350"/>
      <c r="Z87" s="350"/>
      <c r="AA87" s="351"/>
      <c r="AB87" s="506"/>
      <c r="AC87" s="350"/>
      <c r="AD87" s="351"/>
      <c r="AE87" s="571"/>
      <c r="AF87" s="350"/>
      <c r="AG87" s="351"/>
      <c r="AH87" s="645"/>
      <c r="AI87" s="350"/>
      <c r="AJ87" s="351"/>
      <c r="AK87" s="567"/>
      <c r="AL87" s="350"/>
      <c r="AM87" s="351"/>
      <c r="AN87" s="58"/>
      <c r="AO87" s="59"/>
      <c r="AP87" s="58"/>
      <c r="AQ87" s="59"/>
      <c r="AR87" s="58"/>
      <c r="AS87" s="59"/>
      <c r="AT87" s="58"/>
      <c r="AU87" s="59"/>
      <c r="AV87" s="58"/>
      <c r="AW87" s="59"/>
      <c r="AX87" s="58"/>
      <c r="AY87" s="59"/>
      <c r="AZ87" s="64"/>
      <c r="BA87" s="61"/>
      <c r="BB87" s="64"/>
      <c r="BC87" s="61"/>
      <c r="BD87" s="64"/>
      <c r="BE87" s="61"/>
      <c r="BF87" s="64"/>
      <c r="BG87" s="61"/>
      <c r="BH87" s="64"/>
      <c r="BI87" s="646" t="s">
        <v>298</v>
      </c>
      <c r="BJ87" s="350"/>
      <c r="BK87" s="350"/>
      <c r="BL87" s="350"/>
      <c r="BM87" s="350"/>
      <c r="BN87" s="350"/>
      <c r="BO87" s="350"/>
      <c r="BP87" s="350"/>
      <c r="BQ87" s="350"/>
      <c r="BR87" s="350"/>
      <c r="BS87" s="350"/>
      <c r="BT87" s="350"/>
      <c r="BU87" s="350"/>
      <c r="BV87" s="351"/>
    </row>
    <row r="88" spans="1:74" ht="30" customHeight="1">
      <c r="A88" s="63">
        <f t="shared" si="0"/>
        <v>74</v>
      </c>
      <c r="B88" s="56" t="s">
        <v>325</v>
      </c>
      <c r="C88" s="57"/>
      <c r="D88" s="644"/>
      <c r="E88" s="350"/>
      <c r="F88" s="350"/>
      <c r="G88" s="350"/>
      <c r="H88" s="350"/>
      <c r="I88" s="350"/>
      <c r="J88" s="350"/>
      <c r="K88" s="351"/>
      <c r="L88" s="643"/>
      <c r="M88" s="350"/>
      <c r="N88" s="350"/>
      <c r="O88" s="351"/>
      <c r="P88" s="644"/>
      <c r="Q88" s="350"/>
      <c r="R88" s="350"/>
      <c r="S88" s="351"/>
      <c r="T88" s="643"/>
      <c r="U88" s="350"/>
      <c r="V88" s="350"/>
      <c r="W88" s="351"/>
      <c r="X88" s="644"/>
      <c r="Y88" s="350"/>
      <c r="Z88" s="350"/>
      <c r="AA88" s="351"/>
      <c r="AB88" s="506"/>
      <c r="AC88" s="350"/>
      <c r="AD88" s="351"/>
      <c r="AE88" s="571"/>
      <c r="AF88" s="350"/>
      <c r="AG88" s="351"/>
      <c r="AH88" s="645"/>
      <c r="AI88" s="350"/>
      <c r="AJ88" s="351"/>
      <c r="AK88" s="567"/>
      <c r="AL88" s="350"/>
      <c r="AM88" s="351"/>
      <c r="AN88" s="58"/>
      <c r="AO88" s="59"/>
      <c r="AP88" s="58"/>
      <c r="AQ88" s="59"/>
      <c r="AR88" s="58"/>
      <c r="AS88" s="59"/>
      <c r="AT88" s="58"/>
      <c r="AU88" s="59"/>
      <c r="AV88" s="58"/>
      <c r="AW88" s="59"/>
      <c r="AX88" s="58"/>
      <c r="AY88" s="59"/>
      <c r="AZ88" s="64"/>
      <c r="BA88" s="61"/>
      <c r="BB88" s="64"/>
      <c r="BC88" s="61"/>
      <c r="BD88" s="64"/>
      <c r="BE88" s="61"/>
      <c r="BF88" s="64"/>
      <c r="BG88" s="61"/>
      <c r="BH88" s="64"/>
      <c r="BI88" s="646" t="s">
        <v>298</v>
      </c>
      <c r="BJ88" s="350"/>
      <c r="BK88" s="350"/>
      <c r="BL88" s="350"/>
      <c r="BM88" s="350"/>
      <c r="BN88" s="350"/>
      <c r="BO88" s="350"/>
      <c r="BP88" s="350"/>
      <c r="BQ88" s="350"/>
      <c r="BR88" s="350"/>
      <c r="BS88" s="350"/>
      <c r="BT88" s="350"/>
      <c r="BU88" s="350"/>
      <c r="BV88" s="351"/>
    </row>
    <row r="89" spans="1:74" ht="30" customHeight="1">
      <c r="A89" s="63">
        <f t="shared" si="0"/>
        <v>75</v>
      </c>
      <c r="B89" s="56" t="s">
        <v>325</v>
      </c>
      <c r="C89" s="57"/>
      <c r="D89" s="644"/>
      <c r="E89" s="350"/>
      <c r="F89" s="350"/>
      <c r="G89" s="350"/>
      <c r="H89" s="350"/>
      <c r="I89" s="350"/>
      <c r="J89" s="350"/>
      <c r="K89" s="351"/>
      <c r="L89" s="643"/>
      <c r="M89" s="350"/>
      <c r="N89" s="350"/>
      <c r="O89" s="351"/>
      <c r="P89" s="644"/>
      <c r="Q89" s="350"/>
      <c r="R89" s="350"/>
      <c r="S89" s="351"/>
      <c r="T89" s="643"/>
      <c r="U89" s="350"/>
      <c r="V89" s="350"/>
      <c r="W89" s="351"/>
      <c r="X89" s="644"/>
      <c r="Y89" s="350"/>
      <c r="Z89" s="350"/>
      <c r="AA89" s="351"/>
      <c r="AB89" s="506"/>
      <c r="AC89" s="350"/>
      <c r="AD89" s="351"/>
      <c r="AE89" s="571"/>
      <c r="AF89" s="350"/>
      <c r="AG89" s="351"/>
      <c r="AH89" s="645"/>
      <c r="AI89" s="350"/>
      <c r="AJ89" s="351"/>
      <c r="AK89" s="567"/>
      <c r="AL89" s="350"/>
      <c r="AM89" s="351"/>
      <c r="AN89" s="58"/>
      <c r="AO89" s="59"/>
      <c r="AP89" s="58"/>
      <c r="AQ89" s="59"/>
      <c r="AR89" s="58"/>
      <c r="AS89" s="59"/>
      <c r="AT89" s="58"/>
      <c r="AU89" s="59"/>
      <c r="AV89" s="58"/>
      <c r="AW89" s="59"/>
      <c r="AX89" s="58"/>
      <c r="AY89" s="59"/>
      <c r="AZ89" s="64"/>
      <c r="BA89" s="61"/>
      <c r="BB89" s="64"/>
      <c r="BC89" s="61"/>
      <c r="BD89" s="64"/>
      <c r="BE89" s="61"/>
      <c r="BF89" s="64"/>
      <c r="BG89" s="61"/>
      <c r="BH89" s="64"/>
      <c r="BI89" s="646" t="s">
        <v>298</v>
      </c>
      <c r="BJ89" s="350"/>
      <c r="BK89" s="350"/>
      <c r="BL89" s="350"/>
      <c r="BM89" s="350"/>
      <c r="BN89" s="350"/>
      <c r="BO89" s="350"/>
      <c r="BP89" s="350"/>
      <c r="BQ89" s="350"/>
      <c r="BR89" s="350"/>
      <c r="BS89" s="350"/>
      <c r="BT89" s="350"/>
      <c r="BU89" s="350"/>
      <c r="BV89" s="351"/>
    </row>
    <row r="90" spans="1:74" ht="30" customHeight="1">
      <c r="A90" s="63">
        <f t="shared" si="0"/>
        <v>76</v>
      </c>
      <c r="B90" s="56" t="s">
        <v>325</v>
      </c>
      <c r="C90" s="57"/>
      <c r="D90" s="644"/>
      <c r="E90" s="350"/>
      <c r="F90" s="350"/>
      <c r="G90" s="350"/>
      <c r="H90" s="350"/>
      <c r="I90" s="350"/>
      <c r="J90" s="350"/>
      <c r="K90" s="351"/>
      <c r="L90" s="643"/>
      <c r="M90" s="350"/>
      <c r="N90" s="350"/>
      <c r="O90" s="351"/>
      <c r="P90" s="644"/>
      <c r="Q90" s="350"/>
      <c r="R90" s="350"/>
      <c r="S90" s="351"/>
      <c r="T90" s="643"/>
      <c r="U90" s="350"/>
      <c r="V90" s="350"/>
      <c r="W90" s="351"/>
      <c r="X90" s="644"/>
      <c r="Y90" s="350"/>
      <c r="Z90" s="350"/>
      <c r="AA90" s="351"/>
      <c r="AB90" s="506"/>
      <c r="AC90" s="350"/>
      <c r="AD90" s="351"/>
      <c r="AE90" s="571"/>
      <c r="AF90" s="350"/>
      <c r="AG90" s="351"/>
      <c r="AH90" s="645"/>
      <c r="AI90" s="350"/>
      <c r="AJ90" s="351"/>
      <c r="AK90" s="567"/>
      <c r="AL90" s="350"/>
      <c r="AM90" s="351"/>
      <c r="AN90" s="58"/>
      <c r="AO90" s="59"/>
      <c r="AP90" s="58"/>
      <c r="AQ90" s="59"/>
      <c r="AR90" s="58"/>
      <c r="AS90" s="59"/>
      <c r="AT90" s="58"/>
      <c r="AU90" s="59"/>
      <c r="AV90" s="58"/>
      <c r="AW90" s="59"/>
      <c r="AX90" s="58"/>
      <c r="AY90" s="59"/>
      <c r="AZ90" s="64"/>
      <c r="BA90" s="61"/>
      <c r="BB90" s="64"/>
      <c r="BC90" s="61"/>
      <c r="BD90" s="64"/>
      <c r="BE90" s="61"/>
      <c r="BF90" s="64"/>
      <c r="BG90" s="61"/>
      <c r="BH90" s="64"/>
      <c r="BI90" s="646" t="s">
        <v>294</v>
      </c>
      <c r="BJ90" s="350"/>
      <c r="BK90" s="350"/>
      <c r="BL90" s="350"/>
      <c r="BM90" s="350"/>
      <c r="BN90" s="350"/>
      <c r="BO90" s="350"/>
      <c r="BP90" s="350"/>
      <c r="BQ90" s="350"/>
      <c r="BR90" s="350"/>
      <c r="BS90" s="350"/>
      <c r="BT90" s="350"/>
      <c r="BU90" s="350"/>
      <c r="BV90" s="351"/>
    </row>
    <row r="91" spans="1:74" ht="30" customHeight="1">
      <c r="A91" s="63">
        <f t="shared" si="0"/>
        <v>77</v>
      </c>
      <c r="B91" s="56" t="s">
        <v>325</v>
      </c>
      <c r="C91" s="57"/>
      <c r="D91" s="644"/>
      <c r="E91" s="350"/>
      <c r="F91" s="350"/>
      <c r="G91" s="350"/>
      <c r="H91" s="350"/>
      <c r="I91" s="350"/>
      <c r="J91" s="350"/>
      <c r="K91" s="351"/>
      <c r="L91" s="643"/>
      <c r="M91" s="350"/>
      <c r="N91" s="350"/>
      <c r="O91" s="351"/>
      <c r="P91" s="644"/>
      <c r="Q91" s="350"/>
      <c r="R91" s="350"/>
      <c r="S91" s="351"/>
      <c r="T91" s="643"/>
      <c r="U91" s="350"/>
      <c r="V91" s="350"/>
      <c r="W91" s="351"/>
      <c r="X91" s="644"/>
      <c r="Y91" s="350"/>
      <c r="Z91" s="350"/>
      <c r="AA91" s="351"/>
      <c r="AB91" s="506"/>
      <c r="AC91" s="350"/>
      <c r="AD91" s="351"/>
      <c r="AE91" s="571"/>
      <c r="AF91" s="350"/>
      <c r="AG91" s="351"/>
      <c r="AH91" s="645"/>
      <c r="AI91" s="350"/>
      <c r="AJ91" s="351"/>
      <c r="AK91" s="567"/>
      <c r="AL91" s="350"/>
      <c r="AM91" s="351"/>
      <c r="AN91" s="58"/>
      <c r="AO91" s="59"/>
      <c r="AP91" s="58"/>
      <c r="AQ91" s="59"/>
      <c r="AR91" s="58"/>
      <c r="AS91" s="59"/>
      <c r="AT91" s="58"/>
      <c r="AU91" s="59"/>
      <c r="AV91" s="58"/>
      <c r="AW91" s="59"/>
      <c r="AX91" s="58"/>
      <c r="AY91" s="59"/>
      <c r="AZ91" s="64"/>
      <c r="BA91" s="61"/>
      <c r="BB91" s="64"/>
      <c r="BC91" s="61"/>
      <c r="BD91" s="64"/>
      <c r="BE91" s="61"/>
      <c r="BF91" s="64"/>
      <c r="BG91" s="61"/>
      <c r="BH91" s="64"/>
      <c r="BI91" s="646" t="s">
        <v>294</v>
      </c>
      <c r="BJ91" s="350"/>
      <c r="BK91" s="350"/>
      <c r="BL91" s="350"/>
      <c r="BM91" s="350"/>
      <c r="BN91" s="350"/>
      <c r="BO91" s="350"/>
      <c r="BP91" s="350"/>
      <c r="BQ91" s="350"/>
      <c r="BR91" s="350"/>
      <c r="BS91" s="350"/>
      <c r="BT91" s="350"/>
      <c r="BU91" s="350"/>
      <c r="BV91" s="351"/>
    </row>
    <row r="92" spans="1:74" ht="30" customHeight="1">
      <c r="A92" s="55">
        <f t="shared" si="0"/>
        <v>78</v>
      </c>
      <c r="B92" s="56" t="s">
        <v>325</v>
      </c>
      <c r="C92" s="57"/>
      <c r="D92" s="644"/>
      <c r="E92" s="350"/>
      <c r="F92" s="350"/>
      <c r="G92" s="350"/>
      <c r="H92" s="350"/>
      <c r="I92" s="350"/>
      <c r="J92" s="350"/>
      <c r="K92" s="351"/>
      <c r="L92" s="643"/>
      <c r="M92" s="350"/>
      <c r="N92" s="350"/>
      <c r="O92" s="351"/>
      <c r="P92" s="644"/>
      <c r="Q92" s="350"/>
      <c r="R92" s="350"/>
      <c r="S92" s="351"/>
      <c r="T92" s="643"/>
      <c r="U92" s="350"/>
      <c r="V92" s="350"/>
      <c r="W92" s="351"/>
      <c r="X92" s="644"/>
      <c r="Y92" s="350"/>
      <c r="Z92" s="350"/>
      <c r="AA92" s="351"/>
      <c r="AB92" s="506"/>
      <c r="AC92" s="350"/>
      <c r="AD92" s="351"/>
      <c r="AE92" s="571"/>
      <c r="AF92" s="350"/>
      <c r="AG92" s="351"/>
      <c r="AH92" s="645"/>
      <c r="AI92" s="350"/>
      <c r="AJ92" s="351"/>
      <c r="AK92" s="567"/>
      <c r="AL92" s="350"/>
      <c r="AM92" s="351"/>
      <c r="AN92" s="58"/>
      <c r="AO92" s="59"/>
      <c r="AP92" s="58"/>
      <c r="AQ92" s="59"/>
      <c r="AR92" s="58"/>
      <c r="AS92" s="59"/>
      <c r="AT92" s="58"/>
      <c r="AU92" s="59"/>
      <c r="AV92" s="58"/>
      <c r="AW92" s="59"/>
      <c r="AX92" s="58"/>
      <c r="AY92" s="59"/>
      <c r="AZ92" s="64"/>
      <c r="BA92" s="61"/>
      <c r="BB92" s="64"/>
      <c r="BC92" s="61"/>
      <c r="BD92" s="64"/>
      <c r="BE92" s="61"/>
      <c r="BF92" s="64"/>
      <c r="BG92" s="61"/>
      <c r="BH92" s="64"/>
      <c r="BI92" s="646" t="s">
        <v>298</v>
      </c>
      <c r="BJ92" s="350"/>
      <c r="BK92" s="350"/>
      <c r="BL92" s="350"/>
      <c r="BM92" s="350"/>
      <c r="BN92" s="350"/>
      <c r="BO92" s="350"/>
      <c r="BP92" s="350"/>
      <c r="BQ92" s="350"/>
      <c r="BR92" s="350"/>
      <c r="BS92" s="350"/>
      <c r="BT92" s="350"/>
      <c r="BU92" s="350"/>
      <c r="BV92" s="351"/>
    </row>
    <row r="93" spans="1:74" ht="30" customHeight="1">
      <c r="A93" s="63">
        <f t="shared" si="0"/>
        <v>79</v>
      </c>
      <c r="B93" s="56" t="s">
        <v>325</v>
      </c>
      <c r="C93" s="57"/>
      <c r="D93" s="644"/>
      <c r="E93" s="350"/>
      <c r="F93" s="350"/>
      <c r="G93" s="350"/>
      <c r="H93" s="350"/>
      <c r="I93" s="350"/>
      <c r="J93" s="350"/>
      <c r="K93" s="351"/>
      <c r="L93" s="643"/>
      <c r="M93" s="350"/>
      <c r="N93" s="350"/>
      <c r="O93" s="351"/>
      <c r="P93" s="644"/>
      <c r="Q93" s="350"/>
      <c r="R93" s="350"/>
      <c r="S93" s="351"/>
      <c r="T93" s="643"/>
      <c r="U93" s="350"/>
      <c r="V93" s="350"/>
      <c r="W93" s="351"/>
      <c r="X93" s="644"/>
      <c r="Y93" s="350"/>
      <c r="Z93" s="350"/>
      <c r="AA93" s="351"/>
      <c r="AB93" s="506"/>
      <c r="AC93" s="350"/>
      <c r="AD93" s="351"/>
      <c r="AE93" s="571"/>
      <c r="AF93" s="350"/>
      <c r="AG93" s="351"/>
      <c r="AH93" s="645"/>
      <c r="AI93" s="350"/>
      <c r="AJ93" s="351"/>
      <c r="AK93" s="567"/>
      <c r="AL93" s="350"/>
      <c r="AM93" s="351"/>
      <c r="AN93" s="58"/>
      <c r="AO93" s="59"/>
      <c r="AP93" s="58"/>
      <c r="AQ93" s="59"/>
      <c r="AR93" s="58"/>
      <c r="AS93" s="59"/>
      <c r="AT93" s="58"/>
      <c r="AU93" s="59"/>
      <c r="AV93" s="58"/>
      <c r="AW93" s="59"/>
      <c r="AX93" s="58"/>
      <c r="AY93" s="59"/>
      <c r="AZ93" s="64"/>
      <c r="BA93" s="61"/>
      <c r="BB93" s="64"/>
      <c r="BC93" s="61"/>
      <c r="BD93" s="64"/>
      <c r="BE93" s="61"/>
      <c r="BF93" s="64"/>
      <c r="BG93" s="61"/>
      <c r="BH93" s="64"/>
      <c r="BI93" s="646" t="s">
        <v>298</v>
      </c>
      <c r="BJ93" s="350"/>
      <c r="BK93" s="350"/>
      <c r="BL93" s="350"/>
      <c r="BM93" s="350"/>
      <c r="BN93" s="350"/>
      <c r="BO93" s="350"/>
      <c r="BP93" s="350"/>
      <c r="BQ93" s="350"/>
      <c r="BR93" s="350"/>
      <c r="BS93" s="350"/>
      <c r="BT93" s="350"/>
      <c r="BU93" s="350"/>
      <c r="BV93" s="351"/>
    </row>
    <row r="94" spans="1:74" ht="30" customHeight="1">
      <c r="A94" s="63">
        <f t="shared" si="0"/>
        <v>80</v>
      </c>
      <c r="B94" s="56" t="s">
        <v>325</v>
      </c>
      <c r="C94" s="57"/>
      <c r="D94" s="644"/>
      <c r="E94" s="350"/>
      <c r="F94" s="350"/>
      <c r="G94" s="350"/>
      <c r="H94" s="350"/>
      <c r="I94" s="350"/>
      <c r="J94" s="350"/>
      <c r="K94" s="351"/>
      <c r="L94" s="643"/>
      <c r="M94" s="350"/>
      <c r="N94" s="350"/>
      <c r="O94" s="351"/>
      <c r="P94" s="644"/>
      <c r="Q94" s="350"/>
      <c r="R94" s="350"/>
      <c r="S94" s="351"/>
      <c r="T94" s="643"/>
      <c r="U94" s="350"/>
      <c r="V94" s="350"/>
      <c r="W94" s="351"/>
      <c r="X94" s="644"/>
      <c r="Y94" s="350"/>
      <c r="Z94" s="350"/>
      <c r="AA94" s="351"/>
      <c r="AB94" s="506"/>
      <c r="AC94" s="350"/>
      <c r="AD94" s="351"/>
      <c r="AE94" s="571"/>
      <c r="AF94" s="350"/>
      <c r="AG94" s="351"/>
      <c r="AH94" s="645"/>
      <c r="AI94" s="350"/>
      <c r="AJ94" s="351"/>
      <c r="AK94" s="567"/>
      <c r="AL94" s="350"/>
      <c r="AM94" s="351"/>
      <c r="AN94" s="58"/>
      <c r="AO94" s="59"/>
      <c r="AP94" s="58"/>
      <c r="AQ94" s="59"/>
      <c r="AR94" s="58"/>
      <c r="AS94" s="59"/>
      <c r="AT94" s="58"/>
      <c r="AU94" s="59"/>
      <c r="AV94" s="58"/>
      <c r="AW94" s="59"/>
      <c r="AX94" s="58"/>
      <c r="AY94" s="59"/>
      <c r="AZ94" s="64"/>
      <c r="BA94" s="61"/>
      <c r="BB94" s="64"/>
      <c r="BC94" s="61"/>
      <c r="BD94" s="64"/>
      <c r="BE94" s="61"/>
      <c r="BF94" s="64"/>
      <c r="BG94" s="61"/>
      <c r="BH94" s="64"/>
      <c r="BI94" s="646" t="s">
        <v>298</v>
      </c>
      <c r="BJ94" s="350"/>
      <c r="BK94" s="350"/>
      <c r="BL94" s="350"/>
      <c r="BM94" s="350"/>
      <c r="BN94" s="350"/>
      <c r="BO94" s="350"/>
      <c r="BP94" s="350"/>
      <c r="BQ94" s="350"/>
      <c r="BR94" s="350"/>
      <c r="BS94" s="350"/>
      <c r="BT94" s="350"/>
      <c r="BU94" s="350"/>
      <c r="BV94" s="351"/>
    </row>
    <row r="95" spans="1:74" ht="30" customHeight="1">
      <c r="A95" s="63">
        <f t="shared" si="0"/>
        <v>81</v>
      </c>
      <c r="B95" s="56" t="s">
        <v>325</v>
      </c>
      <c r="C95" s="57"/>
      <c r="D95" s="644"/>
      <c r="E95" s="350"/>
      <c r="F95" s="350"/>
      <c r="G95" s="350"/>
      <c r="H95" s="350"/>
      <c r="I95" s="350"/>
      <c r="J95" s="350"/>
      <c r="K95" s="351"/>
      <c r="L95" s="643"/>
      <c r="M95" s="350"/>
      <c r="N95" s="350"/>
      <c r="O95" s="351"/>
      <c r="P95" s="644"/>
      <c r="Q95" s="350"/>
      <c r="R95" s="350"/>
      <c r="S95" s="351"/>
      <c r="T95" s="643"/>
      <c r="U95" s="350"/>
      <c r="V95" s="350"/>
      <c r="W95" s="351"/>
      <c r="X95" s="644"/>
      <c r="Y95" s="350"/>
      <c r="Z95" s="350"/>
      <c r="AA95" s="351"/>
      <c r="AB95" s="506"/>
      <c r="AC95" s="350"/>
      <c r="AD95" s="351"/>
      <c r="AE95" s="571"/>
      <c r="AF95" s="350"/>
      <c r="AG95" s="351"/>
      <c r="AH95" s="645"/>
      <c r="AI95" s="350"/>
      <c r="AJ95" s="351"/>
      <c r="AK95" s="567"/>
      <c r="AL95" s="350"/>
      <c r="AM95" s="351"/>
      <c r="AN95" s="58"/>
      <c r="AO95" s="59"/>
      <c r="AP95" s="58"/>
      <c r="AQ95" s="59"/>
      <c r="AR95" s="58"/>
      <c r="AS95" s="59"/>
      <c r="AT95" s="58"/>
      <c r="AU95" s="59"/>
      <c r="AV95" s="58"/>
      <c r="AW95" s="59"/>
      <c r="AX95" s="58"/>
      <c r="AY95" s="59"/>
      <c r="AZ95" s="64"/>
      <c r="BA95" s="61"/>
      <c r="BB95" s="64"/>
      <c r="BC95" s="61"/>
      <c r="BD95" s="64"/>
      <c r="BE95" s="61"/>
      <c r="BF95" s="64"/>
      <c r="BG95" s="61"/>
      <c r="BH95" s="64"/>
      <c r="BI95" s="646" t="s">
        <v>298</v>
      </c>
      <c r="BJ95" s="350"/>
      <c r="BK95" s="350"/>
      <c r="BL95" s="350"/>
      <c r="BM95" s="350"/>
      <c r="BN95" s="350"/>
      <c r="BO95" s="350"/>
      <c r="BP95" s="350"/>
      <c r="BQ95" s="350"/>
      <c r="BR95" s="350"/>
      <c r="BS95" s="350"/>
      <c r="BT95" s="350"/>
      <c r="BU95" s="350"/>
      <c r="BV95" s="351"/>
    </row>
    <row r="96" spans="1:74" ht="30" customHeight="1">
      <c r="A96" s="63">
        <f t="shared" si="0"/>
        <v>82</v>
      </c>
      <c r="B96" s="56" t="s">
        <v>325</v>
      </c>
      <c r="C96" s="57"/>
      <c r="D96" s="644"/>
      <c r="E96" s="350"/>
      <c r="F96" s="350"/>
      <c r="G96" s="350"/>
      <c r="H96" s="350"/>
      <c r="I96" s="350"/>
      <c r="J96" s="350"/>
      <c r="K96" s="351"/>
      <c r="L96" s="643"/>
      <c r="M96" s="350"/>
      <c r="N96" s="350"/>
      <c r="O96" s="351"/>
      <c r="P96" s="644"/>
      <c r="Q96" s="350"/>
      <c r="R96" s="350"/>
      <c r="S96" s="351"/>
      <c r="T96" s="643"/>
      <c r="U96" s="350"/>
      <c r="V96" s="350"/>
      <c r="W96" s="351"/>
      <c r="X96" s="644"/>
      <c r="Y96" s="350"/>
      <c r="Z96" s="350"/>
      <c r="AA96" s="351"/>
      <c r="AB96" s="506"/>
      <c r="AC96" s="350"/>
      <c r="AD96" s="351"/>
      <c r="AE96" s="571"/>
      <c r="AF96" s="350"/>
      <c r="AG96" s="351"/>
      <c r="AH96" s="645"/>
      <c r="AI96" s="350"/>
      <c r="AJ96" s="351"/>
      <c r="AK96" s="567"/>
      <c r="AL96" s="350"/>
      <c r="AM96" s="351"/>
      <c r="AN96" s="58"/>
      <c r="AO96" s="59"/>
      <c r="AP96" s="58"/>
      <c r="AQ96" s="59"/>
      <c r="AR96" s="58"/>
      <c r="AS96" s="59"/>
      <c r="AT96" s="58"/>
      <c r="AU96" s="59"/>
      <c r="AV96" s="58"/>
      <c r="AW96" s="59"/>
      <c r="AX96" s="58"/>
      <c r="AY96" s="59"/>
      <c r="AZ96" s="64"/>
      <c r="BA96" s="61"/>
      <c r="BB96" s="64"/>
      <c r="BC96" s="61"/>
      <c r="BD96" s="64"/>
      <c r="BE96" s="61"/>
      <c r="BF96" s="64"/>
      <c r="BG96" s="61"/>
      <c r="BH96" s="64"/>
      <c r="BI96" s="646" t="s">
        <v>298</v>
      </c>
      <c r="BJ96" s="350"/>
      <c r="BK96" s="350"/>
      <c r="BL96" s="350"/>
      <c r="BM96" s="350"/>
      <c r="BN96" s="350"/>
      <c r="BO96" s="350"/>
      <c r="BP96" s="350"/>
      <c r="BQ96" s="350"/>
      <c r="BR96" s="350"/>
      <c r="BS96" s="350"/>
      <c r="BT96" s="350"/>
      <c r="BU96" s="350"/>
      <c r="BV96" s="351"/>
    </row>
    <row r="97" spans="1:74" ht="30" customHeight="1">
      <c r="A97" s="63">
        <f t="shared" si="0"/>
        <v>83</v>
      </c>
      <c r="B97" s="56" t="s">
        <v>325</v>
      </c>
      <c r="C97" s="57"/>
      <c r="D97" s="644"/>
      <c r="E97" s="350"/>
      <c r="F97" s="350"/>
      <c r="G97" s="350"/>
      <c r="H97" s="350"/>
      <c r="I97" s="350"/>
      <c r="J97" s="350"/>
      <c r="K97" s="351"/>
      <c r="L97" s="643"/>
      <c r="M97" s="350"/>
      <c r="N97" s="350"/>
      <c r="O97" s="351"/>
      <c r="P97" s="644"/>
      <c r="Q97" s="350"/>
      <c r="R97" s="350"/>
      <c r="S97" s="351"/>
      <c r="T97" s="643"/>
      <c r="U97" s="350"/>
      <c r="V97" s="350"/>
      <c r="W97" s="351"/>
      <c r="X97" s="644"/>
      <c r="Y97" s="350"/>
      <c r="Z97" s="350"/>
      <c r="AA97" s="351"/>
      <c r="AB97" s="506"/>
      <c r="AC97" s="350"/>
      <c r="AD97" s="351"/>
      <c r="AE97" s="571"/>
      <c r="AF97" s="350"/>
      <c r="AG97" s="351"/>
      <c r="AH97" s="645"/>
      <c r="AI97" s="350"/>
      <c r="AJ97" s="351"/>
      <c r="AK97" s="567"/>
      <c r="AL97" s="350"/>
      <c r="AM97" s="351"/>
      <c r="AN97" s="58"/>
      <c r="AO97" s="59"/>
      <c r="AP97" s="58"/>
      <c r="AQ97" s="59"/>
      <c r="AR97" s="58"/>
      <c r="AS97" s="59"/>
      <c r="AT97" s="58"/>
      <c r="AU97" s="59"/>
      <c r="AV97" s="58"/>
      <c r="AW97" s="59"/>
      <c r="AX97" s="58"/>
      <c r="AY97" s="59"/>
      <c r="AZ97" s="64"/>
      <c r="BA97" s="61"/>
      <c r="BB97" s="64"/>
      <c r="BC97" s="61"/>
      <c r="BD97" s="64"/>
      <c r="BE97" s="61"/>
      <c r="BF97" s="64"/>
      <c r="BG97" s="61"/>
      <c r="BH97" s="64"/>
      <c r="BI97" s="646" t="s">
        <v>294</v>
      </c>
      <c r="BJ97" s="350"/>
      <c r="BK97" s="350"/>
      <c r="BL97" s="350"/>
      <c r="BM97" s="350"/>
      <c r="BN97" s="350"/>
      <c r="BO97" s="350"/>
      <c r="BP97" s="350"/>
      <c r="BQ97" s="350"/>
      <c r="BR97" s="350"/>
      <c r="BS97" s="350"/>
      <c r="BT97" s="350"/>
      <c r="BU97" s="350"/>
      <c r="BV97" s="351"/>
    </row>
    <row r="98" spans="1:74" ht="30" customHeight="1">
      <c r="A98" s="63">
        <f t="shared" si="0"/>
        <v>84</v>
      </c>
      <c r="B98" s="56" t="s">
        <v>325</v>
      </c>
      <c r="C98" s="57"/>
      <c r="D98" s="644"/>
      <c r="E98" s="350"/>
      <c r="F98" s="350"/>
      <c r="G98" s="350"/>
      <c r="H98" s="350"/>
      <c r="I98" s="350"/>
      <c r="J98" s="350"/>
      <c r="K98" s="351"/>
      <c r="L98" s="345" t="s">
        <v>1081</v>
      </c>
      <c r="M98" s="346" t="s">
        <v>1082</v>
      </c>
      <c r="N98" s="346" t="s">
        <v>1083</v>
      </c>
      <c r="O98" s="346" t="s">
        <v>1084</v>
      </c>
      <c r="P98" s="644"/>
      <c r="Q98" s="350"/>
      <c r="R98" s="350"/>
      <c r="S98" s="351"/>
      <c r="T98" s="643"/>
      <c r="U98" s="350"/>
      <c r="V98" s="350"/>
      <c r="W98" s="351"/>
      <c r="X98" s="644"/>
      <c r="Y98" s="350"/>
      <c r="Z98" s="350"/>
      <c r="AA98" s="351"/>
      <c r="AB98" s="506"/>
      <c r="AC98" s="350"/>
      <c r="AD98" s="351"/>
      <c r="AE98" s="571"/>
      <c r="AF98" s="350"/>
      <c r="AG98" s="351"/>
      <c r="AH98" s="645"/>
      <c r="AI98" s="350"/>
      <c r="AJ98" s="351"/>
      <c r="AK98" s="567"/>
      <c r="AL98" s="350"/>
      <c r="AM98" s="351"/>
      <c r="AN98" s="58"/>
      <c r="AO98" s="59"/>
      <c r="AP98" s="58"/>
      <c r="AQ98" s="59"/>
      <c r="AR98" s="58"/>
      <c r="AS98" s="59"/>
      <c r="AT98" s="58"/>
      <c r="AU98" s="59"/>
      <c r="AV98" s="58"/>
      <c r="AW98" s="59"/>
      <c r="AX98" s="58"/>
      <c r="AY98" s="59"/>
      <c r="AZ98" s="64"/>
      <c r="BA98" s="61"/>
      <c r="BB98" s="64"/>
      <c r="BC98" s="61"/>
      <c r="BD98" s="64"/>
      <c r="BE98" s="61"/>
      <c r="BF98" s="64"/>
      <c r="BG98" s="61"/>
      <c r="BH98" s="64"/>
      <c r="BI98" s="646" t="s">
        <v>294</v>
      </c>
      <c r="BJ98" s="350"/>
      <c r="BK98" s="350"/>
      <c r="BL98" s="350"/>
      <c r="BM98" s="350"/>
      <c r="BN98" s="350"/>
      <c r="BO98" s="350"/>
      <c r="BP98" s="350"/>
      <c r="BQ98" s="350"/>
      <c r="BR98" s="350"/>
      <c r="BS98" s="350"/>
      <c r="BT98" s="350"/>
      <c r="BU98" s="350"/>
      <c r="BV98" s="351"/>
    </row>
    <row r="99" spans="1:74" ht="30" customHeight="1">
      <c r="A99" s="55">
        <f t="shared" si="0"/>
        <v>85</v>
      </c>
      <c r="B99" s="56" t="s">
        <v>325</v>
      </c>
      <c r="C99" s="57"/>
      <c r="D99" s="644"/>
      <c r="E99" s="350"/>
      <c r="F99" s="350"/>
      <c r="G99" s="350"/>
      <c r="H99" s="350"/>
      <c r="I99" s="350"/>
      <c r="J99" s="350"/>
      <c r="K99" s="351"/>
      <c r="L99" s="344"/>
      <c r="M99" s="336"/>
      <c r="N99" s="336"/>
      <c r="O99" s="343"/>
      <c r="P99" s="644"/>
      <c r="Q99" s="350"/>
      <c r="R99" s="350"/>
      <c r="S99" s="351"/>
      <c r="T99" s="643"/>
      <c r="U99" s="350"/>
      <c r="V99" s="350"/>
      <c r="W99" s="351"/>
      <c r="X99" s="644"/>
      <c r="Y99" s="350"/>
      <c r="Z99" s="350"/>
      <c r="AA99" s="351"/>
      <c r="AB99" s="506"/>
      <c r="AC99" s="350"/>
      <c r="AD99" s="351"/>
      <c r="AE99" s="571"/>
      <c r="AF99" s="350"/>
      <c r="AG99" s="351"/>
      <c r="AH99" s="645"/>
      <c r="AI99" s="350"/>
      <c r="AJ99" s="351"/>
      <c r="AK99" s="567"/>
      <c r="AL99" s="350"/>
      <c r="AM99" s="351"/>
      <c r="AN99" s="58"/>
      <c r="AO99" s="59"/>
      <c r="AP99" s="58"/>
      <c r="AQ99" s="59"/>
      <c r="AR99" s="58"/>
      <c r="AS99" s="59"/>
      <c r="AT99" s="58"/>
      <c r="AU99" s="59"/>
      <c r="AV99" s="58"/>
      <c r="AW99" s="59"/>
      <c r="AX99" s="58"/>
      <c r="AY99" s="59"/>
      <c r="AZ99" s="64"/>
      <c r="BA99" s="61"/>
      <c r="BB99" s="64"/>
      <c r="BC99" s="61"/>
      <c r="BD99" s="64"/>
      <c r="BE99" s="61"/>
      <c r="BF99" s="64"/>
      <c r="BG99" s="61"/>
      <c r="BH99" s="64"/>
      <c r="BI99" s="646" t="s">
        <v>298</v>
      </c>
      <c r="BJ99" s="350"/>
      <c r="BK99" s="350"/>
      <c r="BL99" s="350"/>
      <c r="BM99" s="350"/>
      <c r="BN99" s="350"/>
      <c r="BO99" s="350"/>
      <c r="BP99" s="350"/>
      <c r="BQ99" s="350"/>
      <c r="BR99" s="350"/>
      <c r="BS99" s="350"/>
      <c r="BT99" s="350"/>
      <c r="BU99" s="350"/>
      <c r="BV99" s="351"/>
    </row>
    <row r="100" spans="1:74" ht="30" customHeight="1">
      <c r="A100" s="63">
        <f t="shared" si="0"/>
        <v>86</v>
      </c>
      <c r="B100" s="56" t="s">
        <v>325</v>
      </c>
      <c r="C100" s="57"/>
      <c r="D100" s="644"/>
      <c r="E100" s="350"/>
      <c r="F100" s="350"/>
      <c r="G100" s="350"/>
      <c r="H100" s="350"/>
      <c r="I100" s="350"/>
      <c r="J100" s="350"/>
      <c r="K100" s="351"/>
      <c r="L100" s="344"/>
      <c r="M100" s="336"/>
      <c r="N100" s="336"/>
      <c r="O100" s="343"/>
      <c r="P100" s="644"/>
      <c r="Q100" s="350"/>
      <c r="R100" s="350"/>
      <c r="S100" s="351"/>
      <c r="T100" s="643"/>
      <c r="U100" s="350"/>
      <c r="V100" s="350"/>
      <c r="W100" s="351"/>
      <c r="X100" s="644"/>
      <c r="Y100" s="350"/>
      <c r="Z100" s="350"/>
      <c r="AA100" s="351"/>
      <c r="AB100" s="506"/>
      <c r="AC100" s="350"/>
      <c r="AD100" s="351"/>
      <c r="AE100" s="571"/>
      <c r="AF100" s="350"/>
      <c r="AG100" s="351"/>
      <c r="AH100" s="645"/>
      <c r="AI100" s="350"/>
      <c r="AJ100" s="351"/>
      <c r="AK100" s="567"/>
      <c r="AL100" s="350"/>
      <c r="AM100" s="351"/>
      <c r="AN100" s="58"/>
      <c r="AO100" s="59"/>
      <c r="AP100" s="58"/>
      <c r="AQ100" s="59"/>
      <c r="AR100" s="58"/>
      <c r="AS100" s="59"/>
      <c r="AT100" s="58"/>
      <c r="AU100" s="59"/>
      <c r="AV100" s="58"/>
      <c r="AW100" s="59"/>
      <c r="AX100" s="58"/>
      <c r="AY100" s="59"/>
      <c r="AZ100" s="64"/>
      <c r="BA100" s="61"/>
      <c r="BB100" s="64"/>
      <c r="BC100" s="61"/>
      <c r="BD100" s="64"/>
      <c r="BE100" s="61"/>
      <c r="BF100" s="64"/>
      <c r="BG100" s="61"/>
      <c r="BH100" s="64"/>
      <c r="BI100" s="646" t="s">
        <v>298</v>
      </c>
      <c r="BJ100" s="350"/>
      <c r="BK100" s="350"/>
      <c r="BL100" s="350"/>
      <c r="BM100" s="350"/>
      <c r="BN100" s="350"/>
      <c r="BO100" s="350"/>
      <c r="BP100" s="350"/>
      <c r="BQ100" s="350"/>
      <c r="BR100" s="350"/>
      <c r="BS100" s="350"/>
      <c r="BT100" s="350"/>
      <c r="BU100" s="350"/>
      <c r="BV100" s="351"/>
    </row>
    <row r="101" spans="1:74" ht="30" customHeight="1">
      <c r="A101" s="63">
        <f t="shared" si="0"/>
        <v>87</v>
      </c>
      <c r="B101" s="56" t="s">
        <v>325</v>
      </c>
      <c r="C101" s="57"/>
      <c r="D101" s="644"/>
      <c r="E101" s="350"/>
      <c r="F101" s="350"/>
      <c r="G101" s="350"/>
      <c r="H101" s="350"/>
      <c r="I101" s="350"/>
      <c r="J101" s="350"/>
      <c r="K101" s="351"/>
      <c r="L101" s="344"/>
      <c r="M101" s="336"/>
      <c r="N101" s="336"/>
      <c r="O101" s="343"/>
      <c r="P101" s="644"/>
      <c r="Q101" s="350"/>
      <c r="R101" s="350"/>
      <c r="S101" s="351"/>
      <c r="T101" s="643"/>
      <c r="U101" s="350"/>
      <c r="V101" s="350"/>
      <c r="W101" s="351"/>
      <c r="X101" s="644"/>
      <c r="Y101" s="350"/>
      <c r="Z101" s="350"/>
      <c r="AA101" s="351"/>
      <c r="AB101" s="506"/>
      <c r="AC101" s="350"/>
      <c r="AD101" s="351"/>
      <c r="AE101" s="571"/>
      <c r="AF101" s="350"/>
      <c r="AG101" s="351"/>
      <c r="AH101" s="645"/>
      <c r="AI101" s="350"/>
      <c r="AJ101" s="351"/>
      <c r="AK101" s="567"/>
      <c r="AL101" s="350"/>
      <c r="AM101" s="351"/>
      <c r="AN101" s="58"/>
      <c r="AO101" s="59"/>
      <c r="AP101" s="58"/>
      <c r="AQ101" s="59"/>
      <c r="AR101" s="58"/>
      <c r="AS101" s="59"/>
      <c r="AT101" s="58"/>
      <c r="AU101" s="59"/>
      <c r="AV101" s="58"/>
      <c r="AW101" s="59"/>
      <c r="AX101" s="58"/>
      <c r="AY101" s="59"/>
      <c r="AZ101" s="64"/>
      <c r="BA101" s="61"/>
      <c r="BB101" s="64"/>
      <c r="BC101" s="61"/>
      <c r="BD101" s="64"/>
      <c r="BE101" s="61"/>
      <c r="BF101" s="64"/>
      <c r="BG101" s="61"/>
      <c r="BH101" s="64"/>
      <c r="BI101" s="646" t="s">
        <v>298</v>
      </c>
      <c r="BJ101" s="350"/>
      <c r="BK101" s="350"/>
      <c r="BL101" s="350"/>
      <c r="BM101" s="350"/>
      <c r="BN101" s="350"/>
      <c r="BO101" s="350"/>
      <c r="BP101" s="350"/>
      <c r="BQ101" s="350"/>
      <c r="BR101" s="350"/>
      <c r="BS101" s="350"/>
      <c r="BT101" s="350"/>
      <c r="BU101" s="350"/>
      <c r="BV101" s="351"/>
    </row>
    <row r="102" spans="1:74" ht="30" customHeight="1">
      <c r="A102" s="63">
        <f t="shared" si="0"/>
        <v>88</v>
      </c>
      <c r="B102" s="56" t="s">
        <v>325</v>
      </c>
      <c r="C102" s="57"/>
      <c r="D102" s="644"/>
      <c r="E102" s="350"/>
      <c r="F102" s="350"/>
      <c r="G102" s="350"/>
      <c r="H102" s="350"/>
      <c r="I102" s="350"/>
      <c r="J102" s="350"/>
      <c r="K102" s="351"/>
      <c r="L102" s="344"/>
      <c r="M102" s="336"/>
      <c r="N102" s="336"/>
      <c r="O102" s="343"/>
      <c r="P102" s="644"/>
      <c r="Q102" s="350"/>
      <c r="R102" s="350"/>
      <c r="S102" s="351"/>
      <c r="T102" s="643"/>
      <c r="U102" s="350"/>
      <c r="V102" s="350"/>
      <c r="W102" s="351"/>
      <c r="X102" s="644"/>
      <c r="Y102" s="350"/>
      <c r="Z102" s="350"/>
      <c r="AA102" s="351"/>
      <c r="AB102" s="506"/>
      <c r="AC102" s="350"/>
      <c r="AD102" s="351"/>
      <c r="AE102" s="571"/>
      <c r="AF102" s="350"/>
      <c r="AG102" s="351"/>
      <c r="AH102" s="645"/>
      <c r="AI102" s="350"/>
      <c r="AJ102" s="351"/>
      <c r="AK102" s="567"/>
      <c r="AL102" s="350"/>
      <c r="AM102" s="351"/>
      <c r="AN102" s="58"/>
      <c r="AO102" s="59"/>
      <c r="AP102" s="58"/>
      <c r="AQ102" s="59"/>
      <c r="AR102" s="58"/>
      <c r="AS102" s="59"/>
      <c r="AT102" s="58"/>
      <c r="AU102" s="59"/>
      <c r="AV102" s="58"/>
      <c r="AW102" s="59"/>
      <c r="AX102" s="58"/>
      <c r="AY102" s="59"/>
      <c r="AZ102" s="64"/>
      <c r="BA102" s="61"/>
      <c r="BB102" s="64"/>
      <c r="BC102" s="61"/>
      <c r="BD102" s="64"/>
      <c r="BE102" s="61"/>
      <c r="BF102" s="64"/>
      <c r="BG102" s="61"/>
      <c r="BH102" s="64"/>
      <c r="BI102" s="646" t="s">
        <v>298</v>
      </c>
      <c r="BJ102" s="350"/>
      <c r="BK102" s="350"/>
      <c r="BL102" s="350"/>
      <c r="BM102" s="350"/>
      <c r="BN102" s="350"/>
      <c r="BO102" s="350"/>
      <c r="BP102" s="350"/>
      <c r="BQ102" s="350"/>
      <c r="BR102" s="350"/>
      <c r="BS102" s="350"/>
      <c r="BT102" s="350"/>
      <c r="BU102" s="350"/>
      <c r="BV102" s="351"/>
    </row>
    <row r="103" spans="1:74" ht="30" customHeight="1">
      <c r="A103" s="63">
        <f t="shared" si="0"/>
        <v>89</v>
      </c>
      <c r="B103" s="56" t="s">
        <v>325</v>
      </c>
      <c r="C103" s="57"/>
      <c r="D103" s="644"/>
      <c r="E103" s="350"/>
      <c r="F103" s="350"/>
      <c r="G103" s="350"/>
      <c r="H103" s="350"/>
      <c r="I103" s="350"/>
      <c r="J103" s="350"/>
      <c r="K103" s="351"/>
      <c r="L103" s="344"/>
      <c r="M103" s="336"/>
      <c r="N103" s="336"/>
      <c r="O103" s="343"/>
      <c r="P103" s="644"/>
      <c r="Q103" s="350"/>
      <c r="R103" s="350"/>
      <c r="S103" s="351"/>
      <c r="T103" s="643"/>
      <c r="U103" s="350"/>
      <c r="V103" s="350"/>
      <c r="W103" s="351"/>
      <c r="X103" s="644"/>
      <c r="Y103" s="350"/>
      <c r="Z103" s="350"/>
      <c r="AA103" s="351"/>
      <c r="AB103" s="506"/>
      <c r="AC103" s="350"/>
      <c r="AD103" s="351"/>
      <c r="AE103" s="571"/>
      <c r="AF103" s="350"/>
      <c r="AG103" s="351"/>
      <c r="AH103" s="645"/>
      <c r="AI103" s="350"/>
      <c r="AJ103" s="351"/>
      <c r="AK103" s="567"/>
      <c r="AL103" s="350"/>
      <c r="AM103" s="351"/>
      <c r="AN103" s="58"/>
      <c r="AO103" s="59"/>
      <c r="AP103" s="58"/>
      <c r="AQ103" s="59"/>
      <c r="AR103" s="58"/>
      <c r="AS103" s="59"/>
      <c r="AT103" s="58"/>
      <c r="AU103" s="59"/>
      <c r="AV103" s="58"/>
      <c r="AW103" s="59"/>
      <c r="AX103" s="58"/>
      <c r="AY103" s="59"/>
      <c r="AZ103" s="64"/>
      <c r="BA103" s="61"/>
      <c r="BB103" s="64"/>
      <c r="BC103" s="61"/>
      <c r="BD103" s="64"/>
      <c r="BE103" s="61"/>
      <c r="BF103" s="64"/>
      <c r="BG103" s="61"/>
      <c r="BH103" s="64"/>
      <c r="BI103" s="646" t="s">
        <v>298</v>
      </c>
      <c r="BJ103" s="350"/>
      <c r="BK103" s="350"/>
      <c r="BL103" s="350"/>
      <c r="BM103" s="350"/>
      <c r="BN103" s="350"/>
      <c r="BO103" s="350"/>
      <c r="BP103" s="350"/>
      <c r="BQ103" s="350"/>
      <c r="BR103" s="350"/>
      <c r="BS103" s="350"/>
      <c r="BT103" s="350"/>
      <c r="BU103" s="350"/>
      <c r="BV103" s="351"/>
    </row>
    <row r="104" spans="1:74" ht="30" customHeight="1">
      <c r="A104" s="63">
        <f t="shared" si="0"/>
        <v>90</v>
      </c>
      <c r="B104" s="56" t="s">
        <v>325</v>
      </c>
      <c r="C104" s="57"/>
      <c r="D104" s="644"/>
      <c r="E104" s="350"/>
      <c r="F104" s="350"/>
      <c r="G104" s="350"/>
      <c r="H104" s="350"/>
      <c r="I104" s="350"/>
      <c r="J104" s="350"/>
      <c r="K104" s="351"/>
      <c r="L104" s="344"/>
      <c r="M104" s="336"/>
      <c r="N104" s="336"/>
      <c r="O104" s="343"/>
      <c r="P104" s="644"/>
      <c r="Q104" s="350"/>
      <c r="R104" s="350"/>
      <c r="S104" s="351"/>
      <c r="T104" s="643"/>
      <c r="U104" s="350"/>
      <c r="V104" s="350"/>
      <c r="W104" s="351"/>
      <c r="X104" s="644"/>
      <c r="Y104" s="350"/>
      <c r="Z104" s="350"/>
      <c r="AA104" s="351"/>
      <c r="AB104" s="506"/>
      <c r="AC104" s="350"/>
      <c r="AD104" s="351"/>
      <c r="AE104" s="571"/>
      <c r="AF104" s="350"/>
      <c r="AG104" s="351"/>
      <c r="AH104" s="645"/>
      <c r="AI104" s="350"/>
      <c r="AJ104" s="351"/>
      <c r="AK104" s="567"/>
      <c r="AL104" s="350"/>
      <c r="AM104" s="351"/>
      <c r="AN104" s="58"/>
      <c r="AO104" s="59"/>
      <c r="AP104" s="58"/>
      <c r="AQ104" s="59"/>
      <c r="AR104" s="58"/>
      <c r="AS104" s="59"/>
      <c r="AT104" s="58"/>
      <c r="AU104" s="59"/>
      <c r="AV104" s="58"/>
      <c r="AW104" s="59"/>
      <c r="AX104" s="58"/>
      <c r="AY104" s="59"/>
      <c r="AZ104" s="64"/>
      <c r="BA104" s="61"/>
      <c r="BB104" s="64"/>
      <c r="BC104" s="61"/>
      <c r="BD104" s="64"/>
      <c r="BE104" s="61"/>
      <c r="BF104" s="64"/>
      <c r="BG104" s="61"/>
      <c r="BH104" s="64"/>
      <c r="BI104" s="646" t="s">
        <v>294</v>
      </c>
      <c r="BJ104" s="350"/>
      <c r="BK104" s="350"/>
      <c r="BL104" s="350"/>
      <c r="BM104" s="350"/>
      <c r="BN104" s="350"/>
      <c r="BO104" s="350"/>
      <c r="BP104" s="350"/>
      <c r="BQ104" s="350"/>
      <c r="BR104" s="350"/>
      <c r="BS104" s="350"/>
      <c r="BT104" s="350"/>
      <c r="BU104" s="350"/>
      <c r="BV104" s="351"/>
    </row>
    <row r="105" spans="1:74" ht="30" customHeight="1">
      <c r="A105" s="63">
        <f t="shared" si="0"/>
        <v>91</v>
      </c>
      <c r="B105" s="56" t="s">
        <v>325</v>
      </c>
      <c r="C105" s="57"/>
      <c r="D105" s="644"/>
      <c r="E105" s="350"/>
      <c r="F105" s="350"/>
      <c r="G105" s="350"/>
      <c r="H105" s="350"/>
      <c r="I105" s="350"/>
      <c r="J105" s="350"/>
      <c r="K105" s="351"/>
      <c r="L105" s="344"/>
      <c r="M105" s="336"/>
      <c r="N105" s="336"/>
      <c r="O105" s="343"/>
      <c r="P105" s="644"/>
      <c r="Q105" s="350"/>
      <c r="R105" s="350"/>
      <c r="S105" s="351"/>
      <c r="T105" s="643"/>
      <c r="U105" s="350"/>
      <c r="V105" s="350"/>
      <c r="W105" s="351"/>
      <c r="X105" s="644"/>
      <c r="Y105" s="350"/>
      <c r="Z105" s="350"/>
      <c r="AA105" s="351"/>
      <c r="AB105" s="506"/>
      <c r="AC105" s="350"/>
      <c r="AD105" s="351"/>
      <c r="AE105" s="571"/>
      <c r="AF105" s="350"/>
      <c r="AG105" s="351"/>
      <c r="AH105" s="645"/>
      <c r="AI105" s="350"/>
      <c r="AJ105" s="351"/>
      <c r="AK105" s="567"/>
      <c r="AL105" s="350"/>
      <c r="AM105" s="351"/>
      <c r="AN105" s="58"/>
      <c r="AO105" s="59"/>
      <c r="AP105" s="58"/>
      <c r="AQ105" s="59"/>
      <c r="AR105" s="58"/>
      <c r="AS105" s="59"/>
      <c r="AT105" s="58"/>
      <c r="AU105" s="59"/>
      <c r="AV105" s="58"/>
      <c r="AW105" s="59"/>
      <c r="AX105" s="58"/>
      <c r="AY105" s="59"/>
      <c r="AZ105" s="64"/>
      <c r="BA105" s="61"/>
      <c r="BB105" s="64"/>
      <c r="BC105" s="61"/>
      <c r="BD105" s="64"/>
      <c r="BE105" s="61"/>
      <c r="BF105" s="64"/>
      <c r="BG105" s="61"/>
      <c r="BH105" s="64"/>
      <c r="BI105" s="646" t="s">
        <v>294</v>
      </c>
      <c r="BJ105" s="350"/>
      <c r="BK105" s="350"/>
      <c r="BL105" s="350"/>
      <c r="BM105" s="350"/>
      <c r="BN105" s="350"/>
      <c r="BO105" s="350"/>
      <c r="BP105" s="350"/>
      <c r="BQ105" s="350"/>
      <c r="BR105" s="350"/>
      <c r="BS105" s="350"/>
      <c r="BT105" s="350"/>
      <c r="BU105" s="350"/>
      <c r="BV105" s="351"/>
    </row>
    <row r="106" spans="1:74" ht="30" customHeight="1">
      <c r="A106" s="55">
        <f t="shared" si="0"/>
        <v>92</v>
      </c>
      <c r="B106" s="56" t="s">
        <v>325</v>
      </c>
      <c r="C106" s="57"/>
      <c r="D106" s="644"/>
      <c r="E106" s="350"/>
      <c r="F106" s="350"/>
      <c r="G106" s="350"/>
      <c r="H106" s="350"/>
      <c r="I106" s="350"/>
      <c r="J106" s="350"/>
      <c r="K106" s="351"/>
      <c r="L106" s="344"/>
      <c r="M106" s="336"/>
      <c r="N106" s="336"/>
      <c r="O106" s="343"/>
      <c r="P106" s="644"/>
      <c r="Q106" s="350"/>
      <c r="R106" s="350"/>
      <c r="S106" s="351"/>
      <c r="T106" s="643"/>
      <c r="U106" s="350"/>
      <c r="V106" s="350"/>
      <c r="W106" s="351"/>
      <c r="X106" s="644"/>
      <c r="Y106" s="350"/>
      <c r="Z106" s="350"/>
      <c r="AA106" s="351"/>
      <c r="AB106" s="506"/>
      <c r="AC106" s="350"/>
      <c r="AD106" s="351"/>
      <c r="AE106" s="571"/>
      <c r="AF106" s="350"/>
      <c r="AG106" s="351"/>
      <c r="AH106" s="645"/>
      <c r="AI106" s="350"/>
      <c r="AJ106" s="351"/>
      <c r="AK106" s="567"/>
      <c r="AL106" s="350"/>
      <c r="AM106" s="351"/>
      <c r="AN106" s="58"/>
      <c r="AO106" s="59"/>
      <c r="AP106" s="58"/>
      <c r="AQ106" s="59"/>
      <c r="AR106" s="58"/>
      <c r="AS106" s="59"/>
      <c r="AT106" s="58"/>
      <c r="AU106" s="59"/>
      <c r="AV106" s="58"/>
      <c r="AW106" s="59"/>
      <c r="AX106" s="58"/>
      <c r="AY106" s="59"/>
      <c r="AZ106" s="64"/>
      <c r="BA106" s="61"/>
      <c r="BB106" s="64"/>
      <c r="BC106" s="61"/>
      <c r="BD106" s="64"/>
      <c r="BE106" s="61"/>
      <c r="BF106" s="64"/>
      <c r="BG106" s="61"/>
      <c r="BH106" s="64"/>
      <c r="BI106" s="646" t="s">
        <v>298</v>
      </c>
      <c r="BJ106" s="350"/>
      <c r="BK106" s="350"/>
      <c r="BL106" s="350"/>
      <c r="BM106" s="350"/>
      <c r="BN106" s="350"/>
      <c r="BO106" s="350"/>
      <c r="BP106" s="350"/>
      <c r="BQ106" s="350"/>
      <c r="BR106" s="350"/>
      <c r="BS106" s="350"/>
      <c r="BT106" s="350"/>
      <c r="BU106" s="350"/>
      <c r="BV106" s="351"/>
    </row>
    <row r="107" spans="1:74" ht="30" customHeight="1">
      <c r="A107" s="63">
        <f t="shared" si="0"/>
        <v>93</v>
      </c>
      <c r="B107" s="56" t="s">
        <v>325</v>
      </c>
      <c r="C107" s="57"/>
      <c r="D107" s="644"/>
      <c r="E107" s="350"/>
      <c r="F107" s="350"/>
      <c r="G107" s="350"/>
      <c r="H107" s="350"/>
      <c r="I107" s="350"/>
      <c r="J107" s="350"/>
      <c r="K107" s="351"/>
      <c r="L107" s="344"/>
      <c r="M107" s="336"/>
      <c r="N107" s="336"/>
      <c r="O107" s="343"/>
      <c r="P107" s="644"/>
      <c r="Q107" s="350"/>
      <c r="R107" s="350"/>
      <c r="S107" s="351"/>
      <c r="T107" s="643"/>
      <c r="U107" s="350"/>
      <c r="V107" s="350"/>
      <c r="W107" s="351"/>
      <c r="X107" s="644"/>
      <c r="Y107" s="350"/>
      <c r="Z107" s="350"/>
      <c r="AA107" s="351"/>
      <c r="AB107" s="506"/>
      <c r="AC107" s="350"/>
      <c r="AD107" s="351"/>
      <c r="AE107" s="571"/>
      <c r="AF107" s="350"/>
      <c r="AG107" s="351"/>
      <c r="AH107" s="645"/>
      <c r="AI107" s="350"/>
      <c r="AJ107" s="351"/>
      <c r="AK107" s="567"/>
      <c r="AL107" s="350"/>
      <c r="AM107" s="351"/>
      <c r="AN107" s="58"/>
      <c r="AO107" s="59"/>
      <c r="AP107" s="58"/>
      <c r="AQ107" s="59"/>
      <c r="AR107" s="58"/>
      <c r="AS107" s="59"/>
      <c r="AT107" s="58"/>
      <c r="AU107" s="59"/>
      <c r="AV107" s="58"/>
      <c r="AW107" s="59"/>
      <c r="AX107" s="58"/>
      <c r="AY107" s="59"/>
      <c r="AZ107" s="64"/>
      <c r="BA107" s="61"/>
      <c r="BB107" s="64"/>
      <c r="BC107" s="61"/>
      <c r="BD107" s="64"/>
      <c r="BE107" s="61"/>
      <c r="BF107" s="64"/>
      <c r="BG107" s="61"/>
      <c r="BH107" s="64"/>
      <c r="BI107" s="646" t="s">
        <v>298</v>
      </c>
      <c r="BJ107" s="350"/>
      <c r="BK107" s="350"/>
      <c r="BL107" s="350"/>
      <c r="BM107" s="350"/>
      <c r="BN107" s="350"/>
      <c r="BO107" s="350"/>
      <c r="BP107" s="350"/>
      <c r="BQ107" s="350"/>
      <c r="BR107" s="350"/>
      <c r="BS107" s="350"/>
      <c r="BT107" s="350"/>
      <c r="BU107" s="350"/>
      <c r="BV107" s="351"/>
    </row>
    <row r="108" spans="1:74" ht="30" customHeight="1">
      <c r="A108" s="63">
        <f t="shared" si="0"/>
        <v>94</v>
      </c>
      <c r="B108" s="56" t="s">
        <v>325</v>
      </c>
      <c r="C108" s="57"/>
      <c r="D108" s="644"/>
      <c r="E108" s="350"/>
      <c r="F108" s="350"/>
      <c r="G108" s="350"/>
      <c r="H108" s="350"/>
      <c r="I108" s="350"/>
      <c r="J108" s="350"/>
      <c r="K108" s="351"/>
      <c r="L108" s="344"/>
      <c r="M108" s="336"/>
      <c r="N108" s="336"/>
      <c r="O108" s="343"/>
      <c r="P108" s="644"/>
      <c r="Q108" s="350"/>
      <c r="R108" s="350"/>
      <c r="S108" s="351"/>
      <c r="T108" s="643"/>
      <c r="U108" s="350"/>
      <c r="V108" s="350"/>
      <c r="W108" s="351"/>
      <c r="X108" s="644"/>
      <c r="Y108" s="350"/>
      <c r="Z108" s="350"/>
      <c r="AA108" s="351"/>
      <c r="AB108" s="506"/>
      <c r="AC108" s="350"/>
      <c r="AD108" s="351"/>
      <c r="AE108" s="571"/>
      <c r="AF108" s="350"/>
      <c r="AG108" s="351"/>
      <c r="AH108" s="645"/>
      <c r="AI108" s="350"/>
      <c r="AJ108" s="351"/>
      <c r="AK108" s="567"/>
      <c r="AL108" s="350"/>
      <c r="AM108" s="351"/>
      <c r="AN108" s="58"/>
      <c r="AO108" s="59"/>
      <c r="AP108" s="58"/>
      <c r="AQ108" s="59"/>
      <c r="AR108" s="58"/>
      <c r="AS108" s="59"/>
      <c r="AT108" s="58"/>
      <c r="AU108" s="59"/>
      <c r="AV108" s="58"/>
      <c r="AW108" s="59"/>
      <c r="AX108" s="58"/>
      <c r="AY108" s="59"/>
      <c r="AZ108" s="64"/>
      <c r="BA108" s="61"/>
      <c r="BB108" s="64"/>
      <c r="BC108" s="61"/>
      <c r="BD108" s="64"/>
      <c r="BE108" s="61"/>
      <c r="BF108" s="64"/>
      <c r="BG108" s="61"/>
      <c r="BH108" s="64"/>
      <c r="BI108" s="646" t="s">
        <v>298</v>
      </c>
      <c r="BJ108" s="350"/>
      <c r="BK108" s="350"/>
      <c r="BL108" s="350"/>
      <c r="BM108" s="350"/>
      <c r="BN108" s="350"/>
      <c r="BO108" s="350"/>
      <c r="BP108" s="350"/>
      <c r="BQ108" s="350"/>
      <c r="BR108" s="350"/>
      <c r="BS108" s="350"/>
      <c r="BT108" s="350"/>
      <c r="BU108" s="350"/>
      <c r="BV108" s="351"/>
    </row>
    <row r="109" spans="1:74" ht="30" customHeight="1">
      <c r="A109" s="63">
        <f t="shared" si="0"/>
        <v>95</v>
      </c>
      <c r="B109" s="56" t="s">
        <v>325</v>
      </c>
      <c r="C109" s="57"/>
      <c r="D109" s="644"/>
      <c r="E109" s="350"/>
      <c r="F109" s="350"/>
      <c r="G109" s="350"/>
      <c r="H109" s="350"/>
      <c r="I109" s="350"/>
      <c r="J109" s="350"/>
      <c r="K109" s="351"/>
      <c r="L109" s="344"/>
      <c r="M109" s="336"/>
      <c r="N109" s="336"/>
      <c r="O109" s="343"/>
      <c r="P109" s="644"/>
      <c r="Q109" s="350"/>
      <c r="R109" s="350"/>
      <c r="S109" s="351"/>
      <c r="T109" s="643"/>
      <c r="U109" s="350"/>
      <c r="V109" s="350"/>
      <c r="W109" s="351"/>
      <c r="X109" s="644"/>
      <c r="Y109" s="350"/>
      <c r="Z109" s="350"/>
      <c r="AA109" s="351"/>
      <c r="AB109" s="506"/>
      <c r="AC109" s="350"/>
      <c r="AD109" s="351"/>
      <c r="AE109" s="571"/>
      <c r="AF109" s="350"/>
      <c r="AG109" s="351"/>
      <c r="AH109" s="645"/>
      <c r="AI109" s="350"/>
      <c r="AJ109" s="351"/>
      <c r="AK109" s="567"/>
      <c r="AL109" s="350"/>
      <c r="AM109" s="351"/>
      <c r="AN109" s="58"/>
      <c r="AO109" s="59"/>
      <c r="AP109" s="58"/>
      <c r="AQ109" s="59"/>
      <c r="AR109" s="58"/>
      <c r="AS109" s="59"/>
      <c r="AT109" s="58"/>
      <c r="AU109" s="59"/>
      <c r="AV109" s="58"/>
      <c r="AW109" s="59"/>
      <c r="AX109" s="58"/>
      <c r="AY109" s="59"/>
      <c r="AZ109" s="64"/>
      <c r="BA109" s="61"/>
      <c r="BB109" s="64"/>
      <c r="BC109" s="61"/>
      <c r="BD109" s="64"/>
      <c r="BE109" s="61"/>
      <c r="BF109" s="64"/>
      <c r="BG109" s="61"/>
      <c r="BH109" s="64"/>
      <c r="BI109" s="646" t="s">
        <v>298</v>
      </c>
      <c r="BJ109" s="350"/>
      <c r="BK109" s="350"/>
      <c r="BL109" s="350"/>
      <c r="BM109" s="350"/>
      <c r="BN109" s="350"/>
      <c r="BO109" s="350"/>
      <c r="BP109" s="350"/>
      <c r="BQ109" s="350"/>
      <c r="BR109" s="350"/>
      <c r="BS109" s="350"/>
      <c r="BT109" s="350"/>
      <c r="BU109" s="350"/>
      <c r="BV109" s="351"/>
    </row>
    <row r="110" spans="1:74" ht="30" customHeight="1">
      <c r="A110" s="63">
        <f t="shared" si="0"/>
        <v>96</v>
      </c>
      <c r="B110" s="56" t="s">
        <v>325</v>
      </c>
      <c r="C110" s="57"/>
      <c r="D110" s="644"/>
      <c r="E110" s="350"/>
      <c r="F110" s="350"/>
      <c r="G110" s="350"/>
      <c r="H110" s="350"/>
      <c r="I110" s="350"/>
      <c r="J110" s="350"/>
      <c r="K110" s="351"/>
      <c r="L110" s="347"/>
      <c r="M110" s="348"/>
      <c r="N110" s="348"/>
      <c r="O110" s="348"/>
      <c r="P110" s="644"/>
      <c r="Q110" s="350"/>
      <c r="R110" s="350"/>
      <c r="S110" s="351"/>
      <c r="T110" s="643"/>
      <c r="U110" s="350"/>
      <c r="V110" s="350"/>
      <c r="W110" s="351"/>
      <c r="X110" s="644"/>
      <c r="Y110" s="350"/>
      <c r="Z110" s="350"/>
      <c r="AA110" s="351"/>
      <c r="AB110" s="506"/>
      <c r="AC110" s="350"/>
      <c r="AD110" s="351"/>
      <c r="AE110" s="571"/>
      <c r="AF110" s="350"/>
      <c r="AG110" s="351"/>
      <c r="AH110" s="645"/>
      <c r="AI110" s="350"/>
      <c r="AJ110" s="351"/>
      <c r="AK110" s="567"/>
      <c r="AL110" s="350"/>
      <c r="AM110" s="351"/>
      <c r="AN110" s="58"/>
      <c r="AO110" s="59"/>
      <c r="AP110" s="58"/>
      <c r="AQ110" s="59"/>
      <c r="AR110" s="58"/>
      <c r="AS110" s="59"/>
      <c r="AT110" s="58"/>
      <c r="AU110" s="59"/>
      <c r="AV110" s="58"/>
      <c r="AW110" s="59"/>
      <c r="AX110" s="58"/>
      <c r="AY110" s="59"/>
      <c r="AZ110" s="64"/>
      <c r="BA110" s="61"/>
      <c r="BB110" s="64"/>
      <c r="BC110" s="61"/>
      <c r="BD110" s="64"/>
      <c r="BE110" s="61"/>
      <c r="BF110" s="64"/>
      <c r="BG110" s="61"/>
      <c r="BH110" s="64"/>
      <c r="BI110" s="646" t="s">
        <v>298</v>
      </c>
      <c r="BJ110" s="350"/>
      <c r="BK110" s="350"/>
      <c r="BL110" s="350"/>
      <c r="BM110" s="350"/>
      <c r="BN110" s="350"/>
      <c r="BO110" s="350"/>
      <c r="BP110" s="350"/>
      <c r="BQ110" s="350"/>
      <c r="BR110" s="350"/>
      <c r="BS110" s="350"/>
      <c r="BT110" s="350"/>
      <c r="BU110" s="350"/>
      <c r="BV110" s="351"/>
    </row>
    <row r="111" spans="1:74" ht="30" customHeight="1">
      <c r="A111" s="63">
        <f t="shared" si="0"/>
        <v>97</v>
      </c>
      <c r="B111" s="56" t="s">
        <v>325</v>
      </c>
      <c r="C111" s="57"/>
      <c r="D111" s="644"/>
      <c r="E111" s="350"/>
      <c r="F111" s="350"/>
      <c r="G111" s="350"/>
      <c r="H111" s="350"/>
      <c r="I111" s="350"/>
      <c r="J111" s="350"/>
      <c r="K111" s="351"/>
      <c r="L111" s="643"/>
      <c r="M111" s="350"/>
      <c r="N111" s="350"/>
      <c r="O111" s="351"/>
      <c r="P111" s="644"/>
      <c r="Q111" s="350"/>
      <c r="R111" s="350"/>
      <c r="S111" s="351"/>
      <c r="T111" s="643"/>
      <c r="U111" s="350"/>
      <c r="V111" s="350"/>
      <c r="W111" s="351"/>
      <c r="X111" s="644"/>
      <c r="Y111" s="350"/>
      <c r="Z111" s="350"/>
      <c r="AA111" s="351"/>
      <c r="AB111" s="506"/>
      <c r="AC111" s="350"/>
      <c r="AD111" s="351"/>
      <c r="AE111" s="571"/>
      <c r="AF111" s="350"/>
      <c r="AG111" s="351"/>
      <c r="AH111" s="645"/>
      <c r="AI111" s="350"/>
      <c r="AJ111" s="351"/>
      <c r="AK111" s="567"/>
      <c r="AL111" s="350"/>
      <c r="AM111" s="351"/>
      <c r="AN111" s="58"/>
      <c r="AO111" s="59"/>
      <c r="AP111" s="58"/>
      <c r="AQ111" s="59"/>
      <c r="AR111" s="58"/>
      <c r="AS111" s="59"/>
      <c r="AT111" s="58"/>
      <c r="AU111" s="59"/>
      <c r="AV111" s="58"/>
      <c r="AW111" s="59"/>
      <c r="AX111" s="58"/>
      <c r="AY111" s="59"/>
      <c r="AZ111" s="64"/>
      <c r="BA111" s="61"/>
      <c r="BB111" s="64"/>
      <c r="BC111" s="61"/>
      <c r="BD111" s="64"/>
      <c r="BE111" s="61"/>
      <c r="BF111" s="64"/>
      <c r="BG111" s="61"/>
      <c r="BH111" s="64"/>
      <c r="BI111" s="646" t="s">
        <v>294</v>
      </c>
      <c r="BJ111" s="350"/>
      <c r="BK111" s="350"/>
      <c r="BL111" s="350"/>
      <c r="BM111" s="350"/>
      <c r="BN111" s="350"/>
      <c r="BO111" s="350"/>
      <c r="BP111" s="350"/>
      <c r="BQ111" s="350"/>
      <c r="BR111" s="350"/>
      <c r="BS111" s="350"/>
      <c r="BT111" s="350"/>
      <c r="BU111" s="350"/>
      <c r="BV111" s="351"/>
    </row>
    <row r="112" spans="1:74" ht="30" customHeight="1">
      <c r="A112" s="63">
        <f t="shared" si="0"/>
        <v>98</v>
      </c>
      <c r="B112" s="56" t="s">
        <v>325</v>
      </c>
      <c r="C112" s="57"/>
      <c r="D112" s="644"/>
      <c r="E112" s="350"/>
      <c r="F112" s="350"/>
      <c r="G112" s="350"/>
      <c r="H112" s="350"/>
      <c r="I112" s="350"/>
      <c r="J112" s="350"/>
      <c r="K112" s="351"/>
      <c r="L112" s="643"/>
      <c r="M112" s="350"/>
      <c r="N112" s="350"/>
      <c r="O112" s="351"/>
      <c r="P112" s="644"/>
      <c r="Q112" s="350"/>
      <c r="R112" s="350"/>
      <c r="S112" s="351"/>
      <c r="T112" s="643"/>
      <c r="U112" s="350"/>
      <c r="V112" s="350"/>
      <c r="W112" s="351"/>
      <c r="X112" s="644"/>
      <c r="Y112" s="350"/>
      <c r="Z112" s="350"/>
      <c r="AA112" s="351"/>
      <c r="AB112" s="506"/>
      <c r="AC112" s="350"/>
      <c r="AD112" s="351"/>
      <c r="AE112" s="571"/>
      <c r="AF112" s="350"/>
      <c r="AG112" s="351"/>
      <c r="AH112" s="645"/>
      <c r="AI112" s="350"/>
      <c r="AJ112" s="351"/>
      <c r="AK112" s="567"/>
      <c r="AL112" s="350"/>
      <c r="AM112" s="351"/>
      <c r="AN112" s="58"/>
      <c r="AO112" s="59"/>
      <c r="AP112" s="58"/>
      <c r="AQ112" s="59"/>
      <c r="AR112" s="58"/>
      <c r="AS112" s="59"/>
      <c r="AT112" s="58"/>
      <c r="AU112" s="59"/>
      <c r="AV112" s="58"/>
      <c r="AW112" s="59"/>
      <c r="AX112" s="58"/>
      <c r="AY112" s="59"/>
      <c r="AZ112" s="64"/>
      <c r="BA112" s="61"/>
      <c r="BB112" s="64"/>
      <c r="BC112" s="61"/>
      <c r="BD112" s="64"/>
      <c r="BE112" s="61"/>
      <c r="BF112" s="64"/>
      <c r="BG112" s="61"/>
      <c r="BH112" s="64"/>
      <c r="BI112" s="646" t="s">
        <v>294</v>
      </c>
      <c r="BJ112" s="350"/>
      <c r="BK112" s="350"/>
      <c r="BL112" s="350"/>
      <c r="BM112" s="350"/>
      <c r="BN112" s="350"/>
      <c r="BO112" s="350"/>
      <c r="BP112" s="350"/>
      <c r="BQ112" s="350"/>
      <c r="BR112" s="350"/>
      <c r="BS112" s="350"/>
      <c r="BT112" s="350"/>
      <c r="BU112" s="350"/>
      <c r="BV112" s="351"/>
    </row>
    <row r="113" spans="1:74" ht="30" customHeight="1">
      <c r="A113" s="55">
        <f t="shared" si="0"/>
        <v>99</v>
      </c>
      <c r="B113" s="56" t="s">
        <v>325</v>
      </c>
      <c r="C113" s="57"/>
      <c r="D113" s="644"/>
      <c r="E113" s="350"/>
      <c r="F113" s="350"/>
      <c r="G113" s="350"/>
      <c r="H113" s="350"/>
      <c r="I113" s="350"/>
      <c r="J113" s="350"/>
      <c r="K113" s="351"/>
      <c r="L113" s="643"/>
      <c r="M113" s="350"/>
      <c r="N113" s="350"/>
      <c r="O113" s="351"/>
      <c r="P113" s="644"/>
      <c r="Q113" s="350"/>
      <c r="R113" s="350"/>
      <c r="S113" s="351"/>
      <c r="T113" s="643"/>
      <c r="U113" s="350"/>
      <c r="V113" s="350"/>
      <c r="W113" s="351"/>
      <c r="X113" s="644"/>
      <c r="Y113" s="350"/>
      <c r="Z113" s="350"/>
      <c r="AA113" s="351"/>
      <c r="AB113" s="506"/>
      <c r="AC113" s="350"/>
      <c r="AD113" s="351"/>
      <c r="AE113" s="571"/>
      <c r="AF113" s="350"/>
      <c r="AG113" s="351"/>
      <c r="AH113" s="645"/>
      <c r="AI113" s="350"/>
      <c r="AJ113" s="351"/>
      <c r="AK113" s="567"/>
      <c r="AL113" s="350"/>
      <c r="AM113" s="351"/>
      <c r="AN113" s="58"/>
      <c r="AO113" s="59"/>
      <c r="AP113" s="58"/>
      <c r="AQ113" s="59"/>
      <c r="AR113" s="58"/>
      <c r="AS113" s="59"/>
      <c r="AT113" s="58"/>
      <c r="AU113" s="59"/>
      <c r="AV113" s="58"/>
      <c r="AW113" s="59"/>
      <c r="AX113" s="58"/>
      <c r="AY113" s="59"/>
      <c r="AZ113" s="64"/>
      <c r="BA113" s="61"/>
      <c r="BB113" s="64"/>
      <c r="BC113" s="61"/>
      <c r="BD113" s="64"/>
      <c r="BE113" s="61"/>
      <c r="BF113" s="64"/>
      <c r="BG113" s="61"/>
      <c r="BH113" s="64"/>
      <c r="BI113" s="646" t="s">
        <v>298</v>
      </c>
      <c r="BJ113" s="350"/>
      <c r="BK113" s="350"/>
      <c r="BL113" s="350"/>
      <c r="BM113" s="350"/>
      <c r="BN113" s="350"/>
      <c r="BO113" s="350"/>
      <c r="BP113" s="350"/>
      <c r="BQ113" s="350"/>
      <c r="BR113" s="350"/>
      <c r="BS113" s="350"/>
      <c r="BT113" s="350"/>
      <c r="BU113" s="350"/>
      <c r="BV113" s="351"/>
    </row>
    <row r="114" spans="1:74" ht="30" customHeight="1">
      <c r="A114" s="63">
        <f t="shared" si="0"/>
        <v>100</v>
      </c>
      <c r="B114" s="56" t="s">
        <v>325</v>
      </c>
      <c r="C114" s="57"/>
      <c r="D114" s="644"/>
      <c r="E114" s="350"/>
      <c r="F114" s="350"/>
      <c r="G114" s="350"/>
      <c r="H114" s="350"/>
      <c r="I114" s="350"/>
      <c r="J114" s="350"/>
      <c r="K114" s="351"/>
      <c r="L114" s="643"/>
      <c r="M114" s="350"/>
      <c r="N114" s="350"/>
      <c r="O114" s="351"/>
      <c r="P114" s="644"/>
      <c r="Q114" s="350"/>
      <c r="R114" s="350"/>
      <c r="S114" s="351"/>
      <c r="T114" s="643"/>
      <c r="U114" s="350"/>
      <c r="V114" s="350"/>
      <c r="W114" s="351"/>
      <c r="X114" s="644"/>
      <c r="Y114" s="350"/>
      <c r="Z114" s="350"/>
      <c r="AA114" s="351"/>
      <c r="AB114" s="506"/>
      <c r="AC114" s="350"/>
      <c r="AD114" s="351"/>
      <c r="AE114" s="571"/>
      <c r="AF114" s="350"/>
      <c r="AG114" s="351"/>
      <c r="AH114" s="645"/>
      <c r="AI114" s="350"/>
      <c r="AJ114" s="351"/>
      <c r="AK114" s="567"/>
      <c r="AL114" s="350"/>
      <c r="AM114" s="351"/>
      <c r="AN114" s="58"/>
      <c r="AO114" s="59"/>
      <c r="AP114" s="58"/>
      <c r="AQ114" s="59"/>
      <c r="AR114" s="58"/>
      <c r="AS114" s="59"/>
      <c r="AT114" s="58"/>
      <c r="AU114" s="59"/>
      <c r="AV114" s="58"/>
      <c r="AW114" s="59"/>
      <c r="AX114" s="58"/>
      <c r="AY114" s="59"/>
      <c r="AZ114" s="64"/>
      <c r="BA114" s="61"/>
      <c r="BB114" s="64"/>
      <c r="BC114" s="61"/>
      <c r="BD114" s="64"/>
      <c r="BE114" s="61"/>
      <c r="BF114" s="64"/>
      <c r="BG114" s="61"/>
      <c r="BH114" s="64"/>
      <c r="BI114" s="646" t="s">
        <v>298</v>
      </c>
      <c r="BJ114" s="350"/>
      <c r="BK114" s="350"/>
      <c r="BL114" s="350"/>
      <c r="BM114" s="350"/>
      <c r="BN114" s="350"/>
      <c r="BO114" s="350"/>
      <c r="BP114" s="350"/>
      <c r="BQ114" s="350"/>
      <c r="BR114" s="350"/>
      <c r="BS114" s="350"/>
      <c r="BT114" s="350"/>
      <c r="BU114" s="350"/>
      <c r="BV114" s="351"/>
    </row>
    <row r="115" spans="1:74" ht="30" customHeight="1">
      <c r="A115" s="63">
        <f t="shared" si="0"/>
        <v>101</v>
      </c>
      <c r="B115" s="56" t="s">
        <v>325</v>
      </c>
      <c r="C115" s="57"/>
      <c r="D115" s="644"/>
      <c r="E115" s="350"/>
      <c r="F115" s="350"/>
      <c r="G115" s="350"/>
      <c r="H115" s="350"/>
      <c r="I115" s="350"/>
      <c r="J115" s="350"/>
      <c r="K115" s="351"/>
      <c r="L115" s="643"/>
      <c r="M115" s="350"/>
      <c r="N115" s="350"/>
      <c r="O115" s="351"/>
      <c r="P115" s="644"/>
      <c r="Q115" s="350"/>
      <c r="R115" s="350"/>
      <c r="S115" s="351"/>
      <c r="T115" s="643"/>
      <c r="U115" s="350"/>
      <c r="V115" s="350"/>
      <c r="W115" s="351"/>
      <c r="X115" s="644"/>
      <c r="Y115" s="350"/>
      <c r="Z115" s="350"/>
      <c r="AA115" s="351"/>
      <c r="AB115" s="506"/>
      <c r="AC115" s="350"/>
      <c r="AD115" s="351"/>
      <c r="AE115" s="571"/>
      <c r="AF115" s="350"/>
      <c r="AG115" s="351"/>
      <c r="AH115" s="645"/>
      <c r="AI115" s="350"/>
      <c r="AJ115" s="351"/>
      <c r="AK115" s="567"/>
      <c r="AL115" s="350"/>
      <c r="AM115" s="351"/>
      <c r="AN115" s="58"/>
      <c r="AO115" s="59"/>
      <c r="AP115" s="58"/>
      <c r="AQ115" s="59"/>
      <c r="AR115" s="58"/>
      <c r="AS115" s="59"/>
      <c r="AT115" s="58"/>
      <c r="AU115" s="59"/>
      <c r="AV115" s="58"/>
      <c r="AW115" s="59"/>
      <c r="AX115" s="58"/>
      <c r="AY115" s="59"/>
      <c r="AZ115" s="64"/>
      <c r="BA115" s="61"/>
      <c r="BB115" s="64"/>
      <c r="BC115" s="61"/>
      <c r="BD115" s="64"/>
      <c r="BE115" s="61"/>
      <c r="BF115" s="64"/>
      <c r="BG115" s="61"/>
      <c r="BH115" s="64"/>
      <c r="BI115" s="646" t="s">
        <v>298</v>
      </c>
      <c r="BJ115" s="350"/>
      <c r="BK115" s="350"/>
      <c r="BL115" s="350"/>
      <c r="BM115" s="350"/>
      <c r="BN115" s="350"/>
      <c r="BO115" s="350"/>
      <c r="BP115" s="350"/>
      <c r="BQ115" s="350"/>
      <c r="BR115" s="350"/>
      <c r="BS115" s="350"/>
      <c r="BT115" s="350"/>
      <c r="BU115" s="350"/>
      <c r="BV115" s="351"/>
    </row>
    <row r="116" spans="1:74" ht="30" customHeight="1">
      <c r="A116" s="63">
        <f t="shared" si="0"/>
        <v>102</v>
      </c>
      <c r="B116" s="56" t="s">
        <v>325</v>
      </c>
      <c r="C116" s="57"/>
      <c r="D116" s="644"/>
      <c r="E116" s="350"/>
      <c r="F116" s="350"/>
      <c r="G116" s="350"/>
      <c r="H116" s="350"/>
      <c r="I116" s="350"/>
      <c r="J116" s="350"/>
      <c r="K116" s="351"/>
      <c r="L116" s="643"/>
      <c r="M116" s="350"/>
      <c r="N116" s="350"/>
      <c r="O116" s="351"/>
      <c r="P116" s="644"/>
      <c r="Q116" s="350"/>
      <c r="R116" s="350"/>
      <c r="S116" s="351"/>
      <c r="T116" s="643"/>
      <c r="U116" s="350"/>
      <c r="V116" s="350"/>
      <c r="W116" s="351"/>
      <c r="X116" s="644"/>
      <c r="Y116" s="350"/>
      <c r="Z116" s="350"/>
      <c r="AA116" s="351"/>
      <c r="AB116" s="506"/>
      <c r="AC116" s="350"/>
      <c r="AD116" s="351"/>
      <c r="AE116" s="571"/>
      <c r="AF116" s="350"/>
      <c r="AG116" s="351"/>
      <c r="AH116" s="645"/>
      <c r="AI116" s="350"/>
      <c r="AJ116" s="351"/>
      <c r="AK116" s="567"/>
      <c r="AL116" s="350"/>
      <c r="AM116" s="351"/>
      <c r="AN116" s="58"/>
      <c r="AO116" s="59"/>
      <c r="AP116" s="58"/>
      <c r="AQ116" s="59"/>
      <c r="AR116" s="58"/>
      <c r="AS116" s="59"/>
      <c r="AT116" s="58"/>
      <c r="AU116" s="59"/>
      <c r="AV116" s="58"/>
      <c r="AW116" s="59"/>
      <c r="AX116" s="58"/>
      <c r="AY116" s="59"/>
      <c r="AZ116" s="64"/>
      <c r="BA116" s="61"/>
      <c r="BB116" s="64"/>
      <c r="BC116" s="61"/>
      <c r="BD116" s="64"/>
      <c r="BE116" s="61"/>
      <c r="BF116" s="64"/>
      <c r="BG116" s="61"/>
      <c r="BH116" s="64"/>
      <c r="BI116" s="646" t="s">
        <v>298</v>
      </c>
      <c r="BJ116" s="350"/>
      <c r="BK116" s="350"/>
      <c r="BL116" s="350"/>
      <c r="BM116" s="350"/>
      <c r="BN116" s="350"/>
      <c r="BO116" s="350"/>
      <c r="BP116" s="350"/>
      <c r="BQ116" s="350"/>
      <c r="BR116" s="350"/>
      <c r="BS116" s="350"/>
      <c r="BT116" s="350"/>
      <c r="BU116" s="350"/>
      <c r="BV116" s="351"/>
    </row>
    <row r="117" spans="1:74" ht="30" customHeight="1">
      <c r="A117" s="63">
        <f t="shared" si="0"/>
        <v>103</v>
      </c>
      <c r="B117" s="56" t="s">
        <v>325</v>
      </c>
      <c r="C117" s="57"/>
      <c r="D117" s="644"/>
      <c r="E117" s="350"/>
      <c r="F117" s="350"/>
      <c r="G117" s="350"/>
      <c r="H117" s="350"/>
      <c r="I117" s="350"/>
      <c r="J117" s="350"/>
      <c r="K117" s="351"/>
      <c r="L117" s="643"/>
      <c r="M117" s="350"/>
      <c r="N117" s="350"/>
      <c r="O117" s="351"/>
      <c r="P117" s="644"/>
      <c r="Q117" s="350"/>
      <c r="R117" s="350"/>
      <c r="S117" s="351"/>
      <c r="T117" s="643"/>
      <c r="U117" s="350"/>
      <c r="V117" s="350"/>
      <c r="W117" s="351"/>
      <c r="X117" s="644"/>
      <c r="Y117" s="350"/>
      <c r="Z117" s="350"/>
      <c r="AA117" s="351"/>
      <c r="AB117" s="506"/>
      <c r="AC117" s="350"/>
      <c r="AD117" s="351"/>
      <c r="AE117" s="571"/>
      <c r="AF117" s="350"/>
      <c r="AG117" s="351"/>
      <c r="AH117" s="645"/>
      <c r="AI117" s="350"/>
      <c r="AJ117" s="351"/>
      <c r="AK117" s="567"/>
      <c r="AL117" s="350"/>
      <c r="AM117" s="351"/>
      <c r="AN117" s="58"/>
      <c r="AO117" s="59"/>
      <c r="AP117" s="58"/>
      <c r="AQ117" s="59"/>
      <c r="AR117" s="58"/>
      <c r="AS117" s="59"/>
      <c r="AT117" s="58"/>
      <c r="AU117" s="59"/>
      <c r="AV117" s="58"/>
      <c r="AW117" s="59"/>
      <c r="AX117" s="58"/>
      <c r="AY117" s="59"/>
      <c r="AZ117" s="64"/>
      <c r="BA117" s="61"/>
      <c r="BB117" s="64"/>
      <c r="BC117" s="61"/>
      <c r="BD117" s="64"/>
      <c r="BE117" s="61"/>
      <c r="BF117" s="64"/>
      <c r="BG117" s="61"/>
      <c r="BH117" s="64"/>
      <c r="BI117" s="646" t="s">
        <v>298</v>
      </c>
      <c r="BJ117" s="350"/>
      <c r="BK117" s="350"/>
      <c r="BL117" s="350"/>
      <c r="BM117" s="350"/>
      <c r="BN117" s="350"/>
      <c r="BO117" s="350"/>
      <c r="BP117" s="350"/>
      <c r="BQ117" s="350"/>
      <c r="BR117" s="350"/>
      <c r="BS117" s="350"/>
      <c r="BT117" s="350"/>
      <c r="BU117" s="350"/>
      <c r="BV117" s="351"/>
    </row>
    <row r="118" spans="1:74" ht="30" customHeight="1">
      <c r="A118" s="63">
        <f t="shared" si="0"/>
        <v>104</v>
      </c>
      <c r="B118" s="56" t="s">
        <v>325</v>
      </c>
      <c r="C118" s="57"/>
      <c r="D118" s="644"/>
      <c r="E118" s="350"/>
      <c r="F118" s="350"/>
      <c r="G118" s="350"/>
      <c r="H118" s="350"/>
      <c r="I118" s="350"/>
      <c r="J118" s="350"/>
      <c r="K118" s="351"/>
      <c r="L118" s="643"/>
      <c r="M118" s="350"/>
      <c r="N118" s="350"/>
      <c r="O118" s="351"/>
      <c r="P118" s="644"/>
      <c r="Q118" s="350"/>
      <c r="R118" s="350"/>
      <c r="S118" s="351"/>
      <c r="T118" s="643"/>
      <c r="U118" s="350"/>
      <c r="V118" s="350"/>
      <c r="W118" s="351"/>
      <c r="X118" s="644"/>
      <c r="Y118" s="350"/>
      <c r="Z118" s="350"/>
      <c r="AA118" s="351"/>
      <c r="AB118" s="506"/>
      <c r="AC118" s="350"/>
      <c r="AD118" s="351"/>
      <c r="AE118" s="571"/>
      <c r="AF118" s="350"/>
      <c r="AG118" s="351"/>
      <c r="AH118" s="645"/>
      <c r="AI118" s="350"/>
      <c r="AJ118" s="351"/>
      <c r="AK118" s="567"/>
      <c r="AL118" s="350"/>
      <c r="AM118" s="351"/>
      <c r="AN118" s="58"/>
      <c r="AO118" s="59"/>
      <c r="AP118" s="58"/>
      <c r="AQ118" s="59"/>
      <c r="AR118" s="58"/>
      <c r="AS118" s="59"/>
      <c r="AT118" s="58"/>
      <c r="AU118" s="59"/>
      <c r="AV118" s="58"/>
      <c r="AW118" s="59"/>
      <c r="AX118" s="58"/>
      <c r="AY118" s="59"/>
      <c r="AZ118" s="64"/>
      <c r="BA118" s="61"/>
      <c r="BB118" s="64"/>
      <c r="BC118" s="61"/>
      <c r="BD118" s="64"/>
      <c r="BE118" s="61"/>
      <c r="BF118" s="64"/>
      <c r="BG118" s="61"/>
      <c r="BH118" s="64"/>
      <c r="BI118" s="646" t="s">
        <v>294</v>
      </c>
      <c r="BJ118" s="350"/>
      <c r="BK118" s="350"/>
      <c r="BL118" s="350"/>
      <c r="BM118" s="350"/>
      <c r="BN118" s="350"/>
      <c r="BO118" s="350"/>
      <c r="BP118" s="350"/>
      <c r="BQ118" s="350"/>
      <c r="BR118" s="350"/>
      <c r="BS118" s="350"/>
      <c r="BT118" s="350"/>
      <c r="BU118" s="350"/>
      <c r="BV118" s="351"/>
    </row>
    <row r="119" spans="1:74" ht="30" customHeight="1">
      <c r="A119" s="55">
        <f t="shared" si="0"/>
        <v>105</v>
      </c>
      <c r="B119" s="56" t="s">
        <v>325</v>
      </c>
      <c r="C119" s="57"/>
      <c r="D119" s="644"/>
      <c r="E119" s="350"/>
      <c r="F119" s="350"/>
      <c r="G119" s="350"/>
      <c r="H119" s="350"/>
      <c r="I119" s="350"/>
      <c r="J119" s="350"/>
      <c r="K119" s="351"/>
      <c r="L119" s="643"/>
      <c r="M119" s="350"/>
      <c r="N119" s="350"/>
      <c r="O119" s="351"/>
      <c r="P119" s="644"/>
      <c r="Q119" s="350"/>
      <c r="R119" s="350"/>
      <c r="S119" s="351"/>
      <c r="T119" s="643"/>
      <c r="U119" s="350"/>
      <c r="V119" s="350"/>
      <c r="W119" s="351"/>
      <c r="X119" s="644"/>
      <c r="Y119" s="350"/>
      <c r="Z119" s="350"/>
      <c r="AA119" s="351"/>
      <c r="AB119" s="506"/>
      <c r="AC119" s="350"/>
      <c r="AD119" s="351"/>
      <c r="AE119" s="571"/>
      <c r="AF119" s="350"/>
      <c r="AG119" s="351"/>
      <c r="AH119" s="645"/>
      <c r="AI119" s="350"/>
      <c r="AJ119" s="351"/>
      <c r="AK119" s="567"/>
      <c r="AL119" s="350"/>
      <c r="AM119" s="351"/>
      <c r="AN119" s="58"/>
      <c r="AO119" s="59"/>
      <c r="AP119" s="58"/>
      <c r="AQ119" s="59"/>
      <c r="AR119" s="58"/>
      <c r="AS119" s="59"/>
      <c r="AT119" s="58"/>
      <c r="AU119" s="59"/>
      <c r="AV119" s="58"/>
      <c r="AW119" s="59"/>
      <c r="AX119" s="58"/>
      <c r="AY119" s="59"/>
      <c r="AZ119" s="64"/>
      <c r="BA119" s="61"/>
      <c r="BB119" s="64"/>
      <c r="BC119" s="61"/>
      <c r="BD119" s="64"/>
      <c r="BE119" s="61"/>
      <c r="BF119" s="64"/>
      <c r="BG119" s="61"/>
      <c r="BH119" s="64"/>
      <c r="BI119" s="646" t="s">
        <v>298</v>
      </c>
      <c r="BJ119" s="350"/>
      <c r="BK119" s="350"/>
      <c r="BL119" s="350"/>
      <c r="BM119" s="350"/>
      <c r="BN119" s="350"/>
      <c r="BO119" s="350"/>
      <c r="BP119" s="350"/>
      <c r="BQ119" s="350"/>
      <c r="BR119" s="350"/>
      <c r="BS119" s="350"/>
      <c r="BT119" s="350"/>
      <c r="BU119" s="350"/>
      <c r="BV119" s="351"/>
    </row>
    <row r="120" spans="1:74" ht="30" customHeight="1">
      <c r="A120" s="63">
        <f t="shared" si="0"/>
        <v>106</v>
      </c>
      <c r="B120" s="56" t="s">
        <v>325</v>
      </c>
      <c r="C120" s="57"/>
      <c r="D120" s="644"/>
      <c r="E120" s="350"/>
      <c r="F120" s="350"/>
      <c r="G120" s="350"/>
      <c r="H120" s="350"/>
      <c r="I120" s="350"/>
      <c r="J120" s="350"/>
      <c r="K120" s="351"/>
      <c r="L120" s="643"/>
      <c r="M120" s="350"/>
      <c r="N120" s="350"/>
      <c r="O120" s="351"/>
      <c r="P120" s="644"/>
      <c r="Q120" s="350"/>
      <c r="R120" s="350"/>
      <c r="S120" s="351"/>
      <c r="T120" s="643"/>
      <c r="U120" s="350"/>
      <c r="V120" s="350"/>
      <c r="W120" s="351"/>
      <c r="X120" s="644"/>
      <c r="Y120" s="350"/>
      <c r="Z120" s="350"/>
      <c r="AA120" s="351"/>
      <c r="AB120" s="506"/>
      <c r="AC120" s="350"/>
      <c r="AD120" s="351"/>
      <c r="AE120" s="571"/>
      <c r="AF120" s="350"/>
      <c r="AG120" s="351"/>
      <c r="AH120" s="645"/>
      <c r="AI120" s="350"/>
      <c r="AJ120" s="351"/>
      <c r="AK120" s="567"/>
      <c r="AL120" s="350"/>
      <c r="AM120" s="351"/>
      <c r="AN120" s="58"/>
      <c r="AO120" s="59"/>
      <c r="AP120" s="58"/>
      <c r="AQ120" s="59"/>
      <c r="AR120" s="58"/>
      <c r="AS120" s="59"/>
      <c r="AT120" s="58"/>
      <c r="AU120" s="59"/>
      <c r="AV120" s="58"/>
      <c r="AW120" s="59"/>
      <c r="AX120" s="58"/>
      <c r="AY120" s="59"/>
      <c r="AZ120" s="64"/>
      <c r="BA120" s="61"/>
      <c r="BB120" s="64"/>
      <c r="BC120" s="61"/>
      <c r="BD120" s="64"/>
      <c r="BE120" s="61"/>
      <c r="BF120" s="64"/>
      <c r="BG120" s="61"/>
      <c r="BH120" s="64"/>
      <c r="BI120" s="646" t="s">
        <v>298</v>
      </c>
      <c r="BJ120" s="350"/>
      <c r="BK120" s="350"/>
      <c r="BL120" s="350"/>
      <c r="BM120" s="350"/>
      <c r="BN120" s="350"/>
      <c r="BO120" s="350"/>
      <c r="BP120" s="350"/>
      <c r="BQ120" s="350"/>
      <c r="BR120" s="350"/>
      <c r="BS120" s="350"/>
      <c r="BT120" s="350"/>
      <c r="BU120" s="350"/>
      <c r="BV120" s="351"/>
    </row>
    <row r="121" spans="1:74" ht="30" customHeight="1">
      <c r="A121" s="63">
        <f t="shared" si="0"/>
        <v>107</v>
      </c>
      <c r="B121" s="56" t="s">
        <v>325</v>
      </c>
      <c r="C121" s="57"/>
      <c r="D121" s="644"/>
      <c r="E121" s="350"/>
      <c r="F121" s="350"/>
      <c r="G121" s="350"/>
      <c r="H121" s="350"/>
      <c r="I121" s="350"/>
      <c r="J121" s="350"/>
      <c r="K121" s="351"/>
      <c r="L121" s="643"/>
      <c r="M121" s="350"/>
      <c r="N121" s="350"/>
      <c r="O121" s="351"/>
      <c r="P121" s="644"/>
      <c r="Q121" s="350"/>
      <c r="R121" s="350"/>
      <c r="S121" s="351"/>
      <c r="T121" s="643"/>
      <c r="U121" s="350"/>
      <c r="V121" s="350"/>
      <c r="W121" s="351"/>
      <c r="X121" s="644"/>
      <c r="Y121" s="350"/>
      <c r="Z121" s="350"/>
      <c r="AA121" s="351"/>
      <c r="AB121" s="506"/>
      <c r="AC121" s="350"/>
      <c r="AD121" s="351"/>
      <c r="AE121" s="571"/>
      <c r="AF121" s="350"/>
      <c r="AG121" s="351"/>
      <c r="AH121" s="645"/>
      <c r="AI121" s="350"/>
      <c r="AJ121" s="351"/>
      <c r="AK121" s="567"/>
      <c r="AL121" s="350"/>
      <c r="AM121" s="351"/>
      <c r="AN121" s="58"/>
      <c r="AO121" s="59"/>
      <c r="AP121" s="58"/>
      <c r="AQ121" s="59"/>
      <c r="AR121" s="58"/>
      <c r="AS121" s="59"/>
      <c r="AT121" s="58"/>
      <c r="AU121" s="59"/>
      <c r="AV121" s="58"/>
      <c r="AW121" s="59"/>
      <c r="AX121" s="58"/>
      <c r="AY121" s="59"/>
      <c r="AZ121" s="64"/>
      <c r="BA121" s="61"/>
      <c r="BB121" s="64"/>
      <c r="BC121" s="61"/>
      <c r="BD121" s="64"/>
      <c r="BE121" s="61"/>
      <c r="BF121" s="64"/>
      <c r="BG121" s="61"/>
      <c r="BH121" s="64"/>
      <c r="BI121" s="646" t="s">
        <v>298</v>
      </c>
      <c r="BJ121" s="350"/>
      <c r="BK121" s="350"/>
      <c r="BL121" s="350"/>
      <c r="BM121" s="350"/>
      <c r="BN121" s="350"/>
      <c r="BO121" s="350"/>
      <c r="BP121" s="350"/>
      <c r="BQ121" s="350"/>
      <c r="BR121" s="350"/>
      <c r="BS121" s="350"/>
      <c r="BT121" s="350"/>
      <c r="BU121" s="350"/>
      <c r="BV121" s="351"/>
    </row>
    <row r="122" spans="1:74" ht="30" customHeight="1">
      <c r="A122" s="63">
        <f t="shared" si="0"/>
        <v>108</v>
      </c>
      <c r="B122" s="56" t="s">
        <v>325</v>
      </c>
      <c r="C122" s="57"/>
      <c r="D122" s="644"/>
      <c r="E122" s="350"/>
      <c r="F122" s="350"/>
      <c r="G122" s="350"/>
      <c r="H122" s="350"/>
      <c r="I122" s="350"/>
      <c r="J122" s="350"/>
      <c r="K122" s="351"/>
      <c r="L122" s="643"/>
      <c r="M122" s="350"/>
      <c r="N122" s="350"/>
      <c r="O122" s="351"/>
      <c r="P122" s="644"/>
      <c r="Q122" s="350"/>
      <c r="R122" s="350"/>
      <c r="S122" s="351"/>
      <c r="T122" s="643"/>
      <c r="U122" s="350"/>
      <c r="V122" s="350"/>
      <c r="W122" s="351"/>
      <c r="X122" s="644"/>
      <c r="Y122" s="350"/>
      <c r="Z122" s="350"/>
      <c r="AA122" s="351"/>
      <c r="AB122" s="506"/>
      <c r="AC122" s="350"/>
      <c r="AD122" s="351"/>
      <c r="AE122" s="571"/>
      <c r="AF122" s="350"/>
      <c r="AG122" s="351"/>
      <c r="AH122" s="645"/>
      <c r="AI122" s="350"/>
      <c r="AJ122" s="351"/>
      <c r="AK122" s="567"/>
      <c r="AL122" s="350"/>
      <c r="AM122" s="351"/>
      <c r="AN122" s="58"/>
      <c r="AO122" s="59"/>
      <c r="AP122" s="58"/>
      <c r="AQ122" s="59"/>
      <c r="AR122" s="58"/>
      <c r="AS122" s="59"/>
      <c r="AT122" s="58"/>
      <c r="AU122" s="59"/>
      <c r="AV122" s="58"/>
      <c r="AW122" s="59"/>
      <c r="AX122" s="58"/>
      <c r="AY122" s="59"/>
      <c r="AZ122" s="64"/>
      <c r="BA122" s="61"/>
      <c r="BB122" s="64"/>
      <c r="BC122" s="61"/>
      <c r="BD122" s="64"/>
      <c r="BE122" s="61"/>
      <c r="BF122" s="64"/>
      <c r="BG122" s="61"/>
      <c r="BH122" s="64"/>
      <c r="BI122" s="646" t="s">
        <v>298</v>
      </c>
      <c r="BJ122" s="350"/>
      <c r="BK122" s="350"/>
      <c r="BL122" s="350"/>
      <c r="BM122" s="350"/>
      <c r="BN122" s="350"/>
      <c r="BO122" s="350"/>
      <c r="BP122" s="350"/>
      <c r="BQ122" s="350"/>
      <c r="BR122" s="350"/>
      <c r="BS122" s="350"/>
      <c r="BT122" s="350"/>
      <c r="BU122" s="350"/>
      <c r="BV122" s="351"/>
    </row>
    <row r="123" spans="1:74" ht="30" customHeight="1">
      <c r="A123" s="63">
        <f t="shared" si="0"/>
        <v>109</v>
      </c>
      <c r="B123" s="56" t="s">
        <v>325</v>
      </c>
      <c r="C123" s="57"/>
      <c r="D123" s="644"/>
      <c r="E123" s="350"/>
      <c r="F123" s="350"/>
      <c r="G123" s="350"/>
      <c r="H123" s="350"/>
      <c r="I123" s="350"/>
      <c r="J123" s="350"/>
      <c r="K123" s="351"/>
      <c r="L123" s="643"/>
      <c r="M123" s="350"/>
      <c r="N123" s="350"/>
      <c r="O123" s="351"/>
      <c r="P123" s="644"/>
      <c r="Q123" s="350"/>
      <c r="R123" s="350"/>
      <c r="S123" s="351"/>
      <c r="T123" s="643"/>
      <c r="U123" s="350"/>
      <c r="V123" s="350"/>
      <c r="W123" s="351"/>
      <c r="X123" s="644"/>
      <c r="Y123" s="350"/>
      <c r="Z123" s="350"/>
      <c r="AA123" s="351"/>
      <c r="AB123" s="506"/>
      <c r="AC123" s="350"/>
      <c r="AD123" s="351"/>
      <c r="AE123" s="571"/>
      <c r="AF123" s="350"/>
      <c r="AG123" s="351"/>
      <c r="AH123" s="645"/>
      <c r="AI123" s="350"/>
      <c r="AJ123" s="351"/>
      <c r="AK123" s="567"/>
      <c r="AL123" s="350"/>
      <c r="AM123" s="351"/>
      <c r="AN123" s="58"/>
      <c r="AO123" s="59"/>
      <c r="AP123" s="58"/>
      <c r="AQ123" s="59"/>
      <c r="AR123" s="58"/>
      <c r="AS123" s="59"/>
      <c r="AT123" s="58"/>
      <c r="AU123" s="59"/>
      <c r="AV123" s="58"/>
      <c r="AW123" s="59"/>
      <c r="AX123" s="58"/>
      <c r="AY123" s="59"/>
      <c r="AZ123" s="64"/>
      <c r="BA123" s="61"/>
      <c r="BB123" s="64"/>
      <c r="BC123" s="61"/>
      <c r="BD123" s="64"/>
      <c r="BE123" s="61"/>
      <c r="BF123" s="64"/>
      <c r="BG123" s="61"/>
      <c r="BH123" s="64"/>
      <c r="BI123" s="646" t="s">
        <v>298</v>
      </c>
      <c r="BJ123" s="350"/>
      <c r="BK123" s="350"/>
      <c r="BL123" s="350"/>
      <c r="BM123" s="350"/>
      <c r="BN123" s="350"/>
      <c r="BO123" s="350"/>
      <c r="BP123" s="350"/>
      <c r="BQ123" s="350"/>
      <c r="BR123" s="350"/>
      <c r="BS123" s="350"/>
      <c r="BT123" s="350"/>
      <c r="BU123" s="350"/>
      <c r="BV123" s="351"/>
    </row>
    <row r="124" spans="1:74" ht="30" customHeight="1">
      <c r="A124" s="63">
        <f t="shared" si="0"/>
        <v>110</v>
      </c>
      <c r="B124" s="56" t="s">
        <v>325</v>
      </c>
      <c r="C124" s="57"/>
      <c r="D124" s="644"/>
      <c r="E124" s="350"/>
      <c r="F124" s="350"/>
      <c r="G124" s="350"/>
      <c r="H124" s="350"/>
      <c r="I124" s="350"/>
      <c r="J124" s="350"/>
      <c r="K124" s="351"/>
      <c r="L124" s="643"/>
      <c r="M124" s="350"/>
      <c r="N124" s="350"/>
      <c r="O124" s="351"/>
      <c r="P124" s="644"/>
      <c r="Q124" s="350"/>
      <c r="R124" s="350"/>
      <c r="S124" s="351"/>
      <c r="T124" s="643"/>
      <c r="U124" s="350"/>
      <c r="V124" s="350"/>
      <c r="W124" s="351"/>
      <c r="X124" s="644"/>
      <c r="Y124" s="350"/>
      <c r="Z124" s="350"/>
      <c r="AA124" s="351"/>
      <c r="AB124" s="506"/>
      <c r="AC124" s="350"/>
      <c r="AD124" s="351"/>
      <c r="AE124" s="571"/>
      <c r="AF124" s="350"/>
      <c r="AG124" s="351"/>
      <c r="AH124" s="645"/>
      <c r="AI124" s="350"/>
      <c r="AJ124" s="351"/>
      <c r="AK124" s="567"/>
      <c r="AL124" s="350"/>
      <c r="AM124" s="351"/>
      <c r="AN124" s="58"/>
      <c r="AO124" s="59"/>
      <c r="AP124" s="58"/>
      <c r="AQ124" s="59"/>
      <c r="AR124" s="58"/>
      <c r="AS124" s="59"/>
      <c r="AT124" s="58"/>
      <c r="AU124" s="59"/>
      <c r="AV124" s="58"/>
      <c r="AW124" s="59"/>
      <c r="AX124" s="58"/>
      <c r="AY124" s="59"/>
      <c r="AZ124" s="64"/>
      <c r="BA124" s="61"/>
      <c r="BB124" s="64"/>
      <c r="BC124" s="61"/>
      <c r="BD124" s="64"/>
      <c r="BE124" s="61"/>
      <c r="BF124" s="64"/>
      <c r="BG124" s="61"/>
      <c r="BH124" s="64"/>
      <c r="BI124" s="646" t="s">
        <v>294</v>
      </c>
      <c r="BJ124" s="350"/>
      <c r="BK124" s="350"/>
      <c r="BL124" s="350"/>
      <c r="BM124" s="350"/>
      <c r="BN124" s="350"/>
      <c r="BO124" s="350"/>
      <c r="BP124" s="350"/>
      <c r="BQ124" s="350"/>
      <c r="BR124" s="350"/>
      <c r="BS124" s="350"/>
      <c r="BT124" s="350"/>
      <c r="BU124" s="350"/>
      <c r="BV124" s="351"/>
    </row>
    <row r="125" spans="1:74" ht="30" customHeight="1">
      <c r="A125" s="63">
        <f t="shared" si="0"/>
        <v>111</v>
      </c>
      <c r="B125" s="56" t="s">
        <v>325</v>
      </c>
      <c r="C125" s="57"/>
      <c r="D125" s="644"/>
      <c r="E125" s="350"/>
      <c r="F125" s="350"/>
      <c r="G125" s="350"/>
      <c r="H125" s="350"/>
      <c r="I125" s="350"/>
      <c r="J125" s="350"/>
      <c r="K125" s="351"/>
      <c r="L125" s="643"/>
      <c r="M125" s="350"/>
      <c r="N125" s="350"/>
      <c r="O125" s="351"/>
      <c r="P125" s="644"/>
      <c r="Q125" s="350"/>
      <c r="R125" s="350"/>
      <c r="S125" s="351"/>
      <c r="T125" s="643"/>
      <c r="U125" s="350"/>
      <c r="V125" s="350"/>
      <c r="W125" s="351"/>
      <c r="X125" s="644"/>
      <c r="Y125" s="350"/>
      <c r="Z125" s="350"/>
      <c r="AA125" s="351"/>
      <c r="AB125" s="506"/>
      <c r="AC125" s="350"/>
      <c r="AD125" s="351"/>
      <c r="AE125" s="571"/>
      <c r="AF125" s="350"/>
      <c r="AG125" s="351"/>
      <c r="AH125" s="645"/>
      <c r="AI125" s="350"/>
      <c r="AJ125" s="351"/>
      <c r="AK125" s="567"/>
      <c r="AL125" s="350"/>
      <c r="AM125" s="351"/>
      <c r="AN125" s="58"/>
      <c r="AO125" s="59"/>
      <c r="AP125" s="58"/>
      <c r="AQ125" s="59"/>
      <c r="AR125" s="58"/>
      <c r="AS125" s="59"/>
      <c r="AT125" s="58"/>
      <c r="AU125" s="59"/>
      <c r="AV125" s="58"/>
      <c r="AW125" s="59"/>
      <c r="AX125" s="58"/>
      <c r="AY125" s="59"/>
      <c r="AZ125" s="64"/>
      <c r="BA125" s="61"/>
      <c r="BB125" s="64"/>
      <c r="BC125" s="61"/>
      <c r="BD125" s="64"/>
      <c r="BE125" s="61"/>
      <c r="BF125" s="64"/>
      <c r="BG125" s="61"/>
      <c r="BH125" s="64"/>
      <c r="BI125" s="646" t="s">
        <v>294</v>
      </c>
      <c r="BJ125" s="350"/>
      <c r="BK125" s="350"/>
      <c r="BL125" s="350"/>
      <c r="BM125" s="350"/>
      <c r="BN125" s="350"/>
      <c r="BO125" s="350"/>
      <c r="BP125" s="350"/>
      <c r="BQ125" s="350"/>
      <c r="BR125" s="350"/>
      <c r="BS125" s="350"/>
      <c r="BT125" s="350"/>
      <c r="BU125" s="350"/>
      <c r="BV125" s="351"/>
    </row>
    <row r="126" spans="1:74" ht="30" customHeight="1">
      <c r="A126" s="55">
        <f t="shared" si="0"/>
        <v>112</v>
      </c>
      <c r="B126" s="56" t="s">
        <v>325</v>
      </c>
      <c r="C126" s="57"/>
      <c r="D126" s="644"/>
      <c r="E126" s="350"/>
      <c r="F126" s="350"/>
      <c r="G126" s="350"/>
      <c r="H126" s="350"/>
      <c r="I126" s="350"/>
      <c r="J126" s="350"/>
      <c r="K126" s="351"/>
      <c r="L126" s="643"/>
      <c r="M126" s="350"/>
      <c r="N126" s="350"/>
      <c r="O126" s="351"/>
      <c r="P126" s="644"/>
      <c r="Q126" s="350"/>
      <c r="R126" s="350"/>
      <c r="S126" s="351"/>
      <c r="T126" s="643"/>
      <c r="U126" s="350"/>
      <c r="V126" s="350"/>
      <c r="W126" s="351"/>
      <c r="X126" s="644"/>
      <c r="Y126" s="350"/>
      <c r="Z126" s="350"/>
      <c r="AA126" s="351"/>
      <c r="AB126" s="506"/>
      <c r="AC126" s="350"/>
      <c r="AD126" s="351"/>
      <c r="AE126" s="571"/>
      <c r="AF126" s="350"/>
      <c r="AG126" s="351"/>
      <c r="AH126" s="645"/>
      <c r="AI126" s="350"/>
      <c r="AJ126" s="351"/>
      <c r="AK126" s="567"/>
      <c r="AL126" s="350"/>
      <c r="AM126" s="351"/>
      <c r="AN126" s="58"/>
      <c r="AO126" s="59"/>
      <c r="AP126" s="58"/>
      <c r="AQ126" s="59"/>
      <c r="AR126" s="58"/>
      <c r="AS126" s="59"/>
      <c r="AT126" s="58"/>
      <c r="AU126" s="59"/>
      <c r="AV126" s="58"/>
      <c r="AW126" s="59"/>
      <c r="AX126" s="58"/>
      <c r="AY126" s="59"/>
      <c r="AZ126" s="64"/>
      <c r="BA126" s="61"/>
      <c r="BB126" s="64"/>
      <c r="BC126" s="61"/>
      <c r="BD126" s="64"/>
      <c r="BE126" s="61"/>
      <c r="BF126" s="64"/>
      <c r="BG126" s="61"/>
      <c r="BH126" s="64"/>
      <c r="BI126" s="646" t="s">
        <v>298</v>
      </c>
      <c r="BJ126" s="350"/>
      <c r="BK126" s="350"/>
      <c r="BL126" s="350"/>
      <c r="BM126" s="350"/>
      <c r="BN126" s="350"/>
      <c r="BO126" s="350"/>
      <c r="BP126" s="350"/>
      <c r="BQ126" s="350"/>
      <c r="BR126" s="350"/>
      <c r="BS126" s="350"/>
      <c r="BT126" s="350"/>
      <c r="BU126" s="350"/>
      <c r="BV126" s="351"/>
    </row>
    <row r="127" spans="1:74" ht="30" customHeight="1">
      <c r="A127" s="63">
        <f t="shared" si="0"/>
        <v>113</v>
      </c>
      <c r="B127" s="56" t="s">
        <v>325</v>
      </c>
      <c r="C127" s="57"/>
      <c r="D127" s="644"/>
      <c r="E127" s="350"/>
      <c r="F127" s="350"/>
      <c r="G127" s="350"/>
      <c r="H127" s="350"/>
      <c r="I127" s="350"/>
      <c r="J127" s="350"/>
      <c r="K127" s="351"/>
      <c r="L127" s="643"/>
      <c r="M127" s="350"/>
      <c r="N127" s="350"/>
      <c r="O127" s="351"/>
      <c r="P127" s="644"/>
      <c r="Q127" s="350"/>
      <c r="R127" s="350"/>
      <c r="S127" s="351"/>
      <c r="T127" s="643"/>
      <c r="U127" s="350"/>
      <c r="V127" s="350"/>
      <c r="W127" s="351"/>
      <c r="X127" s="644"/>
      <c r="Y127" s="350"/>
      <c r="Z127" s="350"/>
      <c r="AA127" s="351"/>
      <c r="AB127" s="506"/>
      <c r="AC127" s="350"/>
      <c r="AD127" s="351"/>
      <c r="AE127" s="571"/>
      <c r="AF127" s="350"/>
      <c r="AG127" s="351"/>
      <c r="AH127" s="645"/>
      <c r="AI127" s="350"/>
      <c r="AJ127" s="351"/>
      <c r="AK127" s="567"/>
      <c r="AL127" s="350"/>
      <c r="AM127" s="351"/>
      <c r="AN127" s="58"/>
      <c r="AO127" s="59"/>
      <c r="AP127" s="58"/>
      <c r="AQ127" s="59"/>
      <c r="AR127" s="58"/>
      <c r="AS127" s="59"/>
      <c r="AT127" s="58"/>
      <c r="AU127" s="59"/>
      <c r="AV127" s="58"/>
      <c r="AW127" s="59"/>
      <c r="AX127" s="58"/>
      <c r="AY127" s="59"/>
      <c r="AZ127" s="64"/>
      <c r="BA127" s="61"/>
      <c r="BB127" s="64"/>
      <c r="BC127" s="61"/>
      <c r="BD127" s="64"/>
      <c r="BE127" s="61"/>
      <c r="BF127" s="64"/>
      <c r="BG127" s="61"/>
      <c r="BH127" s="64"/>
      <c r="BI127" s="646" t="s">
        <v>298</v>
      </c>
      <c r="BJ127" s="350"/>
      <c r="BK127" s="350"/>
      <c r="BL127" s="350"/>
      <c r="BM127" s="350"/>
      <c r="BN127" s="350"/>
      <c r="BO127" s="350"/>
      <c r="BP127" s="350"/>
      <c r="BQ127" s="350"/>
      <c r="BR127" s="350"/>
      <c r="BS127" s="350"/>
      <c r="BT127" s="350"/>
      <c r="BU127" s="350"/>
      <c r="BV127" s="351"/>
    </row>
    <row r="128" spans="1:74" ht="30" customHeight="1">
      <c r="A128" s="63">
        <f t="shared" si="0"/>
        <v>114</v>
      </c>
      <c r="B128" s="56" t="s">
        <v>325</v>
      </c>
      <c r="C128" s="57"/>
      <c r="D128" s="644"/>
      <c r="E128" s="350"/>
      <c r="F128" s="350"/>
      <c r="G128" s="350"/>
      <c r="H128" s="350"/>
      <c r="I128" s="350"/>
      <c r="J128" s="350"/>
      <c r="K128" s="351"/>
      <c r="L128" s="643"/>
      <c r="M128" s="350"/>
      <c r="N128" s="350"/>
      <c r="O128" s="351"/>
      <c r="P128" s="644"/>
      <c r="Q128" s="350"/>
      <c r="R128" s="350"/>
      <c r="S128" s="351"/>
      <c r="T128" s="643"/>
      <c r="U128" s="350"/>
      <c r="V128" s="350"/>
      <c r="W128" s="351"/>
      <c r="X128" s="644"/>
      <c r="Y128" s="350"/>
      <c r="Z128" s="350"/>
      <c r="AA128" s="351"/>
      <c r="AB128" s="506"/>
      <c r="AC128" s="350"/>
      <c r="AD128" s="351"/>
      <c r="AE128" s="571"/>
      <c r="AF128" s="350"/>
      <c r="AG128" s="351"/>
      <c r="AH128" s="645"/>
      <c r="AI128" s="350"/>
      <c r="AJ128" s="351"/>
      <c r="AK128" s="567"/>
      <c r="AL128" s="350"/>
      <c r="AM128" s="351"/>
      <c r="AN128" s="58"/>
      <c r="AO128" s="59"/>
      <c r="AP128" s="58"/>
      <c r="AQ128" s="59"/>
      <c r="AR128" s="58"/>
      <c r="AS128" s="59"/>
      <c r="AT128" s="58"/>
      <c r="AU128" s="59"/>
      <c r="AV128" s="58"/>
      <c r="AW128" s="59"/>
      <c r="AX128" s="58"/>
      <c r="AY128" s="59"/>
      <c r="AZ128" s="64"/>
      <c r="BA128" s="61"/>
      <c r="BB128" s="64"/>
      <c r="BC128" s="61"/>
      <c r="BD128" s="64"/>
      <c r="BE128" s="61"/>
      <c r="BF128" s="64"/>
      <c r="BG128" s="61"/>
      <c r="BH128" s="64"/>
      <c r="BI128" s="646" t="s">
        <v>298</v>
      </c>
      <c r="BJ128" s="350"/>
      <c r="BK128" s="350"/>
      <c r="BL128" s="350"/>
      <c r="BM128" s="350"/>
      <c r="BN128" s="350"/>
      <c r="BO128" s="350"/>
      <c r="BP128" s="350"/>
      <c r="BQ128" s="350"/>
      <c r="BR128" s="350"/>
      <c r="BS128" s="350"/>
      <c r="BT128" s="350"/>
      <c r="BU128" s="350"/>
      <c r="BV128" s="351"/>
    </row>
    <row r="129" spans="1:74" ht="30" customHeight="1">
      <c r="A129" s="63">
        <f t="shared" si="0"/>
        <v>115</v>
      </c>
      <c r="B129" s="56" t="s">
        <v>325</v>
      </c>
      <c r="C129" s="57"/>
      <c r="D129" s="644"/>
      <c r="E129" s="350"/>
      <c r="F129" s="350"/>
      <c r="G129" s="350"/>
      <c r="H129" s="350"/>
      <c r="I129" s="350"/>
      <c r="J129" s="350"/>
      <c r="K129" s="351"/>
      <c r="L129" s="643"/>
      <c r="M129" s="350"/>
      <c r="N129" s="350"/>
      <c r="O129" s="351"/>
      <c r="P129" s="644"/>
      <c r="Q129" s="350"/>
      <c r="R129" s="350"/>
      <c r="S129" s="351"/>
      <c r="T129" s="643"/>
      <c r="U129" s="350"/>
      <c r="V129" s="350"/>
      <c r="W129" s="351"/>
      <c r="X129" s="644"/>
      <c r="Y129" s="350"/>
      <c r="Z129" s="350"/>
      <c r="AA129" s="351"/>
      <c r="AB129" s="506"/>
      <c r="AC129" s="350"/>
      <c r="AD129" s="351"/>
      <c r="AE129" s="571"/>
      <c r="AF129" s="350"/>
      <c r="AG129" s="351"/>
      <c r="AH129" s="645"/>
      <c r="AI129" s="350"/>
      <c r="AJ129" s="351"/>
      <c r="AK129" s="567"/>
      <c r="AL129" s="350"/>
      <c r="AM129" s="351"/>
      <c r="AN129" s="58"/>
      <c r="AO129" s="59"/>
      <c r="AP129" s="58"/>
      <c r="AQ129" s="59"/>
      <c r="AR129" s="58"/>
      <c r="AS129" s="59"/>
      <c r="AT129" s="58"/>
      <c r="AU129" s="59"/>
      <c r="AV129" s="58"/>
      <c r="AW129" s="59"/>
      <c r="AX129" s="58"/>
      <c r="AY129" s="59"/>
      <c r="AZ129" s="64"/>
      <c r="BA129" s="61"/>
      <c r="BB129" s="64"/>
      <c r="BC129" s="61"/>
      <c r="BD129" s="64"/>
      <c r="BE129" s="61"/>
      <c r="BF129" s="64"/>
      <c r="BG129" s="61"/>
      <c r="BH129" s="64"/>
      <c r="BI129" s="646" t="s">
        <v>298</v>
      </c>
      <c r="BJ129" s="350"/>
      <c r="BK129" s="350"/>
      <c r="BL129" s="350"/>
      <c r="BM129" s="350"/>
      <c r="BN129" s="350"/>
      <c r="BO129" s="350"/>
      <c r="BP129" s="350"/>
      <c r="BQ129" s="350"/>
      <c r="BR129" s="350"/>
      <c r="BS129" s="350"/>
      <c r="BT129" s="350"/>
      <c r="BU129" s="350"/>
      <c r="BV129" s="351"/>
    </row>
    <row r="130" spans="1:74" ht="30" customHeight="1">
      <c r="A130" s="63">
        <f t="shared" si="0"/>
        <v>116</v>
      </c>
      <c r="B130" s="56" t="s">
        <v>325</v>
      </c>
      <c r="C130" s="57"/>
      <c r="D130" s="644"/>
      <c r="E130" s="350"/>
      <c r="F130" s="350"/>
      <c r="G130" s="350"/>
      <c r="H130" s="350"/>
      <c r="I130" s="350"/>
      <c r="J130" s="350"/>
      <c r="K130" s="351"/>
      <c r="L130" s="643"/>
      <c r="M130" s="350"/>
      <c r="N130" s="350"/>
      <c r="O130" s="351"/>
      <c r="P130" s="644"/>
      <c r="Q130" s="350"/>
      <c r="R130" s="350"/>
      <c r="S130" s="351"/>
      <c r="T130" s="643"/>
      <c r="U130" s="350"/>
      <c r="V130" s="350"/>
      <c r="W130" s="351"/>
      <c r="X130" s="644"/>
      <c r="Y130" s="350"/>
      <c r="Z130" s="350"/>
      <c r="AA130" s="351"/>
      <c r="AB130" s="506"/>
      <c r="AC130" s="350"/>
      <c r="AD130" s="351"/>
      <c r="AE130" s="571"/>
      <c r="AF130" s="350"/>
      <c r="AG130" s="351"/>
      <c r="AH130" s="645"/>
      <c r="AI130" s="350"/>
      <c r="AJ130" s="351"/>
      <c r="AK130" s="567"/>
      <c r="AL130" s="350"/>
      <c r="AM130" s="351"/>
      <c r="AN130" s="58"/>
      <c r="AO130" s="59"/>
      <c r="AP130" s="58"/>
      <c r="AQ130" s="59"/>
      <c r="AR130" s="58"/>
      <c r="AS130" s="59"/>
      <c r="AT130" s="58"/>
      <c r="AU130" s="59"/>
      <c r="AV130" s="58"/>
      <c r="AW130" s="59"/>
      <c r="AX130" s="58"/>
      <c r="AY130" s="59"/>
      <c r="AZ130" s="64"/>
      <c r="BA130" s="61"/>
      <c r="BB130" s="64"/>
      <c r="BC130" s="61"/>
      <c r="BD130" s="64"/>
      <c r="BE130" s="61"/>
      <c r="BF130" s="64"/>
      <c r="BG130" s="61"/>
      <c r="BH130" s="64"/>
      <c r="BI130" s="646" t="s">
        <v>298</v>
      </c>
      <c r="BJ130" s="350"/>
      <c r="BK130" s="350"/>
      <c r="BL130" s="350"/>
      <c r="BM130" s="350"/>
      <c r="BN130" s="350"/>
      <c r="BO130" s="350"/>
      <c r="BP130" s="350"/>
      <c r="BQ130" s="350"/>
      <c r="BR130" s="350"/>
      <c r="BS130" s="350"/>
      <c r="BT130" s="350"/>
      <c r="BU130" s="350"/>
      <c r="BV130" s="351"/>
    </row>
    <row r="131" spans="1:74" ht="30" customHeight="1">
      <c r="A131" s="63">
        <f t="shared" si="0"/>
        <v>117</v>
      </c>
      <c r="B131" s="56" t="s">
        <v>325</v>
      </c>
      <c r="C131" s="57"/>
      <c r="D131" s="644"/>
      <c r="E131" s="350"/>
      <c r="F131" s="350"/>
      <c r="G131" s="350"/>
      <c r="H131" s="350"/>
      <c r="I131" s="350"/>
      <c r="J131" s="350"/>
      <c r="K131" s="351"/>
      <c r="L131" s="643"/>
      <c r="M131" s="350"/>
      <c r="N131" s="350"/>
      <c r="O131" s="351"/>
      <c r="P131" s="644"/>
      <c r="Q131" s="350"/>
      <c r="R131" s="350"/>
      <c r="S131" s="351"/>
      <c r="T131" s="643"/>
      <c r="U131" s="350"/>
      <c r="V131" s="350"/>
      <c r="W131" s="351"/>
      <c r="X131" s="644"/>
      <c r="Y131" s="350"/>
      <c r="Z131" s="350"/>
      <c r="AA131" s="351"/>
      <c r="AB131" s="506"/>
      <c r="AC131" s="350"/>
      <c r="AD131" s="351"/>
      <c r="AE131" s="571"/>
      <c r="AF131" s="350"/>
      <c r="AG131" s="351"/>
      <c r="AH131" s="645"/>
      <c r="AI131" s="350"/>
      <c r="AJ131" s="351"/>
      <c r="AK131" s="567"/>
      <c r="AL131" s="350"/>
      <c r="AM131" s="351"/>
      <c r="AN131" s="58"/>
      <c r="AO131" s="59"/>
      <c r="AP131" s="58"/>
      <c r="AQ131" s="59"/>
      <c r="AR131" s="58"/>
      <c r="AS131" s="59"/>
      <c r="AT131" s="58"/>
      <c r="AU131" s="59"/>
      <c r="AV131" s="58"/>
      <c r="AW131" s="59"/>
      <c r="AX131" s="58"/>
      <c r="AY131" s="59"/>
      <c r="AZ131" s="64"/>
      <c r="BA131" s="61"/>
      <c r="BB131" s="64"/>
      <c r="BC131" s="61"/>
      <c r="BD131" s="64"/>
      <c r="BE131" s="61"/>
      <c r="BF131" s="64"/>
      <c r="BG131" s="61"/>
      <c r="BH131" s="64"/>
      <c r="BI131" s="646" t="s">
        <v>294</v>
      </c>
      <c r="BJ131" s="350"/>
      <c r="BK131" s="350"/>
      <c r="BL131" s="350"/>
      <c r="BM131" s="350"/>
      <c r="BN131" s="350"/>
      <c r="BO131" s="350"/>
      <c r="BP131" s="350"/>
      <c r="BQ131" s="350"/>
      <c r="BR131" s="350"/>
      <c r="BS131" s="350"/>
      <c r="BT131" s="350"/>
      <c r="BU131" s="350"/>
      <c r="BV131" s="351"/>
    </row>
    <row r="132" spans="1:74" ht="30" customHeight="1">
      <c r="A132" s="63">
        <f t="shared" si="0"/>
        <v>118</v>
      </c>
      <c r="B132" s="56" t="s">
        <v>325</v>
      </c>
      <c r="C132" s="57"/>
      <c r="D132" s="644"/>
      <c r="E132" s="350"/>
      <c r="F132" s="350"/>
      <c r="G132" s="350"/>
      <c r="H132" s="350"/>
      <c r="I132" s="350"/>
      <c r="J132" s="350"/>
      <c r="K132" s="351"/>
      <c r="L132" s="643"/>
      <c r="M132" s="350"/>
      <c r="N132" s="350"/>
      <c r="O132" s="351"/>
      <c r="P132" s="644"/>
      <c r="Q132" s="350"/>
      <c r="R132" s="350"/>
      <c r="S132" s="351"/>
      <c r="T132" s="643"/>
      <c r="U132" s="350"/>
      <c r="V132" s="350"/>
      <c r="W132" s="351"/>
      <c r="X132" s="644"/>
      <c r="Y132" s="350"/>
      <c r="Z132" s="350"/>
      <c r="AA132" s="351"/>
      <c r="AB132" s="506"/>
      <c r="AC132" s="350"/>
      <c r="AD132" s="351"/>
      <c r="AE132" s="571"/>
      <c r="AF132" s="350"/>
      <c r="AG132" s="351"/>
      <c r="AH132" s="645"/>
      <c r="AI132" s="350"/>
      <c r="AJ132" s="351"/>
      <c r="AK132" s="567"/>
      <c r="AL132" s="350"/>
      <c r="AM132" s="351"/>
      <c r="AN132" s="58"/>
      <c r="AO132" s="59"/>
      <c r="AP132" s="58"/>
      <c r="AQ132" s="59"/>
      <c r="AR132" s="58"/>
      <c r="AS132" s="59"/>
      <c r="AT132" s="58"/>
      <c r="AU132" s="59"/>
      <c r="AV132" s="58"/>
      <c r="AW132" s="59"/>
      <c r="AX132" s="58"/>
      <c r="AY132" s="59"/>
      <c r="AZ132" s="64"/>
      <c r="BA132" s="61"/>
      <c r="BB132" s="64"/>
      <c r="BC132" s="61"/>
      <c r="BD132" s="64"/>
      <c r="BE132" s="61"/>
      <c r="BF132" s="64"/>
      <c r="BG132" s="61"/>
      <c r="BH132" s="64"/>
      <c r="BI132" s="646" t="s">
        <v>294</v>
      </c>
      <c r="BJ132" s="350"/>
      <c r="BK132" s="350"/>
      <c r="BL132" s="350"/>
      <c r="BM132" s="350"/>
      <c r="BN132" s="350"/>
      <c r="BO132" s="350"/>
      <c r="BP132" s="350"/>
      <c r="BQ132" s="350"/>
      <c r="BR132" s="350"/>
      <c r="BS132" s="350"/>
      <c r="BT132" s="350"/>
      <c r="BU132" s="350"/>
      <c r="BV132" s="351"/>
    </row>
    <row r="133" spans="1:74" ht="30" customHeight="1">
      <c r="A133" s="55">
        <f t="shared" si="0"/>
        <v>119</v>
      </c>
      <c r="B133" s="56" t="s">
        <v>325</v>
      </c>
      <c r="C133" s="57"/>
      <c r="D133" s="644"/>
      <c r="E133" s="350"/>
      <c r="F133" s="350"/>
      <c r="G133" s="350"/>
      <c r="H133" s="350"/>
      <c r="I133" s="350"/>
      <c r="J133" s="350"/>
      <c r="K133" s="351"/>
      <c r="L133" s="643"/>
      <c r="M133" s="350"/>
      <c r="N133" s="350"/>
      <c r="O133" s="351"/>
      <c r="P133" s="644"/>
      <c r="Q133" s="350"/>
      <c r="R133" s="350"/>
      <c r="S133" s="351"/>
      <c r="T133" s="643"/>
      <c r="U133" s="350"/>
      <c r="V133" s="350"/>
      <c r="W133" s="351"/>
      <c r="X133" s="644"/>
      <c r="Y133" s="350"/>
      <c r="Z133" s="350"/>
      <c r="AA133" s="351"/>
      <c r="AB133" s="506"/>
      <c r="AC133" s="350"/>
      <c r="AD133" s="351"/>
      <c r="AE133" s="571"/>
      <c r="AF133" s="350"/>
      <c r="AG133" s="351"/>
      <c r="AH133" s="645"/>
      <c r="AI133" s="350"/>
      <c r="AJ133" s="351"/>
      <c r="AK133" s="567"/>
      <c r="AL133" s="350"/>
      <c r="AM133" s="351"/>
      <c r="AN133" s="58"/>
      <c r="AO133" s="59"/>
      <c r="AP133" s="58"/>
      <c r="AQ133" s="59"/>
      <c r="AR133" s="58"/>
      <c r="AS133" s="59"/>
      <c r="AT133" s="58"/>
      <c r="AU133" s="59"/>
      <c r="AV133" s="58"/>
      <c r="AW133" s="59"/>
      <c r="AX133" s="58"/>
      <c r="AY133" s="59"/>
      <c r="AZ133" s="64"/>
      <c r="BA133" s="61"/>
      <c r="BB133" s="64"/>
      <c r="BC133" s="61"/>
      <c r="BD133" s="64"/>
      <c r="BE133" s="61"/>
      <c r="BF133" s="64"/>
      <c r="BG133" s="61"/>
      <c r="BH133" s="64"/>
      <c r="BI133" s="646" t="s">
        <v>298</v>
      </c>
      <c r="BJ133" s="350"/>
      <c r="BK133" s="350"/>
      <c r="BL133" s="350"/>
      <c r="BM133" s="350"/>
      <c r="BN133" s="350"/>
      <c r="BO133" s="350"/>
      <c r="BP133" s="350"/>
      <c r="BQ133" s="350"/>
      <c r="BR133" s="350"/>
      <c r="BS133" s="350"/>
      <c r="BT133" s="350"/>
      <c r="BU133" s="350"/>
      <c r="BV133" s="351"/>
    </row>
    <row r="134" spans="1:74" ht="30" customHeight="1">
      <c r="A134" s="63">
        <f t="shared" si="0"/>
        <v>120</v>
      </c>
      <c r="B134" s="56" t="s">
        <v>325</v>
      </c>
      <c r="C134" s="57"/>
      <c r="D134" s="644"/>
      <c r="E134" s="350"/>
      <c r="F134" s="350"/>
      <c r="G134" s="350"/>
      <c r="H134" s="350"/>
      <c r="I134" s="350"/>
      <c r="J134" s="350"/>
      <c r="K134" s="351"/>
      <c r="L134" s="643"/>
      <c r="M134" s="350"/>
      <c r="N134" s="350"/>
      <c r="O134" s="351"/>
      <c r="P134" s="644"/>
      <c r="Q134" s="350"/>
      <c r="R134" s="350"/>
      <c r="S134" s="351"/>
      <c r="T134" s="643"/>
      <c r="U134" s="350"/>
      <c r="V134" s="350"/>
      <c r="W134" s="351"/>
      <c r="X134" s="644"/>
      <c r="Y134" s="350"/>
      <c r="Z134" s="350"/>
      <c r="AA134" s="351"/>
      <c r="AB134" s="506"/>
      <c r="AC134" s="350"/>
      <c r="AD134" s="351"/>
      <c r="AE134" s="571"/>
      <c r="AF134" s="350"/>
      <c r="AG134" s="351"/>
      <c r="AH134" s="645"/>
      <c r="AI134" s="350"/>
      <c r="AJ134" s="351"/>
      <c r="AK134" s="567"/>
      <c r="AL134" s="350"/>
      <c r="AM134" s="351"/>
      <c r="AN134" s="58"/>
      <c r="AO134" s="59"/>
      <c r="AP134" s="58"/>
      <c r="AQ134" s="59"/>
      <c r="AR134" s="58"/>
      <c r="AS134" s="59"/>
      <c r="AT134" s="58"/>
      <c r="AU134" s="59"/>
      <c r="AV134" s="58"/>
      <c r="AW134" s="59"/>
      <c r="AX134" s="58"/>
      <c r="AY134" s="59"/>
      <c r="AZ134" s="64"/>
      <c r="BA134" s="61"/>
      <c r="BB134" s="64"/>
      <c r="BC134" s="61"/>
      <c r="BD134" s="64"/>
      <c r="BE134" s="61"/>
      <c r="BF134" s="64"/>
      <c r="BG134" s="61"/>
      <c r="BH134" s="64"/>
      <c r="BI134" s="646" t="s">
        <v>298</v>
      </c>
      <c r="BJ134" s="350"/>
      <c r="BK134" s="350"/>
      <c r="BL134" s="350"/>
      <c r="BM134" s="350"/>
      <c r="BN134" s="350"/>
      <c r="BO134" s="350"/>
      <c r="BP134" s="350"/>
      <c r="BQ134" s="350"/>
      <c r="BR134" s="350"/>
      <c r="BS134" s="350"/>
      <c r="BT134" s="350"/>
      <c r="BU134" s="350"/>
      <c r="BV134" s="351"/>
    </row>
    <row r="135" spans="1:74" ht="30" customHeight="1">
      <c r="A135" s="63">
        <f t="shared" si="0"/>
        <v>121</v>
      </c>
      <c r="B135" s="56" t="s">
        <v>325</v>
      </c>
      <c r="C135" s="57"/>
      <c r="D135" s="644"/>
      <c r="E135" s="350"/>
      <c r="F135" s="350"/>
      <c r="G135" s="350"/>
      <c r="H135" s="350"/>
      <c r="I135" s="350"/>
      <c r="J135" s="350"/>
      <c r="K135" s="351"/>
      <c r="L135" s="643"/>
      <c r="M135" s="350"/>
      <c r="N135" s="350"/>
      <c r="O135" s="351"/>
      <c r="P135" s="644"/>
      <c r="Q135" s="350"/>
      <c r="R135" s="350"/>
      <c r="S135" s="351"/>
      <c r="T135" s="643"/>
      <c r="U135" s="350"/>
      <c r="V135" s="350"/>
      <c r="W135" s="351"/>
      <c r="X135" s="644"/>
      <c r="Y135" s="350"/>
      <c r="Z135" s="350"/>
      <c r="AA135" s="351"/>
      <c r="AB135" s="506"/>
      <c r="AC135" s="350"/>
      <c r="AD135" s="351"/>
      <c r="AE135" s="571"/>
      <c r="AF135" s="350"/>
      <c r="AG135" s="351"/>
      <c r="AH135" s="645"/>
      <c r="AI135" s="350"/>
      <c r="AJ135" s="351"/>
      <c r="AK135" s="567"/>
      <c r="AL135" s="350"/>
      <c r="AM135" s="351"/>
      <c r="AN135" s="58"/>
      <c r="AO135" s="59"/>
      <c r="AP135" s="58"/>
      <c r="AQ135" s="59"/>
      <c r="AR135" s="58"/>
      <c r="AS135" s="59"/>
      <c r="AT135" s="58"/>
      <c r="AU135" s="59"/>
      <c r="AV135" s="58"/>
      <c r="AW135" s="59"/>
      <c r="AX135" s="58"/>
      <c r="AY135" s="59"/>
      <c r="AZ135" s="64"/>
      <c r="BA135" s="61"/>
      <c r="BB135" s="64"/>
      <c r="BC135" s="61"/>
      <c r="BD135" s="64"/>
      <c r="BE135" s="61"/>
      <c r="BF135" s="64"/>
      <c r="BG135" s="61"/>
      <c r="BH135" s="64"/>
      <c r="BI135" s="646" t="s">
        <v>298</v>
      </c>
      <c r="BJ135" s="350"/>
      <c r="BK135" s="350"/>
      <c r="BL135" s="350"/>
      <c r="BM135" s="350"/>
      <c r="BN135" s="350"/>
      <c r="BO135" s="350"/>
      <c r="BP135" s="350"/>
      <c r="BQ135" s="350"/>
      <c r="BR135" s="350"/>
      <c r="BS135" s="350"/>
      <c r="BT135" s="350"/>
      <c r="BU135" s="350"/>
      <c r="BV135" s="351"/>
    </row>
    <row r="136" spans="1:74" ht="30" customHeight="1">
      <c r="A136" s="63">
        <f t="shared" si="0"/>
        <v>122</v>
      </c>
      <c r="B136" s="56" t="s">
        <v>325</v>
      </c>
      <c r="C136" s="57"/>
      <c r="D136" s="644"/>
      <c r="E136" s="350"/>
      <c r="F136" s="350"/>
      <c r="G136" s="350"/>
      <c r="H136" s="350"/>
      <c r="I136" s="350"/>
      <c r="J136" s="350"/>
      <c r="K136" s="351"/>
      <c r="L136" s="643"/>
      <c r="M136" s="350"/>
      <c r="N136" s="350"/>
      <c r="O136" s="351"/>
      <c r="P136" s="644"/>
      <c r="Q136" s="350"/>
      <c r="R136" s="350"/>
      <c r="S136" s="351"/>
      <c r="T136" s="643"/>
      <c r="U136" s="350"/>
      <c r="V136" s="350"/>
      <c r="W136" s="351"/>
      <c r="X136" s="644"/>
      <c r="Y136" s="350"/>
      <c r="Z136" s="350"/>
      <c r="AA136" s="351"/>
      <c r="AB136" s="506"/>
      <c r="AC136" s="350"/>
      <c r="AD136" s="351"/>
      <c r="AE136" s="571"/>
      <c r="AF136" s="350"/>
      <c r="AG136" s="351"/>
      <c r="AH136" s="645"/>
      <c r="AI136" s="350"/>
      <c r="AJ136" s="351"/>
      <c r="AK136" s="567"/>
      <c r="AL136" s="350"/>
      <c r="AM136" s="351"/>
      <c r="AN136" s="58"/>
      <c r="AO136" s="59"/>
      <c r="AP136" s="58"/>
      <c r="AQ136" s="59"/>
      <c r="AR136" s="58"/>
      <c r="AS136" s="59"/>
      <c r="AT136" s="58"/>
      <c r="AU136" s="59"/>
      <c r="AV136" s="58"/>
      <c r="AW136" s="59"/>
      <c r="AX136" s="58"/>
      <c r="AY136" s="59"/>
      <c r="AZ136" s="64"/>
      <c r="BA136" s="61"/>
      <c r="BB136" s="64"/>
      <c r="BC136" s="61"/>
      <c r="BD136" s="64"/>
      <c r="BE136" s="61"/>
      <c r="BF136" s="64"/>
      <c r="BG136" s="61"/>
      <c r="BH136" s="64"/>
      <c r="BI136" s="646" t="s">
        <v>298</v>
      </c>
      <c r="BJ136" s="350"/>
      <c r="BK136" s="350"/>
      <c r="BL136" s="350"/>
      <c r="BM136" s="350"/>
      <c r="BN136" s="350"/>
      <c r="BO136" s="350"/>
      <c r="BP136" s="350"/>
      <c r="BQ136" s="350"/>
      <c r="BR136" s="350"/>
      <c r="BS136" s="350"/>
      <c r="BT136" s="350"/>
      <c r="BU136" s="350"/>
      <c r="BV136" s="351"/>
    </row>
    <row r="137" spans="1:74" ht="30" customHeight="1">
      <c r="A137" s="63">
        <f t="shared" si="0"/>
        <v>123</v>
      </c>
      <c r="B137" s="56" t="s">
        <v>325</v>
      </c>
      <c r="C137" s="57"/>
      <c r="D137" s="644"/>
      <c r="E137" s="350"/>
      <c r="F137" s="350"/>
      <c r="G137" s="350"/>
      <c r="H137" s="350"/>
      <c r="I137" s="350"/>
      <c r="J137" s="350"/>
      <c r="K137" s="351"/>
      <c r="L137" s="643"/>
      <c r="M137" s="350"/>
      <c r="N137" s="350"/>
      <c r="O137" s="351"/>
      <c r="P137" s="644"/>
      <c r="Q137" s="350"/>
      <c r="R137" s="350"/>
      <c r="S137" s="351"/>
      <c r="T137" s="643"/>
      <c r="U137" s="350"/>
      <c r="V137" s="350"/>
      <c r="W137" s="351"/>
      <c r="X137" s="644"/>
      <c r="Y137" s="350"/>
      <c r="Z137" s="350"/>
      <c r="AA137" s="351"/>
      <c r="AB137" s="506"/>
      <c r="AC137" s="350"/>
      <c r="AD137" s="351"/>
      <c r="AE137" s="571"/>
      <c r="AF137" s="350"/>
      <c r="AG137" s="351"/>
      <c r="AH137" s="645"/>
      <c r="AI137" s="350"/>
      <c r="AJ137" s="351"/>
      <c r="AK137" s="567"/>
      <c r="AL137" s="350"/>
      <c r="AM137" s="351"/>
      <c r="AN137" s="58"/>
      <c r="AO137" s="59"/>
      <c r="AP137" s="58"/>
      <c r="AQ137" s="59"/>
      <c r="AR137" s="58"/>
      <c r="AS137" s="59"/>
      <c r="AT137" s="58"/>
      <c r="AU137" s="59"/>
      <c r="AV137" s="58"/>
      <c r="AW137" s="59"/>
      <c r="AX137" s="58"/>
      <c r="AY137" s="59"/>
      <c r="AZ137" s="64"/>
      <c r="BA137" s="61"/>
      <c r="BB137" s="64"/>
      <c r="BC137" s="61"/>
      <c r="BD137" s="64"/>
      <c r="BE137" s="61"/>
      <c r="BF137" s="64"/>
      <c r="BG137" s="61"/>
      <c r="BH137" s="64"/>
      <c r="BI137" s="646" t="s">
        <v>298</v>
      </c>
      <c r="BJ137" s="350"/>
      <c r="BK137" s="350"/>
      <c r="BL137" s="350"/>
      <c r="BM137" s="350"/>
      <c r="BN137" s="350"/>
      <c r="BO137" s="350"/>
      <c r="BP137" s="350"/>
      <c r="BQ137" s="350"/>
      <c r="BR137" s="350"/>
      <c r="BS137" s="350"/>
      <c r="BT137" s="350"/>
      <c r="BU137" s="350"/>
      <c r="BV137" s="351"/>
    </row>
    <row r="138" spans="1:74" ht="30" customHeight="1">
      <c r="A138" s="63">
        <f t="shared" si="0"/>
        <v>124</v>
      </c>
      <c r="B138" s="56" t="s">
        <v>325</v>
      </c>
      <c r="C138" s="57"/>
      <c r="D138" s="644"/>
      <c r="E138" s="350"/>
      <c r="F138" s="350"/>
      <c r="G138" s="350"/>
      <c r="H138" s="350"/>
      <c r="I138" s="350"/>
      <c r="J138" s="350"/>
      <c r="K138" s="351"/>
      <c r="L138" s="643"/>
      <c r="M138" s="350"/>
      <c r="N138" s="350"/>
      <c r="O138" s="351"/>
      <c r="P138" s="644"/>
      <c r="Q138" s="350"/>
      <c r="R138" s="350"/>
      <c r="S138" s="351"/>
      <c r="T138" s="643"/>
      <c r="U138" s="350"/>
      <c r="V138" s="350"/>
      <c r="W138" s="351"/>
      <c r="X138" s="644"/>
      <c r="Y138" s="350"/>
      <c r="Z138" s="350"/>
      <c r="AA138" s="351"/>
      <c r="AB138" s="506"/>
      <c r="AC138" s="350"/>
      <c r="AD138" s="351"/>
      <c r="AE138" s="571"/>
      <c r="AF138" s="350"/>
      <c r="AG138" s="351"/>
      <c r="AH138" s="645"/>
      <c r="AI138" s="350"/>
      <c r="AJ138" s="351"/>
      <c r="AK138" s="567"/>
      <c r="AL138" s="350"/>
      <c r="AM138" s="351"/>
      <c r="AN138" s="58"/>
      <c r="AO138" s="59"/>
      <c r="AP138" s="58"/>
      <c r="AQ138" s="59"/>
      <c r="AR138" s="58"/>
      <c r="AS138" s="59"/>
      <c r="AT138" s="58"/>
      <c r="AU138" s="59"/>
      <c r="AV138" s="58"/>
      <c r="AW138" s="59"/>
      <c r="AX138" s="58"/>
      <c r="AY138" s="59"/>
      <c r="AZ138" s="64"/>
      <c r="BA138" s="61"/>
      <c r="BB138" s="64"/>
      <c r="BC138" s="61"/>
      <c r="BD138" s="64"/>
      <c r="BE138" s="61"/>
      <c r="BF138" s="64"/>
      <c r="BG138" s="61"/>
      <c r="BH138" s="64"/>
      <c r="BI138" s="646" t="s">
        <v>294</v>
      </c>
      <c r="BJ138" s="350"/>
      <c r="BK138" s="350"/>
      <c r="BL138" s="350"/>
      <c r="BM138" s="350"/>
      <c r="BN138" s="350"/>
      <c r="BO138" s="350"/>
      <c r="BP138" s="350"/>
      <c r="BQ138" s="350"/>
      <c r="BR138" s="350"/>
      <c r="BS138" s="350"/>
      <c r="BT138" s="350"/>
      <c r="BU138" s="350"/>
      <c r="BV138" s="351"/>
    </row>
    <row r="139" spans="1:74" ht="30" customHeight="1">
      <c r="A139" s="63">
        <f t="shared" si="0"/>
        <v>125</v>
      </c>
      <c r="B139" s="56" t="s">
        <v>325</v>
      </c>
      <c r="C139" s="57"/>
      <c r="D139" s="644"/>
      <c r="E139" s="350"/>
      <c r="F139" s="350"/>
      <c r="G139" s="350"/>
      <c r="H139" s="350"/>
      <c r="I139" s="350"/>
      <c r="J139" s="350"/>
      <c r="K139" s="351"/>
      <c r="L139" s="643"/>
      <c r="M139" s="350"/>
      <c r="N139" s="350"/>
      <c r="O139" s="351"/>
      <c r="P139" s="644"/>
      <c r="Q139" s="350"/>
      <c r="R139" s="350"/>
      <c r="S139" s="351"/>
      <c r="T139" s="643"/>
      <c r="U139" s="350"/>
      <c r="V139" s="350"/>
      <c r="W139" s="351"/>
      <c r="X139" s="644"/>
      <c r="Y139" s="350"/>
      <c r="Z139" s="350"/>
      <c r="AA139" s="351"/>
      <c r="AB139" s="506"/>
      <c r="AC139" s="350"/>
      <c r="AD139" s="351"/>
      <c r="AE139" s="571"/>
      <c r="AF139" s="350"/>
      <c r="AG139" s="351"/>
      <c r="AH139" s="645"/>
      <c r="AI139" s="350"/>
      <c r="AJ139" s="351"/>
      <c r="AK139" s="567"/>
      <c r="AL139" s="350"/>
      <c r="AM139" s="351"/>
      <c r="AN139" s="58"/>
      <c r="AO139" s="59"/>
      <c r="AP139" s="58"/>
      <c r="AQ139" s="59"/>
      <c r="AR139" s="58"/>
      <c r="AS139" s="59"/>
      <c r="AT139" s="58"/>
      <c r="AU139" s="59"/>
      <c r="AV139" s="58"/>
      <c r="AW139" s="59"/>
      <c r="AX139" s="58"/>
      <c r="AY139" s="59"/>
      <c r="AZ139" s="64"/>
      <c r="BA139" s="61"/>
      <c r="BB139" s="64"/>
      <c r="BC139" s="61"/>
      <c r="BD139" s="64"/>
      <c r="BE139" s="61"/>
      <c r="BF139" s="64"/>
      <c r="BG139" s="61"/>
      <c r="BH139" s="64"/>
      <c r="BI139" s="646" t="s">
        <v>294</v>
      </c>
      <c r="BJ139" s="350"/>
      <c r="BK139" s="350"/>
      <c r="BL139" s="350"/>
      <c r="BM139" s="350"/>
      <c r="BN139" s="350"/>
      <c r="BO139" s="350"/>
      <c r="BP139" s="350"/>
      <c r="BQ139" s="350"/>
      <c r="BR139" s="350"/>
      <c r="BS139" s="350"/>
      <c r="BT139" s="350"/>
      <c r="BU139" s="350"/>
      <c r="BV139" s="351"/>
    </row>
    <row r="140" spans="1:74" ht="30" customHeight="1">
      <c r="A140" s="55">
        <f t="shared" si="0"/>
        <v>126</v>
      </c>
      <c r="B140" s="56" t="s">
        <v>325</v>
      </c>
      <c r="C140" s="57"/>
      <c r="D140" s="644"/>
      <c r="E140" s="350"/>
      <c r="F140" s="350"/>
      <c r="G140" s="350"/>
      <c r="H140" s="350"/>
      <c r="I140" s="350"/>
      <c r="J140" s="350"/>
      <c r="K140" s="351"/>
      <c r="L140" s="643"/>
      <c r="M140" s="350"/>
      <c r="N140" s="350"/>
      <c r="O140" s="351"/>
      <c r="P140" s="644"/>
      <c r="Q140" s="350"/>
      <c r="R140" s="350"/>
      <c r="S140" s="351"/>
      <c r="T140" s="643"/>
      <c r="U140" s="350"/>
      <c r="V140" s="350"/>
      <c r="W140" s="351"/>
      <c r="X140" s="644"/>
      <c r="Y140" s="350"/>
      <c r="Z140" s="350"/>
      <c r="AA140" s="351"/>
      <c r="AB140" s="506"/>
      <c r="AC140" s="350"/>
      <c r="AD140" s="351"/>
      <c r="AE140" s="571"/>
      <c r="AF140" s="350"/>
      <c r="AG140" s="351"/>
      <c r="AH140" s="645"/>
      <c r="AI140" s="350"/>
      <c r="AJ140" s="351"/>
      <c r="AK140" s="567"/>
      <c r="AL140" s="350"/>
      <c r="AM140" s="351"/>
      <c r="AN140" s="58"/>
      <c r="AO140" s="59"/>
      <c r="AP140" s="58"/>
      <c r="AQ140" s="59"/>
      <c r="AR140" s="58"/>
      <c r="AS140" s="59"/>
      <c r="AT140" s="58"/>
      <c r="AU140" s="59"/>
      <c r="AV140" s="58"/>
      <c r="AW140" s="59"/>
      <c r="AX140" s="58"/>
      <c r="AY140" s="59"/>
      <c r="AZ140" s="64"/>
      <c r="BA140" s="61"/>
      <c r="BB140" s="64"/>
      <c r="BC140" s="61"/>
      <c r="BD140" s="64"/>
      <c r="BE140" s="61"/>
      <c r="BF140" s="64"/>
      <c r="BG140" s="61"/>
      <c r="BH140" s="64"/>
      <c r="BI140" s="646" t="s">
        <v>298</v>
      </c>
      <c r="BJ140" s="350"/>
      <c r="BK140" s="350"/>
      <c r="BL140" s="350"/>
      <c r="BM140" s="350"/>
      <c r="BN140" s="350"/>
      <c r="BO140" s="350"/>
      <c r="BP140" s="350"/>
      <c r="BQ140" s="350"/>
      <c r="BR140" s="350"/>
      <c r="BS140" s="350"/>
      <c r="BT140" s="350"/>
      <c r="BU140" s="350"/>
      <c r="BV140" s="351"/>
    </row>
    <row r="141" spans="1:74" ht="30" customHeight="1">
      <c r="A141" s="63">
        <f t="shared" si="0"/>
        <v>127</v>
      </c>
      <c r="B141" s="56" t="s">
        <v>325</v>
      </c>
      <c r="C141" s="57"/>
      <c r="D141" s="644"/>
      <c r="E141" s="350"/>
      <c r="F141" s="350"/>
      <c r="G141" s="350"/>
      <c r="H141" s="350"/>
      <c r="I141" s="350"/>
      <c r="J141" s="350"/>
      <c r="K141" s="351"/>
      <c r="L141" s="643"/>
      <c r="M141" s="350"/>
      <c r="N141" s="350"/>
      <c r="O141" s="351"/>
      <c r="P141" s="644"/>
      <c r="Q141" s="350"/>
      <c r="R141" s="350"/>
      <c r="S141" s="351"/>
      <c r="T141" s="643"/>
      <c r="U141" s="350"/>
      <c r="V141" s="350"/>
      <c r="W141" s="351"/>
      <c r="X141" s="644"/>
      <c r="Y141" s="350"/>
      <c r="Z141" s="350"/>
      <c r="AA141" s="351"/>
      <c r="AB141" s="506"/>
      <c r="AC141" s="350"/>
      <c r="AD141" s="351"/>
      <c r="AE141" s="571"/>
      <c r="AF141" s="350"/>
      <c r="AG141" s="351"/>
      <c r="AH141" s="645"/>
      <c r="AI141" s="350"/>
      <c r="AJ141" s="351"/>
      <c r="AK141" s="567"/>
      <c r="AL141" s="350"/>
      <c r="AM141" s="351"/>
      <c r="AN141" s="58"/>
      <c r="AO141" s="59"/>
      <c r="AP141" s="58"/>
      <c r="AQ141" s="59"/>
      <c r="AR141" s="58"/>
      <c r="AS141" s="59"/>
      <c r="AT141" s="58"/>
      <c r="AU141" s="59"/>
      <c r="AV141" s="58"/>
      <c r="AW141" s="59"/>
      <c r="AX141" s="58"/>
      <c r="AY141" s="59"/>
      <c r="AZ141" s="64"/>
      <c r="BA141" s="61"/>
      <c r="BB141" s="64"/>
      <c r="BC141" s="61"/>
      <c r="BD141" s="64"/>
      <c r="BE141" s="61"/>
      <c r="BF141" s="64"/>
      <c r="BG141" s="61"/>
      <c r="BH141" s="64"/>
      <c r="BI141" s="646" t="s">
        <v>298</v>
      </c>
      <c r="BJ141" s="350"/>
      <c r="BK141" s="350"/>
      <c r="BL141" s="350"/>
      <c r="BM141" s="350"/>
      <c r="BN141" s="350"/>
      <c r="BO141" s="350"/>
      <c r="BP141" s="350"/>
      <c r="BQ141" s="350"/>
      <c r="BR141" s="350"/>
      <c r="BS141" s="350"/>
      <c r="BT141" s="350"/>
      <c r="BU141" s="350"/>
      <c r="BV141" s="351"/>
    </row>
    <row r="142" spans="1:74" ht="30" customHeight="1">
      <c r="A142" s="63">
        <f t="shared" si="0"/>
        <v>128</v>
      </c>
      <c r="B142" s="56" t="s">
        <v>325</v>
      </c>
      <c r="C142" s="57"/>
      <c r="D142" s="644"/>
      <c r="E142" s="350"/>
      <c r="F142" s="350"/>
      <c r="G142" s="350"/>
      <c r="H142" s="350"/>
      <c r="I142" s="350"/>
      <c r="J142" s="350"/>
      <c r="K142" s="351"/>
      <c r="L142" s="643"/>
      <c r="M142" s="350"/>
      <c r="N142" s="350"/>
      <c r="O142" s="351"/>
      <c r="P142" s="644"/>
      <c r="Q142" s="350"/>
      <c r="R142" s="350"/>
      <c r="S142" s="351"/>
      <c r="T142" s="643"/>
      <c r="U142" s="350"/>
      <c r="V142" s="350"/>
      <c r="W142" s="351"/>
      <c r="X142" s="644"/>
      <c r="Y142" s="350"/>
      <c r="Z142" s="350"/>
      <c r="AA142" s="351"/>
      <c r="AB142" s="506"/>
      <c r="AC142" s="350"/>
      <c r="AD142" s="351"/>
      <c r="AE142" s="571"/>
      <c r="AF142" s="350"/>
      <c r="AG142" s="351"/>
      <c r="AH142" s="645"/>
      <c r="AI142" s="350"/>
      <c r="AJ142" s="351"/>
      <c r="AK142" s="567"/>
      <c r="AL142" s="350"/>
      <c r="AM142" s="351"/>
      <c r="AN142" s="58"/>
      <c r="AO142" s="59"/>
      <c r="AP142" s="58"/>
      <c r="AQ142" s="59"/>
      <c r="AR142" s="58"/>
      <c r="AS142" s="59"/>
      <c r="AT142" s="58"/>
      <c r="AU142" s="59"/>
      <c r="AV142" s="58"/>
      <c r="AW142" s="59"/>
      <c r="AX142" s="58"/>
      <c r="AY142" s="59"/>
      <c r="AZ142" s="64"/>
      <c r="BA142" s="61"/>
      <c r="BB142" s="64"/>
      <c r="BC142" s="61"/>
      <c r="BD142" s="64"/>
      <c r="BE142" s="61"/>
      <c r="BF142" s="64"/>
      <c r="BG142" s="61"/>
      <c r="BH142" s="64"/>
      <c r="BI142" s="646" t="s">
        <v>298</v>
      </c>
      <c r="BJ142" s="350"/>
      <c r="BK142" s="350"/>
      <c r="BL142" s="350"/>
      <c r="BM142" s="350"/>
      <c r="BN142" s="350"/>
      <c r="BO142" s="350"/>
      <c r="BP142" s="350"/>
      <c r="BQ142" s="350"/>
      <c r="BR142" s="350"/>
      <c r="BS142" s="350"/>
      <c r="BT142" s="350"/>
      <c r="BU142" s="350"/>
      <c r="BV142" s="351"/>
    </row>
    <row r="143" spans="1:74" ht="30" customHeight="1">
      <c r="A143" s="63">
        <f t="shared" si="0"/>
        <v>129</v>
      </c>
      <c r="B143" s="56" t="s">
        <v>325</v>
      </c>
      <c r="C143" s="57"/>
      <c r="D143" s="644"/>
      <c r="E143" s="350"/>
      <c r="F143" s="350"/>
      <c r="G143" s="350"/>
      <c r="H143" s="350"/>
      <c r="I143" s="350"/>
      <c r="J143" s="350"/>
      <c r="K143" s="351"/>
      <c r="L143" s="643"/>
      <c r="M143" s="350"/>
      <c r="N143" s="350"/>
      <c r="O143" s="351"/>
      <c r="P143" s="644"/>
      <c r="Q143" s="350"/>
      <c r="R143" s="350"/>
      <c r="S143" s="351"/>
      <c r="T143" s="643"/>
      <c r="U143" s="350"/>
      <c r="V143" s="350"/>
      <c r="W143" s="351"/>
      <c r="X143" s="644"/>
      <c r="Y143" s="350"/>
      <c r="Z143" s="350"/>
      <c r="AA143" s="351"/>
      <c r="AB143" s="506"/>
      <c r="AC143" s="350"/>
      <c r="AD143" s="351"/>
      <c r="AE143" s="571"/>
      <c r="AF143" s="350"/>
      <c r="AG143" s="351"/>
      <c r="AH143" s="645"/>
      <c r="AI143" s="350"/>
      <c r="AJ143" s="351"/>
      <c r="AK143" s="567"/>
      <c r="AL143" s="350"/>
      <c r="AM143" s="351"/>
      <c r="AN143" s="58"/>
      <c r="AO143" s="59"/>
      <c r="AP143" s="58"/>
      <c r="AQ143" s="59"/>
      <c r="AR143" s="58"/>
      <c r="AS143" s="59"/>
      <c r="AT143" s="58"/>
      <c r="AU143" s="59"/>
      <c r="AV143" s="58"/>
      <c r="AW143" s="59"/>
      <c r="AX143" s="58"/>
      <c r="AY143" s="59"/>
      <c r="AZ143" s="64"/>
      <c r="BA143" s="61"/>
      <c r="BB143" s="64"/>
      <c r="BC143" s="61"/>
      <c r="BD143" s="64"/>
      <c r="BE143" s="61"/>
      <c r="BF143" s="64"/>
      <c r="BG143" s="61"/>
      <c r="BH143" s="64"/>
      <c r="BI143" s="646" t="s">
        <v>298</v>
      </c>
      <c r="BJ143" s="350"/>
      <c r="BK143" s="350"/>
      <c r="BL143" s="350"/>
      <c r="BM143" s="350"/>
      <c r="BN143" s="350"/>
      <c r="BO143" s="350"/>
      <c r="BP143" s="350"/>
      <c r="BQ143" s="350"/>
      <c r="BR143" s="350"/>
      <c r="BS143" s="350"/>
      <c r="BT143" s="350"/>
      <c r="BU143" s="350"/>
      <c r="BV143" s="351"/>
    </row>
    <row r="144" spans="1:74" ht="30" customHeight="1">
      <c r="A144" s="63">
        <f t="shared" si="0"/>
        <v>130</v>
      </c>
      <c r="B144" s="56" t="s">
        <v>325</v>
      </c>
      <c r="C144" s="57"/>
      <c r="D144" s="644"/>
      <c r="E144" s="350"/>
      <c r="F144" s="350"/>
      <c r="G144" s="350"/>
      <c r="H144" s="350"/>
      <c r="I144" s="350"/>
      <c r="J144" s="350"/>
      <c r="K144" s="351"/>
      <c r="L144" s="643"/>
      <c r="M144" s="350"/>
      <c r="N144" s="350"/>
      <c r="O144" s="351"/>
      <c r="P144" s="644"/>
      <c r="Q144" s="350"/>
      <c r="R144" s="350"/>
      <c r="S144" s="351"/>
      <c r="T144" s="643"/>
      <c r="U144" s="350"/>
      <c r="V144" s="350"/>
      <c r="W144" s="351"/>
      <c r="X144" s="644"/>
      <c r="Y144" s="350"/>
      <c r="Z144" s="350"/>
      <c r="AA144" s="351"/>
      <c r="AB144" s="506"/>
      <c r="AC144" s="350"/>
      <c r="AD144" s="351"/>
      <c r="AE144" s="571"/>
      <c r="AF144" s="350"/>
      <c r="AG144" s="351"/>
      <c r="AH144" s="645"/>
      <c r="AI144" s="350"/>
      <c r="AJ144" s="351"/>
      <c r="AK144" s="567"/>
      <c r="AL144" s="350"/>
      <c r="AM144" s="351"/>
      <c r="AN144" s="58"/>
      <c r="AO144" s="59"/>
      <c r="AP144" s="58"/>
      <c r="AQ144" s="59"/>
      <c r="AR144" s="58"/>
      <c r="AS144" s="59"/>
      <c r="AT144" s="58"/>
      <c r="AU144" s="59"/>
      <c r="AV144" s="58"/>
      <c r="AW144" s="59"/>
      <c r="AX144" s="58"/>
      <c r="AY144" s="59"/>
      <c r="AZ144" s="64"/>
      <c r="BA144" s="61"/>
      <c r="BB144" s="64"/>
      <c r="BC144" s="61"/>
      <c r="BD144" s="64"/>
      <c r="BE144" s="61"/>
      <c r="BF144" s="64"/>
      <c r="BG144" s="61"/>
      <c r="BH144" s="64"/>
      <c r="BI144" s="646" t="s">
        <v>298</v>
      </c>
      <c r="BJ144" s="350"/>
      <c r="BK144" s="350"/>
      <c r="BL144" s="350"/>
      <c r="BM144" s="350"/>
      <c r="BN144" s="350"/>
      <c r="BO144" s="350"/>
      <c r="BP144" s="350"/>
      <c r="BQ144" s="350"/>
      <c r="BR144" s="350"/>
      <c r="BS144" s="350"/>
      <c r="BT144" s="350"/>
      <c r="BU144" s="350"/>
      <c r="BV144" s="351"/>
    </row>
    <row r="145" spans="1:74" ht="30" customHeight="1">
      <c r="A145" s="63">
        <f t="shared" si="0"/>
        <v>131</v>
      </c>
      <c r="B145" s="56" t="s">
        <v>325</v>
      </c>
      <c r="C145" s="57"/>
      <c r="D145" s="644"/>
      <c r="E145" s="350"/>
      <c r="F145" s="350"/>
      <c r="G145" s="350"/>
      <c r="H145" s="350"/>
      <c r="I145" s="350"/>
      <c r="J145" s="350"/>
      <c r="K145" s="351"/>
      <c r="L145" s="643"/>
      <c r="M145" s="350"/>
      <c r="N145" s="350"/>
      <c r="O145" s="351"/>
      <c r="P145" s="644"/>
      <c r="Q145" s="350"/>
      <c r="R145" s="350"/>
      <c r="S145" s="351"/>
      <c r="T145" s="643"/>
      <c r="U145" s="350"/>
      <c r="V145" s="350"/>
      <c r="W145" s="351"/>
      <c r="X145" s="644"/>
      <c r="Y145" s="350"/>
      <c r="Z145" s="350"/>
      <c r="AA145" s="351"/>
      <c r="AB145" s="506"/>
      <c r="AC145" s="350"/>
      <c r="AD145" s="351"/>
      <c r="AE145" s="571"/>
      <c r="AF145" s="350"/>
      <c r="AG145" s="351"/>
      <c r="AH145" s="645"/>
      <c r="AI145" s="350"/>
      <c r="AJ145" s="351"/>
      <c r="AK145" s="567"/>
      <c r="AL145" s="350"/>
      <c r="AM145" s="351"/>
      <c r="AN145" s="58"/>
      <c r="AO145" s="59"/>
      <c r="AP145" s="58"/>
      <c r="AQ145" s="59"/>
      <c r="AR145" s="58"/>
      <c r="AS145" s="59"/>
      <c r="AT145" s="58"/>
      <c r="AU145" s="59"/>
      <c r="AV145" s="58"/>
      <c r="AW145" s="59"/>
      <c r="AX145" s="58"/>
      <c r="AY145" s="59"/>
      <c r="AZ145" s="64"/>
      <c r="BA145" s="61"/>
      <c r="BB145" s="64"/>
      <c r="BC145" s="61"/>
      <c r="BD145" s="64"/>
      <c r="BE145" s="61"/>
      <c r="BF145" s="64"/>
      <c r="BG145" s="61"/>
      <c r="BH145" s="64"/>
      <c r="BI145" s="646" t="s">
        <v>294</v>
      </c>
      <c r="BJ145" s="350"/>
      <c r="BK145" s="350"/>
      <c r="BL145" s="350"/>
      <c r="BM145" s="350"/>
      <c r="BN145" s="350"/>
      <c r="BO145" s="350"/>
      <c r="BP145" s="350"/>
      <c r="BQ145" s="350"/>
      <c r="BR145" s="350"/>
      <c r="BS145" s="350"/>
      <c r="BT145" s="350"/>
      <c r="BU145" s="350"/>
      <c r="BV145" s="351"/>
    </row>
    <row r="146" spans="1:74" ht="30" customHeight="1">
      <c r="A146" s="63">
        <f t="shared" si="0"/>
        <v>132</v>
      </c>
      <c r="B146" s="56" t="s">
        <v>325</v>
      </c>
      <c r="C146" s="57"/>
      <c r="D146" s="644"/>
      <c r="E146" s="350"/>
      <c r="F146" s="350"/>
      <c r="G146" s="350"/>
      <c r="H146" s="350"/>
      <c r="I146" s="350"/>
      <c r="J146" s="350"/>
      <c r="K146" s="351"/>
      <c r="L146" s="643"/>
      <c r="M146" s="350"/>
      <c r="N146" s="350"/>
      <c r="O146" s="351"/>
      <c r="P146" s="644"/>
      <c r="Q146" s="350"/>
      <c r="R146" s="350"/>
      <c r="S146" s="351"/>
      <c r="T146" s="643"/>
      <c r="U146" s="350"/>
      <c r="V146" s="350"/>
      <c r="W146" s="351"/>
      <c r="X146" s="644"/>
      <c r="Y146" s="350"/>
      <c r="Z146" s="350"/>
      <c r="AA146" s="351"/>
      <c r="AB146" s="506"/>
      <c r="AC146" s="350"/>
      <c r="AD146" s="351"/>
      <c r="AE146" s="571"/>
      <c r="AF146" s="350"/>
      <c r="AG146" s="351"/>
      <c r="AH146" s="645"/>
      <c r="AI146" s="350"/>
      <c r="AJ146" s="351"/>
      <c r="AK146" s="567"/>
      <c r="AL146" s="350"/>
      <c r="AM146" s="351"/>
      <c r="AN146" s="58"/>
      <c r="AO146" s="59"/>
      <c r="AP146" s="58"/>
      <c r="AQ146" s="59"/>
      <c r="AR146" s="58"/>
      <c r="AS146" s="59"/>
      <c r="AT146" s="58"/>
      <c r="AU146" s="59"/>
      <c r="AV146" s="58"/>
      <c r="AW146" s="59"/>
      <c r="AX146" s="58"/>
      <c r="AY146" s="59"/>
      <c r="AZ146" s="64"/>
      <c r="BA146" s="61"/>
      <c r="BB146" s="64"/>
      <c r="BC146" s="61"/>
      <c r="BD146" s="64"/>
      <c r="BE146" s="61"/>
      <c r="BF146" s="64"/>
      <c r="BG146" s="61"/>
      <c r="BH146" s="64"/>
      <c r="BI146" s="646" t="s">
        <v>294</v>
      </c>
      <c r="BJ146" s="350"/>
      <c r="BK146" s="350"/>
      <c r="BL146" s="350"/>
      <c r="BM146" s="350"/>
      <c r="BN146" s="350"/>
      <c r="BO146" s="350"/>
      <c r="BP146" s="350"/>
      <c r="BQ146" s="350"/>
      <c r="BR146" s="350"/>
      <c r="BS146" s="350"/>
      <c r="BT146" s="350"/>
      <c r="BU146" s="350"/>
      <c r="BV146" s="351"/>
    </row>
    <row r="147" spans="1:74" ht="30" customHeight="1">
      <c r="A147" s="55">
        <f t="shared" si="0"/>
        <v>133</v>
      </c>
      <c r="B147" s="56" t="s">
        <v>325</v>
      </c>
      <c r="C147" s="57"/>
      <c r="D147" s="644"/>
      <c r="E147" s="350"/>
      <c r="F147" s="350"/>
      <c r="G147" s="350"/>
      <c r="H147" s="350"/>
      <c r="I147" s="350"/>
      <c r="J147" s="350"/>
      <c r="K147" s="351"/>
      <c r="L147" s="643"/>
      <c r="M147" s="350"/>
      <c r="N147" s="350"/>
      <c r="O147" s="351"/>
      <c r="P147" s="644"/>
      <c r="Q147" s="350"/>
      <c r="R147" s="350"/>
      <c r="S147" s="351"/>
      <c r="T147" s="643"/>
      <c r="U147" s="350"/>
      <c r="V147" s="350"/>
      <c r="W147" s="351"/>
      <c r="X147" s="644"/>
      <c r="Y147" s="350"/>
      <c r="Z147" s="350"/>
      <c r="AA147" s="351"/>
      <c r="AB147" s="506"/>
      <c r="AC147" s="350"/>
      <c r="AD147" s="351"/>
      <c r="AE147" s="571"/>
      <c r="AF147" s="350"/>
      <c r="AG147" s="351"/>
      <c r="AH147" s="645"/>
      <c r="AI147" s="350"/>
      <c r="AJ147" s="351"/>
      <c r="AK147" s="567"/>
      <c r="AL147" s="350"/>
      <c r="AM147" s="351"/>
      <c r="AN147" s="58"/>
      <c r="AO147" s="59"/>
      <c r="AP147" s="58"/>
      <c r="AQ147" s="59"/>
      <c r="AR147" s="58"/>
      <c r="AS147" s="59"/>
      <c r="AT147" s="58"/>
      <c r="AU147" s="59"/>
      <c r="AV147" s="58"/>
      <c r="AW147" s="59"/>
      <c r="AX147" s="58"/>
      <c r="AY147" s="59"/>
      <c r="AZ147" s="64"/>
      <c r="BA147" s="61"/>
      <c r="BB147" s="64"/>
      <c r="BC147" s="61"/>
      <c r="BD147" s="64"/>
      <c r="BE147" s="61"/>
      <c r="BF147" s="64"/>
      <c r="BG147" s="61"/>
      <c r="BH147" s="64"/>
      <c r="BI147" s="646" t="s">
        <v>298</v>
      </c>
      <c r="BJ147" s="350"/>
      <c r="BK147" s="350"/>
      <c r="BL147" s="350"/>
      <c r="BM147" s="350"/>
      <c r="BN147" s="350"/>
      <c r="BO147" s="350"/>
      <c r="BP147" s="350"/>
      <c r="BQ147" s="350"/>
      <c r="BR147" s="350"/>
      <c r="BS147" s="350"/>
      <c r="BT147" s="350"/>
      <c r="BU147" s="350"/>
      <c r="BV147" s="351"/>
    </row>
    <row r="148" spans="1:74" ht="30" customHeight="1">
      <c r="A148" s="63">
        <f t="shared" si="0"/>
        <v>134</v>
      </c>
      <c r="B148" s="56" t="s">
        <v>325</v>
      </c>
      <c r="C148" s="57"/>
      <c r="D148" s="644"/>
      <c r="E148" s="350"/>
      <c r="F148" s="350"/>
      <c r="G148" s="350"/>
      <c r="H148" s="350"/>
      <c r="I148" s="350"/>
      <c r="J148" s="350"/>
      <c r="K148" s="351"/>
      <c r="L148" s="643"/>
      <c r="M148" s="350"/>
      <c r="N148" s="350"/>
      <c r="O148" s="351"/>
      <c r="P148" s="644"/>
      <c r="Q148" s="350"/>
      <c r="R148" s="350"/>
      <c r="S148" s="351"/>
      <c r="T148" s="643"/>
      <c r="U148" s="350"/>
      <c r="V148" s="350"/>
      <c r="W148" s="351"/>
      <c r="X148" s="644"/>
      <c r="Y148" s="350"/>
      <c r="Z148" s="350"/>
      <c r="AA148" s="351"/>
      <c r="AB148" s="506"/>
      <c r="AC148" s="350"/>
      <c r="AD148" s="351"/>
      <c r="AE148" s="571"/>
      <c r="AF148" s="350"/>
      <c r="AG148" s="351"/>
      <c r="AH148" s="645"/>
      <c r="AI148" s="350"/>
      <c r="AJ148" s="351"/>
      <c r="AK148" s="567"/>
      <c r="AL148" s="350"/>
      <c r="AM148" s="351"/>
      <c r="AN148" s="58"/>
      <c r="AO148" s="59"/>
      <c r="AP148" s="58"/>
      <c r="AQ148" s="59"/>
      <c r="AR148" s="58"/>
      <c r="AS148" s="59"/>
      <c r="AT148" s="58"/>
      <c r="AU148" s="59"/>
      <c r="AV148" s="58"/>
      <c r="AW148" s="59"/>
      <c r="AX148" s="58"/>
      <c r="AY148" s="59"/>
      <c r="AZ148" s="64"/>
      <c r="BA148" s="61"/>
      <c r="BB148" s="64"/>
      <c r="BC148" s="61"/>
      <c r="BD148" s="64"/>
      <c r="BE148" s="61"/>
      <c r="BF148" s="64"/>
      <c r="BG148" s="61"/>
      <c r="BH148" s="64"/>
      <c r="BI148" s="646" t="s">
        <v>298</v>
      </c>
      <c r="BJ148" s="350"/>
      <c r="BK148" s="350"/>
      <c r="BL148" s="350"/>
      <c r="BM148" s="350"/>
      <c r="BN148" s="350"/>
      <c r="BO148" s="350"/>
      <c r="BP148" s="350"/>
      <c r="BQ148" s="350"/>
      <c r="BR148" s="350"/>
      <c r="BS148" s="350"/>
      <c r="BT148" s="350"/>
      <c r="BU148" s="350"/>
      <c r="BV148" s="351"/>
    </row>
    <row r="149" spans="1:74" ht="30" customHeight="1">
      <c r="A149" s="63">
        <f t="shared" si="0"/>
        <v>135</v>
      </c>
      <c r="B149" s="56" t="s">
        <v>325</v>
      </c>
      <c r="C149" s="57"/>
      <c r="D149" s="644"/>
      <c r="E149" s="350"/>
      <c r="F149" s="350"/>
      <c r="G149" s="350"/>
      <c r="H149" s="350"/>
      <c r="I149" s="350"/>
      <c r="J149" s="350"/>
      <c r="K149" s="351"/>
      <c r="L149" s="643"/>
      <c r="M149" s="350"/>
      <c r="N149" s="350"/>
      <c r="O149" s="351"/>
      <c r="P149" s="644"/>
      <c r="Q149" s="350"/>
      <c r="R149" s="350"/>
      <c r="S149" s="351"/>
      <c r="T149" s="643"/>
      <c r="U149" s="350"/>
      <c r="V149" s="350"/>
      <c r="W149" s="351"/>
      <c r="X149" s="644"/>
      <c r="Y149" s="350"/>
      <c r="Z149" s="350"/>
      <c r="AA149" s="351"/>
      <c r="AB149" s="506"/>
      <c r="AC149" s="350"/>
      <c r="AD149" s="351"/>
      <c r="AE149" s="571"/>
      <c r="AF149" s="350"/>
      <c r="AG149" s="351"/>
      <c r="AH149" s="645"/>
      <c r="AI149" s="350"/>
      <c r="AJ149" s="351"/>
      <c r="AK149" s="567"/>
      <c r="AL149" s="350"/>
      <c r="AM149" s="351"/>
      <c r="AN149" s="58"/>
      <c r="AO149" s="59"/>
      <c r="AP149" s="58"/>
      <c r="AQ149" s="59"/>
      <c r="AR149" s="58"/>
      <c r="AS149" s="59"/>
      <c r="AT149" s="58"/>
      <c r="AU149" s="59"/>
      <c r="AV149" s="58"/>
      <c r="AW149" s="59"/>
      <c r="AX149" s="58"/>
      <c r="AY149" s="59"/>
      <c r="AZ149" s="64"/>
      <c r="BA149" s="61"/>
      <c r="BB149" s="64"/>
      <c r="BC149" s="61"/>
      <c r="BD149" s="64"/>
      <c r="BE149" s="61"/>
      <c r="BF149" s="64"/>
      <c r="BG149" s="61"/>
      <c r="BH149" s="64"/>
      <c r="BI149" s="646" t="s">
        <v>298</v>
      </c>
      <c r="BJ149" s="350"/>
      <c r="BK149" s="350"/>
      <c r="BL149" s="350"/>
      <c r="BM149" s="350"/>
      <c r="BN149" s="350"/>
      <c r="BO149" s="350"/>
      <c r="BP149" s="350"/>
      <c r="BQ149" s="350"/>
      <c r="BR149" s="350"/>
      <c r="BS149" s="350"/>
      <c r="BT149" s="350"/>
      <c r="BU149" s="350"/>
      <c r="BV149" s="351"/>
    </row>
    <row r="150" spans="1:74" ht="30" customHeight="1">
      <c r="A150" s="63">
        <f t="shared" si="0"/>
        <v>136</v>
      </c>
      <c r="B150" s="56" t="s">
        <v>325</v>
      </c>
      <c r="C150" s="57"/>
      <c r="D150" s="644"/>
      <c r="E150" s="350"/>
      <c r="F150" s="350"/>
      <c r="G150" s="350"/>
      <c r="H150" s="350"/>
      <c r="I150" s="350"/>
      <c r="J150" s="350"/>
      <c r="K150" s="351"/>
      <c r="L150" s="643"/>
      <c r="M150" s="350"/>
      <c r="N150" s="350"/>
      <c r="O150" s="351"/>
      <c r="P150" s="644"/>
      <c r="Q150" s="350"/>
      <c r="R150" s="350"/>
      <c r="S150" s="351"/>
      <c r="T150" s="643"/>
      <c r="U150" s="350"/>
      <c r="V150" s="350"/>
      <c r="W150" s="351"/>
      <c r="X150" s="644"/>
      <c r="Y150" s="350"/>
      <c r="Z150" s="350"/>
      <c r="AA150" s="351"/>
      <c r="AB150" s="506"/>
      <c r="AC150" s="350"/>
      <c r="AD150" s="351"/>
      <c r="AE150" s="571"/>
      <c r="AF150" s="350"/>
      <c r="AG150" s="351"/>
      <c r="AH150" s="645"/>
      <c r="AI150" s="350"/>
      <c r="AJ150" s="351"/>
      <c r="AK150" s="567"/>
      <c r="AL150" s="350"/>
      <c r="AM150" s="351"/>
      <c r="AN150" s="58"/>
      <c r="AO150" s="59"/>
      <c r="AP150" s="58"/>
      <c r="AQ150" s="59"/>
      <c r="AR150" s="58"/>
      <c r="AS150" s="59"/>
      <c r="AT150" s="58"/>
      <c r="AU150" s="59"/>
      <c r="AV150" s="58"/>
      <c r="AW150" s="59"/>
      <c r="AX150" s="58"/>
      <c r="AY150" s="59"/>
      <c r="AZ150" s="64"/>
      <c r="BA150" s="61"/>
      <c r="BB150" s="64"/>
      <c r="BC150" s="61"/>
      <c r="BD150" s="64"/>
      <c r="BE150" s="61"/>
      <c r="BF150" s="64"/>
      <c r="BG150" s="61"/>
      <c r="BH150" s="64"/>
      <c r="BI150" s="646" t="s">
        <v>298</v>
      </c>
      <c r="BJ150" s="350"/>
      <c r="BK150" s="350"/>
      <c r="BL150" s="350"/>
      <c r="BM150" s="350"/>
      <c r="BN150" s="350"/>
      <c r="BO150" s="350"/>
      <c r="BP150" s="350"/>
      <c r="BQ150" s="350"/>
      <c r="BR150" s="350"/>
      <c r="BS150" s="350"/>
      <c r="BT150" s="350"/>
      <c r="BU150" s="350"/>
      <c r="BV150" s="351"/>
    </row>
    <row r="151" spans="1:74" ht="30" customHeight="1">
      <c r="A151" s="63">
        <f t="shared" si="0"/>
        <v>137</v>
      </c>
      <c r="B151" s="56" t="s">
        <v>325</v>
      </c>
      <c r="C151" s="57"/>
      <c r="D151" s="644"/>
      <c r="E151" s="350"/>
      <c r="F151" s="350"/>
      <c r="G151" s="350"/>
      <c r="H151" s="350"/>
      <c r="I151" s="350"/>
      <c r="J151" s="350"/>
      <c r="K151" s="351"/>
      <c r="L151" s="643"/>
      <c r="M151" s="350"/>
      <c r="N151" s="350"/>
      <c r="O151" s="351"/>
      <c r="P151" s="644"/>
      <c r="Q151" s="350"/>
      <c r="R151" s="350"/>
      <c r="S151" s="351"/>
      <c r="T151" s="643"/>
      <c r="U151" s="350"/>
      <c r="V151" s="350"/>
      <c r="W151" s="351"/>
      <c r="X151" s="644"/>
      <c r="Y151" s="350"/>
      <c r="Z151" s="350"/>
      <c r="AA151" s="351"/>
      <c r="AB151" s="506"/>
      <c r="AC151" s="350"/>
      <c r="AD151" s="351"/>
      <c r="AE151" s="571"/>
      <c r="AF151" s="350"/>
      <c r="AG151" s="351"/>
      <c r="AH151" s="645"/>
      <c r="AI151" s="350"/>
      <c r="AJ151" s="351"/>
      <c r="AK151" s="567"/>
      <c r="AL151" s="350"/>
      <c r="AM151" s="351"/>
      <c r="AN151" s="58"/>
      <c r="AO151" s="59"/>
      <c r="AP151" s="58"/>
      <c r="AQ151" s="59"/>
      <c r="AR151" s="58"/>
      <c r="AS151" s="59"/>
      <c r="AT151" s="58"/>
      <c r="AU151" s="59"/>
      <c r="AV151" s="58"/>
      <c r="AW151" s="59"/>
      <c r="AX151" s="58"/>
      <c r="AY151" s="59"/>
      <c r="AZ151" s="64"/>
      <c r="BA151" s="61"/>
      <c r="BB151" s="64"/>
      <c r="BC151" s="61"/>
      <c r="BD151" s="64"/>
      <c r="BE151" s="61"/>
      <c r="BF151" s="64"/>
      <c r="BG151" s="61"/>
      <c r="BH151" s="64"/>
      <c r="BI151" s="646" t="s">
        <v>298</v>
      </c>
      <c r="BJ151" s="350"/>
      <c r="BK151" s="350"/>
      <c r="BL151" s="350"/>
      <c r="BM151" s="350"/>
      <c r="BN151" s="350"/>
      <c r="BO151" s="350"/>
      <c r="BP151" s="350"/>
      <c r="BQ151" s="350"/>
      <c r="BR151" s="350"/>
      <c r="BS151" s="350"/>
      <c r="BT151" s="350"/>
      <c r="BU151" s="350"/>
      <c r="BV151" s="351"/>
    </row>
    <row r="152" spans="1:74" ht="30" customHeight="1">
      <c r="A152" s="63">
        <f t="shared" si="0"/>
        <v>138</v>
      </c>
      <c r="B152" s="56" t="s">
        <v>325</v>
      </c>
      <c r="C152" s="57"/>
      <c r="D152" s="644"/>
      <c r="E152" s="350"/>
      <c r="F152" s="350"/>
      <c r="G152" s="350"/>
      <c r="H152" s="350"/>
      <c r="I152" s="350"/>
      <c r="J152" s="350"/>
      <c r="K152" s="351"/>
      <c r="L152" s="643"/>
      <c r="M152" s="350"/>
      <c r="N152" s="350"/>
      <c r="O152" s="351"/>
      <c r="P152" s="644"/>
      <c r="Q152" s="350"/>
      <c r="R152" s="350"/>
      <c r="S152" s="351"/>
      <c r="T152" s="643"/>
      <c r="U152" s="350"/>
      <c r="V152" s="350"/>
      <c r="W152" s="351"/>
      <c r="X152" s="644"/>
      <c r="Y152" s="350"/>
      <c r="Z152" s="350"/>
      <c r="AA152" s="351"/>
      <c r="AB152" s="506"/>
      <c r="AC152" s="350"/>
      <c r="AD152" s="351"/>
      <c r="AE152" s="571"/>
      <c r="AF152" s="350"/>
      <c r="AG152" s="351"/>
      <c r="AH152" s="645"/>
      <c r="AI152" s="350"/>
      <c r="AJ152" s="351"/>
      <c r="AK152" s="567"/>
      <c r="AL152" s="350"/>
      <c r="AM152" s="351"/>
      <c r="AN152" s="58"/>
      <c r="AO152" s="59"/>
      <c r="AP152" s="58"/>
      <c r="AQ152" s="59"/>
      <c r="AR152" s="58"/>
      <c r="AS152" s="59"/>
      <c r="AT152" s="58"/>
      <c r="AU152" s="59"/>
      <c r="AV152" s="58"/>
      <c r="AW152" s="59"/>
      <c r="AX152" s="58"/>
      <c r="AY152" s="59"/>
      <c r="AZ152" s="64"/>
      <c r="BA152" s="61"/>
      <c r="BB152" s="64"/>
      <c r="BC152" s="61"/>
      <c r="BD152" s="64"/>
      <c r="BE152" s="61"/>
      <c r="BF152" s="64"/>
      <c r="BG152" s="61"/>
      <c r="BH152" s="64"/>
      <c r="BI152" s="646" t="s">
        <v>294</v>
      </c>
      <c r="BJ152" s="350"/>
      <c r="BK152" s="350"/>
      <c r="BL152" s="350"/>
      <c r="BM152" s="350"/>
      <c r="BN152" s="350"/>
      <c r="BO152" s="350"/>
      <c r="BP152" s="350"/>
      <c r="BQ152" s="350"/>
      <c r="BR152" s="350"/>
      <c r="BS152" s="350"/>
      <c r="BT152" s="350"/>
      <c r="BU152" s="350"/>
      <c r="BV152" s="351"/>
    </row>
    <row r="153" spans="1:74" ht="30" customHeight="1">
      <c r="A153" s="63">
        <f t="shared" si="0"/>
        <v>139</v>
      </c>
      <c r="B153" s="56" t="s">
        <v>325</v>
      </c>
      <c r="C153" s="57"/>
      <c r="D153" s="644"/>
      <c r="E153" s="350"/>
      <c r="F153" s="350"/>
      <c r="G153" s="350"/>
      <c r="H153" s="350"/>
      <c r="I153" s="350"/>
      <c r="J153" s="350"/>
      <c r="K153" s="351"/>
      <c r="L153" s="643"/>
      <c r="M153" s="350"/>
      <c r="N153" s="350"/>
      <c r="O153" s="351"/>
      <c r="P153" s="644"/>
      <c r="Q153" s="350"/>
      <c r="R153" s="350"/>
      <c r="S153" s="351"/>
      <c r="T153" s="643"/>
      <c r="U153" s="350"/>
      <c r="V153" s="350"/>
      <c r="W153" s="351"/>
      <c r="X153" s="644"/>
      <c r="Y153" s="350"/>
      <c r="Z153" s="350"/>
      <c r="AA153" s="351"/>
      <c r="AB153" s="506"/>
      <c r="AC153" s="350"/>
      <c r="AD153" s="351"/>
      <c r="AE153" s="571"/>
      <c r="AF153" s="350"/>
      <c r="AG153" s="351"/>
      <c r="AH153" s="645"/>
      <c r="AI153" s="350"/>
      <c r="AJ153" s="351"/>
      <c r="AK153" s="567"/>
      <c r="AL153" s="350"/>
      <c r="AM153" s="351"/>
      <c r="AN153" s="58"/>
      <c r="AO153" s="59"/>
      <c r="AP153" s="58"/>
      <c r="AQ153" s="59"/>
      <c r="AR153" s="58"/>
      <c r="AS153" s="59"/>
      <c r="AT153" s="58"/>
      <c r="AU153" s="59"/>
      <c r="AV153" s="58"/>
      <c r="AW153" s="59"/>
      <c r="AX153" s="58"/>
      <c r="AY153" s="59"/>
      <c r="AZ153" s="64"/>
      <c r="BA153" s="61"/>
      <c r="BB153" s="64"/>
      <c r="BC153" s="61"/>
      <c r="BD153" s="64"/>
      <c r="BE153" s="61"/>
      <c r="BF153" s="64"/>
      <c r="BG153" s="61"/>
      <c r="BH153" s="64"/>
      <c r="BI153" s="646" t="s">
        <v>294</v>
      </c>
      <c r="BJ153" s="350"/>
      <c r="BK153" s="350"/>
      <c r="BL153" s="350"/>
      <c r="BM153" s="350"/>
      <c r="BN153" s="350"/>
      <c r="BO153" s="350"/>
      <c r="BP153" s="350"/>
      <c r="BQ153" s="350"/>
      <c r="BR153" s="350"/>
      <c r="BS153" s="350"/>
      <c r="BT153" s="350"/>
      <c r="BU153" s="350"/>
      <c r="BV153" s="351"/>
    </row>
    <row r="154" spans="1:74" ht="30" customHeight="1">
      <c r="A154" s="55">
        <f t="shared" si="0"/>
        <v>140</v>
      </c>
      <c r="B154" s="56" t="s">
        <v>325</v>
      </c>
      <c r="C154" s="57"/>
      <c r="D154" s="644"/>
      <c r="E154" s="350"/>
      <c r="F154" s="350"/>
      <c r="G154" s="350"/>
      <c r="H154" s="350"/>
      <c r="I154" s="350"/>
      <c r="J154" s="350"/>
      <c r="K154" s="351"/>
      <c r="L154" s="643"/>
      <c r="M154" s="350"/>
      <c r="N154" s="350"/>
      <c r="O154" s="351"/>
      <c r="P154" s="644"/>
      <c r="Q154" s="350"/>
      <c r="R154" s="350"/>
      <c r="S154" s="351"/>
      <c r="T154" s="643"/>
      <c r="U154" s="350"/>
      <c r="V154" s="350"/>
      <c r="W154" s="351"/>
      <c r="X154" s="644"/>
      <c r="Y154" s="350"/>
      <c r="Z154" s="350"/>
      <c r="AA154" s="351"/>
      <c r="AB154" s="506"/>
      <c r="AC154" s="350"/>
      <c r="AD154" s="351"/>
      <c r="AE154" s="571"/>
      <c r="AF154" s="350"/>
      <c r="AG154" s="351"/>
      <c r="AH154" s="645"/>
      <c r="AI154" s="350"/>
      <c r="AJ154" s="351"/>
      <c r="AK154" s="567"/>
      <c r="AL154" s="350"/>
      <c r="AM154" s="351"/>
      <c r="AN154" s="58"/>
      <c r="AO154" s="59"/>
      <c r="AP154" s="58"/>
      <c r="AQ154" s="59"/>
      <c r="AR154" s="58"/>
      <c r="AS154" s="59"/>
      <c r="AT154" s="58"/>
      <c r="AU154" s="59"/>
      <c r="AV154" s="58"/>
      <c r="AW154" s="59"/>
      <c r="AX154" s="58"/>
      <c r="AY154" s="59"/>
      <c r="AZ154" s="64"/>
      <c r="BA154" s="61"/>
      <c r="BB154" s="64"/>
      <c r="BC154" s="61"/>
      <c r="BD154" s="64"/>
      <c r="BE154" s="61"/>
      <c r="BF154" s="64"/>
      <c r="BG154" s="61"/>
      <c r="BH154" s="64"/>
      <c r="BI154" s="646" t="s">
        <v>298</v>
      </c>
      <c r="BJ154" s="350"/>
      <c r="BK154" s="350"/>
      <c r="BL154" s="350"/>
      <c r="BM154" s="350"/>
      <c r="BN154" s="350"/>
      <c r="BO154" s="350"/>
      <c r="BP154" s="350"/>
      <c r="BQ154" s="350"/>
      <c r="BR154" s="350"/>
      <c r="BS154" s="350"/>
      <c r="BT154" s="350"/>
      <c r="BU154" s="350"/>
      <c r="BV154" s="351"/>
    </row>
    <row r="155" spans="1:74" ht="30" customHeight="1">
      <c r="A155" s="63">
        <f t="shared" si="0"/>
        <v>141</v>
      </c>
      <c r="B155" s="56" t="s">
        <v>325</v>
      </c>
      <c r="C155" s="57"/>
      <c r="D155" s="644"/>
      <c r="E155" s="350"/>
      <c r="F155" s="350"/>
      <c r="G155" s="350"/>
      <c r="H155" s="350"/>
      <c r="I155" s="350"/>
      <c r="J155" s="350"/>
      <c r="K155" s="351"/>
      <c r="L155" s="643"/>
      <c r="M155" s="350"/>
      <c r="N155" s="350"/>
      <c r="O155" s="351"/>
      <c r="P155" s="644"/>
      <c r="Q155" s="350"/>
      <c r="R155" s="350"/>
      <c r="S155" s="351"/>
      <c r="T155" s="643"/>
      <c r="U155" s="350"/>
      <c r="V155" s="350"/>
      <c r="W155" s="351"/>
      <c r="X155" s="644"/>
      <c r="Y155" s="350"/>
      <c r="Z155" s="350"/>
      <c r="AA155" s="351"/>
      <c r="AB155" s="506"/>
      <c r="AC155" s="350"/>
      <c r="AD155" s="351"/>
      <c r="AE155" s="571"/>
      <c r="AF155" s="350"/>
      <c r="AG155" s="351"/>
      <c r="AH155" s="645"/>
      <c r="AI155" s="350"/>
      <c r="AJ155" s="351"/>
      <c r="AK155" s="567"/>
      <c r="AL155" s="350"/>
      <c r="AM155" s="351"/>
      <c r="AN155" s="58"/>
      <c r="AO155" s="59"/>
      <c r="AP155" s="58"/>
      <c r="AQ155" s="59"/>
      <c r="AR155" s="58"/>
      <c r="AS155" s="59"/>
      <c r="AT155" s="58"/>
      <c r="AU155" s="59"/>
      <c r="AV155" s="58"/>
      <c r="AW155" s="59"/>
      <c r="AX155" s="58"/>
      <c r="AY155" s="59"/>
      <c r="AZ155" s="64"/>
      <c r="BA155" s="61"/>
      <c r="BB155" s="64"/>
      <c r="BC155" s="61"/>
      <c r="BD155" s="64"/>
      <c r="BE155" s="61"/>
      <c r="BF155" s="64"/>
      <c r="BG155" s="61"/>
      <c r="BH155" s="64"/>
      <c r="BI155" s="646" t="s">
        <v>298</v>
      </c>
      <c r="BJ155" s="350"/>
      <c r="BK155" s="350"/>
      <c r="BL155" s="350"/>
      <c r="BM155" s="350"/>
      <c r="BN155" s="350"/>
      <c r="BO155" s="350"/>
      <c r="BP155" s="350"/>
      <c r="BQ155" s="350"/>
      <c r="BR155" s="350"/>
      <c r="BS155" s="350"/>
      <c r="BT155" s="350"/>
      <c r="BU155" s="350"/>
      <c r="BV155" s="351"/>
    </row>
    <row r="156" spans="1:74" ht="30" customHeight="1">
      <c r="A156" s="63">
        <f t="shared" si="0"/>
        <v>142</v>
      </c>
      <c r="B156" s="56" t="s">
        <v>325</v>
      </c>
      <c r="C156" s="57"/>
      <c r="D156" s="644"/>
      <c r="E156" s="350"/>
      <c r="F156" s="350"/>
      <c r="G156" s="350"/>
      <c r="H156" s="350"/>
      <c r="I156" s="350"/>
      <c r="J156" s="350"/>
      <c r="K156" s="351"/>
      <c r="L156" s="643"/>
      <c r="M156" s="350"/>
      <c r="N156" s="350"/>
      <c r="O156" s="351"/>
      <c r="P156" s="644"/>
      <c r="Q156" s="350"/>
      <c r="R156" s="350"/>
      <c r="S156" s="351"/>
      <c r="T156" s="643"/>
      <c r="U156" s="350"/>
      <c r="V156" s="350"/>
      <c r="W156" s="351"/>
      <c r="X156" s="644"/>
      <c r="Y156" s="350"/>
      <c r="Z156" s="350"/>
      <c r="AA156" s="351"/>
      <c r="AB156" s="506"/>
      <c r="AC156" s="350"/>
      <c r="AD156" s="351"/>
      <c r="AE156" s="571"/>
      <c r="AF156" s="350"/>
      <c r="AG156" s="351"/>
      <c r="AH156" s="645"/>
      <c r="AI156" s="350"/>
      <c r="AJ156" s="351"/>
      <c r="AK156" s="567"/>
      <c r="AL156" s="350"/>
      <c r="AM156" s="351"/>
      <c r="AN156" s="58"/>
      <c r="AO156" s="59"/>
      <c r="AP156" s="58"/>
      <c r="AQ156" s="59"/>
      <c r="AR156" s="58"/>
      <c r="AS156" s="59"/>
      <c r="AT156" s="58"/>
      <c r="AU156" s="59"/>
      <c r="AV156" s="58"/>
      <c r="AW156" s="59"/>
      <c r="AX156" s="58"/>
      <c r="AY156" s="59"/>
      <c r="AZ156" s="64"/>
      <c r="BA156" s="61"/>
      <c r="BB156" s="64"/>
      <c r="BC156" s="61"/>
      <c r="BD156" s="64"/>
      <c r="BE156" s="61"/>
      <c r="BF156" s="64"/>
      <c r="BG156" s="61"/>
      <c r="BH156" s="64"/>
      <c r="BI156" s="646" t="s">
        <v>298</v>
      </c>
      <c r="BJ156" s="350"/>
      <c r="BK156" s="350"/>
      <c r="BL156" s="350"/>
      <c r="BM156" s="350"/>
      <c r="BN156" s="350"/>
      <c r="BO156" s="350"/>
      <c r="BP156" s="350"/>
      <c r="BQ156" s="350"/>
      <c r="BR156" s="350"/>
      <c r="BS156" s="350"/>
      <c r="BT156" s="350"/>
      <c r="BU156" s="350"/>
      <c r="BV156" s="351"/>
    </row>
    <row r="157" spans="1:74" ht="30" customHeight="1">
      <c r="A157" s="63">
        <f t="shared" si="0"/>
        <v>143</v>
      </c>
      <c r="B157" s="56" t="s">
        <v>325</v>
      </c>
      <c r="C157" s="57"/>
      <c r="D157" s="644"/>
      <c r="E157" s="350"/>
      <c r="F157" s="350"/>
      <c r="G157" s="350"/>
      <c r="H157" s="350"/>
      <c r="I157" s="350"/>
      <c r="J157" s="350"/>
      <c r="K157" s="351"/>
      <c r="L157" s="643"/>
      <c r="M157" s="350"/>
      <c r="N157" s="350"/>
      <c r="O157" s="351"/>
      <c r="P157" s="644"/>
      <c r="Q157" s="350"/>
      <c r="R157" s="350"/>
      <c r="S157" s="351"/>
      <c r="T157" s="643"/>
      <c r="U157" s="350"/>
      <c r="V157" s="350"/>
      <c r="W157" s="351"/>
      <c r="X157" s="644"/>
      <c r="Y157" s="350"/>
      <c r="Z157" s="350"/>
      <c r="AA157" s="351"/>
      <c r="AB157" s="506"/>
      <c r="AC157" s="350"/>
      <c r="AD157" s="351"/>
      <c r="AE157" s="571"/>
      <c r="AF157" s="350"/>
      <c r="AG157" s="351"/>
      <c r="AH157" s="645"/>
      <c r="AI157" s="350"/>
      <c r="AJ157" s="351"/>
      <c r="AK157" s="567"/>
      <c r="AL157" s="350"/>
      <c r="AM157" s="351"/>
      <c r="AN157" s="58"/>
      <c r="AO157" s="59"/>
      <c r="AP157" s="58"/>
      <c r="AQ157" s="59"/>
      <c r="AR157" s="58"/>
      <c r="AS157" s="59"/>
      <c r="AT157" s="58"/>
      <c r="AU157" s="59"/>
      <c r="AV157" s="58"/>
      <c r="AW157" s="59"/>
      <c r="AX157" s="58"/>
      <c r="AY157" s="59"/>
      <c r="AZ157" s="64"/>
      <c r="BA157" s="61"/>
      <c r="BB157" s="64"/>
      <c r="BC157" s="61"/>
      <c r="BD157" s="64"/>
      <c r="BE157" s="61"/>
      <c r="BF157" s="64"/>
      <c r="BG157" s="61"/>
      <c r="BH157" s="64"/>
      <c r="BI157" s="646" t="s">
        <v>298</v>
      </c>
      <c r="BJ157" s="350"/>
      <c r="BK157" s="350"/>
      <c r="BL157" s="350"/>
      <c r="BM157" s="350"/>
      <c r="BN157" s="350"/>
      <c r="BO157" s="350"/>
      <c r="BP157" s="350"/>
      <c r="BQ157" s="350"/>
      <c r="BR157" s="350"/>
      <c r="BS157" s="350"/>
      <c r="BT157" s="350"/>
      <c r="BU157" s="350"/>
      <c r="BV157" s="351"/>
    </row>
    <row r="158" spans="1:74" ht="30" customHeight="1">
      <c r="A158" s="63">
        <f t="shared" si="0"/>
        <v>144</v>
      </c>
      <c r="B158" s="56" t="s">
        <v>325</v>
      </c>
      <c r="C158" s="57"/>
      <c r="D158" s="644"/>
      <c r="E158" s="350"/>
      <c r="F158" s="350"/>
      <c r="G158" s="350"/>
      <c r="H158" s="350"/>
      <c r="I158" s="350"/>
      <c r="J158" s="350"/>
      <c r="K158" s="351"/>
      <c r="L158" s="643"/>
      <c r="M158" s="350"/>
      <c r="N158" s="350"/>
      <c r="O158" s="351"/>
      <c r="P158" s="644"/>
      <c r="Q158" s="350"/>
      <c r="R158" s="350"/>
      <c r="S158" s="351"/>
      <c r="T158" s="643"/>
      <c r="U158" s="350"/>
      <c r="V158" s="350"/>
      <c r="W158" s="351"/>
      <c r="X158" s="644"/>
      <c r="Y158" s="350"/>
      <c r="Z158" s="350"/>
      <c r="AA158" s="351"/>
      <c r="AB158" s="506"/>
      <c r="AC158" s="350"/>
      <c r="AD158" s="351"/>
      <c r="AE158" s="571"/>
      <c r="AF158" s="350"/>
      <c r="AG158" s="351"/>
      <c r="AH158" s="645"/>
      <c r="AI158" s="350"/>
      <c r="AJ158" s="351"/>
      <c r="AK158" s="567"/>
      <c r="AL158" s="350"/>
      <c r="AM158" s="351"/>
      <c r="AN158" s="58"/>
      <c r="AO158" s="59"/>
      <c r="AP158" s="58"/>
      <c r="AQ158" s="59"/>
      <c r="AR158" s="58"/>
      <c r="AS158" s="59"/>
      <c r="AT158" s="58"/>
      <c r="AU158" s="59"/>
      <c r="AV158" s="58"/>
      <c r="AW158" s="59"/>
      <c r="AX158" s="58"/>
      <c r="AY158" s="59"/>
      <c r="AZ158" s="64"/>
      <c r="BA158" s="61"/>
      <c r="BB158" s="64"/>
      <c r="BC158" s="61"/>
      <c r="BD158" s="64"/>
      <c r="BE158" s="61"/>
      <c r="BF158" s="64"/>
      <c r="BG158" s="61"/>
      <c r="BH158" s="64"/>
      <c r="BI158" s="646" t="s">
        <v>298</v>
      </c>
      <c r="BJ158" s="350"/>
      <c r="BK158" s="350"/>
      <c r="BL158" s="350"/>
      <c r="BM158" s="350"/>
      <c r="BN158" s="350"/>
      <c r="BO158" s="350"/>
      <c r="BP158" s="350"/>
      <c r="BQ158" s="350"/>
      <c r="BR158" s="350"/>
      <c r="BS158" s="350"/>
      <c r="BT158" s="350"/>
      <c r="BU158" s="350"/>
      <c r="BV158" s="351"/>
    </row>
    <row r="159" spans="1:74" ht="30" customHeight="1">
      <c r="A159" s="63">
        <f t="shared" si="0"/>
        <v>145</v>
      </c>
      <c r="B159" s="56" t="s">
        <v>325</v>
      </c>
      <c r="C159" s="57"/>
      <c r="D159" s="644"/>
      <c r="E159" s="350"/>
      <c r="F159" s="350"/>
      <c r="G159" s="350"/>
      <c r="H159" s="350"/>
      <c r="I159" s="350"/>
      <c r="J159" s="350"/>
      <c r="K159" s="351"/>
      <c r="L159" s="643"/>
      <c r="M159" s="350"/>
      <c r="N159" s="350"/>
      <c r="O159" s="351"/>
      <c r="P159" s="644"/>
      <c r="Q159" s="350"/>
      <c r="R159" s="350"/>
      <c r="S159" s="351"/>
      <c r="T159" s="643"/>
      <c r="U159" s="350"/>
      <c r="V159" s="350"/>
      <c r="W159" s="351"/>
      <c r="X159" s="644"/>
      <c r="Y159" s="350"/>
      <c r="Z159" s="350"/>
      <c r="AA159" s="351"/>
      <c r="AB159" s="506"/>
      <c r="AC159" s="350"/>
      <c r="AD159" s="351"/>
      <c r="AE159" s="571"/>
      <c r="AF159" s="350"/>
      <c r="AG159" s="351"/>
      <c r="AH159" s="645"/>
      <c r="AI159" s="350"/>
      <c r="AJ159" s="351"/>
      <c r="AK159" s="567"/>
      <c r="AL159" s="350"/>
      <c r="AM159" s="351"/>
      <c r="AN159" s="58"/>
      <c r="AO159" s="59"/>
      <c r="AP159" s="58"/>
      <c r="AQ159" s="59"/>
      <c r="AR159" s="58"/>
      <c r="AS159" s="59"/>
      <c r="AT159" s="58"/>
      <c r="AU159" s="59"/>
      <c r="AV159" s="58"/>
      <c r="AW159" s="59"/>
      <c r="AX159" s="58"/>
      <c r="AY159" s="59"/>
      <c r="AZ159" s="64"/>
      <c r="BA159" s="61"/>
      <c r="BB159" s="64"/>
      <c r="BC159" s="61"/>
      <c r="BD159" s="64"/>
      <c r="BE159" s="61"/>
      <c r="BF159" s="64"/>
      <c r="BG159" s="61"/>
      <c r="BH159" s="64"/>
      <c r="BI159" s="646" t="s">
        <v>294</v>
      </c>
      <c r="BJ159" s="350"/>
      <c r="BK159" s="350"/>
      <c r="BL159" s="350"/>
      <c r="BM159" s="350"/>
      <c r="BN159" s="350"/>
      <c r="BO159" s="350"/>
      <c r="BP159" s="350"/>
      <c r="BQ159" s="350"/>
      <c r="BR159" s="350"/>
      <c r="BS159" s="350"/>
      <c r="BT159" s="350"/>
      <c r="BU159" s="350"/>
      <c r="BV159" s="351"/>
    </row>
    <row r="160" spans="1:74" ht="30" customHeight="1">
      <c r="A160" s="63">
        <f t="shared" si="0"/>
        <v>146</v>
      </c>
      <c r="B160" s="56" t="s">
        <v>325</v>
      </c>
      <c r="C160" s="57"/>
      <c r="D160" s="644"/>
      <c r="E160" s="350"/>
      <c r="F160" s="350"/>
      <c r="G160" s="350"/>
      <c r="H160" s="350"/>
      <c r="I160" s="350"/>
      <c r="J160" s="350"/>
      <c r="K160" s="351"/>
      <c r="L160" s="643"/>
      <c r="M160" s="350"/>
      <c r="N160" s="350"/>
      <c r="O160" s="351"/>
      <c r="P160" s="644"/>
      <c r="Q160" s="350"/>
      <c r="R160" s="350"/>
      <c r="S160" s="351"/>
      <c r="T160" s="643"/>
      <c r="U160" s="350"/>
      <c r="V160" s="350"/>
      <c r="W160" s="351"/>
      <c r="X160" s="644"/>
      <c r="Y160" s="350"/>
      <c r="Z160" s="350"/>
      <c r="AA160" s="351"/>
      <c r="AB160" s="506"/>
      <c r="AC160" s="350"/>
      <c r="AD160" s="351"/>
      <c r="AE160" s="571"/>
      <c r="AF160" s="350"/>
      <c r="AG160" s="351"/>
      <c r="AH160" s="645"/>
      <c r="AI160" s="350"/>
      <c r="AJ160" s="351"/>
      <c r="AK160" s="567"/>
      <c r="AL160" s="350"/>
      <c r="AM160" s="351"/>
      <c r="AN160" s="58"/>
      <c r="AO160" s="59"/>
      <c r="AP160" s="58"/>
      <c r="AQ160" s="59"/>
      <c r="AR160" s="58"/>
      <c r="AS160" s="59"/>
      <c r="AT160" s="58"/>
      <c r="AU160" s="59"/>
      <c r="AV160" s="58"/>
      <c r="AW160" s="59"/>
      <c r="AX160" s="58"/>
      <c r="AY160" s="59"/>
      <c r="AZ160" s="64"/>
      <c r="BA160" s="61"/>
      <c r="BB160" s="64"/>
      <c r="BC160" s="61"/>
      <c r="BD160" s="64"/>
      <c r="BE160" s="61"/>
      <c r="BF160" s="64"/>
      <c r="BG160" s="61"/>
      <c r="BH160" s="64"/>
      <c r="BI160" s="646" t="s">
        <v>294</v>
      </c>
      <c r="BJ160" s="350"/>
      <c r="BK160" s="350"/>
      <c r="BL160" s="350"/>
      <c r="BM160" s="350"/>
      <c r="BN160" s="350"/>
      <c r="BO160" s="350"/>
      <c r="BP160" s="350"/>
      <c r="BQ160" s="350"/>
      <c r="BR160" s="350"/>
      <c r="BS160" s="350"/>
      <c r="BT160" s="350"/>
      <c r="BU160" s="350"/>
      <c r="BV160" s="351"/>
    </row>
    <row r="161" spans="1:74" ht="30" customHeight="1">
      <c r="A161" s="55">
        <f t="shared" si="0"/>
        <v>147</v>
      </c>
      <c r="B161" s="56" t="s">
        <v>325</v>
      </c>
      <c r="C161" s="57"/>
      <c r="D161" s="644"/>
      <c r="E161" s="350"/>
      <c r="F161" s="350"/>
      <c r="G161" s="350"/>
      <c r="H161" s="350"/>
      <c r="I161" s="350"/>
      <c r="J161" s="350"/>
      <c r="K161" s="351"/>
      <c r="L161" s="643"/>
      <c r="M161" s="350"/>
      <c r="N161" s="350"/>
      <c r="O161" s="351"/>
      <c r="P161" s="644"/>
      <c r="Q161" s="350"/>
      <c r="R161" s="350"/>
      <c r="S161" s="351"/>
      <c r="T161" s="643"/>
      <c r="U161" s="350"/>
      <c r="V161" s="350"/>
      <c r="W161" s="351"/>
      <c r="X161" s="644"/>
      <c r="Y161" s="350"/>
      <c r="Z161" s="350"/>
      <c r="AA161" s="351"/>
      <c r="AB161" s="506"/>
      <c r="AC161" s="350"/>
      <c r="AD161" s="351"/>
      <c r="AE161" s="571"/>
      <c r="AF161" s="350"/>
      <c r="AG161" s="351"/>
      <c r="AH161" s="645"/>
      <c r="AI161" s="350"/>
      <c r="AJ161" s="351"/>
      <c r="AK161" s="567"/>
      <c r="AL161" s="350"/>
      <c r="AM161" s="351"/>
      <c r="AN161" s="58"/>
      <c r="AO161" s="59"/>
      <c r="AP161" s="58"/>
      <c r="AQ161" s="59"/>
      <c r="AR161" s="58"/>
      <c r="AS161" s="59"/>
      <c r="AT161" s="58"/>
      <c r="AU161" s="59"/>
      <c r="AV161" s="58"/>
      <c r="AW161" s="59"/>
      <c r="AX161" s="58"/>
      <c r="AY161" s="59"/>
      <c r="AZ161" s="64"/>
      <c r="BA161" s="61"/>
      <c r="BB161" s="64"/>
      <c r="BC161" s="61"/>
      <c r="BD161" s="64"/>
      <c r="BE161" s="61"/>
      <c r="BF161" s="64"/>
      <c r="BG161" s="61"/>
      <c r="BH161" s="64"/>
      <c r="BI161" s="646" t="s">
        <v>298</v>
      </c>
      <c r="BJ161" s="350"/>
      <c r="BK161" s="350"/>
      <c r="BL161" s="350"/>
      <c r="BM161" s="350"/>
      <c r="BN161" s="350"/>
      <c r="BO161" s="350"/>
      <c r="BP161" s="350"/>
      <c r="BQ161" s="350"/>
      <c r="BR161" s="350"/>
      <c r="BS161" s="350"/>
      <c r="BT161" s="350"/>
      <c r="BU161" s="350"/>
      <c r="BV161" s="351"/>
    </row>
    <row r="162" spans="1:74" ht="30" customHeight="1">
      <c r="A162" s="63">
        <f t="shared" si="0"/>
        <v>148</v>
      </c>
      <c r="B162" s="56" t="s">
        <v>325</v>
      </c>
      <c r="C162" s="57"/>
      <c r="D162" s="644"/>
      <c r="E162" s="350"/>
      <c r="F162" s="350"/>
      <c r="G162" s="350"/>
      <c r="H162" s="350"/>
      <c r="I162" s="350"/>
      <c r="J162" s="350"/>
      <c r="K162" s="351"/>
      <c r="L162" s="643"/>
      <c r="M162" s="350"/>
      <c r="N162" s="350"/>
      <c r="O162" s="351"/>
      <c r="P162" s="644"/>
      <c r="Q162" s="350"/>
      <c r="R162" s="350"/>
      <c r="S162" s="351"/>
      <c r="T162" s="643"/>
      <c r="U162" s="350"/>
      <c r="V162" s="350"/>
      <c r="W162" s="351"/>
      <c r="X162" s="644"/>
      <c r="Y162" s="350"/>
      <c r="Z162" s="350"/>
      <c r="AA162" s="351"/>
      <c r="AB162" s="506"/>
      <c r="AC162" s="350"/>
      <c r="AD162" s="351"/>
      <c r="AE162" s="571"/>
      <c r="AF162" s="350"/>
      <c r="AG162" s="351"/>
      <c r="AH162" s="645"/>
      <c r="AI162" s="350"/>
      <c r="AJ162" s="351"/>
      <c r="AK162" s="567"/>
      <c r="AL162" s="350"/>
      <c r="AM162" s="351"/>
      <c r="AN162" s="58"/>
      <c r="AO162" s="59"/>
      <c r="AP162" s="58"/>
      <c r="AQ162" s="59"/>
      <c r="AR162" s="58"/>
      <c r="AS162" s="59"/>
      <c r="AT162" s="58"/>
      <c r="AU162" s="59"/>
      <c r="AV162" s="58"/>
      <c r="AW162" s="59"/>
      <c r="AX162" s="58"/>
      <c r="AY162" s="59"/>
      <c r="AZ162" s="64"/>
      <c r="BA162" s="61"/>
      <c r="BB162" s="64"/>
      <c r="BC162" s="61"/>
      <c r="BD162" s="64"/>
      <c r="BE162" s="61"/>
      <c r="BF162" s="64"/>
      <c r="BG162" s="61"/>
      <c r="BH162" s="64"/>
      <c r="BI162" s="646" t="s">
        <v>298</v>
      </c>
      <c r="BJ162" s="350"/>
      <c r="BK162" s="350"/>
      <c r="BL162" s="350"/>
      <c r="BM162" s="350"/>
      <c r="BN162" s="350"/>
      <c r="BO162" s="350"/>
      <c r="BP162" s="350"/>
      <c r="BQ162" s="350"/>
      <c r="BR162" s="350"/>
      <c r="BS162" s="350"/>
      <c r="BT162" s="350"/>
      <c r="BU162" s="350"/>
      <c r="BV162" s="351"/>
    </row>
    <row r="163" spans="1:74" ht="30" customHeight="1">
      <c r="A163" s="63">
        <f t="shared" si="0"/>
        <v>149</v>
      </c>
      <c r="B163" s="56" t="s">
        <v>325</v>
      </c>
      <c r="C163" s="57"/>
      <c r="D163" s="644"/>
      <c r="E163" s="350"/>
      <c r="F163" s="350"/>
      <c r="G163" s="350"/>
      <c r="H163" s="350"/>
      <c r="I163" s="350"/>
      <c r="J163" s="350"/>
      <c r="K163" s="351"/>
      <c r="L163" s="643"/>
      <c r="M163" s="350"/>
      <c r="N163" s="350"/>
      <c r="O163" s="351"/>
      <c r="P163" s="644"/>
      <c r="Q163" s="350"/>
      <c r="R163" s="350"/>
      <c r="S163" s="351"/>
      <c r="T163" s="643"/>
      <c r="U163" s="350"/>
      <c r="V163" s="350"/>
      <c r="W163" s="351"/>
      <c r="X163" s="644"/>
      <c r="Y163" s="350"/>
      <c r="Z163" s="350"/>
      <c r="AA163" s="351"/>
      <c r="AB163" s="506"/>
      <c r="AC163" s="350"/>
      <c r="AD163" s="351"/>
      <c r="AE163" s="571"/>
      <c r="AF163" s="350"/>
      <c r="AG163" s="351"/>
      <c r="AH163" s="645"/>
      <c r="AI163" s="350"/>
      <c r="AJ163" s="351"/>
      <c r="AK163" s="567"/>
      <c r="AL163" s="350"/>
      <c r="AM163" s="351"/>
      <c r="AN163" s="58"/>
      <c r="AO163" s="59"/>
      <c r="AP163" s="58"/>
      <c r="AQ163" s="59"/>
      <c r="AR163" s="58"/>
      <c r="AS163" s="59"/>
      <c r="AT163" s="58"/>
      <c r="AU163" s="59"/>
      <c r="AV163" s="58"/>
      <c r="AW163" s="59"/>
      <c r="AX163" s="58"/>
      <c r="AY163" s="59"/>
      <c r="AZ163" s="64"/>
      <c r="BA163" s="61"/>
      <c r="BB163" s="64"/>
      <c r="BC163" s="61"/>
      <c r="BD163" s="64"/>
      <c r="BE163" s="61"/>
      <c r="BF163" s="64"/>
      <c r="BG163" s="61"/>
      <c r="BH163" s="64"/>
      <c r="BI163" s="646" t="s">
        <v>298</v>
      </c>
      <c r="BJ163" s="350"/>
      <c r="BK163" s="350"/>
      <c r="BL163" s="350"/>
      <c r="BM163" s="350"/>
      <c r="BN163" s="350"/>
      <c r="BO163" s="350"/>
      <c r="BP163" s="350"/>
      <c r="BQ163" s="350"/>
      <c r="BR163" s="350"/>
      <c r="BS163" s="350"/>
      <c r="BT163" s="350"/>
      <c r="BU163" s="350"/>
      <c r="BV163" s="351"/>
    </row>
    <row r="164" spans="1:74" ht="30" customHeight="1">
      <c r="A164" s="63">
        <f t="shared" si="0"/>
        <v>150</v>
      </c>
      <c r="B164" s="56" t="s">
        <v>325</v>
      </c>
      <c r="C164" s="57"/>
      <c r="D164" s="644"/>
      <c r="E164" s="350"/>
      <c r="F164" s="350"/>
      <c r="G164" s="350"/>
      <c r="H164" s="350"/>
      <c r="I164" s="350"/>
      <c r="J164" s="350"/>
      <c r="K164" s="351"/>
      <c r="L164" s="643"/>
      <c r="M164" s="350"/>
      <c r="N164" s="350"/>
      <c r="O164" s="351"/>
      <c r="P164" s="644"/>
      <c r="Q164" s="350"/>
      <c r="R164" s="350"/>
      <c r="S164" s="351"/>
      <c r="T164" s="643"/>
      <c r="U164" s="350"/>
      <c r="V164" s="350"/>
      <c r="W164" s="351"/>
      <c r="X164" s="644"/>
      <c r="Y164" s="350"/>
      <c r="Z164" s="350"/>
      <c r="AA164" s="351"/>
      <c r="AB164" s="506"/>
      <c r="AC164" s="350"/>
      <c r="AD164" s="351"/>
      <c r="AE164" s="571"/>
      <c r="AF164" s="350"/>
      <c r="AG164" s="351"/>
      <c r="AH164" s="645"/>
      <c r="AI164" s="350"/>
      <c r="AJ164" s="351"/>
      <c r="AK164" s="567"/>
      <c r="AL164" s="350"/>
      <c r="AM164" s="351"/>
      <c r="AN164" s="58"/>
      <c r="AO164" s="59"/>
      <c r="AP164" s="58"/>
      <c r="AQ164" s="59"/>
      <c r="AR164" s="58"/>
      <c r="AS164" s="59"/>
      <c r="AT164" s="58"/>
      <c r="AU164" s="59"/>
      <c r="AV164" s="58"/>
      <c r="AW164" s="59"/>
      <c r="AX164" s="58"/>
      <c r="AY164" s="59"/>
      <c r="AZ164" s="64"/>
      <c r="BA164" s="61"/>
      <c r="BB164" s="64"/>
      <c r="BC164" s="61"/>
      <c r="BD164" s="64"/>
      <c r="BE164" s="61"/>
      <c r="BF164" s="64"/>
      <c r="BG164" s="61"/>
      <c r="BH164" s="64"/>
      <c r="BI164" s="646" t="s">
        <v>298</v>
      </c>
      <c r="BJ164" s="350"/>
      <c r="BK164" s="350"/>
      <c r="BL164" s="350"/>
      <c r="BM164" s="350"/>
      <c r="BN164" s="350"/>
      <c r="BO164" s="350"/>
      <c r="BP164" s="350"/>
      <c r="BQ164" s="350"/>
      <c r="BR164" s="350"/>
      <c r="BS164" s="350"/>
      <c r="BT164" s="350"/>
      <c r="BU164" s="350"/>
      <c r="BV164" s="351"/>
    </row>
    <row r="165" spans="1:74" ht="30" customHeight="1">
      <c r="A165" s="63">
        <f t="shared" si="0"/>
        <v>151</v>
      </c>
      <c r="B165" s="56" t="s">
        <v>325</v>
      </c>
      <c r="C165" s="57"/>
      <c r="D165" s="644"/>
      <c r="E165" s="350"/>
      <c r="F165" s="350"/>
      <c r="G165" s="350"/>
      <c r="H165" s="350"/>
      <c r="I165" s="350"/>
      <c r="J165" s="350"/>
      <c r="K165" s="351"/>
      <c r="L165" s="643"/>
      <c r="M165" s="350"/>
      <c r="N165" s="350"/>
      <c r="O165" s="351"/>
      <c r="P165" s="644"/>
      <c r="Q165" s="350"/>
      <c r="R165" s="350"/>
      <c r="S165" s="351"/>
      <c r="T165" s="643"/>
      <c r="U165" s="350"/>
      <c r="V165" s="350"/>
      <c r="W165" s="351"/>
      <c r="X165" s="644"/>
      <c r="Y165" s="350"/>
      <c r="Z165" s="350"/>
      <c r="AA165" s="351"/>
      <c r="AB165" s="506"/>
      <c r="AC165" s="350"/>
      <c r="AD165" s="351"/>
      <c r="AE165" s="571"/>
      <c r="AF165" s="350"/>
      <c r="AG165" s="351"/>
      <c r="AH165" s="645"/>
      <c r="AI165" s="350"/>
      <c r="AJ165" s="351"/>
      <c r="AK165" s="567"/>
      <c r="AL165" s="350"/>
      <c r="AM165" s="351"/>
      <c r="AN165" s="58"/>
      <c r="AO165" s="59"/>
      <c r="AP165" s="58"/>
      <c r="AQ165" s="59"/>
      <c r="AR165" s="58"/>
      <c r="AS165" s="59"/>
      <c r="AT165" s="58"/>
      <c r="AU165" s="59"/>
      <c r="AV165" s="58"/>
      <c r="AW165" s="59"/>
      <c r="AX165" s="58"/>
      <c r="AY165" s="59"/>
      <c r="AZ165" s="64"/>
      <c r="BA165" s="61"/>
      <c r="BB165" s="64"/>
      <c r="BC165" s="61"/>
      <c r="BD165" s="64"/>
      <c r="BE165" s="61"/>
      <c r="BF165" s="64"/>
      <c r="BG165" s="61"/>
      <c r="BH165" s="64"/>
      <c r="BI165" s="646" t="s">
        <v>298</v>
      </c>
      <c r="BJ165" s="350"/>
      <c r="BK165" s="350"/>
      <c r="BL165" s="350"/>
      <c r="BM165" s="350"/>
      <c r="BN165" s="350"/>
      <c r="BO165" s="350"/>
      <c r="BP165" s="350"/>
      <c r="BQ165" s="350"/>
      <c r="BR165" s="350"/>
      <c r="BS165" s="350"/>
      <c r="BT165" s="350"/>
      <c r="BU165" s="350"/>
      <c r="BV165" s="351"/>
    </row>
    <row r="166" spans="1:74" ht="30" customHeight="1">
      <c r="A166" s="63">
        <f t="shared" si="0"/>
        <v>152</v>
      </c>
      <c r="B166" s="56" t="s">
        <v>325</v>
      </c>
      <c r="C166" s="57"/>
      <c r="D166" s="644"/>
      <c r="E166" s="350"/>
      <c r="F166" s="350"/>
      <c r="G166" s="350"/>
      <c r="H166" s="350"/>
      <c r="I166" s="350"/>
      <c r="J166" s="350"/>
      <c r="K166" s="351"/>
      <c r="L166" s="643"/>
      <c r="M166" s="350"/>
      <c r="N166" s="350"/>
      <c r="O166" s="351"/>
      <c r="P166" s="644"/>
      <c r="Q166" s="350"/>
      <c r="R166" s="350"/>
      <c r="S166" s="351"/>
      <c r="T166" s="643"/>
      <c r="U166" s="350"/>
      <c r="V166" s="350"/>
      <c r="W166" s="351"/>
      <c r="X166" s="644"/>
      <c r="Y166" s="350"/>
      <c r="Z166" s="350"/>
      <c r="AA166" s="351"/>
      <c r="AB166" s="506"/>
      <c r="AC166" s="350"/>
      <c r="AD166" s="351"/>
      <c r="AE166" s="571"/>
      <c r="AF166" s="350"/>
      <c r="AG166" s="351"/>
      <c r="AH166" s="645"/>
      <c r="AI166" s="350"/>
      <c r="AJ166" s="351"/>
      <c r="AK166" s="567"/>
      <c r="AL166" s="350"/>
      <c r="AM166" s="351"/>
      <c r="AN166" s="58"/>
      <c r="AO166" s="59"/>
      <c r="AP166" s="58"/>
      <c r="AQ166" s="59"/>
      <c r="AR166" s="58"/>
      <c r="AS166" s="59"/>
      <c r="AT166" s="58"/>
      <c r="AU166" s="59"/>
      <c r="AV166" s="58"/>
      <c r="AW166" s="59"/>
      <c r="AX166" s="58"/>
      <c r="AY166" s="59"/>
      <c r="AZ166" s="64"/>
      <c r="BA166" s="61"/>
      <c r="BB166" s="64"/>
      <c r="BC166" s="61"/>
      <c r="BD166" s="64"/>
      <c r="BE166" s="61"/>
      <c r="BF166" s="64"/>
      <c r="BG166" s="61"/>
      <c r="BH166" s="64"/>
      <c r="BI166" s="646" t="s">
        <v>294</v>
      </c>
      <c r="BJ166" s="350"/>
      <c r="BK166" s="350"/>
      <c r="BL166" s="350"/>
      <c r="BM166" s="350"/>
      <c r="BN166" s="350"/>
      <c r="BO166" s="350"/>
      <c r="BP166" s="350"/>
      <c r="BQ166" s="350"/>
      <c r="BR166" s="350"/>
      <c r="BS166" s="350"/>
      <c r="BT166" s="350"/>
      <c r="BU166" s="350"/>
      <c r="BV166" s="351"/>
    </row>
    <row r="167" spans="1:74" ht="30" customHeight="1">
      <c r="A167" s="63">
        <f t="shared" si="0"/>
        <v>153</v>
      </c>
      <c r="B167" s="56" t="s">
        <v>325</v>
      </c>
      <c r="C167" s="57"/>
      <c r="D167" s="644"/>
      <c r="E167" s="350"/>
      <c r="F167" s="350"/>
      <c r="G167" s="350"/>
      <c r="H167" s="350"/>
      <c r="I167" s="350"/>
      <c r="J167" s="350"/>
      <c r="K167" s="351"/>
      <c r="L167" s="643"/>
      <c r="M167" s="350"/>
      <c r="N167" s="350"/>
      <c r="O167" s="351"/>
      <c r="P167" s="644"/>
      <c r="Q167" s="350"/>
      <c r="R167" s="350"/>
      <c r="S167" s="351"/>
      <c r="T167" s="643"/>
      <c r="U167" s="350"/>
      <c r="V167" s="350"/>
      <c r="W167" s="351"/>
      <c r="X167" s="644"/>
      <c r="Y167" s="350"/>
      <c r="Z167" s="350"/>
      <c r="AA167" s="351"/>
      <c r="AB167" s="506"/>
      <c r="AC167" s="350"/>
      <c r="AD167" s="351"/>
      <c r="AE167" s="571"/>
      <c r="AF167" s="350"/>
      <c r="AG167" s="351"/>
      <c r="AH167" s="645"/>
      <c r="AI167" s="350"/>
      <c r="AJ167" s="351"/>
      <c r="AK167" s="567"/>
      <c r="AL167" s="350"/>
      <c r="AM167" s="351"/>
      <c r="AN167" s="58"/>
      <c r="AO167" s="59"/>
      <c r="AP167" s="58"/>
      <c r="AQ167" s="59"/>
      <c r="AR167" s="58"/>
      <c r="AS167" s="59"/>
      <c r="AT167" s="58"/>
      <c r="AU167" s="59"/>
      <c r="AV167" s="58"/>
      <c r="AW167" s="59"/>
      <c r="AX167" s="58"/>
      <c r="AY167" s="59"/>
      <c r="AZ167" s="64"/>
      <c r="BA167" s="61"/>
      <c r="BB167" s="64"/>
      <c r="BC167" s="61"/>
      <c r="BD167" s="64"/>
      <c r="BE167" s="61"/>
      <c r="BF167" s="64"/>
      <c r="BG167" s="61"/>
      <c r="BH167" s="64"/>
      <c r="BI167" s="646" t="s">
        <v>294</v>
      </c>
      <c r="BJ167" s="350"/>
      <c r="BK167" s="350"/>
      <c r="BL167" s="350"/>
      <c r="BM167" s="350"/>
      <c r="BN167" s="350"/>
      <c r="BO167" s="350"/>
      <c r="BP167" s="350"/>
      <c r="BQ167" s="350"/>
      <c r="BR167" s="350"/>
      <c r="BS167" s="350"/>
      <c r="BT167" s="350"/>
      <c r="BU167" s="350"/>
      <c r="BV167" s="351"/>
    </row>
    <row r="168" spans="1:74" ht="30" customHeight="1">
      <c r="A168" s="55">
        <f t="shared" si="0"/>
        <v>154</v>
      </c>
      <c r="B168" s="56" t="s">
        <v>325</v>
      </c>
      <c r="C168" s="57"/>
      <c r="D168" s="644"/>
      <c r="E168" s="350"/>
      <c r="F168" s="350"/>
      <c r="G168" s="350"/>
      <c r="H168" s="350"/>
      <c r="I168" s="350"/>
      <c r="J168" s="350"/>
      <c r="K168" s="351"/>
      <c r="L168" s="643"/>
      <c r="M168" s="350"/>
      <c r="N168" s="350"/>
      <c r="O168" s="351"/>
      <c r="P168" s="644"/>
      <c r="Q168" s="350"/>
      <c r="R168" s="350"/>
      <c r="S168" s="351"/>
      <c r="T168" s="643"/>
      <c r="U168" s="350"/>
      <c r="V168" s="350"/>
      <c r="W168" s="351"/>
      <c r="X168" s="644"/>
      <c r="Y168" s="350"/>
      <c r="Z168" s="350"/>
      <c r="AA168" s="351"/>
      <c r="AB168" s="506"/>
      <c r="AC168" s="350"/>
      <c r="AD168" s="351"/>
      <c r="AE168" s="571"/>
      <c r="AF168" s="350"/>
      <c r="AG168" s="351"/>
      <c r="AH168" s="645"/>
      <c r="AI168" s="350"/>
      <c r="AJ168" s="351"/>
      <c r="AK168" s="567"/>
      <c r="AL168" s="350"/>
      <c r="AM168" s="351"/>
      <c r="AN168" s="58"/>
      <c r="AO168" s="59"/>
      <c r="AP168" s="58"/>
      <c r="AQ168" s="59"/>
      <c r="AR168" s="58"/>
      <c r="AS168" s="59"/>
      <c r="AT168" s="58"/>
      <c r="AU168" s="59"/>
      <c r="AV168" s="58"/>
      <c r="AW168" s="59"/>
      <c r="AX168" s="58"/>
      <c r="AY168" s="59"/>
      <c r="AZ168" s="64"/>
      <c r="BA168" s="61"/>
      <c r="BB168" s="64"/>
      <c r="BC168" s="61"/>
      <c r="BD168" s="64"/>
      <c r="BE168" s="61"/>
      <c r="BF168" s="64"/>
      <c r="BG168" s="61"/>
      <c r="BH168" s="64"/>
      <c r="BI168" s="646" t="s">
        <v>298</v>
      </c>
      <c r="BJ168" s="350"/>
      <c r="BK168" s="350"/>
      <c r="BL168" s="350"/>
      <c r="BM168" s="350"/>
      <c r="BN168" s="350"/>
      <c r="BO168" s="350"/>
      <c r="BP168" s="350"/>
      <c r="BQ168" s="350"/>
      <c r="BR168" s="350"/>
      <c r="BS168" s="350"/>
      <c r="BT168" s="350"/>
      <c r="BU168" s="350"/>
      <c r="BV168" s="351"/>
    </row>
    <row r="169" spans="1:74" ht="30" customHeight="1">
      <c r="A169" s="63">
        <f t="shared" si="0"/>
        <v>155</v>
      </c>
      <c r="B169" s="56" t="s">
        <v>325</v>
      </c>
      <c r="C169" s="57"/>
      <c r="D169" s="644"/>
      <c r="E169" s="350"/>
      <c r="F169" s="350"/>
      <c r="G169" s="350"/>
      <c r="H169" s="350"/>
      <c r="I169" s="350"/>
      <c r="J169" s="350"/>
      <c r="K169" s="351"/>
      <c r="L169" s="643"/>
      <c r="M169" s="350"/>
      <c r="N169" s="350"/>
      <c r="O169" s="351"/>
      <c r="P169" s="644"/>
      <c r="Q169" s="350"/>
      <c r="R169" s="350"/>
      <c r="S169" s="351"/>
      <c r="T169" s="643"/>
      <c r="U169" s="350"/>
      <c r="V169" s="350"/>
      <c r="W169" s="351"/>
      <c r="X169" s="644"/>
      <c r="Y169" s="350"/>
      <c r="Z169" s="350"/>
      <c r="AA169" s="351"/>
      <c r="AB169" s="506"/>
      <c r="AC169" s="350"/>
      <c r="AD169" s="351"/>
      <c r="AE169" s="571"/>
      <c r="AF169" s="350"/>
      <c r="AG169" s="351"/>
      <c r="AH169" s="645"/>
      <c r="AI169" s="350"/>
      <c r="AJ169" s="351"/>
      <c r="AK169" s="567"/>
      <c r="AL169" s="350"/>
      <c r="AM169" s="351"/>
      <c r="AN169" s="58"/>
      <c r="AO169" s="59"/>
      <c r="AP169" s="58"/>
      <c r="AQ169" s="59"/>
      <c r="AR169" s="58"/>
      <c r="AS169" s="59"/>
      <c r="AT169" s="58"/>
      <c r="AU169" s="59"/>
      <c r="AV169" s="58"/>
      <c r="AW169" s="59"/>
      <c r="AX169" s="58"/>
      <c r="AY169" s="59"/>
      <c r="AZ169" s="64"/>
      <c r="BA169" s="61"/>
      <c r="BB169" s="64"/>
      <c r="BC169" s="61"/>
      <c r="BD169" s="64"/>
      <c r="BE169" s="61"/>
      <c r="BF169" s="64"/>
      <c r="BG169" s="61"/>
      <c r="BH169" s="64"/>
      <c r="BI169" s="646" t="s">
        <v>298</v>
      </c>
      <c r="BJ169" s="350"/>
      <c r="BK169" s="350"/>
      <c r="BL169" s="350"/>
      <c r="BM169" s="350"/>
      <c r="BN169" s="350"/>
      <c r="BO169" s="350"/>
      <c r="BP169" s="350"/>
      <c r="BQ169" s="350"/>
      <c r="BR169" s="350"/>
      <c r="BS169" s="350"/>
      <c r="BT169" s="350"/>
      <c r="BU169" s="350"/>
      <c r="BV169" s="351"/>
    </row>
    <row r="170" spans="1:74" ht="30" customHeight="1">
      <c r="A170" s="63">
        <f t="shared" si="0"/>
        <v>156</v>
      </c>
      <c r="B170" s="56" t="s">
        <v>325</v>
      </c>
      <c r="C170" s="57"/>
      <c r="D170" s="644"/>
      <c r="E170" s="350"/>
      <c r="F170" s="350"/>
      <c r="G170" s="350"/>
      <c r="H170" s="350"/>
      <c r="I170" s="350"/>
      <c r="J170" s="350"/>
      <c r="K170" s="351"/>
      <c r="L170" s="643"/>
      <c r="M170" s="350"/>
      <c r="N170" s="350"/>
      <c r="O170" s="351"/>
      <c r="P170" s="644"/>
      <c r="Q170" s="350"/>
      <c r="R170" s="350"/>
      <c r="S170" s="351"/>
      <c r="T170" s="643"/>
      <c r="U170" s="350"/>
      <c r="V170" s="350"/>
      <c r="W170" s="351"/>
      <c r="X170" s="644"/>
      <c r="Y170" s="350"/>
      <c r="Z170" s="350"/>
      <c r="AA170" s="351"/>
      <c r="AB170" s="506"/>
      <c r="AC170" s="350"/>
      <c r="AD170" s="351"/>
      <c r="AE170" s="571"/>
      <c r="AF170" s="350"/>
      <c r="AG170" s="351"/>
      <c r="AH170" s="645"/>
      <c r="AI170" s="350"/>
      <c r="AJ170" s="351"/>
      <c r="AK170" s="567"/>
      <c r="AL170" s="350"/>
      <c r="AM170" s="351"/>
      <c r="AN170" s="58"/>
      <c r="AO170" s="59"/>
      <c r="AP170" s="58"/>
      <c r="AQ170" s="59"/>
      <c r="AR170" s="58"/>
      <c r="AS170" s="59"/>
      <c r="AT170" s="58"/>
      <c r="AU170" s="59"/>
      <c r="AV170" s="58"/>
      <c r="AW170" s="59"/>
      <c r="AX170" s="58"/>
      <c r="AY170" s="59"/>
      <c r="AZ170" s="64"/>
      <c r="BA170" s="61"/>
      <c r="BB170" s="64"/>
      <c r="BC170" s="61"/>
      <c r="BD170" s="64"/>
      <c r="BE170" s="61"/>
      <c r="BF170" s="64"/>
      <c r="BG170" s="61"/>
      <c r="BH170" s="64"/>
      <c r="BI170" s="646" t="s">
        <v>298</v>
      </c>
      <c r="BJ170" s="350"/>
      <c r="BK170" s="350"/>
      <c r="BL170" s="350"/>
      <c r="BM170" s="350"/>
      <c r="BN170" s="350"/>
      <c r="BO170" s="350"/>
      <c r="BP170" s="350"/>
      <c r="BQ170" s="350"/>
      <c r="BR170" s="350"/>
      <c r="BS170" s="350"/>
      <c r="BT170" s="350"/>
      <c r="BU170" s="350"/>
      <c r="BV170" s="351"/>
    </row>
    <row r="171" spans="1:74" ht="30" customHeight="1">
      <c r="A171" s="63">
        <f t="shared" si="0"/>
        <v>157</v>
      </c>
      <c r="B171" s="56" t="s">
        <v>325</v>
      </c>
      <c r="C171" s="57"/>
      <c r="D171" s="644"/>
      <c r="E171" s="350"/>
      <c r="F171" s="350"/>
      <c r="G171" s="350"/>
      <c r="H171" s="350"/>
      <c r="I171" s="350"/>
      <c r="J171" s="350"/>
      <c r="K171" s="351"/>
      <c r="L171" s="643"/>
      <c r="M171" s="350"/>
      <c r="N171" s="350"/>
      <c r="O171" s="351"/>
      <c r="P171" s="644"/>
      <c r="Q171" s="350"/>
      <c r="R171" s="350"/>
      <c r="S171" s="351"/>
      <c r="T171" s="643"/>
      <c r="U171" s="350"/>
      <c r="V171" s="350"/>
      <c r="W171" s="351"/>
      <c r="X171" s="644"/>
      <c r="Y171" s="350"/>
      <c r="Z171" s="350"/>
      <c r="AA171" s="351"/>
      <c r="AB171" s="506"/>
      <c r="AC171" s="350"/>
      <c r="AD171" s="351"/>
      <c r="AE171" s="571"/>
      <c r="AF171" s="350"/>
      <c r="AG171" s="351"/>
      <c r="AH171" s="645"/>
      <c r="AI171" s="350"/>
      <c r="AJ171" s="351"/>
      <c r="AK171" s="567"/>
      <c r="AL171" s="350"/>
      <c r="AM171" s="351"/>
      <c r="AN171" s="58"/>
      <c r="AO171" s="59"/>
      <c r="AP171" s="58"/>
      <c r="AQ171" s="59"/>
      <c r="AR171" s="58"/>
      <c r="AS171" s="59"/>
      <c r="AT171" s="58"/>
      <c r="AU171" s="59"/>
      <c r="AV171" s="58"/>
      <c r="AW171" s="59"/>
      <c r="AX171" s="58"/>
      <c r="AY171" s="59"/>
      <c r="AZ171" s="64"/>
      <c r="BA171" s="61"/>
      <c r="BB171" s="64"/>
      <c r="BC171" s="61"/>
      <c r="BD171" s="64"/>
      <c r="BE171" s="61"/>
      <c r="BF171" s="64"/>
      <c r="BG171" s="61"/>
      <c r="BH171" s="64"/>
      <c r="BI171" s="646" t="s">
        <v>298</v>
      </c>
      <c r="BJ171" s="350"/>
      <c r="BK171" s="350"/>
      <c r="BL171" s="350"/>
      <c r="BM171" s="350"/>
      <c r="BN171" s="350"/>
      <c r="BO171" s="350"/>
      <c r="BP171" s="350"/>
      <c r="BQ171" s="350"/>
      <c r="BR171" s="350"/>
      <c r="BS171" s="350"/>
      <c r="BT171" s="350"/>
      <c r="BU171" s="350"/>
      <c r="BV171" s="351"/>
    </row>
    <row r="172" spans="1:74" ht="30" customHeight="1">
      <c r="A172" s="63">
        <f t="shared" si="0"/>
        <v>158</v>
      </c>
      <c r="B172" s="56" t="s">
        <v>325</v>
      </c>
      <c r="C172" s="57"/>
      <c r="D172" s="644"/>
      <c r="E172" s="350"/>
      <c r="F172" s="350"/>
      <c r="G172" s="350"/>
      <c r="H172" s="350"/>
      <c r="I172" s="350"/>
      <c r="J172" s="350"/>
      <c r="K172" s="351"/>
      <c r="L172" s="643"/>
      <c r="M172" s="350"/>
      <c r="N172" s="350"/>
      <c r="O172" s="351"/>
      <c r="P172" s="644"/>
      <c r="Q172" s="350"/>
      <c r="R172" s="350"/>
      <c r="S172" s="351"/>
      <c r="T172" s="643"/>
      <c r="U172" s="350"/>
      <c r="V172" s="350"/>
      <c r="W172" s="351"/>
      <c r="X172" s="644"/>
      <c r="Y172" s="350"/>
      <c r="Z172" s="350"/>
      <c r="AA172" s="351"/>
      <c r="AB172" s="506"/>
      <c r="AC172" s="350"/>
      <c r="AD172" s="351"/>
      <c r="AE172" s="571"/>
      <c r="AF172" s="350"/>
      <c r="AG172" s="351"/>
      <c r="AH172" s="645"/>
      <c r="AI172" s="350"/>
      <c r="AJ172" s="351"/>
      <c r="AK172" s="567"/>
      <c r="AL172" s="350"/>
      <c r="AM172" s="351"/>
      <c r="AN172" s="58"/>
      <c r="AO172" s="59"/>
      <c r="AP172" s="58"/>
      <c r="AQ172" s="59"/>
      <c r="AR172" s="58"/>
      <c r="AS172" s="59"/>
      <c r="AT172" s="58"/>
      <c r="AU172" s="59"/>
      <c r="AV172" s="58"/>
      <c r="AW172" s="59"/>
      <c r="AX172" s="58"/>
      <c r="AY172" s="59"/>
      <c r="AZ172" s="64"/>
      <c r="BA172" s="61"/>
      <c r="BB172" s="64"/>
      <c r="BC172" s="61"/>
      <c r="BD172" s="64"/>
      <c r="BE172" s="61"/>
      <c r="BF172" s="64"/>
      <c r="BG172" s="61"/>
      <c r="BH172" s="64"/>
      <c r="BI172" s="646" t="s">
        <v>298</v>
      </c>
      <c r="BJ172" s="350"/>
      <c r="BK172" s="350"/>
      <c r="BL172" s="350"/>
      <c r="BM172" s="350"/>
      <c r="BN172" s="350"/>
      <c r="BO172" s="350"/>
      <c r="BP172" s="350"/>
      <c r="BQ172" s="350"/>
      <c r="BR172" s="350"/>
      <c r="BS172" s="350"/>
      <c r="BT172" s="350"/>
      <c r="BU172" s="350"/>
      <c r="BV172" s="351"/>
    </row>
    <row r="173" spans="1:74" ht="30" customHeight="1">
      <c r="A173" s="63">
        <f t="shared" si="0"/>
        <v>159</v>
      </c>
      <c r="B173" s="56" t="s">
        <v>325</v>
      </c>
      <c r="C173" s="57"/>
      <c r="D173" s="644"/>
      <c r="E173" s="350"/>
      <c r="F173" s="350"/>
      <c r="G173" s="350"/>
      <c r="H173" s="350"/>
      <c r="I173" s="350"/>
      <c r="J173" s="350"/>
      <c r="K173" s="351"/>
      <c r="L173" s="643"/>
      <c r="M173" s="350"/>
      <c r="N173" s="350"/>
      <c r="O173" s="351"/>
      <c r="P173" s="644"/>
      <c r="Q173" s="350"/>
      <c r="R173" s="350"/>
      <c r="S173" s="351"/>
      <c r="T173" s="643"/>
      <c r="U173" s="350"/>
      <c r="V173" s="350"/>
      <c r="W173" s="351"/>
      <c r="X173" s="644"/>
      <c r="Y173" s="350"/>
      <c r="Z173" s="350"/>
      <c r="AA173" s="351"/>
      <c r="AB173" s="506"/>
      <c r="AC173" s="350"/>
      <c r="AD173" s="351"/>
      <c r="AE173" s="571"/>
      <c r="AF173" s="350"/>
      <c r="AG173" s="351"/>
      <c r="AH173" s="645"/>
      <c r="AI173" s="350"/>
      <c r="AJ173" s="351"/>
      <c r="AK173" s="567"/>
      <c r="AL173" s="350"/>
      <c r="AM173" s="351"/>
      <c r="AN173" s="58"/>
      <c r="AO173" s="59"/>
      <c r="AP173" s="58"/>
      <c r="AQ173" s="59"/>
      <c r="AR173" s="58"/>
      <c r="AS173" s="59"/>
      <c r="AT173" s="58"/>
      <c r="AU173" s="59"/>
      <c r="AV173" s="58"/>
      <c r="AW173" s="59"/>
      <c r="AX173" s="58"/>
      <c r="AY173" s="59"/>
      <c r="AZ173" s="64"/>
      <c r="BA173" s="61"/>
      <c r="BB173" s="64"/>
      <c r="BC173" s="61"/>
      <c r="BD173" s="64"/>
      <c r="BE173" s="61"/>
      <c r="BF173" s="64"/>
      <c r="BG173" s="61"/>
      <c r="BH173" s="64"/>
      <c r="BI173" s="646" t="s">
        <v>294</v>
      </c>
      <c r="BJ173" s="350"/>
      <c r="BK173" s="350"/>
      <c r="BL173" s="350"/>
      <c r="BM173" s="350"/>
      <c r="BN173" s="350"/>
      <c r="BO173" s="350"/>
      <c r="BP173" s="350"/>
      <c r="BQ173" s="350"/>
      <c r="BR173" s="350"/>
      <c r="BS173" s="350"/>
      <c r="BT173" s="350"/>
      <c r="BU173" s="350"/>
      <c r="BV173" s="351"/>
    </row>
    <row r="174" spans="1:74" ht="30" customHeight="1">
      <c r="A174" s="63">
        <f t="shared" si="0"/>
        <v>160</v>
      </c>
      <c r="B174" s="56" t="s">
        <v>325</v>
      </c>
      <c r="C174" s="57"/>
      <c r="D174" s="644"/>
      <c r="E174" s="350"/>
      <c r="F174" s="350"/>
      <c r="G174" s="350"/>
      <c r="H174" s="350"/>
      <c r="I174" s="350"/>
      <c r="J174" s="350"/>
      <c r="K174" s="351"/>
      <c r="L174" s="643"/>
      <c r="M174" s="350"/>
      <c r="N174" s="350"/>
      <c r="O174" s="351"/>
      <c r="P174" s="644"/>
      <c r="Q174" s="350"/>
      <c r="R174" s="350"/>
      <c r="S174" s="351"/>
      <c r="T174" s="643"/>
      <c r="U174" s="350"/>
      <c r="V174" s="350"/>
      <c r="W174" s="351"/>
      <c r="X174" s="644"/>
      <c r="Y174" s="350"/>
      <c r="Z174" s="350"/>
      <c r="AA174" s="351"/>
      <c r="AB174" s="506"/>
      <c r="AC174" s="350"/>
      <c r="AD174" s="351"/>
      <c r="AE174" s="571"/>
      <c r="AF174" s="350"/>
      <c r="AG174" s="351"/>
      <c r="AH174" s="645"/>
      <c r="AI174" s="350"/>
      <c r="AJ174" s="351"/>
      <c r="AK174" s="567"/>
      <c r="AL174" s="350"/>
      <c r="AM174" s="351"/>
      <c r="AN174" s="58"/>
      <c r="AO174" s="59"/>
      <c r="AP174" s="58"/>
      <c r="AQ174" s="59"/>
      <c r="AR174" s="58"/>
      <c r="AS174" s="59"/>
      <c r="AT174" s="58"/>
      <c r="AU174" s="59"/>
      <c r="AV174" s="58"/>
      <c r="AW174" s="59"/>
      <c r="AX174" s="58"/>
      <c r="AY174" s="59"/>
      <c r="AZ174" s="64"/>
      <c r="BA174" s="61"/>
      <c r="BB174" s="64"/>
      <c r="BC174" s="61"/>
      <c r="BD174" s="64"/>
      <c r="BE174" s="61"/>
      <c r="BF174" s="64"/>
      <c r="BG174" s="61"/>
      <c r="BH174" s="64"/>
      <c r="BI174" s="646" t="s">
        <v>294</v>
      </c>
      <c r="BJ174" s="350"/>
      <c r="BK174" s="350"/>
      <c r="BL174" s="350"/>
      <c r="BM174" s="350"/>
      <c r="BN174" s="350"/>
      <c r="BO174" s="350"/>
      <c r="BP174" s="350"/>
      <c r="BQ174" s="350"/>
      <c r="BR174" s="350"/>
      <c r="BS174" s="350"/>
      <c r="BT174" s="350"/>
      <c r="BU174" s="350"/>
      <c r="BV174" s="351"/>
    </row>
    <row r="175" spans="1:74" ht="30" customHeight="1">
      <c r="A175" s="55">
        <f t="shared" si="0"/>
        <v>161</v>
      </c>
      <c r="B175" s="56" t="s">
        <v>325</v>
      </c>
      <c r="C175" s="57"/>
      <c r="D175" s="644"/>
      <c r="E175" s="350"/>
      <c r="F175" s="350"/>
      <c r="G175" s="350"/>
      <c r="H175" s="350"/>
      <c r="I175" s="350"/>
      <c r="J175" s="350"/>
      <c r="K175" s="351"/>
      <c r="L175" s="643"/>
      <c r="M175" s="350"/>
      <c r="N175" s="350"/>
      <c r="O175" s="351"/>
      <c r="P175" s="644"/>
      <c r="Q175" s="350"/>
      <c r="R175" s="350"/>
      <c r="S175" s="351"/>
      <c r="T175" s="643"/>
      <c r="U175" s="350"/>
      <c r="V175" s="350"/>
      <c r="W175" s="351"/>
      <c r="X175" s="644"/>
      <c r="Y175" s="350"/>
      <c r="Z175" s="350"/>
      <c r="AA175" s="351"/>
      <c r="AB175" s="506"/>
      <c r="AC175" s="350"/>
      <c r="AD175" s="351"/>
      <c r="AE175" s="571"/>
      <c r="AF175" s="350"/>
      <c r="AG175" s="351"/>
      <c r="AH175" s="645"/>
      <c r="AI175" s="350"/>
      <c r="AJ175" s="351"/>
      <c r="AK175" s="567"/>
      <c r="AL175" s="350"/>
      <c r="AM175" s="351"/>
      <c r="AN175" s="58"/>
      <c r="AO175" s="59"/>
      <c r="AP175" s="58"/>
      <c r="AQ175" s="59"/>
      <c r="AR175" s="58"/>
      <c r="AS175" s="59"/>
      <c r="AT175" s="58"/>
      <c r="AU175" s="59"/>
      <c r="AV175" s="58"/>
      <c r="AW175" s="59"/>
      <c r="AX175" s="58"/>
      <c r="AY175" s="59"/>
      <c r="AZ175" s="64"/>
      <c r="BA175" s="61"/>
      <c r="BB175" s="64"/>
      <c r="BC175" s="61"/>
      <c r="BD175" s="64"/>
      <c r="BE175" s="61"/>
      <c r="BF175" s="64"/>
      <c r="BG175" s="61"/>
      <c r="BH175" s="64"/>
      <c r="BI175" s="646" t="s">
        <v>298</v>
      </c>
      <c r="BJ175" s="350"/>
      <c r="BK175" s="350"/>
      <c r="BL175" s="350"/>
      <c r="BM175" s="350"/>
      <c r="BN175" s="350"/>
      <c r="BO175" s="350"/>
      <c r="BP175" s="350"/>
      <c r="BQ175" s="350"/>
      <c r="BR175" s="350"/>
      <c r="BS175" s="350"/>
      <c r="BT175" s="350"/>
      <c r="BU175" s="350"/>
      <c r="BV175" s="351"/>
    </row>
    <row r="176" spans="1:74" ht="30" customHeight="1">
      <c r="A176" s="63">
        <f t="shared" si="0"/>
        <v>162</v>
      </c>
      <c r="B176" s="56" t="s">
        <v>325</v>
      </c>
      <c r="C176" s="57"/>
      <c r="D176" s="644"/>
      <c r="E176" s="350"/>
      <c r="F176" s="350"/>
      <c r="G176" s="350"/>
      <c r="H176" s="350"/>
      <c r="I176" s="350"/>
      <c r="J176" s="350"/>
      <c r="K176" s="351"/>
      <c r="L176" s="643"/>
      <c r="M176" s="350"/>
      <c r="N176" s="350"/>
      <c r="O176" s="351"/>
      <c r="P176" s="644"/>
      <c r="Q176" s="350"/>
      <c r="R176" s="350"/>
      <c r="S176" s="351"/>
      <c r="T176" s="643"/>
      <c r="U176" s="350"/>
      <c r="V176" s="350"/>
      <c r="W176" s="351"/>
      <c r="X176" s="644"/>
      <c r="Y176" s="350"/>
      <c r="Z176" s="350"/>
      <c r="AA176" s="351"/>
      <c r="AB176" s="506"/>
      <c r="AC176" s="350"/>
      <c r="AD176" s="351"/>
      <c r="AE176" s="571"/>
      <c r="AF176" s="350"/>
      <c r="AG176" s="351"/>
      <c r="AH176" s="645"/>
      <c r="AI176" s="350"/>
      <c r="AJ176" s="351"/>
      <c r="AK176" s="567"/>
      <c r="AL176" s="350"/>
      <c r="AM176" s="351"/>
      <c r="AN176" s="58"/>
      <c r="AO176" s="59"/>
      <c r="AP176" s="58"/>
      <c r="AQ176" s="59"/>
      <c r="AR176" s="58"/>
      <c r="AS176" s="59"/>
      <c r="AT176" s="58"/>
      <c r="AU176" s="59"/>
      <c r="AV176" s="58"/>
      <c r="AW176" s="59"/>
      <c r="AX176" s="58"/>
      <c r="AY176" s="59"/>
      <c r="AZ176" s="64"/>
      <c r="BA176" s="61"/>
      <c r="BB176" s="64"/>
      <c r="BC176" s="61"/>
      <c r="BD176" s="64"/>
      <c r="BE176" s="61"/>
      <c r="BF176" s="64"/>
      <c r="BG176" s="61"/>
      <c r="BH176" s="64"/>
      <c r="BI176" s="646" t="s">
        <v>298</v>
      </c>
      <c r="BJ176" s="350"/>
      <c r="BK176" s="350"/>
      <c r="BL176" s="350"/>
      <c r="BM176" s="350"/>
      <c r="BN176" s="350"/>
      <c r="BO176" s="350"/>
      <c r="BP176" s="350"/>
      <c r="BQ176" s="350"/>
      <c r="BR176" s="350"/>
      <c r="BS176" s="350"/>
      <c r="BT176" s="350"/>
      <c r="BU176" s="350"/>
      <c r="BV176" s="351"/>
    </row>
    <row r="177" spans="1:74" ht="30" customHeight="1">
      <c r="A177" s="63">
        <f t="shared" si="0"/>
        <v>163</v>
      </c>
      <c r="B177" s="56" t="s">
        <v>325</v>
      </c>
      <c r="C177" s="57"/>
      <c r="D177" s="644"/>
      <c r="E177" s="350"/>
      <c r="F177" s="350"/>
      <c r="G177" s="350"/>
      <c r="H177" s="350"/>
      <c r="I177" s="350"/>
      <c r="J177" s="350"/>
      <c r="K177" s="351"/>
      <c r="L177" s="643"/>
      <c r="M177" s="350"/>
      <c r="N177" s="350"/>
      <c r="O177" s="351"/>
      <c r="P177" s="644"/>
      <c r="Q177" s="350"/>
      <c r="R177" s="350"/>
      <c r="S177" s="351"/>
      <c r="T177" s="643"/>
      <c r="U177" s="350"/>
      <c r="V177" s="350"/>
      <c r="W177" s="351"/>
      <c r="X177" s="644"/>
      <c r="Y177" s="350"/>
      <c r="Z177" s="350"/>
      <c r="AA177" s="351"/>
      <c r="AB177" s="506"/>
      <c r="AC177" s="350"/>
      <c r="AD177" s="351"/>
      <c r="AE177" s="571"/>
      <c r="AF177" s="350"/>
      <c r="AG177" s="351"/>
      <c r="AH177" s="645"/>
      <c r="AI177" s="350"/>
      <c r="AJ177" s="351"/>
      <c r="AK177" s="567"/>
      <c r="AL177" s="350"/>
      <c r="AM177" s="351"/>
      <c r="AN177" s="58"/>
      <c r="AO177" s="59"/>
      <c r="AP177" s="58"/>
      <c r="AQ177" s="59"/>
      <c r="AR177" s="58"/>
      <c r="AS177" s="59"/>
      <c r="AT177" s="58"/>
      <c r="AU177" s="59"/>
      <c r="AV177" s="58"/>
      <c r="AW177" s="59"/>
      <c r="AX177" s="58"/>
      <c r="AY177" s="59"/>
      <c r="AZ177" s="64"/>
      <c r="BA177" s="61"/>
      <c r="BB177" s="64"/>
      <c r="BC177" s="61"/>
      <c r="BD177" s="64"/>
      <c r="BE177" s="61"/>
      <c r="BF177" s="64"/>
      <c r="BG177" s="61"/>
      <c r="BH177" s="64"/>
      <c r="BI177" s="646" t="s">
        <v>298</v>
      </c>
      <c r="BJ177" s="350"/>
      <c r="BK177" s="350"/>
      <c r="BL177" s="350"/>
      <c r="BM177" s="350"/>
      <c r="BN177" s="350"/>
      <c r="BO177" s="350"/>
      <c r="BP177" s="350"/>
      <c r="BQ177" s="350"/>
      <c r="BR177" s="350"/>
      <c r="BS177" s="350"/>
      <c r="BT177" s="350"/>
      <c r="BU177" s="350"/>
      <c r="BV177" s="351"/>
    </row>
    <row r="178" spans="1:74" ht="30" customHeight="1">
      <c r="A178" s="63">
        <f t="shared" si="0"/>
        <v>164</v>
      </c>
      <c r="B178" s="56" t="s">
        <v>325</v>
      </c>
      <c r="C178" s="57"/>
      <c r="D178" s="644"/>
      <c r="E178" s="350"/>
      <c r="F178" s="350"/>
      <c r="G178" s="350"/>
      <c r="H178" s="350"/>
      <c r="I178" s="350"/>
      <c r="J178" s="350"/>
      <c r="K178" s="351"/>
      <c r="L178" s="643"/>
      <c r="M178" s="350"/>
      <c r="N178" s="350"/>
      <c r="O178" s="351"/>
      <c r="P178" s="644"/>
      <c r="Q178" s="350"/>
      <c r="R178" s="350"/>
      <c r="S178" s="351"/>
      <c r="T178" s="643"/>
      <c r="U178" s="350"/>
      <c r="V178" s="350"/>
      <c r="W178" s="351"/>
      <c r="X178" s="644"/>
      <c r="Y178" s="350"/>
      <c r="Z178" s="350"/>
      <c r="AA178" s="351"/>
      <c r="AB178" s="506"/>
      <c r="AC178" s="350"/>
      <c r="AD178" s="351"/>
      <c r="AE178" s="571"/>
      <c r="AF178" s="350"/>
      <c r="AG178" s="351"/>
      <c r="AH178" s="645"/>
      <c r="AI178" s="350"/>
      <c r="AJ178" s="351"/>
      <c r="AK178" s="567"/>
      <c r="AL178" s="350"/>
      <c r="AM178" s="351"/>
      <c r="AN178" s="58"/>
      <c r="AO178" s="59"/>
      <c r="AP178" s="58"/>
      <c r="AQ178" s="59"/>
      <c r="AR178" s="58"/>
      <c r="AS178" s="59"/>
      <c r="AT178" s="58"/>
      <c r="AU178" s="59"/>
      <c r="AV178" s="58"/>
      <c r="AW178" s="59"/>
      <c r="AX178" s="58"/>
      <c r="AY178" s="59"/>
      <c r="AZ178" s="64"/>
      <c r="BA178" s="61"/>
      <c r="BB178" s="64"/>
      <c r="BC178" s="61"/>
      <c r="BD178" s="64"/>
      <c r="BE178" s="61"/>
      <c r="BF178" s="64"/>
      <c r="BG178" s="61"/>
      <c r="BH178" s="64"/>
      <c r="BI178" s="646" t="s">
        <v>298</v>
      </c>
      <c r="BJ178" s="350"/>
      <c r="BK178" s="350"/>
      <c r="BL178" s="350"/>
      <c r="BM178" s="350"/>
      <c r="BN178" s="350"/>
      <c r="BO178" s="350"/>
      <c r="BP178" s="350"/>
      <c r="BQ178" s="350"/>
      <c r="BR178" s="350"/>
      <c r="BS178" s="350"/>
      <c r="BT178" s="350"/>
      <c r="BU178" s="350"/>
      <c r="BV178" s="351"/>
    </row>
    <row r="179" spans="1:74" ht="30" customHeight="1">
      <c r="A179" s="63">
        <f t="shared" si="0"/>
        <v>165</v>
      </c>
      <c r="B179" s="56" t="s">
        <v>325</v>
      </c>
      <c r="C179" s="57"/>
      <c r="D179" s="644"/>
      <c r="E179" s="350"/>
      <c r="F179" s="350"/>
      <c r="G179" s="350"/>
      <c r="H179" s="350"/>
      <c r="I179" s="350"/>
      <c r="J179" s="350"/>
      <c r="K179" s="351"/>
      <c r="L179" s="643"/>
      <c r="M179" s="350"/>
      <c r="N179" s="350"/>
      <c r="O179" s="351"/>
      <c r="P179" s="644"/>
      <c r="Q179" s="350"/>
      <c r="R179" s="350"/>
      <c r="S179" s="351"/>
      <c r="T179" s="643"/>
      <c r="U179" s="350"/>
      <c r="V179" s="350"/>
      <c r="W179" s="351"/>
      <c r="X179" s="644"/>
      <c r="Y179" s="350"/>
      <c r="Z179" s="350"/>
      <c r="AA179" s="351"/>
      <c r="AB179" s="506"/>
      <c r="AC179" s="350"/>
      <c r="AD179" s="351"/>
      <c r="AE179" s="571"/>
      <c r="AF179" s="350"/>
      <c r="AG179" s="351"/>
      <c r="AH179" s="645"/>
      <c r="AI179" s="350"/>
      <c r="AJ179" s="351"/>
      <c r="AK179" s="567"/>
      <c r="AL179" s="350"/>
      <c r="AM179" s="351"/>
      <c r="AN179" s="58"/>
      <c r="AO179" s="59"/>
      <c r="AP179" s="58"/>
      <c r="AQ179" s="59"/>
      <c r="AR179" s="58"/>
      <c r="AS179" s="59"/>
      <c r="AT179" s="58"/>
      <c r="AU179" s="59"/>
      <c r="AV179" s="58"/>
      <c r="AW179" s="59"/>
      <c r="AX179" s="58"/>
      <c r="AY179" s="59"/>
      <c r="AZ179" s="64"/>
      <c r="BA179" s="61"/>
      <c r="BB179" s="64"/>
      <c r="BC179" s="61"/>
      <c r="BD179" s="64"/>
      <c r="BE179" s="61"/>
      <c r="BF179" s="64"/>
      <c r="BG179" s="61"/>
      <c r="BH179" s="64"/>
      <c r="BI179" s="646" t="s">
        <v>298</v>
      </c>
      <c r="BJ179" s="350"/>
      <c r="BK179" s="350"/>
      <c r="BL179" s="350"/>
      <c r="BM179" s="350"/>
      <c r="BN179" s="350"/>
      <c r="BO179" s="350"/>
      <c r="BP179" s="350"/>
      <c r="BQ179" s="350"/>
      <c r="BR179" s="350"/>
      <c r="BS179" s="350"/>
      <c r="BT179" s="350"/>
      <c r="BU179" s="350"/>
      <c r="BV179" s="351"/>
    </row>
    <row r="180" spans="1:74" ht="30" customHeight="1">
      <c r="A180" s="63">
        <f t="shared" si="0"/>
        <v>166</v>
      </c>
      <c r="B180" s="56" t="s">
        <v>325</v>
      </c>
      <c r="C180" s="57"/>
      <c r="D180" s="644"/>
      <c r="E180" s="350"/>
      <c r="F180" s="350"/>
      <c r="G180" s="350"/>
      <c r="H180" s="350"/>
      <c r="I180" s="350"/>
      <c r="J180" s="350"/>
      <c r="K180" s="351"/>
      <c r="L180" s="643"/>
      <c r="M180" s="350"/>
      <c r="N180" s="350"/>
      <c r="O180" s="351"/>
      <c r="P180" s="644"/>
      <c r="Q180" s="350"/>
      <c r="R180" s="350"/>
      <c r="S180" s="351"/>
      <c r="T180" s="643"/>
      <c r="U180" s="350"/>
      <c r="V180" s="350"/>
      <c r="W180" s="351"/>
      <c r="X180" s="644"/>
      <c r="Y180" s="350"/>
      <c r="Z180" s="350"/>
      <c r="AA180" s="351"/>
      <c r="AB180" s="506"/>
      <c r="AC180" s="350"/>
      <c r="AD180" s="351"/>
      <c r="AE180" s="571"/>
      <c r="AF180" s="350"/>
      <c r="AG180" s="351"/>
      <c r="AH180" s="645"/>
      <c r="AI180" s="350"/>
      <c r="AJ180" s="351"/>
      <c r="AK180" s="567"/>
      <c r="AL180" s="350"/>
      <c r="AM180" s="351"/>
      <c r="AN180" s="58"/>
      <c r="AO180" s="59"/>
      <c r="AP180" s="58"/>
      <c r="AQ180" s="59"/>
      <c r="AR180" s="58"/>
      <c r="AS180" s="59"/>
      <c r="AT180" s="58"/>
      <c r="AU180" s="59"/>
      <c r="AV180" s="58"/>
      <c r="AW180" s="59"/>
      <c r="AX180" s="58"/>
      <c r="AY180" s="59"/>
      <c r="AZ180" s="64"/>
      <c r="BA180" s="61"/>
      <c r="BB180" s="64"/>
      <c r="BC180" s="61"/>
      <c r="BD180" s="64"/>
      <c r="BE180" s="61"/>
      <c r="BF180" s="64"/>
      <c r="BG180" s="61"/>
      <c r="BH180" s="64"/>
      <c r="BI180" s="646" t="s">
        <v>294</v>
      </c>
      <c r="BJ180" s="350"/>
      <c r="BK180" s="350"/>
      <c r="BL180" s="350"/>
      <c r="BM180" s="350"/>
      <c r="BN180" s="350"/>
      <c r="BO180" s="350"/>
      <c r="BP180" s="350"/>
      <c r="BQ180" s="350"/>
      <c r="BR180" s="350"/>
      <c r="BS180" s="350"/>
      <c r="BT180" s="350"/>
      <c r="BU180" s="350"/>
      <c r="BV180" s="351"/>
    </row>
    <row r="181" spans="1:74" ht="30" customHeight="1">
      <c r="A181" s="63">
        <f t="shared" si="0"/>
        <v>167</v>
      </c>
      <c r="B181" s="56" t="s">
        <v>325</v>
      </c>
      <c r="C181" s="57"/>
      <c r="D181" s="644"/>
      <c r="E181" s="350"/>
      <c r="F181" s="350"/>
      <c r="G181" s="350"/>
      <c r="H181" s="350"/>
      <c r="I181" s="350"/>
      <c r="J181" s="350"/>
      <c r="K181" s="351"/>
      <c r="L181" s="643"/>
      <c r="M181" s="350"/>
      <c r="N181" s="350"/>
      <c r="O181" s="351"/>
      <c r="P181" s="644"/>
      <c r="Q181" s="350"/>
      <c r="R181" s="350"/>
      <c r="S181" s="351"/>
      <c r="T181" s="643"/>
      <c r="U181" s="350"/>
      <c r="V181" s="350"/>
      <c r="W181" s="351"/>
      <c r="X181" s="644"/>
      <c r="Y181" s="350"/>
      <c r="Z181" s="350"/>
      <c r="AA181" s="351"/>
      <c r="AB181" s="506"/>
      <c r="AC181" s="350"/>
      <c r="AD181" s="351"/>
      <c r="AE181" s="571"/>
      <c r="AF181" s="350"/>
      <c r="AG181" s="351"/>
      <c r="AH181" s="645"/>
      <c r="AI181" s="350"/>
      <c r="AJ181" s="351"/>
      <c r="AK181" s="567"/>
      <c r="AL181" s="350"/>
      <c r="AM181" s="351"/>
      <c r="AN181" s="58"/>
      <c r="AO181" s="59"/>
      <c r="AP181" s="58"/>
      <c r="AQ181" s="59"/>
      <c r="AR181" s="58"/>
      <c r="AS181" s="59"/>
      <c r="AT181" s="58"/>
      <c r="AU181" s="59"/>
      <c r="AV181" s="58"/>
      <c r="AW181" s="59"/>
      <c r="AX181" s="58"/>
      <c r="AY181" s="59"/>
      <c r="AZ181" s="64"/>
      <c r="BA181" s="61"/>
      <c r="BB181" s="64"/>
      <c r="BC181" s="61"/>
      <c r="BD181" s="64"/>
      <c r="BE181" s="61"/>
      <c r="BF181" s="64"/>
      <c r="BG181" s="61"/>
      <c r="BH181" s="64"/>
      <c r="BI181" s="646" t="s">
        <v>294</v>
      </c>
      <c r="BJ181" s="350"/>
      <c r="BK181" s="350"/>
      <c r="BL181" s="350"/>
      <c r="BM181" s="350"/>
      <c r="BN181" s="350"/>
      <c r="BO181" s="350"/>
      <c r="BP181" s="350"/>
      <c r="BQ181" s="350"/>
      <c r="BR181" s="350"/>
      <c r="BS181" s="350"/>
      <c r="BT181" s="350"/>
      <c r="BU181" s="350"/>
      <c r="BV181" s="351"/>
    </row>
    <row r="182" spans="1:74" ht="30" customHeight="1">
      <c r="A182" s="55">
        <f t="shared" si="0"/>
        <v>168</v>
      </c>
      <c r="B182" s="56" t="s">
        <v>325</v>
      </c>
      <c r="C182" s="57"/>
      <c r="D182" s="644"/>
      <c r="E182" s="350"/>
      <c r="F182" s="350"/>
      <c r="G182" s="350"/>
      <c r="H182" s="350"/>
      <c r="I182" s="350"/>
      <c r="J182" s="350"/>
      <c r="K182" s="351"/>
      <c r="L182" s="643"/>
      <c r="M182" s="350"/>
      <c r="N182" s="350"/>
      <c r="O182" s="351"/>
      <c r="P182" s="644"/>
      <c r="Q182" s="350"/>
      <c r="R182" s="350"/>
      <c r="S182" s="351"/>
      <c r="T182" s="643"/>
      <c r="U182" s="350"/>
      <c r="V182" s="350"/>
      <c r="W182" s="351"/>
      <c r="X182" s="644"/>
      <c r="Y182" s="350"/>
      <c r="Z182" s="350"/>
      <c r="AA182" s="351"/>
      <c r="AB182" s="506"/>
      <c r="AC182" s="350"/>
      <c r="AD182" s="351"/>
      <c r="AE182" s="571"/>
      <c r="AF182" s="350"/>
      <c r="AG182" s="351"/>
      <c r="AH182" s="645"/>
      <c r="AI182" s="350"/>
      <c r="AJ182" s="351"/>
      <c r="AK182" s="567"/>
      <c r="AL182" s="350"/>
      <c r="AM182" s="351"/>
      <c r="AN182" s="58"/>
      <c r="AO182" s="59"/>
      <c r="AP182" s="58"/>
      <c r="AQ182" s="59"/>
      <c r="AR182" s="58"/>
      <c r="AS182" s="59"/>
      <c r="AT182" s="58"/>
      <c r="AU182" s="59"/>
      <c r="AV182" s="58"/>
      <c r="AW182" s="59"/>
      <c r="AX182" s="58"/>
      <c r="AY182" s="59"/>
      <c r="AZ182" s="64"/>
      <c r="BA182" s="61"/>
      <c r="BB182" s="64"/>
      <c r="BC182" s="61"/>
      <c r="BD182" s="64"/>
      <c r="BE182" s="61"/>
      <c r="BF182" s="64"/>
      <c r="BG182" s="61"/>
      <c r="BH182" s="64"/>
      <c r="BI182" s="646" t="s">
        <v>298</v>
      </c>
      <c r="BJ182" s="350"/>
      <c r="BK182" s="350"/>
      <c r="BL182" s="350"/>
      <c r="BM182" s="350"/>
      <c r="BN182" s="350"/>
      <c r="BO182" s="350"/>
      <c r="BP182" s="350"/>
      <c r="BQ182" s="350"/>
      <c r="BR182" s="350"/>
      <c r="BS182" s="350"/>
      <c r="BT182" s="350"/>
      <c r="BU182" s="350"/>
      <c r="BV182" s="351"/>
    </row>
    <row r="183" spans="1:74" ht="30" customHeight="1">
      <c r="A183" s="63">
        <f t="shared" si="0"/>
        <v>169</v>
      </c>
      <c r="B183" s="56" t="s">
        <v>325</v>
      </c>
      <c r="C183" s="57"/>
      <c r="D183" s="644"/>
      <c r="E183" s="350"/>
      <c r="F183" s="350"/>
      <c r="G183" s="350"/>
      <c r="H183" s="350"/>
      <c r="I183" s="350"/>
      <c r="J183" s="350"/>
      <c r="K183" s="351"/>
      <c r="L183" s="643"/>
      <c r="M183" s="350"/>
      <c r="N183" s="350"/>
      <c r="O183" s="351"/>
      <c r="P183" s="644"/>
      <c r="Q183" s="350"/>
      <c r="R183" s="350"/>
      <c r="S183" s="351"/>
      <c r="T183" s="643"/>
      <c r="U183" s="350"/>
      <c r="V183" s="350"/>
      <c r="W183" s="351"/>
      <c r="X183" s="644"/>
      <c r="Y183" s="350"/>
      <c r="Z183" s="350"/>
      <c r="AA183" s="351"/>
      <c r="AB183" s="506"/>
      <c r="AC183" s="350"/>
      <c r="AD183" s="351"/>
      <c r="AE183" s="571"/>
      <c r="AF183" s="350"/>
      <c r="AG183" s="351"/>
      <c r="AH183" s="645"/>
      <c r="AI183" s="350"/>
      <c r="AJ183" s="351"/>
      <c r="AK183" s="567"/>
      <c r="AL183" s="350"/>
      <c r="AM183" s="351"/>
      <c r="AN183" s="58"/>
      <c r="AO183" s="59"/>
      <c r="AP183" s="58"/>
      <c r="AQ183" s="59"/>
      <c r="AR183" s="58"/>
      <c r="AS183" s="59"/>
      <c r="AT183" s="58"/>
      <c r="AU183" s="59"/>
      <c r="AV183" s="58"/>
      <c r="AW183" s="59"/>
      <c r="AX183" s="58"/>
      <c r="AY183" s="59"/>
      <c r="AZ183" s="64"/>
      <c r="BA183" s="61"/>
      <c r="BB183" s="64"/>
      <c r="BC183" s="61"/>
      <c r="BD183" s="64"/>
      <c r="BE183" s="61"/>
      <c r="BF183" s="64"/>
      <c r="BG183" s="61"/>
      <c r="BH183" s="64"/>
      <c r="BI183" s="646" t="s">
        <v>298</v>
      </c>
      <c r="BJ183" s="350"/>
      <c r="BK183" s="350"/>
      <c r="BL183" s="350"/>
      <c r="BM183" s="350"/>
      <c r="BN183" s="350"/>
      <c r="BO183" s="350"/>
      <c r="BP183" s="350"/>
      <c r="BQ183" s="350"/>
      <c r="BR183" s="350"/>
      <c r="BS183" s="350"/>
      <c r="BT183" s="350"/>
      <c r="BU183" s="350"/>
      <c r="BV183" s="351"/>
    </row>
    <row r="184" spans="1:74" ht="30" customHeight="1">
      <c r="A184" s="63">
        <f t="shared" si="0"/>
        <v>170</v>
      </c>
      <c r="B184" s="56" t="s">
        <v>325</v>
      </c>
      <c r="C184" s="57"/>
      <c r="D184" s="644"/>
      <c r="E184" s="350"/>
      <c r="F184" s="350"/>
      <c r="G184" s="350"/>
      <c r="H184" s="350"/>
      <c r="I184" s="350"/>
      <c r="J184" s="350"/>
      <c r="K184" s="351"/>
      <c r="L184" s="643"/>
      <c r="M184" s="350"/>
      <c r="N184" s="350"/>
      <c r="O184" s="351"/>
      <c r="P184" s="644"/>
      <c r="Q184" s="350"/>
      <c r="R184" s="350"/>
      <c r="S184" s="351"/>
      <c r="T184" s="643"/>
      <c r="U184" s="350"/>
      <c r="V184" s="350"/>
      <c r="W184" s="351"/>
      <c r="X184" s="644"/>
      <c r="Y184" s="350"/>
      <c r="Z184" s="350"/>
      <c r="AA184" s="351"/>
      <c r="AB184" s="506"/>
      <c r="AC184" s="350"/>
      <c r="AD184" s="351"/>
      <c r="AE184" s="571"/>
      <c r="AF184" s="350"/>
      <c r="AG184" s="351"/>
      <c r="AH184" s="645"/>
      <c r="AI184" s="350"/>
      <c r="AJ184" s="351"/>
      <c r="AK184" s="567"/>
      <c r="AL184" s="350"/>
      <c r="AM184" s="351"/>
      <c r="AN184" s="58"/>
      <c r="AO184" s="59"/>
      <c r="AP184" s="58"/>
      <c r="AQ184" s="59"/>
      <c r="AR184" s="58"/>
      <c r="AS184" s="59"/>
      <c r="AT184" s="58"/>
      <c r="AU184" s="59"/>
      <c r="AV184" s="58"/>
      <c r="AW184" s="59"/>
      <c r="AX184" s="58"/>
      <c r="AY184" s="59"/>
      <c r="AZ184" s="64"/>
      <c r="BA184" s="61"/>
      <c r="BB184" s="64"/>
      <c r="BC184" s="61"/>
      <c r="BD184" s="64"/>
      <c r="BE184" s="61"/>
      <c r="BF184" s="64"/>
      <c r="BG184" s="61"/>
      <c r="BH184" s="64"/>
      <c r="BI184" s="646" t="s">
        <v>298</v>
      </c>
      <c r="BJ184" s="350"/>
      <c r="BK184" s="350"/>
      <c r="BL184" s="350"/>
      <c r="BM184" s="350"/>
      <c r="BN184" s="350"/>
      <c r="BO184" s="350"/>
      <c r="BP184" s="350"/>
      <c r="BQ184" s="350"/>
      <c r="BR184" s="350"/>
      <c r="BS184" s="350"/>
      <c r="BT184" s="350"/>
      <c r="BU184" s="350"/>
      <c r="BV184" s="351"/>
    </row>
    <row r="185" spans="1:74" ht="30" customHeight="1">
      <c r="A185" s="63">
        <f t="shared" si="0"/>
        <v>171</v>
      </c>
      <c r="B185" s="56" t="s">
        <v>325</v>
      </c>
      <c r="C185" s="57"/>
      <c r="D185" s="644"/>
      <c r="E185" s="350"/>
      <c r="F185" s="350"/>
      <c r="G185" s="350"/>
      <c r="H185" s="350"/>
      <c r="I185" s="350"/>
      <c r="J185" s="350"/>
      <c r="K185" s="351"/>
      <c r="L185" s="643"/>
      <c r="M185" s="350"/>
      <c r="N185" s="350"/>
      <c r="O185" s="351"/>
      <c r="P185" s="644"/>
      <c r="Q185" s="350"/>
      <c r="R185" s="350"/>
      <c r="S185" s="351"/>
      <c r="T185" s="643"/>
      <c r="U185" s="350"/>
      <c r="V185" s="350"/>
      <c r="W185" s="351"/>
      <c r="X185" s="644"/>
      <c r="Y185" s="350"/>
      <c r="Z185" s="350"/>
      <c r="AA185" s="351"/>
      <c r="AB185" s="506"/>
      <c r="AC185" s="350"/>
      <c r="AD185" s="351"/>
      <c r="AE185" s="571"/>
      <c r="AF185" s="350"/>
      <c r="AG185" s="351"/>
      <c r="AH185" s="645"/>
      <c r="AI185" s="350"/>
      <c r="AJ185" s="351"/>
      <c r="AK185" s="567"/>
      <c r="AL185" s="350"/>
      <c r="AM185" s="351"/>
      <c r="AN185" s="58"/>
      <c r="AO185" s="59"/>
      <c r="AP185" s="58"/>
      <c r="AQ185" s="59"/>
      <c r="AR185" s="58"/>
      <c r="AS185" s="59"/>
      <c r="AT185" s="58"/>
      <c r="AU185" s="59"/>
      <c r="AV185" s="58"/>
      <c r="AW185" s="59"/>
      <c r="AX185" s="58"/>
      <c r="AY185" s="59"/>
      <c r="AZ185" s="64"/>
      <c r="BA185" s="61"/>
      <c r="BB185" s="64"/>
      <c r="BC185" s="61"/>
      <c r="BD185" s="64"/>
      <c r="BE185" s="61"/>
      <c r="BF185" s="64"/>
      <c r="BG185" s="61"/>
      <c r="BH185" s="64"/>
      <c r="BI185" s="646" t="s">
        <v>298</v>
      </c>
      <c r="BJ185" s="350"/>
      <c r="BK185" s="350"/>
      <c r="BL185" s="350"/>
      <c r="BM185" s="350"/>
      <c r="BN185" s="350"/>
      <c r="BO185" s="350"/>
      <c r="BP185" s="350"/>
      <c r="BQ185" s="350"/>
      <c r="BR185" s="350"/>
      <c r="BS185" s="350"/>
      <c r="BT185" s="350"/>
      <c r="BU185" s="350"/>
      <c r="BV185" s="351"/>
    </row>
    <row r="186" spans="1:74" ht="30" customHeight="1">
      <c r="A186" s="63">
        <f t="shared" si="0"/>
        <v>172</v>
      </c>
      <c r="B186" s="56" t="s">
        <v>325</v>
      </c>
      <c r="C186" s="57"/>
      <c r="D186" s="644"/>
      <c r="E186" s="350"/>
      <c r="F186" s="350"/>
      <c r="G186" s="350"/>
      <c r="H186" s="350"/>
      <c r="I186" s="350"/>
      <c r="J186" s="350"/>
      <c r="K186" s="351"/>
      <c r="L186" s="643"/>
      <c r="M186" s="350"/>
      <c r="N186" s="350"/>
      <c r="O186" s="351"/>
      <c r="P186" s="644"/>
      <c r="Q186" s="350"/>
      <c r="R186" s="350"/>
      <c r="S186" s="351"/>
      <c r="T186" s="643"/>
      <c r="U186" s="350"/>
      <c r="V186" s="350"/>
      <c r="W186" s="351"/>
      <c r="X186" s="644"/>
      <c r="Y186" s="350"/>
      <c r="Z186" s="350"/>
      <c r="AA186" s="351"/>
      <c r="AB186" s="506"/>
      <c r="AC186" s="350"/>
      <c r="AD186" s="351"/>
      <c r="AE186" s="571"/>
      <c r="AF186" s="350"/>
      <c r="AG186" s="351"/>
      <c r="AH186" s="645"/>
      <c r="AI186" s="350"/>
      <c r="AJ186" s="351"/>
      <c r="AK186" s="567"/>
      <c r="AL186" s="350"/>
      <c r="AM186" s="351"/>
      <c r="AN186" s="58"/>
      <c r="AO186" s="59"/>
      <c r="AP186" s="58"/>
      <c r="AQ186" s="59"/>
      <c r="AR186" s="58"/>
      <c r="AS186" s="59"/>
      <c r="AT186" s="58"/>
      <c r="AU186" s="59"/>
      <c r="AV186" s="58"/>
      <c r="AW186" s="59"/>
      <c r="AX186" s="58"/>
      <c r="AY186" s="59"/>
      <c r="AZ186" s="64"/>
      <c r="BA186" s="61"/>
      <c r="BB186" s="64"/>
      <c r="BC186" s="61"/>
      <c r="BD186" s="64"/>
      <c r="BE186" s="61"/>
      <c r="BF186" s="64"/>
      <c r="BG186" s="61"/>
      <c r="BH186" s="64"/>
      <c r="BI186" s="646" t="s">
        <v>298</v>
      </c>
      <c r="BJ186" s="350"/>
      <c r="BK186" s="350"/>
      <c r="BL186" s="350"/>
      <c r="BM186" s="350"/>
      <c r="BN186" s="350"/>
      <c r="BO186" s="350"/>
      <c r="BP186" s="350"/>
      <c r="BQ186" s="350"/>
      <c r="BR186" s="350"/>
      <c r="BS186" s="350"/>
      <c r="BT186" s="350"/>
      <c r="BU186" s="350"/>
      <c r="BV186" s="351"/>
    </row>
    <row r="187" spans="1:74" ht="30" customHeight="1">
      <c r="A187" s="63">
        <f t="shared" si="0"/>
        <v>173</v>
      </c>
      <c r="B187" s="56" t="s">
        <v>325</v>
      </c>
      <c r="C187" s="57"/>
      <c r="D187" s="644"/>
      <c r="E187" s="350"/>
      <c r="F187" s="350"/>
      <c r="G187" s="350"/>
      <c r="H187" s="350"/>
      <c r="I187" s="350"/>
      <c r="J187" s="350"/>
      <c r="K187" s="351"/>
      <c r="L187" s="643"/>
      <c r="M187" s="350"/>
      <c r="N187" s="350"/>
      <c r="O187" s="351"/>
      <c r="P187" s="644"/>
      <c r="Q187" s="350"/>
      <c r="R187" s="350"/>
      <c r="S187" s="351"/>
      <c r="T187" s="643"/>
      <c r="U187" s="350"/>
      <c r="V187" s="350"/>
      <c r="W187" s="351"/>
      <c r="X187" s="644"/>
      <c r="Y187" s="350"/>
      <c r="Z187" s="350"/>
      <c r="AA187" s="351"/>
      <c r="AB187" s="506"/>
      <c r="AC187" s="350"/>
      <c r="AD187" s="351"/>
      <c r="AE187" s="571"/>
      <c r="AF187" s="350"/>
      <c r="AG187" s="351"/>
      <c r="AH187" s="645"/>
      <c r="AI187" s="350"/>
      <c r="AJ187" s="351"/>
      <c r="AK187" s="567"/>
      <c r="AL187" s="350"/>
      <c r="AM187" s="351"/>
      <c r="AN187" s="58"/>
      <c r="AO187" s="59"/>
      <c r="AP187" s="58"/>
      <c r="AQ187" s="59"/>
      <c r="AR187" s="58"/>
      <c r="AS187" s="59"/>
      <c r="AT187" s="58"/>
      <c r="AU187" s="59"/>
      <c r="AV187" s="58"/>
      <c r="AW187" s="59"/>
      <c r="AX187" s="58"/>
      <c r="AY187" s="59"/>
      <c r="AZ187" s="64"/>
      <c r="BA187" s="61"/>
      <c r="BB187" s="64"/>
      <c r="BC187" s="61"/>
      <c r="BD187" s="64"/>
      <c r="BE187" s="61"/>
      <c r="BF187" s="64"/>
      <c r="BG187" s="61"/>
      <c r="BH187" s="64"/>
      <c r="BI187" s="646" t="s">
        <v>294</v>
      </c>
      <c r="BJ187" s="350"/>
      <c r="BK187" s="350"/>
      <c r="BL187" s="350"/>
      <c r="BM187" s="350"/>
      <c r="BN187" s="350"/>
      <c r="BO187" s="350"/>
      <c r="BP187" s="350"/>
      <c r="BQ187" s="350"/>
      <c r="BR187" s="350"/>
      <c r="BS187" s="350"/>
      <c r="BT187" s="350"/>
      <c r="BU187" s="350"/>
      <c r="BV187" s="351"/>
    </row>
    <row r="188" spans="1:74" ht="30" customHeight="1">
      <c r="A188" s="63">
        <f t="shared" si="0"/>
        <v>174</v>
      </c>
      <c r="B188" s="56" t="s">
        <v>325</v>
      </c>
      <c r="C188" s="57"/>
      <c r="D188" s="644"/>
      <c r="E188" s="350"/>
      <c r="F188" s="350"/>
      <c r="G188" s="350"/>
      <c r="H188" s="350"/>
      <c r="I188" s="350"/>
      <c r="J188" s="350"/>
      <c r="K188" s="351"/>
      <c r="L188" s="643"/>
      <c r="M188" s="350"/>
      <c r="N188" s="350"/>
      <c r="O188" s="351"/>
      <c r="P188" s="644"/>
      <c r="Q188" s="350"/>
      <c r="R188" s="350"/>
      <c r="S188" s="351"/>
      <c r="T188" s="643"/>
      <c r="U188" s="350"/>
      <c r="V188" s="350"/>
      <c r="W188" s="351"/>
      <c r="X188" s="644"/>
      <c r="Y188" s="350"/>
      <c r="Z188" s="350"/>
      <c r="AA188" s="351"/>
      <c r="AB188" s="506"/>
      <c r="AC188" s="350"/>
      <c r="AD188" s="351"/>
      <c r="AE188" s="571"/>
      <c r="AF188" s="350"/>
      <c r="AG188" s="351"/>
      <c r="AH188" s="645"/>
      <c r="AI188" s="350"/>
      <c r="AJ188" s="351"/>
      <c r="AK188" s="567"/>
      <c r="AL188" s="350"/>
      <c r="AM188" s="351"/>
      <c r="AN188" s="58"/>
      <c r="AO188" s="59"/>
      <c r="AP188" s="58"/>
      <c r="AQ188" s="59"/>
      <c r="AR188" s="58"/>
      <c r="AS188" s="59"/>
      <c r="AT188" s="58"/>
      <c r="AU188" s="59"/>
      <c r="AV188" s="58"/>
      <c r="AW188" s="59"/>
      <c r="AX188" s="58"/>
      <c r="AY188" s="59"/>
      <c r="AZ188" s="64"/>
      <c r="BA188" s="61"/>
      <c r="BB188" s="64"/>
      <c r="BC188" s="61"/>
      <c r="BD188" s="64"/>
      <c r="BE188" s="61"/>
      <c r="BF188" s="64"/>
      <c r="BG188" s="61"/>
      <c r="BH188" s="64"/>
      <c r="BI188" s="646" t="s">
        <v>294</v>
      </c>
      <c r="BJ188" s="350"/>
      <c r="BK188" s="350"/>
      <c r="BL188" s="350"/>
      <c r="BM188" s="350"/>
      <c r="BN188" s="350"/>
      <c r="BO188" s="350"/>
      <c r="BP188" s="350"/>
      <c r="BQ188" s="350"/>
      <c r="BR188" s="350"/>
      <c r="BS188" s="350"/>
      <c r="BT188" s="350"/>
      <c r="BU188" s="350"/>
      <c r="BV188" s="351"/>
    </row>
    <row r="189" spans="1:74" ht="30" customHeight="1">
      <c r="A189" s="55">
        <f t="shared" si="0"/>
        <v>175</v>
      </c>
      <c r="B189" s="56" t="s">
        <v>325</v>
      </c>
      <c r="C189" s="57"/>
      <c r="D189" s="644"/>
      <c r="E189" s="350"/>
      <c r="F189" s="350"/>
      <c r="G189" s="350"/>
      <c r="H189" s="350"/>
      <c r="I189" s="350"/>
      <c r="J189" s="350"/>
      <c r="K189" s="351"/>
      <c r="L189" s="643"/>
      <c r="M189" s="350"/>
      <c r="N189" s="350"/>
      <c r="O189" s="351"/>
      <c r="P189" s="644"/>
      <c r="Q189" s="350"/>
      <c r="R189" s="350"/>
      <c r="S189" s="351"/>
      <c r="T189" s="643"/>
      <c r="U189" s="350"/>
      <c r="V189" s="350"/>
      <c r="W189" s="351"/>
      <c r="X189" s="644"/>
      <c r="Y189" s="350"/>
      <c r="Z189" s="350"/>
      <c r="AA189" s="351"/>
      <c r="AB189" s="506"/>
      <c r="AC189" s="350"/>
      <c r="AD189" s="351"/>
      <c r="AE189" s="571"/>
      <c r="AF189" s="350"/>
      <c r="AG189" s="351"/>
      <c r="AH189" s="645"/>
      <c r="AI189" s="350"/>
      <c r="AJ189" s="351"/>
      <c r="AK189" s="567"/>
      <c r="AL189" s="350"/>
      <c r="AM189" s="351"/>
      <c r="AN189" s="58"/>
      <c r="AO189" s="59"/>
      <c r="AP189" s="58"/>
      <c r="AQ189" s="59"/>
      <c r="AR189" s="58"/>
      <c r="AS189" s="59"/>
      <c r="AT189" s="58"/>
      <c r="AU189" s="59"/>
      <c r="AV189" s="58"/>
      <c r="AW189" s="59"/>
      <c r="AX189" s="58"/>
      <c r="AY189" s="59"/>
      <c r="AZ189" s="64"/>
      <c r="BA189" s="61"/>
      <c r="BB189" s="64"/>
      <c r="BC189" s="61"/>
      <c r="BD189" s="64"/>
      <c r="BE189" s="61"/>
      <c r="BF189" s="64"/>
      <c r="BG189" s="61"/>
      <c r="BH189" s="64"/>
      <c r="BI189" s="646" t="s">
        <v>298</v>
      </c>
      <c r="BJ189" s="350"/>
      <c r="BK189" s="350"/>
      <c r="BL189" s="350"/>
      <c r="BM189" s="350"/>
      <c r="BN189" s="350"/>
      <c r="BO189" s="350"/>
      <c r="BP189" s="350"/>
      <c r="BQ189" s="350"/>
      <c r="BR189" s="350"/>
      <c r="BS189" s="350"/>
      <c r="BT189" s="350"/>
      <c r="BU189" s="350"/>
      <c r="BV189" s="351"/>
    </row>
    <row r="190" spans="1:74" ht="30" customHeight="1">
      <c r="A190" s="63">
        <f t="shared" si="0"/>
        <v>176</v>
      </c>
      <c r="B190" s="56" t="s">
        <v>325</v>
      </c>
      <c r="C190" s="57"/>
      <c r="D190" s="644"/>
      <c r="E190" s="350"/>
      <c r="F190" s="350"/>
      <c r="G190" s="350"/>
      <c r="H190" s="350"/>
      <c r="I190" s="350"/>
      <c r="J190" s="350"/>
      <c r="K190" s="351"/>
      <c r="L190" s="643"/>
      <c r="M190" s="350"/>
      <c r="N190" s="350"/>
      <c r="O190" s="351"/>
      <c r="P190" s="644"/>
      <c r="Q190" s="350"/>
      <c r="R190" s="350"/>
      <c r="S190" s="351"/>
      <c r="T190" s="643"/>
      <c r="U190" s="350"/>
      <c r="V190" s="350"/>
      <c r="W190" s="351"/>
      <c r="X190" s="644"/>
      <c r="Y190" s="350"/>
      <c r="Z190" s="350"/>
      <c r="AA190" s="351"/>
      <c r="AB190" s="506"/>
      <c r="AC190" s="350"/>
      <c r="AD190" s="351"/>
      <c r="AE190" s="571"/>
      <c r="AF190" s="350"/>
      <c r="AG190" s="351"/>
      <c r="AH190" s="645"/>
      <c r="AI190" s="350"/>
      <c r="AJ190" s="351"/>
      <c r="AK190" s="567"/>
      <c r="AL190" s="350"/>
      <c r="AM190" s="351"/>
      <c r="AN190" s="58"/>
      <c r="AO190" s="59"/>
      <c r="AP190" s="58"/>
      <c r="AQ190" s="59"/>
      <c r="AR190" s="58"/>
      <c r="AS190" s="59"/>
      <c r="AT190" s="58"/>
      <c r="AU190" s="59"/>
      <c r="AV190" s="58"/>
      <c r="AW190" s="59"/>
      <c r="AX190" s="58"/>
      <c r="AY190" s="59"/>
      <c r="AZ190" s="64"/>
      <c r="BA190" s="61"/>
      <c r="BB190" s="64"/>
      <c r="BC190" s="61"/>
      <c r="BD190" s="64"/>
      <c r="BE190" s="61"/>
      <c r="BF190" s="64"/>
      <c r="BG190" s="61"/>
      <c r="BH190" s="64"/>
      <c r="BI190" s="646" t="s">
        <v>298</v>
      </c>
      <c r="BJ190" s="350"/>
      <c r="BK190" s="350"/>
      <c r="BL190" s="350"/>
      <c r="BM190" s="350"/>
      <c r="BN190" s="350"/>
      <c r="BO190" s="350"/>
      <c r="BP190" s="350"/>
      <c r="BQ190" s="350"/>
      <c r="BR190" s="350"/>
      <c r="BS190" s="350"/>
      <c r="BT190" s="350"/>
      <c r="BU190" s="350"/>
      <c r="BV190" s="351"/>
    </row>
    <row r="191" spans="1:74" ht="30" customHeight="1">
      <c r="A191" s="63">
        <f t="shared" si="0"/>
        <v>177</v>
      </c>
      <c r="B191" s="56" t="s">
        <v>325</v>
      </c>
      <c r="C191" s="57"/>
      <c r="D191" s="644"/>
      <c r="E191" s="350"/>
      <c r="F191" s="350"/>
      <c r="G191" s="350"/>
      <c r="H191" s="350"/>
      <c r="I191" s="350"/>
      <c r="J191" s="350"/>
      <c r="K191" s="351"/>
      <c r="L191" s="643"/>
      <c r="M191" s="350"/>
      <c r="N191" s="350"/>
      <c r="O191" s="351"/>
      <c r="P191" s="644"/>
      <c r="Q191" s="350"/>
      <c r="R191" s="350"/>
      <c r="S191" s="351"/>
      <c r="T191" s="643"/>
      <c r="U191" s="350"/>
      <c r="V191" s="350"/>
      <c r="W191" s="351"/>
      <c r="X191" s="644"/>
      <c r="Y191" s="350"/>
      <c r="Z191" s="350"/>
      <c r="AA191" s="351"/>
      <c r="AB191" s="506"/>
      <c r="AC191" s="350"/>
      <c r="AD191" s="351"/>
      <c r="AE191" s="571"/>
      <c r="AF191" s="350"/>
      <c r="AG191" s="351"/>
      <c r="AH191" s="645"/>
      <c r="AI191" s="350"/>
      <c r="AJ191" s="351"/>
      <c r="AK191" s="567"/>
      <c r="AL191" s="350"/>
      <c r="AM191" s="351"/>
      <c r="AN191" s="58"/>
      <c r="AO191" s="59"/>
      <c r="AP191" s="58"/>
      <c r="AQ191" s="59"/>
      <c r="AR191" s="58"/>
      <c r="AS191" s="59"/>
      <c r="AT191" s="58"/>
      <c r="AU191" s="59"/>
      <c r="AV191" s="58"/>
      <c r="AW191" s="59"/>
      <c r="AX191" s="58"/>
      <c r="AY191" s="59"/>
      <c r="AZ191" s="64"/>
      <c r="BA191" s="61"/>
      <c r="BB191" s="64"/>
      <c r="BC191" s="61"/>
      <c r="BD191" s="64"/>
      <c r="BE191" s="61"/>
      <c r="BF191" s="64"/>
      <c r="BG191" s="61"/>
      <c r="BH191" s="64"/>
      <c r="BI191" s="646" t="s">
        <v>298</v>
      </c>
      <c r="BJ191" s="350"/>
      <c r="BK191" s="350"/>
      <c r="BL191" s="350"/>
      <c r="BM191" s="350"/>
      <c r="BN191" s="350"/>
      <c r="BO191" s="350"/>
      <c r="BP191" s="350"/>
      <c r="BQ191" s="350"/>
      <c r="BR191" s="350"/>
      <c r="BS191" s="350"/>
      <c r="BT191" s="350"/>
      <c r="BU191" s="350"/>
      <c r="BV191" s="351"/>
    </row>
    <row r="192" spans="1:74" ht="30" customHeight="1">
      <c r="A192" s="63">
        <f t="shared" si="0"/>
        <v>178</v>
      </c>
      <c r="B192" s="56" t="s">
        <v>325</v>
      </c>
      <c r="C192" s="57"/>
      <c r="D192" s="644"/>
      <c r="E192" s="350"/>
      <c r="F192" s="350"/>
      <c r="G192" s="350"/>
      <c r="H192" s="350"/>
      <c r="I192" s="350"/>
      <c r="J192" s="350"/>
      <c r="K192" s="351"/>
      <c r="L192" s="643"/>
      <c r="M192" s="350"/>
      <c r="N192" s="350"/>
      <c r="O192" s="351"/>
      <c r="P192" s="644"/>
      <c r="Q192" s="350"/>
      <c r="R192" s="350"/>
      <c r="S192" s="351"/>
      <c r="T192" s="643"/>
      <c r="U192" s="350"/>
      <c r="V192" s="350"/>
      <c r="W192" s="351"/>
      <c r="X192" s="644"/>
      <c r="Y192" s="350"/>
      <c r="Z192" s="350"/>
      <c r="AA192" s="351"/>
      <c r="AB192" s="506"/>
      <c r="AC192" s="350"/>
      <c r="AD192" s="351"/>
      <c r="AE192" s="571"/>
      <c r="AF192" s="350"/>
      <c r="AG192" s="351"/>
      <c r="AH192" s="645"/>
      <c r="AI192" s="350"/>
      <c r="AJ192" s="351"/>
      <c r="AK192" s="567"/>
      <c r="AL192" s="350"/>
      <c r="AM192" s="351"/>
      <c r="AN192" s="58"/>
      <c r="AO192" s="59"/>
      <c r="AP192" s="58"/>
      <c r="AQ192" s="59"/>
      <c r="AR192" s="58"/>
      <c r="AS192" s="59"/>
      <c r="AT192" s="58"/>
      <c r="AU192" s="59"/>
      <c r="AV192" s="58"/>
      <c r="AW192" s="59"/>
      <c r="AX192" s="58"/>
      <c r="AY192" s="59"/>
      <c r="AZ192" s="64"/>
      <c r="BA192" s="61"/>
      <c r="BB192" s="64"/>
      <c r="BC192" s="61"/>
      <c r="BD192" s="64"/>
      <c r="BE192" s="61"/>
      <c r="BF192" s="64"/>
      <c r="BG192" s="61"/>
      <c r="BH192" s="64"/>
      <c r="BI192" s="646" t="s">
        <v>298</v>
      </c>
      <c r="BJ192" s="350"/>
      <c r="BK192" s="350"/>
      <c r="BL192" s="350"/>
      <c r="BM192" s="350"/>
      <c r="BN192" s="350"/>
      <c r="BO192" s="350"/>
      <c r="BP192" s="350"/>
      <c r="BQ192" s="350"/>
      <c r="BR192" s="350"/>
      <c r="BS192" s="350"/>
      <c r="BT192" s="350"/>
      <c r="BU192" s="350"/>
      <c r="BV192" s="351"/>
    </row>
    <row r="193" spans="1:74" ht="30" customHeight="1">
      <c r="A193" s="63">
        <f t="shared" si="0"/>
        <v>179</v>
      </c>
      <c r="B193" s="56" t="s">
        <v>325</v>
      </c>
      <c r="C193" s="57"/>
      <c r="D193" s="644"/>
      <c r="E193" s="350"/>
      <c r="F193" s="350"/>
      <c r="G193" s="350"/>
      <c r="H193" s="350"/>
      <c r="I193" s="350"/>
      <c r="J193" s="350"/>
      <c r="K193" s="351"/>
      <c r="L193" s="643"/>
      <c r="M193" s="350"/>
      <c r="N193" s="350"/>
      <c r="O193" s="351"/>
      <c r="P193" s="644"/>
      <c r="Q193" s="350"/>
      <c r="R193" s="350"/>
      <c r="S193" s="351"/>
      <c r="T193" s="643"/>
      <c r="U193" s="350"/>
      <c r="V193" s="350"/>
      <c r="W193" s="351"/>
      <c r="X193" s="644"/>
      <c r="Y193" s="350"/>
      <c r="Z193" s="350"/>
      <c r="AA193" s="351"/>
      <c r="AB193" s="506"/>
      <c r="AC193" s="350"/>
      <c r="AD193" s="351"/>
      <c r="AE193" s="571"/>
      <c r="AF193" s="350"/>
      <c r="AG193" s="351"/>
      <c r="AH193" s="645"/>
      <c r="AI193" s="350"/>
      <c r="AJ193" s="351"/>
      <c r="AK193" s="567"/>
      <c r="AL193" s="350"/>
      <c r="AM193" s="351"/>
      <c r="AN193" s="58"/>
      <c r="AO193" s="59"/>
      <c r="AP193" s="58"/>
      <c r="AQ193" s="59"/>
      <c r="AR193" s="58"/>
      <c r="AS193" s="59"/>
      <c r="AT193" s="58"/>
      <c r="AU193" s="59"/>
      <c r="AV193" s="58"/>
      <c r="AW193" s="59"/>
      <c r="AX193" s="58"/>
      <c r="AY193" s="59"/>
      <c r="AZ193" s="64"/>
      <c r="BA193" s="61"/>
      <c r="BB193" s="64"/>
      <c r="BC193" s="61"/>
      <c r="BD193" s="64"/>
      <c r="BE193" s="61"/>
      <c r="BF193" s="64"/>
      <c r="BG193" s="61"/>
      <c r="BH193" s="64"/>
      <c r="BI193" s="646" t="s">
        <v>298</v>
      </c>
      <c r="BJ193" s="350"/>
      <c r="BK193" s="350"/>
      <c r="BL193" s="350"/>
      <c r="BM193" s="350"/>
      <c r="BN193" s="350"/>
      <c r="BO193" s="350"/>
      <c r="BP193" s="350"/>
      <c r="BQ193" s="350"/>
      <c r="BR193" s="350"/>
      <c r="BS193" s="350"/>
      <c r="BT193" s="350"/>
      <c r="BU193" s="350"/>
      <c r="BV193" s="351"/>
    </row>
    <row r="194" spans="1:74" ht="30" customHeight="1">
      <c r="A194" s="63">
        <f t="shared" si="0"/>
        <v>180</v>
      </c>
      <c r="B194" s="56" t="s">
        <v>325</v>
      </c>
      <c r="C194" s="57"/>
      <c r="D194" s="644"/>
      <c r="E194" s="350"/>
      <c r="F194" s="350"/>
      <c r="G194" s="350"/>
      <c r="H194" s="350"/>
      <c r="I194" s="350"/>
      <c r="J194" s="350"/>
      <c r="K194" s="351"/>
      <c r="L194" s="643"/>
      <c r="M194" s="350"/>
      <c r="N194" s="350"/>
      <c r="O194" s="351"/>
      <c r="P194" s="644"/>
      <c r="Q194" s="350"/>
      <c r="R194" s="350"/>
      <c r="S194" s="351"/>
      <c r="T194" s="643"/>
      <c r="U194" s="350"/>
      <c r="V194" s="350"/>
      <c r="W194" s="351"/>
      <c r="X194" s="644"/>
      <c r="Y194" s="350"/>
      <c r="Z194" s="350"/>
      <c r="AA194" s="351"/>
      <c r="AB194" s="506"/>
      <c r="AC194" s="350"/>
      <c r="AD194" s="351"/>
      <c r="AE194" s="571"/>
      <c r="AF194" s="350"/>
      <c r="AG194" s="351"/>
      <c r="AH194" s="645"/>
      <c r="AI194" s="350"/>
      <c r="AJ194" s="351"/>
      <c r="AK194" s="567"/>
      <c r="AL194" s="350"/>
      <c r="AM194" s="351"/>
      <c r="AN194" s="58"/>
      <c r="AO194" s="59"/>
      <c r="AP194" s="58"/>
      <c r="AQ194" s="59"/>
      <c r="AR194" s="58"/>
      <c r="AS194" s="59"/>
      <c r="AT194" s="58"/>
      <c r="AU194" s="59"/>
      <c r="AV194" s="58"/>
      <c r="AW194" s="59"/>
      <c r="AX194" s="58"/>
      <c r="AY194" s="59"/>
      <c r="AZ194" s="64"/>
      <c r="BA194" s="61"/>
      <c r="BB194" s="64"/>
      <c r="BC194" s="61"/>
      <c r="BD194" s="64"/>
      <c r="BE194" s="61"/>
      <c r="BF194" s="64"/>
      <c r="BG194" s="61"/>
      <c r="BH194" s="64"/>
      <c r="BI194" s="646" t="s">
        <v>294</v>
      </c>
      <c r="BJ194" s="350"/>
      <c r="BK194" s="350"/>
      <c r="BL194" s="350"/>
      <c r="BM194" s="350"/>
      <c r="BN194" s="350"/>
      <c r="BO194" s="350"/>
      <c r="BP194" s="350"/>
      <c r="BQ194" s="350"/>
      <c r="BR194" s="350"/>
      <c r="BS194" s="350"/>
      <c r="BT194" s="350"/>
      <c r="BU194" s="350"/>
      <c r="BV194" s="351"/>
    </row>
    <row r="195" spans="1:74" ht="30" customHeight="1">
      <c r="A195" s="63">
        <f t="shared" si="0"/>
        <v>181</v>
      </c>
      <c r="B195" s="56" t="s">
        <v>325</v>
      </c>
      <c r="C195" s="57"/>
      <c r="D195" s="644"/>
      <c r="E195" s="350"/>
      <c r="F195" s="350"/>
      <c r="G195" s="350"/>
      <c r="H195" s="350"/>
      <c r="I195" s="350"/>
      <c r="J195" s="350"/>
      <c r="K195" s="351"/>
      <c r="L195" s="643"/>
      <c r="M195" s="350"/>
      <c r="N195" s="350"/>
      <c r="O195" s="351"/>
      <c r="P195" s="644"/>
      <c r="Q195" s="350"/>
      <c r="R195" s="350"/>
      <c r="S195" s="351"/>
      <c r="T195" s="643"/>
      <c r="U195" s="350"/>
      <c r="V195" s="350"/>
      <c r="W195" s="351"/>
      <c r="X195" s="644"/>
      <c r="Y195" s="350"/>
      <c r="Z195" s="350"/>
      <c r="AA195" s="351"/>
      <c r="AB195" s="506"/>
      <c r="AC195" s="350"/>
      <c r="AD195" s="351"/>
      <c r="AE195" s="571"/>
      <c r="AF195" s="350"/>
      <c r="AG195" s="351"/>
      <c r="AH195" s="645"/>
      <c r="AI195" s="350"/>
      <c r="AJ195" s="351"/>
      <c r="AK195" s="567"/>
      <c r="AL195" s="350"/>
      <c r="AM195" s="351"/>
      <c r="AN195" s="58"/>
      <c r="AO195" s="59"/>
      <c r="AP195" s="58"/>
      <c r="AQ195" s="59"/>
      <c r="AR195" s="58"/>
      <c r="AS195" s="59"/>
      <c r="AT195" s="58"/>
      <c r="AU195" s="59"/>
      <c r="AV195" s="58"/>
      <c r="AW195" s="59"/>
      <c r="AX195" s="58"/>
      <c r="AY195" s="59"/>
      <c r="AZ195" s="64"/>
      <c r="BA195" s="61"/>
      <c r="BB195" s="64"/>
      <c r="BC195" s="61"/>
      <c r="BD195" s="64"/>
      <c r="BE195" s="61"/>
      <c r="BF195" s="64"/>
      <c r="BG195" s="61"/>
      <c r="BH195" s="64"/>
      <c r="BI195" s="646" t="s">
        <v>294</v>
      </c>
      <c r="BJ195" s="350"/>
      <c r="BK195" s="350"/>
      <c r="BL195" s="350"/>
      <c r="BM195" s="350"/>
      <c r="BN195" s="350"/>
      <c r="BO195" s="350"/>
      <c r="BP195" s="350"/>
      <c r="BQ195" s="350"/>
      <c r="BR195" s="350"/>
      <c r="BS195" s="350"/>
      <c r="BT195" s="350"/>
      <c r="BU195" s="350"/>
      <c r="BV195" s="351"/>
    </row>
    <row r="196" spans="1:74" ht="30" customHeight="1">
      <c r="A196" s="55">
        <f t="shared" si="0"/>
        <v>182</v>
      </c>
      <c r="B196" s="56" t="s">
        <v>325</v>
      </c>
      <c r="C196" s="57"/>
      <c r="D196" s="644"/>
      <c r="E196" s="350"/>
      <c r="F196" s="350"/>
      <c r="G196" s="350"/>
      <c r="H196" s="350"/>
      <c r="I196" s="350"/>
      <c r="J196" s="350"/>
      <c r="K196" s="351"/>
      <c r="L196" s="643"/>
      <c r="M196" s="350"/>
      <c r="N196" s="350"/>
      <c r="O196" s="351"/>
      <c r="P196" s="644"/>
      <c r="Q196" s="350"/>
      <c r="R196" s="350"/>
      <c r="S196" s="351"/>
      <c r="T196" s="643"/>
      <c r="U196" s="350"/>
      <c r="V196" s="350"/>
      <c r="W196" s="351"/>
      <c r="X196" s="644"/>
      <c r="Y196" s="350"/>
      <c r="Z196" s="350"/>
      <c r="AA196" s="351"/>
      <c r="AB196" s="506"/>
      <c r="AC196" s="350"/>
      <c r="AD196" s="351"/>
      <c r="AE196" s="571"/>
      <c r="AF196" s="350"/>
      <c r="AG196" s="351"/>
      <c r="AH196" s="645"/>
      <c r="AI196" s="350"/>
      <c r="AJ196" s="351"/>
      <c r="AK196" s="567"/>
      <c r="AL196" s="350"/>
      <c r="AM196" s="351"/>
      <c r="AN196" s="58"/>
      <c r="AO196" s="59"/>
      <c r="AP196" s="58"/>
      <c r="AQ196" s="59"/>
      <c r="AR196" s="58"/>
      <c r="AS196" s="59"/>
      <c r="AT196" s="58"/>
      <c r="AU196" s="59"/>
      <c r="AV196" s="58"/>
      <c r="AW196" s="59"/>
      <c r="AX196" s="58"/>
      <c r="AY196" s="59"/>
      <c r="AZ196" s="64"/>
      <c r="BA196" s="61"/>
      <c r="BB196" s="64"/>
      <c r="BC196" s="61"/>
      <c r="BD196" s="64"/>
      <c r="BE196" s="61"/>
      <c r="BF196" s="64"/>
      <c r="BG196" s="61"/>
      <c r="BH196" s="64"/>
      <c r="BI196" s="646" t="s">
        <v>298</v>
      </c>
      <c r="BJ196" s="350"/>
      <c r="BK196" s="350"/>
      <c r="BL196" s="350"/>
      <c r="BM196" s="350"/>
      <c r="BN196" s="350"/>
      <c r="BO196" s="350"/>
      <c r="BP196" s="350"/>
      <c r="BQ196" s="350"/>
      <c r="BR196" s="350"/>
      <c r="BS196" s="350"/>
      <c r="BT196" s="350"/>
      <c r="BU196" s="350"/>
      <c r="BV196" s="351"/>
    </row>
    <row r="197" spans="1:74" ht="30" customHeight="1">
      <c r="A197" s="63">
        <f t="shared" si="0"/>
        <v>183</v>
      </c>
      <c r="B197" s="56" t="s">
        <v>325</v>
      </c>
      <c r="C197" s="57"/>
      <c r="D197" s="644"/>
      <c r="E197" s="350"/>
      <c r="F197" s="350"/>
      <c r="G197" s="350"/>
      <c r="H197" s="350"/>
      <c r="I197" s="350"/>
      <c r="J197" s="350"/>
      <c r="K197" s="351"/>
      <c r="L197" s="643"/>
      <c r="M197" s="350"/>
      <c r="N197" s="350"/>
      <c r="O197" s="351"/>
      <c r="P197" s="644"/>
      <c r="Q197" s="350"/>
      <c r="R197" s="350"/>
      <c r="S197" s="351"/>
      <c r="T197" s="643"/>
      <c r="U197" s="350"/>
      <c r="V197" s="350"/>
      <c r="W197" s="351"/>
      <c r="X197" s="644"/>
      <c r="Y197" s="350"/>
      <c r="Z197" s="350"/>
      <c r="AA197" s="351"/>
      <c r="AB197" s="506"/>
      <c r="AC197" s="350"/>
      <c r="AD197" s="351"/>
      <c r="AE197" s="571"/>
      <c r="AF197" s="350"/>
      <c r="AG197" s="351"/>
      <c r="AH197" s="645"/>
      <c r="AI197" s="350"/>
      <c r="AJ197" s="351"/>
      <c r="AK197" s="567"/>
      <c r="AL197" s="350"/>
      <c r="AM197" s="351"/>
      <c r="AN197" s="58"/>
      <c r="AO197" s="59"/>
      <c r="AP197" s="58"/>
      <c r="AQ197" s="59"/>
      <c r="AR197" s="58"/>
      <c r="AS197" s="59"/>
      <c r="AT197" s="58"/>
      <c r="AU197" s="59"/>
      <c r="AV197" s="58"/>
      <c r="AW197" s="59"/>
      <c r="AX197" s="58"/>
      <c r="AY197" s="59"/>
      <c r="AZ197" s="64"/>
      <c r="BA197" s="61"/>
      <c r="BB197" s="64"/>
      <c r="BC197" s="61"/>
      <c r="BD197" s="64"/>
      <c r="BE197" s="61"/>
      <c r="BF197" s="64"/>
      <c r="BG197" s="61"/>
      <c r="BH197" s="64"/>
      <c r="BI197" s="646" t="s">
        <v>298</v>
      </c>
      <c r="BJ197" s="350"/>
      <c r="BK197" s="350"/>
      <c r="BL197" s="350"/>
      <c r="BM197" s="350"/>
      <c r="BN197" s="350"/>
      <c r="BO197" s="350"/>
      <c r="BP197" s="350"/>
      <c r="BQ197" s="350"/>
      <c r="BR197" s="350"/>
      <c r="BS197" s="350"/>
      <c r="BT197" s="350"/>
      <c r="BU197" s="350"/>
      <c r="BV197" s="351"/>
    </row>
    <row r="198" spans="1:74" ht="30" customHeight="1">
      <c r="A198" s="63">
        <f t="shared" si="0"/>
        <v>184</v>
      </c>
      <c r="B198" s="56" t="s">
        <v>325</v>
      </c>
      <c r="C198" s="57"/>
      <c r="D198" s="644"/>
      <c r="E198" s="350"/>
      <c r="F198" s="350"/>
      <c r="G198" s="350"/>
      <c r="H198" s="350"/>
      <c r="I198" s="350"/>
      <c r="J198" s="350"/>
      <c r="K198" s="351"/>
      <c r="L198" s="643"/>
      <c r="M198" s="350"/>
      <c r="N198" s="350"/>
      <c r="O198" s="351"/>
      <c r="P198" s="644"/>
      <c r="Q198" s="350"/>
      <c r="R198" s="350"/>
      <c r="S198" s="351"/>
      <c r="T198" s="643"/>
      <c r="U198" s="350"/>
      <c r="V198" s="350"/>
      <c r="W198" s="351"/>
      <c r="X198" s="644"/>
      <c r="Y198" s="350"/>
      <c r="Z198" s="350"/>
      <c r="AA198" s="351"/>
      <c r="AB198" s="506"/>
      <c r="AC198" s="350"/>
      <c r="AD198" s="351"/>
      <c r="AE198" s="571"/>
      <c r="AF198" s="350"/>
      <c r="AG198" s="351"/>
      <c r="AH198" s="645"/>
      <c r="AI198" s="350"/>
      <c r="AJ198" s="351"/>
      <c r="AK198" s="567"/>
      <c r="AL198" s="350"/>
      <c r="AM198" s="351"/>
      <c r="AN198" s="58"/>
      <c r="AO198" s="59"/>
      <c r="AP198" s="58"/>
      <c r="AQ198" s="59"/>
      <c r="AR198" s="58"/>
      <c r="AS198" s="59"/>
      <c r="AT198" s="58"/>
      <c r="AU198" s="59"/>
      <c r="AV198" s="58"/>
      <c r="AW198" s="59"/>
      <c r="AX198" s="58"/>
      <c r="AY198" s="59"/>
      <c r="AZ198" s="64"/>
      <c r="BA198" s="61"/>
      <c r="BB198" s="64"/>
      <c r="BC198" s="61"/>
      <c r="BD198" s="64"/>
      <c r="BE198" s="61"/>
      <c r="BF198" s="64"/>
      <c r="BG198" s="61"/>
      <c r="BH198" s="64"/>
      <c r="BI198" s="646" t="s">
        <v>298</v>
      </c>
      <c r="BJ198" s="350"/>
      <c r="BK198" s="350"/>
      <c r="BL198" s="350"/>
      <c r="BM198" s="350"/>
      <c r="BN198" s="350"/>
      <c r="BO198" s="350"/>
      <c r="BP198" s="350"/>
      <c r="BQ198" s="350"/>
      <c r="BR198" s="350"/>
      <c r="BS198" s="350"/>
      <c r="BT198" s="350"/>
      <c r="BU198" s="350"/>
      <c r="BV198" s="351"/>
    </row>
    <row r="199" spans="1:74" ht="30" customHeight="1">
      <c r="A199" s="63">
        <f t="shared" si="0"/>
        <v>185</v>
      </c>
      <c r="B199" s="56" t="s">
        <v>325</v>
      </c>
      <c r="C199" s="57"/>
      <c r="D199" s="644"/>
      <c r="E199" s="350"/>
      <c r="F199" s="350"/>
      <c r="G199" s="350"/>
      <c r="H199" s="350"/>
      <c r="I199" s="350"/>
      <c r="J199" s="350"/>
      <c r="K199" s="351"/>
      <c r="L199" s="643"/>
      <c r="M199" s="350"/>
      <c r="N199" s="350"/>
      <c r="O199" s="351"/>
      <c r="P199" s="644"/>
      <c r="Q199" s="350"/>
      <c r="R199" s="350"/>
      <c r="S199" s="351"/>
      <c r="T199" s="643"/>
      <c r="U199" s="350"/>
      <c r="V199" s="350"/>
      <c r="W199" s="351"/>
      <c r="X199" s="644"/>
      <c r="Y199" s="350"/>
      <c r="Z199" s="350"/>
      <c r="AA199" s="351"/>
      <c r="AB199" s="506"/>
      <c r="AC199" s="350"/>
      <c r="AD199" s="351"/>
      <c r="AE199" s="571"/>
      <c r="AF199" s="350"/>
      <c r="AG199" s="351"/>
      <c r="AH199" s="645"/>
      <c r="AI199" s="350"/>
      <c r="AJ199" s="351"/>
      <c r="AK199" s="567"/>
      <c r="AL199" s="350"/>
      <c r="AM199" s="351"/>
      <c r="AN199" s="58"/>
      <c r="AO199" s="59"/>
      <c r="AP199" s="58"/>
      <c r="AQ199" s="59"/>
      <c r="AR199" s="58"/>
      <c r="AS199" s="59"/>
      <c r="AT199" s="58"/>
      <c r="AU199" s="59"/>
      <c r="AV199" s="58"/>
      <c r="AW199" s="59"/>
      <c r="AX199" s="58"/>
      <c r="AY199" s="59"/>
      <c r="AZ199" s="64"/>
      <c r="BA199" s="61"/>
      <c r="BB199" s="64"/>
      <c r="BC199" s="61"/>
      <c r="BD199" s="64"/>
      <c r="BE199" s="61"/>
      <c r="BF199" s="64"/>
      <c r="BG199" s="61"/>
      <c r="BH199" s="64"/>
      <c r="BI199" s="646" t="s">
        <v>298</v>
      </c>
      <c r="BJ199" s="350"/>
      <c r="BK199" s="350"/>
      <c r="BL199" s="350"/>
      <c r="BM199" s="350"/>
      <c r="BN199" s="350"/>
      <c r="BO199" s="350"/>
      <c r="BP199" s="350"/>
      <c r="BQ199" s="350"/>
      <c r="BR199" s="350"/>
      <c r="BS199" s="350"/>
      <c r="BT199" s="350"/>
      <c r="BU199" s="350"/>
      <c r="BV199" s="351"/>
    </row>
    <row r="200" spans="1:74" ht="30" customHeight="1">
      <c r="A200" s="63">
        <f t="shared" si="0"/>
        <v>186</v>
      </c>
      <c r="B200" s="56" t="s">
        <v>325</v>
      </c>
      <c r="C200" s="57"/>
      <c r="D200" s="644"/>
      <c r="E200" s="350"/>
      <c r="F200" s="350"/>
      <c r="G200" s="350"/>
      <c r="H200" s="350"/>
      <c r="I200" s="350"/>
      <c r="J200" s="350"/>
      <c r="K200" s="351"/>
      <c r="L200" s="643"/>
      <c r="M200" s="350"/>
      <c r="N200" s="350"/>
      <c r="O200" s="351"/>
      <c r="P200" s="644"/>
      <c r="Q200" s="350"/>
      <c r="R200" s="350"/>
      <c r="S200" s="351"/>
      <c r="T200" s="643"/>
      <c r="U200" s="350"/>
      <c r="V200" s="350"/>
      <c r="W200" s="351"/>
      <c r="X200" s="644"/>
      <c r="Y200" s="350"/>
      <c r="Z200" s="350"/>
      <c r="AA200" s="351"/>
      <c r="AB200" s="506"/>
      <c r="AC200" s="350"/>
      <c r="AD200" s="351"/>
      <c r="AE200" s="571"/>
      <c r="AF200" s="350"/>
      <c r="AG200" s="351"/>
      <c r="AH200" s="645"/>
      <c r="AI200" s="350"/>
      <c r="AJ200" s="351"/>
      <c r="AK200" s="567"/>
      <c r="AL200" s="350"/>
      <c r="AM200" s="351"/>
      <c r="AN200" s="58"/>
      <c r="AO200" s="59"/>
      <c r="AP200" s="58"/>
      <c r="AQ200" s="59"/>
      <c r="AR200" s="58"/>
      <c r="AS200" s="59"/>
      <c r="AT200" s="58"/>
      <c r="AU200" s="59"/>
      <c r="AV200" s="58"/>
      <c r="AW200" s="59"/>
      <c r="AX200" s="58"/>
      <c r="AY200" s="59"/>
      <c r="AZ200" s="64"/>
      <c r="BA200" s="61"/>
      <c r="BB200" s="64"/>
      <c r="BC200" s="61"/>
      <c r="BD200" s="64"/>
      <c r="BE200" s="61"/>
      <c r="BF200" s="64"/>
      <c r="BG200" s="61"/>
      <c r="BH200" s="64"/>
      <c r="BI200" s="646" t="s">
        <v>298</v>
      </c>
      <c r="BJ200" s="350"/>
      <c r="BK200" s="350"/>
      <c r="BL200" s="350"/>
      <c r="BM200" s="350"/>
      <c r="BN200" s="350"/>
      <c r="BO200" s="350"/>
      <c r="BP200" s="350"/>
      <c r="BQ200" s="350"/>
      <c r="BR200" s="350"/>
      <c r="BS200" s="350"/>
      <c r="BT200" s="350"/>
      <c r="BU200" s="350"/>
      <c r="BV200" s="351"/>
    </row>
    <row r="201" spans="1:74" ht="30" customHeight="1">
      <c r="A201" s="63">
        <f t="shared" si="0"/>
        <v>187</v>
      </c>
      <c r="B201" s="56" t="s">
        <v>325</v>
      </c>
      <c r="C201" s="57"/>
      <c r="D201" s="644"/>
      <c r="E201" s="350"/>
      <c r="F201" s="350"/>
      <c r="G201" s="350"/>
      <c r="H201" s="350"/>
      <c r="I201" s="350"/>
      <c r="J201" s="350"/>
      <c r="K201" s="351"/>
      <c r="L201" s="643"/>
      <c r="M201" s="350"/>
      <c r="N201" s="350"/>
      <c r="O201" s="351"/>
      <c r="P201" s="644"/>
      <c r="Q201" s="350"/>
      <c r="R201" s="350"/>
      <c r="S201" s="351"/>
      <c r="T201" s="643"/>
      <c r="U201" s="350"/>
      <c r="V201" s="350"/>
      <c r="W201" s="351"/>
      <c r="X201" s="644"/>
      <c r="Y201" s="350"/>
      <c r="Z201" s="350"/>
      <c r="AA201" s="351"/>
      <c r="AB201" s="506"/>
      <c r="AC201" s="350"/>
      <c r="AD201" s="351"/>
      <c r="AE201" s="571"/>
      <c r="AF201" s="350"/>
      <c r="AG201" s="351"/>
      <c r="AH201" s="645"/>
      <c r="AI201" s="350"/>
      <c r="AJ201" s="351"/>
      <c r="AK201" s="567"/>
      <c r="AL201" s="350"/>
      <c r="AM201" s="351"/>
      <c r="AN201" s="58"/>
      <c r="AO201" s="59"/>
      <c r="AP201" s="58"/>
      <c r="AQ201" s="59"/>
      <c r="AR201" s="58"/>
      <c r="AS201" s="59"/>
      <c r="AT201" s="58"/>
      <c r="AU201" s="59"/>
      <c r="AV201" s="58"/>
      <c r="AW201" s="59"/>
      <c r="AX201" s="58"/>
      <c r="AY201" s="59"/>
      <c r="AZ201" s="64"/>
      <c r="BA201" s="61"/>
      <c r="BB201" s="64"/>
      <c r="BC201" s="61"/>
      <c r="BD201" s="64"/>
      <c r="BE201" s="61"/>
      <c r="BF201" s="64"/>
      <c r="BG201" s="61"/>
      <c r="BH201" s="64"/>
      <c r="BI201" s="646" t="s">
        <v>294</v>
      </c>
      <c r="BJ201" s="350"/>
      <c r="BK201" s="350"/>
      <c r="BL201" s="350"/>
      <c r="BM201" s="350"/>
      <c r="BN201" s="350"/>
      <c r="BO201" s="350"/>
      <c r="BP201" s="350"/>
      <c r="BQ201" s="350"/>
      <c r="BR201" s="350"/>
      <c r="BS201" s="350"/>
      <c r="BT201" s="350"/>
      <c r="BU201" s="350"/>
      <c r="BV201" s="351"/>
    </row>
    <row r="202" spans="1:74" ht="30" customHeight="1">
      <c r="A202" s="63">
        <f t="shared" si="0"/>
        <v>188</v>
      </c>
      <c r="B202" s="56" t="s">
        <v>325</v>
      </c>
      <c r="C202" s="57"/>
      <c r="D202" s="644"/>
      <c r="E202" s="350"/>
      <c r="F202" s="350"/>
      <c r="G202" s="350"/>
      <c r="H202" s="350"/>
      <c r="I202" s="350"/>
      <c r="J202" s="350"/>
      <c r="K202" s="351"/>
      <c r="L202" s="643"/>
      <c r="M202" s="350"/>
      <c r="N202" s="350"/>
      <c r="O202" s="351"/>
      <c r="P202" s="644"/>
      <c r="Q202" s="350"/>
      <c r="R202" s="350"/>
      <c r="S202" s="351"/>
      <c r="T202" s="643"/>
      <c r="U202" s="350"/>
      <c r="V202" s="350"/>
      <c r="W202" s="351"/>
      <c r="X202" s="644"/>
      <c r="Y202" s="350"/>
      <c r="Z202" s="350"/>
      <c r="AA202" s="351"/>
      <c r="AB202" s="506"/>
      <c r="AC202" s="350"/>
      <c r="AD202" s="351"/>
      <c r="AE202" s="571"/>
      <c r="AF202" s="350"/>
      <c r="AG202" s="351"/>
      <c r="AH202" s="645"/>
      <c r="AI202" s="350"/>
      <c r="AJ202" s="351"/>
      <c r="AK202" s="567"/>
      <c r="AL202" s="350"/>
      <c r="AM202" s="351"/>
      <c r="AN202" s="58"/>
      <c r="AO202" s="59"/>
      <c r="AP202" s="58"/>
      <c r="AQ202" s="59"/>
      <c r="AR202" s="58"/>
      <c r="AS202" s="59"/>
      <c r="AT202" s="58"/>
      <c r="AU202" s="59"/>
      <c r="AV202" s="58"/>
      <c r="AW202" s="59"/>
      <c r="AX202" s="58"/>
      <c r="AY202" s="59"/>
      <c r="AZ202" s="64"/>
      <c r="BA202" s="61"/>
      <c r="BB202" s="64"/>
      <c r="BC202" s="61"/>
      <c r="BD202" s="64"/>
      <c r="BE202" s="61"/>
      <c r="BF202" s="64"/>
      <c r="BG202" s="61"/>
      <c r="BH202" s="64"/>
      <c r="BI202" s="646" t="s">
        <v>294</v>
      </c>
      <c r="BJ202" s="350"/>
      <c r="BK202" s="350"/>
      <c r="BL202" s="350"/>
      <c r="BM202" s="350"/>
      <c r="BN202" s="350"/>
      <c r="BO202" s="350"/>
      <c r="BP202" s="350"/>
      <c r="BQ202" s="350"/>
      <c r="BR202" s="350"/>
      <c r="BS202" s="350"/>
      <c r="BT202" s="350"/>
      <c r="BU202" s="350"/>
      <c r="BV202" s="351"/>
    </row>
    <row r="203" spans="1:74" ht="30" customHeight="1">
      <c r="A203" s="55">
        <f t="shared" si="0"/>
        <v>189</v>
      </c>
      <c r="B203" s="56" t="s">
        <v>325</v>
      </c>
      <c r="C203" s="57"/>
      <c r="D203" s="644"/>
      <c r="E203" s="350"/>
      <c r="F203" s="350"/>
      <c r="G203" s="350"/>
      <c r="H203" s="350"/>
      <c r="I203" s="350"/>
      <c r="J203" s="350"/>
      <c r="K203" s="351"/>
      <c r="L203" s="643"/>
      <c r="M203" s="350"/>
      <c r="N203" s="350"/>
      <c r="O203" s="351"/>
      <c r="P203" s="644"/>
      <c r="Q203" s="350"/>
      <c r="R203" s="350"/>
      <c r="S203" s="351"/>
      <c r="T203" s="643"/>
      <c r="U203" s="350"/>
      <c r="V203" s="350"/>
      <c r="W203" s="351"/>
      <c r="X203" s="644"/>
      <c r="Y203" s="350"/>
      <c r="Z203" s="350"/>
      <c r="AA203" s="351"/>
      <c r="AB203" s="506"/>
      <c r="AC203" s="350"/>
      <c r="AD203" s="351"/>
      <c r="AE203" s="571"/>
      <c r="AF203" s="350"/>
      <c r="AG203" s="351"/>
      <c r="AH203" s="645"/>
      <c r="AI203" s="350"/>
      <c r="AJ203" s="351"/>
      <c r="AK203" s="567"/>
      <c r="AL203" s="350"/>
      <c r="AM203" s="351"/>
      <c r="AN203" s="58"/>
      <c r="AO203" s="59"/>
      <c r="AP203" s="58"/>
      <c r="AQ203" s="59"/>
      <c r="AR203" s="58"/>
      <c r="AS203" s="59"/>
      <c r="AT203" s="58"/>
      <c r="AU203" s="59"/>
      <c r="AV203" s="58"/>
      <c r="AW203" s="59"/>
      <c r="AX203" s="58"/>
      <c r="AY203" s="59"/>
      <c r="AZ203" s="64"/>
      <c r="BA203" s="61"/>
      <c r="BB203" s="64"/>
      <c r="BC203" s="61"/>
      <c r="BD203" s="64"/>
      <c r="BE203" s="61"/>
      <c r="BF203" s="64"/>
      <c r="BG203" s="61"/>
      <c r="BH203" s="64"/>
      <c r="BI203" s="646" t="s">
        <v>298</v>
      </c>
      <c r="BJ203" s="350"/>
      <c r="BK203" s="350"/>
      <c r="BL203" s="350"/>
      <c r="BM203" s="350"/>
      <c r="BN203" s="350"/>
      <c r="BO203" s="350"/>
      <c r="BP203" s="350"/>
      <c r="BQ203" s="350"/>
      <c r="BR203" s="350"/>
      <c r="BS203" s="350"/>
      <c r="BT203" s="350"/>
      <c r="BU203" s="350"/>
      <c r="BV203" s="351"/>
    </row>
    <row r="204" spans="1:74" ht="30" customHeight="1">
      <c r="A204" s="63">
        <f t="shared" si="0"/>
        <v>190</v>
      </c>
      <c r="B204" s="56" t="s">
        <v>325</v>
      </c>
      <c r="C204" s="57"/>
      <c r="D204" s="644"/>
      <c r="E204" s="350"/>
      <c r="F204" s="350"/>
      <c r="G204" s="350"/>
      <c r="H204" s="350"/>
      <c r="I204" s="350"/>
      <c r="J204" s="350"/>
      <c r="K204" s="351"/>
      <c r="L204" s="643"/>
      <c r="M204" s="350"/>
      <c r="N204" s="350"/>
      <c r="O204" s="351"/>
      <c r="P204" s="644"/>
      <c r="Q204" s="350"/>
      <c r="R204" s="350"/>
      <c r="S204" s="351"/>
      <c r="T204" s="643"/>
      <c r="U204" s="350"/>
      <c r="V204" s="350"/>
      <c r="W204" s="351"/>
      <c r="X204" s="644"/>
      <c r="Y204" s="350"/>
      <c r="Z204" s="350"/>
      <c r="AA204" s="351"/>
      <c r="AB204" s="506"/>
      <c r="AC204" s="350"/>
      <c r="AD204" s="351"/>
      <c r="AE204" s="571"/>
      <c r="AF204" s="350"/>
      <c r="AG204" s="351"/>
      <c r="AH204" s="645"/>
      <c r="AI204" s="350"/>
      <c r="AJ204" s="351"/>
      <c r="AK204" s="567"/>
      <c r="AL204" s="350"/>
      <c r="AM204" s="351"/>
      <c r="AN204" s="58"/>
      <c r="AO204" s="59"/>
      <c r="AP204" s="58"/>
      <c r="AQ204" s="59"/>
      <c r="AR204" s="58"/>
      <c r="AS204" s="59"/>
      <c r="AT204" s="58"/>
      <c r="AU204" s="59"/>
      <c r="AV204" s="58"/>
      <c r="AW204" s="59"/>
      <c r="AX204" s="58"/>
      <c r="AY204" s="59"/>
      <c r="AZ204" s="64"/>
      <c r="BA204" s="61"/>
      <c r="BB204" s="64"/>
      <c r="BC204" s="61"/>
      <c r="BD204" s="64"/>
      <c r="BE204" s="61"/>
      <c r="BF204" s="64"/>
      <c r="BG204" s="61"/>
      <c r="BH204" s="64"/>
      <c r="BI204" s="646" t="s">
        <v>298</v>
      </c>
      <c r="BJ204" s="350"/>
      <c r="BK204" s="350"/>
      <c r="BL204" s="350"/>
      <c r="BM204" s="350"/>
      <c r="BN204" s="350"/>
      <c r="BO204" s="350"/>
      <c r="BP204" s="350"/>
      <c r="BQ204" s="350"/>
      <c r="BR204" s="350"/>
      <c r="BS204" s="350"/>
      <c r="BT204" s="350"/>
      <c r="BU204" s="350"/>
      <c r="BV204" s="351"/>
    </row>
    <row r="205" spans="1:74" ht="30" customHeight="1">
      <c r="A205" s="63">
        <f t="shared" si="0"/>
        <v>191</v>
      </c>
      <c r="B205" s="56" t="s">
        <v>325</v>
      </c>
      <c r="C205" s="57"/>
      <c r="D205" s="644"/>
      <c r="E205" s="350"/>
      <c r="F205" s="350"/>
      <c r="G205" s="350"/>
      <c r="H205" s="350"/>
      <c r="I205" s="350"/>
      <c r="J205" s="350"/>
      <c r="K205" s="351"/>
      <c r="L205" s="643"/>
      <c r="M205" s="350"/>
      <c r="N205" s="350"/>
      <c r="O205" s="351"/>
      <c r="P205" s="644"/>
      <c r="Q205" s="350"/>
      <c r="R205" s="350"/>
      <c r="S205" s="351"/>
      <c r="T205" s="643"/>
      <c r="U205" s="350"/>
      <c r="V205" s="350"/>
      <c r="W205" s="351"/>
      <c r="X205" s="644"/>
      <c r="Y205" s="350"/>
      <c r="Z205" s="350"/>
      <c r="AA205" s="351"/>
      <c r="AB205" s="506"/>
      <c r="AC205" s="350"/>
      <c r="AD205" s="351"/>
      <c r="AE205" s="571"/>
      <c r="AF205" s="350"/>
      <c r="AG205" s="351"/>
      <c r="AH205" s="645"/>
      <c r="AI205" s="350"/>
      <c r="AJ205" s="351"/>
      <c r="AK205" s="567"/>
      <c r="AL205" s="350"/>
      <c r="AM205" s="351"/>
      <c r="AN205" s="58"/>
      <c r="AO205" s="59"/>
      <c r="AP205" s="58"/>
      <c r="AQ205" s="59"/>
      <c r="AR205" s="58"/>
      <c r="AS205" s="59"/>
      <c r="AT205" s="58"/>
      <c r="AU205" s="59"/>
      <c r="AV205" s="58"/>
      <c r="AW205" s="59"/>
      <c r="AX205" s="58"/>
      <c r="AY205" s="59"/>
      <c r="AZ205" s="64"/>
      <c r="BA205" s="61"/>
      <c r="BB205" s="64"/>
      <c r="BC205" s="61"/>
      <c r="BD205" s="64"/>
      <c r="BE205" s="61"/>
      <c r="BF205" s="64"/>
      <c r="BG205" s="61"/>
      <c r="BH205" s="64"/>
      <c r="BI205" s="646" t="s">
        <v>298</v>
      </c>
      <c r="BJ205" s="350"/>
      <c r="BK205" s="350"/>
      <c r="BL205" s="350"/>
      <c r="BM205" s="350"/>
      <c r="BN205" s="350"/>
      <c r="BO205" s="350"/>
      <c r="BP205" s="350"/>
      <c r="BQ205" s="350"/>
      <c r="BR205" s="350"/>
      <c r="BS205" s="350"/>
      <c r="BT205" s="350"/>
      <c r="BU205" s="350"/>
      <c r="BV205" s="351"/>
    </row>
    <row r="206" spans="1:74" ht="30" customHeight="1">
      <c r="A206" s="63">
        <f t="shared" si="0"/>
        <v>192</v>
      </c>
      <c r="B206" s="56" t="s">
        <v>325</v>
      </c>
      <c r="C206" s="57"/>
      <c r="D206" s="644"/>
      <c r="E206" s="350"/>
      <c r="F206" s="350"/>
      <c r="G206" s="350"/>
      <c r="H206" s="350"/>
      <c r="I206" s="350"/>
      <c r="J206" s="350"/>
      <c r="K206" s="351"/>
      <c r="L206" s="643"/>
      <c r="M206" s="350"/>
      <c r="N206" s="350"/>
      <c r="O206" s="351"/>
      <c r="P206" s="644"/>
      <c r="Q206" s="350"/>
      <c r="R206" s="350"/>
      <c r="S206" s="351"/>
      <c r="T206" s="643"/>
      <c r="U206" s="350"/>
      <c r="V206" s="350"/>
      <c r="W206" s="351"/>
      <c r="X206" s="644"/>
      <c r="Y206" s="350"/>
      <c r="Z206" s="350"/>
      <c r="AA206" s="351"/>
      <c r="AB206" s="506"/>
      <c r="AC206" s="350"/>
      <c r="AD206" s="351"/>
      <c r="AE206" s="571"/>
      <c r="AF206" s="350"/>
      <c r="AG206" s="351"/>
      <c r="AH206" s="645"/>
      <c r="AI206" s="350"/>
      <c r="AJ206" s="351"/>
      <c r="AK206" s="567"/>
      <c r="AL206" s="350"/>
      <c r="AM206" s="351"/>
      <c r="AN206" s="58"/>
      <c r="AO206" s="59"/>
      <c r="AP206" s="58"/>
      <c r="AQ206" s="59"/>
      <c r="AR206" s="58"/>
      <c r="AS206" s="59"/>
      <c r="AT206" s="58"/>
      <c r="AU206" s="59"/>
      <c r="AV206" s="58"/>
      <c r="AW206" s="59"/>
      <c r="AX206" s="58"/>
      <c r="AY206" s="59"/>
      <c r="AZ206" s="64"/>
      <c r="BA206" s="61"/>
      <c r="BB206" s="64"/>
      <c r="BC206" s="61"/>
      <c r="BD206" s="64"/>
      <c r="BE206" s="61"/>
      <c r="BF206" s="64"/>
      <c r="BG206" s="61"/>
      <c r="BH206" s="64"/>
      <c r="BI206" s="646" t="s">
        <v>298</v>
      </c>
      <c r="BJ206" s="350"/>
      <c r="BK206" s="350"/>
      <c r="BL206" s="350"/>
      <c r="BM206" s="350"/>
      <c r="BN206" s="350"/>
      <c r="BO206" s="350"/>
      <c r="BP206" s="350"/>
      <c r="BQ206" s="350"/>
      <c r="BR206" s="350"/>
      <c r="BS206" s="350"/>
      <c r="BT206" s="350"/>
      <c r="BU206" s="350"/>
      <c r="BV206" s="351"/>
    </row>
    <row r="207" spans="1:74" ht="30" customHeight="1">
      <c r="A207" s="63">
        <f t="shared" si="0"/>
        <v>193</v>
      </c>
      <c r="B207" s="56" t="s">
        <v>325</v>
      </c>
      <c r="C207" s="57"/>
      <c r="D207" s="644"/>
      <c r="E207" s="350"/>
      <c r="F207" s="350"/>
      <c r="G207" s="350"/>
      <c r="H207" s="350"/>
      <c r="I207" s="350"/>
      <c r="J207" s="350"/>
      <c r="K207" s="351"/>
      <c r="L207" s="643"/>
      <c r="M207" s="350"/>
      <c r="N207" s="350"/>
      <c r="O207" s="351"/>
      <c r="P207" s="644"/>
      <c r="Q207" s="350"/>
      <c r="R207" s="350"/>
      <c r="S207" s="351"/>
      <c r="T207" s="643"/>
      <c r="U207" s="350"/>
      <c r="V207" s="350"/>
      <c r="W207" s="351"/>
      <c r="X207" s="644"/>
      <c r="Y207" s="350"/>
      <c r="Z207" s="350"/>
      <c r="AA207" s="351"/>
      <c r="AB207" s="506"/>
      <c r="AC207" s="350"/>
      <c r="AD207" s="351"/>
      <c r="AE207" s="571"/>
      <c r="AF207" s="350"/>
      <c r="AG207" s="351"/>
      <c r="AH207" s="645"/>
      <c r="AI207" s="350"/>
      <c r="AJ207" s="351"/>
      <c r="AK207" s="567"/>
      <c r="AL207" s="350"/>
      <c r="AM207" s="351"/>
      <c r="AN207" s="58"/>
      <c r="AO207" s="59"/>
      <c r="AP207" s="58"/>
      <c r="AQ207" s="59"/>
      <c r="AR207" s="58"/>
      <c r="AS207" s="59"/>
      <c r="AT207" s="58"/>
      <c r="AU207" s="59"/>
      <c r="AV207" s="58"/>
      <c r="AW207" s="59"/>
      <c r="AX207" s="58"/>
      <c r="AY207" s="59"/>
      <c r="AZ207" s="64"/>
      <c r="BA207" s="61"/>
      <c r="BB207" s="64"/>
      <c r="BC207" s="61"/>
      <c r="BD207" s="64"/>
      <c r="BE207" s="61"/>
      <c r="BF207" s="64"/>
      <c r="BG207" s="61"/>
      <c r="BH207" s="64"/>
      <c r="BI207" s="646" t="s">
        <v>298</v>
      </c>
      <c r="BJ207" s="350"/>
      <c r="BK207" s="350"/>
      <c r="BL207" s="350"/>
      <c r="BM207" s="350"/>
      <c r="BN207" s="350"/>
      <c r="BO207" s="350"/>
      <c r="BP207" s="350"/>
      <c r="BQ207" s="350"/>
      <c r="BR207" s="350"/>
      <c r="BS207" s="350"/>
      <c r="BT207" s="350"/>
      <c r="BU207" s="350"/>
      <c r="BV207" s="351"/>
    </row>
    <row r="208" spans="1:74" ht="30" customHeight="1">
      <c r="A208" s="63">
        <f t="shared" si="0"/>
        <v>194</v>
      </c>
      <c r="B208" s="56" t="s">
        <v>325</v>
      </c>
      <c r="C208" s="57"/>
      <c r="D208" s="644"/>
      <c r="E208" s="350"/>
      <c r="F208" s="350"/>
      <c r="G208" s="350"/>
      <c r="H208" s="350"/>
      <c r="I208" s="350"/>
      <c r="J208" s="350"/>
      <c r="K208" s="351"/>
      <c r="L208" s="643"/>
      <c r="M208" s="350"/>
      <c r="N208" s="350"/>
      <c r="O208" s="351"/>
      <c r="P208" s="644"/>
      <c r="Q208" s="350"/>
      <c r="R208" s="350"/>
      <c r="S208" s="351"/>
      <c r="T208" s="643"/>
      <c r="U208" s="350"/>
      <c r="V208" s="350"/>
      <c r="W208" s="351"/>
      <c r="X208" s="644"/>
      <c r="Y208" s="350"/>
      <c r="Z208" s="350"/>
      <c r="AA208" s="351"/>
      <c r="AB208" s="506"/>
      <c r="AC208" s="350"/>
      <c r="AD208" s="351"/>
      <c r="AE208" s="571"/>
      <c r="AF208" s="350"/>
      <c r="AG208" s="351"/>
      <c r="AH208" s="645"/>
      <c r="AI208" s="350"/>
      <c r="AJ208" s="351"/>
      <c r="AK208" s="567"/>
      <c r="AL208" s="350"/>
      <c r="AM208" s="351"/>
      <c r="AN208" s="58"/>
      <c r="AO208" s="59"/>
      <c r="AP208" s="58"/>
      <c r="AQ208" s="59"/>
      <c r="AR208" s="58"/>
      <c r="AS208" s="59"/>
      <c r="AT208" s="58"/>
      <c r="AU208" s="59"/>
      <c r="AV208" s="58"/>
      <c r="AW208" s="59"/>
      <c r="AX208" s="58"/>
      <c r="AY208" s="59"/>
      <c r="AZ208" s="64"/>
      <c r="BA208" s="61"/>
      <c r="BB208" s="64"/>
      <c r="BC208" s="61"/>
      <c r="BD208" s="64"/>
      <c r="BE208" s="61"/>
      <c r="BF208" s="64"/>
      <c r="BG208" s="61"/>
      <c r="BH208" s="64"/>
      <c r="BI208" s="646" t="s">
        <v>294</v>
      </c>
      <c r="BJ208" s="350"/>
      <c r="BK208" s="350"/>
      <c r="BL208" s="350"/>
      <c r="BM208" s="350"/>
      <c r="BN208" s="350"/>
      <c r="BO208" s="350"/>
      <c r="BP208" s="350"/>
      <c r="BQ208" s="350"/>
      <c r="BR208" s="350"/>
      <c r="BS208" s="350"/>
      <c r="BT208" s="350"/>
      <c r="BU208" s="350"/>
      <c r="BV208" s="351"/>
    </row>
    <row r="209" spans="1:74" ht="30" customHeight="1">
      <c r="A209" s="63">
        <f t="shared" si="0"/>
        <v>195</v>
      </c>
      <c r="B209" s="56" t="s">
        <v>325</v>
      </c>
      <c r="C209" s="57"/>
      <c r="D209" s="644"/>
      <c r="E209" s="350"/>
      <c r="F209" s="350"/>
      <c r="G209" s="350"/>
      <c r="H209" s="350"/>
      <c r="I209" s="350"/>
      <c r="J209" s="350"/>
      <c r="K209" s="351"/>
      <c r="L209" s="643"/>
      <c r="M209" s="350"/>
      <c r="N209" s="350"/>
      <c r="O209" s="351"/>
      <c r="P209" s="644"/>
      <c r="Q209" s="350"/>
      <c r="R209" s="350"/>
      <c r="S209" s="351"/>
      <c r="T209" s="643"/>
      <c r="U209" s="350"/>
      <c r="V209" s="350"/>
      <c r="W209" s="351"/>
      <c r="X209" s="644"/>
      <c r="Y209" s="350"/>
      <c r="Z209" s="350"/>
      <c r="AA209" s="351"/>
      <c r="AB209" s="506"/>
      <c r="AC209" s="350"/>
      <c r="AD209" s="351"/>
      <c r="AE209" s="571"/>
      <c r="AF209" s="350"/>
      <c r="AG209" s="351"/>
      <c r="AH209" s="645"/>
      <c r="AI209" s="350"/>
      <c r="AJ209" s="351"/>
      <c r="AK209" s="567"/>
      <c r="AL209" s="350"/>
      <c r="AM209" s="351"/>
      <c r="AN209" s="58"/>
      <c r="AO209" s="59"/>
      <c r="AP209" s="58"/>
      <c r="AQ209" s="59"/>
      <c r="AR209" s="58"/>
      <c r="AS209" s="59"/>
      <c r="AT209" s="58"/>
      <c r="AU209" s="59"/>
      <c r="AV209" s="58"/>
      <c r="AW209" s="59"/>
      <c r="AX209" s="58"/>
      <c r="AY209" s="59"/>
      <c r="AZ209" s="64"/>
      <c r="BA209" s="61"/>
      <c r="BB209" s="64"/>
      <c r="BC209" s="61"/>
      <c r="BD209" s="64"/>
      <c r="BE209" s="61"/>
      <c r="BF209" s="64"/>
      <c r="BG209" s="61"/>
      <c r="BH209" s="64"/>
      <c r="BI209" s="646" t="s">
        <v>294</v>
      </c>
      <c r="BJ209" s="350"/>
      <c r="BK209" s="350"/>
      <c r="BL209" s="350"/>
      <c r="BM209" s="350"/>
      <c r="BN209" s="350"/>
      <c r="BO209" s="350"/>
      <c r="BP209" s="350"/>
      <c r="BQ209" s="350"/>
      <c r="BR209" s="350"/>
      <c r="BS209" s="350"/>
      <c r="BT209" s="350"/>
      <c r="BU209" s="350"/>
      <c r="BV209" s="351"/>
    </row>
    <row r="210" spans="1:74" ht="30" customHeight="1">
      <c r="A210" s="55">
        <f t="shared" si="0"/>
        <v>196</v>
      </c>
      <c r="B210" s="56" t="s">
        <v>325</v>
      </c>
      <c r="C210" s="57"/>
      <c r="D210" s="644"/>
      <c r="E210" s="350"/>
      <c r="F210" s="350"/>
      <c r="G210" s="350"/>
      <c r="H210" s="350"/>
      <c r="I210" s="350"/>
      <c r="J210" s="350"/>
      <c r="K210" s="351"/>
      <c r="L210" s="643"/>
      <c r="M210" s="350"/>
      <c r="N210" s="350"/>
      <c r="O210" s="351"/>
      <c r="P210" s="644"/>
      <c r="Q210" s="350"/>
      <c r="R210" s="350"/>
      <c r="S210" s="351"/>
      <c r="T210" s="643"/>
      <c r="U210" s="350"/>
      <c r="V210" s="350"/>
      <c r="W210" s="351"/>
      <c r="X210" s="644"/>
      <c r="Y210" s="350"/>
      <c r="Z210" s="350"/>
      <c r="AA210" s="351"/>
      <c r="AB210" s="506"/>
      <c r="AC210" s="350"/>
      <c r="AD210" s="351"/>
      <c r="AE210" s="571"/>
      <c r="AF210" s="350"/>
      <c r="AG210" s="351"/>
      <c r="AH210" s="645"/>
      <c r="AI210" s="350"/>
      <c r="AJ210" s="351"/>
      <c r="AK210" s="567"/>
      <c r="AL210" s="350"/>
      <c r="AM210" s="351"/>
      <c r="AN210" s="58"/>
      <c r="AO210" s="59"/>
      <c r="AP210" s="58"/>
      <c r="AQ210" s="59"/>
      <c r="AR210" s="58"/>
      <c r="AS210" s="59"/>
      <c r="AT210" s="58"/>
      <c r="AU210" s="59"/>
      <c r="AV210" s="58"/>
      <c r="AW210" s="59"/>
      <c r="AX210" s="58"/>
      <c r="AY210" s="59"/>
      <c r="AZ210" s="64"/>
      <c r="BA210" s="61"/>
      <c r="BB210" s="64"/>
      <c r="BC210" s="61"/>
      <c r="BD210" s="64"/>
      <c r="BE210" s="61"/>
      <c r="BF210" s="64"/>
      <c r="BG210" s="61"/>
      <c r="BH210" s="64"/>
      <c r="BI210" s="646" t="s">
        <v>298</v>
      </c>
      <c r="BJ210" s="350"/>
      <c r="BK210" s="350"/>
      <c r="BL210" s="350"/>
      <c r="BM210" s="350"/>
      <c r="BN210" s="350"/>
      <c r="BO210" s="350"/>
      <c r="BP210" s="350"/>
      <c r="BQ210" s="350"/>
      <c r="BR210" s="350"/>
      <c r="BS210" s="350"/>
      <c r="BT210" s="350"/>
      <c r="BU210" s="350"/>
      <c r="BV210" s="351"/>
    </row>
    <row r="211" spans="1:74" ht="30" customHeight="1">
      <c r="A211" s="63">
        <f t="shared" si="0"/>
        <v>197</v>
      </c>
      <c r="B211" s="56" t="s">
        <v>325</v>
      </c>
      <c r="C211" s="57"/>
      <c r="D211" s="644"/>
      <c r="E211" s="350"/>
      <c r="F211" s="350"/>
      <c r="G211" s="350"/>
      <c r="H211" s="350"/>
      <c r="I211" s="350"/>
      <c r="J211" s="350"/>
      <c r="K211" s="351"/>
      <c r="L211" s="643"/>
      <c r="M211" s="350"/>
      <c r="N211" s="350"/>
      <c r="O211" s="351"/>
      <c r="P211" s="644"/>
      <c r="Q211" s="350"/>
      <c r="R211" s="350"/>
      <c r="S211" s="351"/>
      <c r="T211" s="643"/>
      <c r="U211" s="350"/>
      <c r="V211" s="350"/>
      <c r="W211" s="351"/>
      <c r="X211" s="644"/>
      <c r="Y211" s="350"/>
      <c r="Z211" s="350"/>
      <c r="AA211" s="351"/>
      <c r="AB211" s="506"/>
      <c r="AC211" s="350"/>
      <c r="AD211" s="351"/>
      <c r="AE211" s="571"/>
      <c r="AF211" s="350"/>
      <c r="AG211" s="351"/>
      <c r="AH211" s="645"/>
      <c r="AI211" s="350"/>
      <c r="AJ211" s="351"/>
      <c r="AK211" s="567"/>
      <c r="AL211" s="350"/>
      <c r="AM211" s="351"/>
      <c r="AN211" s="58"/>
      <c r="AO211" s="59"/>
      <c r="AP211" s="58"/>
      <c r="AQ211" s="59"/>
      <c r="AR211" s="58"/>
      <c r="AS211" s="59"/>
      <c r="AT211" s="58"/>
      <c r="AU211" s="59"/>
      <c r="AV211" s="58"/>
      <c r="AW211" s="59"/>
      <c r="AX211" s="58"/>
      <c r="AY211" s="59"/>
      <c r="AZ211" s="64"/>
      <c r="BA211" s="61"/>
      <c r="BB211" s="64"/>
      <c r="BC211" s="61"/>
      <c r="BD211" s="64"/>
      <c r="BE211" s="61"/>
      <c r="BF211" s="64"/>
      <c r="BG211" s="61"/>
      <c r="BH211" s="64"/>
      <c r="BI211" s="646" t="s">
        <v>298</v>
      </c>
      <c r="BJ211" s="350"/>
      <c r="BK211" s="350"/>
      <c r="BL211" s="350"/>
      <c r="BM211" s="350"/>
      <c r="BN211" s="350"/>
      <c r="BO211" s="350"/>
      <c r="BP211" s="350"/>
      <c r="BQ211" s="350"/>
      <c r="BR211" s="350"/>
      <c r="BS211" s="350"/>
      <c r="BT211" s="350"/>
      <c r="BU211" s="350"/>
      <c r="BV211" s="351"/>
    </row>
    <row r="212" spans="1:74" ht="30" customHeight="1">
      <c r="A212" s="63">
        <f t="shared" si="0"/>
        <v>198</v>
      </c>
      <c r="B212" s="56" t="s">
        <v>325</v>
      </c>
      <c r="C212" s="57"/>
      <c r="D212" s="644"/>
      <c r="E212" s="350"/>
      <c r="F212" s="350"/>
      <c r="G212" s="350"/>
      <c r="H212" s="350"/>
      <c r="I212" s="350"/>
      <c r="J212" s="350"/>
      <c r="K212" s="351"/>
      <c r="L212" s="643"/>
      <c r="M212" s="350"/>
      <c r="N212" s="350"/>
      <c r="O212" s="351"/>
      <c r="P212" s="644"/>
      <c r="Q212" s="350"/>
      <c r="R212" s="350"/>
      <c r="S212" s="351"/>
      <c r="T212" s="643"/>
      <c r="U212" s="350"/>
      <c r="V212" s="350"/>
      <c r="W212" s="351"/>
      <c r="X212" s="644"/>
      <c r="Y212" s="350"/>
      <c r="Z212" s="350"/>
      <c r="AA212" s="351"/>
      <c r="AB212" s="506"/>
      <c r="AC212" s="350"/>
      <c r="AD212" s="351"/>
      <c r="AE212" s="571"/>
      <c r="AF212" s="350"/>
      <c r="AG212" s="351"/>
      <c r="AH212" s="645"/>
      <c r="AI212" s="350"/>
      <c r="AJ212" s="351"/>
      <c r="AK212" s="567"/>
      <c r="AL212" s="350"/>
      <c r="AM212" s="351"/>
      <c r="AN212" s="58"/>
      <c r="AO212" s="59"/>
      <c r="AP212" s="58"/>
      <c r="AQ212" s="59"/>
      <c r="AR212" s="58"/>
      <c r="AS212" s="59"/>
      <c r="AT212" s="58"/>
      <c r="AU212" s="59"/>
      <c r="AV212" s="58"/>
      <c r="AW212" s="59"/>
      <c r="AX212" s="58"/>
      <c r="AY212" s="59"/>
      <c r="AZ212" s="64"/>
      <c r="BA212" s="61"/>
      <c r="BB212" s="64"/>
      <c r="BC212" s="61"/>
      <c r="BD212" s="64"/>
      <c r="BE212" s="61"/>
      <c r="BF212" s="64"/>
      <c r="BG212" s="61"/>
      <c r="BH212" s="64"/>
      <c r="BI212" s="646" t="s">
        <v>298</v>
      </c>
      <c r="BJ212" s="350"/>
      <c r="BK212" s="350"/>
      <c r="BL212" s="350"/>
      <c r="BM212" s="350"/>
      <c r="BN212" s="350"/>
      <c r="BO212" s="350"/>
      <c r="BP212" s="350"/>
      <c r="BQ212" s="350"/>
      <c r="BR212" s="350"/>
      <c r="BS212" s="350"/>
      <c r="BT212" s="350"/>
      <c r="BU212" s="350"/>
      <c r="BV212" s="351"/>
    </row>
    <row r="213" spans="1:74" ht="30" customHeight="1">
      <c r="A213" s="63">
        <f t="shared" si="0"/>
        <v>199</v>
      </c>
      <c r="B213" s="56" t="s">
        <v>325</v>
      </c>
      <c r="C213" s="57"/>
      <c r="D213" s="644"/>
      <c r="E213" s="350"/>
      <c r="F213" s="350"/>
      <c r="G213" s="350"/>
      <c r="H213" s="350"/>
      <c r="I213" s="350"/>
      <c r="J213" s="350"/>
      <c r="K213" s="351"/>
      <c r="L213" s="643"/>
      <c r="M213" s="350"/>
      <c r="N213" s="350"/>
      <c r="O213" s="351"/>
      <c r="P213" s="644"/>
      <c r="Q213" s="350"/>
      <c r="R213" s="350"/>
      <c r="S213" s="351"/>
      <c r="T213" s="643"/>
      <c r="U213" s="350"/>
      <c r="V213" s="350"/>
      <c r="W213" s="351"/>
      <c r="X213" s="644"/>
      <c r="Y213" s="350"/>
      <c r="Z213" s="350"/>
      <c r="AA213" s="351"/>
      <c r="AB213" s="506"/>
      <c r="AC213" s="350"/>
      <c r="AD213" s="351"/>
      <c r="AE213" s="571"/>
      <c r="AF213" s="350"/>
      <c r="AG213" s="351"/>
      <c r="AH213" s="645"/>
      <c r="AI213" s="350"/>
      <c r="AJ213" s="351"/>
      <c r="AK213" s="567"/>
      <c r="AL213" s="350"/>
      <c r="AM213" s="351"/>
      <c r="AN213" s="58"/>
      <c r="AO213" s="59"/>
      <c r="AP213" s="58"/>
      <c r="AQ213" s="59"/>
      <c r="AR213" s="58"/>
      <c r="AS213" s="59"/>
      <c r="AT213" s="58"/>
      <c r="AU213" s="59"/>
      <c r="AV213" s="58"/>
      <c r="AW213" s="59"/>
      <c r="AX213" s="58"/>
      <c r="AY213" s="59"/>
      <c r="AZ213" s="64"/>
      <c r="BA213" s="61"/>
      <c r="BB213" s="64"/>
      <c r="BC213" s="61"/>
      <c r="BD213" s="64"/>
      <c r="BE213" s="61"/>
      <c r="BF213" s="64"/>
      <c r="BG213" s="61"/>
      <c r="BH213" s="64"/>
      <c r="BI213" s="646" t="s">
        <v>298</v>
      </c>
      <c r="BJ213" s="350"/>
      <c r="BK213" s="350"/>
      <c r="BL213" s="350"/>
      <c r="BM213" s="350"/>
      <c r="BN213" s="350"/>
      <c r="BO213" s="350"/>
      <c r="BP213" s="350"/>
      <c r="BQ213" s="350"/>
      <c r="BR213" s="350"/>
      <c r="BS213" s="350"/>
      <c r="BT213" s="350"/>
      <c r="BU213" s="350"/>
      <c r="BV213" s="351"/>
    </row>
    <row r="214" spans="1:74" ht="30" customHeight="1">
      <c r="A214" s="63">
        <f t="shared" si="0"/>
        <v>200</v>
      </c>
      <c r="B214" s="56" t="s">
        <v>325</v>
      </c>
      <c r="C214" s="57"/>
      <c r="D214" s="644"/>
      <c r="E214" s="350"/>
      <c r="F214" s="350"/>
      <c r="G214" s="350"/>
      <c r="H214" s="350"/>
      <c r="I214" s="350"/>
      <c r="J214" s="350"/>
      <c r="K214" s="351"/>
      <c r="L214" s="643"/>
      <c r="M214" s="350"/>
      <c r="N214" s="350"/>
      <c r="O214" s="351"/>
      <c r="P214" s="644"/>
      <c r="Q214" s="350"/>
      <c r="R214" s="350"/>
      <c r="S214" s="351"/>
      <c r="T214" s="643"/>
      <c r="U214" s="350"/>
      <c r="V214" s="350"/>
      <c r="W214" s="351"/>
      <c r="X214" s="644"/>
      <c r="Y214" s="350"/>
      <c r="Z214" s="350"/>
      <c r="AA214" s="351"/>
      <c r="AB214" s="506"/>
      <c r="AC214" s="350"/>
      <c r="AD214" s="351"/>
      <c r="AE214" s="571"/>
      <c r="AF214" s="350"/>
      <c r="AG214" s="351"/>
      <c r="AH214" s="645"/>
      <c r="AI214" s="350"/>
      <c r="AJ214" s="351"/>
      <c r="AK214" s="567"/>
      <c r="AL214" s="350"/>
      <c r="AM214" s="351"/>
      <c r="AN214" s="58"/>
      <c r="AO214" s="59"/>
      <c r="AP214" s="58"/>
      <c r="AQ214" s="59"/>
      <c r="AR214" s="58"/>
      <c r="AS214" s="59"/>
      <c r="AT214" s="58"/>
      <c r="AU214" s="59"/>
      <c r="AV214" s="58"/>
      <c r="AW214" s="59"/>
      <c r="AX214" s="58"/>
      <c r="AY214" s="59"/>
      <c r="AZ214" s="64"/>
      <c r="BA214" s="61"/>
      <c r="BB214" s="64"/>
      <c r="BC214" s="61"/>
      <c r="BD214" s="64"/>
      <c r="BE214" s="61"/>
      <c r="BF214" s="64"/>
      <c r="BG214" s="61"/>
      <c r="BH214" s="64"/>
      <c r="BI214" s="646" t="s">
        <v>298</v>
      </c>
      <c r="BJ214" s="350"/>
      <c r="BK214" s="350"/>
      <c r="BL214" s="350"/>
      <c r="BM214" s="350"/>
      <c r="BN214" s="350"/>
      <c r="BO214" s="350"/>
      <c r="BP214" s="350"/>
      <c r="BQ214" s="350"/>
      <c r="BR214" s="350"/>
      <c r="BS214" s="350"/>
      <c r="BT214" s="350"/>
      <c r="BU214" s="350"/>
      <c r="BV214" s="351"/>
    </row>
    <row r="215" spans="1:74" ht="30" customHeight="1">
      <c r="A215" s="63">
        <f t="shared" si="0"/>
        <v>201</v>
      </c>
      <c r="B215" s="56" t="s">
        <v>325</v>
      </c>
      <c r="C215" s="57"/>
      <c r="D215" s="644"/>
      <c r="E215" s="350"/>
      <c r="F215" s="350"/>
      <c r="G215" s="350"/>
      <c r="H215" s="350"/>
      <c r="I215" s="350"/>
      <c r="J215" s="350"/>
      <c r="K215" s="351"/>
      <c r="L215" s="643"/>
      <c r="M215" s="350"/>
      <c r="N215" s="350"/>
      <c r="O215" s="351"/>
      <c r="P215" s="644"/>
      <c r="Q215" s="350"/>
      <c r="R215" s="350"/>
      <c r="S215" s="351"/>
      <c r="T215" s="643"/>
      <c r="U215" s="350"/>
      <c r="V215" s="350"/>
      <c r="W215" s="351"/>
      <c r="X215" s="644"/>
      <c r="Y215" s="350"/>
      <c r="Z215" s="350"/>
      <c r="AA215" s="351"/>
      <c r="AB215" s="506"/>
      <c r="AC215" s="350"/>
      <c r="AD215" s="351"/>
      <c r="AE215" s="571"/>
      <c r="AF215" s="350"/>
      <c r="AG215" s="351"/>
      <c r="AH215" s="645"/>
      <c r="AI215" s="350"/>
      <c r="AJ215" s="351"/>
      <c r="AK215" s="567"/>
      <c r="AL215" s="350"/>
      <c r="AM215" s="351"/>
      <c r="AN215" s="58"/>
      <c r="AO215" s="59"/>
      <c r="AP215" s="58"/>
      <c r="AQ215" s="59"/>
      <c r="AR215" s="58"/>
      <c r="AS215" s="59"/>
      <c r="AT215" s="58"/>
      <c r="AU215" s="59"/>
      <c r="AV215" s="58"/>
      <c r="AW215" s="59"/>
      <c r="AX215" s="58"/>
      <c r="AY215" s="59"/>
      <c r="AZ215" s="64"/>
      <c r="BA215" s="61"/>
      <c r="BB215" s="64"/>
      <c r="BC215" s="61"/>
      <c r="BD215" s="64"/>
      <c r="BE215" s="61"/>
      <c r="BF215" s="64"/>
      <c r="BG215" s="61"/>
      <c r="BH215" s="64"/>
      <c r="BI215" s="646" t="s">
        <v>294</v>
      </c>
      <c r="BJ215" s="350"/>
      <c r="BK215" s="350"/>
      <c r="BL215" s="350"/>
      <c r="BM215" s="350"/>
      <c r="BN215" s="350"/>
      <c r="BO215" s="350"/>
      <c r="BP215" s="350"/>
      <c r="BQ215" s="350"/>
      <c r="BR215" s="350"/>
      <c r="BS215" s="350"/>
      <c r="BT215" s="350"/>
      <c r="BU215" s="350"/>
      <c r="BV215" s="351"/>
    </row>
    <row r="216" spans="1:74" ht="30" customHeight="1">
      <c r="A216" s="63">
        <f t="shared" si="0"/>
        <v>202</v>
      </c>
      <c r="B216" s="56" t="s">
        <v>325</v>
      </c>
      <c r="C216" s="57"/>
      <c r="D216" s="644"/>
      <c r="E216" s="350"/>
      <c r="F216" s="350"/>
      <c r="G216" s="350"/>
      <c r="H216" s="350"/>
      <c r="I216" s="350"/>
      <c r="J216" s="350"/>
      <c r="K216" s="351"/>
      <c r="L216" s="643"/>
      <c r="M216" s="350"/>
      <c r="N216" s="350"/>
      <c r="O216" s="351"/>
      <c r="P216" s="644"/>
      <c r="Q216" s="350"/>
      <c r="R216" s="350"/>
      <c r="S216" s="351"/>
      <c r="T216" s="643"/>
      <c r="U216" s="350"/>
      <c r="V216" s="350"/>
      <c r="W216" s="351"/>
      <c r="X216" s="644"/>
      <c r="Y216" s="350"/>
      <c r="Z216" s="350"/>
      <c r="AA216" s="351"/>
      <c r="AB216" s="506"/>
      <c r="AC216" s="350"/>
      <c r="AD216" s="351"/>
      <c r="AE216" s="571"/>
      <c r="AF216" s="350"/>
      <c r="AG216" s="351"/>
      <c r="AH216" s="645"/>
      <c r="AI216" s="350"/>
      <c r="AJ216" s="351"/>
      <c r="AK216" s="567"/>
      <c r="AL216" s="350"/>
      <c r="AM216" s="351"/>
      <c r="AN216" s="58"/>
      <c r="AO216" s="59"/>
      <c r="AP216" s="58"/>
      <c r="AQ216" s="59"/>
      <c r="AR216" s="58"/>
      <c r="AS216" s="59"/>
      <c r="AT216" s="58"/>
      <c r="AU216" s="59"/>
      <c r="AV216" s="58"/>
      <c r="AW216" s="59"/>
      <c r="AX216" s="58"/>
      <c r="AY216" s="59"/>
      <c r="AZ216" s="64"/>
      <c r="BA216" s="61"/>
      <c r="BB216" s="64"/>
      <c r="BC216" s="61"/>
      <c r="BD216" s="64"/>
      <c r="BE216" s="61"/>
      <c r="BF216" s="64"/>
      <c r="BG216" s="61"/>
      <c r="BH216" s="64"/>
      <c r="BI216" s="646" t="s">
        <v>294</v>
      </c>
      <c r="BJ216" s="350"/>
      <c r="BK216" s="350"/>
      <c r="BL216" s="350"/>
      <c r="BM216" s="350"/>
      <c r="BN216" s="350"/>
      <c r="BO216" s="350"/>
      <c r="BP216" s="350"/>
      <c r="BQ216" s="350"/>
      <c r="BR216" s="350"/>
      <c r="BS216" s="350"/>
      <c r="BT216" s="350"/>
      <c r="BU216" s="350"/>
      <c r="BV216" s="351"/>
    </row>
    <row r="217" spans="1:74" ht="30" customHeight="1">
      <c r="A217" s="55">
        <f t="shared" si="0"/>
        <v>203</v>
      </c>
      <c r="B217" s="56" t="s">
        <v>325</v>
      </c>
      <c r="C217" s="57"/>
      <c r="D217" s="644"/>
      <c r="E217" s="350"/>
      <c r="F217" s="350"/>
      <c r="G217" s="350"/>
      <c r="H217" s="350"/>
      <c r="I217" s="350"/>
      <c r="J217" s="350"/>
      <c r="K217" s="351"/>
      <c r="L217" s="643"/>
      <c r="M217" s="350"/>
      <c r="N217" s="350"/>
      <c r="O217" s="351"/>
      <c r="P217" s="644"/>
      <c r="Q217" s="350"/>
      <c r="R217" s="350"/>
      <c r="S217" s="351"/>
      <c r="T217" s="643"/>
      <c r="U217" s="350"/>
      <c r="V217" s="350"/>
      <c r="W217" s="351"/>
      <c r="X217" s="644"/>
      <c r="Y217" s="350"/>
      <c r="Z217" s="350"/>
      <c r="AA217" s="351"/>
      <c r="AB217" s="506"/>
      <c r="AC217" s="350"/>
      <c r="AD217" s="351"/>
      <c r="AE217" s="571"/>
      <c r="AF217" s="350"/>
      <c r="AG217" s="351"/>
      <c r="AH217" s="645"/>
      <c r="AI217" s="350"/>
      <c r="AJ217" s="351"/>
      <c r="AK217" s="567"/>
      <c r="AL217" s="350"/>
      <c r="AM217" s="351"/>
      <c r="AN217" s="58"/>
      <c r="AO217" s="59"/>
      <c r="AP217" s="58"/>
      <c r="AQ217" s="59"/>
      <c r="AR217" s="58"/>
      <c r="AS217" s="59"/>
      <c r="AT217" s="58"/>
      <c r="AU217" s="59"/>
      <c r="AV217" s="58"/>
      <c r="AW217" s="59"/>
      <c r="AX217" s="58"/>
      <c r="AY217" s="59"/>
      <c r="AZ217" s="64"/>
      <c r="BA217" s="61"/>
      <c r="BB217" s="64"/>
      <c r="BC217" s="61"/>
      <c r="BD217" s="64"/>
      <c r="BE217" s="61"/>
      <c r="BF217" s="64"/>
      <c r="BG217" s="61"/>
      <c r="BH217" s="64"/>
      <c r="BI217" s="646" t="s">
        <v>298</v>
      </c>
      <c r="BJ217" s="350"/>
      <c r="BK217" s="350"/>
      <c r="BL217" s="350"/>
      <c r="BM217" s="350"/>
      <c r="BN217" s="350"/>
      <c r="BO217" s="350"/>
      <c r="BP217" s="350"/>
      <c r="BQ217" s="350"/>
      <c r="BR217" s="350"/>
      <c r="BS217" s="350"/>
      <c r="BT217" s="350"/>
      <c r="BU217" s="350"/>
      <c r="BV217" s="351"/>
    </row>
    <row r="218" spans="1:74" ht="30" customHeight="1">
      <c r="A218" s="63">
        <f t="shared" si="0"/>
        <v>204</v>
      </c>
      <c r="B218" s="56" t="s">
        <v>325</v>
      </c>
      <c r="C218" s="57"/>
      <c r="D218" s="644"/>
      <c r="E218" s="350"/>
      <c r="F218" s="350"/>
      <c r="G218" s="350"/>
      <c r="H218" s="350"/>
      <c r="I218" s="350"/>
      <c r="J218" s="350"/>
      <c r="K218" s="351"/>
      <c r="L218" s="643"/>
      <c r="M218" s="350"/>
      <c r="N218" s="350"/>
      <c r="O218" s="351"/>
      <c r="P218" s="644"/>
      <c r="Q218" s="350"/>
      <c r="R218" s="350"/>
      <c r="S218" s="351"/>
      <c r="T218" s="643"/>
      <c r="U218" s="350"/>
      <c r="V218" s="350"/>
      <c r="W218" s="351"/>
      <c r="X218" s="644"/>
      <c r="Y218" s="350"/>
      <c r="Z218" s="350"/>
      <c r="AA218" s="351"/>
      <c r="AB218" s="506"/>
      <c r="AC218" s="350"/>
      <c r="AD218" s="351"/>
      <c r="AE218" s="571"/>
      <c r="AF218" s="350"/>
      <c r="AG218" s="351"/>
      <c r="AH218" s="645"/>
      <c r="AI218" s="350"/>
      <c r="AJ218" s="351"/>
      <c r="AK218" s="567"/>
      <c r="AL218" s="350"/>
      <c r="AM218" s="351"/>
      <c r="AN218" s="58"/>
      <c r="AO218" s="59"/>
      <c r="AP218" s="58"/>
      <c r="AQ218" s="59"/>
      <c r="AR218" s="58"/>
      <c r="AS218" s="59"/>
      <c r="AT218" s="58"/>
      <c r="AU218" s="59"/>
      <c r="AV218" s="58"/>
      <c r="AW218" s="59"/>
      <c r="AX218" s="58"/>
      <c r="AY218" s="59"/>
      <c r="AZ218" s="64"/>
      <c r="BA218" s="61"/>
      <c r="BB218" s="64"/>
      <c r="BC218" s="61"/>
      <c r="BD218" s="64"/>
      <c r="BE218" s="61"/>
      <c r="BF218" s="64"/>
      <c r="BG218" s="61"/>
      <c r="BH218" s="64"/>
      <c r="BI218" s="646" t="s">
        <v>298</v>
      </c>
      <c r="BJ218" s="350"/>
      <c r="BK218" s="350"/>
      <c r="BL218" s="350"/>
      <c r="BM218" s="350"/>
      <c r="BN218" s="350"/>
      <c r="BO218" s="350"/>
      <c r="BP218" s="350"/>
      <c r="BQ218" s="350"/>
      <c r="BR218" s="350"/>
      <c r="BS218" s="350"/>
      <c r="BT218" s="350"/>
      <c r="BU218" s="350"/>
      <c r="BV218" s="351"/>
    </row>
    <row r="219" spans="1:74" ht="30" customHeight="1">
      <c r="A219" s="63">
        <f t="shared" si="0"/>
        <v>205</v>
      </c>
      <c r="B219" s="56" t="s">
        <v>325</v>
      </c>
      <c r="C219" s="57"/>
      <c r="D219" s="644"/>
      <c r="E219" s="350"/>
      <c r="F219" s="350"/>
      <c r="G219" s="350"/>
      <c r="H219" s="350"/>
      <c r="I219" s="350"/>
      <c r="J219" s="350"/>
      <c r="K219" s="351"/>
      <c r="L219" s="643"/>
      <c r="M219" s="350"/>
      <c r="N219" s="350"/>
      <c r="O219" s="351"/>
      <c r="P219" s="644"/>
      <c r="Q219" s="350"/>
      <c r="R219" s="350"/>
      <c r="S219" s="351"/>
      <c r="T219" s="643"/>
      <c r="U219" s="350"/>
      <c r="V219" s="350"/>
      <c r="W219" s="351"/>
      <c r="X219" s="644"/>
      <c r="Y219" s="350"/>
      <c r="Z219" s="350"/>
      <c r="AA219" s="351"/>
      <c r="AB219" s="506"/>
      <c r="AC219" s="350"/>
      <c r="AD219" s="351"/>
      <c r="AE219" s="571"/>
      <c r="AF219" s="350"/>
      <c r="AG219" s="351"/>
      <c r="AH219" s="645"/>
      <c r="AI219" s="350"/>
      <c r="AJ219" s="351"/>
      <c r="AK219" s="567"/>
      <c r="AL219" s="350"/>
      <c r="AM219" s="351"/>
      <c r="AN219" s="58"/>
      <c r="AO219" s="59"/>
      <c r="AP219" s="58"/>
      <c r="AQ219" s="59"/>
      <c r="AR219" s="58"/>
      <c r="AS219" s="59"/>
      <c r="AT219" s="58"/>
      <c r="AU219" s="59"/>
      <c r="AV219" s="58"/>
      <c r="AW219" s="59"/>
      <c r="AX219" s="58"/>
      <c r="AY219" s="59"/>
      <c r="AZ219" s="64"/>
      <c r="BA219" s="61"/>
      <c r="BB219" s="64"/>
      <c r="BC219" s="61"/>
      <c r="BD219" s="64"/>
      <c r="BE219" s="61"/>
      <c r="BF219" s="64"/>
      <c r="BG219" s="61"/>
      <c r="BH219" s="64"/>
      <c r="BI219" s="646" t="s">
        <v>298</v>
      </c>
      <c r="BJ219" s="350"/>
      <c r="BK219" s="350"/>
      <c r="BL219" s="350"/>
      <c r="BM219" s="350"/>
      <c r="BN219" s="350"/>
      <c r="BO219" s="350"/>
      <c r="BP219" s="350"/>
      <c r="BQ219" s="350"/>
      <c r="BR219" s="350"/>
      <c r="BS219" s="350"/>
      <c r="BT219" s="350"/>
      <c r="BU219" s="350"/>
      <c r="BV219" s="351"/>
    </row>
    <row r="220" spans="1:74" ht="30" customHeight="1">
      <c r="A220" s="63">
        <f t="shared" si="0"/>
        <v>206</v>
      </c>
      <c r="B220" s="56" t="s">
        <v>325</v>
      </c>
      <c r="C220" s="57"/>
      <c r="D220" s="644"/>
      <c r="E220" s="350"/>
      <c r="F220" s="350"/>
      <c r="G220" s="350"/>
      <c r="H220" s="350"/>
      <c r="I220" s="350"/>
      <c r="J220" s="350"/>
      <c r="K220" s="351"/>
      <c r="L220" s="643"/>
      <c r="M220" s="350"/>
      <c r="N220" s="350"/>
      <c r="O220" s="351"/>
      <c r="P220" s="644"/>
      <c r="Q220" s="350"/>
      <c r="R220" s="350"/>
      <c r="S220" s="351"/>
      <c r="T220" s="643"/>
      <c r="U220" s="350"/>
      <c r="V220" s="350"/>
      <c r="W220" s="351"/>
      <c r="X220" s="644"/>
      <c r="Y220" s="350"/>
      <c r="Z220" s="350"/>
      <c r="AA220" s="351"/>
      <c r="AB220" s="506"/>
      <c r="AC220" s="350"/>
      <c r="AD220" s="351"/>
      <c r="AE220" s="571"/>
      <c r="AF220" s="350"/>
      <c r="AG220" s="351"/>
      <c r="AH220" s="645"/>
      <c r="AI220" s="350"/>
      <c r="AJ220" s="351"/>
      <c r="AK220" s="567"/>
      <c r="AL220" s="350"/>
      <c r="AM220" s="351"/>
      <c r="AN220" s="58"/>
      <c r="AO220" s="59"/>
      <c r="AP220" s="58"/>
      <c r="AQ220" s="59"/>
      <c r="AR220" s="58"/>
      <c r="AS220" s="59"/>
      <c r="AT220" s="58"/>
      <c r="AU220" s="59"/>
      <c r="AV220" s="58"/>
      <c r="AW220" s="59"/>
      <c r="AX220" s="58"/>
      <c r="AY220" s="59"/>
      <c r="AZ220" s="64"/>
      <c r="BA220" s="61"/>
      <c r="BB220" s="64"/>
      <c r="BC220" s="61"/>
      <c r="BD220" s="64"/>
      <c r="BE220" s="61"/>
      <c r="BF220" s="64"/>
      <c r="BG220" s="61"/>
      <c r="BH220" s="64"/>
      <c r="BI220" s="646" t="s">
        <v>298</v>
      </c>
      <c r="BJ220" s="350"/>
      <c r="BK220" s="350"/>
      <c r="BL220" s="350"/>
      <c r="BM220" s="350"/>
      <c r="BN220" s="350"/>
      <c r="BO220" s="350"/>
      <c r="BP220" s="350"/>
      <c r="BQ220" s="350"/>
      <c r="BR220" s="350"/>
      <c r="BS220" s="350"/>
      <c r="BT220" s="350"/>
      <c r="BU220" s="350"/>
      <c r="BV220" s="351"/>
    </row>
    <row r="221" spans="1:74" ht="30" customHeight="1">
      <c r="A221" s="63">
        <f t="shared" si="0"/>
        <v>207</v>
      </c>
      <c r="B221" s="56" t="s">
        <v>325</v>
      </c>
      <c r="C221" s="57"/>
      <c r="D221" s="644"/>
      <c r="E221" s="350"/>
      <c r="F221" s="350"/>
      <c r="G221" s="350"/>
      <c r="H221" s="350"/>
      <c r="I221" s="350"/>
      <c r="J221" s="350"/>
      <c r="K221" s="351"/>
      <c r="L221" s="643"/>
      <c r="M221" s="350"/>
      <c r="N221" s="350"/>
      <c r="O221" s="351"/>
      <c r="P221" s="644"/>
      <c r="Q221" s="350"/>
      <c r="R221" s="350"/>
      <c r="S221" s="351"/>
      <c r="T221" s="643"/>
      <c r="U221" s="350"/>
      <c r="V221" s="350"/>
      <c r="W221" s="351"/>
      <c r="X221" s="644"/>
      <c r="Y221" s="350"/>
      <c r="Z221" s="350"/>
      <c r="AA221" s="351"/>
      <c r="AB221" s="506"/>
      <c r="AC221" s="350"/>
      <c r="AD221" s="351"/>
      <c r="AE221" s="571"/>
      <c r="AF221" s="350"/>
      <c r="AG221" s="351"/>
      <c r="AH221" s="645"/>
      <c r="AI221" s="350"/>
      <c r="AJ221" s="351"/>
      <c r="AK221" s="567"/>
      <c r="AL221" s="350"/>
      <c r="AM221" s="351"/>
      <c r="AN221" s="58"/>
      <c r="AO221" s="59"/>
      <c r="AP221" s="58"/>
      <c r="AQ221" s="59"/>
      <c r="AR221" s="58"/>
      <c r="AS221" s="59"/>
      <c r="AT221" s="58"/>
      <c r="AU221" s="59"/>
      <c r="AV221" s="58"/>
      <c r="AW221" s="59"/>
      <c r="AX221" s="58"/>
      <c r="AY221" s="59"/>
      <c r="AZ221" s="64"/>
      <c r="BA221" s="61"/>
      <c r="BB221" s="64"/>
      <c r="BC221" s="61"/>
      <c r="BD221" s="64"/>
      <c r="BE221" s="61"/>
      <c r="BF221" s="64"/>
      <c r="BG221" s="61"/>
      <c r="BH221" s="64"/>
      <c r="BI221" s="646" t="s">
        <v>298</v>
      </c>
      <c r="BJ221" s="350"/>
      <c r="BK221" s="350"/>
      <c r="BL221" s="350"/>
      <c r="BM221" s="350"/>
      <c r="BN221" s="350"/>
      <c r="BO221" s="350"/>
      <c r="BP221" s="350"/>
      <c r="BQ221" s="350"/>
      <c r="BR221" s="350"/>
      <c r="BS221" s="350"/>
      <c r="BT221" s="350"/>
      <c r="BU221" s="350"/>
      <c r="BV221" s="351"/>
    </row>
    <row r="222" spans="1:74" ht="30" customHeight="1">
      <c r="A222" s="63">
        <f t="shared" si="0"/>
        <v>208</v>
      </c>
      <c r="B222" s="56" t="s">
        <v>325</v>
      </c>
      <c r="C222" s="57"/>
      <c r="D222" s="644"/>
      <c r="E222" s="350"/>
      <c r="F222" s="350"/>
      <c r="G222" s="350"/>
      <c r="H222" s="350"/>
      <c r="I222" s="350"/>
      <c r="J222" s="350"/>
      <c r="K222" s="351"/>
      <c r="L222" s="643"/>
      <c r="M222" s="350"/>
      <c r="N222" s="350"/>
      <c r="O222" s="351"/>
      <c r="P222" s="644"/>
      <c r="Q222" s="350"/>
      <c r="R222" s="350"/>
      <c r="S222" s="351"/>
      <c r="T222" s="643"/>
      <c r="U222" s="350"/>
      <c r="V222" s="350"/>
      <c r="W222" s="351"/>
      <c r="X222" s="644"/>
      <c r="Y222" s="350"/>
      <c r="Z222" s="350"/>
      <c r="AA222" s="351"/>
      <c r="AB222" s="506"/>
      <c r="AC222" s="350"/>
      <c r="AD222" s="351"/>
      <c r="AE222" s="571"/>
      <c r="AF222" s="350"/>
      <c r="AG222" s="351"/>
      <c r="AH222" s="645"/>
      <c r="AI222" s="350"/>
      <c r="AJ222" s="351"/>
      <c r="AK222" s="567"/>
      <c r="AL222" s="350"/>
      <c r="AM222" s="351"/>
      <c r="AN222" s="58"/>
      <c r="AO222" s="59"/>
      <c r="AP222" s="58"/>
      <c r="AQ222" s="59"/>
      <c r="AR222" s="58"/>
      <c r="AS222" s="59"/>
      <c r="AT222" s="58"/>
      <c r="AU222" s="59"/>
      <c r="AV222" s="58"/>
      <c r="AW222" s="59"/>
      <c r="AX222" s="58"/>
      <c r="AY222" s="59"/>
      <c r="AZ222" s="64"/>
      <c r="BA222" s="61"/>
      <c r="BB222" s="64"/>
      <c r="BC222" s="61"/>
      <c r="BD222" s="64"/>
      <c r="BE222" s="61"/>
      <c r="BF222" s="64"/>
      <c r="BG222" s="61"/>
      <c r="BH222" s="64"/>
      <c r="BI222" s="646" t="s">
        <v>294</v>
      </c>
      <c r="BJ222" s="350"/>
      <c r="BK222" s="350"/>
      <c r="BL222" s="350"/>
      <c r="BM222" s="350"/>
      <c r="BN222" s="350"/>
      <c r="BO222" s="350"/>
      <c r="BP222" s="350"/>
      <c r="BQ222" s="350"/>
      <c r="BR222" s="350"/>
      <c r="BS222" s="350"/>
      <c r="BT222" s="350"/>
      <c r="BU222" s="350"/>
      <c r="BV222" s="351"/>
    </row>
    <row r="223" spans="1:74" ht="30" customHeight="1">
      <c r="A223" s="55">
        <f t="shared" si="0"/>
        <v>209</v>
      </c>
      <c r="B223" s="56" t="s">
        <v>325</v>
      </c>
      <c r="C223" s="57"/>
      <c r="D223" s="644"/>
      <c r="E223" s="350"/>
      <c r="F223" s="350"/>
      <c r="G223" s="350"/>
      <c r="H223" s="350"/>
      <c r="I223" s="350"/>
      <c r="J223" s="350"/>
      <c r="K223" s="351"/>
      <c r="L223" s="643"/>
      <c r="M223" s="350"/>
      <c r="N223" s="350"/>
      <c r="O223" s="351"/>
      <c r="P223" s="644"/>
      <c r="Q223" s="350"/>
      <c r="R223" s="350"/>
      <c r="S223" s="351"/>
      <c r="T223" s="643"/>
      <c r="U223" s="350"/>
      <c r="V223" s="350"/>
      <c r="W223" s="351"/>
      <c r="X223" s="644"/>
      <c r="Y223" s="350"/>
      <c r="Z223" s="350"/>
      <c r="AA223" s="351"/>
      <c r="AB223" s="506"/>
      <c r="AC223" s="350"/>
      <c r="AD223" s="351"/>
      <c r="AE223" s="571"/>
      <c r="AF223" s="350"/>
      <c r="AG223" s="351"/>
      <c r="AH223" s="645"/>
      <c r="AI223" s="350"/>
      <c r="AJ223" s="351"/>
      <c r="AK223" s="567"/>
      <c r="AL223" s="350"/>
      <c r="AM223" s="351"/>
      <c r="AN223" s="58"/>
      <c r="AO223" s="59"/>
      <c r="AP223" s="58"/>
      <c r="AQ223" s="59"/>
      <c r="AR223" s="58"/>
      <c r="AS223" s="59"/>
      <c r="AT223" s="58"/>
      <c r="AU223" s="59"/>
      <c r="AV223" s="58"/>
      <c r="AW223" s="59"/>
      <c r="AX223" s="58"/>
      <c r="AY223" s="59"/>
      <c r="AZ223" s="64"/>
      <c r="BA223" s="61"/>
      <c r="BB223" s="64"/>
      <c r="BC223" s="61"/>
      <c r="BD223" s="64"/>
      <c r="BE223" s="61"/>
      <c r="BF223" s="64"/>
      <c r="BG223" s="61"/>
      <c r="BH223" s="64"/>
      <c r="BI223" s="646" t="s">
        <v>298</v>
      </c>
      <c r="BJ223" s="350"/>
      <c r="BK223" s="350"/>
      <c r="BL223" s="350"/>
      <c r="BM223" s="350"/>
      <c r="BN223" s="350"/>
      <c r="BO223" s="350"/>
      <c r="BP223" s="350"/>
      <c r="BQ223" s="350"/>
      <c r="BR223" s="350"/>
      <c r="BS223" s="350"/>
      <c r="BT223" s="350"/>
      <c r="BU223" s="350"/>
      <c r="BV223" s="351"/>
    </row>
    <row r="224" spans="1:74" ht="30" customHeight="1">
      <c r="A224" s="63">
        <f t="shared" si="0"/>
        <v>210</v>
      </c>
      <c r="B224" s="56" t="s">
        <v>325</v>
      </c>
      <c r="C224" s="57"/>
      <c r="D224" s="644"/>
      <c r="E224" s="350"/>
      <c r="F224" s="350"/>
      <c r="G224" s="350"/>
      <c r="H224" s="350"/>
      <c r="I224" s="350"/>
      <c r="J224" s="350"/>
      <c r="K224" s="351"/>
      <c r="L224" s="643"/>
      <c r="M224" s="350"/>
      <c r="N224" s="350"/>
      <c r="O224" s="351"/>
      <c r="P224" s="644"/>
      <c r="Q224" s="350"/>
      <c r="R224" s="350"/>
      <c r="S224" s="351"/>
      <c r="T224" s="643"/>
      <c r="U224" s="350"/>
      <c r="V224" s="350"/>
      <c r="W224" s="351"/>
      <c r="X224" s="644"/>
      <c r="Y224" s="350"/>
      <c r="Z224" s="350"/>
      <c r="AA224" s="351"/>
      <c r="AB224" s="506"/>
      <c r="AC224" s="350"/>
      <c r="AD224" s="351"/>
      <c r="AE224" s="571"/>
      <c r="AF224" s="350"/>
      <c r="AG224" s="351"/>
      <c r="AH224" s="645"/>
      <c r="AI224" s="350"/>
      <c r="AJ224" s="351"/>
      <c r="AK224" s="567"/>
      <c r="AL224" s="350"/>
      <c r="AM224" s="351"/>
      <c r="AN224" s="58"/>
      <c r="AO224" s="59"/>
      <c r="AP224" s="58"/>
      <c r="AQ224" s="59"/>
      <c r="AR224" s="58"/>
      <c r="AS224" s="59"/>
      <c r="AT224" s="58"/>
      <c r="AU224" s="59"/>
      <c r="AV224" s="58"/>
      <c r="AW224" s="59"/>
      <c r="AX224" s="58"/>
      <c r="AY224" s="59"/>
      <c r="AZ224" s="64"/>
      <c r="BA224" s="61"/>
      <c r="BB224" s="64"/>
      <c r="BC224" s="61"/>
      <c r="BD224" s="64"/>
      <c r="BE224" s="61"/>
      <c r="BF224" s="64"/>
      <c r="BG224" s="61"/>
      <c r="BH224" s="64"/>
      <c r="BI224" s="646" t="s">
        <v>298</v>
      </c>
      <c r="BJ224" s="350"/>
      <c r="BK224" s="350"/>
      <c r="BL224" s="350"/>
      <c r="BM224" s="350"/>
      <c r="BN224" s="350"/>
      <c r="BO224" s="350"/>
      <c r="BP224" s="350"/>
      <c r="BQ224" s="350"/>
      <c r="BR224" s="350"/>
      <c r="BS224" s="350"/>
      <c r="BT224" s="350"/>
      <c r="BU224" s="350"/>
      <c r="BV224" s="351"/>
    </row>
    <row r="225" spans="1:74" ht="30" customHeight="1">
      <c r="A225" s="63">
        <f t="shared" si="0"/>
        <v>211</v>
      </c>
      <c r="B225" s="56" t="s">
        <v>325</v>
      </c>
      <c r="C225" s="57"/>
      <c r="D225" s="644"/>
      <c r="E225" s="350"/>
      <c r="F225" s="350"/>
      <c r="G225" s="350"/>
      <c r="H225" s="350"/>
      <c r="I225" s="350"/>
      <c r="J225" s="350"/>
      <c r="K225" s="351"/>
      <c r="L225" s="643"/>
      <c r="M225" s="350"/>
      <c r="N225" s="350"/>
      <c r="O225" s="351"/>
      <c r="P225" s="644"/>
      <c r="Q225" s="350"/>
      <c r="R225" s="350"/>
      <c r="S225" s="351"/>
      <c r="T225" s="643"/>
      <c r="U225" s="350"/>
      <c r="V225" s="350"/>
      <c r="W225" s="351"/>
      <c r="X225" s="644"/>
      <c r="Y225" s="350"/>
      <c r="Z225" s="350"/>
      <c r="AA225" s="351"/>
      <c r="AB225" s="506"/>
      <c r="AC225" s="350"/>
      <c r="AD225" s="351"/>
      <c r="AE225" s="571"/>
      <c r="AF225" s="350"/>
      <c r="AG225" s="351"/>
      <c r="AH225" s="645"/>
      <c r="AI225" s="350"/>
      <c r="AJ225" s="351"/>
      <c r="AK225" s="567"/>
      <c r="AL225" s="350"/>
      <c r="AM225" s="351"/>
      <c r="AN225" s="58"/>
      <c r="AO225" s="59"/>
      <c r="AP225" s="58"/>
      <c r="AQ225" s="59"/>
      <c r="AR225" s="58"/>
      <c r="AS225" s="59"/>
      <c r="AT225" s="58"/>
      <c r="AU225" s="59"/>
      <c r="AV225" s="58"/>
      <c r="AW225" s="59"/>
      <c r="AX225" s="58"/>
      <c r="AY225" s="59"/>
      <c r="AZ225" s="64"/>
      <c r="BA225" s="61"/>
      <c r="BB225" s="64"/>
      <c r="BC225" s="61"/>
      <c r="BD225" s="64"/>
      <c r="BE225" s="61"/>
      <c r="BF225" s="64"/>
      <c r="BG225" s="61"/>
      <c r="BH225" s="64"/>
      <c r="BI225" s="646" t="s">
        <v>298</v>
      </c>
      <c r="BJ225" s="350"/>
      <c r="BK225" s="350"/>
      <c r="BL225" s="350"/>
      <c r="BM225" s="350"/>
      <c r="BN225" s="350"/>
      <c r="BO225" s="350"/>
      <c r="BP225" s="350"/>
      <c r="BQ225" s="350"/>
      <c r="BR225" s="350"/>
      <c r="BS225" s="350"/>
      <c r="BT225" s="350"/>
      <c r="BU225" s="350"/>
      <c r="BV225" s="351"/>
    </row>
    <row r="226" spans="1:74" ht="30" customHeight="1">
      <c r="A226" s="63">
        <f t="shared" si="0"/>
        <v>212</v>
      </c>
      <c r="B226" s="56" t="s">
        <v>325</v>
      </c>
      <c r="C226" s="57"/>
      <c r="D226" s="644"/>
      <c r="E226" s="350"/>
      <c r="F226" s="350"/>
      <c r="G226" s="350"/>
      <c r="H226" s="350"/>
      <c r="I226" s="350"/>
      <c r="J226" s="350"/>
      <c r="K226" s="351"/>
      <c r="L226" s="643"/>
      <c r="M226" s="350"/>
      <c r="N226" s="350"/>
      <c r="O226" s="351"/>
      <c r="P226" s="644"/>
      <c r="Q226" s="350"/>
      <c r="R226" s="350"/>
      <c r="S226" s="351"/>
      <c r="T226" s="643"/>
      <c r="U226" s="350"/>
      <c r="V226" s="350"/>
      <c r="W226" s="351"/>
      <c r="X226" s="644"/>
      <c r="Y226" s="350"/>
      <c r="Z226" s="350"/>
      <c r="AA226" s="351"/>
      <c r="AB226" s="506"/>
      <c r="AC226" s="350"/>
      <c r="AD226" s="351"/>
      <c r="AE226" s="571"/>
      <c r="AF226" s="350"/>
      <c r="AG226" s="351"/>
      <c r="AH226" s="645"/>
      <c r="AI226" s="350"/>
      <c r="AJ226" s="351"/>
      <c r="AK226" s="567"/>
      <c r="AL226" s="350"/>
      <c r="AM226" s="351"/>
      <c r="AN226" s="58"/>
      <c r="AO226" s="59"/>
      <c r="AP226" s="58"/>
      <c r="AQ226" s="59"/>
      <c r="AR226" s="58"/>
      <c r="AS226" s="59"/>
      <c r="AT226" s="58"/>
      <c r="AU226" s="59"/>
      <c r="AV226" s="58"/>
      <c r="AW226" s="59"/>
      <c r="AX226" s="58"/>
      <c r="AY226" s="59"/>
      <c r="AZ226" s="64"/>
      <c r="BA226" s="61"/>
      <c r="BB226" s="64"/>
      <c r="BC226" s="61"/>
      <c r="BD226" s="64"/>
      <c r="BE226" s="61"/>
      <c r="BF226" s="64"/>
      <c r="BG226" s="61"/>
      <c r="BH226" s="64"/>
      <c r="BI226" s="646" t="s">
        <v>298</v>
      </c>
      <c r="BJ226" s="350"/>
      <c r="BK226" s="350"/>
      <c r="BL226" s="350"/>
      <c r="BM226" s="350"/>
      <c r="BN226" s="350"/>
      <c r="BO226" s="350"/>
      <c r="BP226" s="350"/>
      <c r="BQ226" s="350"/>
      <c r="BR226" s="350"/>
      <c r="BS226" s="350"/>
      <c r="BT226" s="350"/>
      <c r="BU226" s="350"/>
      <c r="BV226" s="351"/>
    </row>
    <row r="227" spans="1:74" ht="30" customHeight="1">
      <c r="A227" s="63">
        <f t="shared" si="0"/>
        <v>213</v>
      </c>
      <c r="B227" s="56" t="s">
        <v>325</v>
      </c>
      <c r="C227" s="57"/>
      <c r="D227" s="644"/>
      <c r="E227" s="350"/>
      <c r="F227" s="350"/>
      <c r="G227" s="350"/>
      <c r="H227" s="350"/>
      <c r="I227" s="350"/>
      <c r="J227" s="350"/>
      <c r="K227" s="351"/>
      <c r="L227" s="643"/>
      <c r="M227" s="350"/>
      <c r="N227" s="350"/>
      <c r="O227" s="351"/>
      <c r="P227" s="644"/>
      <c r="Q227" s="350"/>
      <c r="R227" s="350"/>
      <c r="S227" s="351"/>
      <c r="T227" s="643"/>
      <c r="U227" s="350"/>
      <c r="V227" s="350"/>
      <c r="W227" s="351"/>
      <c r="X227" s="644"/>
      <c r="Y227" s="350"/>
      <c r="Z227" s="350"/>
      <c r="AA227" s="351"/>
      <c r="AB227" s="506"/>
      <c r="AC227" s="350"/>
      <c r="AD227" s="351"/>
      <c r="AE227" s="571"/>
      <c r="AF227" s="350"/>
      <c r="AG227" s="351"/>
      <c r="AH227" s="645"/>
      <c r="AI227" s="350"/>
      <c r="AJ227" s="351"/>
      <c r="AK227" s="567"/>
      <c r="AL227" s="350"/>
      <c r="AM227" s="351"/>
      <c r="AN227" s="58"/>
      <c r="AO227" s="59"/>
      <c r="AP227" s="58"/>
      <c r="AQ227" s="59"/>
      <c r="AR227" s="58"/>
      <c r="AS227" s="59"/>
      <c r="AT227" s="58"/>
      <c r="AU227" s="59"/>
      <c r="AV227" s="58"/>
      <c r="AW227" s="59"/>
      <c r="AX227" s="58"/>
      <c r="AY227" s="59"/>
      <c r="AZ227" s="64"/>
      <c r="BA227" s="61"/>
      <c r="BB227" s="64"/>
      <c r="BC227" s="61"/>
      <c r="BD227" s="64"/>
      <c r="BE227" s="61"/>
      <c r="BF227" s="64"/>
      <c r="BG227" s="61"/>
      <c r="BH227" s="64"/>
      <c r="BI227" s="646" t="s">
        <v>298</v>
      </c>
      <c r="BJ227" s="350"/>
      <c r="BK227" s="350"/>
      <c r="BL227" s="350"/>
      <c r="BM227" s="350"/>
      <c r="BN227" s="350"/>
      <c r="BO227" s="350"/>
      <c r="BP227" s="350"/>
      <c r="BQ227" s="350"/>
      <c r="BR227" s="350"/>
      <c r="BS227" s="350"/>
      <c r="BT227" s="350"/>
      <c r="BU227" s="350"/>
      <c r="BV227" s="351"/>
    </row>
    <row r="228" spans="1:74" ht="30" customHeight="1">
      <c r="A228" s="63">
        <f t="shared" si="0"/>
        <v>214</v>
      </c>
      <c r="B228" s="56" t="s">
        <v>325</v>
      </c>
      <c r="C228" s="57"/>
      <c r="D228" s="644"/>
      <c r="E228" s="350"/>
      <c r="F228" s="350"/>
      <c r="G228" s="350"/>
      <c r="H228" s="350"/>
      <c r="I228" s="350"/>
      <c r="J228" s="350"/>
      <c r="K228" s="351"/>
      <c r="L228" s="643"/>
      <c r="M228" s="350"/>
      <c r="N228" s="350"/>
      <c r="O228" s="351"/>
      <c r="P228" s="644"/>
      <c r="Q228" s="350"/>
      <c r="R228" s="350"/>
      <c r="S228" s="351"/>
      <c r="T228" s="643"/>
      <c r="U228" s="350"/>
      <c r="V228" s="350"/>
      <c r="W228" s="351"/>
      <c r="X228" s="644"/>
      <c r="Y228" s="350"/>
      <c r="Z228" s="350"/>
      <c r="AA228" s="351"/>
      <c r="AB228" s="506"/>
      <c r="AC228" s="350"/>
      <c r="AD228" s="351"/>
      <c r="AE228" s="571"/>
      <c r="AF228" s="350"/>
      <c r="AG228" s="351"/>
      <c r="AH228" s="645"/>
      <c r="AI228" s="350"/>
      <c r="AJ228" s="351"/>
      <c r="AK228" s="567"/>
      <c r="AL228" s="350"/>
      <c r="AM228" s="351"/>
      <c r="AN228" s="58"/>
      <c r="AO228" s="59"/>
      <c r="AP228" s="58"/>
      <c r="AQ228" s="59"/>
      <c r="AR228" s="58"/>
      <c r="AS228" s="59"/>
      <c r="AT228" s="58"/>
      <c r="AU228" s="59"/>
      <c r="AV228" s="58"/>
      <c r="AW228" s="59"/>
      <c r="AX228" s="58"/>
      <c r="AY228" s="59"/>
      <c r="AZ228" s="64"/>
      <c r="BA228" s="61"/>
      <c r="BB228" s="64"/>
      <c r="BC228" s="61"/>
      <c r="BD228" s="64"/>
      <c r="BE228" s="61"/>
      <c r="BF228" s="64"/>
      <c r="BG228" s="61"/>
      <c r="BH228" s="64"/>
      <c r="BI228" s="646" t="s">
        <v>294</v>
      </c>
      <c r="BJ228" s="350"/>
      <c r="BK228" s="350"/>
      <c r="BL228" s="350"/>
      <c r="BM228" s="350"/>
      <c r="BN228" s="350"/>
      <c r="BO228" s="350"/>
      <c r="BP228" s="350"/>
      <c r="BQ228" s="350"/>
      <c r="BR228" s="350"/>
      <c r="BS228" s="350"/>
      <c r="BT228" s="350"/>
      <c r="BU228" s="350"/>
      <c r="BV228" s="351"/>
    </row>
    <row r="229" spans="1:74" ht="30" customHeight="1">
      <c r="A229" s="63">
        <f t="shared" si="0"/>
        <v>215</v>
      </c>
      <c r="B229" s="56" t="s">
        <v>325</v>
      </c>
      <c r="C229" s="57"/>
      <c r="D229" s="644"/>
      <c r="E229" s="350"/>
      <c r="F229" s="350"/>
      <c r="G229" s="350"/>
      <c r="H229" s="350"/>
      <c r="I229" s="350"/>
      <c r="J229" s="350"/>
      <c r="K229" s="351"/>
      <c r="L229" s="643"/>
      <c r="M229" s="350"/>
      <c r="N229" s="350"/>
      <c r="O229" s="351"/>
      <c r="P229" s="644"/>
      <c r="Q229" s="350"/>
      <c r="R229" s="350"/>
      <c r="S229" s="351"/>
      <c r="T229" s="643"/>
      <c r="U229" s="350"/>
      <c r="V229" s="350"/>
      <c r="W229" s="351"/>
      <c r="X229" s="644"/>
      <c r="Y229" s="350"/>
      <c r="Z229" s="350"/>
      <c r="AA229" s="351"/>
      <c r="AB229" s="506"/>
      <c r="AC229" s="350"/>
      <c r="AD229" s="351"/>
      <c r="AE229" s="571"/>
      <c r="AF229" s="350"/>
      <c r="AG229" s="351"/>
      <c r="AH229" s="645"/>
      <c r="AI229" s="350"/>
      <c r="AJ229" s="351"/>
      <c r="AK229" s="567"/>
      <c r="AL229" s="350"/>
      <c r="AM229" s="351"/>
      <c r="AN229" s="58"/>
      <c r="AO229" s="59"/>
      <c r="AP229" s="58"/>
      <c r="AQ229" s="59"/>
      <c r="AR229" s="58"/>
      <c r="AS229" s="59"/>
      <c r="AT229" s="58"/>
      <c r="AU229" s="59"/>
      <c r="AV229" s="58"/>
      <c r="AW229" s="59"/>
      <c r="AX229" s="58"/>
      <c r="AY229" s="59"/>
      <c r="AZ229" s="64"/>
      <c r="BA229" s="61"/>
      <c r="BB229" s="64"/>
      <c r="BC229" s="61"/>
      <c r="BD229" s="64"/>
      <c r="BE229" s="61"/>
      <c r="BF229" s="64"/>
      <c r="BG229" s="61"/>
      <c r="BH229" s="64"/>
      <c r="BI229" s="646" t="s">
        <v>294</v>
      </c>
      <c r="BJ229" s="350"/>
      <c r="BK229" s="350"/>
      <c r="BL229" s="350"/>
      <c r="BM229" s="350"/>
      <c r="BN229" s="350"/>
      <c r="BO229" s="350"/>
      <c r="BP229" s="350"/>
      <c r="BQ229" s="350"/>
      <c r="BR229" s="350"/>
      <c r="BS229" s="350"/>
      <c r="BT229" s="350"/>
      <c r="BU229" s="350"/>
      <c r="BV229" s="351"/>
    </row>
    <row r="230" spans="1:74" ht="30" customHeight="1">
      <c r="A230" s="55">
        <f t="shared" si="0"/>
        <v>216</v>
      </c>
      <c r="B230" s="56" t="s">
        <v>325</v>
      </c>
      <c r="C230" s="57"/>
      <c r="D230" s="644"/>
      <c r="E230" s="350"/>
      <c r="F230" s="350"/>
      <c r="G230" s="350"/>
      <c r="H230" s="350"/>
      <c r="I230" s="350"/>
      <c r="J230" s="350"/>
      <c r="K230" s="351"/>
      <c r="L230" s="643"/>
      <c r="M230" s="350"/>
      <c r="N230" s="350"/>
      <c r="O230" s="351"/>
      <c r="P230" s="644"/>
      <c r="Q230" s="350"/>
      <c r="R230" s="350"/>
      <c r="S230" s="351"/>
      <c r="T230" s="643"/>
      <c r="U230" s="350"/>
      <c r="V230" s="350"/>
      <c r="W230" s="351"/>
      <c r="X230" s="644"/>
      <c r="Y230" s="350"/>
      <c r="Z230" s="350"/>
      <c r="AA230" s="351"/>
      <c r="AB230" s="506"/>
      <c r="AC230" s="350"/>
      <c r="AD230" s="351"/>
      <c r="AE230" s="571"/>
      <c r="AF230" s="350"/>
      <c r="AG230" s="351"/>
      <c r="AH230" s="645"/>
      <c r="AI230" s="350"/>
      <c r="AJ230" s="351"/>
      <c r="AK230" s="567"/>
      <c r="AL230" s="350"/>
      <c r="AM230" s="351"/>
      <c r="AN230" s="58"/>
      <c r="AO230" s="59"/>
      <c r="AP230" s="58"/>
      <c r="AQ230" s="59"/>
      <c r="AR230" s="58"/>
      <c r="AS230" s="59"/>
      <c r="AT230" s="58"/>
      <c r="AU230" s="59"/>
      <c r="AV230" s="58"/>
      <c r="AW230" s="59"/>
      <c r="AX230" s="58"/>
      <c r="AY230" s="59"/>
      <c r="AZ230" s="64"/>
      <c r="BA230" s="61"/>
      <c r="BB230" s="64"/>
      <c r="BC230" s="61"/>
      <c r="BD230" s="64"/>
      <c r="BE230" s="61"/>
      <c r="BF230" s="64"/>
      <c r="BG230" s="61"/>
      <c r="BH230" s="64"/>
      <c r="BI230" s="646" t="s">
        <v>298</v>
      </c>
      <c r="BJ230" s="350"/>
      <c r="BK230" s="350"/>
      <c r="BL230" s="350"/>
      <c r="BM230" s="350"/>
      <c r="BN230" s="350"/>
      <c r="BO230" s="350"/>
      <c r="BP230" s="350"/>
      <c r="BQ230" s="350"/>
      <c r="BR230" s="350"/>
      <c r="BS230" s="350"/>
      <c r="BT230" s="350"/>
      <c r="BU230" s="350"/>
      <c r="BV230" s="351"/>
    </row>
    <row r="231" spans="1:74" ht="30" customHeight="1">
      <c r="A231" s="63">
        <f t="shared" si="0"/>
        <v>217</v>
      </c>
      <c r="B231" s="56" t="s">
        <v>325</v>
      </c>
      <c r="C231" s="57"/>
      <c r="D231" s="644"/>
      <c r="E231" s="350"/>
      <c r="F231" s="350"/>
      <c r="G231" s="350"/>
      <c r="H231" s="350"/>
      <c r="I231" s="350"/>
      <c r="J231" s="350"/>
      <c r="K231" s="351"/>
      <c r="L231" s="643"/>
      <c r="M231" s="350"/>
      <c r="N231" s="350"/>
      <c r="O231" s="351"/>
      <c r="P231" s="644"/>
      <c r="Q231" s="350"/>
      <c r="R231" s="350"/>
      <c r="S231" s="351"/>
      <c r="T231" s="643"/>
      <c r="U231" s="350"/>
      <c r="V231" s="350"/>
      <c r="W231" s="351"/>
      <c r="X231" s="644"/>
      <c r="Y231" s="350"/>
      <c r="Z231" s="350"/>
      <c r="AA231" s="351"/>
      <c r="AB231" s="506"/>
      <c r="AC231" s="350"/>
      <c r="AD231" s="351"/>
      <c r="AE231" s="571"/>
      <c r="AF231" s="350"/>
      <c r="AG231" s="351"/>
      <c r="AH231" s="645"/>
      <c r="AI231" s="350"/>
      <c r="AJ231" s="351"/>
      <c r="AK231" s="567"/>
      <c r="AL231" s="350"/>
      <c r="AM231" s="351"/>
      <c r="AN231" s="58"/>
      <c r="AO231" s="59"/>
      <c r="AP231" s="58"/>
      <c r="AQ231" s="59"/>
      <c r="AR231" s="58"/>
      <c r="AS231" s="59"/>
      <c r="AT231" s="58"/>
      <c r="AU231" s="59"/>
      <c r="AV231" s="58"/>
      <c r="AW231" s="59"/>
      <c r="AX231" s="58"/>
      <c r="AY231" s="59"/>
      <c r="AZ231" s="64"/>
      <c r="BA231" s="61"/>
      <c r="BB231" s="64"/>
      <c r="BC231" s="61"/>
      <c r="BD231" s="64"/>
      <c r="BE231" s="61"/>
      <c r="BF231" s="64"/>
      <c r="BG231" s="61"/>
      <c r="BH231" s="64"/>
      <c r="BI231" s="646" t="s">
        <v>298</v>
      </c>
      <c r="BJ231" s="350"/>
      <c r="BK231" s="350"/>
      <c r="BL231" s="350"/>
      <c r="BM231" s="350"/>
      <c r="BN231" s="350"/>
      <c r="BO231" s="350"/>
      <c r="BP231" s="350"/>
      <c r="BQ231" s="350"/>
      <c r="BR231" s="350"/>
      <c r="BS231" s="350"/>
      <c r="BT231" s="350"/>
      <c r="BU231" s="350"/>
      <c r="BV231" s="351"/>
    </row>
    <row r="232" spans="1:74" ht="30" customHeight="1">
      <c r="A232" s="63">
        <f t="shared" si="0"/>
        <v>218</v>
      </c>
      <c r="B232" s="56" t="s">
        <v>325</v>
      </c>
      <c r="C232" s="57"/>
      <c r="D232" s="644"/>
      <c r="E232" s="350"/>
      <c r="F232" s="350"/>
      <c r="G232" s="350"/>
      <c r="H232" s="350"/>
      <c r="I232" s="350"/>
      <c r="J232" s="350"/>
      <c r="K232" s="351"/>
      <c r="L232" s="643"/>
      <c r="M232" s="350"/>
      <c r="N232" s="350"/>
      <c r="O232" s="351"/>
      <c r="P232" s="644"/>
      <c r="Q232" s="350"/>
      <c r="R232" s="350"/>
      <c r="S232" s="351"/>
      <c r="T232" s="643"/>
      <c r="U232" s="350"/>
      <c r="V232" s="350"/>
      <c r="W232" s="351"/>
      <c r="X232" s="644"/>
      <c r="Y232" s="350"/>
      <c r="Z232" s="350"/>
      <c r="AA232" s="351"/>
      <c r="AB232" s="506"/>
      <c r="AC232" s="350"/>
      <c r="AD232" s="351"/>
      <c r="AE232" s="571"/>
      <c r="AF232" s="350"/>
      <c r="AG232" s="351"/>
      <c r="AH232" s="645"/>
      <c r="AI232" s="350"/>
      <c r="AJ232" s="351"/>
      <c r="AK232" s="567"/>
      <c r="AL232" s="350"/>
      <c r="AM232" s="351"/>
      <c r="AN232" s="58"/>
      <c r="AO232" s="59"/>
      <c r="AP232" s="58"/>
      <c r="AQ232" s="59"/>
      <c r="AR232" s="58"/>
      <c r="AS232" s="59"/>
      <c r="AT232" s="58"/>
      <c r="AU232" s="59"/>
      <c r="AV232" s="58"/>
      <c r="AW232" s="59"/>
      <c r="AX232" s="58"/>
      <c r="AY232" s="59"/>
      <c r="AZ232" s="64"/>
      <c r="BA232" s="61"/>
      <c r="BB232" s="64"/>
      <c r="BC232" s="61"/>
      <c r="BD232" s="64"/>
      <c r="BE232" s="61"/>
      <c r="BF232" s="64"/>
      <c r="BG232" s="61"/>
      <c r="BH232" s="64"/>
      <c r="BI232" s="646" t="s">
        <v>298</v>
      </c>
      <c r="BJ232" s="350"/>
      <c r="BK232" s="350"/>
      <c r="BL232" s="350"/>
      <c r="BM232" s="350"/>
      <c r="BN232" s="350"/>
      <c r="BO232" s="350"/>
      <c r="BP232" s="350"/>
      <c r="BQ232" s="350"/>
      <c r="BR232" s="350"/>
      <c r="BS232" s="350"/>
      <c r="BT232" s="350"/>
      <c r="BU232" s="350"/>
      <c r="BV232" s="351"/>
    </row>
    <row r="233" spans="1:74" ht="30" customHeight="1">
      <c r="A233" s="63">
        <f t="shared" si="0"/>
        <v>219</v>
      </c>
      <c r="B233" s="56" t="s">
        <v>325</v>
      </c>
      <c r="C233" s="57"/>
      <c r="D233" s="644"/>
      <c r="E233" s="350"/>
      <c r="F233" s="350"/>
      <c r="G233" s="350"/>
      <c r="H233" s="350"/>
      <c r="I233" s="350"/>
      <c r="J233" s="350"/>
      <c r="K233" s="351"/>
      <c r="L233" s="643"/>
      <c r="M233" s="350"/>
      <c r="N233" s="350"/>
      <c r="O233" s="351"/>
      <c r="P233" s="644"/>
      <c r="Q233" s="350"/>
      <c r="R233" s="350"/>
      <c r="S233" s="351"/>
      <c r="T233" s="643"/>
      <c r="U233" s="350"/>
      <c r="V233" s="350"/>
      <c r="W233" s="351"/>
      <c r="X233" s="644"/>
      <c r="Y233" s="350"/>
      <c r="Z233" s="350"/>
      <c r="AA233" s="351"/>
      <c r="AB233" s="506"/>
      <c r="AC233" s="350"/>
      <c r="AD233" s="351"/>
      <c r="AE233" s="571"/>
      <c r="AF233" s="350"/>
      <c r="AG233" s="351"/>
      <c r="AH233" s="645"/>
      <c r="AI233" s="350"/>
      <c r="AJ233" s="351"/>
      <c r="AK233" s="567"/>
      <c r="AL233" s="350"/>
      <c r="AM233" s="351"/>
      <c r="AN233" s="58"/>
      <c r="AO233" s="59"/>
      <c r="AP233" s="58"/>
      <c r="AQ233" s="59"/>
      <c r="AR233" s="58"/>
      <c r="AS233" s="59"/>
      <c r="AT233" s="58"/>
      <c r="AU233" s="59"/>
      <c r="AV233" s="58"/>
      <c r="AW233" s="59"/>
      <c r="AX233" s="58"/>
      <c r="AY233" s="59"/>
      <c r="AZ233" s="64"/>
      <c r="BA233" s="61"/>
      <c r="BB233" s="64"/>
      <c r="BC233" s="61"/>
      <c r="BD233" s="64"/>
      <c r="BE233" s="61"/>
      <c r="BF233" s="64"/>
      <c r="BG233" s="61"/>
      <c r="BH233" s="64"/>
      <c r="BI233" s="646" t="s">
        <v>298</v>
      </c>
      <c r="BJ233" s="350"/>
      <c r="BK233" s="350"/>
      <c r="BL233" s="350"/>
      <c r="BM233" s="350"/>
      <c r="BN233" s="350"/>
      <c r="BO233" s="350"/>
      <c r="BP233" s="350"/>
      <c r="BQ233" s="350"/>
      <c r="BR233" s="350"/>
      <c r="BS233" s="350"/>
      <c r="BT233" s="350"/>
      <c r="BU233" s="350"/>
      <c r="BV233" s="351"/>
    </row>
    <row r="234" spans="1:74" ht="30" customHeight="1">
      <c r="A234" s="63">
        <f t="shared" si="0"/>
        <v>220</v>
      </c>
      <c r="B234" s="56" t="s">
        <v>325</v>
      </c>
      <c r="C234" s="57"/>
      <c r="D234" s="644"/>
      <c r="E234" s="350"/>
      <c r="F234" s="350"/>
      <c r="G234" s="350"/>
      <c r="H234" s="350"/>
      <c r="I234" s="350"/>
      <c r="J234" s="350"/>
      <c r="K234" s="351"/>
      <c r="L234" s="643"/>
      <c r="M234" s="350"/>
      <c r="N234" s="350"/>
      <c r="O234" s="351"/>
      <c r="P234" s="644"/>
      <c r="Q234" s="350"/>
      <c r="R234" s="350"/>
      <c r="S234" s="351"/>
      <c r="T234" s="643"/>
      <c r="U234" s="350"/>
      <c r="V234" s="350"/>
      <c r="W234" s="351"/>
      <c r="X234" s="644"/>
      <c r="Y234" s="350"/>
      <c r="Z234" s="350"/>
      <c r="AA234" s="351"/>
      <c r="AB234" s="506"/>
      <c r="AC234" s="350"/>
      <c r="AD234" s="351"/>
      <c r="AE234" s="571"/>
      <c r="AF234" s="350"/>
      <c r="AG234" s="351"/>
      <c r="AH234" s="645"/>
      <c r="AI234" s="350"/>
      <c r="AJ234" s="351"/>
      <c r="AK234" s="567"/>
      <c r="AL234" s="350"/>
      <c r="AM234" s="351"/>
      <c r="AN234" s="58"/>
      <c r="AO234" s="59"/>
      <c r="AP234" s="58"/>
      <c r="AQ234" s="59"/>
      <c r="AR234" s="58"/>
      <c r="AS234" s="59"/>
      <c r="AT234" s="58"/>
      <c r="AU234" s="59"/>
      <c r="AV234" s="58"/>
      <c r="AW234" s="59"/>
      <c r="AX234" s="58"/>
      <c r="AY234" s="59"/>
      <c r="AZ234" s="64"/>
      <c r="BA234" s="61"/>
      <c r="BB234" s="64"/>
      <c r="BC234" s="61"/>
      <c r="BD234" s="64"/>
      <c r="BE234" s="61"/>
      <c r="BF234" s="64"/>
      <c r="BG234" s="61"/>
      <c r="BH234" s="64"/>
      <c r="BI234" s="646" t="s">
        <v>298</v>
      </c>
      <c r="BJ234" s="350"/>
      <c r="BK234" s="350"/>
      <c r="BL234" s="350"/>
      <c r="BM234" s="350"/>
      <c r="BN234" s="350"/>
      <c r="BO234" s="350"/>
      <c r="BP234" s="350"/>
      <c r="BQ234" s="350"/>
      <c r="BR234" s="350"/>
      <c r="BS234" s="350"/>
      <c r="BT234" s="350"/>
      <c r="BU234" s="350"/>
      <c r="BV234" s="351"/>
    </row>
    <row r="235" spans="1:74" ht="30" customHeight="1">
      <c r="A235" s="63">
        <f t="shared" si="0"/>
        <v>221</v>
      </c>
      <c r="B235" s="56" t="s">
        <v>325</v>
      </c>
      <c r="C235" s="57"/>
      <c r="D235" s="644"/>
      <c r="E235" s="350"/>
      <c r="F235" s="350"/>
      <c r="G235" s="350"/>
      <c r="H235" s="350"/>
      <c r="I235" s="350"/>
      <c r="J235" s="350"/>
      <c r="K235" s="351"/>
      <c r="L235" s="643"/>
      <c r="M235" s="350"/>
      <c r="N235" s="350"/>
      <c r="O235" s="351"/>
      <c r="P235" s="644"/>
      <c r="Q235" s="350"/>
      <c r="R235" s="350"/>
      <c r="S235" s="351"/>
      <c r="T235" s="643"/>
      <c r="U235" s="350"/>
      <c r="V235" s="350"/>
      <c r="W235" s="351"/>
      <c r="X235" s="644"/>
      <c r="Y235" s="350"/>
      <c r="Z235" s="350"/>
      <c r="AA235" s="351"/>
      <c r="AB235" s="506"/>
      <c r="AC235" s="350"/>
      <c r="AD235" s="351"/>
      <c r="AE235" s="571"/>
      <c r="AF235" s="350"/>
      <c r="AG235" s="351"/>
      <c r="AH235" s="645"/>
      <c r="AI235" s="350"/>
      <c r="AJ235" s="351"/>
      <c r="AK235" s="567"/>
      <c r="AL235" s="350"/>
      <c r="AM235" s="351"/>
      <c r="AN235" s="58"/>
      <c r="AO235" s="59"/>
      <c r="AP235" s="58"/>
      <c r="AQ235" s="59"/>
      <c r="AR235" s="58"/>
      <c r="AS235" s="59"/>
      <c r="AT235" s="58"/>
      <c r="AU235" s="59"/>
      <c r="AV235" s="58"/>
      <c r="AW235" s="59"/>
      <c r="AX235" s="58"/>
      <c r="AY235" s="59"/>
      <c r="AZ235" s="64"/>
      <c r="BA235" s="61"/>
      <c r="BB235" s="64"/>
      <c r="BC235" s="61"/>
      <c r="BD235" s="64"/>
      <c r="BE235" s="61"/>
      <c r="BF235" s="64"/>
      <c r="BG235" s="61"/>
      <c r="BH235" s="64"/>
      <c r="BI235" s="646" t="s">
        <v>294</v>
      </c>
      <c r="BJ235" s="350"/>
      <c r="BK235" s="350"/>
      <c r="BL235" s="350"/>
      <c r="BM235" s="350"/>
      <c r="BN235" s="350"/>
      <c r="BO235" s="350"/>
      <c r="BP235" s="350"/>
      <c r="BQ235" s="350"/>
      <c r="BR235" s="350"/>
      <c r="BS235" s="350"/>
      <c r="BT235" s="350"/>
      <c r="BU235" s="350"/>
      <c r="BV235" s="351"/>
    </row>
    <row r="236" spans="1:74" ht="30" customHeight="1">
      <c r="A236" s="63">
        <f t="shared" si="0"/>
        <v>222</v>
      </c>
      <c r="B236" s="56" t="s">
        <v>325</v>
      </c>
      <c r="C236" s="57"/>
      <c r="D236" s="644"/>
      <c r="E236" s="350"/>
      <c r="F236" s="350"/>
      <c r="G236" s="350"/>
      <c r="H236" s="350"/>
      <c r="I236" s="350"/>
      <c r="J236" s="350"/>
      <c r="K236" s="351"/>
      <c r="L236" s="643"/>
      <c r="M236" s="350"/>
      <c r="N236" s="350"/>
      <c r="O236" s="351"/>
      <c r="P236" s="644"/>
      <c r="Q236" s="350"/>
      <c r="R236" s="350"/>
      <c r="S236" s="351"/>
      <c r="T236" s="643"/>
      <c r="U236" s="350"/>
      <c r="V236" s="350"/>
      <c r="W236" s="351"/>
      <c r="X236" s="644"/>
      <c r="Y236" s="350"/>
      <c r="Z236" s="350"/>
      <c r="AA236" s="351"/>
      <c r="AB236" s="506"/>
      <c r="AC236" s="350"/>
      <c r="AD236" s="351"/>
      <c r="AE236" s="571"/>
      <c r="AF236" s="350"/>
      <c r="AG236" s="351"/>
      <c r="AH236" s="645"/>
      <c r="AI236" s="350"/>
      <c r="AJ236" s="351"/>
      <c r="AK236" s="567"/>
      <c r="AL236" s="350"/>
      <c r="AM236" s="351"/>
      <c r="AN236" s="58"/>
      <c r="AO236" s="59"/>
      <c r="AP236" s="58"/>
      <c r="AQ236" s="59"/>
      <c r="AR236" s="58"/>
      <c r="AS236" s="59"/>
      <c r="AT236" s="58"/>
      <c r="AU236" s="59"/>
      <c r="AV236" s="58"/>
      <c r="AW236" s="59"/>
      <c r="AX236" s="58"/>
      <c r="AY236" s="59"/>
      <c r="AZ236" s="64"/>
      <c r="BA236" s="61"/>
      <c r="BB236" s="64"/>
      <c r="BC236" s="61"/>
      <c r="BD236" s="64"/>
      <c r="BE236" s="61"/>
      <c r="BF236" s="64"/>
      <c r="BG236" s="61"/>
      <c r="BH236" s="64"/>
      <c r="BI236" s="646" t="s">
        <v>294</v>
      </c>
      <c r="BJ236" s="350"/>
      <c r="BK236" s="350"/>
      <c r="BL236" s="350"/>
      <c r="BM236" s="350"/>
      <c r="BN236" s="350"/>
      <c r="BO236" s="350"/>
      <c r="BP236" s="350"/>
      <c r="BQ236" s="350"/>
      <c r="BR236" s="350"/>
      <c r="BS236" s="350"/>
      <c r="BT236" s="350"/>
      <c r="BU236" s="350"/>
      <c r="BV236" s="351"/>
    </row>
    <row r="237" spans="1:74" ht="30" customHeight="1">
      <c r="A237" s="55">
        <f t="shared" si="0"/>
        <v>223</v>
      </c>
      <c r="B237" s="56" t="s">
        <v>325</v>
      </c>
      <c r="C237" s="57"/>
      <c r="D237" s="644"/>
      <c r="E237" s="350"/>
      <c r="F237" s="350"/>
      <c r="G237" s="350"/>
      <c r="H237" s="350"/>
      <c r="I237" s="350"/>
      <c r="J237" s="350"/>
      <c r="K237" s="351"/>
      <c r="L237" s="643"/>
      <c r="M237" s="350"/>
      <c r="N237" s="350"/>
      <c r="O237" s="351"/>
      <c r="P237" s="644"/>
      <c r="Q237" s="350"/>
      <c r="R237" s="350"/>
      <c r="S237" s="351"/>
      <c r="T237" s="643"/>
      <c r="U237" s="350"/>
      <c r="V237" s="350"/>
      <c r="W237" s="351"/>
      <c r="X237" s="644"/>
      <c r="Y237" s="350"/>
      <c r="Z237" s="350"/>
      <c r="AA237" s="351"/>
      <c r="AB237" s="506"/>
      <c r="AC237" s="350"/>
      <c r="AD237" s="351"/>
      <c r="AE237" s="571"/>
      <c r="AF237" s="350"/>
      <c r="AG237" s="351"/>
      <c r="AH237" s="645"/>
      <c r="AI237" s="350"/>
      <c r="AJ237" s="351"/>
      <c r="AK237" s="567"/>
      <c r="AL237" s="350"/>
      <c r="AM237" s="351"/>
      <c r="AN237" s="58"/>
      <c r="AO237" s="59"/>
      <c r="AP237" s="58"/>
      <c r="AQ237" s="59"/>
      <c r="AR237" s="58"/>
      <c r="AS237" s="59"/>
      <c r="AT237" s="58"/>
      <c r="AU237" s="59"/>
      <c r="AV237" s="58"/>
      <c r="AW237" s="59"/>
      <c r="AX237" s="58"/>
      <c r="AY237" s="59"/>
      <c r="AZ237" s="64"/>
      <c r="BA237" s="61"/>
      <c r="BB237" s="64"/>
      <c r="BC237" s="61"/>
      <c r="BD237" s="64"/>
      <c r="BE237" s="61"/>
      <c r="BF237" s="64"/>
      <c r="BG237" s="61"/>
      <c r="BH237" s="64"/>
      <c r="BI237" s="646" t="s">
        <v>298</v>
      </c>
      <c r="BJ237" s="350"/>
      <c r="BK237" s="350"/>
      <c r="BL237" s="350"/>
      <c r="BM237" s="350"/>
      <c r="BN237" s="350"/>
      <c r="BO237" s="350"/>
      <c r="BP237" s="350"/>
      <c r="BQ237" s="350"/>
      <c r="BR237" s="350"/>
      <c r="BS237" s="350"/>
      <c r="BT237" s="350"/>
      <c r="BU237" s="350"/>
      <c r="BV237" s="351"/>
    </row>
    <row r="238" spans="1:74" ht="30" customHeight="1">
      <c r="A238" s="63">
        <f t="shared" si="0"/>
        <v>224</v>
      </c>
      <c r="B238" s="56" t="s">
        <v>325</v>
      </c>
      <c r="C238" s="57"/>
      <c r="D238" s="644"/>
      <c r="E238" s="350"/>
      <c r="F238" s="350"/>
      <c r="G238" s="350"/>
      <c r="H238" s="350"/>
      <c r="I238" s="350"/>
      <c r="J238" s="350"/>
      <c r="K238" s="351"/>
      <c r="L238" s="643"/>
      <c r="M238" s="350"/>
      <c r="N238" s="350"/>
      <c r="O238" s="351"/>
      <c r="P238" s="644"/>
      <c r="Q238" s="350"/>
      <c r="R238" s="350"/>
      <c r="S238" s="351"/>
      <c r="T238" s="643"/>
      <c r="U238" s="350"/>
      <c r="V238" s="350"/>
      <c r="W238" s="351"/>
      <c r="X238" s="644"/>
      <c r="Y238" s="350"/>
      <c r="Z238" s="350"/>
      <c r="AA238" s="351"/>
      <c r="AB238" s="506"/>
      <c r="AC238" s="350"/>
      <c r="AD238" s="351"/>
      <c r="AE238" s="571"/>
      <c r="AF238" s="350"/>
      <c r="AG238" s="351"/>
      <c r="AH238" s="645"/>
      <c r="AI238" s="350"/>
      <c r="AJ238" s="351"/>
      <c r="AK238" s="567"/>
      <c r="AL238" s="350"/>
      <c r="AM238" s="351"/>
      <c r="AN238" s="58"/>
      <c r="AO238" s="59"/>
      <c r="AP238" s="58"/>
      <c r="AQ238" s="59"/>
      <c r="AR238" s="58"/>
      <c r="AS238" s="59"/>
      <c r="AT238" s="58"/>
      <c r="AU238" s="59"/>
      <c r="AV238" s="58"/>
      <c r="AW238" s="59"/>
      <c r="AX238" s="58"/>
      <c r="AY238" s="59"/>
      <c r="AZ238" s="64"/>
      <c r="BA238" s="61"/>
      <c r="BB238" s="64"/>
      <c r="BC238" s="61"/>
      <c r="BD238" s="64"/>
      <c r="BE238" s="61"/>
      <c r="BF238" s="64"/>
      <c r="BG238" s="61"/>
      <c r="BH238" s="64"/>
      <c r="BI238" s="646" t="s">
        <v>298</v>
      </c>
      <c r="BJ238" s="350"/>
      <c r="BK238" s="350"/>
      <c r="BL238" s="350"/>
      <c r="BM238" s="350"/>
      <c r="BN238" s="350"/>
      <c r="BO238" s="350"/>
      <c r="BP238" s="350"/>
      <c r="BQ238" s="350"/>
      <c r="BR238" s="350"/>
      <c r="BS238" s="350"/>
      <c r="BT238" s="350"/>
      <c r="BU238" s="350"/>
      <c r="BV238" s="351"/>
    </row>
    <row r="239" spans="1:74" ht="30" customHeight="1">
      <c r="A239" s="63">
        <f t="shared" si="0"/>
        <v>225</v>
      </c>
      <c r="B239" s="56" t="s">
        <v>325</v>
      </c>
      <c r="C239" s="57"/>
      <c r="D239" s="644"/>
      <c r="E239" s="350"/>
      <c r="F239" s="350"/>
      <c r="G239" s="350"/>
      <c r="H239" s="350"/>
      <c r="I239" s="350"/>
      <c r="J239" s="350"/>
      <c r="K239" s="351"/>
      <c r="L239" s="643"/>
      <c r="M239" s="350"/>
      <c r="N239" s="350"/>
      <c r="O239" s="351"/>
      <c r="P239" s="644"/>
      <c r="Q239" s="350"/>
      <c r="R239" s="350"/>
      <c r="S239" s="351"/>
      <c r="T239" s="643"/>
      <c r="U239" s="350"/>
      <c r="V239" s="350"/>
      <c r="W239" s="351"/>
      <c r="X239" s="644"/>
      <c r="Y239" s="350"/>
      <c r="Z239" s="350"/>
      <c r="AA239" s="351"/>
      <c r="AB239" s="506"/>
      <c r="AC239" s="350"/>
      <c r="AD239" s="351"/>
      <c r="AE239" s="571"/>
      <c r="AF239" s="350"/>
      <c r="AG239" s="351"/>
      <c r="AH239" s="645"/>
      <c r="AI239" s="350"/>
      <c r="AJ239" s="351"/>
      <c r="AK239" s="567"/>
      <c r="AL239" s="350"/>
      <c r="AM239" s="351"/>
      <c r="AN239" s="58"/>
      <c r="AO239" s="59"/>
      <c r="AP239" s="58"/>
      <c r="AQ239" s="59"/>
      <c r="AR239" s="58"/>
      <c r="AS239" s="59"/>
      <c r="AT239" s="58"/>
      <c r="AU239" s="59"/>
      <c r="AV239" s="58"/>
      <c r="AW239" s="59"/>
      <c r="AX239" s="58"/>
      <c r="AY239" s="59"/>
      <c r="AZ239" s="64"/>
      <c r="BA239" s="61"/>
      <c r="BB239" s="64"/>
      <c r="BC239" s="61"/>
      <c r="BD239" s="64"/>
      <c r="BE239" s="61"/>
      <c r="BF239" s="64"/>
      <c r="BG239" s="61"/>
      <c r="BH239" s="64"/>
      <c r="BI239" s="646" t="s">
        <v>298</v>
      </c>
      <c r="BJ239" s="350"/>
      <c r="BK239" s="350"/>
      <c r="BL239" s="350"/>
      <c r="BM239" s="350"/>
      <c r="BN239" s="350"/>
      <c r="BO239" s="350"/>
      <c r="BP239" s="350"/>
      <c r="BQ239" s="350"/>
      <c r="BR239" s="350"/>
      <c r="BS239" s="350"/>
      <c r="BT239" s="350"/>
      <c r="BU239" s="350"/>
      <c r="BV239" s="351"/>
    </row>
    <row r="240" spans="1:74" ht="30" customHeight="1">
      <c r="A240" s="63">
        <f t="shared" si="0"/>
        <v>226</v>
      </c>
      <c r="B240" s="56" t="s">
        <v>325</v>
      </c>
      <c r="C240" s="57"/>
      <c r="D240" s="644"/>
      <c r="E240" s="350"/>
      <c r="F240" s="350"/>
      <c r="G240" s="350"/>
      <c r="H240" s="350"/>
      <c r="I240" s="350"/>
      <c r="J240" s="350"/>
      <c r="K240" s="351"/>
      <c r="L240" s="643"/>
      <c r="M240" s="350"/>
      <c r="N240" s="350"/>
      <c r="O240" s="351"/>
      <c r="P240" s="644"/>
      <c r="Q240" s="350"/>
      <c r="R240" s="350"/>
      <c r="S240" s="351"/>
      <c r="T240" s="643"/>
      <c r="U240" s="350"/>
      <c r="V240" s="350"/>
      <c r="W240" s="351"/>
      <c r="X240" s="644"/>
      <c r="Y240" s="350"/>
      <c r="Z240" s="350"/>
      <c r="AA240" s="351"/>
      <c r="AB240" s="506"/>
      <c r="AC240" s="350"/>
      <c r="AD240" s="351"/>
      <c r="AE240" s="571"/>
      <c r="AF240" s="350"/>
      <c r="AG240" s="351"/>
      <c r="AH240" s="645"/>
      <c r="AI240" s="350"/>
      <c r="AJ240" s="351"/>
      <c r="AK240" s="567"/>
      <c r="AL240" s="350"/>
      <c r="AM240" s="351"/>
      <c r="AN240" s="58"/>
      <c r="AO240" s="59"/>
      <c r="AP240" s="58"/>
      <c r="AQ240" s="59"/>
      <c r="AR240" s="58"/>
      <c r="AS240" s="59"/>
      <c r="AT240" s="58"/>
      <c r="AU240" s="59"/>
      <c r="AV240" s="58"/>
      <c r="AW240" s="59"/>
      <c r="AX240" s="58"/>
      <c r="AY240" s="59"/>
      <c r="AZ240" s="64"/>
      <c r="BA240" s="61"/>
      <c r="BB240" s="64"/>
      <c r="BC240" s="61"/>
      <c r="BD240" s="64"/>
      <c r="BE240" s="61"/>
      <c r="BF240" s="64"/>
      <c r="BG240" s="61"/>
      <c r="BH240" s="64"/>
      <c r="BI240" s="646" t="s">
        <v>298</v>
      </c>
      <c r="BJ240" s="350"/>
      <c r="BK240" s="350"/>
      <c r="BL240" s="350"/>
      <c r="BM240" s="350"/>
      <c r="BN240" s="350"/>
      <c r="BO240" s="350"/>
      <c r="BP240" s="350"/>
      <c r="BQ240" s="350"/>
      <c r="BR240" s="350"/>
      <c r="BS240" s="350"/>
      <c r="BT240" s="350"/>
      <c r="BU240" s="350"/>
      <c r="BV240" s="351"/>
    </row>
    <row r="241" spans="1:74" ht="30" customHeight="1">
      <c r="A241" s="63">
        <f t="shared" si="0"/>
        <v>227</v>
      </c>
      <c r="B241" s="56" t="s">
        <v>325</v>
      </c>
      <c r="C241" s="57"/>
      <c r="D241" s="644"/>
      <c r="E241" s="350"/>
      <c r="F241" s="350"/>
      <c r="G241" s="350"/>
      <c r="H241" s="350"/>
      <c r="I241" s="350"/>
      <c r="J241" s="350"/>
      <c r="K241" s="351"/>
      <c r="L241" s="643"/>
      <c r="M241" s="350"/>
      <c r="N241" s="350"/>
      <c r="O241" s="351"/>
      <c r="P241" s="644"/>
      <c r="Q241" s="350"/>
      <c r="R241" s="350"/>
      <c r="S241" s="351"/>
      <c r="T241" s="643"/>
      <c r="U241" s="350"/>
      <c r="V241" s="350"/>
      <c r="W241" s="351"/>
      <c r="X241" s="644"/>
      <c r="Y241" s="350"/>
      <c r="Z241" s="350"/>
      <c r="AA241" s="351"/>
      <c r="AB241" s="506"/>
      <c r="AC241" s="350"/>
      <c r="AD241" s="351"/>
      <c r="AE241" s="571"/>
      <c r="AF241" s="350"/>
      <c r="AG241" s="351"/>
      <c r="AH241" s="645"/>
      <c r="AI241" s="350"/>
      <c r="AJ241" s="351"/>
      <c r="AK241" s="567"/>
      <c r="AL241" s="350"/>
      <c r="AM241" s="351"/>
      <c r="AN241" s="58"/>
      <c r="AO241" s="59"/>
      <c r="AP241" s="58"/>
      <c r="AQ241" s="59"/>
      <c r="AR241" s="58"/>
      <c r="AS241" s="59"/>
      <c r="AT241" s="58"/>
      <c r="AU241" s="59"/>
      <c r="AV241" s="58"/>
      <c r="AW241" s="59"/>
      <c r="AX241" s="58"/>
      <c r="AY241" s="59"/>
      <c r="AZ241" s="64"/>
      <c r="BA241" s="61"/>
      <c r="BB241" s="64"/>
      <c r="BC241" s="61"/>
      <c r="BD241" s="64"/>
      <c r="BE241" s="61"/>
      <c r="BF241" s="64"/>
      <c r="BG241" s="61"/>
      <c r="BH241" s="64"/>
      <c r="BI241" s="646" t="s">
        <v>298</v>
      </c>
      <c r="BJ241" s="350"/>
      <c r="BK241" s="350"/>
      <c r="BL241" s="350"/>
      <c r="BM241" s="350"/>
      <c r="BN241" s="350"/>
      <c r="BO241" s="350"/>
      <c r="BP241" s="350"/>
      <c r="BQ241" s="350"/>
      <c r="BR241" s="350"/>
      <c r="BS241" s="350"/>
      <c r="BT241" s="350"/>
      <c r="BU241" s="350"/>
      <c r="BV241" s="351"/>
    </row>
    <row r="242" spans="1:74" ht="30" customHeight="1">
      <c r="A242" s="63">
        <f t="shared" si="0"/>
        <v>228</v>
      </c>
      <c r="B242" s="56" t="s">
        <v>325</v>
      </c>
      <c r="C242" s="57"/>
      <c r="D242" s="644"/>
      <c r="E242" s="350"/>
      <c r="F242" s="350"/>
      <c r="G242" s="350"/>
      <c r="H242" s="350"/>
      <c r="I242" s="350"/>
      <c r="J242" s="350"/>
      <c r="K242" s="351"/>
      <c r="L242" s="643"/>
      <c r="M242" s="350"/>
      <c r="N242" s="350"/>
      <c r="O242" s="351"/>
      <c r="P242" s="644"/>
      <c r="Q242" s="350"/>
      <c r="R242" s="350"/>
      <c r="S242" s="351"/>
      <c r="T242" s="643"/>
      <c r="U242" s="350"/>
      <c r="V242" s="350"/>
      <c r="W242" s="351"/>
      <c r="X242" s="644"/>
      <c r="Y242" s="350"/>
      <c r="Z242" s="350"/>
      <c r="AA242" s="351"/>
      <c r="AB242" s="506"/>
      <c r="AC242" s="350"/>
      <c r="AD242" s="351"/>
      <c r="AE242" s="571"/>
      <c r="AF242" s="350"/>
      <c r="AG242" s="351"/>
      <c r="AH242" s="645"/>
      <c r="AI242" s="350"/>
      <c r="AJ242" s="351"/>
      <c r="AK242" s="567"/>
      <c r="AL242" s="350"/>
      <c r="AM242" s="351"/>
      <c r="AN242" s="58"/>
      <c r="AO242" s="59"/>
      <c r="AP242" s="58"/>
      <c r="AQ242" s="59"/>
      <c r="AR242" s="58"/>
      <c r="AS242" s="59"/>
      <c r="AT242" s="58"/>
      <c r="AU242" s="59"/>
      <c r="AV242" s="58"/>
      <c r="AW242" s="59"/>
      <c r="AX242" s="58"/>
      <c r="AY242" s="59"/>
      <c r="AZ242" s="64"/>
      <c r="BA242" s="61"/>
      <c r="BB242" s="64"/>
      <c r="BC242" s="61"/>
      <c r="BD242" s="64"/>
      <c r="BE242" s="61"/>
      <c r="BF242" s="64"/>
      <c r="BG242" s="61"/>
      <c r="BH242" s="64"/>
      <c r="BI242" s="646" t="s">
        <v>294</v>
      </c>
      <c r="BJ242" s="350"/>
      <c r="BK242" s="350"/>
      <c r="BL242" s="350"/>
      <c r="BM242" s="350"/>
      <c r="BN242" s="350"/>
      <c r="BO242" s="350"/>
      <c r="BP242" s="350"/>
      <c r="BQ242" s="350"/>
      <c r="BR242" s="350"/>
      <c r="BS242" s="350"/>
      <c r="BT242" s="350"/>
      <c r="BU242" s="350"/>
      <c r="BV242" s="351"/>
    </row>
    <row r="243" spans="1:74" ht="30" customHeight="1">
      <c r="A243" s="63">
        <f t="shared" si="0"/>
        <v>229</v>
      </c>
      <c r="B243" s="56" t="s">
        <v>325</v>
      </c>
      <c r="C243" s="57"/>
      <c r="D243" s="644"/>
      <c r="E243" s="350"/>
      <c r="F243" s="350"/>
      <c r="G243" s="350"/>
      <c r="H243" s="350"/>
      <c r="I243" s="350"/>
      <c r="J243" s="350"/>
      <c r="K243" s="351"/>
      <c r="L243" s="643"/>
      <c r="M243" s="350"/>
      <c r="N243" s="350"/>
      <c r="O243" s="351"/>
      <c r="P243" s="644"/>
      <c r="Q243" s="350"/>
      <c r="R243" s="350"/>
      <c r="S243" s="351"/>
      <c r="T243" s="643"/>
      <c r="U243" s="350"/>
      <c r="V243" s="350"/>
      <c r="W243" s="351"/>
      <c r="X243" s="644"/>
      <c r="Y243" s="350"/>
      <c r="Z243" s="350"/>
      <c r="AA243" s="351"/>
      <c r="AB243" s="506"/>
      <c r="AC243" s="350"/>
      <c r="AD243" s="351"/>
      <c r="AE243" s="571"/>
      <c r="AF243" s="350"/>
      <c r="AG243" s="351"/>
      <c r="AH243" s="645"/>
      <c r="AI243" s="350"/>
      <c r="AJ243" s="351"/>
      <c r="AK243" s="567"/>
      <c r="AL243" s="350"/>
      <c r="AM243" s="351"/>
      <c r="AN243" s="58"/>
      <c r="AO243" s="59"/>
      <c r="AP243" s="58"/>
      <c r="AQ243" s="59"/>
      <c r="AR243" s="58"/>
      <c r="AS243" s="59"/>
      <c r="AT243" s="58"/>
      <c r="AU243" s="59"/>
      <c r="AV243" s="58"/>
      <c r="AW243" s="59"/>
      <c r="AX243" s="58"/>
      <c r="AY243" s="59"/>
      <c r="AZ243" s="64"/>
      <c r="BA243" s="61"/>
      <c r="BB243" s="64"/>
      <c r="BC243" s="61"/>
      <c r="BD243" s="64"/>
      <c r="BE243" s="61"/>
      <c r="BF243" s="64"/>
      <c r="BG243" s="61"/>
      <c r="BH243" s="64"/>
      <c r="BI243" s="646" t="s">
        <v>294</v>
      </c>
      <c r="BJ243" s="350"/>
      <c r="BK243" s="350"/>
      <c r="BL243" s="350"/>
      <c r="BM243" s="350"/>
      <c r="BN243" s="350"/>
      <c r="BO243" s="350"/>
      <c r="BP243" s="350"/>
      <c r="BQ243" s="350"/>
      <c r="BR243" s="350"/>
      <c r="BS243" s="350"/>
      <c r="BT243" s="350"/>
      <c r="BU243" s="350"/>
      <c r="BV243" s="351"/>
    </row>
    <row r="244" spans="1:74" ht="30" customHeight="1">
      <c r="A244" s="55">
        <f t="shared" si="0"/>
        <v>230</v>
      </c>
      <c r="B244" s="56" t="s">
        <v>325</v>
      </c>
      <c r="C244" s="57"/>
      <c r="D244" s="644"/>
      <c r="E244" s="350"/>
      <c r="F244" s="350"/>
      <c r="G244" s="350"/>
      <c r="H244" s="350"/>
      <c r="I244" s="350"/>
      <c r="J244" s="350"/>
      <c r="K244" s="351"/>
      <c r="L244" s="643"/>
      <c r="M244" s="350"/>
      <c r="N244" s="350"/>
      <c r="O244" s="351"/>
      <c r="P244" s="644"/>
      <c r="Q244" s="350"/>
      <c r="R244" s="350"/>
      <c r="S244" s="351"/>
      <c r="T244" s="643"/>
      <c r="U244" s="350"/>
      <c r="V244" s="350"/>
      <c r="W244" s="351"/>
      <c r="X244" s="644"/>
      <c r="Y244" s="350"/>
      <c r="Z244" s="350"/>
      <c r="AA244" s="351"/>
      <c r="AB244" s="506"/>
      <c r="AC244" s="350"/>
      <c r="AD244" s="351"/>
      <c r="AE244" s="571"/>
      <c r="AF244" s="350"/>
      <c r="AG244" s="351"/>
      <c r="AH244" s="645"/>
      <c r="AI244" s="350"/>
      <c r="AJ244" s="351"/>
      <c r="AK244" s="567"/>
      <c r="AL244" s="350"/>
      <c r="AM244" s="351"/>
      <c r="AN244" s="58"/>
      <c r="AO244" s="59"/>
      <c r="AP244" s="58"/>
      <c r="AQ244" s="59"/>
      <c r="AR244" s="58"/>
      <c r="AS244" s="59"/>
      <c r="AT244" s="58"/>
      <c r="AU244" s="59"/>
      <c r="AV244" s="58"/>
      <c r="AW244" s="59"/>
      <c r="AX244" s="58"/>
      <c r="AY244" s="59"/>
      <c r="AZ244" s="64"/>
      <c r="BA244" s="61"/>
      <c r="BB244" s="64"/>
      <c r="BC244" s="61"/>
      <c r="BD244" s="64"/>
      <c r="BE244" s="61"/>
      <c r="BF244" s="64"/>
      <c r="BG244" s="61"/>
      <c r="BH244" s="64"/>
      <c r="BI244" s="646" t="s">
        <v>298</v>
      </c>
      <c r="BJ244" s="350"/>
      <c r="BK244" s="350"/>
      <c r="BL244" s="350"/>
      <c r="BM244" s="350"/>
      <c r="BN244" s="350"/>
      <c r="BO244" s="350"/>
      <c r="BP244" s="350"/>
      <c r="BQ244" s="350"/>
      <c r="BR244" s="350"/>
      <c r="BS244" s="350"/>
      <c r="BT244" s="350"/>
      <c r="BU244" s="350"/>
      <c r="BV244" s="351"/>
    </row>
    <row r="245" spans="1:74" ht="30" customHeight="1">
      <c r="A245" s="63">
        <f t="shared" si="0"/>
        <v>231</v>
      </c>
      <c r="B245" s="56" t="s">
        <v>325</v>
      </c>
      <c r="C245" s="57"/>
      <c r="D245" s="644"/>
      <c r="E245" s="350"/>
      <c r="F245" s="350"/>
      <c r="G245" s="350"/>
      <c r="H245" s="350"/>
      <c r="I245" s="350"/>
      <c r="J245" s="350"/>
      <c r="K245" s="351"/>
      <c r="L245" s="643"/>
      <c r="M245" s="350"/>
      <c r="N245" s="350"/>
      <c r="O245" s="351"/>
      <c r="P245" s="644"/>
      <c r="Q245" s="350"/>
      <c r="R245" s="350"/>
      <c r="S245" s="351"/>
      <c r="T245" s="643"/>
      <c r="U245" s="350"/>
      <c r="V245" s="350"/>
      <c r="W245" s="351"/>
      <c r="X245" s="644"/>
      <c r="Y245" s="350"/>
      <c r="Z245" s="350"/>
      <c r="AA245" s="351"/>
      <c r="AB245" s="506"/>
      <c r="AC245" s="350"/>
      <c r="AD245" s="351"/>
      <c r="AE245" s="571"/>
      <c r="AF245" s="350"/>
      <c r="AG245" s="351"/>
      <c r="AH245" s="645"/>
      <c r="AI245" s="350"/>
      <c r="AJ245" s="351"/>
      <c r="AK245" s="567"/>
      <c r="AL245" s="350"/>
      <c r="AM245" s="351"/>
      <c r="AN245" s="58"/>
      <c r="AO245" s="59"/>
      <c r="AP245" s="58"/>
      <c r="AQ245" s="59"/>
      <c r="AR245" s="58"/>
      <c r="AS245" s="59"/>
      <c r="AT245" s="58"/>
      <c r="AU245" s="59"/>
      <c r="AV245" s="58"/>
      <c r="AW245" s="59"/>
      <c r="AX245" s="58"/>
      <c r="AY245" s="59"/>
      <c r="AZ245" s="64"/>
      <c r="BA245" s="61"/>
      <c r="BB245" s="64"/>
      <c r="BC245" s="61"/>
      <c r="BD245" s="64"/>
      <c r="BE245" s="61"/>
      <c r="BF245" s="64"/>
      <c r="BG245" s="61"/>
      <c r="BH245" s="64"/>
      <c r="BI245" s="646" t="s">
        <v>298</v>
      </c>
      <c r="BJ245" s="350"/>
      <c r="BK245" s="350"/>
      <c r="BL245" s="350"/>
      <c r="BM245" s="350"/>
      <c r="BN245" s="350"/>
      <c r="BO245" s="350"/>
      <c r="BP245" s="350"/>
      <c r="BQ245" s="350"/>
      <c r="BR245" s="350"/>
      <c r="BS245" s="350"/>
      <c r="BT245" s="350"/>
      <c r="BU245" s="350"/>
      <c r="BV245" s="351"/>
    </row>
    <row r="246" spans="1:74" ht="30" customHeight="1">
      <c r="A246" s="63">
        <f t="shared" si="0"/>
        <v>232</v>
      </c>
      <c r="B246" s="56" t="s">
        <v>325</v>
      </c>
      <c r="C246" s="57"/>
      <c r="D246" s="644"/>
      <c r="E246" s="350"/>
      <c r="F246" s="350"/>
      <c r="G246" s="350"/>
      <c r="H246" s="350"/>
      <c r="I246" s="350"/>
      <c r="J246" s="350"/>
      <c r="K246" s="351"/>
      <c r="L246" s="643"/>
      <c r="M246" s="350"/>
      <c r="N246" s="350"/>
      <c r="O246" s="351"/>
      <c r="P246" s="644"/>
      <c r="Q246" s="350"/>
      <c r="R246" s="350"/>
      <c r="S246" s="351"/>
      <c r="T246" s="643"/>
      <c r="U246" s="350"/>
      <c r="V246" s="350"/>
      <c r="W246" s="351"/>
      <c r="X246" s="644"/>
      <c r="Y246" s="350"/>
      <c r="Z246" s="350"/>
      <c r="AA246" s="351"/>
      <c r="AB246" s="506"/>
      <c r="AC246" s="350"/>
      <c r="AD246" s="351"/>
      <c r="AE246" s="571"/>
      <c r="AF246" s="350"/>
      <c r="AG246" s="351"/>
      <c r="AH246" s="645"/>
      <c r="AI246" s="350"/>
      <c r="AJ246" s="351"/>
      <c r="AK246" s="567"/>
      <c r="AL246" s="350"/>
      <c r="AM246" s="351"/>
      <c r="AN246" s="58"/>
      <c r="AO246" s="59"/>
      <c r="AP246" s="58"/>
      <c r="AQ246" s="59"/>
      <c r="AR246" s="58"/>
      <c r="AS246" s="59"/>
      <c r="AT246" s="58"/>
      <c r="AU246" s="59"/>
      <c r="AV246" s="58"/>
      <c r="AW246" s="59"/>
      <c r="AX246" s="58"/>
      <c r="AY246" s="59"/>
      <c r="AZ246" s="64"/>
      <c r="BA246" s="61"/>
      <c r="BB246" s="64"/>
      <c r="BC246" s="61"/>
      <c r="BD246" s="64"/>
      <c r="BE246" s="61"/>
      <c r="BF246" s="64"/>
      <c r="BG246" s="61"/>
      <c r="BH246" s="64"/>
      <c r="BI246" s="646" t="s">
        <v>298</v>
      </c>
      <c r="BJ246" s="350"/>
      <c r="BK246" s="350"/>
      <c r="BL246" s="350"/>
      <c r="BM246" s="350"/>
      <c r="BN246" s="350"/>
      <c r="BO246" s="350"/>
      <c r="BP246" s="350"/>
      <c r="BQ246" s="350"/>
      <c r="BR246" s="350"/>
      <c r="BS246" s="350"/>
      <c r="BT246" s="350"/>
      <c r="BU246" s="350"/>
      <c r="BV246" s="351"/>
    </row>
    <row r="247" spans="1:74" ht="30" customHeight="1">
      <c r="A247" s="63">
        <f t="shared" si="0"/>
        <v>233</v>
      </c>
      <c r="B247" s="56" t="s">
        <v>325</v>
      </c>
      <c r="C247" s="57"/>
      <c r="D247" s="644"/>
      <c r="E247" s="350"/>
      <c r="F247" s="350"/>
      <c r="G247" s="350"/>
      <c r="H247" s="350"/>
      <c r="I247" s="350"/>
      <c r="J247" s="350"/>
      <c r="K247" s="351"/>
      <c r="L247" s="643"/>
      <c r="M247" s="350"/>
      <c r="N247" s="350"/>
      <c r="O247" s="351"/>
      <c r="P247" s="644"/>
      <c r="Q247" s="350"/>
      <c r="R247" s="350"/>
      <c r="S247" s="351"/>
      <c r="T247" s="643"/>
      <c r="U247" s="350"/>
      <c r="V247" s="350"/>
      <c r="W247" s="351"/>
      <c r="X247" s="644"/>
      <c r="Y247" s="350"/>
      <c r="Z247" s="350"/>
      <c r="AA247" s="351"/>
      <c r="AB247" s="506"/>
      <c r="AC247" s="350"/>
      <c r="AD247" s="351"/>
      <c r="AE247" s="571"/>
      <c r="AF247" s="350"/>
      <c r="AG247" s="351"/>
      <c r="AH247" s="645"/>
      <c r="AI247" s="350"/>
      <c r="AJ247" s="351"/>
      <c r="AK247" s="567"/>
      <c r="AL247" s="350"/>
      <c r="AM247" s="351"/>
      <c r="AN247" s="58"/>
      <c r="AO247" s="59"/>
      <c r="AP247" s="58"/>
      <c r="AQ247" s="59"/>
      <c r="AR247" s="58"/>
      <c r="AS247" s="59"/>
      <c r="AT247" s="58"/>
      <c r="AU247" s="59"/>
      <c r="AV247" s="58"/>
      <c r="AW247" s="59"/>
      <c r="AX247" s="58"/>
      <c r="AY247" s="59"/>
      <c r="AZ247" s="64"/>
      <c r="BA247" s="61"/>
      <c r="BB247" s="64"/>
      <c r="BC247" s="61"/>
      <c r="BD247" s="64"/>
      <c r="BE247" s="61"/>
      <c r="BF247" s="64"/>
      <c r="BG247" s="61"/>
      <c r="BH247" s="64"/>
      <c r="BI247" s="646" t="s">
        <v>298</v>
      </c>
      <c r="BJ247" s="350"/>
      <c r="BK247" s="350"/>
      <c r="BL247" s="350"/>
      <c r="BM247" s="350"/>
      <c r="BN247" s="350"/>
      <c r="BO247" s="350"/>
      <c r="BP247" s="350"/>
      <c r="BQ247" s="350"/>
      <c r="BR247" s="350"/>
      <c r="BS247" s="350"/>
      <c r="BT247" s="350"/>
      <c r="BU247" s="350"/>
      <c r="BV247" s="351"/>
    </row>
    <row r="248" spans="1:74" ht="30" customHeight="1">
      <c r="A248" s="63">
        <f t="shared" si="0"/>
        <v>234</v>
      </c>
      <c r="B248" s="56" t="s">
        <v>325</v>
      </c>
      <c r="C248" s="57"/>
      <c r="D248" s="644"/>
      <c r="E248" s="350"/>
      <c r="F248" s="350"/>
      <c r="G248" s="350"/>
      <c r="H248" s="350"/>
      <c r="I248" s="350"/>
      <c r="J248" s="350"/>
      <c r="K248" s="351"/>
      <c r="L248" s="643"/>
      <c r="M248" s="350"/>
      <c r="N248" s="350"/>
      <c r="O248" s="351"/>
      <c r="P248" s="644"/>
      <c r="Q248" s="350"/>
      <c r="R248" s="350"/>
      <c r="S248" s="351"/>
      <c r="T248" s="643"/>
      <c r="U248" s="350"/>
      <c r="V248" s="350"/>
      <c r="W248" s="351"/>
      <c r="X248" s="644"/>
      <c r="Y248" s="350"/>
      <c r="Z248" s="350"/>
      <c r="AA248" s="351"/>
      <c r="AB248" s="506"/>
      <c r="AC248" s="350"/>
      <c r="AD248" s="351"/>
      <c r="AE248" s="571"/>
      <c r="AF248" s="350"/>
      <c r="AG248" s="351"/>
      <c r="AH248" s="645"/>
      <c r="AI248" s="350"/>
      <c r="AJ248" s="351"/>
      <c r="AK248" s="567"/>
      <c r="AL248" s="350"/>
      <c r="AM248" s="351"/>
      <c r="AN248" s="58"/>
      <c r="AO248" s="59"/>
      <c r="AP248" s="58"/>
      <c r="AQ248" s="59"/>
      <c r="AR248" s="58"/>
      <c r="AS248" s="59"/>
      <c r="AT248" s="58"/>
      <c r="AU248" s="59"/>
      <c r="AV248" s="58"/>
      <c r="AW248" s="59"/>
      <c r="AX248" s="58"/>
      <c r="AY248" s="59"/>
      <c r="AZ248" s="64"/>
      <c r="BA248" s="61"/>
      <c r="BB248" s="64"/>
      <c r="BC248" s="61"/>
      <c r="BD248" s="64"/>
      <c r="BE248" s="61"/>
      <c r="BF248" s="64"/>
      <c r="BG248" s="61"/>
      <c r="BH248" s="64"/>
      <c r="BI248" s="646" t="s">
        <v>298</v>
      </c>
      <c r="BJ248" s="350"/>
      <c r="BK248" s="350"/>
      <c r="BL248" s="350"/>
      <c r="BM248" s="350"/>
      <c r="BN248" s="350"/>
      <c r="BO248" s="350"/>
      <c r="BP248" s="350"/>
      <c r="BQ248" s="350"/>
      <c r="BR248" s="350"/>
      <c r="BS248" s="350"/>
      <c r="BT248" s="350"/>
      <c r="BU248" s="350"/>
      <c r="BV248" s="351"/>
    </row>
    <row r="249" spans="1:74" ht="30" customHeight="1">
      <c r="A249" s="63">
        <f t="shared" si="0"/>
        <v>235</v>
      </c>
      <c r="B249" s="56" t="s">
        <v>325</v>
      </c>
      <c r="C249" s="57"/>
      <c r="D249" s="644"/>
      <c r="E249" s="350"/>
      <c r="F249" s="350"/>
      <c r="G249" s="350"/>
      <c r="H249" s="350"/>
      <c r="I249" s="350"/>
      <c r="J249" s="350"/>
      <c r="K249" s="351"/>
      <c r="L249" s="643"/>
      <c r="M249" s="350"/>
      <c r="N249" s="350"/>
      <c r="O249" s="351"/>
      <c r="P249" s="644"/>
      <c r="Q249" s="350"/>
      <c r="R249" s="350"/>
      <c r="S249" s="351"/>
      <c r="T249" s="643"/>
      <c r="U249" s="350"/>
      <c r="V249" s="350"/>
      <c r="W249" s="351"/>
      <c r="X249" s="644"/>
      <c r="Y249" s="350"/>
      <c r="Z249" s="350"/>
      <c r="AA249" s="351"/>
      <c r="AB249" s="506"/>
      <c r="AC249" s="350"/>
      <c r="AD249" s="351"/>
      <c r="AE249" s="571"/>
      <c r="AF249" s="350"/>
      <c r="AG249" s="351"/>
      <c r="AH249" s="645"/>
      <c r="AI249" s="350"/>
      <c r="AJ249" s="351"/>
      <c r="AK249" s="567"/>
      <c r="AL249" s="350"/>
      <c r="AM249" s="351"/>
      <c r="AN249" s="58"/>
      <c r="AO249" s="59"/>
      <c r="AP249" s="58"/>
      <c r="AQ249" s="59"/>
      <c r="AR249" s="58"/>
      <c r="AS249" s="59"/>
      <c r="AT249" s="58"/>
      <c r="AU249" s="59"/>
      <c r="AV249" s="58"/>
      <c r="AW249" s="59"/>
      <c r="AX249" s="58"/>
      <c r="AY249" s="59"/>
      <c r="AZ249" s="64"/>
      <c r="BA249" s="61"/>
      <c r="BB249" s="64"/>
      <c r="BC249" s="61"/>
      <c r="BD249" s="64"/>
      <c r="BE249" s="61"/>
      <c r="BF249" s="64"/>
      <c r="BG249" s="61"/>
      <c r="BH249" s="64"/>
      <c r="BI249" s="646" t="s">
        <v>294</v>
      </c>
      <c r="BJ249" s="350"/>
      <c r="BK249" s="350"/>
      <c r="BL249" s="350"/>
      <c r="BM249" s="350"/>
      <c r="BN249" s="350"/>
      <c r="BO249" s="350"/>
      <c r="BP249" s="350"/>
      <c r="BQ249" s="350"/>
      <c r="BR249" s="350"/>
      <c r="BS249" s="350"/>
      <c r="BT249" s="350"/>
      <c r="BU249" s="350"/>
      <c r="BV249" s="351"/>
    </row>
    <row r="250" spans="1:74" ht="30" customHeight="1">
      <c r="A250" s="63">
        <f t="shared" si="0"/>
        <v>236</v>
      </c>
      <c r="B250" s="56" t="s">
        <v>325</v>
      </c>
      <c r="C250" s="57"/>
      <c r="D250" s="644"/>
      <c r="E250" s="350"/>
      <c r="F250" s="350"/>
      <c r="G250" s="350"/>
      <c r="H250" s="350"/>
      <c r="I250" s="350"/>
      <c r="J250" s="350"/>
      <c r="K250" s="351"/>
      <c r="L250" s="643"/>
      <c r="M250" s="350"/>
      <c r="N250" s="350"/>
      <c r="O250" s="351"/>
      <c r="P250" s="644"/>
      <c r="Q250" s="350"/>
      <c r="R250" s="350"/>
      <c r="S250" s="351"/>
      <c r="T250" s="643"/>
      <c r="U250" s="350"/>
      <c r="V250" s="350"/>
      <c r="W250" s="351"/>
      <c r="X250" s="644"/>
      <c r="Y250" s="350"/>
      <c r="Z250" s="350"/>
      <c r="AA250" s="351"/>
      <c r="AB250" s="506"/>
      <c r="AC250" s="350"/>
      <c r="AD250" s="351"/>
      <c r="AE250" s="571"/>
      <c r="AF250" s="350"/>
      <c r="AG250" s="351"/>
      <c r="AH250" s="645"/>
      <c r="AI250" s="350"/>
      <c r="AJ250" s="351"/>
      <c r="AK250" s="567"/>
      <c r="AL250" s="350"/>
      <c r="AM250" s="351"/>
      <c r="AN250" s="58"/>
      <c r="AO250" s="59"/>
      <c r="AP250" s="58"/>
      <c r="AQ250" s="59"/>
      <c r="AR250" s="58"/>
      <c r="AS250" s="59"/>
      <c r="AT250" s="58"/>
      <c r="AU250" s="59"/>
      <c r="AV250" s="58"/>
      <c r="AW250" s="59"/>
      <c r="AX250" s="58"/>
      <c r="AY250" s="59"/>
      <c r="AZ250" s="64"/>
      <c r="BA250" s="61"/>
      <c r="BB250" s="64"/>
      <c r="BC250" s="61"/>
      <c r="BD250" s="64"/>
      <c r="BE250" s="61"/>
      <c r="BF250" s="64"/>
      <c r="BG250" s="61"/>
      <c r="BH250" s="64"/>
      <c r="BI250" s="646" t="s">
        <v>294</v>
      </c>
      <c r="BJ250" s="350"/>
      <c r="BK250" s="350"/>
      <c r="BL250" s="350"/>
      <c r="BM250" s="350"/>
      <c r="BN250" s="350"/>
      <c r="BO250" s="350"/>
      <c r="BP250" s="350"/>
      <c r="BQ250" s="350"/>
      <c r="BR250" s="350"/>
      <c r="BS250" s="350"/>
      <c r="BT250" s="350"/>
      <c r="BU250" s="350"/>
      <c r="BV250" s="351"/>
    </row>
    <row r="251" spans="1:74" ht="30" customHeight="1">
      <c r="A251" s="55">
        <f t="shared" si="0"/>
        <v>237</v>
      </c>
      <c r="B251" s="56" t="s">
        <v>325</v>
      </c>
      <c r="C251" s="57"/>
      <c r="D251" s="644"/>
      <c r="E251" s="350"/>
      <c r="F251" s="350"/>
      <c r="G251" s="350"/>
      <c r="H251" s="350"/>
      <c r="I251" s="350"/>
      <c r="J251" s="350"/>
      <c r="K251" s="351"/>
      <c r="L251" s="643"/>
      <c r="M251" s="350"/>
      <c r="N251" s="350"/>
      <c r="O251" s="351"/>
      <c r="P251" s="644"/>
      <c r="Q251" s="350"/>
      <c r="R251" s="350"/>
      <c r="S251" s="351"/>
      <c r="T251" s="643"/>
      <c r="U251" s="350"/>
      <c r="V251" s="350"/>
      <c r="W251" s="351"/>
      <c r="X251" s="644"/>
      <c r="Y251" s="350"/>
      <c r="Z251" s="350"/>
      <c r="AA251" s="351"/>
      <c r="AB251" s="506"/>
      <c r="AC251" s="350"/>
      <c r="AD251" s="351"/>
      <c r="AE251" s="571"/>
      <c r="AF251" s="350"/>
      <c r="AG251" s="351"/>
      <c r="AH251" s="645"/>
      <c r="AI251" s="350"/>
      <c r="AJ251" s="351"/>
      <c r="AK251" s="567"/>
      <c r="AL251" s="350"/>
      <c r="AM251" s="351"/>
      <c r="AN251" s="58"/>
      <c r="AO251" s="59"/>
      <c r="AP251" s="58"/>
      <c r="AQ251" s="59"/>
      <c r="AR251" s="58"/>
      <c r="AS251" s="59"/>
      <c r="AT251" s="58"/>
      <c r="AU251" s="59"/>
      <c r="AV251" s="58"/>
      <c r="AW251" s="59"/>
      <c r="AX251" s="58"/>
      <c r="AY251" s="59"/>
      <c r="AZ251" s="64"/>
      <c r="BA251" s="61"/>
      <c r="BB251" s="64"/>
      <c r="BC251" s="61"/>
      <c r="BD251" s="64"/>
      <c r="BE251" s="61"/>
      <c r="BF251" s="64"/>
      <c r="BG251" s="61"/>
      <c r="BH251" s="64"/>
      <c r="BI251" s="646" t="s">
        <v>298</v>
      </c>
      <c r="BJ251" s="350"/>
      <c r="BK251" s="350"/>
      <c r="BL251" s="350"/>
      <c r="BM251" s="350"/>
      <c r="BN251" s="350"/>
      <c r="BO251" s="350"/>
      <c r="BP251" s="350"/>
      <c r="BQ251" s="350"/>
      <c r="BR251" s="350"/>
      <c r="BS251" s="350"/>
      <c r="BT251" s="350"/>
      <c r="BU251" s="350"/>
      <c r="BV251" s="351"/>
    </row>
    <row r="252" spans="1:74" ht="30" customHeight="1">
      <c r="A252" s="63">
        <f t="shared" si="0"/>
        <v>238</v>
      </c>
      <c r="B252" s="56" t="s">
        <v>325</v>
      </c>
      <c r="C252" s="57"/>
      <c r="D252" s="644"/>
      <c r="E252" s="350"/>
      <c r="F252" s="350"/>
      <c r="G252" s="350"/>
      <c r="H252" s="350"/>
      <c r="I252" s="350"/>
      <c r="J252" s="350"/>
      <c r="K252" s="351"/>
      <c r="L252" s="643"/>
      <c r="M252" s="350"/>
      <c r="N252" s="350"/>
      <c r="O252" s="351"/>
      <c r="P252" s="644"/>
      <c r="Q252" s="350"/>
      <c r="R252" s="350"/>
      <c r="S252" s="351"/>
      <c r="T252" s="643"/>
      <c r="U252" s="350"/>
      <c r="V252" s="350"/>
      <c r="W252" s="351"/>
      <c r="X252" s="644"/>
      <c r="Y252" s="350"/>
      <c r="Z252" s="350"/>
      <c r="AA252" s="351"/>
      <c r="AB252" s="506"/>
      <c r="AC252" s="350"/>
      <c r="AD252" s="351"/>
      <c r="AE252" s="571"/>
      <c r="AF252" s="350"/>
      <c r="AG252" s="351"/>
      <c r="AH252" s="645"/>
      <c r="AI252" s="350"/>
      <c r="AJ252" s="351"/>
      <c r="AK252" s="567"/>
      <c r="AL252" s="350"/>
      <c r="AM252" s="351"/>
      <c r="AN252" s="58"/>
      <c r="AO252" s="59"/>
      <c r="AP252" s="58"/>
      <c r="AQ252" s="59"/>
      <c r="AR252" s="58"/>
      <c r="AS252" s="59"/>
      <c r="AT252" s="58"/>
      <c r="AU252" s="59"/>
      <c r="AV252" s="58"/>
      <c r="AW252" s="59"/>
      <c r="AX252" s="58"/>
      <c r="AY252" s="59"/>
      <c r="AZ252" s="64"/>
      <c r="BA252" s="61"/>
      <c r="BB252" s="64"/>
      <c r="BC252" s="61"/>
      <c r="BD252" s="64"/>
      <c r="BE252" s="61"/>
      <c r="BF252" s="64"/>
      <c r="BG252" s="61"/>
      <c r="BH252" s="64"/>
      <c r="BI252" s="646" t="s">
        <v>298</v>
      </c>
      <c r="BJ252" s="350"/>
      <c r="BK252" s="350"/>
      <c r="BL252" s="350"/>
      <c r="BM252" s="350"/>
      <c r="BN252" s="350"/>
      <c r="BO252" s="350"/>
      <c r="BP252" s="350"/>
      <c r="BQ252" s="350"/>
      <c r="BR252" s="350"/>
      <c r="BS252" s="350"/>
      <c r="BT252" s="350"/>
      <c r="BU252" s="350"/>
      <c r="BV252" s="351"/>
    </row>
    <row r="253" spans="1:74" ht="30" customHeight="1">
      <c r="A253" s="63">
        <f t="shared" si="0"/>
        <v>239</v>
      </c>
      <c r="B253" s="56" t="s">
        <v>325</v>
      </c>
      <c r="C253" s="57"/>
      <c r="D253" s="644"/>
      <c r="E253" s="350"/>
      <c r="F253" s="350"/>
      <c r="G253" s="350"/>
      <c r="H253" s="350"/>
      <c r="I253" s="350"/>
      <c r="J253" s="350"/>
      <c r="K253" s="351"/>
      <c r="L253" s="643"/>
      <c r="M253" s="350"/>
      <c r="N253" s="350"/>
      <c r="O253" s="351"/>
      <c r="P253" s="644"/>
      <c r="Q253" s="350"/>
      <c r="R253" s="350"/>
      <c r="S253" s="351"/>
      <c r="T253" s="643"/>
      <c r="U253" s="350"/>
      <c r="V253" s="350"/>
      <c r="W253" s="351"/>
      <c r="X253" s="644"/>
      <c r="Y253" s="350"/>
      <c r="Z253" s="350"/>
      <c r="AA253" s="351"/>
      <c r="AB253" s="506"/>
      <c r="AC253" s="350"/>
      <c r="AD253" s="351"/>
      <c r="AE253" s="571"/>
      <c r="AF253" s="350"/>
      <c r="AG253" s="351"/>
      <c r="AH253" s="645"/>
      <c r="AI253" s="350"/>
      <c r="AJ253" s="351"/>
      <c r="AK253" s="567"/>
      <c r="AL253" s="350"/>
      <c r="AM253" s="351"/>
      <c r="AN253" s="58"/>
      <c r="AO253" s="59"/>
      <c r="AP253" s="58"/>
      <c r="AQ253" s="59"/>
      <c r="AR253" s="58"/>
      <c r="AS253" s="59"/>
      <c r="AT253" s="58"/>
      <c r="AU253" s="59"/>
      <c r="AV253" s="58"/>
      <c r="AW253" s="59"/>
      <c r="AX253" s="58"/>
      <c r="AY253" s="59"/>
      <c r="AZ253" s="64"/>
      <c r="BA253" s="61"/>
      <c r="BB253" s="64"/>
      <c r="BC253" s="61"/>
      <c r="BD253" s="64"/>
      <c r="BE253" s="61"/>
      <c r="BF253" s="64"/>
      <c r="BG253" s="61"/>
      <c r="BH253" s="64"/>
      <c r="BI253" s="646" t="s">
        <v>298</v>
      </c>
      <c r="BJ253" s="350"/>
      <c r="BK253" s="350"/>
      <c r="BL253" s="350"/>
      <c r="BM253" s="350"/>
      <c r="BN253" s="350"/>
      <c r="BO253" s="350"/>
      <c r="BP253" s="350"/>
      <c r="BQ253" s="350"/>
      <c r="BR253" s="350"/>
      <c r="BS253" s="350"/>
      <c r="BT253" s="350"/>
      <c r="BU253" s="350"/>
      <c r="BV253" s="351"/>
    </row>
    <row r="254" spans="1:74" ht="30" customHeight="1">
      <c r="A254" s="63">
        <f t="shared" si="0"/>
        <v>240</v>
      </c>
      <c r="B254" s="56" t="s">
        <v>325</v>
      </c>
      <c r="C254" s="57"/>
      <c r="D254" s="644"/>
      <c r="E254" s="350"/>
      <c r="F254" s="350"/>
      <c r="G254" s="350"/>
      <c r="H254" s="350"/>
      <c r="I254" s="350"/>
      <c r="J254" s="350"/>
      <c r="K254" s="351"/>
      <c r="L254" s="643"/>
      <c r="M254" s="350"/>
      <c r="N254" s="350"/>
      <c r="O254" s="351"/>
      <c r="P254" s="644"/>
      <c r="Q254" s="350"/>
      <c r="R254" s="350"/>
      <c r="S254" s="351"/>
      <c r="T254" s="643"/>
      <c r="U254" s="350"/>
      <c r="V254" s="350"/>
      <c r="W254" s="351"/>
      <c r="X254" s="644"/>
      <c r="Y254" s="350"/>
      <c r="Z254" s="350"/>
      <c r="AA254" s="351"/>
      <c r="AB254" s="506"/>
      <c r="AC254" s="350"/>
      <c r="AD254" s="351"/>
      <c r="AE254" s="571"/>
      <c r="AF254" s="350"/>
      <c r="AG254" s="351"/>
      <c r="AH254" s="645"/>
      <c r="AI254" s="350"/>
      <c r="AJ254" s="351"/>
      <c r="AK254" s="567"/>
      <c r="AL254" s="350"/>
      <c r="AM254" s="351"/>
      <c r="AN254" s="58"/>
      <c r="AO254" s="59"/>
      <c r="AP254" s="58"/>
      <c r="AQ254" s="59"/>
      <c r="AR254" s="58"/>
      <c r="AS254" s="59"/>
      <c r="AT254" s="58"/>
      <c r="AU254" s="59"/>
      <c r="AV254" s="58"/>
      <c r="AW254" s="59"/>
      <c r="AX254" s="58"/>
      <c r="AY254" s="59"/>
      <c r="AZ254" s="64"/>
      <c r="BA254" s="61"/>
      <c r="BB254" s="64"/>
      <c r="BC254" s="61"/>
      <c r="BD254" s="64"/>
      <c r="BE254" s="61"/>
      <c r="BF254" s="64"/>
      <c r="BG254" s="61"/>
      <c r="BH254" s="64"/>
      <c r="BI254" s="646" t="s">
        <v>298</v>
      </c>
      <c r="BJ254" s="350"/>
      <c r="BK254" s="350"/>
      <c r="BL254" s="350"/>
      <c r="BM254" s="350"/>
      <c r="BN254" s="350"/>
      <c r="BO254" s="350"/>
      <c r="BP254" s="350"/>
      <c r="BQ254" s="350"/>
      <c r="BR254" s="350"/>
      <c r="BS254" s="350"/>
      <c r="BT254" s="350"/>
      <c r="BU254" s="350"/>
      <c r="BV254" s="351"/>
    </row>
    <row r="255" spans="1:74" ht="30" customHeight="1">
      <c r="A255" s="63">
        <f t="shared" si="0"/>
        <v>241</v>
      </c>
      <c r="B255" s="56" t="s">
        <v>325</v>
      </c>
      <c r="C255" s="57"/>
      <c r="D255" s="644"/>
      <c r="E255" s="350"/>
      <c r="F255" s="350"/>
      <c r="G255" s="350"/>
      <c r="H255" s="350"/>
      <c r="I255" s="350"/>
      <c r="J255" s="350"/>
      <c r="K255" s="351"/>
      <c r="L255" s="643"/>
      <c r="M255" s="350"/>
      <c r="N255" s="350"/>
      <c r="O255" s="351"/>
      <c r="P255" s="644"/>
      <c r="Q255" s="350"/>
      <c r="R255" s="350"/>
      <c r="S255" s="351"/>
      <c r="T255" s="643"/>
      <c r="U255" s="350"/>
      <c r="V255" s="350"/>
      <c r="W255" s="351"/>
      <c r="X255" s="644"/>
      <c r="Y255" s="350"/>
      <c r="Z255" s="350"/>
      <c r="AA255" s="351"/>
      <c r="AB255" s="506"/>
      <c r="AC255" s="350"/>
      <c r="AD255" s="351"/>
      <c r="AE255" s="571"/>
      <c r="AF255" s="350"/>
      <c r="AG255" s="351"/>
      <c r="AH255" s="645"/>
      <c r="AI255" s="350"/>
      <c r="AJ255" s="351"/>
      <c r="AK255" s="567"/>
      <c r="AL255" s="350"/>
      <c r="AM255" s="351"/>
      <c r="AN255" s="58"/>
      <c r="AO255" s="59"/>
      <c r="AP255" s="58"/>
      <c r="AQ255" s="59"/>
      <c r="AR255" s="58"/>
      <c r="AS255" s="59"/>
      <c r="AT255" s="58"/>
      <c r="AU255" s="59"/>
      <c r="AV255" s="58"/>
      <c r="AW255" s="59"/>
      <c r="AX255" s="58"/>
      <c r="AY255" s="59"/>
      <c r="AZ255" s="64"/>
      <c r="BA255" s="61"/>
      <c r="BB255" s="64"/>
      <c r="BC255" s="61"/>
      <c r="BD255" s="64"/>
      <c r="BE255" s="61"/>
      <c r="BF255" s="64"/>
      <c r="BG255" s="61"/>
      <c r="BH255" s="64"/>
      <c r="BI255" s="646" t="s">
        <v>298</v>
      </c>
      <c r="BJ255" s="350"/>
      <c r="BK255" s="350"/>
      <c r="BL255" s="350"/>
      <c r="BM255" s="350"/>
      <c r="BN255" s="350"/>
      <c r="BO255" s="350"/>
      <c r="BP255" s="350"/>
      <c r="BQ255" s="350"/>
      <c r="BR255" s="350"/>
      <c r="BS255" s="350"/>
      <c r="BT255" s="350"/>
      <c r="BU255" s="350"/>
      <c r="BV255" s="351"/>
    </row>
    <row r="256" spans="1:74" ht="30" customHeight="1">
      <c r="A256" s="63">
        <f t="shared" si="0"/>
        <v>242</v>
      </c>
      <c r="B256" s="56" t="s">
        <v>325</v>
      </c>
      <c r="C256" s="57"/>
      <c r="D256" s="644"/>
      <c r="E256" s="350"/>
      <c r="F256" s="350"/>
      <c r="G256" s="350"/>
      <c r="H256" s="350"/>
      <c r="I256" s="350"/>
      <c r="J256" s="350"/>
      <c r="K256" s="351"/>
      <c r="L256" s="643"/>
      <c r="M256" s="350"/>
      <c r="N256" s="350"/>
      <c r="O256" s="351"/>
      <c r="P256" s="644"/>
      <c r="Q256" s="350"/>
      <c r="R256" s="350"/>
      <c r="S256" s="351"/>
      <c r="T256" s="643"/>
      <c r="U256" s="350"/>
      <c r="V256" s="350"/>
      <c r="W256" s="351"/>
      <c r="X256" s="644"/>
      <c r="Y256" s="350"/>
      <c r="Z256" s="350"/>
      <c r="AA256" s="351"/>
      <c r="AB256" s="506"/>
      <c r="AC256" s="350"/>
      <c r="AD256" s="351"/>
      <c r="AE256" s="571"/>
      <c r="AF256" s="350"/>
      <c r="AG256" s="351"/>
      <c r="AH256" s="645"/>
      <c r="AI256" s="350"/>
      <c r="AJ256" s="351"/>
      <c r="AK256" s="567"/>
      <c r="AL256" s="350"/>
      <c r="AM256" s="351"/>
      <c r="AN256" s="58"/>
      <c r="AO256" s="59"/>
      <c r="AP256" s="58"/>
      <c r="AQ256" s="59"/>
      <c r="AR256" s="58"/>
      <c r="AS256" s="59"/>
      <c r="AT256" s="58"/>
      <c r="AU256" s="59"/>
      <c r="AV256" s="58"/>
      <c r="AW256" s="59"/>
      <c r="AX256" s="58"/>
      <c r="AY256" s="59"/>
      <c r="AZ256" s="64"/>
      <c r="BA256" s="61"/>
      <c r="BB256" s="64"/>
      <c r="BC256" s="61"/>
      <c r="BD256" s="64"/>
      <c r="BE256" s="61"/>
      <c r="BF256" s="64"/>
      <c r="BG256" s="61"/>
      <c r="BH256" s="64"/>
      <c r="BI256" s="646" t="s">
        <v>294</v>
      </c>
      <c r="BJ256" s="350"/>
      <c r="BK256" s="350"/>
      <c r="BL256" s="350"/>
      <c r="BM256" s="350"/>
      <c r="BN256" s="350"/>
      <c r="BO256" s="350"/>
      <c r="BP256" s="350"/>
      <c r="BQ256" s="350"/>
      <c r="BR256" s="350"/>
      <c r="BS256" s="350"/>
      <c r="BT256" s="350"/>
      <c r="BU256" s="350"/>
      <c r="BV256" s="351"/>
    </row>
    <row r="257" spans="1:74" ht="30" customHeight="1">
      <c r="A257" s="63">
        <f t="shared" si="0"/>
        <v>243</v>
      </c>
      <c r="B257" s="56" t="s">
        <v>325</v>
      </c>
      <c r="C257" s="57"/>
      <c r="D257" s="644"/>
      <c r="E257" s="350"/>
      <c r="F257" s="350"/>
      <c r="G257" s="350"/>
      <c r="H257" s="350"/>
      <c r="I257" s="350"/>
      <c r="J257" s="350"/>
      <c r="K257" s="351"/>
      <c r="L257" s="643"/>
      <c r="M257" s="350"/>
      <c r="N257" s="350"/>
      <c r="O257" s="351"/>
      <c r="P257" s="644"/>
      <c r="Q257" s="350"/>
      <c r="R257" s="350"/>
      <c r="S257" s="351"/>
      <c r="T257" s="643"/>
      <c r="U257" s="350"/>
      <c r="V257" s="350"/>
      <c r="W257" s="351"/>
      <c r="X257" s="644"/>
      <c r="Y257" s="350"/>
      <c r="Z257" s="350"/>
      <c r="AA257" s="351"/>
      <c r="AB257" s="506"/>
      <c r="AC257" s="350"/>
      <c r="AD257" s="351"/>
      <c r="AE257" s="571"/>
      <c r="AF257" s="350"/>
      <c r="AG257" s="351"/>
      <c r="AH257" s="645"/>
      <c r="AI257" s="350"/>
      <c r="AJ257" s="351"/>
      <c r="AK257" s="567"/>
      <c r="AL257" s="350"/>
      <c r="AM257" s="351"/>
      <c r="AN257" s="58"/>
      <c r="AO257" s="59"/>
      <c r="AP257" s="58"/>
      <c r="AQ257" s="59"/>
      <c r="AR257" s="58"/>
      <c r="AS257" s="59"/>
      <c r="AT257" s="58"/>
      <c r="AU257" s="59"/>
      <c r="AV257" s="58"/>
      <c r="AW257" s="59"/>
      <c r="AX257" s="58"/>
      <c r="AY257" s="59"/>
      <c r="AZ257" s="64"/>
      <c r="BA257" s="61"/>
      <c r="BB257" s="64"/>
      <c r="BC257" s="61"/>
      <c r="BD257" s="64"/>
      <c r="BE257" s="61"/>
      <c r="BF257" s="64"/>
      <c r="BG257" s="61"/>
      <c r="BH257" s="64"/>
      <c r="BI257" s="646" t="s">
        <v>294</v>
      </c>
      <c r="BJ257" s="350"/>
      <c r="BK257" s="350"/>
      <c r="BL257" s="350"/>
      <c r="BM257" s="350"/>
      <c r="BN257" s="350"/>
      <c r="BO257" s="350"/>
      <c r="BP257" s="350"/>
      <c r="BQ257" s="350"/>
      <c r="BR257" s="350"/>
      <c r="BS257" s="350"/>
      <c r="BT257" s="350"/>
      <c r="BU257" s="350"/>
      <c r="BV257" s="351"/>
    </row>
    <row r="258" spans="1:74" ht="30" customHeight="1">
      <c r="A258" s="55">
        <f t="shared" si="0"/>
        <v>244</v>
      </c>
      <c r="B258" s="56" t="s">
        <v>325</v>
      </c>
      <c r="C258" s="57"/>
      <c r="D258" s="644"/>
      <c r="E258" s="350"/>
      <c r="F258" s="350"/>
      <c r="G258" s="350"/>
      <c r="H258" s="350"/>
      <c r="I258" s="350"/>
      <c r="J258" s="350"/>
      <c r="K258" s="351"/>
      <c r="L258" s="643"/>
      <c r="M258" s="350"/>
      <c r="N258" s="350"/>
      <c r="O258" s="351"/>
      <c r="P258" s="644"/>
      <c r="Q258" s="350"/>
      <c r="R258" s="350"/>
      <c r="S258" s="351"/>
      <c r="T258" s="643"/>
      <c r="U258" s="350"/>
      <c r="V258" s="350"/>
      <c r="W258" s="351"/>
      <c r="X258" s="644"/>
      <c r="Y258" s="350"/>
      <c r="Z258" s="350"/>
      <c r="AA258" s="351"/>
      <c r="AB258" s="506"/>
      <c r="AC258" s="350"/>
      <c r="AD258" s="351"/>
      <c r="AE258" s="571"/>
      <c r="AF258" s="350"/>
      <c r="AG258" s="351"/>
      <c r="AH258" s="645"/>
      <c r="AI258" s="350"/>
      <c r="AJ258" s="351"/>
      <c r="AK258" s="567"/>
      <c r="AL258" s="350"/>
      <c r="AM258" s="351"/>
      <c r="AN258" s="58"/>
      <c r="AO258" s="59"/>
      <c r="AP258" s="58"/>
      <c r="AQ258" s="59"/>
      <c r="AR258" s="58"/>
      <c r="AS258" s="59"/>
      <c r="AT258" s="58"/>
      <c r="AU258" s="59"/>
      <c r="AV258" s="58"/>
      <c r="AW258" s="59"/>
      <c r="AX258" s="58"/>
      <c r="AY258" s="59"/>
      <c r="AZ258" s="64"/>
      <c r="BA258" s="61"/>
      <c r="BB258" s="64"/>
      <c r="BC258" s="61"/>
      <c r="BD258" s="64"/>
      <c r="BE258" s="61"/>
      <c r="BF258" s="64"/>
      <c r="BG258" s="61"/>
      <c r="BH258" s="64"/>
      <c r="BI258" s="646" t="s">
        <v>298</v>
      </c>
      <c r="BJ258" s="350"/>
      <c r="BK258" s="350"/>
      <c r="BL258" s="350"/>
      <c r="BM258" s="350"/>
      <c r="BN258" s="350"/>
      <c r="BO258" s="350"/>
      <c r="BP258" s="350"/>
      <c r="BQ258" s="350"/>
      <c r="BR258" s="350"/>
      <c r="BS258" s="350"/>
      <c r="BT258" s="350"/>
      <c r="BU258" s="350"/>
      <c r="BV258" s="351"/>
    </row>
    <row r="259" spans="1:74" ht="30" customHeight="1">
      <c r="A259" s="63">
        <f t="shared" si="0"/>
        <v>245</v>
      </c>
      <c r="B259" s="56" t="s">
        <v>325</v>
      </c>
      <c r="C259" s="57"/>
      <c r="D259" s="644"/>
      <c r="E259" s="350"/>
      <c r="F259" s="350"/>
      <c r="G259" s="350"/>
      <c r="H259" s="350"/>
      <c r="I259" s="350"/>
      <c r="J259" s="350"/>
      <c r="K259" s="351"/>
      <c r="L259" s="643"/>
      <c r="M259" s="350"/>
      <c r="N259" s="350"/>
      <c r="O259" s="351"/>
      <c r="P259" s="644"/>
      <c r="Q259" s="350"/>
      <c r="R259" s="350"/>
      <c r="S259" s="351"/>
      <c r="T259" s="643"/>
      <c r="U259" s="350"/>
      <c r="V259" s="350"/>
      <c r="W259" s="351"/>
      <c r="X259" s="644"/>
      <c r="Y259" s="350"/>
      <c r="Z259" s="350"/>
      <c r="AA259" s="351"/>
      <c r="AB259" s="506"/>
      <c r="AC259" s="350"/>
      <c r="AD259" s="351"/>
      <c r="AE259" s="571"/>
      <c r="AF259" s="350"/>
      <c r="AG259" s="351"/>
      <c r="AH259" s="645"/>
      <c r="AI259" s="350"/>
      <c r="AJ259" s="351"/>
      <c r="AK259" s="567"/>
      <c r="AL259" s="350"/>
      <c r="AM259" s="351"/>
      <c r="AN259" s="58"/>
      <c r="AO259" s="59"/>
      <c r="AP259" s="58"/>
      <c r="AQ259" s="59"/>
      <c r="AR259" s="58"/>
      <c r="AS259" s="59"/>
      <c r="AT259" s="58"/>
      <c r="AU259" s="59"/>
      <c r="AV259" s="58"/>
      <c r="AW259" s="59"/>
      <c r="AX259" s="58"/>
      <c r="AY259" s="59"/>
      <c r="AZ259" s="64"/>
      <c r="BA259" s="61"/>
      <c r="BB259" s="64"/>
      <c r="BC259" s="61"/>
      <c r="BD259" s="64"/>
      <c r="BE259" s="61"/>
      <c r="BF259" s="64"/>
      <c r="BG259" s="61"/>
      <c r="BH259" s="64"/>
      <c r="BI259" s="646" t="s">
        <v>298</v>
      </c>
      <c r="BJ259" s="350"/>
      <c r="BK259" s="350"/>
      <c r="BL259" s="350"/>
      <c r="BM259" s="350"/>
      <c r="BN259" s="350"/>
      <c r="BO259" s="350"/>
      <c r="BP259" s="350"/>
      <c r="BQ259" s="350"/>
      <c r="BR259" s="350"/>
      <c r="BS259" s="350"/>
      <c r="BT259" s="350"/>
      <c r="BU259" s="350"/>
      <c r="BV259" s="351"/>
    </row>
    <row r="260" spans="1:74" ht="30" customHeight="1">
      <c r="A260" s="63">
        <f t="shared" si="0"/>
        <v>246</v>
      </c>
      <c r="B260" s="56" t="s">
        <v>325</v>
      </c>
      <c r="C260" s="57"/>
      <c r="D260" s="644"/>
      <c r="E260" s="350"/>
      <c r="F260" s="350"/>
      <c r="G260" s="350"/>
      <c r="H260" s="350"/>
      <c r="I260" s="350"/>
      <c r="J260" s="350"/>
      <c r="K260" s="351"/>
      <c r="L260" s="643"/>
      <c r="M260" s="350"/>
      <c r="N260" s="350"/>
      <c r="O260" s="351"/>
      <c r="P260" s="644"/>
      <c r="Q260" s="350"/>
      <c r="R260" s="350"/>
      <c r="S260" s="351"/>
      <c r="T260" s="643"/>
      <c r="U260" s="350"/>
      <c r="V260" s="350"/>
      <c r="W260" s="351"/>
      <c r="X260" s="644"/>
      <c r="Y260" s="350"/>
      <c r="Z260" s="350"/>
      <c r="AA260" s="351"/>
      <c r="AB260" s="506"/>
      <c r="AC260" s="350"/>
      <c r="AD260" s="351"/>
      <c r="AE260" s="571"/>
      <c r="AF260" s="350"/>
      <c r="AG260" s="351"/>
      <c r="AH260" s="645"/>
      <c r="AI260" s="350"/>
      <c r="AJ260" s="351"/>
      <c r="AK260" s="567"/>
      <c r="AL260" s="350"/>
      <c r="AM260" s="351"/>
      <c r="AN260" s="58"/>
      <c r="AO260" s="59"/>
      <c r="AP260" s="58"/>
      <c r="AQ260" s="59"/>
      <c r="AR260" s="58"/>
      <c r="AS260" s="59"/>
      <c r="AT260" s="58"/>
      <c r="AU260" s="59"/>
      <c r="AV260" s="58"/>
      <c r="AW260" s="59"/>
      <c r="AX260" s="58"/>
      <c r="AY260" s="59"/>
      <c r="AZ260" s="64"/>
      <c r="BA260" s="61"/>
      <c r="BB260" s="64"/>
      <c r="BC260" s="61"/>
      <c r="BD260" s="64"/>
      <c r="BE260" s="61"/>
      <c r="BF260" s="64"/>
      <c r="BG260" s="61"/>
      <c r="BH260" s="64"/>
      <c r="BI260" s="646" t="s">
        <v>298</v>
      </c>
      <c r="BJ260" s="350"/>
      <c r="BK260" s="350"/>
      <c r="BL260" s="350"/>
      <c r="BM260" s="350"/>
      <c r="BN260" s="350"/>
      <c r="BO260" s="350"/>
      <c r="BP260" s="350"/>
      <c r="BQ260" s="350"/>
      <c r="BR260" s="350"/>
      <c r="BS260" s="350"/>
      <c r="BT260" s="350"/>
      <c r="BU260" s="350"/>
      <c r="BV260" s="351"/>
    </row>
    <row r="261" spans="1:74" ht="30" customHeight="1">
      <c r="A261" s="63">
        <f t="shared" si="0"/>
        <v>247</v>
      </c>
      <c r="B261" s="56" t="s">
        <v>325</v>
      </c>
      <c r="C261" s="57"/>
      <c r="D261" s="644"/>
      <c r="E261" s="350"/>
      <c r="F261" s="350"/>
      <c r="G261" s="350"/>
      <c r="H261" s="350"/>
      <c r="I261" s="350"/>
      <c r="J261" s="350"/>
      <c r="K261" s="351"/>
      <c r="L261" s="643"/>
      <c r="M261" s="350"/>
      <c r="N261" s="350"/>
      <c r="O261" s="351"/>
      <c r="P261" s="644"/>
      <c r="Q261" s="350"/>
      <c r="R261" s="350"/>
      <c r="S261" s="351"/>
      <c r="T261" s="643"/>
      <c r="U261" s="350"/>
      <c r="V261" s="350"/>
      <c r="W261" s="351"/>
      <c r="X261" s="644"/>
      <c r="Y261" s="350"/>
      <c r="Z261" s="350"/>
      <c r="AA261" s="351"/>
      <c r="AB261" s="506"/>
      <c r="AC261" s="350"/>
      <c r="AD261" s="351"/>
      <c r="AE261" s="571"/>
      <c r="AF261" s="350"/>
      <c r="AG261" s="351"/>
      <c r="AH261" s="645"/>
      <c r="AI261" s="350"/>
      <c r="AJ261" s="351"/>
      <c r="AK261" s="567"/>
      <c r="AL261" s="350"/>
      <c r="AM261" s="351"/>
      <c r="AN261" s="58"/>
      <c r="AO261" s="59"/>
      <c r="AP261" s="58"/>
      <c r="AQ261" s="59"/>
      <c r="AR261" s="58"/>
      <c r="AS261" s="59"/>
      <c r="AT261" s="58"/>
      <c r="AU261" s="59"/>
      <c r="AV261" s="58"/>
      <c r="AW261" s="59"/>
      <c r="AX261" s="58"/>
      <c r="AY261" s="59"/>
      <c r="AZ261" s="64"/>
      <c r="BA261" s="61"/>
      <c r="BB261" s="64"/>
      <c r="BC261" s="61"/>
      <c r="BD261" s="64"/>
      <c r="BE261" s="61"/>
      <c r="BF261" s="64"/>
      <c r="BG261" s="61"/>
      <c r="BH261" s="64"/>
      <c r="BI261" s="646" t="s">
        <v>298</v>
      </c>
      <c r="BJ261" s="350"/>
      <c r="BK261" s="350"/>
      <c r="BL261" s="350"/>
      <c r="BM261" s="350"/>
      <c r="BN261" s="350"/>
      <c r="BO261" s="350"/>
      <c r="BP261" s="350"/>
      <c r="BQ261" s="350"/>
      <c r="BR261" s="350"/>
      <c r="BS261" s="350"/>
      <c r="BT261" s="350"/>
      <c r="BU261" s="350"/>
      <c r="BV261" s="351"/>
    </row>
    <row r="262" spans="1:74" ht="30" customHeight="1">
      <c r="A262" s="63">
        <f t="shared" si="0"/>
        <v>248</v>
      </c>
      <c r="B262" s="56" t="s">
        <v>325</v>
      </c>
      <c r="C262" s="57"/>
      <c r="D262" s="644"/>
      <c r="E262" s="350"/>
      <c r="F262" s="350"/>
      <c r="G262" s="350"/>
      <c r="H262" s="350"/>
      <c r="I262" s="350"/>
      <c r="J262" s="350"/>
      <c r="K262" s="351"/>
      <c r="L262" s="643"/>
      <c r="M262" s="350"/>
      <c r="N262" s="350"/>
      <c r="O262" s="351"/>
      <c r="P262" s="644"/>
      <c r="Q262" s="350"/>
      <c r="R262" s="350"/>
      <c r="S262" s="351"/>
      <c r="T262" s="643"/>
      <c r="U262" s="350"/>
      <c r="V262" s="350"/>
      <c r="W262" s="351"/>
      <c r="X262" s="644"/>
      <c r="Y262" s="350"/>
      <c r="Z262" s="350"/>
      <c r="AA262" s="351"/>
      <c r="AB262" s="506"/>
      <c r="AC262" s="350"/>
      <c r="AD262" s="351"/>
      <c r="AE262" s="571"/>
      <c r="AF262" s="350"/>
      <c r="AG262" s="351"/>
      <c r="AH262" s="645"/>
      <c r="AI262" s="350"/>
      <c r="AJ262" s="351"/>
      <c r="AK262" s="567"/>
      <c r="AL262" s="350"/>
      <c r="AM262" s="351"/>
      <c r="AN262" s="58"/>
      <c r="AO262" s="59"/>
      <c r="AP262" s="58"/>
      <c r="AQ262" s="59"/>
      <c r="AR262" s="58"/>
      <c r="AS262" s="59"/>
      <c r="AT262" s="58"/>
      <c r="AU262" s="59"/>
      <c r="AV262" s="58"/>
      <c r="AW262" s="59"/>
      <c r="AX262" s="58"/>
      <c r="AY262" s="59"/>
      <c r="AZ262" s="64"/>
      <c r="BA262" s="61"/>
      <c r="BB262" s="64"/>
      <c r="BC262" s="61"/>
      <c r="BD262" s="64"/>
      <c r="BE262" s="61"/>
      <c r="BF262" s="64"/>
      <c r="BG262" s="61"/>
      <c r="BH262" s="64"/>
      <c r="BI262" s="646" t="s">
        <v>298</v>
      </c>
      <c r="BJ262" s="350"/>
      <c r="BK262" s="350"/>
      <c r="BL262" s="350"/>
      <c r="BM262" s="350"/>
      <c r="BN262" s="350"/>
      <c r="BO262" s="350"/>
      <c r="BP262" s="350"/>
      <c r="BQ262" s="350"/>
      <c r="BR262" s="350"/>
      <c r="BS262" s="350"/>
      <c r="BT262" s="350"/>
      <c r="BU262" s="350"/>
      <c r="BV262" s="351"/>
    </row>
    <row r="263" spans="1:74" ht="30" customHeight="1">
      <c r="A263" s="63">
        <f t="shared" si="0"/>
        <v>249</v>
      </c>
      <c r="B263" s="56" t="s">
        <v>325</v>
      </c>
      <c r="C263" s="57"/>
      <c r="D263" s="644"/>
      <c r="E263" s="350"/>
      <c r="F263" s="350"/>
      <c r="G263" s="350"/>
      <c r="H263" s="350"/>
      <c r="I263" s="350"/>
      <c r="J263" s="350"/>
      <c r="K263" s="351"/>
      <c r="L263" s="643"/>
      <c r="M263" s="350"/>
      <c r="N263" s="350"/>
      <c r="O263" s="351"/>
      <c r="P263" s="644"/>
      <c r="Q263" s="350"/>
      <c r="R263" s="350"/>
      <c r="S263" s="351"/>
      <c r="T263" s="643"/>
      <c r="U263" s="350"/>
      <c r="V263" s="350"/>
      <c r="W263" s="351"/>
      <c r="X263" s="644"/>
      <c r="Y263" s="350"/>
      <c r="Z263" s="350"/>
      <c r="AA263" s="351"/>
      <c r="AB263" s="506"/>
      <c r="AC263" s="350"/>
      <c r="AD263" s="351"/>
      <c r="AE263" s="571"/>
      <c r="AF263" s="350"/>
      <c r="AG263" s="351"/>
      <c r="AH263" s="645"/>
      <c r="AI263" s="350"/>
      <c r="AJ263" s="351"/>
      <c r="AK263" s="567"/>
      <c r="AL263" s="350"/>
      <c r="AM263" s="351"/>
      <c r="AN263" s="58"/>
      <c r="AO263" s="59"/>
      <c r="AP263" s="58"/>
      <c r="AQ263" s="59"/>
      <c r="AR263" s="58"/>
      <c r="AS263" s="59"/>
      <c r="AT263" s="58"/>
      <c r="AU263" s="59"/>
      <c r="AV263" s="58"/>
      <c r="AW263" s="59"/>
      <c r="AX263" s="58"/>
      <c r="AY263" s="59"/>
      <c r="AZ263" s="64"/>
      <c r="BA263" s="61"/>
      <c r="BB263" s="64"/>
      <c r="BC263" s="61"/>
      <c r="BD263" s="64"/>
      <c r="BE263" s="61"/>
      <c r="BF263" s="64"/>
      <c r="BG263" s="61"/>
      <c r="BH263" s="64"/>
      <c r="BI263" s="646" t="s">
        <v>294</v>
      </c>
      <c r="BJ263" s="350"/>
      <c r="BK263" s="350"/>
      <c r="BL263" s="350"/>
      <c r="BM263" s="350"/>
      <c r="BN263" s="350"/>
      <c r="BO263" s="350"/>
      <c r="BP263" s="350"/>
      <c r="BQ263" s="350"/>
      <c r="BR263" s="350"/>
      <c r="BS263" s="350"/>
      <c r="BT263" s="350"/>
      <c r="BU263" s="350"/>
      <c r="BV263" s="351"/>
    </row>
    <row r="264" spans="1:74" ht="30" customHeight="1">
      <c r="A264" s="63">
        <f t="shared" si="0"/>
        <v>250</v>
      </c>
      <c r="B264" s="56" t="s">
        <v>325</v>
      </c>
      <c r="C264" s="57"/>
      <c r="D264" s="644"/>
      <c r="E264" s="350"/>
      <c r="F264" s="350"/>
      <c r="G264" s="350"/>
      <c r="H264" s="350"/>
      <c r="I264" s="350"/>
      <c r="J264" s="350"/>
      <c r="K264" s="351"/>
      <c r="L264" s="643"/>
      <c r="M264" s="350"/>
      <c r="N264" s="350"/>
      <c r="O264" s="351"/>
      <c r="P264" s="644"/>
      <c r="Q264" s="350"/>
      <c r="R264" s="350"/>
      <c r="S264" s="351"/>
      <c r="T264" s="643"/>
      <c r="U264" s="350"/>
      <c r="V264" s="350"/>
      <c r="W264" s="351"/>
      <c r="X264" s="644"/>
      <c r="Y264" s="350"/>
      <c r="Z264" s="350"/>
      <c r="AA264" s="351"/>
      <c r="AB264" s="506"/>
      <c r="AC264" s="350"/>
      <c r="AD264" s="351"/>
      <c r="AE264" s="571"/>
      <c r="AF264" s="350"/>
      <c r="AG264" s="351"/>
      <c r="AH264" s="645"/>
      <c r="AI264" s="350"/>
      <c r="AJ264" s="351"/>
      <c r="AK264" s="567"/>
      <c r="AL264" s="350"/>
      <c r="AM264" s="351"/>
      <c r="AN264" s="58"/>
      <c r="AO264" s="59"/>
      <c r="AP264" s="58"/>
      <c r="AQ264" s="59"/>
      <c r="AR264" s="58"/>
      <c r="AS264" s="59"/>
      <c r="AT264" s="58"/>
      <c r="AU264" s="59"/>
      <c r="AV264" s="58"/>
      <c r="AW264" s="59"/>
      <c r="AX264" s="58"/>
      <c r="AY264" s="59"/>
      <c r="AZ264" s="64"/>
      <c r="BA264" s="61"/>
      <c r="BB264" s="64"/>
      <c r="BC264" s="61"/>
      <c r="BD264" s="64"/>
      <c r="BE264" s="61"/>
      <c r="BF264" s="64"/>
      <c r="BG264" s="61"/>
      <c r="BH264" s="64"/>
      <c r="BI264" s="646" t="s">
        <v>294</v>
      </c>
      <c r="BJ264" s="350"/>
      <c r="BK264" s="350"/>
      <c r="BL264" s="350"/>
      <c r="BM264" s="350"/>
      <c r="BN264" s="350"/>
      <c r="BO264" s="350"/>
      <c r="BP264" s="350"/>
      <c r="BQ264" s="350"/>
      <c r="BR264" s="350"/>
      <c r="BS264" s="350"/>
      <c r="BT264" s="350"/>
      <c r="BU264" s="350"/>
      <c r="BV264" s="351"/>
    </row>
    <row r="265" spans="1:74" ht="30" customHeight="1">
      <c r="A265" s="55">
        <f t="shared" si="0"/>
        <v>251</v>
      </c>
      <c r="B265" s="56" t="s">
        <v>325</v>
      </c>
      <c r="C265" s="57"/>
      <c r="D265" s="644"/>
      <c r="E265" s="350"/>
      <c r="F265" s="350"/>
      <c r="G265" s="350"/>
      <c r="H265" s="350"/>
      <c r="I265" s="350"/>
      <c r="J265" s="350"/>
      <c r="K265" s="351"/>
      <c r="L265" s="643"/>
      <c r="M265" s="350"/>
      <c r="N265" s="350"/>
      <c r="O265" s="351"/>
      <c r="P265" s="644"/>
      <c r="Q265" s="350"/>
      <c r="R265" s="350"/>
      <c r="S265" s="351"/>
      <c r="T265" s="643"/>
      <c r="U265" s="350"/>
      <c r="V265" s="350"/>
      <c r="W265" s="351"/>
      <c r="X265" s="644"/>
      <c r="Y265" s="350"/>
      <c r="Z265" s="350"/>
      <c r="AA265" s="351"/>
      <c r="AB265" s="506"/>
      <c r="AC265" s="350"/>
      <c r="AD265" s="351"/>
      <c r="AE265" s="571"/>
      <c r="AF265" s="350"/>
      <c r="AG265" s="351"/>
      <c r="AH265" s="645"/>
      <c r="AI265" s="350"/>
      <c r="AJ265" s="351"/>
      <c r="AK265" s="567"/>
      <c r="AL265" s="350"/>
      <c r="AM265" s="351"/>
      <c r="AN265" s="58"/>
      <c r="AO265" s="59"/>
      <c r="AP265" s="58"/>
      <c r="AQ265" s="59"/>
      <c r="AR265" s="58"/>
      <c r="AS265" s="59"/>
      <c r="AT265" s="58"/>
      <c r="AU265" s="59"/>
      <c r="AV265" s="58"/>
      <c r="AW265" s="59"/>
      <c r="AX265" s="58"/>
      <c r="AY265" s="59"/>
      <c r="AZ265" s="64"/>
      <c r="BA265" s="61"/>
      <c r="BB265" s="64"/>
      <c r="BC265" s="61"/>
      <c r="BD265" s="64"/>
      <c r="BE265" s="61"/>
      <c r="BF265" s="64"/>
      <c r="BG265" s="61"/>
      <c r="BH265" s="64"/>
      <c r="BI265" s="646" t="s">
        <v>298</v>
      </c>
      <c r="BJ265" s="350"/>
      <c r="BK265" s="350"/>
      <c r="BL265" s="350"/>
      <c r="BM265" s="350"/>
      <c r="BN265" s="350"/>
      <c r="BO265" s="350"/>
      <c r="BP265" s="350"/>
      <c r="BQ265" s="350"/>
      <c r="BR265" s="350"/>
      <c r="BS265" s="350"/>
      <c r="BT265" s="350"/>
      <c r="BU265" s="350"/>
      <c r="BV265" s="351"/>
    </row>
    <row r="266" spans="1:74" ht="30" customHeight="1">
      <c r="A266" s="63">
        <f t="shared" si="0"/>
        <v>252</v>
      </c>
      <c r="B266" s="56" t="s">
        <v>325</v>
      </c>
      <c r="C266" s="57"/>
      <c r="D266" s="644"/>
      <c r="E266" s="350"/>
      <c r="F266" s="350"/>
      <c r="G266" s="350"/>
      <c r="H266" s="350"/>
      <c r="I266" s="350"/>
      <c r="J266" s="350"/>
      <c r="K266" s="351"/>
      <c r="L266" s="643"/>
      <c r="M266" s="350"/>
      <c r="N266" s="350"/>
      <c r="O266" s="351"/>
      <c r="P266" s="644"/>
      <c r="Q266" s="350"/>
      <c r="R266" s="350"/>
      <c r="S266" s="351"/>
      <c r="T266" s="643"/>
      <c r="U266" s="350"/>
      <c r="V266" s="350"/>
      <c r="W266" s="351"/>
      <c r="X266" s="644"/>
      <c r="Y266" s="350"/>
      <c r="Z266" s="350"/>
      <c r="AA266" s="351"/>
      <c r="AB266" s="506"/>
      <c r="AC266" s="350"/>
      <c r="AD266" s="351"/>
      <c r="AE266" s="571"/>
      <c r="AF266" s="350"/>
      <c r="AG266" s="351"/>
      <c r="AH266" s="645"/>
      <c r="AI266" s="350"/>
      <c r="AJ266" s="351"/>
      <c r="AK266" s="567"/>
      <c r="AL266" s="350"/>
      <c r="AM266" s="351"/>
      <c r="AN266" s="58"/>
      <c r="AO266" s="59"/>
      <c r="AP266" s="58"/>
      <c r="AQ266" s="59"/>
      <c r="AR266" s="58"/>
      <c r="AS266" s="59"/>
      <c r="AT266" s="58"/>
      <c r="AU266" s="59"/>
      <c r="AV266" s="58"/>
      <c r="AW266" s="59"/>
      <c r="AX266" s="58"/>
      <c r="AY266" s="59"/>
      <c r="AZ266" s="64"/>
      <c r="BA266" s="61"/>
      <c r="BB266" s="64"/>
      <c r="BC266" s="61"/>
      <c r="BD266" s="64"/>
      <c r="BE266" s="61"/>
      <c r="BF266" s="64"/>
      <c r="BG266" s="61"/>
      <c r="BH266" s="64"/>
      <c r="BI266" s="646" t="s">
        <v>298</v>
      </c>
      <c r="BJ266" s="350"/>
      <c r="BK266" s="350"/>
      <c r="BL266" s="350"/>
      <c r="BM266" s="350"/>
      <c r="BN266" s="350"/>
      <c r="BO266" s="350"/>
      <c r="BP266" s="350"/>
      <c r="BQ266" s="350"/>
      <c r="BR266" s="350"/>
      <c r="BS266" s="350"/>
      <c r="BT266" s="350"/>
      <c r="BU266" s="350"/>
      <c r="BV266" s="351"/>
    </row>
    <row r="267" spans="1:74" ht="30" customHeight="1">
      <c r="A267" s="63">
        <f t="shared" si="0"/>
        <v>253</v>
      </c>
      <c r="B267" s="56" t="s">
        <v>325</v>
      </c>
      <c r="C267" s="57"/>
      <c r="D267" s="644"/>
      <c r="E267" s="350"/>
      <c r="F267" s="350"/>
      <c r="G267" s="350"/>
      <c r="H267" s="350"/>
      <c r="I267" s="350"/>
      <c r="J267" s="350"/>
      <c r="K267" s="351"/>
      <c r="L267" s="643"/>
      <c r="M267" s="350"/>
      <c r="N267" s="350"/>
      <c r="O267" s="351"/>
      <c r="P267" s="644"/>
      <c r="Q267" s="350"/>
      <c r="R267" s="350"/>
      <c r="S267" s="351"/>
      <c r="T267" s="643"/>
      <c r="U267" s="350"/>
      <c r="V267" s="350"/>
      <c r="W267" s="351"/>
      <c r="X267" s="644"/>
      <c r="Y267" s="350"/>
      <c r="Z267" s="350"/>
      <c r="AA267" s="351"/>
      <c r="AB267" s="506"/>
      <c r="AC267" s="350"/>
      <c r="AD267" s="351"/>
      <c r="AE267" s="571"/>
      <c r="AF267" s="350"/>
      <c r="AG267" s="351"/>
      <c r="AH267" s="645"/>
      <c r="AI267" s="350"/>
      <c r="AJ267" s="351"/>
      <c r="AK267" s="567"/>
      <c r="AL267" s="350"/>
      <c r="AM267" s="351"/>
      <c r="AN267" s="58"/>
      <c r="AO267" s="59"/>
      <c r="AP267" s="58"/>
      <c r="AQ267" s="59"/>
      <c r="AR267" s="58"/>
      <c r="AS267" s="59"/>
      <c r="AT267" s="58"/>
      <c r="AU267" s="59"/>
      <c r="AV267" s="58"/>
      <c r="AW267" s="59"/>
      <c r="AX267" s="58"/>
      <c r="AY267" s="59"/>
      <c r="AZ267" s="64"/>
      <c r="BA267" s="61"/>
      <c r="BB267" s="64"/>
      <c r="BC267" s="61"/>
      <c r="BD267" s="64"/>
      <c r="BE267" s="61"/>
      <c r="BF267" s="64"/>
      <c r="BG267" s="61"/>
      <c r="BH267" s="64"/>
      <c r="BI267" s="646" t="s">
        <v>298</v>
      </c>
      <c r="BJ267" s="350"/>
      <c r="BK267" s="350"/>
      <c r="BL267" s="350"/>
      <c r="BM267" s="350"/>
      <c r="BN267" s="350"/>
      <c r="BO267" s="350"/>
      <c r="BP267" s="350"/>
      <c r="BQ267" s="350"/>
      <c r="BR267" s="350"/>
      <c r="BS267" s="350"/>
      <c r="BT267" s="350"/>
      <c r="BU267" s="350"/>
      <c r="BV267" s="351"/>
    </row>
    <row r="268" spans="1:74" ht="30" customHeight="1">
      <c r="A268" s="63">
        <f t="shared" si="0"/>
        <v>254</v>
      </c>
      <c r="B268" s="56" t="s">
        <v>325</v>
      </c>
      <c r="C268" s="57"/>
      <c r="D268" s="644"/>
      <c r="E268" s="350"/>
      <c r="F268" s="350"/>
      <c r="G268" s="350"/>
      <c r="H268" s="350"/>
      <c r="I268" s="350"/>
      <c r="J268" s="350"/>
      <c r="K268" s="351"/>
      <c r="L268" s="643"/>
      <c r="M268" s="350"/>
      <c r="N268" s="350"/>
      <c r="O268" s="351"/>
      <c r="P268" s="644"/>
      <c r="Q268" s="350"/>
      <c r="R268" s="350"/>
      <c r="S268" s="351"/>
      <c r="T268" s="643"/>
      <c r="U268" s="350"/>
      <c r="V268" s="350"/>
      <c r="W268" s="351"/>
      <c r="X268" s="644"/>
      <c r="Y268" s="350"/>
      <c r="Z268" s="350"/>
      <c r="AA268" s="351"/>
      <c r="AB268" s="506"/>
      <c r="AC268" s="350"/>
      <c r="AD268" s="351"/>
      <c r="AE268" s="571"/>
      <c r="AF268" s="350"/>
      <c r="AG268" s="351"/>
      <c r="AH268" s="645"/>
      <c r="AI268" s="350"/>
      <c r="AJ268" s="351"/>
      <c r="AK268" s="567"/>
      <c r="AL268" s="350"/>
      <c r="AM268" s="351"/>
      <c r="AN268" s="58"/>
      <c r="AO268" s="59"/>
      <c r="AP268" s="58"/>
      <c r="AQ268" s="59"/>
      <c r="AR268" s="58"/>
      <c r="AS268" s="59"/>
      <c r="AT268" s="58"/>
      <c r="AU268" s="59"/>
      <c r="AV268" s="58"/>
      <c r="AW268" s="59"/>
      <c r="AX268" s="58"/>
      <c r="AY268" s="59"/>
      <c r="AZ268" s="64"/>
      <c r="BA268" s="61"/>
      <c r="BB268" s="64"/>
      <c r="BC268" s="61"/>
      <c r="BD268" s="64"/>
      <c r="BE268" s="61"/>
      <c r="BF268" s="64"/>
      <c r="BG268" s="61"/>
      <c r="BH268" s="64"/>
      <c r="BI268" s="646" t="s">
        <v>298</v>
      </c>
      <c r="BJ268" s="350"/>
      <c r="BK268" s="350"/>
      <c r="BL268" s="350"/>
      <c r="BM268" s="350"/>
      <c r="BN268" s="350"/>
      <c r="BO268" s="350"/>
      <c r="BP268" s="350"/>
      <c r="BQ268" s="350"/>
      <c r="BR268" s="350"/>
      <c r="BS268" s="350"/>
      <c r="BT268" s="350"/>
      <c r="BU268" s="350"/>
      <c r="BV268" s="351"/>
    </row>
    <row r="269" spans="1:74" ht="30" customHeight="1">
      <c r="A269" s="63">
        <f t="shared" si="0"/>
        <v>255</v>
      </c>
      <c r="B269" s="56" t="s">
        <v>325</v>
      </c>
      <c r="C269" s="57"/>
      <c r="D269" s="644"/>
      <c r="E269" s="350"/>
      <c r="F269" s="350"/>
      <c r="G269" s="350"/>
      <c r="H269" s="350"/>
      <c r="I269" s="350"/>
      <c r="J269" s="350"/>
      <c r="K269" s="351"/>
      <c r="L269" s="643"/>
      <c r="M269" s="350"/>
      <c r="N269" s="350"/>
      <c r="O269" s="351"/>
      <c r="P269" s="644"/>
      <c r="Q269" s="350"/>
      <c r="R269" s="350"/>
      <c r="S269" s="351"/>
      <c r="T269" s="643"/>
      <c r="U269" s="350"/>
      <c r="V269" s="350"/>
      <c r="W269" s="351"/>
      <c r="X269" s="644"/>
      <c r="Y269" s="350"/>
      <c r="Z269" s="350"/>
      <c r="AA269" s="351"/>
      <c r="AB269" s="506"/>
      <c r="AC269" s="350"/>
      <c r="AD269" s="351"/>
      <c r="AE269" s="571"/>
      <c r="AF269" s="350"/>
      <c r="AG269" s="351"/>
      <c r="AH269" s="645"/>
      <c r="AI269" s="350"/>
      <c r="AJ269" s="351"/>
      <c r="AK269" s="567"/>
      <c r="AL269" s="350"/>
      <c r="AM269" s="351"/>
      <c r="AN269" s="58"/>
      <c r="AO269" s="59"/>
      <c r="AP269" s="58"/>
      <c r="AQ269" s="59"/>
      <c r="AR269" s="58"/>
      <c r="AS269" s="59"/>
      <c r="AT269" s="58"/>
      <c r="AU269" s="59"/>
      <c r="AV269" s="58"/>
      <c r="AW269" s="59"/>
      <c r="AX269" s="58"/>
      <c r="AY269" s="59"/>
      <c r="AZ269" s="64"/>
      <c r="BA269" s="61"/>
      <c r="BB269" s="64"/>
      <c r="BC269" s="61"/>
      <c r="BD269" s="64"/>
      <c r="BE269" s="61"/>
      <c r="BF269" s="64"/>
      <c r="BG269" s="61"/>
      <c r="BH269" s="64"/>
      <c r="BI269" s="646" t="s">
        <v>298</v>
      </c>
      <c r="BJ269" s="350"/>
      <c r="BK269" s="350"/>
      <c r="BL269" s="350"/>
      <c r="BM269" s="350"/>
      <c r="BN269" s="350"/>
      <c r="BO269" s="350"/>
      <c r="BP269" s="350"/>
      <c r="BQ269" s="350"/>
      <c r="BR269" s="350"/>
      <c r="BS269" s="350"/>
      <c r="BT269" s="350"/>
      <c r="BU269" s="350"/>
      <c r="BV269" s="351"/>
    </row>
    <row r="270" spans="1:74" ht="30" customHeight="1">
      <c r="A270" s="63">
        <f t="shared" ref="A270:A524" si="1">ROW(A256)</f>
        <v>256</v>
      </c>
      <c r="B270" s="56" t="s">
        <v>325</v>
      </c>
      <c r="C270" s="57"/>
      <c r="D270" s="644"/>
      <c r="E270" s="350"/>
      <c r="F270" s="350"/>
      <c r="G270" s="350"/>
      <c r="H270" s="350"/>
      <c r="I270" s="350"/>
      <c r="J270" s="350"/>
      <c r="K270" s="351"/>
      <c r="L270" s="643"/>
      <c r="M270" s="350"/>
      <c r="N270" s="350"/>
      <c r="O270" s="351"/>
      <c r="P270" s="644"/>
      <c r="Q270" s="350"/>
      <c r="R270" s="350"/>
      <c r="S270" s="351"/>
      <c r="T270" s="643"/>
      <c r="U270" s="350"/>
      <c r="V270" s="350"/>
      <c r="W270" s="351"/>
      <c r="X270" s="644"/>
      <c r="Y270" s="350"/>
      <c r="Z270" s="350"/>
      <c r="AA270" s="351"/>
      <c r="AB270" s="506"/>
      <c r="AC270" s="350"/>
      <c r="AD270" s="351"/>
      <c r="AE270" s="571"/>
      <c r="AF270" s="350"/>
      <c r="AG270" s="351"/>
      <c r="AH270" s="645"/>
      <c r="AI270" s="350"/>
      <c r="AJ270" s="351"/>
      <c r="AK270" s="567"/>
      <c r="AL270" s="350"/>
      <c r="AM270" s="351"/>
      <c r="AN270" s="58"/>
      <c r="AO270" s="59"/>
      <c r="AP270" s="58"/>
      <c r="AQ270" s="59"/>
      <c r="AR270" s="58"/>
      <c r="AS270" s="59"/>
      <c r="AT270" s="58"/>
      <c r="AU270" s="59"/>
      <c r="AV270" s="58"/>
      <c r="AW270" s="59"/>
      <c r="AX270" s="58"/>
      <c r="AY270" s="59"/>
      <c r="AZ270" s="64"/>
      <c r="BA270" s="61"/>
      <c r="BB270" s="64"/>
      <c r="BC270" s="61"/>
      <c r="BD270" s="64"/>
      <c r="BE270" s="61"/>
      <c r="BF270" s="64"/>
      <c r="BG270" s="61"/>
      <c r="BH270" s="64"/>
      <c r="BI270" s="646" t="s">
        <v>294</v>
      </c>
      <c r="BJ270" s="350"/>
      <c r="BK270" s="350"/>
      <c r="BL270" s="350"/>
      <c r="BM270" s="350"/>
      <c r="BN270" s="350"/>
      <c r="BO270" s="350"/>
      <c r="BP270" s="350"/>
      <c r="BQ270" s="350"/>
      <c r="BR270" s="350"/>
      <c r="BS270" s="350"/>
      <c r="BT270" s="350"/>
      <c r="BU270" s="350"/>
      <c r="BV270" s="351"/>
    </row>
    <row r="271" spans="1:74" ht="30" customHeight="1">
      <c r="A271" s="63">
        <f t="shared" si="1"/>
        <v>257</v>
      </c>
      <c r="B271" s="56" t="s">
        <v>325</v>
      </c>
      <c r="C271" s="57"/>
      <c r="D271" s="644"/>
      <c r="E271" s="350"/>
      <c r="F271" s="350"/>
      <c r="G271" s="350"/>
      <c r="H271" s="350"/>
      <c r="I271" s="350"/>
      <c r="J271" s="350"/>
      <c r="K271" s="351"/>
      <c r="L271" s="643"/>
      <c r="M271" s="350"/>
      <c r="N271" s="350"/>
      <c r="O271" s="351"/>
      <c r="P271" s="644"/>
      <c r="Q271" s="350"/>
      <c r="R271" s="350"/>
      <c r="S271" s="351"/>
      <c r="T271" s="643"/>
      <c r="U271" s="350"/>
      <c r="V271" s="350"/>
      <c r="W271" s="351"/>
      <c r="X271" s="644"/>
      <c r="Y271" s="350"/>
      <c r="Z271" s="350"/>
      <c r="AA271" s="351"/>
      <c r="AB271" s="506"/>
      <c r="AC271" s="350"/>
      <c r="AD271" s="351"/>
      <c r="AE271" s="571"/>
      <c r="AF271" s="350"/>
      <c r="AG271" s="351"/>
      <c r="AH271" s="645"/>
      <c r="AI271" s="350"/>
      <c r="AJ271" s="351"/>
      <c r="AK271" s="567"/>
      <c r="AL271" s="350"/>
      <c r="AM271" s="351"/>
      <c r="AN271" s="58"/>
      <c r="AO271" s="59"/>
      <c r="AP271" s="58"/>
      <c r="AQ271" s="59"/>
      <c r="AR271" s="58"/>
      <c r="AS271" s="59"/>
      <c r="AT271" s="58"/>
      <c r="AU271" s="59"/>
      <c r="AV271" s="58"/>
      <c r="AW271" s="59"/>
      <c r="AX271" s="58"/>
      <c r="AY271" s="59"/>
      <c r="AZ271" s="64"/>
      <c r="BA271" s="61"/>
      <c r="BB271" s="64"/>
      <c r="BC271" s="61"/>
      <c r="BD271" s="64"/>
      <c r="BE271" s="61"/>
      <c r="BF271" s="64"/>
      <c r="BG271" s="61"/>
      <c r="BH271" s="64"/>
      <c r="BI271" s="646" t="s">
        <v>294</v>
      </c>
      <c r="BJ271" s="350"/>
      <c r="BK271" s="350"/>
      <c r="BL271" s="350"/>
      <c r="BM271" s="350"/>
      <c r="BN271" s="350"/>
      <c r="BO271" s="350"/>
      <c r="BP271" s="350"/>
      <c r="BQ271" s="350"/>
      <c r="BR271" s="350"/>
      <c r="BS271" s="350"/>
      <c r="BT271" s="350"/>
      <c r="BU271" s="350"/>
      <c r="BV271" s="351"/>
    </row>
    <row r="272" spans="1:74" ht="30" customHeight="1">
      <c r="A272" s="55">
        <f t="shared" si="1"/>
        <v>258</v>
      </c>
      <c r="B272" s="56" t="s">
        <v>325</v>
      </c>
      <c r="C272" s="57"/>
      <c r="D272" s="644"/>
      <c r="E272" s="350"/>
      <c r="F272" s="350"/>
      <c r="G272" s="350"/>
      <c r="H272" s="350"/>
      <c r="I272" s="350"/>
      <c r="J272" s="350"/>
      <c r="K272" s="351"/>
      <c r="L272" s="643"/>
      <c r="M272" s="350"/>
      <c r="N272" s="350"/>
      <c r="O272" s="351"/>
      <c r="P272" s="644"/>
      <c r="Q272" s="350"/>
      <c r="R272" s="350"/>
      <c r="S272" s="351"/>
      <c r="T272" s="643"/>
      <c r="U272" s="350"/>
      <c r="V272" s="350"/>
      <c r="W272" s="351"/>
      <c r="X272" s="644"/>
      <c r="Y272" s="350"/>
      <c r="Z272" s="350"/>
      <c r="AA272" s="351"/>
      <c r="AB272" s="506"/>
      <c r="AC272" s="350"/>
      <c r="AD272" s="351"/>
      <c r="AE272" s="571"/>
      <c r="AF272" s="350"/>
      <c r="AG272" s="351"/>
      <c r="AH272" s="645"/>
      <c r="AI272" s="350"/>
      <c r="AJ272" s="351"/>
      <c r="AK272" s="567"/>
      <c r="AL272" s="350"/>
      <c r="AM272" s="351"/>
      <c r="AN272" s="58"/>
      <c r="AO272" s="59"/>
      <c r="AP272" s="58"/>
      <c r="AQ272" s="59"/>
      <c r="AR272" s="58"/>
      <c r="AS272" s="59"/>
      <c r="AT272" s="58"/>
      <c r="AU272" s="59"/>
      <c r="AV272" s="58"/>
      <c r="AW272" s="59"/>
      <c r="AX272" s="58"/>
      <c r="AY272" s="59"/>
      <c r="AZ272" s="64"/>
      <c r="BA272" s="61"/>
      <c r="BB272" s="64"/>
      <c r="BC272" s="61"/>
      <c r="BD272" s="64"/>
      <c r="BE272" s="61"/>
      <c r="BF272" s="64"/>
      <c r="BG272" s="61"/>
      <c r="BH272" s="64"/>
      <c r="BI272" s="646" t="s">
        <v>298</v>
      </c>
      <c r="BJ272" s="350"/>
      <c r="BK272" s="350"/>
      <c r="BL272" s="350"/>
      <c r="BM272" s="350"/>
      <c r="BN272" s="350"/>
      <c r="BO272" s="350"/>
      <c r="BP272" s="350"/>
      <c r="BQ272" s="350"/>
      <c r="BR272" s="350"/>
      <c r="BS272" s="350"/>
      <c r="BT272" s="350"/>
      <c r="BU272" s="350"/>
      <c r="BV272" s="351"/>
    </row>
    <row r="273" spans="1:74" ht="30" customHeight="1">
      <c r="A273" s="63">
        <f t="shared" si="1"/>
        <v>259</v>
      </c>
      <c r="B273" s="56" t="s">
        <v>325</v>
      </c>
      <c r="C273" s="57"/>
      <c r="D273" s="644"/>
      <c r="E273" s="350"/>
      <c r="F273" s="350"/>
      <c r="G273" s="350"/>
      <c r="H273" s="350"/>
      <c r="I273" s="350"/>
      <c r="J273" s="350"/>
      <c r="K273" s="351"/>
      <c r="L273" s="643"/>
      <c r="M273" s="350"/>
      <c r="N273" s="350"/>
      <c r="O273" s="351"/>
      <c r="P273" s="644"/>
      <c r="Q273" s="350"/>
      <c r="R273" s="350"/>
      <c r="S273" s="351"/>
      <c r="T273" s="643"/>
      <c r="U273" s="350"/>
      <c r="V273" s="350"/>
      <c r="W273" s="351"/>
      <c r="X273" s="644"/>
      <c r="Y273" s="350"/>
      <c r="Z273" s="350"/>
      <c r="AA273" s="351"/>
      <c r="AB273" s="506"/>
      <c r="AC273" s="350"/>
      <c r="AD273" s="351"/>
      <c r="AE273" s="571"/>
      <c r="AF273" s="350"/>
      <c r="AG273" s="351"/>
      <c r="AH273" s="645"/>
      <c r="AI273" s="350"/>
      <c r="AJ273" s="351"/>
      <c r="AK273" s="567"/>
      <c r="AL273" s="350"/>
      <c r="AM273" s="351"/>
      <c r="AN273" s="58"/>
      <c r="AO273" s="59"/>
      <c r="AP273" s="58"/>
      <c r="AQ273" s="59"/>
      <c r="AR273" s="58"/>
      <c r="AS273" s="59"/>
      <c r="AT273" s="58"/>
      <c r="AU273" s="59"/>
      <c r="AV273" s="58"/>
      <c r="AW273" s="59"/>
      <c r="AX273" s="58"/>
      <c r="AY273" s="59"/>
      <c r="AZ273" s="64"/>
      <c r="BA273" s="61"/>
      <c r="BB273" s="64"/>
      <c r="BC273" s="61"/>
      <c r="BD273" s="64"/>
      <c r="BE273" s="61"/>
      <c r="BF273" s="64"/>
      <c r="BG273" s="61"/>
      <c r="BH273" s="64"/>
      <c r="BI273" s="646" t="s">
        <v>298</v>
      </c>
      <c r="BJ273" s="350"/>
      <c r="BK273" s="350"/>
      <c r="BL273" s="350"/>
      <c r="BM273" s="350"/>
      <c r="BN273" s="350"/>
      <c r="BO273" s="350"/>
      <c r="BP273" s="350"/>
      <c r="BQ273" s="350"/>
      <c r="BR273" s="350"/>
      <c r="BS273" s="350"/>
      <c r="BT273" s="350"/>
      <c r="BU273" s="350"/>
      <c r="BV273" s="351"/>
    </row>
    <row r="274" spans="1:74" ht="30" customHeight="1">
      <c r="A274" s="63">
        <f t="shared" si="1"/>
        <v>260</v>
      </c>
      <c r="B274" s="56" t="s">
        <v>325</v>
      </c>
      <c r="C274" s="57"/>
      <c r="D274" s="644"/>
      <c r="E274" s="350"/>
      <c r="F274" s="350"/>
      <c r="G274" s="350"/>
      <c r="H274" s="350"/>
      <c r="I274" s="350"/>
      <c r="J274" s="350"/>
      <c r="K274" s="351"/>
      <c r="L274" s="643"/>
      <c r="M274" s="350"/>
      <c r="N274" s="350"/>
      <c r="O274" s="351"/>
      <c r="P274" s="644"/>
      <c r="Q274" s="350"/>
      <c r="R274" s="350"/>
      <c r="S274" s="351"/>
      <c r="T274" s="643"/>
      <c r="U274" s="350"/>
      <c r="V274" s="350"/>
      <c r="W274" s="351"/>
      <c r="X274" s="644"/>
      <c r="Y274" s="350"/>
      <c r="Z274" s="350"/>
      <c r="AA274" s="351"/>
      <c r="AB274" s="506"/>
      <c r="AC274" s="350"/>
      <c r="AD274" s="351"/>
      <c r="AE274" s="571"/>
      <c r="AF274" s="350"/>
      <c r="AG274" s="351"/>
      <c r="AH274" s="645"/>
      <c r="AI274" s="350"/>
      <c r="AJ274" s="351"/>
      <c r="AK274" s="567"/>
      <c r="AL274" s="350"/>
      <c r="AM274" s="351"/>
      <c r="AN274" s="58"/>
      <c r="AO274" s="59"/>
      <c r="AP274" s="58"/>
      <c r="AQ274" s="59"/>
      <c r="AR274" s="58"/>
      <c r="AS274" s="59"/>
      <c r="AT274" s="58"/>
      <c r="AU274" s="59"/>
      <c r="AV274" s="58"/>
      <c r="AW274" s="59"/>
      <c r="AX274" s="58"/>
      <c r="AY274" s="59"/>
      <c r="AZ274" s="64"/>
      <c r="BA274" s="61"/>
      <c r="BB274" s="64"/>
      <c r="BC274" s="61"/>
      <c r="BD274" s="64"/>
      <c r="BE274" s="61"/>
      <c r="BF274" s="64"/>
      <c r="BG274" s="61"/>
      <c r="BH274" s="64"/>
      <c r="BI274" s="646" t="s">
        <v>298</v>
      </c>
      <c r="BJ274" s="350"/>
      <c r="BK274" s="350"/>
      <c r="BL274" s="350"/>
      <c r="BM274" s="350"/>
      <c r="BN274" s="350"/>
      <c r="BO274" s="350"/>
      <c r="BP274" s="350"/>
      <c r="BQ274" s="350"/>
      <c r="BR274" s="350"/>
      <c r="BS274" s="350"/>
      <c r="BT274" s="350"/>
      <c r="BU274" s="350"/>
      <c r="BV274" s="351"/>
    </row>
    <row r="275" spans="1:74" ht="30" customHeight="1">
      <c r="A275" s="63">
        <f t="shared" si="1"/>
        <v>261</v>
      </c>
      <c r="B275" s="56" t="s">
        <v>325</v>
      </c>
      <c r="C275" s="57"/>
      <c r="D275" s="644"/>
      <c r="E275" s="350"/>
      <c r="F275" s="350"/>
      <c r="G275" s="350"/>
      <c r="H275" s="350"/>
      <c r="I275" s="350"/>
      <c r="J275" s="350"/>
      <c r="K275" s="351"/>
      <c r="L275" s="643"/>
      <c r="M275" s="350"/>
      <c r="N275" s="350"/>
      <c r="O275" s="351"/>
      <c r="P275" s="644"/>
      <c r="Q275" s="350"/>
      <c r="R275" s="350"/>
      <c r="S275" s="351"/>
      <c r="T275" s="643"/>
      <c r="U275" s="350"/>
      <c r="V275" s="350"/>
      <c r="W275" s="351"/>
      <c r="X275" s="644"/>
      <c r="Y275" s="350"/>
      <c r="Z275" s="350"/>
      <c r="AA275" s="351"/>
      <c r="AB275" s="506"/>
      <c r="AC275" s="350"/>
      <c r="AD275" s="351"/>
      <c r="AE275" s="571"/>
      <c r="AF275" s="350"/>
      <c r="AG275" s="351"/>
      <c r="AH275" s="645"/>
      <c r="AI275" s="350"/>
      <c r="AJ275" s="351"/>
      <c r="AK275" s="567"/>
      <c r="AL275" s="350"/>
      <c r="AM275" s="351"/>
      <c r="AN275" s="58"/>
      <c r="AO275" s="59"/>
      <c r="AP275" s="58"/>
      <c r="AQ275" s="59"/>
      <c r="AR275" s="58"/>
      <c r="AS275" s="59"/>
      <c r="AT275" s="58"/>
      <c r="AU275" s="59"/>
      <c r="AV275" s="58"/>
      <c r="AW275" s="59"/>
      <c r="AX275" s="58"/>
      <c r="AY275" s="59"/>
      <c r="AZ275" s="64"/>
      <c r="BA275" s="61"/>
      <c r="BB275" s="64"/>
      <c r="BC275" s="61"/>
      <c r="BD275" s="64"/>
      <c r="BE275" s="61"/>
      <c r="BF275" s="64"/>
      <c r="BG275" s="61"/>
      <c r="BH275" s="64"/>
      <c r="BI275" s="646" t="s">
        <v>298</v>
      </c>
      <c r="BJ275" s="350"/>
      <c r="BK275" s="350"/>
      <c r="BL275" s="350"/>
      <c r="BM275" s="350"/>
      <c r="BN275" s="350"/>
      <c r="BO275" s="350"/>
      <c r="BP275" s="350"/>
      <c r="BQ275" s="350"/>
      <c r="BR275" s="350"/>
      <c r="BS275" s="350"/>
      <c r="BT275" s="350"/>
      <c r="BU275" s="350"/>
      <c r="BV275" s="351"/>
    </row>
    <row r="276" spans="1:74" ht="30" customHeight="1">
      <c r="A276" s="63">
        <f t="shared" si="1"/>
        <v>262</v>
      </c>
      <c r="B276" s="56" t="s">
        <v>325</v>
      </c>
      <c r="C276" s="57"/>
      <c r="D276" s="644"/>
      <c r="E276" s="350"/>
      <c r="F276" s="350"/>
      <c r="G276" s="350"/>
      <c r="H276" s="350"/>
      <c r="I276" s="350"/>
      <c r="J276" s="350"/>
      <c r="K276" s="351"/>
      <c r="L276" s="643"/>
      <c r="M276" s="350"/>
      <c r="N276" s="350"/>
      <c r="O276" s="351"/>
      <c r="P276" s="644"/>
      <c r="Q276" s="350"/>
      <c r="R276" s="350"/>
      <c r="S276" s="351"/>
      <c r="T276" s="643"/>
      <c r="U276" s="350"/>
      <c r="V276" s="350"/>
      <c r="W276" s="351"/>
      <c r="X276" s="644"/>
      <c r="Y276" s="350"/>
      <c r="Z276" s="350"/>
      <c r="AA276" s="351"/>
      <c r="AB276" s="506"/>
      <c r="AC276" s="350"/>
      <c r="AD276" s="351"/>
      <c r="AE276" s="571"/>
      <c r="AF276" s="350"/>
      <c r="AG276" s="351"/>
      <c r="AH276" s="645"/>
      <c r="AI276" s="350"/>
      <c r="AJ276" s="351"/>
      <c r="AK276" s="567"/>
      <c r="AL276" s="350"/>
      <c r="AM276" s="351"/>
      <c r="AN276" s="58"/>
      <c r="AO276" s="59"/>
      <c r="AP276" s="58"/>
      <c r="AQ276" s="59"/>
      <c r="AR276" s="58"/>
      <c r="AS276" s="59"/>
      <c r="AT276" s="58"/>
      <c r="AU276" s="59"/>
      <c r="AV276" s="58"/>
      <c r="AW276" s="59"/>
      <c r="AX276" s="58"/>
      <c r="AY276" s="59"/>
      <c r="AZ276" s="64"/>
      <c r="BA276" s="61"/>
      <c r="BB276" s="64"/>
      <c r="BC276" s="61"/>
      <c r="BD276" s="64"/>
      <c r="BE276" s="61"/>
      <c r="BF276" s="64"/>
      <c r="BG276" s="61"/>
      <c r="BH276" s="64"/>
      <c r="BI276" s="646" t="s">
        <v>298</v>
      </c>
      <c r="BJ276" s="350"/>
      <c r="BK276" s="350"/>
      <c r="BL276" s="350"/>
      <c r="BM276" s="350"/>
      <c r="BN276" s="350"/>
      <c r="BO276" s="350"/>
      <c r="BP276" s="350"/>
      <c r="BQ276" s="350"/>
      <c r="BR276" s="350"/>
      <c r="BS276" s="350"/>
      <c r="BT276" s="350"/>
      <c r="BU276" s="350"/>
      <c r="BV276" s="351"/>
    </row>
    <row r="277" spans="1:74" ht="30" customHeight="1">
      <c r="A277" s="63">
        <f t="shared" si="1"/>
        <v>263</v>
      </c>
      <c r="B277" s="56" t="s">
        <v>325</v>
      </c>
      <c r="C277" s="57"/>
      <c r="D277" s="644"/>
      <c r="E277" s="350"/>
      <c r="F277" s="350"/>
      <c r="G277" s="350"/>
      <c r="H277" s="350"/>
      <c r="I277" s="350"/>
      <c r="J277" s="350"/>
      <c r="K277" s="351"/>
      <c r="L277" s="643"/>
      <c r="M277" s="350"/>
      <c r="N277" s="350"/>
      <c r="O277" s="351"/>
      <c r="P277" s="644"/>
      <c r="Q277" s="350"/>
      <c r="R277" s="350"/>
      <c r="S277" s="351"/>
      <c r="T277" s="643"/>
      <c r="U277" s="350"/>
      <c r="V277" s="350"/>
      <c r="W277" s="351"/>
      <c r="X277" s="644"/>
      <c r="Y277" s="350"/>
      <c r="Z277" s="350"/>
      <c r="AA277" s="351"/>
      <c r="AB277" s="506"/>
      <c r="AC277" s="350"/>
      <c r="AD277" s="351"/>
      <c r="AE277" s="571"/>
      <c r="AF277" s="350"/>
      <c r="AG277" s="351"/>
      <c r="AH277" s="645"/>
      <c r="AI277" s="350"/>
      <c r="AJ277" s="351"/>
      <c r="AK277" s="567"/>
      <c r="AL277" s="350"/>
      <c r="AM277" s="351"/>
      <c r="AN277" s="58"/>
      <c r="AO277" s="59"/>
      <c r="AP277" s="58"/>
      <c r="AQ277" s="59"/>
      <c r="AR277" s="58"/>
      <c r="AS277" s="59"/>
      <c r="AT277" s="58"/>
      <c r="AU277" s="59"/>
      <c r="AV277" s="58"/>
      <c r="AW277" s="59"/>
      <c r="AX277" s="58"/>
      <c r="AY277" s="59"/>
      <c r="AZ277" s="64"/>
      <c r="BA277" s="61"/>
      <c r="BB277" s="64"/>
      <c r="BC277" s="61"/>
      <c r="BD277" s="64"/>
      <c r="BE277" s="61"/>
      <c r="BF277" s="64"/>
      <c r="BG277" s="61"/>
      <c r="BH277" s="64"/>
      <c r="BI277" s="646" t="s">
        <v>294</v>
      </c>
      <c r="BJ277" s="350"/>
      <c r="BK277" s="350"/>
      <c r="BL277" s="350"/>
      <c r="BM277" s="350"/>
      <c r="BN277" s="350"/>
      <c r="BO277" s="350"/>
      <c r="BP277" s="350"/>
      <c r="BQ277" s="350"/>
      <c r="BR277" s="350"/>
      <c r="BS277" s="350"/>
      <c r="BT277" s="350"/>
      <c r="BU277" s="350"/>
      <c r="BV277" s="351"/>
    </row>
    <row r="278" spans="1:74" ht="30" customHeight="1">
      <c r="A278" s="63">
        <f t="shared" si="1"/>
        <v>264</v>
      </c>
      <c r="B278" s="56" t="s">
        <v>325</v>
      </c>
      <c r="C278" s="57"/>
      <c r="D278" s="644"/>
      <c r="E278" s="350"/>
      <c r="F278" s="350"/>
      <c r="G278" s="350"/>
      <c r="H278" s="350"/>
      <c r="I278" s="350"/>
      <c r="J278" s="350"/>
      <c r="K278" s="351"/>
      <c r="L278" s="643"/>
      <c r="M278" s="350"/>
      <c r="N278" s="350"/>
      <c r="O278" s="351"/>
      <c r="P278" s="644"/>
      <c r="Q278" s="350"/>
      <c r="R278" s="350"/>
      <c r="S278" s="351"/>
      <c r="T278" s="643"/>
      <c r="U278" s="350"/>
      <c r="V278" s="350"/>
      <c r="W278" s="351"/>
      <c r="X278" s="644"/>
      <c r="Y278" s="350"/>
      <c r="Z278" s="350"/>
      <c r="AA278" s="351"/>
      <c r="AB278" s="506"/>
      <c r="AC278" s="350"/>
      <c r="AD278" s="351"/>
      <c r="AE278" s="571"/>
      <c r="AF278" s="350"/>
      <c r="AG278" s="351"/>
      <c r="AH278" s="645"/>
      <c r="AI278" s="350"/>
      <c r="AJ278" s="351"/>
      <c r="AK278" s="567"/>
      <c r="AL278" s="350"/>
      <c r="AM278" s="351"/>
      <c r="AN278" s="58"/>
      <c r="AO278" s="59"/>
      <c r="AP278" s="58"/>
      <c r="AQ278" s="59"/>
      <c r="AR278" s="58"/>
      <c r="AS278" s="59"/>
      <c r="AT278" s="58"/>
      <c r="AU278" s="59"/>
      <c r="AV278" s="58"/>
      <c r="AW278" s="59"/>
      <c r="AX278" s="58"/>
      <c r="AY278" s="59"/>
      <c r="AZ278" s="64"/>
      <c r="BA278" s="61"/>
      <c r="BB278" s="64"/>
      <c r="BC278" s="61"/>
      <c r="BD278" s="64"/>
      <c r="BE278" s="61"/>
      <c r="BF278" s="64"/>
      <c r="BG278" s="61"/>
      <c r="BH278" s="64"/>
      <c r="BI278" s="646" t="s">
        <v>294</v>
      </c>
      <c r="BJ278" s="350"/>
      <c r="BK278" s="350"/>
      <c r="BL278" s="350"/>
      <c r="BM278" s="350"/>
      <c r="BN278" s="350"/>
      <c r="BO278" s="350"/>
      <c r="BP278" s="350"/>
      <c r="BQ278" s="350"/>
      <c r="BR278" s="350"/>
      <c r="BS278" s="350"/>
      <c r="BT278" s="350"/>
      <c r="BU278" s="350"/>
      <c r="BV278" s="351"/>
    </row>
    <row r="279" spans="1:74" ht="30" customHeight="1">
      <c r="A279" s="55">
        <f t="shared" si="1"/>
        <v>265</v>
      </c>
      <c r="B279" s="56" t="s">
        <v>325</v>
      </c>
      <c r="C279" s="57"/>
      <c r="D279" s="644"/>
      <c r="E279" s="350"/>
      <c r="F279" s="350"/>
      <c r="G279" s="350"/>
      <c r="H279" s="350"/>
      <c r="I279" s="350"/>
      <c r="J279" s="350"/>
      <c r="K279" s="351"/>
      <c r="L279" s="643"/>
      <c r="M279" s="350"/>
      <c r="N279" s="350"/>
      <c r="O279" s="351"/>
      <c r="P279" s="644"/>
      <c r="Q279" s="350"/>
      <c r="R279" s="350"/>
      <c r="S279" s="351"/>
      <c r="T279" s="643"/>
      <c r="U279" s="350"/>
      <c r="V279" s="350"/>
      <c r="W279" s="351"/>
      <c r="X279" s="644"/>
      <c r="Y279" s="350"/>
      <c r="Z279" s="350"/>
      <c r="AA279" s="351"/>
      <c r="AB279" s="506"/>
      <c r="AC279" s="350"/>
      <c r="AD279" s="351"/>
      <c r="AE279" s="571"/>
      <c r="AF279" s="350"/>
      <c r="AG279" s="351"/>
      <c r="AH279" s="645"/>
      <c r="AI279" s="350"/>
      <c r="AJ279" s="351"/>
      <c r="AK279" s="567"/>
      <c r="AL279" s="350"/>
      <c r="AM279" s="351"/>
      <c r="AN279" s="58"/>
      <c r="AO279" s="59"/>
      <c r="AP279" s="58"/>
      <c r="AQ279" s="59"/>
      <c r="AR279" s="58"/>
      <c r="AS279" s="59"/>
      <c r="AT279" s="58"/>
      <c r="AU279" s="59"/>
      <c r="AV279" s="58"/>
      <c r="AW279" s="59"/>
      <c r="AX279" s="58"/>
      <c r="AY279" s="59"/>
      <c r="AZ279" s="64"/>
      <c r="BA279" s="61"/>
      <c r="BB279" s="64"/>
      <c r="BC279" s="61"/>
      <c r="BD279" s="64"/>
      <c r="BE279" s="61"/>
      <c r="BF279" s="64"/>
      <c r="BG279" s="61"/>
      <c r="BH279" s="64"/>
      <c r="BI279" s="646" t="s">
        <v>298</v>
      </c>
      <c r="BJ279" s="350"/>
      <c r="BK279" s="350"/>
      <c r="BL279" s="350"/>
      <c r="BM279" s="350"/>
      <c r="BN279" s="350"/>
      <c r="BO279" s="350"/>
      <c r="BP279" s="350"/>
      <c r="BQ279" s="350"/>
      <c r="BR279" s="350"/>
      <c r="BS279" s="350"/>
      <c r="BT279" s="350"/>
      <c r="BU279" s="350"/>
      <c r="BV279" s="351"/>
    </row>
    <row r="280" spans="1:74" ht="30" customHeight="1">
      <c r="A280" s="63">
        <f t="shared" si="1"/>
        <v>266</v>
      </c>
      <c r="B280" s="56" t="s">
        <v>325</v>
      </c>
      <c r="C280" s="57"/>
      <c r="D280" s="644"/>
      <c r="E280" s="350"/>
      <c r="F280" s="350"/>
      <c r="G280" s="350"/>
      <c r="H280" s="350"/>
      <c r="I280" s="350"/>
      <c r="J280" s="350"/>
      <c r="K280" s="351"/>
      <c r="L280" s="643"/>
      <c r="M280" s="350"/>
      <c r="N280" s="350"/>
      <c r="O280" s="351"/>
      <c r="P280" s="644"/>
      <c r="Q280" s="350"/>
      <c r="R280" s="350"/>
      <c r="S280" s="351"/>
      <c r="T280" s="643"/>
      <c r="U280" s="350"/>
      <c r="V280" s="350"/>
      <c r="W280" s="351"/>
      <c r="X280" s="644"/>
      <c r="Y280" s="350"/>
      <c r="Z280" s="350"/>
      <c r="AA280" s="351"/>
      <c r="AB280" s="506"/>
      <c r="AC280" s="350"/>
      <c r="AD280" s="351"/>
      <c r="AE280" s="571"/>
      <c r="AF280" s="350"/>
      <c r="AG280" s="351"/>
      <c r="AH280" s="645"/>
      <c r="AI280" s="350"/>
      <c r="AJ280" s="351"/>
      <c r="AK280" s="567"/>
      <c r="AL280" s="350"/>
      <c r="AM280" s="351"/>
      <c r="AN280" s="58"/>
      <c r="AO280" s="59"/>
      <c r="AP280" s="58"/>
      <c r="AQ280" s="59"/>
      <c r="AR280" s="58"/>
      <c r="AS280" s="59"/>
      <c r="AT280" s="58"/>
      <c r="AU280" s="59"/>
      <c r="AV280" s="58"/>
      <c r="AW280" s="59"/>
      <c r="AX280" s="58"/>
      <c r="AY280" s="59"/>
      <c r="AZ280" s="64"/>
      <c r="BA280" s="61"/>
      <c r="BB280" s="64"/>
      <c r="BC280" s="61"/>
      <c r="BD280" s="64"/>
      <c r="BE280" s="61"/>
      <c r="BF280" s="64"/>
      <c r="BG280" s="61"/>
      <c r="BH280" s="64"/>
      <c r="BI280" s="646" t="s">
        <v>298</v>
      </c>
      <c r="BJ280" s="350"/>
      <c r="BK280" s="350"/>
      <c r="BL280" s="350"/>
      <c r="BM280" s="350"/>
      <c r="BN280" s="350"/>
      <c r="BO280" s="350"/>
      <c r="BP280" s="350"/>
      <c r="BQ280" s="350"/>
      <c r="BR280" s="350"/>
      <c r="BS280" s="350"/>
      <c r="BT280" s="350"/>
      <c r="BU280" s="350"/>
      <c r="BV280" s="351"/>
    </row>
    <row r="281" spans="1:74" ht="30" customHeight="1">
      <c r="A281" s="63">
        <f t="shared" si="1"/>
        <v>267</v>
      </c>
      <c r="B281" s="56" t="s">
        <v>325</v>
      </c>
      <c r="C281" s="57"/>
      <c r="D281" s="644"/>
      <c r="E281" s="350"/>
      <c r="F281" s="350"/>
      <c r="G281" s="350"/>
      <c r="H281" s="350"/>
      <c r="I281" s="350"/>
      <c r="J281" s="350"/>
      <c r="K281" s="351"/>
      <c r="L281" s="643"/>
      <c r="M281" s="350"/>
      <c r="N281" s="350"/>
      <c r="O281" s="351"/>
      <c r="P281" s="644"/>
      <c r="Q281" s="350"/>
      <c r="R281" s="350"/>
      <c r="S281" s="351"/>
      <c r="T281" s="643"/>
      <c r="U281" s="350"/>
      <c r="V281" s="350"/>
      <c r="W281" s="351"/>
      <c r="X281" s="644"/>
      <c r="Y281" s="350"/>
      <c r="Z281" s="350"/>
      <c r="AA281" s="351"/>
      <c r="AB281" s="506"/>
      <c r="AC281" s="350"/>
      <c r="AD281" s="351"/>
      <c r="AE281" s="571"/>
      <c r="AF281" s="350"/>
      <c r="AG281" s="351"/>
      <c r="AH281" s="645"/>
      <c r="AI281" s="350"/>
      <c r="AJ281" s="351"/>
      <c r="AK281" s="567"/>
      <c r="AL281" s="350"/>
      <c r="AM281" s="351"/>
      <c r="AN281" s="58"/>
      <c r="AO281" s="59"/>
      <c r="AP281" s="58"/>
      <c r="AQ281" s="59"/>
      <c r="AR281" s="58"/>
      <c r="AS281" s="59"/>
      <c r="AT281" s="58"/>
      <c r="AU281" s="59"/>
      <c r="AV281" s="58"/>
      <c r="AW281" s="59"/>
      <c r="AX281" s="58"/>
      <c r="AY281" s="59"/>
      <c r="AZ281" s="64"/>
      <c r="BA281" s="61"/>
      <c r="BB281" s="64"/>
      <c r="BC281" s="61"/>
      <c r="BD281" s="64"/>
      <c r="BE281" s="61"/>
      <c r="BF281" s="64"/>
      <c r="BG281" s="61"/>
      <c r="BH281" s="64"/>
      <c r="BI281" s="646" t="s">
        <v>298</v>
      </c>
      <c r="BJ281" s="350"/>
      <c r="BK281" s="350"/>
      <c r="BL281" s="350"/>
      <c r="BM281" s="350"/>
      <c r="BN281" s="350"/>
      <c r="BO281" s="350"/>
      <c r="BP281" s="350"/>
      <c r="BQ281" s="350"/>
      <c r="BR281" s="350"/>
      <c r="BS281" s="350"/>
      <c r="BT281" s="350"/>
      <c r="BU281" s="350"/>
      <c r="BV281" s="351"/>
    </row>
    <row r="282" spans="1:74" ht="30" customHeight="1">
      <c r="A282" s="63">
        <f t="shared" si="1"/>
        <v>268</v>
      </c>
      <c r="B282" s="56" t="s">
        <v>325</v>
      </c>
      <c r="C282" s="57"/>
      <c r="D282" s="644"/>
      <c r="E282" s="350"/>
      <c r="F282" s="350"/>
      <c r="G282" s="350"/>
      <c r="H282" s="350"/>
      <c r="I282" s="350"/>
      <c r="J282" s="350"/>
      <c r="K282" s="351"/>
      <c r="L282" s="643"/>
      <c r="M282" s="350"/>
      <c r="N282" s="350"/>
      <c r="O282" s="351"/>
      <c r="P282" s="644"/>
      <c r="Q282" s="350"/>
      <c r="R282" s="350"/>
      <c r="S282" s="351"/>
      <c r="T282" s="643"/>
      <c r="U282" s="350"/>
      <c r="V282" s="350"/>
      <c r="W282" s="351"/>
      <c r="X282" s="644"/>
      <c r="Y282" s="350"/>
      <c r="Z282" s="350"/>
      <c r="AA282" s="351"/>
      <c r="AB282" s="506"/>
      <c r="AC282" s="350"/>
      <c r="AD282" s="351"/>
      <c r="AE282" s="571"/>
      <c r="AF282" s="350"/>
      <c r="AG282" s="351"/>
      <c r="AH282" s="645"/>
      <c r="AI282" s="350"/>
      <c r="AJ282" s="351"/>
      <c r="AK282" s="567"/>
      <c r="AL282" s="350"/>
      <c r="AM282" s="351"/>
      <c r="AN282" s="58"/>
      <c r="AO282" s="59"/>
      <c r="AP282" s="58"/>
      <c r="AQ282" s="59"/>
      <c r="AR282" s="58"/>
      <c r="AS282" s="59"/>
      <c r="AT282" s="58"/>
      <c r="AU282" s="59"/>
      <c r="AV282" s="58"/>
      <c r="AW282" s="59"/>
      <c r="AX282" s="58"/>
      <c r="AY282" s="59"/>
      <c r="AZ282" s="64"/>
      <c r="BA282" s="61"/>
      <c r="BB282" s="64"/>
      <c r="BC282" s="61"/>
      <c r="BD282" s="64"/>
      <c r="BE282" s="61"/>
      <c r="BF282" s="64"/>
      <c r="BG282" s="61"/>
      <c r="BH282" s="64"/>
      <c r="BI282" s="646" t="s">
        <v>298</v>
      </c>
      <c r="BJ282" s="350"/>
      <c r="BK282" s="350"/>
      <c r="BL282" s="350"/>
      <c r="BM282" s="350"/>
      <c r="BN282" s="350"/>
      <c r="BO282" s="350"/>
      <c r="BP282" s="350"/>
      <c r="BQ282" s="350"/>
      <c r="BR282" s="350"/>
      <c r="BS282" s="350"/>
      <c r="BT282" s="350"/>
      <c r="BU282" s="350"/>
      <c r="BV282" s="351"/>
    </row>
    <row r="283" spans="1:74" ht="30" customHeight="1">
      <c r="A283" s="63">
        <f t="shared" si="1"/>
        <v>269</v>
      </c>
      <c r="B283" s="56" t="s">
        <v>325</v>
      </c>
      <c r="C283" s="57"/>
      <c r="D283" s="644"/>
      <c r="E283" s="350"/>
      <c r="F283" s="350"/>
      <c r="G283" s="350"/>
      <c r="H283" s="350"/>
      <c r="I283" s="350"/>
      <c r="J283" s="350"/>
      <c r="K283" s="351"/>
      <c r="L283" s="643"/>
      <c r="M283" s="350"/>
      <c r="N283" s="350"/>
      <c r="O283" s="351"/>
      <c r="P283" s="644"/>
      <c r="Q283" s="350"/>
      <c r="R283" s="350"/>
      <c r="S283" s="351"/>
      <c r="T283" s="643"/>
      <c r="U283" s="350"/>
      <c r="V283" s="350"/>
      <c r="W283" s="351"/>
      <c r="X283" s="644"/>
      <c r="Y283" s="350"/>
      <c r="Z283" s="350"/>
      <c r="AA283" s="351"/>
      <c r="AB283" s="506"/>
      <c r="AC283" s="350"/>
      <c r="AD283" s="351"/>
      <c r="AE283" s="571"/>
      <c r="AF283" s="350"/>
      <c r="AG283" s="351"/>
      <c r="AH283" s="645"/>
      <c r="AI283" s="350"/>
      <c r="AJ283" s="351"/>
      <c r="AK283" s="567"/>
      <c r="AL283" s="350"/>
      <c r="AM283" s="351"/>
      <c r="AN283" s="58"/>
      <c r="AO283" s="59"/>
      <c r="AP283" s="58"/>
      <c r="AQ283" s="59"/>
      <c r="AR283" s="58"/>
      <c r="AS283" s="59"/>
      <c r="AT283" s="58"/>
      <c r="AU283" s="59"/>
      <c r="AV283" s="58"/>
      <c r="AW283" s="59"/>
      <c r="AX283" s="58"/>
      <c r="AY283" s="59"/>
      <c r="AZ283" s="64"/>
      <c r="BA283" s="61"/>
      <c r="BB283" s="64"/>
      <c r="BC283" s="61"/>
      <c r="BD283" s="64"/>
      <c r="BE283" s="61"/>
      <c r="BF283" s="64"/>
      <c r="BG283" s="61"/>
      <c r="BH283" s="64"/>
      <c r="BI283" s="646" t="s">
        <v>298</v>
      </c>
      <c r="BJ283" s="350"/>
      <c r="BK283" s="350"/>
      <c r="BL283" s="350"/>
      <c r="BM283" s="350"/>
      <c r="BN283" s="350"/>
      <c r="BO283" s="350"/>
      <c r="BP283" s="350"/>
      <c r="BQ283" s="350"/>
      <c r="BR283" s="350"/>
      <c r="BS283" s="350"/>
      <c r="BT283" s="350"/>
      <c r="BU283" s="350"/>
      <c r="BV283" s="351"/>
    </row>
    <row r="284" spans="1:74" ht="30" customHeight="1">
      <c r="A284" s="63">
        <f t="shared" si="1"/>
        <v>270</v>
      </c>
      <c r="B284" s="56" t="s">
        <v>325</v>
      </c>
      <c r="C284" s="57"/>
      <c r="D284" s="644"/>
      <c r="E284" s="350"/>
      <c r="F284" s="350"/>
      <c r="G284" s="350"/>
      <c r="H284" s="350"/>
      <c r="I284" s="350"/>
      <c r="J284" s="350"/>
      <c r="K284" s="351"/>
      <c r="L284" s="643"/>
      <c r="M284" s="350"/>
      <c r="N284" s="350"/>
      <c r="O284" s="351"/>
      <c r="P284" s="644"/>
      <c r="Q284" s="350"/>
      <c r="R284" s="350"/>
      <c r="S284" s="351"/>
      <c r="T284" s="643"/>
      <c r="U284" s="350"/>
      <c r="V284" s="350"/>
      <c r="W284" s="351"/>
      <c r="X284" s="644"/>
      <c r="Y284" s="350"/>
      <c r="Z284" s="350"/>
      <c r="AA284" s="351"/>
      <c r="AB284" s="506"/>
      <c r="AC284" s="350"/>
      <c r="AD284" s="351"/>
      <c r="AE284" s="571"/>
      <c r="AF284" s="350"/>
      <c r="AG284" s="351"/>
      <c r="AH284" s="645"/>
      <c r="AI284" s="350"/>
      <c r="AJ284" s="351"/>
      <c r="AK284" s="567"/>
      <c r="AL284" s="350"/>
      <c r="AM284" s="351"/>
      <c r="AN284" s="58"/>
      <c r="AO284" s="59"/>
      <c r="AP284" s="58"/>
      <c r="AQ284" s="59"/>
      <c r="AR284" s="58"/>
      <c r="AS284" s="59"/>
      <c r="AT284" s="58"/>
      <c r="AU284" s="59"/>
      <c r="AV284" s="58"/>
      <c r="AW284" s="59"/>
      <c r="AX284" s="58"/>
      <c r="AY284" s="59"/>
      <c r="AZ284" s="64"/>
      <c r="BA284" s="61"/>
      <c r="BB284" s="64"/>
      <c r="BC284" s="61"/>
      <c r="BD284" s="64"/>
      <c r="BE284" s="61"/>
      <c r="BF284" s="64"/>
      <c r="BG284" s="61"/>
      <c r="BH284" s="64"/>
      <c r="BI284" s="646" t="s">
        <v>294</v>
      </c>
      <c r="BJ284" s="350"/>
      <c r="BK284" s="350"/>
      <c r="BL284" s="350"/>
      <c r="BM284" s="350"/>
      <c r="BN284" s="350"/>
      <c r="BO284" s="350"/>
      <c r="BP284" s="350"/>
      <c r="BQ284" s="350"/>
      <c r="BR284" s="350"/>
      <c r="BS284" s="350"/>
      <c r="BT284" s="350"/>
      <c r="BU284" s="350"/>
      <c r="BV284" s="351"/>
    </row>
    <row r="285" spans="1:74" ht="30" customHeight="1">
      <c r="A285" s="63">
        <f t="shared" si="1"/>
        <v>271</v>
      </c>
      <c r="B285" s="56" t="s">
        <v>325</v>
      </c>
      <c r="C285" s="57"/>
      <c r="D285" s="644"/>
      <c r="E285" s="350"/>
      <c r="F285" s="350"/>
      <c r="G285" s="350"/>
      <c r="H285" s="350"/>
      <c r="I285" s="350"/>
      <c r="J285" s="350"/>
      <c r="K285" s="351"/>
      <c r="L285" s="643"/>
      <c r="M285" s="350"/>
      <c r="N285" s="350"/>
      <c r="O285" s="351"/>
      <c r="P285" s="644"/>
      <c r="Q285" s="350"/>
      <c r="R285" s="350"/>
      <c r="S285" s="351"/>
      <c r="T285" s="643"/>
      <c r="U285" s="350"/>
      <c r="V285" s="350"/>
      <c r="W285" s="351"/>
      <c r="X285" s="644"/>
      <c r="Y285" s="350"/>
      <c r="Z285" s="350"/>
      <c r="AA285" s="351"/>
      <c r="AB285" s="506"/>
      <c r="AC285" s="350"/>
      <c r="AD285" s="351"/>
      <c r="AE285" s="571"/>
      <c r="AF285" s="350"/>
      <c r="AG285" s="351"/>
      <c r="AH285" s="645"/>
      <c r="AI285" s="350"/>
      <c r="AJ285" s="351"/>
      <c r="AK285" s="567"/>
      <c r="AL285" s="350"/>
      <c r="AM285" s="351"/>
      <c r="AN285" s="58"/>
      <c r="AO285" s="59"/>
      <c r="AP285" s="58"/>
      <c r="AQ285" s="59"/>
      <c r="AR285" s="58"/>
      <c r="AS285" s="59"/>
      <c r="AT285" s="58"/>
      <c r="AU285" s="59"/>
      <c r="AV285" s="58"/>
      <c r="AW285" s="59"/>
      <c r="AX285" s="58"/>
      <c r="AY285" s="59"/>
      <c r="AZ285" s="64"/>
      <c r="BA285" s="61"/>
      <c r="BB285" s="64"/>
      <c r="BC285" s="61"/>
      <c r="BD285" s="64"/>
      <c r="BE285" s="61"/>
      <c r="BF285" s="64"/>
      <c r="BG285" s="61"/>
      <c r="BH285" s="64"/>
      <c r="BI285" s="646" t="s">
        <v>294</v>
      </c>
      <c r="BJ285" s="350"/>
      <c r="BK285" s="350"/>
      <c r="BL285" s="350"/>
      <c r="BM285" s="350"/>
      <c r="BN285" s="350"/>
      <c r="BO285" s="350"/>
      <c r="BP285" s="350"/>
      <c r="BQ285" s="350"/>
      <c r="BR285" s="350"/>
      <c r="BS285" s="350"/>
      <c r="BT285" s="350"/>
      <c r="BU285" s="350"/>
      <c r="BV285" s="351"/>
    </row>
    <row r="286" spans="1:74" ht="30" customHeight="1">
      <c r="A286" s="55">
        <f t="shared" si="1"/>
        <v>272</v>
      </c>
      <c r="B286" s="56" t="s">
        <v>325</v>
      </c>
      <c r="C286" s="57"/>
      <c r="D286" s="644"/>
      <c r="E286" s="350"/>
      <c r="F286" s="350"/>
      <c r="G286" s="350"/>
      <c r="H286" s="350"/>
      <c r="I286" s="350"/>
      <c r="J286" s="350"/>
      <c r="K286" s="351"/>
      <c r="L286" s="643"/>
      <c r="M286" s="350"/>
      <c r="N286" s="350"/>
      <c r="O286" s="351"/>
      <c r="P286" s="644"/>
      <c r="Q286" s="350"/>
      <c r="R286" s="350"/>
      <c r="S286" s="351"/>
      <c r="T286" s="643"/>
      <c r="U286" s="350"/>
      <c r="V286" s="350"/>
      <c r="W286" s="351"/>
      <c r="X286" s="644"/>
      <c r="Y286" s="350"/>
      <c r="Z286" s="350"/>
      <c r="AA286" s="351"/>
      <c r="AB286" s="506"/>
      <c r="AC286" s="350"/>
      <c r="AD286" s="351"/>
      <c r="AE286" s="571"/>
      <c r="AF286" s="350"/>
      <c r="AG286" s="351"/>
      <c r="AH286" s="645"/>
      <c r="AI286" s="350"/>
      <c r="AJ286" s="351"/>
      <c r="AK286" s="567"/>
      <c r="AL286" s="350"/>
      <c r="AM286" s="351"/>
      <c r="AN286" s="58"/>
      <c r="AO286" s="59"/>
      <c r="AP286" s="58"/>
      <c r="AQ286" s="59"/>
      <c r="AR286" s="58"/>
      <c r="AS286" s="59"/>
      <c r="AT286" s="58"/>
      <c r="AU286" s="59"/>
      <c r="AV286" s="58"/>
      <c r="AW286" s="59"/>
      <c r="AX286" s="58"/>
      <c r="AY286" s="59"/>
      <c r="AZ286" s="64"/>
      <c r="BA286" s="61"/>
      <c r="BB286" s="64"/>
      <c r="BC286" s="61"/>
      <c r="BD286" s="64"/>
      <c r="BE286" s="61"/>
      <c r="BF286" s="64"/>
      <c r="BG286" s="61"/>
      <c r="BH286" s="64"/>
      <c r="BI286" s="646" t="s">
        <v>298</v>
      </c>
      <c r="BJ286" s="350"/>
      <c r="BK286" s="350"/>
      <c r="BL286" s="350"/>
      <c r="BM286" s="350"/>
      <c r="BN286" s="350"/>
      <c r="BO286" s="350"/>
      <c r="BP286" s="350"/>
      <c r="BQ286" s="350"/>
      <c r="BR286" s="350"/>
      <c r="BS286" s="350"/>
      <c r="BT286" s="350"/>
      <c r="BU286" s="350"/>
      <c r="BV286" s="351"/>
    </row>
    <row r="287" spans="1:74" ht="30" customHeight="1">
      <c r="A287" s="63">
        <f t="shared" si="1"/>
        <v>273</v>
      </c>
      <c r="B287" s="56" t="s">
        <v>325</v>
      </c>
      <c r="C287" s="57"/>
      <c r="D287" s="644"/>
      <c r="E287" s="350"/>
      <c r="F287" s="350"/>
      <c r="G287" s="350"/>
      <c r="H287" s="350"/>
      <c r="I287" s="350"/>
      <c r="J287" s="350"/>
      <c r="K287" s="351"/>
      <c r="L287" s="643"/>
      <c r="M287" s="350"/>
      <c r="N287" s="350"/>
      <c r="O287" s="351"/>
      <c r="P287" s="644"/>
      <c r="Q287" s="350"/>
      <c r="R287" s="350"/>
      <c r="S287" s="351"/>
      <c r="T287" s="643"/>
      <c r="U287" s="350"/>
      <c r="V287" s="350"/>
      <c r="W287" s="351"/>
      <c r="X287" s="644"/>
      <c r="Y287" s="350"/>
      <c r="Z287" s="350"/>
      <c r="AA287" s="351"/>
      <c r="AB287" s="506"/>
      <c r="AC287" s="350"/>
      <c r="AD287" s="351"/>
      <c r="AE287" s="571"/>
      <c r="AF287" s="350"/>
      <c r="AG287" s="351"/>
      <c r="AH287" s="645"/>
      <c r="AI287" s="350"/>
      <c r="AJ287" s="351"/>
      <c r="AK287" s="567"/>
      <c r="AL287" s="350"/>
      <c r="AM287" s="351"/>
      <c r="AN287" s="58"/>
      <c r="AO287" s="59"/>
      <c r="AP287" s="58"/>
      <c r="AQ287" s="59"/>
      <c r="AR287" s="58"/>
      <c r="AS287" s="59"/>
      <c r="AT287" s="58"/>
      <c r="AU287" s="59"/>
      <c r="AV287" s="58"/>
      <c r="AW287" s="59"/>
      <c r="AX287" s="58"/>
      <c r="AY287" s="59"/>
      <c r="AZ287" s="64"/>
      <c r="BA287" s="61"/>
      <c r="BB287" s="64"/>
      <c r="BC287" s="61"/>
      <c r="BD287" s="64"/>
      <c r="BE287" s="61"/>
      <c r="BF287" s="64"/>
      <c r="BG287" s="61"/>
      <c r="BH287" s="64"/>
      <c r="BI287" s="646" t="s">
        <v>298</v>
      </c>
      <c r="BJ287" s="350"/>
      <c r="BK287" s="350"/>
      <c r="BL287" s="350"/>
      <c r="BM287" s="350"/>
      <c r="BN287" s="350"/>
      <c r="BO287" s="350"/>
      <c r="BP287" s="350"/>
      <c r="BQ287" s="350"/>
      <c r="BR287" s="350"/>
      <c r="BS287" s="350"/>
      <c r="BT287" s="350"/>
      <c r="BU287" s="350"/>
      <c r="BV287" s="351"/>
    </row>
    <row r="288" spans="1:74" ht="30" customHeight="1">
      <c r="A288" s="63">
        <f t="shared" si="1"/>
        <v>274</v>
      </c>
      <c r="B288" s="56" t="s">
        <v>325</v>
      </c>
      <c r="C288" s="57"/>
      <c r="D288" s="644"/>
      <c r="E288" s="350"/>
      <c r="F288" s="350"/>
      <c r="G288" s="350"/>
      <c r="H288" s="350"/>
      <c r="I288" s="350"/>
      <c r="J288" s="350"/>
      <c r="K288" s="351"/>
      <c r="L288" s="643"/>
      <c r="M288" s="350"/>
      <c r="N288" s="350"/>
      <c r="O288" s="351"/>
      <c r="P288" s="644"/>
      <c r="Q288" s="350"/>
      <c r="R288" s="350"/>
      <c r="S288" s="351"/>
      <c r="T288" s="643"/>
      <c r="U288" s="350"/>
      <c r="V288" s="350"/>
      <c r="W288" s="351"/>
      <c r="X288" s="644"/>
      <c r="Y288" s="350"/>
      <c r="Z288" s="350"/>
      <c r="AA288" s="351"/>
      <c r="AB288" s="506"/>
      <c r="AC288" s="350"/>
      <c r="AD288" s="351"/>
      <c r="AE288" s="571"/>
      <c r="AF288" s="350"/>
      <c r="AG288" s="351"/>
      <c r="AH288" s="645"/>
      <c r="AI288" s="350"/>
      <c r="AJ288" s="351"/>
      <c r="AK288" s="567"/>
      <c r="AL288" s="350"/>
      <c r="AM288" s="351"/>
      <c r="AN288" s="58"/>
      <c r="AO288" s="59"/>
      <c r="AP288" s="58"/>
      <c r="AQ288" s="59"/>
      <c r="AR288" s="58"/>
      <c r="AS288" s="59"/>
      <c r="AT288" s="58"/>
      <c r="AU288" s="59"/>
      <c r="AV288" s="58"/>
      <c r="AW288" s="59"/>
      <c r="AX288" s="58"/>
      <c r="AY288" s="59"/>
      <c r="AZ288" s="64"/>
      <c r="BA288" s="61"/>
      <c r="BB288" s="64"/>
      <c r="BC288" s="61"/>
      <c r="BD288" s="64"/>
      <c r="BE288" s="61"/>
      <c r="BF288" s="64"/>
      <c r="BG288" s="61"/>
      <c r="BH288" s="64"/>
      <c r="BI288" s="646" t="s">
        <v>298</v>
      </c>
      <c r="BJ288" s="350"/>
      <c r="BK288" s="350"/>
      <c r="BL288" s="350"/>
      <c r="BM288" s="350"/>
      <c r="BN288" s="350"/>
      <c r="BO288" s="350"/>
      <c r="BP288" s="350"/>
      <c r="BQ288" s="350"/>
      <c r="BR288" s="350"/>
      <c r="BS288" s="350"/>
      <c r="BT288" s="350"/>
      <c r="BU288" s="350"/>
      <c r="BV288" s="351"/>
    </row>
    <row r="289" spans="1:74" ht="30" customHeight="1">
      <c r="A289" s="63">
        <f t="shared" si="1"/>
        <v>275</v>
      </c>
      <c r="B289" s="56" t="s">
        <v>325</v>
      </c>
      <c r="C289" s="57"/>
      <c r="D289" s="644"/>
      <c r="E289" s="350"/>
      <c r="F289" s="350"/>
      <c r="G289" s="350"/>
      <c r="H289" s="350"/>
      <c r="I289" s="350"/>
      <c r="J289" s="350"/>
      <c r="K289" s="351"/>
      <c r="L289" s="643"/>
      <c r="M289" s="350"/>
      <c r="N289" s="350"/>
      <c r="O289" s="351"/>
      <c r="P289" s="644"/>
      <c r="Q289" s="350"/>
      <c r="R289" s="350"/>
      <c r="S289" s="351"/>
      <c r="T289" s="643"/>
      <c r="U289" s="350"/>
      <c r="V289" s="350"/>
      <c r="W289" s="351"/>
      <c r="X289" s="644"/>
      <c r="Y289" s="350"/>
      <c r="Z289" s="350"/>
      <c r="AA289" s="351"/>
      <c r="AB289" s="506"/>
      <c r="AC289" s="350"/>
      <c r="AD289" s="351"/>
      <c r="AE289" s="571"/>
      <c r="AF289" s="350"/>
      <c r="AG289" s="351"/>
      <c r="AH289" s="645"/>
      <c r="AI289" s="350"/>
      <c r="AJ289" s="351"/>
      <c r="AK289" s="567"/>
      <c r="AL289" s="350"/>
      <c r="AM289" s="351"/>
      <c r="AN289" s="58"/>
      <c r="AO289" s="59"/>
      <c r="AP289" s="58"/>
      <c r="AQ289" s="59"/>
      <c r="AR289" s="58"/>
      <c r="AS289" s="59"/>
      <c r="AT289" s="58"/>
      <c r="AU289" s="59"/>
      <c r="AV289" s="58"/>
      <c r="AW289" s="59"/>
      <c r="AX289" s="58"/>
      <c r="AY289" s="59"/>
      <c r="AZ289" s="64"/>
      <c r="BA289" s="61"/>
      <c r="BB289" s="64"/>
      <c r="BC289" s="61"/>
      <c r="BD289" s="64"/>
      <c r="BE289" s="61"/>
      <c r="BF289" s="64"/>
      <c r="BG289" s="61"/>
      <c r="BH289" s="64"/>
      <c r="BI289" s="646" t="s">
        <v>298</v>
      </c>
      <c r="BJ289" s="350"/>
      <c r="BK289" s="350"/>
      <c r="BL289" s="350"/>
      <c r="BM289" s="350"/>
      <c r="BN289" s="350"/>
      <c r="BO289" s="350"/>
      <c r="BP289" s="350"/>
      <c r="BQ289" s="350"/>
      <c r="BR289" s="350"/>
      <c r="BS289" s="350"/>
      <c r="BT289" s="350"/>
      <c r="BU289" s="350"/>
      <c r="BV289" s="351"/>
    </row>
    <row r="290" spans="1:74" ht="30" customHeight="1">
      <c r="A290" s="63">
        <f t="shared" si="1"/>
        <v>276</v>
      </c>
      <c r="B290" s="56" t="s">
        <v>325</v>
      </c>
      <c r="C290" s="57"/>
      <c r="D290" s="644"/>
      <c r="E290" s="350"/>
      <c r="F290" s="350"/>
      <c r="G290" s="350"/>
      <c r="H290" s="350"/>
      <c r="I290" s="350"/>
      <c r="J290" s="350"/>
      <c r="K290" s="351"/>
      <c r="L290" s="643"/>
      <c r="M290" s="350"/>
      <c r="N290" s="350"/>
      <c r="O290" s="351"/>
      <c r="P290" s="644"/>
      <c r="Q290" s="350"/>
      <c r="R290" s="350"/>
      <c r="S290" s="351"/>
      <c r="T290" s="643"/>
      <c r="U290" s="350"/>
      <c r="V290" s="350"/>
      <c r="W290" s="351"/>
      <c r="X290" s="644"/>
      <c r="Y290" s="350"/>
      <c r="Z290" s="350"/>
      <c r="AA290" s="351"/>
      <c r="AB290" s="506"/>
      <c r="AC290" s="350"/>
      <c r="AD290" s="351"/>
      <c r="AE290" s="571"/>
      <c r="AF290" s="350"/>
      <c r="AG290" s="351"/>
      <c r="AH290" s="645"/>
      <c r="AI290" s="350"/>
      <c r="AJ290" s="351"/>
      <c r="AK290" s="567"/>
      <c r="AL290" s="350"/>
      <c r="AM290" s="351"/>
      <c r="AN290" s="58"/>
      <c r="AO290" s="59"/>
      <c r="AP290" s="58"/>
      <c r="AQ290" s="59"/>
      <c r="AR290" s="58"/>
      <c r="AS290" s="59"/>
      <c r="AT290" s="58"/>
      <c r="AU290" s="59"/>
      <c r="AV290" s="58"/>
      <c r="AW290" s="59"/>
      <c r="AX290" s="58"/>
      <c r="AY290" s="59"/>
      <c r="AZ290" s="64"/>
      <c r="BA290" s="61"/>
      <c r="BB290" s="64"/>
      <c r="BC290" s="61"/>
      <c r="BD290" s="64"/>
      <c r="BE290" s="61"/>
      <c r="BF290" s="64"/>
      <c r="BG290" s="61"/>
      <c r="BH290" s="64"/>
      <c r="BI290" s="646" t="s">
        <v>298</v>
      </c>
      <c r="BJ290" s="350"/>
      <c r="BK290" s="350"/>
      <c r="BL290" s="350"/>
      <c r="BM290" s="350"/>
      <c r="BN290" s="350"/>
      <c r="BO290" s="350"/>
      <c r="BP290" s="350"/>
      <c r="BQ290" s="350"/>
      <c r="BR290" s="350"/>
      <c r="BS290" s="350"/>
      <c r="BT290" s="350"/>
      <c r="BU290" s="350"/>
      <c r="BV290" s="351"/>
    </row>
    <row r="291" spans="1:74" ht="30" customHeight="1">
      <c r="A291" s="63">
        <f t="shared" si="1"/>
        <v>277</v>
      </c>
      <c r="B291" s="56" t="s">
        <v>325</v>
      </c>
      <c r="C291" s="57"/>
      <c r="D291" s="644"/>
      <c r="E291" s="350"/>
      <c r="F291" s="350"/>
      <c r="G291" s="350"/>
      <c r="H291" s="350"/>
      <c r="I291" s="350"/>
      <c r="J291" s="350"/>
      <c r="K291" s="351"/>
      <c r="L291" s="643"/>
      <c r="M291" s="350"/>
      <c r="N291" s="350"/>
      <c r="O291" s="351"/>
      <c r="P291" s="644"/>
      <c r="Q291" s="350"/>
      <c r="R291" s="350"/>
      <c r="S291" s="351"/>
      <c r="T291" s="643"/>
      <c r="U291" s="350"/>
      <c r="V291" s="350"/>
      <c r="W291" s="351"/>
      <c r="X291" s="644"/>
      <c r="Y291" s="350"/>
      <c r="Z291" s="350"/>
      <c r="AA291" s="351"/>
      <c r="AB291" s="506"/>
      <c r="AC291" s="350"/>
      <c r="AD291" s="351"/>
      <c r="AE291" s="571"/>
      <c r="AF291" s="350"/>
      <c r="AG291" s="351"/>
      <c r="AH291" s="645"/>
      <c r="AI291" s="350"/>
      <c r="AJ291" s="351"/>
      <c r="AK291" s="567"/>
      <c r="AL291" s="350"/>
      <c r="AM291" s="351"/>
      <c r="AN291" s="58"/>
      <c r="AO291" s="59"/>
      <c r="AP291" s="58"/>
      <c r="AQ291" s="59"/>
      <c r="AR291" s="58"/>
      <c r="AS291" s="59"/>
      <c r="AT291" s="58"/>
      <c r="AU291" s="59"/>
      <c r="AV291" s="58"/>
      <c r="AW291" s="59"/>
      <c r="AX291" s="58"/>
      <c r="AY291" s="59"/>
      <c r="AZ291" s="64"/>
      <c r="BA291" s="61"/>
      <c r="BB291" s="64"/>
      <c r="BC291" s="61"/>
      <c r="BD291" s="64"/>
      <c r="BE291" s="61"/>
      <c r="BF291" s="64"/>
      <c r="BG291" s="61"/>
      <c r="BH291" s="64"/>
      <c r="BI291" s="646" t="s">
        <v>294</v>
      </c>
      <c r="BJ291" s="350"/>
      <c r="BK291" s="350"/>
      <c r="BL291" s="350"/>
      <c r="BM291" s="350"/>
      <c r="BN291" s="350"/>
      <c r="BO291" s="350"/>
      <c r="BP291" s="350"/>
      <c r="BQ291" s="350"/>
      <c r="BR291" s="350"/>
      <c r="BS291" s="350"/>
      <c r="BT291" s="350"/>
      <c r="BU291" s="350"/>
      <c r="BV291" s="351"/>
    </row>
    <row r="292" spans="1:74" ht="30" customHeight="1">
      <c r="A292" s="63">
        <f t="shared" si="1"/>
        <v>278</v>
      </c>
      <c r="B292" s="56" t="s">
        <v>325</v>
      </c>
      <c r="C292" s="57"/>
      <c r="D292" s="644"/>
      <c r="E292" s="350"/>
      <c r="F292" s="350"/>
      <c r="G292" s="350"/>
      <c r="H292" s="350"/>
      <c r="I292" s="350"/>
      <c r="J292" s="350"/>
      <c r="K292" s="351"/>
      <c r="L292" s="643"/>
      <c r="M292" s="350"/>
      <c r="N292" s="350"/>
      <c r="O292" s="351"/>
      <c r="P292" s="644"/>
      <c r="Q292" s="350"/>
      <c r="R292" s="350"/>
      <c r="S292" s="351"/>
      <c r="T292" s="643"/>
      <c r="U292" s="350"/>
      <c r="V292" s="350"/>
      <c r="W292" s="351"/>
      <c r="X292" s="644"/>
      <c r="Y292" s="350"/>
      <c r="Z292" s="350"/>
      <c r="AA292" s="351"/>
      <c r="AB292" s="506"/>
      <c r="AC292" s="350"/>
      <c r="AD292" s="351"/>
      <c r="AE292" s="571"/>
      <c r="AF292" s="350"/>
      <c r="AG292" s="351"/>
      <c r="AH292" s="645"/>
      <c r="AI292" s="350"/>
      <c r="AJ292" s="351"/>
      <c r="AK292" s="567"/>
      <c r="AL292" s="350"/>
      <c r="AM292" s="351"/>
      <c r="AN292" s="58"/>
      <c r="AO292" s="59"/>
      <c r="AP292" s="58"/>
      <c r="AQ292" s="59"/>
      <c r="AR292" s="58"/>
      <c r="AS292" s="59"/>
      <c r="AT292" s="58"/>
      <c r="AU292" s="59"/>
      <c r="AV292" s="58"/>
      <c r="AW292" s="59"/>
      <c r="AX292" s="58"/>
      <c r="AY292" s="59"/>
      <c r="AZ292" s="64"/>
      <c r="BA292" s="61"/>
      <c r="BB292" s="64"/>
      <c r="BC292" s="61"/>
      <c r="BD292" s="64"/>
      <c r="BE292" s="61"/>
      <c r="BF292" s="64"/>
      <c r="BG292" s="61"/>
      <c r="BH292" s="64"/>
      <c r="BI292" s="646" t="s">
        <v>294</v>
      </c>
      <c r="BJ292" s="350"/>
      <c r="BK292" s="350"/>
      <c r="BL292" s="350"/>
      <c r="BM292" s="350"/>
      <c r="BN292" s="350"/>
      <c r="BO292" s="350"/>
      <c r="BP292" s="350"/>
      <c r="BQ292" s="350"/>
      <c r="BR292" s="350"/>
      <c r="BS292" s="350"/>
      <c r="BT292" s="350"/>
      <c r="BU292" s="350"/>
      <c r="BV292" s="351"/>
    </row>
    <row r="293" spans="1:74" ht="30" customHeight="1">
      <c r="A293" s="55">
        <f t="shared" si="1"/>
        <v>279</v>
      </c>
      <c r="B293" s="56" t="s">
        <v>325</v>
      </c>
      <c r="C293" s="57"/>
      <c r="D293" s="644"/>
      <c r="E293" s="350"/>
      <c r="F293" s="350"/>
      <c r="G293" s="350"/>
      <c r="H293" s="350"/>
      <c r="I293" s="350"/>
      <c r="J293" s="350"/>
      <c r="K293" s="351"/>
      <c r="L293" s="643"/>
      <c r="M293" s="350"/>
      <c r="N293" s="350"/>
      <c r="O293" s="351"/>
      <c r="P293" s="644"/>
      <c r="Q293" s="350"/>
      <c r="R293" s="350"/>
      <c r="S293" s="351"/>
      <c r="T293" s="643"/>
      <c r="U293" s="350"/>
      <c r="V293" s="350"/>
      <c r="W293" s="351"/>
      <c r="X293" s="644"/>
      <c r="Y293" s="350"/>
      <c r="Z293" s="350"/>
      <c r="AA293" s="351"/>
      <c r="AB293" s="506"/>
      <c r="AC293" s="350"/>
      <c r="AD293" s="351"/>
      <c r="AE293" s="571"/>
      <c r="AF293" s="350"/>
      <c r="AG293" s="351"/>
      <c r="AH293" s="645"/>
      <c r="AI293" s="350"/>
      <c r="AJ293" s="351"/>
      <c r="AK293" s="567"/>
      <c r="AL293" s="350"/>
      <c r="AM293" s="351"/>
      <c r="AN293" s="58"/>
      <c r="AO293" s="59"/>
      <c r="AP293" s="58"/>
      <c r="AQ293" s="59"/>
      <c r="AR293" s="58"/>
      <c r="AS293" s="59"/>
      <c r="AT293" s="58"/>
      <c r="AU293" s="59"/>
      <c r="AV293" s="58"/>
      <c r="AW293" s="59"/>
      <c r="AX293" s="58"/>
      <c r="AY293" s="59"/>
      <c r="AZ293" s="64"/>
      <c r="BA293" s="61"/>
      <c r="BB293" s="64"/>
      <c r="BC293" s="61"/>
      <c r="BD293" s="64"/>
      <c r="BE293" s="61"/>
      <c r="BF293" s="64"/>
      <c r="BG293" s="61"/>
      <c r="BH293" s="64"/>
      <c r="BI293" s="646" t="s">
        <v>298</v>
      </c>
      <c r="BJ293" s="350"/>
      <c r="BK293" s="350"/>
      <c r="BL293" s="350"/>
      <c r="BM293" s="350"/>
      <c r="BN293" s="350"/>
      <c r="BO293" s="350"/>
      <c r="BP293" s="350"/>
      <c r="BQ293" s="350"/>
      <c r="BR293" s="350"/>
      <c r="BS293" s="350"/>
      <c r="BT293" s="350"/>
      <c r="BU293" s="350"/>
      <c r="BV293" s="351"/>
    </row>
    <row r="294" spans="1:74" ht="30" customHeight="1">
      <c r="A294" s="63">
        <f t="shared" si="1"/>
        <v>280</v>
      </c>
      <c r="B294" s="56" t="s">
        <v>325</v>
      </c>
      <c r="C294" s="57"/>
      <c r="D294" s="644"/>
      <c r="E294" s="350"/>
      <c r="F294" s="350"/>
      <c r="G294" s="350"/>
      <c r="H294" s="350"/>
      <c r="I294" s="350"/>
      <c r="J294" s="350"/>
      <c r="K294" s="351"/>
      <c r="L294" s="643"/>
      <c r="M294" s="350"/>
      <c r="N294" s="350"/>
      <c r="O294" s="351"/>
      <c r="P294" s="644"/>
      <c r="Q294" s="350"/>
      <c r="R294" s="350"/>
      <c r="S294" s="351"/>
      <c r="T294" s="643"/>
      <c r="U294" s="350"/>
      <c r="V294" s="350"/>
      <c r="W294" s="351"/>
      <c r="X294" s="644"/>
      <c r="Y294" s="350"/>
      <c r="Z294" s="350"/>
      <c r="AA294" s="351"/>
      <c r="AB294" s="506"/>
      <c r="AC294" s="350"/>
      <c r="AD294" s="351"/>
      <c r="AE294" s="571"/>
      <c r="AF294" s="350"/>
      <c r="AG294" s="351"/>
      <c r="AH294" s="645"/>
      <c r="AI294" s="350"/>
      <c r="AJ294" s="351"/>
      <c r="AK294" s="567"/>
      <c r="AL294" s="350"/>
      <c r="AM294" s="351"/>
      <c r="AN294" s="58"/>
      <c r="AO294" s="59"/>
      <c r="AP294" s="58"/>
      <c r="AQ294" s="59"/>
      <c r="AR294" s="58"/>
      <c r="AS294" s="59"/>
      <c r="AT294" s="58"/>
      <c r="AU294" s="59"/>
      <c r="AV294" s="58"/>
      <c r="AW294" s="59"/>
      <c r="AX294" s="58"/>
      <c r="AY294" s="59"/>
      <c r="AZ294" s="64"/>
      <c r="BA294" s="61"/>
      <c r="BB294" s="64"/>
      <c r="BC294" s="61"/>
      <c r="BD294" s="64"/>
      <c r="BE294" s="61"/>
      <c r="BF294" s="64"/>
      <c r="BG294" s="61"/>
      <c r="BH294" s="64"/>
      <c r="BI294" s="646" t="s">
        <v>298</v>
      </c>
      <c r="BJ294" s="350"/>
      <c r="BK294" s="350"/>
      <c r="BL294" s="350"/>
      <c r="BM294" s="350"/>
      <c r="BN294" s="350"/>
      <c r="BO294" s="350"/>
      <c r="BP294" s="350"/>
      <c r="BQ294" s="350"/>
      <c r="BR294" s="350"/>
      <c r="BS294" s="350"/>
      <c r="BT294" s="350"/>
      <c r="BU294" s="350"/>
      <c r="BV294" s="351"/>
    </row>
    <row r="295" spans="1:74" ht="30" customHeight="1">
      <c r="A295" s="63">
        <f t="shared" si="1"/>
        <v>281</v>
      </c>
      <c r="B295" s="56" t="s">
        <v>325</v>
      </c>
      <c r="C295" s="57"/>
      <c r="D295" s="644"/>
      <c r="E295" s="350"/>
      <c r="F295" s="350"/>
      <c r="G295" s="350"/>
      <c r="H295" s="350"/>
      <c r="I295" s="350"/>
      <c r="J295" s="350"/>
      <c r="K295" s="351"/>
      <c r="L295" s="643"/>
      <c r="M295" s="350"/>
      <c r="N295" s="350"/>
      <c r="O295" s="351"/>
      <c r="P295" s="644"/>
      <c r="Q295" s="350"/>
      <c r="R295" s="350"/>
      <c r="S295" s="351"/>
      <c r="T295" s="643"/>
      <c r="U295" s="350"/>
      <c r="V295" s="350"/>
      <c r="W295" s="351"/>
      <c r="X295" s="644"/>
      <c r="Y295" s="350"/>
      <c r="Z295" s="350"/>
      <c r="AA295" s="351"/>
      <c r="AB295" s="506"/>
      <c r="AC295" s="350"/>
      <c r="AD295" s="351"/>
      <c r="AE295" s="571"/>
      <c r="AF295" s="350"/>
      <c r="AG295" s="351"/>
      <c r="AH295" s="645"/>
      <c r="AI295" s="350"/>
      <c r="AJ295" s="351"/>
      <c r="AK295" s="567"/>
      <c r="AL295" s="350"/>
      <c r="AM295" s="351"/>
      <c r="AN295" s="58"/>
      <c r="AO295" s="59"/>
      <c r="AP295" s="58"/>
      <c r="AQ295" s="59"/>
      <c r="AR295" s="58"/>
      <c r="AS295" s="59"/>
      <c r="AT295" s="58"/>
      <c r="AU295" s="59"/>
      <c r="AV295" s="58"/>
      <c r="AW295" s="59"/>
      <c r="AX295" s="58"/>
      <c r="AY295" s="59"/>
      <c r="AZ295" s="64"/>
      <c r="BA295" s="61"/>
      <c r="BB295" s="64"/>
      <c r="BC295" s="61"/>
      <c r="BD295" s="64"/>
      <c r="BE295" s="61"/>
      <c r="BF295" s="64"/>
      <c r="BG295" s="61"/>
      <c r="BH295" s="64"/>
      <c r="BI295" s="646" t="s">
        <v>298</v>
      </c>
      <c r="BJ295" s="350"/>
      <c r="BK295" s="350"/>
      <c r="BL295" s="350"/>
      <c r="BM295" s="350"/>
      <c r="BN295" s="350"/>
      <c r="BO295" s="350"/>
      <c r="BP295" s="350"/>
      <c r="BQ295" s="350"/>
      <c r="BR295" s="350"/>
      <c r="BS295" s="350"/>
      <c r="BT295" s="350"/>
      <c r="BU295" s="350"/>
      <c r="BV295" s="351"/>
    </row>
    <row r="296" spans="1:74" ht="30" customHeight="1">
      <c r="A296" s="63">
        <f t="shared" si="1"/>
        <v>282</v>
      </c>
      <c r="B296" s="56" t="s">
        <v>325</v>
      </c>
      <c r="C296" s="57"/>
      <c r="D296" s="644"/>
      <c r="E296" s="350"/>
      <c r="F296" s="350"/>
      <c r="G296" s="350"/>
      <c r="H296" s="350"/>
      <c r="I296" s="350"/>
      <c r="J296" s="350"/>
      <c r="K296" s="351"/>
      <c r="L296" s="643"/>
      <c r="M296" s="350"/>
      <c r="N296" s="350"/>
      <c r="O296" s="351"/>
      <c r="P296" s="644"/>
      <c r="Q296" s="350"/>
      <c r="R296" s="350"/>
      <c r="S296" s="351"/>
      <c r="T296" s="643"/>
      <c r="U296" s="350"/>
      <c r="V296" s="350"/>
      <c r="W296" s="351"/>
      <c r="X296" s="644"/>
      <c r="Y296" s="350"/>
      <c r="Z296" s="350"/>
      <c r="AA296" s="351"/>
      <c r="AB296" s="506"/>
      <c r="AC296" s="350"/>
      <c r="AD296" s="351"/>
      <c r="AE296" s="571"/>
      <c r="AF296" s="350"/>
      <c r="AG296" s="351"/>
      <c r="AH296" s="645"/>
      <c r="AI296" s="350"/>
      <c r="AJ296" s="351"/>
      <c r="AK296" s="567"/>
      <c r="AL296" s="350"/>
      <c r="AM296" s="351"/>
      <c r="AN296" s="58"/>
      <c r="AO296" s="59"/>
      <c r="AP296" s="58"/>
      <c r="AQ296" s="59"/>
      <c r="AR296" s="58"/>
      <c r="AS296" s="59"/>
      <c r="AT296" s="58"/>
      <c r="AU296" s="59"/>
      <c r="AV296" s="58"/>
      <c r="AW296" s="59"/>
      <c r="AX296" s="58"/>
      <c r="AY296" s="59"/>
      <c r="AZ296" s="64"/>
      <c r="BA296" s="61"/>
      <c r="BB296" s="64"/>
      <c r="BC296" s="61"/>
      <c r="BD296" s="64"/>
      <c r="BE296" s="61"/>
      <c r="BF296" s="64"/>
      <c r="BG296" s="61"/>
      <c r="BH296" s="64"/>
      <c r="BI296" s="646" t="s">
        <v>298</v>
      </c>
      <c r="BJ296" s="350"/>
      <c r="BK296" s="350"/>
      <c r="BL296" s="350"/>
      <c r="BM296" s="350"/>
      <c r="BN296" s="350"/>
      <c r="BO296" s="350"/>
      <c r="BP296" s="350"/>
      <c r="BQ296" s="350"/>
      <c r="BR296" s="350"/>
      <c r="BS296" s="350"/>
      <c r="BT296" s="350"/>
      <c r="BU296" s="350"/>
      <c r="BV296" s="351"/>
    </row>
    <row r="297" spans="1:74" ht="30" customHeight="1">
      <c r="A297" s="63">
        <f t="shared" si="1"/>
        <v>283</v>
      </c>
      <c r="B297" s="56" t="s">
        <v>325</v>
      </c>
      <c r="C297" s="57"/>
      <c r="D297" s="644"/>
      <c r="E297" s="350"/>
      <c r="F297" s="350"/>
      <c r="G297" s="350"/>
      <c r="H297" s="350"/>
      <c r="I297" s="350"/>
      <c r="J297" s="350"/>
      <c r="K297" s="351"/>
      <c r="L297" s="643"/>
      <c r="M297" s="350"/>
      <c r="N297" s="350"/>
      <c r="O297" s="351"/>
      <c r="P297" s="644"/>
      <c r="Q297" s="350"/>
      <c r="R297" s="350"/>
      <c r="S297" s="351"/>
      <c r="T297" s="643"/>
      <c r="U297" s="350"/>
      <c r="V297" s="350"/>
      <c r="W297" s="351"/>
      <c r="X297" s="644"/>
      <c r="Y297" s="350"/>
      <c r="Z297" s="350"/>
      <c r="AA297" s="351"/>
      <c r="AB297" s="506"/>
      <c r="AC297" s="350"/>
      <c r="AD297" s="351"/>
      <c r="AE297" s="571"/>
      <c r="AF297" s="350"/>
      <c r="AG297" s="351"/>
      <c r="AH297" s="645"/>
      <c r="AI297" s="350"/>
      <c r="AJ297" s="351"/>
      <c r="AK297" s="567"/>
      <c r="AL297" s="350"/>
      <c r="AM297" s="351"/>
      <c r="AN297" s="58"/>
      <c r="AO297" s="59"/>
      <c r="AP297" s="58"/>
      <c r="AQ297" s="59"/>
      <c r="AR297" s="58"/>
      <c r="AS297" s="59"/>
      <c r="AT297" s="58"/>
      <c r="AU297" s="59"/>
      <c r="AV297" s="58"/>
      <c r="AW297" s="59"/>
      <c r="AX297" s="58"/>
      <c r="AY297" s="59"/>
      <c r="AZ297" s="64"/>
      <c r="BA297" s="61"/>
      <c r="BB297" s="64"/>
      <c r="BC297" s="61"/>
      <c r="BD297" s="64"/>
      <c r="BE297" s="61"/>
      <c r="BF297" s="64"/>
      <c r="BG297" s="61"/>
      <c r="BH297" s="64"/>
      <c r="BI297" s="646" t="s">
        <v>298</v>
      </c>
      <c r="BJ297" s="350"/>
      <c r="BK297" s="350"/>
      <c r="BL297" s="350"/>
      <c r="BM297" s="350"/>
      <c r="BN297" s="350"/>
      <c r="BO297" s="350"/>
      <c r="BP297" s="350"/>
      <c r="BQ297" s="350"/>
      <c r="BR297" s="350"/>
      <c r="BS297" s="350"/>
      <c r="BT297" s="350"/>
      <c r="BU297" s="350"/>
      <c r="BV297" s="351"/>
    </row>
    <row r="298" spans="1:74" ht="30" customHeight="1">
      <c r="A298" s="63">
        <f t="shared" si="1"/>
        <v>284</v>
      </c>
      <c r="B298" s="56" t="s">
        <v>325</v>
      </c>
      <c r="C298" s="57"/>
      <c r="D298" s="644"/>
      <c r="E298" s="350"/>
      <c r="F298" s="350"/>
      <c r="G298" s="350"/>
      <c r="H298" s="350"/>
      <c r="I298" s="350"/>
      <c r="J298" s="350"/>
      <c r="K298" s="351"/>
      <c r="L298" s="643"/>
      <c r="M298" s="350"/>
      <c r="N298" s="350"/>
      <c r="O298" s="351"/>
      <c r="P298" s="644"/>
      <c r="Q298" s="350"/>
      <c r="R298" s="350"/>
      <c r="S298" s="351"/>
      <c r="T298" s="643"/>
      <c r="U298" s="350"/>
      <c r="V298" s="350"/>
      <c r="W298" s="351"/>
      <c r="X298" s="644"/>
      <c r="Y298" s="350"/>
      <c r="Z298" s="350"/>
      <c r="AA298" s="351"/>
      <c r="AB298" s="506"/>
      <c r="AC298" s="350"/>
      <c r="AD298" s="351"/>
      <c r="AE298" s="571"/>
      <c r="AF298" s="350"/>
      <c r="AG298" s="351"/>
      <c r="AH298" s="645"/>
      <c r="AI298" s="350"/>
      <c r="AJ298" s="351"/>
      <c r="AK298" s="567"/>
      <c r="AL298" s="350"/>
      <c r="AM298" s="351"/>
      <c r="AN298" s="58"/>
      <c r="AO298" s="59"/>
      <c r="AP298" s="58"/>
      <c r="AQ298" s="59"/>
      <c r="AR298" s="58"/>
      <c r="AS298" s="59"/>
      <c r="AT298" s="58"/>
      <c r="AU298" s="59"/>
      <c r="AV298" s="58"/>
      <c r="AW298" s="59"/>
      <c r="AX298" s="58"/>
      <c r="AY298" s="59"/>
      <c r="AZ298" s="64"/>
      <c r="BA298" s="61"/>
      <c r="BB298" s="64"/>
      <c r="BC298" s="61"/>
      <c r="BD298" s="64"/>
      <c r="BE298" s="61"/>
      <c r="BF298" s="64"/>
      <c r="BG298" s="61"/>
      <c r="BH298" s="64"/>
      <c r="BI298" s="646" t="s">
        <v>294</v>
      </c>
      <c r="BJ298" s="350"/>
      <c r="BK298" s="350"/>
      <c r="BL298" s="350"/>
      <c r="BM298" s="350"/>
      <c r="BN298" s="350"/>
      <c r="BO298" s="350"/>
      <c r="BP298" s="350"/>
      <c r="BQ298" s="350"/>
      <c r="BR298" s="350"/>
      <c r="BS298" s="350"/>
      <c r="BT298" s="350"/>
      <c r="BU298" s="350"/>
      <c r="BV298" s="351"/>
    </row>
    <row r="299" spans="1:74" ht="30" customHeight="1">
      <c r="A299" s="63">
        <f t="shared" si="1"/>
        <v>285</v>
      </c>
      <c r="B299" s="56" t="s">
        <v>325</v>
      </c>
      <c r="C299" s="57"/>
      <c r="D299" s="644"/>
      <c r="E299" s="350"/>
      <c r="F299" s="350"/>
      <c r="G299" s="350"/>
      <c r="H299" s="350"/>
      <c r="I299" s="350"/>
      <c r="J299" s="350"/>
      <c r="K299" s="351"/>
      <c r="L299" s="643"/>
      <c r="M299" s="350"/>
      <c r="N299" s="350"/>
      <c r="O299" s="351"/>
      <c r="P299" s="644"/>
      <c r="Q299" s="350"/>
      <c r="R299" s="350"/>
      <c r="S299" s="351"/>
      <c r="T299" s="643"/>
      <c r="U299" s="350"/>
      <c r="V299" s="350"/>
      <c r="W299" s="351"/>
      <c r="X299" s="644"/>
      <c r="Y299" s="350"/>
      <c r="Z299" s="350"/>
      <c r="AA299" s="351"/>
      <c r="AB299" s="506"/>
      <c r="AC299" s="350"/>
      <c r="AD299" s="351"/>
      <c r="AE299" s="571"/>
      <c r="AF299" s="350"/>
      <c r="AG299" s="351"/>
      <c r="AH299" s="645"/>
      <c r="AI299" s="350"/>
      <c r="AJ299" s="351"/>
      <c r="AK299" s="567"/>
      <c r="AL299" s="350"/>
      <c r="AM299" s="351"/>
      <c r="AN299" s="58"/>
      <c r="AO299" s="59"/>
      <c r="AP299" s="58"/>
      <c r="AQ299" s="59"/>
      <c r="AR299" s="58"/>
      <c r="AS299" s="59"/>
      <c r="AT299" s="58"/>
      <c r="AU299" s="59"/>
      <c r="AV299" s="58"/>
      <c r="AW299" s="59"/>
      <c r="AX299" s="58"/>
      <c r="AY299" s="59"/>
      <c r="AZ299" s="64"/>
      <c r="BA299" s="61"/>
      <c r="BB299" s="64"/>
      <c r="BC299" s="61"/>
      <c r="BD299" s="64"/>
      <c r="BE299" s="61"/>
      <c r="BF299" s="64"/>
      <c r="BG299" s="61"/>
      <c r="BH299" s="64"/>
      <c r="BI299" s="646" t="s">
        <v>294</v>
      </c>
      <c r="BJ299" s="350"/>
      <c r="BK299" s="350"/>
      <c r="BL299" s="350"/>
      <c r="BM299" s="350"/>
      <c r="BN299" s="350"/>
      <c r="BO299" s="350"/>
      <c r="BP299" s="350"/>
      <c r="BQ299" s="350"/>
      <c r="BR299" s="350"/>
      <c r="BS299" s="350"/>
      <c r="BT299" s="350"/>
      <c r="BU299" s="350"/>
      <c r="BV299" s="351"/>
    </row>
    <row r="300" spans="1:74" ht="30" customHeight="1">
      <c r="A300" s="55">
        <f t="shared" si="1"/>
        <v>286</v>
      </c>
      <c r="B300" s="56" t="s">
        <v>325</v>
      </c>
      <c r="C300" s="57"/>
      <c r="D300" s="644"/>
      <c r="E300" s="350"/>
      <c r="F300" s="350"/>
      <c r="G300" s="350"/>
      <c r="H300" s="350"/>
      <c r="I300" s="350"/>
      <c r="J300" s="350"/>
      <c r="K300" s="351"/>
      <c r="L300" s="643"/>
      <c r="M300" s="350"/>
      <c r="N300" s="350"/>
      <c r="O300" s="351"/>
      <c r="P300" s="644"/>
      <c r="Q300" s="350"/>
      <c r="R300" s="350"/>
      <c r="S300" s="351"/>
      <c r="T300" s="643"/>
      <c r="U300" s="350"/>
      <c r="V300" s="350"/>
      <c r="W300" s="351"/>
      <c r="X300" s="644"/>
      <c r="Y300" s="350"/>
      <c r="Z300" s="350"/>
      <c r="AA300" s="351"/>
      <c r="AB300" s="506"/>
      <c r="AC300" s="350"/>
      <c r="AD300" s="351"/>
      <c r="AE300" s="571"/>
      <c r="AF300" s="350"/>
      <c r="AG300" s="351"/>
      <c r="AH300" s="645"/>
      <c r="AI300" s="350"/>
      <c r="AJ300" s="351"/>
      <c r="AK300" s="567"/>
      <c r="AL300" s="350"/>
      <c r="AM300" s="351"/>
      <c r="AN300" s="58"/>
      <c r="AO300" s="59"/>
      <c r="AP300" s="58"/>
      <c r="AQ300" s="59"/>
      <c r="AR300" s="58"/>
      <c r="AS300" s="59"/>
      <c r="AT300" s="58"/>
      <c r="AU300" s="59"/>
      <c r="AV300" s="58"/>
      <c r="AW300" s="59"/>
      <c r="AX300" s="58"/>
      <c r="AY300" s="59"/>
      <c r="AZ300" s="64"/>
      <c r="BA300" s="61"/>
      <c r="BB300" s="64"/>
      <c r="BC300" s="61"/>
      <c r="BD300" s="64"/>
      <c r="BE300" s="61"/>
      <c r="BF300" s="64"/>
      <c r="BG300" s="61"/>
      <c r="BH300" s="64"/>
      <c r="BI300" s="646" t="s">
        <v>298</v>
      </c>
      <c r="BJ300" s="350"/>
      <c r="BK300" s="350"/>
      <c r="BL300" s="350"/>
      <c r="BM300" s="350"/>
      <c r="BN300" s="350"/>
      <c r="BO300" s="350"/>
      <c r="BP300" s="350"/>
      <c r="BQ300" s="350"/>
      <c r="BR300" s="350"/>
      <c r="BS300" s="350"/>
      <c r="BT300" s="350"/>
      <c r="BU300" s="350"/>
      <c r="BV300" s="351"/>
    </row>
    <row r="301" spans="1:74" ht="30" customHeight="1">
      <c r="A301" s="63">
        <f t="shared" si="1"/>
        <v>287</v>
      </c>
      <c r="B301" s="56" t="s">
        <v>325</v>
      </c>
      <c r="C301" s="57"/>
      <c r="D301" s="644"/>
      <c r="E301" s="350"/>
      <c r="F301" s="350"/>
      <c r="G301" s="350"/>
      <c r="H301" s="350"/>
      <c r="I301" s="350"/>
      <c r="J301" s="350"/>
      <c r="K301" s="351"/>
      <c r="L301" s="643"/>
      <c r="M301" s="350"/>
      <c r="N301" s="350"/>
      <c r="O301" s="351"/>
      <c r="P301" s="644"/>
      <c r="Q301" s="350"/>
      <c r="R301" s="350"/>
      <c r="S301" s="351"/>
      <c r="T301" s="643"/>
      <c r="U301" s="350"/>
      <c r="V301" s="350"/>
      <c r="W301" s="351"/>
      <c r="X301" s="644"/>
      <c r="Y301" s="350"/>
      <c r="Z301" s="350"/>
      <c r="AA301" s="351"/>
      <c r="AB301" s="506"/>
      <c r="AC301" s="350"/>
      <c r="AD301" s="351"/>
      <c r="AE301" s="571"/>
      <c r="AF301" s="350"/>
      <c r="AG301" s="351"/>
      <c r="AH301" s="645"/>
      <c r="AI301" s="350"/>
      <c r="AJ301" s="351"/>
      <c r="AK301" s="567"/>
      <c r="AL301" s="350"/>
      <c r="AM301" s="351"/>
      <c r="AN301" s="58"/>
      <c r="AO301" s="59"/>
      <c r="AP301" s="58"/>
      <c r="AQ301" s="59"/>
      <c r="AR301" s="58"/>
      <c r="AS301" s="59"/>
      <c r="AT301" s="58"/>
      <c r="AU301" s="59"/>
      <c r="AV301" s="58"/>
      <c r="AW301" s="59"/>
      <c r="AX301" s="58"/>
      <c r="AY301" s="59"/>
      <c r="AZ301" s="64"/>
      <c r="BA301" s="61"/>
      <c r="BB301" s="64"/>
      <c r="BC301" s="61"/>
      <c r="BD301" s="64"/>
      <c r="BE301" s="61"/>
      <c r="BF301" s="64"/>
      <c r="BG301" s="61"/>
      <c r="BH301" s="64"/>
      <c r="BI301" s="646" t="s">
        <v>298</v>
      </c>
      <c r="BJ301" s="350"/>
      <c r="BK301" s="350"/>
      <c r="BL301" s="350"/>
      <c r="BM301" s="350"/>
      <c r="BN301" s="350"/>
      <c r="BO301" s="350"/>
      <c r="BP301" s="350"/>
      <c r="BQ301" s="350"/>
      <c r="BR301" s="350"/>
      <c r="BS301" s="350"/>
      <c r="BT301" s="350"/>
      <c r="BU301" s="350"/>
      <c r="BV301" s="351"/>
    </row>
    <row r="302" spans="1:74" ht="30" customHeight="1">
      <c r="A302" s="63">
        <f t="shared" si="1"/>
        <v>288</v>
      </c>
      <c r="B302" s="56" t="s">
        <v>325</v>
      </c>
      <c r="C302" s="57"/>
      <c r="D302" s="644"/>
      <c r="E302" s="350"/>
      <c r="F302" s="350"/>
      <c r="G302" s="350"/>
      <c r="H302" s="350"/>
      <c r="I302" s="350"/>
      <c r="J302" s="350"/>
      <c r="K302" s="351"/>
      <c r="L302" s="643"/>
      <c r="M302" s="350"/>
      <c r="N302" s="350"/>
      <c r="O302" s="351"/>
      <c r="P302" s="644"/>
      <c r="Q302" s="350"/>
      <c r="R302" s="350"/>
      <c r="S302" s="351"/>
      <c r="T302" s="643"/>
      <c r="U302" s="350"/>
      <c r="V302" s="350"/>
      <c r="W302" s="351"/>
      <c r="X302" s="644"/>
      <c r="Y302" s="350"/>
      <c r="Z302" s="350"/>
      <c r="AA302" s="351"/>
      <c r="AB302" s="506"/>
      <c r="AC302" s="350"/>
      <c r="AD302" s="351"/>
      <c r="AE302" s="571"/>
      <c r="AF302" s="350"/>
      <c r="AG302" s="351"/>
      <c r="AH302" s="645"/>
      <c r="AI302" s="350"/>
      <c r="AJ302" s="351"/>
      <c r="AK302" s="567"/>
      <c r="AL302" s="350"/>
      <c r="AM302" s="351"/>
      <c r="AN302" s="58"/>
      <c r="AO302" s="59"/>
      <c r="AP302" s="58"/>
      <c r="AQ302" s="59"/>
      <c r="AR302" s="58"/>
      <c r="AS302" s="59"/>
      <c r="AT302" s="58"/>
      <c r="AU302" s="59"/>
      <c r="AV302" s="58"/>
      <c r="AW302" s="59"/>
      <c r="AX302" s="58"/>
      <c r="AY302" s="59"/>
      <c r="AZ302" s="64"/>
      <c r="BA302" s="61"/>
      <c r="BB302" s="64"/>
      <c r="BC302" s="61"/>
      <c r="BD302" s="64"/>
      <c r="BE302" s="61"/>
      <c r="BF302" s="64"/>
      <c r="BG302" s="61"/>
      <c r="BH302" s="64"/>
      <c r="BI302" s="646" t="s">
        <v>298</v>
      </c>
      <c r="BJ302" s="350"/>
      <c r="BK302" s="350"/>
      <c r="BL302" s="350"/>
      <c r="BM302" s="350"/>
      <c r="BN302" s="350"/>
      <c r="BO302" s="350"/>
      <c r="BP302" s="350"/>
      <c r="BQ302" s="350"/>
      <c r="BR302" s="350"/>
      <c r="BS302" s="350"/>
      <c r="BT302" s="350"/>
      <c r="BU302" s="350"/>
      <c r="BV302" s="351"/>
    </row>
    <row r="303" spans="1:74" ht="30" customHeight="1">
      <c r="A303" s="63">
        <f t="shared" si="1"/>
        <v>289</v>
      </c>
      <c r="B303" s="56" t="s">
        <v>325</v>
      </c>
      <c r="C303" s="57"/>
      <c r="D303" s="644"/>
      <c r="E303" s="350"/>
      <c r="F303" s="350"/>
      <c r="G303" s="350"/>
      <c r="H303" s="350"/>
      <c r="I303" s="350"/>
      <c r="J303" s="350"/>
      <c r="K303" s="351"/>
      <c r="L303" s="643"/>
      <c r="M303" s="350"/>
      <c r="N303" s="350"/>
      <c r="O303" s="351"/>
      <c r="P303" s="644"/>
      <c r="Q303" s="350"/>
      <c r="R303" s="350"/>
      <c r="S303" s="351"/>
      <c r="T303" s="643"/>
      <c r="U303" s="350"/>
      <c r="V303" s="350"/>
      <c r="W303" s="351"/>
      <c r="X303" s="644"/>
      <c r="Y303" s="350"/>
      <c r="Z303" s="350"/>
      <c r="AA303" s="351"/>
      <c r="AB303" s="506"/>
      <c r="AC303" s="350"/>
      <c r="AD303" s="351"/>
      <c r="AE303" s="571"/>
      <c r="AF303" s="350"/>
      <c r="AG303" s="351"/>
      <c r="AH303" s="645"/>
      <c r="AI303" s="350"/>
      <c r="AJ303" s="351"/>
      <c r="AK303" s="567"/>
      <c r="AL303" s="350"/>
      <c r="AM303" s="351"/>
      <c r="AN303" s="58"/>
      <c r="AO303" s="59"/>
      <c r="AP303" s="58"/>
      <c r="AQ303" s="59"/>
      <c r="AR303" s="58"/>
      <c r="AS303" s="59"/>
      <c r="AT303" s="58"/>
      <c r="AU303" s="59"/>
      <c r="AV303" s="58"/>
      <c r="AW303" s="59"/>
      <c r="AX303" s="58"/>
      <c r="AY303" s="59"/>
      <c r="AZ303" s="64"/>
      <c r="BA303" s="61"/>
      <c r="BB303" s="64"/>
      <c r="BC303" s="61"/>
      <c r="BD303" s="64"/>
      <c r="BE303" s="61"/>
      <c r="BF303" s="64"/>
      <c r="BG303" s="61"/>
      <c r="BH303" s="64"/>
      <c r="BI303" s="646" t="s">
        <v>298</v>
      </c>
      <c r="BJ303" s="350"/>
      <c r="BK303" s="350"/>
      <c r="BL303" s="350"/>
      <c r="BM303" s="350"/>
      <c r="BN303" s="350"/>
      <c r="BO303" s="350"/>
      <c r="BP303" s="350"/>
      <c r="BQ303" s="350"/>
      <c r="BR303" s="350"/>
      <c r="BS303" s="350"/>
      <c r="BT303" s="350"/>
      <c r="BU303" s="350"/>
      <c r="BV303" s="351"/>
    </row>
    <row r="304" spans="1:74" ht="30" customHeight="1">
      <c r="A304" s="63">
        <f t="shared" si="1"/>
        <v>290</v>
      </c>
      <c r="B304" s="56" t="s">
        <v>325</v>
      </c>
      <c r="C304" s="57"/>
      <c r="D304" s="644"/>
      <c r="E304" s="350"/>
      <c r="F304" s="350"/>
      <c r="G304" s="350"/>
      <c r="H304" s="350"/>
      <c r="I304" s="350"/>
      <c r="J304" s="350"/>
      <c r="K304" s="351"/>
      <c r="L304" s="643"/>
      <c r="M304" s="350"/>
      <c r="N304" s="350"/>
      <c r="O304" s="351"/>
      <c r="P304" s="644"/>
      <c r="Q304" s="350"/>
      <c r="R304" s="350"/>
      <c r="S304" s="351"/>
      <c r="T304" s="643"/>
      <c r="U304" s="350"/>
      <c r="V304" s="350"/>
      <c r="W304" s="351"/>
      <c r="X304" s="644"/>
      <c r="Y304" s="350"/>
      <c r="Z304" s="350"/>
      <c r="AA304" s="351"/>
      <c r="AB304" s="506"/>
      <c r="AC304" s="350"/>
      <c r="AD304" s="351"/>
      <c r="AE304" s="571"/>
      <c r="AF304" s="350"/>
      <c r="AG304" s="351"/>
      <c r="AH304" s="645"/>
      <c r="AI304" s="350"/>
      <c r="AJ304" s="351"/>
      <c r="AK304" s="567"/>
      <c r="AL304" s="350"/>
      <c r="AM304" s="351"/>
      <c r="AN304" s="58"/>
      <c r="AO304" s="59"/>
      <c r="AP304" s="58"/>
      <c r="AQ304" s="59"/>
      <c r="AR304" s="58"/>
      <c r="AS304" s="59"/>
      <c r="AT304" s="58"/>
      <c r="AU304" s="59"/>
      <c r="AV304" s="58"/>
      <c r="AW304" s="59"/>
      <c r="AX304" s="58"/>
      <c r="AY304" s="59"/>
      <c r="AZ304" s="64"/>
      <c r="BA304" s="61"/>
      <c r="BB304" s="64"/>
      <c r="BC304" s="61"/>
      <c r="BD304" s="64"/>
      <c r="BE304" s="61"/>
      <c r="BF304" s="64"/>
      <c r="BG304" s="61"/>
      <c r="BH304" s="64"/>
      <c r="BI304" s="646" t="s">
        <v>298</v>
      </c>
      <c r="BJ304" s="350"/>
      <c r="BK304" s="350"/>
      <c r="BL304" s="350"/>
      <c r="BM304" s="350"/>
      <c r="BN304" s="350"/>
      <c r="BO304" s="350"/>
      <c r="BP304" s="350"/>
      <c r="BQ304" s="350"/>
      <c r="BR304" s="350"/>
      <c r="BS304" s="350"/>
      <c r="BT304" s="350"/>
      <c r="BU304" s="350"/>
      <c r="BV304" s="351"/>
    </row>
    <row r="305" spans="1:74" ht="30" customHeight="1">
      <c r="A305" s="63">
        <f t="shared" si="1"/>
        <v>291</v>
      </c>
      <c r="B305" s="56" t="s">
        <v>325</v>
      </c>
      <c r="C305" s="57"/>
      <c r="D305" s="644"/>
      <c r="E305" s="350"/>
      <c r="F305" s="350"/>
      <c r="G305" s="350"/>
      <c r="H305" s="350"/>
      <c r="I305" s="350"/>
      <c r="J305" s="350"/>
      <c r="K305" s="351"/>
      <c r="L305" s="643"/>
      <c r="M305" s="350"/>
      <c r="N305" s="350"/>
      <c r="O305" s="351"/>
      <c r="P305" s="644"/>
      <c r="Q305" s="350"/>
      <c r="R305" s="350"/>
      <c r="S305" s="351"/>
      <c r="T305" s="643"/>
      <c r="U305" s="350"/>
      <c r="V305" s="350"/>
      <c r="W305" s="351"/>
      <c r="X305" s="644"/>
      <c r="Y305" s="350"/>
      <c r="Z305" s="350"/>
      <c r="AA305" s="351"/>
      <c r="AB305" s="506"/>
      <c r="AC305" s="350"/>
      <c r="AD305" s="351"/>
      <c r="AE305" s="571"/>
      <c r="AF305" s="350"/>
      <c r="AG305" s="351"/>
      <c r="AH305" s="645"/>
      <c r="AI305" s="350"/>
      <c r="AJ305" s="351"/>
      <c r="AK305" s="567"/>
      <c r="AL305" s="350"/>
      <c r="AM305" s="351"/>
      <c r="AN305" s="58"/>
      <c r="AO305" s="59"/>
      <c r="AP305" s="58"/>
      <c r="AQ305" s="59"/>
      <c r="AR305" s="58"/>
      <c r="AS305" s="59"/>
      <c r="AT305" s="58"/>
      <c r="AU305" s="59"/>
      <c r="AV305" s="58"/>
      <c r="AW305" s="59"/>
      <c r="AX305" s="58"/>
      <c r="AY305" s="59"/>
      <c r="AZ305" s="64"/>
      <c r="BA305" s="61"/>
      <c r="BB305" s="64"/>
      <c r="BC305" s="61"/>
      <c r="BD305" s="64"/>
      <c r="BE305" s="61"/>
      <c r="BF305" s="64"/>
      <c r="BG305" s="61"/>
      <c r="BH305" s="64"/>
      <c r="BI305" s="646" t="s">
        <v>294</v>
      </c>
      <c r="BJ305" s="350"/>
      <c r="BK305" s="350"/>
      <c r="BL305" s="350"/>
      <c r="BM305" s="350"/>
      <c r="BN305" s="350"/>
      <c r="BO305" s="350"/>
      <c r="BP305" s="350"/>
      <c r="BQ305" s="350"/>
      <c r="BR305" s="350"/>
      <c r="BS305" s="350"/>
      <c r="BT305" s="350"/>
      <c r="BU305" s="350"/>
      <c r="BV305" s="351"/>
    </row>
    <row r="306" spans="1:74" ht="30" customHeight="1">
      <c r="A306" s="63">
        <f t="shared" si="1"/>
        <v>292</v>
      </c>
      <c r="B306" s="56" t="s">
        <v>325</v>
      </c>
      <c r="C306" s="57"/>
      <c r="D306" s="644"/>
      <c r="E306" s="350"/>
      <c r="F306" s="350"/>
      <c r="G306" s="350"/>
      <c r="H306" s="350"/>
      <c r="I306" s="350"/>
      <c r="J306" s="350"/>
      <c r="K306" s="351"/>
      <c r="L306" s="643"/>
      <c r="M306" s="350"/>
      <c r="N306" s="350"/>
      <c r="O306" s="351"/>
      <c r="P306" s="644"/>
      <c r="Q306" s="350"/>
      <c r="R306" s="350"/>
      <c r="S306" s="351"/>
      <c r="T306" s="643"/>
      <c r="U306" s="350"/>
      <c r="V306" s="350"/>
      <c r="W306" s="351"/>
      <c r="X306" s="644"/>
      <c r="Y306" s="350"/>
      <c r="Z306" s="350"/>
      <c r="AA306" s="351"/>
      <c r="AB306" s="506"/>
      <c r="AC306" s="350"/>
      <c r="AD306" s="351"/>
      <c r="AE306" s="571"/>
      <c r="AF306" s="350"/>
      <c r="AG306" s="351"/>
      <c r="AH306" s="645"/>
      <c r="AI306" s="350"/>
      <c r="AJ306" s="351"/>
      <c r="AK306" s="567"/>
      <c r="AL306" s="350"/>
      <c r="AM306" s="351"/>
      <c r="AN306" s="58"/>
      <c r="AO306" s="59"/>
      <c r="AP306" s="58"/>
      <c r="AQ306" s="59"/>
      <c r="AR306" s="58"/>
      <c r="AS306" s="59"/>
      <c r="AT306" s="58"/>
      <c r="AU306" s="59"/>
      <c r="AV306" s="58"/>
      <c r="AW306" s="59"/>
      <c r="AX306" s="58"/>
      <c r="AY306" s="59"/>
      <c r="AZ306" s="64"/>
      <c r="BA306" s="61"/>
      <c r="BB306" s="64"/>
      <c r="BC306" s="61"/>
      <c r="BD306" s="64"/>
      <c r="BE306" s="61"/>
      <c r="BF306" s="64"/>
      <c r="BG306" s="61"/>
      <c r="BH306" s="64"/>
      <c r="BI306" s="646" t="s">
        <v>294</v>
      </c>
      <c r="BJ306" s="350"/>
      <c r="BK306" s="350"/>
      <c r="BL306" s="350"/>
      <c r="BM306" s="350"/>
      <c r="BN306" s="350"/>
      <c r="BO306" s="350"/>
      <c r="BP306" s="350"/>
      <c r="BQ306" s="350"/>
      <c r="BR306" s="350"/>
      <c r="BS306" s="350"/>
      <c r="BT306" s="350"/>
      <c r="BU306" s="350"/>
      <c r="BV306" s="351"/>
    </row>
    <row r="307" spans="1:74" ht="30" customHeight="1">
      <c r="A307" s="55">
        <f t="shared" si="1"/>
        <v>293</v>
      </c>
      <c r="B307" s="56" t="s">
        <v>325</v>
      </c>
      <c r="C307" s="57"/>
      <c r="D307" s="644"/>
      <c r="E307" s="350"/>
      <c r="F307" s="350"/>
      <c r="G307" s="350"/>
      <c r="H307" s="350"/>
      <c r="I307" s="350"/>
      <c r="J307" s="350"/>
      <c r="K307" s="351"/>
      <c r="L307" s="643"/>
      <c r="M307" s="350"/>
      <c r="N307" s="350"/>
      <c r="O307" s="351"/>
      <c r="P307" s="644"/>
      <c r="Q307" s="350"/>
      <c r="R307" s="350"/>
      <c r="S307" s="351"/>
      <c r="T307" s="643"/>
      <c r="U307" s="350"/>
      <c r="V307" s="350"/>
      <c r="W307" s="351"/>
      <c r="X307" s="644"/>
      <c r="Y307" s="350"/>
      <c r="Z307" s="350"/>
      <c r="AA307" s="351"/>
      <c r="AB307" s="506"/>
      <c r="AC307" s="350"/>
      <c r="AD307" s="351"/>
      <c r="AE307" s="571"/>
      <c r="AF307" s="350"/>
      <c r="AG307" s="351"/>
      <c r="AH307" s="645"/>
      <c r="AI307" s="350"/>
      <c r="AJ307" s="351"/>
      <c r="AK307" s="567"/>
      <c r="AL307" s="350"/>
      <c r="AM307" s="351"/>
      <c r="AN307" s="58"/>
      <c r="AO307" s="59"/>
      <c r="AP307" s="58"/>
      <c r="AQ307" s="59"/>
      <c r="AR307" s="58"/>
      <c r="AS307" s="59"/>
      <c r="AT307" s="58"/>
      <c r="AU307" s="59"/>
      <c r="AV307" s="58"/>
      <c r="AW307" s="59"/>
      <c r="AX307" s="58"/>
      <c r="AY307" s="59"/>
      <c r="AZ307" s="64"/>
      <c r="BA307" s="61"/>
      <c r="BB307" s="64"/>
      <c r="BC307" s="61"/>
      <c r="BD307" s="64"/>
      <c r="BE307" s="61"/>
      <c r="BF307" s="64"/>
      <c r="BG307" s="61"/>
      <c r="BH307" s="64"/>
      <c r="BI307" s="646" t="s">
        <v>298</v>
      </c>
      <c r="BJ307" s="350"/>
      <c r="BK307" s="350"/>
      <c r="BL307" s="350"/>
      <c r="BM307" s="350"/>
      <c r="BN307" s="350"/>
      <c r="BO307" s="350"/>
      <c r="BP307" s="350"/>
      <c r="BQ307" s="350"/>
      <c r="BR307" s="350"/>
      <c r="BS307" s="350"/>
      <c r="BT307" s="350"/>
      <c r="BU307" s="350"/>
      <c r="BV307" s="351"/>
    </row>
    <row r="308" spans="1:74" ht="30" customHeight="1">
      <c r="A308" s="63">
        <f t="shared" si="1"/>
        <v>294</v>
      </c>
      <c r="B308" s="56" t="s">
        <v>325</v>
      </c>
      <c r="C308" s="57"/>
      <c r="D308" s="644"/>
      <c r="E308" s="350"/>
      <c r="F308" s="350"/>
      <c r="G308" s="350"/>
      <c r="H308" s="350"/>
      <c r="I308" s="350"/>
      <c r="J308" s="350"/>
      <c r="K308" s="351"/>
      <c r="L308" s="643"/>
      <c r="M308" s="350"/>
      <c r="N308" s="350"/>
      <c r="O308" s="351"/>
      <c r="P308" s="644"/>
      <c r="Q308" s="350"/>
      <c r="R308" s="350"/>
      <c r="S308" s="351"/>
      <c r="T308" s="643"/>
      <c r="U308" s="350"/>
      <c r="V308" s="350"/>
      <c r="W308" s="351"/>
      <c r="X308" s="644"/>
      <c r="Y308" s="350"/>
      <c r="Z308" s="350"/>
      <c r="AA308" s="351"/>
      <c r="AB308" s="506"/>
      <c r="AC308" s="350"/>
      <c r="AD308" s="351"/>
      <c r="AE308" s="571"/>
      <c r="AF308" s="350"/>
      <c r="AG308" s="351"/>
      <c r="AH308" s="645"/>
      <c r="AI308" s="350"/>
      <c r="AJ308" s="351"/>
      <c r="AK308" s="567"/>
      <c r="AL308" s="350"/>
      <c r="AM308" s="351"/>
      <c r="AN308" s="58"/>
      <c r="AO308" s="59"/>
      <c r="AP308" s="58"/>
      <c r="AQ308" s="59"/>
      <c r="AR308" s="58"/>
      <c r="AS308" s="59"/>
      <c r="AT308" s="58"/>
      <c r="AU308" s="59"/>
      <c r="AV308" s="58"/>
      <c r="AW308" s="59"/>
      <c r="AX308" s="58"/>
      <c r="AY308" s="59"/>
      <c r="AZ308" s="64"/>
      <c r="BA308" s="61"/>
      <c r="BB308" s="64"/>
      <c r="BC308" s="61"/>
      <c r="BD308" s="64"/>
      <c r="BE308" s="61"/>
      <c r="BF308" s="64"/>
      <c r="BG308" s="61"/>
      <c r="BH308" s="64"/>
      <c r="BI308" s="646" t="s">
        <v>298</v>
      </c>
      <c r="BJ308" s="350"/>
      <c r="BK308" s="350"/>
      <c r="BL308" s="350"/>
      <c r="BM308" s="350"/>
      <c r="BN308" s="350"/>
      <c r="BO308" s="350"/>
      <c r="BP308" s="350"/>
      <c r="BQ308" s="350"/>
      <c r="BR308" s="350"/>
      <c r="BS308" s="350"/>
      <c r="BT308" s="350"/>
      <c r="BU308" s="350"/>
      <c r="BV308" s="351"/>
    </row>
    <row r="309" spans="1:74" ht="30" customHeight="1">
      <c r="A309" s="63">
        <f t="shared" si="1"/>
        <v>295</v>
      </c>
      <c r="B309" s="56" t="s">
        <v>325</v>
      </c>
      <c r="C309" s="57"/>
      <c r="D309" s="644"/>
      <c r="E309" s="350"/>
      <c r="F309" s="350"/>
      <c r="G309" s="350"/>
      <c r="H309" s="350"/>
      <c r="I309" s="350"/>
      <c r="J309" s="350"/>
      <c r="K309" s="351"/>
      <c r="L309" s="643"/>
      <c r="M309" s="350"/>
      <c r="N309" s="350"/>
      <c r="O309" s="351"/>
      <c r="P309" s="644"/>
      <c r="Q309" s="350"/>
      <c r="R309" s="350"/>
      <c r="S309" s="351"/>
      <c r="T309" s="643"/>
      <c r="U309" s="350"/>
      <c r="V309" s="350"/>
      <c r="W309" s="351"/>
      <c r="X309" s="644"/>
      <c r="Y309" s="350"/>
      <c r="Z309" s="350"/>
      <c r="AA309" s="351"/>
      <c r="AB309" s="506"/>
      <c r="AC309" s="350"/>
      <c r="AD309" s="351"/>
      <c r="AE309" s="571"/>
      <c r="AF309" s="350"/>
      <c r="AG309" s="351"/>
      <c r="AH309" s="645"/>
      <c r="AI309" s="350"/>
      <c r="AJ309" s="351"/>
      <c r="AK309" s="567"/>
      <c r="AL309" s="350"/>
      <c r="AM309" s="351"/>
      <c r="AN309" s="58"/>
      <c r="AO309" s="59"/>
      <c r="AP309" s="58"/>
      <c r="AQ309" s="59"/>
      <c r="AR309" s="58"/>
      <c r="AS309" s="59"/>
      <c r="AT309" s="58"/>
      <c r="AU309" s="59"/>
      <c r="AV309" s="58"/>
      <c r="AW309" s="59"/>
      <c r="AX309" s="58"/>
      <c r="AY309" s="59"/>
      <c r="AZ309" s="64"/>
      <c r="BA309" s="61"/>
      <c r="BB309" s="64"/>
      <c r="BC309" s="61"/>
      <c r="BD309" s="64"/>
      <c r="BE309" s="61"/>
      <c r="BF309" s="64"/>
      <c r="BG309" s="61"/>
      <c r="BH309" s="64"/>
      <c r="BI309" s="646" t="s">
        <v>298</v>
      </c>
      <c r="BJ309" s="350"/>
      <c r="BK309" s="350"/>
      <c r="BL309" s="350"/>
      <c r="BM309" s="350"/>
      <c r="BN309" s="350"/>
      <c r="BO309" s="350"/>
      <c r="BP309" s="350"/>
      <c r="BQ309" s="350"/>
      <c r="BR309" s="350"/>
      <c r="BS309" s="350"/>
      <c r="BT309" s="350"/>
      <c r="BU309" s="350"/>
      <c r="BV309" s="351"/>
    </row>
    <row r="310" spans="1:74" ht="30" customHeight="1">
      <c r="A310" s="63">
        <f t="shared" si="1"/>
        <v>296</v>
      </c>
      <c r="B310" s="56" t="s">
        <v>325</v>
      </c>
      <c r="C310" s="57"/>
      <c r="D310" s="644"/>
      <c r="E310" s="350"/>
      <c r="F310" s="350"/>
      <c r="G310" s="350"/>
      <c r="H310" s="350"/>
      <c r="I310" s="350"/>
      <c r="J310" s="350"/>
      <c r="K310" s="351"/>
      <c r="L310" s="643"/>
      <c r="M310" s="350"/>
      <c r="N310" s="350"/>
      <c r="O310" s="351"/>
      <c r="P310" s="644"/>
      <c r="Q310" s="350"/>
      <c r="R310" s="350"/>
      <c r="S310" s="351"/>
      <c r="T310" s="643"/>
      <c r="U310" s="350"/>
      <c r="V310" s="350"/>
      <c r="W310" s="351"/>
      <c r="X310" s="644"/>
      <c r="Y310" s="350"/>
      <c r="Z310" s="350"/>
      <c r="AA310" s="351"/>
      <c r="AB310" s="506"/>
      <c r="AC310" s="350"/>
      <c r="AD310" s="351"/>
      <c r="AE310" s="571"/>
      <c r="AF310" s="350"/>
      <c r="AG310" s="351"/>
      <c r="AH310" s="645"/>
      <c r="AI310" s="350"/>
      <c r="AJ310" s="351"/>
      <c r="AK310" s="567"/>
      <c r="AL310" s="350"/>
      <c r="AM310" s="351"/>
      <c r="AN310" s="58"/>
      <c r="AO310" s="59"/>
      <c r="AP310" s="58"/>
      <c r="AQ310" s="59"/>
      <c r="AR310" s="58"/>
      <c r="AS310" s="59"/>
      <c r="AT310" s="58"/>
      <c r="AU310" s="59"/>
      <c r="AV310" s="58"/>
      <c r="AW310" s="59"/>
      <c r="AX310" s="58"/>
      <c r="AY310" s="59"/>
      <c r="AZ310" s="64"/>
      <c r="BA310" s="61"/>
      <c r="BB310" s="64"/>
      <c r="BC310" s="61"/>
      <c r="BD310" s="64"/>
      <c r="BE310" s="61"/>
      <c r="BF310" s="64"/>
      <c r="BG310" s="61"/>
      <c r="BH310" s="64"/>
      <c r="BI310" s="646" t="s">
        <v>298</v>
      </c>
      <c r="BJ310" s="350"/>
      <c r="BK310" s="350"/>
      <c r="BL310" s="350"/>
      <c r="BM310" s="350"/>
      <c r="BN310" s="350"/>
      <c r="BO310" s="350"/>
      <c r="BP310" s="350"/>
      <c r="BQ310" s="350"/>
      <c r="BR310" s="350"/>
      <c r="BS310" s="350"/>
      <c r="BT310" s="350"/>
      <c r="BU310" s="350"/>
      <c r="BV310" s="351"/>
    </row>
    <row r="311" spans="1:74" ht="30" customHeight="1">
      <c r="A311" s="63">
        <f t="shared" si="1"/>
        <v>297</v>
      </c>
      <c r="B311" s="56" t="s">
        <v>325</v>
      </c>
      <c r="C311" s="57"/>
      <c r="D311" s="644"/>
      <c r="E311" s="350"/>
      <c r="F311" s="350"/>
      <c r="G311" s="350"/>
      <c r="H311" s="350"/>
      <c r="I311" s="350"/>
      <c r="J311" s="350"/>
      <c r="K311" s="351"/>
      <c r="L311" s="643"/>
      <c r="M311" s="350"/>
      <c r="N311" s="350"/>
      <c r="O311" s="351"/>
      <c r="P311" s="644"/>
      <c r="Q311" s="350"/>
      <c r="R311" s="350"/>
      <c r="S311" s="351"/>
      <c r="T311" s="643"/>
      <c r="U311" s="350"/>
      <c r="V311" s="350"/>
      <c r="W311" s="351"/>
      <c r="X311" s="644"/>
      <c r="Y311" s="350"/>
      <c r="Z311" s="350"/>
      <c r="AA311" s="351"/>
      <c r="AB311" s="506"/>
      <c r="AC311" s="350"/>
      <c r="AD311" s="351"/>
      <c r="AE311" s="571"/>
      <c r="AF311" s="350"/>
      <c r="AG311" s="351"/>
      <c r="AH311" s="645"/>
      <c r="AI311" s="350"/>
      <c r="AJ311" s="351"/>
      <c r="AK311" s="567"/>
      <c r="AL311" s="350"/>
      <c r="AM311" s="351"/>
      <c r="AN311" s="58"/>
      <c r="AO311" s="59"/>
      <c r="AP311" s="58"/>
      <c r="AQ311" s="59"/>
      <c r="AR311" s="58"/>
      <c r="AS311" s="59"/>
      <c r="AT311" s="58"/>
      <c r="AU311" s="59"/>
      <c r="AV311" s="58"/>
      <c r="AW311" s="59"/>
      <c r="AX311" s="58"/>
      <c r="AY311" s="59"/>
      <c r="AZ311" s="64"/>
      <c r="BA311" s="61"/>
      <c r="BB311" s="64"/>
      <c r="BC311" s="61"/>
      <c r="BD311" s="64"/>
      <c r="BE311" s="61"/>
      <c r="BF311" s="64"/>
      <c r="BG311" s="61"/>
      <c r="BH311" s="64"/>
      <c r="BI311" s="646" t="s">
        <v>298</v>
      </c>
      <c r="BJ311" s="350"/>
      <c r="BK311" s="350"/>
      <c r="BL311" s="350"/>
      <c r="BM311" s="350"/>
      <c r="BN311" s="350"/>
      <c r="BO311" s="350"/>
      <c r="BP311" s="350"/>
      <c r="BQ311" s="350"/>
      <c r="BR311" s="350"/>
      <c r="BS311" s="350"/>
      <c r="BT311" s="350"/>
      <c r="BU311" s="350"/>
      <c r="BV311" s="351"/>
    </row>
    <row r="312" spans="1:74" ht="30" customHeight="1">
      <c r="A312" s="63">
        <f t="shared" si="1"/>
        <v>298</v>
      </c>
      <c r="B312" s="56" t="s">
        <v>325</v>
      </c>
      <c r="C312" s="57"/>
      <c r="D312" s="644"/>
      <c r="E312" s="350"/>
      <c r="F312" s="350"/>
      <c r="G312" s="350"/>
      <c r="H312" s="350"/>
      <c r="I312" s="350"/>
      <c r="J312" s="350"/>
      <c r="K312" s="351"/>
      <c r="L312" s="643"/>
      <c r="M312" s="350"/>
      <c r="N312" s="350"/>
      <c r="O312" s="351"/>
      <c r="P312" s="644"/>
      <c r="Q312" s="350"/>
      <c r="R312" s="350"/>
      <c r="S312" s="351"/>
      <c r="T312" s="643"/>
      <c r="U312" s="350"/>
      <c r="V312" s="350"/>
      <c r="W312" s="351"/>
      <c r="X312" s="644"/>
      <c r="Y312" s="350"/>
      <c r="Z312" s="350"/>
      <c r="AA312" s="351"/>
      <c r="AB312" s="506"/>
      <c r="AC312" s="350"/>
      <c r="AD312" s="351"/>
      <c r="AE312" s="571"/>
      <c r="AF312" s="350"/>
      <c r="AG312" s="351"/>
      <c r="AH312" s="645"/>
      <c r="AI312" s="350"/>
      <c r="AJ312" s="351"/>
      <c r="AK312" s="567"/>
      <c r="AL312" s="350"/>
      <c r="AM312" s="351"/>
      <c r="AN312" s="58"/>
      <c r="AO312" s="59"/>
      <c r="AP312" s="58"/>
      <c r="AQ312" s="59"/>
      <c r="AR312" s="58"/>
      <c r="AS312" s="59"/>
      <c r="AT312" s="58"/>
      <c r="AU312" s="59"/>
      <c r="AV312" s="58"/>
      <c r="AW312" s="59"/>
      <c r="AX312" s="58"/>
      <c r="AY312" s="59"/>
      <c r="AZ312" s="64"/>
      <c r="BA312" s="61"/>
      <c r="BB312" s="64"/>
      <c r="BC312" s="61"/>
      <c r="BD312" s="64"/>
      <c r="BE312" s="61"/>
      <c r="BF312" s="64"/>
      <c r="BG312" s="61"/>
      <c r="BH312" s="64"/>
      <c r="BI312" s="646" t="s">
        <v>294</v>
      </c>
      <c r="BJ312" s="350"/>
      <c r="BK312" s="350"/>
      <c r="BL312" s="350"/>
      <c r="BM312" s="350"/>
      <c r="BN312" s="350"/>
      <c r="BO312" s="350"/>
      <c r="BP312" s="350"/>
      <c r="BQ312" s="350"/>
      <c r="BR312" s="350"/>
      <c r="BS312" s="350"/>
      <c r="BT312" s="350"/>
      <c r="BU312" s="350"/>
      <c r="BV312" s="351"/>
    </row>
    <row r="313" spans="1:74" ht="30" customHeight="1">
      <c r="A313" s="63">
        <f t="shared" si="1"/>
        <v>299</v>
      </c>
      <c r="B313" s="56" t="s">
        <v>325</v>
      </c>
      <c r="C313" s="57"/>
      <c r="D313" s="644"/>
      <c r="E313" s="350"/>
      <c r="F313" s="350"/>
      <c r="G313" s="350"/>
      <c r="H313" s="350"/>
      <c r="I313" s="350"/>
      <c r="J313" s="350"/>
      <c r="K313" s="351"/>
      <c r="L313" s="643"/>
      <c r="M313" s="350"/>
      <c r="N313" s="350"/>
      <c r="O313" s="351"/>
      <c r="P313" s="644"/>
      <c r="Q313" s="350"/>
      <c r="R313" s="350"/>
      <c r="S313" s="351"/>
      <c r="T313" s="643"/>
      <c r="U313" s="350"/>
      <c r="V313" s="350"/>
      <c r="W313" s="351"/>
      <c r="X313" s="644"/>
      <c r="Y313" s="350"/>
      <c r="Z313" s="350"/>
      <c r="AA313" s="351"/>
      <c r="AB313" s="506"/>
      <c r="AC313" s="350"/>
      <c r="AD313" s="351"/>
      <c r="AE313" s="571"/>
      <c r="AF313" s="350"/>
      <c r="AG313" s="351"/>
      <c r="AH313" s="645"/>
      <c r="AI313" s="350"/>
      <c r="AJ313" s="351"/>
      <c r="AK313" s="567"/>
      <c r="AL313" s="350"/>
      <c r="AM313" s="351"/>
      <c r="AN313" s="58"/>
      <c r="AO313" s="59"/>
      <c r="AP313" s="58"/>
      <c r="AQ313" s="59"/>
      <c r="AR313" s="58"/>
      <c r="AS313" s="59"/>
      <c r="AT313" s="58"/>
      <c r="AU313" s="59"/>
      <c r="AV313" s="58"/>
      <c r="AW313" s="59"/>
      <c r="AX313" s="58"/>
      <c r="AY313" s="59"/>
      <c r="AZ313" s="64"/>
      <c r="BA313" s="61"/>
      <c r="BB313" s="64"/>
      <c r="BC313" s="61"/>
      <c r="BD313" s="64"/>
      <c r="BE313" s="61"/>
      <c r="BF313" s="64"/>
      <c r="BG313" s="61"/>
      <c r="BH313" s="64"/>
      <c r="BI313" s="646" t="s">
        <v>294</v>
      </c>
      <c r="BJ313" s="350"/>
      <c r="BK313" s="350"/>
      <c r="BL313" s="350"/>
      <c r="BM313" s="350"/>
      <c r="BN313" s="350"/>
      <c r="BO313" s="350"/>
      <c r="BP313" s="350"/>
      <c r="BQ313" s="350"/>
      <c r="BR313" s="350"/>
      <c r="BS313" s="350"/>
      <c r="BT313" s="350"/>
      <c r="BU313" s="350"/>
      <c r="BV313" s="351"/>
    </row>
    <row r="314" spans="1:74" ht="30" customHeight="1">
      <c r="A314" s="55">
        <f t="shared" si="1"/>
        <v>300</v>
      </c>
      <c r="B314" s="56" t="s">
        <v>325</v>
      </c>
      <c r="C314" s="57"/>
      <c r="D314" s="644"/>
      <c r="E314" s="350"/>
      <c r="F314" s="350"/>
      <c r="G314" s="350"/>
      <c r="H314" s="350"/>
      <c r="I314" s="350"/>
      <c r="J314" s="350"/>
      <c r="K314" s="351"/>
      <c r="L314" s="643"/>
      <c r="M314" s="350"/>
      <c r="N314" s="350"/>
      <c r="O314" s="351"/>
      <c r="P314" s="644"/>
      <c r="Q314" s="350"/>
      <c r="R314" s="350"/>
      <c r="S314" s="351"/>
      <c r="T314" s="643"/>
      <c r="U314" s="350"/>
      <c r="V314" s="350"/>
      <c r="W314" s="351"/>
      <c r="X314" s="644"/>
      <c r="Y314" s="350"/>
      <c r="Z314" s="350"/>
      <c r="AA314" s="351"/>
      <c r="AB314" s="506"/>
      <c r="AC314" s="350"/>
      <c r="AD314" s="351"/>
      <c r="AE314" s="571"/>
      <c r="AF314" s="350"/>
      <c r="AG314" s="351"/>
      <c r="AH314" s="645"/>
      <c r="AI314" s="350"/>
      <c r="AJ314" s="351"/>
      <c r="AK314" s="567"/>
      <c r="AL314" s="350"/>
      <c r="AM314" s="351"/>
      <c r="AN314" s="58"/>
      <c r="AO314" s="59"/>
      <c r="AP314" s="58"/>
      <c r="AQ314" s="59"/>
      <c r="AR314" s="58"/>
      <c r="AS314" s="59"/>
      <c r="AT314" s="58"/>
      <c r="AU314" s="59"/>
      <c r="AV314" s="58"/>
      <c r="AW314" s="59"/>
      <c r="AX314" s="58"/>
      <c r="AY314" s="59"/>
      <c r="AZ314" s="64"/>
      <c r="BA314" s="61"/>
      <c r="BB314" s="64"/>
      <c r="BC314" s="61"/>
      <c r="BD314" s="64"/>
      <c r="BE314" s="61"/>
      <c r="BF314" s="64"/>
      <c r="BG314" s="61"/>
      <c r="BH314" s="64"/>
      <c r="BI314" s="646" t="s">
        <v>298</v>
      </c>
      <c r="BJ314" s="350"/>
      <c r="BK314" s="350"/>
      <c r="BL314" s="350"/>
      <c r="BM314" s="350"/>
      <c r="BN314" s="350"/>
      <c r="BO314" s="350"/>
      <c r="BP314" s="350"/>
      <c r="BQ314" s="350"/>
      <c r="BR314" s="350"/>
      <c r="BS314" s="350"/>
      <c r="BT314" s="350"/>
      <c r="BU314" s="350"/>
      <c r="BV314" s="351"/>
    </row>
    <row r="315" spans="1:74" ht="30" customHeight="1">
      <c r="A315" s="63">
        <f t="shared" si="1"/>
        <v>301</v>
      </c>
      <c r="B315" s="56" t="s">
        <v>325</v>
      </c>
      <c r="C315" s="57"/>
      <c r="D315" s="644"/>
      <c r="E315" s="350"/>
      <c r="F315" s="350"/>
      <c r="G315" s="350"/>
      <c r="H315" s="350"/>
      <c r="I315" s="350"/>
      <c r="J315" s="350"/>
      <c r="K315" s="351"/>
      <c r="L315" s="643"/>
      <c r="M315" s="350"/>
      <c r="N315" s="350"/>
      <c r="O315" s="351"/>
      <c r="P315" s="644"/>
      <c r="Q315" s="350"/>
      <c r="R315" s="350"/>
      <c r="S315" s="351"/>
      <c r="T315" s="643"/>
      <c r="U315" s="350"/>
      <c r="V315" s="350"/>
      <c r="W315" s="351"/>
      <c r="X315" s="644"/>
      <c r="Y315" s="350"/>
      <c r="Z315" s="350"/>
      <c r="AA315" s="351"/>
      <c r="AB315" s="506"/>
      <c r="AC315" s="350"/>
      <c r="AD315" s="351"/>
      <c r="AE315" s="571"/>
      <c r="AF315" s="350"/>
      <c r="AG315" s="351"/>
      <c r="AH315" s="645"/>
      <c r="AI315" s="350"/>
      <c r="AJ315" s="351"/>
      <c r="AK315" s="567"/>
      <c r="AL315" s="350"/>
      <c r="AM315" s="351"/>
      <c r="AN315" s="58"/>
      <c r="AO315" s="59"/>
      <c r="AP315" s="58"/>
      <c r="AQ315" s="59"/>
      <c r="AR315" s="58"/>
      <c r="AS315" s="59"/>
      <c r="AT315" s="58"/>
      <c r="AU315" s="59"/>
      <c r="AV315" s="58"/>
      <c r="AW315" s="59"/>
      <c r="AX315" s="58"/>
      <c r="AY315" s="59"/>
      <c r="AZ315" s="64"/>
      <c r="BA315" s="61"/>
      <c r="BB315" s="64"/>
      <c r="BC315" s="61"/>
      <c r="BD315" s="64"/>
      <c r="BE315" s="61"/>
      <c r="BF315" s="64"/>
      <c r="BG315" s="61"/>
      <c r="BH315" s="64"/>
      <c r="BI315" s="646" t="s">
        <v>298</v>
      </c>
      <c r="BJ315" s="350"/>
      <c r="BK315" s="350"/>
      <c r="BL315" s="350"/>
      <c r="BM315" s="350"/>
      <c r="BN315" s="350"/>
      <c r="BO315" s="350"/>
      <c r="BP315" s="350"/>
      <c r="BQ315" s="350"/>
      <c r="BR315" s="350"/>
      <c r="BS315" s="350"/>
      <c r="BT315" s="350"/>
      <c r="BU315" s="350"/>
      <c r="BV315" s="351"/>
    </row>
    <row r="316" spans="1:74" ht="30" customHeight="1">
      <c r="A316" s="63">
        <f t="shared" si="1"/>
        <v>302</v>
      </c>
      <c r="B316" s="56" t="s">
        <v>325</v>
      </c>
      <c r="C316" s="57"/>
      <c r="D316" s="644"/>
      <c r="E316" s="350"/>
      <c r="F316" s="350"/>
      <c r="G316" s="350"/>
      <c r="H316" s="350"/>
      <c r="I316" s="350"/>
      <c r="J316" s="350"/>
      <c r="K316" s="351"/>
      <c r="L316" s="643"/>
      <c r="M316" s="350"/>
      <c r="N316" s="350"/>
      <c r="O316" s="351"/>
      <c r="P316" s="644"/>
      <c r="Q316" s="350"/>
      <c r="R316" s="350"/>
      <c r="S316" s="351"/>
      <c r="T316" s="643"/>
      <c r="U316" s="350"/>
      <c r="V316" s="350"/>
      <c r="W316" s="351"/>
      <c r="X316" s="644"/>
      <c r="Y316" s="350"/>
      <c r="Z316" s="350"/>
      <c r="AA316" s="351"/>
      <c r="AB316" s="506"/>
      <c r="AC316" s="350"/>
      <c r="AD316" s="351"/>
      <c r="AE316" s="571"/>
      <c r="AF316" s="350"/>
      <c r="AG316" s="351"/>
      <c r="AH316" s="645"/>
      <c r="AI316" s="350"/>
      <c r="AJ316" s="351"/>
      <c r="AK316" s="567"/>
      <c r="AL316" s="350"/>
      <c r="AM316" s="351"/>
      <c r="AN316" s="58"/>
      <c r="AO316" s="59"/>
      <c r="AP316" s="58"/>
      <c r="AQ316" s="59"/>
      <c r="AR316" s="58"/>
      <c r="AS316" s="59"/>
      <c r="AT316" s="58"/>
      <c r="AU316" s="59"/>
      <c r="AV316" s="58"/>
      <c r="AW316" s="59"/>
      <c r="AX316" s="58"/>
      <c r="AY316" s="59"/>
      <c r="AZ316" s="64"/>
      <c r="BA316" s="61"/>
      <c r="BB316" s="64"/>
      <c r="BC316" s="61"/>
      <c r="BD316" s="64"/>
      <c r="BE316" s="61"/>
      <c r="BF316" s="64"/>
      <c r="BG316" s="61"/>
      <c r="BH316" s="64"/>
      <c r="BI316" s="646" t="s">
        <v>298</v>
      </c>
      <c r="BJ316" s="350"/>
      <c r="BK316" s="350"/>
      <c r="BL316" s="350"/>
      <c r="BM316" s="350"/>
      <c r="BN316" s="350"/>
      <c r="BO316" s="350"/>
      <c r="BP316" s="350"/>
      <c r="BQ316" s="350"/>
      <c r="BR316" s="350"/>
      <c r="BS316" s="350"/>
      <c r="BT316" s="350"/>
      <c r="BU316" s="350"/>
      <c r="BV316" s="351"/>
    </row>
    <row r="317" spans="1:74" ht="30" customHeight="1">
      <c r="A317" s="63">
        <f t="shared" si="1"/>
        <v>303</v>
      </c>
      <c r="B317" s="56" t="s">
        <v>325</v>
      </c>
      <c r="C317" s="57"/>
      <c r="D317" s="644"/>
      <c r="E317" s="350"/>
      <c r="F317" s="350"/>
      <c r="G317" s="350"/>
      <c r="H317" s="350"/>
      <c r="I317" s="350"/>
      <c r="J317" s="350"/>
      <c r="K317" s="351"/>
      <c r="L317" s="643"/>
      <c r="M317" s="350"/>
      <c r="N317" s="350"/>
      <c r="O317" s="351"/>
      <c r="P317" s="644"/>
      <c r="Q317" s="350"/>
      <c r="R317" s="350"/>
      <c r="S317" s="351"/>
      <c r="T317" s="643"/>
      <c r="U317" s="350"/>
      <c r="V317" s="350"/>
      <c r="W317" s="351"/>
      <c r="X317" s="644"/>
      <c r="Y317" s="350"/>
      <c r="Z317" s="350"/>
      <c r="AA317" s="351"/>
      <c r="AB317" s="506"/>
      <c r="AC317" s="350"/>
      <c r="AD317" s="351"/>
      <c r="AE317" s="571"/>
      <c r="AF317" s="350"/>
      <c r="AG317" s="351"/>
      <c r="AH317" s="645"/>
      <c r="AI317" s="350"/>
      <c r="AJ317" s="351"/>
      <c r="AK317" s="567"/>
      <c r="AL317" s="350"/>
      <c r="AM317" s="351"/>
      <c r="AN317" s="58"/>
      <c r="AO317" s="59"/>
      <c r="AP317" s="58"/>
      <c r="AQ317" s="59"/>
      <c r="AR317" s="58"/>
      <c r="AS317" s="59"/>
      <c r="AT317" s="58"/>
      <c r="AU317" s="59"/>
      <c r="AV317" s="58"/>
      <c r="AW317" s="59"/>
      <c r="AX317" s="58"/>
      <c r="AY317" s="59"/>
      <c r="AZ317" s="64"/>
      <c r="BA317" s="61"/>
      <c r="BB317" s="64"/>
      <c r="BC317" s="61"/>
      <c r="BD317" s="64"/>
      <c r="BE317" s="61"/>
      <c r="BF317" s="64"/>
      <c r="BG317" s="61"/>
      <c r="BH317" s="64"/>
      <c r="BI317" s="646" t="s">
        <v>298</v>
      </c>
      <c r="BJ317" s="350"/>
      <c r="BK317" s="350"/>
      <c r="BL317" s="350"/>
      <c r="BM317" s="350"/>
      <c r="BN317" s="350"/>
      <c r="BO317" s="350"/>
      <c r="BP317" s="350"/>
      <c r="BQ317" s="350"/>
      <c r="BR317" s="350"/>
      <c r="BS317" s="350"/>
      <c r="BT317" s="350"/>
      <c r="BU317" s="350"/>
      <c r="BV317" s="351"/>
    </row>
    <row r="318" spans="1:74" ht="30" customHeight="1">
      <c r="A318" s="63">
        <f t="shared" si="1"/>
        <v>304</v>
      </c>
      <c r="B318" s="56" t="s">
        <v>325</v>
      </c>
      <c r="C318" s="57"/>
      <c r="D318" s="644"/>
      <c r="E318" s="350"/>
      <c r="F318" s="350"/>
      <c r="G318" s="350"/>
      <c r="H318" s="350"/>
      <c r="I318" s="350"/>
      <c r="J318" s="350"/>
      <c r="K318" s="351"/>
      <c r="L318" s="643"/>
      <c r="M318" s="350"/>
      <c r="N318" s="350"/>
      <c r="O318" s="351"/>
      <c r="P318" s="644"/>
      <c r="Q318" s="350"/>
      <c r="R318" s="350"/>
      <c r="S318" s="351"/>
      <c r="T318" s="643"/>
      <c r="U318" s="350"/>
      <c r="V318" s="350"/>
      <c r="W318" s="351"/>
      <c r="X318" s="644"/>
      <c r="Y318" s="350"/>
      <c r="Z318" s="350"/>
      <c r="AA318" s="351"/>
      <c r="AB318" s="506"/>
      <c r="AC318" s="350"/>
      <c r="AD318" s="351"/>
      <c r="AE318" s="571"/>
      <c r="AF318" s="350"/>
      <c r="AG318" s="351"/>
      <c r="AH318" s="645"/>
      <c r="AI318" s="350"/>
      <c r="AJ318" s="351"/>
      <c r="AK318" s="567"/>
      <c r="AL318" s="350"/>
      <c r="AM318" s="351"/>
      <c r="AN318" s="58"/>
      <c r="AO318" s="59"/>
      <c r="AP318" s="58"/>
      <c r="AQ318" s="59"/>
      <c r="AR318" s="58"/>
      <c r="AS318" s="59"/>
      <c r="AT318" s="58"/>
      <c r="AU318" s="59"/>
      <c r="AV318" s="58"/>
      <c r="AW318" s="59"/>
      <c r="AX318" s="58"/>
      <c r="AY318" s="59"/>
      <c r="AZ318" s="64"/>
      <c r="BA318" s="61"/>
      <c r="BB318" s="64"/>
      <c r="BC318" s="61"/>
      <c r="BD318" s="64"/>
      <c r="BE318" s="61"/>
      <c r="BF318" s="64"/>
      <c r="BG318" s="61"/>
      <c r="BH318" s="64"/>
      <c r="BI318" s="646" t="s">
        <v>298</v>
      </c>
      <c r="BJ318" s="350"/>
      <c r="BK318" s="350"/>
      <c r="BL318" s="350"/>
      <c r="BM318" s="350"/>
      <c r="BN318" s="350"/>
      <c r="BO318" s="350"/>
      <c r="BP318" s="350"/>
      <c r="BQ318" s="350"/>
      <c r="BR318" s="350"/>
      <c r="BS318" s="350"/>
      <c r="BT318" s="350"/>
      <c r="BU318" s="350"/>
      <c r="BV318" s="351"/>
    </row>
    <row r="319" spans="1:74" ht="30" customHeight="1">
      <c r="A319" s="63">
        <f t="shared" si="1"/>
        <v>305</v>
      </c>
      <c r="B319" s="56" t="s">
        <v>325</v>
      </c>
      <c r="C319" s="57"/>
      <c r="D319" s="644"/>
      <c r="E319" s="350"/>
      <c r="F319" s="350"/>
      <c r="G319" s="350"/>
      <c r="H319" s="350"/>
      <c r="I319" s="350"/>
      <c r="J319" s="350"/>
      <c r="K319" s="351"/>
      <c r="L319" s="643"/>
      <c r="M319" s="350"/>
      <c r="N319" s="350"/>
      <c r="O319" s="351"/>
      <c r="P319" s="644"/>
      <c r="Q319" s="350"/>
      <c r="R319" s="350"/>
      <c r="S319" s="351"/>
      <c r="T319" s="643"/>
      <c r="U319" s="350"/>
      <c r="V319" s="350"/>
      <c r="W319" s="351"/>
      <c r="X319" s="644"/>
      <c r="Y319" s="350"/>
      <c r="Z319" s="350"/>
      <c r="AA319" s="351"/>
      <c r="AB319" s="506"/>
      <c r="AC319" s="350"/>
      <c r="AD319" s="351"/>
      <c r="AE319" s="571"/>
      <c r="AF319" s="350"/>
      <c r="AG319" s="351"/>
      <c r="AH319" s="645"/>
      <c r="AI319" s="350"/>
      <c r="AJ319" s="351"/>
      <c r="AK319" s="567"/>
      <c r="AL319" s="350"/>
      <c r="AM319" s="351"/>
      <c r="AN319" s="58"/>
      <c r="AO319" s="59"/>
      <c r="AP319" s="58"/>
      <c r="AQ319" s="59"/>
      <c r="AR319" s="58"/>
      <c r="AS319" s="59"/>
      <c r="AT319" s="58"/>
      <c r="AU319" s="59"/>
      <c r="AV319" s="58"/>
      <c r="AW319" s="59"/>
      <c r="AX319" s="58"/>
      <c r="AY319" s="59"/>
      <c r="AZ319" s="64"/>
      <c r="BA319" s="61"/>
      <c r="BB319" s="64"/>
      <c r="BC319" s="61"/>
      <c r="BD319" s="64"/>
      <c r="BE319" s="61"/>
      <c r="BF319" s="64"/>
      <c r="BG319" s="61"/>
      <c r="BH319" s="64"/>
      <c r="BI319" s="646" t="s">
        <v>294</v>
      </c>
      <c r="BJ319" s="350"/>
      <c r="BK319" s="350"/>
      <c r="BL319" s="350"/>
      <c r="BM319" s="350"/>
      <c r="BN319" s="350"/>
      <c r="BO319" s="350"/>
      <c r="BP319" s="350"/>
      <c r="BQ319" s="350"/>
      <c r="BR319" s="350"/>
      <c r="BS319" s="350"/>
      <c r="BT319" s="350"/>
      <c r="BU319" s="350"/>
      <c r="BV319" s="351"/>
    </row>
    <row r="320" spans="1:74" ht="30" customHeight="1">
      <c r="A320" s="63">
        <f t="shared" si="1"/>
        <v>306</v>
      </c>
      <c r="B320" s="56" t="s">
        <v>325</v>
      </c>
      <c r="C320" s="57"/>
      <c r="D320" s="644"/>
      <c r="E320" s="350"/>
      <c r="F320" s="350"/>
      <c r="G320" s="350"/>
      <c r="H320" s="350"/>
      <c r="I320" s="350"/>
      <c r="J320" s="350"/>
      <c r="K320" s="351"/>
      <c r="L320" s="643"/>
      <c r="M320" s="350"/>
      <c r="N320" s="350"/>
      <c r="O320" s="351"/>
      <c r="P320" s="644"/>
      <c r="Q320" s="350"/>
      <c r="R320" s="350"/>
      <c r="S320" s="351"/>
      <c r="T320" s="643"/>
      <c r="U320" s="350"/>
      <c r="V320" s="350"/>
      <c r="W320" s="351"/>
      <c r="X320" s="644"/>
      <c r="Y320" s="350"/>
      <c r="Z320" s="350"/>
      <c r="AA320" s="351"/>
      <c r="AB320" s="506"/>
      <c r="AC320" s="350"/>
      <c r="AD320" s="351"/>
      <c r="AE320" s="571"/>
      <c r="AF320" s="350"/>
      <c r="AG320" s="351"/>
      <c r="AH320" s="645"/>
      <c r="AI320" s="350"/>
      <c r="AJ320" s="351"/>
      <c r="AK320" s="567"/>
      <c r="AL320" s="350"/>
      <c r="AM320" s="351"/>
      <c r="AN320" s="58"/>
      <c r="AO320" s="59"/>
      <c r="AP320" s="58"/>
      <c r="AQ320" s="59"/>
      <c r="AR320" s="58"/>
      <c r="AS320" s="59"/>
      <c r="AT320" s="58"/>
      <c r="AU320" s="59"/>
      <c r="AV320" s="58"/>
      <c r="AW320" s="59"/>
      <c r="AX320" s="58"/>
      <c r="AY320" s="59"/>
      <c r="AZ320" s="64"/>
      <c r="BA320" s="61"/>
      <c r="BB320" s="64"/>
      <c r="BC320" s="61"/>
      <c r="BD320" s="64"/>
      <c r="BE320" s="61"/>
      <c r="BF320" s="64"/>
      <c r="BG320" s="61"/>
      <c r="BH320" s="64"/>
      <c r="BI320" s="646" t="s">
        <v>294</v>
      </c>
      <c r="BJ320" s="350"/>
      <c r="BK320" s="350"/>
      <c r="BL320" s="350"/>
      <c r="BM320" s="350"/>
      <c r="BN320" s="350"/>
      <c r="BO320" s="350"/>
      <c r="BP320" s="350"/>
      <c r="BQ320" s="350"/>
      <c r="BR320" s="350"/>
      <c r="BS320" s="350"/>
      <c r="BT320" s="350"/>
      <c r="BU320" s="350"/>
      <c r="BV320" s="351"/>
    </row>
    <row r="321" spans="1:74" ht="30" customHeight="1">
      <c r="A321" s="55">
        <f t="shared" si="1"/>
        <v>307</v>
      </c>
      <c r="B321" s="56" t="s">
        <v>325</v>
      </c>
      <c r="C321" s="57"/>
      <c r="D321" s="644"/>
      <c r="E321" s="350"/>
      <c r="F321" s="350"/>
      <c r="G321" s="350"/>
      <c r="H321" s="350"/>
      <c r="I321" s="350"/>
      <c r="J321" s="350"/>
      <c r="K321" s="351"/>
      <c r="L321" s="643"/>
      <c r="M321" s="350"/>
      <c r="N321" s="350"/>
      <c r="O321" s="351"/>
      <c r="P321" s="644"/>
      <c r="Q321" s="350"/>
      <c r="R321" s="350"/>
      <c r="S321" s="351"/>
      <c r="T321" s="643"/>
      <c r="U321" s="350"/>
      <c r="V321" s="350"/>
      <c r="W321" s="351"/>
      <c r="X321" s="644"/>
      <c r="Y321" s="350"/>
      <c r="Z321" s="350"/>
      <c r="AA321" s="351"/>
      <c r="AB321" s="506"/>
      <c r="AC321" s="350"/>
      <c r="AD321" s="351"/>
      <c r="AE321" s="571"/>
      <c r="AF321" s="350"/>
      <c r="AG321" s="351"/>
      <c r="AH321" s="645"/>
      <c r="AI321" s="350"/>
      <c r="AJ321" s="351"/>
      <c r="AK321" s="567"/>
      <c r="AL321" s="350"/>
      <c r="AM321" s="351"/>
      <c r="AN321" s="58"/>
      <c r="AO321" s="59"/>
      <c r="AP321" s="58"/>
      <c r="AQ321" s="59"/>
      <c r="AR321" s="58"/>
      <c r="AS321" s="59"/>
      <c r="AT321" s="58"/>
      <c r="AU321" s="59"/>
      <c r="AV321" s="58"/>
      <c r="AW321" s="59"/>
      <c r="AX321" s="58"/>
      <c r="AY321" s="59"/>
      <c r="AZ321" s="64"/>
      <c r="BA321" s="61"/>
      <c r="BB321" s="64"/>
      <c r="BC321" s="61"/>
      <c r="BD321" s="64"/>
      <c r="BE321" s="61"/>
      <c r="BF321" s="64"/>
      <c r="BG321" s="61"/>
      <c r="BH321" s="64"/>
      <c r="BI321" s="646" t="s">
        <v>298</v>
      </c>
      <c r="BJ321" s="350"/>
      <c r="BK321" s="350"/>
      <c r="BL321" s="350"/>
      <c r="BM321" s="350"/>
      <c r="BN321" s="350"/>
      <c r="BO321" s="350"/>
      <c r="BP321" s="350"/>
      <c r="BQ321" s="350"/>
      <c r="BR321" s="350"/>
      <c r="BS321" s="350"/>
      <c r="BT321" s="350"/>
      <c r="BU321" s="350"/>
      <c r="BV321" s="351"/>
    </row>
    <row r="322" spans="1:74" ht="30" customHeight="1">
      <c r="A322" s="63">
        <f t="shared" si="1"/>
        <v>308</v>
      </c>
      <c r="B322" s="56" t="s">
        <v>325</v>
      </c>
      <c r="C322" s="57"/>
      <c r="D322" s="644"/>
      <c r="E322" s="350"/>
      <c r="F322" s="350"/>
      <c r="G322" s="350"/>
      <c r="H322" s="350"/>
      <c r="I322" s="350"/>
      <c r="J322" s="350"/>
      <c r="K322" s="351"/>
      <c r="L322" s="643"/>
      <c r="M322" s="350"/>
      <c r="N322" s="350"/>
      <c r="O322" s="351"/>
      <c r="P322" s="644"/>
      <c r="Q322" s="350"/>
      <c r="R322" s="350"/>
      <c r="S322" s="351"/>
      <c r="T322" s="643"/>
      <c r="U322" s="350"/>
      <c r="V322" s="350"/>
      <c r="W322" s="351"/>
      <c r="X322" s="644"/>
      <c r="Y322" s="350"/>
      <c r="Z322" s="350"/>
      <c r="AA322" s="351"/>
      <c r="AB322" s="506"/>
      <c r="AC322" s="350"/>
      <c r="AD322" s="351"/>
      <c r="AE322" s="571"/>
      <c r="AF322" s="350"/>
      <c r="AG322" s="351"/>
      <c r="AH322" s="645"/>
      <c r="AI322" s="350"/>
      <c r="AJ322" s="351"/>
      <c r="AK322" s="567"/>
      <c r="AL322" s="350"/>
      <c r="AM322" s="351"/>
      <c r="AN322" s="58"/>
      <c r="AO322" s="59"/>
      <c r="AP322" s="58"/>
      <c r="AQ322" s="59"/>
      <c r="AR322" s="58"/>
      <c r="AS322" s="59"/>
      <c r="AT322" s="58"/>
      <c r="AU322" s="59"/>
      <c r="AV322" s="58"/>
      <c r="AW322" s="59"/>
      <c r="AX322" s="58"/>
      <c r="AY322" s="59"/>
      <c r="AZ322" s="64"/>
      <c r="BA322" s="61"/>
      <c r="BB322" s="64"/>
      <c r="BC322" s="61"/>
      <c r="BD322" s="64"/>
      <c r="BE322" s="61"/>
      <c r="BF322" s="64"/>
      <c r="BG322" s="61"/>
      <c r="BH322" s="64"/>
      <c r="BI322" s="646" t="s">
        <v>298</v>
      </c>
      <c r="BJ322" s="350"/>
      <c r="BK322" s="350"/>
      <c r="BL322" s="350"/>
      <c r="BM322" s="350"/>
      <c r="BN322" s="350"/>
      <c r="BO322" s="350"/>
      <c r="BP322" s="350"/>
      <c r="BQ322" s="350"/>
      <c r="BR322" s="350"/>
      <c r="BS322" s="350"/>
      <c r="BT322" s="350"/>
      <c r="BU322" s="350"/>
      <c r="BV322" s="351"/>
    </row>
    <row r="323" spans="1:74" ht="30" customHeight="1">
      <c r="A323" s="63">
        <f t="shared" si="1"/>
        <v>309</v>
      </c>
      <c r="B323" s="56" t="s">
        <v>325</v>
      </c>
      <c r="C323" s="57"/>
      <c r="D323" s="644"/>
      <c r="E323" s="350"/>
      <c r="F323" s="350"/>
      <c r="G323" s="350"/>
      <c r="H323" s="350"/>
      <c r="I323" s="350"/>
      <c r="J323" s="350"/>
      <c r="K323" s="351"/>
      <c r="L323" s="643"/>
      <c r="M323" s="350"/>
      <c r="N323" s="350"/>
      <c r="O323" s="351"/>
      <c r="P323" s="644"/>
      <c r="Q323" s="350"/>
      <c r="R323" s="350"/>
      <c r="S323" s="351"/>
      <c r="T323" s="643"/>
      <c r="U323" s="350"/>
      <c r="V323" s="350"/>
      <c r="W323" s="351"/>
      <c r="X323" s="644"/>
      <c r="Y323" s="350"/>
      <c r="Z323" s="350"/>
      <c r="AA323" s="351"/>
      <c r="AB323" s="506"/>
      <c r="AC323" s="350"/>
      <c r="AD323" s="351"/>
      <c r="AE323" s="571"/>
      <c r="AF323" s="350"/>
      <c r="AG323" s="351"/>
      <c r="AH323" s="645"/>
      <c r="AI323" s="350"/>
      <c r="AJ323" s="351"/>
      <c r="AK323" s="567"/>
      <c r="AL323" s="350"/>
      <c r="AM323" s="351"/>
      <c r="AN323" s="58"/>
      <c r="AO323" s="59"/>
      <c r="AP323" s="58"/>
      <c r="AQ323" s="59"/>
      <c r="AR323" s="58"/>
      <c r="AS323" s="59"/>
      <c r="AT323" s="58"/>
      <c r="AU323" s="59"/>
      <c r="AV323" s="58"/>
      <c r="AW323" s="59"/>
      <c r="AX323" s="58"/>
      <c r="AY323" s="59"/>
      <c r="AZ323" s="64"/>
      <c r="BA323" s="61"/>
      <c r="BB323" s="64"/>
      <c r="BC323" s="61"/>
      <c r="BD323" s="64"/>
      <c r="BE323" s="61"/>
      <c r="BF323" s="64"/>
      <c r="BG323" s="61"/>
      <c r="BH323" s="64"/>
      <c r="BI323" s="646" t="s">
        <v>298</v>
      </c>
      <c r="BJ323" s="350"/>
      <c r="BK323" s="350"/>
      <c r="BL323" s="350"/>
      <c r="BM323" s="350"/>
      <c r="BN323" s="350"/>
      <c r="BO323" s="350"/>
      <c r="BP323" s="350"/>
      <c r="BQ323" s="350"/>
      <c r="BR323" s="350"/>
      <c r="BS323" s="350"/>
      <c r="BT323" s="350"/>
      <c r="BU323" s="350"/>
      <c r="BV323" s="351"/>
    </row>
    <row r="324" spans="1:74" ht="30" customHeight="1">
      <c r="A324" s="63">
        <f t="shared" si="1"/>
        <v>310</v>
      </c>
      <c r="B324" s="56" t="s">
        <v>325</v>
      </c>
      <c r="C324" s="57"/>
      <c r="D324" s="644"/>
      <c r="E324" s="350"/>
      <c r="F324" s="350"/>
      <c r="G324" s="350"/>
      <c r="H324" s="350"/>
      <c r="I324" s="350"/>
      <c r="J324" s="350"/>
      <c r="K324" s="351"/>
      <c r="L324" s="643"/>
      <c r="M324" s="350"/>
      <c r="N324" s="350"/>
      <c r="O324" s="351"/>
      <c r="P324" s="644"/>
      <c r="Q324" s="350"/>
      <c r="R324" s="350"/>
      <c r="S324" s="351"/>
      <c r="T324" s="643"/>
      <c r="U324" s="350"/>
      <c r="V324" s="350"/>
      <c r="W324" s="351"/>
      <c r="X324" s="644"/>
      <c r="Y324" s="350"/>
      <c r="Z324" s="350"/>
      <c r="AA324" s="351"/>
      <c r="AB324" s="506"/>
      <c r="AC324" s="350"/>
      <c r="AD324" s="351"/>
      <c r="AE324" s="571"/>
      <c r="AF324" s="350"/>
      <c r="AG324" s="351"/>
      <c r="AH324" s="645"/>
      <c r="AI324" s="350"/>
      <c r="AJ324" s="351"/>
      <c r="AK324" s="567"/>
      <c r="AL324" s="350"/>
      <c r="AM324" s="351"/>
      <c r="AN324" s="58"/>
      <c r="AO324" s="59"/>
      <c r="AP324" s="58"/>
      <c r="AQ324" s="59"/>
      <c r="AR324" s="58"/>
      <c r="AS324" s="59"/>
      <c r="AT324" s="58"/>
      <c r="AU324" s="59"/>
      <c r="AV324" s="58"/>
      <c r="AW324" s="59"/>
      <c r="AX324" s="58"/>
      <c r="AY324" s="59"/>
      <c r="AZ324" s="64"/>
      <c r="BA324" s="61"/>
      <c r="BB324" s="64"/>
      <c r="BC324" s="61"/>
      <c r="BD324" s="64"/>
      <c r="BE324" s="61"/>
      <c r="BF324" s="64"/>
      <c r="BG324" s="61"/>
      <c r="BH324" s="64"/>
      <c r="BI324" s="646" t="s">
        <v>298</v>
      </c>
      <c r="BJ324" s="350"/>
      <c r="BK324" s="350"/>
      <c r="BL324" s="350"/>
      <c r="BM324" s="350"/>
      <c r="BN324" s="350"/>
      <c r="BO324" s="350"/>
      <c r="BP324" s="350"/>
      <c r="BQ324" s="350"/>
      <c r="BR324" s="350"/>
      <c r="BS324" s="350"/>
      <c r="BT324" s="350"/>
      <c r="BU324" s="350"/>
      <c r="BV324" s="351"/>
    </row>
    <row r="325" spans="1:74" ht="30" customHeight="1">
      <c r="A325" s="63">
        <f t="shared" si="1"/>
        <v>311</v>
      </c>
      <c r="B325" s="56" t="s">
        <v>325</v>
      </c>
      <c r="C325" s="57"/>
      <c r="D325" s="644"/>
      <c r="E325" s="350"/>
      <c r="F325" s="350"/>
      <c r="G325" s="350"/>
      <c r="H325" s="350"/>
      <c r="I325" s="350"/>
      <c r="J325" s="350"/>
      <c r="K325" s="351"/>
      <c r="L325" s="643"/>
      <c r="M325" s="350"/>
      <c r="N325" s="350"/>
      <c r="O325" s="351"/>
      <c r="P325" s="644"/>
      <c r="Q325" s="350"/>
      <c r="R325" s="350"/>
      <c r="S325" s="351"/>
      <c r="T325" s="643"/>
      <c r="U325" s="350"/>
      <c r="V325" s="350"/>
      <c r="W325" s="351"/>
      <c r="X325" s="644"/>
      <c r="Y325" s="350"/>
      <c r="Z325" s="350"/>
      <c r="AA325" s="351"/>
      <c r="AB325" s="506"/>
      <c r="AC325" s="350"/>
      <c r="AD325" s="351"/>
      <c r="AE325" s="571"/>
      <c r="AF325" s="350"/>
      <c r="AG325" s="351"/>
      <c r="AH325" s="645"/>
      <c r="AI325" s="350"/>
      <c r="AJ325" s="351"/>
      <c r="AK325" s="567"/>
      <c r="AL325" s="350"/>
      <c r="AM325" s="351"/>
      <c r="AN325" s="58"/>
      <c r="AO325" s="59"/>
      <c r="AP325" s="58"/>
      <c r="AQ325" s="59"/>
      <c r="AR325" s="58"/>
      <c r="AS325" s="59"/>
      <c r="AT325" s="58"/>
      <c r="AU325" s="59"/>
      <c r="AV325" s="58"/>
      <c r="AW325" s="59"/>
      <c r="AX325" s="58"/>
      <c r="AY325" s="59"/>
      <c r="AZ325" s="64"/>
      <c r="BA325" s="61"/>
      <c r="BB325" s="64"/>
      <c r="BC325" s="61"/>
      <c r="BD325" s="64"/>
      <c r="BE325" s="61"/>
      <c r="BF325" s="64"/>
      <c r="BG325" s="61"/>
      <c r="BH325" s="64"/>
      <c r="BI325" s="646" t="s">
        <v>298</v>
      </c>
      <c r="BJ325" s="350"/>
      <c r="BK325" s="350"/>
      <c r="BL325" s="350"/>
      <c r="BM325" s="350"/>
      <c r="BN325" s="350"/>
      <c r="BO325" s="350"/>
      <c r="BP325" s="350"/>
      <c r="BQ325" s="350"/>
      <c r="BR325" s="350"/>
      <c r="BS325" s="350"/>
      <c r="BT325" s="350"/>
      <c r="BU325" s="350"/>
      <c r="BV325" s="351"/>
    </row>
    <row r="326" spans="1:74" ht="30" customHeight="1">
      <c r="A326" s="63">
        <f t="shared" si="1"/>
        <v>312</v>
      </c>
      <c r="B326" s="56" t="s">
        <v>325</v>
      </c>
      <c r="C326" s="57"/>
      <c r="D326" s="644"/>
      <c r="E326" s="350"/>
      <c r="F326" s="350"/>
      <c r="G326" s="350"/>
      <c r="H326" s="350"/>
      <c r="I326" s="350"/>
      <c r="J326" s="350"/>
      <c r="K326" s="351"/>
      <c r="L326" s="643"/>
      <c r="M326" s="350"/>
      <c r="N326" s="350"/>
      <c r="O326" s="351"/>
      <c r="P326" s="644"/>
      <c r="Q326" s="350"/>
      <c r="R326" s="350"/>
      <c r="S326" s="351"/>
      <c r="T326" s="643"/>
      <c r="U326" s="350"/>
      <c r="V326" s="350"/>
      <c r="W326" s="351"/>
      <c r="X326" s="644"/>
      <c r="Y326" s="350"/>
      <c r="Z326" s="350"/>
      <c r="AA326" s="351"/>
      <c r="AB326" s="506"/>
      <c r="AC326" s="350"/>
      <c r="AD326" s="351"/>
      <c r="AE326" s="571"/>
      <c r="AF326" s="350"/>
      <c r="AG326" s="351"/>
      <c r="AH326" s="645"/>
      <c r="AI326" s="350"/>
      <c r="AJ326" s="351"/>
      <c r="AK326" s="567"/>
      <c r="AL326" s="350"/>
      <c r="AM326" s="351"/>
      <c r="AN326" s="58"/>
      <c r="AO326" s="59"/>
      <c r="AP326" s="58"/>
      <c r="AQ326" s="59"/>
      <c r="AR326" s="58"/>
      <c r="AS326" s="59"/>
      <c r="AT326" s="58"/>
      <c r="AU326" s="59"/>
      <c r="AV326" s="58"/>
      <c r="AW326" s="59"/>
      <c r="AX326" s="58"/>
      <c r="AY326" s="59"/>
      <c r="AZ326" s="64"/>
      <c r="BA326" s="61"/>
      <c r="BB326" s="64"/>
      <c r="BC326" s="61"/>
      <c r="BD326" s="64"/>
      <c r="BE326" s="61"/>
      <c r="BF326" s="64"/>
      <c r="BG326" s="61"/>
      <c r="BH326" s="64"/>
      <c r="BI326" s="646" t="s">
        <v>294</v>
      </c>
      <c r="BJ326" s="350"/>
      <c r="BK326" s="350"/>
      <c r="BL326" s="350"/>
      <c r="BM326" s="350"/>
      <c r="BN326" s="350"/>
      <c r="BO326" s="350"/>
      <c r="BP326" s="350"/>
      <c r="BQ326" s="350"/>
      <c r="BR326" s="350"/>
      <c r="BS326" s="350"/>
      <c r="BT326" s="350"/>
      <c r="BU326" s="350"/>
      <c r="BV326" s="351"/>
    </row>
    <row r="327" spans="1:74" ht="30" customHeight="1">
      <c r="A327" s="55">
        <f t="shared" si="1"/>
        <v>313</v>
      </c>
      <c r="B327" s="56" t="s">
        <v>325</v>
      </c>
      <c r="C327" s="57"/>
      <c r="D327" s="644"/>
      <c r="E327" s="350"/>
      <c r="F327" s="350"/>
      <c r="G327" s="350"/>
      <c r="H327" s="350"/>
      <c r="I327" s="350"/>
      <c r="J327" s="350"/>
      <c r="K327" s="351"/>
      <c r="L327" s="643"/>
      <c r="M327" s="350"/>
      <c r="N327" s="350"/>
      <c r="O327" s="351"/>
      <c r="P327" s="644"/>
      <c r="Q327" s="350"/>
      <c r="R327" s="350"/>
      <c r="S327" s="351"/>
      <c r="T327" s="643"/>
      <c r="U327" s="350"/>
      <c r="V327" s="350"/>
      <c r="W327" s="351"/>
      <c r="X327" s="644"/>
      <c r="Y327" s="350"/>
      <c r="Z327" s="350"/>
      <c r="AA327" s="351"/>
      <c r="AB327" s="506"/>
      <c r="AC327" s="350"/>
      <c r="AD327" s="351"/>
      <c r="AE327" s="571"/>
      <c r="AF327" s="350"/>
      <c r="AG327" s="351"/>
      <c r="AH327" s="645"/>
      <c r="AI327" s="350"/>
      <c r="AJ327" s="351"/>
      <c r="AK327" s="567"/>
      <c r="AL327" s="350"/>
      <c r="AM327" s="351"/>
      <c r="AN327" s="58"/>
      <c r="AO327" s="59"/>
      <c r="AP327" s="58"/>
      <c r="AQ327" s="59"/>
      <c r="AR327" s="58"/>
      <c r="AS327" s="59"/>
      <c r="AT327" s="58"/>
      <c r="AU327" s="59"/>
      <c r="AV327" s="58"/>
      <c r="AW327" s="59"/>
      <c r="AX327" s="58"/>
      <c r="AY327" s="59"/>
      <c r="AZ327" s="64"/>
      <c r="BA327" s="61"/>
      <c r="BB327" s="64"/>
      <c r="BC327" s="61"/>
      <c r="BD327" s="64"/>
      <c r="BE327" s="61"/>
      <c r="BF327" s="64"/>
      <c r="BG327" s="61"/>
      <c r="BH327" s="64"/>
      <c r="BI327" s="646" t="s">
        <v>298</v>
      </c>
      <c r="BJ327" s="350"/>
      <c r="BK327" s="350"/>
      <c r="BL327" s="350"/>
      <c r="BM327" s="350"/>
      <c r="BN327" s="350"/>
      <c r="BO327" s="350"/>
      <c r="BP327" s="350"/>
      <c r="BQ327" s="350"/>
      <c r="BR327" s="350"/>
      <c r="BS327" s="350"/>
      <c r="BT327" s="350"/>
      <c r="BU327" s="350"/>
      <c r="BV327" s="351"/>
    </row>
    <row r="328" spans="1:74" ht="30" customHeight="1">
      <c r="A328" s="63">
        <f t="shared" si="1"/>
        <v>314</v>
      </c>
      <c r="B328" s="56" t="s">
        <v>325</v>
      </c>
      <c r="C328" s="57"/>
      <c r="D328" s="644"/>
      <c r="E328" s="350"/>
      <c r="F328" s="350"/>
      <c r="G328" s="350"/>
      <c r="H328" s="350"/>
      <c r="I328" s="350"/>
      <c r="J328" s="350"/>
      <c r="K328" s="351"/>
      <c r="L328" s="643"/>
      <c r="M328" s="350"/>
      <c r="N328" s="350"/>
      <c r="O328" s="351"/>
      <c r="P328" s="644"/>
      <c r="Q328" s="350"/>
      <c r="R328" s="350"/>
      <c r="S328" s="351"/>
      <c r="T328" s="643"/>
      <c r="U328" s="350"/>
      <c r="V328" s="350"/>
      <c r="W328" s="351"/>
      <c r="X328" s="644"/>
      <c r="Y328" s="350"/>
      <c r="Z328" s="350"/>
      <c r="AA328" s="351"/>
      <c r="AB328" s="506"/>
      <c r="AC328" s="350"/>
      <c r="AD328" s="351"/>
      <c r="AE328" s="571"/>
      <c r="AF328" s="350"/>
      <c r="AG328" s="351"/>
      <c r="AH328" s="645"/>
      <c r="AI328" s="350"/>
      <c r="AJ328" s="351"/>
      <c r="AK328" s="567"/>
      <c r="AL328" s="350"/>
      <c r="AM328" s="351"/>
      <c r="AN328" s="58"/>
      <c r="AO328" s="59"/>
      <c r="AP328" s="58"/>
      <c r="AQ328" s="59"/>
      <c r="AR328" s="58"/>
      <c r="AS328" s="59"/>
      <c r="AT328" s="58"/>
      <c r="AU328" s="59"/>
      <c r="AV328" s="58"/>
      <c r="AW328" s="59"/>
      <c r="AX328" s="58"/>
      <c r="AY328" s="59"/>
      <c r="AZ328" s="64"/>
      <c r="BA328" s="61"/>
      <c r="BB328" s="64"/>
      <c r="BC328" s="61"/>
      <c r="BD328" s="64"/>
      <c r="BE328" s="61"/>
      <c r="BF328" s="64"/>
      <c r="BG328" s="61"/>
      <c r="BH328" s="64"/>
      <c r="BI328" s="646" t="s">
        <v>298</v>
      </c>
      <c r="BJ328" s="350"/>
      <c r="BK328" s="350"/>
      <c r="BL328" s="350"/>
      <c r="BM328" s="350"/>
      <c r="BN328" s="350"/>
      <c r="BO328" s="350"/>
      <c r="BP328" s="350"/>
      <c r="BQ328" s="350"/>
      <c r="BR328" s="350"/>
      <c r="BS328" s="350"/>
      <c r="BT328" s="350"/>
      <c r="BU328" s="350"/>
      <c r="BV328" s="351"/>
    </row>
    <row r="329" spans="1:74" ht="30" customHeight="1">
      <c r="A329" s="63">
        <f t="shared" si="1"/>
        <v>315</v>
      </c>
      <c r="B329" s="56" t="s">
        <v>325</v>
      </c>
      <c r="C329" s="57"/>
      <c r="D329" s="644"/>
      <c r="E329" s="350"/>
      <c r="F329" s="350"/>
      <c r="G329" s="350"/>
      <c r="H329" s="350"/>
      <c r="I329" s="350"/>
      <c r="J329" s="350"/>
      <c r="K329" s="351"/>
      <c r="L329" s="643"/>
      <c r="M329" s="350"/>
      <c r="N329" s="350"/>
      <c r="O329" s="351"/>
      <c r="P329" s="644"/>
      <c r="Q329" s="350"/>
      <c r="R329" s="350"/>
      <c r="S329" s="351"/>
      <c r="T329" s="643"/>
      <c r="U329" s="350"/>
      <c r="V329" s="350"/>
      <c r="W329" s="351"/>
      <c r="X329" s="644"/>
      <c r="Y329" s="350"/>
      <c r="Z329" s="350"/>
      <c r="AA329" s="351"/>
      <c r="AB329" s="506"/>
      <c r="AC329" s="350"/>
      <c r="AD329" s="351"/>
      <c r="AE329" s="571"/>
      <c r="AF329" s="350"/>
      <c r="AG329" s="351"/>
      <c r="AH329" s="645"/>
      <c r="AI329" s="350"/>
      <c r="AJ329" s="351"/>
      <c r="AK329" s="567"/>
      <c r="AL329" s="350"/>
      <c r="AM329" s="351"/>
      <c r="AN329" s="58"/>
      <c r="AO329" s="59"/>
      <c r="AP329" s="58"/>
      <c r="AQ329" s="59"/>
      <c r="AR329" s="58"/>
      <c r="AS329" s="59"/>
      <c r="AT329" s="58"/>
      <c r="AU329" s="59"/>
      <c r="AV329" s="58"/>
      <c r="AW329" s="59"/>
      <c r="AX329" s="58"/>
      <c r="AY329" s="59"/>
      <c r="AZ329" s="64"/>
      <c r="BA329" s="61"/>
      <c r="BB329" s="64"/>
      <c r="BC329" s="61"/>
      <c r="BD329" s="64"/>
      <c r="BE329" s="61"/>
      <c r="BF329" s="64"/>
      <c r="BG329" s="61"/>
      <c r="BH329" s="64"/>
      <c r="BI329" s="646" t="s">
        <v>298</v>
      </c>
      <c r="BJ329" s="350"/>
      <c r="BK329" s="350"/>
      <c r="BL329" s="350"/>
      <c r="BM329" s="350"/>
      <c r="BN329" s="350"/>
      <c r="BO329" s="350"/>
      <c r="BP329" s="350"/>
      <c r="BQ329" s="350"/>
      <c r="BR329" s="350"/>
      <c r="BS329" s="350"/>
      <c r="BT329" s="350"/>
      <c r="BU329" s="350"/>
      <c r="BV329" s="351"/>
    </row>
    <row r="330" spans="1:74" ht="30" customHeight="1">
      <c r="A330" s="63">
        <f t="shared" si="1"/>
        <v>316</v>
      </c>
      <c r="B330" s="56" t="s">
        <v>325</v>
      </c>
      <c r="C330" s="57"/>
      <c r="D330" s="644"/>
      <c r="E330" s="350"/>
      <c r="F330" s="350"/>
      <c r="G330" s="350"/>
      <c r="H330" s="350"/>
      <c r="I330" s="350"/>
      <c r="J330" s="350"/>
      <c r="K330" s="351"/>
      <c r="L330" s="643"/>
      <c r="M330" s="350"/>
      <c r="N330" s="350"/>
      <c r="O330" s="351"/>
      <c r="P330" s="644"/>
      <c r="Q330" s="350"/>
      <c r="R330" s="350"/>
      <c r="S330" s="351"/>
      <c r="T330" s="643"/>
      <c r="U330" s="350"/>
      <c r="V330" s="350"/>
      <c r="W330" s="351"/>
      <c r="X330" s="644"/>
      <c r="Y330" s="350"/>
      <c r="Z330" s="350"/>
      <c r="AA330" s="351"/>
      <c r="AB330" s="506"/>
      <c r="AC330" s="350"/>
      <c r="AD330" s="351"/>
      <c r="AE330" s="571"/>
      <c r="AF330" s="350"/>
      <c r="AG330" s="351"/>
      <c r="AH330" s="645"/>
      <c r="AI330" s="350"/>
      <c r="AJ330" s="351"/>
      <c r="AK330" s="567"/>
      <c r="AL330" s="350"/>
      <c r="AM330" s="351"/>
      <c r="AN330" s="58"/>
      <c r="AO330" s="59"/>
      <c r="AP330" s="58"/>
      <c r="AQ330" s="59"/>
      <c r="AR330" s="58"/>
      <c r="AS330" s="59"/>
      <c r="AT330" s="58"/>
      <c r="AU330" s="59"/>
      <c r="AV330" s="58"/>
      <c r="AW330" s="59"/>
      <c r="AX330" s="58"/>
      <c r="AY330" s="59"/>
      <c r="AZ330" s="64"/>
      <c r="BA330" s="61"/>
      <c r="BB330" s="64"/>
      <c r="BC330" s="61"/>
      <c r="BD330" s="64"/>
      <c r="BE330" s="61"/>
      <c r="BF330" s="64"/>
      <c r="BG330" s="61"/>
      <c r="BH330" s="64"/>
      <c r="BI330" s="646" t="s">
        <v>298</v>
      </c>
      <c r="BJ330" s="350"/>
      <c r="BK330" s="350"/>
      <c r="BL330" s="350"/>
      <c r="BM330" s="350"/>
      <c r="BN330" s="350"/>
      <c r="BO330" s="350"/>
      <c r="BP330" s="350"/>
      <c r="BQ330" s="350"/>
      <c r="BR330" s="350"/>
      <c r="BS330" s="350"/>
      <c r="BT330" s="350"/>
      <c r="BU330" s="350"/>
      <c r="BV330" s="351"/>
    </row>
    <row r="331" spans="1:74" ht="30" customHeight="1">
      <c r="A331" s="63">
        <f t="shared" si="1"/>
        <v>317</v>
      </c>
      <c r="B331" s="56" t="s">
        <v>325</v>
      </c>
      <c r="C331" s="57"/>
      <c r="D331" s="644"/>
      <c r="E331" s="350"/>
      <c r="F331" s="350"/>
      <c r="G331" s="350"/>
      <c r="H331" s="350"/>
      <c r="I331" s="350"/>
      <c r="J331" s="350"/>
      <c r="K331" s="351"/>
      <c r="L331" s="643"/>
      <c r="M331" s="350"/>
      <c r="N331" s="350"/>
      <c r="O331" s="351"/>
      <c r="P331" s="644"/>
      <c r="Q331" s="350"/>
      <c r="R331" s="350"/>
      <c r="S331" s="351"/>
      <c r="T331" s="643"/>
      <c r="U331" s="350"/>
      <c r="V331" s="350"/>
      <c r="W331" s="351"/>
      <c r="X331" s="644"/>
      <c r="Y331" s="350"/>
      <c r="Z331" s="350"/>
      <c r="AA331" s="351"/>
      <c r="AB331" s="506"/>
      <c r="AC331" s="350"/>
      <c r="AD331" s="351"/>
      <c r="AE331" s="571"/>
      <c r="AF331" s="350"/>
      <c r="AG331" s="351"/>
      <c r="AH331" s="645"/>
      <c r="AI331" s="350"/>
      <c r="AJ331" s="351"/>
      <c r="AK331" s="567"/>
      <c r="AL331" s="350"/>
      <c r="AM331" s="351"/>
      <c r="AN331" s="58"/>
      <c r="AO331" s="59"/>
      <c r="AP331" s="58"/>
      <c r="AQ331" s="59"/>
      <c r="AR331" s="58"/>
      <c r="AS331" s="59"/>
      <c r="AT331" s="58"/>
      <c r="AU331" s="59"/>
      <c r="AV331" s="58"/>
      <c r="AW331" s="59"/>
      <c r="AX331" s="58"/>
      <c r="AY331" s="59"/>
      <c r="AZ331" s="64"/>
      <c r="BA331" s="61"/>
      <c r="BB331" s="64"/>
      <c r="BC331" s="61"/>
      <c r="BD331" s="64"/>
      <c r="BE331" s="61"/>
      <c r="BF331" s="64"/>
      <c r="BG331" s="61"/>
      <c r="BH331" s="64"/>
      <c r="BI331" s="646" t="s">
        <v>298</v>
      </c>
      <c r="BJ331" s="350"/>
      <c r="BK331" s="350"/>
      <c r="BL331" s="350"/>
      <c r="BM331" s="350"/>
      <c r="BN331" s="350"/>
      <c r="BO331" s="350"/>
      <c r="BP331" s="350"/>
      <c r="BQ331" s="350"/>
      <c r="BR331" s="350"/>
      <c r="BS331" s="350"/>
      <c r="BT331" s="350"/>
      <c r="BU331" s="350"/>
      <c r="BV331" s="351"/>
    </row>
    <row r="332" spans="1:74" ht="30" customHeight="1">
      <c r="A332" s="63">
        <f t="shared" si="1"/>
        <v>318</v>
      </c>
      <c r="B332" s="56" t="s">
        <v>325</v>
      </c>
      <c r="C332" s="57"/>
      <c r="D332" s="644"/>
      <c r="E332" s="350"/>
      <c r="F332" s="350"/>
      <c r="G332" s="350"/>
      <c r="H332" s="350"/>
      <c r="I332" s="350"/>
      <c r="J332" s="350"/>
      <c r="K332" s="351"/>
      <c r="L332" s="643"/>
      <c r="M332" s="350"/>
      <c r="N332" s="350"/>
      <c r="O332" s="351"/>
      <c r="P332" s="644"/>
      <c r="Q332" s="350"/>
      <c r="R332" s="350"/>
      <c r="S332" s="351"/>
      <c r="T332" s="643"/>
      <c r="U332" s="350"/>
      <c r="V332" s="350"/>
      <c r="W332" s="351"/>
      <c r="X332" s="644"/>
      <c r="Y332" s="350"/>
      <c r="Z332" s="350"/>
      <c r="AA332" s="351"/>
      <c r="AB332" s="506"/>
      <c r="AC332" s="350"/>
      <c r="AD332" s="351"/>
      <c r="AE332" s="571"/>
      <c r="AF332" s="350"/>
      <c r="AG332" s="351"/>
      <c r="AH332" s="645"/>
      <c r="AI332" s="350"/>
      <c r="AJ332" s="351"/>
      <c r="AK332" s="567"/>
      <c r="AL332" s="350"/>
      <c r="AM332" s="351"/>
      <c r="AN332" s="58"/>
      <c r="AO332" s="59"/>
      <c r="AP332" s="58"/>
      <c r="AQ332" s="59"/>
      <c r="AR332" s="58"/>
      <c r="AS332" s="59"/>
      <c r="AT332" s="58"/>
      <c r="AU332" s="59"/>
      <c r="AV332" s="58"/>
      <c r="AW332" s="59"/>
      <c r="AX332" s="58"/>
      <c r="AY332" s="59"/>
      <c r="AZ332" s="64"/>
      <c r="BA332" s="61"/>
      <c r="BB332" s="64"/>
      <c r="BC332" s="61"/>
      <c r="BD332" s="64"/>
      <c r="BE332" s="61"/>
      <c r="BF332" s="64"/>
      <c r="BG332" s="61"/>
      <c r="BH332" s="64"/>
      <c r="BI332" s="646" t="s">
        <v>294</v>
      </c>
      <c r="BJ332" s="350"/>
      <c r="BK332" s="350"/>
      <c r="BL332" s="350"/>
      <c r="BM332" s="350"/>
      <c r="BN332" s="350"/>
      <c r="BO332" s="350"/>
      <c r="BP332" s="350"/>
      <c r="BQ332" s="350"/>
      <c r="BR332" s="350"/>
      <c r="BS332" s="350"/>
      <c r="BT332" s="350"/>
      <c r="BU332" s="350"/>
      <c r="BV332" s="351"/>
    </row>
    <row r="333" spans="1:74" ht="30" customHeight="1">
      <c r="A333" s="63">
        <f t="shared" si="1"/>
        <v>319</v>
      </c>
      <c r="B333" s="56" t="s">
        <v>325</v>
      </c>
      <c r="C333" s="57"/>
      <c r="D333" s="644"/>
      <c r="E333" s="350"/>
      <c r="F333" s="350"/>
      <c r="G333" s="350"/>
      <c r="H333" s="350"/>
      <c r="I333" s="350"/>
      <c r="J333" s="350"/>
      <c r="K333" s="351"/>
      <c r="L333" s="643"/>
      <c r="M333" s="350"/>
      <c r="N333" s="350"/>
      <c r="O333" s="351"/>
      <c r="P333" s="644"/>
      <c r="Q333" s="350"/>
      <c r="R333" s="350"/>
      <c r="S333" s="351"/>
      <c r="T333" s="643"/>
      <c r="U333" s="350"/>
      <c r="V333" s="350"/>
      <c r="W333" s="351"/>
      <c r="X333" s="644"/>
      <c r="Y333" s="350"/>
      <c r="Z333" s="350"/>
      <c r="AA333" s="351"/>
      <c r="AB333" s="506"/>
      <c r="AC333" s="350"/>
      <c r="AD333" s="351"/>
      <c r="AE333" s="571"/>
      <c r="AF333" s="350"/>
      <c r="AG333" s="351"/>
      <c r="AH333" s="645"/>
      <c r="AI333" s="350"/>
      <c r="AJ333" s="351"/>
      <c r="AK333" s="567"/>
      <c r="AL333" s="350"/>
      <c r="AM333" s="351"/>
      <c r="AN333" s="58"/>
      <c r="AO333" s="59"/>
      <c r="AP333" s="58"/>
      <c r="AQ333" s="59"/>
      <c r="AR333" s="58"/>
      <c r="AS333" s="59"/>
      <c r="AT333" s="58"/>
      <c r="AU333" s="59"/>
      <c r="AV333" s="58"/>
      <c r="AW333" s="59"/>
      <c r="AX333" s="58"/>
      <c r="AY333" s="59"/>
      <c r="AZ333" s="64"/>
      <c r="BA333" s="61"/>
      <c r="BB333" s="64"/>
      <c r="BC333" s="61"/>
      <c r="BD333" s="64"/>
      <c r="BE333" s="61"/>
      <c r="BF333" s="64"/>
      <c r="BG333" s="61"/>
      <c r="BH333" s="64"/>
      <c r="BI333" s="646" t="s">
        <v>294</v>
      </c>
      <c r="BJ333" s="350"/>
      <c r="BK333" s="350"/>
      <c r="BL333" s="350"/>
      <c r="BM333" s="350"/>
      <c r="BN333" s="350"/>
      <c r="BO333" s="350"/>
      <c r="BP333" s="350"/>
      <c r="BQ333" s="350"/>
      <c r="BR333" s="350"/>
      <c r="BS333" s="350"/>
      <c r="BT333" s="350"/>
      <c r="BU333" s="350"/>
      <c r="BV333" s="351"/>
    </row>
    <row r="334" spans="1:74" ht="30" customHeight="1">
      <c r="A334" s="55">
        <f t="shared" si="1"/>
        <v>320</v>
      </c>
      <c r="B334" s="56" t="s">
        <v>325</v>
      </c>
      <c r="C334" s="57"/>
      <c r="D334" s="644"/>
      <c r="E334" s="350"/>
      <c r="F334" s="350"/>
      <c r="G334" s="350"/>
      <c r="H334" s="350"/>
      <c r="I334" s="350"/>
      <c r="J334" s="350"/>
      <c r="K334" s="351"/>
      <c r="L334" s="643"/>
      <c r="M334" s="350"/>
      <c r="N334" s="350"/>
      <c r="O334" s="351"/>
      <c r="P334" s="644"/>
      <c r="Q334" s="350"/>
      <c r="R334" s="350"/>
      <c r="S334" s="351"/>
      <c r="T334" s="643"/>
      <c r="U334" s="350"/>
      <c r="V334" s="350"/>
      <c r="W334" s="351"/>
      <c r="X334" s="644"/>
      <c r="Y334" s="350"/>
      <c r="Z334" s="350"/>
      <c r="AA334" s="351"/>
      <c r="AB334" s="506"/>
      <c r="AC334" s="350"/>
      <c r="AD334" s="351"/>
      <c r="AE334" s="571"/>
      <c r="AF334" s="350"/>
      <c r="AG334" s="351"/>
      <c r="AH334" s="645"/>
      <c r="AI334" s="350"/>
      <c r="AJ334" s="351"/>
      <c r="AK334" s="567"/>
      <c r="AL334" s="350"/>
      <c r="AM334" s="351"/>
      <c r="AN334" s="58"/>
      <c r="AO334" s="59"/>
      <c r="AP334" s="58"/>
      <c r="AQ334" s="59"/>
      <c r="AR334" s="58"/>
      <c r="AS334" s="59"/>
      <c r="AT334" s="58"/>
      <c r="AU334" s="59"/>
      <c r="AV334" s="58"/>
      <c r="AW334" s="59"/>
      <c r="AX334" s="58"/>
      <c r="AY334" s="59"/>
      <c r="AZ334" s="64"/>
      <c r="BA334" s="61"/>
      <c r="BB334" s="64"/>
      <c r="BC334" s="61"/>
      <c r="BD334" s="64"/>
      <c r="BE334" s="61"/>
      <c r="BF334" s="64"/>
      <c r="BG334" s="61"/>
      <c r="BH334" s="64"/>
      <c r="BI334" s="646" t="s">
        <v>298</v>
      </c>
      <c r="BJ334" s="350"/>
      <c r="BK334" s="350"/>
      <c r="BL334" s="350"/>
      <c r="BM334" s="350"/>
      <c r="BN334" s="350"/>
      <c r="BO334" s="350"/>
      <c r="BP334" s="350"/>
      <c r="BQ334" s="350"/>
      <c r="BR334" s="350"/>
      <c r="BS334" s="350"/>
      <c r="BT334" s="350"/>
      <c r="BU334" s="350"/>
      <c r="BV334" s="351"/>
    </row>
    <row r="335" spans="1:74" ht="30" customHeight="1">
      <c r="A335" s="63">
        <f t="shared" si="1"/>
        <v>321</v>
      </c>
      <c r="B335" s="56" t="s">
        <v>325</v>
      </c>
      <c r="C335" s="57"/>
      <c r="D335" s="644"/>
      <c r="E335" s="350"/>
      <c r="F335" s="350"/>
      <c r="G335" s="350"/>
      <c r="H335" s="350"/>
      <c r="I335" s="350"/>
      <c r="J335" s="350"/>
      <c r="K335" s="351"/>
      <c r="L335" s="643"/>
      <c r="M335" s="350"/>
      <c r="N335" s="350"/>
      <c r="O335" s="351"/>
      <c r="P335" s="644"/>
      <c r="Q335" s="350"/>
      <c r="R335" s="350"/>
      <c r="S335" s="351"/>
      <c r="T335" s="643"/>
      <c r="U335" s="350"/>
      <c r="V335" s="350"/>
      <c r="W335" s="351"/>
      <c r="X335" s="644"/>
      <c r="Y335" s="350"/>
      <c r="Z335" s="350"/>
      <c r="AA335" s="351"/>
      <c r="AB335" s="506"/>
      <c r="AC335" s="350"/>
      <c r="AD335" s="351"/>
      <c r="AE335" s="571"/>
      <c r="AF335" s="350"/>
      <c r="AG335" s="351"/>
      <c r="AH335" s="645"/>
      <c r="AI335" s="350"/>
      <c r="AJ335" s="351"/>
      <c r="AK335" s="567"/>
      <c r="AL335" s="350"/>
      <c r="AM335" s="351"/>
      <c r="AN335" s="58"/>
      <c r="AO335" s="59"/>
      <c r="AP335" s="58"/>
      <c r="AQ335" s="59"/>
      <c r="AR335" s="58"/>
      <c r="AS335" s="59"/>
      <c r="AT335" s="58"/>
      <c r="AU335" s="59"/>
      <c r="AV335" s="58"/>
      <c r="AW335" s="59"/>
      <c r="AX335" s="58"/>
      <c r="AY335" s="59"/>
      <c r="AZ335" s="64"/>
      <c r="BA335" s="61"/>
      <c r="BB335" s="64"/>
      <c r="BC335" s="61"/>
      <c r="BD335" s="64"/>
      <c r="BE335" s="61"/>
      <c r="BF335" s="64"/>
      <c r="BG335" s="61"/>
      <c r="BH335" s="64"/>
      <c r="BI335" s="646" t="s">
        <v>298</v>
      </c>
      <c r="BJ335" s="350"/>
      <c r="BK335" s="350"/>
      <c r="BL335" s="350"/>
      <c r="BM335" s="350"/>
      <c r="BN335" s="350"/>
      <c r="BO335" s="350"/>
      <c r="BP335" s="350"/>
      <c r="BQ335" s="350"/>
      <c r="BR335" s="350"/>
      <c r="BS335" s="350"/>
      <c r="BT335" s="350"/>
      <c r="BU335" s="350"/>
      <c r="BV335" s="351"/>
    </row>
    <row r="336" spans="1:74" ht="30" customHeight="1">
      <c r="A336" s="63">
        <f t="shared" si="1"/>
        <v>322</v>
      </c>
      <c r="B336" s="56" t="s">
        <v>325</v>
      </c>
      <c r="C336" s="57"/>
      <c r="D336" s="644"/>
      <c r="E336" s="350"/>
      <c r="F336" s="350"/>
      <c r="G336" s="350"/>
      <c r="H336" s="350"/>
      <c r="I336" s="350"/>
      <c r="J336" s="350"/>
      <c r="K336" s="351"/>
      <c r="L336" s="643"/>
      <c r="M336" s="350"/>
      <c r="N336" s="350"/>
      <c r="O336" s="351"/>
      <c r="P336" s="644"/>
      <c r="Q336" s="350"/>
      <c r="R336" s="350"/>
      <c r="S336" s="351"/>
      <c r="T336" s="643"/>
      <c r="U336" s="350"/>
      <c r="V336" s="350"/>
      <c r="W336" s="351"/>
      <c r="X336" s="644"/>
      <c r="Y336" s="350"/>
      <c r="Z336" s="350"/>
      <c r="AA336" s="351"/>
      <c r="AB336" s="506"/>
      <c r="AC336" s="350"/>
      <c r="AD336" s="351"/>
      <c r="AE336" s="571"/>
      <c r="AF336" s="350"/>
      <c r="AG336" s="351"/>
      <c r="AH336" s="645"/>
      <c r="AI336" s="350"/>
      <c r="AJ336" s="351"/>
      <c r="AK336" s="567"/>
      <c r="AL336" s="350"/>
      <c r="AM336" s="351"/>
      <c r="AN336" s="58"/>
      <c r="AO336" s="59"/>
      <c r="AP336" s="58"/>
      <c r="AQ336" s="59"/>
      <c r="AR336" s="58"/>
      <c r="AS336" s="59"/>
      <c r="AT336" s="58"/>
      <c r="AU336" s="59"/>
      <c r="AV336" s="58"/>
      <c r="AW336" s="59"/>
      <c r="AX336" s="58"/>
      <c r="AY336" s="59"/>
      <c r="AZ336" s="64"/>
      <c r="BA336" s="61"/>
      <c r="BB336" s="64"/>
      <c r="BC336" s="61"/>
      <c r="BD336" s="64"/>
      <c r="BE336" s="61"/>
      <c r="BF336" s="64"/>
      <c r="BG336" s="61"/>
      <c r="BH336" s="64"/>
      <c r="BI336" s="646" t="s">
        <v>298</v>
      </c>
      <c r="BJ336" s="350"/>
      <c r="BK336" s="350"/>
      <c r="BL336" s="350"/>
      <c r="BM336" s="350"/>
      <c r="BN336" s="350"/>
      <c r="BO336" s="350"/>
      <c r="BP336" s="350"/>
      <c r="BQ336" s="350"/>
      <c r="BR336" s="350"/>
      <c r="BS336" s="350"/>
      <c r="BT336" s="350"/>
      <c r="BU336" s="350"/>
      <c r="BV336" s="351"/>
    </row>
    <row r="337" spans="1:74" ht="30" customHeight="1">
      <c r="A337" s="63">
        <f t="shared" si="1"/>
        <v>323</v>
      </c>
      <c r="B337" s="56" t="s">
        <v>325</v>
      </c>
      <c r="C337" s="57"/>
      <c r="D337" s="644"/>
      <c r="E337" s="350"/>
      <c r="F337" s="350"/>
      <c r="G337" s="350"/>
      <c r="H337" s="350"/>
      <c r="I337" s="350"/>
      <c r="J337" s="350"/>
      <c r="K337" s="351"/>
      <c r="L337" s="643"/>
      <c r="M337" s="350"/>
      <c r="N337" s="350"/>
      <c r="O337" s="351"/>
      <c r="P337" s="644"/>
      <c r="Q337" s="350"/>
      <c r="R337" s="350"/>
      <c r="S337" s="351"/>
      <c r="T337" s="643"/>
      <c r="U337" s="350"/>
      <c r="V337" s="350"/>
      <c r="W337" s="351"/>
      <c r="X337" s="644"/>
      <c r="Y337" s="350"/>
      <c r="Z337" s="350"/>
      <c r="AA337" s="351"/>
      <c r="AB337" s="506"/>
      <c r="AC337" s="350"/>
      <c r="AD337" s="351"/>
      <c r="AE337" s="571"/>
      <c r="AF337" s="350"/>
      <c r="AG337" s="351"/>
      <c r="AH337" s="645"/>
      <c r="AI337" s="350"/>
      <c r="AJ337" s="351"/>
      <c r="AK337" s="567"/>
      <c r="AL337" s="350"/>
      <c r="AM337" s="351"/>
      <c r="AN337" s="58"/>
      <c r="AO337" s="59"/>
      <c r="AP337" s="58"/>
      <c r="AQ337" s="59"/>
      <c r="AR337" s="58"/>
      <c r="AS337" s="59"/>
      <c r="AT337" s="58"/>
      <c r="AU337" s="59"/>
      <c r="AV337" s="58"/>
      <c r="AW337" s="59"/>
      <c r="AX337" s="58"/>
      <c r="AY337" s="59"/>
      <c r="AZ337" s="64"/>
      <c r="BA337" s="61"/>
      <c r="BB337" s="64"/>
      <c r="BC337" s="61"/>
      <c r="BD337" s="64"/>
      <c r="BE337" s="61"/>
      <c r="BF337" s="64"/>
      <c r="BG337" s="61"/>
      <c r="BH337" s="64"/>
      <c r="BI337" s="646" t="s">
        <v>298</v>
      </c>
      <c r="BJ337" s="350"/>
      <c r="BK337" s="350"/>
      <c r="BL337" s="350"/>
      <c r="BM337" s="350"/>
      <c r="BN337" s="350"/>
      <c r="BO337" s="350"/>
      <c r="BP337" s="350"/>
      <c r="BQ337" s="350"/>
      <c r="BR337" s="350"/>
      <c r="BS337" s="350"/>
      <c r="BT337" s="350"/>
      <c r="BU337" s="350"/>
      <c r="BV337" s="351"/>
    </row>
    <row r="338" spans="1:74" ht="30" customHeight="1">
      <c r="A338" s="63">
        <f t="shared" si="1"/>
        <v>324</v>
      </c>
      <c r="B338" s="56" t="s">
        <v>325</v>
      </c>
      <c r="C338" s="57"/>
      <c r="D338" s="644"/>
      <c r="E338" s="350"/>
      <c r="F338" s="350"/>
      <c r="G338" s="350"/>
      <c r="H338" s="350"/>
      <c r="I338" s="350"/>
      <c r="J338" s="350"/>
      <c r="K338" s="351"/>
      <c r="L338" s="643"/>
      <c r="M338" s="350"/>
      <c r="N338" s="350"/>
      <c r="O338" s="351"/>
      <c r="P338" s="644"/>
      <c r="Q338" s="350"/>
      <c r="R338" s="350"/>
      <c r="S338" s="351"/>
      <c r="T338" s="643"/>
      <c r="U338" s="350"/>
      <c r="V338" s="350"/>
      <c r="W338" s="351"/>
      <c r="X338" s="644"/>
      <c r="Y338" s="350"/>
      <c r="Z338" s="350"/>
      <c r="AA338" s="351"/>
      <c r="AB338" s="506"/>
      <c r="AC338" s="350"/>
      <c r="AD338" s="351"/>
      <c r="AE338" s="571"/>
      <c r="AF338" s="350"/>
      <c r="AG338" s="351"/>
      <c r="AH338" s="645"/>
      <c r="AI338" s="350"/>
      <c r="AJ338" s="351"/>
      <c r="AK338" s="567"/>
      <c r="AL338" s="350"/>
      <c r="AM338" s="351"/>
      <c r="AN338" s="58"/>
      <c r="AO338" s="59"/>
      <c r="AP338" s="58"/>
      <c r="AQ338" s="59"/>
      <c r="AR338" s="58"/>
      <c r="AS338" s="59"/>
      <c r="AT338" s="58"/>
      <c r="AU338" s="59"/>
      <c r="AV338" s="58"/>
      <c r="AW338" s="59"/>
      <c r="AX338" s="58"/>
      <c r="AY338" s="59"/>
      <c r="AZ338" s="64"/>
      <c r="BA338" s="61"/>
      <c r="BB338" s="64"/>
      <c r="BC338" s="61"/>
      <c r="BD338" s="64"/>
      <c r="BE338" s="61"/>
      <c r="BF338" s="64"/>
      <c r="BG338" s="61"/>
      <c r="BH338" s="64"/>
      <c r="BI338" s="646" t="s">
        <v>298</v>
      </c>
      <c r="BJ338" s="350"/>
      <c r="BK338" s="350"/>
      <c r="BL338" s="350"/>
      <c r="BM338" s="350"/>
      <c r="BN338" s="350"/>
      <c r="BO338" s="350"/>
      <c r="BP338" s="350"/>
      <c r="BQ338" s="350"/>
      <c r="BR338" s="350"/>
      <c r="BS338" s="350"/>
      <c r="BT338" s="350"/>
      <c r="BU338" s="350"/>
      <c r="BV338" s="351"/>
    </row>
    <row r="339" spans="1:74" ht="30" customHeight="1">
      <c r="A339" s="63">
        <f t="shared" si="1"/>
        <v>325</v>
      </c>
      <c r="B339" s="56" t="s">
        <v>325</v>
      </c>
      <c r="C339" s="57"/>
      <c r="D339" s="644"/>
      <c r="E339" s="350"/>
      <c r="F339" s="350"/>
      <c r="G339" s="350"/>
      <c r="H339" s="350"/>
      <c r="I339" s="350"/>
      <c r="J339" s="350"/>
      <c r="K339" s="351"/>
      <c r="L339" s="643"/>
      <c r="M339" s="350"/>
      <c r="N339" s="350"/>
      <c r="O339" s="351"/>
      <c r="P339" s="644"/>
      <c r="Q339" s="350"/>
      <c r="R339" s="350"/>
      <c r="S339" s="351"/>
      <c r="T339" s="643"/>
      <c r="U339" s="350"/>
      <c r="V339" s="350"/>
      <c r="W339" s="351"/>
      <c r="X339" s="644"/>
      <c r="Y339" s="350"/>
      <c r="Z339" s="350"/>
      <c r="AA339" s="351"/>
      <c r="AB339" s="506"/>
      <c r="AC339" s="350"/>
      <c r="AD339" s="351"/>
      <c r="AE339" s="571"/>
      <c r="AF339" s="350"/>
      <c r="AG339" s="351"/>
      <c r="AH339" s="645"/>
      <c r="AI339" s="350"/>
      <c r="AJ339" s="351"/>
      <c r="AK339" s="567"/>
      <c r="AL339" s="350"/>
      <c r="AM339" s="351"/>
      <c r="AN339" s="58"/>
      <c r="AO339" s="59"/>
      <c r="AP339" s="58"/>
      <c r="AQ339" s="59"/>
      <c r="AR339" s="58"/>
      <c r="AS339" s="59"/>
      <c r="AT339" s="58"/>
      <c r="AU339" s="59"/>
      <c r="AV339" s="58"/>
      <c r="AW339" s="59"/>
      <c r="AX339" s="58"/>
      <c r="AY339" s="59"/>
      <c r="AZ339" s="64"/>
      <c r="BA339" s="61"/>
      <c r="BB339" s="64"/>
      <c r="BC339" s="61"/>
      <c r="BD339" s="64"/>
      <c r="BE339" s="61"/>
      <c r="BF339" s="64"/>
      <c r="BG339" s="61"/>
      <c r="BH339" s="64"/>
      <c r="BI339" s="646" t="s">
        <v>294</v>
      </c>
      <c r="BJ339" s="350"/>
      <c r="BK339" s="350"/>
      <c r="BL339" s="350"/>
      <c r="BM339" s="350"/>
      <c r="BN339" s="350"/>
      <c r="BO339" s="350"/>
      <c r="BP339" s="350"/>
      <c r="BQ339" s="350"/>
      <c r="BR339" s="350"/>
      <c r="BS339" s="350"/>
      <c r="BT339" s="350"/>
      <c r="BU339" s="350"/>
      <c r="BV339" s="351"/>
    </row>
    <row r="340" spans="1:74" ht="30" customHeight="1">
      <c r="A340" s="63">
        <f t="shared" si="1"/>
        <v>326</v>
      </c>
      <c r="B340" s="56" t="s">
        <v>325</v>
      </c>
      <c r="C340" s="57"/>
      <c r="D340" s="644"/>
      <c r="E340" s="350"/>
      <c r="F340" s="350"/>
      <c r="G340" s="350"/>
      <c r="H340" s="350"/>
      <c r="I340" s="350"/>
      <c r="J340" s="350"/>
      <c r="K340" s="351"/>
      <c r="L340" s="643"/>
      <c r="M340" s="350"/>
      <c r="N340" s="350"/>
      <c r="O340" s="351"/>
      <c r="P340" s="644"/>
      <c r="Q340" s="350"/>
      <c r="R340" s="350"/>
      <c r="S340" s="351"/>
      <c r="T340" s="643"/>
      <c r="U340" s="350"/>
      <c r="V340" s="350"/>
      <c r="W340" s="351"/>
      <c r="X340" s="644"/>
      <c r="Y340" s="350"/>
      <c r="Z340" s="350"/>
      <c r="AA340" s="351"/>
      <c r="AB340" s="506"/>
      <c r="AC340" s="350"/>
      <c r="AD340" s="351"/>
      <c r="AE340" s="571"/>
      <c r="AF340" s="350"/>
      <c r="AG340" s="351"/>
      <c r="AH340" s="645"/>
      <c r="AI340" s="350"/>
      <c r="AJ340" s="351"/>
      <c r="AK340" s="567"/>
      <c r="AL340" s="350"/>
      <c r="AM340" s="351"/>
      <c r="AN340" s="58"/>
      <c r="AO340" s="59"/>
      <c r="AP340" s="58"/>
      <c r="AQ340" s="59"/>
      <c r="AR340" s="58"/>
      <c r="AS340" s="59"/>
      <c r="AT340" s="58"/>
      <c r="AU340" s="59"/>
      <c r="AV340" s="58"/>
      <c r="AW340" s="59"/>
      <c r="AX340" s="58"/>
      <c r="AY340" s="59"/>
      <c r="AZ340" s="64"/>
      <c r="BA340" s="61"/>
      <c r="BB340" s="64"/>
      <c r="BC340" s="61"/>
      <c r="BD340" s="64"/>
      <c r="BE340" s="61"/>
      <c r="BF340" s="64"/>
      <c r="BG340" s="61"/>
      <c r="BH340" s="64"/>
      <c r="BI340" s="646" t="s">
        <v>294</v>
      </c>
      <c r="BJ340" s="350"/>
      <c r="BK340" s="350"/>
      <c r="BL340" s="350"/>
      <c r="BM340" s="350"/>
      <c r="BN340" s="350"/>
      <c r="BO340" s="350"/>
      <c r="BP340" s="350"/>
      <c r="BQ340" s="350"/>
      <c r="BR340" s="350"/>
      <c r="BS340" s="350"/>
      <c r="BT340" s="350"/>
      <c r="BU340" s="350"/>
      <c r="BV340" s="351"/>
    </row>
    <row r="341" spans="1:74" ht="30" customHeight="1">
      <c r="A341" s="55">
        <f t="shared" si="1"/>
        <v>327</v>
      </c>
      <c r="B341" s="56" t="s">
        <v>325</v>
      </c>
      <c r="C341" s="57"/>
      <c r="D341" s="644"/>
      <c r="E341" s="350"/>
      <c r="F341" s="350"/>
      <c r="G341" s="350"/>
      <c r="H341" s="350"/>
      <c r="I341" s="350"/>
      <c r="J341" s="350"/>
      <c r="K341" s="351"/>
      <c r="L341" s="643"/>
      <c r="M341" s="350"/>
      <c r="N341" s="350"/>
      <c r="O341" s="351"/>
      <c r="P341" s="644"/>
      <c r="Q341" s="350"/>
      <c r="R341" s="350"/>
      <c r="S341" s="351"/>
      <c r="T341" s="643"/>
      <c r="U341" s="350"/>
      <c r="V341" s="350"/>
      <c r="W341" s="351"/>
      <c r="X341" s="644"/>
      <c r="Y341" s="350"/>
      <c r="Z341" s="350"/>
      <c r="AA341" s="351"/>
      <c r="AB341" s="506"/>
      <c r="AC341" s="350"/>
      <c r="AD341" s="351"/>
      <c r="AE341" s="571"/>
      <c r="AF341" s="350"/>
      <c r="AG341" s="351"/>
      <c r="AH341" s="645"/>
      <c r="AI341" s="350"/>
      <c r="AJ341" s="351"/>
      <c r="AK341" s="567"/>
      <c r="AL341" s="350"/>
      <c r="AM341" s="351"/>
      <c r="AN341" s="58"/>
      <c r="AO341" s="59"/>
      <c r="AP341" s="58"/>
      <c r="AQ341" s="59"/>
      <c r="AR341" s="58"/>
      <c r="AS341" s="59"/>
      <c r="AT341" s="58"/>
      <c r="AU341" s="59"/>
      <c r="AV341" s="58"/>
      <c r="AW341" s="59"/>
      <c r="AX341" s="58"/>
      <c r="AY341" s="59"/>
      <c r="AZ341" s="64"/>
      <c r="BA341" s="61"/>
      <c r="BB341" s="64"/>
      <c r="BC341" s="61"/>
      <c r="BD341" s="64"/>
      <c r="BE341" s="61"/>
      <c r="BF341" s="64"/>
      <c r="BG341" s="61"/>
      <c r="BH341" s="64"/>
      <c r="BI341" s="646" t="s">
        <v>298</v>
      </c>
      <c r="BJ341" s="350"/>
      <c r="BK341" s="350"/>
      <c r="BL341" s="350"/>
      <c r="BM341" s="350"/>
      <c r="BN341" s="350"/>
      <c r="BO341" s="350"/>
      <c r="BP341" s="350"/>
      <c r="BQ341" s="350"/>
      <c r="BR341" s="350"/>
      <c r="BS341" s="350"/>
      <c r="BT341" s="350"/>
      <c r="BU341" s="350"/>
      <c r="BV341" s="351"/>
    </row>
    <row r="342" spans="1:74" ht="30" customHeight="1">
      <c r="A342" s="63">
        <f t="shared" si="1"/>
        <v>328</v>
      </c>
      <c r="B342" s="56" t="s">
        <v>325</v>
      </c>
      <c r="C342" s="57"/>
      <c r="D342" s="644"/>
      <c r="E342" s="350"/>
      <c r="F342" s="350"/>
      <c r="G342" s="350"/>
      <c r="H342" s="350"/>
      <c r="I342" s="350"/>
      <c r="J342" s="350"/>
      <c r="K342" s="351"/>
      <c r="L342" s="643"/>
      <c r="M342" s="350"/>
      <c r="N342" s="350"/>
      <c r="O342" s="351"/>
      <c r="P342" s="644"/>
      <c r="Q342" s="350"/>
      <c r="R342" s="350"/>
      <c r="S342" s="351"/>
      <c r="T342" s="643"/>
      <c r="U342" s="350"/>
      <c r="V342" s="350"/>
      <c r="W342" s="351"/>
      <c r="X342" s="644"/>
      <c r="Y342" s="350"/>
      <c r="Z342" s="350"/>
      <c r="AA342" s="351"/>
      <c r="AB342" s="506"/>
      <c r="AC342" s="350"/>
      <c r="AD342" s="351"/>
      <c r="AE342" s="571"/>
      <c r="AF342" s="350"/>
      <c r="AG342" s="351"/>
      <c r="AH342" s="645"/>
      <c r="AI342" s="350"/>
      <c r="AJ342" s="351"/>
      <c r="AK342" s="567"/>
      <c r="AL342" s="350"/>
      <c r="AM342" s="351"/>
      <c r="AN342" s="58"/>
      <c r="AO342" s="59"/>
      <c r="AP342" s="58"/>
      <c r="AQ342" s="59"/>
      <c r="AR342" s="58"/>
      <c r="AS342" s="59"/>
      <c r="AT342" s="58"/>
      <c r="AU342" s="59"/>
      <c r="AV342" s="58"/>
      <c r="AW342" s="59"/>
      <c r="AX342" s="58"/>
      <c r="AY342" s="59"/>
      <c r="AZ342" s="64"/>
      <c r="BA342" s="61"/>
      <c r="BB342" s="64"/>
      <c r="BC342" s="61"/>
      <c r="BD342" s="64"/>
      <c r="BE342" s="61"/>
      <c r="BF342" s="64"/>
      <c r="BG342" s="61"/>
      <c r="BH342" s="64"/>
      <c r="BI342" s="646" t="s">
        <v>298</v>
      </c>
      <c r="BJ342" s="350"/>
      <c r="BK342" s="350"/>
      <c r="BL342" s="350"/>
      <c r="BM342" s="350"/>
      <c r="BN342" s="350"/>
      <c r="BO342" s="350"/>
      <c r="BP342" s="350"/>
      <c r="BQ342" s="350"/>
      <c r="BR342" s="350"/>
      <c r="BS342" s="350"/>
      <c r="BT342" s="350"/>
      <c r="BU342" s="350"/>
      <c r="BV342" s="351"/>
    </row>
    <row r="343" spans="1:74" ht="30" customHeight="1">
      <c r="A343" s="63">
        <f t="shared" si="1"/>
        <v>329</v>
      </c>
      <c r="B343" s="56" t="s">
        <v>325</v>
      </c>
      <c r="C343" s="57"/>
      <c r="D343" s="644"/>
      <c r="E343" s="350"/>
      <c r="F343" s="350"/>
      <c r="G343" s="350"/>
      <c r="H343" s="350"/>
      <c r="I343" s="350"/>
      <c r="J343" s="350"/>
      <c r="K343" s="351"/>
      <c r="L343" s="643"/>
      <c r="M343" s="350"/>
      <c r="N343" s="350"/>
      <c r="O343" s="351"/>
      <c r="P343" s="644"/>
      <c r="Q343" s="350"/>
      <c r="R343" s="350"/>
      <c r="S343" s="351"/>
      <c r="T343" s="643"/>
      <c r="U343" s="350"/>
      <c r="V343" s="350"/>
      <c r="W343" s="351"/>
      <c r="X343" s="644"/>
      <c r="Y343" s="350"/>
      <c r="Z343" s="350"/>
      <c r="AA343" s="351"/>
      <c r="AB343" s="506"/>
      <c r="AC343" s="350"/>
      <c r="AD343" s="351"/>
      <c r="AE343" s="571"/>
      <c r="AF343" s="350"/>
      <c r="AG343" s="351"/>
      <c r="AH343" s="645"/>
      <c r="AI343" s="350"/>
      <c r="AJ343" s="351"/>
      <c r="AK343" s="567"/>
      <c r="AL343" s="350"/>
      <c r="AM343" s="351"/>
      <c r="AN343" s="58"/>
      <c r="AO343" s="59"/>
      <c r="AP343" s="58"/>
      <c r="AQ343" s="59"/>
      <c r="AR343" s="58"/>
      <c r="AS343" s="59"/>
      <c r="AT343" s="58"/>
      <c r="AU343" s="59"/>
      <c r="AV343" s="58"/>
      <c r="AW343" s="59"/>
      <c r="AX343" s="58"/>
      <c r="AY343" s="59"/>
      <c r="AZ343" s="64"/>
      <c r="BA343" s="61"/>
      <c r="BB343" s="64"/>
      <c r="BC343" s="61"/>
      <c r="BD343" s="64"/>
      <c r="BE343" s="61"/>
      <c r="BF343" s="64"/>
      <c r="BG343" s="61"/>
      <c r="BH343" s="64"/>
      <c r="BI343" s="646" t="s">
        <v>298</v>
      </c>
      <c r="BJ343" s="350"/>
      <c r="BK343" s="350"/>
      <c r="BL343" s="350"/>
      <c r="BM343" s="350"/>
      <c r="BN343" s="350"/>
      <c r="BO343" s="350"/>
      <c r="BP343" s="350"/>
      <c r="BQ343" s="350"/>
      <c r="BR343" s="350"/>
      <c r="BS343" s="350"/>
      <c r="BT343" s="350"/>
      <c r="BU343" s="350"/>
      <c r="BV343" s="351"/>
    </row>
    <row r="344" spans="1:74" ht="30" customHeight="1">
      <c r="A344" s="63">
        <f t="shared" si="1"/>
        <v>330</v>
      </c>
      <c r="B344" s="56" t="s">
        <v>325</v>
      </c>
      <c r="C344" s="57"/>
      <c r="D344" s="644"/>
      <c r="E344" s="350"/>
      <c r="F344" s="350"/>
      <c r="G344" s="350"/>
      <c r="H344" s="350"/>
      <c r="I344" s="350"/>
      <c r="J344" s="350"/>
      <c r="K344" s="351"/>
      <c r="L344" s="643"/>
      <c r="M344" s="350"/>
      <c r="N344" s="350"/>
      <c r="O344" s="351"/>
      <c r="P344" s="644"/>
      <c r="Q344" s="350"/>
      <c r="R344" s="350"/>
      <c r="S344" s="351"/>
      <c r="T344" s="643"/>
      <c r="U344" s="350"/>
      <c r="V344" s="350"/>
      <c r="W344" s="351"/>
      <c r="X344" s="644"/>
      <c r="Y344" s="350"/>
      <c r="Z344" s="350"/>
      <c r="AA344" s="351"/>
      <c r="AB344" s="506"/>
      <c r="AC344" s="350"/>
      <c r="AD344" s="351"/>
      <c r="AE344" s="571"/>
      <c r="AF344" s="350"/>
      <c r="AG344" s="351"/>
      <c r="AH344" s="645"/>
      <c r="AI344" s="350"/>
      <c r="AJ344" s="351"/>
      <c r="AK344" s="567"/>
      <c r="AL344" s="350"/>
      <c r="AM344" s="351"/>
      <c r="AN344" s="58"/>
      <c r="AO344" s="59"/>
      <c r="AP344" s="58"/>
      <c r="AQ344" s="59"/>
      <c r="AR344" s="58"/>
      <c r="AS344" s="59"/>
      <c r="AT344" s="58"/>
      <c r="AU344" s="59"/>
      <c r="AV344" s="58"/>
      <c r="AW344" s="59"/>
      <c r="AX344" s="58"/>
      <c r="AY344" s="59"/>
      <c r="AZ344" s="64"/>
      <c r="BA344" s="61"/>
      <c r="BB344" s="64"/>
      <c r="BC344" s="61"/>
      <c r="BD344" s="64"/>
      <c r="BE344" s="61"/>
      <c r="BF344" s="64"/>
      <c r="BG344" s="61"/>
      <c r="BH344" s="64"/>
      <c r="BI344" s="646" t="s">
        <v>298</v>
      </c>
      <c r="BJ344" s="350"/>
      <c r="BK344" s="350"/>
      <c r="BL344" s="350"/>
      <c r="BM344" s="350"/>
      <c r="BN344" s="350"/>
      <c r="BO344" s="350"/>
      <c r="BP344" s="350"/>
      <c r="BQ344" s="350"/>
      <c r="BR344" s="350"/>
      <c r="BS344" s="350"/>
      <c r="BT344" s="350"/>
      <c r="BU344" s="350"/>
      <c r="BV344" s="351"/>
    </row>
    <row r="345" spans="1:74" ht="30" customHeight="1">
      <c r="A345" s="63">
        <f t="shared" si="1"/>
        <v>331</v>
      </c>
      <c r="B345" s="56" t="s">
        <v>325</v>
      </c>
      <c r="C345" s="57"/>
      <c r="D345" s="644"/>
      <c r="E345" s="350"/>
      <c r="F345" s="350"/>
      <c r="G345" s="350"/>
      <c r="H345" s="350"/>
      <c r="I345" s="350"/>
      <c r="J345" s="350"/>
      <c r="K345" s="351"/>
      <c r="L345" s="643"/>
      <c r="M345" s="350"/>
      <c r="N345" s="350"/>
      <c r="O345" s="351"/>
      <c r="P345" s="644"/>
      <c r="Q345" s="350"/>
      <c r="R345" s="350"/>
      <c r="S345" s="351"/>
      <c r="T345" s="643"/>
      <c r="U345" s="350"/>
      <c r="V345" s="350"/>
      <c r="W345" s="351"/>
      <c r="X345" s="644"/>
      <c r="Y345" s="350"/>
      <c r="Z345" s="350"/>
      <c r="AA345" s="351"/>
      <c r="AB345" s="506"/>
      <c r="AC345" s="350"/>
      <c r="AD345" s="351"/>
      <c r="AE345" s="571"/>
      <c r="AF345" s="350"/>
      <c r="AG345" s="351"/>
      <c r="AH345" s="645"/>
      <c r="AI345" s="350"/>
      <c r="AJ345" s="351"/>
      <c r="AK345" s="567"/>
      <c r="AL345" s="350"/>
      <c r="AM345" s="351"/>
      <c r="AN345" s="58"/>
      <c r="AO345" s="59"/>
      <c r="AP345" s="58"/>
      <c r="AQ345" s="59"/>
      <c r="AR345" s="58"/>
      <c r="AS345" s="59"/>
      <c r="AT345" s="58"/>
      <c r="AU345" s="59"/>
      <c r="AV345" s="58"/>
      <c r="AW345" s="59"/>
      <c r="AX345" s="58"/>
      <c r="AY345" s="59"/>
      <c r="AZ345" s="64"/>
      <c r="BA345" s="61"/>
      <c r="BB345" s="64"/>
      <c r="BC345" s="61"/>
      <c r="BD345" s="64"/>
      <c r="BE345" s="61"/>
      <c r="BF345" s="64"/>
      <c r="BG345" s="61"/>
      <c r="BH345" s="64"/>
      <c r="BI345" s="646" t="s">
        <v>298</v>
      </c>
      <c r="BJ345" s="350"/>
      <c r="BK345" s="350"/>
      <c r="BL345" s="350"/>
      <c r="BM345" s="350"/>
      <c r="BN345" s="350"/>
      <c r="BO345" s="350"/>
      <c r="BP345" s="350"/>
      <c r="BQ345" s="350"/>
      <c r="BR345" s="350"/>
      <c r="BS345" s="350"/>
      <c r="BT345" s="350"/>
      <c r="BU345" s="350"/>
      <c r="BV345" s="351"/>
    </row>
    <row r="346" spans="1:74" ht="30" customHeight="1">
      <c r="A346" s="63">
        <f t="shared" si="1"/>
        <v>332</v>
      </c>
      <c r="B346" s="56" t="s">
        <v>325</v>
      </c>
      <c r="C346" s="57"/>
      <c r="D346" s="644"/>
      <c r="E346" s="350"/>
      <c r="F346" s="350"/>
      <c r="G346" s="350"/>
      <c r="H346" s="350"/>
      <c r="I346" s="350"/>
      <c r="J346" s="350"/>
      <c r="K346" s="351"/>
      <c r="L346" s="643"/>
      <c r="M346" s="350"/>
      <c r="N346" s="350"/>
      <c r="O346" s="351"/>
      <c r="P346" s="644"/>
      <c r="Q346" s="350"/>
      <c r="R346" s="350"/>
      <c r="S346" s="351"/>
      <c r="T346" s="643"/>
      <c r="U346" s="350"/>
      <c r="V346" s="350"/>
      <c r="W346" s="351"/>
      <c r="X346" s="644"/>
      <c r="Y346" s="350"/>
      <c r="Z346" s="350"/>
      <c r="AA346" s="351"/>
      <c r="AB346" s="506"/>
      <c r="AC346" s="350"/>
      <c r="AD346" s="351"/>
      <c r="AE346" s="571"/>
      <c r="AF346" s="350"/>
      <c r="AG346" s="351"/>
      <c r="AH346" s="645"/>
      <c r="AI346" s="350"/>
      <c r="AJ346" s="351"/>
      <c r="AK346" s="567"/>
      <c r="AL346" s="350"/>
      <c r="AM346" s="351"/>
      <c r="AN346" s="58"/>
      <c r="AO346" s="59"/>
      <c r="AP346" s="58"/>
      <c r="AQ346" s="59"/>
      <c r="AR346" s="58"/>
      <c r="AS346" s="59"/>
      <c r="AT346" s="58"/>
      <c r="AU346" s="59"/>
      <c r="AV346" s="58"/>
      <c r="AW346" s="59"/>
      <c r="AX346" s="58"/>
      <c r="AY346" s="59"/>
      <c r="AZ346" s="64"/>
      <c r="BA346" s="61"/>
      <c r="BB346" s="64"/>
      <c r="BC346" s="61"/>
      <c r="BD346" s="64"/>
      <c r="BE346" s="61"/>
      <c r="BF346" s="64"/>
      <c r="BG346" s="61"/>
      <c r="BH346" s="64"/>
      <c r="BI346" s="646" t="s">
        <v>294</v>
      </c>
      <c r="BJ346" s="350"/>
      <c r="BK346" s="350"/>
      <c r="BL346" s="350"/>
      <c r="BM346" s="350"/>
      <c r="BN346" s="350"/>
      <c r="BO346" s="350"/>
      <c r="BP346" s="350"/>
      <c r="BQ346" s="350"/>
      <c r="BR346" s="350"/>
      <c r="BS346" s="350"/>
      <c r="BT346" s="350"/>
      <c r="BU346" s="350"/>
      <c r="BV346" s="351"/>
    </row>
    <row r="347" spans="1:74" ht="30" customHeight="1">
      <c r="A347" s="63">
        <f t="shared" si="1"/>
        <v>333</v>
      </c>
      <c r="B347" s="56" t="s">
        <v>325</v>
      </c>
      <c r="C347" s="57"/>
      <c r="D347" s="644"/>
      <c r="E347" s="350"/>
      <c r="F347" s="350"/>
      <c r="G347" s="350"/>
      <c r="H347" s="350"/>
      <c r="I347" s="350"/>
      <c r="J347" s="350"/>
      <c r="K347" s="351"/>
      <c r="L347" s="643"/>
      <c r="M347" s="350"/>
      <c r="N347" s="350"/>
      <c r="O347" s="351"/>
      <c r="P347" s="644"/>
      <c r="Q347" s="350"/>
      <c r="R347" s="350"/>
      <c r="S347" s="351"/>
      <c r="T347" s="643"/>
      <c r="U347" s="350"/>
      <c r="V347" s="350"/>
      <c r="W347" s="351"/>
      <c r="X347" s="644"/>
      <c r="Y347" s="350"/>
      <c r="Z347" s="350"/>
      <c r="AA347" s="351"/>
      <c r="AB347" s="506"/>
      <c r="AC347" s="350"/>
      <c r="AD347" s="351"/>
      <c r="AE347" s="571"/>
      <c r="AF347" s="350"/>
      <c r="AG347" s="351"/>
      <c r="AH347" s="645"/>
      <c r="AI347" s="350"/>
      <c r="AJ347" s="351"/>
      <c r="AK347" s="567"/>
      <c r="AL347" s="350"/>
      <c r="AM347" s="351"/>
      <c r="AN347" s="58"/>
      <c r="AO347" s="59"/>
      <c r="AP347" s="58"/>
      <c r="AQ347" s="59"/>
      <c r="AR347" s="58"/>
      <c r="AS347" s="59"/>
      <c r="AT347" s="58"/>
      <c r="AU347" s="59"/>
      <c r="AV347" s="58"/>
      <c r="AW347" s="59"/>
      <c r="AX347" s="58"/>
      <c r="AY347" s="59"/>
      <c r="AZ347" s="64"/>
      <c r="BA347" s="61"/>
      <c r="BB347" s="64"/>
      <c r="BC347" s="61"/>
      <c r="BD347" s="64"/>
      <c r="BE347" s="61"/>
      <c r="BF347" s="64"/>
      <c r="BG347" s="61"/>
      <c r="BH347" s="64"/>
      <c r="BI347" s="646" t="s">
        <v>294</v>
      </c>
      <c r="BJ347" s="350"/>
      <c r="BK347" s="350"/>
      <c r="BL347" s="350"/>
      <c r="BM347" s="350"/>
      <c r="BN347" s="350"/>
      <c r="BO347" s="350"/>
      <c r="BP347" s="350"/>
      <c r="BQ347" s="350"/>
      <c r="BR347" s="350"/>
      <c r="BS347" s="350"/>
      <c r="BT347" s="350"/>
      <c r="BU347" s="350"/>
      <c r="BV347" s="351"/>
    </row>
    <row r="348" spans="1:74" ht="30" customHeight="1">
      <c r="A348" s="55">
        <f t="shared" si="1"/>
        <v>334</v>
      </c>
      <c r="B348" s="56" t="s">
        <v>325</v>
      </c>
      <c r="C348" s="57"/>
      <c r="D348" s="644"/>
      <c r="E348" s="350"/>
      <c r="F348" s="350"/>
      <c r="G348" s="350"/>
      <c r="H348" s="350"/>
      <c r="I348" s="350"/>
      <c r="J348" s="350"/>
      <c r="K348" s="351"/>
      <c r="L348" s="643"/>
      <c r="M348" s="350"/>
      <c r="N348" s="350"/>
      <c r="O348" s="351"/>
      <c r="P348" s="644"/>
      <c r="Q348" s="350"/>
      <c r="R348" s="350"/>
      <c r="S348" s="351"/>
      <c r="T348" s="643"/>
      <c r="U348" s="350"/>
      <c r="V348" s="350"/>
      <c r="W348" s="351"/>
      <c r="X348" s="644"/>
      <c r="Y348" s="350"/>
      <c r="Z348" s="350"/>
      <c r="AA348" s="351"/>
      <c r="AB348" s="506"/>
      <c r="AC348" s="350"/>
      <c r="AD348" s="351"/>
      <c r="AE348" s="571"/>
      <c r="AF348" s="350"/>
      <c r="AG348" s="351"/>
      <c r="AH348" s="645"/>
      <c r="AI348" s="350"/>
      <c r="AJ348" s="351"/>
      <c r="AK348" s="567"/>
      <c r="AL348" s="350"/>
      <c r="AM348" s="351"/>
      <c r="AN348" s="58"/>
      <c r="AO348" s="59"/>
      <c r="AP348" s="58"/>
      <c r="AQ348" s="59"/>
      <c r="AR348" s="58"/>
      <c r="AS348" s="59"/>
      <c r="AT348" s="58"/>
      <c r="AU348" s="59"/>
      <c r="AV348" s="58"/>
      <c r="AW348" s="59"/>
      <c r="AX348" s="58"/>
      <c r="AY348" s="59"/>
      <c r="AZ348" s="64"/>
      <c r="BA348" s="61"/>
      <c r="BB348" s="64"/>
      <c r="BC348" s="61"/>
      <c r="BD348" s="64"/>
      <c r="BE348" s="61"/>
      <c r="BF348" s="64"/>
      <c r="BG348" s="61"/>
      <c r="BH348" s="64"/>
      <c r="BI348" s="646" t="s">
        <v>298</v>
      </c>
      <c r="BJ348" s="350"/>
      <c r="BK348" s="350"/>
      <c r="BL348" s="350"/>
      <c r="BM348" s="350"/>
      <c r="BN348" s="350"/>
      <c r="BO348" s="350"/>
      <c r="BP348" s="350"/>
      <c r="BQ348" s="350"/>
      <c r="BR348" s="350"/>
      <c r="BS348" s="350"/>
      <c r="BT348" s="350"/>
      <c r="BU348" s="350"/>
      <c r="BV348" s="351"/>
    </row>
    <row r="349" spans="1:74" ht="30" customHeight="1">
      <c r="A349" s="63">
        <f t="shared" si="1"/>
        <v>335</v>
      </c>
      <c r="B349" s="56" t="s">
        <v>325</v>
      </c>
      <c r="C349" s="57"/>
      <c r="D349" s="644"/>
      <c r="E349" s="350"/>
      <c r="F349" s="350"/>
      <c r="G349" s="350"/>
      <c r="H349" s="350"/>
      <c r="I349" s="350"/>
      <c r="J349" s="350"/>
      <c r="K349" s="351"/>
      <c r="L349" s="643"/>
      <c r="M349" s="350"/>
      <c r="N349" s="350"/>
      <c r="O349" s="351"/>
      <c r="P349" s="644"/>
      <c r="Q349" s="350"/>
      <c r="R349" s="350"/>
      <c r="S349" s="351"/>
      <c r="T349" s="643"/>
      <c r="U349" s="350"/>
      <c r="V349" s="350"/>
      <c r="W349" s="351"/>
      <c r="X349" s="644"/>
      <c r="Y349" s="350"/>
      <c r="Z349" s="350"/>
      <c r="AA349" s="351"/>
      <c r="AB349" s="506"/>
      <c r="AC349" s="350"/>
      <c r="AD349" s="351"/>
      <c r="AE349" s="571"/>
      <c r="AF349" s="350"/>
      <c r="AG349" s="351"/>
      <c r="AH349" s="645"/>
      <c r="AI349" s="350"/>
      <c r="AJ349" s="351"/>
      <c r="AK349" s="567"/>
      <c r="AL349" s="350"/>
      <c r="AM349" s="351"/>
      <c r="AN349" s="58"/>
      <c r="AO349" s="59"/>
      <c r="AP349" s="58"/>
      <c r="AQ349" s="59"/>
      <c r="AR349" s="58"/>
      <c r="AS349" s="59"/>
      <c r="AT349" s="58"/>
      <c r="AU349" s="59"/>
      <c r="AV349" s="58"/>
      <c r="AW349" s="59"/>
      <c r="AX349" s="58"/>
      <c r="AY349" s="59"/>
      <c r="AZ349" s="64"/>
      <c r="BA349" s="61"/>
      <c r="BB349" s="64"/>
      <c r="BC349" s="61"/>
      <c r="BD349" s="64"/>
      <c r="BE349" s="61"/>
      <c r="BF349" s="64"/>
      <c r="BG349" s="61"/>
      <c r="BH349" s="64"/>
      <c r="BI349" s="646" t="s">
        <v>298</v>
      </c>
      <c r="BJ349" s="350"/>
      <c r="BK349" s="350"/>
      <c r="BL349" s="350"/>
      <c r="BM349" s="350"/>
      <c r="BN349" s="350"/>
      <c r="BO349" s="350"/>
      <c r="BP349" s="350"/>
      <c r="BQ349" s="350"/>
      <c r="BR349" s="350"/>
      <c r="BS349" s="350"/>
      <c r="BT349" s="350"/>
      <c r="BU349" s="350"/>
      <c r="BV349" s="351"/>
    </row>
    <row r="350" spans="1:74" ht="30" customHeight="1">
      <c r="A350" s="63">
        <f t="shared" si="1"/>
        <v>336</v>
      </c>
      <c r="B350" s="56" t="s">
        <v>325</v>
      </c>
      <c r="C350" s="57"/>
      <c r="D350" s="644"/>
      <c r="E350" s="350"/>
      <c r="F350" s="350"/>
      <c r="G350" s="350"/>
      <c r="H350" s="350"/>
      <c r="I350" s="350"/>
      <c r="J350" s="350"/>
      <c r="K350" s="351"/>
      <c r="L350" s="643"/>
      <c r="M350" s="350"/>
      <c r="N350" s="350"/>
      <c r="O350" s="351"/>
      <c r="P350" s="644"/>
      <c r="Q350" s="350"/>
      <c r="R350" s="350"/>
      <c r="S350" s="351"/>
      <c r="T350" s="643"/>
      <c r="U350" s="350"/>
      <c r="V350" s="350"/>
      <c r="W350" s="351"/>
      <c r="X350" s="644"/>
      <c r="Y350" s="350"/>
      <c r="Z350" s="350"/>
      <c r="AA350" s="351"/>
      <c r="AB350" s="506"/>
      <c r="AC350" s="350"/>
      <c r="AD350" s="351"/>
      <c r="AE350" s="571"/>
      <c r="AF350" s="350"/>
      <c r="AG350" s="351"/>
      <c r="AH350" s="645"/>
      <c r="AI350" s="350"/>
      <c r="AJ350" s="351"/>
      <c r="AK350" s="567"/>
      <c r="AL350" s="350"/>
      <c r="AM350" s="351"/>
      <c r="AN350" s="58"/>
      <c r="AO350" s="59"/>
      <c r="AP350" s="58"/>
      <c r="AQ350" s="59"/>
      <c r="AR350" s="58"/>
      <c r="AS350" s="59"/>
      <c r="AT350" s="58"/>
      <c r="AU350" s="59"/>
      <c r="AV350" s="58"/>
      <c r="AW350" s="59"/>
      <c r="AX350" s="58"/>
      <c r="AY350" s="59"/>
      <c r="AZ350" s="64"/>
      <c r="BA350" s="61"/>
      <c r="BB350" s="64"/>
      <c r="BC350" s="61"/>
      <c r="BD350" s="64"/>
      <c r="BE350" s="61"/>
      <c r="BF350" s="64"/>
      <c r="BG350" s="61"/>
      <c r="BH350" s="64"/>
      <c r="BI350" s="646" t="s">
        <v>298</v>
      </c>
      <c r="BJ350" s="350"/>
      <c r="BK350" s="350"/>
      <c r="BL350" s="350"/>
      <c r="BM350" s="350"/>
      <c r="BN350" s="350"/>
      <c r="BO350" s="350"/>
      <c r="BP350" s="350"/>
      <c r="BQ350" s="350"/>
      <c r="BR350" s="350"/>
      <c r="BS350" s="350"/>
      <c r="BT350" s="350"/>
      <c r="BU350" s="350"/>
      <c r="BV350" s="351"/>
    </row>
    <row r="351" spans="1:74" ht="30" customHeight="1">
      <c r="A351" s="63">
        <f t="shared" si="1"/>
        <v>337</v>
      </c>
      <c r="B351" s="56" t="s">
        <v>325</v>
      </c>
      <c r="C351" s="57"/>
      <c r="D351" s="644"/>
      <c r="E351" s="350"/>
      <c r="F351" s="350"/>
      <c r="G351" s="350"/>
      <c r="H351" s="350"/>
      <c r="I351" s="350"/>
      <c r="J351" s="350"/>
      <c r="K351" s="351"/>
      <c r="L351" s="643"/>
      <c r="M351" s="350"/>
      <c r="N351" s="350"/>
      <c r="O351" s="351"/>
      <c r="P351" s="644"/>
      <c r="Q351" s="350"/>
      <c r="R351" s="350"/>
      <c r="S351" s="351"/>
      <c r="T351" s="643"/>
      <c r="U351" s="350"/>
      <c r="V351" s="350"/>
      <c r="W351" s="351"/>
      <c r="X351" s="644"/>
      <c r="Y351" s="350"/>
      <c r="Z351" s="350"/>
      <c r="AA351" s="351"/>
      <c r="AB351" s="506"/>
      <c r="AC351" s="350"/>
      <c r="AD351" s="351"/>
      <c r="AE351" s="571"/>
      <c r="AF351" s="350"/>
      <c r="AG351" s="351"/>
      <c r="AH351" s="645"/>
      <c r="AI351" s="350"/>
      <c r="AJ351" s="351"/>
      <c r="AK351" s="567"/>
      <c r="AL351" s="350"/>
      <c r="AM351" s="351"/>
      <c r="AN351" s="58"/>
      <c r="AO351" s="59"/>
      <c r="AP351" s="58"/>
      <c r="AQ351" s="59"/>
      <c r="AR351" s="58"/>
      <c r="AS351" s="59"/>
      <c r="AT351" s="58"/>
      <c r="AU351" s="59"/>
      <c r="AV351" s="58"/>
      <c r="AW351" s="59"/>
      <c r="AX351" s="58"/>
      <c r="AY351" s="59"/>
      <c r="AZ351" s="64"/>
      <c r="BA351" s="61"/>
      <c r="BB351" s="64"/>
      <c r="BC351" s="61"/>
      <c r="BD351" s="64"/>
      <c r="BE351" s="61"/>
      <c r="BF351" s="64"/>
      <c r="BG351" s="61"/>
      <c r="BH351" s="64"/>
      <c r="BI351" s="646" t="s">
        <v>298</v>
      </c>
      <c r="BJ351" s="350"/>
      <c r="BK351" s="350"/>
      <c r="BL351" s="350"/>
      <c r="BM351" s="350"/>
      <c r="BN351" s="350"/>
      <c r="BO351" s="350"/>
      <c r="BP351" s="350"/>
      <c r="BQ351" s="350"/>
      <c r="BR351" s="350"/>
      <c r="BS351" s="350"/>
      <c r="BT351" s="350"/>
      <c r="BU351" s="350"/>
      <c r="BV351" s="351"/>
    </row>
    <row r="352" spans="1:74" ht="30" customHeight="1">
      <c r="A352" s="63">
        <f t="shared" si="1"/>
        <v>338</v>
      </c>
      <c r="B352" s="56" t="s">
        <v>325</v>
      </c>
      <c r="C352" s="57"/>
      <c r="D352" s="644"/>
      <c r="E352" s="350"/>
      <c r="F352" s="350"/>
      <c r="G352" s="350"/>
      <c r="H352" s="350"/>
      <c r="I352" s="350"/>
      <c r="J352" s="350"/>
      <c r="K352" s="351"/>
      <c r="L352" s="643"/>
      <c r="M352" s="350"/>
      <c r="N352" s="350"/>
      <c r="O352" s="351"/>
      <c r="P352" s="644"/>
      <c r="Q352" s="350"/>
      <c r="R352" s="350"/>
      <c r="S352" s="351"/>
      <c r="T352" s="643"/>
      <c r="U352" s="350"/>
      <c r="V352" s="350"/>
      <c r="W352" s="351"/>
      <c r="X352" s="644"/>
      <c r="Y352" s="350"/>
      <c r="Z352" s="350"/>
      <c r="AA352" s="351"/>
      <c r="AB352" s="506"/>
      <c r="AC352" s="350"/>
      <c r="AD352" s="351"/>
      <c r="AE352" s="571"/>
      <c r="AF352" s="350"/>
      <c r="AG352" s="351"/>
      <c r="AH352" s="645"/>
      <c r="AI352" s="350"/>
      <c r="AJ352" s="351"/>
      <c r="AK352" s="567"/>
      <c r="AL352" s="350"/>
      <c r="AM352" s="351"/>
      <c r="AN352" s="58"/>
      <c r="AO352" s="59"/>
      <c r="AP352" s="58"/>
      <c r="AQ352" s="59"/>
      <c r="AR352" s="58"/>
      <c r="AS352" s="59"/>
      <c r="AT352" s="58"/>
      <c r="AU352" s="59"/>
      <c r="AV352" s="58"/>
      <c r="AW352" s="59"/>
      <c r="AX352" s="58"/>
      <c r="AY352" s="59"/>
      <c r="AZ352" s="64"/>
      <c r="BA352" s="61"/>
      <c r="BB352" s="64"/>
      <c r="BC352" s="61"/>
      <c r="BD352" s="64"/>
      <c r="BE352" s="61"/>
      <c r="BF352" s="64"/>
      <c r="BG352" s="61"/>
      <c r="BH352" s="64"/>
      <c r="BI352" s="646" t="s">
        <v>298</v>
      </c>
      <c r="BJ352" s="350"/>
      <c r="BK352" s="350"/>
      <c r="BL352" s="350"/>
      <c r="BM352" s="350"/>
      <c r="BN352" s="350"/>
      <c r="BO352" s="350"/>
      <c r="BP352" s="350"/>
      <c r="BQ352" s="350"/>
      <c r="BR352" s="350"/>
      <c r="BS352" s="350"/>
      <c r="BT352" s="350"/>
      <c r="BU352" s="350"/>
      <c r="BV352" s="351"/>
    </row>
    <row r="353" spans="1:74" ht="30" customHeight="1">
      <c r="A353" s="63">
        <f t="shared" si="1"/>
        <v>339</v>
      </c>
      <c r="B353" s="56" t="s">
        <v>325</v>
      </c>
      <c r="C353" s="57"/>
      <c r="D353" s="644"/>
      <c r="E353" s="350"/>
      <c r="F353" s="350"/>
      <c r="G353" s="350"/>
      <c r="H353" s="350"/>
      <c r="I353" s="350"/>
      <c r="J353" s="350"/>
      <c r="K353" s="351"/>
      <c r="L353" s="643"/>
      <c r="M353" s="350"/>
      <c r="N353" s="350"/>
      <c r="O353" s="351"/>
      <c r="P353" s="644"/>
      <c r="Q353" s="350"/>
      <c r="R353" s="350"/>
      <c r="S353" s="351"/>
      <c r="T353" s="643"/>
      <c r="U353" s="350"/>
      <c r="V353" s="350"/>
      <c r="W353" s="351"/>
      <c r="X353" s="644"/>
      <c r="Y353" s="350"/>
      <c r="Z353" s="350"/>
      <c r="AA353" s="351"/>
      <c r="AB353" s="506"/>
      <c r="AC353" s="350"/>
      <c r="AD353" s="351"/>
      <c r="AE353" s="571"/>
      <c r="AF353" s="350"/>
      <c r="AG353" s="351"/>
      <c r="AH353" s="645"/>
      <c r="AI353" s="350"/>
      <c r="AJ353" s="351"/>
      <c r="AK353" s="567"/>
      <c r="AL353" s="350"/>
      <c r="AM353" s="351"/>
      <c r="AN353" s="58"/>
      <c r="AO353" s="59"/>
      <c r="AP353" s="58"/>
      <c r="AQ353" s="59"/>
      <c r="AR353" s="58"/>
      <c r="AS353" s="59"/>
      <c r="AT353" s="58"/>
      <c r="AU353" s="59"/>
      <c r="AV353" s="58"/>
      <c r="AW353" s="59"/>
      <c r="AX353" s="58"/>
      <c r="AY353" s="59"/>
      <c r="AZ353" s="64"/>
      <c r="BA353" s="61"/>
      <c r="BB353" s="64"/>
      <c r="BC353" s="61"/>
      <c r="BD353" s="64"/>
      <c r="BE353" s="61"/>
      <c r="BF353" s="64"/>
      <c r="BG353" s="61"/>
      <c r="BH353" s="64"/>
      <c r="BI353" s="646" t="s">
        <v>294</v>
      </c>
      <c r="BJ353" s="350"/>
      <c r="BK353" s="350"/>
      <c r="BL353" s="350"/>
      <c r="BM353" s="350"/>
      <c r="BN353" s="350"/>
      <c r="BO353" s="350"/>
      <c r="BP353" s="350"/>
      <c r="BQ353" s="350"/>
      <c r="BR353" s="350"/>
      <c r="BS353" s="350"/>
      <c r="BT353" s="350"/>
      <c r="BU353" s="350"/>
      <c r="BV353" s="351"/>
    </row>
    <row r="354" spans="1:74" ht="30" customHeight="1">
      <c r="A354" s="63">
        <f t="shared" si="1"/>
        <v>340</v>
      </c>
      <c r="B354" s="56" t="s">
        <v>325</v>
      </c>
      <c r="C354" s="57"/>
      <c r="D354" s="644"/>
      <c r="E354" s="350"/>
      <c r="F354" s="350"/>
      <c r="G354" s="350"/>
      <c r="H354" s="350"/>
      <c r="I354" s="350"/>
      <c r="J354" s="350"/>
      <c r="K354" s="351"/>
      <c r="L354" s="643"/>
      <c r="M354" s="350"/>
      <c r="N354" s="350"/>
      <c r="O354" s="351"/>
      <c r="P354" s="644"/>
      <c r="Q354" s="350"/>
      <c r="R354" s="350"/>
      <c r="S354" s="351"/>
      <c r="T354" s="643"/>
      <c r="U354" s="350"/>
      <c r="V354" s="350"/>
      <c r="W354" s="351"/>
      <c r="X354" s="644"/>
      <c r="Y354" s="350"/>
      <c r="Z354" s="350"/>
      <c r="AA354" s="351"/>
      <c r="AB354" s="506"/>
      <c r="AC354" s="350"/>
      <c r="AD354" s="351"/>
      <c r="AE354" s="571"/>
      <c r="AF354" s="350"/>
      <c r="AG354" s="351"/>
      <c r="AH354" s="645"/>
      <c r="AI354" s="350"/>
      <c r="AJ354" s="351"/>
      <c r="AK354" s="567"/>
      <c r="AL354" s="350"/>
      <c r="AM354" s="351"/>
      <c r="AN354" s="58"/>
      <c r="AO354" s="59"/>
      <c r="AP354" s="58"/>
      <c r="AQ354" s="59"/>
      <c r="AR354" s="58"/>
      <c r="AS354" s="59"/>
      <c r="AT354" s="58"/>
      <c r="AU354" s="59"/>
      <c r="AV354" s="58"/>
      <c r="AW354" s="59"/>
      <c r="AX354" s="58"/>
      <c r="AY354" s="59"/>
      <c r="AZ354" s="64"/>
      <c r="BA354" s="61"/>
      <c r="BB354" s="64"/>
      <c r="BC354" s="61"/>
      <c r="BD354" s="64"/>
      <c r="BE354" s="61"/>
      <c r="BF354" s="64"/>
      <c r="BG354" s="61"/>
      <c r="BH354" s="64"/>
      <c r="BI354" s="646" t="s">
        <v>294</v>
      </c>
      <c r="BJ354" s="350"/>
      <c r="BK354" s="350"/>
      <c r="BL354" s="350"/>
      <c r="BM354" s="350"/>
      <c r="BN354" s="350"/>
      <c r="BO354" s="350"/>
      <c r="BP354" s="350"/>
      <c r="BQ354" s="350"/>
      <c r="BR354" s="350"/>
      <c r="BS354" s="350"/>
      <c r="BT354" s="350"/>
      <c r="BU354" s="350"/>
      <c r="BV354" s="351"/>
    </row>
    <row r="355" spans="1:74" ht="30" customHeight="1">
      <c r="A355" s="55">
        <f t="shared" si="1"/>
        <v>341</v>
      </c>
      <c r="B355" s="56" t="s">
        <v>325</v>
      </c>
      <c r="C355" s="57"/>
      <c r="D355" s="644"/>
      <c r="E355" s="350"/>
      <c r="F355" s="350"/>
      <c r="G355" s="350"/>
      <c r="H355" s="350"/>
      <c r="I355" s="350"/>
      <c r="J355" s="350"/>
      <c r="K355" s="351"/>
      <c r="L355" s="643"/>
      <c r="M355" s="350"/>
      <c r="N355" s="350"/>
      <c r="O355" s="351"/>
      <c r="P355" s="644"/>
      <c r="Q355" s="350"/>
      <c r="R355" s="350"/>
      <c r="S355" s="351"/>
      <c r="T355" s="643"/>
      <c r="U355" s="350"/>
      <c r="V355" s="350"/>
      <c r="W355" s="351"/>
      <c r="X355" s="644"/>
      <c r="Y355" s="350"/>
      <c r="Z355" s="350"/>
      <c r="AA355" s="351"/>
      <c r="AB355" s="506"/>
      <c r="AC355" s="350"/>
      <c r="AD355" s="351"/>
      <c r="AE355" s="571"/>
      <c r="AF355" s="350"/>
      <c r="AG355" s="351"/>
      <c r="AH355" s="645"/>
      <c r="AI355" s="350"/>
      <c r="AJ355" s="351"/>
      <c r="AK355" s="567"/>
      <c r="AL355" s="350"/>
      <c r="AM355" s="351"/>
      <c r="AN355" s="58"/>
      <c r="AO355" s="59"/>
      <c r="AP355" s="58"/>
      <c r="AQ355" s="59"/>
      <c r="AR355" s="58"/>
      <c r="AS355" s="59"/>
      <c r="AT355" s="58"/>
      <c r="AU355" s="59"/>
      <c r="AV355" s="58"/>
      <c r="AW355" s="59"/>
      <c r="AX355" s="58"/>
      <c r="AY355" s="59"/>
      <c r="AZ355" s="64"/>
      <c r="BA355" s="61"/>
      <c r="BB355" s="64"/>
      <c r="BC355" s="61"/>
      <c r="BD355" s="64"/>
      <c r="BE355" s="61"/>
      <c r="BF355" s="64"/>
      <c r="BG355" s="61"/>
      <c r="BH355" s="64"/>
      <c r="BI355" s="646" t="s">
        <v>298</v>
      </c>
      <c r="BJ355" s="350"/>
      <c r="BK355" s="350"/>
      <c r="BL355" s="350"/>
      <c r="BM355" s="350"/>
      <c r="BN355" s="350"/>
      <c r="BO355" s="350"/>
      <c r="BP355" s="350"/>
      <c r="BQ355" s="350"/>
      <c r="BR355" s="350"/>
      <c r="BS355" s="350"/>
      <c r="BT355" s="350"/>
      <c r="BU355" s="350"/>
      <c r="BV355" s="351"/>
    </row>
    <row r="356" spans="1:74" ht="30" customHeight="1">
      <c r="A356" s="63">
        <f t="shared" si="1"/>
        <v>342</v>
      </c>
      <c r="B356" s="56" t="s">
        <v>325</v>
      </c>
      <c r="C356" s="57"/>
      <c r="D356" s="644"/>
      <c r="E356" s="350"/>
      <c r="F356" s="350"/>
      <c r="G356" s="350"/>
      <c r="H356" s="350"/>
      <c r="I356" s="350"/>
      <c r="J356" s="350"/>
      <c r="K356" s="351"/>
      <c r="L356" s="643"/>
      <c r="M356" s="350"/>
      <c r="N356" s="350"/>
      <c r="O356" s="351"/>
      <c r="P356" s="644"/>
      <c r="Q356" s="350"/>
      <c r="R356" s="350"/>
      <c r="S356" s="351"/>
      <c r="T356" s="643"/>
      <c r="U356" s="350"/>
      <c r="V356" s="350"/>
      <c r="W356" s="351"/>
      <c r="X356" s="644"/>
      <c r="Y356" s="350"/>
      <c r="Z356" s="350"/>
      <c r="AA356" s="351"/>
      <c r="AB356" s="506"/>
      <c r="AC356" s="350"/>
      <c r="AD356" s="351"/>
      <c r="AE356" s="571"/>
      <c r="AF356" s="350"/>
      <c r="AG356" s="351"/>
      <c r="AH356" s="645"/>
      <c r="AI356" s="350"/>
      <c r="AJ356" s="351"/>
      <c r="AK356" s="567"/>
      <c r="AL356" s="350"/>
      <c r="AM356" s="351"/>
      <c r="AN356" s="58"/>
      <c r="AO356" s="59"/>
      <c r="AP356" s="58"/>
      <c r="AQ356" s="59"/>
      <c r="AR356" s="58"/>
      <c r="AS356" s="59"/>
      <c r="AT356" s="58"/>
      <c r="AU356" s="59"/>
      <c r="AV356" s="58"/>
      <c r="AW356" s="59"/>
      <c r="AX356" s="58"/>
      <c r="AY356" s="59"/>
      <c r="AZ356" s="64"/>
      <c r="BA356" s="61"/>
      <c r="BB356" s="64"/>
      <c r="BC356" s="61"/>
      <c r="BD356" s="64"/>
      <c r="BE356" s="61"/>
      <c r="BF356" s="64"/>
      <c r="BG356" s="61"/>
      <c r="BH356" s="64"/>
      <c r="BI356" s="646" t="s">
        <v>298</v>
      </c>
      <c r="BJ356" s="350"/>
      <c r="BK356" s="350"/>
      <c r="BL356" s="350"/>
      <c r="BM356" s="350"/>
      <c r="BN356" s="350"/>
      <c r="BO356" s="350"/>
      <c r="BP356" s="350"/>
      <c r="BQ356" s="350"/>
      <c r="BR356" s="350"/>
      <c r="BS356" s="350"/>
      <c r="BT356" s="350"/>
      <c r="BU356" s="350"/>
      <c r="BV356" s="351"/>
    </row>
    <row r="357" spans="1:74" ht="30" customHeight="1">
      <c r="A357" s="63">
        <f t="shared" si="1"/>
        <v>343</v>
      </c>
      <c r="B357" s="56" t="s">
        <v>325</v>
      </c>
      <c r="C357" s="57"/>
      <c r="D357" s="644"/>
      <c r="E357" s="350"/>
      <c r="F357" s="350"/>
      <c r="G357" s="350"/>
      <c r="H357" s="350"/>
      <c r="I357" s="350"/>
      <c r="J357" s="350"/>
      <c r="K357" s="351"/>
      <c r="L357" s="643"/>
      <c r="M357" s="350"/>
      <c r="N357" s="350"/>
      <c r="O357" s="351"/>
      <c r="P357" s="644"/>
      <c r="Q357" s="350"/>
      <c r="R357" s="350"/>
      <c r="S357" s="351"/>
      <c r="T357" s="643"/>
      <c r="U357" s="350"/>
      <c r="V357" s="350"/>
      <c r="W357" s="351"/>
      <c r="X357" s="644"/>
      <c r="Y357" s="350"/>
      <c r="Z357" s="350"/>
      <c r="AA357" s="351"/>
      <c r="AB357" s="506"/>
      <c r="AC357" s="350"/>
      <c r="AD357" s="351"/>
      <c r="AE357" s="571"/>
      <c r="AF357" s="350"/>
      <c r="AG357" s="351"/>
      <c r="AH357" s="645"/>
      <c r="AI357" s="350"/>
      <c r="AJ357" s="351"/>
      <c r="AK357" s="567"/>
      <c r="AL357" s="350"/>
      <c r="AM357" s="351"/>
      <c r="AN357" s="58"/>
      <c r="AO357" s="59"/>
      <c r="AP357" s="58"/>
      <c r="AQ357" s="59"/>
      <c r="AR357" s="58"/>
      <c r="AS357" s="59"/>
      <c r="AT357" s="58"/>
      <c r="AU357" s="59"/>
      <c r="AV357" s="58"/>
      <c r="AW357" s="59"/>
      <c r="AX357" s="58"/>
      <c r="AY357" s="59"/>
      <c r="AZ357" s="64"/>
      <c r="BA357" s="61"/>
      <c r="BB357" s="64"/>
      <c r="BC357" s="61"/>
      <c r="BD357" s="64"/>
      <c r="BE357" s="61"/>
      <c r="BF357" s="64"/>
      <c r="BG357" s="61"/>
      <c r="BH357" s="64"/>
      <c r="BI357" s="646" t="s">
        <v>298</v>
      </c>
      <c r="BJ357" s="350"/>
      <c r="BK357" s="350"/>
      <c r="BL357" s="350"/>
      <c r="BM357" s="350"/>
      <c r="BN357" s="350"/>
      <c r="BO357" s="350"/>
      <c r="BP357" s="350"/>
      <c r="BQ357" s="350"/>
      <c r="BR357" s="350"/>
      <c r="BS357" s="350"/>
      <c r="BT357" s="350"/>
      <c r="BU357" s="350"/>
      <c r="BV357" s="351"/>
    </row>
    <row r="358" spans="1:74" ht="30" customHeight="1">
      <c r="A358" s="63">
        <f t="shared" si="1"/>
        <v>344</v>
      </c>
      <c r="B358" s="56" t="s">
        <v>325</v>
      </c>
      <c r="C358" s="57"/>
      <c r="D358" s="644"/>
      <c r="E358" s="350"/>
      <c r="F358" s="350"/>
      <c r="G358" s="350"/>
      <c r="H358" s="350"/>
      <c r="I358" s="350"/>
      <c r="J358" s="350"/>
      <c r="K358" s="351"/>
      <c r="L358" s="643"/>
      <c r="M358" s="350"/>
      <c r="N358" s="350"/>
      <c r="O358" s="351"/>
      <c r="P358" s="644"/>
      <c r="Q358" s="350"/>
      <c r="R358" s="350"/>
      <c r="S358" s="351"/>
      <c r="T358" s="643"/>
      <c r="U358" s="350"/>
      <c r="V358" s="350"/>
      <c r="W358" s="351"/>
      <c r="X358" s="644"/>
      <c r="Y358" s="350"/>
      <c r="Z358" s="350"/>
      <c r="AA358" s="351"/>
      <c r="AB358" s="506"/>
      <c r="AC358" s="350"/>
      <c r="AD358" s="351"/>
      <c r="AE358" s="571"/>
      <c r="AF358" s="350"/>
      <c r="AG358" s="351"/>
      <c r="AH358" s="645"/>
      <c r="AI358" s="350"/>
      <c r="AJ358" s="351"/>
      <c r="AK358" s="567"/>
      <c r="AL358" s="350"/>
      <c r="AM358" s="351"/>
      <c r="AN358" s="58"/>
      <c r="AO358" s="59"/>
      <c r="AP358" s="58"/>
      <c r="AQ358" s="59"/>
      <c r="AR358" s="58"/>
      <c r="AS358" s="59"/>
      <c r="AT358" s="58"/>
      <c r="AU358" s="59"/>
      <c r="AV358" s="58"/>
      <c r="AW358" s="59"/>
      <c r="AX358" s="58"/>
      <c r="AY358" s="59"/>
      <c r="AZ358" s="64"/>
      <c r="BA358" s="61"/>
      <c r="BB358" s="64"/>
      <c r="BC358" s="61"/>
      <c r="BD358" s="64"/>
      <c r="BE358" s="61"/>
      <c r="BF358" s="64"/>
      <c r="BG358" s="61"/>
      <c r="BH358" s="64"/>
      <c r="BI358" s="646" t="s">
        <v>298</v>
      </c>
      <c r="BJ358" s="350"/>
      <c r="BK358" s="350"/>
      <c r="BL358" s="350"/>
      <c r="BM358" s="350"/>
      <c r="BN358" s="350"/>
      <c r="BO358" s="350"/>
      <c r="BP358" s="350"/>
      <c r="BQ358" s="350"/>
      <c r="BR358" s="350"/>
      <c r="BS358" s="350"/>
      <c r="BT358" s="350"/>
      <c r="BU358" s="350"/>
      <c r="BV358" s="351"/>
    </row>
    <row r="359" spans="1:74" ht="30" customHeight="1">
      <c r="A359" s="63">
        <f t="shared" si="1"/>
        <v>345</v>
      </c>
      <c r="B359" s="56" t="s">
        <v>325</v>
      </c>
      <c r="C359" s="57"/>
      <c r="D359" s="644"/>
      <c r="E359" s="350"/>
      <c r="F359" s="350"/>
      <c r="G359" s="350"/>
      <c r="H359" s="350"/>
      <c r="I359" s="350"/>
      <c r="J359" s="350"/>
      <c r="K359" s="351"/>
      <c r="L359" s="643"/>
      <c r="M359" s="350"/>
      <c r="N359" s="350"/>
      <c r="O359" s="351"/>
      <c r="P359" s="644"/>
      <c r="Q359" s="350"/>
      <c r="R359" s="350"/>
      <c r="S359" s="351"/>
      <c r="T359" s="643"/>
      <c r="U359" s="350"/>
      <c r="V359" s="350"/>
      <c r="W359" s="351"/>
      <c r="X359" s="644"/>
      <c r="Y359" s="350"/>
      <c r="Z359" s="350"/>
      <c r="AA359" s="351"/>
      <c r="AB359" s="506"/>
      <c r="AC359" s="350"/>
      <c r="AD359" s="351"/>
      <c r="AE359" s="571"/>
      <c r="AF359" s="350"/>
      <c r="AG359" s="351"/>
      <c r="AH359" s="645"/>
      <c r="AI359" s="350"/>
      <c r="AJ359" s="351"/>
      <c r="AK359" s="567"/>
      <c r="AL359" s="350"/>
      <c r="AM359" s="351"/>
      <c r="AN359" s="58"/>
      <c r="AO359" s="59"/>
      <c r="AP359" s="58"/>
      <c r="AQ359" s="59"/>
      <c r="AR359" s="58"/>
      <c r="AS359" s="59"/>
      <c r="AT359" s="58"/>
      <c r="AU359" s="59"/>
      <c r="AV359" s="58"/>
      <c r="AW359" s="59"/>
      <c r="AX359" s="58"/>
      <c r="AY359" s="59"/>
      <c r="AZ359" s="64"/>
      <c r="BA359" s="61"/>
      <c r="BB359" s="64"/>
      <c r="BC359" s="61"/>
      <c r="BD359" s="64"/>
      <c r="BE359" s="61"/>
      <c r="BF359" s="64"/>
      <c r="BG359" s="61"/>
      <c r="BH359" s="64"/>
      <c r="BI359" s="646" t="s">
        <v>298</v>
      </c>
      <c r="BJ359" s="350"/>
      <c r="BK359" s="350"/>
      <c r="BL359" s="350"/>
      <c r="BM359" s="350"/>
      <c r="BN359" s="350"/>
      <c r="BO359" s="350"/>
      <c r="BP359" s="350"/>
      <c r="BQ359" s="350"/>
      <c r="BR359" s="350"/>
      <c r="BS359" s="350"/>
      <c r="BT359" s="350"/>
      <c r="BU359" s="350"/>
      <c r="BV359" s="351"/>
    </row>
    <row r="360" spans="1:74" ht="30" customHeight="1">
      <c r="A360" s="63">
        <f t="shared" si="1"/>
        <v>346</v>
      </c>
      <c r="B360" s="56" t="s">
        <v>325</v>
      </c>
      <c r="C360" s="57"/>
      <c r="D360" s="644"/>
      <c r="E360" s="350"/>
      <c r="F360" s="350"/>
      <c r="G360" s="350"/>
      <c r="H360" s="350"/>
      <c r="I360" s="350"/>
      <c r="J360" s="350"/>
      <c r="K360" s="351"/>
      <c r="L360" s="643"/>
      <c r="M360" s="350"/>
      <c r="N360" s="350"/>
      <c r="O360" s="351"/>
      <c r="P360" s="644"/>
      <c r="Q360" s="350"/>
      <c r="R360" s="350"/>
      <c r="S360" s="351"/>
      <c r="T360" s="643"/>
      <c r="U360" s="350"/>
      <c r="V360" s="350"/>
      <c r="W360" s="351"/>
      <c r="X360" s="644"/>
      <c r="Y360" s="350"/>
      <c r="Z360" s="350"/>
      <c r="AA360" s="351"/>
      <c r="AB360" s="506"/>
      <c r="AC360" s="350"/>
      <c r="AD360" s="351"/>
      <c r="AE360" s="571"/>
      <c r="AF360" s="350"/>
      <c r="AG360" s="351"/>
      <c r="AH360" s="645"/>
      <c r="AI360" s="350"/>
      <c r="AJ360" s="351"/>
      <c r="AK360" s="567"/>
      <c r="AL360" s="350"/>
      <c r="AM360" s="351"/>
      <c r="AN360" s="58"/>
      <c r="AO360" s="59"/>
      <c r="AP360" s="58"/>
      <c r="AQ360" s="59"/>
      <c r="AR360" s="58"/>
      <c r="AS360" s="59"/>
      <c r="AT360" s="58"/>
      <c r="AU360" s="59"/>
      <c r="AV360" s="58"/>
      <c r="AW360" s="59"/>
      <c r="AX360" s="58"/>
      <c r="AY360" s="59"/>
      <c r="AZ360" s="64"/>
      <c r="BA360" s="61"/>
      <c r="BB360" s="64"/>
      <c r="BC360" s="61"/>
      <c r="BD360" s="64"/>
      <c r="BE360" s="61"/>
      <c r="BF360" s="64"/>
      <c r="BG360" s="61"/>
      <c r="BH360" s="64"/>
      <c r="BI360" s="646" t="s">
        <v>294</v>
      </c>
      <c r="BJ360" s="350"/>
      <c r="BK360" s="350"/>
      <c r="BL360" s="350"/>
      <c r="BM360" s="350"/>
      <c r="BN360" s="350"/>
      <c r="BO360" s="350"/>
      <c r="BP360" s="350"/>
      <c r="BQ360" s="350"/>
      <c r="BR360" s="350"/>
      <c r="BS360" s="350"/>
      <c r="BT360" s="350"/>
      <c r="BU360" s="350"/>
      <c r="BV360" s="351"/>
    </row>
    <row r="361" spans="1:74" ht="30" customHeight="1">
      <c r="A361" s="63">
        <f t="shared" si="1"/>
        <v>347</v>
      </c>
      <c r="B361" s="56" t="s">
        <v>325</v>
      </c>
      <c r="C361" s="57"/>
      <c r="D361" s="644"/>
      <c r="E361" s="350"/>
      <c r="F361" s="350"/>
      <c r="G361" s="350"/>
      <c r="H361" s="350"/>
      <c r="I361" s="350"/>
      <c r="J361" s="350"/>
      <c r="K361" s="351"/>
      <c r="L361" s="643"/>
      <c r="M361" s="350"/>
      <c r="N361" s="350"/>
      <c r="O361" s="351"/>
      <c r="P361" s="644"/>
      <c r="Q361" s="350"/>
      <c r="R361" s="350"/>
      <c r="S361" s="351"/>
      <c r="T361" s="643"/>
      <c r="U361" s="350"/>
      <c r="V361" s="350"/>
      <c r="W361" s="351"/>
      <c r="X361" s="644"/>
      <c r="Y361" s="350"/>
      <c r="Z361" s="350"/>
      <c r="AA361" s="351"/>
      <c r="AB361" s="506"/>
      <c r="AC361" s="350"/>
      <c r="AD361" s="351"/>
      <c r="AE361" s="571"/>
      <c r="AF361" s="350"/>
      <c r="AG361" s="351"/>
      <c r="AH361" s="645"/>
      <c r="AI361" s="350"/>
      <c r="AJ361" s="351"/>
      <c r="AK361" s="567"/>
      <c r="AL361" s="350"/>
      <c r="AM361" s="351"/>
      <c r="AN361" s="58"/>
      <c r="AO361" s="59"/>
      <c r="AP361" s="58"/>
      <c r="AQ361" s="59"/>
      <c r="AR361" s="58"/>
      <c r="AS361" s="59"/>
      <c r="AT361" s="58"/>
      <c r="AU361" s="59"/>
      <c r="AV361" s="58"/>
      <c r="AW361" s="59"/>
      <c r="AX361" s="58"/>
      <c r="AY361" s="59"/>
      <c r="AZ361" s="64"/>
      <c r="BA361" s="61"/>
      <c r="BB361" s="64"/>
      <c r="BC361" s="61"/>
      <c r="BD361" s="64"/>
      <c r="BE361" s="61"/>
      <c r="BF361" s="64"/>
      <c r="BG361" s="61"/>
      <c r="BH361" s="64"/>
      <c r="BI361" s="646" t="s">
        <v>294</v>
      </c>
      <c r="BJ361" s="350"/>
      <c r="BK361" s="350"/>
      <c r="BL361" s="350"/>
      <c r="BM361" s="350"/>
      <c r="BN361" s="350"/>
      <c r="BO361" s="350"/>
      <c r="BP361" s="350"/>
      <c r="BQ361" s="350"/>
      <c r="BR361" s="350"/>
      <c r="BS361" s="350"/>
      <c r="BT361" s="350"/>
      <c r="BU361" s="350"/>
      <c r="BV361" s="351"/>
    </row>
    <row r="362" spans="1:74" ht="30" customHeight="1">
      <c r="A362" s="55">
        <f t="shared" si="1"/>
        <v>348</v>
      </c>
      <c r="B362" s="56" t="s">
        <v>325</v>
      </c>
      <c r="C362" s="57"/>
      <c r="D362" s="644"/>
      <c r="E362" s="350"/>
      <c r="F362" s="350"/>
      <c r="G362" s="350"/>
      <c r="H362" s="350"/>
      <c r="I362" s="350"/>
      <c r="J362" s="350"/>
      <c r="K362" s="351"/>
      <c r="L362" s="643"/>
      <c r="M362" s="350"/>
      <c r="N362" s="350"/>
      <c r="O362" s="351"/>
      <c r="P362" s="644"/>
      <c r="Q362" s="350"/>
      <c r="R362" s="350"/>
      <c r="S362" s="351"/>
      <c r="T362" s="643"/>
      <c r="U362" s="350"/>
      <c r="V362" s="350"/>
      <c r="W362" s="351"/>
      <c r="X362" s="644"/>
      <c r="Y362" s="350"/>
      <c r="Z362" s="350"/>
      <c r="AA362" s="351"/>
      <c r="AB362" s="506"/>
      <c r="AC362" s="350"/>
      <c r="AD362" s="351"/>
      <c r="AE362" s="571"/>
      <c r="AF362" s="350"/>
      <c r="AG362" s="351"/>
      <c r="AH362" s="645"/>
      <c r="AI362" s="350"/>
      <c r="AJ362" s="351"/>
      <c r="AK362" s="567"/>
      <c r="AL362" s="350"/>
      <c r="AM362" s="351"/>
      <c r="AN362" s="58"/>
      <c r="AO362" s="59"/>
      <c r="AP362" s="58"/>
      <c r="AQ362" s="59"/>
      <c r="AR362" s="58"/>
      <c r="AS362" s="59"/>
      <c r="AT362" s="58"/>
      <c r="AU362" s="59"/>
      <c r="AV362" s="58"/>
      <c r="AW362" s="59"/>
      <c r="AX362" s="58"/>
      <c r="AY362" s="59"/>
      <c r="AZ362" s="64"/>
      <c r="BA362" s="61"/>
      <c r="BB362" s="64"/>
      <c r="BC362" s="61"/>
      <c r="BD362" s="64"/>
      <c r="BE362" s="61"/>
      <c r="BF362" s="64"/>
      <c r="BG362" s="61"/>
      <c r="BH362" s="64"/>
      <c r="BI362" s="646" t="s">
        <v>298</v>
      </c>
      <c r="BJ362" s="350"/>
      <c r="BK362" s="350"/>
      <c r="BL362" s="350"/>
      <c r="BM362" s="350"/>
      <c r="BN362" s="350"/>
      <c r="BO362" s="350"/>
      <c r="BP362" s="350"/>
      <c r="BQ362" s="350"/>
      <c r="BR362" s="350"/>
      <c r="BS362" s="350"/>
      <c r="BT362" s="350"/>
      <c r="BU362" s="350"/>
      <c r="BV362" s="351"/>
    </row>
    <row r="363" spans="1:74" ht="30" customHeight="1">
      <c r="A363" s="63">
        <f t="shared" si="1"/>
        <v>349</v>
      </c>
      <c r="B363" s="56" t="s">
        <v>325</v>
      </c>
      <c r="C363" s="57"/>
      <c r="D363" s="644"/>
      <c r="E363" s="350"/>
      <c r="F363" s="350"/>
      <c r="G363" s="350"/>
      <c r="H363" s="350"/>
      <c r="I363" s="350"/>
      <c r="J363" s="350"/>
      <c r="K363" s="351"/>
      <c r="L363" s="643"/>
      <c r="M363" s="350"/>
      <c r="N363" s="350"/>
      <c r="O363" s="351"/>
      <c r="P363" s="644"/>
      <c r="Q363" s="350"/>
      <c r="R363" s="350"/>
      <c r="S363" s="351"/>
      <c r="T363" s="643"/>
      <c r="U363" s="350"/>
      <c r="V363" s="350"/>
      <c r="W363" s="351"/>
      <c r="X363" s="644"/>
      <c r="Y363" s="350"/>
      <c r="Z363" s="350"/>
      <c r="AA363" s="351"/>
      <c r="AB363" s="506"/>
      <c r="AC363" s="350"/>
      <c r="AD363" s="351"/>
      <c r="AE363" s="571"/>
      <c r="AF363" s="350"/>
      <c r="AG363" s="351"/>
      <c r="AH363" s="645"/>
      <c r="AI363" s="350"/>
      <c r="AJ363" s="351"/>
      <c r="AK363" s="567"/>
      <c r="AL363" s="350"/>
      <c r="AM363" s="351"/>
      <c r="AN363" s="58"/>
      <c r="AO363" s="59"/>
      <c r="AP363" s="58"/>
      <c r="AQ363" s="59"/>
      <c r="AR363" s="58"/>
      <c r="AS363" s="59"/>
      <c r="AT363" s="58"/>
      <c r="AU363" s="59"/>
      <c r="AV363" s="58"/>
      <c r="AW363" s="59"/>
      <c r="AX363" s="58"/>
      <c r="AY363" s="59"/>
      <c r="AZ363" s="64"/>
      <c r="BA363" s="61"/>
      <c r="BB363" s="64"/>
      <c r="BC363" s="61"/>
      <c r="BD363" s="64"/>
      <c r="BE363" s="61"/>
      <c r="BF363" s="64"/>
      <c r="BG363" s="61"/>
      <c r="BH363" s="64"/>
      <c r="BI363" s="646" t="s">
        <v>298</v>
      </c>
      <c r="BJ363" s="350"/>
      <c r="BK363" s="350"/>
      <c r="BL363" s="350"/>
      <c r="BM363" s="350"/>
      <c r="BN363" s="350"/>
      <c r="BO363" s="350"/>
      <c r="BP363" s="350"/>
      <c r="BQ363" s="350"/>
      <c r="BR363" s="350"/>
      <c r="BS363" s="350"/>
      <c r="BT363" s="350"/>
      <c r="BU363" s="350"/>
      <c r="BV363" s="351"/>
    </row>
    <row r="364" spans="1:74" ht="30" customHeight="1">
      <c r="A364" s="63">
        <f t="shared" si="1"/>
        <v>350</v>
      </c>
      <c r="B364" s="56" t="s">
        <v>325</v>
      </c>
      <c r="C364" s="57"/>
      <c r="D364" s="644"/>
      <c r="E364" s="350"/>
      <c r="F364" s="350"/>
      <c r="G364" s="350"/>
      <c r="H364" s="350"/>
      <c r="I364" s="350"/>
      <c r="J364" s="350"/>
      <c r="K364" s="351"/>
      <c r="L364" s="643"/>
      <c r="M364" s="350"/>
      <c r="N364" s="350"/>
      <c r="O364" s="351"/>
      <c r="P364" s="644"/>
      <c r="Q364" s="350"/>
      <c r="R364" s="350"/>
      <c r="S364" s="351"/>
      <c r="T364" s="643"/>
      <c r="U364" s="350"/>
      <c r="V364" s="350"/>
      <c r="W364" s="351"/>
      <c r="X364" s="644"/>
      <c r="Y364" s="350"/>
      <c r="Z364" s="350"/>
      <c r="AA364" s="351"/>
      <c r="AB364" s="506"/>
      <c r="AC364" s="350"/>
      <c r="AD364" s="351"/>
      <c r="AE364" s="571"/>
      <c r="AF364" s="350"/>
      <c r="AG364" s="351"/>
      <c r="AH364" s="645"/>
      <c r="AI364" s="350"/>
      <c r="AJ364" s="351"/>
      <c r="AK364" s="567"/>
      <c r="AL364" s="350"/>
      <c r="AM364" s="351"/>
      <c r="AN364" s="58"/>
      <c r="AO364" s="59"/>
      <c r="AP364" s="58"/>
      <c r="AQ364" s="59"/>
      <c r="AR364" s="58"/>
      <c r="AS364" s="59"/>
      <c r="AT364" s="58"/>
      <c r="AU364" s="59"/>
      <c r="AV364" s="58"/>
      <c r="AW364" s="59"/>
      <c r="AX364" s="58"/>
      <c r="AY364" s="59"/>
      <c r="AZ364" s="64"/>
      <c r="BA364" s="61"/>
      <c r="BB364" s="64"/>
      <c r="BC364" s="61"/>
      <c r="BD364" s="64"/>
      <c r="BE364" s="61"/>
      <c r="BF364" s="64"/>
      <c r="BG364" s="61"/>
      <c r="BH364" s="64"/>
      <c r="BI364" s="646" t="s">
        <v>298</v>
      </c>
      <c r="BJ364" s="350"/>
      <c r="BK364" s="350"/>
      <c r="BL364" s="350"/>
      <c r="BM364" s="350"/>
      <c r="BN364" s="350"/>
      <c r="BO364" s="350"/>
      <c r="BP364" s="350"/>
      <c r="BQ364" s="350"/>
      <c r="BR364" s="350"/>
      <c r="BS364" s="350"/>
      <c r="BT364" s="350"/>
      <c r="BU364" s="350"/>
      <c r="BV364" s="351"/>
    </row>
    <row r="365" spans="1:74" ht="30" customHeight="1">
      <c r="A365" s="63">
        <f t="shared" si="1"/>
        <v>351</v>
      </c>
      <c r="B365" s="56" t="s">
        <v>325</v>
      </c>
      <c r="C365" s="57"/>
      <c r="D365" s="644"/>
      <c r="E365" s="350"/>
      <c r="F365" s="350"/>
      <c r="G365" s="350"/>
      <c r="H365" s="350"/>
      <c r="I365" s="350"/>
      <c r="J365" s="350"/>
      <c r="K365" s="351"/>
      <c r="L365" s="643"/>
      <c r="M365" s="350"/>
      <c r="N365" s="350"/>
      <c r="O365" s="351"/>
      <c r="P365" s="644"/>
      <c r="Q365" s="350"/>
      <c r="R365" s="350"/>
      <c r="S365" s="351"/>
      <c r="T365" s="643"/>
      <c r="U365" s="350"/>
      <c r="V365" s="350"/>
      <c r="W365" s="351"/>
      <c r="X365" s="644"/>
      <c r="Y365" s="350"/>
      <c r="Z365" s="350"/>
      <c r="AA365" s="351"/>
      <c r="AB365" s="506"/>
      <c r="AC365" s="350"/>
      <c r="AD365" s="351"/>
      <c r="AE365" s="571"/>
      <c r="AF365" s="350"/>
      <c r="AG365" s="351"/>
      <c r="AH365" s="645"/>
      <c r="AI365" s="350"/>
      <c r="AJ365" s="351"/>
      <c r="AK365" s="567"/>
      <c r="AL365" s="350"/>
      <c r="AM365" s="351"/>
      <c r="AN365" s="58"/>
      <c r="AO365" s="59"/>
      <c r="AP365" s="58"/>
      <c r="AQ365" s="59"/>
      <c r="AR365" s="58"/>
      <c r="AS365" s="59"/>
      <c r="AT365" s="58"/>
      <c r="AU365" s="59"/>
      <c r="AV365" s="58"/>
      <c r="AW365" s="59"/>
      <c r="AX365" s="58"/>
      <c r="AY365" s="59"/>
      <c r="AZ365" s="64"/>
      <c r="BA365" s="61"/>
      <c r="BB365" s="64"/>
      <c r="BC365" s="61"/>
      <c r="BD365" s="64"/>
      <c r="BE365" s="61"/>
      <c r="BF365" s="64"/>
      <c r="BG365" s="61"/>
      <c r="BH365" s="64"/>
      <c r="BI365" s="646" t="s">
        <v>298</v>
      </c>
      <c r="BJ365" s="350"/>
      <c r="BK365" s="350"/>
      <c r="BL365" s="350"/>
      <c r="BM365" s="350"/>
      <c r="BN365" s="350"/>
      <c r="BO365" s="350"/>
      <c r="BP365" s="350"/>
      <c r="BQ365" s="350"/>
      <c r="BR365" s="350"/>
      <c r="BS365" s="350"/>
      <c r="BT365" s="350"/>
      <c r="BU365" s="350"/>
      <c r="BV365" s="351"/>
    </row>
    <row r="366" spans="1:74" ht="30" customHeight="1">
      <c r="A366" s="63">
        <f t="shared" si="1"/>
        <v>352</v>
      </c>
      <c r="B366" s="56" t="s">
        <v>325</v>
      </c>
      <c r="C366" s="57"/>
      <c r="D366" s="644"/>
      <c r="E366" s="350"/>
      <c r="F366" s="350"/>
      <c r="G366" s="350"/>
      <c r="H366" s="350"/>
      <c r="I366" s="350"/>
      <c r="J366" s="350"/>
      <c r="K366" s="351"/>
      <c r="L366" s="643"/>
      <c r="M366" s="350"/>
      <c r="N366" s="350"/>
      <c r="O366" s="351"/>
      <c r="P366" s="644"/>
      <c r="Q366" s="350"/>
      <c r="R366" s="350"/>
      <c r="S366" s="351"/>
      <c r="T366" s="643"/>
      <c r="U366" s="350"/>
      <c r="V366" s="350"/>
      <c r="W366" s="351"/>
      <c r="X366" s="644"/>
      <c r="Y366" s="350"/>
      <c r="Z366" s="350"/>
      <c r="AA366" s="351"/>
      <c r="AB366" s="506"/>
      <c r="AC366" s="350"/>
      <c r="AD366" s="351"/>
      <c r="AE366" s="571"/>
      <c r="AF366" s="350"/>
      <c r="AG366" s="351"/>
      <c r="AH366" s="645"/>
      <c r="AI366" s="350"/>
      <c r="AJ366" s="351"/>
      <c r="AK366" s="567"/>
      <c r="AL366" s="350"/>
      <c r="AM366" s="351"/>
      <c r="AN366" s="58"/>
      <c r="AO366" s="59"/>
      <c r="AP366" s="58"/>
      <c r="AQ366" s="59"/>
      <c r="AR366" s="58"/>
      <c r="AS366" s="59"/>
      <c r="AT366" s="58"/>
      <c r="AU366" s="59"/>
      <c r="AV366" s="58"/>
      <c r="AW366" s="59"/>
      <c r="AX366" s="58"/>
      <c r="AY366" s="59"/>
      <c r="AZ366" s="64"/>
      <c r="BA366" s="61"/>
      <c r="BB366" s="64"/>
      <c r="BC366" s="61"/>
      <c r="BD366" s="64"/>
      <c r="BE366" s="61"/>
      <c r="BF366" s="64"/>
      <c r="BG366" s="61"/>
      <c r="BH366" s="64"/>
      <c r="BI366" s="646" t="s">
        <v>298</v>
      </c>
      <c r="BJ366" s="350"/>
      <c r="BK366" s="350"/>
      <c r="BL366" s="350"/>
      <c r="BM366" s="350"/>
      <c r="BN366" s="350"/>
      <c r="BO366" s="350"/>
      <c r="BP366" s="350"/>
      <c r="BQ366" s="350"/>
      <c r="BR366" s="350"/>
      <c r="BS366" s="350"/>
      <c r="BT366" s="350"/>
      <c r="BU366" s="350"/>
      <c r="BV366" s="351"/>
    </row>
    <row r="367" spans="1:74" ht="30" customHeight="1">
      <c r="A367" s="63">
        <f t="shared" si="1"/>
        <v>353</v>
      </c>
      <c r="B367" s="56" t="s">
        <v>325</v>
      </c>
      <c r="C367" s="57"/>
      <c r="D367" s="644"/>
      <c r="E367" s="350"/>
      <c r="F367" s="350"/>
      <c r="G367" s="350"/>
      <c r="H367" s="350"/>
      <c r="I367" s="350"/>
      <c r="J367" s="350"/>
      <c r="K367" s="351"/>
      <c r="L367" s="643"/>
      <c r="M367" s="350"/>
      <c r="N367" s="350"/>
      <c r="O367" s="351"/>
      <c r="P367" s="644"/>
      <c r="Q367" s="350"/>
      <c r="R367" s="350"/>
      <c r="S367" s="351"/>
      <c r="T367" s="643"/>
      <c r="U367" s="350"/>
      <c r="V367" s="350"/>
      <c r="W367" s="351"/>
      <c r="X367" s="644"/>
      <c r="Y367" s="350"/>
      <c r="Z367" s="350"/>
      <c r="AA367" s="351"/>
      <c r="AB367" s="506"/>
      <c r="AC367" s="350"/>
      <c r="AD367" s="351"/>
      <c r="AE367" s="571"/>
      <c r="AF367" s="350"/>
      <c r="AG367" s="351"/>
      <c r="AH367" s="645"/>
      <c r="AI367" s="350"/>
      <c r="AJ367" s="351"/>
      <c r="AK367" s="567"/>
      <c r="AL367" s="350"/>
      <c r="AM367" s="351"/>
      <c r="AN367" s="58"/>
      <c r="AO367" s="59"/>
      <c r="AP367" s="58"/>
      <c r="AQ367" s="59"/>
      <c r="AR367" s="58"/>
      <c r="AS367" s="59"/>
      <c r="AT367" s="58"/>
      <c r="AU367" s="59"/>
      <c r="AV367" s="58"/>
      <c r="AW367" s="59"/>
      <c r="AX367" s="58"/>
      <c r="AY367" s="59"/>
      <c r="AZ367" s="64"/>
      <c r="BA367" s="61"/>
      <c r="BB367" s="64"/>
      <c r="BC367" s="61"/>
      <c r="BD367" s="64"/>
      <c r="BE367" s="61"/>
      <c r="BF367" s="64"/>
      <c r="BG367" s="61"/>
      <c r="BH367" s="64"/>
      <c r="BI367" s="646" t="s">
        <v>294</v>
      </c>
      <c r="BJ367" s="350"/>
      <c r="BK367" s="350"/>
      <c r="BL367" s="350"/>
      <c r="BM367" s="350"/>
      <c r="BN367" s="350"/>
      <c r="BO367" s="350"/>
      <c r="BP367" s="350"/>
      <c r="BQ367" s="350"/>
      <c r="BR367" s="350"/>
      <c r="BS367" s="350"/>
      <c r="BT367" s="350"/>
      <c r="BU367" s="350"/>
      <c r="BV367" s="351"/>
    </row>
    <row r="368" spans="1:74" ht="30" customHeight="1">
      <c r="A368" s="63">
        <f t="shared" si="1"/>
        <v>354</v>
      </c>
      <c r="B368" s="56" t="s">
        <v>325</v>
      </c>
      <c r="C368" s="57"/>
      <c r="D368" s="644"/>
      <c r="E368" s="350"/>
      <c r="F368" s="350"/>
      <c r="G368" s="350"/>
      <c r="H368" s="350"/>
      <c r="I368" s="350"/>
      <c r="J368" s="350"/>
      <c r="K368" s="351"/>
      <c r="L368" s="643"/>
      <c r="M368" s="350"/>
      <c r="N368" s="350"/>
      <c r="O368" s="351"/>
      <c r="P368" s="644"/>
      <c r="Q368" s="350"/>
      <c r="R368" s="350"/>
      <c r="S368" s="351"/>
      <c r="T368" s="643"/>
      <c r="U368" s="350"/>
      <c r="V368" s="350"/>
      <c r="W368" s="351"/>
      <c r="X368" s="644"/>
      <c r="Y368" s="350"/>
      <c r="Z368" s="350"/>
      <c r="AA368" s="351"/>
      <c r="AB368" s="506"/>
      <c r="AC368" s="350"/>
      <c r="AD368" s="351"/>
      <c r="AE368" s="571"/>
      <c r="AF368" s="350"/>
      <c r="AG368" s="351"/>
      <c r="AH368" s="645"/>
      <c r="AI368" s="350"/>
      <c r="AJ368" s="351"/>
      <c r="AK368" s="567"/>
      <c r="AL368" s="350"/>
      <c r="AM368" s="351"/>
      <c r="AN368" s="58"/>
      <c r="AO368" s="59"/>
      <c r="AP368" s="58"/>
      <c r="AQ368" s="59"/>
      <c r="AR368" s="58"/>
      <c r="AS368" s="59"/>
      <c r="AT368" s="58"/>
      <c r="AU368" s="59"/>
      <c r="AV368" s="58"/>
      <c r="AW368" s="59"/>
      <c r="AX368" s="58"/>
      <c r="AY368" s="59"/>
      <c r="AZ368" s="64"/>
      <c r="BA368" s="61"/>
      <c r="BB368" s="64"/>
      <c r="BC368" s="61"/>
      <c r="BD368" s="64"/>
      <c r="BE368" s="61"/>
      <c r="BF368" s="64"/>
      <c r="BG368" s="61"/>
      <c r="BH368" s="64"/>
      <c r="BI368" s="646" t="s">
        <v>294</v>
      </c>
      <c r="BJ368" s="350"/>
      <c r="BK368" s="350"/>
      <c r="BL368" s="350"/>
      <c r="BM368" s="350"/>
      <c r="BN368" s="350"/>
      <c r="BO368" s="350"/>
      <c r="BP368" s="350"/>
      <c r="BQ368" s="350"/>
      <c r="BR368" s="350"/>
      <c r="BS368" s="350"/>
      <c r="BT368" s="350"/>
      <c r="BU368" s="350"/>
      <c r="BV368" s="351"/>
    </row>
    <row r="369" spans="1:74" ht="30" customHeight="1">
      <c r="A369" s="55">
        <f t="shared" si="1"/>
        <v>355</v>
      </c>
      <c r="B369" s="56" t="s">
        <v>325</v>
      </c>
      <c r="C369" s="57"/>
      <c r="D369" s="644"/>
      <c r="E369" s="350"/>
      <c r="F369" s="350"/>
      <c r="G369" s="350"/>
      <c r="H369" s="350"/>
      <c r="I369" s="350"/>
      <c r="J369" s="350"/>
      <c r="K369" s="351"/>
      <c r="L369" s="643"/>
      <c r="M369" s="350"/>
      <c r="N369" s="350"/>
      <c r="O369" s="351"/>
      <c r="P369" s="644"/>
      <c r="Q369" s="350"/>
      <c r="R369" s="350"/>
      <c r="S369" s="351"/>
      <c r="T369" s="643"/>
      <c r="U369" s="350"/>
      <c r="V369" s="350"/>
      <c r="W369" s="351"/>
      <c r="X369" s="644"/>
      <c r="Y369" s="350"/>
      <c r="Z369" s="350"/>
      <c r="AA369" s="351"/>
      <c r="AB369" s="506"/>
      <c r="AC369" s="350"/>
      <c r="AD369" s="351"/>
      <c r="AE369" s="571"/>
      <c r="AF369" s="350"/>
      <c r="AG369" s="351"/>
      <c r="AH369" s="645"/>
      <c r="AI369" s="350"/>
      <c r="AJ369" s="351"/>
      <c r="AK369" s="567"/>
      <c r="AL369" s="350"/>
      <c r="AM369" s="351"/>
      <c r="AN369" s="58"/>
      <c r="AO369" s="59"/>
      <c r="AP369" s="58"/>
      <c r="AQ369" s="59"/>
      <c r="AR369" s="58"/>
      <c r="AS369" s="59"/>
      <c r="AT369" s="58"/>
      <c r="AU369" s="59"/>
      <c r="AV369" s="58"/>
      <c r="AW369" s="59"/>
      <c r="AX369" s="58"/>
      <c r="AY369" s="59"/>
      <c r="AZ369" s="64"/>
      <c r="BA369" s="61"/>
      <c r="BB369" s="64"/>
      <c r="BC369" s="61"/>
      <c r="BD369" s="64"/>
      <c r="BE369" s="61"/>
      <c r="BF369" s="64"/>
      <c r="BG369" s="61"/>
      <c r="BH369" s="64"/>
      <c r="BI369" s="646" t="s">
        <v>298</v>
      </c>
      <c r="BJ369" s="350"/>
      <c r="BK369" s="350"/>
      <c r="BL369" s="350"/>
      <c r="BM369" s="350"/>
      <c r="BN369" s="350"/>
      <c r="BO369" s="350"/>
      <c r="BP369" s="350"/>
      <c r="BQ369" s="350"/>
      <c r="BR369" s="350"/>
      <c r="BS369" s="350"/>
      <c r="BT369" s="350"/>
      <c r="BU369" s="350"/>
      <c r="BV369" s="351"/>
    </row>
    <row r="370" spans="1:74" ht="30" customHeight="1">
      <c r="A370" s="63">
        <f t="shared" si="1"/>
        <v>356</v>
      </c>
      <c r="B370" s="56" t="s">
        <v>325</v>
      </c>
      <c r="C370" s="57"/>
      <c r="D370" s="644"/>
      <c r="E370" s="350"/>
      <c r="F370" s="350"/>
      <c r="G370" s="350"/>
      <c r="H370" s="350"/>
      <c r="I370" s="350"/>
      <c r="J370" s="350"/>
      <c r="K370" s="351"/>
      <c r="L370" s="643"/>
      <c r="M370" s="350"/>
      <c r="N370" s="350"/>
      <c r="O370" s="351"/>
      <c r="P370" s="644"/>
      <c r="Q370" s="350"/>
      <c r="R370" s="350"/>
      <c r="S370" s="351"/>
      <c r="T370" s="643"/>
      <c r="U370" s="350"/>
      <c r="V370" s="350"/>
      <c r="W370" s="351"/>
      <c r="X370" s="644"/>
      <c r="Y370" s="350"/>
      <c r="Z370" s="350"/>
      <c r="AA370" s="351"/>
      <c r="AB370" s="506"/>
      <c r="AC370" s="350"/>
      <c r="AD370" s="351"/>
      <c r="AE370" s="571"/>
      <c r="AF370" s="350"/>
      <c r="AG370" s="351"/>
      <c r="AH370" s="645"/>
      <c r="AI370" s="350"/>
      <c r="AJ370" s="351"/>
      <c r="AK370" s="567"/>
      <c r="AL370" s="350"/>
      <c r="AM370" s="351"/>
      <c r="AN370" s="58"/>
      <c r="AO370" s="59"/>
      <c r="AP370" s="58"/>
      <c r="AQ370" s="59"/>
      <c r="AR370" s="58"/>
      <c r="AS370" s="59"/>
      <c r="AT370" s="58"/>
      <c r="AU370" s="59"/>
      <c r="AV370" s="58"/>
      <c r="AW370" s="59"/>
      <c r="AX370" s="58"/>
      <c r="AY370" s="59"/>
      <c r="AZ370" s="64"/>
      <c r="BA370" s="61"/>
      <c r="BB370" s="64"/>
      <c r="BC370" s="61"/>
      <c r="BD370" s="64"/>
      <c r="BE370" s="61"/>
      <c r="BF370" s="64"/>
      <c r="BG370" s="61"/>
      <c r="BH370" s="64"/>
      <c r="BI370" s="646" t="s">
        <v>298</v>
      </c>
      <c r="BJ370" s="350"/>
      <c r="BK370" s="350"/>
      <c r="BL370" s="350"/>
      <c r="BM370" s="350"/>
      <c r="BN370" s="350"/>
      <c r="BO370" s="350"/>
      <c r="BP370" s="350"/>
      <c r="BQ370" s="350"/>
      <c r="BR370" s="350"/>
      <c r="BS370" s="350"/>
      <c r="BT370" s="350"/>
      <c r="BU370" s="350"/>
      <c r="BV370" s="351"/>
    </row>
    <row r="371" spans="1:74" ht="30" customHeight="1">
      <c r="A371" s="63">
        <f t="shared" si="1"/>
        <v>357</v>
      </c>
      <c r="B371" s="56" t="s">
        <v>325</v>
      </c>
      <c r="C371" s="57"/>
      <c r="D371" s="644"/>
      <c r="E371" s="350"/>
      <c r="F371" s="350"/>
      <c r="G371" s="350"/>
      <c r="H371" s="350"/>
      <c r="I371" s="350"/>
      <c r="J371" s="350"/>
      <c r="K371" s="351"/>
      <c r="L371" s="643"/>
      <c r="M371" s="350"/>
      <c r="N371" s="350"/>
      <c r="O371" s="351"/>
      <c r="P371" s="644"/>
      <c r="Q371" s="350"/>
      <c r="R371" s="350"/>
      <c r="S371" s="351"/>
      <c r="T371" s="643"/>
      <c r="U371" s="350"/>
      <c r="V371" s="350"/>
      <c r="W371" s="351"/>
      <c r="X371" s="644"/>
      <c r="Y371" s="350"/>
      <c r="Z371" s="350"/>
      <c r="AA371" s="351"/>
      <c r="AB371" s="506"/>
      <c r="AC371" s="350"/>
      <c r="AD371" s="351"/>
      <c r="AE371" s="571"/>
      <c r="AF371" s="350"/>
      <c r="AG371" s="351"/>
      <c r="AH371" s="645"/>
      <c r="AI371" s="350"/>
      <c r="AJ371" s="351"/>
      <c r="AK371" s="567"/>
      <c r="AL371" s="350"/>
      <c r="AM371" s="351"/>
      <c r="AN371" s="58"/>
      <c r="AO371" s="59"/>
      <c r="AP371" s="58"/>
      <c r="AQ371" s="59"/>
      <c r="AR371" s="58"/>
      <c r="AS371" s="59"/>
      <c r="AT371" s="58"/>
      <c r="AU371" s="59"/>
      <c r="AV371" s="58"/>
      <c r="AW371" s="59"/>
      <c r="AX371" s="58"/>
      <c r="AY371" s="59"/>
      <c r="AZ371" s="64"/>
      <c r="BA371" s="61"/>
      <c r="BB371" s="64"/>
      <c r="BC371" s="61"/>
      <c r="BD371" s="64"/>
      <c r="BE371" s="61"/>
      <c r="BF371" s="64"/>
      <c r="BG371" s="61"/>
      <c r="BH371" s="64"/>
      <c r="BI371" s="646" t="s">
        <v>298</v>
      </c>
      <c r="BJ371" s="350"/>
      <c r="BK371" s="350"/>
      <c r="BL371" s="350"/>
      <c r="BM371" s="350"/>
      <c r="BN371" s="350"/>
      <c r="BO371" s="350"/>
      <c r="BP371" s="350"/>
      <c r="BQ371" s="350"/>
      <c r="BR371" s="350"/>
      <c r="BS371" s="350"/>
      <c r="BT371" s="350"/>
      <c r="BU371" s="350"/>
      <c r="BV371" s="351"/>
    </row>
    <row r="372" spans="1:74" ht="30" customHeight="1">
      <c r="A372" s="63">
        <f t="shared" si="1"/>
        <v>358</v>
      </c>
      <c r="B372" s="56" t="s">
        <v>325</v>
      </c>
      <c r="C372" s="57"/>
      <c r="D372" s="644"/>
      <c r="E372" s="350"/>
      <c r="F372" s="350"/>
      <c r="G372" s="350"/>
      <c r="H372" s="350"/>
      <c r="I372" s="350"/>
      <c r="J372" s="350"/>
      <c r="K372" s="351"/>
      <c r="L372" s="643"/>
      <c r="M372" s="350"/>
      <c r="N372" s="350"/>
      <c r="O372" s="351"/>
      <c r="P372" s="644"/>
      <c r="Q372" s="350"/>
      <c r="R372" s="350"/>
      <c r="S372" s="351"/>
      <c r="T372" s="643"/>
      <c r="U372" s="350"/>
      <c r="V372" s="350"/>
      <c r="W372" s="351"/>
      <c r="X372" s="644"/>
      <c r="Y372" s="350"/>
      <c r="Z372" s="350"/>
      <c r="AA372" s="351"/>
      <c r="AB372" s="506"/>
      <c r="AC372" s="350"/>
      <c r="AD372" s="351"/>
      <c r="AE372" s="571"/>
      <c r="AF372" s="350"/>
      <c r="AG372" s="351"/>
      <c r="AH372" s="645"/>
      <c r="AI372" s="350"/>
      <c r="AJ372" s="351"/>
      <c r="AK372" s="567"/>
      <c r="AL372" s="350"/>
      <c r="AM372" s="351"/>
      <c r="AN372" s="58"/>
      <c r="AO372" s="59"/>
      <c r="AP372" s="58"/>
      <c r="AQ372" s="59"/>
      <c r="AR372" s="58"/>
      <c r="AS372" s="59"/>
      <c r="AT372" s="58"/>
      <c r="AU372" s="59"/>
      <c r="AV372" s="58"/>
      <c r="AW372" s="59"/>
      <c r="AX372" s="58"/>
      <c r="AY372" s="59"/>
      <c r="AZ372" s="64"/>
      <c r="BA372" s="61"/>
      <c r="BB372" s="64"/>
      <c r="BC372" s="61"/>
      <c r="BD372" s="64"/>
      <c r="BE372" s="61"/>
      <c r="BF372" s="64"/>
      <c r="BG372" s="61"/>
      <c r="BH372" s="64"/>
      <c r="BI372" s="646" t="s">
        <v>298</v>
      </c>
      <c r="BJ372" s="350"/>
      <c r="BK372" s="350"/>
      <c r="BL372" s="350"/>
      <c r="BM372" s="350"/>
      <c r="BN372" s="350"/>
      <c r="BO372" s="350"/>
      <c r="BP372" s="350"/>
      <c r="BQ372" s="350"/>
      <c r="BR372" s="350"/>
      <c r="BS372" s="350"/>
      <c r="BT372" s="350"/>
      <c r="BU372" s="350"/>
      <c r="BV372" s="351"/>
    </row>
    <row r="373" spans="1:74" ht="30" customHeight="1">
      <c r="A373" s="63">
        <f t="shared" si="1"/>
        <v>359</v>
      </c>
      <c r="B373" s="56" t="s">
        <v>325</v>
      </c>
      <c r="C373" s="57"/>
      <c r="D373" s="644"/>
      <c r="E373" s="350"/>
      <c r="F373" s="350"/>
      <c r="G373" s="350"/>
      <c r="H373" s="350"/>
      <c r="I373" s="350"/>
      <c r="J373" s="350"/>
      <c r="K373" s="351"/>
      <c r="L373" s="643"/>
      <c r="M373" s="350"/>
      <c r="N373" s="350"/>
      <c r="O373" s="351"/>
      <c r="P373" s="644"/>
      <c r="Q373" s="350"/>
      <c r="R373" s="350"/>
      <c r="S373" s="351"/>
      <c r="T373" s="643"/>
      <c r="U373" s="350"/>
      <c r="V373" s="350"/>
      <c r="W373" s="351"/>
      <c r="X373" s="644"/>
      <c r="Y373" s="350"/>
      <c r="Z373" s="350"/>
      <c r="AA373" s="351"/>
      <c r="AB373" s="506"/>
      <c r="AC373" s="350"/>
      <c r="AD373" s="351"/>
      <c r="AE373" s="571"/>
      <c r="AF373" s="350"/>
      <c r="AG373" s="351"/>
      <c r="AH373" s="645"/>
      <c r="AI373" s="350"/>
      <c r="AJ373" s="351"/>
      <c r="AK373" s="567"/>
      <c r="AL373" s="350"/>
      <c r="AM373" s="351"/>
      <c r="AN373" s="58"/>
      <c r="AO373" s="59"/>
      <c r="AP373" s="58"/>
      <c r="AQ373" s="59"/>
      <c r="AR373" s="58"/>
      <c r="AS373" s="59"/>
      <c r="AT373" s="58"/>
      <c r="AU373" s="59"/>
      <c r="AV373" s="58"/>
      <c r="AW373" s="59"/>
      <c r="AX373" s="58"/>
      <c r="AY373" s="59"/>
      <c r="AZ373" s="64"/>
      <c r="BA373" s="61"/>
      <c r="BB373" s="64"/>
      <c r="BC373" s="61"/>
      <c r="BD373" s="64"/>
      <c r="BE373" s="61"/>
      <c r="BF373" s="64"/>
      <c r="BG373" s="61"/>
      <c r="BH373" s="64"/>
      <c r="BI373" s="646" t="s">
        <v>298</v>
      </c>
      <c r="BJ373" s="350"/>
      <c r="BK373" s="350"/>
      <c r="BL373" s="350"/>
      <c r="BM373" s="350"/>
      <c r="BN373" s="350"/>
      <c r="BO373" s="350"/>
      <c r="BP373" s="350"/>
      <c r="BQ373" s="350"/>
      <c r="BR373" s="350"/>
      <c r="BS373" s="350"/>
      <c r="BT373" s="350"/>
      <c r="BU373" s="350"/>
      <c r="BV373" s="351"/>
    </row>
    <row r="374" spans="1:74" ht="30" customHeight="1">
      <c r="A374" s="63">
        <f t="shared" si="1"/>
        <v>360</v>
      </c>
      <c r="B374" s="56" t="s">
        <v>325</v>
      </c>
      <c r="C374" s="57"/>
      <c r="D374" s="644"/>
      <c r="E374" s="350"/>
      <c r="F374" s="350"/>
      <c r="G374" s="350"/>
      <c r="H374" s="350"/>
      <c r="I374" s="350"/>
      <c r="J374" s="350"/>
      <c r="K374" s="351"/>
      <c r="L374" s="643"/>
      <c r="M374" s="350"/>
      <c r="N374" s="350"/>
      <c r="O374" s="351"/>
      <c r="P374" s="644"/>
      <c r="Q374" s="350"/>
      <c r="R374" s="350"/>
      <c r="S374" s="351"/>
      <c r="T374" s="643"/>
      <c r="U374" s="350"/>
      <c r="V374" s="350"/>
      <c r="W374" s="351"/>
      <c r="X374" s="644"/>
      <c r="Y374" s="350"/>
      <c r="Z374" s="350"/>
      <c r="AA374" s="351"/>
      <c r="AB374" s="506"/>
      <c r="AC374" s="350"/>
      <c r="AD374" s="351"/>
      <c r="AE374" s="571"/>
      <c r="AF374" s="350"/>
      <c r="AG374" s="351"/>
      <c r="AH374" s="645"/>
      <c r="AI374" s="350"/>
      <c r="AJ374" s="351"/>
      <c r="AK374" s="567"/>
      <c r="AL374" s="350"/>
      <c r="AM374" s="351"/>
      <c r="AN374" s="58"/>
      <c r="AO374" s="59"/>
      <c r="AP374" s="58"/>
      <c r="AQ374" s="59"/>
      <c r="AR374" s="58"/>
      <c r="AS374" s="59"/>
      <c r="AT374" s="58"/>
      <c r="AU374" s="59"/>
      <c r="AV374" s="58"/>
      <c r="AW374" s="59"/>
      <c r="AX374" s="58"/>
      <c r="AY374" s="59"/>
      <c r="AZ374" s="64"/>
      <c r="BA374" s="61"/>
      <c r="BB374" s="64"/>
      <c r="BC374" s="61"/>
      <c r="BD374" s="64"/>
      <c r="BE374" s="61"/>
      <c r="BF374" s="64"/>
      <c r="BG374" s="61"/>
      <c r="BH374" s="64"/>
      <c r="BI374" s="646" t="s">
        <v>294</v>
      </c>
      <c r="BJ374" s="350"/>
      <c r="BK374" s="350"/>
      <c r="BL374" s="350"/>
      <c r="BM374" s="350"/>
      <c r="BN374" s="350"/>
      <c r="BO374" s="350"/>
      <c r="BP374" s="350"/>
      <c r="BQ374" s="350"/>
      <c r="BR374" s="350"/>
      <c r="BS374" s="350"/>
      <c r="BT374" s="350"/>
      <c r="BU374" s="350"/>
      <c r="BV374" s="351"/>
    </row>
    <row r="375" spans="1:74" ht="30" customHeight="1">
      <c r="A375" s="63">
        <f t="shared" si="1"/>
        <v>361</v>
      </c>
      <c r="B375" s="56" t="s">
        <v>325</v>
      </c>
      <c r="C375" s="57"/>
      <c r="D375" s="644"/>
      <c r="E375" s="350"/>
      <c r="F375" s="350"/>
      <c r="G375" s="350"/>
      <c r="H375" s="350"/>
      <c r="I375" s="350"/>
      <c r="J375" s="350"/>
      <c r="K375" s="351"/>
      <c r="L375" s="643"/>
      <c r="M375" s="350"/>
      <c r="N375" s="350"/>
      <c r="O375" s="351"/>
      <c r="P375" s="644"/>
      <c r="Q375" s="350"/>
      <c r="R375" s="350"/>
      <c r="S375" s="351"/>
      <c r="T375" s="643"/>
      <c r="U375" s="350"/>
      <c r="V375" s="350"/>
      <c r="W375" s="351"/>
      <c r="X375" s="644"/>
      <c r="Y375" s="350"/>
      <c r="Z375" s="350"/>
      <c r="AA375" s="351"/>
      <c r="AB375" s="506"/>
      <c r="AC375" s="350"/>
      <c r="AD375" s="351"/>
      <c r="AE375" s="571"/>
      <c r="AF375" s="350"/>
      <c r="AG375" s="351"/>
      <c r="AH375" s="645"/>
      <c r="AI375" s="350"/>
      <c r="AJ375" s="351"/>
      <c r="AK375" s="567"/>
      <c r="AL375" s="350"/>
      <c r="AM375" s="351"/>
      <c r="AN375" s="58"/>
      <c r="AO375" s="59"/>
      <c r="AP375" s="58"/>
      <c r="AQ375" s="59"/>
      <c r="AR375" s="58"/>
      <c r="AS375" s="59"/>
      <c r="AT375" s="58"/>
      <c r="AU375" s="59"/>
      <c r="AV375" s="58"/>
      <c r="AW375" s="59"/>
      <c r="AX375" s="58"/>
      <c r="AY375" s="59"/>
      <c r="AZ375" s="64"/>
      <c r="BA375" s="61"/>
      <c r="BB375" s="64"/>
      <c r="BC375" s="61"/>
      <c r="BD375" s="64"/>
      <c r="BE375" s="61"/>
      <c r="BF375" s="64"/>
      <c r="BG375" s="61"/>
      <c r="BH375" s="64"/>
      <c r="BI375" s="646" t="s">
        <v>294</v>
      </c>
      <c r="BJ375" s="350"/>
      <c r="BK375" s="350"/>
      <c r="BL375" s="350"/>
      <c r="BM375" s="350"/>
      <c r="BN375" s="350"/>
      <c r="BO375" s="350"/>
      <c r="BP375" s="350"/>
      <c r="BQ375" s="350"/>
      <c r="BR375" s="350"/>
      <c r="BS375" s="350"/>
      <c r="BT375" s="350"/>
      <c r="BU375" s="350"/>
      <c r="BV375" s="351"/>
    </row>
    <row r="376" spans="1:74" ht="30" customHeight="1">
      <c r="A376" s="55">
        <f t="shared" si="1"/>
        <v>362</v>
      </c>
      <c r="B376" s="56" t="s">
        <v>325</v>
      </c>
      <c r="C376" s="57"/>
      <c r="D376" s="644"/>
      <c r="E376" s="350"/>
      <c r="F376" s="350"/>
      <c r="G376" s="350"/>
      <c r="H376" s="350"/>
      <c r="I376" s="350"/>
      <c r="J376" s="350"/>
      <c r="K376" s="351"/>
      <c r="L376" s="643"/>
      <c r="M376" s="350"/>
      <c r="N376" s="350"/>
      <c r="O376" s="351"/>
      <c r="P376" s="644"/>
      <c r="Q376" s="350"/>
      <c r="R376" s="350"/>
      <c r="S376" s="351"/>
      <c r="T376" s="643"/>
      <c r="U376" s="350"/>
      <c r="V376" s="350"/>
      <c r="W376" s="351"/>
      <c r="X376" s="644"/>
      <c r="Y376" s="350"/>
      <c r="Z376" s="350"/>
      <c r="AA376" s="351"/>
      <c r="AB376" s="506"/>
      <c r="AC376" s="350"/>
      <c r="AD376" s="351"/>
      <c r="AE376" s="571"/>
      <c r="AF376" s="350"/>
      <c r="AG376" s="351"/>
      <c r="AH376" s="645"/>
      <c r="AI376" s="350"/>
      <c r="AJ376" s="351"/>
      <c r="AK376" s="567"/>
      <c r="AL376" s="350"/>
      <c r="AM376" s="351"/>
      <c r="AN376" s="58"/>
      <c r="AO376" s="59"/>
      <c r="AP376" s="58"/>
      <c r="AQ376" s="59"/>
      <c r="AR376" s="58"/>
      <c r="AS376" s="59"/>
      <c r="AT376" s="58"/>
      <c r="AU376" s="59"/>
      <c r="AV376" s="58"/>
      <c r="AW376" s="59"/>
      <c r="AX376" s="58"/>
      <c r="AY376" s="59"/>
      <c r="AZ376" s="64"/>
      <c r="BA376" s="61"/>
      <c r="BB376" s="64"/>
      <c r="BC376" s="61"/>
      <c r="BD376" s="64"/>
      <c r="BE376" s="61"/>
      <c r="BF376" s="64"/>
      <c r="BG376" s="61"/>
      <c r="BH376" s="64"/>
      <c r="BI376" s="646" t="s">
        <v>298</v>
      </c>
      <c r="BJ376" s="350"/>
      <c r="BK376" s="350"/>
      <c r="BL376" s="350"/>
      <c r="BM376" s="350"/>
      <c r="BN376" s="350"/>
      <c r="BO376" s="350"/>
      <c r="BP376" s="350"/>
      <c r="BQ376" s="350"/>
      <c r="BR376" s="350"/>
      <c r="BS376" s="350"/>
      <c r="BT376" s="350"/>
      <c r="BU376" s="350"/>
      <c r="BV376" s="351"/>
    </row>
    <row r="377" spans="1:74" ht="30" customHeight="1">
      <c r="A377" s="63">
        <f t="shared" si="1"/>
        <v>363</v>
      </c>
      <c r="B377" s="56" t="s">
        <v>325</v>
      </c>
      <c r="C377" s="57"/>
      <c r="D377" s="644"/>
      <c r="E377" s="350"/>
      <c r="F377" s="350"/>
      <c r="G377" s="350"/>
      <c r="H377" s="350"/>
      <c r="I377" s="350"/>
      <c r="J377" s="350"/>
      <c r="K377" s="351"/>
      <c r="L377" s="643"/>
      <c r="M377" s="350"/>
      <c r="N377" s="350"/>
      <c r="O377" s="351"/>
      <c r="P377" s="644"/>
      <c r="Q377" s="350"/>
      <c r="R377" s="350"/>
      <c r="S377" s="351"/>
      <c r="T377" s="643"/>
      <c r="U377" s="350"/>
      <c r="V377" s="350"/>
      <c r="W377" s="351"/>
      <c r="X377" s="644"/>
      <c r="Y377" s="350"/>
      <c r="Z377" s="350"/>
      <c r="AA377" s="351"/>
      <c r="AB377" s="506"/>
      <c r="AC377" s="350"/>
      <c r="AD377" s="351"/>
      <c r="AE377" s="571"/>
      <c r="AF377" s="350"/>
      <c r="AG377" s="351"/>
      <c r="AH377" s="645"/>
      <c r="AI377" s="350"/>
      <c r="AJ377" s="351"/>
      <c r="AK377" s="567"/>
      <c r="AL377" s="350"/>
      <c r="AM377" s="351"/>
      <c r="AN377" s="58"/>
      <c r="AO377" s="59"/>
      <c r="AP377" s="58"/>
      <c r="AQ377" s="59"/>
      <c r="AR377" s="58"/>
      <c r="AS377" s="59"/>
      <c r="AT377" s="58"/>
      <c r="AU377" s="59"/>
      <c r="AV377" s="58"/>
      <c r="AW377" s="59"/>
      <c r="AX377" s="58"/>
      <c r="AY377" s="59"/>
      <c r="AZ377" s="64"/>
      <c r="BA377" s="61"/>
      <c r="BB377" s="64"/>
      <c r="BC377" s="61"/>
      <c r="BD377" s="64"/>
      <c r="BE377" s="61"/>
      <c r="BF377" s="64"/>
      <c r="BG377" s="61"/>
      <c r="BH377" s="64"/>
      <c r="BI377" s="646" t="s">
        <v>298</v>
      </c>
      <c r="BJ377" s="350"/>
      <c r="BK377" s="350"/>
      <c r="BL377" s="350"/>
      <c r="BM377" s="350"/>
      <c r="BN377" s="350"/>
      <c r="BO377" s="350"/>
      <c r="BP377" s="350"/>
      <c r="BQ377" s="350"/>
      <c r="BR377" s="350"/>
      <c r="BS377" s="350"/>
      <c r="BT377" s="350"/>
      <c r="BU377" s="350"/>
      <c r="BV377" s="351"/>
    </row>
    <row r="378" spans="1:74" ht="30" customHeight="1">
      <c r="A378" s="63">
        <f t="shared" si="1"/>
        <v>364</v>
      </c>
      <c r="B378" s="56" t="s">
        <v>325</v>
      </c>
      <c r="C378" s="57"/>
      <c r="D378" s="644"/>
      <c r="E378" s="350"/>
      <c r="F378" s="350"/>
      <c r="G378" s="350"/>
      <c r="H378" s="350"/>
      <c r="I378" s="350"/>
      <c r="J378" s="350"/>
      <c r="K378" s="351"/>
      <c r="L378" s="643"/>
      <c r="M378" s="350"/>
      <c r="N378" s="350"/>
      <c r="O378" s="351"/>
      <c r="P378" s="644"/>
      <c r="Q378" s="350"/>
      <c r="R378" s="350"/>
      <c r="S378" s="351"/>
      <c r="T378" s="643"/>
      <c r="U378" s="350"/>
      <c r="V378" s="350"/>
      <c r="W378" s="351"/>
      <c r="X378" s="644"/>
      <c r="Y378" s="350"/>
      <c r="Z378" s="350"/>
      <c r="AA378" s="351"/>
      <c r="AB378" s="506"/>
      <c r="AC378" s="350"/>
      <c r="AD378" s="351"/>
      <c r="AE378" s="571"/>
      <c r="AF378" s="350"/>
      <c r="AG378" s="351"/>
      <c r="AH378" s="645"/>
      <c r="AI378" s="350"/>
      <c r="AJ378" s="351"/>
      <c r="AK378" s="567"/>
      <c r="AL378" s="350"/>
      <c r="AM378" s="351"/>
      <c r="AN378" s="58"/>
      <c r="AO378" s="59"/>
      <c r="AP378" s="58"/>
      <c r="AQ378" s="59"/>
      <c r="AR378" s="58"/>
      <c r="AS378" s="59"/>
      <c r="AT378" s="58"/>
      <c r="AU378" s="59"/>
      <c r="AV378" s="58"/>
      <c r="AW378" s="59"/>
      <c r="AX378" s="58"/>
      <c r="AY378" s="59"/>
      <c r="AZ378" s="64"/>
      <c r="BA378" s="61"/>
      <c r="BB378" s="64"/>
      <c r="BC378" s="61"/>
      <c r="BD378" s="64"/>
      <c r="BE378" s="61"/>
      <c r="BF378" s="64"/>
      <c r="BG378" s="61"/>
      <c r="BH378" s="64"/>
      <c r="BI378" s="646" t="s">
        <v>298</v>
      </c>
      <c r="BJ378" s="350"/>
      <c r="BK378" s="350"/>
      <c r="BL378" s="350"/>
      <c r="BM378" s="350"/>
      <c r="BN378" s="350"/>
      <c r="BO378" s="350"/>
      <c r="BP378" s="350"/>
      <c r="BQ378" s="350"/>
      <c r="BR378" s="350"/>
      <c r="BS378" s="350"/>
      <c r="BT378" s="350"/>
      <c r="BU378" s="350"/>
      <c r="BV378" s="351"/>
    </row>
    <row r="379" spans="1:74" ht="30" customHeight="1">
      <c r="A379" s="63">
        <f t="shared" si="1"/>
        <v>365</v>
      </c>
      <c r="B379" s="56" t="s">
        <v>325</v>
      </c>
      <c r="C379" s="57"/>
      <c r="D379" s="644"/>
      <c r="E379" s="350"/>
      <c r="F379" s="350"/>
      <c r="G379" s="350"/>
      <c r="H379" s="350"/>
      <c r="I379" s="350"/>
      <c r="J379" s="350"/>
      <c r="K379" s="351"/>
      <c r="L379" s="643"/>
      <c r="M379" s="350"/>
      <c r="N379" s="350"/>
      <c r="O379" s="351"/>
      <c r="P379" s="644"/>
      <c r="Q379" s="350"/>
      <c r="R379" s="350"/>
      <c r="S379" s="351"/>
      <c r="T379" s="643"/>
      <c r="U379" s="350"/>
      <c r="V379" s="350"/>
      <c r="W379" s="351"/>
      <c r="X379" s="644"/>
      <c r="Y379" s="350"/>
      <c r="Z379" s="350"/>
      <c r="AA379" s="351"/>
      <c r="AB379" s="506"/>
      <c r="AC379" s="350"/>
      <c r="AD379" s="351"/>
      <c r="AE379" s="571"/>
      <c r="AF379" s="350"/>
      <c r="AG379" s="351"/>
      <c r="AH379" s="645"/>
      <c r="AI379" s="350"/>
      <c r="AJ379" s="351"/>
      <c r="AK379" s="567"/>
      <c r="AL379" s="350"/>
      <c r="AM379" s="351"/>
      <c r="AN379" s="58"/>
      <c r="AO379" s="59"/>
      <c r="AP379" s="58"/>
      <c r="AQ379" s="59"/>
      <c r="AR379" s="58"/>
      <c r="AS379" s="59"/>
      <c r="AT379" s="58"/>
      <c r="AU379" s="59"/>
      <c r="AV379" s="58"/>
      <c r="AW379" s="59"/>
      <c r="AX379" s="58"/>
      <c r="AY379" s="59"/>
      <c r="AZ379" s="64"/>
      <c r="BA379" s="61"/>
      <c r="BB379" s="64"/>
      <c r="BC379" s="61"/>
      <c r="BD379" s="64"/>
      <c r="BE379" s="61"/>
      <c r="BF379" s="64"/>
      <c r="BG379" s="61"/>
      <c r="BH379" s="64"/>
      <c r="BI379" s="646" t="s">
        <v>298</v>
      </c>
      <c r="BJ379" s="350"/>
      <c r="BK379" s="350"/>
      <c r="BL379" s="350"/>
      <c r="BM379" s="350"/>
      <c r="BN379" s="350"/>
      <c r="BO379" s="350"/>
      <c r="BP379" s="350"/>
      <c r="BQ379" s="350"/>
      <c r="BR379" s="350"/>
      <c r="BS379" s="350"/>
      <c r="BT379" s="350"/>
      <c r="BU379" s="350"/>
      <c r="BV379" s="351"/>
    </row>
    <row r="380" spans="1:74" ht="30" customHeight="1">
      <c r="A380" s="63">
        <f t="shared" si="1"/>
        <v>366</v>
      </c>
      <c r="B380" s="56" t="s">
        <v>325</v>
      </c>
      <c r="C380" s="57"/>
      <c r="D380" s="644"/>
      <c r="E380" s="350"/>
      <c r="F380" s="350"/>
      <c r="G380" s="350"/>
      <c r="H380" s="350"/>
      <c r="I380" s="350"/>
      <c r="J380" s="350"/>
      <c r="K380" s="351"/>
      <c r="L380" s="643"/>
      <c r="M380" s="350"/>
      <c r="N380" s="350"/>
      <c r="O380" s="351"/>
      <c r="P380" s="644"/>
      <c r="Q380" s="350"/>
      <c r="R380" s="350"/>
      <c r="S380" s="351"/>
      <c r="T380" s="643"/>
      <c r="U380" s="350"/>
      <c r="V380" s="350"/>
      <c r="W380" s="351"/>
      <c r="X380" s="644"/>
      <c r="Y380" s="350"/>
      <c r="Z380" s="350"/>
      <c r="AA380" s="351"/>
      <c r="AB380" s="506"/>
      <c r="AC380" s="350"/>
      <c r="AD380" s="351"/>
      <c r="AE380" s="571"/>
      <c r="AF380" s="350"/>
      <c r="AG380" s="351"/>
      <c r="AH380" s="645"/>
      <c r="AI380" s="350"/>
      <c r="AJ380" s="351"/>
      <c r="AK380" s="567"/>
      <c r="AL380" s="350"/>
      <c r="AM380" s="351"/>
      <c r="AN380" s="58"/>
      <c r="AO380" s="59"/>
      <c r="AP380" s="58"/>
      <c r="AQ380" s="59"/>
      <c r="AR380" s="58"/>
      <c r="AS380" s="59"/>
      <c r="AT380" s="58"/>
      <c r="AU380" s="59"/>
      <c r="AV380" s="58"/>
      <c r="AW380" s="59"/>
      <c r="AX380" s="58"/>
      <c r="AY380" s="59"/>
      <c r="AZ380" s="64"/>
      <c r="BA380" s="61"/>
      <c r="BB380" s="64"/>
      <c r="BC380" s="61"/>
      <c r="BD380" s="64"/>
      <c r="BE380" s="61"/>
      <c r="BF380" s="64"/>
      <c r="BG380" s="61"/>
      <c r="BH380" s="64"/>
      <c r="BI380" s="646" t="s">
        <v>298</v>
      </c>
      <c r="BJ380" s="350"/>
      <c r="BK380" s="350"/>
      <c r="BL380" s="350"/>
      <c r="BM380" s="350"/>
      <c r="BN380" s="350"/>
      <c r="BO380" s="350"/>
      <c r="BP380" s="350"/>
      <c r="BQ380" s="350"/>
      <c r="BR380" s="350"/>
      <c r="BS380" s="350"/>
      <c r="BT380" s="350"/>
      <c r="BU380" s="350"/>
      <c r="BV380" s="351"/>
    </row>
    <row r="381" spans="1:74" ht="30" customHeight="1">
      <c r="A381" s="63">
        <f t="shared" si="1"/>
        <v>367</v>
      </c>
      <c r="B381" s="56" t="s">
        <v>325</v>
      </c>
      <c r="C381" s="57"/>
      <c r="D381" s="644"/>
      <c r="E381" s="350"/>
      <c r="F381" s="350"/>
      <c r="G381" s="350"/>
      <c r="H381" s="350"/>
      <c r="I381" s="350"/>
      <c r="J381" s="350"/>
      <c r="K381" s="351"/>
      <c r="L381" s="643"/>
      <c r="M381" s="350"/>
      <c r="N381" s="350"/>
      <c r="O381" s="351"/>
      <c r="P381" s="644"/>
      <c r="Q381" s="350"/>
      <c r="R381" s="350"/>
      <c r="S381" s="351"/>
      <c r="T381" s="643"/>
      <c r="U381" s="350"/>
      <c r="V381" s="350"/>
      <c r="W381" s="351"/>
      <c r="X381" s="644"/>
      <c r="Y381" s="350"/>
      <c r="Z381" s="350"/>
      <c r="AA381" s="351"/>
      <c r="AB381" s="506"/>
      <c r="AC381" s="350"/>
      <c r="AD381" s="351"/>
      <c r="AE381" s="571"/>
      <c r="AF381" s="350"/>
      <c r="AG381" s="351"/>
      <c r="AH381" s="645"/>
      <c r="AI381" s="350"/>
      <c r="AJ381" s="351"/>
      <c r="AK381" s="567"/>
      <c r="AL381" s="350"/>
      <c r="AM381" s="351"/>
      <c r="AN381" s="58"/>
      <c r="AO381" s="59"/>
      <c r="AP381" s="58"/>
      <c r="AQ381" s="59"/>
      <c r="AR381" s="58"/>
      <c r="AS381" s="59"/>
      <c r="AT381" s="58"/>
      <c r="AU381" s="59"/>
      <c r="AV381" s="58"/>
      <c r="AW381" s="59"/>
      <c r="AX381" s="58"/>
      <c r="AY381" s="59"/>
      <c r="AZ381" s="64"/>
      <c r="BA381" s="61"/>
      <c r="BB381" s="64"/>
      <c r="BC381" s="61"/>
      <c r="BD381" s="64"/>
      <c r="BE381" s="61"/>
      <c r="BF381" s="64"/>
      <c r="BG381" s="61"/>
      <c r="BH381" s="64"/>
      <c r="BI381" s="646" t="s">
        <v>294</v>
      </c>
      <c r="BJ381" s="350"/>
      <c r="BK381" s="350"/>
      <c r="BL381" s="350"/>
      <c r="BM381" s="350"/>
      <c r="BN381" s="350"/>
      <c r="BO381" s="350"/>
      <c r="BP381" s="350"/>
      <c r="BQ381" s="350"/>
      <c r="BR381" s="350"/>
      <c r="BS381" s="350"/>
      <c r="BT381" s="350"/>
      <c r="BU381" s="350"/>
      <c r="BV381" s="351"/>
    </row>
    <row r="382" spans="1:74" ht="30" customHeight="1">
      <c r="A382" s="63">
        <f t="shared" si="1"/>
        <v>368</v>
      </c>
      <c r="B382" s="56" t="s">
        <v>325</v>
      </c>
      <c r="C382" s="57"/>
      <c r="D382" s="644"/>
      <c r="E382" s="350"/>
      <c r="F382" s="350"/>
      <c r="G382" s="350"/>
      <c r="H382" s="350"/>
      <c r="I382" s="350"/>
      <c r="J382" s="350"/>
      <c r="K382" s="351"/>
      <c r="L382" s="643"/>
      <c r="M382" s="350"/>
      <c r="N382" s="350"/>
      <c r="O382" s="351"/>
      <c r="P382" s="644"/>
      <c r="Q382" s="350"/>
      <c r="R382" s="350"/>
      <c r="S382" s="351"/>
      <c r="T382" s="643"/>
      <c r="U382" s="350"/>
      <c r="V382" s="350"/>
      <c r="W382" s="351"/>
      <c r="X382" s="644"/>
      <c r="Y382" s="350"/>
      <c r="Z382" s="350"/>
      <c r="AA382" s="351"/>
      <c r="AB382" s="506"/>
      <c r="AC382" s="350"/>
      <c r="AD382" s="351"/>
      <c r="AE382" s="571"/>
      <c r="AF382" s="350"/>
      <c r="AG382" s="351"/>
      <c r="AH382" s="645"/>
      <c r="AI382" s="350"/>
      <c r="AJ382" s="351"/>
      <c r="AK382" s="567"/>
      <c r="AL382" s="350"/>
      <c r="AM382" s="351"/>
      <c r="AN382" s="58"/>
      <c r="AO382" s="59"/>
      <c r="AP382" s="58"/>
      <c r="AQ382" s="59"/>
      <c r="AR382" s="58"/>
      <c r="AS382" s="59"/>
      <c r="AT382" s="58"/>
      <c r="AU382" s="59"/>
      <c r="AV382" s="58"/>
      <c r="AW382" s="59"/>
      <c r="AX382" s="58"/>
      <c r="AY382" s="59"/>
      <c r="AZ382" s="64"/>
      <c r="BA382" s="61"/>
      <c r="BB382" s="64"/>
      <c r="BC382" s="61"/>
      <c r="BD382" s="64"/>
      <c r="BE382" s="61"/>
      <c r="BF382" s="64"/>
      <c r="BG382" s="61"/>
      <c r="BH382" s="64"/>
      <c r="BI382" s="646" t="s">
        <v>294</v>
      </c>
      <c r="BJ382" s="350"/>
      <c r="BK382" s="350"/>
      <c r="BL382" s="350"/>
      <c r="BM382" s="350"/>
      <c r="BN382" s="350"/>
      <c r="BO382" s="350"/>
      <c r="BP382" s="350"/>
      <c r="BQ382" s="350"/>
      <c r="BR382" s="350"/>
      <c r="BS382" s="350"/>
      <c r="BT382" s="350"/>
      <c r="BU382" s="350"/>
      <c r="BV382" s="351"/>
    </row>
    <row r="383" spans="1:74" ht="30" customHeight="1">
      <c r="A383" s="55">
        <f t="shared" si="1"/>
        <v>369</v>
      </c>
      <c r="B383" s="56" t="s">
        <v>325</v>
      </c>
      <c r="C383" s="57"/>
      <c r="D383" s="644"/>
      <c r="E383" s="350"/>
      <c r="F383" s="350"/>
      <c r="G383" s="350"/>
      <c r="H383" s="350"/>
      <c r="I383" s="350"/>
      <c r="J383" s="350"/>
      <c r="K383" s="351"/>
      <c r="L383" s="643"/>
      <c r="M383" s="350"/>
      <c r="N383" s="350"/>
      <c r="O383" s="351"/>
      <c r="P383" s="644"/>
      <c r="Q383" s="350"/>
      <c r="R383" s="350"/>
      <c r="S383" s="351"/>
      <c r="T383" s="643"/>
      <c r="U383" s="350"/>
      <c r="V383" s="350"/>
      <c r="W383" s="351"/>
      <c r="X383" s="644"/>
      <c r="Y383" s="350"/>
      <c r="Z383" s="350"/>
      <c r="AA383" s="351"/>
      <c r="AB383" s="506"/>
      <c r="AC383" s="350"/>
      <c r="AD383" s="351"/>
      <c r="AE383" s="571"/>
      <c r="AF383" s="350"/>
      <c r="AG383" s="351"/>
      <c r="AH383" s="645"/>
      <c r="AI383" s="350"/>
      <c r="AJ383" s="351"/>
      <c r="AK383" s="567"/>
      <c r="AL383" s="350"/>
      <c r="AM383" s="351"/>
      <c r="AN383" s="58"/>
      <c r="AO383" s="59"/>
      <c r="AP383" s="58"/>
      <c r="AQ383" s="59"/>
      <c r="AR383" s="58"/>
      <c r="AS383" s="59"/>
      <c r="AT383" s="58"/>
      <c r="AU383" s="59"/>
      <c r="AV383" s="58"/>
      <c r="AW383" s="59"/>
      <c r="AX383" s="58"/>
      <c r="AY383" s="59"/>
      <c r="AZ383" s="64"/>
      <c r="BA383" s="61"/>
      <c r="BB383" s="64"/>
      <c r="BC383" s="61"/>
      <c r="BD383" s="64"/>
      <c r="BE383" s="61"/>
      <c r="BF383" s="64"/>
      <c r="BG383" s="61"/>
      <c r="BH383" s="64"/>
      <c r="BI383" s="646" t="s">
        <v>298</v>
      </c>
      <c r="BJ383" s="350"/>
      <c r="BK383" s="350"/>
      <c r="BL383" s="350"/>
      <c r="BM383" s="350"/>
      <c r="BN383" s="350"/>
      <c r="BO383" s="350"/>
      <c r="BP383" s="350"/>
      <c r="BQ383" s="350"/>
      <c r="BR383" s="350"/>
      <c r="BS383" s="350"/>
      <c r="BT383" s="350"/>
      <c r="BU383" s="350"/>
      <c r="BV383" s="351"/>
    </row>
    <row r="384" spans="1:74" ht="30" customHeight="1">
      <c r="A384" s="63">
        <f t="shared" si="1"/>
        <v>370</v>
      </c>
      <c r="B384" s="56" t="s">
        <v>325</v>
      </c>
      <c r="C384" s="57"/>
      <c r="D384" s="644"/>
      <c r="E384" s="350"/>
      <c r="F384" s="350"/>
      <c r="G384" s="350"/>
      <c r="H384" s="350"/>
      <c r="I384" s="350"/>
      <c r="J384" s="350"/>
      <c r="K384" s="351"/>
      <c r="L384" s="643"/>
      <c r="M384" s="350"/>
      <c r="N384" s="350"/>
      <c r="O384" s="351"/>
      <c r="P384" s="644"/>
      <c r="Q384" s="350"/>
      <c r="R384" s="350"/>
      <c r="S384" s="351"/>
      <c r="T384" s="643"/>
      <c r="U384" s="350"/>
      <c r="V384" s="350"/>
      <c r="W384" s="351"/>
      <c r="X384" s="644"/>
      <c r="Y384" s="350"/>
      <c r="Z384" s="350"/>
      <c r="AA384" s="351"/>
      <c r="AB384" s="506"/>
      <c r="AC384" s="350"/>
      <c r="AD384" s="351"/>
      <c r="AE384" s="571"/>
      <c r="AF384" s="350"/>
      <c r="AG384" s="351"/>
      <c r="AH384" s="645"/>
      <c r="AI384" s="350"/>
      <c r="AJ384" s="351"/>
      <c r="AK384" s="567"/>
      <c r="AL384" s="350"/>
      <c r="AM384" s="351"/>
      <c r="AN384" s="58"/>
      <c r="AO384" s="59"/>
      <c r="AP384" s="58"/>
      <c r="AQ384" s="59"/>
      <c r="AR384" s="58"/>
      <c r="AS384" s="59"/>
      <c r="AT384" s="58"/>
      <c r="AU384" s="59"/>
      <c r="AV384" s="58"/>
      <c r="AW384" s="59"/>
      <c r="AX384" s="58"/>
      <c r="AY384" s="59"/>
      <c r="AZ384" s="64"/>
      <c r="BA384" s="61"/>
      <c r="BB384" s="64"/>
      <c r="BC384" s="61"/>
      <c r="BD384" s="64"/>
      <c r="BE384" s="61"/>
      <c r="BF384" s="64"/>
      <c r="BG384" s="61"/>
      <c r="BH384" s="64"/>
      <c r="BI384" s="646" t="s">
        <v>298</v>
      </c>
      <c r="BJ384" s="350"/>
      <c r="BK384" s="350"/>
      <c r="BL384" s="350"/>
      <c r="BM384" s="350"/>
      <c r="BN384" s="350"/>
      <c r="BO384" s="350"/>
      <c r="BP384" s="350"/>
      <c r="BQ384" s="350"/>
      <c r="BR384" s="350"/>
      <c r="BS384" s="350"/>
      <c r="BT384" s="350"/>
      <c r="BU384" s="350"/>
      <c r="BV384" s="351"/>
    </row>
    <row r="385" spans="1:74" ht="30" customHeight="1">
      <c r="A385" s="63">
        <f t="shared" si="1"/>
        <v>371</v>
      </c>
      <c r="B385" s="56" t="s">
        <v>325</v>
      </c>
      <c r="C385" s="57"/>
      <c r="D385" s="644"/>
      <c r="E385" s="350"/>
      <c r="F385" s="350"/>
      <c r="G385" s="350"/>
      <c r="H385" s="350"/>
      <c r="I385" s="350"/>
      <c r="J385" s="350"/>
      <c r="K385" s="351"/>
      <c r="L385" s="643"/>
      <c r="M385" s="350"/>
      <c r="N385" s="350"/>
      <c r="O385" s="351"/>
      <c r="P385" s="644"/>
      <c r="Q385" s="350"/>
      <c r="R385" s="350"/>
      <c r="S385" s="351"/>
      <c r="T385" s="643"/>
      <c r="U385" s="350"/>
      <c r="V385" s="350"/>
      <c r="W385" s="351"/>
      <c r="X385" s="644"/>
      <c r="Y385" s="350"/>
      <c r="Z385" s="350"/>
      <c r="AA385" s="351"/>
      <c r="AB385" s="506"/>
      <c r="AC385" s="350"/>
      <c r="AD385" s="351"/>
      <c r="AE385" s="571"/>
      <c r="AF385" s="350"/>
      <c r="AG385" s="351"/>
      <c r="AH385" s="645"/>
      <c r="AI385" s="350"/>
      <c r="AJ385" s="351"/>
      <c r="AK385" s="567"/>
      <c r="AL385" s="350"/>
      <c r="AM385" s="351"/>
      <c r="AN385" s="58"/>
      <c r="AO385" s="59"/>
      <c r="AP385" s="58"/>
      <c r="AQ385" s="59"/>
      <c r="AR385" s="58"/>
      <c r="AS385" s="59"/>
      <c r="AT385" s="58"/>
      <c r="AU385" s="59"/>
      <c r="AV385" s="58"/>
      <c r="AW385" s="59"/>
      <c r="AX385" s="58"/>
      <c r="AY385" s="59"/>
      <c r="AZ385" s="64"/>
      <c r="BA385" s="61"/>
      <c r="BB385" s="64"/>
      <c r="BC385" s="61"/>
      <c r="BD385" s="64"/>
      <c r="BE385" s="61"/>
      <c r="BF385" s="64"/>
      <c r="BG385" s="61"/>
      <c r="BH385" s="64"/>
      <c r="BI385" s="646" t="s">
        <v>298</v>
      </c>
      <c r="BJ385" s="350"/>
      <c r="BK385" s="350"/>
      <c r="BL385" s="350"/>
      <c r="BM385" s="350"/>
      <c r="BN385" s="350"/>
      <c r="BO385" s="350"/>
      <c r="BP385" s="350"/>
      <c r="BQ385" s="350"/>
      <c r="BR385" s="350"/>
      <c r="BS385" s="350"/>
      <c r="BT385" s="350"/>
      <c r="BU385" s="350"/>
      <c r="BV385" s="351"/>
    </row>
    <row r="386" spans="1:74" ht="30" customHeight="1">
      <c r="A386" s="63">
        <f t="shared" si="1"/>
        <v>372</v>
      </c>
      <c r="B386" s="56" t="s">
        <v>325</v>
      </c>
      <c r="C386" s="57"/>
      <c r="D386" s="644"/>
      <c r="E386" s="350"/>
      <c r="F386" s="350"/>
      <c r="G386" s="350"/>
      <c r="H386" s="350"/>
      <c r="I386" s="350"/>
      <c r="J386" s="350"/>
      <c r="K386" s="351"/>
      <c r="L386" s="643"/>
      <c r="M386" s="350"/>
      <c r="N386" s="350"/>
      <c r="O386" s="351"/>
      <c r="P386" s="644"/>
      <c r="Q386" s="350"/>
      <c r="R386" s="350"/>
      <c r="S386" s="351"/>
      <c r="T386" s="643"/>
      <c r="U386" s="350"/>
      <c r="V386" s="350"/>
      <c r="W386" s="351"/>
      <c r="X386" s="644"/>
      <c r="Y386" s="350"/>
      <c r="Z386" s="350"/>
      <c r="AA386" s="351"/>
      <c r="AB386" s="506"/>
      <c r="AC386" s="350"/>
      <c r="AD386" s="351"/>
      <c r="AE386" s="571"/>
      <c r="AF386" s="350"/>
      <c r="AG386" s="351"/>
      <c r="AH386" s="645"/>
      <c r="AI386" s="350"/>
      <c r="AJ386" s="351"/>
      <c r="AK386" s="567"/>
      <c r="AL386" s="350"/>
      <c r="AM386" s="351"/>
      <c r="AN386" s="58"/>
      <c r="AO386" s="59"/>
      <c r="AP386" s="58"/>
      <c r="AQ386" s="59"/>
      <c r="AR386" s="58"/>
      <c r="AS386" s="59"/>
      <c r="AT386" s="58"/>
      <c r="AU386" s="59"/>
      <c r="AV386" s="58"/>
      <c r="AW386" s="59"/>
      <c r="AX386" s="58"/>
      <c r="AY386" s="59"/>
      <c r="AZ386" s="64"/>
      <c r="BA386" s="61"/>
      <c r="BB386" s="64"/>
      <c r="BC386" s="61"/>
      <c r="BD386" s="64"/>
      <c r="BE386" s="61"/>
      <c r="BF386" s="64"/>
      <c r="BG386" s="61"/>
      <c r="BH386" s="64"/>
      <c r="BI386" s="646" t="s">
        <v>298</v>
      </c>
      <c r="BJ386" s="350"/>
      <c r="BK386" s="350"/>
      <c r="BL386" s="350"/>
      <c r="BM386" s="350"/>
      <c r="BN386" s="350"/>
      <c r="BO386" s="350"/>
      <c r="BP386" s="350"/>
      <c r="BQ386" s="350"/>
      <c r="BR386" s="350"/>
      <c r="BS386" s="350"/>
      <c r="BT386" s="350"/>
      <c r="BU386" s="350"/>
      <c r="BV386" s="351"/>
    </row>
    <row r="387" spans="1:74" ht="30" customHeight="1">
      <c r="A387" s="63">
        <f t="shared" si="1"/>
        <v>373</v>
      </c>
      <c r="B387" s="56" t="s">
        <v>325</v>
      </c>
      <c r="C387" s="57"/>
      <c r="D387" s="644"/>
      <c r="E387" s="350"/>
      <c r="F387" s="350"/>
      <c r="G387" s="350"/>
      <c r="H387" s="350"/>
      <c r="I387" s="350"/>
      <c r="J387" s="350"/>
      <c r="K387" s="351"/>
      <c r="L387" s="643"/>
      <c r="M387" s="350"/>
      <c r="N387" s="350"/>
      <c r="O387" s="351"/>
      <c r="P387" s="644"/>
      <c r="Q387" s="350"/>
      <c r="R387" s="350"/>
      <c r="S387" s="351"/>
      <c r="T387" s="643"/>
      <c r="U387" s="350"/>
      <c r="V387" s="350"/>
      <c r="W387" s="351"/>
      <c r="X387" s="644"/>
      <c r="Y387" s="350"/>
      <c r="Z387" s="350"/>
      <c r="AA387" s="351"/>
      <c r="AB387" s="506"/>
      <c r="AC387" s="350"/>
      <c r="AD387" s="351"/>
      <c r="AE387" s="571"/>
      <c r="AF387" s="350"/>
      <c r="AG387" s="351"/>
      <c r="AH387" s="645"/>
      <c r="AI387" s="350"/>
      <c r="AJ387" s="351"/>
      <c r="AK387" s="567"/>
      <c r="AL387" s="350"/>
      <c r="AM387" s="351"/>
      <c r="AN387" s="58"/>
      <c r="AO387" s="59"/>
      <c r="AP387" s="58"/>
      <c r="AQ387" s="59"/>
      <c r="AR387" s="58"/>
      <c r="AS387" s="59"/>
      <c r="AT387" s="58"/>
      <c r="AU387" s="59"/>
      <c r="AV387" s="58"/>
      <c r="AW387" s="59"/>
      <c r="AX387" s="58"/>
      <c r="AY387" s="59"/>
      <c r="AZ387" s="64"/>
      <c r="BA387" s="61"/>
      <c r="BB387" s="64"/>
      <c r="BC387" s="61"/>
      <c r="BD387" s="64"/>
      <c r="BE387" s="61"/>
      <c r="BF387" s="64"/>
      <c r="BG387" s="61"/>
      <c r="BH387" s="64"/>
      <c r="BI387" s="646" t="s">
        <v>298</v>
      </c>
      <c r="BJ387" s="350"/>
      <c r="BK387" s="350"/>
      <c r="BL387" s="350"/>
      <c r="BM387" s="350"/>
      <c r="BN387" s="350"/>
      <c r="BO387" s="350"/>
      <c r="BP387" s="350"/>
      <c r="BQ387" s="350"/>
      <c r="BR387" s="350"/>
      <c r="BS387" s="350"/>
      <c r="BT387" s="350"/>
      <c r="BU387" s="350"/>
      <c r="BV387" s="351"/>
    </row>
    <row r="388" spans="1:74" ht="30" customHeight="1">
      <c r="A388" s="63">
        <f t="shared" si="1"/>
        <v>374</v>
      </c>
      <c r="B388" s="56" t="s">
        <v>325</v>
      </c>
      <c r="C388" s="57"/>
      <c r="D388" s="644"/>
      <c r="E388" s="350"/>
      <c r="F388" s="350"/>
      <c r="G388" s="350"/>
      <c r="H388" s="350"/>
      <c r="I388" s="350"/>
      <c r="J388" s="350"/>
      <c r="K388" s="351"/>
      <c r="L388" s="643"/>
      <c r="M388" s="350"/>
      <c r="N388" s="350"/>
      <c r="O388" s="351"/>
      <c r="P388" s="644"/>
      <c r="Q388" s="350"/>
      <c r="R388" s="350"/>
      <c r="S388" s="351"/>
      <c r="T388" s="643"/>
      <c r="U388" s="350"/>
      <c r="V388" s="350"/>
      <c r="W388" s="351"/>
      <c r="X388" s="644"/>
      <c r="Y388" s="350"/>
      <c r="Z388" s="350"/>
      <c r="AA388" s="351"/>
      <c r="AB388" s="506"/>
      <c r="AC388" s="350"/>
      <c r="AD388" s="351"/>
      <c r="AE388" s="571"/>
      <c r="AF388" s="350"/>
      <c r="AG388" s="351"/>
      <c r="AH388" s="645"/>
      <c r="AI388" s="350"/>
      <c r="AJ388" s="351"/>
      <c r="AK388" s="567"/>
      <c r="AL388" s="350"/>
      <c r="AM388" s="351"/>
      <c r="AN388" s="58"/>
      <c r="AO388" s="59"/>
      <c r="AP388" s="58"/>
      <c r="AQ388" s="59"/>
      <c r="AR388" s="58"/>
      <c r="AS388" s="59"/>
      <c r="AT388" s="58"/>
      <c r="AU388" s="59"/>
      <c r="AV388" s="58"/>
      <c r="AW388" s="59"/>
      <c r="AX388" s="58"/>
      <c r="AY388" s="59"/>
      <c r="AZ388" s="64"/>
      <c r="BA388" s="61"/>
      <c r="BB388" s="64"/>
      <c r="BC388" s="61"/>
      <c r="BD388" s="64"/>
      <c r="BE388" s="61"/>
      <c r="BF388" s="64"/>
      <c r="BG388" s="61"/>
      <c r="BH388" s="64"/>
      <c r="BI388" s="646" t="s">
        <v>294</v>
      </c>
      <c r="BJ388" s="350"/>
      <c r="BK388" s="350"/>
      <c r="BL388" s="350"/>
      <c r="BM388" s="350"/>
      <c r="BN388" s="350"/>
      <c r="BO388" s="350"/>
      <c r="BP388" s="350"/>
      <c r="BQ388" s="350"/>
      <c r="BR388" s="350"/>
      <c r="BS388" s="350"/>
      <c r="BT388" s="350"/>
      <c r="BU388" s="350"/>
      <c r="BV388" s="351"/>
    </row>
    <row r="389" spans="1:74" ht="30" customHeight="1">
      <c r="A389" s="63">
        <f t="shared" si="1"/>
        <v>375</v>
      </c>
      <c r="B389" s="56" t="s">
        <v>325</v>
      </c>
      <c r="C389" s="57"/>
      <c r="D389" s="644"/>
      <c r="E389" s="350"/>
      <c r="F389" s="350"/>
      <c r="G389" s="350"/>
      <c r="H389" s="350"/>
      <c r="I389" s="350"/>
      <c r="J389" s="350"/>
      <c r="K389" s="351"/>
      <c r="L389" s="643"/>
      <c r="M389" s="350"/>
      <c r="N389" s="350"/>
      <c r="O389" s="351"/>
      <c r="P389" s="644"/>
      <c r="Q389" s="350"/>
      <c r="R389" s="350"/>
      <c r="S389" s="351"/>
      <c r="T389" s="643"/>
      <c r="U389" s="350"/>
      <c r="V389" s="350"/>
      <c r="W389" s="351"/>
      <c r="X389" s="644"/>
      <c r="Y389" s="350"/>
      <c r="Z389" s="350"/>
      <c r="AA389" s="351"/>
      <c r="AB389" s="506"/>
      <c r="AC389" s="350"/>
      <c r="AD389" s="351"/>
      <c r="AE389" s="571"/>
      <c r="AF389" s="350"/>
      <c r="AG389" s="351"/>
      <c r="AH389" s="645"/>
      <c r="AI389" s="350"/>
      <c r="AJ389" s="351"/>
      <c r="AK389" s="567"/>
      <c r="AL389" s="350"/>
      <c r="AM389" s="351"/>
      <c r="AN389" s="58"/>
      <c r="AO389" s="59"/>
      <c r="AP389" s="58"/>
      <c r="AQ389" s="59"/>
      <c r="AR389" s="58"/>
      <c r="AS389" s="59"/>
      <c r="AT389" s="58"/>
      <c r="AU389" s="59"/>
      <c r="AV389" s="58"/>
      <c r="AW389" s="59"/>
      <c r="AX389" s="58"/>
      <c r="AY389" s="59"/>
      <c r="AZ389" s="64"/>
      <c r="BA389" s="61"/>
      <c r="BB389" s="64"/>
      <c r="BC389" s="61"/>
      <c r="BD389" s="64"/>
      <c r="BE389" s="61"/>
      <c r="BF389" s="64"/>
      <c r="BG389" s="61"/>
      <c r="BH389" s="64"/>
      <c r="BI389" s="646" t="s">
        <v>294</v>
      </c>
      <c r="BJ389" s="350"/>
      <c r="BK389" s="350"/>
      <c r="BL389" s="350"/>
      <c r="BM389" s="350"/>
      <c r="BN389" s="350"/>
      <c r="BO389" s="350"/>
      <c r="BP389" s="350"/>
      <c r="BQ389" s="350"/>
      <c r="BR389" s="350"/>
      <c r="BS389" s="350"/>
      <c r="BT389" s="350"/>
      <c r="BU389" s="350"/>
      <c r="BV389" s="351"/>
    </row>
    <row r="390" spans="1:74" ht="30" customHeight="1">
      <c r="A390" s="55">
        <f t="shared" si="1"/>
        <v>376</v>
      </c>
      <c r="B390" s="56" t="s">
        <v>325</v>
      </c>
      <c r="C390" s="57"/>
      <c r="D390" s="644"/>
      <c r="E390" s="350"/>
      <c r="F390" s="350"/>
      <c r="G390" s="350"/>
      <c r="H390" s="350"/>
      <c r="I390" s="350"/>
      <c r="J390" s="350"/>
      <c r="K390" s="351"/>
      <c r="L390" s="643"/>
      <c r="M390" s="350"/>
      <c r="N390" s="350"/>
      <c r="O390" s="351"/>
      <c r="P390" s="644"/>
      <c r="Q390" s="350"/>
      <c r="R390" s="350"/>
      <c r="S390" s="351"/>
      <c r="T390" s="643"/>
      <c r="U390" s="350"/>
      <c r="V390" s="350"/>
      <c r="W390" s="351"/>
      <c r="X390" s="644"/>
      <c r="Y390" s="350"/>
      <c r="Z390" s="350"/>
      <c r="AA390" s="351"/>
      <c r="AB390" s="506"/>
      <c r="AC390" s="350"/>
      <c r="AD390" s="351"/>
      <c r="AE390" s="571"/>
      <c r="AF390" s="350"/>
      <c r="AG390" s="351"/>
      <c r="AH390" s="645"/>
      <c r="AI390" s="350"/>
      <c r="AJ390" s="351"/>
      <c r="AK390" s="567"/>
      <c r="AL390" s="350"/>
      <c r="AM390" s="351"/>
      <c r="AN390" s="58"/>
      <c r="AO390" s="59"/>
      <c r="AP390" s="58"/>
      <c r="AQ390" s="59"/>
      <c r="AR390" s="58"/>
      <c r="AS390" s="59"/>
      <c r="AT390" s="58"/>
      <c r="AU390" s="59"/>
      <c r="AV390" s="58"/>
      <c r="AW390" s="59"/>
      <c r="AX390" s="58"/>
      <c r="AY390" s="59"/>
      <c r="AZ390" s="64"/>
      <c r="BA390" s="61"/>
      <c r="BB390" s="64"/>
      <c r="BC390" s="61"/>
      <c r="BD390" s="64"/>
      <c r="BE390" s="61"/>
      <c r="BF390" s="64"/>
      <c r="BG390" s="61"/>
      <c r="BH390" s="64"/>
      <c r="BI390" s="646" t="s">
        <v>298</v>
      </c>
      <c r="BJ390" s="350"/>
      <c r="BK390" s="350"/>
      <c r="BL390" s="350"/>
      <c r="BM390" s="350"/>
      <c r="BN390" s="350"/>
      <c r="BO390" s="350"/>
      <c r="BP390" s="350"/>
      <c r="BQ390" s="350"/>
      <c r="BR390" s="350"/>
      <c r="BS390" s="350"/>
      <c r="BT390" s="350"/>
      <c r="BU390" s="350"/>
      <c r="BV390" s="351"/>
    </row>
    <row r="391" spans="1:74" ht="30" customHeight="1">
      <c r="A391" s="63">
        <f t="shared" si="1"/>
        <v>377</v>
      </c>
      <c r="B391" s="56" t="s">
        <v>325</v>
      </c>
      <c r="C391" s="57"/>
      <c r="D391" s="644"/>
      <c r="E391" s="350"/>
      <c r="F391" s="350"/>
      <c r="G391" s="350"/>
      <c r="H391" s="350"/>
      <c r="I391" s="350"/>
      <c r="J391" s="350"/>
      <c r="K391" s="351"/>
      <c r="L391" s="643"/>
      <c r="M391" s="350"/>
      <c r="N391" s="350"/>
      <c r="O391" s="351"/>
      <c r="P391" s="644"/>
      <c r="Q391" s="350"/>
      <c r="R391" s="350"/>
      <c r="S391" s="351"/>
      <c r="T391" s="643"/>
      <c r="U391" s="350"/>
      <c r="V391" s="350"/>
      <c r="W391" s="351"/>
      <c r="X391" s="644"/>
      <c r="Y391" s="350"/>
      <c r="Z391" s="350"/>
      <c r="AA391" s="351"/>
      <c r="AB391" s="506"/>
      <c r="AC391" s="350"/>
      <c r="AD391" s="351"/>
      <c r="AE391" s="571"/>
      <c r="AF391" s="350"/>
      <c r="AG391" s="351"/>
      <c r="AH391" s="645"/>
      <c r="AI391" s="350"/>
      <c r="AJ391" s="351"/>
      <c r="AK391" s="567"/>
      <c r="AL391" s="350"/>
      <c r="AM391" s="351"/>
      <c r="AN391" s="58"/>
      <c r="AO391" s="59"/>
      <c r="AP391" s="58"/>
      <c r="AQ391" s="59"/>
      <c r="AR391" s="58"/>
      <c r="AS391" s="59"/>
      <c r="AT391" s="58"/>
      <c r="AU391" s="59"/>
      <c r="AV391" s="58"/>
      <c r="AW391" s="59"/>
      <c r="AX391" s="58"/>
      <c r="AY391" s="59"/>
      <c r="AZ391" s="64"/>
      <c r="BA391" s="61"/>
      <c r="BB391" s="64"/>
      <c r="BC391" s="61"/>
      <c r="BD391" s="64"/>
      <c r="BE391" s="61"/>
      <c r="BF391" s="64"/>
      <c r="BG391" s="61"/>
      <c r="BH391" s="64"/>
      <c r="BI391" s="646" t="s">
        <v>298</v>
      </c>
      <c r="BJ391" s="350"/>
      <c r="BK391" s="350"/>
      <c r="BL391" s="350"/>
      <c r="BM391" s="350"/>
      <c r="BN391" s="350"/>
      <c r="BO391" s="350"/>
      <c r="BP391" s="350"/>
      <c r="BQ391" s="350"/>
      <c r="BR391" s="350"/>
      <c r="BS391" s="350"/>
      <c r="BT391" s="350"/>
      <c r="BU391" s="350"/>
      <c r="BV391" s="351"/>
    </row>
    <row r="392" spans="1:74" ht="30" customHeight="1">
      <c r="A392" s="63">
        <f t="shared" si="1"/>
        <v>378</v>
      </c>
      <c r="B392" s="56" t="s">
        <v>325</v>
      </c>
      <c r="C392" s="57"/>
      <c r="D392" s="644"/>
      <c r="E392" s="350"/>
      <c r="F392" s="350"/>
      <c r="G392" s="350"/>
      <c r="H392" s="350"/>
      <c r="I392" s="350"/>
      <c r="J392" s="350"/>
      <c r="K392" s="351"/>
      <c r="L392" s="643"/>
      <c r="M392" s="350"/>
      <c r="N392" s="350"/>
      <c r="O392" s="351"/>
      <c r="P392" s="644"/>
      <c r="Q392" s="350"/>
      <c r="R392" s="350"/>
      <c r="S392" s="351"/>
      <c r="T392" s="643"/>
      <c r="U392" s="350"/>
      <c r="V392" s="350"/>
      <c r="W392" s="351"/>
      <c r="X392" s="644"/>
      <c r="Y392" s="350"/>
      <c r="Z392" s="350"/>
      <c r="AA392" s="351"/>
      <c r="AB392" s="506"/>
      <c r="AC392" s="350"/>
      <c r="AD392" s="351"/>
      <c r="AE392" s="571"/>
      <c r="AF392" s="350"/>
      <c r="AG392" s="351"/>
      <c r="AH392" s="645"/>
      <c r="AI392" s="350"/>
      <c r="AJ392" s="351"/>
      <c r="AK392" s="567"/>
      <c r="AL392" s="350"/>
      <c r="AM392" s="351"/>
      <c r="AN392" s="58"/>
      <c r="AO392" s="59"/>
      <c r="AP392" s="58"/>
      <c r="AQ392" s="59"/>
      <c r="AR392" s="58"/>
      <c r="AS392" s="59"/>
      <c r="AT392" s="58"/>
      <c r="AU392" s="59"/>
      <c r="AV392" s="58"/>
      <c r="AW392" s="59"/>
      <c r="AX392" s="58"/>
      <c r="AY392" s="59"/>
      <c r="AZ392" s="64"/>
      <c r="BA392" s="61"/>
      <c r="BB392" s="64"/>
      <c r="BC392" s="61"/>
      <c r="BD392" s="64"/>
      <c r="BE392" s="61"/>
      <c r="BF392" s="64"/>
      <c r="BG392" s="61"/>
      <c r="BH392" s="64"/>
      <c r="BI392" s="646" t="s">
        <v>298</v>
      </c>
      <c r="BJ392" s="350"/>
      <c r="BK392" s="350"/>
      <c r="BL392" s="350"/>
      <c r="BM392" s="350"/>
      <c r="BN392" s="350"/>
      <c r="BO392" s="350"/>
      <c r="BP392" s="350"/>
      <c r="BQ392" s="350"/>
      <c r="BR392" s="350"/>
      <c r="BS392" s="350"/>
      <c r="BT392" s="350"/>
      <c r="BU392" s="350"/>
      <c r="BV392" s="351"/>
    </row>
    <row r="393" spans="1:74" ht="30" customHeight="1">
      <c r="A393" s="63">
        <f t="shared" si="1"/>
        <v>379</v>
      </c>
      <c r="B393" s="56" t="s">
        <v>325</v>
      </c>
      <c r="C393" s="57"/>
      <c r="D393" s="644"/>
      <c r="E393" s="350"/>
      <c r="F393" s="350"/>
      <c r="G393" s="350"/>
      <c r="H393" s="350"/>
      <c r="I393" s="350"/>
      <c r="J393" s="350"/>
      <c r="K393" s="351"/>
      <c r="L393" s="643"/>
      <c r="M393" s="350"/>
      <c r="N393" s="350"/>
      <c r="O393" s="351"/>
      <c r="P393" s="644"/>
      <c r="Q393" s="350"/>
      <c r="R393" s="350"/>
      <c r="S393" s="351"/>
      <c r="T393" s="643"/>
      <c r="U393" s="350"/>
      <c r="V393" s="350"/>
      <c r="W393" s="351"/>
      <c r="X393" s="644"/>
      <c r="Y393" s="350"/>
      <c r="Z393" s="350"/>
      <c r="AA393" s="351"/>
      <c r="AB393" s="506"/>
      <c r="AC393" s="350"/>
      <c r="AD393" s="351"/>
      <c r="AE393" s="571"/>
      <c r="AF393" s="350"/>
      <c r="AG393" s="351"/>
      <c r="AH393" s="645"/>
      <c r="AI393" s="350"/>
      <c r="AJ393" s="351"/>
      <c r="AK393" s="567"/>
      <c r="AL393" s="350"/>
      <c r="AM393" s="351"/>
      <c r="AN393" s="58"/>
      <c r="AO393" s="59"/>
      <c r="AP393" s="58"/>
      <c r="AQ393" s="59"/>
      <c r="AR393" s="58"/>
      <c r="AS393" s="59"/>
      <c r="AT393" s="58"/>
      <c r="AU393" s="59"/>
      <c r="AV393" s="58"/>
      <c r="AW393" s="59"/>
      <c r="AX393" s="58"/>
      <c r="AY393" s="59"/>
      <c r="AZ393" s="64"/>
      <c r="BA393" s="61"/>
      <c r="BB393" s="64"/>
      <c r="BC393" s="61"/>
      <c r="BD393" s="64"/>
      <c r="BE393" s="61"/>
      <c r="BF393" s="64"/>
      <c r="BG393" s="61"/>
      <c r="BH393" s="64"/>
      <c r="BI393" s="646" t="s">
        <v>298</v>
      </c>
      <c r="BJ393" s="350"/>
      <c r="BK393" s="350"/>
      <c r="BL393" s="350"/>
      <c r="BM393" s="350"/>
      <c r="BN393" s="350"/>
      <c r="BO393" s="350"/>
      <c r="BP393" s="350"/>
      <c r="BQ393" s="350"/>
      <c r="BR393" s="350"/>
      <c r="BS393" s="350"/>
      <c r="BT393" s="350"/>
      <c r="BU393" s="350"/>
      <c r="BV393" s="351"/>
    </row>
    <row r="394" spans="1:74" ht="30" customHeight="1">
      <c r="A394" s="63">
        <f t="shared" si="1"/>
        <v>380</v>
      </c>
      <c r="B394" s="56" t="s">
        <v>325</v>
      </c>
      <c r="C394" s="57"/>
      <c r="D394" s="644"/>
      <c r="E394" s="350"/>
      <c r="F394" s="350"/>
      <c r="G394" s="350"/>
      <c r="H394" s="350"/>
      <c r="I394" s="350"/>
      <c r="J394" s="350"/>
      <c r="K394" s="351"/>
      <c r="L394" s="643"/>
      <c r="M394" s="350"/>
      <c r="N394" s="350"/>
      <c r="O394" s="351"/>
      <c r="P394" s="644"/>
      <c r="Q394" s="350"/>
      <c r="R394" s="350"/>
      <c r="S394" s="351"/>
      <c r="T394" s="643"/>
      <c r="U394" s="350"/>
      <c r="V394" s="350"/>
      <c r="W394" s="351"/>
      <c r="X394" s="644"/>
      <c r="Y394" s="350"/>
      <c r="Z394" s="350"/>
      <c r="AA394" s="351"/>
      <c r="AB394" s="506"/>
      <c r="AC394" s="350"/>
      <c r="AD394" s="351"/>
      <c r="AE394" s="571"/>
      <c r="AF394" s="350"/>
      <c r="AG394" s="351"/>
      <c r="AH394" s="645"/>
      <c r="AI394" s="350"/>
      <c r="AJ394" s="351"/>
      <c r="AK394" s="567"/>
      <c r="AL394" s="350"/>
      <c r="AM394" s="351"/>
      <c r="AN394" s="58"/>
      <c r="AO394" s="59"/>
      <c r="AP394" s="58"/>
      <c r="AQ394" s="59"/>
      <c r="AR394" s="58"/>
      <c r="AS394" s="59"/>
      <c r="AT394" s="58"/>
      <c r="AU394" s="59"/>
      <c r="AV394" s="58"/>
      <c r="AW394" s="59"/>
      <c r="AX394" s="58"/>
      <c r="AY394" s="59"/>
      <c r="AZ394" s="64"/>
      <c r="BA394" s="61"/>
      <c r="BB394" s="64"/>
      <c r="BC394" s="61"/>
      <c r="BD394" s="64"/>
      <c r="BE394" s="61"/>
      <c r="BF394" s="64"/>
      <c r="BG394" s="61"/>
      <c r="BH394" s="64"/>
      <c r="BI394" s="646" t="s">
        <v>298</v>
      </c>
      <c r="BJ394" s="350"/>
      <c r="BK394" s="350"/>
      <c r="BL394" s="350"/>
      <c r="BM394" s="350"/>
      <c r="BN394" s="350"/>
      <c r="BO394" s="350"/>
      <c r="BP394" s="350"/>
      <c r="BQ394" s="350"/>
      <c r="BR394" s="350"/>
      <c r="BS394" s="350"/>
      <c r="BT394" s="350"/>
      <c r="BU394" s="350"/>
      <c r="BV394" s="351"/>
    </row>
    <row r="395" spans="1:74" ht="30" customHeight="1">
      <c r="A395" s="63">
        <f t="shared" si="1"/>
        <v>381</v>
      </c>
      <c r="B395" s="56" t="s">
        <v>325</v>
      </c>
      <c r="C395" s="57"/>
      <c r="D395" s="644"/>
      <c r="E395" s="350"/>
      <c r="F395" s="350"/>
      <c r="G395" s="350"/>
      <c r="H395" s="350"/>
      <c r="I395" s="350"/>
      <c r="J395" s="350"/>
      <c r="K395" s="351"/>
      <c r="L395" s="643"/>
      <c r="M395" s="350"/>
      <c r="N395" s="350"/>
      <c r="O395" s="351"/>
      <c r="P395" s="644"/>
      <c r="Q395" s="350"/>
      <c r="R395" s="350"/>
      <c r="S395" s="351"/>
      <c r="T395" s="643"/>
      <c r="U395" s="350"/>
      <c r="V395" s="350"/>
      <c r="W395" s="351"/>
      <c r="X395" s="644"/>
      <c r="Y395" s="350"/>
      <c r="Z395" s="350"/>
      <c r="AA395" s="351"/>
      <c r="AB395" s="506"/>
      <c r="AC395" s="350"/>
      <c r="AD395" s="351"/>
      <c r="AE395" s="571"/>
      <c r="AF395" s="350"/>
      <c r="AG395" s="351"/>
      <c r="AH395" s="645"/>
      <c r="AI395" s="350"/>
      <c r="AJ395" s="351"/>
      <c r="AK395" s="567"/>
      <c r="AL395" s="350"/>
      <c r="AM395" s="351"/>
      <c r="AN395" s="58"/>
      <c r="AO395" s="59"/>
      <c r="AP395" s="58"/>
      <c r="AQ395" s="59"/>
      <c r="AR395" s="58"/>
      <c r="AS395" s="59"/>
      <c r="AT395" s="58"/>
      <c r="AU395" s="59"/>
      <c r="AV395" s="58"/>
      <c r="AW395" s="59"/>
      <c r="AX395" s="58"/>
      <c r="AY395" s="59"/>
      <c r="AZ395" s="64"/>
      <c r="BA395" s="61"/>
      <c r="BB395" s="64"/>
      <c r="BC395" s="61"/>
      <c r="BD395" s="64"/>
      <c r="BE395" s="61"/>
      <c r="BF395" s="64"/>
      <c r="BG395" s="61"/>
      <c r="BH395" s="64"/>
      <c r="BI395" s="646" t="s">
        <v>294</v>
      </c>
      <c r="BJ395" s="350"/>
      <c r="BK395" s="350"/>
      <c r="BL395" s="350"/>
      <c r="BM395" s="350"/>
      <c r="BN395" s="350"/>
      <c r="BO395" s="350"/>
      <c r="BP395" s="350"/>
      <c r="BQ395" s="350"/>
      <c r="BR395" s="350"/>
      <c r="BS395" s="350"/>
      <c r="BT395" s="350"/>
      <c r="BU395" s="350"/>
      <c r="BV395" s="351"/>
    </row>
    <row r="396" spans="1:74" ht="30" customHeight="1">
      <c r="A396" s="63">
        <f t="shared" si="1"/>
        <v>382</v>
      </c>
      <c r="B396" s="56" t="s">
        <v>325</v>
      </c>
      <c r="C396" s="57"/>
      <c r="D396" s="644"/>
      <c r="E396" s="350"/>
      <c r="F396" s="350"/>
      <c r="G396" s="350"/>
      <c r="H396" s="350"/>
      <c r="I396" s="350"/>
      <c r="J396" s="350"/>
      <c r="K396" s="351"/>
      <c r="L396" s="643"/>
      <c r="M396" s="350"/>
      <c r="N396" s="350"/>
      <c r="O396" s="351"/>
      <c r="P396" s="644"/>
      <c r="Q396" s="350"/>
      <c r="R396" s="350"/>
      <c r="S396" s="351"/>
      <c r="T396" s="643"/>
      <c r="U396" s="350"/>
      <c r="V396" s="350"/>
      <c r="W396" s="351"/>
      <c r="X396" s="644"/>
      <c r="Y396" s="350"/>
      <c r="Z396" s="350"/>
      <c r="AA396" s="351"/>
      <c r="AB396" s="506"/>
      <c r="AC396" s="350"/>
      <c r="AD396" s="351"/>
      <c r="AE396" s="571"/>
      <c r="AF396" s="350"/>
      <c r="AG396" s="351"/>
      <c r="AH396" s="645"/>
      <c r="AI396" s="350"/>
      <c r="AJ396" s="351"/>
      <c r="AK396" s="567"/>
      <c r="AL396" s="350"/>
      <c r="AM396" s="351"/>
      <c r="AN396" s="58"/>
      <c r="AO396" s="59"/>
      <c r="AP396" s="58"/>
      <c r="AQ396" s="59"/>
      <c r="AR396" s="58"/>
      <c r="AS396" s="59"/>
      <c r="AT396" s="58"/>
      <c r="AU396" s="59"/>
      <c r="AV396" s="58"/>
      <c r="AW396" s="59"/>
      <c r="AX396" s="58"/>
      <c r="AY396" s="59"/>
      <c r="AZ396" s="64"/>
      <c r="BA396" s="61"/>
      <c r="BB396" s="64"/>
      <c r="BC396" s="61"/>
      <c r="BD396" s="64"/>
      <c r="BE396" s="61"/>
      <c r="BF396" s="64"/>
      <c r="BG396" s="61"/>
      <c r="BH396" s="64"/>
      <c r="BI396" s="646" t="s">
        <v>294</v>
      </c>
      <c r="BJ396" s="350"/>
      <c r="BK396" s="350"/>
      <c r="BL396" s="350"/>
      <c r="BM396" s="350"/>
      <c r="BN396" s="350"/>
      <c r="BO396" s="350"/>
      <c r="BP396" s="350"/>
      <c r="BQ396" s="350"/>
      <c r="BR396" s="350"/>
      <c r="BS396" s="350"/>
      <c r="BT396" s="350"/>
      <c r="BU396" s="350"/>
      <c r="BV396" s="351"/>
    </row>
    <row r="397" spans="1:74" ht="30" customHeight="1">
      <c r="A397" s="55">
        <f t="shared" si="1"/>
        <v>383</v>
      </c>
      <c r="B397" s="56" t="s">
        <v>325</v>
      </c>
      <c r="C397" s="57"/>
      <c r="D397" s="644"/>
      <c r="E397" s="350"/>
      <c r="F397" s="350"/>
      <c r="G397" s="350"/>
      <c r="H397" s="350"/>
      <c r="I397" s="350"/>
      <c r="J397" s="350"/>
      <c r="K397" s="351"/>
      <c r="L397" s="643"/>
      <c r="M397" s="350"/>
      <c r="N397" s="350"/>
      <c r="O397" s="351"/>
      <c r="P397" s="644"/>
      <c r="Q397" s="350"/>
      <c r="R397" s="350"/>
      <c r="S397" s="351"/>
      <c r="T397" s="643"/>
      <c r="U397" s="350"/>
      <c r="V397" s="350"/>
      <c r="W397" s="351"/>
      <c r="X397" s="644"/>
      <c r="Y397" s="350"/>
      <c r="Z397" s="350"/>
      <c r="AA397" s="351"/>
      <c r="AB397" s="506"/>
      <c r="AC397" s="350"/>
      <c r="AD397" s="351"/>
      <c r="AE397" s="571"/>
      <c r="AF397" s="350"/>
      <c r="AG397" s="351"/>
      <c r="AH397" s="645"/>
      <c r="AI397" s="350"/>
      <c r="AJ397" s="351"/>
      <c r="AK397" s="567"/>
      <c r="AL397" s="350"/>
      <c r="AM397" s="351"/>
      <c r="AN397" s="58"/>
      <c r="AO397" s="59"/>
      <c r="AP397" s="58"/>
      <c r="AQ397" s="59"/>
      <c r="AR397" s="58"/>
      <c r="AS397" s="59"/>
      <c r="AT397" s="58"/>
      <c r="AU397" s="59"/>
      <c r="AV397" s="58"/>
      <c r="AW397" s="59"/>
      <c r="AX397" s="58"/>
      <c r="AY397" s="59"/>
      <c r="AZ397" s="64"/>
      <c r="BA397" s="61"/>
      <c r="BB397" s="64"/>
      <c r="BC397" s="61"/>
      <c r="BD397" s="64"/>
      <c r="BE397" s="61"/>
      <c r="BF397" s="64"/>
      <c r="BG397" s="61"/>
      <c r="BH397" s="64"/>
      <c r="BI397" s="646" t="s">
        <v>298</v>
      </c>
      <c r="BJ397" s="350"/>
      <c r="BK397" s="350"/>
      <c r="BL397" s="350"/>
      <c r="BM397" s="350"/>
      <c r="BN397" s="350"/>
      <c r="BO397" s="350"/>
      <c r="BP397" s="350"/>
      <c r="BQ397" s="350"/>
      <c r="BR397" s="350"/>
      <c r="BS397" s="350"/>
      <c r="BT397" s="350"/>
      <c r="BU397" s="350"/>
      <c r="BV397" s="351"/>
    </row>
    <row r="398" spans="1:74" ht="30" customHeight="1">
      <c r="A398" s="63">
        <f t="shared" si="1"/>
        <v>384</v>
      </c>
      <c r="B398" s="56" t="s">
        <v>325</v>
      </c>
      <c r="C398" s="57"/>
      <c r="D398" s="644"/>
      <c r="E398" s="350"/>
      <c r="F398" s="350"/>
      <c r="G398" s="350"/>
      <c r="H398" s="350"/>
      <c r="I398" s="350"/>
      <c r="J398" s="350"/>
      <c r="K398" s="351"/>
      <c r="L398" s="643"/>
      <c r="M398" s="350"/>
      <c r="N398" s="350"/>
      <c r="O398" s="351"/>
      <c r="P398" s="644"/>
      <c r="Q398" s="350"/>
      <c r="R398" s="350"/>
      <c r="S398" s="351"/>
      <c r="T398" s="643"/>
      <c r="U398" s="350"/>
      <c r="V398" s="350"/>
      <c r="W398" s="351"/>
      <c r="X398" s="644"/>
      <c r="Y398" s="350"/>
      <c r="Z398" s="350"/>
      <c r="AA398" s="351"/>
      <c r="AB398" s="506"/>
      <c r="AC398" s="350"/>
      <c r="AD398" s="351"/>
      <c r="AE398" s="571"/>
      <c r="AF398" s="350"/>
      <c r="AG398" s="351"/>
      <c r="AH398" s="645"/>
      <c r="AI398" s="350"/>
      <c r="AJ398" s="351"/>
      <c r="AK398" s="567"/>
      <c r="AL398" s="350"/>
      <c r="AM398" s="351"/>
      <c r="AN398" s="58"/>
      <c r="AO398" s="59"/>
      <c r="AP398" s="58"/>
      <c r="AQ398" s="59"/>
      <c r="AR398" s="58"/>
      <c r="AS398" s="59"/>
      <c r="AT398" s="58"/>
      <c r="AU398" s="59"/>
      <c r="AV398" s="58"/>
      <c r="AW398" s="59"/>
      <c r="AX398" s="58"/>
      <c r="AY398" s="59"/>
      <c r="AZ398" s="64"/>
      <c r="BA398" s="61"/>
      <c r="BB398" s="64"/>
      <c r="BC398" s="61"/>
      <c r="BD398" s="64"/>
      <c r="BE398" s="61"/>
      <c r="BF398" s="64"/>
      <c r="BG398" s="61"/>
      <c r="BH398" s="64"/>
      <c r="BI398" s="646" t="s">
        <v>298</v>
      </c>
      <c r="BJ398" s="350"/>
      <c r="BK398" s="350"/>
      <c r="BL398" s="350"/>
      <c r="BM398" s="350"/>
      <c r="BN398" s="350"/>
      <c r="BO398" s="350"/>
      <c r="BP398" s="350"/>
      <c r="BQ398" s="350"/>
      <c r="BR398" s="350"/>
      <c r="BS398" s="350"/>
      <c r="BT398" s="350"/>
      <c r="BU398" s="350"/>
      <c r="BV398" s="351"/>
    </row>
    <row r="399" spans="1:74" ht="30" customHeight="1">
      <c r="A399" s="63">
        <f t="shared" si="1"/>
        <v>385</v>
      </c>
      <c r="B399" s="56" t="s">
        <v>325</v>
      </c>
      <c r="C399" s="57"/>
      <c r="D399" s="644"/>
      <c r="E399" s="350"/>
      <c r="F399" s="350"/>
      <c r="G399" s="350"/>
      <c r="H399" s="350"/>
      <c r="I399" s="350"/>
      <c r="J399" s="350"/>
      <c r="K399" s="351"/>
      <c r="L399" s="643"/>
      <c r="M399" s="350"/>
      <c r="N399" s="350"/>
      <c r="O399" s="351"/>
      <c r="P399" s="644"/>
      <c r="Q399" s="350"/>
      <c r="R399" s="350"/>
      <c r="S399" s="351"/>
      <c r="T399" s="643"/>
      <c r="U399" s="350"/>
      <c r="V399" s="350"/>
      <c r="W399" s="351"/>
      <c r="X399" s="644"/>
      <c r="Y399" s="350"/>
      <c r="Z399" s="350"/>
      <c r="AA399" s="351"/>
      <c r="AB399" s="506"/>
      <c r="AC399" s="350"/>
      <c r="AD399" s="351"/>
      <c r="AE399" s="571"/>
      <c r="AF399" s="350"/>
      <c r="AG399" s="351"/>
      <c r="AH399" s="645"/>
      <c r="AI399" s="350"/>
      <c r="AJ399" s="351"/>
      <c r="AK399" s="567"/>
      <c r="AL399" s="350"/>
      <c r="AM399" s="351"/>
      <c r="AN399" s="58"/>
      <c r="AO399" s="59"/>
      <c r="AP399" s="58"/>
      <c r="AQ399" s="59"/>
      <c r="AR399" s="58"/>
      <c r="AS399" s="59"/>
      <c r="AT399" s="58"/>
      <c r="AU399" s="59"/>
      <c r="AV399" s="58"/>
      <c r="AW399" s="59"/>
      <c r="AX399" s="58"/>
      <c r="AY399" s="59"/>
      <c r="AZ399" s="64"/>
      <c r="BA399" s="61"/>
      <c r="BB399" s="64"/>
      <c r="BC399" s="61"/>
      <c r="BD399" s="64"/>
      <c r="BE399" s="61"/>
      <c r="BF399" s="64"/>
      <c r="BG399" s="61"/>
      <c r="BH399" s="64"/>
      <c r="BI399" s="646" t="s">
        <v>298</v>
      </c>
      <c r="BJ399" s="350"/>
      <c r="BK399" s="350"/>
      <c r="BL399" s="350"/>
      <c r="BM399" s="350"/>
      <c r="BN399" s="350"/>
      <c r="BO399" s="350"/>
      <c r="BP399" s="350"/>
      <c r="BQ399" s="350"/>
      <c r="BR399" s="350"/>
      <c r="BS399" s="350"/>
      <c r="BT399" s="350"/>
      <c r="BU399" s="350"/>
      <c r="BV399" s="351"/>
    </row>
    <row r="400" spans="1:74" ht="30" customHeight="1">
      <c r="A400" s="63">
        <f t="shared" si="1"/>
        <v>386</v>
      </c>
      <c r="B400" s="56" t="s">
        <v>325</v>
      </c>
      <c r="C400" s="57"/>
      <c r="D400" s="644"/>
      <c r="E400" s="350"/>
      <c r="F400" s="350"/>
      <c r="G400" s="350"/>
      <c r="H400" s="350"/>
      <c r="I400" s="350"/>
      <c r="J400" s="350"/>
      <c r="K400" s="351"/>
      <c r="L400" s="643"/>
      <c r="M400" s="350"/>
      <c r="N400" s="350"/>
      <c r="O400" s="351"/>
      <c r="P400" s="644"/>
      <c r="Q400" s="350"/>
      <c r="R400" s="350"/>
      <c r="S400" s="351"/>
      <c r="T400" s="643"/>
      <c r="U400" s="350"/>
      <c r="V400" s="350"/>
      <c r="W400" s="351"/>
      <c r="X400" s="644"/>
      <c r="Y400" s="350"/>
      <c r="Z400" s="350"/>
      <c r="AA400" s="351"/>
      <c r="AB400" s="506"/>
      <c r="AC400" s="350"/>
      <c r="AD400" s="351"/>
      <c r="AE400" s="571"/>
      <c r="AF400" s="350"/>
      <c r="AG400" s="351"/>
      <c r="AH400" s="645"/>
      <c r="AI400" s="350"/>
      <c r="AJ400" s="351"/>
      <c r="AK400" s="567"/>
      <c r="AL400" s="350"/>
      <c r="AM400" s="351"/>
      <c r="AN400" s="58"/>
      <c r="AO400" s="59"/>
      <c r="AP400" s="58"/>
      <c r="AQ400" s="59"/>
      <c r="AR400" s="58"/>
      <c r="AS400" s="59"/>
      <c r="AT400" s="58"/>
      <c r="AU400" s="59"/>
      <c r="AV400" s="58"/>
      <c r="AW400" s="59"/>
      <c r="AX400" s="58"/>
      <c r="AY400" s="59"/>
      <c r="AZ400" s="64"/>
      <c r="BA400" s="61"/>
      <c r="BB400" s="64"/>
      <c r="BC400" s="61"/>
      <c r="BD400" s="64"/>
      <c r="BE400" s="61"/>
      <c r="BF400" s="64"/>
      <c r="BG400" s="61"/>
      <c r="BH400" s="64"/>
      <c r="BI400" s="646" t="s">
        <v>298</v>
      </c>
      <c r="BJ400" s="350"/>
      <c r="BK400" s="350"/>
      <c r="BL400" s="350"/>
      <c r="BM400" s="350"/>
      <c r="BN400" s="350"/>
      <c r="BO400" s="350"/>
      <c r="BP400" s="350"/>
      <c r="BQ400" s="350"/>
      <c r="BR400" s="350"/>
      <c r="BS400" s="350"/>
      <c r="BT400" s="350"/>
      <c r="BU400" s="350"/>
      <c r="BV400" s="351"/>
    </row>
    <row r="401" spans="1:74" ht="30" customHeight="1">
      <c r="A401" s="63">
        <f t="shared" si="1"/>
        <v>387</v>
      </c>
      <c r="B401" s="56" t="s">
        <v>325</v>
      </c>
      <c r="C401" s="57"/>
      <c r="D401" s="644"/>
      <c r="E401" s="350"/>
      <c r="F401" s="350"/>
      <c r="G401" s="350"/>
      <c r="H401" s="350"/>
      <c r="I401" s="350"/>
      <c r="J401" s="350"/>
      <c r="K401" s="351"/>
      <c r="L401" s="643"/>
      <c r="M401" s="350"/>
      <c r="N401" s="350"/>
      <c r="O401" s="351"/>
      <c r="P401" s="644"/>
      <c r="Q401" s="350"/>
      <c r="R401" s="350"/>
      <c r="S401" s="351"/>
      <c r="T401" s="643"/>
      <c r="U401" s="350"/>
      <c r="V401" s="350"/>
      <c r="W401" s="351"/>
      <c r="X401" s="644"/>
      <c r="Y401" s="350"/>
      <c r="Z401" s="350"/>
      <c r="AA401" s="351"/>
      <c r="AB401" s="506"/>
      <c r="AC401" s="350"/>
      <c r="AD401" s="351"/>
      <c r="AE401" s="571"/>
      <c r="AF401" s="350"/>
      <c r="AG401" s="351"/>
      <c r="AH401" s="645"/>
      <c r="AI401" s="350"/>
      <c r="AJ401" s="351"/>
      <c r="AK401" s="567"/>
      <c r="AL401" s="350"/>
      <c r="AM401" s="351"/>
      <c r="AN401" s="58"/>
      <c r="AO401" s="59"/>
      <c r="AP401" s="58"/>
      <c r="AQ401" s="59"/>
      <c r="AR401" s="58"/>
      <c r="AS401" s="59"/>
      <c r="AT401" s="58"/>
      <c r="AU401" s="59"/>
      <c r="AV401" s="58"/>
      <c r="AW401" s="59"/>
      <c r="AX401" s="58"/>
      <c r="AY401" s="59"/>
      <c r="AZ401" s="64"/>
      <c r="BA401" s="61"/>
      <c r="BB401" s="64"/>
      <c r="BC401" s="61"/>
      <c r="BD401" s="64"/>
      <c r="BE401" s="61"/>
      <c r="BF401" s="64"/>
      <c r="BG401" s="61"/>
      <c r="BH401" s="64"/>
      <c r="BI401" s="646" t="s">
        <v>298</v>
      </c>
      <c r="BJ401" s="350"/>
      <c r="BK401" s="350"/>
      <c r="BL401" s="350"/>
      <c r="BM401" s="350"/>
      <c r="BN401" s="350"/>
      <c r="BO401" s="350"/>
      <c r="BP401" s="350"/>
      <c r="BQ401" s="350"/>
      <c r="BR401" s="350"/>
      <c r="BS401" s="350"/>
      <c r="BT401" s="350"/>
      <c r="BU401" s="350"/>
      <c r="BV401" s="351"/>
    </row>
    <row r="402" spans="1:74" ht="30" customHeight="1">
      <c r="A402" s="63">
        <f t="shared" si="1"/>
        <v>388</v>
      </c>
      <c r="B402" s="56" t="s">
        <v>325</v>
      </c>
      <c r="C402" s="57"/>
      <c r="D402" s="644"/>
      <c r="E402" s="350"/>
      <c r="F402" s="350"/>
      <c r="G402" s="350"/>
      <c r="H402" s="350"/>
      <c r="I402" s="350"/>
      <c r="J402" s="350"/>
      <c r="K402" s="351"/>
      <c r="L402" s="643"/>
      <c r="M402" s="350"/>
      <c r="N402" s="350"/>
      <c r="O402" s="351"/>
      <c r="P402" s="644"/>
      <c r="Q402" s="350"/>
      <c r="R402" s="350"/>
      <c r="S402" s="351"/>
      <c r="T402" s="643"/>
      <c r="U402" s="350"/>
      <c r="V402" s="350"/>
      <c r="W402" s="351"/>
      <c r="X402" s="644"/>
      <c r="Y402" s="350"/>
      <c r="Z402" s="350"/>
      <c r="AA402" s="351"/>
      <c r="AB402" s="506"/>
      <c r="AC402" s="350"/>
      <c r="AD402" s="351"/>
      <c r="AE402" s="571"/>
      <c r="AF402" s="350"/>
      <c r="AG402" s="351"/>
      <c r="AH402" s="645"/>
      <c r="AI402" s="350"/>
      <c r="AJ402" s="351"/>
      <c r="AK402" s="567"/>
      <c r="AL402" s="350"/>
      <c r="AM402" s="351"/>
      <c r="AN402" s="58"/>
      <c r="AO402" s="59"/>
      <c r="AP402" s="58"/>
      <c r="AQ402" s="59"/>
      <c r="AR402" s="58"/>
      <c r="AS402" s="59"/>
      <c r="AT402" s="58"/>
      <c r="AU402" s="59"/>
      <c r="AV402" s="58"/>
      <c r="AW402" s="59"/>
      <c r="AX402" s="58"/>
      <c r="AY402" s="59"/>
      <c r="AZ402" s="64"/>
      <c r="BA402" s="61"/>
      <c r="BB402" s="64"/>
      <c r="BC402" s="61"/>
      <c r="BD402" s="64"/>
      <c r="BE402" s="61"/>
      <c r="BF402" s="64"/>
      <c r="BG402" s="61"/>
      <c r="BH402" s="64"/>
      <c r="BI402" s="646" t="s">
        <v>294</v>
      </c>
      <c r="BJ402" s="350"/>
      <c r="BK402" s="350"/>
      <c r="BL402" s="350"/>
      <c r="BM402" s="350"/>
      <c r="BN402" s="350"/>
      <c r="BO402" s="350"/>
      <c r="BP402" s="350"/>
      <c r="BQ402" s="350"/>
      <c r="BR402" s="350"/>
      <c r="BS402" s="350"/>
      <c r="BT402" s="350"/>
      <c r="BU402" s="350"/>
      <c r="BV402" s="351"/>
    </row>
    <row r="403" spans="1:74" ht="30" customHeight="1">
      <c r="A403" s="63">
        <f t="shared" si="1"/>
        <v>389</v>
      </c>
      <c r="B403" s="56" t="s">
        <v>325</v>
      </c>
      <c r="C403" s="57"/>
      <c r="D403" s="644"/>
      <c r="E403" s="350"/>
      <c r="F403" s="350"/>
      <c r="G403" s="350"/>
      <c r="H403" s="350"/>
      <c r="I403" s="350"/>
      <c r="J403" s="350"/>
      <c r="K403" s="351"/>
      <c r="L403" s="643"/>
      <c r="M403" s="350"/>
      <c r="N403" s="350"/>
      <c r="O403" s="351"/>
      <c r="P403" s="644"/>
      <c r="Q403" s="350"/>
      <c r="R403" s="350"/>
      <c r="S403" s="351"/>
      <c r="T403" s="643"/>
      <c r="U403" s="350"/>
      <c r="V403" s="350"/>
      <c r="W403" s="351"/>
      <c r="X403" s="644"/>
      <c r="Y403" s="350"/>
      <c r="Z403" s="350"/>
      <c r="AA403" s="351"/>
      <c r="AB403" s="506"/>
      <c r="AC403" s="350"/>
      <c r="AD403" s="351"/>
      <c r="AE403" s="571"/>
      <c r="AF403" s="350"/>
      <c r="AG403" s="351"/>
      <c r="AH403" s="645"/>
      <c r="AI403" s="350"/>
      <c r="AJ403" s="351"/>
      <c r="AK403" s="567"/>
      <c r="AL403" s="350"/>
      <c r="AM403" s="351"/>
      <c r="AN403" s="58"/>
      <c r="AO403" s="59"/>
      <c r="AP403" s="58"/>
      <c r="AQ403" s="59"/>
      <c r="AR403" s="58"/>
      <c r="AS403" s="59"/>
      <c r="AT403" s="58"/>
      <c r="AU403" s="59"/>
      <c r="AV403" s="58"/>
      <c r="AW403" s="59"/>
      <c r="AX403" s="58"/>
      <c r="AY403" s="59"/>
      <c r="AZ403" s="64"/>
      <c r="BA403" s="61"/>
      <c r="BB403" s="64"/>
      <c r="BC403" s="61"/>
      <c r="BD403" s="64"/>
      <c r="BE403" s="61"/>
      <c r="BF403" s="64"/>
      <c r="BG403" s="61"/>
      <c r="BH403" s="64"/>
      <c r="BI403" s="646" t="s">
        <v>294</v>
      </c>
      <c r="BJ403" s="350"/>
      <c r="BK403" s="350"/>
      <c r="BL403" s="350"/>
      <c r="BM403" s="350"/>
      <c r="BN403" s="350"/>
      <c r="BO403" s="350"/>
      <c r="BP403" s="350"/>
      <c r="BQ403" s="350"/>
      <c r="BR403" s="350"/>
      <c r="BS403" s="350"/>
      <c r="BT403" s="350"/>
      <c r="BU403" s="350"/>
      <c r="BV403" s="351"/>
    </row>
    <row r="404" spans="1:74" ht="30" customHeight="1">
      <c r="A404" s="55">
        <f t="shared" si="1"/>
        <v>390</v>
      </c>
      <c r="B404" s="56" t="s">
        <v>325</v>
      </c>
      <c r="C404" s="57"/>
      <c r="D404" s="644"/>
      <c r="E404" s="350"/>
      <c r="F404" s="350"/>
      <c r="G404" s="350"/>
      <c r="H404" s="350"/>
      <c r="I404" s="350"/>
      <c r="J404" s="350"/>
      <c r="K404" s="351"/>
      <c r="L404" s="643"/>
      <c r="M404" s="350"/>
      <c r="N404" s="350"/>
      <c r="O404" s="351"/>
      <c r="P404" s="644"/>
      <c r="Q404" s="350"/>
      <c r="R404" s="350"/>
      <c r="S404" s="351"/>
      <c r="T404" s="643"/>
      <c r="U404" s="350"/>
      <c r="V404" s="350"/>
      <c r="W404" s="351"/>
      <c r="X404" s="644"/>
      <c r="Y404" s="350"/>
      <c r="Z404" s="350"/>
      <c r="AA404" s="351"/>
      <c r="AB404" s="506"/>
      <c r="AC404" s="350"/>
      <c r="AD404" s="351"/>
      <c r="AE404" s="571"/>
      <c r="AF404" s="350"/>
      <c r="AG404" s="351"/>
      <c r="AH404" s="645"/>
      <c r="AI404" s="350"/>
      <c r="AJ404" s="351"/>
      <c r="AK404" s="567"/>
      <c r="AL404" s="350"/>
      <c r="AM404" s="351"/>
      <c r="AN404" s="58"/>
      <c r="AO404" s="59"/>
      <c r="AP404" s="58"/>
      <c r="AQ404" s="59"/>
      <c r="AR404" s="58"/>
      <c r="AS404" s="59"/>
      <c r="AT404" s="58"/>
      <c r="AU404" s="59"/>
      <c r="AV404" s="58"/>
      <c r="AW404" s="59"/>
      <c r="AX404" s="58"/>
      <c r="AY404" s="59"/>
      <c r="AZ404" s="64"/>
      <c r="BA404" s="61"/>
      <c r="BB404" s="64"/>
      <c r="BC404" s="61"/>
      <c r="BD404" s="64"/>
      <c r="BE404" s="61"/>
      <c r="BF404" s="64"/>
      <c r="BG404" s="61"/>
      <c r="BH404" s="64"/>
      <c r="BI404" s="646" t="s">
        <v>298</v>
      </c>
      <c r="BJ404" s="350"/>
      <c r="BK404" s="350"/>
      <c r="BL404" s="350"/>
      <c r="BM404" s="350"/>
      <c r="BN404" s="350"/>
      <c r="BO404" s="350"/>
      <c r="BP404" s="350"/>
      <c r="BQ404" s="350"/>
      <c r="BR404" s="350"/>
      <c r="BS404" s="350"/>
      <c r="BT404" s="350"/>
      <c r="BU404" s="350"/>
      <c r="BV404" s="351"/>
    </row>
    <row r="405" spans="1:74" ht="30" customHeight="1">
      <c r="A405" s="63">
        <f t="shared" si="1"/>
        <v>391</v>
      </c>
      <c r="B405" s="56" t="s">
        <v>325</v>
      </c>
      <c r="C405" s="57"/>
      <c r="D405" s="644"/>
      <c r="E405" s="350"/>
      <c r="F405" s="350"/>
      <c r="G405" s="350"/>
      <c r="H405" s="350"/>
      <c r="I405" s="350"/>
      <c r="J405" s="350"/>
      <c r="K405" s="351"/>
      <c r="L405" s="643"/>
      <c r="M405" s="350"/>
      <c r="N405" s="350"/>
      <c r="O405" s="351"/>
      <c r="P405" s="644"/>
      <c r="Q405" s="350"/>
      <c r="R405" s="350"/>
      <c r="S405" s="351"/>
      <c r="T405" s="643"/>
      <c r="U405" s="350"/>
      <c r="V405" s="350"/>
      <c r="W405" s="351"/>
      <c r="X405" s="644"/>
      <c r="Y405" s="350"/>
      <c r="Z405" s="350"/>
      <c r="AA405" s="351"/>
      <c r="AB405" s="506"/>
      <c r="AC405" s="350"/>
      <c r="AD405" s="351"/>
      <c r="AE405" s="571"/>
      <c r="AF405" s="350"/>
      <c r="AG405" s="351"/>
      <c r="AH405" s="645"/>
      <c r="AI405" s="350"/>
      <c r="AJ405" s="351"/>
      <c r="AK405" s="567"/>
      <c r="AL405" s="350"/>
      <c r="AM405" s="351"/>
      <c r="AN405" s="58"/>
      <c r="AO405" s="59"/>
      <c r="AP405" s="58"/>
      <c r="AQ405" s="59"/>
      <c r="AR405" s="58"/>
      <c r="AS405" s="59"/>
      <c r="AT405" s="58"/>
      <c r="AU405" s="59"/>
      <c r="AV405" s="58"/>
      <c r="AW405" s="59"/>
      <c r="AX405" s="58"/>
      <c r="AY405" s="59"/>
      <c r="AZ405" s="64"/>
      <c r="BA405" s="61"/>
      <c r="BB405" s="64"/>
      <c r="BC405" s="61"/>
      <c r="BD405" s="64"/>
      <c r="BE405" s="61"/>
      <c r="BF405" s="64"/>
      <c r="BG405" s="61"/>
      <c r="BH405" s="64"/>
      <c r="BI405" s="646" t="s">
        <v>298</v>
      </c>
      <c r="BJ405" s="350"/>
      <c r="BK405" s="350"/>
      <c r="BL405" s="350"/>
      <c r="BM405" s="350"/>
      <c r="BN405" s="350"/>
      <c r="BO405" s="350"/>
      <c r="BP405" s="350"/>
      <c r="BQ405" s="350"/>
      <c r="BR405" s="350"/>
      <c r="BS405" s="350"/>
      <c r="BT405" s="350"/>
      <c r="BU405" s="350"/>
      <c r="BV405" s="351"/>
    </row>
    <row r="406" spans="1:74" ht="30" customHeight="1">
      <c r="A406" s="63">
        <f t="shared" si="1"/>
        <v>392</v>
      </c>
      <c r="B406" s="56" t="s">
        <v>325</v>
      </c>
      <c r="C406" s="57"/>
      <c r="D406" s="644"/>
      <c r="E406" s="350"/>
      <c r="F406" s="350"/>
      <c r="G406" s="350"/>
      <c r="H406" s="350"/>
      <c r="I406" s="350"/>
      <c r="J406" s="350"/>
      <c r="K406" s="351"/>
      <c r="L406" s="643"/>
      <c r="M406" s="350"/>
      <c r="N406" s="350"/>
      <c r="O406" s="351"/>
      <c r="P406" s="644"/>
      <c r="Q406" s="350"/>
      <c r="R406" s="350"/>
      <c r="S406" s="351"/>
      <c r="T406" s="643"/>
      <c r="U406" s="350"/>
      <c r="V406" s="350"/>
      <c r="W406" s="351"/>
      <c r="X406" s="644"/>
      <c r="Y406" s="350"/>
      <c r="Z406" s="350"/>
      <c r="AA406" s="351"/>
      <c r="AB406" s="506"/>
      <c r="AC406" s="350"/>
      <c r="AD406" s="351"/>
      <c r="AE406" s="571"/>
      <c r="AF406" s="350"/>
      <c r="AG406" s="351"/>
      <c r="AH406" s="645"/>
      <c r="AI406" s="350"/>
      <c r="AJ406" s="351"/>
      <c r="AK406" s="567"/>
      <c r="AL406" s="350"/>
      <c r="AM406" s="351"/>
      <c r="AN406" s="58"/>
      <c r="AO406" s="59"/>
      <c r="AP406" s="58"/>
      <c r="AQ406" s="59"/>
      <c r="AR406" s="58"/>
      <c r="AS406" s="59"/>
      <c r="AT406" s="58"/>
      <c r="AU406" s="59"/>
      <c r="AV406" s="58"/>
      <c r="AW406" s="59"/>
      <c r="AX406" s="58"/>
      <c r="AY406" s="59"/>
      <c r="AZ406" s="64"/>
      <c r="BA406" s="61"/>
      <c r="BB406" s="64"/>
      <c r="BC406" s="61"/>
      <c r="BD406" s="64"/>
      <c r="BE406" s="61"/>
      <c r="BF406" s="64"/>
      <c r="BG406" s="61"/>
      <c r="BH406" s="64"/>
      <c r="BI406" s="646" t="s">
        <v>298</v>
      </c>
      <c r="BJ406" s="350"/>
      <c r="BK406" s="350"/>
      <c r="BL406" s="350"/>
      <c r="BM406" s="350"/>
      <c r="BN406" s="350"/>
      <c r="BO406" s="350"/>
      <c r="BP406" s="350"/>
      <c r="BQ406" s="350"/>
      <c r="BR406" s="350"/>
      <c r="BS406" s="350"/>
      <c r="BT406" s="350"/>
      <c r="BU406" s="350"/>
      <c r="BV406" s="351"/>
    </row>
    <row r="407" spans="1:74" ht="30" customHeight="1">
      <c r="A407" s="63">
        <f t="shared" si="1"/>
        <v>393</v>
      </c>
      <c r="B407" s="56" t="s">
        <v>325</v>
      </c>
      <c r="C407" s="57"/>
      <c r="D407" s="644"/>
      <c r="E407" s="350"/>
      <c r="F407" s="350"/>
      <c r="G407" s="350"/>
      <c r="H407" s="350"/>
      <c r="I407" s="350"/>
      <c r="J407" s="350"/>
      <c r="K407" s="351"/>
      <c r="L407" s="643"/>
      <c r="M407" s="350"/>
      <c r="N407" s="350"/>
      <c r="O407" s="351"/>
      <c r="P407" s="644"/>
      <c r="Q407" s="350"/>
      <c r="R407" s="350"/>
      <c r="S407" s="351"/>
      <c r="T407" s="643"/>
      <c r="U407" s="350"/>
      <c r="V407" s="350"/>
      <c r="W407" s="351"/>
      <c r="X407" s="644"/>
      <c r="Y407" s="350"/>
      <c r="Z407" s="350"/>
      <c r="AA407" s="351"/>
      <c r="AB407" s="506"/>
      <c r="AC407" s="350"/>
      <c r="AD407" s="351"/>
      <c r="AE407" s="571"/>
      <c r="AF407" s="350"/>
      <c r="AG407" s="351"/>
      <c r="AH407" s="645"/>
      <c r="AI407" s="350"/>
      <c r="AJ407" s="351"/>
      <c r="AK407" s="567"/>
      <c r="AL407" s="350"/>
      <c r="AM407" s="351"/>
      <c r="AN407" s="58"/>
      <c r="AO407" s="59"/>
      <c r="AP407" s="58"/>
      <c r="AQ407" s="59"/>
      <c r="AR407" s="58"/>
      <c r="AS407" s="59"/>
      <c r="AT407" s="58"/>
      <c r="AU407" s="59"/>
      <c r="AV407" s="58"/>
      <c r="AW407" s="59"/>
      <c r="AX407" s="58"/>
      <c r="AY407" s="59"/>
      <c r="AZ407" s="64"/>
      <c r="BA407" s="61"/>
      <c r="BB407" s="64"/>
      <c r="BC407" s="61"/>
      <c r="BD407" s="64"/>
      <c r="BE407" s="61"/>
      <c r="BF407" s="64"/>
      <c r="BG407" s="61"/>
      <c r="BH407" s="64"/>
      <c r="BI407" s="646" t="s">
        <v>298</v>
      </c>
      <c r="BJ407" s="350"/>
      <c r="BK407" s="350"/>
      <c r="BL407" s="350"/>
      <c r="BM407" s="350"/>
      <c r="BN407" s="350"/>
      <c r="BO407" s="350"/>
      <c r="BP407" s="350"/>
      <c r="BQ407" s="350"/>
      <c r="BR407" s="350"/>
      <c r="BS407" s="350"/>
      <c r="BT407" s="350"/>
      <c r="BU407" s="350"/>
      <c r="BV407" s="351"/>
    </row>
    <row r="408" spans="1:74" ht="30" customHeight="1">
      <c r="A408" s="63">
        <f t="shared" si="1"/>
        <v>394</v>
      </c>
      <c r="B408" s="56" t="s">
        <v>325</v>
      </c>
      <c r="C408" s="57"/>
      <c r="D408" s="644"/>
      <c r="E408" s="350"/>
      <c r="F408" s="350"/>
      <c r="G408" s="350"/>
      <c r="H408" s="350"/>
      <c r="I408" s="350"/>
      <c r="J408" s="350"/>
      <c r="K408" s="351"/>
      <c r="L408" s="643"/>
      <c r="M408" s="350"/>
      <c r="N408" s="350"/>
      <c r="O408" s="351"/>
      <c r="P408" s="644"/>
      <c r="Q408" s="350"/>
      <c r="R408" s="350"/>
      <c r="S408" s="351"/>
      <c r="T408" s="643"/>
      <c r="U408" s="350"/>
      <c r="V408" s="350"/>
      <c r="W408" s="351"/>
      <c r="X408" s="644"/>
      <c r="Y408" s="350"/>
      <c r="Z408" s="350"/>
      <c r="AA408" s="351"/>
      <c r="AB408" s="506"/>
      <c r="AC408" s="350"/>
      <c r="AD408" s="351"/>
      <c r="AE408" s="571"/>
      <c r="AF408" s="350"/>
      <c r="AG408" s="351"/>
      <c r="AH408" s="645"/>
      <c r="AI408" s="350"/>
      <c r="AJ408" s="351"/>
      <c r="AK408" s="567"/>
      <c r="AL408" s="350"/>
      <c r="AM408" s="351"/>
      <c r="AN408" s="58"/>
      <c r="AO408" s="59"/>
      <c r="AP408" s="58"/>
      <c r="AQ408" s="59"/>
      <c r="AR408" s="58"/>
      <c r="AS408" s="59"/>
      <c r="AT408" s="58"/>
      <c r="AU408" s="59"/>
      <c r="AV408" s="58"/>
      <c r="AW408" s="59"/>
      <c r="AX408" s="58"/>
      <c r="AY408" s="59"/>
      <c r="AZ408" s="64"/>
      <c r="BA408" s="61"/>
      <c r="BB408" s="64"/>
      <c r="BC408" s="61"/>
      <c r="BD408" s="64"/>
      <c r="BE408" s="61"/>
      <c r="BF408" s="64"/>
      <c r="BG408" s="61"/>
      <c r="BH408" s="64"/>
      <c r="BI408" s="646" t="s">
        <v>298</v>
      </c>
      <c r="BJ408" s="350"/>
      <c r="BK408" s="350"/>
      <c r="BL408" s="350"/>
      <c r="BM408" s="350"/>
      <c r="BN408" s="350"/>
      <c r="BO408" s="350"/>
      <c r="BP408" s="350"/>
      <c r="BQ408" s="350"/>
      <c r="BR408" s="350"/>
      <c r="BS408" s="350"/>
      <c r="BT408" s="350"/>
      <c r="BU408" s="350"/>
      <c r="BV408" s="351"/>
    </row>
    <row r="409" spans="1:74" ht="30" customHeight="1">
      <c r="A409" s="63">
        <f t="shared" si="1"/>
        <v>395</v>
      </c>
      <c r="B409" s="56" t="s">
        <v>325</v>
      </c>
      <c r="C409" s="57"/>
      <c r="D409" s="644"/>
      <c r="E409" s="350"/>
      <c r="F409" s="350"/>
      <c r="G409" s="350"/>
      <c r="H409" s="350"/>
      <c r="I409" s="350"/>
      <c r="J409" s="350"/>
      <c r="K409" s="351"/>
      <c r="L409" s="643"/>
      <c r="M409" s="350"/>
      <c r="N409" s="350"/>
      <c r="O409" s="351"/>
      <c r="P409" s="644"/>
      <c r="Q409" s="350"/>
      <c r="R409" s="350"/>
      <c r="S409" s="351"/>
      <c r="T409" s="643"/>
      <c r="U409" s="350"/>
      <c r="V409" s="350"/>
      <c r="W409" s="351"/>
      <c r="X409" s="644"/>
      <c r="Y409" s="350"/>
      <c r="Z409" s="350"/>
      <c r="AA409" s="351"/>
      <c r="AB409" s="506"/>
      <c r="AC409" s="350"/>
      <c r="AD409" s="351"/>
      <c r="AE409" s="571"/>
      <c r="AF409" s="350"/>
      <c r="AG409" s="351"/>
      <c r="AH409" s="645"/>
      <c r="AI409" s="350"/>
      <c r="AJ409" s="351"/>
      <c r="AK409" s="567"/>
      <c r="AL409" s="350"/>
      <c r="AM409" s="351"/>
      <c r="AN409" s="58"/>
      <c r="AO409" s="59"/>
      <c r="AP409" s="58"/>
      <c r="AQ409" s="59"/>
      <c r="AR409" s="58"/>
      <c r="AS409" s="59"/>
      <c r="AT409" s="58"/>
      <c r="AU409" s="59"/>
      <c r="AV409" s="58"/>
      <c r="AW409" s="59"/>
      <c r="AX409" s="58"/>
      <c r="AY409" s="59"/>
      <c r="AZ409" s="64"/>
      <c r="BA409" s="61"/>
      <c r="BB409" s="64"/>
      <c r="BC409" s="61"/>
      <c r="BD409" s="64"/>
      <c r="BE409" s="61"/>
      <c r="BF409" s="64"/>
      <c r="BG409" s="61"/>
      <c r="BH409" s="64"/>
      <c r="BI409" s="646" t="s">
        <v>294</v>
      </c>
      <c r="BJ409" s="350"/>
      <c r="BK409" s="350"/>
      <c r="BL409" s="350"/>
      <c r="BM409" s="350"/>
      <c r="BN409" s="350"/>
      <c r="BO409" s="350"/>
      <c r="BP409" s="350"/>
      <c r="BQ409" s="350"/>
      <c r="BR409" s="350"/>
      <c r="BS409" s="350"/>
      <c r="BT409" s="350"/>
      <c r="BU409" s="350"/>
      <c r="BV409" s="351"/>
    </row>
    <row r="410" spans="1:74" ht="30" customHeight="1">
      <c r="A410" s="63">
        <f t="shared" si="1"/>
        <v>396</v>
      </c>
      <c r="B410" s="56" t="s">
        <v>325</v>
      </c>
      <c r="C410" s="57"/>
      <c r="D410" s="644"/>
      <c r="E410" s="350"/>
      <c r="F410" s="350"/>
      <c r="G410" s="350"/>
      <c r="H410" s="350"/>
      <c r="I410" s="350"/>
      <c r="J410" s="350"/>
      <c r="K410" s="351"/>
      <c r="L410" s="643"/>
      <c r="M410" s="350"/>
      <c r="N410" s="350"/>
      <c r="O410" s="351"/>
      <c r="P410" s="644"/>
      <c r="Q410" s="350"/>
      <c r="R410" s="350"/>
      <c r="S410" s="351"/>
      <c r="T410" s="643"/>
      <c r="U410" s="350"/>
      <c r="V410" s="350"/>
      <c r="W410" s="351"/>
      <c r="X410" s="644"/>
      <c r="Y410" s="350"/>
      <c r="Z410" s="350"/>
      <c r="AA410" s="351"/>
      <c r="AB410" s="506"/>
      <c r="AC410" s="350"/>
      <c r="AD410" s="351"/>
      <c r="AE410" s="571"/>
      <c r="AF410" s="350"/>
      <c r="AG410" s="351"/>
      <c r="AH410" s="645"/>
      <c r="AI410" s="350"/>
      <c r="AJ410" s="351"/>
      <c r="AK410" s="567"/>
      <c r="AL410" s="350"/>
      <c r="AM410" s="351"/>
      <c r="AN410" s="58"/>
      <c r="AO410" s="59"/>
      <c r="AP410" s="58"/>
      <c r="AQ410" s="59"/>
      <c r="AR410" s="58"/>
      <c r="AS410" s="59"/>
      <c r="AT410" s="58"/>
      <c r="AU410" s="59"/>
      <c r="AV410" s="58"/>
      <c r="AW410" s="59"/>
      <c r="AX410" s="58"/>
      <c r="AY410" s="59"/>
      <c r="AZ410" s="64"/>
      <c r="BA410" s="61"/>
      <c r="BB410" s="64"/>
      <c r="BC410" s="61"/>
      <c r="BD410" s="64"/>
      <c r="BE410" s="61"/>
      <c r="BF410" s="64"/>
      <c r="BG410" s="61"/>
      <c r="BH410" s="64"/>
      <c r="BI410" s="646" t="s">
        <v>294</v>
      </c>
      <c r="BJ410" s="350"/>
      <c r="BK410" s="350"/>
      <c r="BL410" s="350"/>
      <c r="BM410" s="350"/>
      <c r="BN410" s="350"/>
      <c r="BO410" s="350"/>
      <c r="BP410" s="350"/>
      <c r="BQ410" s="350"/>
      <c r="BR410" s="350"/>
      <c r="BS410" s="350"/>
      <c r="BT410" s="350"/>
      <c r="BU410" s="350"/>
      <c r="BV410" s="351"/>
    </row>
    <row r="411" spans="1:74" ht="30" customHeight="1">
      <c r="A411" s="55">
        <f t="shared" si="1"/>
        <v>397</v>
      </c>
      <c r="B411" s="56" t="s">
        <v>325</v>
      </c>
      <c r="C411" s="57"/>
      <c r="D411" s="644"/>
      <c r="E411" s="350"/>
      <c r="F411" s="350"/>
      <c r="G411" s="350"/>
      <c r="H411" s="350"/>
      <c r="I411" s="350"/>
      <c r="J411" s="350"/>
      <c r="K411" s="351"/>
      <c r="L411" s="643"/>
      <c r="M411" s="350"/>
      <c r="N411" s="350"/>
      <c r="O411" s="351"/>
      <c r="P411" s="644"/>
      <c r="Q411" s="350"/>
      <c r="R411" s="350"/>
      <c r="S411" s="351"/>
      <c r="T411" s="643"/>
      <c r="U411" s="350"/>
      <c r="V411" s="350"/>
      <c r="W411" s="351"/>
      <c r="X411" s="644"/>
      <c r="Y411" s="350"/>
      <c r="Z411" s="350"/>
      <c r="AA411" s="351"/>
      <c r="AB411" s="506"/>
      <c r="AC411" s="350"/>
      <c r="AD411" s="351"/>
      <c r="AE411" s="571"/>
      <c r="AF411" s="350"/>
      <c r="AG411" s="351"/>
      <c r="AH411" s="645"/>
      <c r="AI411" s="350"/>
      <c r="AJ411" s="351"/>
      <c r="AK411" s="567"/>
      <c r="AL411" s="350"/>
      <c r="AM411" s="351"/>
      <c r="AN411" s="58"/>
      <c r="AO411" s="59"/>
      <c r="AP411" s="58"/>
      <c r="AQ411" s="59"/>
      <c r="AR411" s="58"/>
      <c r="AS411" s="59"/>
      <c r="AT411" s="58"/>
      <c r="AU411" s="59"/>
      <c r="AV411" s="58"/>
      <c r="AW411" s="59"/>
      <c r="AX411" s="58"/>
      <c r="AY411" s="59"/>
      <c r="AZ411" s="64"/>
      <c r="BA411" s="61"/>
      <c r="BB411" s="64"/>
      <c r="BC411" s="61"/>
      <c r="BD411" s="64"/>
      <c r="BE411" s="61"/>
      <c r="BF411" s="64"/>
      <c r="BG411" s="61"/>
      <c r="BH411" s="64"/>
      <c r="BI411" s="646" t="s">
        <v>298</v>
      </c>
      <c r="BJ411" s="350"/>
      <c r="BK411" s="350"/>
      <c r="BL411" s="350"/>
      <c r="BM411" s="350"/>
      <c r="BN411" s="350"/>
      <c r="BO411" s="350"/>
      <c r="BP411" s="350"/>
      <c r="BQ411" s="350"/>
      <c r="BR411" s="350"/>
      <c r="BS411" s="350"/>
      <c r="BT411" s="350"/>
      <c r="BU411" s="350"/>
      <c r="BV411" s="351"/>
    </row>
    <row r="412" spans="1:74" ht="30" customHeight="1">
      <c r="A412" s="63">
        <f t="shared" si="1"/>
        <v>398</v>
      </c>
      <c r="B412" s="56" t="s">
        <v>325</v>
      </c>
      <c r="C412" s="57"/>
      <c r="D412" s="644"/>
      <c r="E412" s="350"/>
      <c r="F412" s="350"/>
      <c r="G412" s="350"/>
      <c r="H412" s="350"/>
      <c r="I412" s="350"/>
      <c r="J412" s="350"/>
      <c r="K412" s="351"/>
      <c r="L412" s="643"/>
      <c r="M412" s="350"/>
      <c r="N412" s="350"/>
      <c r="O412" s="351"/>
      <c r="P412" s="644"/>
      <c r="Q412" s="350"/>
      <c r="R412" s="350"/>
      <c r="S412" s="351"/>
      <c r="T412" s="643"/>
      <c r="U412" s="350"/>
      <c r="V412" s="350"/>
      <c r="W412" s="351"/>
      <c r="X412" s="644"/>
      <c r="Y412" s="350"/>
      <c r="Z412" s="350"/>
      <c r="AA412" s="351"/>
      <c r="AB412" s="506"/>
      <c r="AC412" s="350"/>
      <c r="AD412" s="351"/>
      <c r="AE412" s="571"/>
      <c r="AF412" s="350"/>
      <c r="AG412" s="351"/>
      <c r="AH412" s="645"/>
      <c r="AI412" s="350"/>
      <c r="AJ412" s="351"/>
      <c r="AK412" s="567"/>
      <c r="AL412" s="350"/>
      <c r="AM412" s="351"/>
      <c r="AN412" s="58"/>
      <c r="AO412" s="59"/>
      <c r="AP412" s="58"/>
      <c r="AQ412" s="59"/>
      <c r="AR412" s="58"/>
      <c r="AS412" s="59"/>
      <c r="AT412" s="58"/>
      <c r="AU412" s="59"/>
      <c r="AV412" s="58"/>
      <c r="AW412" s="59"/>
      <c r="AX412" s="58"/>
      <c r="AY412" s="59"/>
      <c r="AZ412" s="64"/>
      <c r="BA412" s="61"/>
      <c r="BB412" s="64"/>
      <c r="BC412" s="61"/>
      <c r="BD412" s="64"/>
      <c r="BE412" s="61"/>
      <c r="BF412" s="64"/>
      <c r="BG412" s="61"/>
      <c r="BH412" s="64"/>
      <c r="BI412" s="646" t="s">
        <v>298</v>
      </c>
      <c r="BJ412" s="350"/>
      <c r="BK412" s="350"/>
      <c r="BL412" s="350"/>
      <c r="BM412" s="350"/>
      <c r="BN412" s="350"/>
      <c r="BO412" s="350"/>
      <c r="BP412" s="350"/>
      <c r="BQ412" s="350"/>
      <c r="BR412" s="350"/>
      <c r="BS412" s="350"/>
      <c r="BT412" s="350"/>
      <c r="BU412" s="350"/>
      <c r="BV412" s="351"/>
    </row>
    <row r="413" spans="1:74" ht="30" customHeight="1">
      <c r="A413" s="63">
        <f t="shared" si="1"/>
        <v>399</v>
      </c>
      <c r="B413" s="56" t="s">
        <v>325</v>
      </c>
      <c r="C413" s="57"/>
      <c r="D413" s="644"/>
      <c r="E413" s="350"/>
      <c r="F413" s="350"/>
      <c r="G413" s="350"/>
      <c r="H413" s="350"/>
      <c r="I413" s="350"/>
      <c r="J413" s="350"/>
      <c r="K413" s="351"/>
      <c r="L413" s="643"/>
      <c r="M413" s="350"/>
      <c r="N413" s="350"/>
      <c r="O413" s="351"/>
      <c r="P413" s="644"/>
      <c r="Q413" s="350"/>
      <c r="R413" s="350"/>
      <c r="S413" s="351"/>
      <c r="T413" s="643"/>
      <c r="U413" s="350"/>
      <c r="V413" s="350"/>
      <c r="W413" s="351"/>
      <c r="X413" s="644"/>
      <c r="Y413" s="350"/>
      <c r="Z413" s="350"/>
      <c r="AA413" s="351"/>
      <c r="AB413" s="506"/>
      <c r="AC413" s="350"/>
      <c r="AD413" s="351"/>
      <c r="AE413" s="571"/>
      <c r="AF413" s="350"/>
      <c r="AG413" s="351"/>
      <c r="AH413" s="645"/>
      <c r="AI413" s="350"/>
      <c r="AJ413" s="351"/>
      <c r="AK413" s="567"/>
      <c r="AL413" s="350"/>
      <c r="AM413" s="351"/>
      <c r="AN413" s="58"/>
      <c r="AO413" s="59"/>
      <c r="AP413" s="58"/>
      <c r="AQ413" s="59"/>
      <c r="AR413" s="58"/>
      <c r="AS413" s="59"/>
      <c r="AT413" s="58"/>
      <c r="AU413" s="59"/>
      <c r="AV413" s="58"/>
      <c r="AW413" s="59"/>
      <c r="AX413" s="58"/>
      <c r="AY413" s="59"/>
      <c r="AZ413" s="64"/>
      <c r="BA413" s="61"/>
      <c r="BB413" s="64"/>
      <c r="BC413" s="61"/>
      <c r="BD413" s="64"/>
      <c r="BE413" s="61"/>
      <c r="BF413" s="64"/>
      <c r="BG413" s="61"/>
      <c r="BH413" s="64"/>
      <c r="BI413" s="646" t="s">
        <v>298</v>
      </c>
      <c r="BJ413" s="350"/>
      <c r="BK413" s="350"/>
      <c r="BL413" s="350"/>
      <c r="BM413" s="350"/>
      <c r="BN413" s="350"/>
      <c r="BO413" s="350"/>
      <c r="BP413" s="350"/>
      <c r="BQ413" s="350"/>
      <c r="BR413" s="350"/>
      <c r="BS413" s="350"/>
      <c r="BT413" s="350"/>
      <c r="BU413" s="350"/>
      <c r="BV413" s="351"/>
    </row>
    <row r="414" spans="1:74" ht="30" customHeight="1">
      <c r="A414" s="63">
        <f t="shared" si="1"/>
        <v>400</v>
      </c>
      <c r="B414" s="56" t="s">
        <v>325</v>
      </c>
      <c r="C414" s="57"/>
      <c r="D414" s="644"/>
      <c r="E414" s="350"/>
      <c r="F414" s="350"/>
      <c r="G414" s="350"/>
      <c r="H414" s="350"/>
      <c r="I414" s="350"/>
      <c r="J414" s="350"/>
      <c r="K414" s="351"/>
      <c r="L414" s="643"/>
      <c r="M414" s="350"/>
      <c r="N414" s="350"/>
      <c r="O414" s="351"/>
      <c r="P414" s="644"/>
      <c r="Q414" s="350"/>
      <c r="R414" s="350"/>
      <c r="S414" s="351"/>
      <c r="T414" s="643"/>
      <c r="U414" s="350"/>
      <c r="V414" s="350"/>
      <c r="W414" s="351"/>
      <c r="X414" s="644"/>
      <c r="Y414" s="350"/>
      <c r="Z414" s="350"/>
      <c r="AA414" s="351"/>
      <c r="AB414" s="506"/>
      <c r="AC414" s="350"/>
      <c r="AD414" s="351"/>
      <c r="AE414" s="571"/>
      <c r="AF414" s="350"/>
      <c r="AG414" s="351"/>
      <c r="AH414" s="645"/>
      <c r="AI414" s="350"/>
      <c r="AJ414" s="351"/>
      <c r="AK414" s="567"/>
      <c r="AL414" s="350"/>
      <c r="AM414" s="351"/>
      <c r="AN414" s="58"/>
      <c r="AO414" s="59"/>
      <c r="AP414" s="58"/>
      <c r="AQ414" s="59"/>
      <c r="AR414" s="58"/>
      <c r="AS414" s="59"/>
      <c r="AT414" s="58"/>
      <c r="AU414" s="59"/>
      <c r="AV414" s="58"/>
      <c r="AW414" s="59"/>
      <c r="AX414" s="58"/>
      <c r="AY414" s="59"/>
      <c r="AZ414" s="64"/>
      <c r="BA414" s="61"/>
      <c r="BB414" s="64"/>
      <c r="BC414" s="61"/>
      <c r="BD414" s="64"/>
      <c r="BE414" s="61"/>
      <c r="BF414" s="64"/>
      <c r="BG414" s="61"/>
      <c r="BH414" s="64"/>
      <c r="BI414" s="646" t="s">
        <v>298</v>
      </c>
      <c r="BJ414" s="350"/>
      <c r="BK414" s="350"/>
      <c r="BL414" s="350"/>
      <c r="BM414" s="350"/>
      <c r="BN414" s="350"/>
      <c r="BO414" s="350"/>
      <c r="BP414" s="350"/>
      <c r="BQ414" s="350"/>
      <c r="BR414" s="350"/>
      <c r="BS414" s="350"/>
      <c r="BT414" s="350"/>
      <c r="BU414" s="350"/>
      <c r="BV414" s="351"/>
    </row>
    <row r="415" spans="1:74" ht="30" customHeight="1">
      <c r="A415" s="63">
        <f t="shared" si="1"/>
        <v>401</v>
      </c>
      <c r="B415" s="56" t="s">
        <v>325</v>
      </c>
      <c r="C415" s="57"/>
      <c r="D415" s="644"/>
      <c r="E415" s="350"/>
      <c r="F415" s="350"/>
      <c r="G415" s="350"/>
      <c r="H415" s="350"/>
      <c r="I415" s="350"/>
      <c r="J415" s="350"/>
      <c r="K415" s="351"/>
      <c r="L415" s="643"/>
      <c r="M415" s="350"/>
      <c r="N415" s="350"/>
      <c r="O415" s="351"/>
      <c r="P415" s="644"/>
      <c r="Q415" s="350"/>
      <c r="R415" s="350"/>
      <c r="S415" s="351"/>
      <c r="T415" s="643"/>
      <c r="U415" s="350"/>
      <c r="V415" s="350"/>
      <c r="W415" s="351"/>
      <c r="X415" s="644"/>
      <c r="Y415" s="350"/>
      <c r="Z415" s="350"/>
      <c r="AA415" s="351"/>
      <c r="AB415" s="506"/>
      <c r="AC415" s="350"/>
      <c r="AD415" s="351"/>
      <c r="AE415" s="571"/>
      <c r="AF415" s="350"/>
      <c r="AG415" s="351"/>
      <c r="AH415" s="645"/>
      <c r="AI415" s="350"/>
      <c r="AJ415" s="351"/>
      <c r="AK415" s="567"/>
      <c r="AL415" s="350"/>
      <c r="AM415" s="351"/>
      <c r="AN415" s="58"/>
      <c r="AO415" s="59"/>
      <c r="AP415" s="58"/>
      <c r="AQ415" s="59"/>
      <c r="AR415" s="58"/>
      <c r="AS415" s="59"/>
      <c r="AT415" s="58"/>
      <c r="AU415" s="59"/>
      <c r="AV415" s="58"/>
      <c r="AW415" s="59"/>
      <c r="AX415" s="58"/>
      <c r="AY415" s="59"/>
      <c r="AZ415" s="64"/>
      <c r="BA415" s="61"/>
      <c r="BB415" s="64"/>
      <c r="BC415" s="61"/>
      <c r="BD415" s="64"/>
      <c r="BE415" s="61"/>
      <c r="BF415" s="64"/>
      <c r="BG415" s="61"/>
      <c r="BH415" s="64"/>
      <c r="BI415" s="646" t="s">
        <v>298</v>
      </c>
      <c r="BJ415" s="350"/>
      <c r="BK415" s="350"/>
      <c r="BL415" s="350"/>
      <c r="BM415" s="350"/>
      <c r="BN415" s="350"/>
      <c r="BO415" s="350"/>
      <c r="BP415" s="350"/>
      <c r="BQ415" s="350"/>
      <c r="BR415" s="350"/>
      <c r="BS415" s="350"/>
      <c r="BT415" s="350"/>
      <c r="BU415" s="350"/>
      <c r="BV415" s="351"/>
    </row>
    <row r="416" spans="1:74" ht="30" customHeight="1">
      <c r="A416" s="63">
        <f t="shared" si="1"/>
        <v>402</v>
      </c>
      <c r="B416" s="56" t="s">
        <v>325</v>
      </c>
      <c r="C416" s="57"/>
      <c r="D416" s="644"/>
      <c r="E416" s="350"/>
      <c r="F416" s="350"/>
      <c r="G416" s="350"/>
      <c r="H416" s="350"/>
      <c r="I416" s="350"/>
      <c r="J416" s="350"/>
      <c r="K416" s="351"/>
      <c r="L416" s="643"/>
      <c r="M416" s="350"/>
      <c r="N416" s="350"/>
      <c r="O416" s="351"/>
      <c r="P416" s="644"/>
      <c r="Q416" s="350"/>
      <c r="R416" s="350"/>
      <c r="S416" s="351"/>
      <c r="T416" s="643"/>
      <c r="U416" s="350"/>
      <c r="V416" s="350"/>
      <c r="W416" s="351"/>
      <c r="X416" s="644"/>
      <c r="Y416" s="350"/>
      <c r="Z416" s="350"/>
      <c r="AA416" s="351"/>
      <c r="AB416" s="506"/>
      <c r="AC416" s="350"/>
      <c r="AD416" s="351"/>
      <c r="AE416" s="571"/>
      <c r="AF416" s="350"/>
      <c r="AG416" s="351"/>
      <c r="AH416" s="645"/>
      <c r="AI416" s="350"/>
      <c r="AJ416" s="351"/>
      <c r="AK416" s="567"/>
      <c r="AL416" s="350"/>
      <c r="AM416" s="351"/>
      <c r="AN416" s="58"/>
      <c r="AO416" s="59"/>
      <c r="AP416" s="58"/>
      <c r="AQ416" s="59"/>
      <c r="AR416" s="58"/>
      <c r="AS416" s="59"/>
      <c r="AT416" s="58"/>
      <c r="AU416" s="59"/>
      <c r="AV416" s="58"/>
      <c r="AW416" s="59"/>
      <c r="AX416" s="58"/>
      <c r="AY416" s="59"/>
      <c r="AZ416" s="64"/>
      <c r="BA416" s="61"/>
      <c r="BB416" s="64"/>
      <c r="BC416" s="61"/>
      <c r="BD416" s="64"/>
      <c r="BE416" s="61"/>
      <c r="BF416" s="64"/>
      <c r="BG416" s="61"/>
      <c r="BH416" s="64"/>
      <c r="BI416" s="646" t="s">
        <v>294</v>
      </c>
      <c r="BJ416" s="350"/>
      <c r="BK416" s="350"/>
      <c r="BL416" s="350"/>
      <c r="BM416" s="350"/>
      <c r="BN416" s="350"/>
      <c r="BO416" s="350"/>
      <c r="BP416" s="350"/>
      <c r="BQ416" s="350"/>
      <c r="BR416" s="350"/>
      <c r="BS416" s="350"/>
      <c r="BT416" s="350"/>
      <c r="BU416" s="350"/>
      <c r="BV416" s="351"/>
    </row>
    <row r="417" spans="1:74" ht="30" customHeight="1">
      <c r="A417" s="63">
        <f t="shared" si="1"/>
        <v>403</v>
      </c>
      <c r="B417" s="56" t="s">
        <v>325</v>
      </c>
      <c r="C417" s="57"/>
      <c r="D417" s="644"/>
      <c r="E417" s="350"/>
      <c r="F417" s="350"/>
      <c r="G417" s="350"/>
      <c r="H417" s="350"/>
      <c r="I417" s="350"/>
      <c r="J417" s="350"/>
      <c r="K417" s="351"/>
      <c r="L417" s="643"/>
      <c r="M417" s="350"/>
      <c r="N417" s="350"/>
      <c r="O417" s="351"/>
      <c r="P417" s="644"/>
      <c r="Q417" s="350"/>
      <c r="R417" s="350"/>
      <c r="S417" s="351"/>
      <c r="T417" s="643"/>
      <c r="U417" s="350"/>
      <c r="V417" s="350"/>
      <c r="W417" s="351"/>
      <c r="X417" s="644"/>
      <c r="Y417" s="350"/>
      <c r="Z417" s="350"/>
      <c r="AA417" s="351"/>
      <c r="AB417" s="506"/>
      <c r="AC417" s="350"/>
      <c r="AD417" s="351"/>
      <c r="AE417" s="571"/>
      <c r="AF417" s="350"/>
      <c r="AG417" s="351"/>
      <c r="AH417" s="645"/>
      <c r="AI417" s="350"/>
      <c r="AJ417" s="351"/>
      <c r="AK417" s="567"/>
      <c r="AL417" s="350"/>
      <c r="AM417" s="351"/>
      <c r="AN417" s="58"/>
      <c r="AO417" s="59"/>
      <c r="AP417" s="58"/>
      <c r="AQ417" s="59"/>
      <c r="AR417" s="58"/>
      <c r="AS417" s="59"/>
      <c r="AT417" s="58"/>
      <c r="AU417" s="59"/>
      <c r="AV417" s="58"/>
      <c r="AW417" s="59"/>
      <c r="AX417" s="58"/>
      <c r="AY417" s="59"/>
      <c r="AZ417" s="64"/>
      <c r="BA417" s="61"/>
      <c r="BB417" s="64"/>
      <c r="BC417" s="61"/>
      <c r="BD417" s="64"/>
      <c r="BE417" s="61"/>
      <c r="BF417" s="64"/>
      <c r="BG417" s="61"/>
      <c r="BH417" s="64"/>
      <c r="BI417" s="646" t="s">
        <v>294</v>
      </c>
      <c r="BJ417" s="350"/>
      <c r="BK417" s="350"/>
      <c r="BL417" s="350"/>
      <c r="BM417" s="350"/>
      <c r="BN417" s="350"/>
      <c r="BO417" s="350"/>
      <c r="BP417" s="350"/>
      <c r="BQ417" s="350"/>
      <c r="BR417" s="350"/>
      <c r="BS417" s="350"/>
      <c r="BT417" s="350"/>
      <c r="BU417" s="350"/>
      <c r="BV417" s="351"/>
    </row>
    <row r="418" spans="1:74" ht="30" customHeight="1">
      <c r="A418" s="55">
        <f t="shared" si="1"/>
        <v>404</v>
      </c>
      <c r="B418" s="56" t="s">
        <v>325</v>
      </c>
      <c r="C418" s="57"/>
      <c r="D418" s="644"/>
      <c r="E418" s="350"/>
      <c r="F418" s="350"/>
      <c r="G418" s="350"/>
      <c r="H418" s="350"/>
      <c r="I418" s="350"/>
      <c r="J418" s="350"/>
      <c r="K418" s="351"/>
      <c r="L418" s="643"/>
      <c r="M418" s="350"/>
      <c r="N418" s="350"/>
      <c r="O418" s="351"/>
      <c r="P418" s="644"/>
      <c r="Q418" s="350"/>
      <c r="R418" s="350"/>
      <c r="S418" s="351"/>
      <c r="T418" s="643"/>
      <c r="U418" s="350"/>
      <c r="V418" s="350"/>
      <c r="W418" s="351"/>
      <c r="X418" s="644"/>
      <c r="Y418" s="350"/>
      <c r="Z418" s="350"/>
      <c r="AA418" s="351"/>
      <c r="AB418" s="506"/>
      <c r="AC418" s="350"/>
      <c r="AD418" s="351"/>
      <c r="AE418" s="571"/>
      <c r="AF418" s="350"/>
      <c r="AG418" s="351"/>
      <c r="AH418" s="645"/>
      <c r="AI418" s="350"/>
      <c r="AJ418" s="351"/>
      <c r="AK418" s="567"/>
      <c r="AL418" s="350"/>
      <c r="AM418" s="351"/>
      <c r="AN418" s="58"/>
      <c r="AO418" s="59"/>
      <c r="AP418" s="58"/>
      <c r="AQ418" s="59"/>
      <c r="AR418" s="58"/>
      <c r="AS418" s="59"/>
      <c r="AT418" s="58"/>
      <c r="AU418" s="59"/>
      <c r="AV418" s="58"/>
      <c r="AW418" s="59"/>
      <c r="AX418" s="58"/>
      <c r="AY418" s="59"/>
      <c r="AZ418" s="64"/>
      <c r="BA418" s="61"/>
      <c r="BB418" s="64"/>
      <c r="BC418" s="61"/>
      <c r="BD418" s="64"/>
      <c r="BE418" s="61"/>
      <c r="BF418" s="64"/>
      <c r="BG418" s="61"/>
      <c r="BH418" s="64"/>
      <c r="BI418" s="646" t="s">
        <v>298</v>
      </c>
      <c r="BJ418" s="350"/>
      <c r="BK418" s="350"/>
      <c r="BL418" s="350"/>
      <c r="BM418" s="350"/>
      <c r="BN418" s="350"/>
      <c r="BO418" s="350"/>
      <c r="BP418" s="350"/>
      <c r="BQ418" s="350"/>
      <c r="BR418" s="350"/>
      <c r="BS418" s="350"/>
      <c r="BT418" s="350"/>
      <c r="BU418" s="350"/>
      <c r="BV418" s="351"/>
    </row>
    <row r="419" spans="1:74" ht="30" customHeight="1">
      <c r="A419" s="63">
        <f t="shared" si="1"/>
        <v>405</v>
      </c>
      <c r="B419" s="56" t="s">
        <v>325</v>
      </c>
      <c r="C419" s="57"/>
      <c r="D419" s="644"/>
      <c r="E419" s="350"/>
      <c r="F419" s="350"/>
      <c r="G419" s="350"/>
      <c r="H419" s="350"/>
      <c r="I419" s="350"/>
      <c r="J419" s="350"/>
      <c r="K419" s="351"/>
      <c r="L419" s="643"/>
      <c r="M419" s="350"/>
      <c r="N419" s="350"/>
      <c r="O419" s="351"/>
      <c r="P419" s="644"/>
      <c r="Q419" s="350"/>
      <c r="R419" s="350"/>
      <c r="S419" s="351"/>
      <c r="T419" s="643"/>
      <c r="U419" s="350"/>
      <c r="V419" s="350"/>
      <c r="W419" s="351"/>
      <c r="X419" s="644"/>
      <c r="Y419" s="350"/>
      <c r="Z419" s="350"/>
      <c r="AA419" s="351"/>
      <c r="AB419" s="506"/>
      <c r="AC419" s="350"/>
      <c r="AD419" s="351"/>
      <c r="AE419" s="571"/>
      <c r="AF419" s="350"/>
      <c r="AG419" s="351"/>
      <c r="AH419" s="645"/>
      <c r="AI419" s="350"/>
      <c r="AJ419" s="351"/>
      <c r="AK419" s="567"/>
      <c r="AL419" s="350"/>
      <c r="AM419" s="351"/>
      <c r="AN419" s="58"/>
      <c r="AO419" s="59"/>
      <c r="AP419" s="58"/>
      <c r="AQ419" s="59"/>
      <c r="AR419" s="58"/>
      <c r="AS419" s="59"/>
      <c r="AT419" s="58"/>
      <c r="AU419" s="59"/>
      <c r="AV419" s="58"/>
      <c r="AW419" s="59"/>
      <c r="AX419" s="58"/>
      <c r="AY419" s="59"/>
      <c r="AZ419" s="64"/>
      <c r="BA419" s="61"/>
      <c r="BB419" s="64"/>
      <c r="BC419" s="61"/>
      <c r="BD419" s="64"/>
      <c r="BE419" s="61"/>
      <c r="BF419" s="64"/>
      <c r="BG419" s="61"/>
      <c r="BH419" s="64"/>
      <c r="BI419" s="646" t="s">
        <v>298</v>
      </c>
      <c r="BJ419" s="350"/>
      <c r="BK419" s="350"/>
      <c r="BL419" s="350"/>
      <c r="BM419" s="350"/>
      <c r="BN419" s="350"/>
      <c r="BO419" s="350"/>
      <c r="BP419" s="350"/>
      <c r="BQ419" s="350"/>
      <c r="BR419" s="350"/>
      <c r="BS419" s="350"/>
      <c r="BT419" s="350"/>
      <c r="BU419" s="350"/>
      <c r="BV419" s="351"/>
    </row>
    <row r="420" spans="1:74" ht="30" customHeight="1">
      <c r="A420" s="63">
        <f t="shared" si="1"/>
        <v>406</v>
      </c>
      <c r="B420" s="56" t="s">
        <v>325</v>
      </c>
      <c r="C420" s="57"/>
      <c r="D420" s="644"/>
      <c r="E420" s="350"/>
      <c r="F420" s="350"/>
      <c r="G420" s="350"/>
      <c r="H420" s="350"/>
      <c r="I420" s="350"/>
      <c r="J420" s="350"/>
      <c r="K420" s="351"/>
      <c r="L420" s="643"/>
      <c r="M420" s="350"/>
      <c r="N420" s="350"/>
      <c r="O420" s="351"/>
      <c r="P420" s="644"/>
      <c r="Q420" s="350"/>
      <c r="R420" s="350"/>
      <c r="S420" s="351"/>
      <c r="T420" s="643"/>
      <c r="U420" s="350"/>
      <c r="V420" s="350"/>
      <c r="W420" s="351"/>
      <c r="X420" s="644"/>
      <c r="Y420" s="350"/>
      <c r="Z420" s="350"/>
      <c r="AA420" s="351"/>
      <c r="AB420" s="506"/>
      <c r="AC420" s="350"/>
      <c r="AD420" s="351"/>
      <c r="AE420" s="571"/>
      <c r="AF420" s="350"/>
      <c r="AG420" s="351"/>
      <c r="AH420" s="645"/>
      <c r="AI420" s="350"/>
      <c r="AJ420" s="351"/>
      <c r="AK420" s="567"/>
      <c r="AL420" s="350"/>
      <c r="AM420" s="351"/>
      <c r="AN420" s="58"/>
      <c r="AO420" s="59"/>
      <c r="AP420" s="58"/>
      <c r="AQ420" s="59"/>
      <c r="AR420" s="58"/>
      <c r="AS420" s="59"/>
      <c r="AT420" s="58"/>
      <c r="AU420" s="59"/>
      <c r="AV420" s="58"/>
      <c r="AW420" s="59"/>
      <c r="AX420" s="58"/>
      <c r="AY420" s="59"/>
      <c r="AZ420" s="64"/>
      <c r="BA420" s="61"/>
      <c r="BB420" s="64"/>
      <c r="BC420" s="61"/>
      <c r="BD420" s="64"/>
      <c r="BE420" s="61"/>
      <c r="BF420" s="64"/>
      <c r="BG420" s="61"/>
      <c r="BH420" s="64"/>
      <c r="BI420" s="646" t="s">
        <v>298</v>
      </c>
      <c r="BJ420" s="350"/>
      <c r="BK420" s="350"/>
      <c r="BL420" s="350"/>
      <c r="BM420" s="350"/>
      <c r="BN420" s="350"/>
      <c r="BO420" s="350"/>
      <c r="BP420" s="350"/>
      <c r="BQ420" s="350"/>
      <c r="BR420" s="350"/>
      <c r="BS420" s="350"/>
      <c r="BT420" s="350"/>
      <c r="BU420" s="350"/>
      <c r="BV420" s="351"/>
    </row>
    <row r="421" spans="1:74" ht="30" customHeight="1">
      <c r="A421" s="63">
        <f t="shared" si="1"/>
        <v>407</v>
      </c>
      <c r="B421" s="56" t="s">
        <v>325</v>
      </c>
      <c r="C421" s="57"/>
      <c r="D421" s="644"/>
      <c r="E421" s="350"/>
      <c r="F421" s="350"/>
      <c r="G421" s="350"/>
      <c r="H421" s="350"/>
      <c r="I421" s="350"/>
      <c r="J421" s="350"/>
      <c r="K421" s="351"/>
      <c r="L421" s="643"/>
      <c r="M421" s="350"/>
      <c r="N421" s="350"/>
      <c r="O421" s="351"/>
      <c r="P421" s="644"/>
      <c r="Q421" s="350"/>
      <c r="R421" s="350"/>
      <c r="S421" s="351"/>
      <c r="T421" s="643"/>
      <c r="U421" s="350"/>
      <c r="V421" s="350"/>
      <c r="W421" s="351"/>
      <c r="X421" s="644"/>
      <c r="Y421" s="350"/>
      <c r="Z421" s="350"/>
      <c r="AA421" s="351"/>
      <c r="AB421" s="506"/>
      <c r="AC421" s="350"/>
      <c r="AD421" s="351"/>
      <c r="AE421" s="571"/>
      <c r="AF421" s="350"/>
      <c r="AG421" s="351"/>
      <c r="AH421" s="645"/>
      <c r="AI421" s="350"/>
      <c r="AJ421" s="351"/>
      <c r="AK421" s="567"/>
      <c r="AL421" s="350"/>
      <c r="AM421" s="351"/>
      <c r="AN421" s="58"/>
      <c r="AO421" s="59"/>
      <c r="AP421" s="58"/>
      <c r="AQ421" s="59"/>
      <c r="AR421" s="58"/>
      <c r="AS421" s="59"/>
      <c r="AT421" s="58"/>
      <c r="AU421" s="59"/>
      <c r="AV421" s="58"/>
      <c r="AW421" s="59"/>
      <c r="AX421" s="58"/>
      <c r="AY421" s="59"/>
      <c r="AZ421" s="64"/>
      <c r="BA421" s="61"/>
      <c r="BB421" s="64"/>
      <c r="BC421" s="61"/>
      <c r="BD421" s="64"/>
      <c r="BE421" s="61"/>
      <c r="BF421" s="64"/>
      <c r="BG421" s="61"/>
      <c r="BH421" s="64"/>
      <c r="BI421" s="646" t="s">
        <v>298</v>
      </c>
      <c r="BJ421" s="350"/>
      <c r="BK421" s="350"/>
      <c r="BL421" s="350"/>
      <c r="BM421" s="350"/>
      <c r="BN421" s="350"/>
      <c r="BO421" s="350"/>
      <c r="BP421" s="350"/>
      <c r="BQ421" s="350"/>
      <c r="BR421" s="350"/>
      <c r="BS421" s="350"/>
      <c r="BT421" s="350"/>
      <c r="BU421" s="350"/>
      <c r="BV421" s="351"/>
    </row>
    <row r="422" spans="1:74" ht="30" customHeight="1">
      <c r="A422" s="63">
        <f t="shared" si="1"/>
        <v>408</v>
      </c>
      <c r="B422" s="56" t="s">
        <v>325</v>
      </c>
      <c r="C422" s="57"/>
      <c r="D422" s="644"/>
      <c r="E422" s="350"/>
      <c r="F422" s="350"/>
      <c r="G422" s="350"/>
      <c r="H422" s="350"/>
      <c r="I422" s="350"/>
      <c r="J422" s="350"/>
      <c r="K422" s="351"/>
      <c r="L422" s="643"/>
      <c r="M422" s="350"/>
      <c r="N422" s="350"/>
      <c r="O422" s="351"/>
      <c r="P422" s="644"/>
      <c r="Q422" s="350"/>
      <c r="R422" s="350"/>
      <c r="S422" s="351"/>
      <c r="T422" s="643"/>
      <c r="U422" s="350"/>
      <c r="V422" s="350"/>
      <c r="W422" s="351"/>
      <c r="X422" s="644"/>
      <c r="Y422" s="350"/>
      <c r="Z422" s="350"/>
      <c r="AA422" s="351"/>
      <c r="AB422" s="506"/>
      <c r="AC422" s="350"/>
      <c r="AD422" s="351"/>
      <c r="AE422" s="571"/>
      <c r="AF422" s="350"/>
      <c r="AG422" s="351"/>
      <c r="AH422" s="645"/>
      <c r="AI422" s="350"/>
      <c r="AJ422" s="351"/>
      <c r="AK422" s="567"/>
      <c r="AL422" s="350"/>
      <c r="AM422" s="351"/>
      <c r="AN422" s="58"/>
      <c r="AO422" s="59"/>
      <c r="AP422" s="58"/>
      <c r="AQ422" s="59"/>
      <c r="AR422" s="58"/>
      <c r="AS422" s="59"/>
      <c r="AT422" s="58"/>
      <c r="AU422" s="59"/>
      <c r="AV422" s="58"/>
      <c r="AW422" s="59"/>
      <c r="AX422" s="58"/>
      <c r="AY422" s="59"/>
      <c r="AZ422" s="64"/>
      <c r="BA422" s="61"/>
      <c r="BB422" s="64"/>
      <c r="BC422" s="61"/>
      <c r="BD422" s="64"/>
      <c r="BE422" s="61"/>
      <c r="BF422" s="64"/>
      <c r="BG422" s="61"/>
      <c r="BH422" s="64"/>
      <c r="BI422" s="646" t="s">
        <v>298</v>
      </c>
      <c r="BJ422" s="350"/>
      <c r="BK422" s="350"/>
      <c r="BL422" s="350"/>
      <c r="BM422" s="350"/>
      <c r="BN422" s="350"/>
      <c r="BO422" s="350"/>
      <c r="BP422" s="350"/>
      <c r="BQ422" s="350"/>
      <c r="BR422" s="350"/>
      <c r="BS422" s="350"/>
      <c r="BT422" s="350"/>
      <c r="BU422" s="350"/>
      <c r="BV422" s="351"/>
    </row>
    <row r="423" spans="1:74" ht="30" customHeight="1">
      <c r="A423" s="63">
        <f t="shared" si="1"/>
        <v>409</v>
      </c>
      <c r="B423" s="56" t="s">
        <v>325</v>
      </c>
      <c r="C423" s="57"/>
      <c r="D423" s="644"/>
      <c r="E423" s="350"/>
      <c r="F423" s="350"/>
      <c r="G423" s="350"/>
      <c r="H423" s="350"/>
      <c r="I423" s="350"/>
      <c r="J423" s="350"/>
      <c r="K423" s="351"/>
      <c r="L423" s="643"/>
      <c r="M423" s="350"/>
      <c r="N423" s="350"/>
      <c r="O423" s="351"/>
      <c r="P423" s="644"/>
      <c r="Q423" s="350"/>
      <c r="R423" s="350"/>
      <c r="S423" s="351"/>
      <c r="T423" s="643"/>
      <c r="U423" s="350"/>
      <c r="V423" s="350"/>
      <c r="W423" s="351"/>
      <c r="X423" s="644"/>
      <c r="Y423" s="350"/>
      <c r="Z423" s="350"/>
      <c r="AA423" s="351"/>
      <c r="AB423" s="506"/>
      <c r="AC423" s="350"/>
      <c r="AD423" s="351"/>
      <c r="AE423" s="571"/>
      <c r="AF423" s="350"/>
      <c r="AG423" s="351"/>
      <c r="AH423" s="645"/>
      <c r="AI423" s="350"/>
      <c r="AJ423" s="351"/>
      <c r="AK423" s="567"/>
      <c r="AL423" s="350"/>
      <c r="AM423" s="351"/>
      <c r="AN423" s="58"/>
      <c r="AO423" s="59"/>
      <c r="AP423" s="58"/>
      <c r="AQ423" s="59"/>
      <c r="AR423" s="58"/>
      <c r="AS423" s="59"/>
      <c r="AT423" s="58"/>
      <c r="AU423" s="59"/>
      <c r="AV423" s="58"/>
      <c r="AW423" s="59"/>
      <c r="AX423" s="58"/>
      <c r="AY423" s="59"/>
      <c r="AZ423" s="64"/>
      <c r="BA423" s="61"/>
      <c r="BB423" s="64"/>
      <c r="BC423" s="61"/>
      <c r="BD423" s="64"/>
      <c r="BE423" s="61"/>
      <c r="BF423" s="64"/>
      <c r="BG423" s="61"/>
      <c r="BH423" s="64"/>
      <c r="BI423" s="646" t="s">
        <v>294</v>
      </c>
      <c r="BJ423" s="350"/>
      <c r="BK423" s="350"/>
      <c r="BL423" s="350"/>
      <c r="BM423" s="350"/>
      <c r="BN423" s="350"/>
      <c r="BO423" s="350"/>
      <c r="BP423" s="350"/>
      <c r="BQ423" s="350"/>
      <c r="BR423" s="350"/>
      <c r="BS423" s="350"/>
      <c r="BT423" s="350"/>
      <c r="BU423" s="350"/>
      <c r="BV423" s="351"/>
    </row>
    <row r="424" spans="1:74" ht="30" customHeight="1">
      <c r="A424" s="63">
        <f t="shared" si="1"/>
        <v>410</v>
      </c>
      <c r="B424" s="56" t="s">
        <v>325</v>
      </c>
      <c r="C424" s="57"/>
      <c r="D424" s="644"/>
      <c r="E424" s="350"/>
      <c r="F424" s="350"/>
      <c r="G424" s="350"/>
      <c r="H424" s="350"/>
      <c r="I424" s="350"/>
      <c r="J424" s="350"/>
      <c r="K424" s="351"/>
      <c r="L424" s="643"/>
      <c r="M424" s="350"/>
      <c r="N424" s="350"/>
      <c r="O424" s="351"/>
      <c r="P424" s="644"/>
      <c r="Q424" s="350"/>
      <c r="R424" s="350"/>
      <c r="S424" s="351"/>
      <c r="T424" s="643"/>
      <c r="U424" s="350"/>
      <c r="V424" s="350"/>
      <c r="W424" s="351"/>
      <c r="X424" s="644"/>
      <c r="Y424" s="350"/>
      <c r="Z424" s="350"/>
      <c r="AA424" s="351"/>
      <c r="AB424" s="506"/>
      <c r="AC424" s="350"/>
      <c r="AD424" s="351"/>
      <c r="AE424" s="571"/>
      <c r="AF424" s="350"/>
      <c r="AG424" s="351"/>
      <c r="AH424" s="645"/>
      <c r="AI424" s="350"/>
      <c r="AJ424" s="351"/>
      <c r="AK424" s="567"/>
      <c r="AL424" s="350"/>
      <c r="AM424" s="351"/>
      <c r="AN424" s="58"/>
      <c r="AO424" s="59"/>
      <c r="AP424" s="58"/>
      <c r="AQ424" s="59"/>
      <c r="AR424" s="58"/>
      <c r="AS424" s="59"/>
      <c r="AT424" s="58"/>
      <c r="AU424" s="59"/>
      <c r="AV424" s="58"/>
      <c r="AW424" s="59"/>
      <c r="AX424" s="58"/>
      <c r="AY424" s="59"/>
      <c r="AZ424" s="64"/>
      <c r="BA424" s="61"/>
      <c r="BB424" s="64"/>
      <c r="BC424" s="61"/>
      <c r="BD424" s="64"/>
      <c r="BE424" s="61"/>
      <c r="BF424" s="64"/>
      <c r="BG424" s="61"/>
      <c r="BH424" s="64"/>
      <c r="BI424" s="646" t="s">
        <v>294</v>
      </c>
      <c r="BJ424" s="350"/>
      <c r="BK424" s="350"/>
      <c r="BL424" s="350"/>
      <c r="BM424" s="350"/>
      <c r="BN424" s="350"/>
      <c r="BO424" s="350"/>
      <c r="BP424" s="350"/>
      <c r="BQ424" s="350"/>
      <c r="BR424" s="350"/>
      <c r="BS424" s="350"/>
      <c r="BT424" s="350"/>
      <c r="BU424" s="350"/>
      <c r="BV424" s="351"/>
    </row>
    <row r="425" spans="1:74" ht="30" customHeight="1">
      <c r="A425" s="55">
        <f t="shared" si="1"/>
        <v>411</v>
      </c>
      <c r="B425" s="56" t="s">
        <v>325</v>
      </c>
      <c r="C425" s="57"/>
      <c r="D425" s="644"/>
      <c r="E425" s="350"/>
      <c r="F425" s="350"/>
      <c r="G425" s="350"/>
      <c r="H425" s="350"/>
      <c r="I425" s="350"/>
      <c r="J425" s="350"/>
      <c r="K425" s="351"/>
      <c r="L425" s="643"/>
      <c r="M425" s="350"/>
      <c r="N425" s="350"/>
      <c r="O425" s="351"/>
      <c r="P425" s="644"/>
      <c r="Q425" s="350"/>
      <c r="R425" s="350"/>
      <c r="S425" s="351"/>
      <c r="T425" s="643"/>
      <c r="U425" s="350"/>
      <c r="V425" s="350"/>
      <c r="W425" s="351"/>
      <c r="X425" s="644"/>
      <c r="Y425" s="350"/>
      <c r="Z425" s="350"/>
      <c r="AA425" s="351"/>
      <c r="AB425" s="506"/>
      <c r="AC425" s="350"/>
      <c r="AD425" s="351"/>
      <c r="AE425" s="571"/>
      <c r="AF425" s="350"/>
      <c r="AG425" s="351"/>
      <c r="AH425" s="645"/>
      <c r="AI425" s="350"/>
      <c r="AJ425" s="351"/>
      <c r="AK425" s="567"/>
      <c r="AL425" s="350"/>
      <c r="AM425" s="351"/>
      <c r="AN425" s="58"/>
      <c r="AO425" s="59"/>
      <c r="AP425" s="58"/>
      <c r="AQ425" s="59"/>
      <c r="AR425" s="58"/>
      <c r="AS425" s="59"/>
      <c r="AT425" s="58"/>
      <c r="AU425" s="59"/>
      <c r="AV425" s="58"/>
      <c r="AW425" s="59"/>
      <c r="AX425" s="58"/>
      <c r="AY425" s="59"/>
      <c r="AZ425" s="64"/>
      <c r="BA425" s="61"/>
      <c r="BB425" s="64"/>
      <c r="BC425" s="61"/>
      <c r="BD425" s="64"/>
      <c r="BE425" s="61"/>
      <c r="BF425" s="64"/>
      <c r="BG425" s="61"/>
      <c r="BH425" s="64"/>
      <c r="BI425" s="646" t="s">
        <v>298</v>
      </c>
      <c r="BJ425" s="350"/>
      <c r="BK425" s="350"/>
      <c r="BL425" s="350"/>
      <c r="BM425" s="350"/>
      <c r="BN425" s="350"/>
      <c r="BO425" s="350"/>
      <c r="BP425" s="350"/>
      <c r="BQ425" s="350"/>
      <c r="BR425" s="350"/>
      <c r="BS425" s="350"/>
      <c r="BT425" s="350"/>
      <c r="BU425" s="350"/>
      <c r="BV425" s="351"/>
    </row>
    <row r="426" spans="1:74" ht="30" customHeight="1">
      <c r="A426" s="63">
        <f t="shared" si="1"/>
        <v>412</v>
      </c>
      <c r="B426" s="56" t="s">
        <v>325</v>
      </c>
      <c r="C426" s="57"/>
      <c r="D426" s="644"/>
      <c r="E426" s="350"/>
      <c r="F426" s="350"/>
      <c r="G426" s="350"/>
      <c r="H426" s="350"/>
      <c r="I426" s="350"/>
      <c r="J426" s="350"/>
      <c r="K426" s="351"/>
      <c r="L426" s="643"/>
      <c r="M426" s="350"/>
      <c r="N426" s="350"/>
      <c r="O426" s="351"/>
      <c r="P426" s="644"/>
      <c r="Q426" s="350"/>
      <c r="R426" s="350"/>
      <c r="S426" s="351"/>
      <c r="T426" s="643"/>
      <c r="U426" s="350"/>
      <c r="V426" s="350"/>
      <c r="W426" s="351"/>
      <c r="X426" s="644"/>
      <c r="Y426" s="350"/>
      <c r="Z426" s="350"/>
      <c r="AA426" s="351"/>
      <c r="AB426" s="506"/>
      <c r="AC426" s="350"/>
      <c r="AD426" s="351"/>
      <c r="AE426" s="571"/>
      <c r="AF426" s="350"/>
      <c r="AG426" s="351"/>
      <c r="AH426" s="645"/>
      <c r="AI426" s="350"/>
      <c r="AJ426" s="351"/>
      <c r="AK426" s="567"/>
      <c r="AL426" s="350"/>
      <c r="AM426" s="351"/>
      <c r="AN426" s="58"/>
      <c r="AO426" s="59"/>
      <c r="AP426" s="58"/>
      <c r="AQ426" s="59"/>
      <c r="AR426" s="58"/>
      <c r="AS426" s="59"/>
      <c r="AT426" s="58"/>
      <c r="AU426" s="59"/>
      <c r="AV426" s="58"/>
      <c r="AW426" s="59"/>
      <c r="AX426" s="58"/>
      <c r="AY426" s="59"/>
      <c r="AZ426" s="64"/>
      <c r="BA426" s="61"/>
      <c r="BB426" s="64"/>
      <c r="BC426" s="61"/>
      <c r="BD426" s="64"/>
      <c r="BE426" s="61"/>
      <c r="BF426" s="64"/>
      <c r="BG426" s="61"/>
      <c r="BH426" s="64"/>
      <c r="BI426" s="646" t="s">
        <v>298</v>
      </c>
      <c r="BJ426" s="350"/>
      <c r="BK426" s="350"/>
      <c r="BL426" s="350"/>
      <c r="BM426" s="350"/>
      <c r="BN426" s="350"/>
      <c r="BO426" s="350"/>
      <c r="BP426" s="350"/>
      <c r="BQ426" s="350"/>
      <c r="BR426" s="350"/>
      <c r="BS426" s="350"/>
      <c r="BT426" s="350"/>
      <c r="BU426" s="350"/>
      <c r="BV426" s="351"/>
    </row>
    <row r="427" spans="1:74" ht="30" customHeight="1">
      <c r="A427" s="63">
        <f t="shared" si="1"/>
        <v>413</v>
      </c>
      <c r="B427" s="56" t="s">
        <v>325</v>
      </c>
      <c r="C427" s="57"/>
      <c r="D427" s="644"/>
      <c r="E427" s="350"/>
      <c r="F427" s="350"/>
      <c r="G427" s="350"/>
      <c r="H427" s="350"/>
      <c r="I427" s="350"/>
      <c r="J427" s="350"/>
      <c r="K427" s="351"/>
      <c r="L427" s="643"/>
      <c r="M427" s="350"/>
      <c r="N427" s="350"/>
      <c r="O427" s="351"/>
      <c r="P427" s="644"/>
      <c r="Q427" s="350"/>
      <c r="R427" s="350"/>
      <c r="S427" s="351"/>
      <c r="T427" s="643"/>
      <c r="U427" s="350"/>
      <c r="V427" s="350"/>
      <c r="W427" s="351"/>
      <c r="X427" s="644"/>
      <c r="Y427" s="350"/>
      <c r="Z427" s="350"/>
      <c r="AA427" s="351"/>
      <c r="AB427" s="506"/>
      <c r="AC427" s="350"/>
      <c r="AD427" s="351"/>
      <c r="AE427" s="571"/>
      <c r="AF427" s="350"/>
      <c r="AG427" s="351"/>
      <c r="AH427" s="645"/>
      <c r="AI427" s="350"/>
      <c r="AJ427" s="351"/>
      <c r="AK427" s="567"/>
      <c r="AL427" s="350"/>
      <c r="AM427" s="351"/>
      <c r="AN427" s="58"/>
      <c r="AO427" s="59"/>
      <c r="AP427" s="58"/>
      <c r="AQ427" s="59"/>
      <c r="AR427" s="58"/>
      <c r="AS427" s="59"/>
      <c r="AT427" s="58"/>
      <c r="AU427" s="59"/>
      <c r="AV427" s="58"/>
      <c r="AW427" s="59"/>
      <c r="AX427" s="58"/>
      <c r="AY427" s="59"/>
      <c r="AZ427" s="64"/>
      <c r="BA427" s="61"/>
      <c r="BB427" s="64"/>
      <c r="BC427" s="61"/>
      <c r="BD427" s="64"/>
      <c r="BE427" s="61"/>
      <c r="BF427" s="64"/>
      <c r="BG427" s="61"/>
      <c r="BH427" s="64"/>
      <c r="BI427" s="646" t="s">
        <v>298</v>
      </c>
      <c r="BJ427" s="350"/>
      <c r="BK427" s="350"/>
      <c r="BL427" s="350"/>
      <c r="BM427" s="350"/>
      <c r="BN427" s="350"/>
      <c r="BO427" s="350"/>
      <c r="BP427" s="350"/>
      <c r="BQ427" s="350"/>
      <c r="BR427" s="350"/>
      <c r="BS427" s="350"/>
      <c r="BT427" s="350"/>
      <c r="BU427" s="350"/>
      <c r="BV427" s="351"/>
    </row>
    <row r="428" spans="1:74" ht="30" customHeight="1">
      <c r="A428" s="63">
        <f t="shared" si="1"/>
        <v>414</v>
      </c>
      <c r="B428" s="56" t="s">
        <v>325</v>
      </c>
      <c r="C428" s="57"/>
      <c r="D428" s="644"/>
      <c r="E428" s="350"/>
      <c r="F428" s="350"/>
      <c r="G428" s="350"/>
      <c r="H428" s="350"/>
      <c r="I428" s="350"/>
      <c r="J428" s="350"/>
      <c r="K428" s="351"/>
      <c r="L428" s="643"/>
      <c r="M428" s="350"/>
      <c r="N428" s="350"/>
      <c r="O428" s="351"/>
      <c r="P428" s="644"/>
      <c r="Q428" s="350"/>
      <c r="R428" s="350"/>
      <c r="S428" s="351"/>
      <c r="T428" s="643"/>
      <c r="U428" s="350"/>
      <c r="V428" s="350"/>
      <c r="W428" s="351"/>
      <c r="X428" s="644"/>
      <c r="Y428" s="350"/>
      <c r="Z428" s="350"/>
      <c r="AA428" s="351"/>
      <c r="AB428" s="506"/>
      <c r="AC428" s="350"/>
      <c r="AD428" s="351"/>
      <c r="AE428" s="571"/>
      <c r="AF428" s="350"/>
      <c r="AG428" s="351"/>
      <c r="AH428" s="645"/>
      <c r="AI428" s="350"/>
      <c r="AJ428" s="351"/>
      <c r="AK428" s="567"/>
      <c r="AL428" s="350"/>
      <c r="AM428" s="351"/>
      <c r="AN428" s="58"/>
      <c r="AO428" s="59"/>
      <c r="AP428" s="58"/>
      <c r="AQ428" s="59"/>
      <c r="AR428" s="58"/>
      <c r="AS428" s="59"/>
      <c r="AT428" s="58"/>
      <c r="AU428" s="59"/>
      <c r="AV428" s="58"/>
      <c r="AW428" s="59"/>
      <c r="AX428" s="58"/>
      <c r="AY428" s="59"/>
      <c r="AZ428" s="64"/>
      <c r="BA428" s="61"/>
      <c r="BB428" s="64"/>
      <c r="BC428" s="61"/>
      <c r="BD428" s="64"/>
      <c r="BE428" s="61"/>
      <c r="BF428" s="64"/>
      <c r="BG428" s="61"/>
      <c r="BH428" s="64"/>
      <c r="BI428" s="646" t="s">
        <v>298</v>
      </c>
      <c r="BJ428" s="350"/>
      <c r="BK428" s="350"/>
      <c r="BL428" s="350"/>
      <c r="BM428" s="350"/>
      <c r="BN428" s="350"/>
      <c r="BO428" s="350"/>
      <c r="BP428" s="350"/>
      <c r="BQ428" s="350"/>
      <c r="BR428" s="350"/>
      <c r="BS428" s="350"/>
      <c r="BT428" s="350"/>
      <c r="BU428" s="350"/>
      <c r="BV428" s="351"/>
    </row>
    <row r="429" spans="1:74" ht="30" customHeight="1">
      <c r="A429" s="63">
        <f t="shared" si="1"/>
        <v>415</v>
      </c>
      <c r="B429" s="56" t="s">
        <v>325</v>
      </c>
      <c r="C429" s="57"/>
      <c r="D429" s="644"/>
      <c r="E429" s="350"/>
      <c r="F429" s="350"/>
      <c r="G429" s="350"/>
      <c r="H429" s="350"/>
      <c r="I429" s="350"/>
      <c r="J429" s="350"/>
      <c r="K429" s="351"/>
      <c r="L429" s="643"/>
      <c r="M429" s="350"/>
      <c r="N429" s="350"/>
      <c r="O429" s="351"/>
      <c r="P429" s="644"/>
      <c r="Q429" s="350"/>
      <c r="R429" s="350"/>
      <c r="S429" s="351"/>
      <c r="T429" s="643"/>
      <c r="U429" s="350"/>
      <c r="V429" s="350"/>
      <c r="W429" s="351"/>
      <c r="X429" s="644"/>
      <c r="Y429" s="350"/>
      <c r="Z429" s="350"/>
      <c r="AA429" s="351"/>
      <c r="AB429" s="506"/>
      <c r="AC429" s="350"/>
      <c r="AD429" s="351"/>
      <c r="AE429" s="571"/>
      <c r="AF429" s="350"/>
      <c r="AG429" s="351"/>
      <c r="AH429" s="645"/>
      <c r="AI429" s="350"/>
      <c r="AJ429" s="351"/>
      <c r="AK429" s="567"/>
      <c r="AL429" s="350"/>
      <c r="AM429" s="351"/>
      <c r="AN429" s="58"/>
      <c r="AO429" s="59"/>
      <c r="AP429" s="58"/>
      <c r="AQ429" s="59"/>
      <c r="AR429" s="58"/>
      <c r="AS429" s="59"/>
      <c r="AT429" s="58"/>
      <c r="AU429" s="59"/>
      <c r="AV429" s="58"/>
      <c r="AW429" s="59"/>
      <c r="AX429" s="58"/>
      <c r="AY429" s="59"/>
      <c r="AZ429" s="64"/>
      <c r="BA429" s="61"/>
      <c r="BB429" s="64"/>
      <c r="BC429" s="61"/>
      <c r="BD429" s="64"/>
      <c r="BE429" s="61"/>
      <c r="BF429" s="64"/>
      <c r="BG429" s="61"/>
      <c r="BH429" s="64"/>
      <c r="BI429" s="646" t="s">
        <v>298</v>
      </c>
      <c r="BJ429" s="350"/>
      <c r="BK429" s="350"/>
      <c r="BL429" s="350"/>
      <c r="BM429" s="350"/>
      <c r="BN429" s="350"/>
      <c r="BO429" s="350"/>
      <c r="BP429" s="350"/>
      <c r="BQ429" s="350"/>
      <c r="BR429" s="350"/>
      <c r="BS429" s="350"/>
      <c r="BT429" s="350"/>
      <c r="BU429" s="350"/>
      <c r="BV429" s="351"/>
    </row>
    <row r="430" spans="1:74" ht="30" customHeight="1">
      <c r="A430" s="63">
        <f t="shared" si="1"/>
        <v>416</v>
      </c>
      <c r="B430" s="56" t="s">
        <v>325</v>
      </c>
      <c r="C430" s="57"/>
      <c r="D430" s="644"/>
      <c r="E430" s="350"/>
      <c r="F430" s="350"/>
      <c r="G430" s="350"/>
      <c r="H430" s="350"/>
      <c r="I430" s="350"/>
      <c r="J430" s="350"/>
      <c r="K430" s="351"/>
      <c r="L430" s="643"/>
      <c r="M430" s="350"/>
      <c r="N430" s="350"/>
      <c r="O430" s="351"/>
      <c r="P430" s="644"/>
      <c r="Q430" s="350"/>
      <c r="R430" s="350"/>
      <c r="S430" s="351"/>
      <c r="T430" s="643"/>
      <c r="U430" s="350"/>
      <c r="V430" s="350"/>
      <c r="W430" s="351"/>
      <c r="X430" s="644"/>
      <c r="Y430" s="350"/>
      <c r="Z430" s="350"/>
      <c r="AA430" s="351"/>
      <c r="AB430" s="506"/>
      <c r="AC430" s="350"/>
      <c r="AD430" s="351"/>
      <c r="AE430" s="571"/>
      <c r="AF430" s="350"/>
      <c r="AG430" s="351"/>
      <c r="AH430" s="645"/>
      <c r="AI430" s="350"/>
      <c r="AJ430" s="351"/>
      <c r="AK430" s="567"/>
      <c r="AL430" s="350"/>
      <c r="AM430" s="351"/>
      <c r="AN430" s="58"/>
      <c r="AO430" s="59"/>
      <c r="AP430" s="58"/>
      <c r="AQ430" s="59"/>
      <c r="AR430" s="58"/>
      <c r="AS430" s="59"/>
      <c r="AT430" s="58"/>
      <c r="AU430" s="59"/>
      <c r="AV430" s="58"/>
      <c r="AW430" s="59"/>
      <c r="AX430" s="58"/>
      <c r="AY430" s="59"/>
      <c r="AZ430" s="64"/>
      <c r="BA430" s="61"/>
      <c r="BB430" s="64"/>
      <c r="BC430" s="61"/>
      <c r="BD430" s="64"/>
      <c r="BE430" s="61"/>
      <c r="BF430" s="64"/>
      <c r="BG430" s="61"/>
      <c r="BH430" s="64"/>
      <c r="BI430" s="646" t="s">
        <v>294</v>
      </c>
      <c r="BJ430" s="350"/>
      <c r="BK430" s="350"/>
      <c r="BL430" s="350"/>
      <c r="BM430" s="350"/>
      <c r="BN430" s="350"/>
      <c r="BO430" s="350"/>
      <c r="BP430" s="350"/>
      <c r="BQ430" s="350"/>
      <c r="BR430" s="350"/>
      <c r="BS430" s="350"/>
      <c r="BT430" s="350"/>
      <c r="BU430" s="350"/>
      <c r="BV430" s="351"/>
    </row>
    <row r="431" spans="1:74" ht="30" customHeight="1">
      <c r="A431" s="55">
        <f t="shared" si="1"/>
        <v>417</v>
      </c>
      <c r="B431" s="56" t="s">
        <v>325</v>
      </c>
      <c r="C431" s="57"/>
      <c r="D431" s="644"/>
      <c r="E431" s="350"/>
      <c r="F431" s="350"/>
      <c r="G431" s="350"/>
      <c r="H431" s="350"/>
      <c r="I431" s="350"/>
      <c r="J431" s="350"/>
      <c r="K431" s="351"/>
      <c r="L431" s="643"/>
      <c r="M431" s="350"/>
      <c r="N431" s="350"/>
      <c r="O431" s="351"/>
      <c r="P431" s="644"/>
      <c r="Q431" s="350"/>
      <c r="R431" s="350"/>
      <c r="S431" s="351"/>
      <c r="T431" s="643"/>
      <c r="U431" s="350"/>
      <c r="V431" s="350"/>
      <c r="W431" s="351"/>
      <c r="X431" s="644"/>
      <c r="Y431" s="350"/>
      <c r="Z431" s="350"/>
      <c r="AA431" s="351"/>
      <c r="AB431" s="506"/>
      <c r="AC431" s="350"/>
      <c r="AD431" s="351"/>
      <c r="AE431" s="571"/>
      <c r="AF431" s="350"/>
      <c r="AG431" s="351"/>
      <c r="AH431" s="645"/>
      <c r="AI431" s="350"/>
      <c r="AJ431" s="351"/>
      <c r="AK431" s="567"/>
      <c r="AL431" s="350"/>
      <c r="AM431" s="351"/>
      <c r="AN431" s="58"/>
      <c r="AO431" s="59"/>
      <c r="AP431" s="58"/>
      <c r="AQ431" s="59"/>
      <c r="AR431" s="58"/>
      <c r="AS431" s="59"/>
      <c r="AT431" s="58"/>
      <c r="AU431" s="59"/>
      <c r="AV431" s="58"/>
      <c r="AW431" s="59"/>
      <c r="AX431" s="58"/>
      <c r="AY431" s="59"/>
      <c r="AZ431" s="64"/>
      <c r="BA431" s="61"/>
      <c r="BB431" s="64"/>
      <c r="BC431" s="61"/>
      <c r="BD431" s="64"/>
      <c r="BE431" s="61"/>
      <c r="BF431" s="64"/>
      <c r="BG431" s="61"/>
      <c r="BH431" s="64"/>
      <c r="BI431" s="646" t="s">
        <v>298</v>
      </c>
      <c r="BJ431" s="350"/>
      <c r="BK431" s="350"/>
      <c r="BL431" s="350"/>
      <c r="BM431" s="350"/>
      <c r="BN431" s="350"/>
      <c r="BO431" s="350"/>
      <c r="BP431" s="350"/>
      <c r="BQ431" s="350"/>
      <c r="BR431" s="350"/>
      <c r="BS431" s="350"/>
      <c r="BT431" s="350"/>
      <c r="BU431" s="350"/>
      <c r="BV431" s="351"/>
    </row>
    <row r="432" spans="1:74" ht="30" customHeight="1">
      <c r="A432" s="63">
        <f t="shared" si="1"/>
        <v>418</v>
      </c>
      <c r="B432" s="56" t="s">
        <v>325</v>
      </c>
      <c r="C432" s="57"/>
      <c r="D432" s="644"/>
      <c r="E432" s="350"/>
      <c r="F432" s="350"/>
      <c r="G432" s="350"/>
      <c r="H432" s="350"/>
      <c r="I432" s="350"/>
      <c r="J432" s="350"/>
      <c r="K432" s="351"/>
      <c r="L432" s="643"/>
      <c r="M432" s="350"/>
      <c r="N432" s="350"/>
      <c r="O432" s="351"/>
      <c r="P432" s="644"/>
      <c r="Q432" s="350"/>
      <c r="R432" s="350"/>
      <c r="S432" s="351"/>
      <c r="T432" s="643"/>
      <c r="U432" s="350"/>
      <c r="V432" s="350"/>
      <c r="W432" s="351"/>
      <c r="X432" s="644"/>
      <c r="Y432" s="350"/>
      <c r="Z432" s="350"/>
      <c r="AA432" s="351"/>
      <c r="AB432" s="506"/>
      <c r="AC432" s="350"/>
      <c r="AD432" s="351"/>
      <c r="AE432" s="571"/>
      <c r="AF432" s="350"/>
      <c r="AG432" s="351"/>
      <c r="AH432" s="645"/>
      <c r="AI432" s="350"/>
      <c r="AJ432" s="351"/>
      <c r="AK432" s="567"/>
      <c r="AL432" s="350"/>
      <c r="AM432" s="351"/>
      <c r="AN432" s="58"/>
      <c r="AO432" s="59"/>
      <c r="AP432" s="58"/>
      <c r="AQ432" s="59"/>
      <c r="AR432" s="58"/>
      <c r="AS432" s="59"/>
      <c r="AT432" s="58"/>
      <c r="AU432" s="59"/>
      <c r="AV432" s="58"/>
      <c r="AW432" s="59"/>
      <c r="AX432" s="58"/>
      <c r="AY432" s="59"/>
      <c r="AZ432" s="64"/>
      <c r="BA432" s="61"/>
      <c r="BB432" s="64"/>
      <c r="BC432" s="61"/>
      <c r="BD432" s="64"/>
      <c r="BE432" s="61"/>
      <c r="BF432" s="64"/>
      <c r="BG432" s="61"/>
      <c r="BH432" s="64"/>
      <c r="BI432" s="646" t="s">
        <v>298</v>
      </c>
      <c r="BJ432" s="350"/>
      <c r="BK432" s="350"/>
      <c r="BL432" s="350"/>
      <c r="BM432" s="350"/>
      <c r="BN432" s="350"/>
      <c r="BO432" s="350"/>
      <c r="BP432" s="350"/>
      <c r="BQ432" s="350"/>
      <c r="BR432" s="350"/>
      <c r="BS432" s="350"/>
      <c r="BT432" s="350"/>
      <c r="BU432" s="350"/>
      <c r="BV432" s="351"/>
    </row>
    <row r="433" spans="1:74" ht="30" customHeight="1">
      <c r="A433" s="63">
        <f t="shared" si="1"/>
        <v>419</v>
      </c>
      <c r="B433" s="56" t="s">
        <v>325</v>
      </c>
      <c r="C433" s="57"/>
      <c r="D433" s="644"/>
      <c r="E433" s="350"/>
      <c r="F433" s="350"/>
      <c r="G433" s="350"/>
      <c r="H433" s="350"/>
      <c r="I433" s="350"/>
      <c r="J433" s="350"/>
      <c r="K433" s="351"/>
      <c r="L433" s="643"/>
      <c r="M433" s="350"/>
      <c r="N433" s="350"/>
      <c r="O433" s="351"/>
      <c r="P433" s="644"/>
      <c r="Q433" s="350"/>
      <c r="R433" s="350"/>
      <c r="S433" s="351"/>
      <c r="T433" s="643"/>
      <c r="U433" s="350"/>
      <c r="V433" s="350"/>
      <c r="W433" s="351"/>
      <c r="X433" s="644"/>
      <c r="Y433" s="350"/>
      <c r="Z433" s="350"/>
      <c r="AA433" s="351"/>
      <c r="AB433" s="506"/>
      <c r="AC433" s="350"/>
      <c r="AD433" s="351"/>
      <c r="AE433" s="571"/>
      <c r="AF433" s="350"/>
      <c r="AG433" s="351"/>
      <c r="AH433" s="645"/>
      <c r="AI433" s="350"/>
      <c r="AJ433" s="351"/>
      <c r="AK433" s="567"/>
      <c r="AL433" s="350"/>
      <c r="AM433" s="351"/>
      <c r="AN433" s="58"/>
      <c r="AO433" s="59"/>
      <c r="AP433" s="58"/>
      <c r="AQ433" s="59"/>
      <c r="AR433" s="58"/>
      <c r="AS433" s="59"/>
      <c r="AT433" s="58"/>
      <c r="AU433" s="59"/>
      <c r="AV433" s="58"/>
      <c r="AW433" s="59"/>
      <c r="AX433" s="58"/>
      <c r="AY433" s="59"/>
      <c r="AZ433" s="64"/>
      <c r="BA433" s="61"/>
      <c r="BB433" s="64"/>
      <c r="BC433" s="61"/>
      <c r="BD433" s="64"/>
      <c r="BE433" s="61"/>
      <c r="BF433" s="64"/>
      <c r="BG433" s="61"/>
      <c r="BH433" s="64"/>
      <c r="BI433" s="646" t="s">
        <v>298</v>
      </c>
      <c r="BJ433" s="350"/>
      <c r="BK433" s="350"/>
      <c r="BL433" s="350"/>
      <c r="BM433" s="350"/>
      <c r="BN433" s="350"/>
      <c r="BO433" s="350"/>
      <c r="BP433" s="350"/>
      <c r="BQ433" s="350"/>
      <c r="BR433" s="350"/>
      <c r="BS433" s="350"/>
      <c r="BT433" s="350"/>
      <c r="BU433" s="350"/>
      <c r="BV433" s="351"/>
    </row>
    <row r="434" spans="1:74" ht="30" customHeight="1">
      <c r="A434" s="63">
        <f t="shared" si="1"/>
        <v>420</v>
      </c>
      <c r="B434" s="56" t="s">
        <v>325</v>
      </c>
      <c r="C434" s="57"/>
      <c r="D434" s="644"/>
      <c r="E434" s="350"/>
      <c r="F434" s="350"/>
      <c r="G434" s="350"/>
      <c r="H434" s="350"/>
      <c r="I434" s="350"/>
      <c r="J434" s="350"/>
      <c r="K434" s="351"/>
      <c r="L434" s="643"/>
      <c r="M434" s="350"/>
      <c r="N434" s="350"/>
      <c r="O434" s="351"/>
      <c r="P434" s="644"/>
      <c r="Q434" s="350"/>
      <c r="R434" s="350"/>
      <c r="S434" s="351"/>
      <c r="T434" s="643"/>
      <c r="U434" s="350"/>
      <c r="V434" s="350"/>
      <c r="W434" s="351"/>
      <c r="X434" s="644"/>
      <c r="Y434" s="350"/>
      <c r="Z434" s="350"/>
      <c r="AA434" s="351"/>
      <c r="AB434" s="506"/>
      <c r="AC434" s="350"/>
      <c r="AD434" s="351"/>
      <c r="AE434" s="571"/>
      <c r="AF434" s="350"/>
      <c r="AG434" s="351"/>
      <c r="AH434" s="645"/>
      <c r="AI434" s="350"/>
      <c r="AJ434" s="351"/>
      <c r="AK434" s="567"/>
      <c r="AL434" s="350"/>
      <c r="AM434" s="351"/>
      <c r="AN434" s="58"/>
      <c r="AO434" s="59"/>
      <c r="AP434" s="58"/>
      <c r="AQ434" s="59"/>
      <c r="AR434" s="58"/>
      <c r="AS434" s="59"/>
      <c r="AT434" s="58"/>
      <c r="AU434" s="59"/>
      <c r="AV434" s="58"/>
      <c r="AW434" s="59"/>
      <c r="AX434" s="58"/>
      <c r="AY434" s="59"/>
      <c r="AZ434" s="64"/>
      <c r="BA434" s="61"/>
      <c r="BB434" s="64"/>
      <c r="BC434" s="61"/>
      <c r="BD434" s="64"/>
      <c r="BE434" s="61"/>
      <c r="BF434" s="64"/>
      <c r="BG434" s="61"/>
      <c r="BH434" s="64"/>
      <c r="BI434" s="646" t="s">
        <v>298</v>
      </c>
      <c r="BJ434" s="350"/>
      <c r="BK434" s="350"/>
      <c r="BL434" s="350"/>
      <c r="BM434" s="350"/>
      <c r="BN434" s="350"/>
      <c r="BO434" s="350"/>
      <c r="BP434" s="350"/>
      <c r="BQ434" s="350"/>
      <c r="BR434" s="350"/>
      <c r="BS434" s="350"/>
      <c r="BT434" s="350"/>
      <c r="BU434" s="350"/>
      <c r="BV434" s="351"/>
    </row>
    <row r="435" spans="1:74" ht="30" customHeight="1">
      <c r="A435" s="63">
        <f t="shared" si="1"/>
        <v>421</v>
      </c>
      <c r="B435" s="56" t="s">
        <v>325</v>
      </c>
      <c r="C435" s="57"/>
      <c r="D435" s="644"/>
      <c r="E435" s="350"/>
      <c r="F435" s="350"/>
      <c r="G435" s="350"/>
      <c r="H435" s="350"/>
      <c r="I435" s="350"/>
      <c r="J435" s="350"/>
      <c r="K435" s="351"/>
      <c r="L435" s="643"/>
      <c r="M435" s="350"/>
      <c r="N435" s="350"/>
      <c r="O435" s="351"/>
      <c r="P435" s="644"/>
      <c r="Q435" s="350"/>
      <c r="R435" s="350"/>
      <c r="S435" s="351"/>
      <c r="T435" s="643"/>
      <c r="U435" s="350"/>
      <c r="V435" s="350"/>
      <c r="W435" s="351"/>
      <c r="X435" s="644"/>
      <c r="Y435" s="350"/>
      <c r="Z435" s="350"/>
      <c r="AA435" s="351"/>
      <c r="AB435" s="506"/>
      <c r="AC435" s="350"/>
      <c r="AD435" s="351"/>
      <c r="AE435" s="571"/>
      <c r="AF435" s="350"/>
      <c r="AG435" s="351"/>
      <c r="AH435" s="645"/>
      <c r="AI435" s="350"/>
      <c r="AJ435" s="351"/>
      <c r="AK435" s="567"/>
      <c r="AL435" s="350"/>
      <c r="AM435" s="351"/>
      <c r="AN435" s="58"/>
      <c r="AO435" s="59"/>
      <c r="AP435" s="58"/>
      <c r="AQ435" s="59"/>
      <c r="AR435" s="58"/>
      <c r="AS435" s="59"/>
      <c r="AT435" s="58"/>
      <c r="AU435" s="59"/>
      <c r="AV435" s="58"/>
      <c r="AW435" s="59"/>
      <c r="AX435" s="58"/>
      <c r="AY435" s="59"/>
      <c r="AZ435" s="64"/>
      <c r="BA435" s="61"/>
      <c r="BB435" s="64"/>
      <c r="BC435" s="61"/>
      <c r="BD435" s="64"/>
      <c r="BE435" s="61"/>
      <c r="BF435" s="64"/>
      <c r="BG435" s="61"/>
      <c r="BH435" s="64"/>
      <c r="BI435" s="646" t="s">
        <v>298</v>
      </c>
      <c r="BJ435" s="350"/>
      <c r="BK435" s="350"/>
      <c r="BL435" s="350"/>
      <c r="BM435" s="350"/>
      <c r="BN435" s="350"/>
      <c r="BO435" s="350"/>
      <c r="BP435" s="350"/>
      <c r="BQ435" s="350"/>
      <c r="BR435" s="350"/>
      <c r="BS435" s="350"/>
      <c r="BT435" s="350"/>
      <c r="BU435" s="350"/>
      <c r="BV435" s="351"/>
    </row>
    <row r="436" spans="1:74" ht="30" customHeight="1">
      <c r="A436" s="63">
        <f t="shared" si="1"/>
        <v>422</v>
      </c>
      <c r="B436" s="56" t="s">
        <v>325</v>
      </c>
      <c r="C436" s="57"/>
      <c r="D436" s="644"/>
      <c r="E436" s="350"/>
      <c r="F436" s="350"/>
      <c r="G436" s="350"/>
      <c r="H436" s="350"/>
      <c r="I436" s="350"/>
      <c r="J436" s="350"/>
      <c r="K436" s="351"/>
      <c r="L436" s="643"/>
      <c r="M436" s="350"/>
      <c r="N436" s="350"/>
      <c r="O436" s="351"/>
      <c r="P436" s="644"/>
      <c r="Q436" s="350"/>
      <c r="R436" s="350"/>
      <c r="S436" s="351"/>
      <c r="T436" s="643"/>
      <c r="U436" s="350"/>
      <c r="V436" s="350"/>
      <c r="W436" s="351"/>
      <c r="X436" s="644"/>
      <c r="Y436" s="350"/>
      <c r="Z436" s="350"/>
      <c r="AA436" s="351"/>
      <c r="AB436" s="506"/>
      <c r="AC436" s="350"/>
      <c r="AD436" s="351"/>
      <c r="AE436" s="571"/>
      <c r="AF436" s="350"/>
      <c r="AG436" s="351"/>
      <c r="AH436" s="645"/>
      <c r="AI436" s="350"/>
      <c r="AJ436" s="351"/>
      <c r="AK436" s="567"/>
      <c r="AL436" s="350"/>
      <c r="AM436" s="351"/>
      <c r="AN436" s="58"/>
      <c r="AO436" s="59"/>
      <c r="AP436" s="58"/>
      <c r="AQ436" s="59"/>
      <c r="AR436" s="58"/>
      <c r="AS436" s="59"/>
      <c r="AT436" s="58"/>
      <c r="AU436" s="59"/>
      <c r="AV436" s="58"/>
      <c r="AW436" s="59"/>
      <c r="AX436" s="58"/>
      <c r="AY436" s="59"/>
      <c r="AZ436" s="64"/>
      <c r="BA436" s="61"/>
      <c r="BB436" s="64"/>
      <c r="BC436" s="61"/>
      <c r="BD436" s="64"/>
      <c r="BE436" s="61"/>
      <c r="BF436" s="64"/>
      <c r="BG436" s="61"/>
      <c r="BH436" s="64"/>
      <c r="BI436" s="646" t="s">
        <v>294</v>
      </c>
      <c r="BJ436" s="350"/>
      <c r="BK436" s="350"/>
      <c r="BL436" s="350"/>
      <c r="BM436" s="350"/>
      <c r="BN436" s="350"/>
      <c r="BO436" s="350"/>
      <c r="BP436" s="350"/>
      <c r="BQ436" s="350"/>
      <c r="BR436" s="350"/>
      <c r="BS436" s="350"/>
      <c r="BT436" s="350"/>
      <c r="BU436" s="350"/>
      <c r="BV436" s="351"/>
    </row>
    <row r="437" spans="1:74" ht="30" customHeight="1">
      <c r="A437" s="63">
        <f t="shared" si="1"/>
        <v>423</v>
      </c>
      <c r="B437" s="56" t="s">
        <v>325</v>
      </c>
      <c r="C437" s="57"/>
      <c r="D437" s="644"/>
      <c r="E437" s="350"/>
      <c r="F437" s="350"/>
      <c r="G437" s="350"/>
      <c r="H437" s="350"/>
      <c r="I437" s="350"/>
      <c r="J437" s="350"/>
      <c r="K437" s="351"/>
      <c r="L437" s="643"/>
      <c r="M437" s="350"/>
      <c r="N437" s="350"/>
      <c r="O437" s="351"/>
      <c r="P437" s="644"/>
      <c r="Q437" s="350"/>
      <c r="R437" s="350"/>
      <c r="S437" s="351"/>
      <c r="T437" s="643"/>
      <c r="U437" s="350"/>
      <c r="V437" s="350"/>
      <c r="W437" s="351"/>
      <c r="X437" s="644"/>
      <c r="Y437" s="350"/>
      <c r="Z437" s="350"/>
      <c r="AA437" s="351"/>
      <c r="AB437" s="506"/>
      <c r="AC437" s="350"/>
      <c r="AD437" s="351"/>
      <c r="AE437" s="571"/>
      <c r="AF437" s="350"/>
      <c r="AG437" s="351"/>
      <c r="AH437" s="645"/>
      <c r="AI437" s="350"/>
      <c r="AJ437" s="351"/>
      <c r="AK437" s="567"/>
      <c r="AL437" s="350"/>
      <c r="AM437" s="351"/>
      <c r="AN437" s="58"/>
      <c r="AO437" s="59"/>
      <c r="AP437" s="58"/>
      <c r="AQ437" s="59"/>
      <c r="AR437" s="58"/>
      <c r="AS437" s="59"/>
      <c r="AT437" s="58"/>
      <c r="AU437" s="59"/>
      <c r="AV437" s="58"/>
      <c r="AW437" s="59"/>
      <c r="AX437" s="58"/>
      <c r="AY437" s="59"/>
      <c r="AZ437" s="64"/>
      <c r="BA437" s="61"/>
      <c r="BB437" s="64"/>
      <c r="BC437" s="61"/>
      <c r="BD437" s="64"/>
      <c r="BE437" s="61"/>
      <c r="BF437" s="64"/>
      <c r="BG437" s="61"/>
      <c r="BH437" s="64"/>
      <c r="BI437" s="646" t="s">
        <v>294</v>
      </c>
      <c r="BJ437" s="350"/>
      <c r="BK437" s="350"/>
      <c r="BL437" s="350"/>
      <c r="BM437" s="350"/>
      <c r="BN437" s="350"/>
      <c r="BO437" s="350"/>
      <c r="BP437" s="350"/>
      <c r="BQ437" s="350"/>
      <c r="BR437" s="350"/>
      <c r="BS437" s="350"/>
      <c r="BT437" s="350"/>
      <c r="BU437" s="350"/>
      <c r="BV437" s="351"/>
    </row>
    <row r="438" spans="1:74" ht="30" customHeight="1">
      <c r="A438" s="55">
        <f t="shared" si="1"/>
        <v>424</v>
      </c>
      <c r="B438" s="56" t="s">
        <v>325</v>
      </c>
      <c r="C438" s="57"/>
      <c r="D438" s="644"/>
      <c r="E438" s="350"/>
      <c r="F438" s="350"/>
      <c r="G438" s="350"/>
      <c r="H438" s="350"/>
      <c r="I438" s="350"/>
      <c r="J438" s="350"/>
      <c r="K438" s="351"/>
      <c r="L438" s="643"/>
      <c r="M438" s="350"/>
      <c r="N438" s="350"/>
      <c r="O438" s="351"/>
      <c r="P438" s="644"/>
      <c r="Q438" s="350"/>
      <c r="R438" s="350"/>
      <c r="S438" s="351"/>
      <c r="T438" s="643"/>
      <c r="U438" s="350"/>
      <c r="V438" s="350"/>
      <c r="W438" s="351"/>
      <c r="X438" s="644"/>
      <c r="Y438" s="350"/>
      <c r="Z438" s="350"/>
      <c r="AA438" s="351"/>
      <c r="AB438" s="506"/>
      <c r="AC438" s="350"/>
      <c r="AD438" s="351"/>
      <c r="AE438" s="571"/>
      <c r="AF438" s="350"/>
      <c r="AG438" s="351"/>
      <c r="AH438" s="645"/>
      <c r="AI438" s="350"/>
      <c r="AJ438" s="351"/>
      <c r="AK438" s="567"/>
      <c r="AL438" s="350"/>
      <c r="AM438" s="351"/>
      <c r="AN438" s="58"/>
      <c r="AO438" s="59"/>
      <c r="AP438" s="58"/>
      <c r="AQ438" s="59"/>
      <c r="AR438" s="58"/>
      <c r="AS438" s="59"/>
      <c r="AT438" s="58"/>
      <c r="AU438" s="59"/>
      <c r="AV438" s="58"/>
      <c r="AW438" s="59"/>
      <c r="AX438" s="58"/>
      <c r="AY438" s="59"/>
      <c r="AZ438" s="64"/>
      <c r="BA438" s="61"/>
      <c r="BB438" s="64"/>
      <c r="BC438" s="61"/>
      <c r="BD438" s="64"/>
      <c r="BE438" s="61"/>
      <c r="BF438" s="64"/>
      <c r="BG438" s="61"/>
      <c r="BH438" s="64"/>
      <c r="BI438" s="646" t="s">
        <v>298</v>
      </c>
      <c r="BJ438" s="350"/>
      <c r="BK438" s="350"/>
      <c r="BL438" s="350"/>
      <c r="BM438" s="350"/>
      <c r="BN438" s="350"/>
      <c r="BO438" s="350"/>
      <c r="BP438" s="350"/>
      <c r="BQ438" s="350"/>
      <c r="BR438" s="350"/>
      <c r="BS438" s="350"/>
      <c r="BT438" s="350"/>
      <c r="BU438" s="350"/>
      <c r="BV438" s="351"/>
    </row>
    <row r="439" spans="1:74" ht="30" customHeight="1">
      <c r="A439" s="63">
        <f t="shared" si="1"/>
        <v>425</v>
      </c>
      <c r="B439" s="56" t="s">
        <v>325</v>
      </c>
      <c r="C439" s="57"/>
      <c r="D439" s="644"/>
      <c r="E439" s="350"/>
      <c r="F439" s="350"/>
      <c r="G439" s="350"/>
      <c r="H439" s="350"/>
      <c r="I439" s="350"/>
      <c r="J439" s="350"/>
      <c r="K439" s="351"/>
      <c r="L439" s="643"/>
      <c r="M439" s="350"/>
      <c r="N439" s="350"/>
      <c r="O439" s="351"/>
      <c r="P439" s="644"/>
      <c r="Q439" s="350"/>
      <c r="R439" s="350"/>
      <c r="S439" s="351"/>
      <c r="T439" s="643"/>
      <c r="U439" s="350"/>
      <c r="V439" s="350"/>
      <c r="W439" s="351"/>
      <c r="X439" s="644"/>
      <c r="Y439" s="350"/>
      <c r="Z439" s="350"/>
      <c r="AA439" s="351"/>
      <c r="AB439" s="506"/>
      <c r="AC439" s="350"/>
      <c r="AD439" s="351"/>
      <c r="AE439" s="571"/>
      <c r="AF439" s="350"/>
      <c r="AG439" s="351"/>
      <c r="AH439" s="645"/>
      <c r="AI439" s="350"/>
      <c r="AJ439" s="351"/>
      <c r="AK439" s="567"/>
      <c r="AL439" s="350"/>
      <c r="AM439" s="351"/>
      <c r="AN439" s="58"/>
      <c r="AO439" s="59"/>
      <c r="AP439" s="58"/>
      <c r="AQ439" s="59"/>
      <c r="AR439" s="58"/>
      <c r="AS439" s="59"/>
      <c r="AT439" s="58"/>
      <c r="AU439" s="59"/>
      <c r="AV439" s="58"/>
      <c r="AW439" s="59"/>
      <c r="AX439" s="58"/>
      <c r="AY439" s="59"/>
      <c r="AZ439" s="64"/>
      <c r="BA439" s="61"/>
      <c r="BB439" s="64"/>
      <c r="BC439" s="61"/>
      <c r="BD439" s="64"/>
      <c r="BE439" s="61"/>
      <c r="BF439" s="64"/>
      <c r="BG439" s="61"/>
      <c r="BH439" s="64"/>
      <c r="BI439" s="646" t="s">
        <v>298</v>
      </c>
      <c r="BJ439" s="350"/>
      <c r="BK439" s="350"/>
      <c r="BL439" s="350"/>
      <c r="BM439" s="350"/>
      <c r="BN439" s="350"/>
      <c r="BO439" s="350"/>
      <c r="BP439" s="350"/>
      <c r="BQ439" s="350"/>
      <c r="BR439" s="350"/>
      <c r="BS439" s="350"/>
      <c r="BT439" s="350"/>
      <c r="BU439" s="350"/>
      <c r="BV439" s="351"/>
    </row>
    <row r="440" spans="1:74" ht="30" customHeight="1">
      <c r="A440" s="63">
        <f t="shared" si="1"/>
        <v>426</v>
      </c>
      <c r="B440" s="56" t="s">
        <v>325</v>
      </c>
      <c r="C440" s="57"/>
      <c r="D440" s="644"/>
      <c r="E440" s="350"/>
      <c r="F440" s="350"/>
      <c r="G440" s="350"/>
      <c r="H440" s="350"/>
      <c r="I440" s="350"/>
      <c r="J440" s="350"/>
      <c r="K440" s="351"/>
      <c r="L440" s="643"/>
      <c r="M440" s="350"/>
      <c r="N440" s="350"/>
      <c r="O440" s="351"/>
      <c r="P440" s="644"/>
      <c r="Q440" s="350"/>
      <c r="R440" s="350"/>
      <c r="S440" s="351"/>
      <c r="T440" s="643"/>
      <c r="U440" s="350"/>
      <c r="V440" s="350"/>
      <c r="W440" s="351"/>
      <c r="X440" s="644"/>
      <c r="Y440" s="350"/>
      <c r="Z440" s="350"/>
      <c r="AA440" s="351"/>
      <c r="AB440" s="506"/>
      <c r="AC440" s="350"/>
      <c r="AD440" s="351"/>
      <c r="AE440" s="571"/>
      <c r="AF440" s="350"/>
      <c r="AG440" s="351"/>
      <c r="AH440" s="645"/>
      <c r="AI440" s="350"/>
      <c r="AJ440" s="351"/>
      <c r="AK440" s="567"/>
      <c r="AL440" s="350"/>
      <c r="AM440" s="351"/>
      <c r="AN440" s="58"/>
      <c r="AO440" s="59"/>
      <c r="AP440" s="58"/>
      <c r="AQ440" s="59"/>
      <c r="AR440" s="58"/>
      <c r="AS440" s="59"/>
      <c r="AT440" s="58"/>
      <c r="AU440" s="59"/>
      <c r="AV440" s="58"/>
      <c r="AW440" s="59"/>
      <c r="AX440" s="58"/>
      <c r="AY440" s="59"/>
      <c r="AZ440" s="64"/>
      <c r="BA440" s="61"/>
      <c r="BB440" s="64"/>
      <c r="BC440" s="61"/>
      <c r="BD440" s="64"/>
      <c r="BE440" s="61"/>
      <c r="BF440" s="64"/>
      <c r="BG440" s="61"/>
      <c r="BH440" s="64"/>
      <c r="BI440" s="646" t="s">
        <v>298</v>
      </c>
      <c r="BJ440" s="350"/>
      <c r="BK440" s="350"/>
      <c r="BL440" s="350"/>
      <c r="BM440" s="350"/>
      <c r="BN440" s="350"/>
      <c r="BO440" s="350"/>
      <c r="BP440" s="350"/>
      <c r="BQ440" s="350"/>
      <c r="BR440" s="350"/>
      <c r="BS440" s="350"/>
      <c r="BT440" s="350"/>
      <c r="BU440" s="350"/>
      <c r="BV440" s="351"/>
    </row>
    <row r="441" spans="1:74" ht="30" customHeight="1">
      <c r="A441" s="63">
        <f t="shared" si="1"/>
        <v>427</v>
      </c>
      <c r="B441" s="56" t="s">
        <v>325</v>
      </c>
      <c r="C441" s="57"/>
      <c r="D441" s="644"/>
      <c r="E441" s="350"/>
      <c r="F441" s="350"/>
      <c r="G441" s="350"/>
      <c r="H441" s="350"/>
      <c r="I441" s="350"/>
      <c r="J441" s="350"/>
      <c r="K441" s="351"/>
      <c r="L441" s="643"/>
      <c r="M441" s="350"/>
      <c r="N441" s="350"/>
      <c r="O441" s="351"/>
      <c r="P441" s="644"/>
      <c r="Q441" s="350"/>
      <c r="R441" s="350"/>
      <c r="S441" s="351"/>
      <c r="T441" s="643"/>
      <c r="U441" s="350"/>
      <c r="V441" s="350"/>
      <c r="W441" s="351"/>
      <c r="X441" s="644"/>
      <c r="Y441" s="350"/>
      <c r="Z441" s="350"/>
      <c r="AA441" s="351"/>
      <c r="AB441" s="506"/>
      <c r="AC441" s="350"/>
      <c r="AD441" s="351"/>
      <c r="AE441" s="571"/>
      <c r="AF441" s="350"/>
      <c r="AG441" s="351"/>
      <c r="AH441" s="645"/>
      <c r="AI441" s="350"/>
      <c r="AJ441" s="351"/>
      <c r="AK441" s="567"/>
      <c r="AL441" s="350"/>
      <c r="AM441" s="351"/>
      <c r="AN441" s="58"/>
      <c r="AO441" s="59"/>
      <c r="AP441" s="58"/>
      <c r="AQ441" s="59"/>
      <c r="AR441" s="58"/>
      <c r="AS441" s="59"/>
      <c r="AT441" s="58"/>
      <c r="AU441" s="59"/>
      <c r="AV441" s="58"/>
      <c r="AW441" s="59"/>
      <c r="AX441" s="58"/>
      <c r="AY441" s="59"/>
      <c r="AZ441" s="64"/>
      <c r="BA441" s="61"/>
      <c r="BB441" s="64"/>
      <c r="BC441" s="61"/>
      <c r="BD441" s="64"/>
      <c r="BE441" s="61"/>
      <c r="BF441" s="64"/>
      <c r="BG441" s="61"/>
      <c r="BH441" s="64"/>
      <c r="BI441" s="646" t="s">
        <v>298</v>
      </c>
      <c r="BJ441" s="350"/>
      <c r="BK441" s="350"/>
      <c r="BL441" s="350"/>
      <c r="BM441" s="350"/>
      <c r="BN441" s="350"/>
      <c r="BO441" s="350"/>
      <c r="BP441" s="350"/>
      <c r="BQ441" s="350"/>
      <c r="BR441" s="350"/>
      <c r="BS441" s="350"/>
      <c r="BT441" s="350"/>
      <c r="BU441" s="350"/>
      <c r="BV441" s="351"/>
    </row>
    <row r="442" spans="1:74" ht="30" customHeight="1">
      <c r="A442" s="63">
        <f t="shared" si="1"/>
        <v>428</v>
      </c>
      <c r="B442" s="56" t="s">
        <v>325</v>
      </c>
      <c r="C442" s="57"/>
      <c r="D442" s="644"/>
      <c r="E442" s="350"/>
      <c r="F442" s="350"/>
      <c r="G442" s="350"/>
      <c r="H442" s="350"/>
      <c r="I442" s="350"/>
      <c r="J442" s="350"/>
      <c r="K442" s="351"/>
      <c r="L442" s="643"/>
      <c r="M442" s="350"/>
      <c r="N442" s="350"/>
      <c r="O442" s="351"/>
      <c r="P442" s="644"/>
      <c r="Q442" s="350"/>
      <c r="R442" s="350"/>
      <c r="S442" s="351"/>
      <c r="T442" s="643"/>
      <c r="U442" s="350"/>
      <c r="V442" s="350"/>
      <c r="W442" s="351"/>
      <c r="X442" s="644"/>
      <c r="Y442" s="350"/>
      <c r="Z442" s="350"/>
      <c r="AA442" s="351"/>
      <c r="AB442" s="506"/>
      <c r="AC442" s="350"/>
      <c r="AD442" s="351"/>
      <c r="AE442" s="571"/>
      <c r="AF442" s="350"/>
      <c r="AG442" s="351"/>
      <c r="AH442" s="645"/>
      <c r="AI442" s="350"/>
      <c r="AJ442" s="351"/>
      <c r="AK442" s="567"/>
      <c r="AL442" s="350"/>
      <c r="AM442" s="351"/>
      <c r="AN442" s="58"/>
      <c r="AO442" s="59"/>
      <c r="AP442" s="58"/>
      <c r="AQ442" s="59"/>
      <c r="AR442" s="58"/>
      <c r="AS442" s="59"/>
      <c r="AT442" s="58"/>
      <c r="AU442" s="59"/>
      <c r="AV442" s="58"/>
      <c r="AW442" s="59"/>
      <c r="AX442" s="58"/>
      <c r="AY442" s="59"/>
      <c r="AZ442" s="64"/>
      <c r="BA442" s="61"/>
      <c r="BB442" s="64"/>
      <c r="BC442" s="61"/>
      <c r="BD442" s="64"/>
      <c r="BE442" s="61"/>
      <c r="BF442" s="64"/>
      <c r="BG442" s="61"/>
      <c r="BH442" s="64"/>
      <c r="BI442" s="646" t="s">
        <v>298</v>
      </c>
      <c r="BJ442" s="350"/>
      <c r="BK442" s="350"/>
      <c r="BL442" s="350"/>
      <c r="BM442" s="350"/>
      <c r="BN442" s="350"/>
      <c r="BO442" s="350"/>
      <c r="BP442" s="350"/>
      <c r="BQ442" s="350"/>
      <c r="BR442" s="350"/>
      <c r="BS442" s="350"/>
      <c r="BT442" s="350"/>
      <c r="BU442" s="350"/>
      <c r="BV442" s="351"/>
    </row>
    <row r="443" spans="1:74" ht="30" customHeight="1">
      <c r="A443" s="63">
        <f t="shared" si="1"/>
        <v>429</v>
      </c>
      <c r="B443" s="56" t="s">
        <v>325</v>
      </c>
      <c r="C443" s="57"/>
      <c r="D443" s="644"/>
      <c r="E443" s="350"/>
      <c r="F443" s="350"/>
      <c r="G443" s="350"/>
      <c r="H443" s="350"/>
      <c r="I443" s="350"/>
      <c r="J443" s="350"/>
      <c r="K443" s="351"/>
      <c r="L443" s="643"/>
      <c r="M443" s="350"/>
      <c r="N443" s="350"/>
      <c r="O443" s="351"/>
      <c r="P443" s="644"/>
      <c r="Q443" s="350"/>
      <c r="R443" s="350"/>
      <c r="S443" s="351"/>
      <c r="T443" s="643"/>
      <c r="U443" s="350"/>
      <c r="V443" s="350"/>
      <c r="W443" s="351"/>
      <c r="X443" s="644"/>
      <c r="Y443" s="350"/>
      <c r="Z443" s="350"/>
      <c r="AA443" s="351"/>
      <c r="AB443" s="506"/>
      <c r="AC443" s="350"/>
      <c r="AD443" s="351"/>
      <c r="AE443" s="571"/>
      <c r="AF443" s="350"/>
      <c r="AG443" s="351"/>
      <c r="AH443" s="645"/>
      <c r="AI443" s="350"/>
      <c r="AJ443" s="351"/>
      <c r="AK443" s="567"/>
      <c r="AL443" s="350"/>
      <c r="AM443" s="351"/>
      <c r="AN443" s="58"/>
      <c r="AO443" s="59"/>
      <c r="AP443" s="58"/>
      <c r="AQ443" s="59"/>
      <c r="AR443" s="58"/>
      <c r="AS443" s="59"/>
      <c r="AT443" s="58"/>
      <c r="AU443" s="59"/>
      <c r="AV443" s="58"/>
      <c r="AW443" s="59"/>
      <c r="AX443" s="58"/>
      <c r="AY443" s="59"/>
      <c r="AZ443" s="64"/>
      <c r="BA443" s="61"/>
      <c r="BB443" s="64"/>
      <c r="BC443" s="61"/>
      <c r="BD443" s="64"/>
      <c r="BE443" s="61"/>
      <c r="BF443" s="64"/>
      <c r="BG443" s="61"/>
      <c r="BH443" s="64"/>
      <c r="BI443" s="646" t="s">
        <v>294</v>
      </c>
      <c r="BJ443" s="350"/>
      <c r="BK443" s="350"/>
      <c r="BL443" s="350"/>
      <c r="BM443" s="350"/>
      <c r="BN443" s="350"/>
      <c r="BO443" s="350"/>
      <c r="BP443" s="350"/>
      <c r="BQ443" s="350"/>
      <c r="BR443" s="350"/>
      <c r="BS443" s="350"/>
      <c r="BT443" s="350"/>
      <c r="BU443" s="350"/>
      <c r="BV443" s="351"/>
    </row>
    <row r="444" spans="1:74" ht="30" customHeight="1">
      <c r="A444" s="63">
        <f t="shared" si="1"/>
        <v>430</v>
      </c>
      <c r="B444" s="56" t="s">
        <v>325</v>
      </c>
      <c r="C444" s="57"/>
      <c r="D444" s="644"/>
      <c r="E444" s="350"/>
      <c r="F444" s="350"/>
      <c r="G444" s="350"/>
      <c r="H444" s="350"/>
      <c r="I444" s="350"/>
      <c r="J444" s="350"/>
      <c r="K444" s="351"/>
      <c r="L444" s="643"/>
      <c r="M444" s="350"/>
      <c r="N444" s="350"/>
      <c r="O444" s="351"/>
      <c r="P444" s="644"/>
      <c r="Q444" s="350"/>
      <c r="R444" s="350"/>
      <c r="S444" s="351"/>
      <c r="T444" s="643"/>
      <c r="U444" s="350"/>
      <c r="V444" s="350"/>
      <c r="W444" s="351"/>
      <c r="X444" s="644"/>
      <c r="Y444" s="350"/>
      <c r="Z444" s="350"/>
      <c r="AA444" s="351"/>
      <c r="AB444" s="506"/>
      <c r="AC444" s="350"/>
      <c r="AD444" s="351"/>
      <c r="AE444" s="571"/>
      <c r="AF444" s="350"/>
      <c r="AG444" s="351"/>
      <c r="AH444" s="645"/>
      <c r="AI444" s="350"/>
      <c r="AJ444" s="351"/>
      <c r="AK444" s="567"/>
      <c r="AL444" s="350"/>
      <c r="AM444" s="351"/>
      <c r="AN444" s="58"/>
      <c r="AO444" s="59"/>
      <c r="AP444" s="58"/>
      <c r="AQ444" s="59"/>
      <c r="AR444" s="58"/>
      <c r="AS444" s="59"/>
      <c r="AT444" s="58"/>
      <c r="AU444" s="59"/>
      <c r="AV444" s="58"/>
      <c r="AW444" s="59"/>
      <c r="AX444" s="58"/>
      <c r="AY444" s="59"/>
      <c r="AZ444" s="64"/>
      <c r="BA444" s="61"/>
      <c r="BB444" s="64"/>
      <c r="BC444" s="61"/>
      <c r="BD444" s="64"/>
      <c r="BE444" s="61"/>
      <c r="BF444" s="64"/>
      <c r="BG444" s="61"/>
      <c r="BH444" s="64"/>
      <c r="BI444" s="646" t="s">
        <v>294</v>
      </c>
      <c r="BJ444" s="350"/>
      <c r="BK444" s="350"/>
      <c r="BL444" s="350"/>
      <c r="BM444" s="350"/>
      <c r="BN444" s="350"/>
      <c r="BO444" s="350"/>
      <c r="BP444" s="350"/>
      <c r="BQ444" s="350"/>
      <c r="BR444" s="350"/>
      <c r="BS444" s="350"/>
      <c r="BT444" s="350"/>
      <c r="BU444" s="350"/>
      <c r="BV444" s="351"/>
    </row>
    <row r="445" spans="1:74" ht="30" customHeight="1">
      <c r="A445" s="55">
        <f t="shared" si="1"/>
        <v>431</v>
      </c>
      <c r="B445" s="56" t="s">
        <v>325</v>
      </c>
      <c r="C445" s="57"/>
      <c r="D445" s="644"/>
      <c r="E445" s="350"/>
      <c r="F445" s="350"/>
      <c r="G445" s="350"/>
      <c r="H445" s="350"/>
      <c r="I445" s="350"/>
      <c r="J445" s="350"/>
      <c r="K445" s="351"/>
      <c r="L445" s="643"/>
      <c r="M445" s="350"/>
      <c r="N445" s="350"/>
      <c r="O445" s="351"/>
      <c r="P445" s="644"/>
      <c r="Q445" s="350"/>
      <c r="R445" s="350"/>
      <c r="S445" s="351"/>
      <c r="T445" s="643"/>
      <c r="U445" s="350"/>
      <c r="V445" s="350"/>
      <c r="W445" s="351"/>
      <c r="X445" s="644"/>
      <c r="Y445" s="350"/>
      <c r="Z445" s="350"/>
      <c r="AA445" s="351"/>
      <c r="AB445" s="506"/>
      <c r="AC445" s="350"/>
      <c r="AD445" s="351"/>
      <c r="AE445" s="571"/>
      <c r="AF445" s="350"/>
      <c r="AG445" s="351"/>
      <c r="AH445" s="645"/>
      <c r="AI445" s="350"/>
      <c r="AJ445" s="351"/>
      <c r="AK445" s="567"/>
      <c r="AL445" s="350"/>
      <c r="AM445" s="351"/>
      <c r="AN445" s="58"/>
      <c r="AO445" s="59"/>
      <c r="AP445" s="58"/>
      <c r="AQ445" s="59"/>
      <c r="AR445" s="58"/>
      <c r="AS445" s="59"/>
      <c r="AT445" s="58"/>
      <c r="AU445" s="59"/>
      <c r="AV445" s="58"/>
      <c r="AW445" s="59"/>
      <c r="AX445" s="58"/>
      <c r="AY445" s="59"/>
      <c r="AZ445" s="64"/>
      <c r="BA445" s="61"/>
      <c r="BB445" s="64"/>
      <c r="BC445" s="61"/>
      <c r="BD445" s="64"/>
      <c r="BE445" s="61"/>
      <c r="BF445" s="64"/>
      <c r="BG445" s="61"/>
      <c r="BH445" s="64"/>
      <c r="BI445" s="646" t="s">
        <v>298</v>
      </c>
      <c r="BJ445" s="350"/>
      <c r="BK445" s="350"/>
      <c r="BL445" s="350"/>
      <c r="BM445" s="350"/>
      <c r="BN445" s="350"/>
      <c r="BO445" s="350"/>
      <c r="BP445" s="350"/>
      <c r="BQ445" s="350"/>
      <c r="BR445" s="350"/>
      <c r="BS445" s="350"/>
      <c r="BT445" s="350"/>
      <c r="BU445" s="350"/>
      <c r="BV445" s="351"/>
    </row>
    <row r="446" spans="1:74" ht="30" customHeight="1">
      <c r="A446" s="63">
        <f t="shared" si="1"/>
        <v>432</v>
      </c>
      <c r="B446" s="56" t="s">
        <v>325</v>
      </c>
      <c r="C446" s="57"/>
      <c r="D446" s="644"/>
      <c r="E446" s="350"/>
      <c r="F446" s="350"/>
      <c r="G446" s="350"/>
      <c r="H446" s="350"/>
      <c r="I446" s="350"/>
      <c r="J446" s="350"/>
      <c r="K446" s="351"/>
      <c r="L446" s="643"/>
      <c r="M446" s="350"/>
      <c r="N446" s="350"/>
      <c r="O446" s="351"/>
      <c r="P446" s="644"/>
      <c r="Q446" s="350"/>
      <c r="R446" s="350"/>
      <c r="S446" s="351"/>
      <c r="T446" s="643"/>
      <c r="U446" s="350"/>
      <c r="V446" s="350"/>
      <c r="W446" s="351"/>
      <c r="X446" s="644"/>
      <c r="Y446" s="350"/>
      <c r="Z446" s="350"/>
      <c r="AA446" s="351"/>
      <c r="AB446" s="506"/>
      <c r="AC446" s="350"/>
      <c r="AD446" s="351"/>
      <c r="AE446" s="571"/>
      <c r="AF446" s="350"/>
      <c r="AG446" s="351"/>
      <c r="AH446" s="645"/>
      <c r="AI446" s="350"/>
      <c r="AJ446" s="351"/>
      <c r="AK446" s="567"/>
      <c r="AL446" s="350"/>
      <c r="AM446" s="351"/>
      <c r="AN446" s="58"/>
      <c r="AO446" s="59"/>
      <c r="AP446" s="58"/>
      <c r="AQ446" s="59"/>
      <c r="AR446" s="58"/>
      <c r="AS446" s="59"/>
      <c r="AT446" s="58"/>
      <c r="AU446" s="59"/>
      <c r="AV446" s="58"/>
      <c r="AW446" s="59"/>
      <c r="AX446" s="58"/>
      <c r="AY446" s="59"/>
      <c r="AZ446" s="64"/>
      <c r="BA446" s="61"/>
      <c r="BB446" s="64"/>
      <c r="BC446" s="61"/>
      <c r="BD446" s="64"/>
      <c r="BE446" s="61"/>
      <c r="BF446" s="64"/>
      <c r="BG446" s="61"/>
      <c r="BH446" s="64"/>
      <c r="BI446" s="646" t="s">
        <v>298</v>
      </c>
      <c r="BJ446" s="350"/>
      <c r="BK446" s="350"/>
      <c r="BL446" s="350"/>
      <c r="BM446" s="350"/>
      <c r="BN446" s="350"/>
      <c r="BO446" s="350"/>
      <c r="BP446" s="350"/>
      <c r="BQ446" s="350"/>
      <c r="BR446" s="350"/>
      <c r="BS446" s="350"/>
      <c r="BT446" s="350"/>
      <c r="BU446" s="350"/>
      <c r="BV446" s="351"/>
    </row>
    <row r="447" spans="1:74" ht="30" customHeight="1">
      <c r="A447" s="63">
        <f t="shared" si="1"/>
        <v>433</v>
      </c>
      <c r="B447" s="56" t="s">
        <v>325</v>
      </c>
      <c r="C447" s="57"/>
      <c r="D447" s="644"/>
      <c r="E447" s="350"/>
      <c r="F447" s="350"/>
      <c r="G447" s="350"/>
      <c r="H447" s="350"/>
      <c r="I447" s="350"/>
      <c r="J447" s="350"/>
      <c r="K447" s="351"/>
      <c r="L447" s="643"/>
      <c r="M447" s="350"/>
      <c r="N447" s="350"/>
      <c r="O447" s="351"/>
      <c r="P447" s="644"/>
      <c r="Q447" s="350"/>
      <c r="R447" s="350"/>
      <c r="S447" s="351"/>
      <c r="T447" s="643"/>
      <c r="U447" s="350"/>
      <c r="V447" s="350"/>
      <c r="W447" s="351"/>
      <c r="X447" s="644"/>
      <c r="Y447" s="350"/>
      <c r="Z447" s="350"/>
      <c r="AA447" s="351"/>
      <c r="AB447" s="506"/>
      <c r="AC447" s="350"/>
      <c r="AD447" s="351"/>
      <c r="AE447" s="571"/>
      <c r="AF447" s="350"/>
      <c r="AG447" s="351"/>
      <c r="AH447" s="645"/>
      <c r="AI447" s="350"/>
      <c r="AJ447" s="351"/>
      <c r="AK447" s="567"/>
      <c r="AL447" s="350"/>
      <c r="AM447" s="351"/>
      <c r="AN447" s="58"/>
      <c r="AO447" s="59"/>
      <c r="AP447" s="58"/>
      <c r="AQ447" s="59"/>
      <c r="AR447" s="58"/>
      <c r="AS447" s="59"/>
      <c r="AT447" s="58"/>
      <c r="AU447" s="59"/>
      <c r="AV447" s="58"/>
      <c r="AW447" s="59"/>
      <c r="AX447" s="58"/>
      <c r="AY447" s="59"/>
      <c r="AZ447" s="64"/>
      <c r="BA447" s="61"/>
      <c r="BB447" s="64"/>
      <c r="BC447" s="61"/>
      <c r="BD447" s="64"/>
      <c r="BE447" s="61"/>
      <c r="BF447" s="64"/>
      <c r="BG447" s="61"/>
      <c r="BH447" s="64"/>
      <c r="BI447" s="646" t="s">
        <v>298</v>
      </c>
      <c r="BJ447" s="350"/>
      <c r="BK447" s="350"/>
      <c r="BL447" s="350"/>
      <c r="BM447" s="350"/>
      <c r="BN447" s="350"/>
      <c r="BO447" s="350"/>
      <c r="BP447" s="350"/>
      <c r="BQ447" s="350"/>
      <c r="BR447" s="350"/>
      <c r="BS447" s="350"/>
      <c r="BT447" s="350"/>
      <c r="BU447" s="350"/>
      <c r="BV447" s="351"/>
    </row>
    <row r="448" spans="1:74" ht="30" customHeight="1">
      <c r="A448" s="63">
        <f t="shared" si="1"/>
        <v>434</v>
      </c>
      <c r="B448" s="56" t="s">
        <v>325</v>
      </c>
      <c r="C448" s="57"/>
      <c r="D448" s="644"/>
      <c r="E448" s="350"/>
      <c r="F448" s="350"/>
      <c r="G448" s="350"/>
      <c r="H448" s="350"/>
      <c r="I448" s="350"/>
      <c r="J448" s="350"/>
      <c r="K448" s="351"/>
      <c r="L448" s="643"/>
      <c r="M448" s="350"/>
      <c r="N448" s="350"/>
      <c r="O448" s="351"/>
      <c r="P448" s="644"/>
      <c r="Q448" s="350"/>
      <c r="R448" s="350"/>
      <c r="S448" s="351"/>
      <c r="T448" s="643"/>
      <c r="U448" s="350"/>
      <c r="V448" s="350"/>
      <c r="W448" s="351"/>
      <c r="X448" s="644"/>
      <c r="Y448" s="350"/>
      <c r="Z448" s="350"/>
      <c r="AA448" s="351"/>
      <c r="AB448" s="506"/>
      <c r="AC448" s="350"/>
      <c r="AD448" s="351"/>
      <c r="AE448" s="571"/>
      <c r="AF448" s="350"/>
      <c r="AG448" s="351"/>
      <c r="AH448" s="645"/>
      <c r="AI448" s="350"/>
      <c r="AJ448" s="351"/>
      <c r="AK448" s="567"/>
      <c r="AL448" s="350"/>
      <c r="AM448" s="351"/>
      <c r="AN448" s="58"/>
      <c r="AO448" s="59"/>
      <c r="AP448" s="58"/>
      <c r="AQ448" s="59"/>
      <c r="AR448" s="58"/>
      <c r="AS448" s="59"/>
      <c r="AT448" s="58"/>
      <c r="AU448" s="59"/>
      <c r="AV448" s="58"/>
      <c r="AW448" s="59"/>
      <c r="AX448" s="58"/>
      <c r="AY448" s="59"/>
      <c r="AZ448" s="64"/>
      <c r="BA448" s="61"/>
      <c r="BB448" s="64"/>
      <c r="BC448" s="61"/>
      <c r="BD448" s="64"/>
      <c r="BE448" s="61"/>
      <c r="BF448" s="64"/>
      <c r="BG448" s="61"/>
      <c r="BH448" s="64"/>
      <c r="BI448" s="646" t="s">
        <v>298</v>
      </c>
      <c r="BJ448" s="350"/>
      <c r="BK448" s="350"/>
      <c r="BL448" s="350"/>
      <c r="BM448" s="350"/>
      <c r="BN448" s="350"/>
      <c r="BO448" s="350"/>
      <c r="BP448" s="350"/>
      <c r="BQ448" s="350"/>
      <c r="BR448" s="350"/>
      <c r="BS448" s="350"/>
      <c r="BT448" s="350"/>
      <c r="BU448" s="350"/>
      <c r="BV448" s="351"/>
    </row>
    <row r="449" spans="1:74" ht="30" customHeight="1">
      <c r="A449" s="63">
        <f t="shared" si="1"/>
        <v>435</v>
      </c>
      <c r="B449" s="56" t="s">
        <v>325</v>
      </c>
      <c r="C449" s="57"/>
      <c r="D449" s="644"/>
      <c r="E449" s="350"/>
      <c r="F449" s="350"/>
      <c r="G449" s="350"/>
      <c r="H449" s="350"/>
      <c r="I449" s="350"/>
      <c r="J449" s="350"/>
      <c r="K449" s="351"/>
      <c r="L449" s="643"/>
      <c r="M449" s="350"/>
      <c r="N449" s="350"/>
      <c r="O449" s="351"/>
      <c r="P449" s="644"/>
      <c r="Q449" s="350"/>
      <c r="R449" s="350"/>
      <c r="S449" s="351"/>
      <c r="T449" s="643"/>
      <c r="U449" s="350"/>
      <c r="V449" s="350"/>
      <c r="W449" s="351"/>
      <c r="X449" s="644"/>
      <c r="Y449" s="350"/>
      <c r="Z449" s="350"/>
      <c r="AA449" s="351"/>
      <c r="AB449" s="506"/>
      <c r="AC449" s="350"/>
      <c r="AD449" s="351"/>
      <c r="AE449" s="571"/>
      <c r="AF449" s="350"/>
      <c r="AG449" s="351"/>
      <c r="AH449" s="645"/>
      <c r="AI449" s="350"/>
      <c r="AJ449" s="351"/>
      <c r="AK449" s="567"/>
      <c r="AL449" s="350"/>
      <c r="AM449" s="351"/>
      <c r="AN449" s="58"/>
      <c r="AO449" s="59"/>
      <c r="AP449" s="58"/>
      <c r="AQ449" s="59"/>
      <c r="AR449" s="58"/>
      <c r="AS449" s="59"/>
      <c r="AT449" s="58"/>
      <c r="AU449" s="59"/>
      <c r="AV449" s="58"/>
      <c r="AW449" s="59"/>
      <c r="AX449" s="58"/>
      <c r="AY449" s="59"/>
      <c r="AZ449" s="64"/>
      <c r="BA449" s="61"/>
      <c r="BB449" s="64"/>
      <c r="BC449" s="61"/>
      <c r="BD449" s="64"/>
      <c r="BE449" s="61"/>
      <c r="BF449" s="64"/>
      <c r="BG449" s="61"/>
      <c r="BH449" s="64"/>
      <c r="BI449" s="646" t="s">
        <v>298</v>
      </c>
      <c r="BJ449" s="350"/>
      <c r="BK449" s="350"/>
      <c r="BL449" s="350"/>
      <c r="BM449" s="350"/>
      <c r="BN449" s="350"/>
      <c r="BO449" s="350"/>
      <c r="BP449" s="350"/>
      <c r="BQ449" s="350"/>
      <c r="BR449" s="350"/>
      <c r="BS449" s="350"/>
      <c r="BT449" s="350"/>
      <c r="BU449" s="350"/>
      <c r="BV449" s="351"/>
    </row>
    <row r="450" spans="1:74" ht="30" customHeight="1">
      <c r="A450" s="63">
        <f t="shared" si="1"/>
        <v>436</v>
      </c>
      <c r="B450" s="56" t="s">
        <v>325</v>
      </c>
      <c r="C450" s="57"/>
      <c r="D450" s="644"/>
      <c r="E450" s="350"/>
      <c r="F450" s="350"/>
      <c r="G450" s="350"/>
      <c r="H450" s="350"/>
      <c r="I450" s="350"/>
      <c r="J450" s="350"/>
      <c r="K450" s="351"/>
      <c r="L450" s="643"/>
      <c r="M450" s="350"/>
      <c r="N450" s="350"/>
      <c r="O450" s="351"/>
      <c r="P450" s="644"/>
      <c r="Q450" s="350"/>
      <c r="R450" s="350"/>
      <c r="S450" s="351"/>
      <c r="T450" s="643"/>
      <c r="U450" s="350"/>
      <c r="V450" s="350"/>
      <c r="W450" s="351"/>
      <c r="X450" s="644"/>
      <c r="Y450" s="350"/>
      <c r="Z450" s="350"/>
      <c r="AA450" s="351"/>
      <c r="AB450" s="506"/>
      <c r="AC450" s="350"/>
      <c r="AD450" s="351"/>
      <c r="AE450" s="571"/>
      <c r="AF450" s="350"/>
      <c r="AG450" s="351"/>
      <c r="AH450" s="645"/>
      <c r="AI450" s="350"/>
      <c r="AJ450" s="351"/>
      <c r="AK450" s="567"/>
      <c r="AL450" s="350"/>
      <c r="AM450" s="351"/>
      <c r="AN450" s="58"/>
      <c r="AO450" s="59"/>
      <c r="AP450" s="58"/>
      <c r="AQ450" s="59"/>
      <c r="AR450" s="58"/>
      <c r="AS450" s="59"/>
      <c r="AT450" s="58"/>
      <c r="AU450" s="59"/>
      <c r="AV450" s="58"/>
      <c r="AW450" s="59"/>
      <c r="AX450" s="58"/>
      <c r="AY450" s="59"/>
      <c r="AZ450" s="64"/>
      <c r="BA450" s="61"/>
      <c r="BB450" s="64"/>
      <c r="BC450" s="61"/>
      <c r="BD450" s="64"/>
      <c r="BE450" s="61"/>
      <c r="BF450" s="64"/>
      <c r="BG450" s="61"/>
      <c r="BH450" s="64"/>
      <c r="BI450" s="646" t="s">
        <v>294</v>
      </c>
      <c r="BJ450" s="350"/>
      <c r="BK450" s="350"/>
      <c r="BL450" s="350"/>
      <c r="BM450" s="350"/>
      <c r="BN450" s="350"/>
      <c r="BO450" s="350"/>
      <c r="BP450" s="350"/>
      <c r="BQ450" s="350"/>
      <c r="BR450" s="350"/>
      <c r="BS450" s="350"/>
      <c r="BT450" s="350"/>
      <c r="BU450" s="350"/>
      <c r="BV450" s="351"/>
    </row>
    <row r="451" spans="1:74" ht="30" customHeight="1">
      <c r="A451" s="63">
        <f t="shared" si="1"/>
        <v>437</v>
      </c>
      <c r="B451" s="56" t="s">
        <v>325</v>
      </c>
      <c r="C451" s="57"/>
      <c r="D451" s="644"/>
      <c r="E451" s="350"/>
      <c r="F451" s="350"/>
      <c r="G451" s="350"/>
      <c r="H451" s="350"/>
      <c r="I451" s="350"/>
      <c r="J451" s="350"/>
      <c r="K451" s="351"/>
      <c r="L451" s="643"/>
      <c r="M451" s="350"/>
      <c r="N451" s="350"/>
      <c r="O451" s="351"/>
      <c r="P451" s="644"/>
      <c r="Q451" s="350"/>
      <c r="R451" s="350"/>
      <c r="S451" s="351"/>
      <c r="T451" s="643"/>
      <c r="U451" s="350"/>
      <c r="V451" s="350"/>
      <c r="W451" s="351"/>
      <c r="X451" s="644"/>
      <c r="Y451" s="350"/>
      <c r="Z451" s="350"/>
      <c r="AA451" s="351"/>
      <c r="AB451" s="506"/>
      <c r="AC451" s="350"/>
      <c r="AD451" s="351"/>
      <c r="AE451" s="571"/>
      <c r="AF451" s="350"/>
      <c r="AG451" s="351"/>
      <c r="AH451" s="645"/>
      <c r="AI451" s="350"/>
      <c r="AJ451" s="351"/>
      <c r="AK451" s="567"/>
      <c r="AL451" s="350"/>
      <c r="AM451" s="351"/>
      <c r="AN451" s="58"/>
      <c r="AO451" s="59"/>
      <c r="AP451" s="58"/>
      <c r="AQ451" s="59"/>
      <c r="AR451" s="58"/>
      <c r="AS451" s="59"/>
      <c r="AT451" s="58"/>
      <c r="AU451" s="59"/>
      <c r="AV451" s="58"/>
      <c r="AW451" s="59"/>
      <c r="AX451" s="58"/>
      <c r="AY451" s="59"/>
      <c r="AZ451" s="64"/>
      <c r="BA451" s="61"/>
      <c r="BB451" s="64"/>
      <c r="BC451" s="61"/>
      <c r="BD451" s="64"/>
      <c r="BE451" s="61"/>
      <c r="BF451" s="64"/>
      <c r="BG451" s="61"/>
      <c r="BH451" s="64"/>
      <c r="BI451" s="646" t="s">
        <v>294</v>
      </c>
      <c r="BJ451" s="350"/>
      <c r="BK451" s="350"/>
      <c r="BL451" s="350"/>
      <c r="BM451" s="350"/>
      <c r="BN451" s="350"/>
      <c r="BO451" s="350"/>
      <c r="BP451" s="350"/>
      <c r="BQ451" s="350"/>
      <c r="BR451" s="350"/>
      <c r="BS451" s="350"/>
      <c r="BT451" s="350"/>
      <c r="BU451" s="350"/>
      <c r="BV451" s="351"/>
    </row>
    <row r="452" spans="1:74" ht="30" customHeight="1">
      <c r="A452" s="55">
        <f t="shared" si="1"/>
        <v>438</v>
      </c>
      <c r="B452" s="56" t="s">
        <v>325</v>
      </c>
      <c r="C452" s="57"/>
      <c r="D452" s="644"/>
      <c r="E452" s="350"/>
      <c r="F452" s="350"/>
      <c r="G452" s="350"/>
      <c r="H452" s="350"/>
      <c r="I452" s="350"/>
      <c r="J452" s="350"/>
      <c r="K452" s="351"/>
      <c r="L452" s="643"/>
      <c r="M452" s="350"/>
      <c r="N452" s="350"/>
      <c r="O452" s="351"/>
      <c r="P452" s="644"/>
      <c r="Q452" s="350"/>
      <c r="R452" s="350"/>
      <c r="S452" s="351"/>
      <c r="T452" s="643"/>
      <c r="U452" s="350"/>
      <c r="V452" s="350"/>
      <c r="W452" s="351"/>
      <c r="X452" s="644"/>
      <c r="Y452" s="350"/>
      <c r="Z452" s="350"/>
      <c r="AA452" s="351"/>
      <c r="AB452" s="506"/>
      <c r="AC452" s="350"/>
      <c r="AD452" s="351"/>
      <c r="AE452" s="571"/>
      <c r="AF452" s="350"/>
      <c r="AG452" s="351"/>
      <c r="AH452" s="645"/>
      <c r="AI452" s="350"/>
      <c r="AJ452" s="351"/>
      <c r="AK452" s="567"/>
      <c r="AL452" s="350"/>
      <c r="AM452" s="351"/>
      <c r="AN452" s="58"/>
      <c r="AO452" s="59"/>
      <c r="AP452" s="58"/>
      <c r="AQ452" s="59"/>
      <c r="AR452" s="58"/>
      <c r="AS452" s="59"/>
      <c r="AT452" s="58"/>
      <c r="AU452" s="59"/>
      <c r="AV452" s="58"/>
      <c r="AW452" s="59"/>
      <c r="AX452" s="58"/>
      <c r="AY452" s="59"/>
      <c r="AZ452" s="64"/>
      <c r="BA452" s="61"/>
      <c r="BB452" s="64"/>
      <c r="BC452" s="61"/>
      <c r="BD452" s="64"/>
      <c r="BE452" s="61"/>
      <c r="BF452" s="64"/>
      <c r="BG452" s="61"/>
      <c r="BH452" s="64"/>
      <c r="BI452" s="646" t="s">
        <v>298</v>
      </c>
      <c r="BJ452" s="350"/>
      <c r="BK452" s="350"/>
      <c r="BL452" s="350"/>
      <c r="BM452" s="350"/>
      <c r="BN452" s="350"/>
      <c r="BO452" s="350"/>
      <c r="BP452" s="350"/>
      <c r="BQ452" s="350"/>
      <c r="BR452" s="350"/>
      <c r="BS452" s="350"/>
      <c r="BT452" s="350"/>
      <c r="BU452" s="350"/>
      <c r="BV452" s="351"/>
    </row>
    <row r="453" spans="1:74" ht="30" customHeight="1">
      <c r="A453" s="63">
        <f t="shared" si="1"/>
        <v>439</v>
      </c>
      <c r="B453" s="56" t="s">
        <v>325</v>
      </c>
      <c r="C453" s="57"/>
      <c r="D453" s="644"/>
      <c r="E453" s="350"/>
      <c r="F453" s="350"/>
      <c r="G453" s="350"/>
      <c r="H453" s="350"/>
      <c r="I453" s="350"/>
      <c r="J453" s="350"/>
      <c r="K453" s="351"/>
      <c r="L453" s="643"/>
      <c r="M453" s="350"/>
      <c r="N453" s="350"/>
      <c r="O453" s="351"/>
      <c r="P453" s="644"/>
      <c r="Q453" s="350"/>
      <c r="R453" s="350"/>
      <c r="S453" s="351"/>
      <c r="T453" s="643"/>
      <c r="U453" s="350"/>
      <c r="V453" s="350"/>
      <c r="W453" s="351"/>
      <c r="X453" s="644"/>
      <c r="Y453" s="350"/>
      <c r="Z453" s="350"/>
      <c r="AA453" s="351"/>
      <c r="AB453" s="506"/>
      <c r="AC453" s="350"/>
      <c r="AD453" s="351"/>
      <c r="AE453" s="571"/>
      <c r="AF453" s="350"/>
      <c r="AG453" s="351"/>
      <c r="AH453" s="645"/>
      <c r="AI453" s="350"/>
      <c r="AJ453" s="351"/>
      <c r="AK453" s="567"/>
      <c r="AL453" s="350"/>
      <c r="AM453" s="351"/>
      <c r="AN453" s="58"/>
      <c r="AO453" s="59"/>
      <c r="AP453" s="58"/>
      <c r="AQ453" s="59"/>
      <c r="AR453" s="58"/>
      <c r="AS453" s="59"/>
      <c r="AT453" s="58"/>
      <c r="AU453" s="59"/>
      <c r="AV453" s="58"/>
      <c r="AW453" s="59"/>
      <c r="AX453" s="58"/>
      <c r="AY453" s="59"/>
      <c r="AZ453" s="64"/>
      <c r="BA453" s="61"/>
      <c r="BB453" s="64"/>
      <c r="BC453" s="61"/>
      <c r="BD453" s="64"/>
      <c r="BE453" s="61"/>
      <c r="BF453" s="64"/>
      <c r="BG453" s="61"/>
      <c r="BH453" s="64"/>
      <c r="BI453" s="646" t="s">
        <v>298</v>
      </c>
      <c r="BJ453" s="350"/>
      <c r="BK453" s="350"/>
      <c r="BL453" s="350"/>
      <c r="BM453" s="350"/>
      <c r="BN453" s="350"/>
      <c r="BO453" s="350"/>
      <c r="BP453" s="350"/>
      <c r="BQ453" s="350"/>
      <c r="BR453" s="350"/>
      <c r="BS453" s="350"/>
      <c r="BT453" s="350"/>
      <c r="BU453" s="350"/>
      <c r="BV453" s="351"/>
    </row>
    <row r="454" spans="1:74" ht="30" customHeight="1">
      <c r="A454" s="63">
        <f t="shared" si="1"/>
        <v>440</v>
      </c>
      <c r="B454" s="56" t="s">
        <v>325</v>
      </c>
      <c r="C454" s="57"/>
      <c r="D454" s="644"/>
      <c r="E454" s="350"/>
      <c r="F454" s="350"/>
      <c r="G454" s="350"/>
      <c r="H454" s="350"/>
      <c r="I454" s="350"/>
      <c r="J454" s="350"/>
      <c r="K454" s="351"/>
      <c r="L454" s="643"/>
      <c r="M454" s="350"/>
      <c r="N454" s="350"/>
      <c r="O454" s="351"/>
      <c r="P454" s="644"/>
      <c r="Q454" s="350"/>
      <c r="R454" s="350"/>
      <c r="S454" s="351"/>
      <c r="T454" s="643"/>
      <c r="U454" s="350"/>
      <c r="V454" s="350"/>
      <c r="W454" s="351"/>
      <c r="X454" s="644"/>
      <c r="Y454" s="350"/>
      <c r="Z454" s="350"/>
      <c r="AA454" s="351"/>
      <c r="AB454" s="506"/>
      <c r="AC454" s="350"/>
      <c r="AD454" s="351"/>
      <c r="AE454" s="571"/>
      <c r="AF454" s="350"/>
      <c r="AG454" s="351"/>
      <c r="AH454" s="645"/>
      <c r="AI454" s="350"/>
      <c r="AJ454" s="351"/>
      <c r="AK454" s="567"/>
      <c r="AL454" s="350"/>
      <c r="AM454" s="351"/>
      <c r="AN454" s="58"/>
      <c r="AO454" s="59"/>
      <c r="AP454" s="58"/>
      <c r="AQ454" s="59"/>
      <c r="AR454" s="58"/>
      <c r="AS454" s="59"/>
      <c r="AT454" s="58"/>
      <c r="AU454" s="59"/>
      <c r="AV454" s="58"/>
      <c r="AW454" s="59"/>
      <c r="AX454" s="58"/>
      <c r="AY454" s="59"/>
      <c r="AZ454" s="64"/>
      <c r="BA454" s="61"/>
      <c r="BB454" s="64"/>
      <c r="BC454" s="61"/>
      <c r="BD454" s="64"/>
      <c r="BE454" s="61"/>
      <c r="BF454" s="64"/>
      <c r="BG454" s="61"/>
      <c r="BH454" s="64"/>
      <c r="BI454" s="646" t="s">
        <v>298</v>
      </c>
      <c r="BJ454" s="350"/>
      <c r="BK454" s="350"/>
      <c r="BL454" s="350"/>
      <c r="BM454" s="350"/>
      <c r="BN454" s="350"/>
      <c r="BO454" s="350"/>
      <c r="BP454" s="350"/>
      <c r="BQ454" s="350"/>
      <c r="BR454" s="350"/>
      <c r="BS454" s="350"/>
      <c r="BT454" s="350"/>
      <c r="BU454" s="350"/>
      <c r="BV454" s="351"/>
    </row>
    <row r="455" spans="1:74" ht="30" customHeight="1">
      <c r="A455" s="63">
        <f t="shared" si="1"/>
        <v>441</v>
      </c>
      <c r="B455" s="56" t="s">
        <v>325</v>
      </c>
      <c r="C455" s="57"/>
      <c r="D455" s="644"/>
      <c r="E455" s="350"/>
      <c r="F455" s="350"/>
      <c r="G455" s="350"/>
      <c r="H455" s="350"/>
      <c r="I455" s="350"/>
      <c r="J455" s="350"/>
      <c r="K455" s="351"/>
      <c r="L455" s="643"/>
      <c r="M455" s="350"/>
      <c r="N455" s="350"/>
      <c r="O455" s="351"/>
      <c r="P455" s="644"/>
      <c r="Q455" s="350"/>
      <c r="R455" s="350"/>
      <c r="S455" s="351"/>
      <c r="T455" s="643"/>
      <c r="U455" s="350"/>
      <c r="V455" s="350"/>
      <c r="W455" s="351"/>
      <c r="X455" s="644"/>
      <c r="Y455" s="350"/>
      <c r="Z455" s="350"/>
      <c r="AA455" s="351"/>
      <c r="AB455" s="506"/>
      <c r="AC455" s="350"/>
      <c r="AD455" s="351"/>
      <c r="AE455" s="571"/>
      <c r="AF455" s="350"/>
      <c r="AG455" s="351"/>
      <c r="AH455" s="645"/>
      <c r="AI455" s="350"/>
      <c r="AJ455" s="351"/>
      <c r="AK455" s="567"/>
      <c r="AL455" s="350"/>
      <c r="AM455" s="351"/>
      <c r="AN455" s="58"/>
      <c r="AO455" s="59"/>
      <c r="AP455" s="58"/>
      <c r="AQ455" s="59"/>
      <c r="AR455" s="58"/>
      <c r="AS455" s="59"/>
      <c r="AT455" s="58"/>
      <c r="AU455" s="59"/>
      <c r="AV455" s="58"/>
      <c r="AW455" s="59"/>
      <c r="AX455" s="58"/>
      <c r="AY455" s="59"/>
      <c r="AZ455" s="64"/>
      <c r="BA455" s="61"/>
      <c r="BB455" s="64"/>
      <c r="BC455" s="61"/>
      <c r="BD455" s="64"/>
      <c r="BE455" s="61"/>
      <c r="BF455" s="64"/>
      <c r="BG455" s="61"/>
      <c r="BH455" s="64"/>
      <c r="BI455" s="646" t="s">
        <v>298</v>
      </c>
      <c r="BJ455" s="350"/>
      <c r="BK455" s="350"/>
      <c r="BL455" s="350"/>
      <c r="BM455" s="350"/>
      <c r="BN455" s="350"/>
      <c r="BO455" s="350"/>
      <c r="BP455" s="350"/>
      <c r="BQ455" s="350"/>
      <c r="BR455" s="350"/>
      <c r="BS455" s="350"/>
      <c r="BT455" s="350"/>
      <c r="BU455" s="350"/>
      <c r="BV455" s="351"/>
    </row>
    <row r="456" spans="1:74" ht="30" customHeight="1">
      <c r="A456" s="63">
        <f t="shared" si="1"/>
        <v>442</v>
      </c>
      <c r="B456" s="56" t="s">
        <v>325</v>
      </c>
      <c r="C456" s="57"/>
      <c r="D456" s="644"/>
      <c r="E456" s="350"/>
      <c r="F456" s="350"/>
      <c r="G456" s="350"/>
      <c r="H456" s="350"/>
      <c r="I456" s="350"/>
      <c r="J456" s="350"/>
      <c r="K456" s="351"/>
      <c r="L456" s="643"/>
      <c r="M456" s="350"/>
      <c r="N456" s="350"/>
      <c r="O456" s="351"/>
      <c r="P456" s="644"/>
      <c r="Q456" s="350"/>
      <c r="R456" s="350"/>
      <c r="S456" s="351"/>
      <c r="T456" s="643"/>
      <c r="U456" s="350"/>
      <c r="V456" s="350"/>
      <c r="W456" s="351"/>
      <c r="X456" s="644"/>
      <c r="Y456" s="350"/>
      <c r="Z456" s="350"/>
      <c r="AA456" s="351"/>
      <c r="AB456" s="506"/>
      <c r="AC456" s="350"/>
      <c r="AD456" s="351"/>
      <c r="AE456" s="571"/>
      <c r="AF456" s="350"/>
      <c r="AG456" s="351"/>
      <c r="AH456" s="645"/>
      <c r="AI456" s="350"/>
      <c r="AJ456" s="351"/>
      <c r="AK456" s="567"/>
      <c r="AL456" s="350"/>
      <c r="AM456" s="351"/>
      <c r="AN456" s="58"/>
      <c r="AO456" s="59"/>
      <c r="AP456" s="58"/>
      <c r="AQ456" s="59"/>
      <c r="AR456" s="58"/>
      <c r="AS456" s="59"/>
      <c r="AT456" s="58"/>
      <c r="AU456" s="59"/>
      <c r="AV456" s="58"/>
      <c r="AW456" s="59"/>
      <c r="AX456" s="58"/>
      <c r="AY456" s="59"/>
      <c r="AZ456" s="64"/>
      <c r="BA456" s="61"/>
      <c r="BB456" s="64"/>
      <c r="BC456" s="61"/>
      <c r="BD456" s="64"/>
      <c r="BE456" s="61"/>
      <c r="BF456" s="64"/>
      <c r="BG456" s="61"/>
      <c r="BH456" s="64"/>
      <c r="BI456" s="646" t="s">
        <v>298</v>
      </c>
      <c r="BJ456" s="350"/>
      <c r="BK456" s="350"/>
      <c r="BL456" s="350"/>
      <c r="BM456" s="350"/>
      <c r="BN456" s="350"/>
      <c r="BO456" s="350"/>
      <c r="BP456" s="350"/>
      <c r="BQ456" s="350"/>
      <c r="BR456" s="350"/>
      <c r="BS456" s="350"/>
      <c r="BT456" s="350"/>
      <c r="BU456" s="350"/>
      <c r="BV456" s="351"/>
    </row>
    <row r="457" spans="1:74" ht="30" customHeight="1">
      <c r="A457" s="63">
        <f t="shared" si="1"/>
        <v>443</v>
      </c>
      <c r="B457" s="56" t="s">
        <v>325</v>
      </c>
      <c r="C457" s="57"/>
      <c r="D457" s="644"/>
      <c r="E457" s="350"/>
      <c r="F457" s="350"/>
      <c r="G457" s="350"/>
      <c r="H457" s="350"/>
      <c r="I457" s="350"/>
      <c r="J457" s="350"/>
      <c r="K457" s="351"/>
      <c r="L457" s="643"/>
      <c r="M457" s="350"/>
      <c r="N457" s="350"/>
      <c r="O457" s="351"/>
      <c r="P457" s="644"/>
      <c r="Q457" s="350"/>
      <c r="R457" s="350"/>
      <c r="S457" s="351"/>
      <c r="T457" s="643"/>
      <c r="U457" s="350"/>
      <c r="V457" s="350"/>
      <c r="W457" s="351"/>
      <c r="X457" s="644"/>
      <c r="Y457" s="350"/>
      <c r="Z457" s="350"/>
      <c r="AA457" s="351"/>
      <c r="AB457" s="506"/>
      <c r="AC457" s="350"/>
      <c r="AD457" s="351"/>
      <c r="AE457" s="571"/>
      <c r="AF457" s="350"/>
      <c r="AG457" s="351"/>
      <c r="AH457" s="645"/>
      <c r="AI457" s="350"/>
      <c r="AJ457" s="351"/>
      <c r="AK457" s="567"/>
      <c r="AL457" s="350"/>
      <c r="AM457" s="351"/>
      <c r="AN457" s="58"/>
      <c r="AO457" s="59"/>
      <c r="AP457" s="58"/>
      <c r="AQ457" s="59"/>
      <c r="AR457" s="58"/>
      <c r="AS457" s="59"/>
      <c r="AT457" s="58"/>
      <c r="AU457" s="59"/>
      <c r="AV457" s="58"/>
      <c r="AW457" s="59"/>
      <c r="AX457" s="58"/>
      <c r="AY457" s="59"/>
      <c r="AZ457" s="64"/>
      <c r="BA457" s="61"/>
      <c r="BB457" s="64"/>
      <c r="BC457" s="61"/>
      <c r="BD457" s="64"/>
      <c r="BE457" s="61"/>
      <c r="BF457" s="64"/>
      <c r="BG457" s="61"/>
      <c r="BH457" s="64"/>
      <c r="BI457" s="646" t="s">
        <v>294</v>
      </c>
      <c r="BJ457" s="350"/>
      <c r="BK457" s="350"/>
      <c r="BL457" s="350"/>
      <c r="BM457" s="350"/>
      <c r="BN457" s="350"/>
      <c r="BO457" s="350"/>
      <c r="BP457" s="350"/>
      <c r="BQ457" s="350"/>
      <c r="BR457" s="350"/>
      <c r="BS457" s="350"/>
      <c r="BT457" s="350"/>
      <c r="BU457" s="350"/>
      <c r="BV457" s="351"/>
    </row>
    <row r="458" spans="1:74" ht="30" customHeight="1">
      <c r="A458" s="63">
        <f t="shared" si="1"/>
        <v>444</v>
      </c>
      <c r="B458" s="56" t="s">
        <v>325</v>
      </c>
      <c r="C458" s="57"/>
      <c r="D458" s="644"/>
      <c r="E458" s="350"/>
      <c r="F458" s="350"/>
      <c r="G458" s="350"/>
      <c r="H458" s="350"/>
      <c r="I458" s="350"/>
      <c r="J458" s="350"/>
      <c r="K458" s="351"/>
      <c r="L458" s="643"/>
      <c r="M458" s="350"/>
      <c r="N458" s="350"/>
      <c r="O458" s="351"/>
      <c r="P458" s="644"/>
      <c r="Q458" s="350"/>
      <c r="R458" s="350"/>
      <c r="S458" s="351"/>
      <c r="T458" s="643"/>
      <c r="U458" s="350"/>
      <c r="V458" s="350"/>
      <c r="W458" s="351"/>
      <c r="X458" s="644"/>
      <c r="Y458" s="350"/>
      <c r="Z458" s="350"/>
      <c r="AA458" s="351"/>
      <c r="AB458" s="506"/>
      <c r="AC458" s="350"/>
      <c r="AD458" s="351"/>
      <c r="AE458" s="571"/>
      <c r="AF458" s="350"/>
      <c r="AG458" s="351"/>
      <c r="AH458" s="645"/>
      <c r="AI458" s="350"/>
      <c r="AJ458" s="351"/>
      <c r="AK458" s="567"/>
      <c r="AL458" s="350"/>
      <c r="AM458" s="351"/>
      <c r="AN458" s="58"/>
      <c r="AO458" s="59"/>
      <c r="AP458" s="58"/>
      <c r="AQ458" s="59"/>
      <c r="AR458" s="58"/>
      <c r="AS458" s="59"/>
      <c r="AT458" s="58"/>
      <c r="AU458" s="59"/>
      <c r="AV458" s="58"/>
      <c r="AW458" s="59"/>
      <c r="AX458" s="58"/>
      <c r="AY458" s="59"/>
      <c r="AZ458" s="64"/>
      <c r="BA458" s="61"/>
      <c r="BB458" s="64"/>
      <c r="BC458" s="61"/>
      <c r="BD458" s="64"/>
      <c r="BE458" s="61"/>
      <c r="BF458" s="64"/>
      <c r="BG458" s="61"/>
      <c r="BH458" s="64"/>
      <c r="BI458" s="646" t="s">
        <v>294</v>
      </c>
      <c r="BJ458" s="350"/>
      <c r="BK458" s="350"/>
      <c r="BL458" s="350"/>
      <c r="BM458" s="350"/>
      <c r="BN458" s="350"/>
      <c r="BO458" s="350"/>
      <c r="BP458" s="350"/>
      <c r="BQ458" s="350"/>
      <c r="BR458" s="350"/>
      <c r="BS458" s="350"/>
      <c r="BT458" s="350"/>
      <c r="BU458" s="350"/>
      <c r="BV458" s="351"/>
    </row>
    <row r="459" spans="1:74" ht="30" customHeight="1">
      <c r="A459" s="55">
        <f t="shared" si="1"/>
        <v>445</v>
      </c>
      <c r="B459" s="56" t="s">
        <v>325</v>
      </c>
      <c r="C459" s="57"/>
      <c r="D459" s="644"/>
      <c r="E459" s="350"/>
      <c r="F459" s="350"/>
      <c r="G459" s="350"/>
      <c r="H459" s="350"/>
      <c r="I459" s="350"/>
      <c r="J459" s="350"/>
      <c r="K459" s="351"/>
      <c r="L459" s="643"/>
      <c r="M459" s="350"/>
      <c r="N459" s="350"/>
      <c r="O459" s="351"/>
      <c r="P459" s="644"/>
      <c r="Q459" s="350"/>
      <c r="R459" s="350"/>
      <c r="S459" s="351"/>
      <c r="T459" s="643"/>
      <c r="U459" s="350"/>
      <c r="V459" s="350"/>
      <c r="W459" s="351"/>
      <c r="X459" s="644"/>
      <c r="Y459" s="350"/>
      <c r="Z459" s="350"/>
      <c r="AA459" s="351"/>
      <c r="AB459" s="506"/>
      <c r="AC459" s="350"/>
      <c r="AD459" s="351"/>
      <c r="AE459" s="571"/>
      <c r="AF459" s="350"/>
      <c r="AG459" s="351"/>
      <c r="AH459" s="645"/>
      <c r="AI459" s="350"/>
      <c r="AJ459" s="351"/>
      <c r="AK459" s="567"/>
      <c r="AL459" s="350"/>
      <c r="AM459" s="351"/>
      <c r="AN459" s="58"/>
      <c r="AO459" s="59"/>
      <c r="AP459" s="58"/>
      <c r="AQ459" s="59"/>
      <c r="AR459" s="58"/>
      <c r="AS459" s="59"/>
      <c r="AT459" s="58"/>
      <c r="AU459" s="59"/>
      <c r="AV459" s="58"/>
      <c r="AW459" s="59"/>
      <c r="AX459" s="58"/>
      <c r="AY459" s="59"/>
      <c r="AZ459" s="64"/>
      <c r="BA459" s="61"/>
      <c r="BB459" s="64"/>
      <c r="BC459" s="61"/>
      <c r="BD459" s="64"/>
      <c r="BE459" s="61"/>
      <c r="BF459" s="64"/>
      <c r="BG459" s="61"/>
      <c r="BH459" s="64"/>
      <c r="BI459" s="646" t="s">
        <v>298</v>
      </c>
      <c r="BJ459" s="350"/>
      <c r="BK459" s="350"/>
      <c r="BL459" s="350"/>
      <c r="BM459" s="350"/>
      <c r="BN459" s="350"/>
      <c r="BO459" s="350"/>
      <c r="BP459" s="350"/>
      <c r="BQ459" s="350"/>
      <c r="BR459" s="350"/>
      <c r="BS459" s="350"/>
      <c r="BT459" s="350"/>
      <c r="BU459" s="350"/>
      <c r="BV459" s="351"/>
    </row>
    <row r="460" spans="1:74" ht="30" customHeight="1">
      <c r="A460" s="63">
        <f t="shared" si="1"/>
        <v>446</v>
      </c>
      <c r="B460" s="56" t="s">
        <v>325</v>
      </c>
      <c r="C460" s="57"/>
      <c r="D460" s="644"/>
      <c r="E460" s="350"/>
      <c r="F460" s="350"/>
      <c r="G460" s="350"/>
      <c r="H460" s="350"/>
      <c r="I460" s="350"/>
      <c r="J460" s="350"/>
      <c r="K460" s="351"/>
      <c r="L460" s="643"/>
      <c r="M460" s="350"/>
      <c r="N460" s="350"/>
      <c r="O460" s="351"/>
      <c r="P460" s="644"/>
      <c r="Q460" s="350"/>
      <c r="R460" s="350"/>
      <c r="S460" s="351"/>
      <c r="T460" s="643"/>
      <c r="U460" s="350"/>
      <c r="V460" s="350"/>
      <c r="W460" s="351"/>
      <c r="X460" s="644"/>
      <c r="Y460" s="350"/>
      <c r="Z460" s="350"/>
      <c r="AA460" s="351"/>
      <c r="AB460" s="506"/>
      <c r="AC460" s="350"/>
      <c r="AD460" s="351"/>
      <c r="AE460" s="571"/>
      <c r="AF460" s="350"/>
      <c r="AG460" s="351"/>
      <c r="AH460" s="645"/>
      <c r="AI460" s="350"/>
      <c r="AJ460" s="351"/>
      <c r="AK460" s="567"/>
      <c r="AL460" s="350"/>
      <c r="AM460" s="351"/>
      <c r="AN460" s="58"/>
      <c r="AO460" s="59"/>
      <c r="AP460" s="58"/>
      <c r="AQ460" s="59"/>
      <c r="AR460" s="58"/>
      <c r="AS460" s="59"/>
      <c r="AT460" s="58"/>
      <c r="AU460" s="59"/>
      <c r="AV460" s="58"/>
      <c r="AW460" s="59"/>
      <c r="AX460" s="58"/>
      <c r="AY460" s="59"/>
      <c r="AZ460" s="64"/>
      <c r="BA460" s="61"/>
      <c r="BB460" s="64"/>
      <c r="BC460" s="61"/>
      <c r="BD460" s="64"/>
      <c r="BE460" s="61"/>
      <c r="BF460" s="64"/>
      <c r="BG460" s="61"/>
      <c r="BH460" s="64"/>
      <c r="BI460" s="646" t="s">
        <v>298</v>
      </c>
      <c r="BJ460" s="350"/>
      <c r="BK460" s="350"/>
      <c r="BL460" s="350"/>
      <c r="BM460" s="350"/>
      <c r="BN460" s="350"/>
      <c r="BO460" s="350"/>
      <c r="BP460" s="350"/>
      <c r="BQ460" s="350"/>
      <c r="BR460" s="350"/>
      <c r="BS460" s="350"/>
      <c r="BT460" s="350"/>
      <c r="BU460" s="350"/>
      <c r="BV460" s="351"/>
    </row>
    <row r="461" spans="1:74" ht="30" customHeight="1">
      <c r="A461" s="63">
        <f t="shared" si="1"/>
        <v>447</v>
      </c>
      <c r="B461" s="56" t="s">
        <v>325</v>
      </c>
      <c r="C461" s="57"/>
      <c r="D461" s="644"/>
      <c r="E461" s="350"/>
      <c r="F461" s="350"/>
      <c r="G461" s="350"/>
      <c r="H461" s="350"/>
      <c r="I461" s="350"/>
      <c r="J461" s="350"/>
      <c r="K461" s="351"/>
      <c r="L461" s="643"/>
      <c r="M461" s="350"/>
      <c r="N461" s="350"/>
      <c r="O461" s="351"/>
      <c r="P461" s="644"/>
      <c r="Q461" s="350"/>
      <c r="R461" s="350"/>
      <c r="S461" s="351"/>
      <c r="T461" s="643"/>
      <c r="U461" s="350"/>
      <c r="V461" s="350"/>
      <c r="W461" s="351"/>
      <c r="X461" s="644"/>
      <c r="Y461" s="350"/>
      <c r="Z461" s="350"/>
      <c r="AA461" s="351"/>
      <c r="AB461" s="506"/>
      <c r="AC461" s="350"/>
      <c r="AD461" s="351"/>
      <c r="AE461" s="571"/>
      <c r="AF461" s="350"/>
      <c r="AG461" s="351"/>
      <c r="AH461" s="645"/>
      <c r="AI461" s="350"/>
      <c r="AJ461" s="351"/>
      <c r="AK461" s="567"/>
      <c r="AL461" s="350"/>
      <c r="AM461" s="351"/>
      <c r="AN461" s="58"/>
      <c r="AO461" s="59"/>
      <c r="AP461" s="58"/>
      <c r="AQ461" s="59"/>
      <c r="AR461" s="58"/>
      <c r="AS461" s="59"/>
      <c r="AT461" s="58"/>
      <c r="AU461" s="59"/>
      <c r="AV461" s="58"/>
      <c r="AW461" s="59"/>
      <c r="AX461" s="58"/>
      <c r="AY461" s="59"/>
      <c r="AZ461" s="64"/>
      <c r="BA461" s="61"/>
      <c r="BB461" s="64"/>
      <c r="BC461" s="61"/>
      <c r="BD461" s="64"/>
      <c r="BE461" s="61"/>
      <c r="BF461" s="64"/>
      <c r="BG461" s="61"/>
      <c r="BH461" s="64"/>
      <c r="BI461" s="646" t="s">
        <v>298</v>
      </c>
      <c r="BJ461" s="350"/>
      <c r="BK461" s="350"/>
      <c r="BL461" s="350"/>
      <c r="BM461" s="350"/>
      <c r="BN461" s="350"/>
      <c r="BO461" s="350"/>
      <c r="BP461" s="350"/>
      <c r="BQ461" s="350"/>
      <c r="BR461" s="350"/>
      <c r="BS461" s="350"/>
      <c r="BT461" s="350"/>
      <c r="BU461" s="350"/>
      <c r="BV461" s="351"/>
    </row>
    <row r="462" spans="1:74" ht="30" customHeight="1">
      <c r="A462" s="63">
        <f t="shared" si="1"/>
        <v>448</v>
      </c>
      <c r="B462" s="56" t="s">
        <v>325</v>
      </c>
      <c r="C462" s="57"/>
      <c r="D462" s="644"/>
      <c r="E462" s="350"/>
      <c r="F462" s="350"/>
      <c r="G462" s="350"/>
      <c r="H462" s="350"/>
      <c r="I462" s="350"/>
      <c r="J462" s="350"/>
      <c r="K462" s="351"/>
      <c r="L462" s="643"/>
      <c r="M462" s="350"/>
      <c r="N462" s="350"/>
      <c r="O462" s="351"/>
      <c r="P462" s="644"/>
      <c r="Q462" s="350"/>
      <c r="R462" s="350"/>
      <c r="S462" s="351"/>
      <c r="T462" s="643"/>
      <c r="U462" s="350"/>
      <c r="V462" s="350"/>
      <c r="W462" s="351"/>
      <c r="X462" s="644"/>
      <c r="Y462" s="350"/>
      <c r="Z462" s="350"/>
      <c r="AA462" s="351"/>
      <c r="AB462" s="506"/>
      <c r="AC462" s="350"/>
      <c r="AD462" s="351"/>
      <c r="AE462" s="571"/>
      <c r="AF462" s="350"/>
      <c r="AG462" s="351"/>
      <c r="AH462" s="645"/>
      <c r="AI462" s="350"/>
      <c r="AJ462" s="351"/>
      <c r="AK462" s="567"/>
      <c r="AL462" s="350"/>
      <c r="AM462" s="351"/>
      <c r="AN462" s="58"/>
      <c r="AO462" s="59"/>
      <c r="AP462" s="58"/>
      <c r="AQ462" s="59"/>
      <c r="AR462" s="58"/>
      <c r="AS462" s="59"/>
      <c r="AT462" s="58"/>
      <c r="AU462" s="59"/>
      <c r="AV462" s="58"/>
      <c r="AW462" s="59"/>
      <c r="AX462" s="58"/>
      <c r="AY462" s="59"/>
      <c r="AZ462" s="64"/>
      <c r="BA462" s="61"/>
      <c r="BB462" s="64"/>
      <c r="BC462" s="61"/>
      <c r="BD462" s="64"/>
      <c r="BE462" s="61"/>
      <c r="BF462" s="64"/>
      <c r="BG462" s="61"/>
      <c r="BH462" s="64"/>
      <c r="BI462" s="646" t="s">
        <v>298</v>
      </c>
      <c r="BJ462" s="350"/>
      <c r="BK462" s="350"/>
      <c r="BL462" s="350"/>
      <c r="BM462" s="350"/>
      <c r="BN462" s="350"/>
      <c r="BO462" s="350"/>
      <c r="BP462" s="350"/>
      <c r="BQ462" s="350"/>
      <c r="BR462" s="350"/>
      <c r="BS462" s="350"/>
      <c r="BT462" s="350"/>
      <c r="BU462" s="350"/>
      <c r="BV462" s="351"/>
    </row>
    <row r="463" spans="1:74" ht="30" customHeight="1">
      <c r="A463" s="63">
        <f t="shared" si="1"/>
        <v>449</v>
      </c>
      <c r="B463" s="56" t="s">
        <v>325</v>
      </c>
      <c r="C463" s="57"/>
      <c r="D463" s="644"/>
      <c r="E463" s="350"/>
      <c r="F463" s="350"/>
      <c r="G463" s="350"/>
      <c r="H463" s="350"/>
      <c r="I463" s="350"/>
      <c r="J463" s="350"/>
      <c r="K463" s="351"/>
      <c r="L463" s="643"/>
      <c r="M463" s="350"/>
      <c r="N463" s="350"/>
      <c r="O463" s="351"/>
      <c r="P463" s="644"/>
      <c r="Q463" s="350"/>
      <c r="R463" s="350"/>
      <c r="S463" s="351"/>
      <c r="T463" s="643"/>
      <c r="U463" s="350"/>
      <c r="V463" s="350"/>
      <c r="W463" s="351"/>
      <c r="X463" s="644"/>
      <c r="Y463" s="350"/>
      <c r="Z463" s="350"/>
      <c r="AA463" s="351"/>
      <c r="AB463" s="506"/>
      <c r="AC463" s="350"/>
      <c r="AD463" s="351"/>
      <c r="AE463" s="571"/>
      <c r="AF463" s="350"/>
      <c r="AG463" s="351"/>
      <c r="AH463" s="645"/>
      <c r="AI463" s="350"/>
      <c r="AJ463" s="351"/>
      <c r="AK463" s="567"/>
      <c r="AL463" s="350"/>
      <c r="AM463" s="351"/>
      <c r="AN463" s="58"/>
      <c r="AO463" s="59"/>
      <c r="AP463" s="58"/>
      <c r="AQ463" s="59"/>
      <c r="AR463" s="58"/>
      <c r="AS463" s="59"/>
      <c r="AT463" s="58"/>
      <c r="AU463" s="59"/>
      <c r="AV463" s="58"/>
      <c r="AW463" s="59"/>
      <c r="AX463" s="58"/>
      <c r="AY463" s="59"/>
      <c r="AZ463" s="64"/>
      <c r="BA463" s="61"/>
      <c r="BB463" s="64"/>
      <c r="BC463" s="61"/>
      <c r="BD463" s="64"/>
      <c r="BE463" s="61"/>
      <c r="BF463" s="64"/>
      <c r="BG463" s="61"/>
      <c r="BH463" s="64"/>
      <c r="BI463" s="646" t="s">
        <v>298</v>
      </c>
      <c r="BJ463" s="350"/>
      <c r="BK463" s="350"/>
      <c r="BL463" s="350"/>
      <c r="BM463" s="350"/>
      <c r="BN463" s="350"/>
      <c r="BO463" s="350"/>
      <c r="BP463" s="350"/>
      <c r="BQ463" s="350"/>
      <c r="BR463" s="350"/>
      <c r="BS463" s="350"/>
      <c r="BT463" s="350"/>
      <c r="BU463" s="350"/>
      <c r="BV463" s="351"/>
    </row>
    <row r="464" spans="1:74" ht="30" customHeight="1">
      <c r="A464" s="63">
        <f t="shared" si="1"/>
        <v>450</v>
      </c>
      <c r="B464" s="56" t="s">
        <v>325</v>
      </c>
      <c r="C464" s="57"/>
      <c r="D464" s="644"/>
      <c r="E464" s="350"/>
      <c r="F464" s="350"/>
      <c r="G464" s="350"/>
      <c r="H464" s="350"/>
      <c r="I464" s="350"/>
      <c r="J464" s="350"/>
      <c r="K464" s="351"/>
      <c r="L464" s="643"/>
      <c r="M464" s="350"/>
      <c r="N464" s="350"/>
      <c r="O464" s="351"/>
      <c r="P464" s="644"/>
      <c r="Q464" s="350"/>
      <c r="R464" s="350"/>
      <c r="S464" s="351"/>
      <c r="T464" s="643"/>
      <c r="U464" s="350"/>
      <c r="V464" s="350"/>
      <c r="W464" s="351"/>
      <c r="X464" s="644"/>
      <c r="Y464" s="350"/>
      <c r="Z464" s="350"/>
      <c r="AA464" s="351"/>
      <c r="AB464" s="506"/>
      <c r="AC464" s="350"/>
      <c r="AD464" s="351"/>
      <c r="AE464" s="571"/>
      <c r="AF464" s="350"/>
      <c r="AG464" s="351"/>
      <c r="AH464" s="645"/>
      <c r="AI464" s="350"/>
      <c r="AJ464" s="351"/>
      <c r="AK464" s="567"/>
      <c r="AL464" s="350"/>
      <c r="AM464" s="351"/>
      <c r="AN464" s="58"/>
      <c r="AO464" s="59"/>
      <c r="AP464" s="58"/>
      <c r="AQ464" s="59"/>
      <c r="AR464" s="58"/>
      <c r="AS464" s="59"/>
      <c r="AT464" s="58"/>
      <c r="AU464" s="59"/>
      <c r="AV464" s="58"/>
      <c r="AW464" s="59"/>
      <c r="AX464" s="58"/>
      <c r="AY464" s="59"/>
      <c r="AZ464" s="64"/>
      <c r="BA464" s="61"/>
      <c r="BB464" s="64"/>
      <c r="BC464" s="61"/>
      <c r="BD464" s="64"/>
      <c r="BE464" s="61"/>
      <c r="BF464" s="64"/>
      <c r="BG464" s="61"/>
      <c r="BH464" s="64"/>
      <c r="BI464" s="646" t="s">
        <v>294</v>
      </c>
      <c r="BJ464" s="350"/>
      <c r="BK464" s="350"/>
      <c r="BL464" s="350"/>
      <c r="BM464" s="350"/>
      <c r="BN464" s="350"/>
      <c r="BO464" s="350"/>
      <c r="BP464" s="350"/>
      <c r="BQ464" s="350"/>
      <c r="BR464" s="350"/>
      <c r="BS464" s="350"/>
      <c r="BT464" s="350"/>
      <c r="BU464" s="350"/>
      <c r="BV464" s="351"/>
    </row>
    <row r="465" spans="1:74" ht="30" customHeight="1">
      <c r="A465" s="63">
        <f t="shared" si="1"/>
        <v>451</v>
      </c>
      <c r="B465" s="56" t="s">
        <v>325</v>
      </c>
      <c r="C465" s="57"/>
      <c r="D465" s="644"/>
      <c r="E465" s="350"/>
      <c r="F465" s="350"/>
      <c r="G465" s="350"/>
      <c r="H465" s="350"/>
      <c r="I465" s="350"/>
      <c r="J465" s="350"/>
      <c r="K465" s="351"/>
      <c r="L465" s="643"/>
      <c r="M465" s="350"/>
      <c r="N465" s="350"/>
      <c r="O465" s="351"/>
      <c r="P465" s="644"/>
      <c r="Q465" s="350"/>
      <c r="R465" s="350"/>
      <c r="S465" s="351"/>
      <c r="T465" s="643"/>
      <c r="U465" s="350"/>
      <c r="V465" s="350"/>
      <c r="W465" s="351"/>
      <c r="X465" s="644"/>
      <c r="Y465" s="350"/>
      <c r="Z465" s="350"/>
      <c r="AA465" s="351"/>
      <c r="AB465" s="506"/>
      <c r="AC465" s="350"/>
      <c r="AD465" s="351"/>
      <c r="AE465" s="571"/>
      <c r="AF465" s="350"/>
      <c r="AG465" s="351"/>
      <c r="AH465" s="645"/>
      <c r="AI465" s="350"/>
      <c r="AJ465" s="351"/>
      <c r="AK465" s="567"/>
      <c r="AL465" s="350"/>
      <c r="AM465" s="351"/>
      <c r="AN465" s="58"/>
      <c r="AO465" s="59"/>
      <c r="AP465" s="58"/>
      <c r="AQ465" s="59"/>
      <c r="AR465" s="58"/>
      <c r="AS465" s="59"/>
      <c r="AT465" s="58"/>
      <c r="AU465" s="59"/>
      <c r="AV465" s="58"/>
      <c r="AW465" s="59"/>
      <c r="AX465" s="58"/>
      <c r="AY465" s="59"/>
      <c r="AZ465" s="64"/>
      <c r="BA465" s="61"/>
      <c r="BB465" s="64"/>
      <c r="BC465" s="61"/>
      <c r="BD465" s="64"/>
      <c r="BE465" s="61"/>
      <c r="BF465" s="64"/>
      <c r="BG465" s="61"/>
      <c r="BH465" s="64"/>
      <c r="BI465" s="646" t="s">
        <v>294</v>
      </c>
      <c r="BJ465" s="350"/>
      <c r="BK465" s="350"/>
      <c r="BL465" s="350"/>
      <c r="BM465" s="350"/>
      <c r="BN465" s="350"/>
      <c r="BO465" s="350"/>
      <c r="BP465" s="350"/>
      <c r="BQ465" s="350"/>
      <c r="BR465" s="350"/>
      <c r="BS465" s="350"/>
      <c r="BT465" s="350"/>
      <c r="BU465" s="350"/>
      <c r="BV465" s="351"/>
    </row>
    <row r="466" spans="1:74" ht="30" customHeight="1">
      <c r="A466" s="55">
        <f t="shared" si="1"/>
        <v>452</v>
      </c>
      <c r="B466" s="56" t="s">
        <v>325</v>
      </c>
      <c r="C466" s="57"/>
      <c r="D466" s="644"/>
      <c r="E466" s="350"/>
      <c r="F466" s="350"/>
      <c r="G466" s="350"/>
      <c r="H466" s="350"/>
      <c r="I466" s="350"/>
      <c r="J466" s="350"/>
      <c r="K466" s="351"/>
      <c r="L466" s="643"/>
      <c r="M466" s="350"/>
      <c r="N466" s="350"/>
      <c r="O466" s="351"/>
      <c r="P466" s="644"/>
      <c r="Q466" s="350"/>
      <c r="R466" s="350"/>
      <c r="S466" s="351"/>
      <c r="T466" s="643"/>
      <c r="U466" s="350"/>
      <c r="V466" s="350"/>
      <c r="W466" s="351"/>
      <c r="X466" s="644"/>
      <c r="Y466" s="350"/>
      <c r="Z466" s="350"/>
      <c r="AA466" s="351"/>
      <c r="AB466" s="506"/>
      <c r="AC466" s="350"/>
      <c r="AD466" s="351"/>
      <c r="AE466" s="571"/>
      <c r="AF466" s="350"/>
      <c r="AG466" s="351"/>
      <c r="AH466" s="645"/>
      <c r="AI466" s="350"/>
      <c r="AJ466" s="351"/>
      <c r="AK466" s="567"/>
      <c r="AL466" s="350"/>
      <c r="AM466" s="351"/>
      <c r="AN466" s="58"/>
      <c r="AO466" s="59"/>
      <c r="AP466" s="58"/>
      <c r="AQ466" s="59"/>
      <c r="AR466" s="58"/>
      <c r="AS466" s="59"/>
      <c r="AT466" s="58"/>
      <c r="AU466" s="59"/>
      <c r="AV466" s="58"/>
      <c r="AW466" s="59"/>
      <c r="AX466" s="58"/>
      <c r="AY466" s="59"/>
      <c r="AZ466" s="64"/>
      <c r="BA466" s="61"/>
      <c r="BB466" s="64"/>
      <c r="BC466" s="61"/>
      <c r="BD466" s="64"/>
      <c r="BE466" s="61"/>
      <c r="BF466" s="64"/>
      <c r="BG466" s="61"/>
      <c r="BH466" s="64"/>
      <c r="BI466" s="646" t="s">
        <v>298</v>
      </c>
      <c r="BJ466" s="350"/>
      <c r="BK466" s="350"/>
      <c r="BL466" s="350"/>
      <c r="BM466" s="350"/>
      <c r="BN466" s="350"/>
      <c r="BO466" s="350"/>
      <c r="BP466" s="350"/>
      <c r="BQ466" s="350"/>
      <c r="BR466" s="350"/>
      <c r="BS466" s="350"/>
      <c r="BT466" s="350"/>
      <c r="BU466" s="350"/>
      <c r="BV466" s="351"/>
    </row>
    <row r="467" spans="1:74" ht="30" customHeight="1">
      <c r="A467" s="63">
        <f t="shared" si="1"/>
        <v>453</v>
      </c>
      <c r="B467" s="56" t="s">
        <v>325</v>
      </c>
      <c r="C467" s="57"/>
      <c r="D467" s="644"/>
      <c r="E467" s="350"/>
      <c r="F467" s="350"/>
      <c r="G467" s="350"/>
      <c r="H467" s="350"/>
      <c r="I467" s="350"/>
      <c r="J467" s="350"/>
      <c r="K467" s="351"/>
      <c r="L467" s="643"/>
      <c r="M467" s="350"/>
      <c r="N467" s="350"/>
      <c r="O467" s="351"/>
      <c r="P467" s="644"/>
      <c r="Q467" s="350"/>
      <c r="R467" s="350"/>
      <c r="S467" s="351"/>
      <c r="T467" s="643"/>
      <c r="U467" s="350"/>
      <c r="V467" s="350"/>
      <c r="W467" s="351"/>
      <c r="X467" s="644"/>
      <c r="Y467" s="350"/>
      <c r="Z467" s="350"/>
      <c r="AA467" s="351"/>
      <c r="AB467" s="506"/>
      <c r="AC467" s="350"/>
      <c r="AD467" s="351"/>
      <c r="AE467" s="571"/>
      <c r="AF467" s="350"/>
      <c r="AG467" s="351"/>
      <c r="AH467" s="645"/>
      <c r="AI467" s="350"/>
      <c r="AJ467" s="351"/>
      <c r="AK467" s="567"/>
      <c r="AL467" s="350"/>
      <c r="AM467" s="351"/>
      <c r="AN467" s="58"/>
      <c r="AO467" s="59"/>
      <c r="AP467" s="58"/>
      <c r="AQ467" s="59"/>
      <c r="AR467" s="58"/>
      <c r="AS467" s="59"/>
      <c r="AT467" s="58"/>
      <c r="AU467" s="59"/>
      <c r="AV467" s="58"/>
      <c r="AW467" s="59"/>
      <c r="AX467" s="58"/>
      <c r="AY467" s="59"/>
      <c r="AZ467" s="64"/>
      <c r="BA467" s="61"/>
      <c r="BB467" s="64"/>
      <c r="BC467" s="61"/>
      <c r="BD467" s="64"/>
      <c r="BE467" s="61"/>
      <c r="BF467" s="64"/>
      <c r="BG467" s="61"/>
      <c r="BH467" s="64"/>
      <c r="BI467" s="646" t="s">
        <v>298</v>
      </c>
      <c r="BJ467" s="350"/>
      <c r="BK467" s="350"/>
      <c r="BL467" s="350"/>
      <c r="BM467" s="350"/>
      <c r="BN467" s="350"/>
      <c r="BO467" s="350"/>
      <c r="BP467" s="350"/>
      <c r="BQ467" s="350"/>
      <c r="BR467" s="350"/>
      <c r="BS467" s="350"/>
      <c r="BT467" s="350"/>
      <c r="BU467" s="350"/>
      <c r="BV467" s="351"/>
    </row>
    <row r="468" spans="1:74" ht="30" customHeight="1">
      <c r="A468" s="63">
        <f t="shared" si="1"/>
        <v>454</v>
      </c>
      <c r="B468" s="56" t="s">
        <v>325</v>
      </c>
      <c r="C468" s="57"/>
      <c r="D468" s="644"/>
      <c r="E468" s="350"/>
      <c r="F468" s="350"/>
      <c r="G468" s="350"/>
      <c r="H468" s="350"/>
      <c r="I468" s="350"/>
      <c r="J468" s="350"/>
      <c r="K468" s="351"/>
      <c r="L468" s="643"/>
      <c r="M468" s="350"/>
      <c r="N468" s="350"/>
      <c r="O468" s="351"/>
      <c r="P468" s="644"/>
      <c r="Q468" s="350"/>
      <c r="R468" s="350"/>
      <c r="S468" s="351"/>
      <c r="T468" s="643"/>
      <c r="U468" s="350"/>
      <c r="V468" s="350"/>
      <c r="W468" s="351"/>
      <c r="X468" s="644"/>
      <c r="Y468" s="350"/>
      <c r="Z468" s="350"/>
      <c r="AA468" s="351"/>
      <c r="AB468" s="506"/>
      <c r="AC468" s="350"/>
      <c r="AD468" s="351"/>
      <c r="AE468" s="571"/>
      <c r="AF468" s="350"/>
      <c r="AG468" s="351"/>
      <c r="AH468" s="645"/>
      <c r="AI468" s="350"/>
      <c r="AJ468" s="351"/>
      <c r="AK468" s="567"/>
      <c r="AL468" s="350"/>
      <c r="AM468" s="351"/>
      <c r="AN468" s="58"/>
      <c r="AO468" s="59"/>
      <c r="AP468" s="58"/>
      <c r="AQ468" s="59"/>
      <c r="AR468" s="58"/>
      <c r="AS468" s="59"/>
      <c r="AT468" s="58"/>
      <c r="AU468" s="59"/>
      <c r="AV468" s="58"/>
      <c r="AW468" s="59"/>
      <c r="AX468" s="58"/>
      <c r="AY468" s="59"/>
      <c r="AZ468" s="64"/>
      <c r="BA468" s="61"/>
      <c r="BB468" s="64"/>
      <c r="BC468" s="61"/>
      <c r="BD468" s="64"/>
      <c r="BE468" s="61"/>
      <c r="BF468" s="64"/>
      <c r="BG468" s="61"/>
      <c r="BH468" s="64"/>
      <c r="BI468" s="646" t="s">
        <v>298</v>
      </c>
      <c r="BJ468" s="350"/>
      <c r="BK468" s="350"/>
      <c r="BL468" s="350"/>
      <c r="BM468" s="350"/>
      <c r="BN468" s="350"/>
      <c r="BO468" s="350"/>
      <c r="BP468" s="350"/>
      <c r="BQ468" s="350"/>
      <c r="BR468" s="350"/>
      <c r="BS468" s="350"/>
      <c r="BT468" s="350"/>
      <c r="BU468" s="350"/>
      <c r="BV468" s="351"/>
    </row>
    <row r="469" spans="1:74" ht="30" customHeight="1">
      <c r="A469" s="63">
        <f t="shared" si="1"/>
        <v>455</v>
      </c>
      <c r="B469" s="56" t="s">
        <v>325</v>
      </c>
      <c r="C469" s="57"/>
      <c r="D469" s="644"/>
      <c r="E469" s="350"/>
      <c r="F469" s="350"/>
      <c r="G469" s="350"/>
      <c r="H469" s="350"/>
      <c r="I469" s="350"/>
      <c r="J469" s="350"/>
      <c r="K469" s="351"/>
      <c r="L469" s="643"/>
      <c r="M469" s="350"/>
      <c r="N469" s="350"/>
      <c r="O469" s="351"/>
      <c r="P469" s="644"/>
      <c r="Q469" s="350"/>
      <c r="R469" s="350"/>
      <c r="S469" s="351"/>
      <c r="T469" s="643"/>
      <c r="U469" s="350"/>
      <c r="V469" s="350"/>
      <c r="W469" s="351"/>
      <c r="X469" s="644"/>
      <c r="Y469" s="350"/>
      <c r="Z469" s="350"/>
      <c r="AA469" s="351"/>
      <c r="AB469" s="506"/>
      <c r="AC469" s="350"/>
      <c r="AD469" s="351"/>
      <c r="AE469" s="571"/>
      <c r="AF469" s="350"/>
      <c r="AG469" s="351"/>
      <c r="AH469" s="645"/>
      <c r="AI469" s="350"/>
      <c r="AJ469" s="351"/>
      <c r="AK469" s="567"/>
      <c r="AL469" s="350"/>
      <c r="AM469" s="351"/>
      <c r="AN469" s="58"/>
      <c r="AO469" s="59"/>
      <c r="AP469" s="58"/>
      <c r="AQ469" s="59"/>
      <c r="AR469" s="58"/>
      <c r="AS469" s="59"/>
      <c r="AT469" s="58"/>
      <c r="AU469" s="59"/>
      <c r="AV469" s="58"/>
      <c r="AW469" s="59"/>
      <c r="AX469" s="58"/>
      <c r="AY469" s="59"/>
      <c r="AZ469" s="64"/>
      <c r="BA469" s="61"/>
      <c r="BB469" s="64"/>
      <c r="BC469" s="61"/>
      <c r="BD469" s="64"/>
      <c r="BE469" s="61"/>
      <c r="BF469" s="64"/>
      <c r="BG469" s="61"/>
      <c r="BH469" s="64"/>
      <c r="BI469" s="646" t="s">
        <v>298</v>
      </c>
      <c r="BJ469" s="350"/>
      <c r="BK469" s="350"/>
      <c r="BL469" s="350"/>
      <c r="BM469" s="350"/>
      <c r="BN469" s="350"/>
      <c r="BO469" s="350"/>
      <c r="BP469" s="350"/>
      <c r="BQ469" s="350"/>
      <c r="BR469" s="350"/>
      <c r="BS469" s="350"/>
      <c r="BT469" s="350"/>
      <c r="BU469" s="350"/>
      <c r="BV469" s="351"/>
    </row>
    <row r="470" spans="1:74" ht="30" customHeight="1">
      <c r="A470" s="63">
        <f t="shared" si="1"/>
        <v>456</v>
      </c>
      <c r="B470" s="56" t="s">
        <v>325</v>
      </c>
      <c r="C470" s="57"/>
      <c r="D470" s="644"/>
      <c r="E470" s="350"/>
      <c r="F470" s="350"/>
      <c r="G470" s="350"/>
      <c r="H470" s="350"/>
      <c r="I470" s="350"/>
      <c r="J470" s="350"/>
      <c r="K470" s="351"/>
      <c r="L470" s="643"/>
      <c r="M470" s="350"/>
      <c r="N470" s="350"/>
      <c r="O470" s="351"/>
      <c r="P470" s="644"/>
      <c r="Q470" s="350"/>
      <c r="R470" s="350"/>
      <c r="S470" s="351"/>
      <c r="T470" s="643"/>
      <c r="U470" s="350"/>
      <c r="V470" s="350"/>
      <c r="W470" s="351"/>
      <c r="X470" s="644"/>
      <c r="Y470" s="350"/>
      <c r="Z470" s="350"/>
      <c r="AA470" s="351"/>
      <c r="AB470" s="506"/>
      <c r="AC470" s="350"/>
      <c r="AD470" s="351"/>
      <c r="AE470" s="571"/>
      <c r="AF470" s="350"/>
      <c r="AG470" s="351"/>
      <c r="AH470" s="645"/>
      <c r="AI470" s="350"/>
      <c r="AJ470" s="351"/>
      <c r="AK470" s="567"/>
      <c r="AL470" s="350"/>
      <c r="AM470" s="351"/>
      <c r="AN470" s="58"/>
      <c r="AO470" s="59"/>
      <c r="AP470" s="58"/>
      <c r="AQ470" s="59"/>
      <c r="AR470" s="58"/>
      <c r="AS470" s="59"/>
      <c r="AT470" s="58"/>
      <c r="AU470" s="59"/>
      <c r="AV470" s="58"/>
      <c r="AW470" s="59"/>
      <c r="AX470" s="58"/>
      <c r="AY470" s="59"/>
      <c r="AZ470" s="64"/>
      <c r="BA470" s="61"/>
      <c r="BB470" s="64"/>
      <c r="BC470" s="61"/>
      <c r="BD470" s="64"/>
      <c r="BE470" s="61"/>
      <c r="BF470" s="64"/>
      <c r="BG470" s="61"/>
      <c r="BH470" s="64"/>
      <c r="BI470" s="646" t="s">
        <v>298</v>
      </c>
      <c r="BJ470" s="350"/>
      <c r="BK470" s="350"/>
      <c r="BL470" s="350"/>
      <c r="BM470" s="350"/>
      <c r="BN470" s="350"/>
      <c r="BO470" s="350"/>
      <c r="BP470" s="350"/>
      <c r="BQ470" s="350"/>
      <c r="BR470" s="350"/>
      <c r="BS470" s="350"/>
      <c r="BT470" s="350"/>
      <c r="BU470" s="350"/>
      <c r="BV470" s="351"/>
    </row>
    <row r="471" spans="1:74" ht="30" customHeight="1">
      <c r="A471" s="63">
        <f t="shared" si="1"/>
        <v>457</v>
      </c>
      <c r="B471" s="56" t="s">
        <v>325</v>
      </c>
      <c r="C471" s="57"/>
      <c r="D471" s="644"/>
      <c r="E471" s="350"/>
      <c r="F471" s="350"/>
      <c r="G471" s="350"/>
      <c r="H471" s="350"/>
      <c r="I471" s="350"/>
      <c r="J471" s="350"/>
      <c r="K471" s="351"/>
      <c r="L471" s="643"/>
      <c r="M471" s="350"/>
      <c r="N471" s="350"/>
      <c r="O471" s="351"/>
      <c r="P471" s="644"/>
      <c r="Q471" s="350"/>
      <c r="R471" s="350"/>
      <c r="S471" s="351"/>
      <c r="T471" s="643"/>
      <c r="U471" s="350"/>
      <c r="V471" s="350"/>
      <c r="W471" s="351"/>
      <c r="X471" s="644"/>
      <c r="Y471" s="350"/>
      <c r="Z471" s="350"/>
      <c r="AA471" s="351"/>
      <c r="AB471" s="506"/>
      <c r="AC471" s="350"/>
      <c r="AD471" s="351"/>
      <c r="AE471" s="571"/>
      <c r="AF471" s="350"/>
      <c r="AG471" s="351"/>
      <c r="AH471" s="645"/>
      <c r="AI471" s="350"/>
      <c r="AJ471" s="351"/>
      <c r="AK471" s="567"/>
      <c r="AL471" s="350"/>
      <c r="AM471" s="351"/>
      <c r="AN471" s="58"/>
      <c r="AO471" s="59"/>
      <c r="AP471" s="58"/>
      <c r="AQ471" s="59"/>
      <c r="AR471" s="58"/>
      <c r="AS471" s="59"/>
      <c r="AT471" s="58"/>
      <c r="AU471" s="59"/>
      <c r="AV471" s="58"/>
      <c r="AW471" s="59"/>
      <c r="AX471" s="58"/>
      <c r="AY471" s="59"/>
      <c r="AZ471" s="64"/>
      <c r="BA471" s="61"/>
      <c r="BB471" s="64"/>
      <c r="BC471" s="61"/>
      <c r="BD471" s="64"/>
      <c r="BE471" s="61"/>
      <c r="BF471" s="64"/>
      <c r="BG471" s="61"/>
      <c r="BH471" s="64"/>
      <c r="BI471" s="646" t="s">
        <v>294</v>
      </c>
      <c r="BJ471" s="350"/>
      <c r="BK471" s="350"/>
      <c r="BL471" s="350"/>
      <c r="BM471" s="350"/>
      <c r="BN471" s="350"/>
      <c r="BO471" s="350"/>
      <c r="BP471" s="350"/>
      <c r="BQ471" s="350"/>
      <c r="BR471" s="350"/>
      <c r="BS471" s="350"/>
      <c r="BT471" s="350"/>
      <c r="BU471" s="350"/>
      <c r="BV471" s="351"/>
    </row>
    <row r="472" spans="1:74" ht="30" customHeight="1">
      <c r="A472" s="63">
        <f t="shared" si="1"/>
        <v>458</v>
      </c>
      <c r="B472" s="56" t="s">
        <v>325</v>
      </c>
      <c r="C472" s="57"/>
      <c r="D472" s="644"/>
      <c r="E472" s="350"/>
      <c r="F472" s="350"/>
      <c r="G472" s="350"/>
      <c r="H472" s="350"/>
      <c r="I472" s="350"/>
      <c r="J472" s="350"/>
      <c r="K472" s="351"/>
      <c r="L472" s="643"/>
      <c r="M472" s="350"/>
      <c r="N472" s="350"/>
      <c r="O472" s="351"/>
      <c r="P472" s="644"/>
      <c r="Q472" s="350"/>
      <c r="R472" s="350"/>
      <c r="S472" s="351"/>
      <c r="T472" s="643"/>
      <c r="U472" s="350"/>
      <c r="V472" s="350"/>
      <c r="W472" s="351"/>
      <c r="X472" s="644"/>
      <c r="Y472" s="350"/>
      <c r="Z472" s="350"/>
      <c r="AA472" s="351"/>
      <c r="AB472" s="506"/>
      <c r="AC472" s="350"/>
      <c r="AD472" s="351"/>
      <c r="AE472" s="571"/>
      <c r="AF472" s="350"/>
      <c r="AG472" s="351"/>
      <c r="AH472" s="645"/>
      <c r="AI472" s="350"/>
      <c r="AJ472" s="351"/>
      <c r="AK472" s="567"/>
      <c r="AL472" s="350"/>
      <c r="AM472" s="351"/>
      <c r="AN472" s="58"/>
      <c r="AO472" s="59"/>
      <c r="AP472" s="58"/>
      <c r="AQ472" s="59"/>
      <c r="AR472" s="58"/>
      <c r="AS472" s="59"/>
      <c r="AT472" s="58"/>
      <c r="AU472" s="59"/>
      <c r="AV472" s="58"/>
      <c r="AW472" s="59"/>
      <c r="AX472" s="58"/>
      <c r="AY472" s="59"/>
      <c r="AZ472" s="64"/>
      <c r="BA472" s="61"/>
      <c r="BB472" s="64"/>
      <c r="BC472" s="61"/>
      <c r="BD472" s="64"/>
      <c r="BE472" s="61"/>
      <c r="BF472" s="64"/>
      <c r="BG472" s="61"/>
      <c r="BH472" s="64"/>
      <c r="BI472" s="646" t="s">
        <v>294</v>
      </c>
      <c r="BJ472" s="350"/>
      <c r="BK472" s="350"/>
      <c r="BL472" s="350"/>
      <c r="BM472" s="350"/>
      <c r="BN472" s="350"/>
      <c r="BO472" s="350"/>
      <c r="BP472" s="350"/>
      <c r="BQ472" s="350"/>
      <c r="BR472" s="350"/>
      <c r="BS472" s="350"/>
      <c r="BT472" s="350"/>
      <c r="BU472" s="350"/>
      <c r="BV472" s="351"/>
    </row>
    <row r="473" spans="1:74" ht="30" customHeight="1">
      <c r="A473" s="55">
        <f t="shared" si="1"/>
        <v>459</v>
      </c>
      <c r="B473" s="56" t="s">
        <v>325</v>
      </c>
      <c r="C473" s="57"/>
      <c r="D473" s="644"/>
      <c r="E473" s="350"/>
      <c r="F473" s="350"/>
      <c r="G473" s="350"/>
      <c r="H473" s="350"/>
      <c r="I473" s="350"/>
      <c r="J473" s="350"/>
      <c r="K473" s="351"/>
      <c r="L473" s="643"/>
      <c r="M473" s="350"/>
      <c r="N473" s="350"/>
      <c r="O473" s="351"/>
      <c r="P473" s="644"/>
      <c r="Q473" s="350"/>
      <c r="R473" s="350"/>
      <c r="S473" s="351"/>
      <c r="T473" s="643"/>
      <c r="U473" s="350"/>
      <c r="V473" s="350"/>
      <c r="W473" s="351"/>
      <c r="X473" s="644"/>
      <c r="Y473" s="350"/>
      <c r="Z473" s="350"/>
      <c r="AA473" s="351"/>
      <c r="AB473" s="506"/>
      <c r="AC473" s="350"/>
      <c r="AD473" s="351"/>
      <c r="AE473" s="571"/>
      <c r="AF473" s="350"/>
      <c r="AG473" s="351"/>
      <c r="AH473" s="645"/>
      <c r="AI473" s="350"/>
      <c r="AJ473" s="351"/>
      <c r="AK473" s="567"/>
      <c r="AL473" s="350"/>
      <c r="AM473" s="351"/>
      <c r="AN473" s="58"/>
      <c r="AO473" s="59"/>
      <c r="AP473" s="58"/>
      <c r="AQ473" s="59"/>
      <c r="AR473" s="58"/>
      <c r="AS473" s="59"/>
      <c r="AT473" s="58"/>
      <c r="AU473" s="59"/>
      <c r="AV473" s="58"/>
      <c r="AW473" s="59"/>
      <c r="AX473" s="58"/>
      <c r="AY473" s="59"/>
      <c r="AZ473" s="64"/>
      <c r="BA473" s="61"/>
      <c r="BB473" s="64"/>
      <c r="BC473" s="61"/>
      <c r="BD473" s="64"/>
      <c r="BE473" s="61"/>
      <c r="BF473" s="64"/>
      <c r="BG473" s="61"/>
      <c r="BH473" s="64"/>
      <c r="BI473" s="646" t="s">
        <v>298</v>
      </c>
      <c r="BJ473" s="350"/>
      <c r="BK473" s="350"/>
      <c r="BL473" s="350"/>
      <c r="BM473" s="350"/>
      <c r="BN473" s="350"/>
      <c r="BO473" s="350"/>
      <c r="BP473" s="350"/>
      <c r="BQ473" s="350"/>
      <c r="BR473" s="350"/>
      <c r="BS473" s="350"/>
      <c r="BT473" s="350"/>
      <c r="BU473" s="350"/>
      <c r="BV473" s="351"/>
    </row>
    <row r="474" spans="1:74" ht="30" customHeight="1">
      <c r="A474" s="63">
        <f t="shared" si="1"/>
        <v>460</v>
      </c>
      <c r="B474" s="56" t="s">
        <v>325</v>
      </c>
      <c r="C474" s="57"/>
      <c r="D474" s="644"/>
      <c r="E474" s="350"/>
      <c r="F474" s="350"/>
      <c r="G474" s="350"/>
      <c r="H474" s="350"/>
      <c r="I474" s="350"/>
      <c r="J474" s="350"/>
      <c r="K474" s="351"/>
      <c r="L474" s="643"/>
      <c r="M474" s="350"/>
      <c r="N474" s="350"/>
      <c r="O474" s="351"/>
      <c r="P474" s="644"/>
      <c r="Q474" s="350"/>
      <c r="R474" s="350"/>
      <c r="S474" s="351"/>
      <c r="T474" s="643"/>
      <c r="U474" s="350"/>
      <c r="V474" s="350"/>
      <c r="W474" s="351"/>
      <c r="X474" s="644"/>
      <c r="Y474" s="350"/>
      <c r="Z474" s="350"/>
      <c r="AA474" s="351"/>
      <c r="AB474" s="506"/>
      <c r="AC474" s="350"/>
      <c r="AD474" s="351"/>
      <c r="AE474" s="571"/>
      <c r="AF474" s="350"/>
      <c r="AG474" s="351"/>
      <c r="AH474" s="645"/>
      <c r="AI474" s="350"/>
      <c r="AJ474" s="351"/>
      <c r="AK474" s="567"/>
      <c r="AL474" s="350"/>
      <c r="AM474" s="351"/>
      <c r="AN474" s="58"/>
      <c r="AO474" s="59"/>
      <c r="AP474" s="58"/>
      <c r="AQ474" s="59"/>
      <c r="AR474" s="58"/>
      <c r="AS474" s="59"/>
      <c r="AT474" s="58"/>
      <c r="AU474" s="59"/>
      <c r="AV474" s="58"/>
      <c r="AW474" s="59"/>
      <c r="AX474" s="58"/>
      <c r="AY474" s="59"/>
      <c r="AZ474" s="64"/>
      <c r="BA474" s="61"/>
      <c r="BB474" s="64"/>
      <c r="BC474" s="61"/>
      <c r="BD474" s="64"/>
      <c r="BE474" s="61"/>
      <c r="BF474" s="64"/>
      <c r="BG474" s="61"/>
      <c r="BH474" s="64"/>
      <c r="BI474" s="646" t="s">
        <v>298</v>
      </c>
      <c r="BJ474" s="350"/>
      <c r="BK474" s="350"/>
      <c r="BL474" s="350"/>
      <c r="BM474" s="350"/>
      <c r="BN474" s="350"/>
      <c r="BO474" s="350"/>
      <c r="BP474" s="350"/>
      <c r="BQ474" s="350"/>
      <c r="BR474" s="350"/>
      <c r="BS474" s="350"/>
      <c r="BT474" s="350"/>
      <c r="BU474" s="350"/>
      <c r="BV474" s="351"/>
    </row>
    <row r="475" spans="1:74" ht="30" customHeight="1">
      <c r="A475" s="63">
        <f t="shared" si="1"/>
        <v>461</v>
      </c>
      <c r="B475" s="56" t="s">
        <v>325</v>
      </c>
      <c r="C475" s="57"/>
      <c r="D475" s="644"/>
      <c r="E475" s="350"/>
      <c r="F475" s="350"/>
      <c r="G475" s="350"/>
      <c r="H475" s="350"/>
      <c r="I475" s="350"/>
      <c r="J475" s="350"/>
      <c r="K475" s="351"/>
      <c r="L475" s="643"/>
      <c r="M475" s="350"/>
      <c r="N475" s="350"/>
      <c r="O475" s="351"/>
      <c r="P475" s="644"/>
      <c r="Q475" s="350"/>
      <c r="R475" s="350"/>
      <c r="S475" s="351"/>
      <c r="T475" s="643"/>
      <c r="U475" s="350"/>
      <c r="V475" s="350"/>
      <c r="W475" s="351"/>
      <c r="X475" s="644"/>
      <c r="Y475" s="350"/>
      <c r="Z475" s="350"/>
      <c r="AA475" s="351"/>
      <c r="AB475" s="506"/>
      <c r="AC475" s="350"/>
      <c r="AD475" s="351"/>
      <c r="AE475" s="571"/>
      <c r="AF475" s="350"/>
      <c r="AG475" s="351"/>
      <c r="AH475" s="645"/>
      <c r="AI475" s="350"/>
      <c r="AJ475" s="351"/>
      <c r="AK475" s="567"/>
      <c r="AL475" s="350"/>
      <c r="AM475" s="351"/>
      <c r="AN475" s="58"/>
      <c r="AO475" s="59"/>
      <c r="AP475" s="58"/>
      <c r="AQ475" s="59"/>
      <c r="AR475" s="58"/>
      <c r="AS475" s="59"/>
      <c r="AT475" s="58"/>
      <c r="AU475" s="59"/>
      <c r="AV475" s="58"/>
      <c r="AW475" s="59"/>
      <c r="AX475" s="58"/>
      <c r="AY475" s="59"/>
      <c r="AZ475" s="64"/>
      <c r="BA475" s="61"/>
      <c r="BB475" s="64"/>
      <c r="BC475" s="61"/>
      <c r="BD475" s="64"/>
      <c r="BE475" s="61"/>
      <c r="BF475" s="64"/>
      <c r="BG475" s="61"/>
      <c r="BH475" s="64"/>
      <c r="BI475" s="646" t="s">
        <v>298</v>
      </c>
      <c r="BJ475" s="350"/>
      <c r="BK475" s="350"/>
      <c r="BL475" s="350"/>
      <c r="BM475" s="350"/>
      <c r="BN475" s="350"/>
      <c r="BO475" s="350"/>
      <c r="BP475" s="350"/>
      <c r="BQ475" s="350"/>
      <c r="BR475" s="350"/>
      <c r="BS475" s="350"/>
      <c r="BT475" s="350"/>
      <c r="BU475" s="350"/>
      <c r="BV475" s="351"/>
    </row>
    <row r="476" spans="1:74" ht="30" customHeight="1">
      <c r="A476" s="63">
        <f t="shared" si="1"/>
        <v>462</v>
      </c>
      <c r="B476" s="56" t="s">
        <v>325</v>
      </c>
      <c r="C476" s="57"/>
      <c r="D476" s="644"/>
      <c r="E476" s="350"/>
      <c r="F476" s="350"/>
      <c r="G476" s="350"/>
      <c r="H476" s="350"/>
      <c r="I476" s="350"/>
      <c r="J476" s="350"/>
      <c r="K476" s="351"/>
      <c r="L476" s="643"/>
      <c r="M476" s="350"/>
      <c r="N476" s="350"/>
      <c r="O476" s="351"/>
      <c r="P476" s="644"/>
      <c r="Q476" s="350"/>
      <c r="R476" s="350"/>
      <c r="S476" s="351"/>
      <c r="T476" s="643"/>
      <c r="U476" s="350"/>
      <c r="V476" s="350"/>
      <c r="W476" s="351"/>
      <c r="X476" s="644"/>
      <c r="Y476" s="350"/>
      <c r="Z476" s="350"/>
      <c r="AA476" s="351"/>
      <c r="AB476" s="506"/>
      <c r="AC476" s="350"/>
      <c r="AD476" s="351"/>
      <c r="AE476" s="571"/>
      <c r="AF476" s="350"/>
      <c r="AG476" s="351"/>
      <c r="AH476" s="645"/>
      <c r="AI476" s="350"/>
      <c r="AJ476" s="351"/>
      <c r="AK476" s="567"/>
      <c r="AL476" s="350"/>
      <c r="AM476" s="351"/>
      <c r="AN476" s="58"/>
      <c r="AO476" s="59"/>
      <c r="AP476" s="58"/>
      <c r="AQ476" s="59"/>
      <c r="AR476" s="58"/>
      <c r="AS476" s="59"/>
      <c r="AT476" s="58"/>
      <c r="AU476" s="59"/>
      <c r="AV476" s="58"/>
      <c r="AW476" s="59"/>
      <c r="AX476" s="58"/>
      <c r="AY476" s="59"/>
      <c r="AZ476" s="64"/>
      <c r="BA476" s="61"/>
      <c r="BB476" s="64"/>
      <c r="BC476" s="61"/>
      <c r="BD476" s="64"/>
      <c r="BE476" s="61"/>
      <c r="BF476" s="64"/>
      <c r="BG476" s="61"/>
      <c r="BH476" s="64"/>
      <c r="BI476" s="646" t="s">
        <v>298</v>
      </c>
      <c r="BJ476" s="350"/>
      <c r="BK476" s="350"/>
      <c r="BL476" s="350"/>
      <c r="BM476" s="350"/>
      <c r="BN476" s="350"/>
      <c r="BO476" s="350"/>
      <c r="BP476" s="350"/>
      <c r="BQ476" s="350"/>
      <c r="BR476" s="350"/>
      <c r="BS476" s="350"/>
      <c r="BT476" s="350"/>
      <c r="BU476" s="350"/>
      <c r="BV476" s="351"/>
    </row>
    <row r="477" spans="1:74" ht="30" customHeight="1">
      <c r="A477" s="63">
        <f t="shared" si="1"/>
        <v>463</v>
      </c>
      <c r="B477" s="56" t="s">
        <v>325</v>
      </c>
      <c r="C477" s="57"/>
      <c r="D477" s="644"/>
      <c r="E477" s="350"/>
      <c r="F477" s="350"/>
      <c r="G477" s="350"/>
      <c r="H477" s="350"/>
      <c r="I477" s="350"/>
      <c r="J477" s="350"/>
      <c r="K477" s="351"/>
      <c r="L477" s="643"/>
      <c r="M477" s="350"/>
      <c r="N477" s="350"/>
      <c r="O477" s="351"/>
      <c r="P477" s="644"/>
      <c r="Q477" s="350"/>
      <c r="R477" s="350"/>
      <c r="S477" s="351"/>
      <c r="T477" s="643"/>
      <c r="U477" s="350"/>
      <c r="V477" s="350"/>
      <c r="W477" s="351"/>
      <c r="X477" s="644"/>
      <c r="Y477" s="350"/>
      <c r="Z477" s="350"/>
      <c r="AA477" s="351"/>
      <c r="AB477" s="506"/>
      <c r="AC477" s="350"/>
      <c r="AD477" s="351"/>
      <c r="AE477" s="571"/>
      <c r="AF477" s="350"/>
      <c r="AG477" s="351"/>
      <c r="AH477" s="645"/>
      <c r="AI477" s="350"/>
      <c r="AJ477" s="351"/>
      <c r="AK477" s="567"/>
      <c r="AL477" s="350"/>
      <c r="AM477" s="351"/>
      <c r="AN477" s="58"/>
      <c r="AO477" s="59"/>
      <c r="AP477" s="58"/>
      <c r="AQ477" s="59"/>
      <c r="AR477" s="58"/>
      <c r="AS477" s="59"/>
      <c r="AT477" s="58"/>
      <c r="AU477" s="59"/>
      <c r="AV477" s="58"/>
      <c r="AW477" s="59"/>
      <c r="AX477" s="58"/>
      <c r="AY477" s="59"/>
      <c r="AZ477" s="64"/>
      <c r="BA477" s="61"/>
      <c r="BB477" s="64"/>
      <c r="BC477" s="61"/>
      <c r="BD477" s="64"/>
      <c r="BE477" s="61"/>
      <c r="BF477" s="64"/>
      <c r="BG477" s="61"/>
      <c r="BH477" s="64"/>
      <c r="BI477" s="646" t="s">
        <v>298</v>
      </c>
      <c r="BJ477" s="350"/>
      <c r="BK477" s="350"/>
      <c r="BL477" s="350"/>
      <c r="BM477" s="350"/>
      <c r="BN477" s="350"/>
      <c r="BO477" s="350"/>
      <c r="BP477" s="350"/>
      <c r="BQ477" s="350"/>
      <c r="BR477" s="350"/>
      <c r="BS477" s="350"/>
      <c r="BT477" s="350"/>
      <c r="BU477" s="350"/>
      <c r="BV477" s="351"/>
    </row>
    <row r="478" spans="1:74" ht="30" customHeight="1">
      <c r="A478" s="63">
        <f t="shared" si="1"/>
        <v>464</v>
      </c>
      <c r="B478" s="56" t="s">
        <v>325</v>
      </c>
      <c r="C478" s="57"/>
      <c r="D478" s="644"/>
      <c r="E478" s="350"/>
      <c r="F478" s="350"/>
      <c r="G478" s="350"/>
      <c r="H478" s="350"/>
      <c r="I478" s="350"/>
      <c r="J478" s="350"/>
      <c r="K478" s="351"/>
      <c r="L478" s="643"/>
      <c r="M478" s="350"/>
      <c r="N478" s="350"/>
      <c r="O478" s="351"/>
      <c r="P478" s="644"/>
      <c r="Q478" s="350"/>
      <c r="R478" s="350"/>
      <c r="S478" s="351"/>
      <c r="T478" s="643"/>
      <c r="U478" s="350"/>
      <c r="V478" s="350"/>
      <c r="W478" s="351"/>
      <c r="X478" s="644"/>
      <c r="Y478" s="350"/>
      <c r="Z478" s="350"/>
      <c r="AA478" s="351"/>
      <c r="AB478" s="506"/>
      <c r="AC478" s="350"/>
      <c r="AD478" s="351"/>
      <c r="AE478" s="571"/>
      <c r="AF478" s="350"/>
      <c r="AG478" s="351"/>
      <c r="AH478" s="645"/>
      <c r="AI478" s="350"/>
      <c r="AJ478" s="351"/>
      <c r="AK478" s="567"/>
      <c r="AL478" s="350"/>
      <c r="AM478" s="351"/>
      <c r="AN478" s="58"/>
      <c r="AO478" s="59"/>
      <c r="AP478" s="58"/>
      <c r="AQ478" s="59"/>
      <c r="AR478" s="58"/>
      <c r="AS478" s="59"/>
      <c r="AT478" s="58"/>
      <c r="AU478" s="59"/>
      <c r="AV478" s="58"/>
      <c r="AW478" s="59"/>
      <c r="AX478" s="58"/>
      <c r="AY478" s="59"/>
      <c r="AZ478" s="64"/>
      <c r="BA478" s="61"/>
      <c r="BB478" s="64"/>
      <c r="BC478" s="61"/>
      <c r="BD478" s="64"/>
      <c r="BE478" s="61"/>
      <c r="BF478" s="64"/>
      <c r="BG478" s="61"/>
      <c r="BH478" s="64"/>
      <c r="BI478" s="646" t="s">
        <v>294</v>
      </c>
      <c r="BJ478" s="350"/>
      <c r="BK478" s="350"/>
      <c r="BL478" s="350"/>
      <c r="BM478" s="350"/>
      <c r="BN478" s="350"/>
      <c r="BO478" s="350"/>
      <c r="BP478" s="350"/>
      <c r="BQ478" s="350"/>
      <c r="BR478" s="350"/>
      <c r="BS478" s="350"/>
      <c r="BT478" s="350"/>
      <c r="BU478" s="350"/>
      <c r="BV478" s="351"/>
    </row>
    <row r="479" spans="1:74" ht="30" customHeight="1">
      <c r="A479" s="63">
        <f t="shared" si="1"/>
        <v>465</v>
      </c>
      <c r="B479" s="56" t="s">
        <v>325</v>
      </c>
      <c r="C479" s="57"/>
      <c r="D479" s="644"/>
      <c r="E479" s="350"/>
      <c r="F479" s="350"/>
      <c r="G479" s="350"/>
      <c r="H479" s="350"/>
      <c r="I479" s="350"/>
      <c r="J479" s="350"/>
      <c r="K479" s="351"/>
      <c r="L479" s="643"/>
      <c r="M479" s="350"/>
      <c r="N479" s="350"/>
      <c r="O479" s="351"/>
      <c r="P479" s="644"/>
      <c r="Q479" s="350"/>
      <c r="R479" s="350"/>
      <c r="S479" s="351"/>
      <c r="T479" s="643"/>
      <c r="U479" s="350"/>
      <c r="V479" s="350"/>
      <c r="W479" s="351"/>
      <c r="X479" s="644"/>
      <c r="Y479" s="350"/>
      <c r="Z479" s="350"/>
      <c r="AA479" s="351"/>
      <c r="AB479" s="506"/>
      <c r="AC479" s="350"/>
      <c r="AD479" s="351"/>
      <c r="AE479" s="571"/>
      <c r="AF479" s="350"/>
      <c r="AG479" s="351"/>
      <c r="AH479" s="645"/>
      <c r="AI479" s="350"/>
      <c r="AJ479" s="351"/>
      <c r="AK479" s="567"/>
      <c r="AL479" s="350"/>
      <c r="AM479" s="351"/>
      <c r="AN479" s="58"/>
      <c r="AO479" s="59"/>
      <c r="AP479" s="58"/>
      <c r="AQ479" s="59"/>
      <c r="AR479" s="58"/>
      <c r="AS479" s="59"/>
      <c r="AT479" s="58"/>
      <c r="AU479" s="59"/>
      <c r="AV479" s="58"/>
      <c r="AW479" s="59"/>
      <c r="AX479" s="58"/>
      <c r="AY479" s="59"/>
      <c r="AZ479" s="64"/>
      <c r="BA479" s="61"/>
      <c r="BB479" s="64"/>
      <c r="BC479" s="61"/>
      <c r="BD479" s="64"/>
      <c r="BE479" s="61"/>
      <c r="BF479" s="64"/>
      <c r="BG479" s="61"/>
      <c r="BH479" s="64"/>
      <c r="BI479" s="646" t="s">
        <v>294</v>
      </c>
      <c r="BJ479" s="350"/>
      <c r="BK479" s="350"/>
      <c r="BL479" s="350"/>
      <c r="BM479" s="350"/>
      <c r="BN479" s="350"/>
      <c r="BO479" s="350"/>
      <c r="BP479" s="350"/>
      <c r="BQ479" s="350"/>
      <c r="BR479" s="350"/>
      <c r="BS479" s="350"/>
      <c r="BT479" s="350"/>
      <c r="BU479" s="350"/>
      <c r="BV479" s="351"/>
    </row>
    <row r="480" spans="1:74" ht="30" customHeight="1">
      <c r="A480" s="55">
        <f t="shared" si="1"/>
        <v>466</v>
      </c>
      <c r="B480" s="56" t="s">
        <v>325</v>
      </c>
      <c r="C480" s="57"/>
      <c r="D480" s="644"/>
      <c r="E480" s="350"/>
      <c r="F480" s="350"/>
      <c r="G480" s="350"/>
      <c r="H480" s="350"/>
      <c r="I480" s="350"/>
      <c r="J480" s="350"/>
      <c r="K480" s="351"/>
      <c r="L480" s="643"/>
      <c r="M480" s="350"/>
      <c r="N480" s="350"/>
      <c r="O480" s="351"/>
      <c r="P480" s="644"/>
      <c r="Q480" s="350"/>
      <c r="R480" s="350"/>
      <c r="S480" s="351"/>
      <c r="T480" s="643"/>
      <c r="U480" s="350"/>
      <c r="V480" s="350"/>
      <c r="W480" s="351"/>
      <c r="X480" s="644"/>
      <c r="Y480" s="350"/>
      <c r="Z480" s="350"/>
      <c r="AA480" s="351"/>
      <c r="AB480" s="506"/>
      <c r="AC480" s="350"/>
      <c r="AD480" s="351"/>
      <c r="AE480" s="571"/>
      <c r="AF480" s="350"/>
      <c r="AG480" s="351"/>
      <c r="AH480" s="645"/>
      <c r="AI480" s="350"/>
      <c r="AJ480" s="351"/>
      <c r="AK480" s="567"/>
      <c r="AL480" s="350"/>
      <c r="AM480" s="351"/>
      <c r="AN480" s="58"/>
      <c r="AO480" s="59"/>
      <c r="AP480" s="58"/>
      <c r="AQ480" s="59"/>
      <c r="AR480" s="58"/>
      <c r="AS480" s="59"/>
      <c r="AT480" s="58"/>
      <c r="AU480" s="59"/>
      <c r="AV480" s="58"/>
      <c r="AW480" s="59"/>
      <c r="AX480" s="58"/>
      <c r="AY480" s="59"/>
      <c r="AZ480" s="64"/>
      <c r="BA480" s="61"/>
      <c r="BB480" s="64"/>
      <c r="BC480" s="61"/>
      <c r="BD480" s="64"/>
      <c r="BE480" s="61"/>
      <c r="BF480" s="64"/>
      <c r="BG480" s="61"/>
      <c r="BH480" s="64"/>
      <c r="BI480" s="646" t="s">
        <v>298</v>
      </c>
      <c r="BJ480" s="350"/>
      <c r="BK480" s="350"/>
      <c r="BL480" s="350"/>
      <c r="BM480" s="350"/>
      <c r="BN480" s="350"/>
      <c r="BO480" s="350"/>
      <c r="BP480" s="350"/>
      <c r="BQ480" s="350"/>
      <c r="BR480" s="350"/>
      <c r="BS480" s="350"/>
      <c r="BT480" s="350"/>
      <c r="BU480" s="350"/>
      <c r="BV480" s="351"/>
    </row>
    <row r="481" spans="1:74" ht="30" customHeight="1">
      <c r="A481" s="63">
        <f t="shared" si="1"/>
        <v>467</v>
      </c>
      <c r="B481" s="56" t="s">
        <v>325</v>
      </c>
      <c r="C481" s="57"/>
      <c r="D481" s="644"/>
      <c r="E481" s="350"/>
      <c r="F481" s="350"/>
      <c r="G481" s="350"/>
      <c r="H481" s="350"/>
      <c r="I481" s="350"/>
      <c r="J481" s="350"/>
      <c r="K481" s="351"/>
      <c r="L481" s="643"/>
      <c r="M481" s="350"/>
      <c r="N481" s="350"/>
      <c r="O481" s="351"/>
      <c r="P481" s="644"/>
      <c r="Q481" s="350"/>
      <c r="R481" s="350"/>
      <c r="S481" s="351"/>
      <c r="T481" s="643"/>
      <c r="U481" s="350"/>
      <c r="V481" s="350"/>
      <c r="W481" s="351"/>
      <c r="X481" s="644"/>
      <c r="Y481" s="350"/>
      <c r="Z481" s="350"/>
      <c r="AA481" s="351"/>
      <c r="AB481" s="506"/>
      <c r="AC481" s="350"/>
      <c r="AD481" s="351"/>
      <c r="AE481" s="571"/>
      <c r="AF481" s="350"/>
      <c r="AG481" s="351"/>
      <c r="AH481" s="645"/>
      <c r="AI481" s="350"/>
      <c r="AJ481" s="351"/>
      <c r="AK481" s="567"/>
      <c r="AL481" s="350"/>
      <c r="AM481" s="351"/>
      <c r="AN481" s="58"/>
      <c r="AO481" s="59"/>
      <c r="AP481" s="58"/>
      <c r="AQ481" s="59"/>
      <c r="AR481" s="58"/>
      <c r="AS481" s="59"/>
      <c r="AT481" s="58"/>
      <c r="AU481" s="59"/>
      <c r="AV481" s="58"/>
      <c r="AW481" s="59"/>
      <c r="AX481" s="58"/>
      <c r="AY481" s="59"/>
      <c r="AZ481" s="64"/>
      <c r="BA481" s="61"/>
      <c r="BB481" s="64"/>
      <c r="BC481" s="61"/>
      <c r="BD481" s="64"/>
      <c r="BE481" s="61"/>
      <c r="BF481" s="64"/>
      <c r="BG481" s="61"/>
      <c r="BH481" s="64"/>
      <c r="BI481" s="646" t="s">
        <v>298</v>
      </c>
      <c r="BJ481" s="350"/>
      <c r="BK481" s="350"/>
      <c r="BL481" s="350"/>
      <c r="BM481" s="350"/>
      <c r="BN481" s="350"/>
      <c r="BO481" s="350"/>
      <c r="BP481" s="350"/>
      <c r="BQ481" s="350"/>
      <c r="BR481" s="350"/>
      <c r="BS481" s="350"/>
      <c r="BT481" s="350"/>
      <c r="BU481" s="350"/>
      <c r="BV481" s="351"/>
    </row>
    <row r="482" spans="1:74" ht="30" customHeight="1">
      <c r="A482" s="63">
        <f t="shared" si="1"/>
        <v>468</v>
      </c>
      <c r="B482" s="56" t="s">
        <v>325</v>
      </c>
      <c r="C482" s="57"/>
      <c r="D482" s="644"/>
      <c r="E482" s="350"/>
      <c r="F482" s="350"/>
      <c r="G482" s="350"/>
      <c r="H482" s="350"/>
      <c r="I482" s="350"/>
      <c r="J482" s="350"/>
      <c r="K482" s="351"/>
      <c r="L482" s="643"/>
      <c r="M482" s="350"/>
      <c r="N482" s="350"/>
      <c r="O482" s="351"/>
      <c r="P482" s="644"/>
      <c r="Q482" s="350"/>
      <c r="R482" s="350"/>
      <c r="S482" s="351"/>
      <c r="T482" s="643"/>
      <c r="U482" s="350"/>
      <c r="V482" s="350"/>
      <c r="W482" s="351"/>
      <c r="X482" s="644"/>
      <c r="Y482" s="350"/>
      <c r="Z482" s="350"/>
      <c r="AA482" s="351"/>
      <c r="AB482" s="506"/>
      <c r="AC482" s="350"/>
      <c r="AD482" s="351"/>
      <c r="AE482" s="571"/>
      <c r="AF482" s="350"/>
      <c r="AG482" s="351"/>
      <c r="AH482" s="645"/>
      <c r="AI482" s="350"/>
      <c r="AJ482" s="351"/>
      <c r="AK482" s="567"/>
      <c r="AL482" s="350"/>
      <c r="AM482" s="351"/>
      <c r="AN482" s="58"/>
      <c r="AO482" s="59"/>
      <c r="AP482" s="58"/>
      <c r="AQ482" s="59"/>
      <c r="AR482" s="58"/>
      <c r="AS482" s="59"/>
      <c r="AT482" s="58"/>
      <c r="AU482" s="59"/>
      <c r="AV482" s="58"/>
      <c r="AW482" s="59"/>
      <c r="AX482" s="58"/>
      <c r="AY482" s="59"/>
      <c r="AZ482" s="64"/>
      <c r="BA482" s="61"/>
      <c r="BB482" s="64"/>
      <c r="BC482" s="61"/>
      <c r="BD482" s="64"/>
      <c r="BE482" s="61"/>
      <c r="BF482" s="64"/>
      <c r="BG482" s="61"/>
      <c r="BH482" s="64"/>
      <c r="BI482" s="646" t="s">
        <v>298</v>
      </c>
      <c r="BJ482" s="350"/>
      <c r="BK482" s="350"/>
      <c r="BL482" s="350"/>
      <c r="BM482" s="350"/>
      <c r="BN482" s="350"/>
      <c r="BO482" s="350"/>
      <c r="BP482" s="350"/>
      <c r="BQ482" s="350"/>
      <c r="BR482" s="350"/>
      <c r="BS482" s="350"/>
      <c r="BT482" s="350"/>
      <c r="BU482" s="350"/>
      <c r="BV482" s="351"/>
    </row>
    <row r="483" spans="1:74" ht="30" customHeight="1">
      <c r="A483" s="63">
        <f t="shared" si="1"/>
        <v>469</v>
      </c>
      <c r="B483" s="56" t="s">
        <v>325</v>
      </c>
      <c r="C483" s="57"/>
      <c r="D483" s="644"/>
      <c r="E483" s="350"/>
      <c r="F483" s="350"/>
      <c r="G483" s="350"/>
      <c r="H483" s="350"/>
      <c r="I483" s="350"/>
      <c r="J483" s="350"/>
      <c r="K483" s="351"/>
      <c r="L483" s="643"/>
      <c r="M483" s="350"/>
      <c r="N483" s="350"/>
      <c r="O483" s="351"/>
      <c r="P483" s="644"/>
      <c r="Q483" s="350"/>
      <c r="R483" s="350"/>
      <c r="S483" s="351"/>
      <c r="T483" s="643"/>
      <c r="U483" s="350"/>
      <c r="V483" s="350"/>
      <c r="W483" s="351"/>
      <c r="X483" s="644"/>
      <c r="Y483" s="350"/>
      <c r="Z483" s="350"/>
      <c r="AA483" s="351"/>
      <c r="AB483" s="506"/>
      <c r="AC483" s="350"/>
      <c r="AD483" s="351"/>
      <c r="AE483" s="571"/>
      <c r="AF483" s="350"/>
      <c r="AG483" s="351"/>
      <c r="AH483" s="645"/>
      <c r="AI483" s="350"/>
      <c r="AJ483" s="351"/>
      <c r="AK483" s="567"/>
      <c r="AL483" s="350"/>
      <c r="AM483" s="351"/>
      <c r="AN483" s="58"/>
      <c r="AO483" s="59"/>
      <c r="AP483" s="58"/>
      <c r="AQ483" s="59"/>
      <c r="AR483" s="58"/>
      <c r="AS483" s="59"/>
      <c r="AT483" s="58"/>
      <c r="AU483" s="59"/>
      <c r="AV483" s="58"/>
      <c r="AW483" s="59"/>
      <c r="AX483" s="58"/>
      <c r="AY483" s="59"/>
      <c r="AZ483" s="64"/>
      <c r="BA483" s="61"/>
      <c r="BB483" s="64"/>
      <c r="BC483" s="61"/>
      <c r="BD483" s="64"/>
      <c r="BE483" s="61"/>
      <c r="BF483" s="64"/>
      <c r="BG483" s="61"/>
      <c r="BH483" s="64"/>
      <c r="BI483" s="646" t="s">
        <v>298</v>
      </c>
      <c r="BJ483" s="350"/>
      <c r="BK483" s="350"/>
      <c r="BL483" s="350"/>
      <c r="BM483" s="350"/>
      <c r="BN483" s="350"/>
      <c r="BO483" s="350"/>
      <c r="BP483" s="350"/>
      <c r="BQ483" s="350"/>
      <c r="BR483" s="350"/>
      <c r="BS483" s="350"/>
      <c r="BT483" s="350"/>
      <c r="BU483" s="350"/>
      <c r="BV483" s="351"/>
    </row>
    <row r="484" spans="1:74" ht="30" customHeight="1">
      <c r="A484" s="63">
        <f t="shared" si="1"/>
        <v>470</v>
      </c>
      <c r="B484" s="56" t="s">
        <v>325</v>
      </c>
      <c r="C484" s="57"/>
      <c r="D484" s="644"/>
      <c r="E484" s="350"/>
      <c r="F484" s="350"/>
      <c r="G484" s="350"/>
      <c r="H484" s="350"/>
      <c r="I484" s="350"/>
      <c r="J484" s="350"/>
      <c r="K484" s="351"/>
      <c r="L484" s="643"/>
      <c r="M484" s="350"/>
      <c r="N484" s="350"/>
      <c r="O484" s="351"/>
      <c r="P484" s="644"/>
      <c r="Q484" s="350"/>
      <c r="R484" s="350"/>
      <c r="S484" s="351"/>
      <c r="T484" s="643"/>
      <c r="U484" s="350"/>
      <c r="V484" s="350"/>
      <c r="W484" s="351"/>
      <c r="X484" s="644"/>
      <c r="Y484" s="350"/>
      <c r="Z484" s="350"/>
      <c r="AA484" s="351"/>
      <c r="AB484" s="506"/>
      <c r="AC484" s="350"/>
      <c r="AD484" s="351"/>
      <c r="AE484" s="571"/>
      <c r="AF484" s="350"/>
      <c r="AG484" s="351"/>
      <c r="AH484" s="645"/>
      <c r="AI484" s="350"/>
      <c r="AJ484" s="351"/>
      <c r="AK484" s="567"/>
      <c r="AL484" s="350"/>
      <c r="AM484" s="351"/>
      <c r="AN484" s="58"/>
      <c r="AO484" s="59"/>
      <c r="AP484" s="58"/>
      <c r="AQ484" s="59"/>
      <c r="AR484" s="58"/>
      <c r="AS484" s="59"/>
      <c r="AT484" s="58"/>
      <c r="AU484" s="59"/>
      <c r="AV484" s="58"/>
      <c r="AW484" s="59"/>
      <c r="AX484" s="58"/>
      <c r="AY484" s="59"/>
      <c r="AZ484" s="64"/>
      <c r="BA484" s="61"/>
      <c r="BB484" s="64"/>
      <c r="BC484" s="61"/>
      <c r="BD484" s="64"/>
      <c r="BE484" s="61"/>
      <c r="BF484" s="64"/>
      <c r="BG484" s="61"/>
      <c r="BH484" s="64"/>
      <c r="BI484" s="646" t="s">
        <v>298</v>
      </c>
      <c r="BJ484" s="350"/>
      <c r="BK484" s="350"/>
      <c r="BL484" s="350"/>
      <c r="BM484" s="350"/>
      <c r="BN484" s="350"/>
      <c r="BO484" s="350"/>
      <c r="BP484" s="350"/>
      <c r="BQ484" s="350"/>
      <c r="BR484" s="350"/>
      <c r="BS484" s="350"/>
      <c r="BT484" s="350"/>
      <c r="BU484" s="350"/>
      <c r="BV484" s="351"/>
    </row>
    <row r="485" spans="1:74" ht="30" customHeight="1">
      <c r="A485" s="63">
        <f t="shared" si="1"/>
        <v>471</v>
      </c>
      <c r="B485" s="56" t="s">
        <v>325</v>
      </c>
      <c r="C485" s="57"/>
      <c r="D485" s="644"/>
      <c r="E485" s="350"/>
      <c r="F485" s="350"/>
      <c r="G485" s="350"/>
      <c r="H485" s="350"/>
      <c r="I485" s="350"/>
      <c r="J485" s="350"/>
      <c r="K485" s="351"/>
      <c r="L485" s="643"/>
      <c r="M485" s="350"/>
      <c r="N485" s="350"/>
      <c r="O485" s="351"/>
      <c r="P485" s="644"/>
      <c r="Q485" s="350"/>
      <c r="R485" s="350"/>
      <c r="S485" s="351"/>
      <c r="T485" s="643"/>
      <c r="U485" s="350"/>
      <c r="V485" s="350"/>
      <c r="W485" s="351"/>
      <c r="X485" s="644"/>
      <c r="Y485" s="350"/>
      <c r="Z485" s="350"/>
      <c r="AA485" s="351"/>
      <c r="AB485" s="506"/>
      <c r="AC485" s="350"/>
      <c r="AD485" s="351"/>
      <c r="AE485" s="571"/>
      <c r="AF485" s="350"/>
      <c r="AG485" s="351"/>
      <c r="AH485" s="645"/>
      <c r="AI485" s="350"/>
      <c r="AJ485" s="351"/>
      <c r="AK485" s="567"/>
      <c r="AL485" s="350"/>
      <c r="AM485" s="351"/>
      <c r="AN485" s="58"/>
      <c r="AO485" s="59"/>
      <c r="AP485" s="58"/>
      <c r="AQ485" s="59"/>
      <c r="AR485" s="58"/>
      <c r="AS485" s="59"/>
      <c r="AT485" s="58"/>
      <c r="AU485" s="59"/>
      <c r="AV485" s="58"/>
      <c r="AW485" s="59"/>
      <c r="AX485" s="58"/>
      <c r="AY485" s="59"/>
      <c r="AZ485" s="64"/>
      <c r="BA485" s="61"/>
      <c r="BB485" s="64"/>
      <c r="BC485" s="61"/>
      <c r="BD485" s="64"/>
      <c r="BE485" s="61"/>
      <c r="BF485" s="64"/>
      <c r="BG485" s="61"/>
      <c r="BH485" s="64"/>
      <c r="BI485" s="646" t="s">
        <v>294</v>
      </c>
      <c r="BJ485" s="350"/>
      <c r="BK485" s="350"/>
      <c r="BL485" s="350"/>
      <c r="BM485" s="350"/>
      <c r="BN485" s="350"/>
      <c r="BO485" s="350"/>
      <c r="BP485" s="350"/>
      <c r="BQ485" s="350"/>
      <c r="BR485" s="350"/>
      <c r="BS485" s="350"/>
      <c r="BT485" s="350"/>
      <c r="BU485" s="350"/>
      <c r="BV485" s="351"/>
    </row>
    <row r="486" spans="1:74" ht="30" customHeight="1">
      <c r="A486" s="63">
        <f t="shared" si="1"/>
        <v>472</v>
      </c>
      <c r="B486" s="56" t="s">
        <v>325</v>
      </c>
      <c r="C486" s="57"/>
      <c r="D486" s="644"/>
      <c r="E486" s="350"/>
      <c r="F486" s="350"/>
      <c r="G486" s="350"/>
      <c r="H486" s="350"/>
      <c r="I486" s="350"/>
      <c r="J486" s="350"/>
      <c r="K486" s="351"/>
      <c r="L486" s="643"/>
      <c r="M486" s="350"/>
      <c r="N486" s="350"/>
      <c r="O486" s="351"/>
      <c r="P486" s="644"/>
      <c r="Q486" s="350"/>
      <c r="R486" s="350"/>
      <c r="S486" s="351"/>
      <c r="T486" s="643"/>
      <c r="U486" s="350"/>
      <c r="V486" s="350"/>
      <c r="W486" s="351"/>
      <c r="X486" s="644"/>
      <c r="Y486" s="350"/>
      <c r="Z486" s="350"/>
      <c r="AA486" s="351"/>
      <c r="AB486" s="506"/>
      <c r="AC486" s="350"/>
      <c r="AD486" s="351"/>
      <c r="AE486" s="571"/>
      <c r="AF486" s="350"/>
      <c r="AG486" s="351"/>
      <c r="AH486" s="645"/>
      <c r="AI486" s="350"/>
      <c r="AJ486" s="351"/>
      <c r="AK486" s="567"/>
      <c r="AL486" s="350"/>
      <c r="AM486" s="351"/>
      <c r="AN486" s="58"/>
      <c r="AO486" s="59"/>
      <c r="AP486" s="58"/>
      <c r="AQ486" s="59"/>
      <c r="AR486" s="58"/>
      <c r="AS486" s="59"/>
      <c r="AT486" s="58"/>
      <c r="AU486" s="59"/>
      <c r="AV486" s="58"/>
      <c r="AW486" s="59"/>
      <c r="AX486" s="58"/>
      <c r="AY486" s="59"/>
      <c r="AZ486" s="64"/>
      <c r="BA486" s="61"/>
      <c r="BB486" s="64"/>
      <c r="BC486" s="61"/>
      <c r="BD486" s="64"/>
      <c r="BE486" s="61"/>
      <c r="BF486" s="64"/>
      <c r="BG486" s="61"/>
      <c r="BH486" s="64"/>
      <c r="BI486" s="646" t="s">
        <v>294</v>
      </c>
      <c r="BJ486" s="350"/>
      <c r="BK486" s="350"/>
      <c r="BL486" s="350"/>
      <c r="BM486" s="350"/>
      <c r="BN486" s="350"/>
      <c r="BO486" s="350"/>
      <c r="BP486" s="350"/>
      <c r="BQ486" s="350"/>
      <c r="BR486" s="350"/>
      <c r="BS486" s="350"/>
      <c r="BT486" s="350"/>
      <c r="BU486" s="350"/>
      <c r="BV486" s="351"/>
    </row>
    <row r="487" spans="1:74" ht="30" customHeight="1">
      <c r="A487" s="55">
        <f t="shared" si="1"/>
        <v>473</v>
      </c>
      <c r="B487" s="56" t="s">
        <v>325</v>
      </c>
      <c r="C487" s="57"/>
      <c r="D487" s="644"/>
      <c r="E487" s="350"/>
      <c r="F487" s="350"/>
      <c r="G487" s="350"/>
      <c r="H487" s="350"/>
      <c r="I487" s="350"/>
      <c r="J487" s="350"/>
      <c r="K487" s="351"/>
      <c r="L487" s="643"/>
      <c r="M487" s="350"/>
      <c r="N487" s="350"/>
      <c r="O487" s="351"/>
      <c r="P487" s="644"/>
      <c r="Q487" s="350"/>
      <c r="R487" s="350"/>
      <c r="S487" s="351"/>
      <c r="T487" s="643"/>
      <c r="U487" s="350"/>
      <c r="V487" s="350"/>
      <c r="W487" s="351"/>
      <c r="X487" s="644"/>
      <c r="Y487" s="350"/>
      <c r="Z487" s="350"/>
      <c r="AA487" s="351"/>
      <c r="AB487" s="506"/>
      <c r="AC487" s="350"/>
      <c r="AD487" s="351"/>
      <c r="AE487" s="571"/>
      <c r="AF487" s="350"/>
      <c r="AG487" s="351"/>
      <c r="AH487" s="645"/>
      <c r="AI487" s="350"/>
      <c r="AJ487" s="351"/>
      <c r="AK487" s="567"/>
      <c r="AL487" s="350"/>
      <c r="AM487" s="351"/>
      <c r="AN487" s="58"/>
      <c r="AO487" s="59"/>
      <c r="AP487" s="58"/>
      <c r="AQ487" s="59"/>
      <c r="AR487" s="58"/>
      <c r="AS487" s="59"/>
      <c r="AT487" s="58"/>
      <c r="AU487" s="59"/>
      <c r="AV487" s="58"/>
      <c r="AW487" s="59"/>
      <c r="AX487" s="58"/>
      <c r="AY487" s="59"/>
      <c r="AZ487" s="64"/>
      <c r="BA487" s="61"/>
      <c r="BB487" s="64"/>
      <c r="BC487" s="61"/>
      <c r="BD487" s="64"/>
      <c r="BE487" s="61"/>
      <c r="BF487" s="64"/>
      <c r="BG487" s="61"/>
      <c r="BH487" s="64"/>
      <c r="BI487" s="646" t="s">
        <v>298</v>
      </c>
      <c r="BJ487" s="350"/>
      <c r="BK487" s="350"/>
      <c r="BL487" s="350"/>
      <c r="BM487" s="350"/>
      <c r="BN487" s="350"/>
      <c r="BO487" s="350"/>
      <c r="BP487" s="350"/>
      <c r="BQ487" s="350"/>
      <c r="BR487" s="350"/>
      <c r="BS487" s="350"/>
      <c r="BT487" s="350"/>
      <c r="BU487" s="350"/>
      <c r="BV487" s="351"/>
    </row>
    <row r="488" spans="1:74" ht="30" customHeight="1">
      <c r="A488" s="63">
        <f t="shared" si="1"/>
        <v>474</v>
      </c>
      <c r="B488" s="56" t="s">
        <v>325</v>
      </c>
      <c r="C488" s="57"/>
      <c r="D488" s="644"/>
      <c r="E488" s="350"/>
      <c r="F488" s="350"/>
      <c r="G488" s="350"/>
      <c r="H488" s="350"/>
      <c r="I488" s="350"/>
      <c r="J488" s="350"/>
      <c r="K488" s="351"/>
      <c r="L488" s="643"/>
      <c r="M488" s="350"/>
      <c r="N488" s="350"/>
      <c r="O488" s="351"/>
      <c r="P488" s="644"/>
      <c r="Q488" s="350"/>
      <c r="R488" s="350"/>
      <c r="S488" s="351"/>
      <c r="T488" s="643"/>
      <c r="U488" s="350"/>
      <c r="V488" s="350"/>
      <c r="W488" s="351"/>
      <c r="X488" s="644"/>
      <c r="Y488" s="350"/>
      <c r="Z488" s="350"/>
      <c r="AA488" s="351"/>
      <c r="AB488" s="506"/>
      <c r="AC488" s="350"/>
      <c r="AD488" s="351"/>
      <c r="AE488" s="571"/>
      <c r="AF488" s="350"/>
      <c r="AG488" s="351"/>
      <c r="AH488" s="645"/>
      <c r="AI488" s="350"/>
      <c r="AJ488" s="351"/>
      <c r="AK488" s="567"/>
      <c r="AL488" s="350"/>
      <c r="AM488" s="351"/>
      <c r="AN488" s="58"/>
      <c r="AO488" s="59"/>
      <c r="AP488" s="58"/>
      <c r="AQ488" s="59"/>
      <c r="AR488" s="58"/>
      <c r="AS488" s="59"/>
      <c r="AT488" s="58"/>
      <c r="AU488" s="59"/>
      <c r="AV488" s="58"/>
      <c r="AW488" s="59"/>
      <c r="AX488" s="58"/>
      <c r="AY488" s="59"/>
      <c r="AZ488" s="64"/>
      <c r="BA488" s="61"/>
      <c r="BB488" s="64"/>
      <c r="BC488" s="61"/>
      <c r="BD488" s="64"/>
      <c r="BE488" s="61"/>
      <c r="BF488" s="64"/>
      <c r="BG488" s="61"/>
      <c r="BH488" s="64"/>
      <c r="BI488" s="646" t="s">
        <v>298</v>
      </c>
      <c r="BJ488" s="350"/>
      <c r="BK488" s="350"/>
      <c r="BL488" s="350"/>
      <c r="BM488" s="350"/>
      <c r="BN488" s="350"/>
      <c r="BO488" s="350"/>
      <c r="BP488" s="350"/>
      <c r="BQ488" s="350"/>
      <c r="BR488" s="350"/>
      <c r="BS488" s="350"/>
      <c r="BT488" s="350"/>
      <c r="BU488" s="350"/>
      <c r="BV488" s="351"/>
    </row>
    <row r="489" spans="1:74" ht="30" customHeight="1">
      <c r="A489" s="63">
        <f t="shared" si="1"/>
        <v>475</v>
      </c>
      <c r="B489" s="56" t="s">
        <v>325</v>
      </c>
      <c r="C489" s="57"/>
      <c r="D489" s="644"/>
      <c r="E489" s="350"/>
      <c r="F489" s="350"/>
      <c r="G489" s="350"/>
      <c r="H489" s="350"/>
      <c r="I489" s="350"/>
      <c r="J489" s="350"/>
      <c r="K489" s="351"/>
      <c r="L489" s="643"/>
      <c r="M489" s="350"/>
      <c r="N489" s="350"/>
      <c r="O489" s="351"/>
      <c r="P489" s="644"/>
      <c r="Q489" s="350"/>
      <c r="R489" s="350"/>
      <c r="S489" s="351"/>
      <c r="T489" s="643"/>
      <c r="U489" s="350"/>
      <c r="V489" s="350"/>
      <c r="W489" s="351"/>
      <c r="X489" s="644"/>
      <c r="Y489" s="350"/>
      <c r="Z489" s="350"/>
      <c r="AA489" s="351"/>
      <c r="AB489" s="506"/>
      <c r="AC489" s="350"/>
      <c r="AD489" s="351"/>
      <c r="AE489" s="571"/>
      <c r="AF489" s="350"/>
      <c r="AG489" s="351"/>
      <c r="AH489" s="645"/>
      <c r="AI489" s="350"/>
      <c r="AJ489" s="351"/>
      <c r="AK489" s="567"/>
      <c r="AL489" s="350"/>
      <c r="AM489" s="351"/>
      <c r="AN489" s="58"/>
      <c r="AO489" s="59"/>
      <c r="AP489" s="58"/>
      <c r="AQ489" s="59"/>
      <c r="AR489" s="58"/>
      <c r="AS489" s="59"/>
      <c r="AT489" s="58"/>
      <c r="AU489" s="59"/>
      <c r="AV489" s="58"/>
      <c r="AW489" s="59"/>
      <c r="AX489" s="58"/>
      <c r="AY489" s="59"/>
      <c r="AZ489" s="64"/>
      <c r="BA489" s="61"/>
      <c r="BB489" s="64"/>
      <c r="BC489" s="61"/>
      <c r="BD489" s="64"/>
      <c r="BE489" s="61"/>
      <c r="BF489" s="64"/>
      <c r="BG489" s="61"/>
      <c r="BH489" s="64"/>
      <c r="BI489" s="646" t="s">
        <v>298</v>
      </c>
      <c r="BJ489" s="350"/>
      <c r="BK489" s="350"/>
      <c r="BL489" s="350"/>
      <c r="BM489" s="350"/>
      <c r="BN489" s="350"/>
      <c r="BO489" s="350"/>
      <c r="BP489" s="350"/>
      <c r="BQ489" s="350"/>
      <c r="BR489" s="350"/>
      <c r="BS489" s="350"/>
      <c r="BT489" s="350"/>
      <c r="BU489" s="350"/>
      <c r="BV489" s="351"/>
    </row>
    <row r="490" spans="1:74" ht="30" customHeight="1">
      <c r="A490" s="63">
        <f t="shared" si="1"/>
        <v>476</v>
      </c>
      <c r="B490" s="56" t="s">
        <v>325</v>
      </c>
      <c r="C490" s="57"/>
      <c r="D490" s="644"/>
      <c r="E490" s="350"/>
      <c r="F490" s="350"/>
      <c r="G490" s="350"/>
      <c r="H490" s="350"/>
      <c r="I490" s="350"/>
      <c r="J490" s="350"/>
      <c r="K490" s="351"/>
      <c r="L490" s="643"/>
      <c r="M490" s="350"/>
      <c r="N490" s="350"/>
      <c r="O490" s="351"/>
      <c r="P490" s="644"/>
      <c r="Q490" s="350"/>
      <c r="R490" s="350"/>
      <c r="S490" s="351"/>
      <c r="T490" s="643"/>
      <c r="U490" s="350"/>
      <c r="V490" s="350"/>
      <c r="W490" s="351"/>
      <c r="X490" s="644"/>
      <c r="Y490" s="350"/>
      <c r="Z490" s="350"/>
      <c r="AA490" s="351"/>
      <c r="AB490" s="506"/>
      <c r="AC490" s="350"/>
      <c r="AD490" s="351"/>
      <c r="AE490" s="571"/>
      <c r="AF490" s="350"/>
      <c r="AG490" s="351"/>
      <c r="AH490" s="645"/>
      <c r="AI490" s="350"/>
      <c r="AJ490" s="351"/>
      <c r="AK490" s="567"/>
      <c r="AL490" s="350"/>
      <c r="AM490" s="351"/>
      <c r="AN490" s="58"/>
      <c r="AO490" s="59"/>
      <c r="AP490" s="58"/>
      <c r="AQ490" s="59"/>
      <c r="AR490" s="58"/>
      <c r="AS490" s="59"/>
      <c r="AT490" s="58"/>
      <c r="AU490" s="59"/>
      <c r="AV490" s="58"/>
      <c r="AW490" s="59"/>
      <c r="AX490" s="58"/>
      <c r="AY490" s="59"/>
      <c r="AZ490" s="64"/>
      <c r="BA490" s="61"/>
      <c r="BB490" s="64"/>
      <c r="BC490" s="61"/>
      <c r="BD490" s="64"/>
      <c r="BE490" s="61"/>
      <c r="BF490" s="64"/>
      <c r="BG490" s="61"/>
      <c r="BH490" s="64"/>
      <c r="BI490" s="646" t="s">
        <v>298</v>
      </c>
      <c r="BJ490" s="350"/>
      <c r="BK490" s="350"/>
      <c r="BL490" s="350"/>
      <c r="BM490" s="350"/>
      <c r="BN490" s="350"/>
      <c r="BO490" s="350"/>
      <c r="BP490" s="350"/>
      <c r="BQ490" s="350"/>
      <c r="BR490" s="350"/>
      <c r="BS490" s="350"/>
      <c r="BT490" s="350"/>
      <c r="BU490" s="350"/>
      <c r="BV490" s="351"/>
    </row>
    <row r="491" spans="1:74" ht="30" customHeight="1">
      <c r="A491" s="63">
        <f t="shared" si="1"/>
        <v>477</v>
      </c>
      <c r="B491" s="56" t="s">
        <v>325</v>
      </c>
      <c r="C491" s="57"/>
      <c r="D491" s="644"/>
      <c r="E491" s="350"/>
      <c r="F491" s="350"/>
      <c r="G491" s="350"/>
      <c r="H491" s="350"/>
      <c r="I491" s="350"/>
      <c r="J491" s="350"/>
      <c r="K491" s="351"/>
      <c r="L491" s="643"/>
      <c r="M491" s="350"/>
      <c r="N491" s="350"/>
      <c r="O491" s="351"/>
      <c r="P491" s="644"/>
      <c r="Q491" s="350"/>
      <c r="R491" s="350"/>
      <c r="S491" s="351"/>
      <c r="T491" s="643"/>
      <c r="U491" s="350"/>
      <c r="V491" s="350"/>
      <c r="W491" s="351"/>
      <c r="X491" s="644"/>
      <c r="Y491" s="350"/>
      <c r="Z491" s="350"/>
      <c r="AA491" s="351"/>
      <c r="AB491" s="506"/>
      <c r="AC491" s="350"/>
      <c r="AD491" s="351"/>
      <c r="AE491" s="571"/>
      <c r="AF491" s="350"/>
      <c r="AG491" s="351"/>
      <c r="AH491" s="645"/>
      <c r="AI491" s="350"/>
      <c r="AJ491" s="351"/>
      <c r="AK491" s="567"/>
      <c r="AL491" s="350"/>
      <c r="AM491" s="351"/>
      <c r="AN491" s="58"/>
      <c r="AO491" s="59"/>
      <c r="AP491" s="58"/>
      <c r="AQ491" s="59"/>
      <c r="AR491" s="58"/>
      <c r="AS491" s="59"/>
      <c r="AT491" s="58"/>
      <c r="AU491" s="59"/>
      <c r="AV491" s="58"/>
      <c r="AW491" s="59"/>
      <c r="AX491" s="58"/>
      <c r="AY491" s="59"/>
      <c r="AZ491" s="64"/>
      <c r="BA491" s="61"/>
      <c r="BB491" s="64"/>
      <c r="BC491" s="61"/>
      <c r="BD491" s="64"/>
      <c r="BE491" s="61"/>
      <c r="BF491" s="64"/>
      <c r="BG491" s="61"/>
      <c r="BH491" s="64"/>
      <c r="BI491" s="646" t="s">
        <v>298</v>
      </c>
      <c r="BJ491" s="350"/>
      <c r="BK491" s="350"/>
      <c r="BL491" s="350"/>
      <c r="BM491" s="350"/>
      <c r="BN491" s="350"/>
      <c r="BO491" s="350"/>
      <c r="BP491" s="350"/>
      <c r="BQ491" s="350"/>
      <c r="BR491" s="350"/>
      <c r="BS491" s="350"/>
      <c r="BT491" s="350"/>
      <c r="BU491" s="350"/>
      <c r="BV491" s="351"/>
    </row>
    <row r="492" spans="1:74" ht="30" customHeight="1">
      <c r="A492" s="63">
        <f t="shared" si="1"/>
        <v>478</v>
      </c>
      <c r="B492" s="56" t="s">
        <v>325</v>
      </c>
      <c r="C492" s="57"/>
      <c r="D492" s="644"/>
      <c r="E492" s="350"/>
      <c r="F492" s="350"/>
      <c r="G492" s="350"/>
      <c r="H492" s="350"/>
      <c r="I492" s="350"/>
      <c r="J492" s="350"/>
      <c r="K492" s="351"/>
      <c r="L492" s="643"/>
      <c r="M492" s="350"/>
      <c r="N492" s="350"/>
      <c r="O492" s="351"/>
      <c r="P492" s="644"/>
      <c r="Q492" s="350"/>
      <c r="R492" s="350"/>
      <c r="S492" s="351"/>
      <c r="T492" s="643"/>
      <c r="U492" s="350"/>
      <c r="V492" s="350"/>
      <c r="W492" s="351"/>
      <c r="X492" s="644"/>
      <c r="Y492" s="350"/>
      <c r="Z492" s="350"/>
      <c r="AA492" s="351"/>
      <c r="AB492" s="506"/>
      <c r="AC492" s="350"/>
      <c r="AD492" s="351"/>
      <c r="AE492" s="571"/>
      <c r="AF492" s="350"/>
      <c r="AG492" s="351"/>
      <c r="AH492" s="645"/>
      <c r="AI492" s="350"/>
      <c r="AJ492" s="351"/>
      <c r="AK492" s="567"/>
      <c r="AL492" s="350"/>
      <c r="AM492" s="351"/>
      <c r="AN492" s="58"/>
      <c r="AO492" s="59"/>
      <c r="AP492" s="58"/>
      <c r="AQ492" s="59"/>
      <c r="AR492" s="58"/>
      <c r="AS492" s="59"/>
      <c r="AT492" s="58"/>
      <c r="AU492" s="59"/>
      <c r="AV492" s="58"/>
      <c r="AW492" s="59"/>
      <c r="AX492" s="58"/>
      <c r="AY492" s="59"/>
      <c r="AZ492" s="64"/>
      <c r="BA492" s="61"/>
      <c r="BB492" s="64"/>
      <c r="BC492" s="61"/>
      <c r="BD492" s="64"/>
      <c r="BE492" s="61"/>
      <c r="BF492" s="64"/>
      <c r="BG492" s="61"/>
      <c r="BH492" s="64"/>
      <c r="BI492" s="646" t="s">
        <v>294</v>
      </c>
      <c r="BJ492" s="350"/>
      <c r="BK492" s="350"/>
      <c r="BL492" s="350"/>
      <c r="BM492" s="350"/>
      <c r="BN492" s="350"/>
      <c r="BO492" s="350"/>
      <c r="BP492" s="350"/>
      <c r="BQ492" s="350"/>
      <c r="BR492" s="350"/>
      <c r="BS492" s="350"/>
      <c r="BT492" s="350"/>
      <c r="BU492" s="350"/>
      <c r="BV492" s="351"/>
    </row>
    <row r="493" spans="1:74" ht="30" customHeight="1">
      <c r="A493" s="63">
        <f t="shared" si="1"/>
        <v>479</v>
      </c>
      <c r="B493" s="56" t="s">
        <v>325</v>
      </c>
      <c r="C493" s="57"/>
      <c r="D493" s="644"/>
      <c r="E493" s="350"/>
      <c r="F493" s="350"/>
      <c r="G493" s="350"/>
      <c r="H493" s="350"/>
      <c r="I493" s="350"/>
      <c r="J493" s="350"/>
      <c r="K493" s="351"/>
      <c r="L493" s="643"/>
      <c r="M493" s="350"/>
      <c r="N493" s="350"/>
      <c r="O493" s="351"/>
      <c r="P493" s="644"/>
      <c r="Q493" s="350"/>
      <c r="R493" s="350"/>
      <c r="S493" s="351"/>
      <c r="T493" s="643"/>
      <c r="U493" s="350"/>
      <c r="V493" s="350"/>
      <c r="W493" s="351"/>
      <c r="X493" s="644"/>
      <c r="Y493" s="350"/>
      <c r="Z493" s="350"/>
      <c r="AA493" s="351"/>
      <c r="AB493" s="506"/>
      <c r="AC493" s="350"/>
      <c r="AD493" s="351"/>
      <c r="AE493" s="571"/>
      <c r="AF493" s="350"/>
      <c r="AG493" s="351"/>
      <c r="AH493" s="645"/>
      <c r="AI493" s="350"/>
      <c r="AJ493" s="351"/>
      <c r="AK493" s="567"/>
      <c r="AL493" s="350"/>
      <c r="AM493" s="351"/>
      <c r="AN493" s="58"/>
      <c r="AO493" s="59"/>
      <c r="AP493" s="58"/>
      <c r="AQ493" s="59"/>
      <c r="AR493" s="58"/>
      <c r="AS493" s="59"/>
      <c r="AT493" s="58"/>
      <c r="AU493" s="59"/>
      <c r="AV493" s="58"/>
      <c r="AW493" s="59"/>
      <c r="AX493" s="58"/>
      <c r="AY493" s="59"/>
      <c r="AZ493" s="64"/>
      <c r="BA493" s="61"/>
      <c r="BB493" s="64"/>
      <c r="BC493" s="61"/>
      <c r="BD493" s="64"/>
      <c r="BE493" s="61"/>
      <c r="BF493" s="64"/>
      <c r="BG493" s="61"/>
      <c r="BH493" s="64"/>
      <c r="BI493" s="646" t="s">
        <v>294</v>
      </c>
      <c r="BJ493" s="350"/>
      <c r="BK493" s="350"/>
      <c r="BL493" s="350"/>
      <c r="BM493" s="350"/>
      <c r="BN493" s="350"/>
      <c r="BO493" s="350"/>
      <c r="BP493" s="350"/>
      <c r="BQ493" s="350"/>
      <c r="BR493" s="350"/>
      <c r="BS493" s="350"/>
      <c r="BT493" s="350"/>
      <c r="BU493" s="350"/>
      <c r="BV493" s="351"/>
    </row>
    <row r="494" spans="1:74" ht="30" customHeight="1">
      <c r="A494" s="55">
        <f t="shared" si="1"/>
        <v>480</v>
      </c>
      <c r="B494" s="56" t="s">
        <v>325</v>
      </c>
      <c r="C494" s="57"/>
      <c r="D494" s="644"/>
      <c r="E494" s="350"/>
      <c r="F494" s="350"/>
      <c r="G494" s="350"/>
      <c r="H494" s="350"/>
      <c r="I494" s="350"/>
      <c r="J494" s="350"/>
      <c r="K494" s="351"/>
      <c r="L494" s="643"/>
      <c r="M494" s="350"/>
      <c r="N494" s="350"/>
      <c r="O494" s="351"/>
      <c r="P494" s="644"/>
      <c r="Q494" s="350"/>
      <c r="R494" s="350"/>
      <c r="S494" s="351"/>
      <c r="T494" s="643"/>
      <c r="U494" s="350"/>
      <c r="V494" s="350"/>
      <c r="W494" s="351"/>
      <c r="X494" s="644"/>
      <c r="Y494" s="350"/>
      <c r="Z494" s="350"/>
      <c r="AA494" s="351"/>
      <c r="AB494" s="506"/>
      <c r="AC494" s="350"/>
      <c r="AD494" s="351"/>
      <c r="AE494" s="571"/>
      <c r="AF494" s="350"/>
      <c r="AG494" s="351"/>
      <c r="AH494" s="645"/>
      <c r="AI494" s="350"/>
      <c r="AJ494" s="351"/>
      <c r="AK494" s="567"/>
      <c r="AL494" s="350"/>
      <c r="AM494" s="351"/>
      <c r="AN494" s="58"/>
      <c r="AO494" s="59"/>
      <c r="AP494" s="58"/>
      <c r="AQ494" s="59"/>
      <c r="AR494" s="58"/>
      <c r="AS494" s="59"/>
      <c r="AT494" s="58"/>
      <c r="AU494" s="59"/>
      <c r="AV494" s="58"/>
      <c r="AW494" s="59"/>
      <c r="AX494" s="58"/>
      <c r="AY494" s="59"/>
      <c r="AZ494" s="64"/>
      <c r="BA494" s="61"/>
      <c r="BB494" s="64"/>
      <c r="BC494" s="61"/>
      <c r="BD494" s="64"/>
      <c r="BE494" s="61"/>
      <c r="BF494" s="64"/>
      <c r="BG494" s="61"/>
      <c r="BH494" s="64"/>
      <c r="BI494" s="646" t="s">
        <v>298</v>
      </c>
      <c r="BJ494" s="350"/>
      <c r="BK494" s="350"/>
      <c r="BL494" s="350"/>
      <c r="BM494" s="350"/>
      <c r="BN494" s="350"/>
      <c r="BO494" s="350"/>
      <c r="BP494" s="350"/>
      <c r="BQ494" s="350"/>
      <c r="BR494" s="350"/>
      <c r="BS494" s="350"/>
      <c r="BT494" s="350"/>
      <c r="BU494" s="350"/>
      <c r="BV494" s="351"/>
    </row>
    <row r="495" spans="1:74" ht="30" customHeight="1">
      <c r="A495" s="63">
        <f t="shared" si="1"/>
        <v>481</v>
      </c>
      <c r="B495" s="56" t="s">
        <v>325</v>
      </c>
      <c r="C495" s="57"/>
      <c r="D495" s="644"/>
      <c r="E495" s="350"/>
      <c r="F495" s="350"/>
      <c r="G495" s="350"/>
      <c r="H495" s="350"/>
      <c r="I495" s="350"/>
      <c r="J495" s="350"/>
      <c r="K495" s="351"/>
      <c r="L495" s="643"/>
      <c r="M495" s="350"/>
      <c r="N495" s="350"/>
      <c r="O495" s="351"/>
      <c r="P495" s="644"/>
      <c r="Q495" s="350"/>
      <c r="R495" s="350"/>
      <c r="S495" s="351"/>
      <c r="T495" s="643"/>
      <c r="U495" s="350"/>
      <c r="V495" s="350"/>
      <c r="W495" s="351"/>
      <c r="X495" s="644"/>
      <c r="Y495" s="350"/>
      <c r="Z495" s="350"/>
      <c r="AA495" s="351"/>
      <c r="AB495" s="506"/>
      <c r="AC495" s="350"/>
      <c r="AD495" s="351"/>
      <c r="AE495" s="571"/>
      <c r="AF495" s="350"/>
      <c r="AG495" s="351"/>
      <c r="AH495" s="645"/>
      <c r="AI495" s="350"/>
      <c r="AJ495" s="351"/>
      <c r="AK495" s="567"/>
      <c r="AL495" s="350"/>
      <c r="AM495" s="351"/>
      <c r="AN495" s="58"/>
      <c r="AO495" s="59"/>
      <c r="AP495" s="58"/>
      <c r="AQ495" s="59"/>
      <c r="AR495" s="58"/>
      <c r="AS495" s="59"/>
      <c r="AT495" s="58"/>
      <c r="AU495" s="59"/>
      <c r="AV495" s="58"/>
      <c r="AW495" s="59"/>
      <c r="AX495" s="58"/>
      <c r="AY495" s="59"/>
      <c r="AZ495" s="64"/>
      <c r="BA495" s="61"/>
      <c r="BB495" s="64"/>
      <c r="BC495" s="61"/>
      <c r="BD495" s="64"/>
      <c r="BE495" s="61"/>
      <c r="BF495" s="64"/>
      <c r="BG495" s="61"/>
      <c r="BH495" s="64"/>
      <c r="BI495" s="646" t="s">
        <v>298</v>
      </c>
      <c r="BJ495" s="350"/>
      <c r="BK495" s="350"/>
      <c r="BL495" s="350"/>
      <c r="BM495" s="350"/>
      <c r="BN495" s="350"/>
      <c r="BO495" s="350"/>
      <c r="BP495" s="350"/>
      <c r="BQ495" s="350"/>
      <c r="BR495" s="350"/>
      <c r="BS495" s="350"/>
      <c r="BT495" s="350"/>
      <c r="BU495" s="350"/>
      <c r="BV495" s="351"/>
    </row>
    <row r="496" spans="1:74" ht="30" customHeight="1">
      <c r="A496" s="63">
        <f t="shared" si="1"/>
        <v>482</v>
      </c>
      <c r="B496" s="56" t="s">
        <v>325</v>
      </c>
      <c r="C496" s="57"/>
      <c r="D496" s="644"/>
      <c r="E496" s="350"/>
      <c r="F496" s="350"/>
      <c r="G496" s="350"/>
      <c r="H496" s="350"/>
      <c r="I496" s="350"/>
      <c r="J496" s="350"/>
      <c r="K496" s="351"/>
      <c r="L496" s="643"/>
      <c r="M496" s="350"/>
      <c r="N496" s="350"/>
      <c r="O496" s="351"/>
      <c r="P496" s="644"/>
      <c r="Q496" s="350"/>
      <c r="R496" s="350"/>
      <c r="S496" s="351"/>
      <c r="T496" s="643"/>
      <c r="U496" s="350"/>
      <c r="V496" s="350"/>
      <c r="W496" s="351"/>
      <c r="X496" s="644"/>
      <c r="Y496" s="350"/>
      <c r="Z496" s="350"/>
      <c r="AA496" s="351"/>
      <c r="AB496" s="506"/>
      <c r="AC496" s="350"/>
      <c r="AD496" s="351"/>
      <c r="AE496" s="571"/>
      <c r="AF496" s="350"/>
      <c r="AG496" s="351"/>
      <c r="AH496" s="645"/>
      <c r="AI496" s="350"/>
      <c r="AJ496" s="351"/>
      <c r="AK496" s="567"/>
      <c r="AL496" s="350"/>
      <c r="AM496" s="351"/>
      <c r="AN496" s="58"/>
      <c r="AO496" s="59"/>
      <c r="AP496" s="58"/>
      <c r="AQ496" s="59"/>
      <c r="AR496" s="58"/>
      <c r="AS496" s="59"/>
      <c r="AT496" s="58"/>
      <c r="AU496" s="59"/>
      <c r="AV496" s="58"/>
      <c r="AW496" s="59"/>
      <c r="AX496" s="58"/>
      <c r="AY496" s="59"/>
      <c r="AZ496" s="64"/>
      <c r="BA496" s="61"/>
      <c r="BB496" s="64"/>
      <c r="BC496" s="61"/>
      <c r="BD496" s="64"/>
      <c r="BE496" s="61"/>
      <c r="BF496" s="64"/>
      <c r="BG496" s="61"/>
      <c r="BH496" s="64"/>
      <c r="BI496" s="646" t="s">
        <v>298</v>
      </c>
      <c r="BJ496" s="350"/>
      <c r="BK496" s="350"/>
      <c r="BL496" s="350"/>
      <c r="BM496" s="350"/>
      <c r="BN496" s="350"/>
      <c r="BO496" s="350"/>
      <c r="BP496" s="350"/>
      <c r="BQ496" s="350"/>
      <c r="BR496" s="350"/>
      <c r="BS496" s="350"/>
      <c r="BT496" s="350"/>
      <c r="BU496" s="350"/>
      <c r="BV496" s="351"/>
    </row>
    <row r="497" spans="1:74" ht="30" customHeight="1">
      <c r="A497" s="63">
        <f t="shared" si="1"/>
        <v>483</v>
      </c>
      <c r="B497" s="56" t="s">
        <v>325</v>
      </c>
      <c r="C497" s="57"/>
      <c r="D497" s="644"/>
      <c r="E497" s="350"/>
      <c r="F497" s="350"/>
      <c r="G497" s="350"/>
      <c r="H497" s="350"/>
      <c r="I497" s="350"/>
      <c r="J497" s="350"/>
      <c r="K497" s="351"/>
      <c r="L497" s="643"/>
      <c r="M497" s="350"/>
      <c r="N497" s="350"/>
      <c r="O497" s="351"/>
      <c r="P497" s="644"/>
      <c r="Q497" s="350"/>
      <c r="R497" s="350"/>
      <c r="S497" s="351"/>
      <c r="T497" s="643"/>
      <c r="U497" s="350"/>
      <c r="V497" s="350"/>
      <c r="W497" s="351"/>
      <c r="X497" s="644"/>
      <c r="Y497" s="350"/>
      <c r="Z497" s="350"/>
      <c r="AA497" s="351"/>
      <c r="AB497" s="506"/>
      <c r="AC497" s="350"/>
      <c r="AD497" s="351"/>
      <c r="AE497" s="571"/>
      <c r="AF497" s="350"/>
      <c r="AG497" s="351"/>
      <c r="AH497" s="645"/>
      <c r="AI497" s="350"/>
      <c r="AJ497" s="351"/>
      <c r="AK497" s="567"/>
      <c r="AL497" s="350"/>
      <c r="AM497" s="351"/>
      <c r="AN497" s="58"/>
      <c r="AO497" s="59"/>
      <c r="AP497" s="58"/>
      <c r="AQ497" s="59"/>
      <c r="AR497" s="58"/>
      <c r="AS497" s="59"/>
      <c r="AT497" s="58"/>
      <c r="AU497" s="59"/>
      <c r="AV497" s="58"/>
      <c r="AW497" s="59"/>
      <c r="AX497" s="58"/>
      <c r="AY497" s="59"/>
      <c r="AZ497" s="64"/>
      <c r="BA497" s="61"/>
      <c r="BB497" s="64"/>
      <c r="BC497" s="61"/>
      <c r="BD497" s="64"/>
      <c r="BE497" s="61"/>
      <c r="BF497" s="64"/>
      <c r="BG497" s="61"/>
      <c r="BH497" s="64"/>
      <c r="BI497" s="646" t="s">
        <v>298</v>
      </c>
      <c r="BJ497" s="350"/>
      <c r="BK497" s="350"/>
      <c r="BL497" s="350"/>
      <c r="BM497" s="350"/>
      <c r="BN497" s="350"/>
      <c r="BO497" s="350"/>
      <c r="BP497" s="350"/>
      <c r="BQ497" s="350"/>
      <c r="BR497" s="350"/>
      <c r="BS497" s="350"/>
      <c r="BT497" s="350"/>
      <c r="BU497" s="350"/>
      <c r="BV497" s="351"/>
    </row>
    <row r="498" spans="1:74" ht="30" customHeight="1">
      <c r="A498" s="63">
        <f t="shared" si="1"/>
        <v>484</v>
      </c>
      <c r="B498" s="56" t="s">
        <v>325</v>
      </c>
      <c r="C498" s="57"/>
      <c r="D498" s="644"/>
      <c r="E498" s="350"/>
      <c r="F498" s="350"/>
      <c r="G498" s="350"/>
      <c r="H498" s="350"/>
      <c r="I498" s="350"/>
      <c r="J498" s="350"/>
      <c r="K498" s="351"/>
      <c r="L498" s="643"/>
      <c r="M498" s="350"/>
      <c r="N498" s="350"/>
      <c r="O498" s="351"/>
      <c r="P498" s="644"/>
      <c r="Q498" s="350"/>
      <c r="R498" s="350"/>
      <c r="S498" s="351"/>
      <c r="T498" s="643"/>
      <c r="U498" s="350"/>
      <c r="V498" s="350"/>
      <c r="W498" s="351"/>
      <c r="X498" s="644"/>
      <c r="Y498" s="350"/>
      <c r="Z498" s="350"/>
      <c r="AA498" s="351"/>
      <c r="AB498" s="506"/>
      <c r="AC498" s="350"/>
      <c r="AD498" s="351"/>
      <c r="AE498" s="571"/>
      <c r="AF498" s="350"/>
      <c r="AG498" s="351"/>
      <c r="AH498" s="645"/>
      <c r="AI498" s="350"/>
      <c r="AJ498" s="351"/>
      <c r="AK498" s="567"/>
      <c r="AL498" s="350"/>
      <c r="AM498" s="351"/>
      <c r="AN498" s="58"/>
      <c r="AO498" s="59"/>
      <c r="AP498" s="58"/>
      <c r="AQ498" s="59"/>
      <c r="AR498" s="58"/>
      <c r="AS498" s="59"/>
      <c r="AT498" s="58"/>
      <c r="AU498" s="59"/>
      <c r="AV498" s="58"/>
      <c r="AW498" s="59"/>
      <c r="AX498" s="58"/>
      <c r="AY498" s="59"/>
      <c r="AZ498" s="64"/>
      <c r="BA498" s="61"/>
      <c r="BB498" s="64"/>
      <c r="BC498" s="61"/>
      <c r="BD498" s="64"/>
      <c r="BE498" s="61"/>
      <c r="BF498" s="64"/>
      <c r="BG498" s="61"/>
      <c r="BH498" s="64"/>
      <c r="BI498" s="646" t="s">
        <v>298</v>
      </c>
      <c r="BJ498" s="350"/>
      <c r="BK498" s="350"/>
      <c r="BL498" s="350"/>
      <c r="BM498" s="350"/>
      <c r="BN498" s="350"/>
      <c r="BO498" s="350"/>
      <c r="BP498" s="350"/>
      <c r="BQ498" s="350"/>
      <c r="BR498" s="350"/>
      <c r="BS498" s="350"/>
      <c r="BT498" s="350"/>
      <c r="BU498" s="350"/>
      <c r="BV498" s="351"/>
    </row>
    <row r="499" spans="1:74" ht="30" customHeight="1">
      <c r="A499" s="63">
        <f t="shared" si="1"/>
        <v>485</v>
      </c>
      <c r="B499" s="56" t="s">
        <v>325</v>
      </c>
      <c r="C499" s="57"/>
      <c r="D499" s="644"/>
      <c r="E499" s="350"/>
      <c r="F499" s="350"/>
      <c r="G499" s="350"/>
      <c r="H499" s="350"/>
      <c r="I499" s="350"/>
      <c r="J499" s="350"/>
      <c r="K499" s="351"/>
      <c r="L499" s="643"/>
      <c r="M499" s="350"/>
      <c r="N499" s="350"/>
      <c r="O499" s="351"/>
      <c r="P499" s="644"/>
      <c r="Q499" s="350"/>
      <c r="R499" s="350"/>
      <c r="S499" s="351"/>
      <c r="T499" s="643"/>
      <c r="U499" s="350"/>
      <c r="V499" s="350"/>
      <c r="W499" s="351"/>
      <c r="X499" s="644"/>
      <c r="Y499" s="350"/>
      <c r="Z499" s="350"/>
      <c r="AA499" s="351"/>
      <c r="AB499" s="506"/>
      <c r="AC499" s="350"/>
      <c r="AD499" s="351"/>
      <c r="AE499" s="571"/>
      <c r="AF499" s="350"/>
      <c r="AG499" s="351"/>
      <c r="AH499" s="645"/>
      <c r="AI499" s="350"/>
      <c r="AJ499" s="351"/>
      <c r="AK499" s="567"/>
      <c r="AL499" s="350"/>
      <c r="AM499" s="351"/>
      <c r="AN499" s="58"/>
      <c r="AO499" s="59"/>
      <c r="AP499" s="58"/>
      <c r="AQ499" s="59"/>
      <c r="AR499" s="58"/>
      <c r="AS499" s="59"/>
      <c r="AT499" s="58"/>
      <c r="AU499" s="59"/>
      <c r="AV499" s="58"/>
      <c r="AW499" s="59"/>
      <c r="AX499" s="58"/>
      <c r="AY499" s="59"/>
      <c r="AZ499" s="64"/>
      <c r="BA499" s="61"/>
      <c r="BB499" s="64"/>
      <c r="BC499" s="61"/>
      <c r="BD499" s="64"/>
      <c r="BE499" s="61"/>
      <c r="BF499" s="64"/>
      <c r="BG499" s="61"/>
      <c r="BH499" s="64"/>
      <c r="BI499" s="646" t="s">
        <v>294</v>
      </c>
      <c r="BJ499" s="350"/>
      <c r="BK499" s="350"/>
      <c r="BL499" s="350"/>
      <c r="BM499" s="350"/>
      <c r="BN499" s="350"/>
      <c r="BO499" s="350"/>
      <c r="BP499" s="350"/>
      <c r="BQ499" s="350"/>
      <c r="BR499" s="350"/>
      <c r="BS499" s="350"/>
      <c r="BT499" s="350"/>
      <c r="BU499" s="350"/>
      <c r="BV499" s="351"/>
    </row>
    <row r="500" spans="1:74" ht="30" customHeight="1">
      <c r="A500" s="63">
        <f t="shared" si="1"/>
        <v>486</v>
      </c>
      <c r="B500" s="56" t="s">
        <v>325</v>
      </c>
      <c r="C500" s="57"/>
      <c r="D500" s="644"/>
      <c r="E500" s="350"/>
      <c r="F500" s="350"/>
      <c r="G500" s="350"/>
      <c r="H500" s="350"/>
      <c r="I500" s="350"/>
      <c r="J500" s="350"/>
      <c r="K500" s="351"/>
      <c r="L500" s="643"/>
      <c r="M500" s="350"/>
      <c r="N500" s="350"/>
      <c r="O500" s="351"/>
      <c r="P500" s="644"/>
      <c r="Q500" s="350"/>
      <c r="R500" s="350"/>
      <c r="S500" s="351"/>
      <c r="T500" s="643"/>
      <c r="U500" s="350"/>
      <c r="V500" s="350"/>
      <c r="W500" s="351"/>
      <c r="X500" s="644"/>
      <c r="Y500" s="350"/>
      <c r="Z500" s="350"/>
      <c r="AA500" s="351"/>
      <c r="AB500" s="506"/>
      <c r="AC500" s="350"/>
      <c r="AD500" s="351"/>
      <c r="AE500" s="571"/>
      <c r="AF500" s="350"/>
      <c r="AG500" s="351"/>
      <c r="AH500" s="645"/>
      <c r="AI500" s="350"/>
      <c r="AJ500" s="351"/>
      <c r="AK500" s="567"/>
      <c r="AL500" s="350"/>
      <c r="AM500" s="351"/>
      <c r="AN500" s="58"/>
      <c r="AO500" s="59"/>
      <c r="AP500" s="58"/>
      <c r="AQ500" s="59"/>
      <c r="AR500" s="58"/>
      <c r="AS500" s="59"/>
      <c r="AT500" s="58"/>
      <c r="AU500" s="59"/>
      <c r="AV500" s="58"/>
      <c r="AW500" s="59"/>
      <c r="AX500" s="58"/>
      <c r="AY500" s="59"/>
      <c r="AZ500" s="64"/>
      <c r="BA500" s="61"/>
      <c r="BB500" s="64"/>
      <c r="BC500" s="61"/>
      <c r="BD500" s="64"/>
      <c r="BE500" s="61"/>
      <c r="BF500" s="64"/>
      <c r="BG500" s="61"/>
      <c r="BH500" s="64"/>
      <c r="BI500" s="646" t="s">
        <v>294</v>
      </c>
      <c r="BJ500" s="350"/>
      <c r="BK500" s="350"/>
      <c r="BL500" s="350"/>
      <c r="BM500" s="350"/>
      <c r="BN500" s="350"/>
      <c r="BO500" s="350"/>
      <c r="BP500" s="350"/>
      <c r="BQ500" s="350"/>
      <c r="BR500" s="350"/>
      <c r="BS500" s="350"/>
      <c r="BT500" s="350"/>
      <c r="BU500" s="350"/>
      <c r="BV500" s="351"/>
    </row>
    <row r="501" spans="1:74" ht="30" customHeight="1">
      <c r="A501" s="55">
        <f t="shared" si="1"/>
        <v>487</v>
      </c>
      <c r="B501" s="56" t="s">
        <v>325</v>
      </c>
      <c r="C501" s="57"/>
      <c r="D501" s="644"/>
      <c r="E501" s="350"/>
      <c r="F501" s="350"/>
      <c r="G501" s="350"/>
      <c r="H501" s="350"/>
      <c r="I501" s="350"/>
      <c r="J501" s="350"/>
      <c r="K501" s="351"/>
      <c r="L501" s="643"/>
      <c r="M501" s="350"/>
      <c r="N501" s="350"/>
      <c r="O501" s="351"/>
      <c r="P501" s="644"/>
      <c r="Q501" s="350"/>
      <c r="R501" s="350"/>
      <c r="S501" s="351"/>
      <c r="T501" s="643"/>
      <c r="U501" s="350"/>
      <c r="V501" s="350"/>
      <c r="W501" s="351"/>
      <c r="X501" s="644"/>
      <c r="Y501" s="350"/>
      <c r="Z501" s="350"/>
      <c r="AA501" s="351"/>
      <c r="AB501" s="506"/>
      <c r="AC501" s="350"/>
      <c r="AD501" s="351"/>
      <c r="AE501" s="571"/>
      <c r="AF501" s="350"/>
      <c r="AG501" s="351"/>
      <c r="AH501" s="645"/>
      <c r="AI501" s="350"/>
      <c r="AJ501" s="351"/>
      <c r="AK501" s="567"/>
      <c r="AL501" s="350"/>
      <c r="AM501" s="351"/>
      <c r="AN501" s="58"/>
      <c r="AO501" s="59"/>
      <c r="AP501" s="58"/>
      <c r="AQ501" s="59"/>
      <c r="AR501" s="58"/>
      <c r="AS501" s="59"/>
      <c r="AT501" s="58"/>
      <c r="AU501" s="59"/>
      <c r="AV501" s="58"/>
      <c r="AW501" s="59"/>
      <c r="AX501" s="58"/>
      <c r="AY501" s="59"/>
      <c r="AZ501" s="64"/>
      <c r="BA501" s="61"/>
      <c r="BB501" s="64"/>
      <c r="BC501" s="61"/>
      <c r="BD501" s="64"/>
      <c r="BE501" s="61"/>
      <c r="BF501" s="64"/>
      <c r="BG501" s="61"/>
      <c r="BH501" s="64"/>
      <c r="BI501" s="646" t="s">
        <v>298</v>
      </c>
      <c r="BJ501" s="350"/>
      <c r="BK501" s="350"/>
      <c r="BL501" s="350"/>
      <c r="BM501" s="350"/>
      <c r="BN501" s="350"/>
      <c r="BO501" s="350"/>
      <c r="BP501" s="350"/>
      <c r="BQ501" s="350"/>
      <c r="BR501" s="350"/>
      <c r="BS501" s="350"/>
      <c r="BT501" s="350"/>
      <c r="BU501" s="350"/>
      <c r="BV501" s="351"/>
    </row>
    <row r="502" spans="1:74" ht="30" customHeight="1">
      <c r="A502" s="63">
        <f t="shared" si="1"/>
        <v>488</v>
      </c>
      <c r="B502" s="56" t="s">
        <v>325</v>
      </c>
      <c r="C502" s="57"/>
      <c r="D502" s="644"/>
      <c r="E502" s="350"/>
      <c r="F502" s="350"/>
      <c r="G502" s="350"/>
      <c r="H502" s="350"/>
      <c r="I502" s="350"/>
      <c r="J502" s="350"/>
      <c r="K502" s="351"/>
      <c r="L502" s="643"/>
      <c r="M502" s="350"/>
      <c r="N502" s="350"/>
      <c r="O502" s="351"/>
      <c r="P502" s="644"/>
      <c r="Q502" s="350"/>
      <c r="R502" s="350"/>
      <c r="S502" s="351"/>
      <c r="T502" s="643"/>
      <c r="U502" s="350"/>
      <c r="V502" s="350"/>
      <c r="W502" s="351"/>
      <c r="X502" s="644"/>
      <c r="Y502" s="350"/>
      <c r="Z502" s="350"/>
      <c r="AA502" s="351"/>
      <c r="AB502" s="506"/>
      <c r="AC502" s="350"/>
      <c r="AD502" s="351"/>
      <c r="AE502" s="571"/>
      <c r="AF502" s="350"/>
      <c r="AG502" s="351"/>
      <c r="AH502" s="645"/>
      <c r="AI502" s="350"/>
      <c r="AJ502" s="351"/>
      <c r="AK502" s="567"/>
      <c r="AL502" s="350"/>
      <c r="AM502" s="351"/>
      <c r="AN502" s="58"/>
      <c r="AO502" s="59"/>
      <c r="AP502" s="58"/>
      <c r="AQ502" s="59"/>
      <c r="AR502" s="58"/>
      <c r="AS502" s="59"/>
      <c r="AT502" s="58"/>
      <c r="AU502" s="59"/>
      <c r="AV502" s="58"/>
      <c r="AW502" s="59"/>
      <c r="AX502" s="58"/>
      <c r="AY502" s="59"/>
      <c r="AZ502" s="64"/>
      <c r="BA502" s="61"/>
      <c r="BB502" s="64"/>
      <c r="BC502" s="61"/>
      <c r="BD502" s="64"/>
      <c r="BE502" s="61"/>
      <c r="BF502" s="64"/>
      <c r="BG502" s="61"/>
      <c r="BH502" s="64"/>
      <c r="BI502" s="646" t="s">
        <v>298</v>
      </c>
      <c r="BJ502" s="350"/>
      <c r="BK502" s="350"/>
      <c r="BL502" s="350"/>
      <c r="BM502" s="350"/>
      <c r="BN502" s="350"/>
      <c r="BO502" s="350"/>
      <c r="BP502" s="350"/>
      <c r="BQ502" s="350"/>
      <c r="BR502" s="350"/>
      <c r="BS502" s="350"/>
      <c r="BT502" s="350"/>
      <c r="BU502" s="350"/>
      <c r="BV502" s="351"/>
    </row>
    <row r="503" spans="1:74" ht="30" customHeight="1">
      <c r="A503" s="63">
        <f t="shared" si="1"/>
        <v>489</v>
      </c>
      <c r="B503" s="56" t="s">
        <v>325</v>
      </c>
      <c r="C503" s="57"/>
      <c r="D503" s="644"/>
      <c r="E503" s="350"/>
      <c r="F503" s="350"/>
      <c r="G503" s="350"/>
      <c r="H503" s="350"/>
      <c r="I503" s="350"/>
      <c r="J503" s="350"/>
      <c r="K503" s="351"/>
      <c r="L503" s="643"/>
      <c r="M503" s="350"/>
      <c r="N503" s="350"/>
      <c r="O503" s="351"/>
      <c r="P503" s="644"/>
      <c r="Q503" s="350"/>
      <c r="R503" s="350"/>
      <c r="S503" s="351"/>
      <c r="T503" s="643"/>
      <c r="U503" s="350"/>
      <c r="V503" s="350"/>
      <c r="W503" s="351"/>
      <c r="X503" s="644"/>
      <c r="Y503" s="350"/>
      <c r="Z503" s="350"/>
      <c r="AA503" s="351"/>
      <c r="AB503" s="506"/>
      <c r="AC503" s="350"/>
      <c r="AD503" s="351"/>
      <c r="AE503" s="571"/>
      <c r="AF503" s="350"/>
      <c r="AG503" s="351"/>
      <c r="AH503" s="645"/>
      <c r="AI503" s="350"/>
      <c r="AJ503" s="351"/>
      <c r="AK503" s="567"/>
      <c r="AL503" s="350"/>
      <c r="AM503" s="351"/>
      <c r="AN503" s="58"/>
      <c r="AO503" s="59"/>
      <c r="AP503" s="58"/>
      <c r="AQ503" s="59"/>
      <c r="AR503" s="58"/>
      <c r="AS503" s="59"/>
      <c r="AT503" s="58"/>
      <c r="AU503" s="59"/>
      <c r="AV503" s="58"/>
      <c r="AW503" s="59"/>
      <c r="AX503" s="58"/>
      <c r="AY503" s="59"/>
      <c r="AZ503" s="64"/>
      <c r="BA503" s="61"/>
      <c r="BB503" s="64"/>
      <c r="BC503" s="61"/>
      <c r="BD503" s="64"/>
      <c r="BE503" s="61"/>
      <c r="BF503" s="64"/>
      <c r="BG503" s="61"/>
      <c r="BH503" s="64"/>
      <c r="BI503" s="646" t="s">
        <v>298</v>
      </c>
      <c r="BJ503" s="350"/>
      <c r="BK503" s="350"/>
      <c r="BL503" s="350"/>
      <c r="BM503" s="350"/>
      <c r="BN503" s="350"/>
      <c r="BO503" s="350"/>
      <c r="BP503" s="350"/>
      <c r="BQ503" s="350"/>
      <c r="BR503" s="350"/>
      <c r="BS503" s="350"/>
      <c r="BT503" s="350"/>
      <c r="BU503" s="350"/>
      <c r="BV503" s="351"/>
    </row>
    <row r="504" spans="1:74" ht="30" customHeight="1">
      <c r="A504" s="63">
        <f t="shared" si="1"/>
        <v>490</v>
      </c>
      <c r="B504" s="56" t="s">
        <v>325</v>
      </c>
      <c r="C504" s="57"/>
      <c r="D504" s="644"/>
      <c r="E504" s="350"/>
      <c r="F504" s="350"/>
      <c r="G504" s="350"/>
      <c r="H504" s="350"/>
      <c r="I504" s="350"/>
      <c r="J504" s="350"/>
      <c r="K504" s="351"/>
      <c r="L504" s="643"/>
      <c r="M504" s="350"/>
      <c r="N504" s="350"/>
      <c r="O504" s="351"/>
      <c r="P504" s="644"/>
      <c r="Q504" s="350"/>
      <c r="R504" s="350"/>
      <c r="S504" s="351"/>
      <c r="T504" s="643"/>
      <c r="U504" s="350"/>
      <c r="V504" s="350"/>
      <c r="W504" s="351"/>
      <c r="X504" s="644"/>
      <c r="Y504" s="350"/>
      <c r="Z504" s="350"/>
      <c r="AA504" s="351"/>
      <c r="AB504" s="506"/>
      <c r="AC504" s="350"/>
      <c r="AD504" s="351"/>
      <c r="AE504" s="571"/>
      <c r="AF504" s="350"/>
      <c r="AG504" s="351"/>
      <c r="AH504" s="645"/>
      <c r="AI504" s="350"/>
      <c r="AJ504" s="351"/>
      <c r="AK504" s="567"/>
      <c r="AL504" s="350"/>
      <c r="AM504" s="351"/>
      <c r="AN504" s="58"/>
      <c r="AO504" s="59"/>
      <c r="AP504" s="58"/>
      <c r="AQ504" s="59"/>
      <c r="AR504" s="58"/>
      <c r="AS504" s="59"/>
      <c r="AT504" s="58"/>
      <c r="AU504" s="59"/>
      <c r="AV504" s="58"/>
      <c r="AW504" s="59"/>
      <c r="AX504" s="58"/>
      <c r="AY504" s="59"/>
      <c r="AZ504" s="64"/>
      <c r="BA504" s="61"/>
      <c r="BB504" s="64"/>
      <c r="BC504" s="61"/>
      <c r="BD504" s="64"/>
      <c r="BE504" s="61"/>
      <c r="BF504" s="64"/>
      <c r="BG504" s="61"/>
      <c r="BH504" s="64"/>
      <c r="BI504" s="646" t="s">
        <v>298</v>
      </c>
      <c r="BJ504" s="350"/>
      <c r="BK504" s="350"/>
      <c r="BL504" s="350"/>
      <c r="BM504" s="350"/>
      <c r="BN504" s="350"/>
      <c r="BO504" s="350"/>
      <c r="BP504" s="350"/>
      <c r="BQ504" s="350"/>
      <c r="BR504" s="350"/>
      <c r="BS504" s="350"/>
      <c r="BT504" s="350"/>
      <c r="BU504" s="350"/>
      <c r="BV504" s="351"/>
    </row>
    <row r="505" spans="1:74" ht="30" customHeight="1">
      <c r="A505" s="63">
        <f t="shared" si="1"/>
        <v>491</v>
      </c>
      <c r="B505" s="56" t="s">
        <v>325</v>
      </c>
      <c r="C505" s="57"/>
      <c r="D505" s="644"/>
      <c r="E505" s="350"/>
      <c r="F505" s="350"/>
      <c r="G505" s="350"/>
      <c r="H505" s="350"/>
      <c r="I505" s="350"/>
      <c r="J505" s="350"/>
      <c r="K505" s="351"/>
      <c r="L505" s="643"/>
      <c r="M505" s="350"/>
      <c r="N505" s="350"/>
      <c r="O505" s="351"/>
      <c r="P505" s="644"/>
      <c r="Q505" s="350"/>
      <c r="R505" s="350"/>
      <c r="S505" s="351"/>
      <c r="T505" s="643"/>
      <c r="U505" s="350"/>
      <c r="V505" s="350"/>
      <c r="W505" s="351"/>
      <c r="X505" s="644"/>
      <c r="Y505" s="350"/>
      <c r="Z505" s="350"/>
      <c r="AA505" s="351"/>
      <c r="AB505" s="506"/>
      <c r="AC505" s="350"/>
      <c r="AD505" s="351"/>
      <c r="AE505" s="571"/>
      <c r="AF505" s="350"/>
      <c r="AG505" s="351"/>
      <c r="AH505" s="645"/>
      <c r="AI505" s="350"/>
      <c r="AJ505" s="351"/>
      <c r="AK505" s="567"/>
      <c r="AL505" s="350"/>
      <c r="AM505" s="351"/>
      <c r="AN505" s="58"/>
      <c r="AO505" s="59"/>
      <c r="AP505" s="58"/>
      <c r="AQ505" s="59"/>
      <c r="AR505" s="58"/>
      <c r="AS505" s="59"/>
      <c r="AT505" s="58"/>
      <c r="AU505" s="59"/>
      <c r="AV505" s="58"/>
      <c r="AW505" s="59"/>
      <c r="AX505" s="58"/>
      <c r="AY505" s="59"/>
      <c r="AZ505" s="64"/>
      <c r="BA505" s="61"/>
      <c r="BB505" s="64"/>
      <c r="BC505" s="61"/>
      <c r="BD505" s="64"/>
      <c r="BE505" s="61"/>
      <c r="BF505" s="64"/>
      <c r="BG505" s="61"/>
      <c r="BH505" s="64"/>
      <c r="BI505" s="646" t="s">
        <v>298</v>
      </c>
      <c r="BJ505" s="350"/>
      <c r="BK505" s="350"/>
      <c r="BL505" s="350"/>
      <c r="BM505" s="350"/>
      <c r="BN505" s="350"/>
      <c r="BO505" s="350"/>
      <c r="BP505" s="350"/>
      <c r="BQ505" s="350"/>
      <c r="BR505" s="350"/>
      <c r="BS505" s="350"/>
      <c r="BT505" s="350"/>
      <c r="BU505" s="350"/>
      <c r="BV505" s="351"/>
    </row>
    <row r="506" spans="1:74" ht="30" customHeight="1">
      <c r="A506" s="63">
        <f t="shared" si="1"/>
        <v>492</v>
      </c>
      <c r="B506" s="56" t="s">
        <v>325</v>
      </c>
      <c r="C506" s="57"/>
      <c r="D506" s="644"/>
      <c r="E506" s="350"/>
      <c r="F506" s="350"/>
      <c r="G506" s="350"/>
      <c r="H506" s="350"/>
      <c r="I506" s="350"/>
      <c r="J506" s="350"/>
      <c r="K506" s="351"/>
      <c r="L506" s="643"/>
      <c r="M506" s="350"/>
      <c r="N506" s="350"/>
      <c r="O506" s="351"/>
      <c r="P506" s="644"/>
      <c r="Q506" s="350"/>
      <c r="R506" s="350"/>
      <c r="S506" s="351"/>
      <c r="T506" s="643"/>
      <c r="U506" s="350"/>
      <c r="V506" s="350"/>
      <c r="W506" s="351"/>
      <c r="X506" s="644"/>
      <c r="Y506" s="350"/>
      <c r="Z506" s="350"/>
      <c r="AA506" s="351"/>
      <c r="AB506" s="506"/>
      <c r="AC506" s="350"/>
      <c r="AD506" s="351"/>
      <c r="AE506" s="571"/>
      <c r="AF506" s="350"/>
      <c r="AG506" s="351"/>
      <c r="AH506" s="645"/>
      <c r="AI506" s="350"/>
      <c r="AJ506" s="351"/>
      <c r="AK506" s="567"/>
      <c r="AL506" s="350"/>
      <c r="AM506" s="351"/>
      <c r="AN506" s="58"/>
      <c r="AO506" s="59"/>
      <c r="AP506" s="58"/>
      <c r="AQ506" s="59"/>
      <c r="AR506" s="58"/>
      <c r="AS506" s="59"/>
      <c r="AT506" s="58"/>
      <c r="AU506" s="59"/>
      <c r="AV506" s="58"/>
      <c r="AW506" s="59"/>
      <c r="AX506" s="58"/>
      <c r="AY506" s="59"/>
      <c r="AZ506" s="64"/>
      <c r="BA506" s="61"/>
      <c r="BB506" s="64"/>
      <c r="BC506" s="61"/>
      <c r="BD506" s="64"/>
      <c r="BE506" s="61"/>
      <c r="BF506" s="64"/>
      <c r="BG506" s="61"/>
      <c r="BH506" s="64"/>
      <c r="BI506" s="646" t="s">
        <v>294</v>
      </c>
      <c r="BJ506" s="350"/>
      <c r="BK506" s="350"/>
      <c r="BL506" s="350"/>
      <c r="BM506" s="350"/>
      <c r="BN506" s="350"/>
      <c r="BO506" s="350"/>
      <c r="BP506" s="350"/>
      <c r="BQ506" s="350"/>
      <c r="BR506" s="350"/>
      <c r="BS506" s="350"/>
      <c r="BT506" s="350"/>
      <c r="BU506" s="350"/>
      <c r="BV506" s="351"/>
    </row>
    <row r="507" spans="1:74" ht="30" customHeight="1">
      <c r="A507" s="63">
        <f t="shared" si="1"/>
        <v>493</v>
      </c>
      <c r="B507" s="56" t="s">
        <v>325</v>
      </c>
      <c r="C507" s="57"/>
      <c r="D507" s="644"/>
      <c r="E507" s="350"/>
      <c r="F507" s="350"/>
      <c r="G507" s="350"/>
      <c r="H507" s="350"/>
      <c r="I507" s="350"/>
      <c r="J507" s="350"/>
      <c r="K507" s="351"/>
      <c r="L507" s="643"/>
      <c r="M507" s="350"/>
      <c r="N507" s="350"/>
      <c r="O507" s="351"/>
      <c r="P507" s="644"/>
      <c r="Q507" s="350"/>
      <c r="R507" s="350"/>
      <c r="S507" s="351"/>
      <c r="T507" s="643"/>
      <c r="U507" s="350"/>
      <c r="V507" s="350"/>
      <c r="W507" s="351"/>
      <c r="X507" s="644"/>
      <c r="Y507" s="350"/>
      <c r="Z507" s="350"/>
      <c r="AA507" s="351"/>
      <c r="AB507" s="506"/>
      <c r="AC507" s="350"/>
      <c r="AD507" s="351"/>
      <c r="AE507" s="571"/>
      <c r="AF507" s="350"/>
      <c r="AG507" s="351"/>
      <c r="AH507" s="645"/>
      <c r="AI507" s="350"/>
      <c r="AJ507" s="351"/>
      <c r="AK507" s="567"/>
      <c r="AL507" s="350"/>
      <c r="AM507" s="351"/>
      <c r="AN507" s="58"/>
      <c r="AO507" s="59"/>
      <c r="AP507" s="58"/>
      <c r="AQ507" s="59"/>
      <c r="AR507" s="58"/>
      <c r="AS507" s="59"/>
      <c r="AT507" s="58"/>
      <c r="AU507" s="59"/>
      <c r="AV507" s="58"/>
      <c r="AW507" s="59"/>
      <c r="AX507" s="58"/>
      <c r="AY507" s="59"/>
      <c r="AZ507" s="64"/>
      <c r="BA507" s="61"/>
      <c r="BB507" s="64"/>
      <c r="BC507" s="61"/>
      <c r="BD507" s="64"/>
      <c r="BE507" s="61"/>
      <c r="BF507" s="64"/>
      <c r="BG507" s="61"/>
      <c r="BH507" s="64"/>
      <c r="BI507" s="646" t="s">
        <v>294</v>
      </c>
      <c r="BJ507" s="350"/>
      <c r="BK507" s="350"/>
      <c r="BL507" s="350"/>
      <c r="BM507" s="350"/>
      <c r="BN507" s="350"/>
      <c r="BO507" s="350"/>
      <c r="BP507" s="350"/>
      <c r="BQ507" s="350"/>
      <c r="BR507" s="350"/>
      <c r="BS507" s="350"/>
      <c r="BT507" s="350"/>
      <c r="BU507" s="350"/>
      <c r="BV507" s="351"/>
    </row>
    <row r="508" spans="1:74" ht="30" customHeight="1">
      <c r="A508" s="55">
        <f t="shared" si="1"/>
        <v>494</v>
      </c>
      <c r="B508" s="56" t="s">
        <v>325</v>
      </c>
      <c r="C508" s="57"/>
      <c r="D508" s="644"/>
      <c r="E508" s="350"/>
      <c r="F508" s="350"/>
      <c r="G508" s="350"/>
      <c r="H508" s="350"/>
      <c r="I508" s="350"/>
      <c r="J508" s="350"/>
      <c r="K508" s="351"/>
      <c r="L508" s="643"/>
      <c r="M508" s="350"/>
      <c r="N508" s="350"/>
      <c r="O508" s="351"/>
      <c r="P508" s="644"/>
      <c r="Q508" s="350"/>
      <c r="R508" s="350"/>
      <c r="S508" s="351"/>
      <c r="T508" s="643"/>
      <c r="U508" s="350"/>
      <c r="V508" s="350"/>
      <c r="W508" s="351"/>
      <c r="X508" s="644"/>
      <c r="Y508" s="350"/>
      <c r="Z508" s="350"/>
      <c r="AA508" s="351"/>
      <c r="AB508" s="506"/>
      <c r="AC508" s="350"/>
      <c r="AD508" s="351"/>
      <c r="AE508" s="571"/>
      <c r="AF508" s="350"/>
      <c r="AG508" s="351"/>
      <c r="AH508" s="645"/>
      <c r="AI508" s="350"/>
      <c r="AJ508" s="351"/>
      <c r="AK508" s="567"/>
      <c r="AL508" s="350"/>
      <c r="AM508" s="351"/>
      <c r="AN508" s="58"/>
      <c r="AO508" s="59"/>
      <c r="AP508" s="58"/>
      <c r="AQ508" s="59"/>
      <c r="AR508" s="58"/>
      <c r="AS508" s="59"/>
      <c r="AT508" s="58"/>
      <c r="AU508" s="59"/>
      <c r="AV508" s="58"/>
      <c r="AW508" s="59"/>
      <c r="AX508" s="58"/>
      <c r="AY508" s="59"/>
      <c r="AZ508" s="64"/>
      <c r="BA508" s="61"/>
      <c r="BB508" s="64"/>
      <c r="BC508" s="61"/>
      <c r="BD508" s="64"/>
      <c r="BE508" s="61"/>
      <c r="BF508" s="64"/>
      <c r="BG508" s="61"/>
      <c r="BH508" s="64"/>
      <c r="BI508" s="646" t="s">
        <v>298</v>
      </c>
      <c r="BJ508" s="350"/>
      <c r="BK508" s="350"/>
      <c r="BL508" s="350"/>
      <c r="BM508" s="350"/>
      <c r="BN508" s="350"/>
      <c r="BO508" s="350"/>
      <c r="BP508" s="350"/>
      <c r="BQ508" s="350"/>
      <c r="BR508" s="350"/>
      <c r="BS508" s="350"/>
      <c r="BT508" s="350"/>
      <c r="BU508" s="350"/>
      <c r="BV508" s="351"/>
    </row>
    <row r="509" spans="1:74" ht="30" customHeight="1">
      <c r="A509" s="63">
        <f t="shared" si="1"/>
        <v>495</v>
      </c>
      <c r="B509" s="56" t="s">
        <v>325</v>
      </c>
      <c r="C509" s="57"/>
      <c r="D509" s="644"/>
      <c r="E509" s="350"/>
      <c r="F509" s="350"/>
      <c r="G509" s="350"/>
      <c r="H509" s="350"/>
      <c r="I509" s="350"/>
      <c r="J509" s="350"/>
      <c r="K509" s="351"/>
      <c r="L509" s="643"/>
      <c r="M509" s="350"/>
      <c r="N509" s="350"/>
      <c r="O509" s="351"/>
      <c r="P509" s="644"/>
      <c r="Q509" s="350"/>
      <c r="R509" s="350"/>
      <c r="S509" s="351"/>
      <c r="T509" s="643"/>
      <c r="U509" s="350"/>
      <c r="V509" s="350"/>
      <c r="W509" s="351"/>
      <c r="X509" s="644"/>
      <c r="Y509" s="350"/>
      <c r="Z509" s="350"/>
      <c r="AA509" s="351"/>
      <c r="AB509" s="506"/>
      <c r="AC509" s="350"/>
      <c r="AD509" s="351"/>
      <c r="AE509" s="571"/>
      <c r="AF509" s="350"/>
      <c r="AG509" s="351"/>
      <c r="AH509" s="645"/>
      <c r="AI509" s="350"/>
      <c r="AJ509" s="351"/>
      <c r="AK509" s="567"/>
      <c r="AL509" s="350"/>
      <c r="AM509" s="351"/>
      <c r="AN509" s="58"/>
      <c r="AO509" s="59"/>
      <c r="AP509" s="58"/>
      <c r="AQ509" s="59"/>
      <c r="AR509" s="58"/>
      <c r="AS509" s="59"/>
      <c r="AT509" s="58"/>
      <c r="AU509" s="59"/>
      <c r="AV509" s="58"/>
      <c r="AW509" s="59"/>
      <c r="AX509" s="58"/>
      <c r="AY509" s="59"/>
      <c r="AZ509" s="64"/>
      <c r="BA509" s="61"/>
      <c r="BB509" s="64"/>
      <c r="BC509" s="61"/>
      <c r="BD509" s="64"/>
      <c r="BE509" s="61"/>
      <c r="BF509" s="64"/>
      <c r="BG509" s="61"/>
      <c r="BH509" s="64"/>
      <c r="BI509" s="646" t="s">
        <v>298</v>
      </c>
      <c r="BJ509" s="350"/>
      <c r="BK509" s="350"/>
      <c r="BL509" s="350"/>
      <c r="BM509" s="350"/>
      <c r="BN509" s="350"/>
      <c r="BO509" s="350"/>
      <c r="BP509" s="350"/>
      <c r="BQ509" s="350"/>
      <c r="BR509" s="350"/>
      <c r="BS509" s="350"/>
      <c r="BT509" s="350"/>
      <c r="BU509" s="350"/>
      <c r="BV509" s="351"/>
    </row>
    <row r="510" spans="1:74" ht="30" customHeight="1">
      <c r="A510" s="63">
        <f t="shared" si="1"/>
        <v>496</v>
      </c>
      <c r="B510" s="56" t="s">
        <v>325</v>
      </c>
      <c r="C510" s="57"/>
      <c r="D510" s="644"/>
      <c r="E510" s="350"/>
      <c r="F510" s="350"/>
      <c r="G510" s="350"/>
      <c r="H510" s="350"/>
      <c r="I510" s="350"/>
      <c r="J510" s="350"/>
      <c r="K510" s="351"/>
      <c r="L510" s="643"/>
      <c r="M510" s="350"/>
      <c r="N510" s="350"/>
      <c r="O510" s="351"/>
      <c r="P510" s="644"/>
      <c r="Q510" s="350"/>
      <c r="R510" s="350"/>
      <c r="S510" s="351"/>
      <c r="T510" s="643"/>
      <c r="U510" s="350"/>
      <c r="V510" s="350"/>
      <c r="W510" s="351"/>
      <c r="X510" s="644"/>
      <c r="Y510" s="350"/>
      <c r="Z510" s="350"/>
      <c r="AA510" s="351"/>
      <c r="AB510" s="506"/>
      <c r="AC510" s="350"/>
      <c r="AD510" s="351"/>
      <c r="AE510" s="571"/>
      <c r="AF510" s="350"/>
      <c r="AG510" s="351"/>
      <c r="AH510" s="645"/>
      <c r="AI510" s="350"/>
      <c r="AJ510" s="351"/>
      <c r="AK510" s="567"/>
      <c r="AL510" s="350"/>
      <c r="AM510" s="351"/>
      <c r="AN510" s="58"/>
      <c r="AO510" s="59"/>
      <c r="AP510" s="58"/>
      <c r="AQ510" s="59"/>
      <c r="AR510" s="58"/>
      <c r="AS510" s="59"/>
      <c r="AT510" s="58"/>
      <c r="AU510" s="59"/>
      <c r="AV510" s="58"/>
      <c r="AW510" s="59"/>
      <c r="AX510" s="58"/>
      <c r="AY510" s="59"/>
      <c r="AZ510" s="64"/>
      <c r="BA510" s="61"/>
      <c r="BB510" s="64"/>
      <c r="BC510" s="61"/>
      <c r="BD510" s="64"/>
      <c r="BE510" s="61"/>
      <c r="BF510" s="64"/>
      <c r="BG510" s="61"/>
      <c r="BH510" s="64"/>
      <c r="BI510" s="646" t="s">
        <v>298</v>
      </c>
      <c r="BJ510" s="350"/>
      <c r="BK510" s="350"/>
      <c r="BL510" s="350"/>
      <c r="BM510" s="350"/>
      <c r="BN510" s="350"/>
      <c r="BO510" s="350"/>
      <c r="BP510" s="350"/>
      <c r="BQ510" s="350"/>
      <c r="BR510" s="350"/>
      <c r="BS510" s="350"/>
      <c r="BT510" s="350"/>
      <c r="BU510" s="350"/>
      <c r="BV510" s="351"/>
    </row>
    <row r="511" spans="1:74" ht="30" customHeight="1">
      <c r="A511" s="63">
        <f t="shared" si="1"/>
        <v>497</v>
      </c>
      <c r="B511" s="56" t="s">
        <v>325</v>
      </c>
      <c r="C511" s="57"/>
      <c r="D511" s="644"/>
      <c r="E511" s="350"/>
      <c r="F511" s="350"/>
      <c r="G511" s="350"/>
      <c r="H511" s="350"/>
      <c r="I511" s="350"/>
      <c r="J511" s="350"/>
      <c r="K511" s="351"/>
      <c r="L511" s="643"/>
      <c r="M511" s="350"/>
      <c r="N511" s="350"/>
      <c r="O511" s="351"/>
      <c r="P511" s="644"/>
      <c r="Q511" s="350"/>
      <c r="R511" s="350"/>
      <c r="S511" s="351"/>
      <c r="T511" s="643"/>
      <c r="U511" s="350"/>
      <c r="V511" s="350"/>
      <c r="W511" s="351"/>
      <c r="X511" s="644"/>
      <c r="Y511" s="350"/>
      <c r="Z511" s="350"/>
      <c r="AA511" s="351"/>
      <c r="AB511" s="506"/>
      <c r="AC511" s="350"/>
      <c r="AD511" s="351"/>
      <c r="AE511" s="571"/>
      <c r="AF511" s="350"/>
      <c r="AG511" s="351"/>
      <c r="AH511" s="645"/>
      <c r="AI511" s="350"/>
      <c r="AJ511" s="351"/>
      <c r="AK511" s="567"/>
      <c r="AL511" s="350"/>
      <c r="AM511" s="351"/>
      <c r="AN511" s="58"/>
      <c r="AO511" s="59"/>
      <c r="AP511" s="58"/>
      <c r="AQ511" s="59"/>
      <c r="AR511" s="58"/>
      <c r="AS511" s="59"/>
      <c r="AT511" s="58"/>
      <c r="AU511" s="59"/>
      <c r="AV511" s="58"/>
      <c r="AW511" s="59"/>
      <c r="AX511" s="58"/>
      <c r="AY511" s="59"/>
      <c r="AZ511" s="64"/>
      <c r="BA511" s="61"/>
      <c r="BB511" s="64"/>
      <c r="BC511" s="61"/>
      <c r="BD511" s="64"/>
      <c r="BE511" s="61"/>
      <c r="BF511" s="64"/>
      <c r="BG511" s="61"/>
      <c r="BH511" s="64"/>
      <c r="BI511" s="646" t="s">
        <v>298</v>
      </c>
      <c r="BJ511" s="350"/>
      <c r="BK511" s="350"/>
      <c r="BL511" s="350"/>
      <c r="BM511" s="350"/>
      <c r="BN511" s="350"/>
      <c r="BO511" s="350"/>
      <c r="BP511" s="350"/>
      <c r="BQ511" s="350"/>
      <c r="BR511" s="350"/>
      <c r="BS511" s="350"/>
      <c r="BT511" s="350"/>
      <c r="BU511" s="350"/>
      <c r="BV511" s="351"/>
    </row>
    <row r="512" spans="1:74" ht="30" customHeight="1">
      <c r="A512" s="63">
        <f t="shared" si="1"/>
        <v>498</v>
      </c>
      <c r="B512" s="56" t="s">
        <v>325</v>
      </c>
      <c r="C512" s="57"/>
      <c r="D512" s="644"/>
      <c r="E512" s="350"/>
      <c r="F512" s="350"/>
      <c r="G512" s="350"/>
      <c r="H512" s="350"/>
      <c r="I512" s="350"/>
      <c r="J512" s="350"/>
      <c r="K512" s="351"/>
      <c r="L512" s="643"/>
      <c r="M512" s="350"/>
      <c r="N512" s="350"/>
      <c r="O512" s="351"/>
      <c r="P512" s="644"/>
      <c r="Q512" s="350"/>
      <c r="R512" s="350"/>
      <c r="S512" s="351"/>
      <c r="T512" s="643"/>
      <c r="U512" s="350"/>
      <c r="V512" s="350"/>
      <c r="W512" s="351"/>
      <c r="X512" s="644"/>
      <c r="Y512" s="350"/>
      <c r="Z512" s="350"/>
      <c r="AA512" s="351"/>
      <c r="AB512" s="506"/>
      <c r="AC512" s="350"/>
      <c r="AD512" s="351"/>
      <c r="AE512" s="571"/>
      <c r="AF512" s="350"/>
      <c r="AG512" s="351"/>
      <c r="AH512" s="645"/>
      <c r="AI512" s="350"/>
      <c r="AJ512" s="351"/>
      <c r="AK512" s="567"/>
      <c r="AL512" s="350"/>
      <c r="AM512" s="351"/>
      <c r="AN512" s="58"/>
      <c r="AO512" s="59"/>
      <c r="AP512" s="58"/>
      <c r="AQ512" s="59"/>
      <c r="AR512" s="58"/>
      <c r="AS512" s="59"/>
      <c r="AT512" s="58"/>
      <c r="AU512" s="59"/>
      <c r="AV512" s="58"/>
      <c r="AW512" s="59"/>
      <c r="AX512" s="58"/>
      <c r="AY512" s="59"/>
      <c r="AZ512" s="64"/>
      <c r="BA512" s="61"/>
      <c r="BB512" s="64"/>
      <c r="BC512" s="61"/>
      <c r="BD512" s="64"/>
      <c r="BE512" s="61"/>
      <c r="BF512" s="64"/>
      <c r="BG512" s="61"/>
      <c r="BH512" s="64"/>
      <c r="BI512" s="646" t="s">
        <v>298</v>
      </c>
      <c r="BJ512" s="350"/>
      <c r="BK512" s="350"/>
      <c r="BL512" s="350"/>
      <c r="BM512" s="350"/>
      <c r="BN512" s="350"/>
      <c r="BO512" s="350"/>
      <c r="BP512" s="350"/>
      <c r="BQ512" s="350"/>
      <c r="BR512" s="350"/>
      <c r="BS512" s="350"/>
      <c r="BT512" s="350"/>
      <c r="BU512" s="350"/>
      <c r="BV512" s="351"/>
    </row>
    <row r="513" spans="1:74" ht="30" customHeight="1">
      <c r="A513" s="63">
        <f t="shared" si="1"/>
        <v>499</v>
      </c>
      <c r="B513" s="56" t="s">
        <v>325</v>
      </c>
      <c r="C513" s="57"/>
      <c r="D513" s="644"/>
      <c r="E513" s="350"/>
      <c r="F513" s="350"/>
      <c r="G513" s="350"/>
      <c r="H513" s="350"/>
      <c r="I513" s="350"/>
      <c r="J513" s="350"/>
      <c r="K513" s="351"/>
      <c r="L513" s="643"/>
      <c r="M513" s="350"/>
      <c r="N513" s="350"/>
      <c r="O513" s="351"/>
      <c r="P513" s="644"/>
      <c r="Q513" s="350"/>
      <c r="R513" s="350"/>
      <c r="S513" s="351"/>
      <c r="T513" s="643"/>
      <c r="U513" s="350"/>
      <c r="V513" s="350"/>
      <c r="W513" s="351"/>
      <c r="X513" s="644"/>
      <c r="Y513" s="350"/>
      <c r="Z513" s="350"/>
      <c r="AA513" s="351"/>
      <c r="AB513" s="506"/>
      <c r="AC513" s="350"/>
      <c r="AD513" s="351"/>
      <c r="AE513" s="571"/>
      <c r="AF513" s="350"/>
      <c r="AG513" s="351"/>
      <c r="AH513" s="645"/>
      <c r="AI513" s="350"/>
      <c r="AJ513" s="351"/>
      <c r="AK513" s="567"/>
      <c r="AL513" s="350"/>
      <c r="AM513" s="351"/>
      <c r="AN513" s="58"/>
      <c r="AO513" s="59"/>
      <c r="AP513" s="58"/>
      <c r="AQ513" s="59"/>
      <c r="AR513" s="58"/>
      <c r="AS513" s="59"/>
      <c r="AT513" s="58"/>
      <c r="AU513" s="59"/>
      <c r="AV513" s="58"/>
      <c r="AW513" s="59"/>
      <c r="AX513" s="58"/>
      <c r="AY513" s="59"/>
      <c r="AZ513" s="64"/>
      <c r="BA513" s="61"/>
      <c r="BB513" s="64"/>
      <c r="BC513" s="61"/>
      <c r="BD513" s="64"/>
      <c r="BE513" s="61"/>
      <c r="BF513" s="64"/>
      <c r="BG513" s="61"/>
      <c r="BH513" s="64"/>
      <c r="BI513" s="646" t="s">
        <v>294</v>
      </c>
      <c r="BJ513" s="350"/>
      <c r="BK513" s="350"/>
      <c r="BL513" s="350"/>
      <c r="BM513" s="350"/>
      <c r="BN513" s="350"/>
      <c r="BO513" s="350"/>
      <c r="BP513" s="350"/>
      <c r="BQ513" s="350"/>
      <c r="BR513" s="350"/>
      <c r="BS513" s="350"/>
      <c r="BT513" s="350"/>
      <c r="BU513" s="350"/>
      <c r="BV513" s="351"/>
    </row>
    <row r="514" spans="1:74" ht="30" customHeight="1">
      <c r="A514" s="63">
        <f t="shared" si="1"/>
        <v>500</v>
      </c>
      <c r="B514" s="56" t="s">
        <v>325</v>
      </c>
      <c r="C514" s="57"/>
      <c r="D514" s="644"/>
      <c r="E514" s="350"/>
      <c r="F514" s="350"/>
      <c r="G514" s="350"/>
      <c r="H514" s="350"/>
      <c r="I514" s="350"/>
      <c r="J514" s="350"/>
      <c r="K514" s="351"/>
      <c r="L514" s="643"/>
      <c r="M514" s="350"/>
      <c r="N514" s="350"/>
      <c r="O514" s="351"/>
      <c r="P514" s="644"/>
      <c r="Q514" s="350"/>
      <c r="R514" s="350"/>
      <c r="S514" s="351"/>
      <c r="T514" s="643"/>
      <c r="U514" s="350"/>
      <c r="V514" s="350"/>
      <c r="W514" s="351"/>
      <c r="X514" s="644"/>
      <c r="Y514" s="350"/>
      <c r="Z514" s="350"/>
      <c r="AA514" s="351"/>
      <c r="AB514" s="506"/>
      <c r="AC514" s="350"/>
      <c r="AD514" s="351"/>
      <c r="AE514" s="571"/>
      <c r="AF514" s="350"/>
      <c r="AG514" s="351"/>
      <c r="AH514" s="645"/>
      <c r="AI514" s="350"/>
      <c r="AJ514" s="351"/>
      <c r="AK514" s="567"/>
      <c r="AL514" s="350"/>
      <c r="AM514" s="351"/>
      <c r="AN514" s="58"/>
      <c r="AO514" s="59"/>
      <c r="AP514" s="58"/>
      <c r="AQ514" s="59"/>
      <c r="AR514" s="58"/>
      <c r="AS514" s="59"/>
      <c r="AT514" s="58"/>
      <c r="AU514" s="59"/>
      <c r="AV514" s="58"/>
      <c r="AW514" s="59"/>
      <c r="AX514" s="58"/>
      <c r="AY514" s="59"/>
      <c r="AZ514" s="64"/>
      <c r="BA514" s="61"/>
      <c r="BB514" s="64"/>
      <c r="BC514" s="61"/>
      <c r="BD514" s="64"/>
      <c r="BE514" s="61"/>
      <c r="BF514" s="64"/>
      <c r="BG514" s="61"/>
      <c r="BH514" s="64"/>
      <c r="BI514" s="646" t="s">
        <v>294</v>
      </c>
      <c r="BJ514" s="350"/>
      <c r="BK514" s="350"/>
      <c r="BL514" s="350"/>
      <c r="BM514" s="350"/>
      <c r="BN514" s="350"/>
      <c r="BO514" s="350"/>
      <c r="BP514" s="350"/>
      <c r="BQ514" s="350"/>
      <c r="BR514" s="350"/>
      <c r="BS514" s="350"/>
      <c r="BT514" s="350"/>
      <c r="BU514" s="350"/>
      <c r="BV514" s="351"/>
    </row>
    <row r="515" spans="1:74" ht="30" customHeight="1">
      <c r="A515" s="55">
        <f t="shared" si="1"/>
        <v>501</v>
      </c>
      <c r="B515" s="56" t="s">
        <v>325</v>
      </c>
      <c r="C515" s="57"/>
      <c r="D515" s="644"/>
      <c r="E515" s="350"/>
      <c r="F515" s="350"/>
      <c r="G515" s="350"/>
      <c r="H515" s="350"/>
      <c r="I515" s="350"/>
      <c r="J515" s="350"/>
      <c r="K515" s="351"/>
      <c r="L515" s="643"/>
      <c r="M515" s="350"/>
      <c r="N515" s="350"/>
      <c r="O515" s="351"/>
      <c r="P515" s="644"/>
      <c r="Q515" s="350"/>
      <c r="R515" s="350"/>
      <c r="S515" s="351"/>
      <c r="T515" s="643"/>
      <c r="U515" s="350"/>
      <c r="V515" s="350"/>
      <c r="W515" s="351"/>
      <c r="X515" s="644"/>
      <c r="Y515" s="350"/>
      <c r="Z515" s="350"/>
      <c r="AA515" s="351"/>
      <c r="AB515" s="506"/>
      <c r="AC515" s="350"/>
      <c r="AD515" s="351"/>
      <c r="AE515" s="571"/>
      <c r="AF515" s="350"/>
      <c r="AG515" s="351"/>
      <c r="AH515" s="645"/>
      <c r="AI515" s="350"/>
      <c r="AJ515" s="351"/>
      <c r="AK515" s="567"/>
      <c r="AL515" s="350"/>
      <c r="AM515" s="351"/>
      <c r="AN515" s="58"/>
      <c r="AO515" s="59"/>
      <c r="AP515" s="58"/>
      <c r="AQ515" s="59"/>
      <c r="AR515" s="58"/>
      <c r="AS515" s="59"/>
      <c r="AT515" s="58"/>
      <c r="AU515" s="59"/>
      <c r="AV515" s="58"/>
      <c r="AW515" s="59"/>
      <c r="AX515" s="58"/>
      <c r="AY515" s="59"/>
      <c r="AZ515" s="64"/>
      <c r="BA515" s="61"/>
      <c r="BB515" s="64"/>
      <c r="BC515" s="61"/>
      <c r="BD515" s="64"/>
      <c r="BE515" s="61"/>
      <c r="BF515" s="64"/>
      <c r="BG515" s="61"/>
      <c r="BH515" s="64"/>
      <c r="BI515" s="646" t="s">
        <v>298</v>
      </c>
      <c r="BJ515" s="350"/>
      <c r="BK515" s="350"/>
      <c r="BL515" s="350"/>
      <c r="BM515" s="350"/>
      <c r="BN515" s="350"/>
      <c r="BO515" s="350"/>
      <c r="BP515" s="350"/>
      <c r="BQ515" s="350"/>
      <c r="BR515" s="350"/>
      <c r="BS515" s="350"/>
      <c r="BT515" s="350"/>
      <c r="BU515" s="350"/>
      <c r="BV515" s="351"/>
    </row>
    <row r="516" spans="1:74" ht="30" customHeight="1">
      <c r="A516" s="63">
        <f t="shared" si="1"/>
        <v>502</v>
      </c>
      <c r="B516" s="56" t="s">
        <v>325</v>
      </c>
      <c r="C516" s="57"/>
      <c r="D516" s="644"/>
      <c r="E516" s="350"/>
      <c r="F516" s="350"/>
      <c r="G516" s="350"/>
      <c r="H516" s="350"/>
      <c r="I516" s="350"/>
      <c r="J516" s="350"/>
      <c r="K516" s="351"/>
      <c r="L516" s="643"/>
      <c r="M516" s="350"/>
      <c r="N516" s="350"/>
      <c r="O516" s="351"/>
      <c r="P516" s="644"/>
      <c r="Q516" s="350"/>
      <c r="R516" s="350"/>
      <c r="S516" s="351"/>
      <c r="T516" s="643"/>
      <c r="U516" s="350"/>
      <c r="V516" s="350"/>
      <c r="W516" s="351"/>
      <c r="X516" s="644"/>
      <c r="Y516" s="350"/>
      <c r="Z516" s="350"/>
      <c r="AA516" s="351"/>
      <c r="AB516" s="506"/>
      <c r="AC516" s="350"/>
      <c r="AD516" s="351"/>
      <c r="AE516" s="571"/>
      <c r="AF516" s="350"/>
      <c r="AG516" s="351"/>
      <c r="AH516" s="645"/>
      <c r="AI516" s="350"/>
      <c r="AJ516" s="351"/>
      <c r="AK516" s="567"/>
      <c r="AL516" s="350"/>
      <c r="AM516" s="351"/>
      <c r="AN516" s="58"/>
      <c r="AO516" s="59"/>
      <c r="AP516" s="58"/>
      <c r="AQ516" s="59"/>
      <c r="AR516" s="58"/>
      <c r="AS516" s="59"/>
      <c r="AT516" s="58"/>
      <c r="AU516" s="59"/>
      <c r="AV516" s="58"/>
      <c r="AW516" s="59"/>
      <c r="AX516" s="58"/>
      <c r="AY516" s="59"/>
      <c r="AZ516" s="64"/>
      <c r="BA516" s="61"/>
      <c r="BB516" s="64"/>
      <c r="BC516" s="61"/>
      <c r="BD516" s="64"/>
      <c r="BE516" s="61"/>
      <c r="BF516" s="64"/>
      <c r="BG516" s="61"/>
      <c r="BH516" s="64"/>
      <c r="BI516" s="646" t="s">
        <v>298</v>
      </c>
      <c r="BJ516" s="350"/>
      <c r="BK516" s="350"/>
      <c r="BL516" s="350"/>
      <c r="BM516" s="350"/>
      <c r="BN516" s="350"/>
      <c r="BO516" s="350"/>
      <c r="BP516" s="350"/>
      <c r="BQ516" s="350"/>
      <c r="BR516" s="350"/>
      <c r="BS516" s="350"/>
      <c r="BT516" s="350"/>
      <c r="BU516" s="350"/>
      <c r="BV516" s="351"/>
    </row>
    <row r="517" spans="1:74" ht="30" customHeight="1">
      <c r="A517" s="63">
        <f t="shared" si="1"/>
        <v>503</v>
      </c>
      <c r="B517" s="56" t="s">
        <v>325</v>
      </c>
      <c r="C517" s="57"/>
      <c r="D517" s="644"/>
      <c r="E517" s="350"/>
      <c r="F517" s="350"/>
      <c r="G517" s="350"/>
      <c r="H517" s="350"/>
      <c r="I517" s="350"/>
      <c r="J517" s="350"/>
      <c r="K517" s="351"/>
      <c r="L517" s="643"/>
      <c r="M517" s="350"/>
      <c r="N517" s="350"/>
      <c r="O517" s="351"/>
      <c r="P517" s="644"/>
      <c r="Q517" s="350"/>
      <c r="R517" s="350"/>
      <c r="S517" s="351"/>
      <c r="T517" s="643"/>
      <c r="U517" s="350"/>
      <c r="V517" s="350"/>
      <c r="W517" s="351"/>
      <c r="X517" s="644"/>
      <c r="Y517" s="350"/>
      <c r="Z517" s="350"/>
      <c r="AA517" s="351"/>
      <c r="AB517" s="506"/>
      <c r="AC517" s="350"/>
      <c r="AD517" s="351"/>
      <c r="AE517" s="571"/>
      <c r="AF517" s="350"/>
      <c r="AG517" s="351"/>
      <c r="AH517" s="645"/>
      <c r="AI517" s="350"/>
      <c r="AJ517" s="351"/>
      <c r="AK517" s="567"/>
      <c r="AL517" s="350"/>
      <c r="AM517" s="351"/>
      <c r="AN517" s="58"/>
      <c r="AO517" s="59"/>
      <c r="AP517" s="58"/>
      <c r="AQ517" s="59"/>
      <c r="AR517" s="58"/>
      <c r="AS517" s="59"/>
      <c r="AT517" s="58"/>
      <c r="AU517" s="59"/>
      <c r="AV517" s="58"/>
      <c r="AW517" s="59"/>
      <c r="AX517" s="58"/>
      <c r="AY517" s="59"/>
      <c r="AZ517" s="64"/>
      <c r="BA517" s="61"/>
      <c r="BB517" s="64"/>
      <c r="BC517" s="61"/>
      <c r="BD517" s="64"/>
      <c r="BE517" s="61"/>
      <c r="BF517" s="64"/>
      <c r="BG517" s="61"/>
      <c r="BH517" s="64"/>
      <c r="BI517" s="646" t="s">
        <v>298</v>
      </c>
      <c r="BJ517" s="350"/>
      <c r="BK517" s="350"/>
      <c r="BL517" s="350"/>
      <c r="BM517" s="350"/>
      <c r="BN517" s="350"/>
      <c r="BO517" s="350"/>
      <c r="BP517" s="350"/>
      <c r="BQ517" s="350"/>
      <c r="BR517" s="350"/>
      <c r="BS517" s="350"/>
      <c r="BT517" s="350"/>
      <c r="BU517" s="350"/>
      <c r="BV517" s="351"/>
    </row>
    <row r="518" spans="1:74" ht="30" customHeight="1">
      <c r="A518" s="63">
        <f t="shared" si="1"/>
        <v>504</v>
      </c>
      <c r="B518" s="56" t="s">
        <v>325</v>
      </c>
      <c r="C518" s="57"/>
      <c r="D518" s="644"/>
      <c r="E518" s="350"/>
      <c r="F518" s="350"/>
      <c r="G518" s="350"/>
      <c r="H518" s="350"/>
      <c r="I518" s="350"/>
      <c r="J518" s="350"/>
      <c r="K518" s="351"/>
      <c r="L518" s="643"/>
      <c r="M518" s="350"/>
      <c r="N518" s="350"/>
      <c r="O518" s="351"/>
      <c r="P518" s="644"/>
      <c r="Q518" s="350"/>
      <c r="R518" s="350"/>
      <c r="S518" s="351"/>
      <c r="T518" s="643"/>
      <c r="U518" s="350"/>
      <c r="V518" s="350"/>
      <c r="W518" s="351"/>
      <c r="X518" s="644"/>
      <c r="Y518" s="350"/>
      <c r="Z518" s="350"/>
      <c r="AA518" s="351"/>
      <c r="AB518" s="506"/>
      <c r="AC518" s="350"/>
      <c r="AD518" s="351"/>
      <c r="AE518" s="571"/>
      <c r="AF518" s="350"/>
      <c r="AG518" s="351"/>
      <c r="AH518" s="645"/>
      <c r="AI518" s="350"/>
      <c r="AJ518" s="351"/>
      <c r="AK518" s="567"/>
      <c r="AL518" s="350"/>
      <c r="AM518" s="351"/>
      <c r="AN518" s="58"/>
      <c r="AO518" s="59"/>
      <c r="AP518" s="58"/>
      <c r="AQ518" s="59"/>
      <c r="AR518" s="58"/>
      <c r="AS518" s="59"/>
      <c r="AT518" s="58"/>
      <c r="AU518" s="59"/>
      <c r="AV518" s="58"/>
      <c r="AW518" s="59"/>
      <c r="AX518" s="58"/>
      <c r="AY518" s="59"/>
      <c r="AZ518" s="64"/>
      <c r="BA518" s="61"/>
      <c r="BB518" s="64"/>
      <c r="BC518" s="61"/>
      <c r="BD518" s="64"/>
      <c r="BE518" s="61"/>
      <c r="BF518" s="64"/>
      <c r="BG518" s="61"/>
      <c r="BH518" s="64"/>
      <c r="BI518" s="646" t="s">
        <v>298</v>
      </c>
      <c r="BJ518" s="350"/>
      <c r="BK518" s="350"/>
      <c r="BL518" s="350"/>
      <c r="BM518" s="350"/>
      <c r="BN518" s="350"/>
      <c r="BO518" s="350"/>
      <c r="BP518" s="350"/>
      <c r="BQ518" s="350"/>
      <c r="BR518" s="350"/>
      <c r="BS518" s="350"/>
      <c r="BT518" s="350"/>
      <c r="BU518" s="350"/>
      <c r="BV518" s="351"/>
    </row>
    <row r="519" spans="1:74" ht="30" customHeight="1">
      <c r="A519" s="63">
        <f t="shared" si="1"/>
        <v>505</v>
      </c>
      <c r="B519" s="56" t="s">
        <v>325</v>
      </c>
      <c r="C519" s="57"/>
      <c r="D519" s="644"/>
      <c r="E519" s="350"/>
      <c r="F519" s="350"/>
      <c r="G519" s="350"/>
      <c r="H519" s="350"/>
      <c r="I519" s="350"/>
      <c r="J519" s="350"/>
      <c r="K519" s="351"/>
      <c r="L519" s="643"/>
      <c r="M519" s="350"/>
      <c r="N519" s="350"/>
      <c r="O519" s="351"/>
      <c r="P519" s="644"/>
      <c r="Q519" s="350"/>
      <c r="R519" s="350"/>
      <c r="S519" s="351"/>
      <c r="T519" s="643"/>
      <c r="U519" s="350"/>
      <c r="V519" s="350"/>
      <c r="W519" s="351"/>
      <c r="X519" s="644"/>
      <c r="Y519" s="350"/>
      <c r="Z519" s="350"/>
      <c r="AA519" s="351"/>
      <c r="AB519" s="506"/>
      <c r="AC519" s="350"/>
      <c r="AD519" s="351"/>
      <c r="AE519" s="571"/>
      <c r="AF519" s="350"/>
      <c r="AG519" s="351"/>
      <c r="AH519" s="645"/>
      <c r="AI519" s="350"/>
      <c r="AJ519" s="351"/>
      <c r="AK519" s="567"/>
      <c r="AL519" s="350"/>
      <c r="AM519" s="351"/>
      <c r="AN519" s="58"/>
      <c r="AO519" s="59"/>
      <c r="AP519" s="58"/>
      <c r="AQ519" s="59"/>
      <c r="AR519" s="58"/>
      <c r="AS519" s="59"/>
      <c r="AT519" s="58"/>
      <c r="AU519" s="59"/>
      <c r="AV519" s="58"/>
      <c r="AW519" s="59"/>
      <c r="AX519" s="58"/>
      <c r="AY519" s="59"/>
      <c r="AZ519" s="64"/>
      <c r="BA519" s="61"/>
      <c r="BB519" s="64"/>
      <c r="BC519" s="61"/>
      <c r="BD519" s="64"/>
      <c r="BE519" s="61"/>
      <c r="BF519" s="64"/>
      <c r="BG519" s="61"/>
      <c r="BH519" s="64"/>
      <c r="BI519" s="646" t="s">
        <v>298</v>
      </c>
      <c r="BJ519" s="350"/>
      <c r="BK519" s="350"/>
      <c r="BL519" s="350"/>
      <c r="BM519" s="350"/>
      <c r="BN519" s="350"/>
      <c r="BO519" s="350"/>
      <c r="BP519" s="350"/>
      <c r="BQ519" s="350"/>
      <c r="BR519" s="350"/>
      <c r="BS519" s="350"/>
      <c r="BT519" s="350"/>
      <c r="BU519" s="350"/>
      <c r="BV519" s="351"/>
    </row>
    <row r="520" spans="1:74" ht="30" customHeight="1">
      <c r="A520" s="63">
        <f t="shared" si="1"/>
        <v>506</v>
      </c>
      <c r="B520" s="56" t="s">
        <v>325</v>
      </c>
      <c r="C520" s="57"/>
      <c r="D520" s="644"/>
      <c r="E520" s="350"/>
      <c r="F520" s="350"/>
      <c r="G520" s="350"/>
      <c r="H520" s="350"/>
      <c r="I520" s="350"/>
      <c r="J520" s="350"/>
      <c r="K520" s="351"/>
      <c r="L520" s="643"/>
      <c r="M520" s="350"/>
      <c r="N520" s="350"/>
      <c r="O520" s="351"/>
      <c r="P520" s="644"/>
      <c r="Q520" s="350"/>
      <c r="R520" s="350"/>
      <c r="S520" s="351"/>
      <c r="T520" s="643"/>
      <c r="U520" s="350"/>
      <c r="V520" s="350"/>
      <c r="W520" s="351"/>
      <c r="X520" s="644"/>
      <c r="Y520" s="350"/>
      <c r="Z520" s="350"/>
      <c r="AA520" s="351"/>
      <c r="AB520" s="506"/>
      <c r="AC520" s="350"/>
      <c r="AD520" s="351"/>
      <c r="AE520" s="571"/>
      <c r="AF520" s="350"/>
      <c r="AG520" s="351"/>
      <c r="AH520" s="645"/>
      <c r="AI520" s="350"/>
      <c r="AJ520" s="351"/>
      <c r="AK520" s="567"/>
      <c r="AL520" s="350"/>
      <c r="AM520" s="351"/>
      <c r="AN520" s="58"/>
      <c r="AO520" s="59"/>
      <c r="AP520" s="58"/>
      <c r="AQ520" s="59"/>
      <c r="AR520" s="58"/>
      <c r="AS520" s="59"/>
      <c r="AT520" s="58"/>
      <c r="AU520" s="59"/>
      <c r="AV520" s="58"/>
      <c r="AW520" s="59"/>
      <c r="AX520" s="58"/>
      <c r="AY520" s="59"/>
      <c r="AZ520" s="64"/>
      <c r="BA520" s="61"/>
      <c r="BB520" s="64"/>
      <c r="BC520" s="61"/>
      <c r="BD520" s="64"/>
      <c r="BE520" s="61"/>
      <c r="BF520" s="64"/>
      <c r="BG520" s="61"/>
      <c r="BH520" s="64"/>
      <c r="BI520" s="646" t="s">
        <v>294</v>
      </c>
      <c r="BJ520" s="350"/>
      <c r="BK520" s="350"/>
      <c r="BL520" s="350"/>
      <c r="BM520" s="350"/>
      <c r="BN520" s="350"/>
      <c r="BO520" s="350"/>
      <c r="BP520" s="350"/>
      <c r="BQ520" s="350"/>
      <c r="BR520" s="350"/>
      <c r="BS520" s="350"/>
      <c r="BT520" s="350"/>
      <c r="BU520" s="350"/>
      <c r="BV520" s="351"/>
    </row>
    <row r="521" spans="1:74" ht="30" customHeight="1">
      <c r="A521" s="63">
        <f t="shared" si="1"/>
        <v>507</v>
      </c>
      <c r="B521" s="56" t="s">
        <v>325</v>
      </c>
      <c r="C521" s="57"/>
      <c r="D521" s="644"/>
      <c r="E521" s="350"/>
      <c r="F521" s="350"/>
      <c r="G521" s="350"/>
      <c r="H521" s="350"/>
      <c r="I521" s="350"/>
      <c r="J521" s="350"/>
      <c r="K521" s="351"/>
      <c r="L521" s="643"/>
      <c r="M521" s="350"/>
      <c r="N521" s="350"/>
      <c r="O521" s="351"/>
      <c r="P521" s="644"/>
      <c r="Q521" s="350"/>
      <c r="R521" s="350"/>
      <c r="S521" s="351"/>
      <c r="T521" s="643"/>
      <c r="U521" s="350"/>
      <c r="V521" s="350"/>
      <c r="W521" s="351"/>
      <c r="X521" s="644"/>
      <c r="Y521" s="350"/>
      <c r="Z521" s="350"/>
      <c r="AA521" s="351"/>
      <c r="AB521" s="506"/>
      <c r="AC521" s="350"/>
      <c r="AD521" s="351"/>
      <c r="AE521" s="571"/>
      <c r="AF521" s="350"/>
      <c r="AG521" s="351"/>
      <c r="AH521" s="645"/>
      <c r="AI521" s="350"/>
      <c r="AJ521" s="351"/>
      <c r="AK521" s="567"/>
      <c r="AL521" s="350"/>
      <c r="AM521" s="351"/>
      <c r="AN521" s="58"/>
      <c r="AO521" s="59"/>
      <c r="AP521" s="58"/>
      <c r="AQ521" s="59"/>
      <c r="AR521" s="58"/>
      <c r="AS521" s="59"/>
      <c r="AT521" s="58"/>
      <c r="AU521" s="59"/>
      <c r="AV521" s="58"/>
      <c r="AW521" s="59"/>
      <c r="AX521" s="58"/>
      <c r="AY521" s="59"/>
      <c r="AZ521" s="64"/>
      <c r="BA521" s="61"/>
      <c r="BB521" s="64"/>
      <c r="BC521" s="61"/>
      <c r="BD521" s="64"/>
      <c r="BE521" s="61"/>
      <c r="BF521" s="64"/>
      <c r="BG521" s="61"/>
      <c r="BH521" s="64"/>
      <c r="BI521" s="646" t="s">
        <v>294</v>
      </c>
      <c r="BJ521" s="350"/>
      <c r="BK521" s="350"/>
      <c r="BL521" s="350"/>
      <c r="BM521" s="350"/>
      <c r="BN521" s="350"/>
      <c r="BO521" s="350"/>
      <c r="BP521" s="350"/>
      <c r="BQ521" s="350"/>
      <c r="BR521" s="350"/>
      <c r="BS521" s="350"/>
      <c r="BT521" s="350"/>
      <c r="BU521" s="350"/>
      <c r="BV521" s="351"/>
    </row>
    <row r="522" spans="1:74" ht="30" customHeight="1">
      <c r="A522" s="55">
        <f t="shared" si="1"/>
        <v>508</v>
      </c>
      <c r="B522" s="56" t="s">
        <v>325</v>
      </c>
      <c r="C522" s="57"/>
      <c r="D522" s="644"/>
      <c r="E522" s="350"/>
      <c r="F522" s="350"/>
      <c r="G522" s="350"/>
      <c r="H522" s="350"/>
      <c r="I522" s="350"/>
      <c r="J522" s="350"/>
      <c r="K522" s="351"/>
      <c r="L522" s="643"/>
      <c r="M522" s="350"/>
      <c r="N522" s="350"/>
      <c r="O522" s="351"/>
      <c r="P522" s="644"/>
      <c r="Q522" s="350"/>
      <c r="R522" s="350"/>
      <c r="S522" s="351"/>
      <c r="T522" s="643"/>
      <c r="U522" s="350"/>
      <c r="V522" s="350"/>
      <c r="W522" s="351"/>
      <c r="X522" s="644"/>
      <c r="Y522" s="350"/>
      <c r="Z522" s="350"/>
      <c r="AA522" s="351"/>
      <c r="AB522" s="506"/>
      <c r="AC522" s="350"/>
      <c r="AD522" s="351"/>
      <c r="AE522" s="571"/>
      <c r="AF522" s="350"/>
      <c r="AG522" s="351"/>
      <c r="AH522" s="645"/>
      <c r="AI522" s="350"/>
      <c r="AJ522" s="351"/>
      <c r="AK522" s="567"/>
      <c r="AL522" s="350"/>
      <c r="AM522" s="351"/>
      <c r="AN522" s="58"/>
      <c r="AO522" s="59"/>
      <c r="AP522" s="58"/>
      <c r="AQ522" s="59"/>
      <c r="AR522" s="58"/>
      <c r="AS522" s="59"/>
      <c r="AT522" s="58"/>
      <c r="AU522" s="59"/>
      <c r="AV522" s="58"/>
      <c r="AW522" s="59"/>
      <c r="AX522" s="58"/>
      <c r="AY522" s="59"/>
      <c r="AZ522" s="64"/>
      <c r="BA522" s="61"/>
      <c r="BB522" s="64"/>
      <c r="BC522" s="61"/>
      <c r="BD522" s="64"/>
      <c r="BE522" s="61"/>
      <c r="BF522" s="64"/>
      <c r="BG522" s="61"/>
      <c r="BH522" s="64"/>
      <c r="BI522" s="646" t="s">
        <v>298</v>
      </c>
      <c r="BJ522" s="350"/>
      <c r="BK522" s="350"/>
      <c r="BL522" s="350"/>
      <c r="BM522" s="350"/>
      <c r="BN522" s="350"/>
      <c r="BO522" s="350"/>
      <c r="BP522" s="350"/>
      <c r="BQ522" s="350"/>
      <c r="BR522" s="350"/>
      <c r="BS522" s="350"/>
      <c r="BT522" s="350"/>
      <c r="BU522" s="350"/>
      <c r="BV522" s="351"/>
    </row>
    <row r="523" spans="1:74" ht="30" customHeight="1">
      <c r="A523" s="63">
        <f t="shared" si="1"/>
        <v>509</v>
      </c>
      <c r="B523" s="56" t="s">
        <v>325</v>
      </c>
      <c r="C523" s="57"/>
      <c r="D523" s="644"/>
      <c r="E523" s="350"/>
      <c r="F523" s="350"/>
      <c r="G523" s="350"/>
      <c r="H523" s="350"/>
      <c r="I523" s="350"/>
      <c r="J523" s="350"/>
      <c r="K523" s="351"/>
      <c r="L523" s="643"/>
      <c r="M523" s="350"/>
      <c r="N523" s="350"/>
      <c r="O523" s="351"/>
      <c r="P523" s="644"/>
      <c r="Q523" s="350"/>
      <c r="R523" s="350"/>
      <c r="S523" s="351"/>
      <c r="T523" s="643"/>
      <c r="U523" s="350"/>
      <c r="V523" s="350"/>
      <c r="W523" s="351"/>
      <c r="X523" s="644"/>
      <c r="Y523" s="350"/>
      <c r="Z523" s="350"/>
      <c r="AA523" s="351"/>
      <c r="AB523" s="506"/>
      <c r="AC523" s="350"/>
      <c r="AD523" s="351"/>
      <c r="AE523" s="571"/>
      <c r="AF523" s="350"/>
      <c r="AG523" s="351"/>
      <c r="AH523" s="645"/>
      <c r="AI523" s="350"/>
      <c r="AJ523" s="351"/>
      <c r="AK523" s="567"/>
      <c r="AL523" s="350"/>
      <c r="AM523" s="351"/>
      <c r="AN523" s="58"/>
      <c r="AO523" s="59"/>
      <c r="AP523" s="58"/>
      <c r="AQ523" s="59"/>
      <c r="AR523" s="58"/>
      <c r="AS523" s="59"/>
      <c r="AT523" s="58"/>
      <c r="AU523" s="59"/>
      <c r="AV523" s="58"/>
      <c r="AW523" s="59"/>
      <c r="AX523" s="58"/>
      <c r="AY523" s="59"/>
      <c r="AZ523" s="64"/>
      <c r="BA523" s="61"/>
      <c r="BB523" s="64"/>
      <c r="BC523" s="61"/>
      <c r="BD523" s="64"/>
      <c r="BE523" s="61"/>
      <c r="BF523" s="64"/>
      <c r="BG523" s="61"/>
      <c r="BH523" s="64"/>
      <c r="BI523" s="646" t="s">
        <v>298</v>
      </c>
      <c r="BJ523" s="350"/>
      <c r="BK523" s="350"/>
      <c r="BL523" s="350"/>
      <c r="BM523" s="350"/>
      <c r="BN523" s="350"/>
      <c r="BO523" s="350"/>
      <c r="BP523" s="350"/>
      <c r="BQ523" s="350"/>
      <c r="BR523" s="350"/>
      <c r="BS523" s="350"/>
      <c r="BT523" s="350"/>
      <c r="BU523" s="350"/>
      <c r="BV523" s="351"/>
    </row>
    <row r="524" spans="1:74" ht="30" customHeight="1">
      <c r="A524" s="63">
        <f t="shared" si="1"/>
        <v>510</v>
      </c>
      <c r="B524" s="56" t="s">
        <v>325</v>
      </c>
      <c r="C524" s="57"/>
      <c r="D524" s="644"/>
      <c r="E524" s="350"/>
      <c r="F524" s="350"/>
      <c r="G524" s="350"/>
      <c r="H524" s="350"/>
      <c r="I524" s="350"/>
      <c r="J524" s="350"/>
      <c r="K524" s="351"/>
      <c r="L524" s="643"/>
      <c r="M524" s="350"/>
      <c r="N524" s="350"/>
      <c r="O524" s="351"/>
      <c r="P524" s="644"/>
      <c r="Q524" s="350"/>
      <c r="R524" s="350"/>
      <c r="S524" s="351"/>
      <c r="T524" s="643"/>
      <c r="U524" s="350"/>
      <c r="V524" s="350"/>
      <c r="W524" s="351"/>
      <c r="X524" s="644"/>
      <c r="Y524" s="350"/>
      <c r="Z524" s="350"/>
      <c r="AA524" s="351"/>
      <c r="AB524" s="506"/>
      <c r="AC524" s="350"/>
      <c r="AD524" s="351"/>
      <c r="AE524" s="571"/>
      <c r="AF524" s="350"/>
      <c r="AG524" s="351"/>
      <c r="AH524" s="645"/>
      <c r="AI524" s="350"/>
      <c r="AJ524" s="351"/>
      <c r="AK524" s="567"/>
      <c r="AL524" s="350"/>
      <c r="AM524" s="351"/>
      <c r="AN524" s="58"/>
      <c r="AO524" s="59"/>
      <c r="AP524" s="58"/>
      <c r="AQ524" s="59"/>
      <c r="AR524" s="58"/>
      <c r="AS524" s="59"/>
      <c r="AT524" s="58"/>
      <c r="AU524" s="59"/>
      <c r="AV524" s="58"/>
      <c r="AW524" s="59"/>
      <c r="AX524" s="58"/>
      <c r="AY524" s="59"/>
      <c r="AZ524" s="64"/>
      <c r="BA524" s="61"/>
      <c r="BB524" s="64"/>
      <c r="BC524" s="61"/>
      <c r="BD524" s="64"/>
      <c r="BE524" s="61"/>
      <c r="BF524" s="64"/>
      <c r="BG524" s="61"/>
      <c r="BH524" s="64"/>
      <c r="BI524" s="646" t="s">
        <v>298</v>
      </c>
      <c r="BJ524" s="350"/>
      <c r="BK524" s="350"/>
      <c r="BL524" s="350"/>
      <c r="BM524" s="350"/>
      <c r="BN524" s="350"/>
      <c r="BO524" s="350"/>
      <c r="BP524" s="350"/>
      <c r="BQ524" s="350"/>
      <c r="BR524" s="350"/>
      <c r="BS524" s="350"/>
      <c r="BT524" s="350"/>
      <c r="BU524" s="350"/>
      <c r="BV524" s="351"/>
    </row>
    <row r="525" spans="1:74" ht="30" customHeight="1">
      <c r="A525" s="63">
        <f t="shared" ref="A525:A534" si="2">ROW(A511)</f>
        <v>511</v>
      </c>
      <c r="B525" s="56" t="s">
        <v>325</v>
      </c>
      <c r="C525" s="57"/>
      <c r="D525" s="644"/>
      <c r="E525" s="350"/>
      <c r="F525" s="350"/>
      <c r="G525" s="350"/>
      <c r="H525" s="350"/>
      <c r="I525" s="350"/>
      <c r="J525" s="350"/>
      <c r="K525" s="351"/>
      <c r="L525" s="643"/>
      <c r="M525" s="350"/>
      <c r="N525" s="350"/>
      <c r="O525" s="351"/>
      <c r="P525" s="644"/>
      <c r="Q525" s="350"/>
      <c r="R525" s="350"/>
      <c r="S525" s="351"/>
      <c r="T525" s="643"/>
      <c r="U525" s="350"/>
      <c r="V525" s="350"/>
      <c r="W525" s="351"/>
      <c r="X525" s="644"/>
      <c r="Y525" s="350"/>
      <c r="Z525" s="350"/>
      <c r="AA525" s="351"/>
      <c r="AB525" s="506"/>
      <c r="AC525" s="350"/>
      <c r="AD525" s="351"/>
      <c r="AE525" s="571"/>
      <c r="AF525" s="350"/>
      <c r="AG525" s="351"/>
      <c r="AH525" s="645"/>
      <c r="AI525" s="350"/>
      <c r="AJ525" s="351"/>
      <c r="AK525" s="567"/>
      <c r="AL525" s="350"/>
      <c r="AM525" s="351"/>
      <c r="AN525" s="58"/>
      <c r="AO525" s="59"/>
      <c r="AP525" s="58"/>
      <c r="AQ525" s="59"/>
      <c r="AR525" s="58"/>
      <c r="AS525" s="59"/>
      <c r="AT525" s="58"/>
      <c r="AU525" s="59"/>
      <c r="AV525" s="58"/>
      <c r="AW525" s="59"/>
      <c r="AX525" s="58"/>
      <c r="AY525" s="59"/>
      <c r="AZ525" s="64"/>
      <c r="BA525" s="61"/>
      <c r="BB525" s="64"/>
      <c r="BC525" s="61"/>
      <c r="BD525" s="64"/>
      <c r="BE525" s="61"/>
      <c r="BF525" s="64"/>
      <c r="BG525" s="61"/>
      <c r="BH525" s="64"/>
      <c r="BI525" s="646" t="s">
        <v>298</v>
      </c>
      <c r="BJ525" s="350"/>
      <c r="BK525" s="350"/>
      <c r="BL525" s="350"/>
      <c r="BM525" s="350"/>
      <c r="BN525" s="350"/>
      <c r="BO525" s="350"/>
      <c r="BP525" s="350"/>
      <c r="BQ525" s="350"/>
      <c r="BR525" s="350"/>
      <c r="BS525" s="350"/>
      <c r="BT525" s="350"/>
      <c r="BU525" s="350"/>
      <c r="BV525" s="351"/>
    </row>
    <row r="526" spans="1:74" ht="30" customHeight="1">
      <c r="A526" s="63">
        <f t="shared" si="2"/>
        <v>512</v>
      </c>
      <c r="B526" s="56" t="s">
        <v>325</v>
      </c>
      <c r="C526" s="57"/>
      <c r="D526" s="644"/>
      <c r="E526" s="350"/>
      <c r="F526" s="350"/>
      <c r="G526" s="350"/>
      <c r="H526" s="350"/>
      <c r="I526" s="350"/>
      <c r="J526" s="350"/>
      <c r="K526" s="351"/>
      <c r="L526" s="643"/>
      <c r="M526" s="350"/>
      <c r="N526" s="350"/>
      <c r="O526" s="351"/>
      <c r="P526" s="644"/>
      <c r="Q526" s="350"/>
      <c r="R526" s="350"/>
      <c r="S526" s="351"/>
      <c r="T526" s="643"/>
      <c r="U526" s="350"/>
      <c r="V526" s="350"/>
      <c r="W526" s="351"/>
      <c r="X526" s="644"/>
      <c r="Y526" s="350"/>
      <c r="Z526" s="350"/>
      <c r="AA526" s="351"/>
      <c r="AB526" s="506"/>
      <c r="AC526" s="350"/>
      <c r="AD526" s="351"/>
      <c r="AE526" s="571"/>
      <c r="AF526" s="350"/>
      <c r="AG526" s="351"/>
      <c r="AH526" s="645"/>
      <c r="AI526" s="350"/>
      <c r="AJ526" s="351"/>
      <c r="AK526" s="567"/>
      <c r="AL526" s="350"/>
      <c r="AM526" s="351"/>
      <c r="AN526" s="58"/>
      <c r="AO526" s="59"/>
      <c r="AP526" s="58"/>
      <c r="AQ526" s="59"/>
      <c r="AR526" s="58"/>
      <c r="AS526" s="59"/>
      <c r="AT526" s="58"/>
      <c r="AU526" s="59"/>
      <c r="AV526" s="58"/>
      <c r="AW526" s="59"/>
      <c r="AX526" s="58"/>
      <c r="AY526" s="59"/>
      <c r="AZ526" s="64"/>
      <c r="BA526" s="61"/>
      <c r="BB526" s="64"/>
      <c r="BC526" s="61"/>
      <c r="BD526" s="64"/>
      <c r="BE526" s="61"/>
      <c r="BF526" s="64"/>
      <c r="BG526" s="61"/>
      <c r="BH526" s="64"/>
      <c r="BI526" s="646" t="s">
        <v>298</v>
      </c>
      <c r="BJ526" s="350"/>
      <c r="BK526" s="350"/>
      <c r="BL526" s="350"/>
      <c r="BM526" s="350"/>
      <c r="BN526" s="350"/>
      <c r="BO526" s="350"/>
      <c r="BP526" s="350"/>
      <c r="BQ526" s="350"/>
      <c r="BR526" s="350"/>
      <c r="BS526" s="350"/>
      <c r="BT526" s="350"/>
      <c r="BU526" s="350"/>
      <c r="BV526" s="351"/>
    </row>
    <row r="527" spans="1:74" ht="30" customHeight="1">
      <c r="A527" s="63">
        <f t="shared" si="2"/>
        <v>513</v>
      </c>
      <c r="B527" s="56" t="s">
        <v>325</v>
      </c>
      <c r="C527" s="57"/>
      <c r="D527" s="644"/>
      <c r="E527" s="350"/>
      <c r="F527" s="350"/>
      <c r="G527" s="350"/>
      <c r="H527" s="350"/>
      <c r="I527" s="350"/>
      <c r="J527" s="350"/>
      <c r="K527" s="351"/>
      <c r="L527" s="643"/>
      <c r="M527" s="350"/>
      <c r="N527" s="350"/>
      <c r="O527" s="351"/>
      <c r="P527" s="644"/>
      <c r="Q527" s="350"/>
      <c r="R527" s="350"/>
      <c r="S527" s="351"/>
      <c r="T527" s="643"/>
      <c r="U527" s="350"/>
      <c r="V527" s="350"/>
      <c r="W527" s="351"/>
      <c r="X527" s="644"/>
      <c r="Y527" s="350"/>
      <c r="Z527" s="350"/>
      <c r="AA527" s="351"/>
      <c r="AB527" s="506"/>
      <c r="AC527" s="350"/>
      <c r="AD527" s="351"/>
      <c r="AE527" s="571"/>
      <c r="AF527" s="350"/>
      <c r="AG527" s="351"/>
      <c r="AH527" s="645"/>
      <c r="AI527" s="350"/>
      <c r="AJ527" s="351"/>
      <c r="AK527" s="567"/>
      <c r="AL527" s="350"/>
      <c r="AM527" s="351"/>
      <c r="AN527" s="58"/>
      <c r="AO527" s="59"/>
      <c r="AP527" s="58"/>
      <c r="AQ527" s="59"/>
      <c r="AR527" s="58"/>
      <c r="AS527" s="59"/>
      <c r="AT527" s="58"/>
      <c r="AU527" s="59"/>
      <c r="AV527" s="58"/>
      <c r="AW527" s="59"/>
      <c r="AX527" s="58"/>
      <c r="AY527" s="59"/>
      <c r="AZ527" s="64"/>
      <c r="BA527" s="61"/>
      <c r="BB527" s="64"/>
      <c r="BC527" s="61"/>
      <c r="BD527" s="64"/>
      <c r="BE527" s="61"/>
      <c r="BF527" s="64"/>
      <c r="BG527" s="61"/>
      <c r="BH527" s="64"/>
      <c r="BI527" s="646" t="s">
        <v>294</v>
      </c>
      <c r="BJ527" s="350"/>
      <c r="BK527" s="350"/>
      <c r="BL527" s="350"/>
      <c r="BM527" s="350"/>
      <c r="BN527" s="350"/>
      <c r="BO527" s="350"/>
      <c r="BP527" s="350"/>
      <c r="BQ527" s="350"/>
      <c r="BR527" s="350"/>
      <c r="BS527" s="350"/>
      <c r="BT527" s="350"/>
      <c r="BU527" s="350"/>
      <c r="BV527" s="351"/>
    </row>
    <row r="528" spans="1:74" ht="30" customHeight="1">
      <c r="A528" s="63">
        <f t="shared" si="2"/>
        <v>514</v>
      </c>
      <c r="B528" s="56" t="s">
        <v>325</v>
      </c>
      <c r="C528" s="57"/>
      <c r="D528" s="644"/>
      <c r="E528" s="350"/>
      <c r="F528" s="350"/>
      <c r="G528" s="350"/>
      <c r="H528" s="350"/>
      <c r="I528" s="350"/>
      <c r="J528" s="350"/>
      <c r="K528" s="351"/>
      <c r="L528" s="643"/>
      <c r="M528" s="350"/>
      <c r="N528" s="350"/>
      <c r="O528" s="351"/>
      <c r="P528" s="644"/>
      <c r="Q528" s="350"/>
      <c r="R528" s="350"/>
      <c r="S528" s="351"/>
      <c r="T528" s="643"/>
      <c r="U528" s="350"/>
      <c r="V528" s="350"/>
      <c r="W528" s="351"/>
      <c r="X528" s="644"/>
      <c r="Y528" s="350"/>
      <c r="Z528" s="350"/>
      <c r="AA528" s="351"/>
      <c r="AB528" s="506"/>
      <c r="AC528" s="350"/>
      <c r="AD528" s="351"/>
      <c r="AE528" s="571"/>
      <c r="AF528" s="350"/>
      <c r="AG528" s="351"/>
      <c r="AH528" s="645"/>
      <c r="AI528" s="350"/>
      <c r="AJ528" s="351"/>
      <c r="AK528" s="567"/>
      <c r="AL528" s="350"/>
      <c r="AM528" s="351"/>
      <c r="AN528" s="58"/>
      <c r="AO528" s="59"/>
      <c r="AP528" s="58"/>
      <c r="AQ528" s="59"/>
      <c r="AR528" s="58"/>
      <c r="AS528" s="59"/>
      <c r="AT528" s="58"/>
      <c r="AU528" s="59"/>
      <c r="AV528" s="58"/>
      <c r="AW528" s="59"/>
      <c r="AX528" s="58"/>
      <c r="AY528" s="59"/>
      <c r="AZ528" s="64"/>
      <c r="BA528" s="61"/>
      <c r="BB528" s="64"/>
      <c r="BC528" s="61"/>
      <c r="BD528" s="64"/>
      <c r="BE528" s="61"/>
      <c r="BF528" s="64"/>
      <c r="BG528" s="61"/>
      <c r="BH528" s="64"/>
      <c r="BI528" s="646" t="s">
        <v>294</v>
      </c>
      <c r="BJ528" s="350"/>
      <c r="BK528" s="350"/>
      <c r="BL528" s="350"/>
      <c r="BM528" s="350"/>
      <c r="BN528" s="350"/>
      <c r="BO528" s="350"/>
      <c r="BP528" s="350"/>
      <c r="BQ528" s="350"/>
      <c r="BR528" s="350"/>
      <c r="BS528" s="350"/>
      <c r="BT528" s="350"/>
      <c r="BU528" s="350"/>
      <c r="BV528" s="351"/>
    </row>
    <row r="529" spans="1:74" ht="30" customHeight="1">
      <c r="A529" s="55">
        <f t="shared" si="2"/>
        <v>515</v>
      </c>
      <c r="B529" s="56" t="s">
        <v>325</v>
      </c>
      <c r="C529" s="57"/>
      <c r="D529" s="644"/>
      <c r="E529" s="350"/>
      <c r="F529" s="350"/>
      <c r="G529" s="350"/>
      <c r="H529" s="350"/>
      <c r="I529" s="350"/>
      <c r="J529" s="350"/>
      <c r="K529" s="351"/>
      <c r="L529" s="643"/>
      <c r="M529" s="350"/>
      <c r="N529" s="350"/>
      <c r="O529" s="351"/>
      <c r="P529" s="644"/>
      <c r="Q529" s="350"/>
      <c r="R529" s="350"/>
      <c r="S529" s="351"/>
      <c r="T529" s="643"/>
      <c r="U529" s="350"/>
      <c r="V529" s="350"/>
      <c r="W529" s="351"/>
      <c r="X529" s="644"/>
      <c r="Y529" s="350"/>
      <c r="Z529" s="350"/>
      <c r="AA529" s="351"/>
      <c r="AB529" s="506"/>
      <c r="AC529" s="350"/>
      <c r="AD529" s="351"/>
      <c r="AE529" s="571"/>
      <c r="AF529" s="350"/>
      <c r="AG529" s="351"/>
      <c r="AH529" s="645"/>
      <c r="AI529" s="350"/>
      <c r="AJ529" s="351"/>
      <c r="AK529" s="567"/>
      <c r="AL529" s="350"/>
      <c r="AM529" s="351"/>
      <c r="AN529" s="58"/>
      <c r="AO529" s="59"/>
      <c r="AP529" s="58"/>
      <c r="AQ529" s="59"/>
      <c r="AR529" s="58"/>
      <c r="AS529" s="59"/>
      <c r="AT529" s="58"/>
      <c r="AU529" s="59"/>
      <c r="AV529" s="58"/>
      <c r="AW529" s="59"/>
      <c r="AX529" s="58"/>
      <c r="AY529" s="59"/>
      <c r="AZ529" s="64"/>
      <c r="BA529" s="61"/>
      <c r="BB529" s="64"/>
      <c r="BC529" s="61"/>
      <c r="BD529" s="64"/>
      <c r="BE529" s="61"/>
      <c r="BF529" s="64"/>
      <c r="BG529" s="61"/>
      <c r="BH529" s="64"/>
      <c r="BI529" s="646" t="s">
        <v>298</v>
      </c>
      <c r="BJ529" s="350"/>
      <c r="BK529" s="350"/>
      <c r="BL529" s="350"/>
      <c r="BM529" s="350"/>
      <c r="BN529" s="350"/>
      <c r="BO529" s="350"/>
      <c r="BP529" s="350"/>
      <c r="BQ529" s="350"/>
      <c r="BR529" s="350"/>
      <c r="BS529" s="350"/>
      <c r="BT529" s="350"/>
      <c r="BU529" s="350"/>
      <c r="BV529" s="351"/>
    </row>
    <row r="530" spans="1:74" ht="30" customHeight="1">
      <c r="A530" s="63">
        <f t="shared" si="2"/>
        <v>516</v>
      </c>
      <c r="B530" s="56" t="s">
        <v>325</v>
      </c>
      <c r="C530" s="57"/>
      <c r="D530" s="644"/>
      <c r="E530" s="350"/>
      <c r="F530" s="350"/>
      <c r="G530" s="350"/>
      <c r="H530" s="350"/>
      <c r="I530" s="350"/>
      <c r="J530" s="350"/>
      <c r="K530" s="351"/>
      <c r="L530" s="643"/>
      <c r="M530" s="350"/>
      <c r="N530" s="350"/>
      <c r="O530" s="351"/>
      <c r="P530" s="644"/>
      <c r="Q530" s="350"/>
      <c r="R530" s="350"/>
      <c r="S530" s="351"/>
      <c r="T530" s="643"/>
      <c r="U530" s="350"/>
      <c r="V530" s="350"/>
      <c r="W530" s="351"/>
      <c r="X530" s="644"/>
      <c r="Y530" s="350"/>
      <c r="Z530" s="350"/>
      <c r="AA530" s="351"/>
      <c r="AB530" s="506"/>
      <c r="AC530" s="350"/>
      <c r="AD530" s="351"/>
      <c r="AE530" s="571"/>
      <c r="AF530" s="350"/>
      <c r="AG530" s="351"/>
      <c r="AH530" s="645"/>
      <c r="AI530" s="350"/>
      <c r="AJ530" s="351"/>
      <c r="AK530" s="567"/>
      <c r="AL530" s="350"/>
      <c r="AM530" s="351"/>
      <c r="AN530" s="58"/>
      <c r="AO530" s="59"/>
      <c r="AP530" s="58"/>
      <c r="AQ530" s="59"/>
      <c r="AR530" s="58"/>
      <c r="AS530" s="59"/>
      <c r="AT530" s="58"/>
      <c r="AU530" s="59"/>
      <c r="AV530" s="58"/>
      <c r="AW530" s="59"/>
      <c r="AX530" s="58"/>
      <c r="AY530" s="59"/>
      <c r="AZ530" s="64"/>
      <c r="BA530" s="61"/>
      <c r="BB530" s="64"/>
      <c r="BC530" s="61"/>
      <c r="BD530" s="64"/>
      <c r="BE530" s="61"/>
      <c r="BF530" s="64"/>
      <c r="BG530" s="61"/>
      <c r="BH530" s="64"/>
      <c r="BI530" s="646" t="s">
        <v>298</v>
      </c>
      <c r="BJ530" s="350"/>
      <c r="BK530" s="350"/>
      <c r="BL530" s="350"/>
      <c r="BM530" s="350"/>
      <c r="BN530" s="350"/>
      <c r="BO530" s="350"/>
      <c r="BP530" s="350"/>
      <c r="BQ530" s="350"/>
      <c r="BR530" s="350"/>
      <c r="BS530" s="350"/>
      <c r="BT530" s="350"/>
      <c r="BU530" s="350"/>
      <c r="BV530" s="351"/>
    </row>
    <row r="531" spans="1:74" ht="30" customHeight="1">
      <c r="A531" s="63">
        <f t="shared" si="2"/>
        <v>517</v>
      </c>
      <c r="B531" s="56" t="s">
        <v>325</v>
      </c>
      <c r="C531" s="57"/>
      <c r="D531" s="644"/>
      <c r="E531" s="350"/>
      <c r="F531" s="350"/>
      <c r="G531" s="350"/>
      <c r="H531" s="350"/>
      <c r="I531" s="350"/>
      <c r="J531" s="350"/>
      <c r="K531" s="351"/>
      <c r="L531" s="643"/>
      <c r="M531" s="350"/>
      <c r="N531" s="350"/>
      <c r="O531" s="351"/>
      <c r="P531" s="644"/>
      <c r="Q531" s="350"/>
      <c r="R531" s="350"/>
      <c r="S531" s="351"/>
      <c r="T531" s="643"/>
      <c r="U531" s="350"/>
      <c r="V531" s="350"/>
      <c r="W531" s="351"/>
      <c r="X531" s="644"/>
      <c r="Y531" s="350"/>
      <c r="Z531" s="350"/>
      <c r="AA531" s="351"/>
      <c r="AB531" s="506"/>
      <c r="AC531" s="350"/>
      <c r="AD531" s="351"/>
      <c r="AE531" s="571"/>
      <c r="AF531" s="350"/>
      <c r="AG531" s="351"/>
      <c r="AH531" s="645"/>
      <c r="AI531" s="350"/>
      <c r="AJ531" s="351"/>
      <c r="AK531" s="567"/>
      <c r="AL531" s="350"/>
      <c r="AM531" s="351"/>
      <c r="AN531" s="58"/>
      <c r="AO531" s="59"/>
      <c r="AP531" s="58"/>
      <c r="AQ531" s="59"/>
      <c r="AR531" s="58"/>
      <c r="AS531" s="59"/>
      <c r="AT531" s="58"/>
      <c r="AU531" s="59"/>
      <c r="AV531" s="58"/>
      <c r="AW531" s="59"/>
      <c r="AX531" s="58"/>
      <c r="AY531" s="59"/>
      <c r="AZ531" s="64"/>
      <c r="BA531" s="61"/>
      <c r="BB531" s="64"/>
      <c r="BC531" s="61"/>
      <c r="BD531" s="64"/>
      <c r="BE531" s="61"/>
      <c r="BF531" s="64"/>
      <c r="BG531" s="61"/>
      <c r="BH531" s="64"/>
      <c r="BI531" s="646" t="s">
        <v>298</v>
      </c>
      <c r="BJ531" s="350"/>
      <c r="BK531" s="350"/>
      <c r="BL531" s="350"/>
      <c r="BM531" s="350"/>
      <c r="BN531" s="350"/>
      <c r="BO531" s="350"/>
      <c r="BP531" s="350"/>
      <c r="BQ531" s="350"/>
      <c r="BR531" s="350"/>
      <c r="BS531" s="350"/>
      <c r="BT531" s="350"/>
      <c r="BU531" s="350"/>
      <c r="BV531" s="351"/>
    </row>
    <row r="532" spans="1:74" ht="30" customHeight="1">
      <c r="A532" s="63">
        <f t="shared" si="2"/>
        <v>518</v>
      </c>
      <c r="B532" s="56" t="s">
        <v>325</v>
      </c>
      <c r="C532" s="57"/>
      <c r="D532" s="644"/>
      <c r="E532" s="350"/>
      <c r="F532" s="350"/>
      <c r="G532" s="350"/>
      <c r="H532" s="350"/>
      <c r="I532" s="350"/>
      <c r="J532" s="350"/>
      <c r="K532" s="351"/>
      <c r="L532" s="643"/>
      <c r="M532" s="350"/>
      <c r="N532" s="350"/>
      <c r="O532" s="351"/>
      <c r="P532" s="644"/>
      <c r="Q532" s="350"/>
      <c r="R532" s="350"/>
      <c r="S532" s="351"/>
      <c r="T532" s="643"/>
      <c r="U532" s="350"/>
      <c r="V532" s="350"/>
      <c r="W532" s="351"/>
      <c r="X532" s="644"/>
      <c r="Y532" s="350"/>
      <c r="Z532" s="350"/>
      <c r="AA532" s="351"/>
      <c r="AB532" s="506"/>
      <c r="AC532" s="350"/>
      <c r="AD532" s="351"/>
      <c r="AE532" s="571"/>
      <c r="AF532" s="350"/>
      <c r="AG532" s="351"/>
      <c r="AH532" s="645"/>
      <c r="AI532" s="350"/>
      <c r="AJ532" s="351"/>
      <c r="AK532" s="567"/>
      <c r="AL532" s="350"/>
      <c r="AM532" s="351"/>
      <c r="AN532" s="58"/>
      <c r="AO532" s="59"/>
      <c r="AP532" s="58"/>
      <c r="AQ532" s="59"/>
      <c r="AR532" s="58"/>
      <c r="AS532" s="59"/>
      <c r="AT532" s="58"/>
      <c r="AU532" s="59"/>
      <c r="AV532" s="58"/>
      <c r="AW532" s="59"/>
      <c r="AX532" s="58"/>
      <c r="AY532" s="59"/>
      <c r="AZ532" s="64"/>
      <c r="BA532" s="61"/>
      <c r="BB532" s="64"/>
      <c r="BC532" s="61"/>
      <c r="BD532" s="64"/>
      <c r="BE532" s="61"/>
      <c r="BF532" s="64"/>
      <c r="BG532" s="61"/>
      <c r="BH532" s="64"/>
      <c r="BI532" s="646" t="s">
        <v>298</v>
      </c>
      <c r="BJ532" s="350"/>
      <c r="BK532" s="350"/>
      <c r="BL532" s="350"/>
      <c r="BM532" s="350"/>
      <c r="BN532" s="350"/>
      <c r="BO532" s="350"/>
      <c r="BP532" s="350"/>
      <c r="BQ532" s="350"/>
      <c r="BR532" s="350"/>
      <c r="BS532" s="350"/>
      <c r="BT532" s="350"/>
      <c r="BU532" s="350"/>
      <c r="BV532" s="351"/>
    </row>
    <row r="533" spans="1:74" ht="30" customHeight="1">
      <c r="A533" s="63">
        <f t="shared" si="2"/>
        <v>519</v>
      </c>
      <c r="B533" s="56" t="s">
        <v>325</v>
      </c>
      <c r="C533" s="57"/>
      <c r="D533" s="644"/>
      <c r="E533" s="350"/>
      <c r="F533" s="350"/>
      <c r="G533" s="350"/>
      <c r="H533" s="350"/>
      <c r="I533" s="350"/>
      <c r="J533" s="350"/>
      <c r="K533" s="351"/>
      <c r="L533" s="643"/>
      <c r="M533" s="350"/>
      <c r="N533" s="350"/>
      <c r="O533" s="351"/>
      <c r="P533" s="644"/>
      <c r="Q533" s="350"/>
      <c r="R533" s="350"/>
      <c r="S533" s="351"/>
      <c r="T533" s="643"/>
      <c r="U533" s="350"/>
      <c r="V533" s="350"/>
      <c r="W533" s="351"/>
      <c r="X533" s="644"/>
      <c r="Y533" s="350"/>
      <c r="Z533" s="350"/>
      <c r="AA533" s="351"/>
      <c r="AB533" s="506"/>
      <c r="AC533" s="350"/>
      <c r="AD533" s="351"/>
      <c r="AE533" s="571"/>
      <c r="AF533" s="350"/>
      <c r="AG533" s="351"/>
      <c r="AH533" s="645"/>
      <c r="AI533" s="350"/>
      <c r="AJ533" s="351"/>
      <c r="AK533" s="567"/>
      <c r="AL533" s="350"/>
      <c r="AM533" s="351"/>
      <c r="AN533" s="58"/>
      <c r="AO533" s="59"/>
      <c r="AP533" s="58"/>
      <c r="AQ533" s="59"/>
      <c r="AR533" s="58"/>
      <c r="AS533" s="59"/>
      <c r="AT533" s="58"/>
      <c r="AU533" s="59"/>
      <c r="AV533" s="58"/>
      <c r="AW533" s="59"/>
      <c r="AX533" s="58"/>
      <c r="AY533" s="59"/>
      <c r="AZ533" s="64"/>
      <c r="BA533" s="61"/>
      <c r="BB533" s="64"/>
      <c r="BC533" s="61"/>
      <c r="BD533" s="64"/>
      <c r="BE533" s="61"/>
      <c r="BF533" s="64"/>
      <c r="BG533" s="61"/>
      <c r="BH533" s="64"/>
      <c r="BI533" s="646" t="s">
        <v>298</v>
      </c>
      <c r="BJ533" s="350"/>
      <c r="BK533" s="350"/>
      <c r="BL533" s="350"/>
      <c r="BM533" s="350"/>
      <c r="BN533" s="350"/>
      <c r="BO533" s="350"/>
      <c r="BP533" s="350"/>
      <c r="BQ533" s="350"/>
      <c r="BR533" s="350"/>
      <c r="BS533" s="350"/>
      <c r="BT533" s="350"/>
      <c r="BU533" s="350"/>
      <c r="BV533" s="351"/>
    </row>
    <row r="534" spans="1:74" ht="30" customHeight="1">
      <c r="A534" s="63">
        <f t="shared" si="2"/>
        <v>520</v>
      </c>
      <c r="B534" s="56" t="s">
        <v>325</v>
      </c>
      <c r="C534" s="57"/>
      <c r="D534" s="644"/>
      <c r="E534" s="350"/>
      <c r="F534" s="350"/>
      <c r="G534" s="350"/>
      <c r="H534" s="350"/>
      <c r="I534" s="350"/>
      <c r="J534" s="350"/>
      <c r="K534" s="351"/>
      <c r="L534" s="643"/>
      <c r="M534" s="350"/>
      <c r="N534" s="350"/>
      <c r="O534" s="351"/>
      <c r="P534" s="644"/>
      <c r="Q534" s="350"/>
      <c r="R534" s="350"/>
      <c r="S534" s="351"/>
      <c r="T534" s="643"/>
      <c r="U534" s="350"/>
      <c r="V534" s="350"/>
      <c r="W534" s="351"/>
      <c r="X534" s="644"/>
      <c r="Y534" s="350"/>
      <c r="Z534" s="350"/>
      <c r="AA534" s="351"/>
      <c r="AB534" s="506"/>
      <c r="AC534" s="350"/>
      <c r="AD534" s="351"/>
      <c r="AE534" s="571"/>
      <c r="AF534" s="350"/>
      <c r="AG534" s="351"/>
      <c r="AH534" s="645"/>
      <c r="AI534" s="350"/>
      <c r="AJ534" s="351"/>
      <c r="AK534" s="567"/>
      <c r="AL534" s="350"/>
      <c r="AM534" s="351"/>
      <c r="AN534" s="58"/>
      <c r="AO534" s="59"/>
      <c r="AP534" s="58"/>
      <c r="AQ534" s="59"/>
      <c r="AR534" s="58"/>
      <c r="AS534" s="59"/>
      <c r="AT534" s="58"/>
      <c r="AU534" s="59"/>
      <c r="AV534" s="58"/>
      <c r="AW534" s="59"/>
      <c r="AX534" s="58"/>
      <c r="AY534" s="59"/>
      <c r="AZ534" s="64"/>
      <c r="BA534" s="61"/>
      <c r="BB534" s="64"/>
      <c r="BC534" s="61"/>
      <c r="BD534" s="64"/>
      <c r="BE534" s="61"/>
      <c r="BF534" s="64"/>
      <c r="BG534" s="61"/>
      <c r="BH534" s="64"/>
      <c r="BI534" s="646" t="s">
        <v>294</v>
      </c>
      <c r="BJ534" s="350"/>
      <c r="BK534" s="350"/>
      <c r="BL534" s="350"/>
      <c r="BM534" s="350"/>
      <c r="BN534" s="350"/>
      <c r="BO534" s="350"/>
      <c r="BP534" s="350"/>
      <c r="BQ534" s="350"/>
      <c r="BR534" s="350"/>
      <c r="BS534" s="350"/>
      <c r="BT534" s="350"/>
      <c r="BU534" s="350"/>
      <c r="BV534" s="351"/>
    </row>
    <row r="535" spans="1:74" ht="15" customHeight="1">
      <c r="L535" s="643"/>
      <c r="M535" s="350"/>
      <c r="N535" s="350"/>
      <c r="O535" s="351"/>
    </row>
  </sheetData>
  <mergeCells count="5248">
    <mergeCell ref="L362:O362"/>
    <mergeCell ref="P361:S361"/>
    <mergeCell ref="T361:W361"/>
    <mergeCell ref="X361:AA361"/>
    <mergeCell ref="AB361:AD361"/>
    <mergeCell ref="AE361:AG361"/>
    <mergeCell ref="AH362:AJ362"/>
    <mergeCell ref="AK362:AM362"/>
    <mergeCell ref="BI362:BV362"/>
    <mergeCell ref="D362:K362"/>
    <mergeCell ref="L363:O363"/>
    <mergeCell ref="P362:S362"/>
    <mergeCell ref="T362:W362"/>
    <mergeCell ref="X362:AA362"/>
    <mergeCell ref="AB362:AD362"/>
    <mergeCell ref="AE362:AG362"/>
    <mergeCell ref="AH363:AJ363"/>
    <mergeCell ref="AK363:AM363"/>
    <mergeCell ref="BI363:BV363"/>
    <mergeCell ref="D363:K363"/>
    <mergeCell ref="L364:O364"/>
    <mergeCell ref="P363:S363"/>
    <mergeCell ref="T363:W363"/>
    <mergeCell ref="X363:AA363"/>
    <mergeCell ref="AB363:AD363"/>
    <mergeCell ref="AE363:AG363"/>
    <mergeCell ref="AH364:AJ364"/>
    <mergeCell ref="AK364:AM364"/>
    <mergeCell ref="BI364:BV364"/>
    <mergeCell ref="D364:K364"/>
    <mergeCell ref="L365:O365"/>
    <mergeCell ref="P364:S364"/>
    <mergeCell ref="T364:W364"/>
    <mergeCell ref="X364:AA364"/>
    <mergeCell ref="AB364:AD364"/>
    <mergeCell ref="AE364:AG364"/>
    <mergeCell ref="AH365:AJ365"/>
    <mergeCell ref="AK365:AM365"/>
    <mergeCell ref="BI365:BV365"/>
    <mergeCell ref="D365:K365"/>
    <mergeCell ref="L366:O366"/>
    <mergeCell ref="P365:S365"/>
    <mergeCell ref="T365:W365"/>
    <mergeCell ref="X365:AA365"/>
    <mergeCell ref="AB365:AD365"/>
    <mergeCell ref="AE365:AG365"/>
    <mergeCell ref="AH366:AJ366"/>
    <mergeCell ref="AK366:AM366"/>
    <mergeCell ref="BI366:BV366"/>
    <mergeCell ref="D366:K366"/>
    <mergeCell ref="L367:O367"/>
    <mergeCell ref="P366:S366"/>
    <mergeCell ref="T366:W366"/>
    <mergeCell ref="X366:AA366"/>
    <mergeCell ref="AB366:AD366"/>
    <mergeCell ref="AE366:AG366"/>
    <mergeCell ref="AH367:AJ367"/>
    <mergeCell ref="AK367:AM367"/>
    <mergeCell ref="BI367:BV367"/>
    <mergeCell ref="D367:K367"/>
    <mergeCell ref="L368:O368"/>
    <mergeCell ref="P367:S367"/>
    <mergeCell ref="T367:W367"/>
    <mergeCell ref="X367:AA367"/>
    <mergeCell ref="AB367:AD367"/>
    <mergeCell ref="AE367:AG367"/>
    <mergeCell ref="AH368:AJ368"/>
    <mergeCell ref="AK368:AM368"/>
    <mergeCell ref="BI368:BV368"/>
    <mergeCell ref="D368:K368"/>
    <mergeCell ref="L369:O369"/>
    <mergeCell ref="P368:S368"/>
    <mergeCell ref="T368:W368"/>
    <mergeCell ref="X368:AA368"/>
    <mergeCell ref="AB368:AD368"/>
    <mergeCell ref="AE368:AG368"/>
    <mergeCell ref="AH369:AJ369"/>
    <mergeCell ref="AK369:AM369"/>
    <mergeCell ref="BI369:BV369"/>
    <mergeCell ref="D369:K369"/>
    <mergeCell ref="L370:O370"/>
    <mergeCell ref="P369:S369"/>
    <mergeCell ref="T369:W369"/>
    <mergeCell ref="X369:AA369"/>
    <mergeCell ref="AB369:AD369"/>
    <mergeCell ref="AE369:AG369"/>
    <mergeCell ref="AH370:AJ370"/>
    <mergeCell ref="AK370:AM370"/>
    <mergeCell ref="BI370:BV370"/>
    <mergeCell ref="D370:K370"/>
    <mergeCell ref="L371:O371"/>
    <mergeCell ref="P370:S370"/>
    <mergeCell ref="T370:W370"/>
    <mergeCell ref="X370:AA370"/>
    <mergeCell ref="AB370:AD370"/>
    <mergeCell ref="AE370:AG370"/>
    <mergeCell ref="AH371:AJ371"/>
    <mergeCell ref="AK371:AM371"/>
    <mergeCell ref="BI371:BV371"/>
    <mergeCell ref="D371:K371"/>
    <mergeCell ref="L372:O372"/>
    <mergeCell ref="P371:S371"/>
    <mergeCell ref="T371:W371"/>
    <mergeCell ref="X371:AA371"/>
    <mergeCell ref="AB371:AD371"/>
    <mergeCell ref="AE371:AG371"/>
    <mergeCell ref="AH372:AJ372"/>
    <mergeCell ref="AK372:AM372"/>
    <mergeCell ref="BI372:BV372"/>
    <mergeCell ref="D372:K372"/>
    <mergeCell ref="L373:O373"/>
    <mergeCell ref="P372:S372"/>
    <mergeCell ref="T372:W372"/>
    <mergeCell ref="X372:AA372"/>
    <mergeCell ref="AB372:AD372"/>
    <mergeCell ref="AE372:AG372"/>
    <mergeCell ref="AH373:AJ373"/>
    <mergeCell ref="AK373:AM373"/>
    <mergeCell ref="BI373:BV373"/>
    <mergeCell ref="D373:K373"/>
    <mergeCell ref="L374:O374"/>
    <mergeCell ref="P373:S373"/>
    <mergeCell ref="T373:W373"/>
    <mergeCell ref="X373:AA373"/>
    <mergeCell ref="AB373:AD373"/>
    <mergeCell ref="AE373:AG373"/>
    <mergeCell ref="AH374:AJ374"/>
    <mergeCell ref="AK374:AM374"/>
    <mergeCell ref="BI374:BV374"/>
    <mergeCell ref="D374:K374"/>
    <mergeCell ref="L375:O375"/>
    <mergeCell ref="P374:S374"/>
    <mergeCell ref="T374:W374"/>
    <mergeCell ref="X374:AA374"/>
    <mergeCell ref="AB374:AD374"/>
    <mergeCell ref="AE374:AG374"/>
    <mergeCell ref="AH375:AJ375"/>
    <mergeCell ref="AK375:AM375"/>
    <mergeCell ref="BI375:BV375"/>
    <mergeCell ref="D375:K375"/>
    <mergeCell ref="L376:O376"/>
    <mergeCell ref="P375:S375"/>
    <mergeCell ref="T375:W375"/>
    <mergeCell ref="X375:AA375"/>
    <mergeCell ref="AB375:AD375"/>
    <mergeCell ref="AE375:AG375"/>
    <mergeCell ref="AH376:AJ376"/>
    <mergeCell ref="AK376:AM376"/>
    <mergeCell ref="BI376:BV376"/>
    <mergeCell ref="D376:K376"/>
    <mergeCell ref="L377:O377"/>
    <mergeCell ref="P376:S376"/>
    <mergeCell ref="T376:W376"/>
    <mergeCell ref="X376:AA376"/>
    <mergeCell ref="AB376:AD376"/>
    <mergeCell ref="AE376:AG376"/>
    <mergeCell ref="AH377:AJ377"/>
    <mergeCell ref="AK377:AM377"/>
    <mergeCell ref="BI377:BV377"/>
    <mergeCell ref="D377:K377"/>
    <mergeCell ref="L378:O378"/>
    <mergeCell ref="P377:S377"/>
    <mergeCell ref="T377:W377"/>
    <mergeCell ref="X377:AA377"/>
    <mergeCell ref="AB377:AD377"/>
    <mergeCell ref="AE377:AG377"/>
    <mergeCell ref="AH378:AJ378"/>
    <mergeCell ref="AK378:AM378"/>
    <mergeCell ref="BI378:BV378"/>
    <mergeCell ref="D378:K378"/>
    <mergeCell ref="L379:O379"/>
    <mergeCell ref="P378:S378"/>
    <mergeCell ref="T378:W378"/>
    <mergeCell ref="X378:AA378"/>
    <mergeCell ref="AB378:AD378"/>
    <mergeCell ref="AE378:AG378"/>
    <mergeCell ref="AH379:AJ379"/>
    <mergeCell ref="AK379:AM379"/>
    <mergeCell ref="BI379:BV379"/>
    <mergeCell ref="D379:K379"/>
    <mergeCell ref="L380:O380"/>
    <mergeCell ref="P379:S379"/>
    <mergeCell ref="T379:W379"/>
    <mergeCell ref="X379:AA379"/>
    <mergeCell ref="AB379:AD379"/>
    <mergeCell ref="AE379:AG379"/>
    <mergeCell ref="AH380:AJ380"/>
    <mergeCell ref="AK380:AM380"/>
    <mergeCell ref="BI380:BV380"/>
    <mergeCell ref="D380:K380"/>
    <mergeCell ref="L381:O381"/>
    <mergeCell ref="P380:S380"/>
    <mergeCell ref="T380:W380"/>
    <mergeCell ref="X380:AA380"/>
    <mergeCell ref="AB380:AD380"/>
    <mergeCell ref="AE380:AG380"/>
    <mergeCell ref="AH381:AJ381"/>
    <mergeCell ref="AK381:AM381"/>
    <mergeCell ref="BI381:BV381"/>
    <mergeCell ref="D381:K381"/>
    <mergeCell ref="L382:O382"/>
    <mergeCell ref="P381:S381"/>
    <mergeCell ref="T381:W381"/>
    <mergeCell ref="X381:AA381"/>
    <mergeCell ref="AB381:AD381"/>
    <mergeCell ref="AE381:AG381"/>
    <mergeCell ref="AH382:AJ382"/>
    <mergeCell ref="AK382:AM382"/>
    <mergeCell ref="BI382:BV382"/>
    <mergeCell ref="D382:K382"/>
    <mergeCell ref="L383:O383"/>
    <mergeCell ref="P382:S382"/>
    <mergeCell ref="T382:W382"/>
    <mergeCell ref="X382:AA382"/>
    <mergeCell ref="AB382:AD382"/>
    <mergeCell ref="AE382:AG382"/>
    <mergeCell ref="AH383:AJ383"/>
    <mergeCell ref="AK383:AM383"/>
    <mergeCell ref="BI383:BV383"/>
    <mergeCell ref="D383:K383"/>
    <mergeCell ref="L384:O384"/>
    <mergeCell ref="P383:S383"/>
    <mergeCell ref="T383:W383"/>
    <mergeCell ref="X383:AA383"/>
    <mergeCell ref="AB383:AD383"/>
    <mergeCell ref="AE383:AG383"/>
    <mergeCell ref="AH384:AJ384"/>
    <mergeCell ref="AK384:AM384"/>
    <mergeCell ref="BI384:BV384"/>
    <mergeCell ref="D384:K384"/>
    <mergeCell ref="L385:O385"/>
    <mergeCell ref="P384:S384"/>
    <mergeCell ref="T384:W384"/>
    <mergeCell ref="X384:AA384"/>
    <mergeCell ref="AB384:AD384"/>
    <mergeCell ref="AE384:AG384"/>
    <mergeCell ref="AH385:AJ385"/>
    <mergeCell ref="AK385:AM385"/>
    <mergeCell ref="BI385:BV385"/>
    <mergeCell ref="D385:K385"/>
    <mergeCell ref="L386:O386"/>
    <mergeCell ref="P385:S385"/>
    <mergeCell ref="T385:W385"/>
    <mergeCell ref="X385:AA385"/>
    <mergeCell ref="AB385:AD385"/>
    <mergeCell ref="AE385:AG385"/>
    <mergeCell ref="AH386:AJ386"/>
    <mergeCell ref="AK386:AM386"/>
    <mergeCell ref="BI386:BV386"/>
    <mergeCell ref="D386:K386"/>
    <mergeCell ref="L387:O387"/>
    <mergeCell ref="P386:S386"/>
    <mergeCell ref="T386:W386"/>
    <mergeCell ref="X386:AA386"/>
    <mergeCell ref="AB386:AD386"/>
    <mergeCell ref="AE386:AG386"/>
    <mergeCell ref="AH387:AJ387"/>
    <mergeCell ref="AK387:AM387"/>
    <mergeCell ref="BI387:BV387"/>
    <mergeCell ref="D387:K387"/>
    <mergeCell ref="L388:O388"/>
    <mergeCell ref="P387:S387"/>
    <mergeCell ref="T387:W387"/>
    <mergeCell ref="X387:AA387"/>
    <mergeCell ref="AB387:AD387"/>
    <mergeCell ref="AE387:AG387"/>
    <mergeCell ref="AH388:AJ388"/>
    <mergeCell ref="AK388:AM388"/>
    <mergeCell ref="BI388:BV388"/>
    <mergeCell ref="D388:K388"/>
    <mergeCell ref="L389:O389"/>
    <mergeCell ref="P388:S388"/>
    <mergeCell ref="T388:W388"/>
    <mergeCell ref="X388:AA388"/>
    <mergeCell ref="AB388:AD388"/>
    <mergeCell ref="AE388:AG388"/>
    <mergeCell ref="AH389:AJ389"/>
    <mergeCell ref="AK389:AM389"/>
    <mergeCell ref="BI389:BV389"/>
    <mergeCell ref="D389:K389"/>
    <mergeCell ref="L390:O390"/>
    <mergeCell ref="P389:S389"/>
    <mergeCell ref="T389:W389"/>
    <mergeCell ref="X389:AA389"/>
    <mergeCell ref="AB389:AD389"/>
    <mergeCell ref="AE389:AG389"/>
    <mergeCell ref="AH390:AJ390"/>
    <mergeCell ref="AK390:AM390"/>
    <mergeCell ref="BI390:BV390"/>
    <mergeCell ref="D390:K390"/>
    <mergeCell ref="L391:O391"/>
    <mergeCell ref="P390:S390"/>
    <mergeCell ref="T390:W390"/>
    <mergeCell ref="X390:AA390"/>
    <mergeCell ref="AB390:AD390"/>
    <mergeCell ref="AE390:AG390"/>
    <mergeCell ref="AH391:AJ391"/>
    <mergeCell ref="AK391:AM391"/>
    <mergeCell ref="BI391:BV391"/>
    <mergeCell ref="D391:K391"/>
    <mergeCell ref="L392:O392"/>
    <mergeCell ref="P391:S391"/>
    <mergeCell ref="T391:W391"/>
    <mergeCell ref="X391:AA391"/>
    <mergeCell ref="AB391:AD391"/>
    <mergeCell ref="AE391:AG391"/>
    <mergeCell ref="AH392:AJ392"/>
    <mergeCell ref="AK392:AM392"/>
    <mergeCell ref="BI392:BV392"/>
    <mergeCell ref="D392:K392"/>
    <mergeCell ref="L393:O393"/>
    <mergeCell ref="P392:S392"/>
    <mergeCell ref="T392:W392"/>
    <mergeCell ref="X392:AA392"/>
    <mergeCell ref="AB392:AD392"/>
    <mergeCell ref="AE392:AG392"/>
    <mergeCell ref="AH393:AJ393"/>
    <mergeCell ref="AK393:AM393"/>
    <mergeCell ref="BI393:BV393"/>
    <mergeCell ref="D393:K393"/>
    <mergeCell ref="L394:O394"/>
    <mergeCell ref="P393:S393"/>
    <mergeCell ref="T393:W393"/>
    <mergeCell ref="X393:AA393"/>
    <mergeCell ref="AB393:AD393"/>
    <mergeCell ref="AE393:AG393"/>
    <mergeCell ref="AH394:AJ394"/>
    <mergeCell ref="AK394:AM394"/>
    <mergeCell ref="BI394:BV394"/>
    <mergeCell ref="D394:K394"/>
    <mergeCell ref="L395:O395"/>
    <mergeCell ref="P394:S394"/>
    <mergeCell ref="T394:W394"/>
    <mergeCell ref="X394:AA394"/>
    <mergeCell ref="AB394:AD394"/>
    <mergeCell ref="AE394:AG394"/>
    <mergeCell ref="AH395:AJ395"/>
    <mergeCell ref="AK395:AM395"/>
    <mergeCell ref="BI395:BV395"/>
    <mergeCell ref="D395:K395"/>
    <mergeCell ref="L396:O396"/>
    <mergeCell ref="P395:S395"/>
    <mergeCell ref="T395:W395"/>
    <mergeCell ref="X395:AA395"/>
    <mergeCell ref="AB395:AD395"/>
    <mergeCell ref="AE395:AG395"/>
    <mergeCell ref="AH396:AJ396"/>
    <mergeCell ref="AK396:AM396"/>
    <mergeCell ref="BI396:BV396"/>
    <mergeCell ref="D396:K396"/>
    <mergeCell ref="L397:O397"/>
    <mergeCell ref="P396:S396"/>
    <mergeCell ref="T396:W396"/>
    <mergeCell ref="X396:AA396"/>
    <mergeCell ref="AB396:AD396"/>
    <mergeCell ref="AE396:AG396"/>
    <mergeCell ref="AH397:AJ397"/>
    <mergeCell ref="AK397:AM397"/>
    <mergeCell ref="BI397:BV397"/>
    <mergeCell ref="D397:K397"/>
    <mergeCell ref="L398:O398"/>
    <mergeCell ref="P397:S397"/>
    <mergeCell ref="T397:W397"/>
    <mergeCell ref="X397:AA397"/>
    <mergeCell ref="AB397:AD397"/>
    <mergeCell ref="AE397:AG397"/>
    <mergeCell ref="AH398:AJ398"/>
    <mergeCell ref="AK398:AM398"/>
    <mergeCell ref="BI398:BV398"/>
    <mergeCell ref="D398:K398"/>
    <mergeCell ref="L399:O399"/>
    <mergeCell ref="P398:S398"/>
    <mergeCell ref="T398:W398"/>
    <mergeCell ref="X398:AA398"/>
    <mergeCell ref="AB398:AD398"/>
    <mergeCell ref="AE398:AG398"/>
    <mergeCell ref="AH399:AJ399"/>
    <mergeCell ref="AK399:AM399"/>
    <mergeCell ref="BI399:BV399"/>
    <mergeCell ref="D399:K399"/>
    <mergeCell ref="L400:O400"/>
    <mergeCell ref="P399:S399"/>
    <mergeCell ref="T399:W399"/>
    <mergeCell ref="X399:AA399"/>
    <mergeCell ref="AB399:AD399"/>
    <mergeCell ref="AE399:AG399"/>
    <mergeCell ref="AH400:AJ400"/>
    <mergeCell ref="AK400:AM400"/>
    <mergeCell ref="BI400:BV400"/>
    <mergeCell ref="D400:K400"/>
    <mergeCell ref="L401:O401"/>
    <mergeCell ref="P400:S400"/>
    <mergeCell ref="T400:W400"/>
    <mergeCell ref="X400:AA400"/>
    <mergeCell ref="AB400:AD400"/>
    <mergeCell ref="AE400:AG400"/>
    <mergeCell ref="AH401:AJ401"/>
    <mergeCell ref="AK401:AM401"/>
    <mergeCell ref="BI401:BV401"/>
    <mergeCell ref="D401:K401"/>
    <mergeCell ref="L402:O402"/>
    <mergeCell ref="P401:S401"/>
    <mergeCell ref="T401:W401"/>
    <mergeCell ref="X401:AA401"/>
    <mergeCell ref="AB401:AD401"/>
    <mergeCell ref="AE401:AG401"/>
    <mergeCell ref="AH402:AJ402"/>
    <mergeCell ref="AK402:AM402"/>
    <mergeCell ref="BI402:BV402"/>
    <mergeCell ref="D402:K402"/>
    <mergeCell ref="L403:O403"/>
    <mergeCell ref="P402:S402"/>
    <mergeCell ref="T402:W402"/>
    <mergeCell ref="X402:AA402"/>
    <mergeCell ref="AB402:AD402"/>
    <mergeCell ref="AE402:AG402"/>
    <mergeCell ref="AH403:AJ403"/>
    <mergeCell ref="AK403:AM403"/>
    <mergeCell ref="BI403:BV403"/>
    <mergeCell ref="D403:K403"/>
    <mergeCell ref="L404:O404"/>
    <mergeCell ref="P403:S403"/>
    <mergeCell ref="T403:W403"/>
    <mergeCell ref="X403:AA403"/>
    <mergeCell ref="AB403:AD403"/>
    <mergeCell ref="AE403:AG403"/>
    <mergeCell ref="AH404:AJ404"/>
    <mergeCell ref="AK404:AM404"/>
    <mergeCell ref="BI404:BV404"/>
    <mergeCell ref="D404:K404"/>
    <mergeCell ref="L405:O405"/>
    <mergeCell ref="P404:S404"/>
    <mergeCell ref="T404:W404"/>
    <mergeCell ref="X404:AA404"/>
    <mergeCell ref="AB404:AD404"/>
    <mergeCell ref="AE404:AG404"/>
    <mergeCell ref="AH405:AJ405"/>
    <mergeCell ref="AK405:AM405"/>
    <mergeCell ref="BI405:BV405"/>
    <mergeCell ref="D405:K405"/>
    <mergeCell ref="L406:O406"/>
    <mergeCell ref="P405:S405"/>
    <mergeCell ref="T405:W405"/>
    <mergeCell ref="X405:AA405"/>
    <mergeCell ref="AB405:AD405"/>
    <mergeCell ref="AE405:AG405"/>
    <mergeCell ref="AH406:AJ406"/>
    <mergeCell ref="AK406:AM406"/>
    <mergeCell ref="BI406:BV406"/>
    <mergeCell ref="D406:K406"/>
    <mergeCell ref="L407:O407"/>
    <mergeCell ref="P406:S406"/>
    <mergeCell ref="T406:W406"/>
    <mergeCell ref="X406:AA406"/>
    <mergeCell ref="AB406:AD406"/>
    <mergeCell ref="AE406:AG406"/>
    <mergeCell ref="AH407:AJ407"/>
    <mergeCell ref="AK407:AM407"/>
    <mergeCell ref="BI407:BV407"/>
    <mergeCell ref="D407:K407"/>
    <mergeCell ref="L408:O408"/>
    <mergeCell ref="P407:S407"/>
    <mergeCell ref="T407:W407"/>
    <mergeCell ref="X407:AA407"/>
    <mergeCell ref="AB407:AD407"/>
    <mergeCell ref="AE407:AG407"/>
    <mergeCell ref="AH408:AJ408"/>
    <mergeCell ref="AK408:AM408"/>
    <mergeCell ref="BI408:BV408"/>
    <mergeCell ref="D408:K408"/>
    <mergeCell ref="L409:O409"/>
    <mergeCell ref="P408:S408"/>
    <mergeCell ref="T408:W408"/>
    <mergeCell ref="X408:AA408"/>
    <mergeCell ref="AB408:AD408"/>
    <mergeCell ref="AE408:AG408"/>
    <mergeCell ref="AH409:AJ409"/>
    <mergeCell ref="AK409:AM409"/>
    <mergeCell ref="BI409:BV409"/>
    <mergeCell ref="D409:K409"/>
    <mergeCell ref="L410:O410"/>
    <mergeCell ref="P409:S409"/>
    <mergeCell ref="T409:W409"/>
    <mergeCell ref="X409:AA409"/>
    <mergeCell ref="AB409:AD409"/>
    <mergeCell ref="AE409:AG409"/>
    <mergeCell ref="AH410:AJ410"/>
    <mergeCell ref="AK410:AM410"/>
    <mergeCell ref="BI410:BV410"/>
    <mergeCell ref="D410:K410"/>
    <mergeCell ref="L411:O411"/>
    <mergeCell ref="P410:S410"/>
    <mergeCell ref="T410:W410"/>
    <mergeCell ref="X410:AA410"/>
    <mergeCell ref="AB410:AD410"/>
    <mergeCell ref="AE410:AG410"/>
    <mergeCell ref="AH411:AJ411"/>
    <mergeCell ref="AK411:AM411"/>
    <mergeCell ref="BI411:BV411"/>
    <mergeCell ref="D411:K411"/>
    <mergeCell ref="L412:O412"/>
    <mergeCell ref="P411:S411"/>
    <mergeCell ref="T411:W411"/>
    <mergeCell ref="X411:AA411"/>
    <mergeCell ref="AB411:AD411"/>
    <mergeCell ref="AE411:AG411"/>
    <mergeCell ref="AH412:AJ412"/>
    <mergeCell ref="AK412:AM412"/>
    <mergeCell ref="BI412:BV412"/>
    <mergeCell ref="D412:K412"/>
    <mergeCell ref="L413:O413"/>
    <mergeCell ref="P412:S412"/>
    <mergeCell ref="T412:W412"/>
    <mergeCell ref="X412:AA412"/>
    <mergeCell ref="AB412:AD412"/>
    <mergeCell ref="AE412:AG412"/>
    <mergeCell ref="AH413:AJ413"/>
    <mergeCell ref="AK413:AM413"/>
    <mergeCell ref="BI413:BV413"/>
    <mergeCell ref="D413:K413"/>
    <mergeCell ref="L414:O414"/>
    <mergeCell ref="P413:S413"/>
    <mergeCell ref="T413:W413"/>
    <mergeCell ref="X413:AA413"/>
    <mergeCell ref="AB413:AD413"/>
    <mergeCell ref="AE413:AG413"/>
    <mergeCell ref="AH414:AJ414"/>
    <mergeCell ref="AK414:AM414"/>
    <mergeCell ref="BI414:BV414"/>
    <mergeCell ref="D414:K414"/>
    <mergeCell ref="L415:O415"/>
    <mergeCell ref="P414:S414"/>
    <mergeCell ref="T414:W414"/>
    <mergeCell ref="X414:AA414"/>
    <mergeCell ref="AB414:AD414"/>
    <mergeCell ref="AE414:AG414"/>
    <mergeCell ref="AH415:AJ415"/>
    <mergeCell ref="AK415:AM415"/>
    <mergeCell ref="BI415:BV415"/>
    <mergeCell ref="D415:K415"/>
    <mergeCell ref="L416:O416"/>
    <mergeCell ref="P415:S415"/>
    <mergeCell ref="T415:W415"/>
    <mergeCell ref="X415:AA415"/>
    <mergeCell ref="AB415:AD415"/>
    <mergeCell ref="AE415:AG415"/>
    <mergeCell ref="AH416:AJ416"/>
    <mergeCell ref="AK416:AM416"/>
    <mergeCell ref="BI416:BV416"/>
    <mergeCell ref="D416:K416"/>
    <mergeCell ref="L417:O417"/>
    <mergeCell ref="P416:S416"/>
    <mergeCell ref="T416:W416"/>
    <mergeCell ref="X416:AA416"/>
    <mergeCell ref="AB416:AD416"/>
    <mergeCell ref="AE416:AG416"/>
    <mergeCell ref="AH417:AJ417"/>
    <mergeCell ref="AK417:AM417"/>
    <mergeCell ref="BI417:BV417"/>
    <mergeCell ref="D417:K417"/>
    <mergeCell ref="L418:O418"/>
    <mergeCell ref="P417:S417"/>
    <mergeCell ref="T417:W417"/>
    <mergeCell ref="X417:AA417"/>
    <mergeCell ref="AB417:AD417"/>
    <mergeCell ref="AE417:AG417"/>
    <mergeCell ref="AH418:AJ418"/>
    <mergeCell ref="AK418:AM418"/>
    <mergeCell ref="BI418:BV418"/>
    <mergeCell ref="D418:K418"/>
    <mergeCell ref="L419:O419"/>
    <mergeCell ref="P418:S418"/>
    <mergeCell ref="T418:W418"/>
    <mergeCell ref="X418:AA418"/>
    <mergeCell ref="AB418:AD418"/>
    <mergeCell ref="AE418:AG418"/>
    <mergeCell ref="AH419:AJ419"/>
    <mergeCell ref="AK419:AM419"/>
    <mergeCell ref="BI419:BV419"/>
    <mergeCell ref="D419:K419"/>
    <mergeCell ref="L420:O420"/>
    <mergeCell ref="P419:S419"/>
    <mergeCell ref="T419:W419"/>
    <mergeCell ref="X419:AA419"/>
    <mergeCell ref="AB419:AD419"/>
    <mergeCell ref="AE419:AG419"/>
    <mergeCell ref="AH420:AJ420"/>
    <mergeCell ref="AK420:AM420"/>
    <mergeCell ref="BI420:BV420"/>
    <mergeCell ref="D420:K420"/>
    <mergeCell ref="L421:O421"/>
    <mergeCell ref="P420:S420"/>
    <mergeCell ref="T420:W420"/>
    <mergeCell ref="X420:AA420"/>
    <mergeCell ref="AB420:AD420"/>
    <mergeCell ref="AE420:AG420"/>
    <mergeCell ref="AH421:AJ421"/>
    <mergeCell ref="AK421:AM421"/>
    <mergeCell ref="BI421:BV421"/>
    <mergeCell ref="D421:K421"/>
    <mergeCell ref="L422:O422"/>
    <mergeCell ref="P421:S421"/>
    <mergeCell ref="T421:W421"/>
    <mergeCell ref="X421:AA421"/>
    <mergeCell ref="AB421:AD421"/>
    <mergeCell ref="AE421:AG421"/>
    <mergeCell ref="AH422:AJ422"/>
    <mergeCell ref="AK422:AM422"/>
    <mergeCell ref="BI422:BV422"/>
    <mergeCell ref="D422:K422"/>
    <mergeCell ref="L423:O423"/>
    <mergeCell ref="P422:S422"/>
    <mergeCell ref="T422:W422"/>
    <mergeCell ref="X422:AA422"/>
    <mergeCell ref="AB422:AD422"/>
    <mergeCell ref="AE422:AG422"/>
    <mergeCell ref="AH423:AJ423"/>
    <mergeCell ref="AK423:AM423"/>
    <mergeCell ref="BI423:BV423"/>
    <mergeCell ref="D423:K423"/>
    <mergeCell ref="L424:O424"/>
    <mergeCell ref="P423:S423"/>
    <mergeCell ref="T423:W423"/>
    <mergeCell ref="X423:AA423"/>
    <mergeCell ref="AB423:AD423"/>
    <mergeCell ref="AE423:AG423"/>
    <mergeCell ref="AH424:AJ424"/>
    <mergeCell ref="AK424:AM424"/>
    <mergeCell ref="BI424:BV424"/>
    <mergeCell ref="D424:K424"/>
    <mergeCell ref="L425:O425"/>
    <mergeCell ref="P424:S424"/>
    <mergeCell ref="T424:W424"/>
    <mergeCell ref="X424:AA424"/>
    <mergeCell ref="AB424:AD424"/>
    <mergeCell ref="AE424:AG424"/>
    <mergeCell ref="AH425:AJ425"/>
    <mergeCell ref="AK425:AM425"/>
    <mergeCell ref="BI425:BV425"/>
    <mergeCell ref="D425:K425"/>
    <mergeCell ref="L426:O426"/>
    <mergeCell ref="P425:S425"/>
    <mergeCell ref="T425:W425"/>
    <mergeCell ref="X425:AA425"/>
    <mergeCell ref="AB425:AD425"/>
    <mergeCell ref="AE425:AG425"/>
    <mergeCell ref="AH426:AJ426"/>
    <mergeCell ref="AK426:AM426"/>
    <mergeCell ref="BI426:BV426"/>
    <mergeCell ref="D426:K426"/>
    <mergeCell ref="L427:O427"/>
    <mergeCell ref="P426:S426"/>
    <mergeCell ref="T426:W426"/>
    <mergeCell ref="X426:AA426"/>
    <mergeCell ref="AB426:AD426"/>
    <mergeCell ref="AE426:AG426"/>
    <mergeCell ref="AH427:AJ427"/>
    <mergeCell ref="AK427:AM427"/>
    <mergeCell ref="BI427:BV427"/>
    <mergeCell ref="D427:K427"/>
    <mergeCell ref="L428:O428"/>
    <mergeCell ref="P427:S427"/>
    <mergeCell ref="T427:W427"/>
    <mergeCell ref="X427:AA427"/>
    <mergeCell ref="AB427:AD427"/>
    <mergeCell ref="AE427:AG427"/>
    <mergeCell ref="AH428:AJ428"/>
    <mergeCell ref="AK428:AM428"/>
    <mergeCell ref="BI428:BV428"/>
    <mergeCell ref="D428:K428"/>
    <mergeCell ref="L429:O429"/>
    <mergeCell ref="P428:S428"/>
    <mergeCell ref="T428:W428"/>
    <mergeCell ref="X428:AA428"/>
    <mergeCell ref="AB428:AD428"/>
    <mergeCell ref="AE428:AG428"/>
    <mergeCell ref="AH429:AJ429"/>
    <mergeCell ref="AK429:AM429"/>
    <mergeCell ref="BI429:BV429"/>
    <mergeCell ref="D429:K429"/>
    <mergeCell ref="L430:O430"/>
    <mergeCell ref="P429:S429"/>
    <mergeCell ref="T429:W429"/>
    <mergeCell ref="X429:AA429"/>
    <mergeCell ref="AB429:AD429"/>
    <mergeCell ref="AE429:AG429"/>
    <mergeCell ref="AH430:AJ430"/>
    <mergeCell ref="AK430:AM430"/>
    <mergeCell ref="BI430:BV430"/>
    <mergeCell ref="D430:K430"/>
    <mergeCell ref="L431:O431"/>
    <mergeCell ref="P430:S430"/>
    <mergeCell ref="T430:W430"/>
    <mergeCell ref="X430:AA430"/>
    <mergeCell ref="AB430:AD430"/>
    <mergeCell ref="AE430:AG430"/>
    <mergeCell ref="AH431:AJ431"/>
    <mergeCell ref="AK431:AM431"/>
    <mergeCell ref="BI431:BV431"/>
    <mergeCell ref="D431:K431"/>
    <mergeCell ref="L432:O432"/>
    <mergeCell ref="P431:S431"/>
    <mergeCell ref="T431:W431"/>
    <mergeCell ref="X431:AA431"/>
    <mergeCell ref="AB431:AD431"/>
    <mergeCell ref="AE431:AG431"/>
    <mergeCell ref="AH432:AJ432"/>
    <mergeCell ref="AK432:AM432"/>
    <mergeCell ref="BI432:BV432"/>
    <mergeCell ref="D432:K432"/>
    <mergeCell ref="L433:O433"/>
    <mergeCell ref="P432:S432"/>
    <mergeCell ref="T432:W432"/>
    <mergeCell ref="X432:AA432"/>
    <mergeCell ref="AB432:AD432"/>
    <mergeCell ref="AE432:AG432"/>
    <mergeCell ref="AH433:AJ433"/>
    <mergeCell ref="AK433:AM433"/>
    <mergeCell ref="BI433:BV433"/>
    <mergeCell ref="D433:K433"/>
    <mergeCell ref="L434:O434"/>
    <mergeCell ref="P433:S433"/>
    <mergeCell ref="T433:W433"/>
    <mergeCell ref="X433:AA433"/>
    <mergeCell ref="AB433:AD433"/>
    <mergeCell ref="AE433:AG433"/>
    <mergeCell ref="AH434:AJ434"/>
    <mergeCell ref="AK434:AM434"/>
    <mergeCell ref="BI434:BV434"/>
    <mergeCell ref="D434:K434"/>
    <mergeCell ref="L435:O435"/>
    <mergeCell ref="P434:S434"/>
    <mergeCell ref="T434:W434"/>
    <mergeCell ref="X434:AA434"/>
    <mergeCell ref="AB434:AD434"/>
    <mergeCell ref="AE434:AG434"/>
    <mergeCell ref="AH435:AJ435"/>
    <mergeCell ref="AK435:AM435"/>
    <mergeCell ref="BI435:BV435"/>
    <mergeCell ref="D435:K435"/>
    <mergeCell ref="L436:O436"/>
    <mergeCell ref="P435:S435"/>
    <mergeCell ref="T435:W435"/>
    <mergeCell ref="X435:AA435"/>
    <mergeCell ref="AB435:AD435"/>
    <mergeCell ref="AE435:AG435"/>
    <mergeCell ref="AH436:AJ436"/>
    <mergeCell ref="AK436:AM436"/>
    <mergeCell ref="BI436:BV436"/>
    <mergeCell ref="D436:K436"/>
    <mergeCell ref="L437:O437"/>
    <mergeCell ref="P436:S436"/>
    <mergeCell ref="T436:W436"/>
    <mergeCell ref="X436:AA436"/>
    <mergeCell ref="AB436:AD436"/>
    <mergeCell ref="AE436:AG436"/>
    <mergeCell ref="AH437:AJ437"/>
    <mergeCell ref="AK437:AM437"/>
    <mergeCell ref="BI437:BV437"/>
    <mergeCell ref="D437:K437"/>
    <mergeCell ref="L438:O438"/>
    <mergeCell ref="P437:S437"/>
    <mergeCell ref="T437:W437"/>
    <mergeCell ref="X437:AA437"/>
    <mergeCell ref="AB437:AD437"/>
    <mergeCell ref="AE437:AG437"/>
    <mergeCell ref="AH438:AJ438"/>
    <mergeCell ref="AK438:AM438"/>
    <mergeCell ref="BI438:BV438"/>
    <mergeCell ref="D438:K438"/>
    <mergeCell ref="L439:O439"/>
    <mergeCell ref="P438:S438"/>
    <mergeCell ref="T438:W438"/>
    <mergeCell ref="X438:AA438"/>
    <mergeCell ref="AB438:AD438"/>
    <mergeCell ref="AE438:AG438"/>
    <mergeCell ref="AH439:AJ439"/>
    <mergeCell ref="AK439:AM439"/>
    <mergeCell ref="BI439:BV439"/>
    <mergeCell ref="D439:K439"/>
    <mergeCell ref="L440:O440"/>
    <mergeCell ref="P439:S439"/>
    <mergeCell ref="T439:W439"/>
    <mergeCell ref="X439:AA439"/>
    <mergeCell ref="AB439:AD439"/>
    <mergeCell ref="AE439:AG439"/>
    <mergeCell ref="AH440:AJ440"/>
    <mergeCell ref="AK440:AM440"/>
    <mergeCell ref="BI440:BV440"/>
    <mergeCell ref="D440:K440"/>
    <mergeCell ref="L441:O441"/>
    <mergeCell ref="P440:S440"/>
    <mergeCell ref="T440:W440"/>
    <mergeCell ref="X440:AA440"/>
    <mergeCell ref="AB440:AD440"/>
    <mergeCell ref="AE440:AG440"/>
    <mergeCell ref="AH441:AJ441"/>
    <mergeCell ref="AK441:AM441"/>
    <mergeCell ref="BI441:BV441"/>
    <mergeCell ref="D441:K441"/>
    <mergeCell ref="L442:O442"/>
    <mergeCell ref="P441:S441"/>
    <mergeCell ref="T441:W441"/>
    <mergeCell ref="X441:AA441"/>
    <mergeCell ref="AB441:AD441"/>
    <mergeCell ref="AE441:AG441"/>
    <mergeCell ref="AH442:AJ442"/>
    <mergeCell ref="AK442:AM442"/>
    <mergeCell ref="BI442:BV442"/>
    <mergeCell ref="D442:K442"/>
    <mergeCell ref="L443:O443"/>
    <mergeCell ref="P442:S442"/>
    <mergeCell ref="T442:W442"/>
    <mergeCell ref="X442:AA442"/>
    <mergeCell ref="AB442:AD442"/>
    <mergeCell ref="AE442:AG442"/>
    <mergeCell ref="AH443:AJ443"/>
    <mergeCell ref="AK443:AM443"/>
    <mergeCell ref="BI443:BV443"/>
    <mergeCell ref="D443:K443"/>
    <mergeCell ref="L444:O444"/>
    <mergeCell ref="P443:S443"/>
    <mergeCell ref="T443:W443"/>
    <mergeCell ref="X443:AA443"/>
    <mergeCell ref="AB443:AD443"/>
    <mergeCell ref="AE443:AG443"/>
    <mergeCell ref="AH444:AJ444"/>
    <mergeCell ref="AK444:AM444"/>
    <mergeCell ref="BI444:BV444"/>
    <mergeCell ref="D444:K444"/>
    <mergeCell ref="L445:O445"/>
    <mergeCell ref="P444:S444"/>
    <mergeCell ref="T444:W444"/>
    <mergeCell ref="X444:AA444"/>
    <mergeCell ref="AB444:AD444"/>
    <mergeCell ref="AE444:AG444"/>
    <mergeCell ref="AH445:AJ445"/>
    <mergeCell ref="AK445:AM445"/>
    <mergeCell ref="BI445:BV445"/>
    <mergeCell ref="D445:K445"/>
    <mergeCell ref="L446:O446"/>
    <mergeCell ref="P445:S445"/>
    <mergeCell ref="T445:W445"/>
    <mergeCell ref="X445:AA445"/>
    <mergeCell ref="AB445:AD445"/>
    <mergeCell ref="AE445:AG445"/>
    <mergeCell ref="AH446:AJ446"/>
    <mergeCell ref="AK446:AM446"/>
    <mergeCell ref="BI446:BV446"/>
    <mergeCell ref="D446:K446"/>
    <mergeCell ref="L447:O447"/>
    <mergeCell ref="P446:S446"/>
    <mergeCell ref="T446:W446"/>
    <mergeCell ref="X446:AA446"/>
    <mergeCell ref="AB446:AD446"/>
    <mergeCell ref="AE446:AG446"/>
    <mergeCell ref="AH447:AJ447"/>
    <mergeCell ref="AK447:AM447"/>
    <mergeCell ref="BI447:BV447"/>
    <mergeCell ref="D447:K447"/>
    <mergeCell ref="L448:O448"/>
    <mergeCell ref="P447:S447"/>
    <mergeCell ref="T447:W447"/>
    <mergeCell ref="X447:AA447"/>
    <mergeCell ref="AB447:AD447"/>
    <mergeCell ref="AE447:AG447"/>
    <mergeCell ref="AH448:AJ448"/>
    <mergeCell ref="AK448:AM448"/>
    <mergeCell ref="BI448:BV448"/>
    <mergeCell ref="D448:K448"/>
    <mergeCell ref="L449:O449"/>
    <mergeCell ref="P448:S448"/>
    <mergeCell ref="T448:W448"/>
    <mergeCell ref="X448:AA448"/>
    <mergeCell ref="AB448:AD448"/>
    <mergeCell ref="AE448:AG448"/>
    <mergeCell ref="AH449:AJ449"/>
    <mergeCell ref="AK449:AM449"/>
    <mergeCell ref="BI449:BV449"/>
    <mergeCell ref="D449:K449"/>
    <mergeCell ref="L450:O450"/>
    <mergeCell ref="P449:S449"/>
    <mergeCell ref="T449:W449"/>
    <mergeCell ref="X449:AA449"/>
    <mergeCell ref="AB449:AD449"/>
    <mergeCell ref="AE449:AG449"/>
    <mergeCell ref="AH450:AJ450"/>
    <mergeCell ref="AK450:AM450"/>
    <mergeCell ref="BI450:BV450"/>
    <mergeCell ref="D450:K450"/>
    <mergeCell ref="L451:O451"/>
    <mergeCell ref="P450:S450"/>
    <mergeCell ref="T450:W450"/>
    <mergeCell ref="X450:AA450"/>
    <mergeCell ref="AB450:AD450"/>
    <mergeCell ref="AE450:AG450"/>
    <mergeCell ref="AH451:AJ451"/>
    <mergeCell ref="AK451:AM451"/>
    <mergeCell ref="BI451:BV451"/>
    <mergeCell ref="D451:K451"/>
    <mergeCell ref="L452:O452"/>
    <mergeCell ref="P451:S451"/>
    <mergeCell ref="T451:W451"/>
    <mergeCell ref="X451:AA451"/>
    <mergeCell ref="AB451:AD451"/>
    <mergeCell ref="AE451:AG451"/>
    <mergeCell ref="AH452:AJ452"/>
    <mergeCell ref="AK452:AM452"/>
    <mergeCell ref="BI452:BV452"/>
    <mergeCell ref="D452:K452"/>
    <mergeCell ref="L453:O453"/>
    <mergeCell ref="P452:S452"/>
    <mergeCell ref="T452:W452"/>
    <mergeCell ref="X452:AA452"/>
    <mergeCell ref="AB452:AD452"/>
    <mergeCell ref="AE452:AG452"/>
    <mergeCell ref="AH453:AJ453"/>
    <mergeCell ref="AK453:AM453"/>
    <mergeCell ref="BI453:BV453"/>
    <mergeCell ref="D453:K453"/>
    <mergeCell ref="L454:O454"/>
    <mergeCell ref="P453:S453"/>
    <mergeCell ref="T453:W453"/>
    <mergeCell ref="X453:AA453"/>
    <mergeCell ref="AB453:AD453"/>
    <mergeCell ref="AE453:AG453"/>
    <mergeCell ref="AH454:AJ454"/>
    <mergeCell ref="AK454:AM454"/>
    <mergeCell ref="BI454:BV454"/>
    <mergeCell ref="D454:K454"/>
    <mergeCell ref="L455:O455"/>
    <mergeCell ref="P454:S454"/>
    <mergeCell ref="T454:W454"/>
    <mergeCell ref="X454:AA454"/>
    <mergeCell ref="AB454:AD454"/>
    <mergeCell ref="AE454:AG454"/>
    <mergeCell ref="AH455:AJ455"/>
    <mergeCell ref="AK455:AM455"/>
    <mergeCell ref="BI455:BV455"/>
    <mergeCell ref="D455:K455"/>
    <mergeCell ref="L456:O456"/>
    <mergeCell ref="P455:S455"/>
    <mergeCell ref="T455:W455"/>
    <mergeCell ref="X455:AA455"/>
    <mergeCell ref="AB455:AD455"/>
    <mergeCell ref="AE455:AG455"/>
    <mergeCell ref="AH456:AJ456"/>
    <mergeCell ref="AK456:AM456"/>
    <mergeCell ref="BI456:BV456"/>
    <mergeCell ref="D456:K456"/>
    <mergeCell ref="L457:O457"/>
    <mergeCell ref="P456:S456"/>
    <mergeCell ref="T456:W456"/>
    <mergeCell ref="X456:AA456"/>
    <mergeCell ref="AB456:AD456"/>
    <mergeCell ref="AE456:AG456"/>
    <mergeCell ref="AH457:AJ457"/>
    <mergeCell ref="AK457:AM457"/>
    <mergeCell ref="BI457:BV457"/>
    <mergeCell ref="D457:K457"/>
    <mergeCell ref="L458:O458"/>
    <mergeCell ref="P457:S457"/>
    <mergeCell ref="T457:W457"/>
    <mergeCell ref="X457:AA457"/>
    <mergeCell ref="AB457:AD457"/>
    <mergeCell ref="AE457:AG457"/>
    <mergeCell ref="AH458:AJ458"/>
    <mergeCell ref="AK458:AM458"/>
    <mergeCell ref="BI458:BV458"/>
    <mergeCell ref="D458:K458"/>
    <mergeCell ref="L459:O459"/>
    <mergeCell ref="P458:S458"/>
    <mergeCell ref="T458:W458"/>
    <mergeCell ref="X458:AA458"/>
    <mergeCell ref="AB458:AD458"/>
    <mergeCell ref="AE458:AG458"/>
    <mergeCell ref="AH508:AJ508"/>
    <mergeCell ref="AK508:AM508"/>
    <mergeCell ref="BI508:BV508"/>
    <mergeCell ref="D508:K508"/>
    <mergeCell ref="AH459:AJ459"/>
    <mergeCell ref="AK459:AM459"/>
    <mergeCell ref="BI459:BV459"/>
    <mergeCell ref="D459:K459"/>
    <mergeCell ref="L460:O460"/>
    <mergeCell ref="P459:S459"/>
    <mergeCell ref="T459:W459"/>
    <mergeCell ref="X459:AA459"/>
    <mergeCell ref="AB459:AD459"/>
    <mergeCell ref="AE459:AG459"/>
    <mergeCell ref="AH460:AJ460"/>
    <mergeCell ref="AK460:AM460"/>
    <mergeCell ref="L509:O509"/>
    <mergeCell ref="P508:S508"/>
    <mergeCell ref="T508:W508"/>
    <mergeCell ref="X508:AA508"/>
    <mergeCell ref="AB508:AD508"/>
    <mergeCell ref="AE508:AG508"/>
    <mergeCell ref="AH509:AJ509"/>
    <mergeCell ref="AK509:AM509"/>
    <mergeCell ref="BI509:BV509"/>
    <mergeCell ref="D509:K509"/>
    <mergeCell ref="L510:O510"/>
    <mergeCell ref="P509:S509"/>
    <mergeCell ref="T509:W509"/>
    <mergeCell ref="X509:AA509"/>
    <mergeCell ref="AB509:AD509"/>
    <mergeCell ref="AE509:AG509"/>
    <mergeCell ref="AH510:AJ510"/>
    <mergeCell ref="AK510:AM510"/>
    <mergeCell ref="BI510:BV510"/>
    <mergeCell ref="D510:K510"/>
    <mergeCell ref="L511:O511"/>
    <mergeCell ref="P510:S510"/>
    <mergeCell ref="T510:W510"/>
    <mergeCell ref="X510:AA510"/>
    <mergeCell ref="AB510:AD510"/>
    <mergeCell ref="AE510:AG510"/>
    <mergeCell ref="AH511:AJ511"/>
    <mergeCell ref="AK511:AM511"/>
    <mergeCell ref="BI511:BV511"/>
    <mergeCell ref="D511:K511"/>
    <mergeCell ref="L512:O512"/>
    <mergeCell ref="P511:S511"/>
    <mergeCell ref="T511:W511"/>
    <mergeCell ref="X511:AA511"/>
    <mergeCell ref="AB511:AD511"/>
    <mergeCell ref="AE511:AG511"/>
    <mergeCell ref="AH512:AJ512"/>
    <mergeCell ref="AK512:AM512"/>
    <mergeCell ref="BI512:BV512"/>
    <mergeCell ref="D512:K512"/>
    <mergeCell ref="L513:O513"/>
    <mergeCell ref="P512:S512"/>
    <mergeCell ref="T512:W512"/>
    <mergeCell ref="X512:AA512"/>
    <mergeCell ref="AB512:AD512"/>
    <mergeCell ref="AE512:AG512"/>
    <mergeCell ref="AH513:AJ513"/>
    <mergeCell ref="AK513:AM513"/>
    <mergeCell ref="BI513:BV513"/>
    <mergeCell ref="D513:K513"/>
    <mergeCell ref="L514:O514"/>
    <mergeCell ref="P513:S513"/>
    <mergeCell ref="T513:W513"/>
    <mergeCell ref="X513:AA513"/>
    <mergeCell ref="AB513:AD513"/>
    <mergeCell ref="AE513:AG513"/>
    <mergeCell ref="AH514:AJ514"/>
    <mergeCell ref="AK514:AM514"/>
    <mergeCell ref="BI514:BV514"/>
    <mergeCell ref="D514:K514"/>
    <mergeCell ref="L515:O515"/>
    <mergeCell ref="P514:S514"/>
    <mergeCell ref="T514:W514"/>
    <mergeCell ref="X514:AA514"/>
    <mergeCell ref="AB514:AD514"/>
    <mergeCell ref="AE514:AG514"/>
    <mergeCell ref="AH515:AJ515"/>
    <mergeCell ref="AK515:AM515"/>
    <mergeCell ref="BI515:BV515"/>
    <mergeCell ref="D515:K515"/>
    <mergeCell ref="L516:O516"/>
    <mergeCell ref="P515:S515"/>
    <mergeCell ref="T515:W515"/>
    <mergeCell ref="X515:AA515"/>
    <mergeCell ref="AB515:AD515"/>
    <mergeCell ref="AE515:AG515"/>
    <mergeCell ref="AH516:AJ516"/>
    <mergeCell ref="AK516:AM516"/>
    <mergeCell ref="BI516:BV516"/>
    <mergeCell ref="D516:K516"/>
    <mergeCell ref="L517:O517"/>
    <mergeCell ref="P516:S516"/>
    <mergeCell ref="T516:W516"/>
    <mergeCell ref="X516:AA516"/>
    <mergeCell ref="AB516:AD516"/>
    <mergeCell ref="AE516:AG516"/>
    <mergeCell ref="AH517:AJ517"/>
    <mergeCell ref="AK517:AM517"/>
    <mergeCell ref="BI517:BV517"/>
    <mergeCell ref="D517:K517"/>
    <mergeCell ref="L518:O518"/>
    <mergeCell ref="P517:S517"/>
    <mergeCell ref="T517:W517"/>
    <mergeCell ref="X517:AA517"/>
    <mergeCell ref="AB517:AD517"/>
    <mergeCell ref="AE517:AG517"/>
    <mergeCell ref="AH518:AJ518"/>
    <mergeCell ref="AK518:AM518"/>
    <mergeCell ref="BI518:BV518"/>
    <mergeCell ref="D518:K518"/>
    <mergeCell ref="L519:O519"/>
    <mergeCell ref="P518:S518"/>
    <mergeCell ref="T518:W518"/>
    <mergeCell ref="X518:AA518"/>
    <mergeCell ref="AB518:AD518"/>
    <mergeCell ref="AE518:AG518"/>
    <mergeCell ref="AH519:AJ519"/>
    <mergeCell ref="AK519:AM519"/>
    <mergeCell ref="BI519:BV519"/>
    <mergeCell ref="D519:K519"/>
    <mergeCell ref="L520:O520"/>
    <mergeCell ref="P519:S519"/>
    <mergeCell ref="T519:W519"/>
    <mergeCell ref="X519:AA519"/>
    <mergeCell ref="AB519:AD519"/>
    <mergeCell ref="AE519:AG519"/>
    <mergeCell ref="AH520:AJ520"/>
    <mergeCell ref="AK520:AM520"/>
    <mergeCell ref="BI520:BV520"/>
    <mergeCell ref="D520:K520"/>
    <mergeCell ref="L521:O521"/>
    <mergeCell ref="P520:S520"/>
    <mergeCell ref="T520:W520"/>
    <mergeCell ref="X520:AA520"/>
    <mergeCell ref="AB520:AD520"/>
    <mergeCell ref="AE520:AG520"/>
    <mergeCell ref="AH521:AJ521"/>
    <mergeCell ref="AK521:AM521"/>
    <mergeCell ref="BI521:BV521"/>
    <mergeCell ref="D521:K521"/>
    <mergeCell ref="L522:O522"/>
    <mergeCell ref="P521:S521"/>
    <mergeCell ref="T521:W521"/>
    <mergeCell ref="X521:AA521"/>
    <mergeCell ref="AB521:AD521"/>
    <mergeCell ref="AE521:AG521"/>
    <mergeCell ref="AH529:AJ529"/>
    <mergeCell ref="AK529:AM529"/>
    <mergeCell ref="BI529:BV529"/>
    <mergeCell ref="D529:K529"/>
    <mergeCell ref="AB523:AD523"/>
    <mergeCell ref="AE523:AG523"/>
    <mergeCell ref="AH524:AJ524"/>
    <mergeCell ref="AK524:AM524"/>
    <mergeCell ref="BI524:BV524"/>
    <mergeCell ref="D524:K524"/>
    <mergeCell ref="L525:O525"/>
    <mergeCell ref="P524:S524"/>
    <mergeCell ref="T524:W524"/>
    <mergeCell ref="X524:AA524"/>
    <mergeCell ref="AB524:AD524"/>
    <mergeCell ref="AE524:AG524"/>
    <mergeCell ref="L530:O530"/>
    <mergeCell ref="P529:S529"/>
    <mergeCell ref="T529:W529"/>
    <mergeCell ref="X529:AA529"/>
    <mergeCell ref="AB529:AD529"/>
    <mergeCell ref="AE529:AG529"/>
    <mergeCell ref="AH530:AJ530"/>
    <mergeCell ref="AK530:AM530"/>
    <mergeCell ref="BI530:BV530"/>
    <mergeCell ref="D530:K530"/>
    <mergeCell ref="L531:O531"/>
    <mergeCell ref="P530:S530"/>
    <mergeCell ref="T530:W530"/>
    <mergeCell ref="X530:AA530"/>
    <mergeCell ref="AB530:AD530"/>
    <mergeCell ref="AE530:AG530"/>
    <mergeCell ref="AH531:AJ531"/>
    <mergeCell ref="AK531:AM531"/>
    <mergeCell ref="BI531:BV531"/>
    <mergeCell ref="D531:K531"/>
    <mergeCell ref="L532:O532"/>
    <mergeCell ref="P531:S531"/>
    <mergeCell ref="T531:W531"/>
    <mergeCell ref="X531:AA531"/>
    <mergeCell ref="AB531:AD531"/>
    <mergeCell ref="AE531:AG531"/>
    <mergeCell ref="AH532:AJ532"/>
    <mergeCell ref="AK532:AM532"/>
    <mergeCell ref="BI532:BV532"/>
    <mergeCell ref="D532:K532"/>
    <mergeCell ref="L533:O533"/>
    <mergeCell ref="P532:S532"/>
    <mergeCell ref="T532:W532"/>
    <mergeCell ref="X532:AA532"/>
    <mergeCell ref="AB532:AD532"/>
    <mergeCell ref="AE532:AG532"/>
    <mergeCell ref="AH533:AJ533"/>
    <mergeCell ref="AK533:AM533"/>
    <mergeCell ref="BI533:BV533"/>
    <mergeCell ref="D533:K533"/>
    <mergeCell ref="L534:O534"/>
    <mergeCell ref="P533:S533"/>
    <mergeCell ref="T533:W533"/>
    <mergeCell ref="X533:AA533"/>
    <mergeCell ref="AB533:AD533"/>
    <mergeCell ref="AE533:AG533"/>
    <mergeCell ref="AH18:AJ18"/>
    <mergeCell ref="AK18:AM18"/>
    <mergeCell ref="BI18:BV18"/>
    <mergeCell ref="D18:K18"/>
    <mergeCell ref="L18:O18"/>
    <mergeCell ref="P18:S18"/>
    <mergeCell ref="T18:W18"/>
    <mergeCell ref="X18:AA18"/>
    <mergeCell ref="AB18:AD18"/>
    <mergeCell ref="AE18:AG18"/>
    <mergeCell ref="AH19:AJ19"/>
    <mergeCell ref="AK19:AM19"/>
    <mergeCell ref="BI19:BV19"/>
    <mergeCell ref="D19:K19"/>
    <mergeCell ref="L19:O19"/>
    <mergeCell ref="P19:S19"/>
    <mergeCell ref="T19:W19"/>
    <mergeCell ref="X19:AA19"/>
    <mergeCell ref="AB19:AD19"/>
    <mergeCell ref="AE19:AG19"/>
    <mergeCell ref="AH20:AJ20"/>
    <mergeCell ref="AK20:AM20"/>
    <mergeCell ref="BI20:BV20"/>
    <mergeCell ref="D20:K20"/>
    <mergeCell ref="L20:O20"/>
    <mergeCell ref="P20:S20"/>
    <mergeCell ref="T20:W20"/>
    <mergeCell ref="X20:AA20"/>
    <mergeCell ref="AB20:AD20"/>
    <mergeCell ref="AE20:AG20"/>
    <mergeCell ref="AH534:AJ534"/>
    <mergeCell ref="AK534:AM534"/>
    <mergeCell ref="BI534:BV534"/>
    <mergeCell ref="D534:K534"/>
    <mergeCell ref="L535:O535"/>
    <mergeCell ref="P534:S534"/>
    <mergeCell ref="T534:W534"/>
    <mergeCell ref="X534:AA534"/>
    <mergeCell ref="AB534:AD534"/>
    <mergeCell ref="AE534:AG534"/>
    <mergeCell ref="AH522:AJ522"/>
    <mergeCell ref="AK522:AM522"/>
    <mergeCell ref="BI522:BV522"/>
    <mergeCell ref="D522:K522"/>
    <mergeCell ref="L523:O523"/>
    <mergeCell ref="P522:S522"/>
    <mergeCell ref="T522:W522"/>
    <mergeCell ref="X522:AA522"/>
    <mergeCell ref="AB522:AD522"/>
    <mergeCell ref="AE522:AG522"/>
    <mergeCell ref="AH523:AJ523"/>
    <mergeCell ref="AK523:AM523"/>
    <mergeCell ref="BI523:BV523"/>
    <mergeCell ref="D523:K523"/>
    <mergeCell ref="L524:O524"/>
    <mergeCell ref="P523:S523"/>
    <mergeCell ref="T523:W523"/>
    <mergeCell ref="X523:AA523"/>
    <mergeCell ref="AH525:AJ525"/>
    <mergeCell ref="AK525:AM525"/>
    <mergeCell ref="BI525:BV525"/>
    <mergeCell ref="D525:K525"/>
    <mergeCell ref="P525:S525"/>
    <mergeCell ref="T525:W525"/>
    <mergeCell ref="X525:AA525"/>
    <mergeCell ref="AB525:AD525"/>
    <mergeCell ref="AE525:AG525"/>
    <mergeCell ref="AH526:AJ526"/>
    <mergeCell ref="AK526:AM526"/>
    <mergeCell ref="BI526:BV526"/>
    <mergeCell ref="D526:K526"/>
    <mergeCell ref="L527:O527"/>
    <mergeCell ref="P526:S526"/>
    <mergeCell ref="T526:W526"/>
    <mergeCell ref="X526:AA526"/>
    <mergeCell ref="AB526:AD526"/>
    <mergeCell ref="AE526:AG526"/>
    <mergeCell ref="AH527:AJ527"/>
    <mergeCell ref="AK527:AM527"/>
    <mergeCell ref="BI527:BV527"/>
    <mergeCell ref="D527:K527"/>
    <mergeCell ref="L528:O528"/>
    <mergeCell ref="P527:S527"/>
    <mergeCell ref="T527:W527"/>
    <mergeCell ref="X527:AA527"/>
    <mergeCell ref="AB527:AD527"/>
    <mergeCell ref="AE527:AG527"/>
    <mergeCell ref="L526:O526"/>
    <mergeCell ref="AH528:AJ528"/>
    <mergeCell ref="AK528:AM528"/>
    <mergeCell ref="BI528:BV528"/>
    <mergeCell ref="D528:K528"/>
    <mergeCell ref="L529:O529"/>
    <mergeCell ref="P528:S528"/>
    <mergeCell ref="T528:W528"/>
    <mergeCell ref="X528:AA528"/>
    <mergeCell ref="AB528:AD528"/>
    <mergeCell ref="AE528:AG528"/>
    <mergeCell ref="BI460:BV460"/>
    <mergeCell ref="D460:K460"/>
    <mergeCell ref="L461:O461"/>
    <mergeCell ref="P460:S460"/>
    <mergeCell ref="T460:W460"/>
    <mergeCell ref="X460:AA460"/>
    <mergeCell ref="AB460:AD460"/>
    <mergeCell ref="AE460:AG460"/>
    <mergeCell ref="AH461:AJ461"/>
    <mergeCell ref="AK461:AM461"/>
    <mergeCell ref="BI461:BV461"/>
    <mergeCell ref="D461:K461"/>
    <mergeCell ref="L462:O462"/>
    <mergeCell ref="P461:S461"/>
    <mergeCell ref="T461:W461"/>
    <mergeCell ref="X461:AA461"/>
    <mergeCell ref="AB461:AD461"/>
    <mergeCell ref="AE461:AG461"/>
    <mergeCell ref="AH462:AJ462"/>
    <mergeCell ref="AK462:AM462"/>
    <mergeCell ref="BI462:BV462"/>
    <mergeCell ref="D462:K462"/>
    <mergeCell ref="L463:O463"/>
    <mergeCell ref="P462:S462"/>
    <mergeCell ref="T462:W462"/>
    <mergeCell ref="X462:AA462"/>
    <mergeCell ref="AB462:AD462"/>
    <mergeCell ref="AE462:AG462"/>
    <mergeCell ref="AH463:AJ463"/>
    <mergeCell ref="AK463:AM463"/>
    <mergeCell ref="BI463:BV463"/>
    <mergeCell ref="D463:K463"/>
    <mergeCell ref="L464:O464"/>
    <mergeCell ref="P463:S463"/>
    <mergeCell ref="T463:W463"/>
    <mergeCell ref="X463:AA463"/>
    <mergeCell ref="AB463:AD463"/>
    <mergeCell ref="AE463:AG463"/>
    <mergeCell ref="AH464:AJ464"/>
    <mergeCell ref="AK464:AM464"/>
    <mergeCell ref="BI464:BV464"/>
    <mergeCell ref="D464:K464"/>
    <mergeCell ref="L465:O465"/>
    <mergeCell ref="P464:S464"/>
    <mergeCell ref="T464:W464"/>
    <mergeCell ref="X464:AA464"/>
    <mergeCell ref="AB464:AD464"/>
    <mergeCell ref="AE464:AG464"/>
    <mergeCell ref="AH465:AJ465"/>
    <mergeCell ref="AK465:AM465"/>
    <mergeCell ref="BI465:BV465"/>
    <mergeCell ref="D465:K465"/>
    <mergeCell ref="L466:O466"/>
    <mergeCell ref="P465:S465"/>
    <mergeCell ref="T465:W465"/>
    <mergeCell ref="X465:AA465"/>
    <mergeCell ref="AB465:AD465"/>
    <mergeCell ref="AE465:AG465"/>
    <mergeCell ref="AH466:AJ466"/>
    <mergeCell ref="AK466:AM466"/>
    <mergeCell ref="BI466:BV466"/>
    <mergeCell ref="D466:K466"/>
    <mergeCell ref="L467:O467"/>
    <mergeCell ref="P466:S466"/>
    <mergeCell ref="T466:W466"/>
    <mergeCell ref="X466:AA466"/>
    <mergeCell ref="AB466:AD466"/>
    <mergeCell ref="AE466:AG466"/>
    <mergeCell ref="AH467:AJ467"/>
    <mergeCell ref="AK467:AM467"/>
    <mergeCell ref="BI467:BV467"/>
    <mergeCell ref="D467:K467"/>
    <mergeCell ref="L468:O468"/>
    <mergeCell ref="P467:S467"/>
    <mergeCell ref="T467:W467"/>
    <mergeCell ref="X467:AA467"/>
    <mergeCell ref="AB467:AD467"/>
    <mergeCell ref="AE467:AG467"/>
    <mergeCell ref="AH468:AJ468"/>
    <mergeCell ref="AK468:AM468"/>
    <mergeCell ref="BI468:BV468"/>
    <mergeCell ref="D468:K468"/>
    <mergeCell ref="L469:O469"/>
    <mergeCell ref="P468:S468"/>
    <mergeCell ref="T468:W468"/>
    <mergeCell ref="X468:AA468"/>
    <mergeCell ref="AB468:AD468"/>
    <mergeCell ref="AE468:AG468"/>
    <mergeCell ref="AH469:AJ469"/>
    <mergeCell ref="AK469:AM469"/>
    <mergeCell ref="BI469:BV469"/>
    <mergeCell ref="D469:K469"/>
    <mergeCell ref="L470:O470"/>
    <mergeCell ref="P469:S469"/>
    <mergeCell ref="T469:W469"/>
    <mergeCell ref="X469:AA469"/>
    <mergeCell ref="AB469:AD469"/>
    <mergeCell ref="AE469:AG469"/>
    <mergeCell ref="AH470:AJ470"/>
    <mergeCell ref="AK470:AM470"/>
    <mergeCell ref="BI470:BV470"/>
    <mergeCell ref="D470:K470"/>
    <mergeCell ref="L471:O471"/>
    <mergeCell ref="P470:S470"/>
    <mergeCell ref="T470:W470"/>
    <mergeCell ref="X470:AA470"/>
    <mergeCell ref="AB470:AD470"/>
    <mergeCell ref="AE470:AG470"/>
    <mergeCell ref="AH471:AJ471"/>
    <mergeCell ref="AK471:AM471"/>
    <mergeCell ref="BI471:BV471"/>
    <mergeCell ref="D471:K471"/>
    <mergeCell ref="L472:O472"/>
    <mergeCell ref="P471:S471"/>
    <mergeCell ref="T471:W471"/>
    <mergeCell ref="X471:AA471"/>
    <mergeCell ref="AB471:AD471"/>
    <mergeCell ref="AE471:AG471"/>
    <mergeCell ref="AH472:AJ472"/>
    <mergeCell ref="AK472:AM472"/>
    <mergeCell ref="BI472:BV472"/>
    <mergeCell ref="D472:K472"/>
    <mergeCell ref="L473:O473"/>
    <mergeCell ref="P472:S472"/>
    <mergeCell ref="T472:W472"/>
    <mergeCell ref="X472:AA472"/>
    <mergeCell ref="AB472:AD472"/>
    <mergeCell ref="AE472:AG472"/>
    <mergeCell ref="AH473:AJ473"/>
    <mergeCell ref="AK473:AM473"/>
    <mergeCell ref="BI473:BV473"/>
    <mergeCell ref="D473:K473"/>
    <mergeCell ref="L474:O474"/>
    <mergeCell ref="P473:S473"/>
    <mergeCell ref="T473:W473"/>
    <mergeCell ref="X473:AA473"/>
    <mergeCell ref="AB473:AD473"/>
    <mergeCell ref="AE473:AG473"/>
    <mergeCell ref="AH474:AJ474"/>
    <mergeCell ref="AK474:AM474"/>
    <mergeCell ref="BI474:BV474"/>
    <mergeCell ref="D474:K474"/>
    <mergeCell ref="L475:O475"/>
    <mergeCell ref="P474:S474"/>
    <mergeCell ref="T474:W474"/>
    <mergeCell ref="X474:AA474"/>
    <mergeCell ref="AB474:AD474"/>
    <mergeCell ref="AE474:AG474"/>
    <mergeCell ref="AH475:AJ475"/>
    <mergeCell ref="AK475:AM475"/>
    <mergeCell ref="BI475:BV475"/>
    <mergeCell ref="D475:K475"/>
    <mergeCell ref="L476:O476"/>
    <mergeCell ref="P475:S475"/>
    <mergeCell ref="T475:W475"/>
    <mergeCell ref="X475:AA475"/>
    <mergeCell ref="AB475:AD475"/>
    <mergeCell ref="AE475:AG475"/>
    <mergeCell ref="AH476:AJ476"/>
    <mergeCell ref="AK476:AM476"/>
    <mergeCell ref="BI476:BV476"/>
    <mergeCell ref="D476:K476"/>
    <mergeCell ref="L477:O477"/>
    <mergeCell ref="P476:S476"/>
    <mergeCell ref="T476:W476"/>
    <mergeCell ref="X476:AA476"/>
    <mergeCell ref="AB476:AD476"/>
    <mergeCell ref="AE476:AG476"/>
    <mergeCell ref="AH477:AJ477"/>
    <mergeCell ref="AK477:AM477"/>
    <mergeCell ref="BI477:BV477"/>
    <mergeCell ref="D477:K477"/>
    <mergeCell ref="L478:O478"/>
    <mergeCell ref="P477:S477"/>
    <mergeCell ref="T477:W477"/>
    <mergeCell ref="X477:AA477"/>
    <mergeCell ref="AB477:AD477"/>
    <mergeCell ref="AE477:AG477"/>
    <mergeCell ref="AH478:AJ478"/>
    <mergeCell ref="AK478:AM478"/>
    <mergeCell ref="BI478:BV478"/>
    <mergeCell ref="D478:K478"/>
    <mergeCell ref="L479:O479"/>
    <mergeCell ref="P478:S478"/>
    <mergeCell ref="T478:W478"/>
    <mergeCell ref="X478:AA478"/>
    <mergeCell ref="AB478:AD478"/>
    <mergeCell ref="AE478:AG478"/>
    <mergeCell ref="AH479:AJ479"/>
    <mergeCell ref="AK479:AM479"/>
    <mergeCell ref="BI479:BV479"/>
    <mergeCell ref="D479:K479"/>
    <mergeCell ref="L480:O480"/>
    <mergeCell ref="P479:S479"/>
    <mergeCell ref="T479:W479"/>
    <mergeCell ref="X479:AA479"/>
    <mergeCell ref="AB479:AD479"/>
    <mergeCell ref="AE479:AG479"/>
    <mergeCell ref="AH480:AJ480"/>
    <mergeCell ref="AK480:AM480"/>
    <mergeCell ref="BI480:BV480"/>
    <mergeCell ref="D480:K480"/>
    <mergeCell ref="L481:O481"/>
    <mergeCell ref="P480:S480"/>
    <mergeCell ref="T480:W480"/>
    <mergeCell ref="X480:AA480"/>
    <mergeCell ref="AB480:AD480"/>
    <mergeCell ref="AE480:AG480"/>
    <mergeCell ref="AH481:AJ481"/>
    <mergeCell ref="AK481:AM481"/>
    <mergeCell ref="BI481:BV481"/>
    <mergeCell ref="D481:K481"/>
    <mergeCell ref="L482:O482"/>
    <mergeCell ref="P481:S481"/>
    <mergeCell ref="T481:W481"/>
    <mergeCell ref="X481:AA481"/>
    <mergeCell ref="AB481:AD481"/>
    <mergeCell ref="AE481:AG481"/>
    <mergeCell ref="AH482:AJ482"/>
    <mergeCell ref="AK482:AM482"/>
    <mergeCell ref="BI482:BV482"/>
    <mergeCell ref="D482:K482"/>
    <mergeCell ref="L483:O483"/>
    <mergeCell ref="P482:S482"/>
    <mergeCell ref="T482:W482"/>
    <mergeCell ref="X482:AA482"/>
    <mergeCell ref="AB482:AD482"/>
    <mergeCell ref="AE482:AG482"/>
    <mergeCell ref="AH483:AJ483"/>
    <mergeCell ref="AK483:AM483"/>
    <mergeCell ref="BI483:BV483"/>
    <mergeCell ref="D483:K483"/>
    <mergeCell ref="L484:O484"/>
    <mergeCell ref="P483:S483"/>
    <mergeCell ref="T483:W483"/>
    <mergeCell ref="X483:AA483"/>
    <mergeCell ref="AB483:AD483"/>
    <mergeCell ref="AE483:AG483"/>
    <mergeCell ref="AH484:AJ484"/>
    <mergeCell ref="AK484:AM484"/>
    <mergeCell ref="BI484:BV484"/>
    <mergeCell ref="D484:K484"/>
    <mergeCell ref="L485:O485"/>
    <mergeCell ref="P484:S484"/>
    <mergeCell ref="T484:W484"/>
    <mergeCell ref="X484:AA484"/>
    <mergeCell ref="AB484:AD484"/>
    <mergeCell ref="AE484:AG484"/>
    <mergeCell ref="AH485:AJ485"/>
    <mergeCell ref="AK485:AM485"/>
    <mergeCell ref="BI485:BV485"/>
    <mergeCell ref="D485:K485"/>
    <mergeCell ref="L486:O486"/>
    <mergeCell ref="P485:S485"/>
    <mergeCell ref="T485:W485"/>
    <mergeCell ref="X485:AA485"/>
    <mergeCell ref="AB485:AD485"/>
    <mergeCell ref="AE485:AG485"/>
    <mergeCell ref="AH486:AJ486"/>
    <mergeCell ref="AK486:AM486"/>
    <mergeCell ref="BI486:BV486"/>
    <mergeCell ref="D486:K486"/>
    <mergeCell ref="L487:O487"/>
    <mergeCell ref="P486:S486"/>
    <mergeCell ref="T486:W486"/>
    <mergeCell ref="X486:AA486"/>
    <mergeCell ref="AB486:AD486"/>
    <mergeCell ref="AE486:AG486"/>
    <mergeCell ref="AH487:AJ487"/>
    <mergeCell ref="AK487:AM487"/>
    <mergeCell ref="BI487:BV487"/>
    <mergeCell ref="D487:K487"/>
    <mergeCell ref="L488:O488"/>
    <mergeCell ref="P487:S487"/>
    <mergeCell ref="T487:W487"/>
    <mergeCell ref="X487:AA487"/>
    <mergeCell ref="AB487:AD487"/>
    <mergeCell ref="AE487:AG487"/>
    <mergeCell ref="AH488:AJ488"/>
    <mergeCell ref="AK488:AM488"/>
    <mergeCell ref="BI488:BV488"/>
    <mergeCell ref="D488:K488"/>
    <mergeCell ref="L489:O489"/>
    <mergeCell ref="P488:S488"/>
    <mergeCell ref="T488:W488"/>
    <mergeCell ref="X488:AA488"/>
    <mergeCell ref="AB488:AD488"/>
    <mergeCell ref="AE488:AG488"/>
    <mergeCell ref="AH489:AJ489"/>
    <mergeCell ref="AK489:AM489"/>
    <mergeCell ref="BI489:BV489"/>
    <mergeCell ref="D489:K489"/>
    <mergeCell ref="L490:O490"/>
    <mergeCell ref="P489:S489"/>
    <mergeCell ref="T489:W489"/>
    <mergeCell ref="X489:AA489"/>
    <mergeCell ref="AB489:AD489"/>
    <mergeCell ref="AE489:AG489"/>
    <mergeCell ref="AH490:AJ490"/>
    <mergeCell ref="AK490:AM490"/>
    <mergeCell ref="BI490:BV490"/>
    <mergeCell ref="D490:K490"/>
    <mergeCell ref="L491:O491"/>
    <mergeCell ref="P490:S490"/>
    <mergeCell ref="T490:W490"/>
    <mergeCell ref="X490:AA490"/>
    <mergeCell ref="AB490:AD490"/>
    <mergeCell ref="AE490:AG490"/>
    <mergeCell ref="AH491:AJ491"/>
    <mergeCell ref="AK491:AM491"/>
    <mergeCell ref="BI491:BV491"/>
    <mergeCell ref="D491:K491"/>
    <mergeCell ref="L492:O492"/>
    <mergeCell ref="P491:S491"/>
    <mergeCell ref="T491:W491"/>
    <mergeCell ref="X491:AA491"/>
    <mergeCell ref="AB491:AD491"/>
    <mergeCell ref="AE491:AG491"/>
    <mergeCell ref="AH492:AJ492"/>
    <mergeCell ref="AK492:AM492"/>
    <mergeCell ref="BI492:BV492"/>
    <mergeCell ref="D492:K492"/>
    <mergeCell ref="L493:O493"/>
    <mergeCell ref="P492:S492"/>
    <mergeCell ref="T492:W492"/>
    <mergeCell ref="X492:AA492"/>
    <mergeCell ref="AB492:AD492"/>
    <mergeCell ref="AE492:AG492"/>
    <mergeCell ref="AH493:AJ493"/>
    <mergeCell ref="AK493:AM493"/>
    <mergeCell ref="BI493:BV493"/>
    <mergeCell ref="D493:K493"/>
    <mergeCell ref="L494:O494"/>
    <mergeCell ref="P493:S493"/>
    <mergeCell ref="T493:W493"/>
    <mergeCell ref="X493:AA493"/>
    <mergeCell ref="AB493:AD493"/>
    <mergeCell ref="AE493:AG493"/>
    <mergeCell ref="AH494:AJ494"/>
    <mergeCell ref="AK494:AM494"/>
    <mergeCell ref="BI494:BV494"/>
    <mergeCell ref="D494:K494"/>
    <mergeCell ref="L495:O495"/>
    <mergeCell ref="P494:S494"/>
    <mergeCell ref="T494:W494"/>
    <mergeCell ref="X494:AA494"/>
    <mergeCell ref="AB494:AD494"/>
    <mergeCell ref="AE494:AG494"/>
    <mergeCell ref="AH495:AJ495"/>
    <mergeCell ref="AK495:AM495"/>
    <mergeCell ref="BI495:BV495"/>
    <mergeCell ref="D495:K495"/>
    <mergeCell ref="L496:O496"/>
    <mergeCell ref="P495:S495"/>
    <mergeCell ref="T495:W495"/>
    <mergeCell ref="X495:AA495"/>
    <mergeCell ref="AB495:AD495"/>
    <mergeCell ref="AE495:AG495"/>
    <mergeCell ref="AH496:AJ496"/>
    <mergeCell ref="AK496:AM496"/>
    <mergeCell ref="BI496:BV496"/>
    <mergeCell ref="D496:K496"/>
    <mergeCell ref="L497:O497"/>
    <mergeCell ref="P496:S496"/>
    <mergeCell ref="T496:W496"/>
    <mergeCell ref="X496:AA496"/>
    <mergeCell ref="AB496:AD496"/>
    <mergeCell ref="AE496:AG496"/>
    <mergeCell ref="AH497:AJ497"/>
    <mergeCell ref="AK497:AM497"/>
    <mergeCell ref="BI497:BV497"/>
    <mergeCell ref="D497:K497"/>
    <mergeCell ref="L498:O498"/>
    <mergeCell ref="P497:S497"/>
    <mergeCell ref="T497:W497"/>
    <mergeCell ref="X497:AA497"/>
    <mergeCell ref="AB497:AD497"/>
    <mergeCell ref="AE497:AG497"/>
    <mergeCell ref="AH498:AJ498"/>
    <mergeCell ref="AK498:AM498"/>
    <mergeCell ref="BI498:BV498"/>
    <mergeCell ref="D498:K498"/>
    <mergeCell ref="L499:O499"/>
    <mergeCell ref="P498:S498"/>
    <mergeCell ref="T498:W498"/>
    <mergeCell ref="X498:AA498"/>
    <mergeCell ref="AB498:AD498"/>
    <mergeCell ref="AE498:AG498"/>
    <mergeCell ref="AH499:AJ499"/>
    <mergeCell ref="AK499:AM499"/>
    <mergeCell ref="BI499:BV499"/>
    <mergeCell ref="D499:K499"/>
    <mergeCell ref="L500:O500"/>
    <mergeCell ref="P499:S499"/>
    <mergeCell ref="T499:W499"/>
    <mergeCell ref="X499:AA499"/>
    <mergeCell ref="AB499:AD499"/>
    <mergeCell ref="AE499:AG499"/>
    <mergeCell ref="AH500:AJ500"/>
    <mergeCell ref="AK500:AM500"/>
    <mergeCell ref="BI500:BV500"/>
    <mergeCell ref="D500:K500"/>
    <mergeCell ref="L501:O501"/>
    <mergeCell ref="P500:S500"/>
    <mergeCell ref="T500:W500"/>
    <mergeCell ref="X500:AA500"/>
    <mergeCell ref="AB500:AD500"/>
    <mergeCell ref="AE500:AG500"/>
    <mergeCell ref="AH501:AJ501"/>
    <mergeCell ref="AK501:AM501"/>
    <mergeCell ref="BI501:BV501"/>
    <mergeCell ref="D501:K501"/>
    <mergeCell ref="L502:O502"/>
    <mergeCell ref="P501:S501"/>
    <mergeCell ref="T501:W501"/>
    <mergeCell ref="X501:AA501"/>
    <mergeCell ref="AB501:AD501"/>
    <mergeCell ref="AE501:AG501"/>
    <mergeCell ref="AH502:AJ502"/>
    <mergeCell ref="AK502:AM502"/>
    <mergeCell ref="BI502:BV502"/>
    <mergeCell ref="D502:K502"/>
    <mergeCell ref="L503:O503"/>
    <mergeCell ref="P502:S502"/>
    <mergeCell ref="T502:W502"/>
    <mergeCell ref="X502:AA502"/>
    <mergeCell ref="AB502:AD502"/>
    <mergeCell ref="AE502:AG502"/>
    <mergeCell ref="AH503:AJ503"/>
    <mergeCell ref="AK503:AM503"/>
    <mergeCell ref="BI503:BV503"/>
    <mergeCell ref="D503:K503"/>
    <mergeCell ref="L504:O504"/>
    <mergeCell ref="P503:S503"/>
    <mergeCell ref="T503:W503"/>
    <mergeCell ref="X503:AA503"/>
    <mergeCell ref="AB503:AD503"/>
    <mergeCell ref="AE503:AG503"/>
    <mergeCell ref="AH504:AJ504"/>
    <mergeCell ref="AK504:AM504"/>
    <mergeCell ref="BI504:BV504"/>
    <mergeCell ref="D504:K504"/>
    <mergeCell ref="L505:O505"/>
    <mergeCell ref="P504:S504"/>
    <mergeCell ref="T504:W504"/>
    <mergeCell ref="X504:AA504"/>
    <mergeCell ref="AB504:AD504"/>
    <mergeCell ref="AE504:AG504"/>
    <mergeCell ref="AH505:AJ505"/>
    <mergeCell ref="AK505:AM505"/>
    <mergeCell ref="BI505:BV505"/>
    <mergeCell ref="D505:K505"/>
    <mergeCell ref="L506:O506"/>
    <mergeCell ref="P505:S505"/>
    <mergeCell ref="T505:W505"/>
    <mergeCell ref="X505:AA505"/>
    <mergeCell ref="AB505:AD505"/>
    <mergeCell ref="AE505:AG505"/>
    <mergeCell ref="AH506:AJ506"/>
    <mergeCell ref="AK506:AM506"/>
    <mergeCell ref="BI506:BV506"/>
    <mergeCell ref="D506:K506"/>
    <mergeCell ref="L507:O507"/>
    <mergeCell ref="P506:S506"/>
    <mergeCell ref="T506:W506"/>
    <mergeCell ref="X506:AA506"/>
    <mergeCell ref="AB506:AD506"/>
    <mergeCell ref="AE506:AG506"/>
    <mergeCell ref="AH507:AJ507"/>
    <mergeCell ref="AK507:AM507"/>
    <mergeCell ref="BI507:BV507"/>
    <mergeCell ref="D507:K507"/>
    <mergeCell ref="L508:O508"/>
    <mergeCell ref="P507:S507"/>
    <mergeCell ref="T507:W507"/>
    <mergeCell ref="X507:AA507"/>
    <mergeCell ref="AB507:AD507"/>
    <mergeCell ref="AE507:AG507"/>
    <mergeCell ref="B1:C1"/>
    <mergeCell ref="D1:K1"/>
    <mergeCell ref="L1:O1"/>
    <mergeCell ref="P1:S1"/>
    <mergeCell ref="T1:W1"/>
    <mergeCell ref="X1:AA1"/>
    <mergeCell ref="AB1:AD1"/>
    <mergeCell ref="AE1:AG1"/>
    <mergeCell ref="AH1:AJ1"/>
    <mergeCell ref="AK1:AM1"/>
    <mergeCell ref="BI1:BV1"/>
    <mergeCell ref="A2:BW2"/>
    <mergeCell ref="A3:BW3"/>
    <mergeCell ref="A4:BW4"/>
    <mergeCell ref="A5:J5"/>
    <mergeCell ref="K5:AE5"/>
    <mergeCell ref="AG5:AN5"/>
    <mergeCell ref="AO5:BA5"/>
    <mergeCell ref="K6:AE6"/>
    <mergeCell ref="AG6:AN6"/>
    <mergeCell ref="AO6:BA6"/>
    <mergeCell ref="A6:J6"/>
    <mergeCell ref="A7:J8"/>
    <mergeCell ref="K7:AE8"/>
    <mergeCell ref="AG7:AN7"/>
    <mergeCell ref="AO7:BA7"/>
    <mergeCell ref="AG8:AN8"/>
    <mergeCell ref="AO8:BA8"/>
    <mergeCell ref="A9:J9"/>
    <mergeCell ref="K9:Y9"/>
    <mergeCell ref="Z9:AE9"/>
    <mergeCell ref="AG9:AN9"/>
    <mergeCell ref="AO9:BA9"/>
    <mergeCell ref="A10:BH10"/>
    <mergeCell ref="A11:AR11"/>
    <mergeCell ref="L13:O14"/>
    <mergeCell ref="P13:S14"/>
    <mergeCell ref="AB13:AD14"/>
    <mergeCell ref="AE13:AG14"/>
    <mergeCell ref="AH13:AJ14"/>
    <mergeCell ref="AK13:AM14"/>
    <mergeCell ref="AZ13:AZ14"/>
    <mergeCell ref="BA13:BA14"/>
    <mergeCell ref="BB13:BB14"/>
    <mergeCell ref="BC13:BC14"/>
    <mergeCell ref="BD13:BD14"/>
    <mergeCell ref="BE13:BE14"/>
    <mergeCell ref="BF13:BF14"/>
    <mergeCell ref="BG13:BG14"/>
    <mergeCell ref="BH13:BH14"/>
    <mergeCell ref="BI13:BV14"/>
    <mergeCell ref="AB15:AD15"/>
    <mergeCell ref="AE15:AG15"/>
    <mergeCell ref="B12:AM12"/>
    <mergeCell ref="AN12:AY12"/>
    <mergeCell ref="AZ12:BH12"/>
    <mergeCell ref="BI12:BV12"/>
    <mergeCell ref="A13:A14"/>
    <mergeCell ref="B13:C14"/>
    <mergeCell ref="D13:K14"/>
    <mergeCell ref="AH15:AJ15"/>
    <mergeCell ref="AK15:AM15"/>
    <mergeCell ref="BI15:BV15"/>
    <mergeCell ref="T13:W14"/>
    <mergeCell ref="X13:AA14"/>
    <mergeCell ref="D15:K15"/>
    <mergeCell ref="L15:O15"/>
    <mergeCell ref="P15:S15"/>
    <mergeCell ref="T15:W15"/>
    <mergeCell ref="X15:AA15"/>
    <mergeCell ref="AH16:AJ16"/>
    <mergeCell ref="AK16:AM16"/>
    <mergeCell ref="BI16:BV16"/>
    <mergeCell ref="D16:K16"/>
    <mergeCell ref="L16:O16"/>
    <mergeCell ref="P16:S16"/>
    <mergeCell ref="T16:W16"/>
    <mergeCell ref="X16:AA16"/>
    <mergeCell ref="AB16:AD16"/>
    <mergeCell ref="AE16:AG16"/>
    <mergeCell ref="AH17:AJ17"/>
    <mergeCell ref="AK17:AM17"/>
    <mergeCell ref="BI17:BV17"/>
    <mergeCell ref="D17:K17"/>
    <mergeCell ref="L17:O17"/>
    <mergeCell ref="P17:S17"/>
    <mergeCell ref="T17:W17"/>
    <mergeCell ref="X17:AA17"/>
    <mergeCell ref="AB17:AD17"/>
    <mergeCell ref="AE17:AG17"/>
    <mergeCell ref="AH21:AJ21"/>
    <mergeCell ref="AK21:AM21"/>
    <mergeCell ref="BI21:BV21"/>
    <mergeCell ref="D21:K21"/>
    <mergeCell ref="L21:O21"/>
    <mergeCell ref="P21:S21"/>
    <mergeCell ref="T21:W21"/>
    <mergeCell ref="X21:AA21"/>
    <mergeCell ref="AB21:AD21"/>
    <mergeCell ref="AE21:AG21"/>
    <mergeCell ref="AH22:AJ22"/>
    <mergeCell ref="AK22:AM22"/>
    <mergeCell ref="BI22:BV22"/>
    <mergeCell ref="D22:K22"/>
    <mergeCell ref="L22:O22"/>
    <mergeCell ref="P22:S22"/>
    <mergeCell ref="T22:W22"/>
    <mergeCell ref="X22:AA22"/>
    <mergeCell ref="AB22:AD22"/>
    <mergeCell ref="AE22:AG22"/>
    <mergeCell ref="AH23:AJ23"/>
    <mergeCell ref="AK23:AM23"/>
    <mergeCell ref="BI23:BV23"/>
    <mergeCell ref="D23:K23"/>
    <mergeCell ref="L23:O23"/>
    <mergeCell ref="P23:S23"/>
    <mergeCell ref="T23:W23"/>
    <mergeCell ref="X23:AA23"/>
    <mergeCell ref="AB23:AD23"/>
    <mergeCell ref="AE23:AG23"/>
    <mergeCell ref="AH24:AJ24"/>
    <mergeCell ref="AK24:AM24"/>
    <mergeCell ref="BI24:BV24"/>
    <mergeCell ref="D24:K24"/>
    <mergeCell ref="L24:O24"/>
    <mergeCell ref="P24:S24"/>
    <mergeCell ref="T24:W24"/>
    <mergeCell ref="X24:AA24"/>
    <mergeCell ref="AB24:AD24"/>
    <mergeCell ref="AE24:AG24"/>
    <mergeCell ref="AH25:AJ25"/>
    <mergeCell ref="AK25:AM25"/>
    <mergeCell ref="BI25:BV25"/>
    <mergeCell ref="D25:K25"/>
    <mergeCell ref="L25:O25"/>
    <mergeCell ref="P25:S25"/>
    <mergeCell ref="T25:W25"/>
    <mergeCell ref="X25:AA25"/>
    <mergeCell ref="AB25:AD25"/>
    <mergeCell ref="AE25:AG25"/>
    <mergeCell ref="AH26:AJ26"/>
    <mergeCell ref="AK26:AM26"/>
    <mergeCell ref="BI26:BV26"/>
    <mergeCell ref="D26:K26"/>
    <mergeCell ref="L26:O26"/>
    <mergeCell ref="P26:S26"/>
    <mergeCell ref="T26:W26"/>
    <mergeCell ref="X26:AA26"/>
    <mergeCell ref="AB26:AD26"/>
    <mergeCell ref="AE26:AG26"/>
    <mergeCell ref="AH27:AJ27"/>
    <mergeCell ref="AK27:AM27"/>
    <mergeCell ref="BI27:BV27"/>
    <mergeCell ref="D27:K27"/>
    <mergeCell ref="L27:O27"/>
    <mergeCell ref="P27:S27"/>
    <mergeCell ref="T27:W27"/>
    <mergeCell ref="X27:AA27"/>
    <mergeCell ref="AB27:AD27"/>
    <mergeCell ref="AE27:AG27"/>
    <mergeCell ref="AH28:AJ28"/>
    <mergeCell ref="AK28:AM28"/>
    <mergeCell ref="BI28:BV28"/>
    <mergeCell ref="D28:K28"/>
    <mergeCell ref="L28:O28"/>
    <mergeCell ref="P28:S28"/>
    <mergeCell ref="T28:W28"/>
    <mergeCell ref="X28:AA28"/>
    <mergeCell ref="AB28:AD28"/>
    <mergeCell ref="AE28:AG28"/>
    <mergeCell ref="AH29:AJ29"/>
    <mergeCell ref="AK29:AM29"/>
    <mergeCell ref="BI29:BV29"/>
    <mergeCell ref="D29:K29"/>
    <mergeCell ref="L29:O29"/>
    <mergeCell ref="P29:S29"/>
    <mergeCell ref="T29:W29"/>
    <mergeCell ref="X29:AA29"/>
    <mergeCell ref="AB29:AD29"/>
    <mergeCell ref="AE29:AG29"/>
    <mergeCell ref="AH30:AJ30"/>
    <mergeCell ref="AK30:AM30"/>
    <mergeCell ref="BI30:BV30"/>
    <mergeCell ref="D30:K30"/>
    <mergeCell ref="L30:O30"/>
    <mergeCell ref="P30:S30"/>
    <mergeCell ref="T30:W30"/>
    <mergeCell ref="X30:AA30"/>
    <mergeCell ref="AB30:AD30"/>
    <mergeCell ref="AE30:AG30"/>
    <mergeCell ref="AH31:AJ31"/>
    <mergeCell ref="AK31:AM31"/>
    <mergeCell ref="BI31:BV31"/>
    <mergeCell ref="D31:K31"/>
    <mergeCell ref="L31:O31"/>
    <mergeCell ref="P31:S31"/>
    <mergeCell ref="T31:W31"/>
    <mergeCell ref="X31:AA31"/>
    <mergeCell ref="AB31:AD31"/>
    <mergeCell ref="AE31:AG31"/>
    <mergeCell ref="AH32:AJ32"/>
    <mergeCell ref="AK32:AM32"/>
    <mergeCell ref="BI32:BV32"/>
    <mergeCell ref="D32:K32"/>
    <mergeCell ref="L32:O32"/>
    <mergeCell ref="P32:S32"/>
    <mergeCell ref="T32:W32"/>
    <mergeCell ref="X32:AA32"/>
    <mergeCell ref="AB32:AD32"/>
    <mergeCell ref="AE32:AG32"/>
    <mergeCell ref="AH33:AJ33"/>
    <mergeCell ref="AK33:AM33"/>
    <mergeCell ref="BI33:BV33"/>
    <mergeCell ref="D33:K33"/>
    <mergeCell ref="L33:O33"/>
    <mergeCell ref="P33:S33"/>
    <mergeCell ref="T33:W33"/>
    <mergeCell ref="X33:AA33"/>
    <mergeCell ref="AB33:AD33"/>
    <mergeCell ref="AE33:AG33"/>
    <mergeCell ref="AH34:AJ34"/>
    <mergeCell ref="AK34:AM34"/>
    <mergeCell ref="BI34:BV34"/>
    <mergeCell ref="D34:K34"/>
    <mergeCell ref="L34:O34"/>
    <mergeCell ref="P34:S34"/>
    <mergeCell ref="T34:W34"/>
    <mergeCell ref="X34:AA34"/>
    <mergeCell ref="AB34:AD34"/>
    <mergeCell ref="AE34:AG34"/>
    <mergeCell ref="AH35:AJ35"/>
    <mergeCell ref="AK35:AM35"/>
    <mergeCell ref="BI35:BV35"/>
    <mergeCell ref="D35:K35"/>
    <mergeCell ref="L35:O35"/>
    <mergeCell ref="P35:S35"/>
    <mergeCell ref="T35:W35"/>
    <mergeCell ref="X35:AA35"/>
    <mergeCell ref="AB35:AD35"/>
    <mergeCell ref="AE35:AG35"/>
    <mergeCell ref="AH36:AJ36"/>
    <mergeCell ref="AK36:AM36"/>
    <mergeCell ref="BI36:BV36"/>
    <mergeCell ref="D36:K36"/>
    <mergeCell ref="L36:O36"/>
    <mergeCell ref="P36:S36"/>
    <mergeCell ref="T36:W36"/>
    <mergeCell ref="X36:AA36"/>
    <mergeCell ref="AB36:AD36"/>
    <mergeCell ref="AE36:AG36"/>
    <mergeCell ref="AH37:AJ37"/>
    <mergeCell ref="AK37:AM37"/>
    <mergeCell ref="BI37:BV37"/>
    <mergeCell ref="D37:K37"/>
    <mergeCell ref="L37:O37"/>
    <mergeCell ref="P37:S37"/>
    <mergeCell ref="T37:W37"/>
    <mergeCell ref="X37:AA37"/>
    <mergeCell ref="AB37:AD37"/>
    <mergeCell ref="AE37:AG37"/>
    <mergeCell ref="AH38:AJ38"/>
    <mergeCell ref="AK38:AM38"/>
    <mergeCell ref="BI38:BV38"/>
    <mergeCell ref="D38:K38"/>
    <mergeCell ref="L38:O38"/>
    <mergeCell ref="P38:S38"/>
    <mergeCell ref="T38:W38"/>
    <mergeCell ref="X38:AA38"/>
    <mergeCell ref="AB38:AD38"/>
    <mergeCell ref="AE38:AG38"/>
    <mergeCell ref="AH39:AJ39"/>
    <mergeCell ref="AK39:AM39"/>
    <mergeCell ref="BI39:BV39"/>
    <mergeCell ref="D39:K39"/>
    <mergeCell ref="L39:O39"/>
    <mergeCell ref="P39:S39"/>
    <mergeCell ref="T39:W39"/>
    <mergeCell ref="X39:AA39"/>
    <mergeCell ref="AB39:AD39"/>
    <mergeCell ref="AE39:AG39"/>
    <mergeCell ref="AH40:AJ40"/>
    <mergeCell ref="AK40:AM40"/>
    <mergeCell ref="BI40:BV40"/>
    <mergeCell ref="D40:K40"/>
    <mergeCell ref="L40:O40"/>
    <mergeCell ref="P40:S40"/>
    <mergeCell ref="T40:W40"/>
    <mergeCell ref="X40:AA40"/>
    <mergeCell ref="AB40:AD40"/>
    <mergeCell ref="AE40:AG40"/>
    <mergeCell ref="AH41:AJ41"/>
    <mergeCell ref="AK41:AM41"/>
    <mergeCell ref="BI41:BV41"/>
    <mergeCell ref="D41:K41"/>
    <mergeCell ref="L41:O41"/>
    <mergeCell ref="P41:S41"/>
    <mergeCell ref="T41:W41"/>
    <mergeCell ref="X41:AA41"/>
    <mergeCell ref="AB41:AD41"/>
    <mergeCell ref="AE41:AG41"/>
    <mergeCell ref="AH42:AJ42"/>
    <mergeCell ref="AK42:AM42"/>
    <mergeCell ref="BI42:BV42"/>
    <mergeCell ref="D42:K42"/>
    <mergeCell ref="L42:O42"/>
    <mergeCell ref="P42:S42"/>
    <mergeCell ref="T42:W42"/>
    <mergeCell ref="X42:AA42"/>
    <mergeCell ref="AB42:AD42"/>
    <mergeCell ref="AE42:AG42"/>
    <mergeCell ref="AH43:AJ43"/>
    <mergeCell ref="AK43:AM43"/>
    <mergeCell ref="BI43:BV43"/>
    <mergeCell ref="D43:K43"/>
    <mergeCell ref="L43:O43"/>
    <mergeCell ref="P43:S43"/>
    <mergeCell ref="T43:W43"/>
    <mergeCell ref="X43:AA43"/>
    <mergeCell ref="AB43:AD43"/>
    <mergeCell ref="AE43:AG43"/>
    <mergeCell ref="AH44:AJ44"/>
    <mergeCell ref="AK44:AM44"/>
    <mergeCell ref="BI44:BV44"/>
    <mergeCell ref="D44:K44"/>
    <mergeCell ref="L44:O44"/>
    <mergeCell ref="P44:S44"/>
    <mergeCell ref="T44:W44"/>
    <mergeCell ref="X44:AA44"/>
    <mergeCell ref="AB44:AD44"/>
    <mergeCell ref="AE44:AG44"/>
    <mergeCell ref="AH45:AJ45"/>
    <mergeCell ref="AK45:AM45"/>
    <mergeCell ref="BI45:BV45"/>
    <mergeCell ref="D45:K45"/>
    <mergeCell ref="L45:O45"/>
    <mergeCell ref="P45:S45"/>
    <mergeCell ref="T45:W45"/>
    <mergeCell ref="X45:AA45"/>
    <mergeCell ref="AB45:AD45"/>
    <mergeCell ref="AE45:AG45"/>
    <mergeCell ref="AH46:AJ46"/>
    <mergeCell ref="AK46:AM46"/>
    <mergeCell ref="BI46:BV46"/>
    <mergeCell ref="D46:K46"/>
    <mergeCell ref="L46:O46"/>
    <mergeCell ref="P46:S46"/>
    <mergeCell ref="T46:W46"/>
    <mergeCell ref="X46:AA46"/>
    <mergeCell ref="AB46:AD46"/>
    <mergeCell ref="AE46:AG46"/>
    <mergeCell ref="AH47:AJ47"/>
    <mergeCell ref="AK47:AM47"/>
    <mergeCell ref="BI47:BV47"/>
    <mergeCell ref="D47:K47"/>
    <mergeCell ref="L47:O47"/>
    <mergeCell ref="P47:S47"/>
    <mergeCell ref="T47:W47"/>
    <mergeCell ref="X47:AA47"/>
    <mergeCell ref="AB47:AD47"/>
    <mergeCell ref="AE47:AG47"/>
    <mergeCell ref="AH48:AJ48"/>
    <mergeCell ref="AK48:AM48"/>
    <mergeCell ref="BI48:BV48"/>
    <mergeCell ref="D48:K48"/>
    <mergeCell ref="L48:O48"/>
    <mergeCell ref="P48:S48"/>
    <mergeCell ref="T48:W48"/>
    <mergeCell ref="X48:AA48"/>
    <mergeCell ref="AB48:AD48"/>
    <mergeCell ref="AE48:AG48"/>
    <mergeCell ref="AH49:AJ49"/>
    <mergeCell ref="AK49:AM49"/>
    <mergeCell ref="BI49:BV49"/>
    <mergeCell ref="D49:K49"/>
    <mergeCell ref="L49:O49"/>
    <mergeCell ref="P49:S49"/>
    <mergeCell ref="T49:W49"/>
    <mergeCell ref="X49:AA49"/>
    <mergeCell ref="AB49:AD49"/>
    <mergeCell ref="AE49:AG49"/>
    <mergeCell ref="AH50:AJ50"/>
    <mergeCell ref="AK50:AM50"/>
    <mergeCell ref="BI50:BV50"/>
    <mergeCell ref="D50:K50"/>
    <mergeCell ref="L50:O50"/>
    <mergeCell ref="P50:S50"/>
    <mergeCell ref="T50:W50"/>
    <mergeCell ref="X50:AA50"/>
    <mergeCell ref="AB50:AD50"/>
    <mergeCell ref="AE50:AG50"/>
    <mergeCell ref="AH51:AJ51"/>
    <mergeCell ref="AK51:AM51"/>
    <mergeCell ref="BI51:BV51"/>
    <mergeCell ref="D51:K51"/>
    <mergeCell ref="L51:O51"/>
    <mergeCell ref="P51:S51"/>
    <mergeCell ref="T51:W51"/>
    <mergeCell ref="X51:AA51"/>
    <mergeCell ref="AB51:AD51"/>
    <mergeCell ref="AE51:AG51"/>
    <mergeCell ref="AH52:AJ52"/>
    <mergeCell ref="AK52:AM52"/>
    <mergeCell ref="BI52:BV52"/>
    <mergeCell ref="D52:K52"/>
    <mergeCell ref="L52:O52"/>
    <mergeCell ref="P52:S52"/>
    <mergeCell ref="T52:W52"/>
    <mergeCell ref="X52:AA52"/>
    <mergeCell ref="AB52:AD52"/>
    <mergeCell ref="AE52:AG52"/>
    <mergeCell ref="AH53:AJ53"/>
    <mergeCell ref="AK53:AM53"/>
    <mergeCell ref="BI53:BV53"/>
    <mergeCell ref="D53:K53"/>
    <mergeCell ref="L53:O53"/>
    <mergeCell ref="P53:S53"/>
    <mergeCell ref="T53:W53"/>
    <mergeCell ref="X53:AA53"/>
    <mergeCell ref="AB53:AD53"/>
    <mergeCell ref="AE53:AG53"/>
    <mergeCell ref="AH54:AJ54"/>
    <mergeCell ref="AK54:AM54"/>
    <mergeCell ref="BI54:BV54"/>
    <mergeCell ref="D54:K54"/>
    <mergeCell ref="L54:O54"/>
    <mergeCell ref="P54:S54"/>
    <mergeCell ref="T54:W54"/>
    <mergeCell ref="X54:AA54"/>
    <mergeCell ref="AB54:AD54"/>
    <mergeCell ref="AE54:AG54"/>
    <mergeCell ref="AH55:AJ55"/>
    <mergeCell ref="AK55:AM55"/>
    <mergeCell ref="BI55:BV55"/>
    <mergeCell ref="D55:K55"/>
    <mergeCell ref="L55:O55"/>
    <mergeCell ref="P55:S55"/>
    <mergeCell ref="T55:W55"/>
    <mergeCell ref="X55:AA55"/>
    <mergeCell ref="AB55:AD55"/>
    <mergeCell ref="AE55:AG55"/>
    <mergeCell ref="AH56:AJ56"/>
    <mergeCell ref="AK56:AM56"/>
    <mergeCell ref="BI56:BV56"/>
    <mergeCell ref="D56:K56"/>
    <mergeCell ref="L56:O56"/>
    <mergeCell ref="P56:S56"/>
    <mergeCell ref="T56:W56"/>
    <mergeCell ref="X56:AA56"/>
    <mergeCell ref="AB56:AD56"/>
    <mergeCell ref="AE56:AG56"/>
    <mergeCell ref="AH57:AJ57"/>
    <mergeCell ref="AK57:AM57"/>
    <mergeCell ref="BI57:BV57"/>
    <mergeCell ref="D57:K57"/>
    <mergeCell ref="L57:O57"/>
    <mergeCell ref="P57:S57"/>
    <mergeCell ref="T57:W57"/>
    <mergeCell ref="X57:AA57"/>
    <mergeCell ref="AB57:AD57"/>
    <mergeCell ref="AE57:AG57"/>
    <mergeCell ref="AH58:AJ58"/>
    <mergeCell ref="AK58:AM58"/>
    <mergeCell ref="BI58:BV58"/>
    <mergeCell ref="D58:K58"/>
    <mergeCell ref="L58:O58"/>
    <mergeCell ref="P58:S58"/>
    <mergeCell ref="T58:W58"/>
    <mergeCell ref="X58:AA58"/>
    <mergeCell ref="AB58:AD58"/>
    <mergeCell ref="AE58:AG58"/>
    <mergeCell ref="AH59:AJ59"/>
    <mergeCell ref="AK59:AM59"/>
    <mergeCell ref="BI59:BV59"/>
    <mergeCell ref="D59:K59"/>
    <mergeCell ref="L59:O59"/>
    <mergeCell ref="P59:S59"/>
    <mergeCell ref="T59:W59"/>
    <mergeCell ref="X59:AA59"/>
    <mergeCell ref="AB59:AD59"/>
    <mergeCell ref="AE59:AG59"/>
    <mergeCell ref="AH60:AJ60"/>
    <mergeCell ref="AK60:AM60"/>
    <mergeCell ref="BI60:BV60"/>
    <mergeCell ref="D60:K60"/>
    <mergeCell ref="L60:O60"/>
    <mergeCell ref="P60:S60"/>
    <mergeCell ref="T60:W60"/>
    <mergeCell ref="X60:AA60"/>
    <mergeCell ref="AB60:AD60"/>
    <mergeCell ref="AE60:AG60"/>
    <mergeCell ref="AH61:AJ61"/>
    <mergeCell ref="AK61:AM61"/>
    <mergeCell ref="BI61:BV61"/>
    <mergeCell ref="D61:K61"/>
    <mergeCell ref="L61:O61"/>
    <mergeCell ref="P61:S61"/>
    <mergeCell ref="T61:W61"/>
    <mergeCell ref="X61:AA61"/>
    <mergeCell ref="AB61:AD61"/>
    <mergeCell ref="AE61:AG61"/>
    <mergeCell ref="AH62:AJ62"/>
    <mergeCell ref="AK62:AM62"/>
    <mergeCell ref="BI62:BV62"/>
    <mergeCell ref="D62:K62"/>
    <mergeCell ref="L62:O62"/>
    <mergeCell ref="P62:S62"/>
    <mergeCell ref="T62:W62"/>
    <mergeCell ref="X62:AA62"/>
    <mergeCell ref="AB62:AD62"/>
    <mergeCell ref="AE62:AG62"/>
    <mergeCell ref="AH63:AJ63"/>
    <mergeCell ref="AK63:AM63"/>
    <mergeCell ref="BI63:BV63"/>
    <mergeCell ref="D63:K63"/>
    <mergeCell ref="L63:O63"/>
    <mergeCell ref="P63:S63"/>
    <mergeCell ref="T63:W63"/>
    <mergeCell ref="X63:AA63"/>
    <mergeCell ref="AB63:AD63"/>
    <mergeCell ref="AE63:AG63"/>
    <mergeCell ref="AH64:AJ64"/>
    <mergeCell ref="AK64:AM64"/>
    <mergeCell ref="BI64:BV64"/>
    <mergeCell ref="D64:K64"/>
    <mergeCell ref="L64:O64"/>
    <mergeCell ref="P64:S64"/>
    <mergeCell ref="T64:W64"/>
    <mergeCell ref="X64:AA64"/>
    <mergeCell ref="AB64:AD64"/>
    <mergeCell ref="AE64:AG64"/>
    <mergeCell ref="AH65:AJ65"/>
    <mergeCell ref="AK65:AM65"/>
    <mergeCell ref="BI65:BV65"/>
    <mergeCell ref="D65:K65"/>
    <mergeCell ref="L65:O65"/>
    <mergeCell ref="P65:S65"/>
    <mergeCell ref="T65:W65"/>
    <mergeCell ref="X65:AA65"/>
    <mergeCell ref="AB65:AD65"/>
    <mergeCell ref="AE65:AG65"/>
    <mergeCell ref="AH66:AJ66"/>
    <mergeCell ref="AK66:AM66"/>
    <mergeCell ref="BI66:BV66"/>
    <mergeCell ref="D66:K66"/>
    <mergeCell ref="L66:O66"/>
    <mergeCell ref="P66:S66"/>
    <mergeCell ref="T66:W66"/>
    <mergeCell ref="X66:AA66"/>
    <mergeCell ref="AB66:AD66"/>
    <mergeCell ref="AE66:AG66"/>
    <mergeCell ref="AH67:AJ67"/>
    <mergeCell ref="AK67:AM67"/>
    <mergeCell ref="BI67:BV67"/>
    <mergeCell ref="D67:K67"/>
    <mergeCell ref="L67:O67"/>
    <mergeCell ref="P67:S67"/>
    <mergeCell ref="T67:W67"/>
    <mergeCell ref="X67:AA67"/>
    <mergeCell ref="AB67:AD67"/>
    <mergeCell ref="AE67:AG67"/>
    <mergeCell ref="AH68:AJ68"/>
    <mergeCell ref="AK68:AM68"/>
    <mergeCell ref="BI68:BV68"/>
    <mergeCell ref="D68:K68"/>
    <mergeCell ref="L68:O68"/>
    <mergeCell ref="P68:S68"/>
    <mergeCell ref="T68:W68"/>
    <mergeCell ref="X68:AA68"/>
    <mergeCell ref="AB68:AD68"/>
    <mergeCell ref="AE68:AG68"/>
    <mergeCell ref="AH69:AJ69"/>
    <mergeCell ref="AK69:AM69"/>
    <mergeCell ref="BI69:BV69"/>
    <mergeCell ref="D69:K69"/>
    <mergeCell ref="L69:O69"/>
    <mergeCell ref="P69:S69"/>
    <mergeCell ref="T69:W69"/>
    <mergeCell ref="X69:AA69"/>
    <mergeCell ref="AB69:AD69"/>
    <mergeCell ref="AE69:AG69"/>
    <mergeCell ref="AH70:AJ70"/>
    <mergeCell ref="AK70:AM70"/>
    <mergeCell ref="BI70:BV70"/>
    <mergeCell ref="D70:K70"/>
    <mergeCell ref="L70:O70"/>
    <mergeCell ref="P70:S70"/>
    <mergeCell ref="T70:W70"/>
    <mergeCell ref="X70:AA70"/>
    <mergeCell ref="AB70:AD70"/>
    <mergeCell ref="AE70:AG70"/>
    <mergeCell ref="AH71:AJ71"/>
    <mergeCell ref="AK71:AM71"/>
    <mergeCell ref="BI71:BV71"/>
    <mergeCell ref="D71:K71"/>
    <mergeCell ref="L71:O71"/>
    <mergeCell ref="P71:S71"/>
    <mergeCell ref="T71:W71"/>
    <mergeCell ref="X71:AA71"/>
    <mergeCell ref="AB71:AD71"/>
    <mergeCell ref="AE71:AG71"/>
    <mergeCell ref="AH72:AJ72"/>
    <mergeCell ref="AK72:AM72"/>
    <mergeCell ref="BI72:BV72"/>
    <mergeCell ref="D72:K72"/>
    <mergeCell ref="L72:O72"/>
    <mergeCell ref="P72:S72"/>
    <mergeCell ref="T72:W72"/>
    <mergeCell ref="X72:AA72"/>
    <mergeCell ref="AB72:AD72"/>
    <mergeCell ref="AE72:AG72"/>
    <mergeCell ref="AH73:AJ73"/>
    <mergeCell ref="AK73:AM73"/>
    <mergeCell ref="BI73:BV73"/>
    <mergeCell ref="D73:K73"/>
    <mergeCell ref="L73:O73"/>
    <mergeCell ref="P73:S73"/>
    <mergeCell ref="T73:W73"/>
    <mergeCell ref="X73:AA73"/>
    <mergeCell ref="AB73:AD73"/>
    <mergeCell ref="AE73:AG73"/>
    <mergeCell ref="AH74:AJ74"/>
    <mergeCell ref="AK74:AM74"/>
    <mergeCell ref="BI74:BV74"/>
    <mergeCell ref="D74:K74"/>
    <mergeCell ref="L74:O74"/>
    <mergeCell ref="P74:S74"/>
    <mergeCell ref="T74:W74"/>
    <mergeCell ref="X74:AA74"/>
    <mergeCell ref="AB74:AD74"/>
    <mergeCell ref="AE74:AG74"/>
    <mergeCell ref="AH75:AJ75"/>
    <mergeCell ref="AK75:AM75"/>
    <mergeCell ref="BI75:BV75"/>
    <mergeCell ref="D75:K75"/>
    <mergeCell ref="L75:O75"/>
    <mergeCell ref="P75:S75"/>
    <mergeCell ref="T75:W75"/>
    <mergeCell ref="X75:AA75"/>
    <mergeCell ref="AB75:AD75"/>
    <mergeCell ref="AE75:AG75"/>
    <mergeCell ref="AH76:AJ76"/>
    <mergeCell ref="AK76:AM76"/>
    <mergeCell ref="BI76:BV76"/>
    <mergeCell ref="D76:K76"/>
    <mergeCell ref="L76:O76"/>
    <mergeCell ref="P76:S76"/>
    <mergeCell ref="T76:W76"/>
    <mergeCell ref="X76:AA76"/>
    <mergeCell ref="AB76:AD76"/>
    <mergeCell ref="AE76:AG76"/>
    <mergeCell ref="AH77:AJ77"/>
    <mergeCell ref="AK77:AM77"/>
    <mergeCell ref="BI77:BV77"/>
    <mergeCell ref="D77:K77"/>
    <mergeCell ref="L77:O77"/>
    <mergeCell ref="P77:S77"/>
    <mergeCell ref="T77:W77"/>
    <mergeCell ref="X77:AA77"/>
    <mergeCell ref="AB77:AD77"/>
    <mergeCell ref="AE77:AG77"/>
    <mergeCell ref="AH78:AJ78"/>
    <mergeCell ref="AK78:AM78"/>
    <mergeCell ref="BI78:BV78"/>
    <mergeCell ref="D78:K78"/>
    <mergeCell ref="L78:O78"/>
    <mergeCell ref="P78:S78"/>
    <mergeCell ref="T78:W78"/>
    <mergeCell ref="X78:AA78"/>
    <mergeCell ref="AB78:AD78"/>
    <mergeCell ref="AE78:AG78"/>
    <mergeCell ref="AH79:AJ79"/>
    <mergeCell ref="AK79:AM79"/>
    <mergeCell ref="BI79:BV79"/>
    <mergeCell ref="D79:K79"/>
    <mergeCell ref="L79:O79"/>
    <mergeCell ref="P79:S79"/>
    <mergeCell ref="T79:W79"/>
    <mergeCell ref="X79:AA79"/>
    <mergeCell ref="AB79:AD79"/>
    <mergeCell ref="AE79:AG79"/>
    <mergeCell ref="AH80:AJ80"/>
    <mergeCell ref="AK80:AM80"/>
    <mergeCell ref="BI80:BV80"/>
    <mergeCell ref="D80:K80"/>
    <mergeCell ref="L80:O80"/>
    <mergeCell ref="P80:S80"/>
    <mergeCell ref="T80:W80"/>
    <mergeCell ref="X80:AA80"/>
    <mergeCell ref="AB80:AD80"/>
    <mergeCell ref="AE80:AG80"/>
    <mergeCell ref="AH81:AJ81"/>
    <mergeCell ref="AK81:AM81"/>
    <mergeCell ref="BI81:BV81"/>
    <mergeCell ref="D81:K81"/>
    <mergeCell ref="L81:O81"/>
    <mergeCell ref="P81:S81"/>
    <mergeCell ref="T81:W81"/>
    <mergeCell ref="X81:AA81"/>
    <mergeCell ref="AB81:AD81"/>
    <mergeCell ref="AE81:AG81"/>
    <mergeCell ref="AH82:AJ82"/>
    <mergeCell ref="AK82:AM82"/>
    <mergeCell ref="BI82:BV82"/>
    <mergeCell ref="D82:K82"/>
    <mergeCell ref="L82:O82"/>
    <mergeCell ref="P82:S82"/>
    <mergeCell ref="T82:W82"/>
    <mergeCell ref="X82:AA82"/>
    <mergeCell ref="AB82:AD82"/>
    <mergeCell ref="AE82:AG82"/>
    <mergeCell ref="AH83:AJ83"/>
    <mergeCell ref="AK83:AM83"/>
    <mergeCell ref="BI83:BV83"/>
    <mergeCell ref="D83:K83"/>
    <mergeCell ref="L83:O83"/>
    <mergeCell ref="P83:S83"/>
    <mergeCell ref="T83:W83"/>
    <mergeCell ref="X83:AA83"/>
    <mergeCell ref="AB83:AD83"/>
    <mergeCell ref="AE83:AG83"/>
    <mergeCell ref="AH84:AJ84"/>
    <mergeCell ref="AK84:AM84"/>
    <mergeCell ref="BI84:BV84"/>
    <mergeCell ref="D84:K84"/>
    <mergeCell ref="L84:O84"/>
    <mergeCell ref="P84:S84"/>
    <mergeCell ref="T84:W84"/>
    <mergeCell ref="X84:AA84"/>
    <mergeCell ref="AB84:AD84"/>
    <mergeCell ref="AE84:AG84"/>
    <mergeCell ref="AH85:AJ85"/>
    <mergeCell ref="AK85:AM85"/>
    <mergeCell ref="BI85:BV85"/>
    <mergeCell ref="D85:K85"/>
    <mergeCell ref="L85:O85"/>
    <mergeCell ref="P85:S85"/>
    <mergeCell ref="T85:W85"/>
    <mergeCell ref="X85:AA85"/>
    <mergeCell ref="AB85:AD85"/>
    <mergeCell ref="AE85:AG85"/>
    <mergeCell ref="AH86:AJ86"/>
    <mergeCell ref="AK86:AM86"/>
    <mergeCell ref="BI86:BV86"/>
    <mergeCell ref="D86:K86"/>
    <mergeCell ref="L86:O86"/>
    <mergeCell ref="P86:S86"/>
    <mergeCell ref="T86:W86"/>
    <mergeCell ref="X86:AA86"/>
    <mergeCell ref="AB86:AD86"/>
    <mergeCell ref="AE86:AG86"/>
    <mergeCell ref="AH87:AJ87"/>
    <mergeCell ref="AK87:AM87"/>
    <mergeCell ref="BI87:BV87"/>
    <mergeCell ref="D87:K87"/>
    <mergeCell ref="L87:O87"/>
    <mergeCell ref="P87:S87"/>
    <mergeCell ref="T87:W87"/>
    <mergeCell ref="X87:AA87"/>
    <mergeCell ref="AB87:AD87"/>
    <mergeCell ref="AE87:AG87"/>
    <mergeCell ref="AH88:AJ88"/>
    <mergeCell ref="AK88:AM88"/>
    <mergeCell ref="BI88:BV88"/>
    <mergeCell ref="D88:K88"/>
    <mergeCell ref="L88:O88"/>
    <mergeCell ref="P88:S88"/>
    <mergeCell ref="T88:W88"/>
    <mergeCell ref="X88:AA88"/>
    <mergeCell ref="AB88:AD88"/>
    <mergeCell ref="AE88:AG88"/>
    <mergeCell ref="AH89:AJ89"/>
    <mergeCell ref="AK89:AM89"/>
    <mergeCell ref="BI89:BV89"/>
    <mergeCell ref="D89:K89"/>
    <mergeCell ref="L89:O89"/>
    <mergeCell ref="P89:S89"/>
    <mergeCell ref="T89:W89"/>
    <mergeCell ref="X89:AA89"/>
    <mergeCell ref="AB89:AD89"/>
    <mergeCell ref="AE89:AG89"/>
    <mergeCell ref="AH90:AJ90"/>
    <mergeCell ref="AK90:AM90"/>
    <mergeCell ref="BI90:BV90"/>
    <mergeCell ref="D90:K90"/>
    <mergeCell ref="L90:O90"/>
    <mergeCell ref="P90:S90"/>
    <mergeCell ref="T90:W90"/>
    <mergeCell ref="X90:AA90"/>
    <mergeCell ref="AB90:AD90"/>
    <mergeCell ref="AE90:AG90"/>
    <mergeCell ref="AH91:AJ91"/>
    <mergeCell ref="AK91:AM91"/>
    <mergeCell ref="BI91:BV91"/>
    <mergeCell ref="D91:K91"/>
    <mergeCell ref="L91:O91"/>
    <mergeCell ref="P91:S91"/>
    <mergeCell ref="T91:W91"/>
    <mergeCell ref="X91:AA91"/>
    <mergeCell ref="AB91:AD91"/>
    <mergeCell ref="AE91:AG91"/>
    <mergeCell ref="AH92:AJ92"/>
    <mergeCell ref="AK92:AM92"/>
    <mergeCell ref="BI92:BV92"/>
    <mergeCell ref="D92:K92"/>
    <mergeCell ref="L92:O92"/>
    <mergeCell ref="P92:S92"/>
    <mergeCell ref="T92:W92"/>
    <mergeCell ref="X92:AA92"/>
    <mergeCell ref="AB92:AD92"/>
    <mergeCell ref="AE92:AG92"/>
    <mergeCell ref="AH93:AJ93"/>
    <mergeCell ref="AK93:AM93"/>
    <mergeCell ref="BI93:BV93"/>
    <mergeCell ref="D93:K93"/>
    <mergeCell ref="L93:O93"/>
    <mergeCell ref="P93:S93"/>
    <mergeCell ref="T93:W93"/>
    <mergeCell ref="X93:AA93"/>
    <mergeCell ref="AB93:AD93"/>
    <mergeCell ref="AE93:AG93"/>
    <mergeCell ref="AH94:AJ94"/>
    <mergeCell ref="AK94:AM94"/>
    <mergeCell ref="BI94:BV94"/>
    <mergeCell ref="D94:K94"/>
    <mergeCell ref="L94:O94"/>
    <mergeCell ref="P94:S94"/>
    <mergeCell ref="T94:W94"/>
    <mergeCell ref="X94:AA94"/>
    <mergeCell ref="AB94:AD94"/>
    <mergeCell ref="AE94:AG94"/>
    <mergeCell ref="AH95:AJ95"/>
    <mergeCell ref="AK95:AM95"/>
    <mergeCell ref="BI95:BV95"/>
    <mergeCell ref="D95:K95"/>
    <mergeCell ref="L95:O95"/>
    <mergeCell ref="P95:S95"/>
    <mergeCell ref="T95:W95"/>
    <mergeCell ref="X95:AA95"/>
    <mergeCell ref="AB95:AD95"/>
    <mergeCell ref="AE95:AG95"/>
    <mergeCell ref="AH96:AJ96"/>
    <mergeCell ref="AK96:AM96"/>
    <mergeCell ref="BI96:BV96"/>
    <mergeCell ref="D96:K96"/>
    <mergeCell ref="L96:O96"/>
    <mergeCell ref="P96:S96"/>
    <mergeCell ref="T96:W96"/>
    <mergeCell ref="X96:AA96"/>
    <mergeCell ref="AB96:AD96"/>
    <mergeCell ref="AE96:AG96"/>
    <mergeCell ref="AH97:AJ97"/>
    <mergeCell ref="AK97:AM97"/>
    <mergeCell ref="BI97:BV97"/>
    <mergeCell ref="D97:K97"/>
    <mergeCell ref="L97:O97"/>
    <mergeCell ref="P97:S97"/>
    <mergeCell ref="T97:W97"/>
    <mergeCell ref="X97:AA97"/>
    <mergeCell ref="AB97:AD97"/>
    <mergeCell ref="AE97:AG97"/>
    <mergeCell ref="AH98:AJ98"/>
    <mergeCell ref="AK98:AM98"/>
    <mergeCell ref="BI98:BV98"/>
    <mergeCell ref="D98:K98"/>
    <mergeCell ref="P98:S98"/>
    <mergeCell ref="T98:W98"/>
    <mergeCell ref="X98:AA98"/>
    <mergeCell ref="AB98:AD98"/>
    <mergeCell ref="AE98:AG98"/>
    <mergeCell ref="AH99:AJ99"/>
    <mergeCell ref="AK99:AM99"/>
    <mergeCell ref="BI99:BV99"/>
    <mergeCell ref="D99:K99"/>
    <mergeCell ref="P99:S99"/>
    <mergeCell ref="T99:W99"/>
    <mergeCell ref="X99:AA99"/>
    <mergeCell ref="AB99:AD99"/>
    <mergeCell ref="AE99:AG99"/>
    <mergeCell ref="AH100:AJ100"/>
    <mergeCell ref="AK100:AM100"/>
    <mergeCell ref="BI100:BV100"/>
    <mergeCell ref="D100:K100"/>
    <mergeCell ref="P100:S100"/>
    <mergeCell ref="T100:W100"/>
    <mergeCell ref="X100:AA100"/>
    <mergeCell ref="AB100:AD100"/>
    <mergeCell ref="AE100:AG100"/>
    <mergeCell ref="AH101:AJ101"/>
    <mergeCell ref="AK101:AM101"/>
    <mergeCell ref="BI101:BV101"/>
    <mergeCell ref="D101:K101"/>
    <mergeCell ref="P101:S101"/>
    <mergeCell ref="T101:W101"/>
    <mergeCell ref="X101:AA101"/>
    <mergeCell ref="AB101:AD101"/>
    <mergeCell ref="AE101:AG101"/>
    <mergeCell ref="AH102:AJ102"/>
    <mergeCell ref="AK102:AM102"/>
    <mergeCell ref="BI102:BV102"/>
    <mergeCell ref="D102:K102"/>
    <mergeCell ref="P102:S102"/>
    <mergeCell ref="T102:W102"/>
    <mergeCell ref="X102:AA102"/>
    <mergeCell ref="AB102:AD102"/>
    <mergeCell ref="AE102:AG102"/>
    <mergeCell ref="AH103:AJ103"/>
    <mergeCell ref="AK103:AM103"/>
    <mergeCell ref="BI103:BV103"/>
    <mergeCell ref="D103:K103"/>
    <mergeCell ref="P103:S103"/>
    <mergeCell ref="T103:W103"/>
    <mergeCell ref="X103:AA103"/>
    <mergeCell ref="AB103:AD103"/>
    <mergeCell ref="AE103:AG103"/>
    <mergeCell ref="AH104:AJ104"/>
    <mergeCell ref="AK104:AM104"/>
    <mergeCell ref="BI104:BV104"/>
    <mergeCell ref="D104:K104"/>
    <mergeCell ref="P104:S104"/>
    <mergeCell ref="T104:W104"/>
    <mergeCell ref="X104:AA104"/>
    <mergeCell ref="AB104:AD104"/>
    <mergeCell ref="AE104:AG104"/>
    <mergeCell ref="AH105:AJ105"/>
    <mergeCell ref="AK105:AM105"/>
    <mergeCell ref="BI105:BV105"/>
    <mergeCell ref="D105:K105"/>
    <mergeCell ref="P105:S105"/>
    <mergeCell ref="T105:W105"/>
    <mergeCell ref="X105:AA105"/>
    <mergeCell ref="AB105:AD105"/>
    <mergeCell ref="AE105:AG105"/>
    <mergeCell ref="AH106:AJ106"/>
    <mergeCell ref="AK106:AM106"/>
    <mergeCell ref="BI106:BV106"/>
    <mergeCell ref="D106:K106"/>
    <mergeCell ref="P106:S106"/>
    <mergeCell ref="T106:W106"/>
    <mergeCell ref="X106:AA106"/>
    <mergeCell ref="AB106:AD106"/>
    <mergeCell ref="AE106:AG106"/>
    <mergeCell ref="AH107:AJ107"/>
    <mergeCell ref="AK107:AM107"/>
    <mergeCell ref="BI107:BV107"/>
    <mergeCell ref="D107:K107"/>
    <mergeCell ref="P107:S107"/>
    <mergeCell ref="T107:W107"/>
    <mergeCell ref="X107:AA107"/>
    <mergeCell ref="AB107:AD107"/>
    <mergeCell ref="AE107:AG107"/>
    <mergeCell ref="AH108:AJ108"/>
    <mergeCell ref="AK108:AM108"/>
    <mergeCell ref="BI108:BV108"/>
    <mergeCell ref="D108:K108"/>
    <mergeCell ref="P108:S108"/>
    <mergeCell ref="T108:W108"/>
    <mergeCell ref="X108:AA108"/>
    <mergeCell ref="AB108:AD108"/>
    <mergeCell ref="AE108:AG108"/>
    <mergeCell ref="AH109:AJ109"/>
    <mergeCell ref="AK109:AM109"/>
    <mergeCell ref="BI109:BV109"/>
    <mergeCell ref="D109:K109"/>
    <mergeCell ref="P109:S109"/>
    <mergeCell ref="T109:W109"/>
    <mergeCell ref="X109:AA109"/>
    <mergeCell ref="AB109:AD109"/>
    <mergeCell ref="AE109:AG109"/>
    <mergeCell ref="AH110:AJ110"/>
    <mergeCell ref="AK110:AM110"/>
    <mergeCell ref="BI110:BV110"/>
    <mergeCell ref="D110:K110"/>
    <mergeCell ref="L111:O111"/>
    <mergeCell ref="P110:S110"/>
    <mergeCell ref="T110:W110"/>
    <mergeCell ref="X110:AA110"/>
    <mergeCell ref="AB110:AD110"/>
    <mergeCell ref="AE110:AG110"/>
    <mergeCell ref="AH111:AJ111"/>
    <mergeCell ref="AK111:AM111"/>
    <mergeCell ref="BI111:BV111"/>
    <mergeCell ref="D111:K111"/>
    <mergeCell ref="L112:O112"/>
    <mergeCell ref="P111:S111"/>
    <mergeCell ref="T111:W111"/>
    <mergeCell ref="X111:AA111"/>
    <mergeCell ref="AB111:AD111"/>
    <mergeCell ref="AE111:AG111"/>
    <mergeCell ref="AH112:AJ112"/>
    <mergeCell ref="AK112:AM112"/>
    <mergeCell ref="BI112:BV112"/>
    <mergeCell ref="D112:K112"/>
    <mergeCell ref="L113:O113"/>
    <mergeCell ref="P112:S112"/>
    <mergeCell ref="T112:W112"/>
    <mergeCell ref="X112:AA112"/>
    <mergeCell ref="AB112:AD112"/>
    <mergeCell ref="AE112:AG112"/>
    <mergeCell ref="AH113:AJ113"/>
    <mergeCell ref="AK113:AM113"/>
    <mergeCell ref="BI113:BV113"/>
    <mergeCell ref="D113:K113"/>
    <mergeCell ref="L114:O114"/>
    <mergeCell ref="P113:S113"/>
    <mergeCell ref="T113:W113"/>
    <mergeCell ref="X113:AA113"/>
    <mergeCell ref="AB113:AD113"/>
    <mergeCell ref="AE113:AG113"/>
    <mergeCell ref="AH114:AJ114"/>
    <mergeCell ref="AK114:AM114"/>
    <mergeCell ref="BI114:BV114"/>
    <mergeCell ref="D114:K114"/>
    <mergeCell ref="L115:O115"/>
    <mergeCell ref="P114:S114"/>
    <mergeCell ref="T114:W114"/>
    <mergeCell ref="X114:AA114"/>
    <mergeCell ref="AB114:AD114"/>
    <mergeCell ref="AE114:AG114"/>
    <mergeCell ref="AH115:AJ115"/>
    <mergeCell ref="AK115:AM115"/>
    <mergeCell ref="BI115:BV115"/>
    <mergeCell ref="D115:K115"/>
    <mergeCell ref="L116:O116"/>
    <mergeCell ref="P115:S115"/>
    <mergeCell ref="T115:W115"/>
    <mergeCell ref="X115:AA115"/>
    <mergeCell ref="AB115:AD115"/>
    <mergeCell ref="AE115:AG115"/>
    <mergeCell ref="AH116:AJ116"/>
    <mergeCell ref="AK116:AM116"/>
    <mergeCell ref="BI116:BV116"/>
    <mergeCell ref="D116:K116"/>
    <mergeCell ref="L117:O117"/>
    <mergeCell ref="P116:S116"/>
    <mergeCell ref="T116:W116"/>
    <mergeCell ref="X116:AA116"/>
    <mergeCell ref="AB116:AD116"/>
    <mergeCell ref="AE116:AG116"/>
    <mergeCell ref="AH117:AJ117"/>
    <mergeCell ref="AK117:AM117"/>
    <mergeCell ref="BI117:BV117"/>
    <mergeCell ref="D117:K117"/>
    <mergeCell ref="L118:O118"/>
    <mergeCell ref="P117:S117"/>
    <mergeCell ref="T117:W117"/>
    <mergeCell ref="X117:AA117"/>
    <mergeCell ref="AB117:AD117"/>
    <mergeCell ref="AE117:AG117"/>
    <mergeCell ref="AH118:AJ118"/>
    <mergeCell ref="AK118:AM118"/>
    <mergeCell ref="BI118:BV118"/>
    <mergeCell ref="D118:K118"/>
    <mergeCell ref="L119:O119"/>
    <mergeCell ref="P118:S118"/>
    <mergeCell ref="T118:W118"/>
    <mergeCell ref="X118:AA118"/>
    <mergeCell ref="AB118:AD118"/>
    <mergeCell ref="AE118:AG118"/>
    <mergeCell ref="AH119:AJ119"/>
    <mergeCell ref="AK119:AM119"/>
    <mergeCell ref="BI119:BV119"/>
    <mergeCell ref="D119:K119"/>
    <mergeCell ref="L120:O120"/>
    <mergeCell ref="P119:S119"/>
    <mergeCell ref="T119:W119"/>
    <mergeCell ref="X119:AA119"/>
    <mergeCell ref="AB119:AD119"/>
    <mergeCell ref="AE119:AG119"/>
    <mergeCell ref="AH120:AJ120"/>
    <mergeCell ref="AK120:AM120"/>
    <mergeCell ref="BI120:BV120"/>
    <mergeCell ref="D120:K120"/>
    <mergeCell ref="L121:O121"/>
    <mergeCell ref="P120:S120"/>
    <mergeCell ref="T120:W120"/>
    <mergeCell ref="X120:AA120"/>
    <mergeCell ref="AB120:AD120"/>
    <mergeCell ref="AE120:AG120"/>
    <mergeCell ref="AH121:AJ121"/>
    <mergeCell ref="AK121:AM121"/>
    <mergeCell ref="BI121:BV121"/>
    <mergeCell ref="D121:K121"/>
    <mergeCell ref="L122:O122"/>
    <mergeCell ref="P121:S121"/>
    <mergeCell ref="T121:W121"/>
    <mergeCell ref="X121:AA121"/>
    <mergeCell ref="AB121:AD121"/>
    <mergeCell ref="AE121:AG121"/>
    <mergeCell ref="AH122:AJ122"/>
    <mergeCell ref="AK122:AM122"/>
    <mergeCell ref="BI122:BV122"/>
    <mergeCell ref="D122:K122"/>
    <mergeCell ref="L123:O123"/>
    <mergeCell ref="P122:S122"/>
    <mergeCell ref="T122:W122"/>
    <mergeCell ref="X122:AA122"/>
    <mergeCell ref="AB122:AD122"/>
    <mergeCell ref="AE122:AG122"/>
    <mergeCell ref="AH123:AJ123"/>
    <mergeCell ref="AK123:AM123"/>
    <mergeCell ref="BI123:BV123"/>
    <mergeCell ref="D123:K123"/>
    <mergeCell ref="L124:O124"/>
    <mergeCell ref="P123:S123"/>
    <mergeCell ref="T123:W123"/>
    <mergeCell ref="X123:AA123"/>
    <mergeCell ref="AB123:AD123"/>
    <mergeCell ref="AE123:AG123"/>
    <mergeCell ref="AH124:AJ124"/>
    <mergeCell ref="AK124:AM124"/>
    <mergeCell ref="BI124:BV124"/>
    <mergeCell ref="D124:K124"/>
    <mergeCell ref="L125:O125"/>
    <mergeCell ref="P124:S124"/>
    <mergeCell ref="T124:W124"/>
    <mergeCell ref="X124:AA124"/>
    <mergeCell ref="AB124:AD124"/>
    <mergeCell ref="AE124:AG124"/>
    <mergeCell ref="AH125:AJ125"/>
    <mergeCell ref="AK125:AM125"/>
    <mergeCell ref="BI125:BV125"/>
    <mergeCell ref="D125:K125"/>
    <mergeCell ref="L126:O126"/>
    <mergeCell ref="P125:S125"/>
    <mergeCell ref="T125:W125"/>
    <mergeCell ref="X125:AA125"/>
    <mergeCell ref="AB125:AD125"/>
    <mergeCell ref="AE125:AG125"/>
    <mergeCell ref="AH126:AJ126"/>
    <mergeCell ref="AK126:AM126"/>
    <mergeCell ref="BI126:BV126"/>
    <mergeCell ref="D126:K126"/>
    <mergeCell ref="L127:O127"/>
    <mergeCell ref="P126:S126"/>
    <mergeCell ref="T126:W126"/>
    <mergeCell ref="X126:AA126"/>
    <mergeCell ref="AB126:AD126"/>
    <mergeCell ref="AE126:AG126"/>
    <mergeCell ref="AH127:AJ127"/>
    <mergeCell ref="AK127:AM127"/>
    <mergeCell ref="BI127:BV127"/>
    <mergeCell ref="D127:K127"/>
    <mergeCell ref="L128:O128"/>
    <mergeCell ref="P127:S127"/>
    <mergeCell ref="T127:W127"/>
    <mergeCell ref="X127:AA127"/>
    <mergeCell ref="AB127:AD127"/>
    <mergeCell ref="AE127:AG127"/>
    <mergeCell ref="AH128:AJ128"/>
    <mergeCell ref="AK128:AM128"/>
    <mergeCell ref="BI128:BV128"/>
    <mergeCell ref="D128:K128"/>
    <mergeCell ref="L129:O129"/>
    <mergeCell ref="P128:S128"/>
    <mergeCell ref="T128:W128"/>
    <mergeCell ref="X128:AA128"/>
    <mergeCell ref="AB128:AD128"/>
    <mergeCell ref="AE128:AG128"/>
    <mergeCell ref="AH129:AJ129"/>
    <mergeCell ref="AK129:AM129"/>
    <mergeCell ref="BI129:BV129"/>
    <mergeCell ref="D129:K129"/>
    <mergeCell ref="L130:O130"/>
    <mergeCell ref="P129:S129"/>
    <mergeCell ref="T129:W129"/>
    <mergeCell ref="X129:AA129"/>
    <mergeCell ref="AB129:AD129"/>
    <mergeCell ref="AE129:AG129"/>
    <mergeCell ref="AH130:AJ130"/>
    <mergeCell ref="AK130:AM130"/>
    <mergeCell ref="BI130:BV130"/>
    <mergeCell ref="D130:K130"/>
    <mergeCell ref="L131:O131"/>
    <mergeCell ref="P130:S130"/>
    <mergeCell ref="T130:W130"/>
    <mergeCell ref="X130:AA130"/>
    <mergeCell ref="AB130:AD130"/>
    <mergeCell ref="AE130:AG130"/>
    <mergeCell ref="AH131:AJ131"/>
    <mergeCell ref="AK131:AM131"/>
    <mergeCell ref="BI131:BV131"/>
    <mergeCell ref="D131:K131"/>
    <mergeCell ref="L132:O132"/>
    <mergeCell ref="P131:S131"/>
    <mergeCell ref="T131:W131"/>
    <mergeCell ref="X131:AA131"/>
    <mergeCell ref="AB131:AD131"/>
    <mergeCell ref="AE131:AG131"/>
    <mergeCell ref="AH132:AJ132"/>
    <mergeCell ref="AK132:AM132"/>
    <mergeCell ref="BI132:BV132"/>
    <mergeCell ref="D132:K132"/>
    <mergeCell ref="L133:O133"/>
    <mergeCell ref="P132:S132"/>
    <mergeCell ref="T132:W132"/>
    <mergeCell ref="X132:AA132"/>
    <mergeCell ref="AB132:AD132"/>
    <mergeCell ref="AE132:AG132"/>
    <mergeCell ref="AH133:AJ133"/>
    <mergeCell ref="AK133:AM133"/>
    <mergeCell ref="BI133:BV133"/>
    <mergeCell ref="D133:K133"/>
    <mergeCell ref="L134:O134"/>
    <mergeCell ref="P133:S133"/>
    <mergeCell ref="T133:W133"/>
    <mergeCell ref="X133:AA133"/>
    <mergeCell ref="AB133:AD133"/>
    <mergeCell ref="AE133:AG133"/>
    <mergeCell ref="AH134:AJ134"/>
    <mergeCell ref="AK134:AM134"/>
    <mergeCell ref="BI134:BV134"/>
    <mergeCell ref="D134:K134"/>
    <mergeCell ref="L135:O135"/>
    <mergeCell ref="P134:S134"/>
    <mergeCell ref="T134:W134"/>
    <mergeCell ref="X134:AA134"/>
    <mergeCell ref="AB134:AD134"/>
    <mergeCell ref="AE134:AG134"/>
    <mergeCell ref="AH135:AJ135"/>
    <mergeCell ref="AK135:AM135"/>
    <mergeCell ref="BI135:BV135"/>
    <mergeCell ref="D135:K135"/>
    <mergeCell ref="L136:O136"/>
    <mergeCell ref="P135:S135"/>
    <mergeCell ref="T135:W135"/>
    <mergeCell ref="X135:AA135"/>
    <mergeCell ref="AB135:AD135"/>
    <mergeCell ref="AE135:AG135"/>
    <mergeCell ref="AH136:AJ136"/>
    <mergeCell ref="AK136:AM136"/>
    <mergeCell ref="BI136:BV136"/>
    <mergeCell ref="D136:K136"/>
    <mergeCell ref="L137:O137"/>
    <mergeCell ref="P136:S136"/>
    <mergeCell ref="T136:W136"/>
    <mergeCell ref="X136:AA136"/>
    <mergeCell ref="AB136:AD136"/>
    <mergeCell ref="AE136:AG136"/>
    <mergeCell ref="AH137:AJ137"/>
    <mergeCell ref="AK137:AM137"/>
    <mergeCell ref="BI137:BV137"/>
    <mergeCell ref="D137:K137"/>
    <mergeCell ref="L138:O138"/>
    <mergeCell ref="P137:S137"/>
    <mergeCell ref="T137:W137"/>
    <mergeCell ref="X137:AA137"/>
    <mergeCell ref="AB137:AD137"/>
    <mergeCell ref="AE137:AG137"/>
    <mergeCell ref="AH138:AJ138"/>
    <mergeCell ref="AK138:AM138"/>
    <mergeCell ref="BI138:BV138"/>
    <mergeCell ref="D138:K138"/>
    <mergeCell ref="L139:O139"/>
    <mergeCell ref="P138:S138"/>
    <mergeCell ref="T138:W138"/>
    <mergeCell ref="X138:AA138"/>
    <mergeCell ref="AB138:AD138"/>
    <mergeCell ref="AE138:AG138"/>
    <mergeCell ref="AH139:AJ139"/>
    <mergeCell ref="AK139:AM139"/>
    <mergeCell ref="BI139:BV139"/>
    <mergeCell ref="D139:K139"/>
    <mergeCell ref="L140:O140"/>
    <mergeCell ref="P139:S139"/>
    <mergeCell ref="T139:W139"/>
    <mergeCell ref="X139:AA139"/>
    <mergeCell ref="AB139:AD139"/>
    <mergeCell ref="AE139:AG139"/>
    <mergeCell ref="AH140:AJ140"/>
    <mergeCell ref="AK140:AM140"/>
    <mergeCell ref="BI140:BV140"/>
    <mergeCell ref="D140:K140"/>
    <mergeCell ref="L141:O141"/>
    <mergeCell ref="P140:S140"/>
    <mergeCell ref="T140:W140"/>
    <mergeCell ref="X140:AA140"/>
    <mergeCell ref="AB140:AD140"/>
    <mergeCell ref="AE140:AG140"/>
    <mergeCell ref="AH141:AJ141"/>
    <mergeCell ref="AK141:AM141"/>
    <mergeCell ref="BI141:BV141"/>
    <mergeCell ref="D141:K141"/>
    <mergeCell ref="L142:O142"/>
    <mergeCell ref="P141:S141"/>
    <mergeCell ref="T141:W141"/>
    <mergeCell ref="X141:AA141"/>
    <mergeCell ref="AB141:AD141"/>
    <mergeCell ref="AE141:AG141"/>
    <mergeCell ref="AH142:AJ142"/>
    <mergeCell ref="AK142:AM142"/>
    <mergeCell ref="BI142:BV142"/>
    <mergeCell ref="D142:K142"/>
    <mergeCell ref="L143:O143"/>
    <mergeCell ref="P142:S142"/>
    <mergeCell ref="T142:W142"/>
    <mergeCell ref="X142:AA142"/>
    <mergeCell ref="AB142:AD142"/>
    <mergeCell ref="AE142:AG142"/>
    <mergeCell ref="AH143:AJ143"/>
    <mergeCell ref="AK143:AM143"/>
    <mergeCell ref="BI143:BV143"/>
    <mergeCell ref="D143:K143"/>
    <mergeCell ref="L144:O144"/>
    <mergeCell ref="P143:S143"/>
    <mergeCell ref="T143:W143"/>
    <mergeCell ref="X143:AA143"/>
    <mergeCell ref="AB143:AD143"/>
    <mergeCell ref="AE143:AG143"/>
    <mergeCell ref="AH144:AJ144"/>
    <mergeCell ref="AK144:AM144"/>
    <mergeCell ref="BI144:BV144"/>
    <mergeCell ref="D144:K144"/>
    <mergeCell ref="L145:O145"/>
    <mergeCell ref="P144:S144"/>
    <mergeCell ref="T144:W144"/>
    <mergeCell ref="X144:AA144"/>
    <mergeCell ref="AB144:AD144"/>
    <mergeCell ref="AE144:AG144"/>
    <mergeCell ref="AH145:AJ145"/>
    <mergeCell ref="AK145:AM145"/>
    <mergeCell ref="BI145:BV145"/>
    <mergeCell ref="D145:K145"/>
    <mergeCell ref="L146:O146"/>
    <mergeCell ref="P145:S145"/>
    <mergeCell ref="T145:W145"/>
    <mergeCell ref="X145:AA145"/>
    <mergeCell ref="AB145:AD145"/>
    <mergeCell ref="AE145:AG145"/>
    <mergeCell ref="AH146:AJ146"/>
    <mergeCell ref="AK146:AM146"/>
    <mergeCell ref="BI146:BV146"/>
    <mergeCell ref="D146:K146"/>
    <mergeCell ref="L147:O147"/>
    <mergeCell ref="P146:S146"/>
    <mergeCell ref="T146:W146"/>
    <mergeCell ref="X146:AA146"/>
    <mergeCell ref="AB146:AD146"/>
    <mergeCell ref="AE146:AG146"/>
    <mergeCell ref="AH147:AJ147"/>
    <mergeCell ref="AK147:AM147"/>
    <mergeCell ref="BI147:BV147"/>
    <mergeCell ref="D147:K147"/>
    <mergeCell ref="L148:O148"/>
    <mergeCell ref="P147:S147"/>
    <mergeCell ref="T147:W147"/>
    <mergeCell ref="X147:AA147"/>
    <mergeCell ref="AB147:AD147"/>
    <mergeCell ref="AE147:AG147"/>
    <mergeCell ref="AH148:AJ148"/>
    <mergeCell ref="AK148:AM148"/>
    <mergeCell ref="BI148:BV148"/>
    <mergeCell ref="D148:K148"/>
    <mergeCell ref="L149:O149"/>
    <mergeCell ref="P148:S148"/>
    <mergeCell ref="T148:W148"/>
    <mergeCell ref="X148:AA148"/>
    <mergeCell ref="AB148:AD148"/>
    <mergeCell ref="AE148:AG148"/>
    <mergeCell ref="AH149:AJ149"/>
    <mergeCell ref="AK149:AM149"/>
    <mergeCell ref="BI149:BV149"/>
    <mergeCell ref="D149:K149"/>
    <mergeCell ref="L150:O150"/>
    <mergeCell ref="P149:S149"/>
    <mergeCell ref="T149:W149"/>
    <mergeCell ref="X149:AA149"/>
    <mergeCell ref="AB149:AD149"/>
    <mergeCell ref="AE149:AG149"/>
    <mergeCell ref="AH150:AJ150"/>
    <mergeCell ref="AK150:AM150"/>
    <mergeCell ref="BI150:BV150"/>
    <mergeCell ref="D150:K150"/>
    <mergeCell ref="L151:O151"/>
    <mergeCell ref="P150:S150"/>
    <mergeCell ref="T150:W150"/>
    <mergeCell ref="X150:AA150"/>
    <mergeCell ref="AB150:AD150"/>
    <mergeCell ref="AE150:AG150"/>
    <mergeCell ref="AH151:AJ151"/>
    <mergeCell ref="AK151:AM151"/>
    <mergeCell ref="BI151:BV151"/>
    <mergeCell ref="D151:K151"/>
    <mergeCell ref="L152:O152"/>
    <mergeCell ref="P151:S151"/>
    <mergeCell ref="T151:W151"/>
    <mergeCell ref="X151:AA151"/>
    <mergeCell ref="AB151:AD151"/>
    <mergeCell ref="AE151:AG151"/>
    <mergeCell ref="AH152:AJ152"/>
    <mergeCell ref="AK152:AM152"/>
    <mergeCell ref="BI152:BV152"/>
    <mergeCell ref="D152:K152"/>
    <mergeCell ref="L153:O153"/>
    <mergeCell ref="P152:S152"/>
    <mergeCell ref="T152:W152"/>
    <mergeCell ref="X152:AA152"/>
    <mergeCell ref="AB152:AD152"/>
    <mergeCell ref="AE152:AG152"/>
    <mergeCell ref="AH153:AJ153"/>
    <mergeCell ref="AK153:AM153"/>
    <mergeCell ref="BI153:BV153"/>
    <mergeCell ref="D153:K153"/>
    <mergeCell ref="L154:O154"/>
    <mergeCell ref="P153:S153"/>
    <mergeCell ref="T153:W153"/>
    <mergeCell ref="X153:AA153"/>
    <mergeCell ref="AB153:AD153"/>
    <mergeCell ref="AE153:AG153"/>
    <mergeCell ref="AH154:AJ154"/>
    <mergeCell ref="AK154:AM154"/>
    <mergeCell ref="BI154:BV154"/>
    <mergeCell ref="D154:K154"/>
    <mergeCell ref="L155:O155"/>
    <mergeCell ref="P154:S154"/>
    <mergeCell ref="T154:W154"/>
    <mergeCell ref="X154:AA154"/>
    <mergeCell ref="AB154:AD154"/>
    <mergeCell ref="AE154:AG154"/>
    <mergeCell ref="AH155:AJ155"/>
    <mergeCell ref="AK155:AM155"/>
    <mergeCell ref="BI155:BV155"/>
    <mergeCell ref="D155:K155"/>
    <mergeCell ref="L156:O156"/>
    <mergeCell ref="P155:S155"/>
    <mergeCell ref="T155:W155"/>
    <mergeCell ref="X155:AA155"/>
    <mergeCell ref="AB155:AD155"/>
    <mergeCell ref="AE155:AG155"/>
    <mergeCell ref="AH156:AJ156"/>
    <mergeCell ref="AK156:AM156"/>
    <mergeCell ref="BI156:BV156"/>
    <mergeCell ref="D156:K156"/>
    <mergeCell ref="L157:O157"/>
    <mergeCell ref="P156:S156"/>
    <mergeCell ref="T156:W156"/>
    <mergeCell ref="X156:AA156"/>
    <mergeCell ref="AB156:AD156"/>
    <mergeCell ref="AE156:AG156"/>
    <mergeCell ref="AH157:AJ157"/>
    <mergeCell ref="AK157:AM157"/>
    <mergeCell ref="BI157:BV157"/>
    <mergeCell ref="D157:K157"/>
    <mergeCell ref="L158:O158"/>
    <mergeCell ref="P157:S157"/>
    <mergeCell ref="T157:W157"/>
    <mergeCell ref="X157:AA157"/>
    <mergeCell ref="AB157:AD157"/>
    <mergeCell ref="AE157:AG157"/>
    <mergeCell ref="AH158:AJ158"/>
    <mergeCell ref="AK158:AM158"/>
    <mergeCell ref="BI158:BV158"/>
    <mergeCell ref="D158:K158"/>
    <mergeCell ref="L159:O159"/>
    <mergeCell ref="P158:S158"/>
    <mergeCell ref="T158:W158"/>
    <mergeCell ref="X158:AA158"/>
    <mergeCell ref="AB158:AD158"/>
    <mergeCell ref="AE158:AG158"/>
    <mergeCell ref="AH159:AJ159"/>
    <mergeCell ref="AK159:AM159"/>
    <mergeCell ref="BI159:BV159"/>
    <mergeCell ref="D159:K159"/>
    <mergeCell ref="L160:O160"/>
    <mergeCell ref="P159:S159"/>
    <mergeCell ref="T159:W159"/>
    <mergeCell ref="X159:AA159"/>
    <mergeCell ref="AB159:AD159"/>
    <mergeCell ref="AE159:AG159"/>
    <mergeCell ref="AH160:AJ160"/>
    <mergeCell ref="AK160:AM160"/>
    <mergeCell ref="BI160:BV160"/>
    <mergeCell ref="D160:K160"/>
    <mergeCell ref="L161:O161"/>
    <mergeCell ref="P160:S160"/>
    <mergeCell ref="T160:W160"/>
    <mergeCell ref="X160:AA160"/>
    <mergeCell ref="AB160:AD160"/>
    <mergeCell ref="AE160:AG160"/>
    <mergeCell ref="AH161:AJ161"/>
    <mergeCell ref="AK161:AM161"/>
    <mergeCell ref="BI161:BV161"/>
    <mergeCell ref="D161:K161"/>
    <mergeCell ref="L162:O162"/>
    <mergeCell ref="P161:S161"/>
    <mergeCell ref="T161:W161"/>
    <mergeCell ref="X161:AA161"/>
    <mergeCell ref="AB161:AD161"/>
    <mergeCell ref="AE161:AG161"/>
    <mergeCell ref="AH162:AJ162"/>
    <mergeCell ref="AK162:AM162"/>
    <mergeCell ref="BI162:BV162"/>
    <mergeCell ref="D162:K162"/>
    <mergeCell ref="L163:O163"/>
    <mergeCell ref="P162:S162"/>
    <mergeCell ref="T162:W162"/>
    <mergeCell ref="X162:AA162"/>
    <mergeCell ref="AB162:AD162"/>
    <mergeCell ref="AE162:AG162"/>
    <mergeCell ref="AH163:AJ163"/>
    <mergeCell ref="AK163:AM163"/>
    <mergeCell ref="BI163:BV163"/>
    <mergeCell ref="D163:K163"/>
    <mergeCell ref="L164:O164"/>
    <mergeCell ref="P163:S163"/>
    <mergeCell ref="T163:W163"/>
    <mergeCell ref="X163:AA163"/>
    <mergeCell ref="AB163:AD163"/>
    <mergeCell ref="AE163:AG163"/>
    <mergeCell ref="AH164:AJ164"/>
    <mergeCell ref="AK164:AM164"/>
    <mergeCell ref="BI164:BV164"/>
    <mergeCell ref="D164:K164"/>
    <mergeCell ref="L165:O165"/>
    <mergeCell ref="P164:S164"/>
    <mergeCell ref="T164:W164"/>
    <mergeCell ref="X164:AA164"/>
    <mergeCell ref="AB164:AD164"/>
    <mergeCell ref="AE164:AG164"/>
    <mergeCell ref="AH165:AJ165"/>
    <mergeCell ref="AK165:AM165"/>
    <mergeCell ref="BI165:BV165"/>
    <mergeCell ref="D165:K165"/>
    <mergeCell ref="L166:O166"/>
    <mergeCell ref="P165:S165"/>
    <mergeCell ref="T165:W165"/>
    <mergeCell ref="X165:AA165"/>
    <mergeCell ref="AB165:AD165"/>
    <mergeCell ref="AE165:AG165"/>
    <mergeCell ref="AH166:AJ166"/>
    <mergeCell ref="AK166:AM166"/>
    <mergeCell ref="BI166:BV166"/>
    <mergeCell ref="D166:K166"/>
    <mergeCell ref="L167:O167"/>
    <mergeCell ref="P166:S166"/>
    <mergeCell ref="T166:W166"/>
    <mergeCell ref="X166:AA166"/>
    <mergeCell ref="AB166:AD166"/>
    <mergeCell ref="AE166:AG166"/>
    <mergeCell ref="AH167:AJ167"/>
    <mergeCell ref="AK167:AM167"/>
    <mergeCell ref="BI167:BV167"/>
    <mergeCell ref="D167:K167"/>
    <mergeCell ref="L168:O168"/>
    <mergeCell ref="P167:S167"/>
    <mergeCell ref="T167:W167"/>
    <mergeCell ref="X167:AA167"/>
    <mergeCell ref="AB167:AD167"/>
    <mergeCell ref="AE167:AG167"/>
    <mergeCell ref="AH168:AJ168"/>
    <mergeCell ref="AK168:AM168"/>
    <mergeCell ref="BI168:BV168"/>
    <mergeCell ref="D168:K168"/>
    <mergeCell ref="L169:O169"/>
    <mergeCell ref="P168:S168"/>
    <mergeCell ref="T168:W168"/>
    <mergeCell ref="X168:AA168"/>
    <mergeCell ref="AB168:AD168"/>
    <mergeCell ref="AE168:AG168"/>
    <mergeCell ref="AH169:AJ169"/>
    <mergeCell ref="AK169:AM169"/>
    <mergeCell ref="BI169:BV169"/>
    <mergeCell ref="D169:K169"/>
    <mergeCell ref="L170:O170"/>
    <mergeCell ref="P169:S169"/>
    <mergeCell ref="T169:W169"/>
    <mergeCell ref="X169:AA169"/>
    <mergeCell ref="AB169:AD169"/>
    <mergeCell ref="AE169:AG169"/>
    <mergeCell ref="AH170:AJ170"/>
    <mergeCell ref="AK170:AM170"/>
    <mergeCell ref="BI170:BV170"/>
    <mergeCell ref="D170:K170"/>
    <mergeCell ref="L171:O171"/>
    <mergeCell ref="P170:S170"/>
    <mergeCell ref="T170:W170"/>
    <mergeCell ref="X170:AA170"/>
    <mergeCell ref="AB170:AD170"/>
    <mergeCell ref="AE170:AG170"/>
    <mergeCell ref="AH171:AJ171"/>
    <mergeCell ref="AK171:AM171"/>
    <mergeCell ref="BI171:BV171"/>
    <mergeCell ref="D171:K171"/>
    <mergeCell ref="L172:O172"/>
    <mergeCell ref="P171:S171"/>
    <mergeCell ref="T171:W171"/>
    <mergeCell ref="X171:AA171"/>
    <mergeCell ref="AB171:AD171"/>
    <mergeCell ref="AE171:AG171"/>
    <mergeCell ref="AH172:AJ172"/>
    <mergeCell ref="AK172:AM172"/>
    <mergeCell ref="BI172:BV172"/>
    <mergeCell ref="D172:K172"/>
    <mergeCell ref="L173:O173"/>
    <mergeCell ref="P172:S172"/>
    <mergeCell ref="T172:W172"/>
    <mergeCell ref="X172:AA172"/>
    <mergeCell ref="AB172:AD172"/>
    <mergeCell ref="AE172:AG172"/>
    <mergeCell ref="AH173:AJ173"/>
    <mergeCell ref="AK173:AM173"/>
    <mergeCell ref="BI173:BV173"/>
    <mergeCell ref="D173:K173"/>
    <mergeCell ref="L174:O174"/>
    <mergeCell ref="P173:S173"/>
    <mergeCell ref="T173:W173"/>
    <mergeCell ref="X173:AA173"/>
    <mergeCell ref="AB173:AD173"/>
    <mergeCell ref="AE173:AG173"/>
    <mergeCell ref="AH174:AJ174"/>
    <mergeCell ref="AK174:AM174"/>
    <mergeCell ref="BI174:BV174"/>
    <mergeCell ref="D174:K174"/>
    <mergeCell ref="L175:O175"/>
    <mergeCell ref="P174:S174"/>
    <mergeCell ref="T174:W174"/>
    <mergeCell ref="X174:AA174"/>
    <mergeCell ref="AB174:AD174"/>
    <mergeCell ref="AE174:AG174"/>
    <mergeCell ref="AH175:AJ175"/>
    <mergeCell ref="AK175:AM175"/>
    <mergeCell ref="BI175:BV175"/>
    <mergeCell ref="D175:K175"/>
    <mergeCell ref="L176:O176"/>
    <mergeCell ref="P175:S175"/>
    <mergeCell ref="T175:W175"/>
    <mergeCell ref="X175:AA175"/>
    <mergeCell ref="AB175:AD175"/>
    <mergeCell ref="AE175:AG175"/>
    <mergeCell ref="AH176:AJ176"/>
    <mergeCell ref="AK176:AM176"/>
    <mergeCell ref="BI176:BV176"/>
    <mergeCell ref="D176:K176"/>
    <mergeCell ref="L177:O177"/>
    <mergeCell ref="P176:S176"/>
    <mergeCell ref="T176:W176"/>
    <mergeCell ref="X176:AA176"/>
    <mergeCell ref="AB176:AD176"/>
    <mergeCell ref="AE176:AG176"/>
    <mergeCell ref="AH177:AJ177"/>
    <mergeCell ref="AK177:AM177"/>
    <mergeCell ref="BI177:BV177"/>
    <mergeCell ref="D177:K177"/>
    <mergeCell ref="L178:O178"/>
    <mergeCell ref="P177:S177"/>
    <mergeCell ref="T177:W177"/>
    <mergeCell ref="X177:AA177"/>
    <mergeCell ref="AB177:AD177"/>
    <mergeCell ref="AE177:AG177"/>
    <mergeCell ref="AH178:AJ178"/>
    <mergeCell ref="AK178:AM178"/>
    <mergeCell ref="BI178:BV178"/>
    <mergeCell ref="D178:K178"/>
    <mergeCell ref="L179:O179"/>
    <mergeCell ref="P178:S178"/>
    <mergeCell ref="T178:W178"/>
    <mergeCell ref="X178:AA178"/>
    <mergeCell ref="AB178:AD178"/>
    <mergeCell ref="AE178:AG178"/>
    <mergeCell ref="AH179:AJ179"/>
    <mergeCell ref="AK179:AM179"/>
    <mergeCell ref="BI179:BV179"/>
    <mergeCell ref="D179:K179"/>
    <mergeCell ref="L180:O180"/>
    <mergeCell ref="P179:S179"/>
    <mergeCell ref="T179:W179"/>
    <mergeCell ref="X179:AA179"/>
    <mergeCell ref="AB179:AD179"/>
    <mergeCell ref="AE179:AG179"/>
    <mergeCell ref="AH180:AJ180"/>
    <mergeCell ref="AK180:AM180"/>
    <mergeCell ref="BI180:BV180"/>
    <mergeCell ref="D180:K180"/>
    <mergeCell ref="L181:O181"/>
    <mergeCell ref="P180:S180"/>
    <mergeCell ref="T180:W180"/>
    <mergeCell ref="X180:AA180"/>
    <mergeCell ref="AB180:AD180"/>
    <mergeCell ref="AE180:AG180"/>
    <mergeCell ref="AH181:AJ181"/>
    <mergeCell ref="AK181:AM181"/>
    <mergeCell ref="BI181:BV181"/>
    <mergeCell ref="D181:K181"/>
    <mergeCell ref="L182:O182"/>
    <mergeCell ref="P181:S181"/>
    <mergeCell ref="T181:W181"/>
    <mergeCell ref="X181:AA181"/>
    <mergeCell ref="AB181:AD181"/>
    <mergeCell ref="AE181:AG181"/>
    <mergeCell ref="AH182:AJ182"/>
    <mergeCell ref="AK182:AM182"/>
    <mergeCell ref="BI182:BV182"/>
    <mergeCell ref="D182:K182"/>
    <mergeCell ref="L183:O183"/>
    <mergeCell ref="P182:S182"/>
    <mergeCell ref="T182:W182"/>
    <mergeCell ref="X182:AA182"/>
    <mergeCell ref="AB182:AD182"/>
    <mergeCell ref="AE182:AG182"/>
    <mergeCell ref="AH183:AJ183"/>
    <mergeCell ref="AK183:AM183"/>
    <mergeCell ref="BI183:BV183"/>
    <mergeCell ref="D183:K183"/>
    <mergeCell ref="L184:O184"/>
    <mergeCell ref="P183:S183"/>
    <mergeCell ref="T183:W183"/>
    <mergeCell ref="X183:AA183"/>
    <mergeCell ref="AB183:AD183"/>
    <mergeCell ref="AE183:AG183"/>
    <mergeCell ref="AH184:AJ184"/>
    <mergeCell ref="AK184:AM184"/>
    <mergeCell ref="BI184:BV184"/>
    <mergeCell ref="D184:K184"/>
    <mergeCell ref="L185:O185"/>
    <mergeCell ref="P184:S184"/>
    <mergeCell ref="T184:W184"/>
    <mergeCell ref="X184:AA184"/>
    <mergeCell ref="AB184:AD184"/>
    <mergeCell ref="AE184:AG184"/>
    <mergeCell ref="AH185:AJ185"/>
    <mergeCell ref="AK185:AM185"/>
    <mergeCell ref="BI185:BV185"/>
    <mergeCell ref="D185:K185"/>
    <mergeCell ref="L186:O186"/>
    <mergeCell ref="P185:S185"/>
    <mergeCell ref="T185:W185"/>
    <mergeCell ref="X185:AA185"/>
    <mergeCell ref="AB185:AD185"/>
    <mergeCell ref="AE185:AG185"/>
    <mergeCell ref="AH186:AJ186"/>
    <mergeCell ref="AK186:AM186"/>
    <mergeCell ref="BI186:BV186"/>
    <mergeCell ref="D186:K186"/>
    <mergeCell ref="L187:O187"/>
    <mergeCell ref="P186:S186"/>
    <mergeCell ref="T186:W186"/>
    <mergeCell ref="X186:AA186"/>
    <mergeCell ref="AB186:AD186"/>
    <mergeCell ref="AE186:AG186"/>
    <mergeCell ref="AH187:AJ187"/>
    <mergeCell ref="AK187:AM187"/>
    <mergeCell ref="BI187:BV187"/>
    <mergeCell ref="D187:K187"/>
    <mergeCell ref="L188:O188"/>
    <mergeCell ref="P187:S187"/>
    <mergeCell ref="T187:W187"/>
    <mergeCell ref="X187:AA187"/>
    <mergeCell ref="AB187:AD187"/>
    <mergeCell ref="AE187:AG187"/>
    <mergeCell ref="AH188:AJ188"/>
    <mergeCell ref="AK188:AM188"/>
    <mergeCell ref="BI188:BV188"/>
    <mergeCell ref="D188:K188"/>
    <mergeCell ref="L189:O189"/>
    <mergeCell ref="P188:S188"/>
    <mergeCell ref="T188:W188"/>
    <mergeCell ref="X188:AA188"/>
    <mergeCell ref="AB188:AD188"/>
    <mergeCell ref="AE188:AG188"/>
    <mergeCell ref="AH189:AJ189"/>
    <mergeCell ref="AK189:AM189"/>
    <mergeCell ref="BI189:BV189"/>
    <mergeCell ref="D189:K189"/>
    <mergeCell ref="L190:O190"/>
    <mergeCell ref="P189:S189"/>
    <mergeCell ref="T189:W189"/>
    <mergeCell ref="X189:AA189"/>
    <mergeCell ref="AB189:AD189"/>
    <mergeCell ref="AE189:AG189"/>
    <mergeCell ref="AH190:AJ190"/>
    <mergeCell ref="AK190:AM190"/>
    <mergeCell ref="BI190:BV190"/>
    <mergeCell ref="D190:K190"/>
    <mergeCell ref="L191:O191"/>
    <mergeCell ref="P190:S190"/>
    <mergeCell ref="T190:W190"/>
    <mergeCell ref="X190:AA190"/>
    <mergeCell ref="AB190:AD190"/>
    <mergeCell ref="AE190:AG190"/>
    <mergeCell ref="AH191:AJ191"/>
    <mergeCell ref="AK191:AM191"/>
    <mergeCell ref="BI191:BV191"/>
    <mergeCell ref="D191:K191"/>
    <mergeCell ref="L192:O192"/>
    <mergeCell ref="P191:S191"/>
    <mergeCell ref="T191:W191"/>
    <mergeCell ref="X191:AA191"/>
    <mergeCell ref="AB191:AD191"/>
    <mergeCell ref="AE191:AG191"/>
    <mergeCell ref="AH192:AJ192"/>
    <mergeCell ref="AK192:AM192"/>
    <mergeCell ref="BI192:BV192"/>
    <mergeCell ref="D192:K192"/>
    <mergeCell ref="L193:O193"/>
    <mergeCell ref="P192:S192"/>
    <mergeCell ref="T192:W192"/>
    <mergeCell ref="X192:AA192"/>
    <mergeCell ref="AB192:AD192"/>
    <mergeCell ref="AE192:AG192"/>
    <mergeCell ref="AH193:AJ193"/>
    <mergeCell ref="AK193:AM193"/>
    <mergeCell ref="BI193:BV193"/>
    <mergeCell ref="D193:K193"/>
    <mergeCell ref="L194:O194"/>
    <mergeCell ref="P193:S193"/>
    <mergeCell ref="T193:W193"/>
    <mergeCell ref="X193:AA193"/>
    <mergeCell ref="AB193:AD193"/>
    <mergeCell ref="AE193:AG193"/>
    <mergeCell ref="AH194:AJ194"/>
    <mergeCell ref="AK194:AM194"/>
    <mergeCell ref="BI194:BV194"/>
    <mergeCell ref="D194:K194"/>
    <mergeCell ref="L195:O195"/>
    <mergeCell ref="P194:S194"/>
    <mergeCell ref="T194:W194"/>
    <mergeCell ref="X194:AA194"/>
    <mergeCell ref="AB194:AD194"/>
    <mergeCell ref="AE194:AG194"/>
    <mergeCell ref="AH195:AJ195"/>
    <mergeCell ref="AK195:AM195"/>
    <mergeCell ref="BI195:BV195"/>
    <mergeCell ref="D195:K195"/>
    <mergeCell ref="L196:O196"/>
    <mergeCell ref="P195:S195"/>
    <mergeCell ref="T195:W195"/>
    <mergeCell ref="X195:AA195"/>
    <mergeCell ref="AB195:AD195"/>
    <mergeCell ref="AE195:AG195"/>
    <mergeCell ref="AH196:AJ196"/>
    <mergeCell ref="AK196:AM196"/>
    <mergeCell ref="BI196:BV196"/>
    <mergeCell ref="D196:K196"/>
    <mergeCell ref="L197:O197"/>
    <mergeCell ref="P196:S196"/>
    <mergeCell ref="T196:W196"/>
    <mergeCell ref="X196:AA196"/>
    <mergeCell ref="AB196:AD196"/>
    <mergeCell ref="AE196:AG196"/>
    <mergeCell ref="AH197:AJ197"/>
    <mergeCell ref="AK197:AM197"/>
    <mergeCell ref="BI197:BV197"/>
    <mergeCell ref="D197:K197"/>
    <mergeCell ref="L198:O198"/>
    <mergeCell ref="P197:S197"/>
    <mergeCell ref="T197:W197"/>
    <mergeCell ref="X197:AA197"/>
    <mergeCell ref="AB197:AD197"/>
    <mergeCell ref="AE197:AG197"/>
    <mergeCell ref="AH198:AJ198"/>
    <mergeCell ref="AK198:AM198"/>
    <mergeCell ref="BI198:BV198"/>
    <mergeCell ref="D198:K198"/>
    <mergeCell ref="L199:O199"/>
    <mergeCell ref="P198:S198"/>
    <mergeCell ref="T198:W198"/>
    <mergeCell ref="X198:AA198"/>
    <mergeCell ref="AB198:AD198"/>
    <mergeCell ref="AE198:AG198"/>
    <mergeCell ref="AH199:AJ199"/>
    <mergeCell ref="AK199:AM199"/>
    <mergeCell ref="BI199:BV199"/>
    <mergeCell ref="D199:K199"/>
    <mergeCell ref="L200:O200"/>
    <mergeCell ref="P199:S199"/>
    <mergeCell ref="T199:W199"/>
    <mergeCell ref="X199:AA199"/>
    <mergeCell ref="AB199:AD199"/>
    <mergeCell ref="AE199:AG199"/>
    <mergeCell ref="AH200:AJ200"/>
    <mergeCell ref="AK200:AM200"/>
    <mergeCell ref="BI200:BV200"/>
    <mergeCell ref="D200:K200"/>
    <mergeCell ref="L201:O201"/>
    <mergeCell ref="P200:S200"/>
    <mergeCell ref="T200:W200"/>
    <mergeCell ref="X200:AA200"/>
    <mergeCell ref="AB200:AD200"/>
    <mergeCell ref="AE200:AG200"/>
    <mergeCell ref="AH201:AJ201"/>
    <mergeCell ref="AK201:AM201"/>
    <mergeCell ref="BI201:BV201"/>
    <mergeCell ref="D201:K201"/>
    <mergeCell ref="L202:O202"/>
    <mergeCell ref="P201:S201"/>
    <mergeCell ref="T201:W201"/>
    <mergeCell ref="X201:AA201"/>
    <mergeCell ref="AB201:AD201"/>
    <mergeCell ref="AE201:AG201"/>
    <mergeCell ref="AH202:AJ202"/>
    <mergeCell ref="AK202:AM202"/>
    <mergeCell ref="BI202:BV202"/>
    <mergeCell ref="D202:K202"/>
    <mergeCell ref="L203:O203"/>
    <mergeCell ref="P202:S202"/>
    <mergeCell ref="T202:W202"/>
    <mergeCell ref="X202:AA202"/>
    <mergeCell ref="AB202:AD202"/>
    <mergeCell ref="AE202:AG202"/>
    <mergeCell ref="AH203:AJ203"/>
    <mergeCell ref="AK203:AM203"/>
    <mergeCell ref="BI203:BV203"/>
    <mergeCell ref="D203:K203"/>
    <mergeCell ref="L204:O204"/>
    <mergeCell ref="P203:S203"/>
    <mergeCell ref="T203:W203"/>
    <mergeCell ref="X203:AA203"/>
    <mergeCell ref="AB203:AD203"/>
    <mergeCell ref="AE203:AG203"/>
    <mergeCell ref="AH204:AJ204"/>
    <mergeCell ref="AK204:AM204"/>
    <mergeCell ref="BI204:BV204"/>
    <mergeCell ref="D204:K204"/>
    <mergeCell ref="L205:O205"/>
    <mergeCell ref="P204:S204"/>
    <mergeCell ref="T204:W204"/>
    <mergeCell ref="X204:AA204"/>
    <mergeCell ref="AB204:AD204"/>
    <mergeCell ref="AE204:AG204"/>
    <mergeCell ref="AH205:AJ205"/>
    <mergeCell ref="AK205:AM205"/>
    <mergeCell ref="BI205:BV205"/>
    <mergeCell ref="D205:K205"/>
    <mergeCell ref="L206:O206"/>
    <mergeCell ref="P205:S205"/>
    <mergeCell ref="T205:W205"/>
    <mergeCell ref="X205:AA205"/>
    <mergeCell ref="AB205:AD205"/>
    <mergeCell ref="AE205:AG205"/>
    <mergeCell ref="AH206:AJ206"/>
    <mergeCell ref="AK206:AM206"/>
    <mergeCell ref="BI206:BV206"/>
    <mergeCell ref="D206:K206"/>
    <mergeCell ref="L207:O207"/>
    <mergeCell ref="P206:S206"/>
    <mergeCell ref="T206:W206"/>
    <mergeCell ref="X206:AA206"/>
    <mergeCell ref="AB206:AD206"/>
    <mergeCell ref="AE206:AG206"/>
    <mergeCell ref="AH207:AJ207"/>
    <mergeCell ref="AK207:AM207"/>
    <mergeCell ref="BI207:BV207"/>
    <mergeCell ref="D207:K207"/>
    <mergeCell ref="L208:O208"/>
    <mergeCell ref="P207:S207"/>
    <mergeCell ref="T207:W207"/>
    <mergeCell ref="X207:AA207"/>
    <mergeCell ref="AB207:AD207"/>
    <mergeCell ref="AE207:AG207"/>
    <mergeCell ref="AH208:AJ208"/>
    <mergeCell ref="AK208:AM208"/>
    <mergeCell ref="BI208:BV208"/>
    <mergeCell ref="D208:K208"/>
    <mergeCell ref="L209:O209"/>
    <mergeCell ref="P208:S208"/>
    <mergeCell ref="T208:W208"/>
    <mergeCell ref="X208:AA208"/>
    <mergeCell ref="AB208:AD208"/>
    <mergeCell ref="AE208:AG208"/>
    <mergeCell ref="AH209:AJ209"/>
    <mergeCell ref="AK209:AM209"/>
    <mergeCell ref="BI209:BV209"/>
    <mergeCell ref="D209:K209"/>
    <mergeCell ref="L210:O210"/>
    <mergeCell ref="P209:S209"/>
    <mergeCell ref="T209:W209"/>
    <mergeCell ref="X209:AA209"/>
    <mergeCell ref="AB209:AD209"/>
    <mergeCell ref="AE209:AG209"/>
    <mergeCell ref="AH210:AJ210"/>
    <mergeCell ref="AK210:AM210"/>
    <mergeCell ref="BI210:BV210"/>
    <mergeCell ref="D210:K210"/>
    <mergeCell ref="L211:O211"/>
    <mergeCell ref="P210:S210"/>
    <mergeCell ref="T210:W210"/>
    <mergeCell ref="X210:AA210"/>
    <mergeCell ref="AB210:AD210"/>
    <mergeCell ref="AE210:AG210"/>
    <mergeCell ref="AH211:AJ211"/>
    <mergeCell ref="AK211:AM211"/>
    <mergeCell ref="BI211:BV211"/>
    <mergeCell ref="D211:K211"/>
    <mergeCell ref="L212:O212"/>
    <mergeCell ref="P211:S211"/>
    <mergeCell ref="T211:W211"/>
    <mergeCell ref="X211:AA211"/>
    <mergeCell ref="AB211:AD211"/>
    <mergeCell ref="AE211:AG211"/>
    <mergeCell ref="AH212:AJ212"/>
    <mergeCell ref="AK212:AM212"/>
    <mergeCell ref="BI212:BV212"/>
    <mergeCell ref="D212:K212"/>
    <mergeCell ref="L213:O213"/>
    <mergeCell ref="P212:S212"/>
    <mergeCell ref="T212:W212"/>
    <mergeCell ref="X212:AA212"/>
    <mergeCell ref="AB212:AD212"/>
    <mergeCell ref="AE212:AG212"/>
    <mergeCell ref="AH213:AJ213"/>
    <mergeCell ref="AK213:AM213"/>
    <mergeCell ref="BI213:BV213"/>
    <mergeCell ref="D213:K213"/>
    <mergeCell ref="L214:O214"/>
    <mergeCell ref="P213:S213"/>
    <mergeCell ref="T213:W213"/>
    <mergeCell ref="X213:AA213"/>
    <mergeCell ref="AB213:AD213"/>
    <mergeCell ref="AE213:AG213"/>
    <mergeCell ref="AH214:AJ214"/>
    <mergeCell ref="AK214:AM214"/>
    <mergeCell ref="BI214:BV214"/>
    <mergeCell ref="D214:K214"/>
    <mergeCell ref="L215:O215"/>
    <mergeCell ref="P214:S214"/>
    <mergeCell ref="T214:W214"/>
    <mergeCell ref="X214:AA214"/>
    <mergeCell ref="AB214:AD214"/>
    <mergeCell ref="AE214:AG214"/>
    <mergeCell ref="AH215:AJ215"/>
    <mergeCell ref="AK215:AM215"/>
    <mergeCell ref="BI215:BV215"/>
    <mergeCell ref="D215:K215"/>
    <mergeCell ref="L216:O216"/>
    <mergeCell ref="P215:S215"/>
    <mergeCell ref="T215:W215"/>
    <mergeCell ref="X215:AA215"/>
    <mergeCell ref="AB215:AD215"/>
    <mergeCell ref="AE215:AG215"/>
    <mergeCell ref="AH216:AJ216"/>
    <mergeCell ref="AK216:AM216"/>
    <mergeCell ref="BI216:BV216"/>
    <mergeCell ref="D216:K216"/>
    <mergeCell ref="L217:O217"/>
    <mergeCell ref="P216:S216"/>
    <mergeCell ref="T216:W216"/>
    <mergeCell ref="X216:AA216"/>
    <mergeCell ref="AB216:AD216"/>
    <mergeCell ref="AE216:AG216"/>
    <mergeCell ref="AH217:AJ217"/>
    <mergeCell ref="AK217:AM217"/>
    <mergeCell ref="BI217:BV217"/>
    <mergeCell ref="D217:K217"/>
    <mergeCell ref="L218:O218"/>
    <mergeCell ref="P217:S217"/>
    <mergeCell ref="T217:W217"/>
    <mergeCell ref="X217:AA217"/>
    <mergeCell ref="AB217:AD217"/>
    <mergeCell ref="AE217:AG217"/>
    <mergeCell ref="AH218:AJ218"/>
    <mergeCell ref="AK218:AM218"/>
    <mergeCell ref="BI218:BV218"/>
    <mergeCell ref="D218:K218"/>
    <mergeCell ref="L219:O219"/>
    <mergeCell ref="P218:S218"/>
    <mergeCell ref="T218:W218"/>
    <mergeCell ref="X218:AA218"/>
    <mergeCell ref="AB218:AD218"/>
    <mergeCell ref="AE218:AG218"/>
    <mergeCell ref="AH219:AJ219"/>
    <mergeCell ref="AK219:AM219"/>
    <mergeCell ref="BI219:BV219"/>
    <mergeCell ref="D219:K219"/>
    <mergeCell ref="L220:O220"/>
    <mergeCell ref="P219:S219"/>
    <mergeCell ref="T219:W219"/>
    <mergeCell ref="X219:AA219"/>
    <mergeCell ref="AB219:AD219"/>
    <mergeCell ref="AE219:AG219"/>
    <mergeCell ref="AH220:AJ220"/>
    <mergeCell ref="AK220:AM220"/>
    <mergeCell ref="BI220:BV220"/>
    <mergeCell ref="D220:K220"/>
    <mergeCell ref="L221:O221"/>
    <mergeCell ref="P220:S220"/>
    <mergeCell ref="T220:W220"/>
    <mergeCell ref="X220:AA220"/>
    <mergeCell ref="AB220:AD220"/>
    <mergeCell ref="AE220:AG220"/>
    <mergeCell ref="AH221:AJ221"/>
    <mergeCell ref="AK221:AM221"/>
    <mergeCell ref="BI221:BV221"/>
    <mergeCell ref="D221:K221"/>
    <mergeCell ref="L222:O222"/>
    <mergeCell ref="P221:S221"/>
    <mergeCell ref="T221:W221"/>
    <mergeCell ref="X221:AA221"/>
    <mergeCell ref="AB221:AD221"/>
    <mergeCell ref="AE221:AG221"/>
    <mergeCell ref="AH222:AJ222"/>
    <mergeCell ref="AK222:AM222"/>
    <mergeCell ref="BI222:BV222"/>
    <mergeCell ref="D222:K222"/>
    <mergeCell ref="L223:O223"/>
    <mergeCell ref="P222:S222"/>
    <mergeCell ref="T222:W222"/>
    <mergeCell ref="X222:AA222"/>
    <mergeCell ref="AB222:AD222"/>
    <mergeCell ref="AE222:AG222"/>
    <mergeCell ref="AH223:AJ223"/>
    <mergeCell ref="AK223:AM223"/>
    <mergeCell ref="BI223:BV223"/>
    <mergeCell ref="D223:K223"/>
    <mergeCell ref="L224:O224"/>
    <mergeCell ref="P223:S223"/>
    <mergeCell ref="T223:W223"/>
    <mergeCell ref="X223:AA223"/>
    <mergeCell ref="AB223:AD223"/>
    <mergeCell ref="AE223:AG223"/>
    <mergeCell ref="AH224:AJ224"/>
    <mergeCell ref="AK224:AM224"/>
    <mergeCell ref="BI224:BV224"/>
    <mergeCell ref="D224:K224"/>
    <mergeCell ref="L225:O225"/>
    <mergeCell ref="P224:S224"/>
    <mergeCell ref="T224:W224"/>
    <mergeCell ref="X224:AA224"/>
    <mergeCell ref="AB224:AD224"/>
    <mergeCell ref="AE224:AG224"/>
    <mergeCell ref="AH225:AJ225"/>
    <mergeCell ref="AK225:AM225"/>
    <mergeCell ref="BI225:BV225"/>
    <mergeCell ref="D225:K225"/>
    <mergeCell ref="L226:O226"/>
    <mergeCell ref="P225:S225"/>
    <mergeCell ref="T225:W225"/>
    <mergeCell ref="X225:AA225"/>
    <mergeCell ref="AB225:AD225"/>
    <mergeCell ref="AE225:AG225"/>
    <mergeCell ref="AH226:AJ226"/>
    <mergeCell ref="AK226:AM226"/>
    <mergeCell ref="BI226:BV226"/>
    <mergeCell ref="D226:K226"/>
    <mergeCell ref="L227:O227"/>
    <mergeCell ref="P226:S226"/>
    <mergeCell ref="T226:W226"/>
    <mergeCell ref="X226:AA226"/>
    <mergeCell ref="AB226:AD226"/>
    <mergeCell ref="AE226:AG226"/>
    <mergeCell ref="AH227:AJ227"/>
    <mergeCell ref="AK227:AM227"/>
    <mergeCell ref="BI227:BV227"/>
    <mergeCell ref="D227:K227"/>
    <mergeCell ref="L228:O228"/>
    <mergeCell ref="P227:S227"/>
    <mergeCell ref="T227:W227"/>
    <mergeCell ref="X227:AA227"/>
    <mergeCell ref="AB227:AD227"/>
    <mergeCell ref="AE227:AG227"/>
    <mergeCell ref="AH228:AJ228"/>
    <mergeCell ref="AK228:AM228"/>
    <mergeCell ref="BI228:BV228"/>
    <mergeCell ref="D228:K228"/>
    <mergeCell ref="L229:O229"/>
    <mergeCell ref="P228:S228"/>
    <mergeCell ref="T228:W228"/>
    <mergeCell ref="X228:AA228"/>
    <mergeCell ref="AB228:AD228"/>
    <mergeCell ref="AE228:AG228"/>
    <mergeCell ref="AH229:AJ229"/>
    <mergeCell ref="AK229:AM229"/>
    <mergeCell ref="BI229:BV229"/>
    <mergeCell ref="D229:K229"/>
    <mergeCell ref="L230:O230"/>
    <mergeCell ref="P229:S229"/>
    <mergeCell ref="T229:W229"/>
    <mergeCell ref="X229:AA229"/>
    <mergeCell ref="AB229:AD229"/>
    <mergeCell ref="AE229:AG229"/>
    <mergeCell ref="AH230:AJ230"/>
    <mergeCell ref="AK230:AM230"/>
    <mergeCell ref="BI230:BV230"/>
    <mergeCell ref="D230:K230"/>
    <mergeCell ref="L231:O231"/>
    <mergeCell ref="P230:S230"/>
    <mergeCell ref="T230:W230"/>
    <mergeCell ref="X230:AA230"/>
    <mergeCell ref="AB230:AD230"/>
    <mergeCell ref="AE230:AG230"/>
    <mergeCell ref="AH231:AJ231"/>
    <mergeCell ref="AK231:AM231"/>
    <mergeCell ref="BI231:BV231"/>
    <mergeCell ref="D231:K231"/>
    <mergeCell ref="L232:O232"/>
    <mergeCell ref="P231:S231"/>
    <mergeCell ref="T231:W231"/>
    <mergeCell ref="X231:AA231"/>
    <mergeCell ref="AB231:AD231"/>
    <mergeCell ref="AE231:AG231"/>
    <mergeCell ref="AH232:AJ232"/>
    <mergeCell ref="AK232:AM232"/>
    <mergeCell ref="BI232:BV232"/>
    <mergeCell ref="D232:K232"/>
    <mergeCell ref="L233:O233"/>
    <mergeCell ref="P232:S232"/>
    <mergeCell ref="T232:W232"/>
    <mergeCell ref="X232:AA232"/>
    <mergeCell ref="AB232:AD232"/>
    <mergeCell ref="AE232:AG232"/>
    <mergeCell ref="AH233:AJ233"/>
    <mergeCell ref="AK233:AM233"/>
    <mergeCell ref="BI233:BV233"/>
    <mergeCell ref="D233:K233"/>
    <mergeCell ref="L234:O234"/>
    <mergeCell ref="P233:S233"/>
    <mergeCell ref="T233:W233"/>
    <mergeCell ref="X233:AA233"/>
    <mergeCell ref="AB233:AD233"/>
    <mergeCell ref="AE233:AG233"/>
    <mergeCell ref="AH234:AJ234"/>
    <mergeCell ref="AK234:AM234"/>
    <mergeCell ref="BI234:BV234"/>
    <mergeCell ref="D234:K234"/>
    <mergeCell ref="L235:O235"/>
    <mergeCell ref="P234:S234"/>
    <mergeCell ref="T234:W234"/>
    <mergeCell ref="X234:AA234"/>
    <mergeCell ref="AB234:AD234"/>
    <mergeCell ref="AE234:AG234"/>
    <mergeCell ref="AH235:AJ235"/>
    <mergeCell ref="AK235:AM235"/>
    <mergeCell ref="BI235:BV235"/>
    <mergeCell ref="D235:K235"/>
    <mergeCell ref="L236:O236"/>
    <mergeCell ref="P235:S235"/>
    <mergeCell ref="T235:W235"/>
    <mergeCell ref="X235:AA235"/>
    <mergeCell ref="AB235:AD235"/>
    <mergeCell ref="AE235:AG235"/>
    <mergeCell ref="AH236:AJ236"/>
    <mergeCell ref="AK236:AM236"/>
    <mergeCell ref="BI236:BV236"/>
    <mergeCell ref="D236:K236"/>
    <mergeCell ref="L237:O237"/>
    <mergeCell ref="P236:S236"/>
    <mergeCell ref="T236:W236"/>
    <mergeCell ref="X236:AA236"/>
    <mergeCell ref="AB236:AD236"/>
    <mergeCell ref="AE236:AG236"/>
    <mergeCell ref="AH237:AJ237"/>
    <mergeCell ref="AK237:AM237"/>
    <mergeCell ref="BI237:BV237"/>
    <mergeCell ref="D237:K237"/>
    <mergeCell ref="L238:O238"/>
    <mergeCell ref="P237:S237"/>
    <mergeCell ref="T237:W237"/>
    <mergeCell ref="X237:AA237"/>
    <mergeCell ref="AB237:AD237"/>
    <mergeCell ref="AE237:AG237"/>
    <mergeCell ref="AH238:AJ238"/>
    <mergeCell ref="AK238:AM238"/>
    <mergeCell ref="BI238:BV238"/>
    <mergeCell ref="D238:K238"/>
    <mergeCell ref="L239:O239"/>
    <mergeCell ref="P238:S238"/>
    <mergeCell ref="T238:W238"/>
    <mergeCell ref="X238:AA238"/>
    <mergeCell ref="AB238:AD238"/>
    <mergeCell ref="AE238:AG238"/>
    <mergeCell ref="AH239:AJ239"/>
    <mergeCell ref="AK239:AM239"/>
    <mergeCell ref="BI239:BV239"/>
    <mergeCell ref="D239:K239"/>
    <mergeCell ref="L240:O240"/>
    <mergeCell ref="P239:S239"/>
    <mergeCell ref="T239:W239"/>
    <mergeCell ref="X239:AA239"/>
    <mergeCell ref="AB239:AD239"/>
    <mergeCell ref="AE239:AG239"/>
    <mergeCell ref="AH240:AJ240"/>
    <mergeCell ref="AK240:AM240"/>
    <mergeCell ref="BI240:BV240"/>
    <mergeCell ref="D240:K240"/>
    <mergeCell ref="L241:O241"/>
    <mergeCell ref="P240:S240"/>
    <mergeCell ref="T240:W240"/>
    <mergeCell ref="X240:AA240"/>
    <mergeCell ref="AB240:AD240"/>
    <mergeCell ref="AE240:AG240"/>
    <mergeCell ref="AH241:AJ241"/>
    <mergeCell ref="AK241:AM241"/>
    <mergeCell ref="BI241:BV241"/>
    <mergeCell ref="D241:K241"/>
    <mergeCell ref="L242:O242"/>
    <mergeCell ref="P241:S241"/>
    <mergeCell ref="T241:W241"/>
    <mergeCell ref="X241:AA241"/>
    <mergeCell ref="AB241:AD241"/>
    <mergeCell ref="AE241:AG241"/>
    <mergeCell ref="AH242:AJ242"/>
    <mergeCell ref="AK242:AM242"/>
    <mergeCell ref="BI242:BV242"/>
    <mergeCell ref="D242:K242"/>
    <mergeCell ref="L243:O243"/>
    <mergeCell ref="P242:S242"/>
    <mergeCell ref="T242:W242"/>
    <mergeCell ref="X242:AA242"/>
    <mergeCell ref="AB242:AD242"/>
    <mergeCell ref="AE242:AG242"/>
    <mergeCell ref="AH243:AJ243"/>
    <mergeCell ref="AK243:AM243"/>
    <mergeCell ref="BI243:BV243"/>
    <mergeCell ref="D243:K243"/>
    <mergeCell ref="L244:O244"/>
    <mergeCell ref="P243:S243"/>
    <mergeCell ref="T243:W243"/>
    <mergeCell ref="X243:AA243"/>
    <mergeCell ref="AB243:AD243"/>
    <mergeCell ref="AE243:AG243"/>
    <mergeCell ref="AH244:AJ244"/>
    <mergeCell ref="AK244:AM244"/>
    <mergeCell ref="BI244:BV244"/>
    <mergeCell ref="D244:K244"/>
    <mergeCell ref="L245:O245"/>
    <mergeCell ref="P244:S244"/>
    <mergeCell ref="T244:W244"/>
    <mergeCell ref="X244:AA244"/>
    <mergeCell ref="AB244:AD244"/>
    <mergeCell ref="AE244:AG244"/>
    <mergeCell ref="AH245:AJ245"/>
    <mergeCell ref="AK245:AM245"/>
    <mergeCell ref="BI245:BV245"/>
    <mergeCell ref="D245:K245"/>
    <mergeCell ref="L246:O246"/>
    <mergeCell ref="P245:S245"/>
    <mergeCell ref="T245:W245"/>
    <mergeCell ref="X245:AA245"/>
    <mergeCell ref="AB245:AD245"/>
    <mergeCell ref="AE245:AG245"/>
    <mergeCell ref="AH246:AJ246"/>
    <mergeCell ref="AK246:AM246"/>
    <mergeCell ref="BI246:BV246"/>
    <mergeCell ref="D246:K246"/>
    <mergeCell ref="L247:O247"/>
    <mergeCell ref="P246:S246"/>
    <mergeCell ref="T246:W246"/>
    <mergeCell ref="X246:AA246"/>
    <mergeCell ref="AB246:AD246"/>
    <mergeCell ref="AE246:AG246"/>
    <mergeCell ref="AH247:AJ247"/>
    <mergeCell ref="AK247:AM247"/>
    <mergeCell ref="BI247:BV247"/>
    <mergeCell ref="D247:K247"/>
    <mergeCell ref="L248:O248"/>
    <mergeCell ref="P247:S247"/>
    <mergeCell ref="T247:W247"/>
    <mergeCell ref="X247:AA247"/>
    <mergeCell ref="AB247:AD247"/>
    <mergeCell ref="AE247:AG247"/>
    <mergeCell ref="AH248:AJ248"/>
    <mergeCell ref="AK248:AM248"/>
    <mergeCell ref="BI248:BV248"/>
    <mergeCell ref="D248:K248"/>
    <mergeCell ref="L249:O249"/>
    <mergeCell ref="P248:S248"/>
    <mergeCell ref="T248:W248"/>
    <mergeCell ref="X248:AA248"/>
    <mergeCell ref="AB248:AD248"/>
    <mergeCell ref="AE248:AG248"/>
    <mergeCell ref="AH249:AJ249"/>
    <mergeCell ref="AK249:AM249"/>
    <mergeCell ref="BI249:BV249"/>
    <mergeCell ref="D249:K249"/>
    <mergeCell ref="L250:O250"/>
    <mergeCell ref="P249:S249"/>
    <mergeCell ref="T249:W249"/>
    <mergeCell ref="X249:AA249"/>
    <mergeCell ref="AB249:AD249"/>
    <mergeCell ref="AE249:AG249"/>
    <mergeCell ref="AH250:AJ250"/>
    <mergeCell ref="AK250:AM250"/>
    <mergeCell ref="BI250:BV250"/>
    <mergeCell ref="D250:K250"/>
    <mergeCell ref="L251:O251"/>
    <mergeCell ref="P250:S250"/>
    <mergeCell ref="T250:W250"/>
    <mergeCell ref="X250:AA250"/>
    <mergeCell ref="AB250:AD250"/>
    <mergeCell ref="AE250:AG250"/>
    <mergeCell ref="AH251:AJ251"/>
    <mergeCell ref="AK251:AM251"/>
    <mergeCell ref="BI251:BV251"/>
    <mergeCell ref="D251:K251"/>
    <mergeCell ref="L252:O252"/>
    <mergeCell ref="P251:S251"/>
    <mergeCell ref="T251:W251"/>
    <mergeCell ref="X251:AA251"/>
    <mergeCell ref="AB251:AD251"/>
    <mergeCell ref="AE251:AG251"/>
    <mergeCell ref="AH252:AJ252"/>
    <mergeCell ref="AK252:AM252"/>
    <mergeCell ref="BI252:BV252"/>
    <mergeCell ref="D252:K252"/>
    <mergeCell ref="L253:O253"/>
    <mergeCell ref="P252:S252"/>
    <mergeCell ref="T252:W252"/>
    <mergeCell ref="X252:AA252"/>
    <mergeCell ref="AB252:AD252"/>
    <mergeCell ref="AE252:AG252"/>
    <mergeCell ref="AH253:AJ253"/>
    <mergeCell ref="AK253:AM253"/>
    <mergeCell ref="BI253:BV253"/>
    <mergeCell ref="D253:K253"/>
    <mergeCell ref="L254:O254"/>
    <mergeCell ref="P253:S253"/>
    <mergeCell ref="T253:W253"/>
    <mergeCell ref="X253:AA253"/>
    <mergeCell ref="AB253:AD253"/>
    <mergeCell ref="AE253:AG253"/>
    <mergeCell ref="AH254:AJ254"/>
    <mergeCell ref="AK254:AM254"/>
    <mergeCell ref="BI254:BV254"/>
    <mergeCell ref="D254:K254"/>
    <mergeCell ref="L255:O255"/>
    <mergeCell ref="P254:S254"/>
    <mergeCell ref="T254:W254"/>
    <mergeCell ref="X254:AA254"/>
    <mergeCell ref="AB254:AD254"/>
    <mergeCell ref="AE254:AG254"/>
    <mergeCell ref="AH255:AJ255"/>
    <mergeCell ref="AK255:AM255"/>
    <mergeCell ref="BI255:BV255"/>
    <mergeCell ref="D255:K255"/>
    <mergeCell ref="L256:O256"/>
    <mergeCell ref="P255:S255"/>
    <mergeCell ref="T255:W255"/>
    <mergeCell ref="X255:AA255"/>
    <mergeCell ref="AB255:AD255"/>
    <mergeCell ref="AE255:AG255"/>
    <mergeCell ref="AH256:AJ256"/>
    <mergeCell ref="AK256:AM256"/>
    <mergeCell ref="BI256:BV256"/>
    <mergeCell ref="D256:K256"/>
    <mergeCell ref="L257:O257"/>
    <mergeCell ref="P256:S256"/>
    <mergeCell ref="T256:W256"/>
    <mergeCell ref="X256:AA256"/>
    <mergeCell ref="AB256:AD256"/>
    <mergeCell ref="AE256:AG256"/>
    <mergeCell ref="AH257:AJ257"/>
    <mergeCell ref="AK257:AM257"/>
    <mergeCell ref="BI257:BV257"/>
    <mergeCell ref="D257:K257"/>
    <mergeCell ref="L258:O258"/>
    <mergeCell ref="P257:S257"/>
    <mergeCell ref="T257:W257"/>
    <mergeCell ref="X257:AA257"/>
    <mergeCell ref="AB257:AD257"/>
    <mergeCell ref="AE257:AG257"/>
    <mergeCell ref="AH258:AJ258"/>
    <mergeCell ref="AK258:AM258"/>
    <mergeCell ref="BI258:BV258"/>
    <mergeCell ref="D258:K258"/>
    <mergeCell ref="L259:O259"/>
    <mergeCell ref="P258:S258"/>
    <mergeCell ref="T258:W258"/>
    <mergeCell ref="X258:AA258"/>
    <mergeCell ref="AB258:AD258"/>
    <mergeCell ref="AE258:AG258"/>
    <mergeCell ref="AH259:AJ259"/>
    <mergeCell ref="AK259:AM259"/>
    <mergeCell ref="BI259:BV259"/>
    <mergeCell ref="D259:K259"/>
    <mergeCell ref="L260:O260"/>
    <mergeCell ref="P259:S259"/>
    <mergeCell ref="T259:W259"/>
    <mergeCell ref="X259:AA259"/>
    <mergeCell ref="AB259:AD259"/>
    <mergeCell ref="AE259:AG259"/>
    <mergeCell ref="AH260:AJ260"/>
    <mergeCell ref="AK260:AM260"/>
    <mergeCell ref="BI260:BV260"/>
    <mergeCell ref="D260:K260"/>
    <mergeCell ref="L261:O261"/>
    <mergeCell ref="P260:S260"/>
    <mergeCell ref="T260:W260"/>
    <mergeCell ref="X260:AA260"/>
    <mergeCell ref="AB260:AD260"/>
    <mergeCell ref="AE260:AG260"/>
    <mergeCell ref="AH261:AJ261"/>
    <mergeCell ref="AK261:AM261"/>
    <mergeCell ref="BI261:BV261"/>
    <mergeCell ref="D261:K261"/>
    <mergeCell ref="L262:O262"/>
    <mergeCell ref="P261:S261"/>
    <mergeCell ref="T261:W261"/>
    <mergeCell ref="X261:AA261"/>
    <mergeCell ref="AB261:AD261"/>
    <mergeCell ref="AE261:AG261"/>
    <mergeCell ref="AH262:AJ262"/>
    <mergeCell ref="AK262:AM262"/>
    <mergeCell ref="BI262:BV262"/>
    <mergeCell ref="D262:K262"/>
    <mergeCell ref="L263:O263"/>
    <mergeCell ref="P262:S262"/>
    <mergeCell ref="T262:W262"/>
    <mergeCell ref="X262:AA262"/>
    <mergeCell ref="AB262:AD262"/>
    <mergeCell ref="AE262:AG262"/>
    <mergeCell ref="AH263:AJ263"/>
    <mergeCell ref="AK263:AM263"/>
    <mergeCell ref="BI263:BV263"/>
    <mergeCell ref="D263:K263"/>
    <mergeCell ref="L264:O264"/>
    <mergeCell ref="P263:S263"/>
    <mergeCell ref="T263:W263"/>
    <mergeCell ref="X263:AA263"/>
    <mergeCell ref="AB263:AD263"/>
    <mergeCell ref="AE263:AG263"/>
    <mergeCell ref="AH264:AJ264"/>
    <mergeCell ref="AK264:AM264"/>
    <mergeCell ref="BI264:BV264"/>
    <mergeCell ref="D264:K264"/>
    <mergeCell ref="L265:O265"/>
    <mergeCell ref="P264:S264"/>
    <mergeCell ref="T264:W264"/>
    <mergeCell ref="X264:AA264"/>
    <mergeCell ref="AB264:AD264"/>
    <mergeCell ref="AE264:AG264"/>
    <mergeCell ref="AH265:AJ265"/>
    <mergeCell ref="AK265:AM265"/>
    <mergeCell ref="BI265:BV265"/>
    <mergeCell ref="D265:K265"/>
    <mergeCell ref="L266:O266"/>
    <mergeCell ref="P265:S265"/>
    <mergeCell ref="T265:W265"/>
    <mergeCell ref="X265:AA265"/>
    <mergeCell ref="AB265:AD265"/>
    <mergeCell ref="AE265:AG265"/>
    <mergeCell ref="AH266:AJ266"/>
    <mergeCell ref="AK266:AM266"/>
    <mergeCell ref="BI266:BV266"/>
    <mergeCell ref="D266:K266"/>
    <mergeCell ref="L267:O267"/>
    <mergeCell ref="P266:S266"/>
    <mergeCell ref="T266:W266"/>
    <mergeCell ref="X266:AA266"/>
    <mergeCell ref="AB266:AD266"/>
    <mergeCell ref="AE266:AG266"/>
    <mergeCell ref="AH267:AJ267"/>
    <mergeCell ref="AK267:AM267"/>
    <mergeCell ref="BI267:BV267"/>
    <mergeCell ref="D267:K267"/>
    <mergeCell ref="L268:O268"/>
    <mergeCell ref="P267:S267"/>
    <mergeCell ref="T267:W267"/>
    <mergeCell ref="X267:AA267"/>
    <mergeCell ref="AB267:AD267"/>
    <mergeCell ref="AE267:AG267"/>
    <mergeCell ref="AH268:AJ268"/>
    <mergeCell ref="AK268:AM268"/>
    <mergeCell ref="BI268:BV268"/>
    <mergeCell ref="D268:K268"/>
    <mergeCell ref="L269:O269"/>
    <mergeCell ref="P268:S268"/>
    <mergeCell ref="T268:W268"/>
    <mergeCell ref="X268:AA268"/>
    <mergeCell ref="AB268:AD268"/>
    <mergeCell ref="AE268:AG268"/>
    <mergeCell ref="AH269:AJ269"/>
    <mergeCell ref="AK269:AM269"/>
    <mergeCell ref="BI269:BV269"/>
    <mergeCell ref="D269:K269"/>
    <mergeCell ref="L270:O270"/>
    <mergeCell ref="P269:S269"/>
    <mergeCell ref="T269:W269"/>
    <mergeCell ref="X269:AA269"/>
    <mergeCell ref="AB269:AD269"/>
    <mergeCell ref="AE269:AG269"/>
    <mergeCell ref="AH270:AJ270"/>
    <mergeCell ref="AK270:AM270"/>
    <mergeCell ref="BI270:BV270"/>
    <mergeCell ref="D270:K270"/>
    <mergeCell ref="L271:O271"/>
    <mergeCell ref="P270:S270"/>
    <mergeCell ref="T270:W270"/>
    <mergeCell ref="X270:AA270"/>
    <mergeCell ref="AB270:AD270"/>
    <mergeCell ref="AE270:AG270"/>
    <mergeCell ref="AH271:AJ271"/>
    <mergeCell ref="AK271:AM271"/>
    <mergeCell ref="BI271:BV271"/>
    <mergeCell ref="D271:K271"/>
    <mergeCell ref="L272:O272"/>
    <mergeCell ref="P271:S271"/>
    <mergeCell ref="T271:W271"/>
    <mergeCell ref="X271:AA271"/>
    <mergeCell ref="AB271:AD271"/>
    <mergeCell ref="AE271:AG271"/>
    <mergeCell ref="AH272:AJ272"/>
    <mergeCell ref="AK272:AM272"/>
    <mergeCell ref="BI272:BV272"/>
    <mergeCell ref="D272:K272"/>
    <mergeCell ref="L273:O273"/>
    <mergeCell ref="P272:S272"/>
    <mergeCell ref="T272:W272"/>
    <mergeCell ref="X272:AA272"/>
    <mergeCell ref="AB272:AD272"/>
    <mergeCell ref="AE272:AG272"/>
    <mergeCell ref="AH273:AJ273"/>
    <mergeCell ref="AK273:AM273"/>
    <mergeCell ref="BI273:BV273"/>
    <mergeCell ref="D273:K273"/>
    <mergeCell ref="L274:O274"/>
    <mergeCell ref="P273:S273"/>
    <mergeCell ref="T273:W273"/>
    <mergeCell ref="X273:AA273"/>
    <mergeCell ref="AB273:AD273"/>
    <mergeCell ref="AE273:AG273"/>
    <mergeCell ref="AH274:AJ274"/>
    <mergeCell ref="AK274:AM274"/>
    <mergeCell ref="BI274:BV274"/>
    <mergeCell ref="D274:K274"/>
    <mergeCell ref="L275:O275"/>
    <mergeCell ref="P274:S274"/>
    <mergeCell ref="T274:W274"/>
    <mergeCell ref="X274:AA274"/>
    <mergeCell ref="AB274:AD274"/>
    <mergeCell ref="AE274:AG274"/>
    <mergeCell ref="AH275:AJ275"/>
    <mergeCell ref="AK275:AM275"/>
    <mergeCell ref="BI275:BV275"/>
    <mergeCell ref="D275:K275"/>
    <mergeCell ref="L276:O276"/>
    <mergeCell ref="P275:S275"/>
    <mergeCell ref="T275:W275"/>
    <mergeCell ref="X275:AA275"/>
    <mergeCell ref="AB275:AD275"/>
    <mergeCell ref="AE275:AG275"/>
    <mergeCell ref="AH276:AJ276"/>
    <mergeCell ref="AK276:AM276"/>
    <mergeCell ref="BI276:BV276"/>
    <mergeCell ref="D276:K276"/>
    <mergeCell ref="L277:O277"/>
    <mergeCell ref="P276:S276"/>
    <mergeCell ref="T276:W276"/>
    <mergeCell ref="X276:AA276"/>
    <mergeCell ref="AB276:AD276"/>
    <mergeCell ref="AE276:AG276"/>
    <mergeCell ref="AH277:AJ277"/>
    <mergeCell ref="AK277:AM277"/>
    <mergeCell ref="BI277:BV277"/>
    <mergeCell ref="D277:K277"/>
    <mergeCell ref="L278:O278"/>
    <mergeCell ref="P277:S277"/>
    <mergeCell ref="T277:W277"/>
    <mergeCell ref="X277:AA277"/>
    <mergeCell ref="AB277:AD277"/>
    <mergeCell ref="AE277:AG277"/>
    <mergeCell ref="AH278:AJ278"/>
    <mergeCell ref="AK278:AM278"/>
    <mergeCell ref="BI278:BV278"/>
    <mergeCell ref="D278:K278"/>
    <mergeCell ref="L279:O279"/>
    <mergeCell ref="P278:S278"/>
    <mergeCell ref="T278:W278"/>
    <mergeCell ref="X278:AA278"/>
    <mergeCell ref="AB278:AD278"/>
    <mergeCell ref="AE278:AG278"/>
    <mergeCell ref="AH279:AJ279"/>
    <mergeCell ref="AK279:AM279"/>
    <mergeCell ref="BI279:BV279"/>
    <mergeCell ref="D279:K279"/>
    <mergeCell ref="L280:O280"/>
    <mergeCell ref="P279:S279"/>
    <mergeCell ref="T279:W279"/>
    <mergeCell ref="X279:AA279"/>
    <mergeCell ref="AB279:AD279"/>
    <mergeCell ref="AE279:AG279"/>
    <mergeCell ref="AH280:AJ280"/>
    <mergeCell ref="AK280:AM280"/>
    <mergeCell ref="BI280:BV280"/>
    <mergeCell ref="D280:K280"/>
    <mergeCell ref="L281:O281"/>
    <mergeCell ref="P280:S280"/>
    <mergeCell ref="T280:W280"/>
    <mergeCell ref="X280:AA280"/>
    <mergeCell ref="AB280:AD280"/>
    <mergeCell ref="AE280:AG280"/>
    <mergeCell ref="AH281:AJ281"/>
    <mergeCell ref="AK281:AM281"/>
    <mergeCell ref="BI281:BV281"/>
    <mergeCell ref="D281:K281"/>
    <mergeCell ref="L282:O282"/>
    <mergeCell ref="P281:S281"/>
    <mergeCell ref="T281:W281"/>
    <mergeCell ref="X281:AA281"/>
    <mergeCell ref="AB281:AD281"/>
    <mergeCell ref="AE281:AG281"/>
    <mergeCell ref="AH282:AJ282"/>
    <mergeCell ref="AK282:AM282"/>
    <mergeCell ref="BI282:BV282"/>
    <mergeCell ref="D282:K282"/>
    <mergeCell ref="L283:O283"/>
    <mergeCell ref="P282:S282"/>
    <mergeCell ref="T282:W282"/>
    <mergeCell ref="X282:AA282"/>
    <mergeCell ref="AB282:AD282"/>
    <mergeCell ref="AE282:AG282"/>
    <mergeCell ref="AH283:AJ283"/>
    <mergeCell ref="AK283:AM283"/>
    <mergeCell ref="BI283:BV283"/>
    <mergeCell ref="D283:K283"/>
    <mergeCell ref="L284:O284"/>
    <mergeCell ref="P283:S283"/>
    <mergeCell ref="T283:W283"/>
    <mergeCell ref="X283:AA283"/>
    <mergeCell ref="AB283:AD283"/>
    <mergeCell ref="AE283:AG283"/>
    <mergeCell ref="AH284:AJ284"/>
    <mergeCell ref="AK284:AM284"/>
    <mergeCell ref="BI284:BV284"/>
    <mergeCell ref="D284:K284"/>
    <mergeCell ref="L285:O285"/>
    <mergeCell ref="P284:S284"/>
    <mergeCell ref="T284:W284"/>
    <mergeCell ref="X284:AA284"/>
    <mergeCell ref="AB284:AD284"/>
    <mergeCell ref="AE284:AG284"/>
    <mergeCell ref="AH285:AJ285"/>
    <mergeCell ref="AK285:AM285"/>
    <mergeCell ref="BI285:BV285"/>
    <mergeCell ref="D285:K285"/>
    <mergeCell ref="L286:O286"/>
    <mergeCell ref="P285:S285"/>
    <mergeCell ref="T285:W285"/>
    <mergeCell ref="X285:AA285"/>
    <mergeCell ref="AB285:AD285"/>
    <mergeCell ref="AE285:AG285"/>
    <mergeCell ref="AH286:AJ286"/>
    <mergeCell ref="AK286:AM286"/>
    <mergeCell ref="BI286:BV286"/>
    <mergeCell ref="D286:K286"/>
    <mergeCell ref="L287:O287"/>
    <mergeCell ref="P286:S286"/>
    <mergeCell ref="T286:W286"/>
    <mergeCell ref="X286:AA286"/>
    <mergeCell ref="AB286:AD286"/>
    <mergeCell ref="AE286:AG286"/>
    <mergeCell ref="AH287:AJ287"/>
    <mergeCell ref="AK287:AM287"/>
    <mergeCell ref="BI287:BV287"/>
    <mergeCell ref="D287:K287"/>
    <mergeCell ref="L288:O288"/>
    <mergeCell ref="P287:S287"/>
    <mergeCell ref="T287:W287"/>
    <mergeCell ref="X287:AA287"/>
    <mergeCell ref="AB287:AD287"/>
    <mergeCell ref="AE287:AG287"/>
    <mergeCell ref="AH288:AJ288"/>
    <mergeCell ref="AK288:AM288"/>
    <mergeCell ref="BI288:BV288"/>
    <mergeCell ref="D288:K288"/>
    <mergeCell ref="L289:O289"/>
    <mergeCell ref="P288:S288"/>
    <mergeCell ref="T288:W288"/>
    <mergeCell ref="X288:AA288"/>
    <mergeCell ref="AB288:AD288"/>
    <mergeCell ref="AE288:AG288"/>
    <mergeCell ref="AH289:AJ289"/>
    <mergeCell ref="AK289:AM289"/>
    <mergeCell ref="BI289:BV289"/>
    <mergeCell ref="D289:K289"/>
    <mergeCell ref="L290:O290"/>
    <mergeCell ref="P289:S289"/>
    <mergeCell ref="T289:W289"/>
    <mergeCell ref="X289:AA289"/>
    <mergeCell ref="AB289:AD289"/>
    <mergeCell ref="AE289:AG289"/>
    <mergeCell ref="AH290:AJ290"/>
    <mergeCell ref="AK290:AM290"/>
    <mergeCell ref="BI290:BV290"/>
    <mergeCell ref="D290:K290"/>
    <mergeCell ref="L291:O291"/>
    <mergeCell ref="P290:S290"/>
    <mergeCell ref="T290:W290"/>
    <mergeCell ref="X290:AA290"/>
    <mergeCell ref="AB290:AD290"/>
    <mergeCell ref="AE290:AG290"/>
    <mergeCell ref="AH291:AJ291"/>
    <mergeCell ref="AK291:AM291"/>
    <mergeCell ref="BI291:BV291"/>
    <mergeCell ref="D291:K291"/>
    <mergeCell ref="L292:O292"/>
    <mergeCell ref="P291:S291"/>
    <mergeCell ref="T291:W291"/>
    <mergeCell ref="X291:AA291"/>
    <mergeCell ref="AB291:AD291"/>
    <mergeCell ref="AE291:AG291"/>
    <mergeCell ref="AH292:AJ292"/>
    <mergeCell ref="AK292:AM292"/>
    <mergeCell ref="BI292:BV292"/>
    <mergeCell ref="D292:K292"/>
    <mergeCell ref="L293:O293"/>
    <mergeCell ref="P292:S292"/>
    <mergeCell ref="T292:W292"/>
    <mergeCell ref="X292:AA292"/>
    <mergeCell ref="AB292:AD292"/>
    <mergeCell ref="AE292:AG292"/>
    <mergeCell ref="AH293:AJ293"/>
    <mergeCell ref="AK293:AM293"/>
    <mergeCell ref="BI293:BV293"/>
    <mergeCell ref="D293:K293"/>
    <mergeCell ref="L294:O294"/>
    <mergeCell ref="P293:S293"/>
    <mergeCell ref="T293:W293"/>
    <mergeCell ref="X293:AA293"/>
    <mergeCell ref="AB293:AD293"/>
    <mergeCell ref="AE293:AG293"/>
    <mergeCell ref="AH294:AJ294"/>
    <mergeCell ref="AK294:AM294"/>
    <mergeCell ref="BI294:BV294"/>
    <mergeCell ref="D294:K294"/>
    <mergeCell ref="L295:O295"/>
    <mergeCell ref="P294:S294"/>
    <mergeCell ref="T294:W294"/>
    <mergeCell ref="X294:AA294"/>
    <mergeCell ref="AB294:AD294"/>
    <mergeCell ref="AE294:AG294"/>
    <mergeCell ref="AH295:AJ295"/>
    <mergeCell ref="AK295:AM295"/>
    <mergeCell ref="BI295:BV295"/>
    <mergeCell ref="D295:K295"/>
    <mergeCell ref="L296:O296"/>
    <mergeCell ref="P295:S295"/>
    <mergeCell ref="T295:W295"/>
    <mergeCell ref="X295:AA295"/>
    <mergeCell ref="AB295:AD295"/>
    <mergeCell ref="AE295:AG295"/>
    <mergeCell ref="AH296:AJ296"/>
    <mergeCell ref="AK296:AM296"/>
    <mergeCell ref="BI296:BV296"/>
    <mergeCell ref="D296:K296"/>
    <mergeCell ref="L297:O297"/>
    <mergeCell ref="P296:S296"/>
    <mergeCell ref="T296:W296"/>
    <mergeCell ref="X296:AA296"/>
    <mergeCell ref="AB296:AD296"/>
    <mergeCell ref="AE296:AG296"/>
    <mergeCell ref="AH297:AJ297"/>
    <mergeCell ref="AK297:AM297"/>
    <mergeCell ref="BI297:BV297"/>
    <mergeCell ref="D297:K297"/>
    <mergeCell ref="L298:O298"/>
    <mergeCell ref="P297:S297"/>
    <mergeCell ref="T297:W297"/>
    <mergeCell ref="X297:AA297"/>
    <mergeCell ref="AB297:AD297"/>
    <mergeCell ref="AE297:AG297"/>
    <mergeCell ref="AH298:AJ298"/>
    <mergeCell ref="AK298:AM298"/>
    <mergeCell ref="BI298:BV298"/>
    <mergeCell ref="D298:K298"/>
    <mergeCell ref="L299:O299"/>
    <mergeCell ref="P298:S298"/>
    <mergeCell ref="T298:W298"/>
    <mergeCell ref="X298:AA298"/>
    <mergeCell ref="AB298:AD298"/>
    <mergeCell ref="AE298:AG298"/>
    <mergeCell ref="AH299:AJ299"/>
    <mergeCell ref="AK299:AM299"/>
    <mergeCell ref="BI299:BV299"/>
    <mergeCell ref="D299:K299"/>
    <mergeCell ref="L300:O300"/>
    <mergeCell ref="P299:S299"/>
    <mergeCell ref="T299:W299"/>
    <mergeCell ref="X299:AA299"/>
    <mergeCell ref="AB299:AD299"/>
    <mergeCell ref="AE299:AG299"/>
    <mergeCell ref="AH300:AJ300"/>
    <mergeCell ref="AK300:AM300"/>
    <mergeCell ref="BI300:BV300"/>
    <mergeCell ref="D300:K300"/>
    <mergeCell ref="L301:O301"/>
    <mergeCell ref="P300:S300"/>
    <mergeCell ref="T300:W300"/>
    <mergeCell ref="X300:AA300"/>
    <mergeCell ref="AB300:AD300"/>
    <mergeCell ref="AE300:AG300"/>
    <mergeCell ref="AH301:AJ301"/>
    <mergeCell ref="AK301:AM301"/>
    <mergeCell ref="BI301:BV301"/>
    <mergeCell ref="D301:K301"/>
    <mergeCell ref="L302:O302"/>
    <mergeCell ref="P301:S301"/>
    <mergeCell ref="T301:W301"/>
    <mergeCell ref="X301:AA301"/>
    <mergeCell ref="AB301:AD301"/>
    <mergeCell ref="AE301:AG301"/>
    <mergeCell ref="AH302:AJ302"/>
    <mergeCell ref="AK302:AM302"/>
    <mergeCell ref="BI302:BV302"/>
    <mergeCell ref="D302:K302"/>
    <mergeCell ref="L303:O303"/>
    <mergeCell ref="P302:S302"/>
    <mergeCell ref="T302:W302"/>
    <mergeCell ref="X302:AA302"/>
    <mergeCell ref="AB302:AD302"/>
    <mergeCell ref="AE302:AG302"/>
    <mergeCell ref="AH303:AJ303"/>
    <mergeCell ref="AK303:AM303"/>
    <mergeCell ref="BI303:BV303"/>
    <mergeCell ref="D303:K303"/>
    <mergeCell ref="L304:O304"/>
    <mergeCell ref="P303:S303"/>
    <mergeCell ref="T303:W303"/>
    <mergeCell ref="X303:AA303"/>
    <mergeCell ref="AB303:AD303"/>
    <mergeCell ref="AE303:AG303"/>
    <mergeCell ref="AH304:AJ304"/>
    <mergeCell ref="AK304:AM304"/>
    <mergeCell ref="BI304:BV304"/>
    <mergeCell ref="D304:K304"/>
    <mergeCell ref="L305:O305"/>
    <mergeCell ref="P304:S304"/>
    <mergeCell ref="T304:W304"/>
    <mergeCell ref="X304:AA304"/>
    <mergeCell ref="AB304:AD304"/>
    <mergeCell ref="AE304:AG304"/>
    <mergeCell ref="AH305:AJ305"/>
    <mergeCell ref="AK305:AM305"/>
    <mergeCell ref="BI305:BV305"/>
    <mergeCell ref="D305:K305"/>
    <mergeCell ref="L306:O306"/>
    <mergeCell ref="P305:S305"/>
    <mergeCell ref="T305:W305"/>
    <mergeCell ref="X305:AA305"/>
    <mergeCell ref="AB305:AD305"/>
    <mergeCell ref="AE305:AG305"/>
    <mergeCell ref="AH306:AJ306"/>
    <mergeCell ref="AK306:AM306"/>
    <mergeCell ref="BI306:BV306"/>
    <mergeCell ref="D306:K306"/>
    <mergeCell ref="L307:O307"/>
    <mergeCell ref="P306:S306"/>
    <mergeCell ref="T306:W306"/>
    <mergeCell ref="X306:AA306"/>
    <mergeCell ref="AB306:AD306"/>
    <mergeCell ref="AE306:AG306"/>
    <mergeCell ref="AH307:AJ307"/>
    <mergeCell ref="AK307:AM307"/>
    <mergeCell ref="BI307:BV307"/>
    <mergeCell ref="D307:K307"/>
    <mergeCell ref="L308:O308"/>
    <mergeCell ref="P307:S307"/>
    <mergeCell ref="T307:W307"/>
    <mergeCell ref="X307:AA307"/>
    <mergeCell ref="AB307:AD307"/>
    <mergeCell ref="AE307:AG307"/>
    <mergeCell ref="AH308:AJ308"/>
    <mergeCell ref="AK308:AM308"/>
    <mergeCell ref="BI308:BV308"/>
    <mergeCell ref="D308:K308"/>
    <mergeCell ref="L309:O309"/>
    <mergeCell ref="P308:S308"/>
    <mergeCell ref="T308:W308"/>
    <mergeCell ref="X308:AA308"/>
    <mergeCell ref="AB308:AD308"/>
    <mergeCell ref="AE308:AG308"/>
    <mergeCell ref="AH309:AJ309"/>
    <mergeCell ref="AK309:AM309"/>
    <mergeCell ref="BI309:BV309"/>
    <mergeCell ref="D309:K309"/>
    <mergeCell ref="L310:O310"/>
    <mergeCell ref="P309:S309"/>
    <mergeCell ref="T309:W309"/>
    <mergeCell ref="X309:AA309"/>
    <mergeCell ref="AB309:AD309"/>
    <mergeCell ref="AE309:AG309"/>
    <mergeCell ref="AH310:AJ310"/>
    <mergeCell ref="AK310:AM310"/>
    <mergeCell ref="BI310:BV310"/>
    <mergeCell ref="D310:K310"/>
    <mergeCell ref="L311:O311"/>
    <mergeCell ref="P310:S310"/>
    <mergeCell ref="T310:W310"/>
    <mergeCell ref="X310:AA310"/>
    <mergeCell ref="AB310:AD310"/>
    <mergeCell ref="AE310:AG310"/>
    <mergeCell ref="AH311:AJ311"/>
    <mergeCell ref="AK311:AM311"/>
    <mergeCell ref="BI311:BV311"/>
    <mergeCell ref="D311:K311"/>
    <mergeCell ref="L312:O312"/>
    <mergeCell ref="P311:S311"/>
    <mergeCell ref="T311:W311"/>
    <mergeCell ref="X311:AA311"/>
    <mergeCell ref="AB311:AD311"/>
    <mergeCell ref="AE311:AG311"/>
    <mergeCell ref="AH312:AJ312"/>
    <mergeCell ref="AK312:AM312"/>
    <mergeCell ref="BI312:BV312"/>
    <mergeCell ref="D312:K312"/>
    <mergeCell ref="L313:O313"/>
    <mergeCell ref="P312:S312"/>
    <mergeCell ref="T312:W312"/>
    <mergeCell ref="X312:AA312"/>
    <mergeCell ref="AB312:AD312"/>
    <mergeCell ref="AE312:AG312"/>
    <mergeCell ref="AH313:AJ313"/>
    <mergeCell ref="AK313:AM313"/>
    <mergeCell ref="BI313:BV313"/>
    <mergeCell ref="D313:K313"/>
    <mergeCell ref="L314:O314"/>
    <mergeCell ref="P313:S313"/>
    <mergeCell ref="T313:W313"/>
    <mergeCell ref="X313:AA313"/>
    <mergeCell ref="AB313:AD313"/>
    <mergeCell ref="AE313:AG313"/>
    <mergeCell ref="AH314:AJ314"/>
    <mergeCell ref="AK314:AM314"/>
    <mergeCell ref="BI314:BV314"/>
    <mergeCell ref="D314:K314"/>
    <mergeCell ref="L315:O315"/>
    <mergeCell ref="P314:S314"/>
    <mergeCell ref="T314:W314"/>
    <mergeCell ref="X314:AA314"/>
    <mergeCell ref="AB314:AD314"/>
    <mergeCell ref="AE314:AG314"/>
    <mergeCell ref="AH315:AJ315"/>
    <mergeCell ref="AK315:AM315"/>
    <mergeCell ref="BI315:BV315"/>
    <mergeCell ref="D315:K315"/>
    <mergeCell ref="L316:O316"/>
    <mergeCell ref="P315:S315"/>
    <mergeCell ref="T315:W315"/>
    <mergeCell ref="X315:AA315"/>
    <mergeCell ref="AB315:AD315"/>
    <mergeCell ref="AE315:AG315"/>
    <mergeCell ref="AH316:AJ316"/>
    <mergeCell ref="AK316:AM316"/>
    <mergeCell ref="BI316:BV316"/>
    <mergeCell ref="D316:K316"/>
    <mergeCell ref="L317:O317"/>
    <mergeCell ref="P316:S316"/>
    <mergeCell ref="T316:W316"/>
    <mergeCell ref="X316:AA316"/>
    <mergeCell ref="AB316:AD316"/>
    <mergeCell ref="AE316:AG316"/>
    <mergeCell ref="AH317:AJ317"/>
    <mergeCell ref="AK317:AM317"/>
    <mergeCell ref="BI317:BV317"/>
    <mergeCell ref="D317:K317"/>
    <mergeCell ref="L318:O318"/>
    <mergeCell ref="P317:S317"/>
    <mergeCell ref="T317:W317"/>
    <mergeCell ref="X317:AA317"/>
    <mergeCell ref="AB317:AD317"/>
    <mergeCell ref="AE317:AG317"/>
    <mergeCell ref="AH318:AJ318"/>
    <mergeCell ref="AK318:AM318"/>
    <mergeCell ref="BI318:BV318"/>
    <mergeCell ref="D318:K318"/>
    <mergeCell ref="L319:O319"/>
    <mergeCell ref="P318:S318"/>
    <mergeCell ref="T318:W318"/>
    <mergeCell ref="X318:AA318"/>
    <mergeCell ref="AB318:AD318"/>
    <mergeCell ref="AE318:AG318"/>
    <mergeCell ref="AH319:AJ319"/>
    <mergeCell ref="AK319:AM319"/>
    <mergeCell ref="BI319:BV319"/>
    <mergeCell ref="D319:K319"/>
    <mergeCell ref="L320:O320"/>
    <mergeCell ref="P319:S319"/>
    <mergeCell ref="T319:W319"/>
    <mergeCell ref="X319:AA319"/>
    <mergeCell ref="AB319:AD319"/>
    <mergeCell ref="AE319:AG319"/>
    <mergeCell ref="AH320:AJ320"/>
    <mergeCell ref="AK320:AM320"/>
    <mergeCell ref="BI320:BV320"/>
    <mergeCell ref="D320:K320"/>
    <mergeCell ref="L321:O321"/>
    <mergeCell ref="P320:S320"/>
    <mergeCell ref="T320:W320"/>
    <mergeCell ref="X320:AA320"/>
    <mergeCell ref="AB320:AD320"/>
    <mergeCell ref="AE320:AG320"/>
    <mergeCell ref="AH321:AJ321"/>
    <mergeCell ref="AK321:AM321"/>
    <mergeCell ref="BI321:BV321"/>
    <mergeCell ref="D321:K321"/>
    <mergeCell ref="L322:O322"/>
    <mergeCell ref="P321:S321"/>
    <mergeCell ref="T321:W321"/>
    <mergeCell ref="X321:AA321"/>
    <mergeCell ref="AB321:AD321"/>
    <mergeCell ref="AE321:AG321"/>
    <mergeCell ref="AH322:AJ322"/>
    <mergeCell ref="AK322:AM322"/>
    <mergeCell ref="BI322:BV322"/>
    <mergeCell ref="D322:K322"/>
    <mergeCell ref="L323:O323"/>
    <mergeCell ref="P322:S322"/>
    <mergeCell ref="T322:W322"/>
    <mergeCell ref="X322:AA322"/>
    <mergeCell ref="AB322:AD322"/>
    <mergeCell ref="AE322:AG322"/>
    <mergeCell ref="AH323:AJ323"/>
    <mergeCell ref="AK323:AM323"/>
    <mergeCell ref="BI323:BV323"/>
    <mergeCell ref="D323:K323"/>
    <mergeCell ref="L324:O324"/>
    <mergeCell ref="P323:S323"/>
    <mergeCell ref="T323:W323"/>
    <mergeCell ref="X323:AA323"/>
    <mergeCell ref="AB323:AD323"/>
    <mergeCell ref="AE323:AG323"/>
    <mergeCell ref="AH324:AJ324"/>
    <mergeCell ref="AK324:AM324"/>
    <mergeCell ref="BI324:BV324"/>
    <mergeCell ref="D324:K324"/>
    <mergeCell ref="L325:O325"/>
    <mergeCell ref="P324:S324"/>
    <mergeCell ref="T324:W324"/>
    <mergeCell ref="X324:AA324"/>
    <mergeCell ref="AB324:AD324"/>
    <mergeCell ref="AE324:AG324"/>
    <mergeCell ref="AH325:AJ325"/>
    <mergeCell ref="AK325:AM325"/>
    <mergeCell ref="BI325:BV325"/>
    <mergeCell ref="D325:K325"/>
    <mergeCell ref="L326:O326"/>
    <mergeCell ref="P325:S325"/>
    <mergeCell ref="T325:W325"/>
    <mergeCell ref="X325:AA325"/>
    <mergeCell ref="AB325:AD325"/>
    <mergeCell ref="AE325:AG325"/>
    <mergeCell ref="AH326:AJ326"/>
    <mergeCell ref="AK326:AM326"/>
    <mergeCell ref="BI326:BV326"/>
    <mergeCell ref="D326:K326"/>
    <mergeCell ref="L327:O327"/>
    <mergeCell ref="P326:S326"/>
    <mergeCell ref="T326:W326"/>
    <mergeCell ref="X326:AA326"/>
    <mergeCell ref="AB326:AD326"/>
    <mergeCell ref="AE326:AG326"/>
    <mergeCell ref="AH327:AJ327"/>
    <mergeCell ref="AK327:AM327"/>
    <mergeCell ref="BI327:BV327"/>
    <mergeCell ref="D327:K327"/>
    <mergeCell ref="L328:O328"/>
    <mergeCell ref="P327:S327"/>
    <mergeCell ref="T327:W327"/>
    <mergeCell ref="X327:AA327"/>
    <mergeCell ref="AB327:AD327"/>
    <mergeCell ref="AE327:AG327"/>
    <mergeCell ref="AH328:AJ328"/>
    <mergeCell ref="AK328:AM328"/>
    <mergeCell ref="BI328:BV328"/>
    <mergeCell ref="D328:K328"/>
    <mergeCell ref="L329:O329"/>
    <mergeCell ref="P328:S328"/>
    <mergeCell ref="T328:W328"/>
    <mergeCell ref="X328:AA328"/>
    <mergeCell ref="AB328:AD328"/>
    <mergeCell ref="AE328:AG328"/>
    <mergeCell ref="AH329:AJ329"/>
    <mergeCell ref="AK329:AM329"/>
    <mergeCell ref="BI329:BV329"/>
    <mergeCell ref="D329:K329"/>
    <mergeCell ref="L330:O330"/>
    <mergeCell ref="P329:S329"/>
    <mergeCell ref="T329:W329"/>
    <mergeCell ref="X329:AA329"/>
    <mergeCell ref="AB329:AD329"/>
    <mergeCell ref="AE329:AG329"/>
    <mergeCell ref="AH330:AJ330"/>
    <mergeCell ref="AK330:AM330"/>
    <mergeCell ref="BI330:BV330"/>
    <mergeCell ref="D330:K330"/>
    <mergeCell ref="L331:O331"/>
    <mergeCell ref="P330:S330"/>
    <mergeCell ref="T330:W330"/>
    <mergeCell ref="X330:AA330"/>
    <mergeCell ref="AB330:AD330"/>
    <mergeCell ref="AE330:AG330"/>
    <mergeCell ref="AH331:AJ331"/>
    <mergeCell ref="AK331:AM331"/>
    <mergeCell ref="BI331:BV331"/>
    <mergeCell ref="D331:K331"/>
    <mergeCell ref="L332:O332"/>
    <mergeCell ref="P331:S331"/>
    <mergeCell ref="T331:W331"/>
    <mergeCell ref="X331:AA331"/>
    <mergeCell ref="AB331:AD331"/>
    <mergeCell ref="AE331:AG331"/>
    <mergeCell ref="AH332:AJ332"/>
    <mergeCell ref="AK332:AM332"/>
    <mergeCell ref="BI332:BV332"/>
    <mergeCell ref="D332:K332"/>
    <mergeCell ref="L333:O333"/>
    <mergeCell ref="P332:S332"/>
    <mergeCell ref="T332:W332"/>
    <mergeCell ref="X332:AA332"/>
    <mergeCell ref="AB332:AD332"/>
    <mergeCell ref="AE332:AG332"/>
    <mergeCell ref="AH333:AJ333"/>
    <mergeCell ref="AK333:AM333"/>
    <mergeCell ref="BI333:BV333"/>
    <mergeCell ref="D333:K333"/>
    <mergeCell ref="L334:O334"/>
    <mergeCell ref="P333:S333"/>
    <mergeCell ref="T333:W333"/>
    <mergeCell ref="X333:AA333"/>
    <mergeCell ref="AB333:AD333"/>
    <mergeCell ref="AE333:AG333"/>
    <mergeCell ref="AH334:AJ334"/>
    <mergeCell ref="AK334:AM334"/>
    <mergeCell ref="BI334:BV334"/>
    <mergeCell ref="D334:K334"/>
    <mergeCell ref="L335:O335"/>
    <mergeCell ref="P334:S334"/>
    <mergeCell ref="T334:W334"/>
    <mergeCell ref="X334:AA334"/>
    <mergeCell ref="AB334:AD334"/>
    <mergeCell ref="AE334:AG334"/>
    <mergeCell ref="AH335:AJ335"/>
    <mergeCell ref="AK335:AM335"/>
    <mergeCell ref="BI335:BV335"/>
    <mergeCell ref="D335:K335"/>
    <mergeCell ref="L336:O336"/>
    <mergeCell ref="P335:S335"/>
    <mergeCell ref="T335:W335"/>
    <mergeCell ref="X335:AA335"/>
    <mergeCell ref="AB335:AD335"/>
    <mergeCell ref="AE335:AG335"/>
    <mergeCell ref="AH336:AJ336"/>
    <mergeCell ref="AK336:AM336"/>
    <mergeCell ref="BI336:BV336"/>
    <mergeCell ref="D336:K336"/>
    <mergeCell ref="L337:O337"/>
    <mergeCell ref="P336:S336"/>
    <mergeCell ref="T336:W336"/>
    <mergeCell ref="X336:AA336"/>
    <mergeCell ref="AB336:AD336"/>
    <mergeCell ref="AE336:AG336"/>
    <mergeCell ref="AH337:AJ337"/>
    <mergeCell ref="AK337:AM337"/>
    <mergeCell ref="BI337:BV337"/>
    <mergeCell ref="D337:K337"/>
    <mergeCell ref="L338:O338"/>
    <mergeCell ref="P337:S337"/>
    <mergeCell ref="T337:W337"/>
    <mergeCell ref="X337:AA337"/>
    <mergeCell ref="AB337:AD337"/>
    <mergeCell ref="AE337:AG337"/>
    <mergeCell ref="AH338:AJ338"/>
    <mergeCell ref="AK338:AM338"/>
    <mergeCell ref="BI338:BV338"/>
    <mergeCell ref="D338:K338"/>
    <mergeCell ref="L339:O339"/>
    <mergeCell ref="P338:S338"/>
    <mergeCell ref="T338:W338"/>
    <mergeCell ref="X338:AA338"/>
    <mergeCell ref="AB338:AD338"/>
    <mergeCell ref="AE338:AG338"/>
    <mergeCell ref="AH339:AJ339"/>
    <mergeCell ref="AK339:AM339"/>
    <mergeCell ref="BI339:BV339"/>
    <mergeCell ref="D339:K339"/>
    <mergeCell ref="L340:O340"/>
    <mergeCell ref="P339:S339"/>
    <mergeCell ref="T339:W339"/>
    <mergeCell ref="X339:AA339"/>
    <mergeCell ref="AB339:AD339"/>
    <mergeCell ref="AE339:AG339"/>
    <mergeCell ref="AH340:AJ340"/>
    <mergeCell ref="AK340:AM340"/>
    <mergeCell ref="BI340:BV340"/>
    <mergeCell ref="D340:K340"/>
    <mergeCell ref="L341:O341"/>
    <mergeCell ref="P340:S340"/>
    <mergeCell ref="T340:W340"/>
    <mergeCell ref="X340:AA340"/>
    <mergeCell ref="AB340:AD340"/>
    <mergeCell ref="AE340:AG340"/>
    <mergeCell ref="AH341:AJ341"/>
    <mergeCell ref="AK341:AM341"/>
    <mergeCell ref="BI341:BV341"/>
    <mergeCell ref="D341:K341"/>
    <mergeCell ref="L342:O342"/>
    <mergeCell ref="P341:S341"/>
    <mergeCell ref="T341:W341"/>
    <mergeCell ref="X341:AA341"/>
    <mergeCell ref="AB341:AD341"/>
    <mergeCell ref="AE341:AG341"/>
    <mergeCell ref="AH342:AJ342"/>
    <mergeCell ref="AK342:AM342"/>
    <mergeCell ref="BI342:BV342"/>
    <mergeCell ref="D342:K342"/>
    <mergeCell ref="L343:O343"/>
    <mergeCell ref="P342:S342"/>
    <mergeCell ref="T342:W342"/>
    <mergeCell ref="X342:AA342"/>
    <mergeCell ref="AB342:AD342"/>
    <mergeCell ref="AE342:AG342"/>
    <mergeCell ref="AH343:AJ343"/>
    <mergeCell ref="AK343:AM343"/>
    <mergeCell ref="BI343:BV343"/>
    <mergeCell ref="D343:K343"/>
    <mergeCell ref="L344:O344"/>
    <mergeCell ref="P343:S343"/>
    <mergeCell ref="T343:W343"/>
    <mergeCell ref="X343:AA343"/>
    <mergeCell ref="AB343:AD343"/>
    <mergeCell ref="AE343:AG343"/>
    <mergeCell ref="AH344:AJ344"/>
    <mergeCell ref="AK344:AM344"/>
    <mergeCell ref="BI344:BV344"/>
    <mergeCell ref="D344:K344"/>
    <mergeCell ref="L345:O345"/>
    <mergeCell ref="P344:S344"/>
    <mergeCell ref="T344:W344"/>
    <mergeCell ref="X344:AA344"/>
    <mergeCell ref="AB344:AD344"/>
    <mergeCell ref="AE344:AG344"/>
    <mergeCell ref="AH345:AJ345"/>
    <mergeCell ref="AK345:AM345"/>
    <mergeCell ref="BI345:BV345"/>
    <mergeCell ref="D345:K345"/>
    <mergeCell ref="L346:O346"/>
    <mergeCell ref="P345:S345"/>
    <mergeCell ref="T345:W345"/>
    <mergeCell ref="X345:AA345"/>
    <mergeCell ref="AB345:AD345"/>
    <mergeCell ref="AE345:AG345"/>
    <mergeCell ref="AH346:AJ346"/>
    <mergeCell ref="AK346:AM346"/>
    <mergeCell ref="BI346:BV346"/>
    <mergeCell ref="D346:K346"/>
    <mergeCell ref="L347:O347"/>
    <mergeCell ref="P346:S346"/>
    <mergeCell ref="T346:W346"/>
    <mergeCell ref="X346:AA346"/>
    <mergeCell ref="AB346:AD346"/>
    <mergeCell ref="AE346:AG346"/>
    <mergeCell ref="AH347:AJ347"/>
    <mergeCell ref="AK347:AM347"/>
    <mergeCell ref="BI347:BV347"/>
    <mergeCell ref="D347:K347"/>
    <mergeCell ref="L348:O348"/>
    <mergeCell ref="P347:S347"/>
    <mergeCell ref="T347:W347"/>
    <mergeCell ref="X347:AA347"/>
    <mergeCell ref="AB347:AD347"/>
    <mergeCell ref="AE347:AG347"/>
    <mergeCell ref="AH348:AJ348"/>
    <mergeCell ref="AK348:AM348"/>
    <mergeCell ref="BI348:BV348"/>
    <mergeCell ref="D348:K348"/>
    <mergeCell ref="L349:O349"/>
    <mergeCell ref="P348:S348"/>
    <mergeCell ref="T348:W348"/>
    <mergeCell ref="X348:AA348"/>
    <mergeCell ref="AB348:AD348"/>
    <mergeCell ref="AE348:AG348"/>
    <mergeCell ref="AH349:AJ349"/>
    <mergeCell ref="AK349:AM349"/>
    <mergeCell ref="BI349:BV349"/>
    <mergeCell ref="D349:K349"/>
    <mergeCell ref="L350:O350"/>
    <mergeCell ref="P349:S349"/>
    <mergeCell ref="T349:W349"/>
    <mergeCell ref="X349:AA349"/>
    <mergeCell ref="AB349:AD349"/>
    <mergeCell ref="AE349:AG349"/>
    <mergeCell ref="AH350:AJ350"/>
    <mergeCell ref="AK350:AM350"/>
    <mergeCell ref="BI350:BV350"/>
    <mergeCell ref="D350:K350"/>
    <mergeCell ref="L351:O351"/>
    <mergeCell ref="P350:S350"/>
    <mergeCell ref="T350:W350"/>
    <mergeCell ref="X350:AA350"/>
    <mergeCell ref="AB350:AD350"/>
    <mergeCell ref="AE350:AG350"/>
    <mergeCell ref="AH351:AJ351"/>
    <mergeCell ref="AK351:AM351"/>
    <mergeCell ref="BI351:BV351"/>
    <mergeCell ref="D351:K351"/>
    <mergeCell ref="L352:O352"/>
    <mergeCell ref="P351:S351"/>
    <mergeCell ref="T351:W351"/>
    <mergeCell ref="X351:AA351"/>
    <mergeCell ref="AB351:AD351"/>
    <mergeCell ref="AE351:AG351"/>
    <mergeCell ref="AH352:AJ352"/>
    <mergeCell ref="AK352:AM352"/>
    <mergeCell ref="BI352:BV352"/>
    <mergeCell ref="D352:K352"/>
    <mergeCell ref="L353:O353"/>
    <mergeCell ref="P352:S352"/>
    <mergeCell ref="T352:W352"/>
    <mergeCell ref="X352:AA352"/>
    <mergeCell ref="AB352:AD352"/>
    <mergeCell ref="AE352:AG352"/>
    <mergeCell ref="AH353:AJ353"/>
    <mergeCell ref="AK353:AM353"/>
    <mergeCell ref="BI353:BV353"/>
    <mergeCell ref="D353:K353"/>
    <mergeCell ref="L354:O354"/>
    <mergeCell ref="P353:S353"/>
    <mergeCell ref="T353:W353"/>
    <mergeCell ref="X353:AA353"/>
    <mergeCell ref="AB353:AD353"/>
    <mergeCell ref="AE353:AG353"/>
    <mergeCell ref="AH354:AJ354"/>
    <mergeCell ref="AK354:AM354"/>
    <mergeCell ref="BI354:BV354"/>
    <mergeCell ref="D354:K354"/>
    <mergeCell ref="L355:O355"/>
    <mergeCell ref="P354:S354"/>
    <mergeCell ref="T354:W354"/>
    <mergeCell ref="X354:AA354"/>
    <mergeCell ref="AB354:AD354"/>
    <mergeCell ref="AE354:AG354"/>
    <mergeCell ref="AH355:AJ355"/>
    <mergeCell ref="AK355:AM355"/>
    <mergeCell ref="BI355:BV355"/>
    <mergeCell ref="D355:K355"/>
    <mergeCell ref="L356:O356"/>
    <mergeCell ref="P355:S355"/>
    <mergeCell ref="T355:W355"/>
    <mergeCell ref="X355:AA355"/>
    <mergeCell ref="AB355:AD355"/>
    <mergeCell ref="AE355:AG355"/>
    <mergeCell ref="AH356:AJ356"/>
    <mergeCell ref="AK356:AM356"/>
    <mergeCell ref="BI356:BV356"/>
    <mergeCell ref="D356:K356"/>
    <mergeCell ref="L357:O357"/>
    <mergeCell ref="P356:S356"/>
    <mergeCell ref="T356:W356"/>
    <mergeCell ref="X356:AA356"/>
    <mergeCell ref="AB356:AD356"/>
    <mergeCell ref="AE356:AG356"/>
    <mergeCell ref="AH357:AJ357"/>
    <mergeCell ref="AK357:AM357"/>
    <mergeCell ref="BI357:BV357"/>
    <mergeCell ref="D357:K357"/>
    <mergeCell ref="L358:O358"/>
    <mergeCell ref="P357:S357"/>
    <mergeCell ref="T357:W357"/>
    <mergeCell ref="X357:AA357"/>
    <mergeCell ref="AB357:AD357"/>
    <mergeCell ref="AE357:AG357"/>
    <mergeCell ref="AH358:AJ358"/>
    <mergeCell ref="AK358:AM358"/>
    <mergeCell ref="BI358:BV358"/>
    <mergeCell ref="D358:K358"/>
    <mergeCell ref="L359:O359"/>
    <mergeCell ref="P358:S358"/>
    <mergeCell ref="T358:W358"/>
    <mergeCell ref="X358:AA358"/>
    <mergeCell ref="AB358:AD358"/>
    <mergeCell ref="AE358:AG358"/>
    <mergeCell ref="AH359:AJ359"/>
    <mergeCell ref="AK359:AM359"/>
    <mergeCell ref="BI359:BV359"/>
    <mergeCell ref="D359:K359"/>
    <mergeCell ref="L360:O360"/>
    <mergeCell ref="P359:S359"/>
    <mergeCell ref="T359:W359"/>
    <mergeCell ref="X359:AA359"/>
    <mergeCell ref="AB359:AD359"/>
    <mergeCell ref="AE359:AG359"/>
    <mergeCell ref="AH360:AJ360"/>
    <mergeCell ref="AK360:AM360"/>
    <mergeCell ref="BI360:BV360"/>
    <mergeCell ref="D360:K360"/>
    <mergeCell ref="L361:O361"/>
    <mergeCell ref="P360:S360"/>
    <mergeCell ref="T360:W360"/>
    <mergeCell ref="X360:AA360"/>
    <mergeCell ref="AB360:AD360"/>
    <mergeCell ref="AE360:AG360"/>
    <mergeCell ref="AH361:AJ361"/>
    <mergeCell ref="AK361:AM361"/>
    <mergeCell ref="BI361:BV361"/>
    <mergeCell ref="D361:K361"/>
  </mergeCells>
  <pageMargins left="0.25" right="0.25" top="0.75" bottom="0.75" header="0" footer="0"/>
  <pageSetup paperSize="5" orientation="landscape"/>
  <tableParts count="1">
    <tablePart r:id="rId1"/>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1000000}">
          <x14:formula1>
            <xm:f>'Drop-Down Boxes '!$H$89:$H$90</xm:f>
          </x14:formula1>
          <xm:sqref>AH15:AH534 AK15:AK534 AN15:AY534</xm:sqref>
        </x14:dataValidation>
        <x14:dataValidation type="list" allowBlank="1" showErrorMessage="1" xr:uid="{00000000-0002-0000-0500-000000000000}">
          <x14:formula1>
            <xm:f>'Drop-Down Boxes '!$O$98:$O$101</xm:f>
          </x14:formula1>
          <xm:sqref>D15:D534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53734"/>
  </sheetPr>
  <dimension ref="A1:BU522"/>
  <sheetViews>
    <sheetView workbookViewId="0">
      <pane ySplit="1" topLeftCell="A2" activePane="bottomLeft" state="frozen"/>
      <selection pane="bottomLeft" activeCell="H1" sqref="H1:K1"/>
    </sheetView>
  </sheetViews>
  <sheetFormatPr defaultColWidth="14.42578125" defaultRowHeight="15" customHeight="1"/>
  <cols>
    <col min="1" max="2" width="4.7109375" customWidth="1"/>
    <col min="3" max="3" width="6.28515625" customWidth="1"/>
    <col min="4" max="53" width="4.7109375" customWidth="1"/>
    <col min="54" max="55" width="5.28515625" customWidth="1"/>
    <col min="56" max="69" width="4.7109375" customWidth="1"/>
    <col min="70" max="73" width="8.85546875" customWidth="1"/>
  </cols>
  <sheetData>
    <row r="1" spans="1:73" ht="69.75" customHeight="1">
      <c r="A1" s="65" t="s">
        <v>287</v>
      </c>
      <c r="B1" s="721" t="s">
        <v>475</v>
      </c>
      <c r="C1" s="385"/>
      <c r="D1" s="712" t="s">
        <v>438</v>
      </c>
      <c r="E1" s="384"/>
      <c r="F1" s="384"/>
      <c r="G1" s="385"/>
      <c r="H1" s="702" t="s">
        <v>476</v>
      </c>
      <c r="I1" s="384"/>
      <c r="J1" s="384"/>
      <c r="K1" s="385"/>
      <c r="L1" s="712" t="s">
        <v>440</v>
      </c>
      <c r="M1" s="384"/>
      <c r="N1" s="385"/>
      <c r="O1" s="702" t="s">
        <v>441</v>
      </c>
      <c r="P1" s="384"/>
      <c r="Q1" s="385"/>
      <c r="R1" s="712" t="s">
        <v>477</v>
      </c>
      <c r="S1" s="384"/>
      <c r="T1" s="385"/>
      <c r="U1" s="702" t="s">
        <v>478</v>
      </c>
      <c r="V1" s="384"/>
      <c r="W1" s="385"/>
      <c r="X1" s="66" t="s">
        <v>444</v>
      </c>
      <c r="Y1" s="66" t="s">
        <v>445</v>
      </c>
      <c r="Z1" s="66" t="s">
        <v>446</v>
      </c>
      <c r="AA1" s="66" t="s">
        <v>447</v>
      </c>
      <c r="AB1" s="66" t="s">
        <v>448</v>
      </c>
      <c r="AC1" s="66" t="s">
        <v>449</v>
      </c>
      <c r="AD1" s="66" t="s">
        <v>450</v>
      </c>
      <c r="AE1" s="66" t="s">
        <v>451</v>
      </c>
      <c r="AF1" s="66" t="s">
        <v>452</v>
      </c>
      <c r="AG1" s="66" t="s">
        <v>453</v>
      </c>
      <c r="AH1" s="66" t="s">
        <v>454</v>
      </c>
      <c r="AI1" s="66" t="s">
        <v>455</v>
      </c>
      <c r="AJ1" s="48" t="s">
        <v>456</v>
      </c>
      <c r="AK1" s="49" t="s">
        <v>457</v>
      </c>
      <c r="AL1" s="48" t="s">
        <v>458</v>
      </c>
      <c r="AM1" s="49" t="s">
        <v>459</v>
      </c>
      <c r="AN1" s="48" t="s">
        <v>460</v>
      </c>
      <c r="AO1" s="49" t="s">
        <v>461</v>
      </c>
      <c r="AP1" s="48" t="s">
        <v>462</v>
      </c>
      <c r="AQ1" s="49" t="s">
        <v>463</v>
      </c>
      <c r="AR1" s="48" t="s">
        <v>464</v>
      </c>
      <c r="AS1" s="703" t="s">
        <v>315</v>
      </c>
      <c r="AT1" s="350"/>
      <c r="AU1" s="350"/>
      <c r="AV1" s="350"/>
      <c r="AW1" s="350"/>
      <c r="AX1" s="350"/>
      <c r="AY1" s="351"/>
      <c r="AZ1" s="67"/>
      <c r="BA1" s="67"/>
      <c r="BB1" s="704" t="s">
        <v>479</v>
      </c>
      <c r="BC1" s="351"/>
      <c r="BD1" s="713" t="s">
        <v>480</v>
      </c>
      <c r="BE1" s="350"/>
      <c r="BF1" s="351"/>
      <c r="BG1" s="714" t="s">
        <v>481</v>
      </c>
      <c r="BH1" s="350"/>
      <c r="BI1" s="350"/>
      <c r="BJ1" s="351"/>
      <c r="BK1" s="715" t="s">
        <v>482</v>
      </c>
      <c r="BL1" s="350"/>
      <c r="BM1" s="351"/>
      <c r="BN1" s="68"/>
      <c r="BO1" s="68"/>
      <c r="BP1" s="716" t="s">
        <v>483</v>
      </c>
      <c r="BQ1" s="381"/>
      <c r="BR1" s="382"/>
      <c r="BS1" s="714" t="s">
        <v>484</v>
      </c>
      <c r="BT1" s="350"/>
      <c r="BU1" s="351"/>
    </row>
    <row r="2" spans="1:73" ht="15.75" customHeight="1">
      <c r="A2" s="466" t="str">
        <f>'GRANTEE SET UP INFO &amp; DATE '!A1</f>
        <v>WV Bureau for Behavioral Health  - Peer Recovery Support Services  V 20200110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428"/>
      <c r="BS2" s="69"/>
      <c r="BT2" s="69"/>
      <c r="BU2" s="69"/>
    </row>
    <row r="3" spans="1:73" ht="15" customHeight="1">
      <c r="A3" s="467" t="str">
        <f>'GRANTEE SET UP INFO &amp; DATE '!A2</f>
        <v xml:space="preserve">Program reports need to be submitted electronically, via e-mail to DHHRBBHReporting@wv.gov  within 25 calendar days of the end of each month </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428"/>
      <c r="BS3" s="69"/>
      <c r="BT3" s="69"/>
      <c r="BU3" s="69"/>
    </row>
    <row r="4" spans="1:73" ht="19.5" customHeight="1">
      <c r="A4" s="514" t="s">
        <v>485</v>
      </c>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428"/>
      <c r="AY4" s="9"/>
      <c r="AZ4" s="9"/>
      <c r="BA4" s="9"/>
      <c r="BB4" s="9"/>
      <c r="BC4" s="9"/>
      <c r="BD4" s="9"/>
      <c r="BE4" s="9"/>
      <c r="BF4" s="9"/>
      <c r="BG4" s="9"/>
      <c r="BH4" s="9"/>
      <c r="BI4" s="9"/>
      <c r="BJ4" s="9"/>
      <c r="BK4" s="9"/>
      <c r="BL4" s="9"/>
      <c r="BM4" s="9"/>
      <c r="BN4" s="9"/>
      <c r="BO4" s="9"/>
      <c r="BP4" s="9"/>
      <c r="BQ4" s="9"/>
      <c r="BR4" s="9"/>
      <c r="BS4" s="9"/>
      <c r="BT4" s="9"/>
      <c r="BU4" s="9"/>
    </row>
    <row r="5" spans="1:73">
      <c r="A5" s="697" t="s">
        <v>486</v>
      </c>
      <c r="B5" s="384"/>
      <c r="C5" s="384"/>
      <c r="D5" s="384"/>
      <c r="E5" s="384"/>
      <c r="F5" s="384"/>
      <c r="G5" s="385"/>
      <c r="H5" s="516" t="str">
        <f>'GRANTEE SET UP INFO &amp; DATE '!H4</f>
        <v>Recovery Community Organization (RCO)</v>
      </c>
      <c r="I5" s="361"/>
      <c r="J5" s="361"/>
      <c r="K5" s="361"/>
      <c r="L5" s="361"/>
      <c r="M5" s="361"/>
      <c r="N5" s="361"/>
      <c r="O5" s="361"/>
      <c r="P5" s="361"/>
      <c r="Q5" s="361"/>
      <c r="R5" s="361"/>
      <c r="S5" s="362"/>
      <c r="T5" s="5"/>
      <c r="U5" s="374" t="s">
        <v>32</v>
      </c>
      <c r="V5" s="350"/>
      <c r="W5" s="350"/>
      <c r="X5" s="350"/>
      <c r="Y5" s="351"/>
      <c r="Z5" s="517">
        <f>'GRANTEE SET UP INFO &amp; DATE '!Z4</f>
        <v>0</v>
      </c>
      <c r="AA5" s="350"/>
      <c r="AB5" s="350"/>
      <c r="AC5" s="350"/>
      <c r="AD5" s="350"/>
      <c r="AE5" s="350"/>
      <c r="AF5" s="350"/>
      <c r="AG5" s="350"/>
      <c r="AH5" s="350"/>
      <c r="AI5" s="350"/>
      <c r="AJ5" s="350"/>
      <c r="AK5" s="350"/>
      <c r="AL5" s="351"/>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row>
    <row r="6" spans="1:73" ht="14.25" customHeight="1">
      <c r="A6" s="368" t="s">
        <v>487</v>
      </c>
      <c r="B6" s="350"/>
      <c r="C6" s="350"/>
      <c r="D6" s="350"/>
      <c r="E6" s="350"/>
      <c r="F6" s="350"/>
      <c r="G6" s="351"/>
      <c r="H6" s="412">
        <f>'GRANTEE SET UP INFO &amp; DATE '!H5</f>
        <v>0</v>
      </c>
      <c r="I6" s="350"/>
      <c r="J6" s="350"/>
      <c r="K6" s="350"/>
      <c r="L6" s="350"/>
      <c r="M6" s="350"/>
      <c r="N6" s="350"/>
      <c r="O6" s="350"/>
      <c r="P6" s="350"/>
      <c r="Q6" s="350"/>
      <c r="R6" s="350"/>
      <c r="S6" s="351"/>
      <c r="T6" s="5"/>
      <c r="U6" s="479" t="s">
        <v>319</v>
      </c>
      <c r="V6" s="350"/>
      <c r="W6" s="350"/>
      <c r="X6" s="350"/>
      <c r="Y6" s="351"/>
      <c r="Z6" s="413" t="str">
        <f>'GRANTEE SET UP INFO &amp; DATE '!Z5</f>
        <v xml:space="preserve">Names of Contact(s): </v>
      </c>
      <c r="AA6" s="350"/>
      <c r="AB6" s="350"/>
      <c r="AC6" s="350"/>
      <c r="AD6" s="350"/>
      <c r="AE6" s="350"/>
      <c r="AF6" s="350"/>
      <c r="AG6" s="350"/>
      <c r="AH6" s="350"/>
      <c r="AI6" s="350"/>
      <c r="AJ6" s="350"/>
      <c r="AK6" s="350"/>
      <c r="AL6" s="351"/>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row>
    <row r="7" spans="1:73">
      <c r="A7" s="453" t="s">
        <v>38</v>
      </c>
      <c r="B7" s="355"/>
      <c r="C7" s="355"/>
      <c r="D7" s="355"/>
      <c r="E7" s="355"/>
      <c r="F7" s="355"/>
      <c r="G7" s="356"/>
      <c r="H7" s="519">
        <f>'GRANTEE SET UP INFO &amp; DATE '!H6</f>
        <v>0</v>
      </c>
      <c r="I7" s="355"/>
      <c r="J7" s="355"/>
      <c r="K7" s="355"/>
      <c r="L7" s="355"/>
      <c r="M7" s="355"/>
      <c r="N7" s="355"/>
      <c r="O7" s="355"/>
      <c r="P7" s="355"/>
      <c r="Q7" s="355"/>
      <c r="R7" s="355"/>
      <c r="S7" s="356"/>
      <c r="T7" s="5"/>
      <c r="U7" s="368" t="s">
        <v>40</v>
      </c>
      <c r="V7" s="350"/>
      <c r="W7" s="350"/>
      <c r="X7" s="350"/>
      <c r="Y7" s="351"/>
      <c r="Z7" s="412">
        <f>'GRANTEE SET UP INFO &amp; DATE '!Z6</f>
        <v>0</v>
      </c>
      <c r="AA7" s="350"/>
      <c r="AB7" s="350"/>
      <c r="AC7" s="350"/>
      <c r="AD7" s="350"/>
      <c r="AE7" s="350"/>
      <c r="AF7" s="350"/>
      <c r="AG7" s="350"/>
      <c r="AH7" s="350"/>
      <c r="AI7" s="350"/>
      <c r="AJ7" s="350"/>
      <c r="AK7" s="350"/>
      <c r="AL7" s="351"/>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row>
    <row r="8" spans="1:73" ht="15" customHeight="1">
      <c r="A8" s="360"/>
      <c r="B8" s="361"/>
      <c r="C8" s="361"/>
      <c r="D8" s="361"/>
      <c r="E8" s="361"/>
      <c r="F8" s="361"/>
      <c r="G8" s="362"/>
      <c r="H8" s="360"/>
      <c r="I8" s="361"/>
      <c r="J8" s="361"/>
      <c r="K8" s="361"/>
      <c r="L8" s="361"/>
      <c r="M8" s="361"/>
      <c r="N8" s="361"/>
      <c r="O8" s="361"/>
      <c r="P8" s="361"/>
      <c r="Q8" s="361"/>
      <c r="R8" s="361"/>
      <c r="S8" s="362"/>
      <c r="T8" s="5"/>
      <c r="U8" s="368" t="s">
        <v>42</v>
      </c>
      <c r="V8" s="350"/>
      <c r="W8" s="350"/>
      <c r="X8" s="350"/>
      <c r="Y8" s="351"/>
      <c r="Z8" s="412">
        <f>'GRANTEE SET UP INFO &amp; DATE '!Z7</f>
        <v>0</v>
      </c>
      <c r="AA8" s="350"/>
      <c r="AB8" s="350"/>
      <c r="AC8" s="350"/>
      <c r="AD8" s="350"/>
      <c r="AE8" s="350"/>
      <c r="AF8" s="350"/>
      <c r="AG8" s="350"/>
      <c r="AH8" s="350"/>
      <c r="AI8" s="350"/>
      <c r="AJ8" s="350"/>
      <c r="AK8" s="350"/>
      <c r="AL8" s="351"/>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1:73" ht="24.75" customHeight="1">
      <c r="A9" s="521" t="s">
        <v>488</v>
      </c>
      <c r="B9" s="350"/>
      <c r="C9" s="350"/>
      <c r="D9" s="350"/>
      <c r="E9" s="350"/>
      <c r="F9" s="350"/>
      <c r="G9" s="351"/>
      <c r="H9" s="720" t="str">
        <f>'GRANTEE SET UP INFO &amp; DATE '!H8</f>
        <v>June 1 - 30</v>
      </c>
      <c r="I9" s="350"/>
      <c r="J9" s="350"/>
      <c r="K9" s="350"/>
      <c r="L9" s="350"/>
      <c r="M9" s="350"/>
      <c r="N9" s="350"/>
      <c r="O9" s="351"/>
      <c r="P9" s="720">
        <f>'GRANTEE SET UP INFO &amp; DATE '!P8</f>
        <v>2022</v>
      </c>
      <c r="Q9" s="350"/>
      <c r="R9" s="350"/>
      <c r="S9" s="351"/>
      <c r="T9" s="5"/>
      <c r="U9" s="698" t="s">
        <v>46</v>
      </c>
      <c r="V9" s="350"/>
      <c r="W9" s="350"/>
      <c r="X9" s="350"/>
      <c r="Y9" s="351"/>
      <c r="Z9" s="701">
        <f>'GRANTEE SET UP INFO &amp; DATE '!Z8</f>
        <v>0</v>
      </c>
      <c r="AA9" s="350"/>
      <c r="AB9" s="350"/>
      <c r="AC9" s="350"/>
      <c r="AD9" s="350"/>
      <c r="AE9" s="350"/>
      <c r="AF9" s="350"/>
      <c r="AG9" s="350"/>
      <c r="AH9" s="350"/>
      <c r="AI9" s="350"/>
      <c r="AJ9" s="350"/>
      <c r="AK9" s="350"/>
      <c r="AL9" s="351"/>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row>
    <row r="10" spans="1:73" ht="39.75" customHeight="1">
      <c r="A10" s="580" t="s">
        <v>489</v>
      </c>
      <c r="B10" s="581"/>
      <c r="C10" s="581"/>
      <c r="D10" s="581"/>
      <c r="E10" s="581"/>
      <c r="F10" s="581"/>
      <c r="G10" s="581"/>
      <c r="H10" s="581"/>
      <c r="I10" s="581"/>
      <c r="J10" s="581"/>
      <c r="K10" s="581"/>
      <c r="L10" s="581"/>
      <c r="M10" s="581"/>
      <c r="N10" s="581"/>
      <c r="O10" s="581"/>
      <c r="P10" s="581"/>
      <c r="Q10" s="581"/>
      <c r="R10" s="581"/>
      <c r="S10" s="581"/>
      <c r="T10" s="581"/>
      <c r="U10" s="581"/>
      <c r="V10" s="581"/>
      <c r="W10" s="581"/>
      <c r="X10" s="581"/>
      <c r="Y10" s="581"/>
      <c r="Z10" s="581"/>
      <c r="AA10" s="581"/>
      <c r="AB10" s="581"/>
      <c r="AC10" s="581"/>
      <c r="AD10" s="581"/>
      <c r="AE10" s="581"/>
      <c r="AF10" s="581"/>
      <c r="AG10" s="581"/>
      <c r="AH10" s="581"/>
      <c r="AI10" s="582"/>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row>
    <row r="11" spans="1:73" ht="15" customHeight="1">
      <c r="A11" s="661" t="s">
        <v>490</v>
      </c>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42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ht="60" customHeight="1">
      <c r="A12" s="70" t="s">
        <v>287</v>
      </c>
      <c r="B12" s="717" t="s">
        <v>491</v>
      </c>
      <c r="C12" s="350"/>
      <c r="D12" s="350"/>
      <c r="E12" s="350"/>
      <c r="F12" s="350"/>
      <c r="G12" s="350"/>
      <c r="H12" s="350"/>
      <c r="I12" s="350"/>
      <c r="J12" s="350"/>
      <c r="K12" s="350"/>
      <c r="L12" s="350"/>
      <c r="M12" s="350"/>
      <c r="N12" s="350"/>
      <c r="O12" s="350"/>
      <c r="P12" s="350"/>
      <c r="Q12" s="350"/>
      <c r="R12" s="350"/>
      <c r="S12" s="350"/>
      <c r="T12" s="350"/>
      <c r="U12" s="350"/>
      <c r="V12" s="350"/>
      <c r="W12" s="351"/>
      <c r="X12" s="718" t="s">
        <v>492</v>
      </c>
      <c r="Y12" s="384"/>
      <c r="Z12" s="384"/>
      <c r="AA12" s="384"/>
      <c r="AB12" s="384"/>
      <c r="AC12" s="384"/>
      <c r="AD12" s="384"/>
      <c r="AE12" s="384"/>
      <c r="AF12" s="384"/>
      <c r="AG12" s="384"/>
      <c r="AH12" s="384"/>
      <c r="AI12" s="436"/>
      <c r="AJ12" s="651" t="s">
        <v>493</v>
      </c>
      <c r="AK12" s="384"/>
      <c r="AL12" s="384"/>
      <c r="AM12" s="384"/>
      <c r="AN12" s="384"/>
      <c r="AO12" s="384"/>
      <c r="AP12" s="384"/>
      <c r="AQ12" s="384"/>
      <c r="AR12" s="385"/>
      <c r="AS12" s="719" t="s">
        <v>315</v>
      </c>
      <c r="AT12" s="381"/>
      <c r="AU12" s="381"/>
      <c r="AV12" s="381"/>
      <c r="AW12" s="381"/>
      <c r="AX12" s="381"/>
      <c r="AY12" s="428"/>
      <c r="AZ12" s="71"/>
      <c r="BA12" s="71"/>
      <c r="BB12" s="699" t="s">
        <v>494</v>
      </c>
      <c r="BC12" s="384"/>
      <c r="BD12" s="384"/>
      <c r="BE12" s="384"/>
      <c r="BF12" s="384"/>
      <c r="BG12" s="384"/>
      <c r="BH12" s="384"/>
      <c r="BI12" s="384"/>
      <c r="BJ12" s="384"/>
      <c r="BK12" s="384"/>
      <c r="BL12" s="384"/>
      <c r="BM12" s="436"/>
      <c r="BN12" s="72"/>
      <c r="BO12" s="72"/>
      <c r="BP12" s="700" t="s">
        <v>495</v>
      </c>
      <c r="BQ12" s="384"/>
      <c r="BR12" s="384"/>
      <c r="BS12" s="384"/>
      <c r="BT12" s="384"/>
      <c r="BU12" s="436"/>
    </row>
    <row r="13" spans="1:73" ht="64.5" customHeight="1">
      <c r="A13" s="689" t="s">
        <v>287</v>
      </c>
      <c r="B13" s="690" t="s">
        <v>475</v>
      </c>
      <c r="C13" s="356"/>
      <c r="D13" s="691" t="s">
        <v>438</v>
      </c>
      <c r="E13" s="355"/>
      <c r="F13" s="355"/>
      <c r="G13" s="356"/>
      <c r="H13" s="692" t="s">
        <v>476</v>
      </c>
      <c r="I13" s="355"/>
      <c r="J13" s="355"/>
      <c r="K13" s="356"/>
      <c r="L13" s="705" t="s">
        <v>440</v>
      </c>
      <c r="M13" s="355"/>
      <c r="N13" s="356"/>
      <c r="O13" s="655" t="s">
        <v>441</v>
      </c>
      <c r="P13" s="355"/>
      <c r="Q13" s="356"/>
      <c r="R13" s="706" t="s">
        <v>477</v>
      </c>
      <c r="S13" s="390"/>
      <c r="T13" s="648"/>
      <c r="U13" s="707" t="s">
        <v>478</v>
      </c>
      <c r="V13" s="355"/>
      <c r="W13" s="356"/>
      <c r="X13" s="66" t="s">
        <v>444</v>
      </c>
      <c r="Y13" s="66" t="s">
        <v>445</v>
      </c>
      <c r="Z13" s="66" t="s">
        <v>446</v>
      </c>
      <c r="AA13" s="66" t="s">
        <v>447</v>
      </c>
      <c r="AB13" s="66" t="s">
        <v>448</v>
      </c>
      <c r="AC13" s="66" t="s">
        <v>449</v>
      </c>
      <c r="AD13" s="66" t="s">
        <v>450</v>
      </c>
      <c r="AE13" s="66" t="s">
        <v>451</v>
      </c>
      <c r="AF13" s="66" t="s">
        <v>452</v>
      </c>
      <c r="AG13" s="66" t="s">
        <v>453</v>
      </c>
      <c r="AH13" s="66" t="s">
        <v>454</v>
      </c>
      <c r="AI13" s="66" t="s">
        <v>455</v>
      </c>
      <c r="AJ13" s="694" t="s">
        <v>456</v>
      </c>
      <c r="AK13" s="695" t="s">
        <v>457</v>
      </c>
      <c r="AL13" s="694" t="s">
        <v>458</v>
      </c>
      <c r="AM13" s="695" t="s">
        <v>459</v>
      </c>
      <c r="AN13" s="694" t="s">
        <v>460</v>
      </c>
      <c r="AO13" s="695" t="s">
        <v>461</v>
      </c>
      <c r="AP13" s="694" t="s">
        <v>462</v>
      </c>
      <c r="AQ13" s="695" t="s">
        <v>463</v>
      </c>
      <c r="AR13" s="694" t="s">
        <v>464</v>
      </c>
      <c r="AS13" s="696" t="s">
        <v>315</v>
      </c>
      <c r="AT13" s="355"/>
      <c r="AU13" s="355"/>
      <c r="AV13" s="355"/>
      <c r="AW13" s="355"/>
      <c r="AX13" s="355"/>
      <c r="AY13" s="356"/>
      <c r="AZ13" s="67"/>
      <c r="BA13" s="67"/>
      <c r="BB13" s="693" t="s">
        <v>479</v>
      </c>
      <c r="BC13" s="356"/>
      <c r="BD13" s="708" t="s">
        <v>480</v>
      </c>
      <c r="BE13" s="355"/>
      <c r="BF13" s="356"/>
      <c r="BG13" s="709" t="s">
        <v>481</v>
      </c>
      <c r="BH13" s="355"/>
      <c r="BI13" s="355"/>
      <c r="BJ13" s="356"/>
      <c r="BK13" s="710" t="s">
        <v>482</v>
      </c>
      <c r="BL13" s="355"/>
      <c r="BM13" s="356"/>
      <c r="BN13" s="68"/>
      <c r="BO13" s="68"/>
      <c r="BP13" s="711" t="s">
        <v>496</v>
      </c>
      <c r="BQ13" s="355"/>
      <c r="BR13" s="356"/>
      <c r="BS13" s="708" t="s">
        <v>497</v>
      </c>
      <c r="BT13" s="355"/>
      <c r="BU13" s="356"/>
    </row>
    <row r="14" spans="1:73" ht="24.75" customHeight="1">
      <c r="A14" s="654"/>
      <c r="B14" s="360"/>
      <c r="C14" s="362"/>
      <c r="D14" s="360"/>
      <c r="E14" s="361"/>
      <c r="F14" s="361"/>
      <c r="G14" s="362"/>
      <c r="H14" s="360"/>
      <c r="I14" s="361"/>
      <c r="J14" s="361"/>
      <c r="K14" s="362"/>
      <c r="L14" s="360"/>
      <c r="M14" s="361"/>
      <c r="N14" s="362"/>
      <c r="O14" s="360"/>
      <c r="P14" s="361"/>
      <c r="Q14" s="362"/>
      <c r="R14" s="360"/>
      <c r="S14" s="361"/>
      <c r="T14" s="362"/>
      <c r="U14" s="360"/>
      <c r="V14" s="361"/>
      <c r="W14" s="362"/>
      <c r="X14" s="73">
        <f>'GRANTEE SET UP INFO &amp; DATE '!C11</f>
        <v>0</v>
      </c>
      <c r="Y14" s="74">
        <f>'GRANTEE SET UP INFO &amp; DATE '!C12</f>
        <v>0</v>
      </c>
      <c r="Z14" s="73">
        <f>'GRANTEE SET UP INFO &amp; DATE '!C13</f>
        <v>0</v>
      </c>
      <c r="AA14" s="74">
        <f>'GRANTEE SET UP INFO &amp; DATE '!C14</f>
        <v>0</v>
      </c>
      <c r="AB14" s="73">
        <f>'GRANTEE SET UP INFO &amp; DATE '!C15</f>
        <v>0</v>
      </c>
      <c r="AC14" s="74">
        <f>'GRANTEE SET UP INFO &amp; DATE '!C16</f>
        <v>0</v>
      </c>
      <c r="AD14" s="73">
        <f>'GRANTEE SET UP INFO &amp; DATE '!C17</f>
        <v>0</v>
      </c>
      <c r="AE14" s="74">
        <f>'GRANTEE SET UP INFO &amp; DATE '!C18</f>
        <v>0</v>
      </c>
      <c r="AF14" s="73">
        <f>'GRANTEE SET UP INFO &amp; DATE '!C19</f>
        <v>0</v>
      </c>
      <c r="AG14" s="74">
        <f>'GRANTEE SET UP INFO &amp; DATE '!C18</f>
        <v>0</v>
      </c>
      <c r="AH14" s="73">
        <f>'GRANTEE SET UP INFO &amp; DATE '!D18</f>
        <v>0</v>
      </c>
      <c r="AI14" s="74">
        <f>'GRANTEE SET UP INFO &amp; DATE '!E18</f>
        <v>0</v>
      </c>
      <c r="AJ14" s="666"/>
      <c r="AK14" s="666"/>
      <c r="AL14" s="666"/>
      <c r="AM14" s="666"/>
      <c r="AN14" s="666"/>
      <c r="AO14" s="666"/>
      <c r="AP14" s="666"/>
      <c r="AQ14" s="666"/>
      <c r="AR14" s="666"/>
      <c r="AS14" s="360"/>
      <c r="AT14" s="361"/>
      <c r="AU14" s="361"/>
      <c r="AV14" s="361"/>
      <c r="AW14" s="361"/>
      <c r="AX14" s="361"/>
      <c r="AY14" s="362"/>
      <c r="AZ14" s="67"/>
      <c r="BA14" s="67"/>
      <c r="BB14" s="360"/>
      <c r="BC14" s="362"/>
      <c r="BD14" s="360"/>
      <c r="BE14" s="361"/>
      <c r="BF14" s="362"/>
      <c r="BG14" s="360"/>
      <c r="BH14" s="361"/>
      <c r="BI14" s="361"/>
      <c r="BJ14" s="362"/>
      <c r="BK14" s="360"/>
      <c r="BL14" s="361"/>
      <c r="BM14" s="362"/>
      <c r="BN14" s="75"/>
      <c r="BO14" s="75"/>
      <c r="BP14" s="360"/>
      <c r="BQ14" s="361"/>
      <c r="BR14" s="362"/>
      <c r="BS14" s="360"/>
      <c r="BT14" s="361"/>
      <c r="BU14" s="362"/>
    </row>
    <row r="15" spans="1:73" ht="30" customHeight="1">
      <c r="A15" s="76">
        <f t="shared" ref="A15:A269" si="0">ROW(A1)</f>
        <v>1</v>
      </c>
      <c r="B15" s="686" t="s">
        <v>325</v>
      </c>
      <c r="C15" s="351"/>
      <c r="D15" s="687" t="s">
        <v>294</v>
      </c>
      <c r="E15" s="350"/>
      <c r="F15" s="350"/>
      <c r="G15" s="351"/>
      <c r="H15" s="688" t="s">
        <v>294</v>
      </c>
      <c r="I15" s="350"/>
      <c r="J15" s="350"/>
      <c r="K15" s="351"/>
      <c r="L15" s="538" t="s">
        <v>294</v>
      </c>
      <c r="M15" s="350"/>
      <c r="N15" s="351"/>
      <c r="O15" s="539" t="s">
        <v>294</v>
      </c>
      <c r="P15" s="350"/>
      <c r="Q15" s="351"/>
      <c r="R15" s="574"/>
      <c r="S15" s="350"/>
      <c r="T15" s="351"/>
      <c r="U15" s="574"/>
      <c r="V15" s="350"/>
      <c r="W15" s="351"/>
      <c r="X15" s="77"/>
      <c r="Y15" s="78"/>
      <c r="Z15" s="77"/>
      <c r="AA15" s="78"/>
      <c r="AB15" s="77"/>
      <c r="AC15" s="78"/>
      <c r="AD15" s="77"/>
      <c r="AE15" s="78"/>
      <c r="AF15" s="77"/>
      <c r="AG15" s="78"/>
      <c r="AH15" s="77"/>
      <c r="AI15" s="78"/>
      <c r="AJ15" s="79"/>
      <c r="AK15" s="80"/>
      <c r="AL15" s="79"/>
      <c r="AM15" s="80"/>
      <c r="AN15" s="79"/>
      <c r="AO15" s="80"/>
      <c r="AP15" s="79"/>
      <c r="AQ15" s="80"/>
      <c r="AR15" s="79"/>
      <c r="AS15" s="679" t="s">
        <v>294</v>
      </c>
      <c r="AT15" s="350"/>
      <c r="AU15" s="350"/>
      <c r="AV15" s="350"/>
      <c r="AW15" s="350"/>
      <c r="AX15" s="350"/>
      <c r="AY15" s="351"/>
      <c r="AZ15" s="81"/>
      <c r="BA15" s="81"/>
      <c r="BB15" s="685" t="s">
        <v>325</v>
      </c>
      <c r="BC15" s="351"/>
      <c r="BD15" s="681">
        <v>1</v>
      </c>
      <c r="BE15" s="350"/>
      <c r="BF15" s="351"/>
      <c r="BG15" s="678" t="s">
        <v>294</v>
      </c>
      <c r="BH15" s="350"/>
      <c r="BI15" s="350"/>
      <c r="BJ15" s="351"/>
      <c r="BK15" s="680" t="s">
        <v>498</v>
      </c>
      <c r="BL15" s="350"/>
      <c r="BM15" s="351"/>
      <c r="BN15" s="82"/>
      <c r="BO15" s="82"/>
      <c r="BP15" s="678"/>
      <c r="BQ15" s="350"/>
      <c r="BR15" s="351"/>
      <c r="BS15" s="681" t="s">
        <v>294</v>
      </c>
      <c r="BT15" s="350"/>
      <c r="BU15" s="351"/>
    </row>
    <row r="16" spans="1:73" ht="30" customHeight="1">
      <c r="A16" s="76">
        <f t="shared" si="0"/>
        <v>2</v>
      </c>
      <c r="B16" s="686" t="s">
        <v>325</v>
      </c>
      <c r="C16" s="351"/>
      <c r="D16" s="687" t="s">
        <v>294</v>
      </c>
      <c r="E16" s="350"/>
      <c r="F16" s="350"/>
      <c r="G16" s="351"/>
      <c r="H16" s="688" t="s">
        <v>294</v>
      </c>
      <c r="I16" s="350"/>
      <c r="J16" s="350"/>
      <c r="K16" s="351"/>
      <c r="L16" s="538" t="s">
        <v>294</v>
      </c>
      <c r="M16" s="350"/>
      <c r="N16" s="351"/>
      <c r="O16" s="539" t="s">
        <v>294</v>
      </c>
      <c r="P16" s="350"/>
      <c r="Q16" s="351"/>
      <c r="R16" s="574"/>
      <c r="S16" s="350"/>
      <c r="T16" s="351"/>
      <c r="U16" s="574"/>
      <c r="V16" s="350"/>
      <c r="W16" s="351"/>
      <c r="X16" s="77"/>
      <c r="Y16" s="78"/>
      <c r="Z16" s="77"/>
      <c r="AA16" s="78"/>
      <c r="AB16" s="77"/>
      <c r="AC16" s="78"/>
      <c r="AD16" s="77"/>
      <c r="AE16" s="78"/>
      <c r="AF16" s="77"/>
      <c r="AG16" s="78"/>
      <c r="AH16" s="77"/>
      <c r="AI16" s="78"/>
      <c r="AJ16" s="79"/>
      <c r="AK16" s="80"/>
      <c r="AL16" s="79"/>
      <c r="AM16" s="80"/>
      <c r="AN16" s="79"/>
      <c r="AO16" s="80"/>
      <c r="AP16" s="79"/>
      <c r="AQ16" s="80"/>
      <c r="AR16" s="79"/>
      <c r="AS16" s="679" t="s">
        <v>294</v>
      </c>
      <c r="AT16" s="350"/>
      <c r="AU16" s="350"/>
      <c r="AV16" s="350"/>
      <c r="AW16" s="350"/>
      <c r="AX16" s="350"/>
      <c r="AY16" s="351"/>
      <c r="AZ16" s="81"/>
      <c r="BA16" s="81"/>
      <c r="BB16" s="677" t="s">
        <v>325</v>
      </c>
      <c r="BC16" s="351"/>
      <c r="BD16" s="681">
        <v>1</v>
      </c>
      <c r="BE16" s="350"/>
      <c r="BF16" s="351"/>
      <c r="BG16" s="678" t="s">
        <v>294</v>
      </c>
      <c r="BH16" s="350"/>
      <c r="BI16" s="350"/>
      <c r="BJ16" s="351"/>
      <c r="BK16" s="680" t="s">
        <v>498</v>
      </c>
      <c r="BL16" s="350"/>
      <c r="BM16" s="351"/>
      <c r="BN16" s="82"/>
      <c r="BO16" s="82"/>
      <c r="BP16" s="678"/>
      <c r="BQ16" s="350"/>
      <c r="BR16" s="351"/>
      <c r="BS16" s="681" t="s">
        <v>294</v>
      </c>
      <c r="BT16" s="350"/>
      <c r="BU16" s="351"/>
    </row>
    <row r="17" spans="1:73" ht="30" customHeight="1">
      <c r="A17" s="76">
        <f t="shared" si="0"/>
        <v>3</v>
      </c>
      <c r="B17" s="686" t="s">
        <v>325</v>
      </c>
      <c r="C17" s="351"/>
      <c r="D17" s="687" t="s">
        <v>294</v>
      </c>
      <c r="E17" s="350"/>
      <c r="F17" s="350"/>
      <c r="G17" s="351"/>
      <c r="H17" s="688" t="s">
        <v>294</v>
      </c>
      <c r="I17" s="350"/>
      <c r="J17" s="350"/>
      <c r="K17" s="351"/>
      <c r="L17" s="538" t="s">
        <v>294</v>
      </c>
      <c r="M17" s="350"/>
      <c r="N17" s="351"/>
      <c r="O17" s="539" t="s">
        <v>294</v>
      </c>
      <c r="P17" s="350"/>
      <c r="Q17" s="351"/>
      <c r="R17" s="574"/>
      <c r="S17" s="350"/>
      <c r="T17" s="351"/>
      <c r="U17" s="574"/>
      <c r="V17" s="350"/>
      <c r="W17" s="351"/>
      <c r="X17" s="77"/>
      <c r="Y17" s="78"/>
      <c r="Z17" s="77"/>
      <c r="AA17" s="78"/>
      <c r="AB17" s="77"/>
      <c r="AC17" s="78"/>
      <c r="AD17" s="77"/>
      <c r="AE17" s="78"/>
      <c r="AF17" s="77"/>
      <c r="AG17" s="78"/>
      <c r="AH17" s="77"/>
      <c r="AI17" s="78"/>
      <c r="AJ17" s="79"/>
      <c r="AK17" s="80"/>
      <c r="AL17" s="79"/>
      <c r="AM17" s="80"/>
      <c r="AN17" s="79"/>
      <c r="AO17" s="80"/>
      <c r="AP17" s="79"/>
      <c r="AQ17" s="80"/>
      <c r="AR17" s="79"/>
      <c r="AS17" s="679" t="s">
        <v>294</v>
      </c>
      <c r="AT17" s="350"/>
      <c r="AU17" s="350"/>
      <c r="AV17" s="350"/>
      <c r="AW17" s="350"/>
      <c r="AX17" s="350"/>
      <c r="AY17" s="351"/>
      <c r="AZ17" s="81"/>
      <c r="BA17" s="81"/>
      <c r="BB17" s="677" t="s">
        <v>325</v>
      </c>
      <c r="BC17" s="351"/>
      <c r="BD17" s="681">
        <v>1</v>
      </c>
      <c r="BE17" s="350"/>
      <c r="BF17" s="351"/>
      <c r="BG17" s="678" t="s">
        <v>294</v>
      </c>
      <c r="BH17" s="350"/>
      <c r="BI17" s="350"/>
      <c r="BJ17" s="351"/>
      <c r="BK17" s="680" t="s">
        <v>498</v>
      </c>
      <c r="BL17" s="350"/>
      <c r="BM17" s="351"/>
      <c r="BN17" s="82"/>
      <c r="BO17" s="82"/>
      <c r="BP17" s="678"/>
      <c r="BQ17" s="350"/>
      <c r="BR17" s="351"/>
      <c r="BS17" s="681" t="s">
        <v>294</v>
      </c>
      <c r="BT17" s="350"/>
      <c r="BU17" s="351"/>
    </row>
    <row r="18" spans="1:73" ht="30" customHeight="1">
      <c r="A18" s="76">
        <f t="shared" si="0"/>
        <v>4</v>
      </c>
      <c r="B18" s="686" t="s">
        <v>325</v>
      </c>
      <c r="C18" s="351"/>
      <c r="D18" s="687" t="s">
        <v>294</v>
      </c>
      <c r="E18" s="350"/>
      <c r="F18" s="350"/>
      <c r="G18" s="351"/>
      <c r="H18" s="688" t="s">
        <v>294</v>
      </c>
      <c r="I18" s="350"/>
      <c r="J18" s="350"/>
      <c r="K18" s="351"/>
      <c r="L18" s="538" t="s">
        <v>294</v>
      </c>
      <c r="M18" s="350"/>
      <c r="N18" s="351"/>
      <c r="O18" s="539" t="s">
        <v>294</v>
      </c>
      <c r="P18" s="350"/>
      <c r="Q18" s="351"/>
      <c r="R18" s="574"/>
      <c r="S18" s="350"/>
      <c r="T18" s="351"/>
      <c r="U18" s="574"/>
      <c r="V18" s="350"/>
      <c r="W18" s="351"/>
      <c r="X18" s="77"/>
      <c r="Y18" s="78"/>
      <c r="Z18" s="77"/>
      <c r="AA18" s="78"/>
      <c r="AB18" s="77"/>
      <c r="AC18" s="78"/>
      <c r="AD18" s="77"/>
      <c r="AE18" s="78"/>
      <c r="AF18" s="77"/>
      <c r="AG18" s="78"/>
      <c r="AH18" s="77"/>
      <c r="AI18" s="78"/>
      <c r="AJ18" s="79"/>
      <c r="AK18" s="80"/>
      <c r="AL18" s="79"/>
      <c r="AM18" s="80"/>
      <c r="AN18" s="79"/>
      <c r="AO18" s="80"/>
      <c r="AP18" s="79"/>
      <c r="AQ18" s="80"/>
      <c r="AR18" s="79"/>
      <c r="AS18" s="679" t="s">
        <v>294</v>
      </c>
      <c r="AT18" s="350"/>
      <c r="AU18" s="350"/>
      <c r="AV18" s="350"/>
      <c r="AW18" s="350"/>
      <c r="AX18" s="350"/>
      <c r="AY18" s="351"/>
      <c r="AZ18" s="81"/>
      <c r="BA18" s="81"/>
      <c r="BB18" s="677" t="s">
        <v>325</v>
      </c>
      <c r="BC18" s="351"/>
      <c r="BD18" s="681">
        <v>1</v>
      </c>
      <c r="BE18" s="350"/>
      <c r="BF18" s="351"/>
      <c r="BG18" s="678" t="s">
        <v>294</v>
      </c>
      <c r="BH18" s="350"/>
      <c r="BI18" s="350"/>
      <c r="BJ18" s="351"/>
      <c r="BK18" s="680" t="s">
        <v>498</v>
      </c>
      <c r="BL18" s="350"/>
      <c r="BM18" s="351"/>
      <c r="BN18" s="82"/>
      <c r="BO18" s="82"/>
      <c r="BP18" s="678"/>
      <c r="BQ18" s="350"/>
      <c r="BR18" s="351"/>
      <c r="BS18" s="681" t="s">
        <v>294</v>
      </c>
      <c r="BT18" s="350"/>
      <c r="BU18" s="351"/>
    </row>
    <row r="19" spans="1:73" ht="30" customHeight="1">
      <c r="A19" s="76">
        <f t="shared" si="0"/>
        <v>5</v>
      </c>
      <c r="B19" s="686" t="s">
        <v>325</v>
      </c>
      <c r="C19" s="351"/>
      <c r="D19" s="687" t="s">
        <v>294</v>
      </c>
      <c r="E19" s="350"/>
      <c r="F19" s="350"/>
      <c r="G19" s="351"/>
      <c r="H19" s="688" t="s">
        <v>294</v>
      </c>
      <c r="I19" s="350"/>
      <c r="J19" s="350"/>
      <c r="K19" s="351"/>
      <c r="L19" s="538" t="s">
        <v>294</v>
      </c>
      <c r="M19" s="350"/>
      <c r="N19" s="351"/>
      <c r="O19" s="539" t="s">
        <v>294</v>
      </c>
      <c r="P19" s="350"/>
      <c r="Q19" s="351"/>
      <c r="R19" s="574"/>
      <c r="S19" s="350"/>
      <c r="T19" s="351"/>
      <c r="U19" s="574"/>
      <c r="V19" s="350"/>
      <c r="W19" s="351"/>
      <c r="X19" s="77"/>
      <c r="Y19" s="78"/>
      <c r="Z19" s="77"/>
      <c r="AA19" s="78"/>
      <c r="AB19" s="77"/>
      <c r="AC19" s="78"/>
      <c r="AD19" s="77"/>
      <c r="AE19" s="78"/>
      <c r="AF19" s="77"/>
      <c r="AG19" s="78"/>
      <c r="AH19" s="77"/>
      <c r="AI19" s="78"/>
      <c r="AJ19" s="79"/>
      <c r="AK19" s="80"/>
      <c r="AL19" s="79"/>
      <c r="AM19" s="80"/>
      <c r="AN19" s="79"/>
      <c r="AO19" s="80"/>
      <c r="AP19" s="79"/>
      <c r="AQ19" s="80"/>
      <c r="AR19" s="79"/>
      <c r="AS19" s="679" t="s">
        <v>294</v>
      </c>
      <c r="AT19" s="350"/>
      <c r="AU19" s="350"/>
      <c r="AV19" s="350"/>
      <c r="AW19" s="350"/>
      <c r="AX19" s="350"/>
      <c r="AY19" s="351"/>
      <c r="AZ19" s="81"/>
      <c r="BA19" s="81"/>
      <c r="BB19" s="677" t="s">
        <v>325</v>
      </c>
      <c r="BC19" s="351"/>
      <c r="BD19" s="681">
        <v>1</v>
      </c>
      <c r="BE19" s="350"/>
      <c r="BF19" s="351"/>
      <c r="BG19" s="678" t="s">
        <v>294</v>
      </c>
      <c r="BH19" s="350"/>
      <c r="BI19" s="350"/>
      <c r="BJ19" s="351"/>
      <c r="BK19" s="680" t="s">
        <v>498</v>
      </c>
      <c r="BL19" s="350"/>
      <c r="BM19" s="351"/>
      <c r="BN19" s="82"/>
      <c r="BO19" s="82"/>
      <c r="BP19" s="678"/>
      <c r="BQ19" s="350"/>
      <c r="BR19" s="351"/>
      <c r="BS19" s="681" t="s">
        <v>294</v>
      </c>
      <c r="BT19" s="350"/>
      <c r="BU19" s="351"/>
    </row>
    <row r="20" spans="1:73" ht="30" customHeight="1">
      <c r="A20" s="76">
        <f t="shared" si="0"/>
        <v>6</v>
      </c>
      <c r="B20" s="686" t="s">
        <v>325</v>
      </c>
      <c r="C20" s="351"/>
      <c r="D20" s="687" t="s">
        <v>294</v>
      </c>
      <c r="E20" s="350"/>
      <c r="F20" s="350"/>
      <c r="G20" s="351"/>
      <c r="H20" s="688" t="s">
        <v>294</v>
      </c>
      <c r="I20" s="350"/>
      <c r="J20" s="350"/>
      <c r="K20" s="351"/>
      <c r="L20" s="538" t="s">
        <v>294</v>
      </c>
      <c r="M20" s="350"/>
      <c r="N20" s="351"/>
      <c r="O20" s="539" t="s">
        <v>294</v>
      </c>
      <c r="P20" s="350"/>
      <c r="Q20" s="351"/>
      <c r="R20" s="574"/>
      <c r="S20" s="350"/>
      <c r="T20" s="351"/>
      <c r="U20" s="574"/>
      <c r="V20" s="350"/>
      <c r="W20" s="351"/>
      <c r="X20" s="77"/>
      <c r="Y20" s="78"/>
      <c r="Z20" s="77"/>
      <c r="AA20" s="78"/>
      <c r="AB20" s="77"/>
      <c r="AC20" s="78"/>
      <c r="AD20" s="77"/>
      <c r="AE20" s="78"/>
      <c r="AF20" s="77"/>
      <c r="AG20" s="78"/>
      <c r="AH20" s="77"/>
      <c r="AI20" s="78"/>
      <c r="AJ20" s="79"/>
      <c r="AK20" s="80"/>
      <c r="AL20" s="79"/>
      <c r="AM20" s="80"/>
      <c r="AN20" s="79"/>
      <c r="AO20" s="80"/>
      <c r="AP20" s="79"/>
      <c r="AQ20" s="80"/>
      <c r="AR20" s="79"/>
      <c r="AS20" s="679" t="s">
        <v>294</v>
      </c>
      <c r="AT20" s="350"/>
      <c r="AU20" s="350"/>
      <c r="AV20" s="350"/>
      <c r="AW20" s="350"/>
      <c r="AX20" s="350"/>
      <c r="AY20" s="351"/>
      <c r="AZ20" s="81"/>
      <c r="BA20" s="81"/>
      <c r="BB20" s="677" t="s">
        <v>325</v>
      </c>
      <c r="BC20" s="351"/>
      <c r="BD20" s="681">
        <v>1</v>
      </c>
      <c r="BE20" s="350"/>
      <c r="BF20" s="351"/>
      <c r="BG20" s="678" t="s">
        <v>294</v>
      </c>
      <c r="BH20" s="350"/>
      <c r="BI20" s="350"/>
      <c r="BJ20" s="351"/>
      <c r="BK20" s="680" t="s">
        <v>498</v>
      </c>
      <c r="BL20" s="350"/>
      <c r="BM20" s="351"/>
      <c r="BN20" s="82"/>
      <c r="BO20" s="82"/>
      <c r="BP20" s="678"/>
      <c r="BQ20" s="350"/>
      <c r="BR20" s="351"/>
      <c r="BS20" s="681" t="s">
        <v>294</v>
      </c>
      <c r="BT20" s="350"/>
      <c r="BU20" s="351"/>
    </row>
    <row r="21" spans="1:73" ht="30" customHeight="1">
      <c r="A21" s="76">
        <f t="shared" si="0"/>
        <v>7</v>
      </c>
      <c r="B21" s="686" t="s">
        <v>325</v>
      </c>
      <c r="C21" s="351"/>
      <c r="D21" s="687" t="s">
        <v>294</v>
      </c>
      <c r="E21" s="350"/>
      <c r="F21" s="350"/>
      <c r="G21" s="351"/>
      <c r="H21" s="688" t="s">
        <v>294</v>
      </c>
      <c r="I21" s="350"/>
      <c r="J21" s="350"/>
      <c r="K21" s="351"/>
      <c r="L21" s="538" t="s">
        <v>294</v>
      </c>
      <c r="M21" s="350"/>
      <c r="N21" s="351"/>
      <c r="O21" s="539" t="s">
        <v>294</v>
      </c>
      <c r="P21" s="350"/>
      <c r="Q21" s="351"/>
      <c r="R21" s="574"/>
      <c r="S21" s="350"/>
      <c r="T21" s="351"/>
      <c r="U21" s="574"/>
      <c r="V21" s="350"/>
      <c r="W21" s="351"/>
      <c r="X21" s="77"/>
      <c r="Y21" s="78"/>
      <c r="Z21" s="77"/>
      <c r="AA21" s="78"/>
      <c r="AB21" s="77"/>
      <c r="AC21" s="78"/>
      <c r="AD21" s="77"/>
      <c r="AE21" s="78"/>
      <c r="AF21" s="77"/>
      <c r="AG21" s="78"/>
      <c r="AH21" s="77"/>
      <c r="AI21" s="78"/>
      <c r="AJ21" s="79"/>
      <c r="AK21" s="80"/>
      <c r="AL21" s="79"/>
      <c r="AM21" s="80"/>
      <c r="AN21" s="79"/>
      <c r="AO21" s="80"/>
      <c r="AP21" s="79"/>
      <c r="AQ21" s="80"/>
      <c r="AR21" s="79"/>
      <c r="AS21" s="679" t="s">
        <v>294</v>
      </c>
      <c r="AT21" s="350"/>
      <c r="AU21" s="350"/>
      <c r="AV21" s="350"/>
      <c r="AW21" s="350"/>
      <c r="AX21" s="350"/>
      <c r="AY21" s="351"/>
      <c r="AZ21" s="81"/>
      <c r="BA21" s="81"/>
      <c r="BB21" s="677" t="s">
        <v>325</v>
      </c>
      <c r="BC21" s="351"/>
      <c r="BD21" s="681">
        <v>1</v>
      </c>
      <c r="BE21" s="350"/>
      <c r="BF21" s="351"/>
      <c r="BG21" s="678" t="s">
        <v>294</v>
      </c>
      <c r="BH21" s="350"/>
      <c r="BI21" s="350"/>
      <c r="BJ21" s="351"/>
      <c r="BK21" s="680" t="s">
        <v>498</v>
      </c>
      <c r="BL21" s="350"/>
      <c r="BM21" s="351"/>
      <c r="BN21" s="82"/>
      <c r="BO21" s="82"/>
      <c r="BP21" s="678"/>
      <c r="BQ21" s="350"/>
      <c r="BR21" s="351"/>
      <c r="BS21" s="681" t="s">
        <v>294</v>
      </c>
      <c r="BT21" s="350"/>
      <c r="BU21" s="351"/>
    </row>
    <row r="22" spans="1:73" ht="30" customHeight="1">
      <c r="A22" s="76">
        <f t="shared" si="0"/>
        <v>8</v>
      </c>
      <c r="B22" s="686" t="s">
        <v>325</v>
      </c>
      <c r="C22" s="351"/>
      <c r="D22" s="687" t="s">
        <v>294</v>
      </c>
      <c r="E22" s="350"/>
      <c r="F22" s="350"/>
      <c r="G22" s="351"/>
      <c r="H22" s="688" t="s">
        <v>294</v>
      </c>
      <c r="I22" s="350"/>
      <c r="J22" s="350"/>
      <c r="K22" s="351"/>
      <c r="L22" s="538" t="s">
        <v>294</v>
      </c>
      <c r="M22" s="350"/>
      <c r="N22" s="351"/>
      <c r="O22" s="539" t="s">
        <v>294</v>
      </c>
      <c r="P22" s="350"/>
      <c r="Q22" s="351"/>
      <c r="R22" s="574"/>
      <c r="S22" s="350"/>
      <c r="T22" s="351"/>
      <c r="U22" s="574"/>
      <c r="V22" s="350"/>
      <c r="W22" s="351"/>
      <c r="X22" s="77"/>
      <c r="Y22" s="78"/>
      <c r="Z22" s="77"/>
      <c r="AA22" s="78"/>
      <c r="AB22" s="77"/>
      <c r="AC22" s="78"/>
      <c r="AD22" s="77"/>
      <c r="AE22" s="78"/>
      <c r="AF22" s="77"/>
      <c r="AG22" s="78"/>
      <c r="AH22" s="77"/>
      <c r="AI22" s="78"/>
      <c r="AJ22" s="79"/>
      <c r="AK22" s="80"/>
      <c r="AL22" s="79"/>
      <c r="AM22" s="80"/>
      <c r="AN22" s="79"/>
      <c r="AO22" s="80"/>
      <c r="AP22" s="79"/>
      <c r="AQ22" s="80"/>
      <c r="AR22" s="79"/>
      <c r="AS22" s="679" t="s">
        <v>294</v>
      </c>
      <c r="AT22" s="350"/>
      <c r="AU22" s="350"/>
      <c r="AV22" s="350"/>
      <c r="AW22" s="350"/>
      <c r="AX22" s="350"/>
      <c r="AY22" s="351"/>
      <c r="AZ22" s="81"/>
      <c r="BA22" s="81"/>
      <c r="BB22" s="685" t="s">
        <v>325</v>
      </c>
      <c r="BC22" s="351"/>
      <c r="BD22" s="681">
        <v>1</v>
      </c>
      <c r="BE22" s="350"/>
      <c r="BF22" s="351"/>
      <c r="BG22" s="678" t="s">
        <v>294</v>
      </c>
      <c r="BH22" s="350"/>
      <c r="BI22" s="350"/>
      <c r="BJ22" s="351"/>
      <c r="BK22" s="680" t="s">
        <v>498</v>
      </c>
      <c r="BL22" s="350"/>
      <c r="BM22" s="351"/>
      <c r="BN22" s="82"/>
      <c r="BO22" s="82"/>
      <c r="BP22" s="678"/>
      <c r="BQ22" s="350"/>
      <c r="BR22" s="351"/>
      <c r="BS22" s="681" t="s">
        <v>294</v>
      </c>
      <c r="BT22" s="350"/>
      <c r="BU22" s="351"/>
    </row>
    <row r="23" spans="1:73" ht="30" customHeight="1">
      <c r="A23" s="76">
        <f t="shared" si="0"/>
        <v>9</v>
      </c>
      <c r="B23" s="686" t="s">
        <v>325</v>
      </c>
      <c r="C23" s="351"/>
      <c r="D23" s="687" t="s">
        <v>294</v>
      </c>
      <c r="E23" s="350"/>
      <c r="F23" s="350"/>
      <c r="G23" s="351"/>
      <c r="H23" s="688" t="s">
        <v>294</v>
      </c>
      <c r="I23" s="350"/>
      <c r="J23" s="350"/>
      <c r="K23" s="351"/>
      <c r="L23" s="538" t="s">
        <v>294</v>
      </c>
      <c r="M23" s="350"/>
      <c r="N23" s="351"/>
      <c r="O23" s="539" t="s">
        <v>294</v>
      </c>
      <c r="P23" s="350"/>
      <c r="Q23" s="351"/>
      <c r="R23" s="574"/>
      <c r="S23" s="350"/>
      <c r="T23" s="351"/>
      <c r="U23" s="574"/>
      <c r="V23" s="350"/>
      <c r="W23" s="351"/>
      <c r="X23" s="77"/>
      <c r="Y23" s="78"/>
      <c r="Z23" s="77"/>
      <c r="AA23" s="78"/>
      <c r="AB23" s="77"/>
      <c r="AC23" s="78"/>
      <c r="AD23" s="77"/>
      <c r="AE23" s="78"/>
      <c r="AF23" s="77"/>
      <c r="AG23" s="78"/>
      <c r="AH23" s="77"/>
      <c r="AI23" s="78"/>
      <c r="AJ23" s="79"/>
      <c r="AK23" s="80"/>
      <c r="AL23" s="79"/>
      <c r="AM23" s="80"/>
      <c r="AN23" s="79"/>
      <c r="AO23" s="80"/>
      <c r="AP23" s="79"/>
      <c r="AQ23" s="80"/>
      <c r="AR23" s="79"/>
      <c r="AS23" s="679" t="s">
        <v>294</v>
      </c>
      <c r="AT23" s="350"/>
      <c r="AU23" s="350"/>
      <c r="AV23" s="350"/>
      <c r="AW23" s="350"/>
      <c r="AX23" s="350"/>
      <c r="AY23" s="351"/>
      <c r="AZ23" s="81"/>
      <c r="BA23" s="81"/>
      <c r="BB23" s="677" t="s">
        <v>325</v>
      </c>
      <c r="BC23" s="351"/>
      <c r="BD23" s="681">
        <v>1</v>
      </c>
      <c r="BE23" s="350"/>
      <c r="BF23" s="351"/>
      <c r="BG23" s="678" t="s">
        <v>294</v>
      </c>
      <c r="BH23" s="350"/>
      <c r="BI23" s="350"/>
      <c r="BJ23" s="351"/>
      <c r="BK23" s="680" t="s">
        <v>498</v>
      </c>
      <c r="BL23" s="350"/>
      <c r="BM23" s="351"/>
      <c r="BN23" s="82"/>
      <c r="BO23" s="82"/>
      <c r="BP23" s="678"/>
      <c r="BQ23" s="350"/>
      <c r="BR23" s="351"/>
      <c r="BS23" s="681" t="s">
        <v>294</v>
      </c>
      <c r="BT23" s="350"/>
      <c r="BU23" s="351"/>
    </row>
    <row r="24" spans="1:73" ht="30" customHeight="1">
      <c r="A24" s="76">
        <f t="shared" si="0"/>
        <v>10</v>
      </c>
      <c r="B24" s="686" t="s">
        <v>325</v>
      </c>
      <c r="C24" s="351"/>
      <c r="D24" s="687" t="s">
        <v>294</v>
      </c>
      <c r="E24" s="350"/>
      <c r="F24" s="350"/>
      <c r="G24" s="351"/>
      <c r="H24" s="688" t="s">
        <v>294</v>
      </c>
      <c r="I24" s="350"/>
      <c r="J24" s="350"/>
      <c r="K24" s="351"/>
      <c r="L24" s="538" t="s">
        <v>294</v>
      </c>
      <c r="M24" s="350"/>
      <c r="N24" s="351"/>
      <c r="O24" s="539" t="s">
        <v>294</v>
      </c>
      <c r="P24" s="350"/>
      <c r="Q24" s="351"/>
      <c r="R24" s="574"/>
      <c r="S24" s="350"/>
      <c r="T24" s="351"/>
      <c r="U24" s="574"/>
      <c r="V24" s="350"/>
      <c r="W24" s="351"/>
      <c r="X24" s="77"/>
      <c r="Y24" s="78"/>
      <c r="Z24" s="77"/>
      <c r="AA24" s="78"/>
      <c r="AB24" s="77"/>
      <c r="AC24" s="78"/>
      <c r="AD24" s="77"/>
      <c r="AE24" s="78"/>
      <c r="AF24" s="77"/>
      <c r="AG24" s="78"/>
      <c r="AH24" s="77"/>
      <c r="AI24" s="78"/>
      <c r="AJ24" s="79"/>
      <c r="AK24" s="80"/>
      <c r="AL24" s="79"/>
      <c r="AM24" s="80"/>
      <c r="AN24" s="79"/>
      <c r="AO24" s="80"/>
      <c r="AP24" s="79"/>
      <c r="AQ24" s="80"/>
      <c r="AR24" s="79"/>
      <c r="AS24" s="679" t="s">
        <v>294</v>
      </c>
      <c r="AT24" s="350"/>
      <c r="AU24" s="350"/>
      <c r="AV24" s="350"/>
      <c r="AW24" s="350"/>
      <c r="AX24" s="350"/>
      <c r="AY24" s="351"/>
      <c r="AZ24" s="81"/>
      <c r="BA24" s="81"/>
      <c r="BB24" s="677" t="s">
        <v>325</v>
      </c>
      <c r="BC24" s="351"/>
      <c r="BD24" s="681">
        <v>1</v>
      </c>
      <c r="BE24" s="350"/>
      <c r="BF24" s="351"/>
      <c r="BG24" s="678" t="s">
        <v>294</v>
      </c>
      <c r="BH24" s="350"/>
      <c r="BI24" s="350"/>
      <c r="BJ24" s="351"/>
      <c r="BK24" s="680" t="s">
        <v>498</v>
      </c>
      <c r="BL24" s="350"/>
      <c r="BM24" s="351"/>
      <c r="BN24" s="82"/>
      <c r="BO24" s="82"/>
      <c r="BP24" s="678"/>
      <c r="BQ24" s="350"/>
      <c r="BR24" s="351"/>
      <c r="BS24" s="681" t="s">
        <v>294</v>
      </c>
      <c r="BT24" s="350"/>
      <c r="BU24" s="351"/>
    </row>
    <row r="25" spans="1:73" ht="30" customHeight="1">
      <c r="A25" s="76">
        <f t="shared" si="0"/>
        <v>11</v>
      </c>
      <c r="B25" s="686" t="s">
        <v>325</v>
      </c>
      <c r="C25" s="351"/>
      <c r="D25" s="687" t="s">
        <v>294</v>
      </c>
      <c r="E25" s="350"/>
      <c r="F25" s="350"/>
      <c r="G25" s="351"/>
      <c r="H25" s="688" t="s">
        <v>294</v>
      </c>
      <c r="I25" s="350"/>
      <c r="J25" s="350"/>
      <c r="K25" s="351"/>
      <c r="L25" s="538" t="s">
        <v>294</v>
      </c>
      <c r="M25" s="350"/>
      <c r="N25" s="351"/>
      <c r="O25" s="539" t="s">
        <v>294</v>
      </c>
      <c r="P25" s="350"/>
      <c r="Q25" s="351"/>
      <c r="R25" s="574"/>
      <c r="S25" s="350"/>
      <c r="T25" s="351"/>
      <c r="U25" s="574"/>
      <c r="V25" s="350"/>
      <c r="W25" s="351"/>
      <c r="X25" s="77"/>
      <c r="Y25" s="78"/>
      <c r="Z25" s="77"/>
      <c r="AA25" s="78"/>
      <c r="AB25" s="77"/>
      <c r="AC25" s="78"/>
      <c r="AD25" s="77"/>
      <c r="AE25" s="78"/>
      <c r="AF25" s="77"/>
      <c r="AG25" s="78"/>
      <c r="AH25" s="77"/>
      <c r="AI25" s="78"/>
      <c r="AJ25" s="79"/>
      <c r="AK25" s="80"/>
      <c r="AL25" s="79"/>
      <c r="AM25" s="80"/>
      <c r="AN25" s="79"/>
      <c r="AO25" s="80"/>
      <c r="AP25" s="79"/>
      <c r="AQ25" s="80"/>
      <c r="AR25" s="79"/>
      <c r="AS25" s="679" t="s">
        <v>294</v>
      </c>
      <c r="AT25" s="350"/>
      <c r="AU25" s="350"/>
      <c r="AV25" s="350"/>
      <c r="AW25" s="350"/>
      <c r="AX25" s="350"/>
      <c r="AY25" s="351"/>
      <c r="AZ25" s="81"/>
      <c r="BA25" s="81"/>
      <c r="BB25" s="677" t="s">
        <v>325</v>
      </c>
      <c r="BC25" s="351"/>
      <c r="BD25" s="681">
        <v>1</v>
      </c>
      <c r="BE25" s="350"/>
      <c r="BF25" s="351"/>
      <c r="BG25" s="678" t="s">
        <v>294</v>
      </c>
      <c r="BH25" s="350"/>
      <c r="BI25" s="350"/>
      <c r="BJ25" s="351"/>
      <c r="BK25" s="680" t="s">
        <v>498</v>
      </c>
      <c r="BL25" s="350"/>
      <c r="BM25" s="351"/>
      <c r="BN25" s="82"/>
      <c r="BO25" s="82"/>
      <c r="BP25" s="678"/>
      <c r="BQ25" s="350"/>
      <c r="BR25" s="351"/>
      <c r="BS25" s="681" t="s">
        <v>294</v>
      </c>
      <c r="BT25" s="350"/>
      <c r="BU25" s="351"/>
    </row>
    <row r="26" spans="1:73" ht="30" customHeight="1">
      <c r="A26" s="76">
        <f t="shared" si="0"/>
        <v>12</v>
      </c>
      <c r="B26" s="686" t="s">
        <v>325</v>
      </c>
      <c r="C26" s="351"/>
      <c r="D26" s="687" t="s">
        <v>294</v>
      </c>
      <c r="E26" s="350"/>
      <c r="F26" s="350"/>
      <c r="G26" s="351"/>
      <c r="H26" s="688" t="s">
        <v>294</v>
      </c>
      <c r="I26" s="350"/>
      <c r="J26" s="350"/>
      <c r="K26" s="351"/>
      <c r="L26" s="538" t="s">
        <v>294</v>
      </c>
      <c r="M26" s="350"/>
      <c r="N26" s="351"/>
      <c r="O26" s="539" t="s">
        <v>294</v>
      </c>
      <c r="P26" s="350"/>
      <c r="Q26" s="351"/>
      <c r="R26" s="574"/>
      <c r="S26" s="350"/>
      <c r="T26" s="351"/>
      <c r="U26" s="574"/>
      <c r="V26" s="350"/>
      <c r="W26" s="351"/>
      <c r="X26" s="77"/>
      <c r="Y26" s="78"/>
      <c r="Z26" s="77"/>
      <c r="AA26" s="78"/>
      <c r="AB26" s="77"/>
      <c r="AC26" s="78"/>
      <c r="AD26" s="77"/>
      <c r="AE26" s="78"/>
      <c r="AF26" s="77"/>
      <c r="AG26" s="78"/>
      <c r="AH26" s="77"/>
      <c r="AI26" s="78"/>
      <c r="AJ26" s="79"/>
      <c r="AK26" s="80"/>
      <c r="AL26" s="79"/>
      <c r="AM26" s="80"/>
      <c r="AN26" s="79"/>
      <c r="AO26" s="80"/>
      <c r="AP26" s="79"/>
      <c r="AQ26" s="80"/>
      <c r="AR26" s="79"/>
      <c r="AS26" s="679" t="s">
        <v>294</v>
      </c>
      <c r="AT26" s="350"/>
      <c r="AU26" s="350"/>
      <c r="AV26" s="350"/>
      <c r="AW26" s="350"/>
      <c r="AX26" s="350"/>
      <c r="AY26" s="351"/>
      <c r="AZ26" s="81"/>
      <c r="BA26" s="81"/>
      <c r="BB26" s="677" t="s">
        <v>325</v>
      </c>
      <c r="BC26" s="351"/>
      <c r="BD26" s="681" t="s">
        <v>294</v>
      </c>
      <c r="BE26" s="350"/>
      <c r="BF26" s="351"/>
      <c r="BG26" s="678" t="s">
        <v>294</v>
      </c>
      <c r="BH26" s="350"/>
      <c r="BI26" s="350"/>
      <c r="BJ26" s="351"/>
      <c r="BK26" s="680" t="s">
        <v>498</v>
      </c>
      <c r="BL26" s="350"/>
      <c r="BM26" s="351"/>
      <c r="BN26" s="82"/>
      <c r="BO26" s="82"/>
      <c r="BP26" s="678"/>
      <c r="BQ26" s="350"/>
      <c r="BR26" s="351"/>
      <c r="BS26" s="681" t="s">
        <v>294</v>
      </c>
      <c r="BT26" s="350"/>
      <c r="BU26" s="351"/>
    </row>
    <row r="27" spans="1:73" ht="30" customHeight="1">
      <c r="A27" s="76">
        <f t="shared" si="0"/>
        <v>13</v>
      </c>
      <c r="B27" s="686" t="s">
        <v>325</v>
      </c>
      <c r="C27" s="351"/>
      <c r="D27" s="687" t="s">
        <v>294</v>
      </c>
      <c r="E27" s="350"/>
      <c r="F27" s="350"/>
      <c r="G27" s="351"/>
      <c r="H27" s="688" t="s">
        <v>294</v>
      </c>
      <c r="I27" s="350"/>
      <c r="J27" s="350"/>
      <c r="K27" s="351"/>
      <c r="L27" s="538" t="s">
        <v>294</v>
      </c>
      <c r="M27" s="350"/>
      <c r="N27" s="351"/>
      <c r="O27" s="539" t="s">
        <v>294</v>
      </c>
      <c r="P27" s="350"/>
      <c r="Q27" s="351"/>
      <c r="R27" s="574"/>
      <c r="S27" s="350"/>
      <c r="T27" s="351"/>
      <c r="U27" s="574"/>
      <c r="V27" s="350"/>
      <c r="W27" s="351"/>
      <c r="X27" s="77"/>
      <c r="Y27" s="78"/>
      <c r="Z27" s="77"/>
      <c r="AA27" s="78"/>
      <c r="AB27" s="77"/>
      <c r="AC27" s="78"/>
      <c r="AD27" s="77"/>
      <c r="AE27" s="78"/>
      <c r="AF27" s="77"/>
      <c r="AG27" s="78"/>
      <c r="AH27" s="77"/>
      <c r="AI27" s="78"/>
      <c r="AJ27" s="79"/>
      <c r="AK27" s="80"/>
      <c r="AL27" s="79"/>
      <c r="AM27" s="80"/>
      <c r="AN27" s="79"/>
      <c r="AO27" s="80"/>
      <c r="AP27" s="79"/>
      <c r="AQ27" s="80"/>
      <c r="AR27" s="79"/>
      <c r="AS27" s="679" t="s">
        <v>294</v>
      </c>
      <c r="AT27" s="350"/>
      <c r="AU27" s="350"/>
      <c r="AV27" s="350"/>
      <c r="AW27" s="350"/>
      <c r="AX27" s="350"/>
      <c r="AY27" s="351"/>
      <c r="AZ27" s="81"/>
      <c r="BA27" s="81"/>
      <c r="BB27" s="677" t="s">
        <v>325</v>
      </c>
      <c r="BC27" s="351"/>
      <c r="BD27" s="681" t="s">
        <v>294</v>
      </c>
      <c r="BE27" s="350"/>
      <c r="BF27" s="351"/>
      <c r="BG27" s="678" t="s">
        <v>294</v>
      </c>
      <c r="BH27" s="350"/>
      <c r="BI27" s="350"/>
      <c r="BJ27" s="351"/>
      <c r="BK27" s="680" t="s">
        <v>498</v>
      </c>
      <c r="BL27" s="350"/>
      <c r="BM27" s="351"/>
      <c r="BN27" s="82"/>
      <c r="BO27" s="82"/>
      <c r="BP27" s="678"/>
      <c r="BQ27" s="350"/>
      <c r="BR27" s="351"/>
      <c r="BS27" s="681" t="s">
        <v>294</v>
      </c>
      <c r="BT27" s="350"/>
      <c r="BU27" s="351"/>
    </row>
    <row r="28" spans="1:73" ht="30" customHeight="1">
      <c r="A28" s="76">
        <f t="shared" si="0"/>
        <v>14</v>
      </c>
      <c r="B28" s="686" t="s">
        <v>325</v>
      </c>
      <c r="C28" s="351"/>
      <c r="D28" s="687" t="s">
        <v>294</v>
      </c>
      <c r="E28" s="350"/>
      <c r="F28" s="350"/>
      <c r="G28" s="351"/>
      <c r="H28" s="688" t="s">
        <v>294</v>
      </c>
      <c r="I28" s="350"/>
      <c r="J28" s="350"/>
      <c r="K28" s="351"/>
      <c r="L28" s="538" t="s">
        <v>294</v>
      </c>
      <c r="M28" s="350"/>
      <c r="N28" s="351"/>
      <c r="O28" s="539" t="s">
        <v>294</v>
      </c>
      <c r="P28" s="350"/>
      <c r="Q28" s="351"/>
      <c r="R28" s="574"/>
      <c r="S28" s="350"/>
      <c r="T28" s="351"/>
      <c r="U28" s="574"/>
      <c r="V28" s="350"/>
      <c r="W28" s="351"/>
      <c r="X28" s="77"/>
      <c r="Y28" s="78"/>
      <c r="Z28" s="77"/>
      <c r="AA28" s="78"/>
      <c r="AB28" s="77"/>
      <c r="AC28" s="78"/>
      <c r="AD28" s="77"/>
      <c r="AE28" s="78"/>
      <c r="AF28" s="77"/>
      <c r="AG28" s="78"/>
      <c r="AH28" s="77"/>
      <c r="AI28" s="78"/>
      <c r="AJ28" s="79"/>
      <c r="AK28" s="80"/>
      <c r="AL28" s="79"/>
      <c r="AM28" s="80"/>
      <c r="AN28" s="79"/>
      <c r="AO28" s="80"/>
      <c r="AP28" s="79"/>
      <c r="AQ28" s="80"/>
      <c r="AR28" s="79"/>
      <c r="AS28" s="679" t="s">
        <v>294</v>
      </c>
      <c r="AT28" s="350"/>
      <c r="AU28" s="350"/>
      <c r="AV28" s="350"/>
      <c r="AW28" s="350"/>
      <c r="AX28" s="350"/>
      <c r="AY28" s="351"/>
      <c r="AZ28" s="81"/>
      <c r="BA28" s="81"/>
      <c r="BB28" s="677" t="s">
        <v>325</v>
      </c>
      <c r="BC28" s="351"/>
      <c r="BD28" s="681" t="s">
        <v>294</v>
      </c>
      <c r="BE28" s="350"/>
      <c r="BF28" s="351"/>
      <c r="BG28" s="678" t="s">
        <v>294</v>
      </c>
      <c r="BH28" s="350"/>
      <c r="BI28" s="350"/>
      <c r="BJ28" s="351"/>
      <c r="BK28" s="680" t="s">
        <v>498</v>
      </c>
      <c r="BL28" s="350"/>
      <c r="BM28" s="351"/>
      <c r="BN28" s="82"/>
      <c r="BO28" s="82"/>
      <c r="BP28" s="678"/>
      <c r="BQ28" s="350"/>
      <c r="BR28" s="351"/>
      <c r="BS28" s="681" t="s">
        <v>294</v>
      </c>
      <c r="BT28" s="350"/>
      <c r="BU28" s="351"/>
    </row>
    <row r="29" spans="1:73" ht="30" customHeight="1">
      <c r="A29" s="76">
        <f t="shared" si="0"/>
        <v>15</v>
      </c>
      <c r="B29" s="686" t="s">
        <v>325</v>
      </c>
      <c r="C29" s="351"/>
      <c r="D29" s="687" t="s">
        <v>294</v>
      </c>
      <c r="E29" s="350"/>
      <c r="F29" s="350"/>
      <c r="G29" s="351"/>
      <c r="H29" s="688" t="s">
        <v>294</v>
      </c>
      <c r="I29" s="350"/>
      <c r="J29" s="350"/>
      <c r="K29" s="351"/>
      <c r="L29" s="538" t="s">
        <v>294</v>
      </c>
      <c r="M29" s="350"/>
      <c r="N29" s="351"/>
      <c r="O29" s="539" t="s">
        <v>294</v>
      </c>
      <c r="P29" s="350"/>
      <c r="Q29" s="351"/>
      <c r="R29" s="574"/>
      <c r="S29" s="350"/>
      <c r="T29" s="351"/>
      <c r="U29" s="574"/>
      <c r="V29" s="350"/>
      <c r="W29" s="351"/>
      <c r="X29" s="77"/>
      <c r="Y29" s="78"/>
      <c r="Z29" s="77"/>
      <c r="AA29" s="78"/>
      <c r="AB29" s="77"/>
      <c r="AC29" s="78"/>
      <c r="AD29" s="77"/>
      <c r="AE29" s="78"/>
      <c r="AF29" s="77"/>
      <c r="AG29" s="78"/>
      <c r="AH29" s="77"/>
      <c r="AI29" s="78"/>
      <c r="AJ29" s="79"/>
      <c r="AK29" s="80"/>
      <c r="AL29" s="79"/>
      <c r="AM29" s="80"/>
      <c r="AN29" s="79"/>
      <c r="AO29" s="80"/>
      <c r="AP29" s="79"/>
      <c r="AQ29" s="80"/>
      <c r="AR29" s="79"/>
      <c r="AS29" s="679" t="s">
        <v>294</v>
      </c>
      <c r="AT29" s="350"/>
      <c r="AU29" s="350"/>
      <c r="AV29" s="350"/>
      <c r="AW29" s="350"/>
      <c r="AX29" s="350"/>
      <c r="AY29" s="351"/>
      <c r="AZ29" s="81"/>
      <c r="BA29" s="81"/>
      <c r="BB29" s="685" t="s">
        <v>325</v>
      </c>
      <c r="BC29" s="351"/>
      <c r="BD29" s="681" t="s">
        <v>294</v>
      </c>
      <c r="BE29" s="350"/>
      <c r="BF29" s="351"/>
      <c r="BG29" s="678" t="s">
        <v>294</v>
      </c>
      <c r="BH29" s="350"/>
      <c r="BI29" s="350"/>
      <c r="BJ29" s="351"/>
      <c r="BK29" s="680" t="s">
        <v>498</v>
      </c>
      <c r="BL29" s="350"/>
      <c r="BM29" s="351"/>
      <c r="BN29" s="82"/>
      <c r="BO29" s="82"/>
      <c r="BP29" s="678"/>
      <c r="BQ29" s="350"/>
      <c r="BR29" s="351"/>
      <c r="BS29" s="681" t="s">
        <v>294</v>
      </c>
      <c r="BT29" s="350"/>
      <c r="BU29" s="351"/>
    </row>
    <row r="30" spans="1:73" ht="30" customHeight="1">
      <c r="A30" s="76">
        <f t="shared" si="0"/>
        <v>16</v>
      </c>
      <c r="B30" s="686" t="s">
        <v>325</v>
      </c>
      <c r="C30" s="351"/>
      <c r="D30" s="687" t="s">
        <v>294</v>
      </c>
      <c r="E30" s="350"/>
      <c r="F30" s="350"/>
      <c r="G30" s="351"/>
      <c r="H30" s="688" t="s">
        <v>294</v>
      </c>
      <c r="I30" s="350"/>
      <c r="J30" s="350"/>
      <c r="K30" s="351"/>
      <c r="L30" s="538" t="s">
        <v>294</v>
      </c>
      <c r="M30" s="350"/>
      <c r="N30" s="351"/>
      <c r="O30" s="539" t="s">
        <v>294</v>
      </c>
      <c r="P30" s="350"/>
      <c r="Q30" s="351"/>
      <c r="R30" s="574"/>
      <c r="S30" s="350"/>
      <c r="T30" s="351"/>
      <c r="U30" s="574"/>
      <c r="V30" s="350"/>
      <c r="W30" s="351"/>
      <c r="X30" s="77"/>
      <c r="Y30" s="78"/>
      <c r="Z30" s="77"/>
      <c r="AA30" s="78"/>
      <c r="AB30" s="77"/>
      <c r="AC30" s="78"/>
      <c r="AD30" s="77"/>
      <c r="AE30" s="78"/>
      <c r="AF30" s="77"/>
      <c r="AG30" s="78"/>
      <c r="AH30" s="77"/>
      <c r="AI30" s="78"/>
      <c r="AJ30" s="79"/>
      <c r="AK30" s="80"/>
      <c r="AL30" s="79"/>
      <c r="AM30" s="80"/>
      <c r="AN30" s="79"/>
      <c r="AO30" s="80"/>
      <c r="AP30" s="79"/>
      <c r="AQ30" s="80"/>
      <c r="AR30" s="79"/>
      <c r="AS30" s="679" t="s">
        <v>294</v>
      </c>
      <c r="AT30" s="350"/>
      <c r="AU30" s="350"/>
      <c r="AV30" s="350"/>
      <c r="AW30" s="350"/>
      <c r="AX30" s="350"/>
      <c r="AY30" s="351"/>
      <c r="AZ30" s="81"/>
      <c r="BA30" s="81"/>
      <c r="BB30" s="677" t="s">
        <v>325</v>
      </c>
      <c r="BC30" s="351"/>
      <c r="BD30" s="681" t="s">
        <v>294</v>
      </c>
      <c r="BE30" s="350"/>
      <c r="BF30" s="351"/>
      <c r="BG30" s="678" t="s">
        <v>294</v>
      </c>
      <c r="BH30" s="350"/>
      <c r="BI30" s="350"/>
      <c r="BJ30" s="351"/>
      <c r="BK30" s="680" t="s">
        <v>498</v>
      </c>
      <c r="BL30" s="350"/>
      <c r="BM30" s="351"/>
      <c r="BN30" s="82"/>
      <c r="BO30" s="82"/>
      <c r="BP30" s="678"/>
      <c r="BQ30" s="350"/>
      <c r="BR30" s="351"/>
      <c r="BS30" s="681" t="s">
        <v>294</v>
      </c>
      <c r="BT30" s="350"/>
      <c r="BU30" s="351"/>
    </row>
    <row r="31" spans="1:73" ht="30" customHeight="1">
      <c r="A31" s="76">
        <f t="shared" si="0"/>
        <v>17</v>
      </c>
      <c r="B31" s="686" t="s">
        <v>325</v>
      </c>
      <c r="C31" s="351"/>
      <c r="D31" s="687" t="s">
        <v>294</v>
      </c>
      <c r="E31" s="350"/>
      <c r="F31" s="350"/>
      <c r="G31" s="351"/>
      <c r="H31" s="688" t="s">
        <v>294</v>
      </c>
      <c r="I31" s="350"/>
      <c r="J31" s="350"/>
      <c r="K31" s="351"/>
      <c r="L31" s="538" t="s">
        <v>294</v>
      </c>
      <c r="M31" s="350"/>
      <c r="N31" s="351"/>
      <c r="O31" s="539" t="s">
        <v>294</v>
      </c>
      <c r="P31" s="350"/>
      <c r="Q31" s="351"/>
      <c r="R31" s="574"/>
      <c r="S31" s="350"/>
      <c r="T31" s="351"/>
      <c r="U31" s="574"/>
      <c r="V31" s="350"/>
      <c r="W31" s="351"/>
      <c r="X31" s="77"/>
      <c r="Y31" s="78"/>
      <c r="Z31" s="77"/>
      <c r="AA31" s="78"/>
      <c r="AB31" s="77"/>
      <c r="AC31" s="78"/>
      <c r="AD31" s="77"/>
      <c r="AE31" s="78"/>
      <c r="AF31" s="77"/>
      <c r="AG31" s="78"/>
      <c r="AH31" s="77"/>
      <c r="AI31" s="78"/>
      <c r="AJ31" s="79"/>
      <c r="AK31" s="80"/>
      <c r="AL31" s="79"/>
      <c r="AM31" s="80"/>
      <c r="AN31" s="79"/>
      <c r="AO31" s="80"/>
      <c r="AP31" s="79"/>
      <c r="AQ31" s="80"/>
      <c r="AR31" s="79"/>
      <c r="AS31" s="679" t="s">
        <v>294</v>
      </c>
      <c r="AT31" s="350"/>
      <c r="AU31" s="350"/>
      <c r="AV31" s="350"/>
      <c r="AW31" s="350"/>
      <c r="AX31" s="350"/>
      <c r="AY31" s="351"/>
      <c r="AZ31" s="81"/>
      <c r="BA31" s="81"/>
      <c r="BB31" s="677" t="s">
        <v>325</v>
      </c>
      <c r="BC31" s="351"/>
      <c r="BD31" s="681" t="s">
        <v>294</v>
      </c>
      <c r="BE31" s="350"/>
      <c r="BF31" s="351"/>
      <c r="BG31" s="678" t="s">
        <v>294</v>
      </c>
      <c r="BH31" s="350"/>
      <c r="BI31" s="350"/>
      <c r="BJ31" s="351"/>
      <c r="BK31" s="680" t="s">
        <v>498</v>
      </c>
      <c r="BL31" s="350"/>
      <c r="BM31" s="351"/>
      <c r="BN31" s="82"/>
      <c r="BO31" s="82"/>
      <c r="BP31" s="678"/>
      <c r="BQ31" s="350"/>
      <c r="BR31" s="351"/>
      <c r="BS31" s="681" t="s">
        <v>294</v>
      </c>
      <c r="BT31" s="350"/>
      <c r="BU31" s="351"/>
    </row>
    <row r="32" spans="1:73" ht="30" customHeight="1">
      <c r="A32" s="76">
        <f t="shared" si="0"/>
        <v>18</v>
      </c>
      <c r="B32" s="686" t="s">
        <v>325</v>
      </c>
      <c r="C32" s="351"/>
      <c r="D32" s="687" t="s">
        <v>294</v>
      </c>
      <c r="E32" s="350"/>
      <c r="F32" s="350"/>
      <c r="G32" s="351"/>
      <c r="H32" s="688" t="s">
        <v>294</v>
      </c>
      <c r="I32" s="350"/>
      <c r="J32" s="350"/>
      <c r="K32" s="351"/>
      <c r="L32" s="538" t="s">
        <v>294</v>
      </c>
      <c r="M32" s="350"/>
      <c r="N32" s="351"/>
      <c r="O32" s="539" t="s">
        <v>294</v>
      </c>
      <c r="P32" s="350"/>
      <c r="Q32" s="351"/>
      <c r="R32" s="574"/>
      <c r="S32" s="350"/>
      <c r="T32" s="351"/>
      <c r="U32" s="574"/>
      <c r="V32" s="350"/>
      <c r="W32" s="351"/>
      <c r="X32" s="77"/>
      <c r="Y32" s="78"/>
      <c r="Z32" s="77"/>
      <c r="AA32" s="78"/>
      <c r="AB32" s="77"/>
      <c r="AC32" s="78"/>
      <c r="AD32" s="77"/>
      <c r="AE32" s="78"/>
      <c r="AF32" s="77"/>
      <c r="AG32" s="78"/>
      <c r="AH32" s="77"/>
      <c r="AI32" s="78"/>
      <c r="AJ32" s="79"/>
      <c r="AK32" s="80"/>
      <c r="AL32" s="79"/>
      <c r="AM32" s="80"/>
      <c r="AN32" s="79"/>
      <c r="AO32" s="80"/>
      <c r="AP32" s="79"/>
      <c r="AQ32" s="80"/>
      <c r="AR32" s="79"/>
      <c r="AS32" s="679" t="s">
        <v>294</v>
      </c>
      <c r="AT32" s="350"/>
      <c r="AU32" s="350"/>
      <c r="AV32" s="350"/>
      <c r="AW32" s="350"/>
      <c r="AX32" s="350"/>
      <c r="AY32" s="351"/>
      <c r="AZ32" s="81"/>
      <c r="BA32" s="81"/>
      <c r="BB32" s="677" t="s">
        <v>325</v>
      </c>
      <c r="BC32" s="351"/>
      <c r="BD32" s="681" t="s">
        <v>294</v>
      </c>
      <c r="BE32" s="350"/>
      <c r="BF32" s="351"/>
      <c r="BG32" s="678" t="s">
        <v>294</v>
      </c>
      <c r="BH32" s="350"/>
      <c r="BI32" s="350"/>
      <c r="BJ32" s="351"/>
      <c r="BK32" s="680" t="s">
        <v>498</v>
      </c>
      <c r="BL32" s="350"/>
      <c r="BM32" s="351"/>
      <c r="BN32" s="82"/>
      <c r="BO32" s="82"/>
      <c r="BP32" s="678"/>
      <c r="BQ32" s="350"/>
      <c r="BR32" s="351"/>
      <c r="BS32" s="681" t="s">
        <v>294</v>
      </c>
      <c r="BT32" s="350"/>
      <c r="BU32" s="351"/>
    </row>
    <row r="33" spans="1:73" ht="30" customHeight="1">
      <c r="A33" s="76">
        <f t="shared" si="0"/>
        <v>19</v>
      </c>
      <c r="B33" s="686" t="s">
        <v>325</v>
      </c>
      <c r="C33" s="351"/>
      <c r="D33" s="687" t="s">
        <v>294</v>
      </c>
      <c r="E33" s="350"/>
      <c r="F33" s="350"/>
      <c r="G33" s="351"/>
      <c r="H33" s="688" t="s">
        <v>294</v>
      </c>
      <c r="I33" s="350"/>
      <c r="J33" s="350"/>
      <c r="K33" s="351"/>
      <c r="L33" s="538" t="s">
        <v>294</v>
      </c>
      <c r="M33" s="350"/>
      <c r="N33" s="351"/>
      <c r="O33" s="539" t="s">
        <v>294</v>
      </c>
      <c r="P33" s="350"/>
      <c r="Q33" s="351"/>
      <c r="R33" s="574"/>
      <c r="S33" s="350"/>
      <c r="T33" s="351"/>
      <c r="U33" s="574"/>
      <c r="V33" s="350"/>
      <c r="W33" s="351"/>
      <c r="X33" s="77"/>
      <c r="Y33" s="78"/>
      <c r="Z33" s="77"/>
      <c r="AA33" s="78"/>
      <c r="AB33" s="77"/>
      <c r="AC33" s="78"/>
      <c r="AD33" s="77"/>
      <c r="AE33" s="78"/>
      <c r="AF33" s="77"/>
      <c r="AG33" s="78"/>
      <c r="AH33" s="77"/>
      <c r="AI33" s="78"/>
      <c r="AJ33" s="79"/>
      <c r="AK33" s="80"/>
      <c r="AL33" s="79"/>
      <c r="AM33" s="80"/>
      <c r="AN33" s="79"/>
      <c r="AO33" s="80"/>
      <c r="AP33" s="79"/>
      <c r="AQ33" s="80"/>
      <c r="AR33" s="79"/>
      <c r="AS33" s="679" t="s">
        <v>294</v>
      </c>
      <c r="AT33" s="350"/>
      <c r="AU33" s="350"/>
      <c r="AV33" s="350"/>
      <c r="AW33" s="350"/>
      <c r="AX33" s="350"/>
      <c r="AY33" s="351"/>
      <c r="AZ33" s="81"/>
      <c r="BA33" s="81"/>
      <c r="BB33" s="677" t="s">
        <v>325</v>
      </c>
      <c r="BC33" s="351"/>
      <c r="BD33" s="681" t="s">
        <v>294</v>
      </c>
      <c r="BE33" s="350"/>
      <c r="BF33" s="351"/>
      <c r="BG33" s="678" t="s">
        <v>294</v>
      </c>
      <c r="BH33" s="350"/>
      <c r="BI33" s="350"/>
      <c r="BJ33" s="351"/>
      <c r="BK33" s="680" t="s">
        <v>498</v>
      </c>
      <c r="BL33" s="350"/>
      <c r="BM33" s="351"/>
      <c r="BN33" s="82"/>
      <c r="BO33" s="82"/>
      <c r="BP33" s="678"/>
      <c r="BQ33" s="350"/>
      <c r="BR33" s="351"/>
      <c r="BS33" s="681" t="s">
        <v>294</v>
      </c>
      <c r="BT33" s="350"/>
      <c r="BU33" s="351"/>
    </row>
    <row r="34" spans="1:73" ht="30" customHeight="1">
      <c r="A34" s="76">
        <f t="shared" si="0"/>
        <v>20</v>
      </c>
      <c r="B34" s="686" t="s">
        <v>325</v>
      </c>
      <c r="C34" s="351"/>
      <c r="D34" s="687" t="s">
        <v>294</v>
      </c>
      <c r="E34" s="350"/>
      <c r="F34" s="350"/>
      <c r="G34" s="351"/>
      <c r="H34" s="688" t="s">
        <v>294</v>
      </c>
      <c r="I34" s="350"/>
      <c r="J34" s="350"/>
      <c r="K34" s="351"/>
      <c r="L34" s="538" t="s">
        <v>294</v>
      </c>
      <c r="M34" s="350"/>
      <c r="N34" s="351"/>
      <c r="O34" s="539" t="s">
        <v>294</v>
      </c>
      <c r="P34" s="350"/>
      <c r="Q34" s="351"/>
      <c r="R34" s="574"/>
      <c r="S34" s="350"/>
      <c r="T34" s="351"/>
      <c r="U34" s="574"/>
      <c r="V34" s="350"/>
      <c r="W34" s="351"/>
      <c r="X34" s="77"/>
      <c r="Y34" s="78"/>
      <c r="Z34" s="77"/>
      <c r="AA34" s="78"/>
      <c r="AB34" s="77"/>
      <c r="AC34" s="78"/>
      <c r="AD34" s="77"/>
      <c r="AE34" s="78"/>
      <c r="AF34" s="77"/>
      <c r="AG34" s="78"/>
      <c r="AH34" s="77"/>
      <c r="AI34" s="78"/>
      <c r="AJ34" s="79"/>
      <c r="AK34" s="80"/>
      <c r="AL34" s="79"/>
      <c r="AM34" s="80"/>
      <c r="AN34" s="79"/>
      <c r="AO34" s="80"/>
      <c r="AP34" s="79"/>
      <c r="AQ34" s="80"/>
      <c r="AR34" s="79"/>
      <c r="AS34" s="679" t="s">
        <v>294</v>
      </c>
      <c r="AT34" s="350"/>
      <c r="AU34" s="350"/>
      <c r="AV34" s="350"/>
      <c r="AW34" s="350"/>
      <c r="AX34" s="350"/>
      <c r="AY34" s="351"/>
      <c r="AZ34" s="81"/>
      <c r="BA34" s="81"/>
      <c r="BB34" s="677" t="s">
        <v>325</v>
      </c>
      <c r="BC34" s="351"/>
      <c r="BD34" s="681" t="s">
        <v>294</v>
      </c>
      <c r="BE34" s="350"/>
      <c r="BF34" s="351"/>
      <c r="BG34" s="678" t="s">
        <v>294</v>
      </c>
      <c r="BH34" s="350"/>
      <c r="BI34" s="350"/>
      <c r="BJ34" s="351"/>
      <c r="BK34" s="680" t="s">
        <v>498</v>
      </c>
      <c r="BL34" s="350"/>
      <c r="BM34" s="351"/>
      <c r="BN34" s="82"/>
      <c r="BO34" s="82"/>
      <c r="BP34" s="678"/>
      <c r="BQ34" s="350"/>
      <c r="BR34" s="351"/>
      <c r="BS34" s="681" t="s">
        <v>294</v>
      </c>
      <c r="BT34" s="350"/>
      <c r="BU34" s="351"/>
    </row>
    <row r="35" spans="1:73" ht="30" customHeight="1">
      <c r="A35" s="76">
        <f t="shared" si="0"/>
        <v>21</v>
      </c>
      <c r="B35" s="686" t="s">
        <v>325</v>
      </c>
      <c r="C35" s="351"/>
      <c r="D35" s="687" t="s">
        <v>294</v>
      </c>
      <c r="E35" s="350"/>
      <c r="F35" s="350"/>
      <c r="G35" s="351"/>
      <c r="H35" s="688" t="s">
        <v>294</v>
      </c>
      <c r="I35" s="350"/>
      <c r="J35" s="350"/>
      <c r="K35" s="351"/>
      <c r="L35" s="538" t="s">
        <v>294</v>
      </c>
      <c r="M35" s="350"/>
      <c r="N35" s="351"/>
      <c r="O35" s="539" t="s">
        <v>294</v>
      </c>
      <c r="P35" s="350"/>
      <c r="Q35" s="351"/>
      <c r="R35" s="574"/>
      <c r="S35" s="350"/>
      <c r="T35" s="351"/>
      <c r="U35" s="574"/>
      <c r="V35" s="350"/>
      <c r="W35" s="351"/>
      <c r="X35" s="77"/>
      <c r="Y35" s="78"/>
      <c r="Z35" s="77"/>
      <c r="AA35" s="78"/>
      <c r="AB35" s="77"/>
      <c r="AC35" s="78"/>
      <c r="AD35" s="77"/>
      <c r="AE35" s="78"/>
      <c r="AF35" s="77"/>
      <c r="AG35" s="78"/>
      <c r="AH35" s="77"/>
      <c r="AI35" s="78"/>
      <c r="AJ35" s="79"/>
      <c r="AK35" s="80"/>
      <c r="AL35" s="79"/>
      <c r="AM35" s="80"/>
      <c r="AN35" s="79"/>
      <c r="AO35" s="80"/>
      <c r="AP35" s="79"/>
      <c r="AQ35" s="80"/>
      <c r="AR35" s="79"/>
      <c r="AS35" s="679" t="s">
        <v>294</v>
      </c>
      <c r="AT35" s="350"/>
      <c r="AU35" s="350"/>
      <c r="AV35" s="350"/>
      <c r="AW35" s="350"/>
      <c r="AX35" s="350"/>
      <c r="AY35" s="351"/>
      <c r="AZ35" s="81"/>
      <c r="BA35" s="81"/>
      <c r="BB35" s="677" t="s">
        <v>325</v>
      </c>
      <c r="BC35" s="351"/>
      <c r="BD35" s="681" t="s">
        <v>294</v>
      </c>
      <c r="BE35" s="350"/>
      <c r="BF35" s="351"/>
      <c r="BG35" s="678" t="s">
        <v>294</v>
      </c>
      <c r="BH35" s="350"/>
      <c r="BI35" s="350"/>
      <c r="BJ35" s="351"/>
      <c r="BK35" s="680" t="s">
        <v>498</v>
      </c>
      <c r="BL35" s="350"/>
      <c r="BM35" s="351"/>
      <c r="BN35" s="82"/>
      <c r="BO35" s="82"/>
      <c r="BP35" s="678"/>
      <c r="BQ35" s="350"/>
      <c r="BR35" s="351"/>
      <c r="BS35" s="681" t="s">
        <v>294</v>
      </c>
      <c r="BT35" s="350"/>
      <c r="BU35" s="351"/>
    </row>
    <row r="36" spans="1:73" ht="30" customHeight="1">
      <c r="A36" s="76">
        <f t="shared" si="0"/>
        <v>22</v>
      </c>
      <c r="B36" s="686" t="s">
        <v>325</v>
      </c>
      <c r="C36" s="351"/>
      <c r="D36" s="687" t="s">
        <v>294</v>
      </c>
      <c r="E36" s="350"/>
      <c r="F36" s="350"/>
      <c r="G36" s="351"/>
      <c r="H36" s="688" t="s">
        <v>294</v>
      </c>
      <c r="I36" s="350"/>
      <c r="J36" s="350"/>
      <c r="K36" s="351"/>
      <c r="L36" s="538" t="s">
        <v>294</v>
      </c>
      <c r="M36" s="350"/>
      <c r="N36" s="351"/>
      <c r="O36" s="539" t="s">
        <v>294</v>
      </c>
      <c r="P36" s="350"/>
      <c r="Q36" s="351"/>
      <c r="R36" s="574"/>
      <c r="S36" s="350"/>
      <c r="T36" s="351"/>
      <c r="U36" s="574"/>
      <c r="V36" s="350"/>
      <c r="W36" s="351"/>
      <c r="X36" s="77"/>
      <c r="Y36" s="78"/>
      <c r="Z36" s="77"/>
      <c r="AA36" s="78"/>
      <c r="AB36" s="77"/>
      <c r="AC36" s="78"/>
      <c r="AD36" s="77"/>
      <c r="AE36" s="78"/>
      <c r="AF36" s="77"/>
      <c r="AG36" s="78"/>
      <c r="AH36" s="77"/>
      <c r="AI36" s="78"/>
      <c r="AJ36" s="79"/>
      <c r="AK36" s="80"/>
      <c r="AL36" s="79"/>
      <c r="AM36" s="80"/>
      <c r="AN36" s="79"/>
      <c r="AO36" s="80"/>
      <c r="AP36" s="79"/>
      <c r="AQ36" s="80"/>
      <c r="AR36" s="79"/>
      <c r="AS36" s="679" t="s">
        <v>294</v>
      </c>
      <c r="AT36" s="350"/>
      <c r="AU36" s="350"/>
      <c r="AV36" s="350"/>
      <c r="AW36" s="350"/>
      <c r="AX36" s="350"/>
      <c r="AY36" s="351"/>
      <c r="AZ36" s="81"/>
      <c r="BA36" s="81"/>
      <c r="BB36" s="685" t="s">
        <v>325</v>
      </c>
      <c r="BC36" s="351"/>
      <c r="BD36" s="681" t="s">
        <v>294</v>
      </c>
      <c r="BE36" s="350"/>
      <c r="BF36" s="351"/>
      <c r="BG36" s="678" t="s">
        <v>294</v>
      </c>
      <c r="BH36" s="350"/>
      <c r="BI36" s="350"/>
      <c r="BJ36" s="351"/>
      <c r="BK36" s="680" t="s">
        <v>498</v>
      </c>
      <c r="BL36" s="350"/>
      <c r="BM36" s="351"/>
      <c r="BN36" s="82"/>
      <c r="BO36" s="82"/>
      <c r="BP36" s="678"/>
      <c r="BQ36" s="350"/>
      <c r="BR36" s="351"/>
      <c r="BS36" s="681" t="s">
        <v>294</v>
      </c>
      <c r="BT36" s="350"/>
      <c r="BU36" s="351"/>
    </row>
    <row r="37" spans="1:73" ht="30" customHeight="1">
      <c r="A37" s="76">
        <f t="shared" si="0"/>
        <v>23</v>
      </c>
      <c r="B37" s="686" t="s">
        <v>325</v>
      </c>
      <c r="C37" s="351"/>
      <c r="D37" s="687" t="s">
        <v>294</v>
      </c>
      <c r="E37" s="350"/>
      <c r="F37" s="350"/>
      <c r="G37" s="351"/>
      <c r="H37" s="688" t="s">
        <v>294</v>
      </c>
      <c r="I37" s="350"/>
      <c r="J37" s="350"/>
      <c r="K37" s="351"/>
      <c r="L37" s="538" t="s">
        <v>294</v>
      </c>
      <c r="M37" s="350"/>
      <c r="N37" s="351"/>
      <c r="O37" s="539" t="s">
        <v>294</v>
      </c>
      <c r="P37" s="350"/>
      <c r="Q37" s="351"/>
      <c r="R37" s="574"/>
      <c r="S37" s="350"/>
      <c r="T37" s="351"/>
      <c r="U37" s="574"/>
      <c r="V37" s="350"/>
      <c r="W37" s="351"/>
      <c r="X37" s="77"/>
      <c r="Y37" s="78"/>
      <c r="Z37" s="77"/>
      <c r="AA37" s="78"/>
      <c r="AB37" s="77"/>
      <c r="AC37" s="78"/>
      <c r="AD37" s="77"/>
      <c r="AE37" s="78"/>
      <c r="AF37" s="77"/>
      <c r="AG37" s="78"/>
      <c r="AH37" s="77"/>
      <c r="AI37" s="78"/>
      <c r="AJ37" s="79"/>
      <c r="AK37" s="80"/>
      <c r="AL37" s="79"/>
      <c r="AM37" s="80"/>
      <c r="AN37" s="79"/>
      <c r="AO37" s="80"/>
      <c r="AP37" s="79"/>
      <c r="AQ37" s="80"/>
      <c r="AR37" s="79"/>
      <c r="AS37" s="679" t="s">
        <v>294</v>
      </c>
      <c r="AT37" s="350"/>
      <c r="AU37" s="350"/>
      <c r="AV37" s="350"/>
      <c r="AW37" s="350"/>
      <c r="AX37" s="350"/>
      <c r="AY37" s="351"/>
      <c r="AZ37" s="81"/>
      <c r="BA37" s="81"/>
      <c r="BB37" s="677" t="s">
        <v>325</v>
      </c>
      <c r="BC37" s="351"/>
      <c r="BD37" s="681" t="s">
        <v>294</v>
      </c>
      <c r="BE37" s="350"/>
      <c r="BF37" s="351"/>
      <c r="BG37" s="678" t="s">
        <v>294</v>
      </c>
      <c r="BH37" s="350"/>
      <c r="BI37" s="350"/>
      <c r="BJ37" s="351"/>
      <c r="BK37" s="680" t="s">
        <v>498</v>
      </c>
      <c r="BL37" s="350"/>
      <c r="BM37" s="351"/>
      <c r="BN37" s="82"/>
      <c r="BO37" s="82"/>
      <c r="BP37" s="678"/>
      <c r="BQ37" s="350"/>
      <c r="BR37" s="351"/>
      <c r="BS37" s="681" t="s">
        <v>294</v>
      </c>
      <c r="BT37" s="350"/>
      <c r="BU37" s="351"/>
    </row>
    <row r="38" spans="1:73" ht="30" customHeight="1">
      <c r="A38" s="76">
        <f t="shared" si="0"/>
        <v>24</v>
      </c>
      <c r="B38" s="686" t="s">
        <v>325</v>
      </c>
      <c r="C38" s="351"/>
      <c r="D38" s="687" t="s">
        <v>294</v>
      </c>
      <c r="E38" s="350"/>
      <c r="F38" s="350"/>
      <c r="G38" s="351"/>
      <c r="H38" s="688" t="s">
        <v>294</v>
      </c>
      <c r="I38" s="350"/>
      <c r="J38" s="350"/>
      <c r="K38" s="351"/>
      <c r="L38" s="538" t="s">
        <v>294</v>
      </c>
      <c r="M38" s="350"/>
      <c r="N38" s="351"/>
      <c r="O38" s="539" t="s">
        <v>294</v>
      </c>
      <c r="P38" s="350"/>
      <c r="Q38" s="351"/>
      <c r="R38" s="574"/>
      <c r="S38" s="350"/>
      <c r="T38" s="351"/>
      <c r="U38" s="574"/>
      <c r="V38" s="350"/>
      <c r="W38" s="351"/>
      <c r="X38" s="77"/>
      <c r="Y38" s="78"/>
      <c r="Z38" s="77"/>
      <c r="AA38" s="78"/>
      <c r="AB38" s="77"/>
      <c r="AC38" s="78"/>
      <c r="AD38" s="77"/>
      <c r="AE38" s="78"/>
      <c r="AF38" s="77"/>
      <c r="AG38" s="78"/>
      <c r="AH38" s="77"/>
      <c r="AI38" s="78"/>
      <c r="AJ38" s="79"/>
      <c r="AK38" s="80"/>
      <c r="AL38" s="79"/>
      <c r="AM38" s="80"/>
      <c r="AN38" s="79"/>
      <c r="AO38" s="80"/>
      <c r="AP38" s="79"/>
      <c r="AQ38" s="80"/>
      <c r="AR38" s="79"/>
      <c r="AS38" s="679" t="s">
        <v>294</v>
      </c>
      <c r="AT38" s="350"/>
      <c r="AU38" s="350"/>
      <c r="AV38" s="350"/>
      <c r="AW38" s="350"/>
      <c r="AX38" s="350"/>
      <c r="AY38" s="351"/>
      <c r="AZ38" s="81"/>
      <c r="BA38" s="81"/>
      <c r="BB38" s="677" t="s">
        <v>325</v>
      </c>
      <c r="BC38" s="351"/>
      <c r="BD38" s="681" t="s">
        <v>294</v>
      </c>
      <c r="BE38" s="350"/>
      <c r="BF38" s="351"/>
      <c r="BG38" s="678" t="s">
        <v>294</v>
      </c>
      <c r="BH38" s="350"/>
      <c r="BI38" s="350"/>
      <c r="BJ38" s="351"/>
      <c r="BK38" s="680" t="s">
        <v>498</v>
      </c>
      <c r="BL38" s="350"/>
      <c r="BM38" s="351"/>
      <c r="BN38" s="82"/>
      <c r="BO38" s="82"/>
      <c r="BP38" s="678"/>
      <c r="BQ38" s="350"/>
      <c r="BR38" s="351"/>
      <c r="BS38" s="681" t="s">
        <v>294</v>
      </c>
      <c r="BT38" s="350"/>
      <c r="BU38" s="351"/>
    </row>
    <row r="39" spans="1:73" ht="30" customHeight="1">
      <c r="A39" s="76">
        <f t="shared" si="0"/>
        <v>25</v>
      </c>
      <c r="B39" s="686" t="s">
        <v>325</v>
      </c>
      <c r="C39" s="351"/>
      <c r="D39" s="687" t="s">
        <v>294</v>
      </c>
      <c r="E39" s="350"/>
      <c r="F39" s="350"/>
      <c r="G39" s="351"/>
      <c r="H39" s="688" t="s">
        <v>294</v>
      </c>
      <c r="I39" s="350"/>
      <c r="J39" s="350"/>
      <c r="K39" s="351"/>
      <c r="L39" s="538" t="s">
        <v>294</v>
      </c>
      <c r="M39" s="350"/>
      <c r="N39" s="351"/>
      <c r="O39" s="539" t="s">
        <v>294</v>
      </c>
      <c r="P39" s="350"/>
      <c r="Q39" s="351"/>
      <c r="R39" s="574"/>
      <c r="S39" s="350"/>
      <c r="T39" s="351"/>
      <c r="U39" s="574"/>
      <c r="V39" s="350"/>
      <c r="W39" s="351"/>
      <c r="X39" s="77"/>
      <c r="Y39" s="78"/>
      <c r="Z39" s="77"/>
      <c r="AA39" s="78"/>
      <c r="AB39" s="77"/>
      <c r="AC39" s="78"/>
      <c r="AD39" s="77"/>
      <c r="AE39" s="78"/>
      <c r="AF39" s="77"/>
      <c r="AG39" s="78"/>
      <c r="AH39" s="77"/>
      <c r="AI39" s="78"/>
      <c r="AJ39" s="79"/>
      <c r="AK39" s="80"/>
      <c r="AL39" s="79"/>
      <c r="AM39" s="80"/>
      <c r="AN39" s="79"/>
      <c r="AO39" s="80"/>
      <c r="AP39" s="79"/>
      <c r="AQ39" s="80"/>
      <c r="AR39" s="79"/>
      <c r="AS39" s="679" t="s">
        <v>294</v>
      </c>
      <c r="AT39" s="350"/>
      <c r="AU39" s="350"/>
      <c r="AV39" s="350"/>
      <c r="AW39" s="350"/>
      <c r="AX39" s="350"/>
      <c r="AY39" s="351"/>
      <c r="AZ39" s="81"/>
      <c r="BA39" s="81"/>
      <c r="BB39" s="677" t="s">
        <v>325</v>
      </c>
      <c r="BC39" s="351"/>
      <c r="BD39" s="681" t="s">
        <v>294</v>
      </c>
      <c r="BE39" s="350"/>
      <c r="BF39" s="351"/>
      <c r="BG39" s="678" t="s">
        <v>294</v>
      </c>
      <c r="BH39" s="350"/>
      <c r="BI39" s="350"/>
      <c r="BJ39" s="351"/>
      <c r="BK39" s="680" t="s">
        <v>498</v>
      </c>
      <c r="BL39" s="350"/>
      <c r="BM39" s="351"/>
      <c r="BN39" s="82"/>
      <c r="BO39" s="82"/>
      <c r="BP39" s="678"/>
      <c r="BQ39" s="350"/>
      <c r="BR39" s="351"/>
      <c r="BS39" s="681" t="s">
        <v>294</v>
      </c>
      <c r="BT39" s="350"/>
      <c r="BU39" s="351"/>
    </row>
    <row r="40" spans="1:73" ht="30" customHeight="1">
      <c r="A40" s="76">
        <f t="shared" si="0"/>
        <v>26</v>
      </c>
      <c r="B40" s="686" t="s">
        <v>325</v>
      </c>
      <c r="C40" s="351"/>
      <c r="D40" s="687" t="s">
        <v>294</v>
      </c>
      <c r="E40" s="350"/>
      <c r="F40" s="350"/>
      <c r="G40" s="351"/>
      <c r="H40" s="688" t="s">
        <v>294</v>
      </c>
      <c r="I40" s="350"/>
      <c r="J40" s="350"/>
      <c r="K40" s="351"/>
      <c r="L40" s="538" t="s">
        <v>294</v>
      </c>
      <c r="M40" s="350"/>
      <c r="N40" s="351"/>
      <c r="O40" s="539" t="s">
        <v>294</v>
      </c>
      <c r="P40" s="350"/>
      <c r="Q40" s="351"/>
      <c r="R40" s="574"/>
      <c r="S40" s="350"/>
      <c r="T40" s="351"/>
      <c r="U40" s="574"/>
      <c r="V40" s="350"/>
      <c r="W40" s="351"/>
      <c r="X40" s="77"/>
      <c r="Y40" s="78"/>
      <c r="Z40" s="77"/>
      <c r="AA40" s="78"/>
      <c r="AB40" s="77"/>
      <c r="AC40" s="78"/>
      <c r="AD40" s="77"/>
      <c r="AE40" s="78"/>
      <c r="AF40" s="77"/>
      <c r="AG40" s="78"/>
      <c r="AH40" s="77"/>
      <c r="AI40" s="78"/>
      <c r="AJ40" s="79"/>
      <c r="AK40" s="80"/>
      <c r="AL40" s="79"/>
      <c r="AM40" s="80"/>
      <c r="AN40" s="79"/>
      <c r="AO40" s="80"/>
      <c r="AP40" s="79"/>
      <c r="AQ40" s="80"/>
      <c r="AR40" s="79"/>
      <c r="AS40" s="679" t="s">
        <v>294</v>
      </c>
      <c r="AT40" s="350"/>
      <c r="AU40" s="350"/>
      <c r="AV40" s="350"/>
      <c r="AW40" s="350"/>
      <c r="AX40" s="350"/>
      <c r="AY40" s="351"/>
      <c r="AZ40" s="81"/>
      <c r="BA40" s="81"/>
      <c r="BB40" s="677" t="s">
        <v>325</v>
      </c>
      <c r="BC40" s="351"/>
      <c r="BD40" s="681" t="s">
        <v>294</v>
      </c>
      <c r="BE40" s="350"/>
      <c r="BF40" s="351"/>
      <c r="BG40" s="678" t="s">
        <v>294</v>
      </c>
      <c r="BH40" s="350"/>
      <c r="BI40" s="350"/>
      <c r="BJ40" s="351"/>
      <c r="BK40" s="680" t="s">
        <v>498</v>
      </c>
      <c r="BL40" s="350"/>
      <c r="BM40" s="351"/>
      <c r="BN40" s="82"/>
      <c r="BO40" s="82"/>
      <c r="BP40" s="678"/>
      <c r="BQ40" s="350"/>
      <c r="BR40" s="351"/>
      <c r="BS40" s="681" t="s">
        <v>294</v>
      </c>
      <c r="BT40" s="350"/>
      <c r="BU40" s="351"/>
    </row>
    <row r="41" spans="1:73" ht="30" customHeight="1">
      <c r="A41" s="76">
        <f t="shared" si="0"/>
        <v>27</v>
      </c>
      <c r="B41" s="686" t="s">
        <v>325</v>
      </c>
      <c r="C41" s="351"/>
      <c r="D41" s="687" t="s">
        <v>294</v>
      </c>
      <c r="E41" s="350"/>
      <c r="F41" s="350"/>
      <c r="G41" s="351"/>
      <c r="H41" s="688" t="s">
        <v>294</v>
      </c>
      <c r="I41" s="350"/>
      <c r="J41" s="350"/>
      <c r="K41" s="351"/>
      <c r="L41" s="538" t="s">
        <v>294</v>
      </c>
      <c r="M41" s="350"/>
      <c r="N41" s="351"/>
      <c r="O41" s="539" t="s">
        <v>294</v>
      </c>
      <c r="P41" s="350"/>
      <c r="Q41" s="351"/>
      <c r="R41" s="574"/>
      <c r="S41" s="350"/>
      <c r="T41" s="351"/>
      <c r="U41" s="574"/>
      <c r="V41" s="350"/>
      <c r="W41" s="351"/>
      <c r="X41" s="77"/>
      <c r="Y41" s="78"/>
      <c r="Z41" s="77"/>
      <c r="AA41" s="78"/>
      <c r="AB41" s="77"/>
      <c r="AC41" s="78"/>
      <c r="AD41" s="77"/>
      <c r="AE41" s="78"/>
      <c r="AF41" s="77"/>
      <c r="AG41" s="78"/>
      <c r="AH41" s="77"/>
      <c r="AI41" s="78"/>
      <c r="AJ41" s="79"/>
      <c r="AK41" s="80"/>
      <c r="AL41" s="79"/>
      <c r="AM41" s="80"/>
      <c r="AN41" s="79"/>
      <c r="AO41" s="80"/>
      <c r="AP41" s="79"/>
      <c r="AQ41" s="80"/>
      <c r="AR41" s="79"/>
      <c r="AS41" s="679" t="s">
        <v>294</v>
      </c>
      <c r="AT41" s="350"/>
      <c r="AU41" s="350"/>
      <c r="AV41" s="350"/>
      <c r="AW41" s="350"/>
      <c r="AX41" s="350"/>
      <c r="AY41" s="351"/>
      <c r="AZ41" s="81"/>
      <c r="BA41" s="81"/>
      <c r="BB41" s="677" t="s">
        <v>325</v>
      </c>
      <c r="BC41" s="351"/>
      <c r="BD41" s="681" t="s">
        <v>294</v>
      </c>
      <c r="BE41" s="350"/>
      <c r="BF41" s="351"/>
      <c r="BG41" s="678" t="s">
        <v>294</v>
      </c>
      <c r="BH41" s="350"/>
      <c r="BI41" s="350"/>
      <c r="BJ41" s="351"/>
      <c r="BK41" s="680" t="s">
        <v>498</v>
      </c>
      <c r="BL41" s="350"/>
      <c r="BM41" s="351"/>
      <c r="BN41" s="82"/>
      <c r="BO41" s="82"/>
      <c r="BP41" s="678"/>
      <c r="BQ41" s="350"/>
      <c r="BR41" s="351"/>
      <c r="BS41" s="681" t="s">
        <v>294</v>
      </c>
      <c r="BT41" s="350"/>
      <c r="BU41" s="351"/>
    </row>
    <row r="42" spans="1:73" ht="30" customHeight="1">
      <c r="A42" s="76">
        <f t="shared" si="0"/>
        <v>28</v>
      </c>
      <c r="B42" s="686" t="s">
        <v>325</v>
      </c>
      <c r="C42" s="351"/>
      <c r="D42" s="687" t="s">
        <v>294</v>
      </c>
      <c r="E42" s="350"/>
      <c r="F42" s="350"/>
      <c r="G42" s="351"/>
      <c r="H42" s="688" t="s">
        <v>294</v>
      </c>
      <c r="I42" s="350"/>
      <c r="J42" s="350"/>
      <c r="K42" s="351"/>
      <c r="L42" s="538" t="s">
        <v>294</v>
      </c>
      <c r="M42" s="350"/>
      <c r="N42" s="351"/>
      <c r="O42" s="539" t="s">
        <v>294</v>
      </c>
      <c r="P42" s="350"/>
      <c r="Q42" s="351"/>
      <c r="R42" s="574"/>
      <c r="S42" s="350"/>
      <c r="T42" s="351"/>
      <c r="U42" s="574"/>
      <c r="V42" s="350"/>
      <c r="W42" s="351"/>
      <c r="X42" s="77"/>
      <c r="Y42" s="78"/>
      <c r="Z42" s="77"/>
      <c r="AA42" s="78"/>
      <c r="AB42" s="77"/>
      <c r="AC42" s="78"/>
      <c r="AD42" s="77"/>
      <c r="AE42" s="78"/>
      <c r="AF42" s="77"/>
      <c r="AG42" s="78"/>
      <c r="AH42" s="77"/>
      <c r="AI42" s="78"/>
      <c r="AJ42" s="79"/>
      <c r="AK42" s="80"/>
      <c r="AL42" s="79"/>
      <c r="AM42" s="80"/>
      <c r="AN42" s="79"/>
      <c r="AO42" s="80"/>
      <c r="AP42" s="79"/>
      <c r="AQ42" s="80"/>
      <c r="AR42" s="79"/>
      <c r="AS42" s="679" t="s">
        <v>294</v>
      </c>
      <c r="AT42" s="350"/>
      <c r="AU42" s="350"/>
      <c r="AV42" s="350"/>
      <c r="AW42" s="350"/>
      <c r="AX42" s="350"/>
      <c r="AY42" s="351"/>
      <c r="AZ42" s="81"/>
      <c r="BA42" s="81"/>
      <c r="BB42" s="677" t="s">
        <v>325</v>
      </c>
      <c r="BC42" s="351"/>
      <c r="BD42" s="681" t="s">
        <v>294</v>
      </c>
      <c r="BE42" s="350"/>
      <c r="BF42" s="351"/>
      <c r="BG42" s="678" t="s">
        <v>294</v>
      </c>
      <c r="BH42" s="350"/>
      <c r="BI42" s="350"/>
      <c r="BJ42" s="351"/>
      <c r="BK42" s="680" t="s">
        <v>498</v>
      </c>
      <c r="BL42" s="350"/>
      <c r="BM42" s="351"/>
      <c r="BN42" s="82"/>
      <c r="BO42" s="82"/>
      <c r="BP42" s="678"/>
      <c r="BQ42" s="350"/>
      <c r="BR42" s="351"/>
      <c r="BS42" s="681" t="s">
        <v>294</v>
      </c>
      <c r="BT42" s="350"/>
      <c r="BU42" s="351"/>
    </row>
    <row r="43" spans="1:73" ht="30" customHeight="1">
      <c r="A43" s="76">
        <f t="shared" si="0"/>
        <v>29</v>
      </c>
      <c r="B43" s="686" t="s">
        <v>325</v>
      </c>
      <c r="C43" s="351"/>
      <c r="D43" s="687" t="s">
        <v>294</v>
      </c>
      <c r="E43" s="350"/>
      <c r="F43" s="350"/>
      <c r="G43" s="351"/>
      <c r="H43" s="688" t="s">
        <v>294</v>
      </c>
      <c r="I43" s="350"/>
      <c r="J43" s="350"/>
      <c r="K43" s="351"/>
      <c r="L43" s="538" t="s">
        <v>294</v>
      </c>
      <c r="M43" s="350"/>
      <c r="N43" s="351"/>
      <c r="O43" s="539" t="s">
        <v>294</v>
      </c>
      <c r="P43" s="350"/>
      <c r="Q43" s="351"/>
      <c r="R43" s="574"/>
      <c r="S43" s="350"/>
      <c r="T43" s="351"/>
      <c r="U43" s="574"/>
      <c r="V43" s="350"/>
      <c r="W43" s="351"/>
      <c r="X43" s="77"/>
      <c r="Y43" s="78"/>
      <c r="Z43" s="77"/>
      <c r="AA43" s="78"/>
      <c r="AB43" s="77"/>
      <c r="AC43" s="78"/>
      <c r="AD43" s="77"/>
      <c r="AE43" s="78"/>
      <c r="AF43" s="77"/>
      <c r="AG43" s="78"/>
      <c r="AH43" s="77"/>
      <c r="AI43" s="78"/>
      <c r="AJ43" s="79"/>
      <c r="AK43" s="80"/>
      <c r="AL43" s="79"/>
      <c r="AM43" s="80"/>
      <c r="AN43" s="79"/>
      <c r="AO43" s="80"/>
      <c r="AP43" s="79"/>
      <c r="AQ43" s="80"/>
      <c r="AR43" s="79"/>
      <c r="AS43" s="679" t="s">
        <v>294</v>
      </c>
      <c r="AT43" s="350"/>
      <c r="AU43" s="350"/>
      <c r="AV43" s="350"/>
      <c r="AW43" s="350"/>
      <c r="AX43" s="350"/>
      <c r="AY43" s="351"/>
      <c r="AZ43" s="81"/>
      <c r="BA43" s="81"/>
      <c r="BB43" s="685" t="s">
        <v>325</v>
      </c>
      <c r="BC43" s="351"/>
      <c r="BD43" s="681" t="s">
        <v>294</v>
      </c>
      <c r="BE43" s="350"/>
      <c r="BF43" s="351"/>
      <c r="BG43" s="678" t="s">
        <v>294</v>
      </c>
      <c r="BH43" s="350"/>
      <c r="BI43" s="350"/>
      <c r="BJ43" s="351"/>
      <c r="BK43" s="680" t="s">
        <v>498</v>
      </c>
      <c r="BL43" s="350"/>
      <c r="BM43" s="351"/>
      <c r="BN43" s="82"/>
      <c r="BO43" s="82"/>
      <c r="BP43" s="678"/>
      <c r="BQ43" s="350"/>
      <c r="BR43" s="351"/>
      <c r="BS43" s="681" t="s">
        <v>294</v>
      </c>
      <c r="BT43" s="350"/>
      <c r="BU43" s="351"/>
    </row>
    <row r="44" spans="1:73" ht="30" customHeight="1">
      <c r="A44" s="76">
        <f t="shared" si="0"/>
        <v>30</v>
      </c>
      <c r="B44" s="686" t="s">
        <v>325</v>
      </c>
      <c r="C44" s="351"/>
      <c r="D44" s="687" t="s">
        <v>294</v>
      </c>
      <c r="E44" s="350"/>
      <c r="F44" s="350"/>
      <c r="G44" s="351"/>
      <c r="H44" s="688" t="s">
        <v>294</v>
      </c>
      <c r="I44" s="350"/>
      <c r="J44" s="350"/>
      <c r="K44" s="351"/>
      <c r="L44" s="538" t="s">
        <v>294</v>
      </c>
      <c r="M44" s="350"/>
      <c r="N44" s="351"/>
      <c r="O44" s="539" t="s">
        <v>294</v>
      </c>
      <c r="P44" s="350"/>
      <c r="Q44" s="351"/>
      <c r="R44" s="574"/>
      <c r="S44" s="350"/>
      <c r="T44" s="351"/>
      <c r="U44" s="574"/>
      <c r="V44" s="350"/>
      <c r="W44" s="351"/>
      <c r="X44" s="77"/>
      <c r="Y44" s="78"/>
      <c r="Z44" s="77"/>
      <c r="AA44" s="78"/>
      <c r="AB44" s="77"/>
      <c r="AC44" s="78"/>
      <c r="AD44" s="77"/>
      <c r="AE44" s="78"/>
      <c r="AF44" s="77"/>
      <c r="AG44" s="78"/>
      <c r="AH44" s="77"/>
      <c r="AI44" s="78"/>
      <c r="AJ44" s="79"/>
      <c r="AK44" s="80"/>
      <c r="AL44" s="79"/>
      <c r="AM44" s="80"/>
      <c r="AN44" s="79"/>
      <c r="AO44" s="80"/>
      <c r="AP44" s="79"/>
      <c r="AQ44" s="80"/>
      <c r="AR44" s="79"/>
      <c r="AS44" s="679" t="s">
        <v>294</v>
      </c>
      <c r="AT44" s="350"/>
      <c r="AU44" s="350"/>
      <c r="AV44" s="350"/>
      <c r="AW44" s="350"/>
      <c r="AX44" s="350"/>
      <c r="AY44" s="351"/>
      <c r="AZ44" s="81"/>
      <c r="BA44" s="81"/>
      <c r="BB44" s="677" t="s">
        <v>325</v>
      </c>
      <c r="BC44" s="351"/>
      <c r="BD44" s="681" t="s">
        <v>294</v>
      </c>
      <c r="BE44" s="350"/>
      <c r="BF44" s="351"/>
      <c r="BG44" s="678" t="s">
        <v>294</v>
      </c>
      <c r="BH44" s="350"/>
      <c r="BI44" s="350"/>
      <c r="BJ44" s="351"/>
      <c r="BK44" s="680" t="s">
        <v>498</v>
      </c>
      <c r="BL44" s="350"/>
      <c r="BM44" s="351"/>
      <c r="BN44" s="82"/>
      <c r="BO44" s="82"/>
      <c r="BP44" s="678"/>
      <c r="BQ44" s="350"/>
      <c r="BR44" s="351"/>
      <c r="BS44" s="681" t="s">
        <v>294</v>
      </c>
      <c r="BT44" s="350"/>
      <c r="BU44" s="351"/>
    </row>
    <row r="45" spans="1:73" ht="30" customHeight="1">
      <c r="A45" s="76">
        <f t="shared" si="0"/>
        <v>31</v>
      </c>
      <c r="B45" s="686" t="s">
        <v>325</v>
      </c>
      <c r="C45" s="351"/>
      <c r="D45" s="687" t="s">
        <v>294</v>
      </c>
      <c r="E45" s="350"/>
      <c r="F45" s="350"/>
      <c r="G45" s="351"/>
      <c r="H45" s="688" t="s">
        <v>294</v>
      </c>
      <c r="I45" s="350"/>
      <c r="J45" s="350"/>
      <c r="K45" s="351"/>
      <c r="L45" s="538" t="s">
        <v>294</v>
      </c>
      <c r="M45" s="350"/>
      <c r="N45" s="351"/>
      <c r="O45" s="539" t="s">
        <v>294</v>
      </c>
      <c r="P45" s="350"/>
      <c r="Q45" s="351"/>
      <c r="R45" s="574"/>
      <c r="S45" s="350"/>
      <c r="T45" s="351"/>
      <c r="U45" s="574"/>
      <c r="V45" s="350"/>
      <c r="W45" s="351"/>
      <c r="X45" s="77"/>
      <c r="Y45" s="78"/>
      <c r="Z45" s="77"/>
      <c r="AA45" s="78"/>
      <c r="AB45" s="77"/>
      <c r="AC45" s="78"/>
      <c r="AD45" s="77"/>
      <c r="AE45" s="78"/>
      <c r="AF45" s="77"/>
      <c r="AG45" s="78"/>
      <c r="AH45" s="77"/>
      <c r="AI45" s="78"/>
      <c r="AJ45" s="79"/>
      <c r="AK45" s="80"/>
      <c r="AL45" s="79"/>
      <c r="AM45" s="80"/>
      <c r="AN45" s="79"/>
      <c r="AO45" s="80"/>
      <c r="AP45" s="79"/>
      <c r="AQ45" s="80"/>
      <c r="AR45" s="79"/>
      <c r="AS45" s="679" t="s">
        <v>294</v>
      </c>
      <c r="AT45" s="350"/>
      <c r="AU45" s="350"/>
      <c r="AV45" s="350"/>
      <c r="AW45" s="350"/>
      <c r="AX45" s="350"/>
      <c r="AY45" s="351"/>
      <c r="AZ45" s="81"/>
      <c r="BA45" s="81"/>
      <c r="BB45" s="677" t="s">
        <v>325</v>
      </c>
      <c r="BC45" s="351"/>
      <c r="BD45" s="681" t="s">
        <v>294</v>
      </c>
      <c r="BE45" s="350"/>
      <c r="BF45" s="351"/>
      <c r="BG45" s="678" t="s">
        <v>294</v>
      </c>
      <c r="BH45" s="350"/>
      <c r="BI45" s="350"/>
      <c r="BJ45" s="351"/>
      <c r="BK45" s="680" t="s">
        <v>498</v>
      </c>
      <c r="BL45" s="350"/>
      <c r="BM45" s="351"/>
      <c r="BN45" s="82"/>
      <c r="BO45" s="82"/>
      <c r="BP45" s="678"/>
      <c r="BQ45" s="350"/>
      <c r="BR45" s="351"/>
      <c r="BS45" s="681" t="s">
        <v>294</v>
      </c>
      <c r="BT45" s="350"/>
      <c r="BU45" s="351"/>
    </row>
    <row r="46" spans="1:73" ht="30" customHeight="1">
      <c r="A46" s="76">
        <f t="shared" si="0"/>
        <v>32</v>
      </c>
      <c r="B46" s="686" t="s">
        <v>325</v>
      </c>
      <c r="C46" s="351"/>
      <c r="D46" s="687" t="s">
        <v>294</v>
      </c>
      <c r="E46" s="350"/>
      <c r="F46" s="350"/>
      <c r="G46" s="351"/>
      <c r="H46" s="688" t="s">
        <v>294</v>
      </c>
      <c r="I46" s="350"/>
      <c r="J46" s="350"/>
      <c r="K46" s="351"/>
      <c r="L46" s="538" t="s">
        <v>294</v>
      </c>
      <c r="M46" s="350"/>
      <c r="N46" s="351"/>
      <c r="O46" s="539" t="s">
        <v>294</v>
      </c>
      <c r="P46" s="350"/>
      <c r="Q46" s="351"/>
      <c r="R46" s="574"/>
      <c r="S46" s="350"/>
      <c r="T46" s="351"/>
      <c r="U46" s="574"/>
      <c r="V46" s="350"/>
      <c r="W46" s="351"/>
      <c r="X46" s="77"/>
      <c r="Y46" s="78"/>
      <c r="Z46" s="77"/>
      <c r="AA46" s="78"/>
      <c r="AB46" s="77"/>
      <c r="AC46" s="78"/>
      <c r="AD46" s="77"/>
      <c r="AE46" s="78"/>
      <c r="AF46" s="77"/>
      <c r="AG46" s="78"/>
      <c r="AH46" s="77"/>
      <c r="AI46" s="78"/>
      <c r="AJ46" s="79"/>
      <c r="AK46" s="80"/>
      <c r="AL46" s="79"/>
      <c r="AM46" s="80"/>
      <c r="AN46" s="79"/>
      <c r="AO46" s="80"/>
      <c r="AP46" s="79"/>
      <c r="AQ46" s="80"/>
      <c r="AR46" s="79"/>
      <c r="AS46" s="679" t="s">
        <v>294</v>
      </c>
      <c r="AT46" s="350"/>
      <c r="AU46" s="350"/>
      <c r="AV46" s="350"/>
      <c r="AW46" s="350"/>
      <c r="AX46" s="350"/>
      <c r="AY46" s="351"/>
      <c r="AZ46" s="81"/>
      <c r="BA46" s="81"/>
      <c r="BB46" s="677" t="s">
        <v>325</v>
      </c>
      <c r="BC46" s="351"/>
      <c r="BD46" s="681" t="s">
        <v>294</v>
      </c>
      <c r="BE46" s="350"/>
      <c r="BF46" s="351"/>
      <c r="BG46" s="678" t="s">
        <v>294</v>
      </c>
      <c r="BH46" s="350"/>
      <c r="BI46" s="350"/>
      <c r="BJ46" s="351"/>
      <c r="BK46" s="680" t="s">
        <v>498</v>
      </c>
      <c r="BL46" s="350"/>
      <c r="BM46" s="351"/>
      <c r="BN46" s="82"/>
      <c r="BO46" s="82"/>
      <c r="BP46" s="678"/>
      <c r="BQ46" s="350"/>
      <c r="BR46" s="351"/>
      <c r="BS46" s="681" t="s">
        <v>294</v>
      </c>
      <c r="BT46" s="350"/>
      <c r="BU46" s="351"/>
    </row>
    <row r="47" spans="1:73" ht="30" customHeight="1">
      <c r="A47" s="76">
        <f t="shared" si="0"/>
        <v>33</v>
      </c>
      <c r="B47" s="686" t="s">
        <v>325</v>
      </c>
      <c r="C47" s="351"/>
      <c r="D47" s="687" t="s">
        <v>294</v>
      </c>
      <c r="E47" s="350"/>
      <c r="F47" s="350"/>
      <c r="G47" s="351"/>
      <c r="H47" s="688" t="s">
        <v>294</v>
      </c>
      <c r="I47" s="350"/>
      <c r="J47" s="350"/>
      <c r="K47" s="351"/>
      <c r="L47" s="538" t="s">
        <v>294</v>
      </c>
      <c r="M47" s="350"/>
      <c r="N47" s="351"/>
      <c r="O47" s="539" t="s">
        <v>294</v>
      </c>
      <c r="P47" s="350"/>
      <c r="Q47" s="351"/>
      <c r="R47" s="574"/>
      <c r="S47" s="350"/>
      <c r="T47" s="351"/>
      <c r="U47" s="574"/>
      <c r="V47" s="350"/>
      <c r="W47" s="351"/>
      <c r="X47" s="77"/>
      <c r="Y47" s="78"/>
      <c r="Z47" s="77"/>
      <c r="AA47" s="78"/>
      <c r="AB47" s="77"/>
      <c r="AC47" s="78"/>
      <c r="AD47" s="77"/>
      <c r="AE47" s="78"/>
      <c r="AF47" s="77"/>
      <c r="AG47" s="78"/>
      <c r="AH47" s="77"/>
      <c r="AI47" s="78"/>
      <c r="AJ47" s="79"/>
      <c r="AK47" s="80"/>
      <c r="AL47" s="79"/>
      <c r="AM47" s="80"/>
      <c r="AN47" s="79"/>
      <c r="AO47" s="80"/>
      <c r="AP47" s="79"/>
      <c r="AQ47" s="80"/>
      <c r="AR47" s="79"/>
      <c r="AS47" s="679" t="s">
        <v>294</v>
      </c>
      <c r="AT47" s="350"/>
      <c r="AU47" s="350"/>
      <c r="AV47" s="350"/>
      <c r="AW47" s="350"/>
      <c r="AX47" s="350"/>
      <c r="AY47" s="351"/>
      <c r="AZ47" s="81"/>
      <c r="BA47" s="81"/>
      <c r="BB47" s="677" t="s">
        <v>325</v>
      </c>
      <c r="BC47" s="351"/>
      <c r="BD47" s="681" t="s">
        <v>294</v>
      </c>
      <c r="BE47" s="350"/>
      <c r="BF47" s="351"/>
      <c r="BG47" s="678" t="s">
        <v>294</v>
      </c>
      <c r="BH47" s="350"/>
      <c r="BI47" s="350"/>
      <c r="BJ47" s="351"/>
      <c r="BK47" s="680" t="s">
        <v>498</v>
      </c>
      <c r="BL47" s="350"/>
      <c r="BM47" s="351"/>
      <c r="BN47" s="82"/>
      <c r="BO47" s="82"/>
      <c r="BP47" s="678"/>
      <c r="BQ47" s="350"/>
      <c r="BR47" s="351"/>
      <c r="BS47" s="681" t="s">
        <v>294</v>
      </c>
      <c r="BT47" s="350"/>
      <c r="BU47" s="351"/>
    </row>
    <row r="48" spans="1:73" ht="30" customHeight="1">
      <c r="A48" s="76">
        <f t="shared" si="0"/>
        <v>34</v>
      </c>
      <c r="B48" s="686" t="s">
        <v>325</v>
      </c>
      <c r="C48" s="351"/>
      <c r="D48" s="687" t="s">
        <v>294</v>
      </c>
      <c r="E48" s="350"/>
      <c r="F48" s="350"/>
      <c r="G48" s="351"/>
      <c r="H48" s="688" t="s">
        <v>294</v>
      </c>
      <c r="I48" s="350"/>
      <c r="J48" s="350"/>
      <c r="K48" s="351"/>
      <c r="L48" s="538" t="s">
        <v>294</v>
      </c>
      <c r="M48" s="350"/>
      <c r="N48" s="351"/>
      <c r="O48" s="539" t="s">
        <v>294</v>
      </c>
      <c r="P48" s="350"/>
      <c r="Q48" s="351"/>
      <c r="R48" s="574"/>
      <c r="S48" s="350"/>
      <c r="T48" s="351"/>
      <c r="U48" s="574"/>
      <c r="V48" s="350"/>
      <c r="W48" s="351"/>
      <c r="X48" s="77"/>
      <c r="Y48" s="78"/>
      <c r="Z48" s="77"/>
      <c r="AA48" s="78"/>
      <c r="AB48" s="77"/>
      <c r="AC48" s="78"/>
      <c r="AD48" s="77"/>
      <c r="AE48" s="78"/>
      <c r="AF48" s="77"/>
      <c r="AG48" s="78"/>
      <c r="AH48" s="77"/>
      <c r="AI48" s="78"/>
      <c r="AJ48" s="79"/>
      <c r="AK48" s="80"/>
      <c r="AL48" s="79"/>
      <c r="AM48" s="80"/>
      <c r="AN48" s="79"/>
      <c r="AO48" s="80"/>
      <c r="AP48" s="79"/>
      <c r="AQ48" s="80"/>
      <c r="AR48" s="79"/>
      <c r="AS48" s="679" t="s">
        <v>294</v>
      </c>
      <c r="AT48" s="350"/>
      <c r="AU48" s="350"/>
      <c r="AV48" s="350"/>
      <c r="AW48" s="350"/>
      <c r="AX48" s="350"/>
      <c r="AY48" s="351"/>
      <c r="AZ48" s="81"/>
      <c r="BA48" s="81"/>
      <c r="BB48" s="677" t="s">
        <v>325</v>
      </c>
      <c r="BC48" s="351"/>
      <c r="BD48" s="681" t="s">
        <v>294</v>
      </c>
      <c r="BE48" s="350"/>
      <c r="BF48" s="351"/>
      <c r="BG48" s="678" t="s">
        <v>294</v>
      </c>
      <c r="BH48" s="350"/>
      <c r="BI48" s="350"/>
      <c r="BJ48" s="351"/>
      <c r="BK48" s="680" t="s">
        <v>498</v>
      </c>
      <c r="BL48" s="350"/>
      <c r="BM48" s="351"/>
      <c r="BN48" s="82"/>
      <c r="BO48" s="82"/>
      <c r="BP48" s="678"/>
      <c r="BQ48" s="350"/>
      <c r="BR48" s="351"/>
      <c r="BS48" s="681" t="s">
        <v>294</v>
      </c>
      <c r="BT48" s="350"/>
      <c r="BU48" s="351"/>
    </row>
    <row r="49" spans="1:73" ht="30" customHeight="1">
      <c r="A49" s="76">
        <f t="shared" si="0"/>
        <v>35</v>
      </c>
      <c r="B49" s="686" t="s">
        <v>325</v>
      </c>
      <c r="C49" s="351"/>
      <c r="D49" s="687" t="s">
        <v>294</v>
      </c>
      <c r="E49" s="350"/>
      <c r="F49" s="350"/>
      <c r="G49" s="351"/>
      <c r="H49" s="688" t="s">
        <v>294</v>
      </c>
      <c r="I49" s="350"/>
      <c r="J49" s="350"/>
      <c r="K49" s="351"/>
      <c r="L49" s="538" t="s">
        <v>294</v>
      </c>
      <c r="M49" s="350"/>
      <c r="N49" s="351"/>
      <c r="O49" s="539" t="s">
        <v>294</v>
      </c>
      <c r="P49" s="350"/>
      <c r="Q49" s="351"/>
      <c r="R49" s="574"/>
      <c r="S49" s="350"/>
      <c r="T49" s="351"/>
      <c r="U49" s="574"/>
      <c r="V49" s="350"/>
      <c r="W49" s="351"/>
      <c r="X49" s="77"/>
      <c r="Y49" s="78"/>
      <c r="Z49" s="77"/>
      <c r="AA49" s="78"/>
      <c r="AB49" s="77"/>
      <c r="AC49" s="78"/>
      <c r="AD49" s="77"/>
      <c r="AE49" s="78"/>
      <c r="AF49" s="77"/>
      <c r="AG49" s="78"/>
      <c r="AH49" s="77"/>
      <c r="AI49" s="78"/>
      <c r="AJ49" s="79"/>
      <c r="AK49" s="80"/>
      <c r="AL49" s="79"/>
      <c r="AM49" s="80"/>
      <c r="AN49" s="79"/>
      <c r="AO49" s="80"/>
      <c r="AP49" s="79"/>
      <c r="AQ49" s="80"/>
      <c r="AR49" s="79"/>
      <c r="AS49" s="679" t="s">
        <v>294</v>
      </c>
      <c r="AT49" s="350"/>
      <c r="AU49" s="350"/>
      <c r="AV49" s="350"/>
      <c r="AW49" s="350"/>
      <c r="AX49" s="350"/>
      <c r="AY49" s="351"/>
      <c r="AZ49" s="81"/>
      <c r="BA49" s="81"/>
      <c r="BB49" s="677" t="s">
        <v>325</v>
      </c>
      <c r="BC49" s="351"/>
      <c r="BD49" s="681" t="s">
        <v>294</v>
      </c>
      <c r="BE49" s="350"/>
      <c r="BF49" s="351"/>
      <c r="BG49" s="678" t="s">
        <v>294</v>
      </c>
      <c r="BH49" s="350"/>
      <c r="BI49" s="350"/>
      <c r="BJ49" s="351"/>
      <c r="BK49" s="680" t="s">
        <v>498</v>
      </c>
      <c r="BL49" s="350"/>
      <c r="BM49" s="351"/>
      <c r="BN49" s="82"/>
      <c r="BO49" s="82"/>
      <c r="BP49" s="678"/>
      <c r="BQ49" s="350"/>
      <c r="BR49" s="351"/>
      <c r="BS49" s="681" t="s">
        <v>294</v>
      </c>
      <c r="BT49" s="350"/>
      <c r="BU49" s="351"/>
    </row>
    <row r="50" spans="1:73" ht="30" customHeight="1">
      <c r="A50" s="76">
        <f t="shared" si="0"/>
        <v>36</v>
      </c>
      <c r="B50" s="686" t="s">
        <v>325</v>
      </c>
      <c r="C50" s="351"/>
      <c r="D50" s="687" t="s">
        <v>294</v>
      </c>
      <c r="E50" s="350"/>
      <c r="F50" s="350"/>
      <c r="G50" s="351"/>
      <c r="H50" s="688" t="s">
        <v>294</v>
      </c>
      <c r="I50" s="350"/>
      <c r="J50" s="350"/>
      <c r="K50" s="351"/>
      <c r="L50" s="538" t="s">
        <v>294</v>
      </c>
      <c r="M50" s="350"/>
      <c r="N50" s="351"/>
      <c r="O50" s="539" t="s">
        <v>294</v>
      </c>
      <c r="P50" s="350"/>
      <c r="Q50" s="351"/>
      <c r="R50" s="574"/>
      <c r="S50" s="350"/>
      <c r="T50" s="351"/>
      <c r="U50" s="574"/>
      <c r="V50" s="350"/>
      <c r="W50" s="351"/>
      <c r="X50" s="77"/>
      <c r="Y50" s="78"/>
      <c r="Z50" s="77"/>
      <c r="AA50" s="78"/>
      <c r="AB50" s="77"/>
      <c r="AC50" s="78"/>
      <c r="AD50" s="77"/>
      <c r="AE50" s="78"/>
      <c r="AF50" s="77"/>
      <c r="AG50" s="78"/>
      <c r="AH50" s="77"/>
      <c r="AI50" s="78"/>
      <c r="AJ50" s="79"/>
      <c r="AK50" s="80"/>
      <c r="AL50" s="79"/>
      <c r="AM50" s="80"/>
      <c r="AN50" s="79"/>
      <c r="AO50" s="80"/>
      <c r="AP50" s="79"/>
      <c r="AQ50" s="80"/>
      <c r="AR50" s="79"/>
      <c r="AS50" s="679" t="s">
        <v>294</v>
      </c>
      <c r="AT50" s="350"/>
      <c r="AU50" s="350"/>
      <c r="AV50" s="350"/>
      <c r="AW50" s="350"/>
      <c r="AX50" s="350"/>
      <c r="AY50" s="351"/>
      <c r="AZ50" s="81"/>
      <c r="BA50" s="81"/>
      <c r="BB50" s="685" t="s">
        <v>325</v>
      </c>
      <c r="BC50" s="351"/>
      <c r="BD50" s="681" t="s">
        <v>294</v>
      </c>
      <c r="BE50" s="350"/>
      <c r="BF50" s="351"/>
      <c r="BG50" s="678" t="s">
        <v>294</v>
      </c>
      <c r="BH50" s="350"/>
      <c r="BI50" s="350"/>
      <c r="BJ50" s="351"/>
      <c r="BK50" s="680" t="s">
        <v>498</v>
      </c>
      <c r="BL50" s="350"/>
      <c r="BM50" s="351"/>
      <c r="BN50" s="82"/>
      <c r="BO50" s="82"/>
      <c r="BP50" s="678"/>
      <c r="BQ50" s="350"/>
      <c r="BR50" s="351"/>
      <c r="BS50" s="681" t="s">
        <v>294</v>
      </c>
      <c r="BT50" s="350"/>
      <c r="BU50" s="351"/>
    </row>
    <row r="51" spans="1:73" ht="30" customHeight="1">
      <c r="A51" s="76">
        <f t="shared" si="0"/>
        <v>37</v>
      </c>
      <c r="B51" s="686" t="s">
        <v>325</v>
      </c>
      <c r="C51" s="351"/>
      <c r="D51" s="687" t="s">
        <v>294</v>
      </c>
      <c r="E51" s="350"/>
      <c r="F51" s="350"/>
      <c r="G51" s="351"/>
      <c r="H51" s="688" t="s">
        <v>294</v>
      </c>
      <c r="I51" s="350"/>
      <c r="J51" s="350"/>
      <c r="K51" s="351"/>
      <c r="L51" s="538" t="s">
        <v>294</v>
      </c>
      <c r="M51" s="350"/>
      <c r="N51" s="351"/>
      <c r="O51" s="539" t="s">
        <v>294</v>
      </c>
      <c r="P51" s="350"/>
      <c r="Q51" s="351"/>
      <c r="R51" s="574"/>
      <c r="S51" s="350"/>
      <c r="T51" s="351"/>
      <c r="U51" s="574"/>
      <c r="V51" s="350"/>
      <c r="W51" s="351"/>
      <c r="X51" s="77"/>
      <c r="Y51" s="78"/>
      <c r="Z51" s="77"/>
      <c r="AA51" s="78"/>
      <c r="AB51" s="77"/>
      <c r="AC51" s="78"/>
      <c r="AD51" s="77"/>
      <c r="AE51" s="78"/>
      <c r="AF51" s="77"/>
      <c r="AG51" s="78"/>
      <c r="AH51" s="77"/>
      <c r="AI51" s="78"/>
      <c r="AJ51" s="79"/>
      <c r="AK51" s="80"/>
      <c r="AL51" s="79"/>
      <c r="AM51" s="80"/>
      <c r="AN51" s="79"/>
      <c r="AO51" s="80"/>
      <c r="AP51" s="79"/>
      <c r="AQ51" s="80"/>
      <c r="AR51" s="79"/>
      <c r="AS51" s="679" t="s">
        <v>294</v>
      </c>
      <c r="AT51" s="350"/>
      <c r="AU51" s="350"/>
      <c r="AV51" s="350"/>
      <c r="AW51" s="350"/>
      <c r="AX51" s="350"/>
      <c r="AY51" s="351"/>
      <c r="AZ51" s="81"/>
      <c r="BA51" s="81"/>
      <c r="BB51" s="677" t="s">
        <v>325</v>
      </c>
      <c r="BC51" s="351"/>
      <c r="BD51" s="681" t="s">
        <v>294</v>
      </c>
      <c r="BE51" s="350"/>
      <c r="BF51" s="351"/>
      <c r="BG51" s="678" t="s">
        <v>294</v>
      </c>
      <c r="BH51" s="350"/>
      <c r="BI51" s="350"/>
      <c r="BJ51" s="351"/>
      <c r="BK51" s="680" t="s">
        <v>498</v>
      </c>
      <c r="BL51" s="350"/>
      <c r="BM51" s="351"/>
      <c r="BN51" s="82"/>
      <c r="BO51" s="82"/>
      <c r="BP51" s="678"/>
      <c r="BQ51" s="350"/>
      <c r="BR51" s="351"/>
      <c r="BS51" s="681" t="s">
        <v>294</v>
      </c>
      <c r="BT51" s="350"/>
      <c r="BU51" s="351"/>
    </row>
    <row r="52" spans="1:73" ht="30" customHeight="1">
      <c r="A52" s="76">
        <f t="shared" si="0"/>
        <v>38</v>
      </c>
      <c r="B52" s="686" t="s">
        <v>325</v>
      </c>
      <c r="C52" s="351"/>
      <c r="D52" s="687" t="s">
        <v>294</v>
      </c>
      <c r="E52" s="350"/>
      <c r="F52" s="350"/>
      <c r="G52" s="351"/>
      <c r="H52" s="688" t="s">
        <v>294</v>
      </c>
      <c r="I52" s="350"/>
      <c r="J52" s="350"/>
      <c r="K52" s="351"/>
      <c r="L52" s="538" t="s">
        <v>294</v>
      </c>
      <c r="M52" s="350"/>
      <c r="N52" s="351"/>
      <c r="O52" s="539" t="s">
        <v>294</v>
      </c>
      <c r="P52" s="350"/>
      <c r="Q52" s="351"/>
      <c r="R52" s="574"/>
      <c r="S52" s="350"/>
      <c r="T52" s="351"/>
      <c r="U52" s="574"/>
      <c r="V52" s="350"/>
      <c r="W52" s="351"/>
      <c r="X52" s="77"/>
      <c r="Y52" s="78"/>
      <c r="Z52" s="77"/>
      <c r="AA52" s="78"/>
      <c r="AB52" s="77"/>
      <c r="AC52" s="78"/>
      <c r="AD52" s="77"/>
      <c r="AE52" s="78"/>
      <c r="AF52" s="77"/>
      <c r="AG52" s="78"/>
      <c r="AH52" s="77"/>
      <c r="AI52" s="78"/>
      <c r="AJ52" s="79"/>
      <c r="AK52" s="80"/>
      <c r="AL52" s="79"/>
      <c r="AM52" s="80"/>
      <c r="AN52" s="79"/>
      <c r="AO52" s="80"/>
      <c r="AP52" s="79"/>
      <c r="AQ52" s="80"/>
      <c r="AR52" s="79"/>
      <c r="AS52" s="679" t="s">
        <v>294</v>
      </c>
      <c r="AT52" s="350"/>
      <c r="AU52" s="350"/>
      <c r="AV52" s="350"/>
      <c r="AW52" s="350"/>
      <c r="AX52" s="350"/>
      <c r="AY52" s="351"/>
      <c r="AZ52" s="81"/>
      <c r="BA52" s="81"/>
      <c r="BB52" s="677" t="s">
        <v>325</v>
      </c>
      <c r="BC52" s="351"/>
      <c r="BD52" s="681" t="s">
        <v>294</v>
      </c>
      <c r="BE52" s="350"/>
      <c r="BF52" s="351"/>
      <c r="BG52" s="678" t="s">
        <v>294</v>
      </c>
      <c r="BH52" s="350"/>
      <c r="BI52" s="350"/>
      <c r="BJ52" s="351"/>
      <c r="BK52" s="680" t="s">
        <v>498</v>
      </c>
      <c r="BL52" s="350"/>
      <c r="BM52" s="351"/>
      <c r="BN52" s="82"/>
      <c r="BO52" s="82"/>
      <c r="BP52" s="678"/>
      <c r="BQ52" s="350"/>
      <c r="BR52" s="351"/>
      <c r="BS52" s="681" t="s">
        <v>294</v>
      </c>
      <c r="BT52" s="350"/>
      <c r="BU52" s="351"/>
    </row>
    <row r="53" spans="1:73" ht="30" customHeight="1">
      <c r="A53" s="76">
        <f t="shared" si="0"/>
        <v>39</v>
      </c>
      <c r="B53" s="686" t="s">
        <v>325</v>
      </c>
      <c r="C53" s="351"/>
      <c r="D53" s="687" t="s">
        <v>294</v>
      </c>
      <c r="E53" s="350"/>
      <c r="F53" s="350"/>
      <c r="G53" s="351"/>
      <c r="H53" s="688" t="s">
        <v>294</v>
      </c>
      <c r="I53" s="350"/>
      <c r="J53" s="350"/>
      <c r="K53" s="351"/>
      <c r="L53" s="538" t="s">
        <v>294</v>
      </c>
      <c r="M53" s="350"/>
      <c r="N53" s="351"/>
      <c r="O53" s="539" t="s">
        <v>294</v>
      </c>
      <c r="P53" s="350"/>
      <c r="Q53" s="351"/>
      <c r="R53" s="574"/>
      <c r="S53" s="350"/>
      <c r="T53" s="351"/>
      <c r="U53" s="574"/>
      <c r="V53" s="350"/>
      <c r="W53" s="351"/>
      <c r="X53" s="77"/>
      <c r="Y53" s="78"/>
      <c r="Z53" s="77"/>
      <c r="AA53" s="78"/>
      <c r="AB53" s="77"/>
      <c r="AC53" s="78"/>
      <c r="AD53" s="77"/>
      <c r="AE53" s="78"/>
      <c r="AF53" s="77"/>
      <c r="AG53" s="78"/>
      <c r="AH53" s="77"/>
      <c r="AI53" s="78"/>
      <c r="AJ53" s="79"/>
      <c r="AK53" s="80"/>
      <c r="AL53" s="79"/>
      <c r="AM53" s="80"/>
      <c r="AN53" s="79"/>
      <c r="AO53" s="80"/>
      <c r="AP53" s="79"/>
      <c r="AQ53" s="80"/>
      <c r="AR53" s="79"/>
      <c r="AS53" s="679" t="s">
        <v>294</v>
      </c>
      <c r="AT53" s="350"/>
      <c r="AU53" s="350"/>
      <c r="AV53" s="350"/>
      <c r="AW53" s="350"/>
      <c r="AX53" s="350"/>
      <c r="AY53" s="351"/>
      <c r="AZ53" s="81"/>
      <c r="BA53" s="81"/>
      <c r="BB53" s="677" t="s">
        <v>325</v>
      </c>
      <c r="BC53" s="351"/>
      <c r="BD53" s="681" t="s">
        <v>294</v>
      </c>
      <c r="BE53" s="350"/>
      <c r="BF53" s="351"/>
      <c r="BG53" s="678" t="s">
        <v>294</v>
      </c>
      <c r="BH53" s="350"/>
      <c r="BI53" s="350"/>
      <c r="BJ53" s="351"/>
      <c r="BK53" s="680" t="s">
        <v>498</v>
      </c>
      <c r="BL53" s="350"/>
      <c r="BM53" s="351"/>
      <c r="BN53" s="82"/>
      <c r="BO53" s="82"/>
      <c r="BP53" s="678"/>
      <c r="BQ53" s="350"/>
      <c r="BR53" s="351"/>
      <c r="BS53" s="681" t="s">
        <v>294</v>
      </c>
      <c r="BT53" s="350"/>
      <c r="BU53" s="351"/>
    </row>
    <row r="54" spans="1:73" ht="30" customHeight="1">
      <c r="A54" s="76">
        <f t="shared" si="0"/>
        <v>40</v>
      </c>
      <c r="B54" s="686" t="s">
        <v>325</v>
      </c>
      <c r="C54" s="351"/>
      <c r="D54" s="687" t="s">
        <v>294</v>
      </c>
      <c r="E54" s="350"/>
      <c r="F54" s="350"/>
      <c r="G54" s="351"/>
      <c r="H54" s="688" t="s">
        <v>294</v>
      </c>
      <c r="I54" s="350"/>
      <c r="J54" s="350"/>
      <c r="K54" s="351"/>
      <c r="L54" s="538" t="s">
        <v>294</v>
      </c>
      <c r="M54" s="350"/>
      <c r="N54" s="351"/>
      <c r="O54" s="539" t="s">
        <v>294</v>
      </c>
      <c r="P54" s="350"/>
      <c r="Q54" s="351"/>
      <c r="R54" s="574"/>
      <c r="S54" s="350"/>
      <c r="T54" s="351"/>
      <c r="U54" s="574"/>
      <c r="V54" s="350"/>
      <c r="W54" s="351"/>
      <c r="X54" s="77"/>
      <c r="Y54" s="78"/>
      <c r="Z54" s="77"/>
      <c r="AA54" s="78"/>
      <c r="AB54" s="77"/>
      <c r="AC54" s="78"/>
      <c r="AD54" s="77"/>
      <c r="AE54" s="78"/>
      <c r="AF54" s="77"/>
      <c r="AG54" s="78"/>
      <c r="AH54" s="77"/>
      <c r="AI54" s="78"/>
      <c r="AJ54" s="79"/>
      <c r="AK54" s="80"/>
      <c r="AL54" s="79"/>
      <c r="AM54" s="80"/>
      <c r="AN54" s="79"/>
      <c r="AO54" s="80"/>
      <c r="AP54" s="79"/>
      <c r="AQ54" s="80"/>
      <c r="AR54" s="79"/>
      <c r="AS54" s="679" t="s">
        <v>294</v>
      </c>
      <c r="AT54" s="350"/>
      <c r="AU54" s="350"/>
      <c r="AV54" s="350"/>
      <c r="AW54" s="350"/>
      <c r="AX54" s="350"/>
      <c r="AY54" s="351"/>
      <c r="AZ54" s="81"/>
      <c r="BA54" s="81"/>
      <c r="BB54" s="677" t="s">
        <v>325</v>
      </c>
      <c r="BC54" s="351"/>
      <c r="BD54" s="681" t="s">
        <v>294</v>
      </c>
      <c r="BE54" s="350"/>
      <c r="BF54" s="351"/>
      <c r="BG54" s="678" t="s">
        <v>294</v>
      </c>
      <c r="BH54" s="350"/>
      <c r="BI54" s="350"/>
      <c r="BJ54" s="351"/>
      <c r="BK54" s="680" t="s">
        <v>498</v>
      </c>
      <c r="BL54" s="350"/>
      <c r="BM54" s="351"/>
      <c r="BN54" s="82"/>
      <c r="BO54" s="82"/>
      <c r="BP54" s="678"/>
      <c r="BQ54" s="350"/>
      <c r="BR54" s="351"/>
      <c r="BS54" s="681" t="s">
        <v>294</v>
      </c>
      <c r="BT54" s="350"/>
      <c r="BU54" s="351"/>
    </row>
    <row r="55" spans="1:73" ht="30" customHeight="1">
      <c r="A55" s="76">
        <f t="shared" si="0"/>
        <v>41</v>
      </c>
      <c r="B55" s="686" t="s">
        <v>325</v>
      </c>
      <c r="C55" s="351"/>
      <c r="D55" s="687" t="s">
        <v>294</v>
      </c>
      <c r="E55" s="350"/>
      <c r="F55" s="350"/>
      <c r="G55" s="351"/>
      <c r="H55" s="688" t="s">
        <v>294</v>
      </c>
      <c r="I55" s="350"/>
      <c r="J55" s="350"/>
      <c r="K55" s="351"/>
      <c r="L55" s="538" t="s">
        <v>294</v>
      </c>
      <c r="M55" s="350"/>
      <c r="N55" s="351"/>
      <c r="O55" s="539" t="s">
        <v>294</v>
      </c>
      <c r="P55" s="350"/>
      <c r="Q55" s="351"/>
      <c r="R55" s="574"/>
      <c r="S55" s="350"/>
      <c r="T55" s="351"/>
      <c r="U55" s="574"/>
      <c r="V55" s="350"/>
      <c r="W55" s="351"/>
      <c r="X55" s="77"/>
      <c r="Y55" s="78"/>
      <c r="Z55" s="77"/>
      <c r="AA55" s="78"/>
      <c r="AB55" s="77"/>
      <c r="AC55" s="78"/>
      <c r="AD55" s="77"/>
      <c r="AE55" s="78"/>
      <c r="AF55" s="77"/>
      <c r="AG55" s="78"/>
      <c r="AH55" s="77"/>
      <c r="AI55" s="78"/>
      <c r="AJ55" s="79"/>
      <c r="AK55" s="80"/>
      <c r="AL55" s="79"/>
      <c r="AM55" s="80"/>
      <c r="AN55" s="79"/>
      <c r="AO55" s="80"/>
      <c r="AP55" s="79"/>
      <c r="AQ55" s="80"/>
      <c r="AR55" s="79"/>
      <c r="AS55" s="679" t="s">
        <v>294</v>
      </c>
      <c r="AT55" s="350"/>
      <c r="AU55" s="350"/>
      <c r="AV55" s="350"/>
      <c r="AW55" s="350"/>
      <c r="AX55" s="350"/>
      <c r="AY55" s="351"/>
      <c r="AZ55" s="81"/>
      <c r="BA55" s="81"/>
      <c r="BB55" s="677" t="s">
        <v>325</v>
      </c>
      <c r="BC55" s="351"/>
      <c r="BD55" s="681" t="s">
        <v>294</v>
      </c>
      <c r="BE55" s="350"/>
      <c r="BF55" s="351"/>
      <c r="BG55" s="678" t="s">
        <v>294</v>
      </c>
      <c r="BH55" s="350"/>
      <c r="BI55" s="350"/>
      <c r="BJ55" s="351"/>
      <c r="BK55" s="680" t="s">
        <v>498</v>
      </c>
      <c r="BL55" s="350"/>
      <c r="BM55" s="351"/>
      <c r="BN55" s="82"/>
      <c r="BO55" s="82"/>
      <c r="BP55" s="678"/>
      <c r="BQ55" s="350"/>
      <c r="BR55" s="351"/>
      <c r="BS55" s="681" t="s">
        <v>294</v>
      </c>
      <c r="BT55" s="350"/>
      <c r="BU55" s="351"/>
    </row>
    <row r="56" spans="1:73" ht="30" customHeight="1">
      <c r="A56" s="76">
        <f t="shared" si="0"/>
        <v>42</v>
      </c>
      <c r="B56" s="686" t="s">
        <v>325</v>
      </c>
      <c r="C56" s="351"/>
      <c r="D56" s="687" t="s">
        <v>294</v>
      </c>
      <c r="E56" s="350"/>
      <c r="F56" s="350"/>
      <c r="G56" s="351"/>
      <c r="H56" s="688" t="s">
        <v>294</v>
      </c>
      <c r="I56" s="350"/>
      <c r="J56" s="350"/>
      <c r="K56" s="351"/>
      <c r="L56" s="538" t="s">
        <v>294</v>
      </c>
      <c r="M56" s="350"/>
      <c r="N56" s="351"/>
      <c r="O56" s="539" t="s">
        <v>294</v>
      </c>
      <c r="P56" s="350"/>
      <c r="Q56" s="351"/>
      <c r="R56" s="574"/>
      <c r="S56" s="350"/>
      <c r="T56" s="351"/>
      <c r="U56" s="574"/>
      <c r="V56" s="350"/>
      <c r="W56" s="351"/>
      <c r="X56" s="77"/>
      <c r="Y56" s="78"/>
      <c r="Z56" s="77"/>
      <c r="AA56" s="78"/>
      <c r="AB56" s="77"/>
      <c r="AC56" s="78"/>
      <c r="AD56" s="77"/>
      <c r="AE56" s="78"/>
      <c r="AF56" s="77"/>
      <c r="AG56" s="78"/>
      <c r="AH56" s="77"/>
      <c r="AI56" s="78"/>
      <c r="AJ56" s="79"/>
      <c r="AK56" s="80"/>
      <c r="AL56" s="79"/>
      <c r="AM56" s="80"/>
      <c r="AN56" s="79"/>
      <c r="AO56" s="80"/>
      <c r="AP56" s="79"/>
      <c r="AQ56" s="80"/>
      <c r="AR56" s="79"/>
      <c r="AS56" s="679" t="s">
        <v>294</v>
      </c>
      <c r="AT56" s="350"/>
      <c r="AU56" s="350"/>
      <c r="AV56" s="350"/>
      <c r="AW56" s="350"/>
      <c r="AX56" s="350"/>
      <c r="AY56" s="351"/>
      <c r="AZ56" s="81"/>
      <c r="BA56" s="81"/>
      <c r="BB56" s="677" t="s">
        <v>325</v>
      </c>
      <c r="BC56" s="351"/>
      <c r="BD56" s="681" t="s">
        <v>294</v>
      </c>
      <c r="BE56" s="350"/>
      <c r="BF56" s="351"/>
      <c r="BG56" s="678" t="s">
        <v>294</v>
      </c>
      <c r="BH56" s="350"/>
      <c r="BI56" s="350"/>
      <c r="BJ56" s="351"/>
      <c r="BK56" s="680" t="s">
        <v>498</v>
      </c>
      <c r="BL56" s="350"/>
      <c r="BM56" s="351"/>
      <c r="BN56" s="82"/>
      <c r="BO56" s="82"/>
      <c r="BP56" s="678"/>
      <c r="BQ56" s="350"/>
      <c r="BR56" s="351"/>
      <c r="BS56" s="681" t="s">
        <v>294</v>
      </c>
      <c r="BT56" s="350"/>
      <c r="BU56" s="351"/>
    </row>
    <row r="57" spans="1:73" ht="30" customHeight="1">
      <c r="A57" s="76">
        <f t="shared" si="0"/>
        <v>43</v>
      </c>
      <c r="B57" s="686" t="s">
        <v>325</v>
      </c>
      <c r="C57" s="351"/>
      <c r="D57" s="687" t="s">
        <v>294</v>
      </c>
      <c r="E57" s="350"/>
      <c r="F57" s="350"/>
      <c r="G57" s="351"/>
      <c r="H57" s="688" t="s">
        <v>294</v>
      </c>
      <c r="I57" s="350"/>
      <c r="J57" s="350"/>
      <c r="K57" s="351"/>
      <c r="L57" s="538" t="s">
        <v>294</v>
      </c>
      <c r="M57" s="350"/>
      <c r="N57" s="351"/>
      <c r="O57" s="539" t="s">
        <v>294</v>
      </c>
      <c r="P57" s="350"/>
      <c r="Q57" s="351"/>
      <c r="R57" s="574"/>
      <c r="S57" s="350"/>
      <c r="T57" s="351"/>
      <c r="U57" s="574"/>
      <c r="V57" s="350"/>
      <c r="W57" s="351"/>
      <c r="X57" s="77"/>
      <c r="Y57" s="78"/>
      <c r="Z57" s="77"/>
      <c r="AA57" s="78"/>
      <c r="AB57" s="77"/>
      <c r="AC57" s="78"/>
      <c r="AD57" s="77"/>
      <c r="AE57" s="78"/>
      <c r="AF57" s="77"/>
      <c r="AG57" s="78"/>
      <c r="AH57" s="77"/>
      <c r="AI57" s="78"/>
      <c r="AJ57" s="79"/>
      <c r="AK57" s="80"/>
      <c r="AL57" s="79"/>
      <c r="AM57" s="80"/>
      <c r="AN57" s="79"/>
      <c r="AO57" s="80"/>
      <c r="AP57" s="79"/>
      <c r="AQ57" s="80"/>
      <c r="AR57" s="79"/>
      <c r="AS57" s="679" t="s">
        <v>294</v>
      </c>
      <c r="AT57" s="350"/>
      <c r="AU57" s="350"/>
      <c r="AV57" s="350"/>
      <c r="AW57" s="350"/>
      <c r="AX57" s="350"/>
      <c r="AY57" s="351"/>
      <c r="AZ57" s="81"/>
      <c r="BA57" s="81"/>
      <c r="BB57" s="685" t="s">
        <v>325</v>
      </c>
      <c r="BC57" s="351"/>
      <c r="BD57" s="681" t="s">
        <v>294</v>
      </c>
      <c r="BE57" s="350"/>
      <c r="BF57" s="351"/>
      <c r="BG57" s="678" t="s">
        <v>294</v>
      </c>
      <c r="BH57" s="350"/>
      <c r="BI57" s="350"/>
      <c r="BJ57" s="351"/>
      <c r="BK57" s="680" t="s">
        <v>498</v>
      </c>
      <c r="BL57" s="350"/>
      <c r="BM57" s="351"/>
      <c r="BN57" s="82"/>
      <c r="BO57" s="82"/>
      <c r="BP57" s="678"/>
      <c r="BQ57" s="350"/>
      <c r="BR57" s="351"/>
      <c r="BS57" s="681" t="s">
        <v>294</v>
      </c>
      <c r="BT57" s="350"/>
      <c r="BU57" s="351"/>
    </row>
    <row r="58" spans="1:73" ht="30" customHeight="1">
      <c r="A58" s="76">
        <f t="shared" si="0"/>
        <v>44</v>
      </c>
      <c r="B58" s="686" t="s">
        <v>325</v>
      </c>
      <c r="C58" s="351"/>
      <c r="D58" s="687" t="s">
        <v>294</v>
      </c>
      <c r="E58" s="350"/>
      <c r="F58" s="350"/>
      <c r="G58" s="351"/>
      <c r="H58" s="688" t="s">
        <v>294</v>
      </c>
      <c r="I58" s="350"/>
      <c r="J58" s="350"/>
      <c r="K58" s="351"/>
      <c r="L58" s="538" t="s">
        <v>294</v>
      </c>
      <c r="M58" s="350"/>
      <c r="N58" s="351"/>
      <c r="O58" s="539" t="s">
        <v>294</v>
      </c>
      <c r="P58" s="350"/>
      <c r="Q58" s="351"/>
      <c r="R58" s="574"/>
      <c r="S58" s="350"/>
      <c r="T58" s="351"/>
      <c r="U58" s="574"/>
      <c r="V58" s="350"/>
      <c r="W58" s="351"/>
      <c r="X58" s="77"/>
      <c r="Y58" s="78"/>
      <c r="Z58" s="77"/>
      <c r="AA58" s="78"/>
      <c r="AB58" s="77"/>
      <c r="AC58" s="78"/>
      <c r="AD58" s="77"/>
      <c r="AE58" s="78"/>
      <c r="AF58" s="77"/>
      <c r="AG58" s="78"/>
      <c r="AH58" s="77"/>
      <c r="AI58" s="78"/>
      <c r="AJ58" s="79"/>
      <c r="AK58" s="80"/>
      <c r="AL58" s="79"/>
      <c r="AM58" s="80"/>
      <c r="AN58" s="79"/>
      <c r="AO58" s="80"/>
      <c r="AP58" s="79"/>
      <c r="AQ58" s="80"/>
      <c r="AR58" s="79"/>
      <c r="AS58" s="679" t="s">
        <v>294</v>
      </c>
      <c r="AT58" s="350"/>
      <c r="AU58" s="350"/>
      <c r="AV58" s="350"/>
      <c r="AW58" s="350"/>
      <c r="AX58" s="350"/>
      <c r="AY58" s="351"/>
      <c r="AZ58" s="81"/>
      <c r="BA58" s="81"/>
      <c r="BB58" s="677" t="s">
        <v>325</v>
      </c>
      <c r="BC58" s="351"/>
      <c r="BD58" s="681" t="s">
        <v>294</v>
      </c>
      <c r="BE58" s="350"/>
      <c r="BF58" s="351"/>
      <c r="BG58" s="678" t="s">
        <v>294</v>
      </c>
      <c r="BH58" s="350"/>
      <c r="BI58" s="350"/>
      <c r="BJ58" s="351"/>
      <c r="BK58" s="680" t="s">
        <v>498</v>
      </c>
      <c r="BL58" s="350"/>
      <c r="BM58" s="351"/>
      <c r="BN58" s="82"/>
      <c r="BO58" s="82"/>
      <c r="BP58" s="678"/>
      <c r="BQ58" s="350"/>
      <c r="BR58" s="351"/>
      <c r="BS58" s="681" t="s">
        <v>294</v>
      </c>
      <c r="BT58" s="350"/>
      <c r="BU58" s="351"/>
    </row>
    <row r="59" spans="1:73" ht="30" customHeight="1">
      <c r="A59" s="76">
        <f t="shared" si="0"/>
        <v>45</v>
      </c>
      <c r="B59" s="686" t="s">
        <v>325</v>
      </c>
      <c r="C59" s="351"/>
      <c r="D59" s="687" t="s">
        <v>294</v>
      </c>
      <c r="E59" s="350"/>
      <c r="F59" s="350"/>
      <c r="G59" s="351"/>
      <c r="H59" s="688" t="s">
        <v>294</v>
      </c>
      <c r="I59" s="350"/>
      <c r="J59" s="350"/>
      <c r="K59" s="351"/>
      <c r="L59" s="538" t="s">
        <v>294</v>
      </c>
      <c r="M59" s="350"/>
      <c r="N59" s="351"/>
      <c r="O59" s="539" t="s">
        <v>294</v>
      </c>
      <c r="P59" s="350"/>
      <c r="Q59" s="351"/>
      <c r="R59" s="574"/>
      <c r="S59" s="350"/>
      <c r="T59" s="351"/>
      <c r="U59" s="574"/>
      <c r="V59" s="350"/>
      <c r="W59" s="351"/>
      <c r="X59" s="77"/>
      <c r="Y59" s="78"/>
      <c r="Z59" s="77"/>
      <c r="AA59" s="78"/>
      <c r="AB59" s="77"/>
      <c r="AC59" s="78"/>
      <c r="AD59" s="77"/>
      <c r="AE59" s="78"/>
      <c r="AF59" s="77"/>
      <c r="AG59" s="78"/>
      <c r="AH59" s="77"/>
      <c r="AI59" s="78"/>
      <c r="AJ59" s="79"/>
      <c r="AK59" s="80"/>
      <c r="AL59" s="79"/>
      <c r="AM59" s="80"/>
      <c r="AN59" s="79"/>
      <c r="AO59" s="80"/>
      <c r="AP59" s="79"/>
      <c r="AQ59" s="80"/>
      <c r="AR59" s="79"/>
      <c r="AS59" s="679" t="s">
        <v>294</v>
      </c>
      <c r="AT59" s="350"/>
      <c r="AU59" s="350"/>
      <c r="AV59" s="350"/>
      <c r="AW59" s="350"/>
      <c r="AX59" s="350"/>
      <c r="AY59" s="351"/>
      <c r="AZ59" s="81"/>
      <c r="BA59" s="81"/>
      <c r="BB59" s="677" t="s">
        <v>325</v>
      </c>
      <c r="BC59" s="351"/>
      <c r="BD59" s="681" t="s">
        <v>294</v>
      </c>
      <c r="BE59" s="350"/>
      <c r="BF59" s="351"/>
      <c r="BG59" s="678" t="s">
        <v>294</v>
      </c>
      <c r="BH59" s="350"/>
      <c r="BI59" s="350"/>
      <c r="BJ59" s="351"/>
      <c r="BK59" s="680" t="s">
        <v>498</v>
      </c>
      <c r="BL59" s="350"/>
      <c r="BM59" s="351"/>
      <c r="BN59" s="82"/>
      <c r="BO59" s="82"/>
      <c r="BP59" s="678"/>
      <c r="BQ59" s="350"/>
      <c r="BR59" s="351"/>
      <c r="BS59" s="681" t="s">
        <v>294</v>
      </c>
      <c r="BT59" s="350"/>
      <c r="BU59" s="351"/>
    </row>
    <row r="60" spans="1:73" ht="30" customHeight="1">
      <c r="A60" s="76">
        <f t="shared" si="0"/>
        <v>46</v>
      </c>
      <c r="B60" s="686" t="s">
        <v>325</v>
      </c>
      <c r="C60" s="351"/>
      <c r="D60" s="687" t="s">
        <v>294</v>
      </c>
      <c r="E60" s="350"/>
      <c r="F60" s="350"/>
      <c r="G60" s="351"/>
      <c r="H60" s="688" t="s">
        <v>294</v>
      </c>
      <c r="I60" s="350"/>
      <c r="J60" s="350"/>
      <c r="K60" s="351"/>
      <c r="L60" s="538" t="s">
        <v>294</v>
      </c>
      <c r="M60" s="350"/>
      <c r="N60" s="351"/>
      <c r="O60" s="539" t="s">
        <v>294</v>
      </c>
      <c r="P60" s="350"/>
      <c r="Q60" s="351"/>
      <c r="R60" s="574"/>
      <c r="S60" s="350"/>
      <c r="T60" s="351"/>
      <c r="U60" s="574"/>
      <c r="V60" s="350"/>
      <c r="W60" s="351"/>
      <c r="X60" s="77"/>
      <c r="Y60" s="78"/>
      <c r="Z60" s="77"/>
      <c r="AA60" s="78"/>
      <c r="AB60" s="77"/>
      <c r="AC60" s="78"/>
      <c r="AD60" s="77"/>
      <c r="AE60" s="78"/>
      <c r="AF60" s="77"/>
      <c r="AG60" s="78"/>
      <c r="AH60" s="77"/>
      <c r="AI60" s="78"/>
      <c r="AJ60" s="79"/>
      <c r="AK60" s="80"/>
      <c r="AL60" s="79"/>
      <c r="AM60" s="80"/>
      <c r="AN60" s="79"/>
      <c r="AO60" s="80"/>
      <c r="AP60" s="79"/>
      <c r="AQ60" s="80"/>
      <c r="AR60" s="79"/>
      <c r="AS60" s="679" t="s">
        <v>294</v>
      </c>
      <c r="AT60" s="350"/>
      <c r="AU60" s="350"/>
      <c r="AV60" s="350"/>
      <c r="AW60" s="350"/>
      <c r="AX60" s="350"/>
      <c r="AY60" s="351"/>
      <c r="AZ60" s="81"/>
      <c r="BA60" s="81"/>
      <c r="BB60" s="677" t="s">
        <v>325</v>
      </c>
      <c r="BC60" s="351"/>
      <c r="BD60" s="681" t="s">
        <v>294</v>
      </c>
      <c r="BE60" s="350"/>
      <c r="BF60" s="351"/>
      <c r="BG60" s="678" t="s">
        <v>294</v>
      </c>
      <c r="BH60" s="350"/>
      <c r="BI60" s="350"/>
      <c r="BJ60" s="351"/>
      <c r="BK60" s="680" t="s">
        <v>498</v>
      </c>
      <c r="BL60" s="350"/>
      <c r="BM60" s="351"/>
      <c r="BN60" s="82"/>
      <c r="BO60" s="82"/>
      <c r="BP60" s="678"/>
      <c r="BQ60" s="350"/>
      <c r="BR60" s="351"/>
      <c r="BS60" s="681" t="s">
        <v>294</v>
      </c>
      <c r="BT60" s="350"/>
      <c r="BU60" s="351"/>
    </row>
    <row r="61" spans="1:73" ht="30" customHeight="1">
      <c r="A61" s="76">
        <f t="shared" si="0"/>
        <v>47</v>
      </c>
      <c r="B61" s="686" t="s">
        <v>325</v>
      </c>
      <c r="C61" s="351"/>
      <c r="D61" s="687" t="s">
        <v>294</v>
      </c>
      <c r="E61" s="350"/>
      <c r="F61" s="350"/>
      <c r="G61" s="351"/>
      <c r="H61" s="688" t="s">
        <v>294</v>
      </c>
      <c r="I61" s="350"/>
      <c r="J61" s="350"/>
      <c r="K61" s="351"/>
      <c r="L61" s="538" t="s">
        <v>294</v>
      </c>
      <c r="M61" s="350"/>
      <c r="N61" s="351"/>
      <c r="O61" s="539" t="s">
        <v>294</v>
      </c>
      <c r="P61" s="350"/>
      <c r="Q61" s="351"/>
      <c r="R61" s="574"/>
      <c r="S61" s="350"/>
      <c r="T61" s="351"/>
      <c r="U61" s="574"/>
      <c r="V61" s="350"/>
      <c r="W61" s="351"/>
      <c r="X61" s="77"/>
      <c r="Y61" s="78"/>
      <c r="Z61" s="77"/>
      <c r="AA61" s="78"/>
      <c r="AB61" s="77"/>
      <c r="AC61" s="78"/>
      <c r="AD61" s="77"/>
      <c r="AE61" s="78"/>
      <c r="AF61" s="77"/>
      <c r="AG61" s="78"/>
      <c r="AH61" s="77"/>
      <c r="AI61" s="78"/>
      <c r="AJ61" s="79"/>
      <c r="AK61" s="80"/>
      <c r="AL61" s="79"/>
      <c r="AM61" s="80"/>
      <c r="AN61" s="79"/>
      <c r="AO61" s="80"/>
      <c r="AP61" s="79"/>
      <c r="AQ61" s="80"/>
      <c r="AR61" s="79"/>
      <c r="AS61" s="679" t="s">
        <v>294</v>
      </c>
      <c r="AT61" s="350"/>
      <c r="AU61" s="350"/>
      <c r="AV61" s="350"/>
      <c r="AW61" s="350"/>
      <c r="AX61" s="350"/>
      <c r="AY61" s="351"/>
      <c r="AZ61" s="81"/>
      <c r="BA61" s="81"/>
      <c r="BB61" s="677" t="s">
        <v>325</v>
      </c>
      <c r="BC61" s="351"/>
      <c r="BD61" s="681" t="s">
        <v>294</v>
      </c>
      <c r="BE61" s="350"/>
      <c r="BF61" s="351"/>
      <c r="BG61" s="678" t="s">
        <v>294</v>
      </c>
      <c r="BH61" s="350"/>
      <c r="BI61" s="350"/>
      <c r="BJ61" s="351"/>
      <c r="BK61" s="680" t="s">
        <v>498</v>
      </c>
      <c r="BL61" s="350"/>
      <c r="BM61" s="351"/>
      <c r="BN61" s="82"/>
      <c r="BO61" s="82"/>
      <c r="BP61" s="678"/>
      <c r="BQ61" s="350"/>
      <c r="BR61" s="351"/>
      <c r="BS61" s="681" t="s">
        <v>294</v>
      </c>
      <c r="BT61" s="350"/>
      <c r="BU61" s="351"/>
    </row>
    <row r="62" spans="1:73" ht="30" customHeight="1">
      <c r="A62" s="76">
        <f t="shared" si="0"/>
        <v>48</v>
      </c>
      <c r="B62" s="686" t="s">
        <v>325</v>
      </c>
      <c r="C62" s="351"/>
      <c r="D62" s="687" t="s">
        <v>294</v>
      </c>
      <c r="E62" s="350"/>
      <c r="F62" s="350"/>
      <c r="G62" s="351"/>
      <c r="H62" s="688" t="s">
        <v>294</v>
      </c>
      <c r="I62" s="350"/>
      <c r="J62" s="350"/>
      <c r="K62" s="351"/>
      <c r="L62" s="538" t="s">
        <v>294</v>
      </c>
      <c r="M62" s="350"/>
      <c r="N62" s="351"/>
      <c r="O62" s="539" t="s">
        <v>294</v>
      </c>
      <c r="P62" s="350"/>
      <c r="Q62" s="351"/>
      <c r="R62" s="574"/>
      <c r="S62" s="350"/>
      <c r="T62" s="351"/>
      <c r="U62" s="574"/>
      <c r="V62" s="350"/>
      <c r="W62" s="351"/>
      <c r="X62" s="77"/>
      <c r="Y62" s="78"/>
      <c r="Z62" s="77"/>
      <c r="AA62" s="78"/>
      <c r="AB62" s="77"/>
      <c r="AC62" s="78"/>
      <c r="AD62" s="77"/>
      <c r="AE62" s="78"/>
      <c r="AF62" s="77"/>
      <c r="AG62" s="78"/>
      <c r="AH62" s="77"/>
      <c r="AI62" s="78"/>
      <c r="AJ62" s="79"/>
      <c r="AK62" s="80"/>
      <c r="AL62" s="79"/>
      <c r="AM62" s="80"/>
      <c r="AN62" s="79"/>
      <c r="AO62" s="80"/>
      <c r="AP62" s="79"/>
      <c r="AQ62" s="80"/>
      <c r="AR62" s="79"/>
      <c r="AS62" s="679" t="s">
        <v>294</v>
      </c>
      <c r="AT62" s="350"/>
      <c r="AU62" s="350"/>
      <c r="AV62" s="350"/>
      <c r="AW62" s="350"/>
      <c r="AX62" s="350"/>
      <c r="AY62" s="351"/>
      <c r="AZ62" s="81"/>
      <c r="BA62" s="81"/>
      <c r="BB62" s="677" t="s">
        <v>325</v>
      </c>
      <c r="BC62" s="351"/>
      <c r="BD62" s="681" t="s">
        <v>294</v>
      </c>
      <c r="BE62" s="350"/>
      <c r="BF62" s="351"/>
      <c r="BG62" s="678" t="s">
        <v>294</v>
      </c>
      <c r="BH62" s="350"/>
      <c r="BI62" s="350"/>
      <c r="BJ62" s="351"/>
      <c r="BK62" s="680" t="s">
        <v>498</v>
      </c>
      <c r="BL62" s="350"/>
      <c r="BM62" s="351"/>
      <c r="BN62" s="82"/>
      <c r="BO62" s="82"/>
      <c r="BP62" s="678"/>
      <c r="BQ62" s="350"/>
      <c r="BR62" s="351"/>
      <c r="BS62" s="681" t="s">
        <v>294</v>
      </c>
      <c r="BT62" s="350"/>
      <c r="BU62" s="351"/>
    </row>
    <row r="63" spans="1:73" ht="30" customHeight="1">
      <c r="A63" s="76">
        <f t="shared" si="0"/>
        <v>49</v>
      </c>
      <c r="B63" s="686" t="s">
        <v>325</v>
      </c>
      <c r="C63" s="351"/>
      <c r="D63" s="687" t="s">
        <v>294</v>
      </c>
      <c r="E63" s="350"/>
      <c r="F63" s="350"/>
      <c r="G63" s="351"/>
      <c r="H63" s="688" t="s">
        <v>294</v>
      </c>
      <c r="I63" s="350"/>
      <c r="J63" s="350"/>
      <c r="K63" s="351"/>
      <c r="L63" s="538" t="s">
        <v>294</v>
      </c>
      <c r="M63" s="350"/>
      <c r="N63" s="351"/>
      <c r="O63" s="539" t="s">
        <v>294</v>
      </c>
      <c r="P63" s="350"/>
      <c r="Q63" s="351"/>
      <c r="R63" s="574"/>
      <c r="S63" s="350"/>
      <c r="T63" s="351"/>
      <c r="U63" s="574"/>
      <c r="V63" s="350"/>
      <c r="W63" s="351"/>
      <c r="X63" s="77"/>
      <c r="Y63" s="78"/>
      <c r="Z63" s="77"/>
      <c r="AA63" s="78"/>
      <c r="AB63" s="77"/>
      <c r="AC63" s="78"/>
      <c r="AD63" s="77"/>
      <c r="AE63" s="78"/>
      <c r="AF63" s="77"/>
      <c r="AG63" s="78"/>
      <c r="AH63" s="77"/>
      <c r="AI63" s="78"/>
      <c r="AJ63" s="79"/>
      <c r="AK63" s="80"/>
      <c r="AL63" s="79"/>
      <c r="AM63" s="80"/>
      <c r="AN63" s="79"/>
      <c r="AO63" s="80"/>
      <c r="AP63" s="79"/>
      <c r="AQ63" s="80"/>
      <c r="AR63" s="79"/>
      <c r="AS63" s="679" t="s">
        <v>294</v>
      </c>
      <c r="AT63" s="350"/>
      <c r="AU63" s="350"/>
      <c r="AV63" s="350"/>
      <c r="AW63" s="350"/>
      <c r="AX63" s="350"/>
      <c r="AY63" s="351"/>
      <c r="AZ63" s="81"/>
      <c r="BA63" s="81"/>
      <c r="BB63" s="677" t="s">
        <v>325</v>
      </c>
      <c r="BC63" s="351"/>
      <c r="BD63" s="681" t="s">
        <v>294</v>
      </c>
      <c r="BE63" s="350"/>
      <c r="BF63" s="351"/>
      <c r="BG63" s="678" t="s">
        <v>294</v>
      </c>
      <c r="BH63" s="350"/>
      <c r="BI63" s="350"/>
      <c r="BJ63" s="351"/>
      <c r="BK63" s="680" t="s">
        <v>498</v>
      </c>
      <c r="BL63" s="350"/>
      <c r="BM63" s="351"/>
      <c r="BN63" s="82"/>
      <c r="BO63" s="82"/>
      <c r="BP63" s="678"/>
      <c r="BQ63" s="350"/>
      <c r="BR63" s="351"/>
      <c r="BS63" s="681" t="s">
        <v>294</v>
      </c>
      <c r="BT63" s="350"/>
      <c r="BU63" s="351"/>
    </row>
    <row r="64" spans="1:73" ht="30" customHeight="1">
      <c r="A64" s="76">
        <f t="shared" si="0"/>
        <v>50</v>
      </c>
      <c r="B64" s="686" t="s">
        <v>325</v>
      </c>
      <c r="C64" s="351"/>
      <c r="D64" s="687" t="s">
        <v>294</v>
      </c>
      <c r="E64" s="350"/>
      <c r="F64" s="350"/>
      <c r="G64" s="351"/>
      <c r="H64" s="688" t="s">
        <v>294</v>
      </c>
      <c r="I64" s="350"/>
      <c r="J64" s="350"/>
      <c r="K64" s="351"/>
      <c r="L64" s="538" t="s">
        <v>294</v>
      </c>
      <c r="M64" s="350"/>
      <c r="N64" s="351"/>
      <c r="O64" s="539" t="s">
        <v>294</v>
      </c>
      <c r="P64" s="350"/>
      <c r="Q64" s="351"/>
      <c r="R64" s="574"/>
      <c r="S64" s="350"/>
      <c r="T64" s="351"/>
      <c r="U64" s="574"/>
      <c r="V64" s="350"/>
      <c r="W64" s="351"/>
      <c r="X64" s="77"/>
      <c r="Y64" s="78"/>
      <c r="Z64" s="77"/>
      <c r="AA64" s="78"/>
      <c r="AB64" s="77"/>
      <c r="AC64" s="78"/>
      <c r="AD64" s="77"/>
      <c r="AE64" s="78"/>
      <c r="AF64" s="77"/>
      <c r="AG64" s="78"/>
      <c r="AH64" s="77"/>
      <c r="AI64" s="78"/>
      <c r="AJ64" s="79"/>
      <c r="AK64" s="80"/>
      <c r="AL64" s="79"/>
      <c r="AM64" s="80"/>
      <c r="AN64" s="79"/>
      <c r="AO64" s="80"/>
      <c r="AP64" s="79"/>
      <c r="AQ64" s="80"/>
      <c r="AR64" s="79"/>
      <c r="AS64" s="679" t="s">
        <v>294</v>
      </c>
      <c r="AT64" s="350"/>
      <c r="AU64" s="350"/>
      <c r="AV64" s="350"/>
      <c r="AW64" s="350"/>
      <c r="AX64" s="350"/>
      <c r="AY64" s="351"/>
      <c r="AZ64" s="81"/>
      <c r="BA64" s="81"/>
      <c r="BB64" s="685" t="s">
        <v>325</v>
      </c>
      <c r="BC64" s="351"/>
      <c r="BD64" s="681" t="s">
        <v>294</v>
      </c>
      <c r="BE64" s="350"/>
      <c r="BF64" s="351"/>
      <c r="BG64" s="678" t="s">
        <v>294</v>
      </c>
      <c r="BH64" s="350"/>
      <c r="BI64" s="350"/>
      <c r="BJ64" s="351"/>
      <c r="BK64" s="680" t="s">
        <v>498</v>
      </c>
      <c r="BL64" s="350"/>
      <c r="BM64" s="351"/>
      <c r="BN64" s="82"/>
      <c r="BO64" s="82"/>
      <c r="BP64" s="678"/>
      <c r="BQ64" s="350"/>
      <c r="BR64" s="351"/>
      <c r="BS64" s="681" t="s">
        <v>294</v>
      </c>
      <c r="BT64" s="350"/>
      <c r="BU64" s="351"/>
    </row>
    <row r="65" spans="1:73" ht="30" customHeight="1">
      <c r="A65" s="76">
        <f t="shared" si="0"/>
        <v>51</v>
      </c>
      <c r="B65" s="686" t="s">
        <v>325</v>
      </c>
      <c r="C65" s="351"/>
      <c r="D65" s="687" t="s">
        <v>294</v>
      </c>
      <c r="E65" s="350"/>
      <c r="F65" s="350"/>
      <c r="G65" s="351"/>
      <c r="H65" s="688" t="s">
        <v>294</v>
      </c>
      <c r="I65" s="350"/>
      <c r="J65" s="350"/>
      <c r="K65" s="351"/>
      <c r="L65" s="538" t="s">
        <v>294</v>
      </c>
      <c r="M65" s="350"/>
      <c r="N65" s="351"/>
      <c r="O65" s="539" t="s">
        <v>294</v>
      </c>
      <c r="P65" s="350"/>
      <c r="Q65" s="351"/>
      <c r="R65" s="574"/>
      <c r="S65" s="350"/>
      <c r="T65" s="351"/>
      <c r="U65" s="567"/>
      <c r="V65" s="350"/>
      <c r="W65" s="351"/>
      <c r="X65" s="77"/>
      <c r="Y65" s="78"/>
      <c r="Z65" s="77"/>
      <c r="AA65" s="78"/>
      <c r="AB65" s="77"/>
      <c r="AC65" s="78"/>
      <c r="AD65" s="77"/>
      <c r="AE65" s="78"/>
      <c r="AF65" s="77"/>
      <c r="AG65" s="78"/>
      <c r="AH65" s="77"/>
      <c r="AI65" s="78"/>
      <c r="AJ65" s="79"/>
      <c r="AK65" s="80"/>
      <c r="AL65" s="79"/>
      <c r="AM65" s="80"/>
      <c r="AN65" s="79"/>
      <c r="AO65" s="80"/>
      <c r="AP65" s="79"/>
      <c r="AQ65" s="80"/>
      <c r="AR65" s="79"/>
      <c r="AS65" s="679" t="s">
        <v>294</v>
      </c>
      <c r="AT65" s="350"/>
      <c r="AU65" s="350"/>
      <c r="AV65" s="350"/>
      <c r="AW65" s="350"/>
      <c r="AX65" s="350"/>
      <c r="AY65" s="351"/>
      <c r="AZ65" s="81"/>
      <c r="BA65" s="81"/>
      <c r="BB65" s="677" t="s">
        <v>325</v>
      </c>
      <c r="BC65" s="351"/>
      <c r="BD65" s="681" t="s">
        <v>294</v>
      </c>
      <c r="BE65" s="350"/>
      <c r="BF65" s="351"/>
      <c r="BG65" s="678" t="s">
        <v>294</v>
      </c>
      <c r="BH65" s="350"/>
      <c r="BI65" s="350"/>
      <c r="BJ65" s="351"/>
      <c r="BK65" s="680" t="s">
        <v>498</v>
      </c>
      <c r="BL65" s="350"/>
      <c r="BM65" s="351"/>
      <c r="BN65" s="82"/>
      <c r="BO65" s="82"/>
      <c r="BP65" s="678"/>
      <c r="BQ65" s="350"/>
      <c r="BR65" s="351"/>
      <c r="BS65" s="681" t="s">
        <v>294</v>
      </c>
      <c r="BT65" s="350"/>
      <c r="BU65" s="351"/>
    </row>
    <row r="66" spans="1:73" ht="30" customHeight="1">
      <c r="A66" s="76">
        <f t="shared" si="0"/>
        <v>52</v>
      </c>
      <c r="B66" s="686" t="s">
        <v>325</v>
      </c>
      <c r="C66" s="351"/>
      <c r="D66" s="687" t="s">
        <v>294</v>
      </c>
      <c r="E66" s="350"/>
      <c r="F66" s="350"/>
      <c r="G66" s="351"/>
      <c r="H66" s="688" t="s">
        <v>294</v>
      </c>
      <c r="I66" s="350"/>
      <c r="J66" s="350"/>
      <c r="K66" s="351"/>
      <c r="L66" s="538" t="s">
        <v>294</v>
      </c>
      <c r="M66" s="350"/>
      <c r="N66" s="351"/>
      <c r="O66" s="539" t="s">
        <v>294</v>
      </c>
      <c r="P66" s="350"/>
      <c r="Q66" s="351"/>
      <c r="R66" s="574"/>
      <c r="S66" s="350"/>
      <c r="T66" s="351"/>
      <c r="U66" s="567"/>
      <c r="V66" s="350"/>
      <c r="W66" s="351"/>
      <c r="X66" s="77"/>
      <c r="Y66" s="78"/>
      <c r="Z66" s="77"/>
      <c r="AA66" s="78"/>
      <c r="AB66" s="77"/>
      <c r="AC66" s="78"/>
      <c r="AD66" s="77"/>
      <c r="AE66" s="78"/>
      <c r="AF66" s="77"/>
      <c r="AG66" s="78"/>
      <c r="AH66" s="77"/>
      <c r="AI66" s="78"/>
      <c r="AJ66" s="79"/>
      <c r="AK66" s="80"/>
      <c r="AL66" s="79"/>
      <c r="AM66" s="80"/>
      <c r="AN66" s="79"/>
      <c r="AO66" s="80"/>
      <c r="AP66" s="79"/>
      <c r="AQ66" s="80"/>
      <c r="AR66" s="79"/>
      <c r="AS66" s="679" t="s">
        <v>294</v>
      </c>
      <c r="AT66" s="350"/>
      <c r="AU66" s="350"/>
      <c r="AV66" s="350"/>
      <c r="AW66" s="350"/>
      <c r="AX66" s="350"/>
      <c r="AY66" s="351"/>
      <c r="AZ66" s="81"/>
      <c r="BA66" s="81"/>
      <c r="BB66" s="677" t="s">
        <v>325</v>
      </c>
      <c r="BC66" s="351"/>
      <c r="BD66" s="681" t="s">
        <v>294</v>
      </c>
      <c r="BE66" s="350"/>
      <c r="BF66" s="351"/>
      <c r="BG66" s="678" t="s">
        <v>294</v>
      </c>
      <c r="BH66" s="350"/>
      <c r="BI66" s="350"/>
      <c r="BJ66" s="351"/>
      <c r="BK66" s="680" t="s">
        <v>498</v>
      </c>
      <c r="BL66" s="350"/>
      <c r="BM66" s="351"/>
      <c r="BN66" s="82"/>
      <c r="BO66" s="82"/>
      <c r="BP66" s="678"/>
      <c r="BQ66" s="350"/>
      <c r="BR66" s="351"/>
      <c r="BS66" s="681" t="s">
        <v>294</v>
      </c>
      <c r="BT66" s="350"/>
      <c r="BU66" s="351"/>
    </row>
    <row r="67" spans="1:73" ht="30" customHeight="1">
      <c r="A67" s="76">
        <f t="shared" si="0"/>
        <v>53</v>
      </c>
      <c r="B67" s="686" t="s">
        <v>325</v>
      </c>
      <c r="C67" s="351"/>
      <c r="D67" s="687" t="s">
        <v>294</v>
      </c>
      <c r="E67" s="350"/>
      <c r="F67" s="350"/>
      <c r="G67" s="351"/>
      <c r="H67" s="688" t="s">
        <v>294</v>
      </c>
      <c r="I67" s="350"/>
      <c r="J67" s="350"/>
      <c r="K67" s="351"/>
      <c r="L67" s="538" t="s">
        <v>294</v>
      </c>
      <c r="M67" s="350"/>
      <c r="N67" s="351"/>
      <c r="O67" s="539" t="s">
        <v>294</v>
      </c>
      <c r="P67" s="350"/>
      <c r="Q67" s="351"/>
      <c r="R67" s="574"/>
      <c r="S67" s="350"/>
      <c r="T67" s="351"/>
      <c r="U67" s="567"/>
      <c r="V67" s="350"/>
      <c r="W67" s="351"/>
      <c r="X67" s="77"/>
      <c r="Y67" s="78"/>
      <c r="Z67" s="77"/>
      <c r="AA67" s="78"/>
      <c r="AB67" s="77"/>
      <c r="AC67" s="78"/>
      <c r="AD67" s="77"/>
      <c r="AE67" s="78"/>
      <c r="AF67" s="77"/>
      <c r="AG67" s="78"/>
      <c r="AH67" s="77"/>
      <c r="AI67" s="78"/>
      <c r="AJ67" s="79"/>
      <c r="AK67" s="80"/>
      <c r="AL67" s="79"/>
      <c r="AM67" s="80"/>
      <c r="AN67" s="79"/>
      <c r="AO67" s="80"/>
      <c r="AP67" s="79"/>
      <c r="AQ67" s="80"/>
      <c r="AR67" s="79"/>
      <c r="AS67" s="679" t="s">
        <v>294</v>
      </c>
      <c r="AT67" s="350"/>
      <c r="AU67" s="350"/>
      <c r="AV67" s="350"/>
      <c r="AW67" s="350"/>
      <c r="AX67" s="350"/>
      <c r="AY67" s="351"/>
      <c r="AZ67" s="81"/>
      <c r="BA67" s="81"/>
      <c r="BB67" s="677" t="s">
        <v>325</v>
      </c>
      <c r="BC67" s="351"/>
      <c r="BD67" s="681" t="s">
        <v>294</v>
      </c>
      <c r="BE67" s="350"/>
      <c r="BF67" s="351"/>
      <c r="BG67" s="678" t="s">
        <v>294</v>
      </c>
      <c r="BH67" s="350"/>
      <c r="BI67" s="350"/>
      <c r="BJ67" s="351"/>
      <c r="BK67" s="680" t="s">
        <v>498</v>
      </c>
      <c r="BL67" s="350"/>
      <c r="BM67" s="351"/>
      <c r="BN67" s="82"/>
      <c r="BO67" s="82"/>
      <c r="BP67" s="678"/>
      <c r="BQ67" s="350"/>
      <c r="BR67" s="351"/>
      <c r="BS67" s="681" t="s">
        <v>294</v>
      </c>
      <c r="BT67" s="350"/>
      <c r="BU67" s="351"/>
    </row>
    <row r="68" spans="1:73" ht="30" customHeight="1">
      <c r="A68" s="76">
        <f t="shared" si="0"/>
        <v>54</v>
      </c>
      <c r="B68" s="686" t="s">
        <v>325</v>
      </c>
      <c r="C68" s="351"/>
      <c r="D68" s="687" t="s">
        <v>294</v>
      </c>
      <c r="E68" s="350"/>
      <c r="F68" s="350"/>
      <c r="G68" s="351"/>
      <c r="H68" s="688" t="s">
        <v>294</v>
      </c>
      <c r="I68" s="350"/>
      <c r="J68" s="350"/>
      <c r="K68" s="351"/>
      <c r="L68" s="538" t="s">
        <v>294</v>
      </c>
      <c r="M68" s="350"/>
      <c r="N68" s="351"/>
      <c r="O68" s="539" t="s">
        <v>294</v>
      </c>
      <c r="P68" s="350"/>
      <c r="Q68" s="351"/>
      <c r="R68" s="574"/>
      <c r="S68" s="350"/>
      <c r="T68" s="351"/>
      <c r="U68" s="567"/>
      <c r="V68" s="350"/>
      <c r="W68" s="351"/>
      <c r="X68" s="77"/>
      <c r="Y68" s="78"/>
      <c r="Z68" s="77"/>
      <c r="AA68" s="78"/>
      <c r="AB68" s="77"/>
      <c r="AC68" s="78"/>
      <c r="AD68" s="77"/>
      <c r="AE68" s="78"/>
      <c r="AF68" s="77"/>
      <c r="AG68" s="78"/>
      <c r="AH68" s="77"/>
      <c r="AI68" s="78"/>
      <c r="AJ68" s="79"/>
      <c r="AK68" s="80"/>
      <c r="AL68" s="79"/>
      <c r="AM68" s="80"/>
      <c r="AN68" s="79"/>
      <c r="AO68" s="80"/>
      <c r="AP68" s="79"/>
      <c r="AQ68" s="80"/>
      <c r="AR68" s="79"/>
      <c r="AS68" s="679" t="s">
        <v>294</v>
      </c>
      <c r="AT68" s="350"/>
      <c r="AU68" s="350"/>
      <c r="AV68" s="350"/>
      <c r="AW68" s="350"/>
      <c r="AX68" s="350"/>
      <c r="AY68" s="351"/>
      <c r="AZ68" s="81"/>
      <c r="BA68" s="81"/>
      <c r="BB68" s="677" t="s">
        <v>325</v>
      </c>
      <c r="BC68" s="351"/>
      <c r="BD68" s="681" t="s">
        <v>294</v>
      </c>
      <c r="BE68" s="350"/>
      <c r="BF68" s="351"/>
      <c r="BG68" s="678" t="s">
        <v>294</v>
      </c>
      <c r="BH68" s="350"/>
      <c r="BI68" s="350"/>
      <c r="BJ68" s="351"/>
      <c r="BK68" s="680" t="s">
        <v>498</v>
      </c>
      <c r="BL68" s="350"/>
      <c r="BM68" s="351"/>
      <c r="BN68" s="82"/>
      <c r="BO68" s="82"/>
      <c r="BP68" s="678"/>
      <c r="BQ68" s="350"/>
      <c r="BR68" s="351"/>
      <c r="BS68" s="681" t="s">
        <v>294</v>
      </c>
      <c r="BT68" s="350"/>
      <c r="BU68" s="351"/>
    </row>
    <row r="69" spans="1:73" ht="30" customHeight="1">
      <c r="A69" s="76">
        <f t="shared" si="0"/>
        <v>55</v>
      </c>
      <c r="B69" s="686" t="s">
        <v>325</v>
      </c>
      <c r="C69" s="351"/>
      <c r="D69" s="687" t="s">
        <v>294</v>
      </c>
      <c r="E69" s="350"/>
      <c r="F69" s="350"/>
      <c r="G69" s="351"/>
      <c r="H69" s="688" t="s">
        <v>294</v>
      </c>
      <c r="I69" s="350"/>
      <c r="J69" s="350"/>
      <c r="K69" s="351"/>
      <c r="L69" s="538" t="s">
        <v>294</v>
      </c>
      <c r="M69" s="350"/>
      <c r="N69" s="351"/>
      <c r="O69" s="539" t="s">
        <v>294</v>
      </c>
      <c r="P69" s="350"/>
      <c r="Q69" s="351"/>
      <c r="R69" s="574"/>
      <c r="S69" s="350"/>
      <c r="T69" s="351"/>
      <c r="U69" s="567"/>
      <c r="V69" s="350"/>
      <c r="W69" s="351"/>
      <c r="X69" s="77"/>
      <c r="Y69" s="78"/>
      <c r="Z69" s="77"/>
      <c r="AA69" s="78"/>
      <c r="AB69" s="77"/>
      <c r="AC69" s="78"/>
      <c r="AD69" s="77"/>
      <c r="AE69" s="78"/>
      <c r="AF69" s="77"/>
      <c r="AG69" s="78"/>
      <c r="AH69" s="77"/>
      <c r="AI69" s="78"/>
      <c r="AJ69" s="79"/>
      <c r="AK69" s="80"/>
      <c r="AL69" s="79"/>
      <c r="AM69" s="80"/>
      <c r="AN69" s="79"/>
      <c r="AO69" s="80"/>
      <c r="AP69" s="79"/>
      <c r="AQ69" s="80"/>
      <c r="AR69" s="79"/>
      <c r="AS69" s="679" t="s">
        <v>294</v>
      </c>
      <c r="AT69" s="350"/>
      <c r="AU69" s="350"/>
      <c r="AV69" s="350"/>
      <c r="AW69" s="350"/>
      <c r="AX69" s="350"/>
      <c r="AY69" s="351"/>
      <c r="AZ69" s="81"/>
      <c r="BA69" s="81"/>
      <c r="BB69" s="677" t="s">
        <v>325</v>
      </c>
      <c r="BC69" s="351"/>
      <c r="BD69" s="681" t="s">
        <v>294</v>
      </c>
      <c r="BE69" s="350"/>
      <c r="BF69" s="351"/>
      <c r="BG69" s="678" t="s">
        <v>294</v>
      </c>
      <c r="BH69" s="350"/>
      <c r="BI69" s="350"/>
      <c r="BJ69" s="351"/>
      <c r="BK69" s="680" t="s">
        <v>498</v>
      </c>
      <c r="BL69" s="350"/>
      <c r="BM69" s="351"/>
      <c r="BN69" s="82"/>
      <c r="BO69" s="82"/>
      <c r="BP69" s="678"/>
      <c r="BQ69" s="350"/>
      <c r="BR69" s="351"/>
      <c r="BS69" s="681" t="s">
        <v>294</v>
      </c>
      <c r="BT69" s="350"/>
      <c r="BU69" s="351"/>
    </row>
    <row r="70" spans="1:73" ht="30" customHeight="1">
      <c r="A70" s="76">
        <f t="shared" si="0"/>
        <v>56</v>
      </c>
      <c r="B70" s="686" t="s">
        <v>325</v>
      </c>
      <c r="C70" s="351"/>
      <c r="D70" s="687" t="s">
        <v>294</v>
      </c>
      <c r="E70" s="350"/>
      <c r="F70" s="350"/>
      <c r="G70" s="351"/>
      <c r="H70" s="688" t="s">
        <v>294</v>
      </c>
      <c r="I70" s="350"/>
      <c r="J70" s="350"/>
      <c r="K70" s="351"/>
      <c r="L70" s="538" t="s">
        <v>294</v>
      </c>
      <c r="M70" s="350"/>
      <c r="N70" s="351"/>
      <c r="O70" s="539" t="s">
        <v>294</v>
      </c>
      <c r="P70" s="350"/>
      <c r="Q70" s="351"/>
      <c r="R70" s="574"/>
      <c r="S70" s="350"/>
      <c r="T70" s="351"/>
      <c r="U70" s="567"/>
      <c r="V70" s="350"/>
      <c r="W70" s="351"/>
      <c r="X70" s="77"/>
      <c r="Y70" s="78"/>
      <c r="Z70" s="77"/>
      <c r="AA70" s="78"/>
      <c r="AB70" s="77"/>
      <c r="AC70" s="78"/>
      <c r="AD70" s="77"/>
      <c r="AE70" s="78"/>
      <c r="AF70" s="77"/>
      <c r="AG70" s="78"/>
      <c r="AH70" s="77"/>
      <c r="AI70" s="78"/>
      <c r="AJ70" s="79"/>
      <c r="AK70" s="80"/>
      <c r="AL70" s="79"/>
      <c r="AM70" s="80"/>
      <c r="AN70" s="79"/>
      <c r="AO70" s="80"/>
      <c r="AP70" s="79"/>
      <c r="AQ70" s="80"/>
      <c r="AR70" s="79"/>
      <c r="AS70" s="679" t="s">
        <v>294</v>
      </c>
      <c r="AT70" s="350"/>
      <c r="AU70" s="350"/>
      <c r="AV70" s="350"/>
      <c r="AW70" s="350"/>
      <c r="AX70" s="350"/>
      <c r="AY70" s="351"/>
      <c r="AZ70" s="81"/>
      <c r="BA70" s="81"/>
      <c r="BB70" s="677" t="s">
        <v>325</v>
      </c>
      <c r="BC70" s="351"/>
      <c r="BD70" s="681" t="s">
        <v>294</v>
      </c>
      <c r="BE70" s="350"/>
      <c r="BF70" s="351"/>
      <c r="BG70" s="678" t="s">
        <v>294</v>
      </c>
      <c r="BH70" s="350"/>
      <c r="BI70" s="350"/>
      <c r="BJ70" s="351"/>
      <c r="BK70" s="680" t="s">
        <v>498</v>
      </c>
      <c r="BL70" s="350"/>
      <c r="BM70" s="351"/>
      <c r="BN70" s="82"/>
      <c r="BO70" s="82"/>
      <c r="BP70" s="678"/>
      <c r="BQ70" s="350"/>
      <c r="BR70" s="351"/>
      <c r="BS70" s="681" t="s">
        <v>294</v>
      </c>
      <c r="BT70" s="350"/>
      <c r="BU70" s="351"/>
    </row>
    <row r="71" spans="1:73" ht="30" customHeight="1">
      <c r="A71" s="76">
        <f t="shared" si="0"/>
        <v>57</v>
      </c>
      <c r="B71" s="686" t="s">
        <v>325</v>
      </c>
      <c r="C71" s="351"/>
      <c r="D71" s="687" t="s">
        <v>294</v>
      </c>
      <c r="E71" s="350"/>
      <c r="F71" s="350"/>
      <c r="G71" s="351"/>
      <c r="H71" s="688" t="s">
        <v>294</v>
      </c>
      <c r="I71" s="350"/>
      <c r="J71" s="350"/>
      <c r="K71" s="351"/>
      <c r="L71" s="538" t="s">
        <v>294</v>
      </c>
      <c r="M71" s="350"/>
      <c r="N71" s="351"/>
      <c r="O71" s="539" t="s">
        <v>294</v>
      </c>
      <c r="P71" s="350"/>
      <c r="Q71" s="351"/>
      <c r="R71" s="574"/>
      <c r="S71" s="350"/>
      <c r="T71" s="351"/>
      <c r="U71" s="567"/>
      <c r="V71" s="350"/>
      <c r="W71" s="351"/>
      <c r="X71" s="77"/>
      <c r="Y71" s="78"/>
      <c r="Z71" s="77"/>
      <c r="AA71" s="78"/>
      <c r="AB71" s="77"/>
      <c r="AC71" s="78"/>
      <c r="AD71" s="77"/>
      <c r="AE71" s="78"/>
      <c r="AF71" s="77"/>
      <c r="AG71" s="78"/>
      <c r="AH71" s="77"/>
      <c r="AI71" s="78"/>
      <c r="AJ71" s="79"/>
      <c r="AK71" s="80"/>
      <c r="AL71" s="79"/>
      <c r="AM71" s="80"/>
      <c r="AN71" s="79"/>
      <c r="AO71" s="80"/>
      <c r="AP71" s="79"/>
      <c r="AQ71" s="80"/>
      <c r="AR71" s="79"/>
      <c r="AS71" s="679" t="s">
        <v>294</v>
      </c>
      <c r="AT71" s="350"/>
      <c r="AU71" s="350"/>
      <c r="AV71" s="350"/>
      <c r="AW71" s="350"/>
      <c r="AX71" s="350"/>
      <c r="AY71" s="351"/>
      <c r="AZ71" s="81"/>
      <c r="BA71" s="81"/>
      <c r="BB71" s="685" t="s">
        <v>325</v>
      </c>
      <c r="BC71" s="351"/>
      <c r="BD71" s="681" t="s">
        <v>294</v>
      </c>
      <c r="BE71" s="350"/>
      <c r="BF71" s="351"/>
      <c r="BG71" s="678" t="s">
        <v>294</v>
      </c>
      <c r="BH71" s="350"/>
      <c r="BI71" s="350"/>
      <c r="BJ71" s="351"/>
      <c r="BK71" s="680" t="s">
        <v>498</v>
      </c>
      <c r="BL71" s="350"/>
      <c r="BM71" s="351"/>
      <c r="BN71" s="82"/>
      <c r="BO71" s="82"/>
      <c r="BP71" s="678"/>
      <c r="BQ71" s="350"/>
      <c r="BR71" s="351"/>
      <c r="BS71" s="681" t="s">
        <v>294</v>
      </c>
      <c r="BT71" s="350"/>
      <c r="BU71" s="351"/>
    </row>
    <row r="72" spans="1:73" ht="30" customHeight="1">
      <c r="A72" s="76">
        <f t="shared" si="0"/>
        <v>58</v>
      </c>
      <c r="B72" s="686" t="s">
        <v>325</v>
      </c>
      <c r="C72" s="351"/>
      <c r="D72" s="687" t="s">
        <v>294</v>
      </c>
      <c r="E72" s="350"/>
      <c r="F72" s="350"/>
      <c r="G72" s="351"/>
      <c r="H72" s="688" t="s">
        <v>294</v>
      </c>
      <c r="I72" s="350"/>
      <c r="J72" s="350"/>
      <c r="K72" s="351"/>
      <c r="L72" s="538" t="s">
        <v>294</v>
      </c>
      <c r="M72" s="350"/>
      <c r="N72" s="351"/>
      <c r="O72" s="539" t="s">
        <v>294</v>
      </c>
      <c r="P72" s="350"/>
      <c r="Q72" s="351"/>
      <c r="R72" s="574"/>
      <c r="S72" s="350"/>
      <c r="T72" s="351"/>
      <c r="U72" s="567"/>
      <c r="V72" s="350"/>
      <c r="W72" s="351"/>
      <c r="X72" s="77"/>
      <c r="Y72" s="78"/>
      <c r="Z72" s="77"/>
      <c r="AA72" s="78"/>
      <c r="AB72" s="77"/>
      <c r="AC72" s="78"/>
      <c r="AD72" s="77"/>
      <c r="AE72" s="78"/>
      <c r="AF72" s="77"/>
      <c r="AG72" s="78"/>
      <c r="AH72" s="77"/>
      <c r="AI72" s="78"/>
      <c r="AJ72" s="79"/>
      <c r="AK72" s="80"/>
      <c r="AL72" s="79"/>
      <c r="AM72" s="80"/>
      <c r="AN72" s="79"/>
      <c r="AO72" s="80"/>
      <c r="AP72" s="79"/>
      <c r="AQ72" s="80"/>
      <c r="AR72" s="79"/>
      <c r="AS72" s="679" t="s">
        <v>294</v>
      </c>
      <c r="AT72" s="350"/>
      <c r="AU72" s="350"/>
      <c r="AV72" s="350"/>
      <c r="AW72" s="350"/>
      <c r="AX72" s="350"/>
      <c r="AY72" s="351"/>
      <c r="AZ72" s="81"/>
      <c r="BA72" s="81"/>
      <c r="BB72" s="677" t="s">
        <v>325</v>
      </c>
      <c r="BC72" s="351"/>
      <c r="BD72" s="681" t="s">
        <v>294</v>
      </c>
      <c r="BE72" s="350"/>
      <c r="BF72" s="351"/>
      <c r="BG72" s="678" t="s">
        <v>294</v>
      </c>
      <c r="BH72" s="350"/>
      <c r="BI72" s="350"/>
      <c r="BJ72" s="351"/>
      <c r="BK72" s="680" t="s">
        <v>498</v>
      </c>
      <c r="BL72" s="350"/>
      <c r="BM72" s="351"/>
      <c r="BN72" s="82"/>
      <c r="BO72" s="82"/>
      <c r="BP72" s="678"/>
      <c r="BQ72" s="350"/>
      <c r="BR72" s="351"/>
      <c r="BS72" s="681" t="s">
        <v>294</v>
      </c>
      <c r="BT72" s="350"/>
      <c r="BU72" s="351"/>
    </row>
    <row r="73" spans="1:73" ht="30" customHeight="1">
      <c r="A73" s="76">
        <f t="shared" si="0"/>
        <v>59</v>
      </c>
      <c r="B73" s="686" t="s">
        <v>325</v>
      </c>
      <c r="C73" s="351"/>
      <c r="D73" s="687" t="s">
        <v>294</v>
      </c>
      <c r="E73" s="350"/>
      <c r="F73" s="350"/>
      <c r="G73" s="351"/>
      <c r="H73" s="688" t="s">
        <v>294</v>
      </c>
      <c r="I73" s="350"/>
      <c r="J73" s="350"/>
      <c r="K73" s="351"/>
      <c r="L73" s="538" t="s">
        <v>294</v>
      </c>
      <c r="M73" s="350"/>
      <c r="N73" s="351"/>
      <c r="O73" s="539" t="s">
        <v>294</v>
      </c>
      <c r="P73" s="350"/>
      <c r="Q73" s="351"/>
      <c r="R73" s="574"/>
      <c r="S73" s="350"/>
      <c r="T73" s="351"/>
      <c r="U73" s="567"/>
      <c r="V73" s="350"/>
      <c r="W73" s="351"/>
      <c r="X73" s="77"/>
      <c r="Y73" s="78"/>
      <c r="Z73" s="77"/>
      <c r="AA73" s="78"/>
      <c r="AB73" s="77"/>
      <c r="AC73" s="78"/>
      <c r="AD73" s="77"/>
      <c r="AE73" s="78"/>
      <c r="AF73" s="77"/>
      <c r="AG73" s="78"/>
      <c r="AH73" s="77"/>
      <c r="AI73" s="78"/>
      <c r="AJ73" s="79"/>
      <c r="AK73" s="80"/>
      <c r="AL73" s="79"/>
      <c r="AM73" s="80"/>
      <c r="AN73" s="79"/>
      <c r="AO73" s="80"/>
      <c r="AP73" s="79"/>
      <c r="AQ73" s="80"/>
      <c r="AR73" s="79"/>
      <c r="AS73" s="679" t="s">
        <v>294</v>
      </c>
      <c r="AT73" s="350"/>
      <c r="AU73" s="350"/>
      <c r="AV73" s="350"/>
      <c r="AW73" s="350"/>
      <c r="AX73" s="350"/>
      <c r="AY73" s="351"/>
      <c r="AZ73" s="81"/>
      <c r="BA73" s="81"/>
      <c r="BB73" s="677" t="s">
        <v>325</v>
      </c>
      <c r="BC73" s="351"/>
      <c r="BD73" s="681" t="s">
        <v>294</v>
      </c>
      <c r="BE73" s="350"/>
      <c r="BF73" s="351"/>
      <c r="BG73" s="678" t="s">
        <v>294</v>
      </c>
      <c r="BH73" s="350"/>
      <c r="BI73" s="350"/>
      <c r="BJ73" s="351"/>
      <c r="BK73" s="680" t="s">
        <v>498</v>
      </c>
      <c r="BL73" s="350"/>
      <c r="BM73" s="351"/>
      <c r="BN73" s="82"/>
      <c r="BO73" s="82"/>
      <c r="BP73" s="678"/>
      <c r="BQ73" s="350"/>
      <c r="BR73" s="351"/>
      <c r="BS73" s="681" t="s">
        <v>294</v>
      </c>
      <c r="BT73" s="350"/>
      <c r="BU73" s="351"/>
    </row>
    <row r="74" spans="1:73" ht="30" customHeight="1">
      <c r="A74" s="76">
        <f t="shared" si="0"/>
        <v>60</v>
      </c>
      <c r="B74" s="686" t="s">
        <v>325</v>
      </c>
      <c r="C74" s="351"/>
      <c r="D74" s="687" t="s">
        <v>294</v>
      </c>
      <c r="E74" s="350"/>
      <c r="F74" s="350"/>
      <c r="G74" s="351"/>
      <c r="H74" s="688" t="s">
        <v>294</v>
      </c>
      <c r="I74" s="350"/>
      <c r="J74" s="350"/>
      <c r="K74" s="351"/>
      <c r="L74" s="538" t="s">
        <v>294</v>
      </c>
      <c r="M74" s="350"/>
      <c r="N74" s="351"/>
      <c r="O74" s="539" t="s">
        <v>294</v>
      </c>
      <c r="P74" s="350"/>
      <c r="Q74" s="351"/>
      <c r="R74" s="574"/>
      <c r="S74" s="350"/>
      <c r="T74" s="351"/>
      <c r="U74" s="567"/>
      <c r="V74" s="350"/>
      <c r="W74" s="351"/>
      <c r="X74" s="77"/>
      <c r="Y74" s="78"/>
      <c r="Z74" s="77"/>
      <c r="AA74" s="78"/>
      <c r="AB74" s="77"/>
      <c r="AC74" s="78"/>
      <c r="AD74" s="77"/>
      <c r="AE74" s="78"/>
      <c r="AF74" s="77"/>
      <c r="AG74" s="78"/>
      <c r="AH74" s="77"/>
      <c r="AI74" s="78"/>
      <c r="AJ74" s="79"/>
      <c r="AK74" s="80"/>
      <c r="AL74" s="79"/>
      <c r="AM74" s="80"/>
      <c r="AN74" s="79"/>
      <c r="AO74" s="80"/>
      <c r="AP74" s="79"/>
      <c r="AQ74" s="80"/>
      <c r="AR74" s="79"/>
      <c r="AS74" s="679" t="s">
        <v>294</v>
      </c>
      <c r="AT74" s="350"/>
      <c r="AU74" s="350"/>
      <c r="AV74" s="350"/>
      <c r="AW74" s="350"/>
      <c r="AX74" s="350"/>
      <c r="AY74" s="351"/>
      <c r="AZ74" s="81"/>
      <c r="BA74" s="81"/>
      <c r="BB74" s="677" t="s">
        <v>325</v>
      </c>
      <c r="BC74" s="351"/>
      <c r="BD74" s="681" t="s">
        <v>294</v>
      </c>
      <c r="BE74" s="350"/>
      <c r="BF74" s="351"/>
      <c r="BG74" s="678" t="s">
        <v>294</v>
      </c>
      <c r="BH74" s="350"/>
      <c r="BI74" s="350"/>
      <c r="BJ74" s="351"/>
      <c r="BK74" s="680" t="s">
        <v>498</v>
      </c>
      <c r="BL74" s="350"/>
      <c r="BM74" s="351"/>
      <c r="BN74" s="82"/>
      <c r="BO74" s="82"/>
      <c r="BP74" s="678"/>
      <c r="BQ74" s="350"/>
      <c r="BR74" s="351"/>
      <c r="BS74" s="681" t="s">
        <v>294</v>
      </c>
      <c r="BT74" s="350"/>
      <c r="BU74" s="351"/>
    </row>
    <row r="75" spans="1:73" ht="30" customHeight="1">
      <c r="A75" s="76">
        <f t="shared" si="0"/>
        <v>61</v>
      </c>
      <c r="B75" s="686" t="s">
        <v>325</v>
      </c>
      <c r="C75" s="351"/>
      <c r="D75" s="687" t="s">
        <v>294</v>
      </c>
      <c r="E75" s="350"/>
      <c r="F75" s="350"/>
      <c r="G75" s="351"/>
      <c r="H75" s="688" t="s">
        <v>294</v>
      </c>
      <c r="I75" s="350"/>
      <c r="J75" s="350"/>
      <c r="K75" s="351"/>
      <c r="L75" s="538" t="s">
        <v>294</v>
      </c>
      <c r="M75" s="350"/>
      <c r="N75" s="351"/>
      <c r="O75" s="539" t="s">
        <v>294</v>
      </c>
      <c r="P75" s="350"/>
      <c r="Q75" s="351"/>
      <c r="R75" s="574"/>
      <c r="S75" s="350"/>
      <c r="T75" s="351"/>
      <c r="U75" s="567"/>
      <c r="V75" s="350"/>
      <c r="W75" s="351"/>
      <c r="X75" s="77"/>
      <c r="Y75" s="78"/>
      <c r="Z75" s="77"/>
      <c r="AA75" s="78"/>
      <c r="AB75" s="77"/>
      <c r="AC75" s="78"/>
      <c r="AD75" s="77"/>
      <c r="AE75" s="78"/>
      <c r="AF75" s="77"/>
      <c r="AG75" s="78"/>
      <c r="AH75" s="77"/>
      <c r="AI75" s="78"/>
      <c r="AJ75" s="79"/>
      <c r="AK75" s="80"/>
      <c r="AL75" s="79"/>
      <c r="AM75" s="80"/>
      <c r="AN75" s="79"/>
      <c r="AO75" s="80"/>
      <c r="AP75" s="79"/>
      <c r="AQ75" s="80"/>
      <c r="AR75" s="79"/>
      <c r="AS75" s="679" t="s">
        <v>294</v>
      </c>
      <c r="AT75" s="350"/>
      <c r="AU75" s="350"/>
      <c r="AV75" s="350"/>
      <c r="AW75" s="350"/>
      <c r="AX75" s="350"/>
      <c r="AY75" s="351"/>
      <c r="AZ75" s="81"/>
      <c r="BA75" s="81"/>
      <c r="BB75" s="677" t="s">
        <v>325</v>
      </c>
      <c r="BC75" s="351"/>
      <c r="BD75" s="681" t="s">
        <v>294</v>
      </c>
      <c r="BE75" s="350"/>
      <c r="BF75" s="351"/>
      <c r="BG75" s="678" t="s">
        <v>294</v>
      </c>
      <c r="BH75" s="350"/>
      <c r="BI75" s="350"/>
      <c r="BJ75" s="351"/>
      <c r="BK75" s="680" t="s">
        <v>498</v>
      </c>
      <c r="BL75" s="350"/>
      <c r="BM75" s="351"/>
      <c r="BN75" s="82"/>
      <c r="BO75" s="82"/>
      <c r="BP75" s="678"/>
      <c r="BQ75" s="350"/>
      <c r="BR75" s="351"/>
      <c r="BS75" s="681" t="s">
        <v>294</v>
      </c>
      <c r="BT75" s="350"/>
      <c r="BU75" s="351"/>
    </row>
    <row r="76" spans="1:73" ht="30" customHeight="1">
      <c r="A76" s="76">
        <f t="shared" si="0"/>
        <v>62</v>
      </c>
      <c r="B76" s="686" t="s">
        <v>325</v>
      </c>
      <c r="C76" s="351"/>
      <c r="D76" s="687" t="s">
        <v>294</v>
      </c>
      <c r="E76" s="350"/>
      <c r="F76" s="350"/>
      <c r="G76" s="351"/>
      <c r="H76" s="688" t="s">
        <v>294</v>
      </c>
      <c r="I76" s="350"/>
      <c r="J76" s="350"/>
      <c r="K76" s="351"/>
      <c r="L76" s="538" t="s">
        <v>294</v>
      </c>
      <c r="M76" s="350"/>
      <c r="N76" s="351"/>
      <c r="O76" s="539" t="s">
        <v>294</v>
      </c>
      <c r="P76" s="350"/>
      <c r="Q76" s="351"/>
      <c r="R76" s="574"/>
      <c r="S76" s="350"/>
      <c r="T76" s="351"/>
      <c r="U76" s="567"/>
      <c r="V76" s="350"/>
      <c r="W76" s="351"/>
      <c r="X76" s="77"/>
      <c r="Y76" s="78"/>
      <c r="Z76" s="77"/>
      <c r="AA76" s="78"/>
      <c r="AB76" s="77"/>
      <c r="AC76" s="78"/>
      <c r="AD76" s="77"/>
      <c r="AE76" s="78"/>
      <c r="AF76" s="77"/>
      <c r="AG76" s="78"/>
      <c r="AH76" s="77"/>
      <c r="AI76" s="78"/>
      <c r="AJ76" s="79"/>
      <c r="AK76" s="80"/>
      <c r="AL76" s="79"/>
      <c r="AM76" s="80"/>
      <c r="AN76" s="79"/>
      <c r="AO76" s="80"/>
      <c r="AP76" s="79"/>
      <c r="AQ76" s="80"/>
      <c r="AR76" s="79"/>
      <c r="AS76" s="679" t="s">
        <v>294</v>
      </c>
      <c r="AT76" s="350"/>
      <c r="AU76" s="350"/>
      <c r="AV76" s="350"/>
      <c r="AW76" s="350"/>
      <c r="AX76" s="350"/>
      <c r="AY76" s="351"/>
      <c r="AZ76" s="81"/>
      <c r="BA76" s="81"/>
      <c r="BB76" s="677" t="s">
        <v>325</v>
      </c>
      <c r="BC76" s="351"/>
      <c r="BD76" s="681" t="s">
        <v>294</v>
      </c>
      <c r="BE76" s="350"/>
      <c r="BF76" s="351"/>
      <c r="BG76" s="678" t="s">
        <v>294</v>
      </c>
      <c r="BH76" s="350"/>
      <c r="BI76" s="350"/>
      <c r="BJ76" s="351"/>
      <c r="BK76" s="680" t="s">
        <v>498</v>
      </c>
      <c r="BL76" s="350"/>
      <c r="BM76" s="351"/>
      <c r="BN76" s="82"/>
      <c r="BO76" s="82"/>
      <c r="BP76" s="678"/>
      <c r="BQ76" s="350"/>
      <c r="BR76" s="351"/>
      <c r="BS76" s="681" t="s">
        <v>294</v>
      </c>
      <c r="BT76" s="350"/>
      <c r="BU76" s="351"/>
    </row>
    <row r="77" spans="1:73" ht="30" customHeight="1">
      <c r="A77" s="76">
        <f t="shared" si="0"/>
        <v>63</v>
      </c>
      <c r="B77" s="686" t="s">
        <v>325</v>
      </c>
      <c r="C77" s="351"/>
      <c r="D77" s="687" t="s">
        <v>294</v>
      </c>
      <c r="E77" s="350"/>
      <c r="F77" s="350"/>
      <c r="G77" s="351"/>
      <c r="H77" s="688" t="s">
        <v>294</v>
      </c>
      <c r="I77" s="350"/>
      <c r="J77" s="350"/>
      <c r="K77" s="351"/>
      <c r="L77" s="538" t="s">
        <v>294</v>
      </c>
      <c r="M77" s="350"/>
      <c r="N77" s="351"/>
      <c r="O77" s="539" t="s">
        <v>294</v>
      </c>
      <c r="P77" s="350"/>
      <c r="Q77" s="351"/>
      <c r="R77" s="574"/>
      <c r="S77" s="350"/>
      <c r="T77" s="351"/>
      <c r="U77" s="567"/>
      <c r="V77" s="350"/>
      <c r="W77" s="351"/>
      <c r="X77" s="77"/>
      <c r="Y77" s="78"/>
      <c r="Z77" s="77"/>
      <c r="AA77" s="78"/>
      <c r="AB77" s="77"/>
      <c r="AC77" s="78"/>
      <c r="AD77" s="77"/>
      <c r="AE77" s="78"/>
      <c r="AF77" s="77"/>
      <c r="AG77" s="78"/>
      <c r="AH77" s="77"/>
      <c r="AI77" s="78"/>
      <c r="AJ77" s="79"/>
      <c r="AK77" s="80"/>
      <c r="AL77" s="79"/>
      <c r="AM77" s="80"/>
      <c r="AN77" s="79"/>
      <c r="AO77" s="80"/>
      <c r="AP77" s="79"/>
      <c r="AQ77" s="80"/>
      <c r="AR77" s="79"/>
      <c r="AS77" s="679" t="s">
        <v>294</v>
      </c>
      <c r="AT77" s="350"/>
      <c r="AU77" s="350"/>
      <c r="AV77" s="350"/>
      <c r="AW77" s="350"/>
      <c r="AX77" s="350"/>
      <c r="AY77" s="351"/>
      <c r="AZ77" s="81"/>
      <c r="BA77" s="81"/>
      <c r="BB77" s="677" t="s">
        <v>325</v>
      </c>
      <c r="BC77" s="351"/>
      <c r="BD77" s="681" t="s">
        <v>294</v>
      </c>
      <c r="BE77" s="350"/>
      <c r="BF77" s="351"/>
      <c r="BG77" s="678" t="s">
        <v>294</v>
      </c>
      <c r="BH77" s="350"/>
      <c r="BI77" s="350"/>
      <c r="BJ77" s="351"/>
      <c r="BK77" s="680" t="s">
        <v>498</v>
      </c>
      <c r="BL77" s="350"/>
      <c r="BM77" s="351"/>
      <c r="BN77" s="82"/>
      <c r="BO77" s="82"/>
      <c r="BP77" s="678"/>
      <c r="BQ77" s="350"/>
      <c r="BR77" s="351"/>
      <c r="BS77" s="681" t="s">
        <v>294</v>
      </c>
      <c r="BT77" s="350"/>
      <c r="BU77" s="351"/>
    </row>
    <row r="78" spans="1:73" ht="30" customHeight="1">
      <c r="A78" s="76">
        <f t="shared" si="0"/>
        <v>64</v>
      </c>
      <c r="B78" s="686" t="s">
        <v>325</v>
      </c>
      <c r="C78" s="351"/>
      <c r="D78" s="687" t="s">
        <v>294</v>
      </c>
      <c r="E78" s="350"/>
      <c r="F78" s="350"/>
      <c r="G78" s="351"/>
      <c r="H78" s="688" t="s">
        <v>294</v>
      </c>
      <c r="I78" s="350"/>
      <c r="J78" s="350"/>
      <c r="K78" s="351"/>
      <c r="L78" s="538" t="s">
        <v>294</v>
      </c>
      <c r="M78" s="350"/>
      <c r="N78" s="351"/>
      <c r="O78" s="539" t="s">
        <v>294</v>
      </c>
      <c r="P78" s="350"/>
      <c r="Q78" s="351"/>
      <c r="R78" s="574"/>
      <c r="S78" s="350"/>
      <c r="T78" s="351"/>
      <c r="U78" s="567"/>
      <c r="V78" s="350"/>
      <c r="W78" s="351"/>
      <c r="X78" s="77"/>
      <c r="Y78" s="78"/>
      <c r="Z78" s="77"/>
      <c r="AA78" s="78"/>
      <c r="AB78" s="77"/>
      <c r="AC78" s="78"/>
      <c r="AD78" s="77"/>
      <c r="AE78" s="78"/>
      <c r="AF78" s="77"/>
      <c r="AG78" s="78"/>
      <c r="AH78" s="77"/>
      <c r="AI78" s="78"/>
      <c r="AJ78" s="79"/>
      <c r="AK78" s="80"/>
      <c r="AL78" s="79"/>
      <c r="AM78" s="80"/>
      <c r="AN78" s="79"/>
      <c r="AO78" s="80"/>
      <c r="AP78" s="79"/>
      <c r="AQ78" s="80"/>
      <c r="AR78" s="79"/>
      <c r="AS78" s="679" t="s">
        <v>294</v>
      </c>
      <c r="AT78" s="350"/>
      <c r="AU78" s="350"/>
      <c r="AV78" s="350"/>
      <c r="AW78" s="350"/>
      <c r="AX78" s="350"/>
      <c r="AY78" s="351"/>
      <c r="AZ78" s="81"/>
      <c r="BA78" s="81"/>
      <c r="BB78" s="685" t="s">
        <v>325</v>
      </c>
      <c r="BC78" s="351"/>
      <c r="BD78" s="681" t="s">
        <v>294</v>
      </c>
      <c r="BE78" s="350"/>
      <c r="BF78" s="351"/>
      <c r="BG78" s="678" t="s">
        <v>294</v>
      </c>
      <c r="BH78" s="350"/>
      <c r="BI78" s="350"/>
      <c r="BJ78" s="351"/>
      <c r="BK78" s="680" t="s">
        <v>498</v>
      </c>
      <c r="BL78" s="350"/>
      <c r="BM78" s="351"/>
      <c r="BN78" s="82"/>
      <c r="BO78" s="82"/>
      <c r="BP78" s="678"/>
      <c r="BQ78" s="350"/>
      <c r="BR78" s="351"/>
      <c r="BS78" s="681" t="s">
        <v>294</v>
      </c>
      <c r="BT78" s="350"/>
      <c r="BU78" s="351"/>
    </row>
    <row r="79" spans="1:73" ht="30" customHeight="1">
      <c r="A79" s="76">
        <f t="shared" si="0"/>
        <v>65</v>
      </c>
      <c r="B79" s="686" t="s">
        <v>325</v>
      </c>
      <c r="C79" s="351"/>
      <c r="D79" s="687" t="s">
        <v>294</v>
      </c>
      <c r="E79" s="350"/>
      <c r="F79" s="350"/>
      <c r="G79" s="351"/>
      <c r="H79" s="688" t="s">
        <v>294</v>
      </c>
      <c r="I79" s="350"/>
      <c r="J79" s="350"/>
      <c r="K79" s="351"/>
      <c r="L79" s="538" t="s">
        <v>294</v>
      </c>
      <c r="M79" s="350"/>
      <c r="N79" s="351"/>
      <c r="O79" s="539" t="s">
        <v>294</v>
      </c>
      <c r="P79" s="350"/>
      <c r="Q79" s="351"/>
      <c r="R79" s="574"/>
      <c r="S79" s="350"/>
      <c r="T79" s="351"/>
      <c r="U79" s="567"/>
      <c r="V79" s="350"/>
      <c r="W79" s="351"/>
      <c r="X79" s="77"/>
      <c r="Y79" s="78"/>
      <c r="Z79" s="77"/>
      <c r="AA79" s="78"/>
      <c r="AB79" s="77"/>
      <c r="AC79" s="78"/>
      <c r="AD79" s="77"/>
      <c r="AE79" s="78"/>
      <c r="AF79" s="77"/>
      <c r="AG79" s="78"/>
      <c r="AH79" s="77"/>
      <c r="AI79" s="78"/>
      <c r="AJ79" s="79"/>
      <c r="AK79" s="80"/>
      <c r="AL79" s="79"/>
      <c r="AM79" s="80"/>
      <c r="AN79" s="79"/>
      <c r="AO79" s="80"/>
      <c r="AP79" s="79"/>
      <c r="AQ79" s="80"/>
      <c r="AR79" s="79"/>
      <c r="AS79" s="679" t="s">
        <v>294</v>
      </c>
      <c r="AT79" s="350"/>
      <c r="AU79" s="350"/>
      <c r="AV79" s="350"/>
      <c r="AW79" s="350"/>
      <c r="AX79" s="350"/>
      <c r="AY79" s="351"/>
      <c r="AZ79" s="81"/>
      <c r="BA79" s="81"/>
      <c r="BB79" s="677" t="s">
        <v>325</v>
      </c>
      <c r="BC79" s="351"/>
      <c r="BD79" s="681" t="s">
        <v>294</v>
      </c>
      <c r="BE79" s="350"/>
      <c r="BF79" s="351"/>
      <c r="BG79" s="678" t="s">
        <v>294</v>
      </c>
      <c r="BH79" s="350"/>
      <c r="BI79" s="350"/>
      <c r="BJ79" s="351"/>
      <c r="BK79" s="680" t="s">
        <v>498</v>
      </c>
      <c r="BL79" s="350"/>
      <c r="BM79" s="351"/>
      <c r="BN79" s="82"/>
      <c r="BO79" s="82"/>
      <c r="BP79" s="678"/>
      <c r="BQ79" s="350"/>
      <c r="BR79" s="351"/>
      <c r="BS79" s="681" t="s">
        <v>294</v>
      </c>
      <c r="BT79" s="350"/>
      <c r="BU79" s="351"/>
    </row>
    <row r="80" spans="1:73" ht="30" customHeight="1">
      <c r="A80" s="76">
        <f t="shared" si="0"/>
        <v>66</v>
      </c>
      <c r="B80" s="686" t="s">
        <v>325</v>
      </c>
      <c r="C80" s="351"/>
      <c r="D80" s="687" t="s">
        <v>294</v>
      </c>
      <c r="E80" s="350"/>
      <c r="F80" s="350"/>
      <c r="G80" s="351"/>
      <c r="H80" s="688" t="s">
        <v>294</v>
      </c>
      <c r="I80" s="350"/>
      <c r="J80" s="350"/>
      <c r="K80" s="351"/>
      <c r="L80" s="538" t="s">
        <v>294</v>
      </c>
      <c r="M80" s="350"/>
      <c r="N80" s="351"/>
      <c r="O80" s="539" t="s">
        <v>294</v>
      </c>
      <c r="P80" s="350"/>
      <c r="Q80" s="351"/>
      <c r="R80" s="574"/>
      <c r="S80" s="350"/>
      <c r="T80" s="351"/>
      <c r="U80" s="567"/>
      <c r="V80" s="350"/>
      <c r="W80" s="351"/>
      <c r="X80" s="77"/>
      <c r="Y80" s="78"/>
      <c r="Z80" s="77"/>
      <c r="AA80" s="78"/>
      <c r="AB80" s="77"/>
      <c r="AC80" s="78"/>
      <c r="AD80" s="77"/>
      <c r="AE80" s="78"/>
      <c r="AF80" s="77"/>
      <c r="AG80" s="78"/>
      <c r="AH80" s="77"/>
      <c r="AI80" s="78"/>
      <c r="AJ80" s="79"/>
      <c r="AK80" s="80"/>
      <c r="AL80" s="79"/>
      <c r="AM80" s="80"/>
      <c r="AN80" s="79"/>
      <c r="AO80" s="80"/>
      <c r="AP80" s="79"/>
      <c r="AQ80" s="80"/>
      <c r="AR80" s="79"/>
      <c r="AS80" s="679" t="s">
        <v>294</v>
      </c>
      <c r="AT80" s="350"/>
      <c r="AU80" s="350"/>
      <c r="AV80" s="350"/>
      <c r="AW80" s="350"/>
      <c r="AX80" s="350"/>
      <c r="AY80" s="351"/>
      <c r="AZ80" s="81"/>
      <c r="BA80" s="81"/>
      <c r="BB80" s="677" t="s">
        <v>325</v>
      </c>
      <c r="BC80" s="351"/>
      <c r="BD80" s="681" t="s">
        <v>294</v>
      </c>
      <c r="BE80" s="350"/>
      <c r="BF80" s="351"/>
      <c r="BG80" s="678" t="s">
        <v>294</v>
      </c>
      <c r="BH80" s="350"/>
      <c r="BI80" s="350"/>
      <c r="BJ80" s="351"/>
      <c r="BK80" s="680" t="s">
        <v>498</v>
      </c>
      <c r="BL80" s="350"/>
      <c r="BM80" s="351"/>
      <c r="BN80" s="82"/>
      <c r="BO80" s="82"/>
      <c r="BP80" s="678"/>
      <c r="BQ80" s="350"/>
      <c r="BR80" s="351"/>
      <c r="BS80" s="681" t="s">
        <v>294</v>
      </c>
      <c r="BT80" s="350"/>
      <c r="BU80" s="351"/>
    </row>
    <row r="81" spans="1:73" ht="30" customHeight="1">
      <c r="A81" s="76">
        <f t="shared" si="0"/>
        <v>67</v>
      </c>
      <c r="B81" s="686" t="s">
        <v>325</v>
      </c>
      <c r="C81" s="351"/>
      <c r="D81" s="687" t="s">
        <v>294</v>
      </c>
      <c r="E81" s="350"/>
      <c r="F81" s="350"/>
      <c r="G81" s="351"/>
      <c r="H81" s="688" t="s">
        <v>294</v>
      </c>
      <c r="I81" s="350"/>
      <c r="J81" s="350"/>
      <c r="K81" s="351"/>
      <c r="L81" s="538" t="s">
        <v>294</v>
      </c>
      <c r="M81" s="350"/>
      <c r="N81" s="351"/>
      <c r="O81" s="539" t="s">
        <v>294</v>
      </c>
      <c r="P81" s="350"/>
      <c r="Q81" s="351"/>
      <c r="R81" s="574"/>
      <c r="S81" s="350"/>
      <c r="T81" s="351"/>
      <c r="U81" s="567"/>
      <c r="V81" s="350"/>
      <c r="W81" s="351"/>
      <c r="X81" s="77"/>
      <c r="Y81" s="78"/>
      <c r="Z81" s="77"/>
      <c r="AA81" s="78"/>
      <c r="AB81" s="77"/>
      <c r="AC81" s="78"/>
      <c r="AD81" s="77"/>
      <c r="AE81" s="78"/>
      <c r="AF81" s="77"/>
      <c r="AG81" s="78"/>
      <c r="AH81" s="77"/>
      <c r="AI81" s="78"/>
      <c r="AJ81" s="79"/>
      <c r="AK81" s="80"/>
      <c r="AL81" s="79"/>
      <c r="AM81" s="80"/>
      <c r="AN81" s="79"/>
      <c r="AO81" s="80"/>
      <c r="AP81" s="79"/>
      <c r="AQ81" s="80"/>
      <c r="AR81" s="79"/>
      <c r="AS81" s="679" t="s">
        <v>294</v>
      </c>
      <c r="AT81" s="350"/>
      <c r="AU81" s="350"/>
      <c r="AV81" s="350"/>
      <c r="AW81" s="350"/>
      <c r="AX81" s="350"/>
      <c r="AY81" s="351"/>
      <c r="AZ81" s="81"/>
      <c r="BA81" s="81"/>
      <c r="BB81" s="677" t="s">
        <v>325</v>
      </c>
      <c r="BC81" s="351"/>
      <c r="BD81" s="681" t="s">
        <v>294</v>
      </c>
      <c r="BE81" s="350"/>
      <c r="BF81" s="351"/>
      <c r="BG81" s="678" t="s">
        <v>294</v>
      </c>
      <c r="BH81" s="350"/>
      <c r="BI81" s="350"/>
      <c r="BJ81" s="351"/>
      <c r="BK81" s="680" t="s">
        <v>498</v>
      </c>
      <c r="BL81" s="350"/>
      <c r="BM81" s="351"/>
      <c r="BN81" s="82"/>
      <c r="BO81" s="82"/>
      <c r="BP81" s="678"/>
      <c r="BQ81" s="350"/>
      <c r="BR81" s="351"/>
      <c r="BS81" s="681" t="s">
        <v>294</v>
      </c>
      <c r="BT81" s="350"/>
      <c r="BU81" s="351"/>
    </row>
    <row r="82" spans="1:73" ht="30" customHeight="1">
      <c r="A82" s="76">
        <f t="shared" si="0"/>
        <v>68</v>
      </c>
      <c r="B82" s="686" t="s">
        <v>325</v>
      </c>
      <c r="C82" s="351"/>
      <c r="D82" s="687" t="s">
        <v>294</v>
      </c>
      <c r="E82" s="350"/>
      <c r="F82" s="350"/>
      <c r="G82" s="351"/>
      <c r="H82" s="688" t="s">
        <v>294</v>
      </c>
      <c r="I82" s="350"/>
      <c r="J82" s="350"/>
      <c r="K82" s="351"/>
      <c r="L82" s="538" t="s">
        <v>294</v>
      </c>
      <c r="M82" s="350"/>
      <c r="N82" s="351"/>
      <c r="O82" s="539" t="s">
        <v>294</v>
      </c>
      <c r="P82" s="350"/>
      <c r="Q82" s="351"/>
      <c r="R82" s="574"/>
      <c r="S82" s="350"/>
      <c r="T82" s="351"/>
      <c r="U82" s="567"/>
      <c r="V82" s="350"/>
      <c r="W82" s="351"/>
      <c r="X82" s="77"/>
      <c r="Y82" s="78"/>
      <c r="Z82" s="77"/>
      <c r="AA82" s="78"/>
      <c r="AB82" s="77"/>
      <c r="AC82" s="78"/>
      <c r="AD82" s="77"/>
      <c r="AE82" s="78"/>
      <c r="AF82" s="77"/>
      <c r="AG82" s="78"/>
      <c r="AH82" s="77"/>
      <c r="AI82" s="78"/>
      <c r="AJ82" s="79"/>
      <c r="AK82" s="80"/>
      <c r="AL82" s="79"/>
      <c r="AM82" s="80"/>
      <c r="AN82" s="79"/>
      <c r="AO82" s="80"/>
      <c r="AP82" s="79"/>
      <c r="AQ82" s="80"/>
      <c r="AR82" s="79"/>
      <c r="AS82" s="679" t="s">
        <v>294</v>
      </c>
      <c r="AT82" s="350"/>
      <c r="AU82" s="350"/>
      <c r="AV82" s="350"/>
      <c r="AW82" s="350"/>
      <c r="AX82" s="350"/>
      <c r="AY82" s="351"/>
      <c r="AZ82" s="81"/>
      <c r="BA82" s="81"/>
      <c r="BB82" s="677" t="s">
        <v>325</v>
      </c>
      <c r="BC82" s="351"/>
      <c r="BD82" s="681" t="s">
        <v>294</v>
      </c>
      <c r="BE82" s="350"/>
      <c r="BF82" s="351"/>
      <c r="BG82" s="678" t="s">
        <v>294</v>
      </c>
      <c r="BH82" s="350"/>
      <c r="BI82" s="350"/>
      <c r="BJ82" s="351"/>
      <c r="BK82" s="680" t="s">
        <v>498</v>
      </c>
      <c r="BL82" s="350"/>
      <c r="BM82" s="351"/>
      <c r="BN82" s="82"/>
      <c r="BO82" s="82"/>
      <c r="BP82" s="678"/>
      <c r="BQ82" s="350"/>
      <c r="BR82" s="351"/>
      <c r="BS82" s="681" t="s">
        <v>294</v>
      </c>
      <c r="BT82" s="350"/>
      <c r="BU82" s="351"/>
    </row>
    <row r="83" spans="1:73" ht="30" customHeight="1">
      <c r="A83" s="76">
        <f t="shared" si="0"/>
        <v>69</v>
      </c>
      <c r="B83" s="686" t="s">
        <v>325</v>
      </c>
      <c r="C83" s="351"/>
      <c r="D83" s="687" t="s">
        <v>294</v>
      </c>
      <c r="E83" s="350"/>
      <c r="F83" s="350"/>
      <c r="G83" s="351"/>
      <c r="H83" s="688" t="s">
        <v>294</v>
      </c>
      <c r="I83" s="350"/>
      <c r="J83" s="350"/>
      <c r="K83" s="351"/>
      <c r="L83" s="538" t="s">
        <v>294</v>
      </c>
      <c r="M83" s="350"/>
      <c r="N83" s="351"/>
      <c r="O83" s="539" t="s">
        <v>294</v>
      </c>
      <c r="P83" s="350"/>
      <c r="Q83" s="351"/>
      <c r="R83" s="574"/>
      <c r="S83" s="350"/>
      <c r="T83" s="351"/>
      <c r="U83" s="567"/>
      <c r="V83" s="350"/>
      <c r="W83" s="351"/>
      <c r="X83" s="77"/>
      <c r="Y83" s="78"/>
      <c r="Z83" s="77"/>
      <c r="AA83" s="78"/>
      <c r="AB83" s="77"/>
      <c r="AC83" s="78"/>
      <c r="AD83" s="77"/>
      <c r="AE83" s="78"/>
      <c r="AF83" s="77"/>
      <c r="AG83" s="78"/>
      <c r="AH83" s="77"/>
      <c r="AI83" s="78"/>
      <c r="AJ83" s="79"/>
      <c r="AK83" s="80"/>
      <c r="AL83" s="79"/>
      <c r="AM83" s="80"/>
      <c r="AN83" s="79"/>
      <c r="AO83" s="80"/>
      <c r="AP83" s="79"/>
      <c r="AQ83" s="80"/>
      <c r="AR83" s="79"/>
      <c r="AS83" s="679" t="s">
        <v>294</v>
      </c>
      <c r="AT83" s="350"/>
      <c r="AU83" s="350"/>
      <c r="AV83" s="350"/>
      <c r="AW83" s="350"/>
      <c r="AX83" s="350"/>
      <c r="AY83" s="351"/>
      <c r="AZ83" s="81"/>
      <c r="BA83" s="81"/>
      <c r="BB83" s="677" t="s">
        <v>325</v>
      </c>
      <c r="BC83" s="351"/>
      <c r="BD83" s="681" t="s">
        <v>294</v>
      </c>
      <c r="BE83" s="350"/>
      <c r="BF83" s="351"/>
      <c r="BG83" s="678" t="s">
        <v>294</v>
      </c>
      <c r="BH83" s="350"/>
      <c r="BI83" s="350"/>
      <c r="BJ83" s="351"/>
      <c r="BK83" s="680" t="s">
        <v>498</v>
      </c>
      <c r="BL83" s="350"/>
      <c r="BM83" s="351"/>
      <c r="BN83" s="82"/>
      <c r="BO83" s="82"/>
      <c r="BP83" s="678"/>
      <c r="BQ83" s="350"/>
      <c r="BR83" s="351"/>
      <c r="BS83" s="681" t="s">
        <v>294</v>
      </c>
      <c r="BT83" s="350"/>
      <c r="BU83" s="351"/>
    </row>
    <row r="84" spans="1:73" ht="30" customHeight="1">
      <c r="A84" s="76">
        <f t="shared" si="0"/>
        <v>70</v>
      </c>
      <c r="B84" s="686" t="s">
        <v>325</v>
      </c>
      <c r="C84" s="351"/>
      <c r="D84" s="687" t="s">
        <v>294</v>
      </c>
      <c r="E84" s="350"/>
      <c r="F84" s="350"/>
      <c r="G84" s="351"/>
      <c r="H84" s="688" t="s">
        <v>294</v>
      </c>
      <c r="I84" s="350"/>
      <c r="J84" s="350"/>
      <c r="K84" s="351"/>
      <c r="L84" s="538" t="s">
        <v>294</v>
      </c>
      <c r="M84" s="350"/>
      <c r="N84" s="351"/>
      <c r="O84" s="539" t="s">
        <v>294</v>
      </c>
      <c r="P84" s="350"/>
      <c r="Q84" s="351"/>
      <c r="R84" s="574"/>
      <c r="S84" s="350"/>
      <c r="T84" s="351"/>
      <c r="U84" s="567"/>
      <c r="V84" s="350"/>
      <c r="W84" s="351"/>
      <c r="X84" s="77"/>
      <c r="Y84" s="78"/>
      <c r="Z84" s="77"/>
      <c r="AA84" s="78"/>
      <c r="AB84" s="77"/>
      <c r="AC84" s="78"/>
      <c r="AD84" s="77"/>
      <c r="AE84" s="78"/>
      <c r="AF84" s="77"/>
      <c r="AG84" s="78"/>
      <c r="AH84" s="77"/>
      <c r="AI84" s="78"/>
      <c r="AJ84" s="79"/>
      <c r="AK84" s="80"/>
      <c r="AL84" s="79"/>
      <c r="AM84" s="80"/>
      <c r="AN84" s="79"/>
      <c r="AO84" s="80"/>
      <c r="AP84" s="79"/>
      <c r="AQ84" s="80"/>
      <c r="AR84" s="79"/>
      <c r="AS84" s="679" t="s">
        <v>294</v>
      </c>
      <c r="AT84" s="350"/>
      <c r="AU84" s="350"/>
      <c r="AV84" s="350"/>
      <c r="AW84" s="350"/>
      <c r="AX84" s="350"/>
      <c r="AY84" s="351"/>
      <c r="AZ84" s="81"/>
      <c r="BA84" s="81"/>
      <c r="BB84" s="677" t="s">
        <v>325</v>
      </c>
      <c r="BC84" s="351"/>
      <c r="BD84" s="681" t="s">
        <v>294</v>
      </c>
      <c r="BE84" s="350"/>
      <c r="BF84" s="351"/>
      <c r="BG84" s="678" t="s">
        <v>294</v>
      </c>
      <c r="BH84" s="350"/>
      <c r="BI84" s="350"/>
      <c r="BJ84" s="351"/>
      <c r="BK84" s="680" t="s">
        <v>498</v>
      </c>
      <c r="BL84" s="350"/>
      <c r="BM84" s="351"/>
      <c r="BN84" s="82"/>
      <c r="BO84" s="82"/>
      <c r="BP84" s="678"/>
      <c r="BQ84" s="350"/>
      <c r="BR84" s="351"/>
      <c r="BS84" s="681" t="s">
        <v>294</v>
      </c>
      <c r="BT84" s="350"/>
      <c r="BU84" s="351"/>
    </row>
    <row r="85" spans="1:73" ht="30" customHeight="1">
      <c r="A85" s="76">
        <f t="shared" si="0"/>
        <v>71</v>
      </c>
      <c r="B85" s="686" t="s">
        <v>325</v>
      </c>
      <c r="C85" s="351"/>
      <c r="D85" s="687" t="s">
        <v>294</v>
      </c>
      <c r="E85" s="350"/>
      <c r="F85" s="350"/>
      <c r="G85" s="351"/>
      <c r="H85" s="688" t="s">
        <v>294</v>
      </c>
      <c r="I85" s="350"/>
      <c r="J85" s="350"/>
      <c r="K85" s="351"/>
      <c r="L85" s="538" t="s">
        <v>294</v>
      </c>
      <c r="M85" s="350"/>
      <c r="N85" s="351"/>
      <c r="O85" s="539" t="s">
        <v>294</v>
      </c>
      <c r="P85" s="350"/>
      <c r="Q85" s="351"/>
      <c r="R85" s="574"/>
      <c r="S85" s="350"/>
      <c r="T85" s="351"/>
      <c r="U85" s="567"/>
      <c r="V85" s="350"/>
      <c r="W85" s="351"/>
      <c r="X85" s="77"/>
      <c r="Y85" s="78"/>
      <c r="Z85" s="77"/>
      <c r="AA85" s="78"/>
      <c r="AB85" s="77"/>
      <c r="AC85" s="78"/>
      <c r="AD85" s="77"/>
      <c r="AE85" s="78"/>
      <c r="AF85" s="77"/>
      <c r="AG85" s="78"/>
      <c r="AH85" s="77"/>
      <c r="AI85" s="78"/>
      <c r="AJ85" s="79"/>
      <c r="AK85" s="80"/>
      <c r="AL85" s="79"/>
      <c r="AM85" s="80"/>
      <c r="AN85" s="79"/>
      <c r="AO85" s="80"/>
      <c r="AP85" s="79"/>
      <c r="AQ85" s="80"/>
      <c r="AR85" s="79"/>
      <c r="AS85" s="679" t="s">
        <v>294</v>
      </c>
      <c r="AT85" s="350"/>
      <c r="AU85" s="350"/>
      <c r="AV85" s="350"/>
      <c r="AW85" s="350"/>
      <c r="AX85" s="350"/>
      <c r="AY85" s="351"/>
      <c r="AZ85" s="81"/>
      <c r="BA85" s="81"/>
      <c r="BB85" s="685" t="s">
        <v>325</v>
      </c>
      <c r="BC85" s="351"/>
      <c r="BD85" s="681" t="s">
        <v>294</v>
      </c>
      <c r="BE85" s="350"/>
      <c r="BF85" s="351"/>
      <c r="BG85" s="678" t="s">
        <v>294</v>
      </c>
      <c r="BH85" s="350"/>
      <c r="BI85" s="350"/>
      <c r="BJ85" s="351"/>
      <c r="BK85" s="680" t="s">
        <v>498</v>
      </c>
      <c r="BL85" s="350"/>
      <c r="BM85" s="351"/>
      <c r="BN85" s="82"/>
      <c r="BO85" s="82"/>
      <c r="BP85" s="678"/>
      <c r="BQ85" s="350"/>
      <c r="BR85" s="351"/>
      <c r="BS85" s="681" t="s">
        <v>294</v>
      </c>
      <c r="BT85" s="350"/>
      <c r="BU85" s="351"/>
    </row>
    <row r="86" spans="1:73" ht="30" customHeight="1">
      <c r="A86" s="76">
        <f t="shared" si="0"/>
        <v>72</v>
      </c>
      <c r="B86" s="686" t="s">
        <v>325</v>
      </c>
      <c r="C86" s="351"/>
      <c r="D86" s="687" t="s">
        <v>294</v>
      </c>
      <c r="E86" s="350"/>
      <c r="F86" s="350"/>
      <c r="G86" s="351"/>
      <c r="H86" s="688" t="s">
        <v>294</v>
      </c>
      <c r="I86" s="350"/>
      <c r="J86" s="350"/>
      <c r="K86" s="351"/>
      <c r="L86" s="538" t="s">
        <v>294</v>
      </c>
      <c r="M86" s="350"/>
      <c r="N86" s="351"/>
      <c r="O86" s="539" t="s">
        <v>294</v>
      </c>
      <c r="P86" s="350"/>
      <c r="Q86" s="351"/>
      <c r="R86" s="574"/>
      <c r="S86" s="350"/>
      <c r="T86" s="351"/>
      <c r="U86" s="567"/>
      <c r="V86" s="350"/>
      <c r="W86" s="351"/>
      <c r="X86" s="77"/>
      <c r="Y86" s="78"/>
      <c r="Z86" s="77"/>
      <c r="AA86" s="78"/>
      <c r="AB86" s="77"/>
      <c r="AC86" s="78"/>
      <c r="AD86" s="77"/>
      <c r="AE86" s="78"/>
      <c r="AF86" s="77"/>
      <c r="AG86" s="78"/>
      <c r="AH86" s="77"/>
      <c r="AI86" s="78"/>
      <c r="AJ86" s="79"/>
      <c r="AK86" s="80"/>
      <c r="AL86" s="79"/>
      <c r="AM86" s="80"/>
      <c r="AN86" s="79"/>
      <c r="AO86" s="80"/>
      <c r="AP86" s="79"/>
      <c r="AQ86" s="80"/>
      <c r="AR86" s="79"/>
      <c r="AS86" s="679" t="s">
        <v>294</v>
      </c>
      <c r="AT86" s="350"/>
      <c r="AU86" s="350"/>
      <c r="AV86" s="350"/>
      <c r="AW86" s="350"/>
      <c r="AX86" s="350"/>
      <c r="AY86" s="351"/>
      <c r="AZ86" s="81"/>
      <c r="BA86" s="81"/>
      <c r="BB86" s="677" t="s">
        <v>325</v>
      </c>
      <c r="BC86" s="351"/>
      <c r="BD86" s="681" t="s">
        <v>294</v>
      </c>
      <c r="BE86" s="350"/>
      <c r="BF86" s="351"/>
      <c r="BG86" s="678" t="s">
        <v>294</v>
      </c>
      <c r="BH86" s="350"/>
      <c r="BI86" s="350"/>
      <c r="BJ86" s="351"/>
      <c r="BK86" s="680" t="s">
        <v>498</v>
      </c>
      <c r="BL86" s="350"/>
      <c r="BM86" s="351"/>
      <c r="BN86" s="82"/>
      <c r="BO86" s="82"/>
      <c r="BP86" s="678"/>
      <c r="BQ86" s="350"/>
      <c r="BR86" s="351"/>
      <c r="BS86" s="681" t="s">
        <v>294</v>
      </c>
      <c r="BT86" s="350"/>
      <c r="BU86" s="351"/>
    </row>
    <row r="87" spans="1:73" ht="30" customHeight="1">
      <c r="A87" s="76">
        <f t="shared" si="0"/>
        <v>73</v>
      </c>
      <c r="B87" s="686" t="s">
        <v>325</v>
      </c>
      <c r="C87" s="351"/>
      <c r="D87" s="687" t="s">
        <v>294</v>
      </c>
      <c r="E87" s="350"/>
      <c r="F87" s="350"/>
      <c r="G87" s="351"/>
      <c r="H87" s="688" t="s">
        <v>294</v>
      </c>
      <c r="I87" s="350"/>
      <c r="J87" s="350"/>
      <c r="K87" s="351"/>
      <c r="L87" s="538" t="s">
        <v>294</v>
      </c>
      <c r="M87" s="350"/>
      <c r="N87" s="351"/>
      <c r="O87" s="539" t="s">
        <v>294</v>
      </c>
      <c r="P87" s="350"/>
      <c r="Q87" s="351"/>
      <c r="R87" s="574"/>
      <c r="S87" s="350"/>
      <c r="T87" s="351"/>
      <c r="U87" s="567"/>
      <c r="V87" s="350"/>
      <c r="W87" s="351"/>
      <c r="X87" s="77"/>
      <c r="Y87" s="78"/>
      <c r="Z87" s="77"/>
      <c r="AA87" s="78"/>
      <c r="AB87" s="77"/>
      <c r="AC87" s="78"/>
      <c r="AD87" s="77"/>
      <c r="AE87" s="78"/>
      <c r="AF87" s="77"/>
      <c r="AG87" s="78"/>
      <c r="AH87" s="77"/>
      <c r="AI87" s="78"/>
      <c r="AJ87" s="79"/>
      <c r="AK87" s="80"/>
      <c r="AL87" s="79"/>
      <c r="AM87" s="80"/>
      <c r="AN87" s="79"/>
      <c r="AO87" s="80"/>
      <c r="AP87" s="79"/>
      <c r="AQ87" s="80"/>
      <c r="AR87" s="79"/>
      <c r="AS87" s="679" t="s">
        <v>294</v>
      </c>
      <c r="AT87" s="350"/>
      <c r="AU87" s="350"/>
      <c r="AV87" s="350"/>
      <c r="AW87" s="350"/>
      <c r="AX87" s="350"/>
      <c r="AY87" s="351"/>
      <c r="AZ87" s="81"/>
      <c r="BA87" s="81"/>
      <c r="BB87" s="677" t="s">
        <v>325</v>
      </c>
      <c r="BC87" s="351"/>
      <c r="BD87" s="681" t="s">
        <v>294</v>
      </c>
      <c r="BE87" s="350"/>
      <c r="BF87" s="351"/>
      <c r="BG87" s="678" t="s">
        <v>294</v>
      </c>
      <c r="BH87" s="350"/>
      <c r="BI87" s="350"/>
      <c r="BJ87" s="351"/>
      <c r="BK87" s="680" t="s">
        <v>498</v>
      </c>
      <c r="BL87" s="350"/>
      <c r="BM87" s="351"/>
      <c r="BN87" s="82"/>
      <c r="BO87" s="82"/>
      <c r="BP87" s="678"/>
      <c r="BQ87" s="350"/>
      <c r="BR87" s="351"/>
      <c r="BS87" s="681" t="s">
        <v>294</v>
      </c>
      <c r="BT87" s="350"/>
      <c r="BU87" s="351"/>
    </row>
    <row r="88" spans="1:73" ht="30" customHeight="1">
      <c r="A88" s="76">
        <f t="shared" si="0"/>
        <v>74</v>
      </c>
      <c r="B88" s="686" t="s">
        <v>325</v>
      </c>
      <c r="C88" s="351"/>
      <c r="D88" s="687" t="s">
        <v>294</v>
      </c>
      <c r="E88" s="350"/>
      <c r="F88" s="350"/>
      <c r="G88" s="351"/>
      <c r="H88" s="688" t="s">
        <v>294</v>
      </c>
      <c r="I88" s="350"/>
      <c r="J88" s="350"/>
      <c r="K88" s="351"/>
      <c r="L88" s="538" t="s">
        <v>294</v>
      </c>
      <c r="M88" s="350"/>
      <c r="N88" s="351"/>
      <c r="O88" s="539" t="s">
        <v>294</v>
      </c>
      <c r="P88" s="350"/>
      <c r="Q88" s="351"/>
      <c r="R88" s="574"/>
      <c r="S88" s="350"/>
      <c r="T88" s="351"/>
      <c r="U88" s="567"/>
      <c r="V88" s="350"/>
      <c r="W88" s="351"/>
      <c r="X88" s="77"/>
      <c r="Y88" s="78"/>
      <c r="Z88" s="77"/>
      <c r="AA88" s="78"/>
      <c r="AB88" s="77"/>
      <c r="AC88" s="78"/>
      <c r="AD88" s="77"/>
      <c r="AE88" s="78"/>
      <c r="AF88" s="77"/>
      <c r="AG88" s="78"/>
      <c r="AH88" s="77"/>
      <c r="AI88" s="78"/>
      <c r="AJ88" s="79"/>
      <c r="AK88" s="80"/>
      <c r="AL88" s="79"/>
      <c r="AM88" s="80"/>
      <c r="AN88" s="79"/>
      <c r="AO88" s="80"/>
      <c r="AP88" s="79"/>
      <c r="AQ88" s="80"/>
      <c r="AR88" s="79"/>
      <c r="AS88" s="679" t="s">
        <v>294</v>
      </c>
      <c r="AT88" s="350"/>
      <c r="AU88" s="350"/>
      <c r="AV88" s="350"/>
      <c r="AW88" s="350"/>
      <c r="AX88" s="350"/>
      <c r="AY88" s="351"/>
      <c r="AZ88" s="81"/>
      <c r="BA88" s="81"/>
      <c r="BB88" s="677" t="s">
        <v>325</v>
      </c>
      <c r="BC88" s="351"/>
      <c r="BD88" s="681" t="s">
        <v>294</v>
      </c>
      <c r="BE88" s="350"/>
      <c r="BF88" s="351"/>
      <c r="BG88" s="678" t="s">
        <v>294</v>
      </c>
      <c r="BH88" s="350"/>
      <c r="BI88" s="350"/>
      <c r="BJ88" s="351"/>
      <c r="BK88" s="680" t="s">
        <v>498</v>
      </c>
      <c r="BL88" s="350"/>
      <c r="BM88" s="351"/>
      <c r="BN88" s="82"/>
      <c r="BO88" s="82"/>
      <c r="BP88" s="678"/>
      <c r="BQ88" s="350"/>
      <c r="BR88" s="351"/>
      <c r="BS88" s="681" t="s">
        <v>294</v>
      </c>
      <c r="BT88" s="350"/>
      <c r="BU88" s="351"/>
    </row>
    <row r="89" spans="1:73" ht="30" customHeight="1">
      <c r="A89" s="76">
        <f t="shared" si="0"/>
        <v>75</v>
      </c>
      <c r="B89" s="686" t="s">
        <v>325</v>
      </c>
      <c r="C89" s="351"/>
      <c r="D89" s="687" t="s">
        <v>294</v>
      </c>
      <c r="E89" s="350"/>
      <c r="F89" s="350"/>
      <c r="G89" s="351"/>
      <c r="H89" s="688" t="s">
        <v>294</v>
      </c>
      <c r="I89" s="350"/>
      <c r="J89" s="350"/>
      <c r="K89" s="351"/>
      <c r="L89" s="538" t="s">
        <v>294</v>
      </c>
      <c r="M89" s="350"/>
      <c r="N89" s="351"/>
      <c r="O89" s="539" t="s">
        <v>294</v>
      </c>
      <c r="P89" s="350"/>
      <c r="Q89" s="351"/>
      <c r="R89" s="574"/>
      <c r="S89" s="350"/>
      <c r="T89" s="351"/>
      <c r="U89" s="567"/>
      <c r="V89" s="350"/>
      <c r="W89" s="351"/>
      <c r="X89" s="77"/>
      <c r="Y89" s="78"/>
      <c r="Z89" s="77"/>
      <c r="AA89" s="78"/>
      <c r="AB89" s="77"/>
      <c r="AC89" s="78"/>
      <c r="AD89" s="77"/>
      <c r="AE89" s="78"/>
      <c r="AF89" s="77"/>
      <c r="AG89" s="78"/>
      <c r="AH89" s="77"/>
      <c r="AI89" s="78"/>
      <c r="AJ89" s="79"/>
      <c r="AK89" s="80"/>
      <c r="AL89" s="79"/>
      <c r="AM89" s="80"/>
      <c r="AN89" s="79"/>
      <c r="AO89" s="80"/>
      <c r="AP89" s="79"/>
      <c r="AQ89" s="80"/>
      <c r="AR89" s="79"/>
      <c r="AS89" s="679" t="s">
        <v>294</v>
      </c>
      <c r="AT89" s="350"/>
      <c r="AU89" s="350"/>
      <c r="AV89" s="350"/>
      <c r="AW89" s="350"/>
      <c r="AX89" s="350"/>
      <c r="AY89" s="351"/>
      <c r="AZ89" s="81"/>
      <c r="BA89" s="81"/>
      <c r="BB89" s="677" t="s">
        <v>325</v>
      </c>
      <c r="BC89" s="351"/>
      <c r="BD89" s="681" t="s">
        <v>294</v>
      </c>
      <c r="BE89" s="350"/>
      <c r="BF89" s="351"/>
      <c r="BG89" s="678" t="s">
        <v>294</v>
      </c>
      <c r="BH89" s="350"/>
      <c r="BI89" s="350"/>
      <c r="BJ89" s="351"/>
      <c r="BK89" s="680" t="s">
        <v>498</v>
      </c>
      <c r="BL89" s="350"/>
      <c r="BM89" s="351"/>
      <c r="BN89" s="82"/>
      <c r="BO89" s="82"/>
      <c r="BP89" s="678"/>
      <c r="BQ89" s="350"/>
      <c r="BR89" s="351"/>
      <c r="BS89" s="681" t="s">
        <v>294</v>
      </c>
      <c r="BT89" s="350"/>
      <c r="BU89" s="351"/>
    </row>
    <row r="90" spans="1:73" ht="30" customHeight="1">
      <c r="A90" s="76">
        <f t="shared" si="0"/>
        <v>76</v>
      </c>
      <c r="B90" s="686" t="s">
        <v>325</v>
      </c>
      <c r="C90" s="351"/>
      <c r="D90" s="687" t="s">
        <v>294</v>
      </c>
      <c r="E90" s="350"/>
      <c r="F90" s="350"/>
      <c r="G90" s="351"/>
      <c r="H90" s="688" t="s">
        <v>294</v>
      </c>
      <c r="I90" s="350"/>
      <c r="J90" s="350"/>
      <c r="K90" s="351"/>
      <c r="L90" s="538" t="s">
        <v>294</v>
      </c>
      <c r="M90" s="350"/>
      <c r="N90" s="351"/>
      <c r="O90" s="539" t="s">
        <v>294</v>
      </c>
      <c r="P90" s="350"/>
      <c r="Q90" s="351"/>
      <c r="R90" s="574"/>
      <c r="S90" s="350"/>
      <c r="T90" s="351"/>
      <c r="U90" s="567"/>
      <c r="V90" s="350"/>
      <c r="W90" s="351"/>
      <c r="X90" s="77"/>
      <c r="Y90" s="78"/>
      <c r="Z90" s="77"/>
      <c r="AA90" s="78"/>
      <c r="AB90" s="77"/>
      <c r="AC90" s="78"/>
      <c r="AD90" s="77"/>
      <c r="AE90" s="78"/>
      <c r="AF90" s="77"/>
      <c r="AG90" s="78"/>
      <c r="AH90" s="77"/>
      <c r="AI90" s="78"/>
      <c r="AJ90" s="79"/>
      <c r="AK90" s="80"/>
      <c r="AL90" s="79"/>
      <c r="AM90" s="80"/>
      <c r="AN90" s="79"/>
      <c r="AO90" s="80"/>
      <c r="AP90" s="79"/>
      <c r="AQ90" s="80"/>
      <c r="AR90" s="79"/>
      <c r="AS90" s="679" t="s">
        <v>294</v>
      </c>
      <c r="AT90" s="350"/>
      <c r="AU90" s="350"/>
      <c r="AV90" s="350"/>
      <c r="AW90" s="350"/>
      <c r="AX90" s="350"/>
      <c r="AY90" s="351"/>
      <c r="AZ90" s="81"/>
      <c r="BA90" s="81"/>
      <c r="BB90" s="677" t="s">
        <v>325</v>
      </c>
      <c r="BC90" s="351"/>
      <c r="BD90" s="681" t="s">
        <v>294</v>
      </c>
      <c r="BE90" s="350"/>
      <c r="BF90" s="351"/>
      <c r="BG90" s="678" t="s">
        <v>294</v>
      </c>
      <c r="BH90" s="350"/>
      <c r="BI90" s="350"/>
      <c r="BJ90" s="351"/>
      <c r="BK90" s="680" t="s">
        <v>498</v>
      </c>
      <c r="BL90" s="350"/>
      <c r="BM90" s="351"/>
      <c r="BN90" s="82"/>
      <c r="BO90" s="82"/>
      <c r="BP90" s="678"/>
      <c r="BQ90" s="350"/>
      <c r="BR90" s="351"/>
      <c r="BS90" s="681" t="s">
        <v>294</v>
      </c>
      <c r="BT90" s="350"/>
      <c r="BU90" s="351"/>
    </row>
    <row r="91" spans="1:73" ht="30" customHeight="1">
      <c r="A91" s="76">
        <f t="shared" si="0"/>
        <v>77</v>
      </c>
      <c r="B91" s="686" t="s">
        <v>325</v>
      </c>
      <c r="C91" s="351"/>
      <c r="D91" s="687" t="s">
        <v>294</v>
      </c>
      <c r="E91" s="350"/>
      <c r="F91" s="350"/>
      <c r="G91" s="351"/>
      <c r="H91" s="688" t="s">
        <v>294</v>
      </c>
      <c r="I91" s="350"/>
      <c r="J91" s="350"/>
      <c r="K91" s="351"/>
      <c r="L91" s="538" t="s">
        <v>294</v>
      </c>
      <c r="M91" s="350"/>
      <c r="N91" s="351"/>
      <c r="O91" s="539" t="s">
        <v>294</v>
      </c>
      <c r="P91" s="350"/>
      <c r="Q91" s="351"/>
      <c r="R91" s="574"/>
      <c r="S91" s="350"/>
      <c r="T91" s="351"/>
      <c r="U91" s="567"/>
      <c r="V91" s="350"/>
      <c r="W91" s="351"/>
      <c r="X91" s="77"/>
      <c r="Y91" s="78"/>
      <c r="Z91" s="77"/>
      <c r="AA91" s="78"/>
      <c r="AB91" s="77"/>
      <c r="AC91" s="78"/>
      <c r="AD91" s="77"/>
      <c r="AE91" s="78"/>
      <c r="AF91" s="77"/>
      <c r="AG91" s="78"/>
      <c r="AH91" s="77"/>
      <c r="AI91" s="78"/>
      <c r="AJ91" s="79"/>
      <c r="AK91" s="80"/>
      <c r="AL91" s="79"/>
      <c r="AM91" s="80"/>
      <c r="AN91" s="79"/>
      <c r="AO91" s="80"/>
      <c r="AP91" s="79"/>
      <c r="AQ91" s="80"/>
      <c r="AR91" s="79"/>
      <c r="AS91" s="679" t="s">
        <v>294</v>
      </c>
      <c r="AT91" s="350"/>
      <c r="AU91" s="350"/>
      <c r="AV91" s="350"/>
      <c r="AW91" s="350"/>
      <c r="AX91" s="350"/>
      <c r="AY91" s="351"/>
      <c r="AZ91" s="81"/>
      <c r="BA91" s="81"/>
      <c r="BB91" s="677" t="s">
        <v>325</v>
      </c>
      <c r="BC91" s="351"/>
      <c r="BD91" s="681" t="s">
        <v>294</v>
      </c>
      <c r="BE91" s="350"/>
      <c r="BF91" s="351"/>
      <c r="BG91" s="678" t="s">
        <v>294</v>
      </c>
      <c r="BH91" s="350"/>
      <c r="BI91" s="350"/>
      <c r="BJ91" s="351"/>
      <c r="BK91" s="680" t="s">
        <v>498</v>
      </c>
      <c r="BL91" s="350"/>
      <c r="BM91" s="351"/>
      <c r="BN91" s="82"/>
      <c r="BO91" s="82"/>
      <c r="BP91" s="678"/>
      <c r="BQ91" s="350"/>
      <c r="BR91" s="351"/>
      <c r="BS91" s="681" t="s">
        <v>294</v>
      </c>
      <c r="BT91" s="350"/>
      <c r="BU91" s="351"/>
    </row>
    <row r="92" spans="1:73" ht="30" customHeight="1">
      <c r="A92" s="76">
        <f t="shared" si="0"/>
        <v>78</v>
      </c>
      <c r="B92" s="686" t="s">
        <v>325</v>
      </c>
      <c r="C92" s="351"/>
      <c r="D92" s="687" t="s">
        <v>294</v>
      </c>
      <c r="E92" s="350"/>
      <c r="F92" s="350"/>
      <c r="G92" s="351"/>
      <c r="H92" s="688" t="s">
        <v>294</v>
      </c>
      <c r="I92" s="350"/>
      <c r="J92" s="350"/>
      <c r="K92" s="351"/>
      <c r="L92" s="538" t="s">
        <v>294</v>
      </c>
      <c r="M92" s="350"/>
      <c r="N92" s="351"/>
      <c r="O92" s="539" t="s">
        <v>294</v>
      </c>
      <c r="P92" s="350"/>
      <c r="Q92" s="351"/>
      <c r="R92" s="574"/>
      <c r="S92" s="350"/>
      <c r="T92" s="351"/>
      <c r="U92" s="567"/>
      <c r="V92" s="350"/>
      <c r="W92" s="351"/>
      <c r="X92" s="77"/>
      <c r="Y92" s="78"/>
      <c r="Z92" s="77"/>
      <c r="AA92" s="78"/>
      <c r="AB92" s="77"/>
      <c r="AC92" s="78"/>
      <c r="AD92" s="77"/>
      <c r="AE92" s="78"/>
      <c r="AF92" s="77"/>
      <c r="AG92" s="78"/>
      <c r="AH92" s="77"/>
      <c r="AI92" s="78"/>
      <c r="AJ92" s="79"/>
      <c r="AK92" s="80"/>
      <c r="AL92" s="79"/>
      <c r="AM92" s="80"/>
      <c r="AN92" s="79"/>
      <c r="AO92" s="80"/>
      <c r="AP92" s="79"/>
      <c r="AQ92" s="80"/>
      <c r="AR92" s="79"/>
      <c r="AS92" s="679" t="s">
        <v>294</v>
      </c>
      <c r="AT92" s="350"/>
      <c r="AU92" s="350"/>
      <c r="AV92" s="350"/>
      <c r="AW92" s="350"/>
      <c r="AX92" s="350"/>
      <c r="AY92" s="351"/>
      <c r="AZ92" s="81"/>
      <c r="BA92" s="81"/>
      <c r="BB92" s="685" t="s">
        <v>325</v>
      </c>
      <c r="BC92" s="351"/>
      <c r="BD92" s="681" t="s">
        <v>294</v>
      </c>
      <c r="BE92" s="350"/>
      <c r="BF92" s="351"/>
      <c r="BG92" s="678" t="s">
        <v>294</v>
      </c>
      <c r="BH92" s="350"/>
      <c r="BI92" s="350"/>
      <c r="BJ92" s="351"/>
      <c r="BK92" s="680" t="s">
        <v>498</v>
      </c>
      <c r="BL92" s="350"/>
      <c r="BM92" s="351"/>
      <c r="BN92" s="82"/>
      <c r="BO92" s="82"/>
      <c r="BP92" s="678"/>
      <c r="BQ92" s="350"/>
      <c r="BR92" s="351"/>
      <c r="BS92" s="681" t="s">
        <v>294</v>
      </c>
      <c r="BT92" s="350"/>
      <c r="BU92" s="351"/>
    </row>
    <row r="93" spans="1:73" ht="30" customHeight="1">
      <c r="A93" s="76">
        <f t="shared" si="0"/>
        <v>79</v>
      </c>
      <c r="B93" s="686" t="s">
        <v>325</v>
      </c>
      <c r="C93" s="351"/>
      <c r="D93" s="687" t="s">
        <v>294</v>
      </c>
      <c r="E93" s="350"/>
      <c r="F93" s="350"/>
      <c r="G93" s="351"/>
      <c r="H93" s="688" t="s">
        <v>294</v>
      </c>
      <c r="I93" s="350"/>
      <c r="J93" s="350"/>
      <c r="K93" s="351"/>
      <c r="L93" s="538" t="s">
        <v>294</v>
      </c>
      <c r="M93" s="350"/>
      <c r="N93" s="351"/>
      <c r="O93" s="539" t="s">
        <v>294</v>
      </c>
      <c r="P93" s="350"/>
      <c r="Q93" s="351"/>
      <c r="R93" s="574"/>
      <c r="S93" s="350"/>
      <c r="T93" s="351"/>
      <c r="U93" s="567"/>
      <c r="V93" s="350"/>
      <c r="W93" s="351"/>
      <c r="X93" s="77"/>
      <c r="Y93" s="78"/>
      <c r="Z93" s="77"/>
      <c r="AA93" s="78"/>
      <c r="AB93" s="77"/>
      <c r="AC93" s="78"/>
      <c r="AD93" s="77"/>
      <c r="AE93" s="78"/>
      <c r="AF93" s="77"/>
      <c r="AG93" s="78"/>
      <c r="AH93" s="77"/>
      <c r="AI93" s="78"/>
      <c r="AJ93" s="79"/>
      <c r="AK93" s="80"/>
      <c r="AL93" s="79"/>
      <c r="AM93" s="80"/>
      <c r="AN93" s="79"/>
      <c r="AO93" s="80"/>
      <c r="AP93" s="79"/>
      <c r="AQ93" s="80"/>
      <c r="AR93" s="79"/>
      <c r="AS93" s="679" t="s">
        <v>294</v>
      </c>
      <c r="AT93" s="350"/>
      <c r="AU93" s="350"/>
      <c r="AV93" s="350"/>
      <c r="AW93" s="350"/>
      <c r="AX93" s="350"/>
      <c r="AY93" s="351"/>
      <c r="AZ93" s="81"/>
      <c r="BA93" s="81"/>
      <c r="BB93" s="677" t="s">
        <v>325</v>
      </c>
      <c r="BC93" s="351"/>
      <c r="BD93" s="681" t="s">
        <v>294</v>
      </c>
      <c r="BE93" s="350"/>
      <c r="BF93" s="351"/>
      <c r="BG93" s="678" t="s">
        <v>294</v>
      </c>
      <c r="BH93" s="350"/>
      <c r="BI93" s="350"/>
      <c r="BJ93" s="351"/>
      <c r="BK93" s="680" t="s">
        <v>498</v>
      </c>
      <c r="BL93" s="350"/>
      <c r="BM93" s="351"/>
      <c r="BN93" s="82"/>
      <c r="BO93" s="82"/>
      <c r="BP93" s="678"/>
      <c r="BQ93" s="350"/>
      <c r="BR93" s="351"/>
      <c r="BS93" s="681" t="s">
        <v>294</v>
      </c>
      <c r="BT93" s="350"/>
      <c r="BU93" s="351"/>
    </row>
    <row r="94" spans="1:73" ht="30" customHeight="1">
      <c r="A94" s="76">
        <f t="shared" si="0"/>
        <v>80</v>
      </c>
      <c r="B94" s="686" t="s">
        <v>325</v>
      </c>
      <c r="C94" s="351"/>
      <c r="D94" s="687" t="s">
        <v>294</v>
      </c>
      <c r="E94" s="350"/>
      <c r="F94" s="350"/>
      <c r="G94" s="351"/>
      <c r="H94" s="688" t="s">
        <v>294</v>
      </c>
      <c r="I94" s="350"/>
      <c r="J94" s="350"/>
      <c r="K94" s="351"/>
      <c r="L94" s="538" t="s">
        <v>294</v>
      </c>
      <c r="M94" s="350"/>
      <c r="N94" s="351"/>
      <c r="O94" s="539" t="s">
        <v>294</v>
      </c>
      <c r="P94" s="350"/>
      <c r="Q94" s="351"/>
      <c r="R94" s="574"/>
      <c r="S94" s="350"/>
      <c r="T94" s="351"/>
      <c r="U94" s="567"/>
      <c r="V94" s="350"/>
      <c r="W94" s="351"/>
      <c r="X94" s="77"/>
      <c r="Y94" s="78"/>
      <c r="Z94" s="77"/>
      <c r="AA94" s="78"/>
      <c r="AB94" s="77"/>
      <c r="AC94" s="78"/>
      <c r="AD94" s="77"/>
      <c r="AE94" s="78"/>
      <c r="AF94" s="77"/>
      <c r="AG94" s="78"/>
      <c r="AH94" s="77"/>
      <c r="AI94" s="78"/>
      <c r="AJ94" s="79"/>
      <c r="AK94" s="80"/>
      <c r="AL94" s="79"/>
      <c r="AM94" s="80"/>
      <c r="AN94" s="79"/>
      <c r="AO94" s="80"/>
      <c r="AP94" s="79"/>
      <c r="AQ94" s="80"/>
      <c r="AR94" s="79"/>
      <c r="AS94" s="679" t="s">
        <v>294</v>
      </c>
      <c r="AT94" s="350"/>
      <c r="AU94" s="350"/>
      <c r="AV94" s="350"/>
      <c r="AW94" s="350"/>
      <c r="AX94" s="350"/>
      <c r="AY94" s="351"/>
      <c r="AZ94" s="81"/>
      <c r="BA94" s="81"/>
      <c r="BB94" s="677" t="s">
        <v>325</v>
      </c>
      <c r="BC94" s="351"/>
      <c r="BD94" s="681" t="s">
        <v>294</v>
      </c>
      <c r="BE94" s="350"/>
      <c r="BF94" s="351"/>
      <c r="BG94" s="678" t="s">
        <v>294</v>
      </c>
      <c r="BH94" s="350"/>
      <c r="BI94" s="350"/>
      <c r="BJ94" s="351"/>
      <c r="BK94" s="680" t="s">
        <v>498</v>
      </c>
      <c r="BL94" s="350"/>
      <c r="BM94" s="351"/>
      <c r="BN94" s="82"/>
      <c r="BO94" s="82"/>
      <c r="BP94" s="678"/>
      <c r="BQ94" s="350"/>
      <c r="BR94" s="351"/>
      <c r="BS94" s="681" t="s">
        <v>294</v>
      </c>
      <c r="BT94" s="350"/>
      <c r="BU94" s="351"/>
    </row>
    <row r="95" spans="1:73" ht="30" customHeight="1">
      <c r="A95" s="76">
        <f t="shared" si="0"/>
        <v>81</v>
      </c>
      <c r="B95" s="686" t="s">
        <v>325</v>
      </c>
      <c r="C95" s="351"/>
      <c r="D95" s="687" t="s">
        <v>294</v>
      </c>
      <c r="E95" s="350"/>
      <c r="F95" s="350"/>
      <c r="G95" s="351"/>
      <c r="H95" s="688" t="s">
        <v>294</v>
      </c>
      <c r="I95" s="350"/>
      <c r="J95" s="350"/>
      <c r="K95" s="351"/>
      <c r="L95" s="538" t="s">
        <v>294</v>
      </c>
      <c r="M95" s="350"/>
      <c r="N95" s="351"/>
      <c r="O95" s="539" t="s">
        <v>294</v>
      </c>
      <c r="P95" s="350"/>
      <c r="Q95" s="351"/>
      <c r="R95" s="574"/>
      <c r="S95" s="350"/>
      <c r="T95" s="351"/>
      <c r="U95" s="567"/>
      <c r="V95" s="350"/>
      <c r="W95" s="351"/>
      <c r="X95" s="77"/>
      <c r="Y95" s="78"/>
      <c r="Z95" s="77"/>
      <c r="AA95" s="78"/>
      <c r="AB95" s="77"/>
      <c r="AC95" s="78"/>
      <c r="AD95" s="77"/>
      <c r="AE95" s="78"/>
      <c r="AF95" s="77"/>
      <c r="AG95" s="78"/>
      <c r="AH95" s="77"/>
      <c r="AI95" s="78"/>
      <c r="AJ95" s="79"/>
      <c r="AK95" s="80"/>
      <c r="AL95" s="79"/>
      <c r="AM95" s="80"/>
      <c r="AN95" s="79"/>
      <c r="AO95" s="80"/>
      <c r="AP95" s="79"/>
      <c r="AQ95" s="80"/>
      <c r="AR95" s="79"/>
      <c r="AS95" s="679" t="s">
        <v>294</v>
      </c>
      <c r="AT95" s="350"/>
      <c r="AU95" s="350"/>
      <c r="AV95" s="350"/>
      <c r="AW95" s="350"/>
      <c r="AX95" s="350"/>
      <c r="AY95" s="351"/>
      <c r="AZ95" s="81"/>
      <c r="BA95" s="81"/>
      <c r="BB95" s="677" t="s">
        <v>325</v>
      </c>
      <c r="BC95" s="351"/>
      <c r="BD95" s="681" t="s">
        <v>294</v>
      </c>
      <c r="BE95" s="350"/>
      <c r="BF95" s="351"/>
      <c r="BG95" s="678" t="s">
        <v>294</v>
      </c>
      <c r="BH95" s="350"/>
      <c r="BI95" s="350"/>
      <c r="BJ95" s="351"/>
      <c r="BK95" s="680" t="s">
        <v>498</v>
      </c>
      <c r="BL95" s="350"/>
      <c r="BM95" s="351"/>
      <c r="BN95" s="82"/>
      <c r="BO95" s="82"/>
      <c r="BP95" s="678"/>
      <c r="BQ95" s="350"/>
      <c r="BR95" s="351"/>
      <c r="BS95" s="681" t="s">
        <v>294</v>
      </c>
      <c r="BT95" s="350"/>
      <c r="BU95" s="351"/>
    </row>
    <row r="96" spans="1:73" ht="30" customHeight="1">
      <c r="A96" s="76">
        <f t="shared" si="0"/>
        <v>82</v>
      </c>
      <c r="B96" s="686" t="s">
        <v>325</v>
      </c>
      <c r="C96" s="351"/>
      <c r="D96" s="687" t="s">
        <v>294</v>
      </c>
      <c r="E96" s="350"/>
      <c r="F96" s="350"/>
      <c r="G96" s="351"/>
      <c r="H96" s="688" t="s">
        <v>294</v>
      </c>
      <c r="I96" s="350"/>
      <c r="J96" s="350"/>
      <c r="K96" s="351"/>
      <c r="L96" s="538" t="s">
        <v>294</v>
      </c>
      <c r="M96" s="350"/>
      <c r="N96" s="351"/>
      <c r="O96" s="539" t="s">
        <v>294</v>
      </c>
      <c r="P96" s="350"/>
      <c r="Q96" s="351"/>
      <c r="R96" s="574"/>
      <c r="S96" s="350"/>
      <c r="T96" s="351"/>
      <c r="U96" s="567"/>
      <c r="V96" s="350"/>
      <c r="W96" s="351"/>
      <c r="X96" s="77"/>
      <c r="Y96" s="78"/>
      <c r="Z96" s="77"/>
      <c r="AA96" s="78"/>
      <c r="AB96" s="77"/>
      <c r="AC96" s="78"/>
      <c r="AD96" s="77"/>
      <c r="AE96" s="78"/>
      <c r="AF96" s="77"/>
      <c r="AG96" s="78"/>
      <c r="AH96" s="77"/>
      <c r="AI96" s="78"/>
      <c r="AJ96" s="79"/>
      <c r="AK96" s="80"/>
      <c r="AL96" s="79"/>
      <c r="AM96" s="80"/>
      <c r="AN96" s="79"/>
      <c r="AO96" s="80"/>
      <c r="AP96" s="79"/>
      <c r="AQ96" s="80"/>
      <c r="AR96" s="79"/>
      <c r="AS96" s="679" t="s">
        <v>294</v>
      </c>
      <c r="AT96" s="350"/>
      <c r="AU96" s="350"/>
      <c r="AV96" s="350"/>
      <c r="AW96" s="350"/>
      <c r="AX96" s="350"/>
      <c r="AY96" s="351"/>
      <c r="AZ96" s="81"/>
      <c r="BA96" s="81"/>
      <c r="BB96" s="677" t="s">
        <v>325</v>
      </c>
      <c r="BC96" s="351"/>
      <c r="BD96" s="681" t="s">
        <v>294</v>
      </c>
      <c r="BE96" s="350"/>
      <c r="BF96" s="351"/>
      <c r="BG96" s="678" t="s">
        <v>294</v>
      </c>
      <c r="BH96" s="350"/>
      <c r="BI96" s="350"/>
      <c r="BJ96" s="351"/>
      <c r="BK96" s="680" t="s">
        <v>498</v>
      </c>
      <c r="BL96" s="350"/>
      <c r="BM96" s="351"/>
      <c r="BN96" s="82"/>
      <c r="BO96" s="82"/>
      <c r="BP96" s="678"/>
      <c r="BQ96" s="350"/>
      <c r="BR96" s="351"/>
      <c r="BS96" s="681" t="s">
        <v>294</v>
      </c>
      <c r="BT96" s="350"/>
      <c r="BU96" s="351"/>
    </row>
    <row r="97" spans="1:73" ht="30" customHeight="1">
      <c r="A97" s="76">
        <f t="shared" si="0"/>
        <v>83</v>
      </c>
      <c r="B97" s="686" t="s">
        <v>325</v>
      </c>
      <c r="C97" s="351"/>
      <c r="D97" s="687" t="s">
        <v>294</v>
      </c>
      <c r="E97" s="350"/>
      <c r="F97" s="350"/>
      <c r="G97" s="351"/>
      <c r="H97" s="688" t="s">
        <v>294</v>
      </c>
      <c r="I97" s="350"/>
      <c r="J97" s="350"/>
      <c r="K97" s="351"/>
      <c r="L97" s="538" t="s">
        <v>294</v>
      </c>
      <c r="M97" s="350"/>
      <c r="N97" s="351"/>
      <c r="O97" s="539" t="s">
        <v>294</v>
      </c>
      <c r="P97" s="350"/>
      <c r="Q97" s="351"/>
      <c r="R97" s="574"/>
      <c r="S97" s="350"/>
      <c r="T97" s="351"/>
      <c r="U97" s="567"/>
      <c r="V97" s="350"/>
      <c r="W97" s="351"/>
      <c r="X97" s="77"/>
      <c r="Y97" s="78"/>
      <c r="Z97" s="77"/>
      <c r="AA97" s="78"/>
      <c r="AB97" s="77"/>
      <c r="AC97" s="78"/>
      <c r="AD97" s="77"/>
      <c r="AE97" s="78"/>
      <c r="AF97" s="77"/>
      <c r="AG97" s="78"/>
      <c r="AH97" s="77"/>
      <c r="AI97" s="78"/>
      <c r="AJ97" s="79"/>
      <c r="AK97" s="80"/>
      <c r="AL97" s="79"/>
      <c r="AM97" s="80"/>
      <c r="AN97" s="79"/>
      <c r="AO97" s="80"/>
      <c r="AP97" s="79"/>
      <c r="AQ97" s="80"/>
      <c r="AR97" s="79"/>
      <c r="AS97" s="679" t="s">
        <v>294</v>
      </c>
      <c r="AT97" s="350"/>
      <c r="AU97" s="350"/>
      <c r="AV97" s="350"/>
      <c r="AW97" s="350"/>
      <c r="AX97" s="350"/>
      <c r="AY97" s="351"/>
      <c r="AZ97" s="81"/>
      <c r="BA97" s="81"/>
      <c r="BB97" s="677" t="s">
        <v>325</v>
      </c>
      <c r="BC97" s="351"/>
      <c r="BD97" s="681" t="s">
        <v>294</v>
      </c>
      <c r="BE97" s="350"/>
      <c r="BF97" s="351"/>
      <c r="BG97" s="678" t="s">
        <v>294</v>
      </c>
      <c r="BH97" s="350"/>
      <c r="BI97" s="350"/>
      <c r="BJ97" s="351"/>
      <c r="BK97" s="680" t="s">
        <v>498</v>
      </c>
      <c r="BL97" s="350"/>
      <c r="BM97" s="351"/>
      <c r="BN97" s="82"/>
      <c r="BO97" s="82"/>
      <c r="BP97" s="678"/>
      <c r="BQ97" s="350"/>
      <c r="BR97" s="351"/>
      <c r="BS97" s="681" t="s">
        <v>294</v>
      </c>
      <c r="BT97" s="350"/>
      <c r="BU97" s="351"/>
    </row>
    <row r="98" spans="1:73" ht="30" customHeight="1">
      <c r="A98" s="76">
        <f t="shared" si="0"/>
        <v>84</v>
      </c>
      <c r="B98" s="686" t="s">
        <v>325</v>
      </c>
      <c r="C98" s="351"/>
      <c r="D98" s="687" t="s">
        <v>294</v>
      </c>
      <c r="E98" s="350"/>
      <c r="F98" s="350"/>
      <c r="G98" s="351"/>
      <c r="H98" s="688" t="s">
        <v>294</v>
      </c>
      <c r="I98" s="350"/>
      <c r="J98" s="350"/>
      <c r="K98" s="351"/>
      <c r="L98" s="538" t="s">
        <v>294</v>
      </c>
      <c r="M98" s="350"/>
      <c r="N98" s="351"/>
      <c r="O98" s="539" t="s">
        <v>294</v>
      </c>
      <c r="P98" s="350"/>
      <c r="Q98" s="351"/>
      <c r="R98" s="574"/>
      <c r="S98" s="350"/>
      <c r="T98" s="351"/>
      <c r="U98" s="567"/>
      <c r="V98" s="350"/>
      <c r="W98" s="351"/>
      <c r="X98" s="77"/>
      <c r="Y98" s="78"/>
      <c r="Z98" s="77"/>
      <c r="AA98" s="78"/>
      <c r="AB98" s="77"/>
      <c r="AC98" s="78"/>
      <c r="AD98" s="77"/>
      <c r="AE98" s="78"/>
      <c r="AF98" s="77"/>
      <c r="AG98" s="78"/>
      <c r="AH98" s="77"/>
      <c r="AI98" s="78"/>
      <c r="AJ98" s="79"/>
      <c r="AK98" s="80"/>
      <c r="AL98" s="79"/>
      <c r="AM98" s="80"/>
      <c r="AN98" s="79"/>
      <c r="AO98" s="80"/>
      <c r="AP98" s="79"/>
      <c r="AQ98" s="80"/>
      <c r="AR98" s="79"/>
      <c r="AS98" s="679" t="s">
        <v>294</v>
      </c>
      <c r="AT98" s="350"/>
      <c r="AU98" s="350"/>
      <c r="AV98" s="350"/>
      <c r="AW98" s="350"/>
      <c r="AX98" s="350"/>
      <c r="AY98" s="351"/>
      <c r="AZ98" s="81"/>
      <c r="BA98" s="81"/>
      <c r="BB98" s="677" t="s">
        <v>325</v>
      </c>
      <c r="BC98" s="351"/>
      <c r="BD98" s="681" t="s">
        <v>294</v>
      </c>
      <c r="BE98" s="350"/>
      <c r="BF98" s="351"/>
      <c r="BG98" s="678" t="s">
        <v>294</v>
      </c>
      <c r="BH98" s="350"/>
      <c r="BI98" s="350"/>
      <c r="BJ98" s="351"/>
      <c r="BK98" s="680" t="s">
        <v>498</v>
      </c>
      <c r="BL98" s="350"/>
      <c r="BM98" s="351"/>
      <c r="BN98" s="82"/>
      <c r="BO98" s="82"/>
      <c r="BP98" s="678"/>
      <c r="BQ98" s="350"/>
      <c r="BR98" s="351"/>
      <c r="BS98" s="681" t="s">
        <v>294</v>
      </c>
      <c r="BT98" s="350"/>
      <c r="BU98" s="351"/>
    </row>
    <row r="99" spans="1:73" ht="30" customHeight="1">
      <c r="A99" s="76">
        <f t="shared" si="0"/>
        <v>85</v>
      </c>
      <c r="B99" s="686" t="s">
        <v>325</v>
      </c>
      <c r="C99" s="351"/>
      <c r="D99" s="687" t="s">
        <v>294</v>
      </c>
      <c r="E99" s="350"/>
      <c r="F99" s="350"/>
      <c r="G99" s="351"/>
      <c r="H99" s="688" t="s">
        <v>294</v>
      </c>
      <c r="I99" s="350"/>
      <c r="J99" s="350"/>
      <c r="K99" s="351"/>
      <c r="L99" s="538" t="s">
        <v>294</v>
      </c>
      <c r="M99" s="350"/>
      <c r="N99" s="351"/>
      <c r="O99" s="539" t="s">
        <v>294</v>
      </c>
      <c r="P99" s="350"/>
      <c r="Q99" s="351"/>
      <c r="R99" s="574"/>
      <c r="S99" s="350"/>
      <c r="T99" s="351"/>
      <c r="U99" s="567"/>
      <c r="V99" s="350"/>
      <c r="W99" s="351"/>
      <c r="X99" s="77"/>
      <c r="Y99" s="78"/>
      <c r="Z99" s="77"/>
      <c r="AA99" s="78"/>
      <c r="AB99" s="77"/>
      <c r="AC99" s="78"/>
      <c r="AD99" s="77"/>
      <c r="AE99" s="78"/>
      <c r="AF99" s="77"/>
      <c r="AG99" s="78"/>
      <c r="AH99" s="77"/>
      <c r="AI99" s="78"/>
      <c r="AJ99" s="79"/>
      <c r="AK99" s="80"/>
      <c r="AL99" s="79"/>
      <c r="AM99" s="80"/>
      <c r="AN99" s="79"/>
      <c r="AO99" s="80"/>
      <c r="AP99" s="79"/>
      <c r="AQ99" s="80"/>
      <c r="AR99" s="79"/>
      <c r="AS99" s="679" t="s">
        <v>294</v>
      </c>
      <c r="AT99" s="350"/>
      <c r="AU99" s="350"/>
      <c r="AV99" s="350"/>
      <c r="AW99" s="350"/>
      <c r="AX99" s="350"/>
      <c r="AY99" s="351"/>
      <c r="AZ99" s="81"/>
      <c r="BA99" s="81"/>
      <c r="BB99" s="685" t="s">
        <v>325</v>
      </c>
      <c r="BC99" s="351"/>
      <c r="BD99" s="681" t="s">
        <v>294</v>
      </c>
      <c r="BE99" s="350"/>
      <c r="BF99" s="351"/>
      <c r="BG99" s="678" t="s">
        <v>294</v>
      </c>
      <c r="BH99" s="350"/>
      <c r="BI99" s="350"/>
      <c r="BJ99" s="351"/>
      <c r="BK99" s="680" t="s">
        <v>498</v>
      </c>
      <c r="BL99" s="350"/>
      <c r="BM99" s="351"/>
      <c r="BN99" s="82"/>
      <c r="BO99" s="82"/>
      <c r="BP99" s="678"/>
      <c r="BQ99" s="350"/>
      <c r="BR99" s="351"/>
      <c r="BS99" s="681" t="s">
        <v>294</v>
      </c>
      <c r="BT99" s="350"/>
      <c r="BU99" s="351"/>
    </row>
    <row r="100" spans="1:73" ht="30" customHeight="1">
      <c r="A100" s="76">
        <f t="shared" si="0"/>
        <v>86</v>
      </c>
      <c r="B100" s="686" t="s">
        <v>325</v>
      </c>
      <c r="C100" s="351"/>
      <c r="D100" s="687" t="s">
        <v>294</v>
      </c>
      <c r="E100" s="350"/>
      <c r="F100" s="350"/>
      <c r="G100" s="351"/>
      <c r="H100" s="688" t="s">
        <v>294</v>
      </c>
      <c r="I100" s="350"/>
      <c r="J100" s="350"/>
      <c r="K100" s="351"/>
      <c r="L100" s="538" t="s">
        <v>294</v>
      </c>
      <c r="M100" s="350"/>
      <c r="N100" s="351"/>
      <c r="O100" s="539" t="s">
        <v>294</v>
      </c>
      <c r="P100" s="350"/>
      <c r="Q100" s="351"/>
      <c r="R100" s="574"/>
      <c r="S100" s="350"/>
      <c r="T100" s="351"/>
      <c r="U100" s="567"/>
      <c r="V100" s="350"/>
      <c r="W100" s="351"/>
      <c r="X100" s="77"/>
      <c r="Y100" s="78"/>
      <c r="Z100" s="77"/>
      <c r="AA100" s="78"/>
      <c r="AB100" s="77"/>
      <c r="AC100" s="78"/>
      <c r="AD100" s="77"/>
      <c r="AE100" s="78"/>
      <c r="AF100" s="77"/>
      <c r="AG100" s="78"/>
      <c r="AH100" s="77"/>
      <c r="AI100" s="78"/>
      <c r="AJ100" s="79"/>
      <c r="AK100" s="80"/>
      <c r="AL100" s="79"/>
      <c r="AM100" s="80"/>
      <c r="AN100" s="79"/>
      <c r="AO100" s="80"/>
      <c r="AP100" s="79"/>
      <c r="AQ100" s="80"/>
      <c r="AR100" s="79"/>
      <c r="AS100" s="679" t="s">
        <v>294</v>
      </c>
      <c r="AT100" s="350"/>
      <c r="AU100" s="350"/>
      <c r="AV100" s="350"/>
      <c r="AW100" s="350"/>
      <c r="AX100" s="350"/>
      <c r="AY100" s="351"/>
      <c r="AZ100" s="81"/>
      <c r="BA100" s="81"/>
      <c r="BB100" s="677" t="s">
        <v>325</v>
      </c>
      <c r="BC100" s="351"/>
      <c r="BD100" s="681" t="s">
        <v>294</v>
      </c>
      <c r="BE100" s="350"/>
      <c r="BF100" s="351"/>
      <c r="BG100" s="678" t="s">
        <v>294</v>
      </c>
      <c r="BH100" s="350"/>
      <c r="BI100" s="350"/>
      <c r="BJ100" s="351"/>
      <c r="BK100" s="680" t="s">
        <v>498</v>
      </c>
      <c r="BL100" s="350"/>
      <c r="BM100" s="351"/>
      <c r="BN100" s="82"/>
      <c r="BO100" s="82"/>
      <c r="BP100" s="678"/>
      <c r="BQ100" s="350"/>
      <c r="BR100" s="351"/>
      <c r="BS100" s="681" t="s">
        <v>294</v>
      </c>
      <c r="BT100" s="350"/>
      <c r="BU100" s="351"/>
    </row>
    <row r="101" spans="1:73" ht="30" customHeight="1">
      <c r="A101" s="76">
        <f t="shared" si="0"/>
        <v>87</v>
      </c>
      <c r="B101" s="686" t="s">
        <v>325</v>
      </c>
      <c r="C101" s="351"/>
      <c r="D101" s="687" t="s">
        <v>294</v>
      </c>
      <c r="E101" s="350"/>
      <c r="F101" s="350"/>
      <c r="G101" s="351"/>
      <c r="H101" s="688" t="s">
        <v>294</v>
      </c>
      <c r="I101" s="350"/>
      <c r="J101" s="350"/>
      <c r="K101" s="351"/>
      <c r="L101" s="538" t="s">
        <v>294</v>
      </c>
      <c r="M101" s="350"/>
      <c r="N101" s="351"/>
      <c r="O101" s="539" t="s">
        <v>294</v>
      </c>
      <c r="P101" s="350"/>
      <c r="Q101" s="351"/>
      <c r="R101" s="574"/>
      <c r="S101" s="350"/>
      <c r="T101" s="351"/>
      <c r="U101" s="567"/>
      <c r="V101" s="350"/>
      <c r="W101" s="351"/>
      <c r="X101" s="77"/>
      <c r="Y101" s="78"/>
      <c r="Z101" s="77"/>
      <c r="AA101" s="78"/>
      <c r="AB101" s="77"/>
      <c r="AC101" s="78"/>
      <c r="AD101" s="77"/>
      <c r="AE101" s="78"/>
      <c r="AF101" s="77"/>
      <c r="AG101" s="78"/>
      <c r="AH101" s="77"/>
      <c r="AI101" s="78"/>
      <c r="AJ101" s="79"/>
      <c r="AK101" s="80"/>
      <c r="AL101" s="79"/>
      <c r="AM101" s="80"/>
      <c r="AN101" s="79"/>
      <c r="AO101" s="80"/>
      <c r="AP101" s="79"/>
      <c r="AQ101" s="80"/>
      <c r="AR101" s="79"/>
      <c r="AS101" s="679" t="s">
        <v>294</v>
      </c>
      <c r="AT101" s="350"/>
      <c r="AU101" s="350"/>
      <c r="AV101" s="350"/>
      <c r="AW101" s="350"/>
      <c r="AX101" s="350"/>
      <c r="AY101" s="351"/>
      <c r="AZ101" s="81"/>
      <c r="BA101" s="81"/>
      <c r="BB101" s="677" t="s">
        <v>325</v>
      </c>
      <c r="BC101" s="351"/>
      <c r="BD101" s="681" t="s">
        <v>294</v>
      </c>
      <c r="BE101" s="350"/>
      <c r="BF101" s="351"/>
      <c r="BG101" s="678" t="s">
        <v>294</v>
      </c>
      <c r="BH101" s="350"/>
      <c r="BI101" s="350"/>
      <c r="BJ101" s="351"/>
      <c r="BK101" s="680" t="s">
        <v>498</v>
      </c>
      <c r="BL101" s="350"/>
      <c r="BM101" s="351"/>
      <c r="BN101" s="82"/>
      <c r="BO101" s="82"/>
      <c r="BP101" s="678"/>
      <c r="BQ101" s="350"/>
      <c r="BR101" s="351"/>
      <c r="BS101" s="681" t="s">
        <v>294</v>
      </c>
      <c r="BT101" s="350"/>
      <c r="BU101" s="351"/>
    </row>
    <row r="102" spans="1:73" ht="30" customHeight="1">
      <c r="A102" s="76">
        <f t="shared" si="0"/>
        <v>88</v>
      </c>
      <c r="B102" s="686" t="s">
        <v>325</v>
      </c>
      <c r="C102" s="351"/>
      <c r="D102" s="687" t="s">
        <v>294</v>
      </c>
      <c r="E102" s="350"/>
      <c r="F102" s="350"/>
      <c r="G102" s="351"/>
      <c r="H102" s="688" t="s">
        <v>294</v>
      </c>
      <c r="I102" s="350"/>
      <c r="J102" s="350"/>
      <c r="K102" s="351"/>
      <c r="L102" s="538" t="s">
        <v>294</v>
      </c>
      <c r="M102" s="350"/>
      <c r="N102" s="351"/>
      <c r="O102" s="539" t="s">
        <v>294</v>
      </c>
      <c r="P102" s="350"/>
      <c r="Q102" s="351"/>
      <c r="R102" s="574"/>
      <c r="S102" s="350"/>
      <c r="T102" s="351"/>
      <c r="U102" s="567"/>
      <c r="V102" s="350"/>
      <c r="W102" s="351"/>
      <c r="X102" s="77"/>
      <c r="Y102" s="78"/>
      <c r="Z102" s="77"/>
      <c r="AA102" s="78"/>
      <c r="AB102" s="77"/>
      <c r="AC102" s="78"/>
      <c r="AD102" s="77"/>
      <c r="AE102" s="78"/>
      <c r="AF102" s="77"/>
      <c r="AG102" s="78"/>
      <c r="AH102" s="77"/>
      <c r="AI102" s="78"/>
      <c r="AJ102" s="79"/>
      <c r="AK102" s="80"/>
      <c r="AL102" s="79"/>
      <c r="AM102" s="80"/>
      <c r="AN102" s="79"/>
      <c r="AO102" s="80"/>
      <c r="AP102" s="79"/>
      <c r="AQ102" s="80"/>
      <c r="AR102" s="79"/>
      <c r="AS102" s="679" t="s">
        <v>294</v>
      </c>
      <c r="AT102" s="350"/>
      <c r="AU102" s="350"/>
      <c r="AV102" s="350"/>
      <c r="AW102" s="350"/>
      <c r="AX102" s="350"/>
      <c r="AY102" s="351"/>
      <c r="AZ102" s="81"/>
      <c r="BA102" s="81"/>
      <c r="BB102" s="677" t="s">
        <v>325</v>
      </c>
      <c r="BC102" s="351"/>
      <c r="BD102" s="681" t="s">
        <v>294</v>
      </c>
      <c r="BE102" s="350"/>
      <c r="BF102" s="351"/>
      <c r="BG102" s="678" t="s">
        <v>294</v>
      </c>
      <c r="BH102" s="350"/>
      <c r="BI102" s="350"/>
      <c r="BJ102" s="351"/>
      <c r="BK102" s="680" t="s">
        <v>498</v>
      </c>
      <c r="BL102" s="350"/>
      <c r="BM102" s="351"/>
      <c r="BN102" s="82"/>
      <c r="BO102" s="82"/>
      <c r="BP102" s="678"/>
      <c r="BQ102" s="350"/>
      <c r="BR102" s="351"/>
      <c r="BS102" s="681" t="s">
        <v>294</v>
      </c>
      <c r="BT102" s="350"/>
      <c r="BU102" s="351"/>
    </row>
    <row r="103" spans="1:73" ht="30" customHeight="1">
      <c r="A103" s="76">
        <f t="shared" si="0"/>
        <v>89</v>
      </c>
      <c r="B103" s="686" t="s">
        <v>325</v>
      </c>
      <c r="C103" s="351"/>
      <c r="D103" s="687" t="s">
        <v>294</v>
      </c>
      <c r="E103" s="350"/>
      <c r="F103" s="350"/>
      <c r="G103" s="351"/>
      <c r="H103" s="688" t="s">
        <v>294</v>
      </c>
      <c r="I103" s="350"/>
      <c r="J103" s="350"/>
      <c r="K103" s="351"/>
      <c r="L103" s="538" t="s">
        <v>294</v>
      </c>
      <c r="M103" s="350"/>
      <c r="N103" s="351"/>
      <c r="O103" s="539" t="s">
        <v>294</v>
      </c>
      <c r="P103" s="350"/>
      <c r="Q103" s="351"/>
      <c r="R103" s="574"/>
      <c r="S103" s="350"/>
      <c r="T103" s="351"/>
      <c r="U103" s="567"/>
      <c r="V103" s="350"/>
      <c r="W103" s="351"/>
      <c r="X103" s="77"/>
      <c r="Y103" s="78"/>
      <c r="Z103" s="77"/>
      <c r="AA103" s="78"/>
      <c r="AB103" s="77"/>
      <c r="AC103" s="78"/>
      <c r="AD103" s="77"/>
      <c r="AE103" s="78"/>
      <c r="AF103" s="77"/>
      <c r="AG103" s="78"/>
      <c r="AH103" s="77"/>
      <c r="AI103" s="78"/>
      <c r="AJ103" s="79"/>
      <c r="AK103" s="80"/>
      <c r="AL103" s="79"/>
      <c r="AM103" s="80"/>
      <c r="AN103" s="79"/>
      <c r="AO103" s="80"/>
      <c r="AP103" s="79"/>
      <c r="AQ103" s="80"/>
      <c r="AR103" s="79"/>
      <c r="AS103" s="679" t="s">
        <v>294</v>
      </c>
      <c r="AT103" s="350"/>
      <c r="AU103" s="350"/>
      <c r="AV103" s="350"/>
      <c r="AW103" s="350"/>
      <c r="AX103" s="350"/>
      <c r="AY103" s="351"/>
      <c r="AZ103" s="81"/>
      <c r="BA103" s="81"/>
      <c r="BB103" s="677" t="s">
        <v>325</v>
      </c>
      <c r="BC103" s="351"/>
      <c r="BD103" s="681" t="s">
        <v>294</v>
      </c>
      <c r="BE103" s="350"/>
      <c r="BF103" s="351"/>
      <c r="BG103" s="678" t="s">
        <v>294</v>
      </c>
      <c r="BH103" s="350"/>
      <c r="BI103" s="350"/>
      <c r="BJ103" s="351"/>
      <c r="BK103" s="680" t="s">
        <v>498</v>
      </c>
      <c r="BL103" s="350"/>
      <c r="BM103" s="351"/>
      <c r="BN103" s="82"/>
      <c r="BO103" s="82"/>
      <c r="BP103" s="678"/>
      <c r="BQ103" s="350"/>
      <c r="BR103" s="351"/>
      <c r="BS103" s="681" t="s">
        <v>294</v>
      </c>
      <c r="BT103" s="350"/>
      <c r="BU103" s="351"/>
    </row>
    <row r="104" spans="1:73" ht="30" customHeight="1">
      <c r="A104" s="76">
        <f t="shared" si="0"/>
        <v>90</v>
      </c>
      <c r="B104" s="686" t="s">
        <v>325</v>
      </c>
      <c r="C104" s="351"/>
      <c r="D104" s="687" t="s">
        <v>294</v>
      </c>
      <c r="E104" s="350"/>
      <c r="F104" s="350"/>
      <c r="G104" s="351"/>
      <c r="H104" s="688" t="s">
        <v>294</v>
      </c>
      <c r="I104" s="350"/>
      <c r="J104" s="350"/>
      <c r="K104" s="351"/>
      <c r="L104" s="538" t="s">
        <v>294</v>
      </c>
      <c r="M104" s="350"/>
      <c r="N104" s="351"/>
      <c r="O104" s="539" t="s">
        <v>294</v>
      </c>
      <c r="P104" s="350"/>
      <c r="Q104" s="351"/>
      <c r="R104" s="574"/>
      <c r="S104" s="350"/>
      <c r="T104" s="351"/>
      <c r="U104" s="567"/>
      <c r="V104" s="350"/>
      <c r="W104" s="351"/>
      <c r="X104" s="77"/>
      <c r="Y104" s="78"/>
      <c r="Z104" s="77"/>
      <c r="AA104" s="78"/>
      <c r="AB104" s="77"/>
      <c r="AC104" s="78"/>
      <c r="AD104" s="77"/>
      <c r="AE104" s="78"/>
      <c r="AF104" s="77"/>
      <c r="AG104" s="78"/>
      <c r="AH104" s="77"/>
      <c r="AI104" s="78"/>
      <c r="AJ104" s="79"/>
      <c r="AK104" s="80"/>
      <c r="AL104" s="79"/>
      <c r="AM104" s="80"/>
      <c r="AN104" s="79"/>
      <c r="AO104" s="80"/>
      <c r="AP104" s="79"/>
      <c r="AQ104" s="80"/>
      <c r="AR104" s="79"/>
      <c r="AS104" s="679" t="s">
        <v>294</v>
      </c>
      <c r="AT104" s="350"/>
      <c r="AU104" s="350"/>
      <c r="AV104" s="350"/>
      <c r="AW104" s="350"/>
      <c r="AX104" s="350"/>
      <c r="AY104" s="351"/>
      <c r="AZ104" s="81"/>
      <c r="BA104" s="81"/>
      <c r="BB104" s="677" t="s">
        <v>325</v>
      </c>
      <c r="BC104" s="351"/>
      <c r="BD104" s="681" t="s">
        <v>294</v>
      </c>
      <c r="BE104" s="350"/>
      <c r="BF104" s="351"/>
      <c r="BG104" s="678" t="s">
        <v>294</v>
      </c>
      <c r="BH104" s="350"/>
      <c r="BI104" s="350"/>
      <c r="BJ104" s="351"/>
      <c r="BK104" s="680" t="s">
        <v>498</v>
      </c>
      <c r="BL104" s="350"/>
      <c r="BM104" s="351"/>
      <c r="BN104" s="82"/>
      <c r="BO104" s="82"/>
      <c r="BP104" s="678"/>
      <c r="BQ104" s="350"/>
      <c r="BR104" s="351"/>
      <c r="BS104" s="681" t="s">
        <v>294</v>
      </c>
      <c r="BT104" s="350"/>
      <c r="BU104" s="351"/>
    </row>
    <row r="105" spans="1:73" ht="30" customHeight="1">
      <c r="A105" s="76">
        <f t="shared" si="0"/>
        <v>91</v>
      </c>
      <c r="B105" s="686" t="s">
        <v>325</v>
      </c>
      <c r="C105" s="351"/>
      <c r="D105" s="687" t="s">
        <v>294</v>
      </c>
      <c r="E105" s="350"/>
      <c r="F105" s="350"/>
      <c r="G105" s="351"/>
      <c r="H105" s="688" t="s">
        <v>294</v>
      </c>
      <c r="I105" s="350"/>
      <c r="J105" s="350"/>
      <c r="K105" s="351"/>
      <c r="L105" s="538" t="s">
        <v>294</v>
      </c>
      <c r="M105" s="350"/>
      <c r="N105" s="351"/>
      <c r="O105" s="539" t="s">
        <v>294</v>
      </c>
      <c r="P105" s="350"/>
      <c r="Q105" s="351"/>
      <c r="R105" s="574"/>
      <c r="S105" s="350"/>
      <c r="T105" s="351"/>
      <c r="U105" s="567"/>
      <c r="V105" s="350"/>
      <c r="W105" s="351"/>
      <c r="X105" s="77"/>
      <c r="Y105" s="78"/>
      <c r="Z105" s="77"/>
      <c r="AA105" s="78"/>
      <c r="AB105" s="77"/>
      <c r="AC105" s="78"/>
      <c r="AD105" s="77"/>
      <c r="AE105" s="78"/>
      <c r="AF105" s="77"/>
      <c r="AG105" s="78"/>
      <c r="AH105" s="77"/>
      <c r="AI105" s="78"/>
      <c r="AJ105" s="79"/>
      <c r="AK105" s="80"/>
      <c r="AL105" s="79"/>
      <c r="AM105" s="80"/>
      <c r="AN105" s="79"/>
      <c r="AO105" s="80"/>
      <c r="AP105" s="79"/>
      <c r="AQ105" s="80"/>
      <c r="AR105" s="79"/>
      <c r="AS105" s="679" t="s">
        <v>294</v>
      </c>
      <c r="AT105" s="350"/>
      <c r="AU105" s="350"/>
      <c r="AV105" s="350"/>
      <c r="AW105" s="350"/>
      <c r="AX105" s="350"/>
      <c r="AY105" s="351"/>
      <c r="AZ105" s="81"/>
      <c r="BA105" s="81"/>
      <c r="BB105" s="677" t="s">
        <v>325</v>
      </c>
      <c r="BC105" s="351"/>
      <c r="BD105" s="681" t="s">
        <v>294</v>
      </c>
      <c r="BE105" s="350"/>
      <c r="BF105" s="351"/>
      <c r="BG105" s="678" t="s">
        <v>294</v>
      </c>
      <c r="BH105" s="350"/>
      <c r="BI105" s="350"/>
      <c r="BJ105" s="351"/>
      <c r="BK105" s="680" t="s">
        <v>498</v>
      </c>
      <c r="BL105" s="350"/>
      <c r="BM105" s="351"/>
      <c r="BN105" s="82"/>
      <c r="BO105" s="82"/>
      <c r="BP105" s="678"/>
      <c r="BQ105" s="350"/>
      <c r="BR105" s="351"/>
      <c r="BS105" s="681" t="s">
        <v>294</v>
      </c>
      <c r="BT105" s="350"/>
      <c r="BU105" s="351"/>
    </row>
    <row r="106" spans="1:73" ht="30" customHeight="1">
      <c r="A106" s="76">
        <f t="shared" si="0"/>
        <v>92</v>
      </c>
      <c r="B106" s="686" t="s">
        <v>325</v>
      </c>
      <c r="C106" s="351"/>
      <c r="D106" s="687" t="s">
        <v>294</v>
      </c>
      <c r="E106" s="350"/>
      <c r="F106" s="350"/>
      <c r="G106" s="351"/>
      <c r="H106" s="688" t="s">
        <v>294</v>
      </c>
      <c r="I106" s="350"/>
      <c r="J106" s="350"/>
      <c r="K106" s="351"/>
      <c r="L106" s="538" t="s">
        <v>294</v>
      </c>
      <c r="M106" s="350"/>
      <c r="N106" s="351"/>
      <c r="O106" s="539" t="s">
        <v>294</v>
      </c>
      <c r="P106" s="350"/>
      <c r="Q106" s="351"/>
      <c r="R106" s="574"/>
      <c r="S106" s="350"/>
      <c r="T106" s="351"/>
      <c r="U106" s="567"/>
      <c r="V106" s="350"/>
      <c r="W106" s="351"/>
      <c r="X106" s="77"/>
      <c r="Y106" s="78"/>
      <c r="Z106" s="77"/>
      <c r="AA106" s="78"/>
      <c r="AB106" s="77"/>
      <c r="AC106" s="78"/>
      <c r="AD106" s="77"/>
      <c r="AE106" s="78"/>
      <c r="AF106" s="77"/>
      <c r="AG106" s="78"/>
      <c r="AH106" s="77"/>
      <c r="AI106" s="78"/>
      <c r="AJ106" s="79"/>
      <c r="AK106" s="80"/>
      <c r="AL106" s="79"/>
      <c r="AM106" s="80"/>
      <c r="AN106" s="79"/>
      <c r="AO106" s="80"/>
      <c r="AP106" s="79"/>
      <c r="AQ106" s="80"/>
      <c r="AR106" s="79"/>
      <c r="AS106" s="679" t="s">
        <v>294</v>
      </c>
      <c r="AT106" s="350"/>
      <c r="AU106" s="350"/>
      <c r="AV106" s="350"/>
      <c r="AW106" s="350"/>
      <c r="AX106" s="350"/>
      <c r="AY106" s="351"/>
      <c r="AZ106" s="81"/>
      <c r="BA106" s="81"/>
      <c r="BB106" s="685" t="s">
        <v>325</v>
      </c>
      <c r="BC106" s="351"/>
      <c r="BD106" s="681" t="s">
        <v>294</v>
      </c>
      <c r="BE106" s="350"/>
      <c r="BF106" s="351"/>
      <c r="BG106" s="678" t="s">
        <v>294</v>
      </c>
      <c r="BH106" s="350"/>
      <c r="BI106" s="350"/>
      <c r="BJ106" s="351"/>
      <c r="BK106" s="680" t="s">
        <v>498</v>
      </c>
      <c r="BL106" s="350"/>
      <c r="BM106" s="351"/>
      <c r="BN106" s="82"/>
      <c r="BO106" s="82"/>
      <c r="BP106" s="678"/>
      <c r="BQ106" s="350"/>
      <c r="BR106" s="351"/>
      <c r="BS106" s="681" t="s">
        <v>294</v>
      </c>
      <c r="BT106" s="350"/>
      <c r="BU106" s="351"/>
    </row>
    <row r="107" spans="1:73" ht="30" customHeight="1">
      <c r="A107" s="76">
        <f t="shared" si="0"/>
        <v>93</v>
      </c>
      <c r="B107" s="686" t="s">
        <v>325</v>
      </c>
      <c r="C107" s="351"/>
      <c r="D107" s="687" t="s">
        <v>294</v>
      </c>
      <c r="E107" s="350"/>
      <c r="F107" s="350"/>
      <c r="G107" s="351"/>
      <c r="H107" s="688" t="s">
        <v>294</v>
      </c>
      <c r="I107" s="350"/>
      <c r="J107" s="350"/>
      <c r="K107" s="351"/>
      <c r="L107" s="538" t="s">
        <v>294</v>
      </c>
      <c r="M107" s="350"/>
      <c r="N107" s="351"/>
      <c r="O107" s="539" t="s">
        <v>294</v>
      </c>
      <c r="P107" s="350"/>
      <c r="Q107" s="351"/>
      <c r="R107" s="574"/>
      <c r="S107" s="350"/>
      <c r="T107" s="351"/>
      <c r="U107" s="567"/>
      <c r="V107" s="350"/>
      <c r="W107" s="351"/>
      <c r="X107" s="77"/>
      <c r="Y107" s="78"/>
      <c r="Z107" s="77"/>
      <c r="AA107" s="78"/>
      <c r="AB107" s="77"/>
      <c r="AC107" s="78"/>
      <c r="AD107" s="77"/>
      <c r="AE107" s="78"/>
      <c r="AF107" s="77"/>
      <c r="AG107" s="78"/>
      <c r="AH107" s="77"/>
      <c r="AI107" s="78"/>
      <c r="AJ107" s="79"/>
      <c r="AK107" s="80"/>
      <c r="AL107" s="79"/>
      <c r="AM107" s="80"/>
      <c r="AN107" s="79"/>
      <c r="AO107" s="80"/>
      <c r="AP107" s="79"/>
      <c r="AQ107" s="80"/>
      <c r="AR107" s="79"/>
      <c r="AS107" s="679" t="s">
        <v>294</v>
      </c>
      <c r="AT107" s="350"/>
      <c r="AU107" s="350"/>
      <c r="AV107" s="350"/>
      <c r="AW107" s="350"/>
      <c r="AX107" s="350"/>
      <c r="AY107" s="351"/>
      <c r="AZ107" s="81"/>
      <c r="BA107" s="81"/>
      <c r="BB107" s="677" t="s">
        <v>325</v>
      </c>
      <c r="BC107" s="351"/>
      <c r="BD107" s="681" t="s">
        <v>294</v>
      </c>
      <c r="BE107" s="350"/>
      <c r="BF107" s="351"/>
      <c r="BG107" s="678" t="s">
        <v>294</v>
      </c>
      <c r="BH107" s="350"/>
      <c r="BI107" s="350"/>
      <c r="BJ107" s="351"/>
      <c r="BK107" s="680" t="s">
        <v>498</v>
      </c>
      <c r="BL107" s="350"/>
      <c r="BM107" s="351"/>
      <c r="BN107" s="82"/>
      <c r="BO107" s="82"/>
      <c r="BP107" s="678"/>
      <c r="BQ107" s="350"/>
      <c r="BR107" s="351"/>
      <c r="BS107" s="681" t="s">
        <v>294</v>
      </c>
      <c r="BT107" s="350"/>
      <c r="BU107" s="351"/>
    </row>
    <row r="108" spans="1:73" ht="30" customHeight="1">
      <c r="A108" s="76">
        <f t="shared" si="0"/>
        <v>94</v>
      </c>
      <c r="B108" s="686" t="s">
        <v>325</v>
      </c>
      <c r="C108" s="351"/>
      <c r="D108" s="687" t="s">
        <v>294</v>
      </c>
      <c r="E108" s="350"/>
      <c r="F108" s="350"/>
      <c r="G108" s="351"/>
      <c r="H108" s="688" t="s">
        <v>294</v>
      </c>
      <c r="I108" s="350"/>
      <c r="J108" s="350"/>
      <c r="K108" s="351"/>
      <c r="L108" s="538" t="s">
        <v>294</v>
      </c>
      <c r="M108" s="350"/>
      <c r="N108" s="351"/>
      <c r="O108" s="539" t="s">
        <v>294</v>
      </c>
      <c r="P108" s="350"/>
      <c r="Q108" s="351"/>
      <c r="R108" s="574"/>
      <c r="S108" s="350"/>
      <c r="T108" s="351"/>
      <c r="U108" s="567"/>
      <c r="V108" s="350"/>
      <c r="W108" s="351"/>
      <c r="X108" s="77"/>
      <c r="Y108" s="78"/>
      <c r="Z108" s="77"/>
      <c r="AA108" s="78"/>
      <c r="AB108" s="77"/>
      <c r="AC108" s="78"/>
      <c r="AD108" s="77"/>
      <c r="AE108" s="78"/>
      <c r="AF108" s="77"/>
      <c r="AG108" s="78"/>
      <c r="AH108" s="77"/>
      <c r="AI108" s="78"/>
      <c r="AJ108" s="79"/>
      <c r="AK108" s="80"/>
      <c r="AL108" s="79"/>
      <c r="AM108" s="80"/>
      <c r="AN108" s="79"/>
      <c r="AO108" s="80"/>
      <c r="AP108" s="79"/>
      <c r="AQ108" s="80"/>
      <c r="AR108" s="79"/>
      <c r="AS108" s="679" t="s">
        <v>294</v>
      </c>
      <c r="AT108" s="350"/>
      <c r="AU108" s="350"/>
      <c r="AV108" s="350"/>
      <c r="AW108" s="350"/>
      <c r="AX108" s="350"/>
      <c r="AY108" s="351"/>
      <c r="AZ108" s="81"/>
      <c r="BA108" s="81"/>
      <c r="BB108" s="677" t="s">
        <v>325</v>
      </c>
      <c r="BC108" s="351"/>
      <c r="BD108" s="681" t="s">
        <v>294</v>
      </c>
      <c r="BE108" s="350"/>
      <c r="BF108" s="351"/>
      <c r="BG108" s="678" t="s">
        <v>294</v>
      </c>
      <c r="BH108" s="350"/>
      <c r="BI108" s="350"/>
      <c r="BJ108" s="351"/>
      <c r="BK108" s="680" t="s">
        <v>498</v>
      </c>
      <c r="BL108" s="350"/>
      <c r="BM108" s="351"/>
      <c r="BN108" s="82"/>
      <c r="BO108" s="82"/>
      <c r="BP108" s="678"/>
      <c r="BQ108" s="350"/>
      <c r="BR108" s="351"/>
      <c r="BS108" s="681" t="s">
        <v>294</v>
      </c>
      <c r="BT108" s="350"/>
      <c r="BU108" s="351"/>
    </row>
    <row r="109" spans="1:73" ht="30" customHeight="1">
      <c r="A109" s="76">
        <f t="shared" si="0"/>
        <v>95</v>
      </c>
      <c r="B109" s="686" t="s">
        <v>325</v>
      </c>
      <c r="C109" s="351"/>
      <c r="D109" s="687" t="s">
        <v>294</v>
      </c>
      <c r="E109" s="350"/>
      <c r="F109" s="350"/>
      <c r="G109" s="351"/>
      <c r="H109" s="688" t="s">
        <v>294</v>
      </c>
      <c r="I109" s="350"/>
      <c r="J109" s="350"/>
      <c r="K109" s="351"/>
      <c r="L109" s="538" t="s">
        <v>294</v>
      </c>
      <c r="M109" s="350"/>
      <c r="N109" s="351"/>
      <c r="O109" s="539" t="s">
        <v>294</v>
      </c>
      <c r="P109" s="350"/>
      <c r="Q109" s="351"/>
      <c r="R109" s="574"/>
      <c r="S109" s="350"/>
      <c r="T109" s="351"/>
      <c r="U109" s="567"/>
      <c r="V109" s="350"/>
      <c r="W109" s="351"/>
      <c r="X109" s="77"/>
      <c r="Y109" s="78"/>
      <c r="Z109" s="77"/>
      <c r="AA109" s="78"/>
      <c r="AB109" s="77"/>
      <c r="AC109" s="78"/>
      <c r="AD109" s="77"/>
      <c r="AE109" s="78"/>
      <c r="AF109" s="77"/>
      <c r="AG109" s="78"/>
      <c r="AH109" s="77"/>
      <c r="AI109" s="78"/>
      <c r="AJ109" s="79"/>
      <c r="AK109" s="80"/>
      <c r="AL109" s="79"/>
      <c r="AM109" s="80"/>
      <c r="AN109" s="79"/>
      <c r="AO109" s="80"/>
      <c r="AP109" s="79"/>
      <c r="AQ109" s="80"/>
      <c r="AR109" s="79"/>
      <c r="AS109" s="679" t="s">
        <v>294</v>
      </c>
      <c r="AT109" s="350"/>
      <c r="AU109" s="350"/>
      <c r="AV109" s="350"/>
      <c r="AW109" s="350"/>
      <c r="AX109" s="350"/>
      <c r="AY109" s="351"/>
      <c r="AZ109" s="81"/>
      <c r="BA109" s="81"/>
      <c r="BB109" s="677" t="s">
        <v>325</v>
      </c>
      <c r="BC109" s="351"/>
      <c r="BD109" s="681" t="s">
        <v>294</v>
      </c>
      <c r="BE109" s="350"/>
      <c r="BF109" s="351"/>
      <c r="BG109" s="678" t="s">
        <v>294</v>
      </c>
      <c r="BH109" s="350"/>
      <c r="BI109" s="350"/>
      <c r="BJ109" s="351"/>
      <c r="BK109" s="680" t="s">
        <v>498</v>
      </c>
      <c r="BL109" s="350"/>
      <c r="BM109" s="351"/>
      <c r="BN109" s="82"/>
      <c r="BO109" s="82"/>
      <c r="BP109" s="678"/>
      <c r="BQ109" s="350"/>
      <c r="BR109" s="351"/>
      <c r="BS109" s="681" t="s">
        <v>294</v>
      </c>
      <c r="BT109" s="350"/>
      <c r="BU109" s="351"/>
    </row>
    <row r="110" spans="1:73" ht="30" customHeight="1">
      <c r="A110" s="76">
        <f t="shared" si="0"/>
        <v>96</v>
      </c>
      <c r="B110" s="686" t="s">
        <v>325</v>
      </c>
      <c r="C110" s="351"/>
      <c r="D110" s="687" t="s">
        <v>294</v>
      </c>
      <c r="E110" s="350"/>
      <c r="F110" s="350"/>
      <c r="G110" s="351"/>
      <c r="H110" s="688" t="s">
        <v>294</v>
      </c>
      <c r="I110" s="350"/>
      <c r="J110" s="350"/>
      <c r="K110" s="351"/>
      <c r="L110" s="538" t="s">
        <v>294</v>
      </c>
      <c r="M110" s="350"/>
      <c r="N110" s="351"/>
      <c r="O110" s="539" t="s">
        <v>294</v>
      </c>
      <c r="P110" s="350"/>
      <c r="Q110" s="351"/>
      <c r="R110" s="574"/>
      <c r="S110" s="350"/>
      <c r="T110" s="351"/>
      <c r="U110" s="567"/>
      <c r="V110" s="350"/>
      <c r="W110" s="351"/>
      <c r="X110" s="77"/>
      <c r="Y110" s="78"/>
      <c r="Z110" s="77"/>
      <c r="AA110" s="78"/>
      <c r="AB110" s="77"/>
      <c r="AC110" s="78"/>
      <c r="AD110" s="77"/>
      <c r="AE110" s="78"/>
      <c r="AF110" s="77"/>
      <c r="AG110" s="78"/>
      <c r="AH110" s="77"/>
      <c r="AI110" s="78"/>
      <c r="AJ110" s="79"/>
      <c r="AK110" s="80"/>
      <c r="AL110" s="79"/>
      <c r="AM110" s="80"/>
      <c r="AN110" s="79"/>
      <c r="AO110" s="80"/>
      <c r="AP110" s="79"/>
      <c r="AQ110" s="80"/>
      <c r="AR110" s="79"/>
      <c r="AS110" s="679" t="s">
        <v>294</v>
      </c>
      <c r="AT110" s="350"/>
      <c r="AU110" s="350"/>
      <c r="AV110" s="350"/>
      <c r="AW110" s="350"/>
      <c r="AX110" s="350"/>
      <c r="AY110" s="351"/>
      <c r="AZ110" s="81"/>
      <c r="BA110" s="81"/>
      <c r="BB110" s="677" t="s">
        <v>325</v>
      </c>
      <c r="BC110" s="351"/>
      <c r="BD110" s="681" t="s">
        <v>294</v>
      </c>
      <c r="BE110" s="350"/>
      <c r="BF110" s="351"/>
      <c r="BG110" s="678" t="s">
        <v>294</v>
      </c>
      <c r="BH110" s="350"/>
      <c r="BI110" s="350"/>
      <c r="BJ110" s="351"/>
      <c r="BK110" s="680" t="s">
        <v>498</v>
      </c>
      <c r="BL110" s="350"/>
      <c r="BM110" s="351"/>
      <c r="BN110" s="82"/>
      <c r="BO110" s="82"/>
      <c r="BP110" s="678"/>
      <c r="BQ110" s="350"/>
      <c r="BR110" s="351"/>
      <c r="BS110" s="681" t="s">
        <v>294</v>
      </c>
      <c r="BT110" s="350"/>
      <c r="BU110" s="351"/>
    </row>
    <row r="111" spans="1:73" ht="30" customHeight="1">
      <c r="A111" s="76">
        <f t="shared" si="0"/>
        <v>97</v>
      </c>
      <c r="B111" s="686" t="s">
        <v>325</v>
      </c>
      <c r="C111" s="351"/>
      <c r="D111" s="687" t="s">
        <v>294</v>
      </c>
      <c r="E111" s="350"/>
      <c r="F111" s="350"/>
      <c r="G111" s="351"/>
      <c r="H111" s="688" t="s">
        <v>294</v>
      </c>
      <c r="I111" s="350"/>
      <c r="J111" s="350"/>
      <c r="K111" s="351"/>
      <c r="L111" s="538" t="s">
        <v>294</v>
      </c>
      <c r="M111" s="350"/>
      <c r="N111" s="351"/>
      <c r="O111" s="539" t="s">
        <v>294</v>
      </c>
      <c r="P111" s="350"/>
      <c r="Q111" s="351"/>
      <c r="R111" s="574"/>
      <c r="S111" s="350"/>
      <c r="T111" s="351"/>
      <c r="U111" s="567"/>
      <c r="V111" s="350"/>
      <c r="W111" s="351"/>
      <c r="X111" s="77"/>
      <c r="Y111" s="78"/>
      <c r="Z111" s="77"/>
      <c r="AA111" s="78"/>
      <c r="AB111" s="77"/>
      <c r="AC111" s="78"/>
      <c r="AD111" s="77"/>
      <c r="AE111" s="78"/>
      <c r="AF111" s="77"/>
      <c r="AG111" s="78"/>
      <c r="AH111" s="77"/>
      <c r="AI111" s="78"/>
      <c r="AJ111" s="79"/>
      <c r="AK111" s="80"/>
      <c r="AL111" s="79"/>
      <c r="AM111" s="80"/>
      <c r="AN111" s="79"/>
      <c r="AO111" s="80"/>
      <c r="AP111" s="79"/>
      <c r="AQ111" s="80"/>
      <c r="AR111" s="79"/>
      <c r="AS111" s="679" t="s">
        <v>294</v>
      </c>
      <c r="AT111" s="350"/>
      <c r="AU111" s="350"/>
      <c r="AV111" s="350"/>
      <c r="AW111" s="350"/>
      <c r="AX111" s="350"/>
      <c r="AY111" s="351"/>
      <c r="AZ111" s="81"/>
      <c r="BA111" s="81"/>
      <c r="BB111" s="677" t="s">
        <v>325</v>
      </c>
      <c r="BC111" s="351"/>
      <c r="BD111" s="681" t="s">
        <v>294</v>
      </c>
      <c r="BE111" s="350"/>
      <c r="BF111" s="351"/>
      <c r="BG111" s="678" t="s">
        <v>294</v>
      </c>
      <c r="BH111" s="350"/>
      <c r="BI111" s="350"/>
      <c r="BJ111" s="351"/>
      <c r="BK111" s="680" t="s">
        <v>498</v>
      </c>
      <c r="BL111" s="350"/>
      <c r="BM111" s="351"/>
      <c r="BN111" s="82"/>
      <c r="BO111" s="82"/>
      <c r="BP111" s="678"/>
      <c r="BQ111" s="350"/>
      <c r="BR111" s="351"/>
      <c r="BS111" s="681" t="s">
        <v>294</v>
      </c>
      <c r="BT111" s="350"/>
      <c r="BU111" s="351"/>
    </row>
    <row r="112" spans="1:73" ht="30" customHeight="1">
      <c r="A112" s="76">
        <f t="shared" si="0"/>
        <v>98</v>
      </c>
      <c r="B112" s="686" t="s">
        <v>325</v>
      </c>
      <c r="C112" s="351"/>
      <c r="D112" s="687" t="s">
        <v>294</v>
      </c>
      <c r="E112" s="350"/>
      <c r="F112" s="350"/>
      <c r="G112" s="351"/>
      <c r="H112" s="688" t="s">
        <v>294</v>
      </c>
      <c r="I112" s="350"/>
      <c r="J112" s="350"/>
      <c r="K112" s="351"/>
      <c r="L112" s="538" t="s">
        <v>294</v>
      </c>
      <c r="M112" s="350"/>
      <c r="N112" s="351"/>
      <c r="O112" s="539" t="s">
        <v>294</v>
      </c>
      <c r="P112" s="350"/>
      <c r="Q112" s="351"/>
      <c r="R112" s="574"/>
      <c r="S112" s="350"/>
      <c r="T112" s="351"/>
      <c r="U112" s="567"/>
      <c r="V112" s="350"/>
      <c r="W112" s="351"/>
      <c r="X112" s="77"/>
      <c r="Y112" s="78"/>
      <c r="Z112" s="77"/>
      <c r="AA112" s="78"/>
      <c r="AB112" s="77"/>
      <c r="AC112" s="78"/>
      <c r="AD112" s="77"/>
      <c r="AE112" s="78"/>
      <c r="AF112" s="77"/>
      <c r="AG112" s="78"/>
      <c r="AH112" s="77"/>
      <c r="AI112" s="78"/>
      <c r="AJ112" s="79"/>
      <c r="AK112" s="80"/>
      <c r="AL112" s="79"/>
      <c r="AM112" s="80"/>
      <c r="AN112" s="79"/>
      <c r="AO112" s="80"/>
      <c r="AP112" s="79"/>
      <c r="AQ112" s="80"/>
      <c r="AR112" s="79"/>
      <c r="AS112" s="679" t="s">
        <v>294</v>
      </c>
      <c r="AT112" s="350"/>
      <c r="AU112" s="350"/>
      <c r="AV112" s="350"/>
      <c r="AW112" s="350"/>
      <c r="AX112" s="350"/>
      <c r="AY112" s="351"/>
      <c r="AZ112" s="81"/>
      <c r="BA112" s="81"/>
      <c r="BB112" s="677" t="s">
        <v>325</v>
      </c>
      <c r="BC112" s="351"/>
      <c r="BD112" s="681" t="s">
        <v>294</v>
      </c>
      <c r="BE112" s="350"/>
      <c r="BF112" s="351"/>
      <c r="BG112" s="678" t="s">
        <v>294</v>
      </c>
      <c r="BH112" s="350"/>
      <c r="BI112" s="350"/>
      <c r="BJ112" s="351"/>
      <c r="BK112" s="680" t="s">
        <v>498</v>
      </c>
      <c r="BL112" s="350"/>
      <c r="BM112" s="351"/>
      <c r="BN112" s="82"/>
      <c r="BO112" s="82"/>
      <c r="BP112" s="678"/>
      <c r="BQ112" s="350"/>
      <c r="BR112" s="351"/>
      <c r="BS112" s="681" t="s">
        <v>294</v>
      </c>
      <c r="BT112" s="350"/>
      <c r="BU112" s="351"/>
    </row>
    <row r="113" spans="1:73" ht="30" customHeight="1">
      <c r="A113" s="76">
        <f t="shared" si="0"/>
        <v>99</v>
      </c>
      <c r="B113" s="686" t="s">
        <v>325</v>
      </c>
      <c r="C113" s="351"/>
      <c r="D113" s="687" t="s">
        <v>294</v>
      </c>
      <c r="E113" s="350"/>
      <c r="F113" s="350"/>
      <c r="G113" s="351"/>
      <c r="H113" s="688" t="s">
        <v>294</v>
      </c>
      <c r="I113" s="350"/>
      <c r="J113" s="350"/>
      <c r="K113" s="351"/>
      <c r="L113" s="538" t="s">
        <v>294</v>
      </c>
      <c r="M113" s="350"/>
      <c r="N113" s="351"/>
      <c r="O113" s="539" t="s">
        <v>294</v>
      </c>
      <c r="P113" s="350"/>
      <c r="Q113" s="351"/>
      <c r="R113" s="574"/>
      <c r="S113" s="350"/>
      <c r="T113" s="351"/>
      <c r="U113" s="567"/>
      <c r="V113" s="350"/>
      <c r="W113" s="351"/>
      <c r="X113" s="77"/>
      <c r="Y113" s="78"/>
      <c r="Z113" s="77"/>
      <c r="AA113" s="78"/>
      <c r="AB113" s="77"/>
      <c r="AC113" s="78"/>
      <c r="AD113" s="77"/>
      <c r="AE113" s="78"/>
      <c r="AF113" s="77"/>
      <c r="AG113" s="78"/>
      <c r="AH113" s="77"/>
      <c r="AI113" s="78"/>
      <c r="AJ113" s="79"/>
      <c r="AK113" s="80"/>
      <c r="AL113" s="79"/>
      <c r="AM113" s="80"/>
      <c r="AN113" s="79"/>
      <c r="AO113" s="80"/>
      <c r="AP113" s="79"/>
      <c r="AQ113" s="80"/>
      <c r="AR113" s="79"/>
      <c r="AS113" s="679" t="s">
        <v>294</v>
      </c>
      <c r="AT113" s="350"/>
      <c r="AU113" s="350"/>
      <c r="AV113" s="350"/>
      <c r="AW113" s="350"/>
      <c r="AX113" s="350"/>
      <c r="AY113" s="351"/>
      <c r="AZ113" s="81"/>
      <c r="BA113" s="81"/>
      <c r="BB113" s="685" t="s">
        <v>325</v>
      </c>
      <c r="BC113" s="351"/>
      <c r="BD113" s="681" t="s">
        <v>294</v>
      </c>
      <c r="BE113" s="350"/>
      <c r="BF113" s="351"/>
      <c r="BG113" s="678" t="s">
        <v>294</v>
      </c>
      <c r="BH113" s="350"/>
      <c r="BI113" s="350"/>
      <c r="BJ113" s="351"/>
      <c r="BK113" s="680" t="s">
        <v>498</v>
      </c>
      <c r="BL113" s="350"/>
      <c r="BM113" s="351"/>
      <c r="BN113" s="82"/>
      <c r="BO113" s="82"/>
      <c r="BP113" s="678"/>
      <c r="BQ113" s="350"/>
      <c r="BR113" s="351"/>
      <c r="BS113" s="681" t="s">
        <v>294</v>
      </c>
      <c r="BT113" s="350"/>
      <c r="BU113" s="351"/>
    </row>
    <row r="114" spans="1:73" ht="30" customHeight="1">
      <c r="A114" s="76">
        <f t="shared" si="0"/>
        <v>100</v>
      </c>
      <c r="B114" s="686" t="s">
        <v>325</v>
      </c>
      <c r="C114" s="351"/>
      <c r="D114" s="687" t="s">
        <v>294</v>
      </c>
      <c r="E114" s="350"/>
      <c r="F114" s="350"/>
      <c r="G114" s="351"/>
      <c r="H114" s="688" t="s">
        <v>294</v>
      </c>
      <c r="I114" s="350"/>
      <c r="J114" s="350"/>
      <c r="K114" s="351"/>
      <c r="L114" s="538" t="s">
        <v>294</v>
      </c>
      <c r="M114" s="350"/>
      <c r="N114" s="351"/>
      <c r="O114" s="539" t="s">
        <v>294</v>
      </c>
      <c r="P114" s="350"/>
      <c r="Q114" s="351"/>
      <c r="R114" s="574"/>
      <c r="S114" s="350"/>
      <c r="T114" s="351"/>
      <c r="U114" s="567"/>
      <c r="V114" s="350"/>
      <c r="W114" s="351"/>
      <c r="X114" s="77"/>
      <c r="Y114" s="78"/>
      <c r="Z114" s="77"/>
      <c r="AA114" s="78"/>
      <c r="AB114" s="77"/>
      <c r="AC114" s="78"/>
      <c r="AD114" s="77"/>
      <c r="AE114" s="78"/>
      <c r="AF114" s="77"/>
      <c r="AG114" s="78"/>
      <c r="AH114" s="77"/>
      <c r="AI114" s="78"/>
      <c r="AJ114" s="79"/>
      <c r="AK114" s="80"/>
      <c r="AL114" s="79"/>
      <c r="AM114" s="80"/>
      <c r="AN114" s="79"/>
      <c r="AO114" s="80"/>
      <c r="AP114" s="79"/>
      <c r="AQ114" s="80"/>
      <c r="AR114" s="79"/>
      <c r="AS114" s="679" t="s">
        <v>294</v>
      </c>
      <c r="AT114" s="350"/>
      <c r="AU114" s="350"/>
      <c r="AV114" s="350"/>
      <c r="AW114" s="350"/>
      <c r="AX114" s="350"/>
      <c r="AY114" s="351"/>
      <c r="AZ114" s="81"/>
      <c r="BA114" s="81"/>
      <c r="BB114" s="677" t="s">
        <v>325</v>
      </c>
      <c r="BC114" s="351"/>
      <c r="BD114" s="681" t="s">
        <v>294</v>
      </c>
      <c r="BE114" s="350"/>
      <c r="BF114" s="351"/>
      <c r="BG114" s="678" t="s">
        <v>294</v>
      </c>
      <c r="BH114" s="350"/>
      <c r="BI114" s="350"/>
      <c r="BJ114" s="351"/>
      <c r="BK114" s="680" t="s">
        <v>498</v>
      </c>
      <c r="BL114" s="350"/>
      <c r="BM114" s="351"/>
      <c r="BN114" s="82"/>
      <c r="BO114" s="82"/>
      <c r="BP114" s="678"/>
      <c r="BQ114" s="350"/>
      <c r="BR114" s="351"/>
      <c r="BS114" s="681" t="s">
        <v>294</v>
      </c>
      <c r="BT114" s="350"/>
      <c r="BU114" s="351"/>
    </row>
    <row r="115" spans="1:73" ht="30" customHeight="1">
      <c r="A115" s="76">
        <f t="shared" si="0"/>
        <v>101</v>
      </c>
      <c r="B115" s="686" t="s">
        <v>325</v>
      </c>
      <c r="C115" s="351"/>
      <c r="D115" s="687" t="s">
        <v>294</v>
      </c>
      <c r="E115" s="350"/>
      <c r="F115" s="350"/>
      <c r="G115" s="351"/>
      <c r="H115" s="688" t="s">
        <v>294</v>
      </c>
      <c r="I115" s="350"/>
      <c r="J115" s="350"/>
      <c r="K115" s="351"/>
      <c r="L115" s="538" t="s">
        <v>294</v>
      </c>
      <c r="M115" s="350"/>
      <c r="N115" s="351"/>
      <c r="O115" s="539" t="s">
        <v>294</v>
      </c>
      <c r="P115" s="350"/>
      <c r="Q115" s="351"/>
      <c r="R115" s="574"/>
      <c r="S115" s="350"/>
      <c r="T115" s="351"/>
      <c r="U115" s="567"/>
      <c r="V115" s="350"/>
      <c r="W115" s="351"/>
      <c r="X115" s="77"/>
      <c r="Y115" s="78"/>
      <c r="Z115" s="77"/>
      <c r="AA115" s="78"/>
      <c r="AB115" s="77"/>
      <c r="AC115" s="78"/>
      <c r="AD115" s="77"/>
      <c r="AE115" s="78"/>
      <c r="AF115" s="77"/>
      <c r="AG115" s="78"/>
      <c r="AH115" s="77"/>
      <c r="AI115" s="78"/>
      <c r="AJ115" s="64"/>
      <c r="AK115" s="80"/>
      <c r="AL115" s="64"/>
      <c r="AM115" s="80"/>
      <c r="AN115" s="64"/>
      <c r="AO115" s="80"/>
      <c r="AP115" s="64"/>
      <c r="AQ115" s="80"/>
      <c r="AR115" s="64"/>
      <c r="AS115" s="679" t="s">
        <v>294</v>
      </c>
      <c r="AT115" s="350"/>
      <c r="AU115" s="350"/>
      <c r="AV115" s="350"/>
      <c r="AW115" s="350"/>
      <c r="AX115" s="350"/>
      <c r="AY115" s="351"/>
      <c r="AZ115" s="81"/>
      <c r="BA115" s="81"/>
      <c r="BB115" s="677" t="s">
        <v>325</v>
      </c>
      <c r="BC115" s="351"/>
      <c r="BD115" s="681" t="s">
        <v>294</v>
      </c>
      <c r="BE115" s="350"/>
      <c r="BF115" s="351"/>
      <c r="BG115" s="678" t="s">
        <v>294</v>
      </c>
      <c r="BH115" s="350"/>
      <c r="BI115" s="350"/>
      <c r="BJ115" s="351"/>
      <c r="BK115" s="680"/>
      <c r="BL115" s="350"/>
      <c r="BM115" s="351"/>
      <c r="BN115" s="82"/>
      <c r="BO115" s="82"/>
      <c r="BP115" s="678"/>
      <c r="BQ115" s="350"/>
      <c r="BR115" s="351"/>
      <c r="BS115" s="681" t="s">
        <v>294</v>
      </c>
      <c r="BT115" s="350"/>
      <c r="BU115" s="351"/>
    </row>
    <row r="116" spans="1:73" ht="30" customHeight="1">
      <c r="A116" s="76">
        <f t="shared" si="0"/>
        <v>102</v>
      </c>
      <c r="B116" s="686" t="s">
        <v>325</v>
      </c>
      <c r="C116" s="351"/>
      <c r="D116" s="687" t="s">
        <v>294</v>
      </c>
      <c r="E116" s="350"/>
      <c r="F116" s="350"/>
      <c r="G116" s="351"/>
      <c r="H116" s="688" t="s">
        <v>294</v>
      </c>
      <c r="I116" s="350"/>
      <c r="J116" s="350"/>
      <c r="K116" s="351"/>
      <c r="L116" s="538" t="s">
        <v>294</v>
      </c>
      <c r="M116" s="350"/>
      <c r="N116" s="351"/>
      <c r="O116" s="539" t="s">
        <v>294</v>
      </c>
      <c r="P116" s="350"/>
      <c r="Q116" s="351"/>
      <c r="R116" s="574"/>
      <c r="S116" s="350"/>
      <c r="T116" s="351"/>
      <c r="U116" s="567"/>
      <c r="V116" s="350"/>
      <c r="W116" s="351"/>
      <c r="X116" s="77"/>
      <c r="Y116" s="78"/>
      <c r="Z116" s="77"/>
      <c r="AA116" s="78"/>
      <c r="AB116" s="77"/>
      <c r="AC116" s="78"/>
      <c r="AD116" s="77"/>
      <c r="AE116" s="78"/>
      <c r="AF116" s="77"/>
      <c r="AG116" s="78"/>
      <c r="AH116" s="77"/>
      <c r="AI116" s="78"/>
      <c r="AJ116" s="64"/>
      <c r="AK116" s="80"/>
      <c r="AL116" s="64"/>
      <c r="AM116" s="80"/>
      <c r="AN116" s="64"/>
      <c r="AO116" s="80"/>
      <c r="AP116" s="64"/>
      <c r="AQ116" s="80"/>
      <c r="AR116" s="64"/>
      <c r="AS116" s="679" t="s">
        <v>294</v>
      </c>
      <c r="AT116" s="350"/>
      <c r="AU116" s="350"/>
      <c r="AV116" s="350"/>
      <c r="AW116" s="350"/>
      <c r="AX116" s="350"/>
      <c r="AY116" s="351"/>
      <c r="AZ116" s="81"/>
      <c r="BA116" s="81"/>
      <c r="BB116" s="677" t="s">
        <v>325</v>
      </c>
      <c r="BC116" s="351"/>
      <c r="BD116" s="681" t="s">
        <v>294</v>
      </c>
      <c r="BE116" s="350"/>
      <c r="BF116" s="351"/>
      <c r="BG116" s="678" t="s">
        <v>294</v>
      </c>
      <c r="BH116" s="350"/>
      <c r="BI116" s="350"/>
      <c r="BJ116" s="351"/>
      <c r="BK116" s="680"/>
      <c r="BL116" s="350"/>
      <c r="BM116" s="351"/>
      <c r="BN116" s="82"/>
      <c r="BO116" s="82"/>
      <c r="BP116" s="678"/>
      <c r="BQ116" s="350"/>
      <c r="BR116" s="351"/>
      <c r="BS116" s="681" t="s">
        <v>294</v>
      </c>
      <c r="BT116" s="350"/>
      <c r="BU116" s="351"/>
    </row>
    <row r="117" spans="1:73" ht="30" customHeight="1">
      <c r="A117" s="76">
        <f t="shared" si="0"/>
        <v>103</v>
      </c>
      <c r="B117" s="686" t="s">
        <v>325</v>
      </c>
      <c r="C117" s="351"/>
      <c r="D117" s="687" t="s">
        <v>294</v>
      </c>
      <c r="E117" s="350"/>
      <c r="F117" s="350"/>
      <c r="G117" s="351"/>
      <c r="H117" s="688" t="s">
        <v>294</v>
      </c>
      <c r="I117" s="350"/>
      <c r="J117" s="350"/>
      <c r="K117" s="351"/>
      <c r="L117" s="538" t="s">
        <v>294</v>
      </c>
      <c r="M117" s="350"/>
      <c r="N117" s="351"/>
      <c r="O117" s="539" t="s">
        <v>294</v>
      </c>
      <c r="P117" s="350"/>
      <c r="Q117" s="351"/>
      <c r="R117" s="574"/>
      <c r="S117" s="350"/>
      <c r="T117" s="351"/>
      <c r="U117" s="567"/>
      <c r="V117" s="350"/>
      <c r="W117" s="351"/>
      <c r="X117" s="77"/>
      <c r="Y117" s="78"/>
      <c r="Z117" s="77"/>
      <c r="AA117" s="78"/>
      <c r="AB117" s="77"/>
      <c r="AC117" s="78"/>
      <c r="AD117" s="77"/>
      <c r="AE117" s="78"/>
      <c r="AF117" s="77"/>
      <c r="AG117" s="78"/>
      <c r="AH117" s="77"/>
      <c r="AI117" s="78"/>
      <c r="AJ117" s="64"/>
      <c r="AK117" s="80"/>
      <c r="AL117" s="64"/>
      <c r="AM117" s="80"/>
      <c r="AN117" s="64"/>
      <c r="AO117" s="80"/>
      <c r="AP117" s="64"/>
      <c r="AQ117" s="80"/>
      <c r="AR117" s="64"/>
      <c r="AS117" s="679" t="s">
        <v>294</v>
      </c>
      <c r="AT117" s="350"/>
      <c r="AU117" s="350"/>
      <c r="AV117" s="350"/>
      <c r="AW117" s="350"/>
      <c r="AX117" s="350"/>
      <c r="AY117" s="351"/>
      <c r="AZ117" s="81"/>
      <c r="BA117" s="81"/>
      <c r="BB117" s="677" t="s">
        <v>325</v>
      </c>
      <c r="BC117" s="351"/>
      <c r="BD117" s="681" t="s">
        <v>294</v>
      </c>
      <c r="BE117" s="350"/>
      <c r="BF117" s="351"/>
      <c r="BG117" s="678" t="s">
        <v>294</v>
      </c>
      <c r="BH117" s="350"/>
      <c r="BI117" s="350"/>
      <c r="BJ117" s="351"/>
      <c r="BK117" s="680"/>
      <c r="BL117" s="350"/>
      <c r="BM117" s="351"/>
      <c r="BN117" s="82"/>
      <c r="BO117" s="82"/>
      <c r="BP117" s="678"/>
      <c r="BQ117" s="350"/>
      <c r="BR117" s="351"/>
      <c r="BS117" s="681" t="s">
        <v>294</v>
      </c>
      <c r="BT117" s="350"/>
      <c r="BU117" s="351"/>
    </row>
    <row r="118" spans="1:73" ht="30" customHeight="1">
      <c r="A118" s="76">
        <f t="shared" si="0"/>
        <v>104</v>
      </c>
      <c r="B118" s="686" t="s">
        <v>325</v>
      </c>
      <c r="C118" s="351"/>
      <c r="D118" s="687" t="s">
        <v>294</v>
      </c>
      <c r="E118" s="350"/>
      <c r="F118" s="350"/>
      <c r="G118" s="351"/>
      <c r="H118" s="688" t="s">
        <v>294</v>
      </c>
      <c r="I118" s="350"/>
      <c r="J118" s="350"/>
      <c r="K118" s="351"/>
      <c r="L118" s="538" t="s">
        <v>294</v>
      </c>
      <c r="M118" s="350"/>
      <c r="N118" s="351"/>
      <c r="O118" s="539" t="s">
        <v>294</v>
      </c>
      <c r="P118" s="350"/>
      <c r="Q118" s="351"/>
      <c r="R118" s="574"/>
      <c r="S118" s="350"/>
      <c r="T118" s="351"/>
      <c r="U118" s="567"/>
      <c r="V118" s="350"/>
      <c r="W118" s="351"/>
      <c r="X118" s="77"/>
      <c r="Y118" s="78"/>
      <c r="Z118" s="77"/>
      <c r="AA118" s="78"/>
      <c r="AB118" s="77"/>
      <c r="AC118" s="78"/>
      <c r="AD118" s="77"/>
      <c r="AE118" s="78"/>
      <c r="AF118" s="77"/>
      <c r="AG118" s="78"/>
      <c r="AH118" s="77"/>
      <c r="AI118" s="78"/>
      <c r="AJ118" s="64"/>
      <c r="AK118" s="80"/>
      <c r="AL118" s="64"/>
      <c r="AM118" s="80"/>
      <c r="AN118" s="64"/>
      <c r="AO118" s="80"/>
      <c r="AP118" s="64"/>
      <c r="AQ118" s="80"/>
      <c r="AR118" s="64"/>
      <c r="AS118" s="679" t="s">
        <v>294</v>
      </c>
      <c r="AT118" s="350"/>
      <c r="AU118" s="350"/>
      <c r="AV118" s="350"/>
      <c r="AW118" s="350"/>
      <c r="AX118" s="350"/>
      <c r="AY118" s="351"/>
      <c r="AZ118" s="81"/>
      <c r="BA118" s="81"/>
      <c r="BB118" s="677" t="s">
        <v>325</v>
      </c>
      <c r="BC118" s="351"/>
      <c r="BD118" s="681" t="s">
        <v>294</v>
      </c>
      <c r="BE118" s="350"/>
      <c r="BF118" s="351"/>
      <c r="BG118" s="678" t="s">
        <v>294</v>
      </c>
      <c r="BH118" s="350"/>
      <c r="BI118" s="350"/>
      <c r="BJ118" s="351"/>
      <c r="BK118" s="680"/>
      <c r="BL118" s="350"/>
      <c r="BM118" s="351"/>
      <c r="BN118" s="82"/>
      <c r="BO118" s="82"/>
      <c r="BP118" s="678"/>
      <c r="BQ118" s="350"/>
      <c r="BR118" s="351"/>
      <c r="BS118" s="681" t="s">
        <v>294</v>
      </c>
      <c r="BT118" s="350"/>
      <c r="BU118" s="351"/>
    </row>
    <row r="119" spans="1:73" ht="30" customHeight="1">
      <c r="A119" s="76">
        <f t="shared" si="0"/>
        <v>105</v>
      </c>
      <c r="B119" s="686" t="s">
        <v>325</v>
      </c>
      <c r="C119" s="351"/>
      <c r="D119" s="687" t="s">
        <v>294</v>
      </c>
      <c r="E119" s="350"/>
      <c r="F119" s="350"/>
      <c r="G119" s="351"/>
      <c r="H119" s="688" t="s">
        <v>294</v>
      </c>
      <c r="I119" s="350"/>
      <c r="J119" s="350"/>
      <c r="K119" s="351"/>
      <c r="L119" s="538" t="s">
        <v>294</v>
      </c>
      <c r="M119" s="350"/>
      <c r="N119" s="351"/>
      <c r="O119" s="539" t="s">
        <v>294</v>
      </c>
      <c r="P119" s="350"/>
      <c r="Q119" s="351"/>
      <c r="R119" s="574"/>
      <c r="S119" s="350"/>
      <c r="T119" s="351"/>
      <c r="U119" s="567"/>
      <c r="V119" s="350"/>
      <c r="W119" s="351"/>
      <c r="X119" s="77"/>
      <c r="Y119" s="78"/>
      <c r="Z119" s="77"/>
      <c r="AA119" s="78"/>
      <c r="AB119" s="77"/>
      <c r="AC119" s="78"/>
      <c r="AD119" s="77"/>
      <c r="AE119" s="78"/>
      <c r="AF119" s="77"/>
      <c r="AG119" s="78"/>
      <c r="AH119" s="77"/>
      <c r="AI119" s="78"/>
      <c r="AJ119" s="64"/>
      <c r="AK119" s="80"/>
      <c r="AL119" s="64"/>
      <c r="AM119" s="80"/>
      <c r="AN119" s="64"/>
      <c r="AO119" s="80"/>
      <c r="AP119" s="64"/>
      <c r="AQ119" s="80"/>
      <c r="AR119" s="64"/>
      <c r="AS119" s="679" t="s">
        <v>294</v>
      </c>
      <c r="AT119" s="350"/>
      <c r="AU119" s="350"/>
      <c r="AV119" s="350"/>
      <c r="AW119" s="350"/>
      <c r="AX119" s="350"/>
      <c r="AY119" s="351"/>
      <c r="AZ119" s="81"/>
      <c r="BA119" s="81"/>
      <c r="BB119" s="677" t="s">
        <v>325</v>
      </c>
      <c r="BC119" s="351"/>
      <c r="BD119" s="681" t="s">
        <v>294</v>
      </c>
      <c r="BE119" s="350"/>
      <c r="BF119" s="351"/>
      <c r="BG119" s="678" t="s">
        <v>294</v>
      </c>
      <c r="BH119" s="350"/>
      <c r="BI119" s="350"/>
      <c r="BJ119" s="351"/>
      <c r="BK119" s="680"/>
      <c r="BL119" s="350"/>
      <c r="BM119" s="351"/>
      <c r="BN119" s="82"/>
      <c r="BO119" s="82"/>
      <c r="BP119" s="678"/>
      <c r="BQ119" s="350"/>
      <c r="BR119" s="351"/>
      <c r="BS119" s="681" t="s">
        <v>294</v>
      </c>
      <c r="BT119" s="350"/>
      <c r="BU119" s="351"/>
    </row>
    <row r="120" spans="1:73" ht="30" customHeight="1">
      <c r="A120" s="76">
        <f t="shared" si="0"/>
        <v>106</v>
      </c>
      <c r="B120" s="686" t="s">
        <v>325</v>
      </c>
      <c r="C120" s="351"/>
      <c r="D120" s="687" t="s">
        <v>294</v>
      </c>
      <c r="E120" s="350"/>
      <c r="F120" s="350"/>
      <c r="G120" s="351"/>
      <c r="H120" s="688" t="s">
        <v>294</v>
      </c>
      <c r="I120" s="350"/>
      <c r="J120" s="350"/>
      <c r="K120" s="351"/>
      <c r="L120" s="538" t="s">
        <v>294</v>
      </c>
      <c r="M120" s="350"/>
      <c r="N120" s="351"/>
      <c r="O120" s="539" t="s">
        <v>294</v>
      </c>
      <c r="P120" s="350"/>
      <c r="Q120" s="351"/>
      <c r="R120" s="574"/>
      <c r="S120" s="350"/>
      <c r="T120" s="351"/>
      <c r="U120" s="567"/>
      <c r="V120" s="350"/>
      <c r="W120" s="351"/>
      <c r="X120" s="77"/>
      <c r="Y120" s="78"/>
      <c r="Z120" s="77"/>
      <c r="AA120" s="78"/>
      <c r="AB120" s="77"/>
      <c r="AC120" s="78"/>
      <c r="AD120" s="77"/>
      <c r="AE120" s="78"/>
      <c r="AF120" s="77"/>
      <c r="AG120" s="78"/>
      <c r="AH120" s="77"/>
      <c r="AI120" s="78"/>
      <c r="AJ120" s="64"/>
      <c r="AK120" s="80"/>
      <c r="AL120" s="64"/>
      <c r="AM120" s="80"/>
      <c r="AN120" s="64"/>
      <c r="AO120" s="80"/>
      <c r="AP120" s="64"/>
      <c r="AQ120" s="80"/>
      <c r="AR120" s="64"/>
      <c r="AS120" s="679" t="s">
        <v>294</v>
      </c>
      <c r="AT120" s="350"/>
      <c r="AU120" s="350"/>
      <c r="AV120" s="350"/>
      <c r="AW120" s="350"/>
      <c r="AX120" s="350"/>
      <c r="AY120" s="351"/>
      <c r="AZ120" s="81"/>
      <c r="BA120" s="81"/>
      <c r="BB120" s="685" t="s">
        <v>325</v>
      </c>
      <c r="BC120" s="351"/>
      <c r="BD120" s="681" t="s">
        <v>294</v>
      </c>
      <c r="BE120" s="350"/>
      <c r="BF120" s="351"/>
      <c r="BG120" s="678" t="s">
        <v>294</v>
      </c>
      <c r="BH120" s="350"/>
      <c r="BI120" s="350"/>
      <c r="BJ120" s="351"/>
      <c r="BK120" s="680"/>
      <c r="BL120" s="350"/>
      <c r="BM120" s="351"/>
      <c r="BN120" s="82"/>
      <c r="BO120" s="82"/>
      <c r="BP120" s="678"/>
      <c r="BQ120" s="350"/>
      <c r="BR120" s="351"/>
      <c r="BS120" s="681" t="s">
        <v>294</v>
      </c>
      <c r="BT120" s="350"/>
      <c r="BU120" s="351"/>
    </row>
    <row r="121" spans="1:73" ht="30" customHeight="1">
      <c r="A121" s="76">
        <f t="shared" si="0"/>
        <v>107</v>
      </c>
      <c r="B121" s="686" t="s">
        <v>325</v>
      </c>
      <c r="C121" s="351"/>
      <c r="D121" s="687" t="s">
        <v>294</v>
      </c>
      <c r="E121" s="350"/>
      <c r="F121" s="350"/>
      <c r="G121" s="351"/>
      <c r="H121" s="688" t="s">
        <v>294</v>
      </c>
      <c r="I121" s="350"/>
      <c r="J121" s="350"/>
      <c r="K121" s="351"/>
      <c r="L121" s="538" t="s">
        <v>294</v>
      </c>
      <c r="M121" s="350"/>
      <c r="N121" s="351"/>
      <c r="O121" s="539" t="s">
        <v>294</v>
      </c>
      <c r="P121" s="350"/>
      <c r="Q121" s="351"/>
      <c r="R121" s="574"/>
      <c r="S121" s="350"/>
      <c r="T121" s="351"/>
      <c r="U121" s="567"/>
      <c r="V121" s="350"/>
      <c r="W121" s="351"/>
      <c r="X121" s="77"/>
      <c r="Y121" s="78"/>
      <c r="Z121" s="77"/>
      <c r="AA121" s="78"/>
      <c r="AB121" s="77"/>
      <c r="AC121" s="78"/>
      <c r="AD121" s="77"/>
      <c r="AE121" s="78"/>
      <c r="AF121" s="77"/>
      <c r="AG121" s="78"/>
      <c r="AH121" s="77"/>
      <c r="AI121" s="78"/>
      <c r="AJ121" s="64"/>
      <c r="AK121" s="80"/>
      <c r="AL121" s="64"/>
      <c r="AM121" s="80"/>
      <c r="AN121" s="64"/>
      <c r="AO121" s="80"/>
      <c r="AP121" s="64"/>
      <c r="AQ121" s="80"/>
      <c r="AR121" s="64"/>
      <c r="AS121" s="679" t="s">
        <v>294</v>
      </c>
      <c r="AT121" s="350"/>
      <c r="AU121" s="350"/>
      <c r="AV121" s="350"/>
      <c r="AW121" s="350"/>
      <c r="AX121" s="350"/>
      <c r="AY121" s="351"/>
      <c r="AZ121" s="81"/>
      <c r="BA121" s="81"/>
      <c r="BB121" s="677" t="s">
        <v>325</v>
      </c>
      <c r="BC121" s="351"/>
      <c r="BD121" s="681" t="s">
        <v>294</v>
      </c>
      <c r="BE121" s="350"/>
      <c r="BF121" s="351"/>
      <c r="BG121" s="678" t="s">
        <v>294</v>
      </c>
      <c r="BH121" s="350"/>
      <c r="BI121" s="350"/>
      <c r="BJ121" s="351"/>
      <c r="BK121" s="680"/>
      <c r="BL121" s="350"/>
      <c r="BM121" s="351"/>
      <c r="BN121" s="82"/>
      <c r="BO121" s="82"/>
      <c r="BP121" s="678"/>
      <c r="BQ121" s="350"/>
      <c r="BR121" s="351"/>
      <c r="BS121" s="681" t="s">
        <v>294</v>
      </c>
      <c r="BT121" s="350"/>
      <c r="BU121" s="351"/>
    </row>
    <row r="122" spans="1:73" ht="30" customHeight="1">
      <c r="A122" s="76">
        <f t="shared" si="0"/>
        <v>108</v>
      </c>
      <c r="B122" s="686" t="s">
        <v>325</v>
      </c>
      <c r="C122" s="351"/>
      <c r="D122" s="687" t="s">
        <v>294</v>
      </c>
      <c r="E122" s="350"/>
      <c r="F122" s="350"/>
      <c r="G122" s="351"/>
      <c r="H122" s="688" t="s">
        <v>294</v>
      </c>
      <c r="I122" s="350"/>
      <c r="J122" s="350"/>
      <c r="K122" s="351"/>
      <c r="L122" s="538" t="s">
        <v>294</v>
      </c>
      <c r="M122" s="350"/>
      <c r="N122" s="351"/>
      <c r="O122" s="539" t="s">
        <v>294</v>
      </c>
      <c r="P122" s="350"/>
      <c r="Q122" s="351"/>
      <c r="R122" s="574"/>
      <c r="S122" s="350"/>
      <c r="T122" s="351"/>
      <c r="U122" s="567"/>
      <c r="V122" s="350"/>
      <c r="W122" s="351"/>
      <c r="X122" s="77"/>
      <c r="Y122" s="78"/>
      <c r="Z122" s="77"/>
      <c r="AA122" s="78"/>
      <c r="AB122" s="77"/>
      <c r="AC122" s="78"/>
      <c r="AD122" s="77"/>
      <c r="AE122" s="78"/>
      <c r="AF122" s="77"/>
      <c r="AG122" s="78"/>
      <c r="AH122" s="77"/>
      <c r="AI122" s="78"/>
      <c r="AJ122" s="64"/>
      <c r="AK122" s="80"/>
      <c r="AL122" s="64"/>
      <c r="AM122" s="80"/>
      <c r="AN122" s="64"/>
      <c r="AO122" s="80"/>
      <c r="AP122" s="64"/>
      <c r="AQ122" s="80"/>
      <c r="AR122" s="64"/>
      <c r="AS122" s="679" t="s">
        <v>294</v>
      </c>
      <c r="AT122" s="350"/>
      <c r="AU122" s="350"/>
      <c r="AV122" s="350"/>
      <c r="AW122" s="350"/>
      <c r="AX122" s="350"/>
      <c r="AY122" s="351"/>
      <c r="AZ122" s="81"/>
      <c r="BA122" s="81"/>
      <c r="BB122" s="677" t="s">
        <v>325</v>
      </c>
      <c r="BC122" s="351"/>
      <c r="BD122" s="681" t="s">
        <v>294</v>
      </c>
      <c r="BE122" s="350"/>
      <c r="BF122" s="351"/>
      <c r="BG122" s="678" t="s">
        <v>294</v>
      </c>
      <c r="BH122" s="350"/>
      <c r="BI122" s="350"/>
      <c r="BJ122" s="351"/>
      <c r="BK122" s="680"/>
      <c r="BL122" s="350"/>
      <c r="BM122" s="351"/>
      <c r="BN122" s="82"/>
      <c r="BO122" s="82"/>
      <c r="BP122" s="678"/>
      <c r="BQ122" s="350"/>
      <c r="BR122" s="351"/>
      <c r="BS122" s="681" t="s">
        <v>294</v>
      </c>
      <c r="BT122" s="350"/>
      <c r="BU122" s="351"/>
    </row>
    <row r="123" spans="1:73" ht="30" customHeight="1">
      <c r="A123" s="76">
        <f t="shared" si="0"/>
        <v>109</v>
      </c>
      <c r="B123" s="686" t="s">
        <v>325</v>
      </c>
      <c r="C123" s="351"/>
      <c r="D123" s="687" t="s">
        <v>294</v>
      </c>
      <c r="E123" s="350"/>
      <c r="F123" s="350"/>
      <c r="G123" s="351"/>
      <c r="H123" s="688" t="s">
        <v>294</v>
      </c>
      <c r="I123" s="350"/>
      <c r="J123" s="350"/>
      <c r="K123" s="351"/>
      <c r="L123" s="538" t="s">
        <v>294</v>
      </c>
      <c r="M123" s="350"/>
      <c r="N123" s="351"/>
      <c r="O123" s="539" t="s">
        <v>294</v>
      </c>
      <c r="P123" s="350"/>
      <c r="Q123" s="351"/>
      <c r="R123" s="574"/>
      <c r="S123" s="350"/>
      <c r="T123" s="351"/>
      <c r="U123" s="567"/>
      <c r="V123" s="350"/>
      <c r="W123" s="351"/>
      <c r="X123" s="77"/>
      <c r="Y123" s="78"/>
      <c r="Z123" s="77"/>
      <c r="AA123" s="78"/>
      <c r="AB123" s="77"/>
      <c r="AC123" s="78"/>
      <c r="AD123" s="77"/>
      <c r="AE123" s="78"/>
      <c r="AF123" s="77"/>
      <c r="AG123" s="78"/>
      <c r="AH123" s="77"/>
      <c r="AI123" s="78"/>
      <c r="AJ123" s="64"/>
      <c r="AK123" s="80"/>
      <c r="AL123" s="64"/>
      <c r="AM123" s="80"/>
      <c r="AN123" s="64"/>
      <c r="AO123" s="80"/>
      <c r="AP123" s="64"/>
      <c r="AQ123" s="80"/>
      <c r="AR123" s="64"/>
      <c r="AS123" s="679" t="s">
        <v>294</v>
      </c>
      <c r="AT123" s="350"/>
      <c r="AU123" s="350"/>
      <c r="AV123" s="350"/>
      <c r="AW123" s="350"/>
      <c r="AX123" s="350"/>
      <c r="AY123" s="351"/>
      <c r="AZ123" s="81"/>
      <c r="BA123" s="81"/>
      <c r="BB123" s="677" t="s">
        <v>325</v>
      </c>
      <c r="BC123" s="351"/>
      <c r="BD123" s="681" t="s">
        <v>294</v>
      </c>
      <c r="BE123" s="350"/>
      <c r="BF123" s="351"/>
      <c r="BG123" s="678" t="s">
        <v>294</v>
      </c>
      <c r="BH123" s="350"/>
      <c r="BI123" s="350"/>
      <c r="BJ123" s="351"/>
      <c r="BK123" s="680"/>
      <c r="BL123" s="350"/>
      <c r="BM123" s="351"/>
      <c r="BN123" s="82"/>
      <c r="BO123" s="82"/>
      <c r="BP123" s="678"/>
      <c r="BQ123" s="350"/>
      <c r="BR123" s="351"/>
      <c r="BS123" s="681" t="s">
        <v>294</v>
      </c>
      <c r="BT123" s="350"/>
      <c r="BU123" s="351"/>
    </row>
    <row r="124" spans="1:73" ht="30" customHeight="1">
      <c r="A124" s="76">
        <f t="shared" si="0"/>
        <v>110</v>
      </c>
      <c r="B124" s="686" t="s">
        <v>325</v>
      </c>
      <c r="C124" s="351"/>
      <c r="D124" s="687" t="s">
        <v>294</v>
      </c>
      <c r="E124" s="350"/>
      <c r="F124" s="350"/>
      <c r="G124" s="351"/>
      <c r="H124" s="688" t="s">
        <v>294</v>
      </c>
      <c r="I124" s="350"/>
      <c r="J124" s="350"/>
      <c r="K124" s="351"/>
      <c r="L124" s="538" t="s">
        <v>294</v>
      </c>
      <c r="M124" s="350"/>
      <c r="N124" s="351"/>
      <c r="O124" s="539" t="s">
        <v>294</v>
      </c>
      <c r="P124" s="350"/>
      <c r="Q124" s="351"/>
      <c r="R124" s="574"/>
      <c r="S124" s="350"/>
      <c r="T124" s="351"/>
      <c r="U124" s="567"/>
      <c r="V124" s="350"/>
      <c r="W124" s="351"/>
      <c r="X124" s="77"/>
      <c r="Y124" s="78"/>
      <c r="Z124" s="77"/>
      <c r="AA124" s="78"/>
      <c r="AB124" s="77"/>
      <c r="AC124" s="78"/>
      <c r="AD124" s="77"/>
      <c r="AE124" s="78"/>
      <c r="AF124" s="77"/>
      <c r="AG124" s="78"/>
      <c r="AH124" s="77"/>
      <c r="AI124" s="78"/>
      <c r="AJ124" s="64"/>
      <c r="AK124" s="80"/>
      <c r="AL124" s="64"/>
      <c r="AM124" s="80"/>
      <c r="AN124" s="64"/>
      <c r="AO124" s="80"/>
      <c r="AP124" s="64"/>
      <c r="AQ124" s="80"/>
      <c r="AR124" s="64"/>
      <c r="AS124" s="679" t="s">
        <v>294</v>
      </c>
      <c r="AT124" s="350"/>
      <c r="AU124" s="350"/>
      <c r="AV124" s="350"/>
      <c r="AW124" s="350"/>
      <c r="AX124" s="350"/>
      <c r="AY124" s="351"/>
      <c r="AZ124" s="81"/>
      <c r="BA124" s="81"/>
      <c r="BB124" s="677" t="s">
        <v>325</v>
      </c>
      <c r="BC124" s="351"/>
      <c r="BD124" s="681" t="s">
        <v>294</v>
      </c>
      <c r="BE124" s="350"/>
      <c r="BF124" s="351"/>
      <c r="BG124" s="678" t="s">
        <v>294</v>
      </c>
      <c r="BH124" s="350"/>
      <c r="BI124" s="350"/>
      <c r="BJ124" s="351"/>
      <c r="BK124" s="680"/>
      <c r="BL124" s="350"/>
      <c r="BM124" s="351"/>
      <c r="BN124" s="82"/>
      <c r="BO124" s="82"/>
      <c r="BP124" s="678"/>
      <c r="BQ124" s="350"/>
      <c r="BR124" s="351"/>
      <c r="BS124" s="681" t="s">
        <v>294</v>
      </c>
      <c r="BT124" s="350"/>
      <c r="BU124" s="351"/>
    </row>
    <row r="125" spans="1:73" ht="30" customHeight="1">
      <c r="A125" s="76">
        <f t="shared" si="0"/>
        <v>111</v>
      </c>
      <c r="B125" s="686" t="s">
        <v>325</v>
      </c>
      <c r="C125" s="351"/>
      <c r="D125" s="687" t="s">
        <v>294</v>
      </c>
      <c r="E125" s="350"/>
      <c r="F125" s="350"/>
      <c r="G125" s="351"/>
      <c r="H125" s="688" t="s">
        <v>294</v>
      </c>
      <c r="I125" s="350"/>
      <c r="J125" s="350"/>
      <c r="K125" s="351"/>
      <c r="L125" s="538" t="s">
        <v>294</v>
      </c>
      <c r="M125" s="350"/>
      <c r="N125" s="351"/>
      <c r="O125" s="539" t="s">
        <v>294</v>
      </c>
      <c r="P125" s="350"/>
      <c r="Q125" s="351"/>
      <c r="R125" s="574"/>
      <c r="S125" s="350"/>
      <c r="T125" s="351"/>
      <c r="U125" s="567"/>
      <c r="V125" s="350"/>
      <c r="W125" s="351"/>
      <c r="X125" s="77"/>
      <c r="Y125" s="78"/>
      <c r="Z125" s="77"/>
      <c r="AA125" s="78"/>
      <c r="AB125" s="77"/>
      <c r="AC125" s="78"/>
      <c r="AD125" s="77"/>
      <c r="AE125" s="78"/>
      <c r="AF125" s="77"/>
      <c r="AG125" s="78"/>
      <c r="AH125" s="77"/>
      <c r="AI125" s="78"/>
      <c r="AJ125" s="64"/>
      <c r="AK125" s="80"/>
      <c r="AL125" s="64"/>
      <c r="AM125" s="80"/>
      <c r="AN125" s="64"/>
      <c r="AO125" s="80"/>
      <c r="AP125" s="64"/>
      <c r="AQ125" s="80"/>
      <c r="AR125" s="64"/>
      <c r="AS125" s="679" t="s">
        <v>294</v>
      </c>
      <c r="AT125" s="350"/>
      <c r="AU125" s="350"/>
      <c r="AV125" s="350"/>
      <c r="AW125" s="350"/>
      <c r="AX125" s="350"/>
      <c r="AY125" s="351"/>
      <c r="AZ125" s="81"/>
      <c r="BA125" s="81"/>
      <c r="BB125" s="677" t="s">
        <v>325</v>
      </c>
      <c r="BC125" s="351"/>
      <c r="BD125" s="681" t="s">
        <v>294</v>
      </c>
      <c r="BE125" s="350"/>
      <c r="BF125" s="351"/>
      <c r="BG125" s="678" t="s">
        <v>294</v>
      </c>
      <c r="BH125" s="350"/>
      <c r="BI125" s="350"/>
      <c r="BJ125" s="351"/>
      <c r="BK125" s="680"/>
      <c r="BL125" s="350"/>
      <c r="BM125" s="351"/>
      <c r="BN125" s="82"/>
      <c r="BO125" s="82"/>
      <c r="BP125" s="678"/>
      <c r="BQ125" s="350"/>
      <c r="BR125" s="351"/>
      <c r="BS125" s="681" t="s">
        <v>294</v>
      </c>
      <c r="BT125" s="350"/>
      <c r="BU125" s="351"/>
    </row>
    <row r="126" spans="1:73" ht="30" customHeight="1">
      <c r="A126" s="76">
        <f t="shared" si="0"/>
        <v>112</v>
      </c>
      <c r="B126" s="686" t="s">
        <v>325</v>
      </c>
      <c r="C126" s="351"/>
      <c r="D126" s="687" t="s">
        <v>294</v>
      </c>
      <c r="E126" s="350"/>
      <c r="F126" s="350"/>
      <c r="G126" s="351"/>
      <c r="H126" s="688" t="s">
        <v>294</v>
      </c>
      <c r="I126" s="350"/>
      <c r="J126" s="350"/>
      <c r="K126" s="351"/>
      <c r="L126" s="538" t="s">
        <v>294</v>
      </c>
      <c r="M126" s="350"/>
      <c r="N126" s="351"/>
      <c r="O126" s="539" t="s">
        <v>294</v>
      </c>
      <c r="P126" s="350"/>
      <c r="Q126" s="351"/>
      <c r="R126" s="574"/>
      <c r="S126" s="350"/>
      <c r="T126" s="351"/>
      <c r="U126" s="567"/>
      <c r="V126" s="350"/>
      <c r="W126" s="351"/>
      <c r="X126" s="77"/>
      <c r="Y126" s="78"/>
      <c r="Z126" s="77"/>
      <c r="AA126" s="78"/>
      <c r="AB126" s="77"/>
      <c r="AC126" s="78"/>
      <c r="AD126" s="77"/>
      <c r="AE126" s="78"/>
      <c r="AF126" s="77"/>
      <c r="AG126" s="78"/>
      <c r="AH126" s="77"/>
      <c r="AI126" s="78"/>
      <c r="AJ126" s="64"/>
      <c r="AK126" s="80"/>
      <c r="AL126" s="64"/>
      <c r="AM126" s="80"/>
      <c r="AN126" s="64"/>
      <c r="AO126" s="80"/>
      <c r="AP126" s="64"/>
      <c r="AQ126" s="80"/>
      <c r="AR126" s="64"/>
      <c r="AS126" s="679" t="s">
        <v>294</v>
      </c>
      <c r="AT126" s="350"/>
      <c r="AU126" s="350"/>
      <c r="AV126" s="350"/>
      <c r="AW126" s="350"/>
      <c r="AX126" s="350"/>
      <c r="AY126" s="351"/>
      <c r="AZ126" s="81"/>
      <c r="BA126" s="81"/>
      <c r="BB126" s="677" t="s">
        <v>325</v>
      </c>
      <c r="BC126" s="351"/>
      <c r="BD126" s="681" t="s">
        <v>294</v>
      </c>
      <c r="BE126" s="350"/>
      <c r="BF126" s="351"/>
      <c r="BG126" s="678" t="s">
        <v>294</v>
      </c>
      <c r="BH126" s="350"/>
      <c r="BI126" s="350"/>
      <c r="BJ126" s="351"/>
      <c r="BK126" s="680"/>
      <c r="BL126" s="350"/>
      <c r="BM126" s="351"/>
      <c r="BN126" s="82"/>
      <c r="BO126" s="82"/>
      <c r="BP126" s="678"/>
      <c r="BQ126" s="350"/>
      <c r="BR126" s="351"/>
      <c r="BS126" s="681" t="s">
        <v>294</v>
      </c>
      <c r="BT126" s="350"/>
      <c r="BU126" s="351"/>
    </row>
    <row r="127" spans="1:73" ht="30" customHeight="1">
      <c r="A127" s="76">
        <f t="shared" si="0"/>
        <v>113</v>
      </c>
      <c r="B127" s="686" t="s">
        <v>325</v>
      </c>
      <c r="C127" s="351"/>
      <c r="D127" s="687" t="s">
        <v>294</v>
      </c>
      <c r="E127" s="350"/>
      <c r="F127" s="350"/>
      <c r="G127" s="351"/>
      <c r="H127" s="688" t="s">
        <v>294</v>
      </c>
      <c r="I127" s="350"/>
      <c r="J127" s="350"/>
      <c r="K127" s="351"/>
      <c r="L127" s="538" t="s">
        <v>294</v>
      </c>
      <c r="M127" s="350"/>
      <c r="N127" s="351"/>
      <c r="O127" s="539" t="s">
        <v>294</v>
      </c>
      <c r="P127" s="350"/>
      <c r="Q127" s="351"/>
      <c r="R127" s="574"/>
      <c r="S127" s="350"/>
      <c r="T127" s="351"/>
      <c r="U127" s="567"/>
      <c r="V127" s="350"/>
      <c r="W127" s="351"/>
      <c r="X127" s="77"/>
      <c r="Y127" s="78"/>
      <c r="Z127" s="77"/>
      <c r="AA127" s="78"/>
      <c r="AB127" s="77"/>
      <c r="AC127" s="78"/>
      <c r="AD127" s="77"/>
      <c r="AE127" s="78"/>
      <c r="AF127" s="77"/>
      <c r="AG127" s="78"/>
      <c r="AH127" s="77"/>
      <c r="AI127" s="78"/>
      <c r="AJ127" s="64"/>
      <c r="AK127" s="80"/>
      <c r="AL127" s="64"/>
      <c r="AM127" s="80"/>
      <c r="AN127" s="64"/>
      <c r="AO127" s="80"/>
      <c r="AP127" s="64"/>
      <c r="AQ127" s="80"/>
      <c r="AR127" s="64"/>
      <c r="AS127" s="679" t="s">
        <v>294</v>
      </c>
      <c r="AT127" s="350"/>
      <c r="AU127" s="350"/>
      <c r="AV127" s="350"/>
      <c r="AW127" s="350"/>
      <c r="AX127" s="350"/>
      <c r="AY127" s="351"/>
      <c r="AZ127" s="81"/>
      <c r="BA127" s="81"/>
      <c r="BB127" s="685" t="s">
        <v>325</v>
      </c>
      <c r="BC127" s="351"/>
      <c r="BD127" s="681" t="s">
        <v>294</v>
      </c>
      <c r="BE127" s="350"/>
      <c r="BF127" s="351"/>
      <c r="BG127" s="678" t="s">
        <v>294</v>
      </c>
      <c r="BH127" s="350"/>
      <c r="BI127" s="350"/>
      <c r="BJ127" s="351"/>
      <c r="BK127" s="680"/>
      <c r="BL127" s="350"/>
      <c r="BM127" s="351"/>
      <c r="BN127" s="82"/>
      <c r="BO127" s="82"/>
      <c r="BP127" s="678"/>
      <c r="BQ127" s="350"/>
      <c r="BR127" s="351"/>
      <c r="BS127" s="681" t="s">
        <v>294</v>
      </c>
      <c r="BT127" s="350"/>
      <c r="BU127" s="351"/>
    </row>
    <row r="128" spans="1:73" ht="30" customHeight="1">
      <c r="A128" s="76">
        <f t="shared" si="0"/>
        <v>114</v>
      </c>
      <c r="B128" s="686" t="s">
        <v>325</v>
      </c>
      <c r="C128" s="351"/>
      <c r="D128" s="687" t="s">
        <v>294</v>
      </c>
      <c r="E128" s="350"/>
      <c r="F128" s="350"/>
      <c r="G128" s="351"/>
      <c r="H128" s="688" t="s">
        <v>294</v>
      </c>
      <c r="I128" s="350"/>
      <c r="J128" s="350"/>
      <c r="K128" s="351"/>
      <c r="L128" s="538" t="s">
        <v>294</v>
      </c>
      <c r="M128" s="350"/>
      <c r="N128" s="351"/>
      <c r="O128" s="539" t="s">
        <v>294</v>
      </c>
      <c r="P128" s="350"/>
      <c r="Q128" s="351"/>
      <c r="R128" s="574"/>
      <c r="S128" s="350"/>
      <c r="T128" s="351"/>
      <c r="U128" s="567"/>
      <c r="V128" s="350"/>
      <c r="W128" s="351"/>
      <c r="X128" s="77"/>
      <c r="Y128" s="78"/>
      <c r="Z128" s="77"/>
      <c r="AA128" s="78"/>
      <c r="AB128" s="77"/>
      <c r="AC128" s="78"/>
      <c r="AD128" s="77"/>
      <c r="AE128" s="78"/>
      <c r="AF128" s="77"/>
      <c r="AG128" s="78"/>
      <c r="AH128" s="77"/>
      <c r="AI128" s="78"/>
      <c r="AJ128" s="64"/>
      <c r="AK128" s="80"/>
      <c r="AL128" s="64"/>
      <c r="AM128" s="80"/>
      <c r="AN128" s="64"/>
      <c r="AO128" s="80"/>
      <c r="AP128" s="64"/>
      <c r="AQ128" s="80"/>
      <c r="AR128" s="64"/>
      <c r="AS128" s="679" t="s">
        <v>294</v>
      </c>
      <c r="AT128" s="350"/>
      <c r="AU128" s="350"/>
      <c r="AV128" s="350"/>
      <c r="AW128" s="350"/>
      <c r="AX128" s="350"/>
      <c r="AY128" s="351"/>
      <c r="AZ128" s="81"/>
      <c r="BA128" s="81"/>
      <c r="BB128" s="677" t="s">
        <v>325</v>
      </c>
      <c r="BC128" s="351"/>
      <c r="BD128" s="681" t="s">
        <v>294</v>
      </c>
      <c r="BE128" s="350"/>
      <c r="BF128" s="351"/>
      <c r="BG128" s="678" t="s">
        <v>294</v>
      </c>
      <c r="BH128" s="350"/>
      <c r="BI128" s="350"/>
      <c r="BJ128" s="351"/>
      <c r="BK128" s="680"/>
      <c r="BL128" s="350"/>
      <c r="BM128" s="351"/>
      <c r="BN128" s="82"/>
      <c r="BO128" s="82"/>
      <c r="BP128" s="678"/>
      <c r="BQ128" s="350"/>
      <c r="BR128" s="351"/>
      <c r="BS128" s="681" t="s">
        <v>294</v>
      </c>
      <c r="BT128" s="350"/>
      <c r="BU128" s="351"/>
    </row>
    <row r="129" spans="1:73" ht="30" customHeight="1">
      <c r="A129" s="76">
        <f t="shared" si="0"/>
        <v>115</v>
      </c>
      <c r="B129" s="686" t="s">
        <v>325</v>
      </c>
      <c r="C129" s="351"/>
      <c r="D129" s="687" t="s">
        <v>294</v>
      </c>
      <c r="E129" s="350"/>
      <c r="F129" s="350"/>
      <c r="G129" s="351"/>
      <c r="H129" s="688" t="s">
        <v>294</v>
      </c>
      <c r="I129" s="350"/>
      <c r="J129" s="350"/>
      <c r="K129" s="351"/>
      <c r="L129" s="538" t="s">
        <v>294</v>
      </c>
      <c r="M129" s="350"/>
      <c r="N129" s="351"/>
      <c r="O129" s="539" t="s">
        <v>294</v>
      </c>
      <c r="P129" s="350"/>
      <c r="Q129" s="351"/>
      <c r="R129" s="574"/>
      <c r="S129" s="350"/>
      <c r="T129" s="351"/>
      <c r="U129" s="567"/>
      <c r="V129" s="350"/>
      <c r="W129" s="351"/>
      <c r="X129" s="77"/>
      <c r="Y129" s="78"/>
      <c r="Z129" s="77"/>
      <c r="AA129" s="78"/>
      <c r="AB129" s="77"/>
      <c r="AC129" s="78"/>
      <c r="AD129" s="77"/>
      <c r="AE129" s="78"/>
      <c r="AF129" s="77"/>
      <c r="AG129" s="78"/>
      <c r="AH129" s="77"/>
      <c r="AI129" s="78"/>
      <c r="AJ129" s="64"/>
      <c r="AK129" s="80"/>
      <c r="AL129" s="64"/>
      <c r="AM129" s="80"/>
      <c r="AN129" s="64"/>
      <c r="AO129" s="80"/>
      <c r="AP129" s="64"/>
      <c r="AQ129" s="80"/>
      <c r="AR129" s="64"/>
      <c r="AS129" s="679" t="s">
        <v>294</v>
      </c>
      <c r="AT129" s="350"/>
      <c r="AU129" s="350"/>
      <c r="AV129" s="350"/>
      <c r="AW129" s="350"/>
      <c r="AX129" s="350"/>
      <c r="AY129" s="351"/>
      <c r="AZ129" s="81"/>
      <c r="BA129" s="81"/>
      <c r="BB129" s="677" t="s">
        <v>325</v>
      </c>
      <c r="BC129" s="351"/>
      <c r="BD129" s="681" t="s">
        <v>294</v>
      </c>
      <c r="BE129" s="350"/>
      <c r="BF129" s="351"/>
      <c r="BG129" s="678" t="s">
        <v>294</v>
      </c>
      <c r="BH129" s="350"/>
      <c r="BI129" s="350"/>
      <c r="BJ129" s="351"/>
      <c r="BK129" s="680"/>
      <c r="BL129" s="350"/>
      <c r="BM129" s="351"/>
      <c r="BN129" s="82"/>
      <c r="BO129" s="82"/>
      <c r="BP129" s="678"/>
      <c r="BQ129" s="350"/>
      <c r="BR129" s="351"/>
      <c r="BS129" s="681" t="s">
        <v>294</v>
      </c>
      <c r="BT129" s="350"/>
      <c r="BU129" s="351"/>
    </row>
    <row r="130" spans="1:73" ht="30" customHeight="1">
      <c r="A130" s="76">
        <f t="shared" si="0"/>
        <v>116</v>
      </c>
      <c r="B130" s="686" t="s">
        <v>325</v>
      </c>
      <c r="C130" s="351"/>
      <c r="D130" s="687" t="s">
        <v>294</v>
      </c>
      <c r="E130" s="350"/>
      <c r="F130" s="350"/>
      <c r="G130" s="351"/>
      <c r="H130" s="688" t="s">
        <v>294</v>
      </c>
      <c r="I130" s="350"/>
      <c r="J130" s="350"/>
      <c r="K130" s="351"/>
      <c r="L130" s="538" t="s">
        <v>294</v>
      </c>
      <c r="M130" s="350"/>
      <c r="N130" s="351"/>
      <c r="O130" s="539" t="s">
        <v>294</v>
      </c>
      <c r="P130" s="350"/>
      <c r="Q130" s="351"/>
      <c r="R130" s="574"/>
      <c r="S130" s="350"/>
      <c r="T130" s="351"/>
      <c r="U130" s="567"/>
      <c r="V130" s="350"/>
      <c r="W130" s="351"/>
      <c r="X130" s="77"/>
      <c r="Y130" s="78"/>
      <c r="Z130" s="77"/>
      <c r="AA130" s="78"/>
      <c r="AB130" s="77"/>
      <c r="AC130" s="78"/>
      <c r="AD130" s="77"/>
      <c r="AE130" s="78"/>
      <c r="AF130" s="77"/>
      <c r="AG130" s="78"/>
      <c r="AH130" s="77"/>
      <c r="AI130" s="78"/>
      <c r="AJ130" s="64"/>
      <c r="AK130" s="80"/>
      <c r="AL130" s="64"/>
      <c r="AM130" s="80"/>
      <c r="AN130" s="64"/>
      <c r="AO130" s="80"/>
      <c r="AP130" s="64"/>
      <c r="AQ130" s="80"/>
      <c r="AR130" s="64"/>
      <c r="AS130" s="679" t="s">
        <v>294</v>
      </c>
      <c r="AT130" s="350"/>
      <c r="AU130" s="350"/>
      <c r="AV130" s="350"/>
      <c r="AW130" s="350"/>
      <c r="AX130" s="350"/>
      <c r="AY130" s="351"/>
      <c r="AZ130" s="81"/>
      <c r="BA130" s="81"/>
      <c r="BB130" s="677" t="s">
        <v>325</v>
      </c>
      <c r="BC130" s="351"/>
      <c r="BD130" s="681" t="s">
        <v>294</v>
      </c>
      <c r="BE130" s="350"/>
      <c r="BF130" s="351"/>
      <c r="BG130" s="678" t="s">
        <v>294</v>
      </c>
      <c r="BH130" s="350"/>
      <c r="BI130" s="350"/>
      <c r="BJ130" s="351"/>
      <c r="BK130" s="680"/>
      <c r="BL130" s="350"/>
      <c r="BM130" s="351"/>
      <c r="BN130" s="82"/>
      <c r="BO130" s="82"/>
      <c r="BP130" s="678"/>
      <c r="BQ130" s="350"/>
      <c r="BR130" s="351"/>
      <c r="BS130" s="681" t="s">
        <v>294</v>
      </c>
      <c r="BT130" s="350"/>
      <c r="BU130" s="351"/>
    </row>
    <row r="131" spans="1:73" ht="30" customHeight="1">
      <c r="A131" s="76">
        <f t="shared" si="0"/>
        <v>117</v>
      </c>
      <c r="B131" s="686" t="s">
        <v>325</v>
      </c>
      <c r="C131" s="351"/>
      <c r="D131" s="687" t="s">
        <v>294</v>
      </c>
      <c r="E131" s="350"/>
      <c r="F131" s="350"/>
      <c r="G131" s="351"/>
      <c r="H131" s="688" t="s">
        <v>294</v>
      </c>
      <c r="I131" s="350"/>
      <c r="J131" s="350"/>
      <c r="K131" s="351"/>
      <c r="L131" s="538" t="s">
        <v>294</v>
      </c>
      <c r="M131" s="350"/>
      <c r="N131" s="351"/>
      <c r="O131" s="539" t="s">
        <v>294</v>
      </c>
      <c r="P131" s="350"/>
      <c r="Q131" s="351"/>
      <c r="R131" s="574"/>
      <c r="S131" s="350"/>
      <c r="T131" s="351"/>
      <c r="U131" s="567"/>
      <c r="V131" s="350"/>
      <c r="W131" s="351"/>
      <c r="X131" s="77"/>
      <c r="Y131" s="78"/>
      <c r="Z131" s="77"/>
      <c r="AA131" s="78"/>
      <c r="AB131" s="77"/>
      <c r="AC131" s="78"/>
      <c r="AD131" s="77"/>
      <c r="AE131" s="78"/>
      <c r="AF131" s="77"/>
      <c r="AG131" s="78"/>
      <c r="AH131" s="77"/>
      <c r="AI131" s="78"/>
      <c r="AJ131" s="64"/>
      <c r="AK131" s="80"/>
      <c r="AL131" s="64"/>
      <c r="AM131" s="80"/>
      <c r="AN131" s="64"/>
      <c r="AO131" s="80"/>
      <c r="AP131" s="64"/>
      <c r="AQ131" s="80"/>
      <c r="AR131" s="64"/>
      <c r="AS131" s="679" t="s">
        <v>294</v>
      </c>
      <c r="AT131" s="350"/>
      <c r="AU131" s="350"/>
      <c r="AV131" s="350"/>
      <c r="AW131" s="350"/>
      <c r="AX131" s="350"/>
      <c r="AY131" s="351"/>
      <c r="AZ131" s="81"/>
      <c r="BA131" s="81"/>
      <c r="BB131" s="677" t="s">
        <v>325</v>
      </c>
      <c r="BC131" s="351"/>
      <c r="BD131" s="681" t="s">
        <v>294</v>
      </c>
      <c r="BE131" s="350"/>
      <c r="BF131" s="351"/>
      <c r="BG131" s="678" t="s">
        <v>294</v>
      </c>
      <c r="BH131" s="350"/>
      <c r="BI131" s="350"/>
      <c r="BJ131" s="351"/>
      <c r="BK131" s="680"/>
      <c r="BL131" s="350"/>
      <c r="BM131" s="351"/>
      <c r="BN131" s="82"/>
      <c r="BO131" s="82"/>
      <c r="BP131" s="678"/>
      <c r="BQ131" s="350"/>
      <c r="BR131" s="351"/>
      <c r="BS131" s="681" t="s">
        <v>294</v>
      </c>
      <c r="BT131" s="350"/>
      <c r="BU131" s="351"/>
    </row>
    <row r="132" spans="1:73" ht="30" customHeight="1">
      <c r="A132" s="76">
        <f t="shared" si="0"/>
        <v>118</v>
      </c>
      <c r="B132" s="686" t="s">
        <v>325</v>
      </c>
      <c r="C132" s="351"/>
      <c r="D132" s="687" t="s">
        <v>294</v>
      </c>
      <c r="E132" s="350"/>
      <c r="F132" s="350"/>
      <c r="G132" s="351"/>
      <c r="H132" s="688" t="s">
        <v>294</v>
      </c>
      <c r="I132" s="350"/>
      <c r="J132" s="350"/>
      <c r="K132" s="351"/>
      <c r="L132" s="538" t="s">
        <v>294</v>
      </c>
      <c r="M132" s="350"/>
      <c r="N132" s="351"/>
      <c r="O132" s="539" t="s">
        <v>294</v>
      </c>
      <c r="P132" s="350"/>
      <c r="Q132" s="351"/>
      <c r="R132" s="574"/>
      <c r="S132" s="350"/>
      <c r="T132" s="351"/>
      <c r="U132" s="567"/>
      <c r="V132" s="350"/>
      <c r="W132" s="351"/>
      <c r="X132" s="77"/>
      <c r="Y132" s="78"/>
      <c r="Z132" s="77"/>
      <c r="AA132" s="78"/>
      <c r="AB132" s="77"/>
      <c r="AC132" s="78"/>
      <c r="AD132" s="77"/>
      <c r="AE132" s="78"/>
      <c r="AF132" s="77"/>
      <c r="AG132" s="78"/>
      <c r="AH132" s="77"/>
      <c r="AI132" s="78"/>
      <c r="AJ132" s="64"/>
      <c r="AK132" s="80"/>
      <c r="AL132" s="64"/>
      <c r="AM132" s="80"/>
      <c r="AN132" s="64"/>
      <c r="AO132" s="80"/>
      <c r="AP132" s="64"/>
      <c r="AQ132" s="80"/>
      <c r="AR132" s="64"/>
      <c r="AS132" s="679" t="s">
        <v>294</v>
      </c>
      <c r="AT132" s="350"/>
      <c r="AU132" s="350"/>
      <c r="AV132" s="350"/>
      <c r="AW132" s="350"/>
      <c r="AX132" s="350"/>
      <c r="AY132" s="351"/>
      <c r="AZ132" s="81"/>
      <c r="BA132" s="81"/>
      <c r="BB132" s="677" t="s">
        <v>325</v>
      </c>
      <c r="BC132" s="351"/>
      <c r="BD132" s="681" t="s">
        <v>294</v>
      </c>
      <c r="BE132" s="350"/>
      <c r="BF132" s="351"/>
      <c r="BG132" s="678" t="s">
        <v>294</v>
      </c>
      <c r="BH132" s="350"/>
      <c r="BI132" s="350"/>
      <c r="BJ132" s="351"/>
      <c r="BK132" s="680"/>
      <c r="BL132" s="350"/>
      <c r="BM132" s="351"/>
      <c r="BN132" s="82"/>
      <c r="BO132" s="82"/>
      <c r="BP132" s="678"/>
      <c r="BQ132" s="350"/>
      <c r="BR132" s="351"/>
      <c r="BS132" s="681" t="s">
        <v>294</v>
      </c>
      <c r="BT132" s="350"/>
      <c r="BU132" s="351"/>
    </row>
    <row r="133" spans="1:73" ht="30" customHeight="1">
      <c r="A133" s="76">
        <f t="shared" si="0"/>
        <v>119</v>
      </c>
      <c r="B133" s="686" t="s">
        <v>325</v>
      </c>
      <c r="C133" s="351"/>
      <c r="D133" s="687" t="s">
        <v>294</v>
      </c>
      <c r="E133" s="350"/>
      <c r="F133" s="350"/>
      <c r="G133" s="351"/>
      <c r="H133" s="688" t="s">
        <v>294</v>
      </c>
      <c r="I133" s="350"/>
      <c r="J133" s="350"/>
      <c r="K133" s="351"/>
      <c r="L133" s="538" t="s">
        <v>294</v>
      </c>
      <c r="M133" s="350"/>
      <c r="N133" s="351"/>
      <c r="O133" s="539" t="s">
        <v>294</v>
      </c>
      <c r="P133" s="350"/>
      <c r="Q133" s="351"/>
      <c r="R133" s="574"/>
      <c r="S133" s="350"/>
      <c r="T133" s="351"/>
      <c r="U133" s="567"/>
      <c r="V133" s="350"/>
      <c r="W133" s="351"/>
      <c r="X133" s="77"/>
      <c r="Y133" s="78"/>
      <c r="Z133" s="77"/>
      <c r="AA133" s="78"/>
      <c r="AB133" s="77"/>
      <c r="AC133" s="78"/>
      <c r="AD133" s="77"/>
      <c r="AE133" s="78"/>
      <c r="AF133" s="77"/>
      <c r="AG133" s="78"/>
      <c r="AH133" s="77"/>
      <c r="AI133" s="78"/>
      <c r="AJ133" s="64"/>
      <c r="AK133" s="80"/>
      <c r="AL133" s="64"/>
      <c r="AM133" s="80"/>
      <c r="AN133" s="64"/>
      <c r="AO133" s="80"/>
      <c r="AP133" s="64"/>
      <c r="AQ133" s="80"/>
      <c r="AR133" s="64"/>
      <c r="AS133" s="679" t="s">
        <v>294</v>
      </c>
      <c r="AT133" s="350"/>
      <c r="AU133" s="350"/>
      <c r="AV133" s="350"/>
      <c r="AW133" s="350"/>
      <c r="AX133" s="350"/>
      <c r="AY133" s="351"/>
      <c r="AZ133" s="81"/>
      <c r="BA133" s="81"/>
      <c r="BB133" s="677" t="s">
        <v>325</v>
      </c>
      <c r="BC133" s="351"/>
      <c r="BD133" s="681" t="s">
        <v>294</v>
      </c>
      <c r="BE133" s="350"/>
      <c r="BF133" s="351"/>
      <c r="BG133" s="678" t="s">
        <v>294</v>
      </c>
      <c r="BH133" s="350"/>
      <c r="BI133" s="350"/>
      <c r="BJ133" s="351"/>
      <c r="BK133" s="680"/>
      <c r="BL133" s="350"/>
      <c r="BM133" s="351"/>
      <c r="BN133" s="82"/>
      <c r="BO133" s="82"/>
      <c r="BP133" s="678"/>
      <c r="BQ133" s="350"/>
      <c r="BR133" s="351"/>
      <c r="BS133" s="681" t="s">
        <v>294</v>
      </c>
      <c r="BT133" s="350"/>
      <c r="BU133" s="351"/>
    </row>
    <row r="134" spans="1:73" ht="30" customHeight="1">
      <c r="A134" s="76">
        <f t="shared" si="0"/>
        <v>120</v>
      </c>
      <c r="B134" s="686" t="s">
        <v>325</v>
      </c>
      <c r="C134" s="351"/>
      <c r="D134" s="687" t="s">
        <v>294</v>
      </c>
      <c r="E134" s="350"/>
      <c r="F134" s="350"/>
      <c r="G134" s="351"/>
      <c r="H134" s="688" t="s">
        <v>294</v>
      </c>
      <c r="I134" s="350"/>
      <c r="J134" s="350"/>
      <c r="K134" s="351"/>
      <c r="L134" s="538" t="s">
        <v>294</v>
      </c>
      <c r="M134" s="350"/>
      <c r="N134" s="351"/>
      <c r="O134" s="539" t="s">
        <v>294</v>
      </c>
      <c r="P134" s="350"/>
      <c r="Q134" s="351"/>
      <c r="R134" s="574"/>
      <c r="S134" s="350"/>
      <c r="T134" s="351"/>
      <c r="U134" s="567"/>
      <c r="V134" s="350"/>
      <c r="W134" s="351"/>
      <c r="X134" s="77"/>
      <c r="Y134" s="78"/>
      <c r="Z134" s="77"/>
      <c r="AA134" s="78"/>
      <c r="AB134" s="77"/>
      <c r="AC134" s="78"/>
      <c r="AD134" s="77"/>
      <c r="AE134" s="78"/>
      <c r="AF134" s="77"/>
      <c r="AG134" s="78"/>
      <c r="AH134" s="77"/>
      <c r="AI134" s="78"/>
      <c r="AJ134" s="64"/>
      <c r="AK134" s="80"/>
      <c r="AL134" s="64"/>
      <c r="AM134" s="80"/>
      <c r="AN134" s="64"/>
      <c r="AO134" s="80"/>
      <c r="AP134" s="64"/>
      <c r="AQ134" s="80"/>
      <c r="AR134" s="64"/>
      <c r="AS134" s="679" t="s">
        <v>294</v>
      </c>
      <c r="AT134" s="350"/>
      <c r="AU134" s="350"/>
      <c r="AV134" s="350"/>
      <c r="AW134" s="350"/>
      <c r="AX134" s="350"/>
      <c r="AY134" s="351"/>
      <c r="AZ134" s="81"/>
      <c r="BA134" s="81"/>
      <c r="BB134" s="685" t="s">
        <v>325</v>
      </c>
      <c r="BC134" s="351"/>
      <c r="BD134" s="681" t="s">
        <v>294</v>
      </c>
      <c r="BE134" s="350"/>
      <c r="BF134" s="351"/>
      <c r="BG134" s="678" t="s">
        <v>294</v>
      </c>
      <c r="BH134" s="350"/>
      <c r="BI134" s="350"/>
      <c r="BJ134" s="351"/>
      <c r="BK134" s="680"/>
      <c r="BL134" s="350"/>
      <c r="BM134" s="351"/>
      <c r="BN134" s="82"/>
      <c r="BO134" s="82"/>
      <c r="BP134" s="678"/>
      <c r="BQ134" s="350"/>
      <c r="BR134" s="351"/>
      <c r="BS134" s="681" t="s">
        <v>294</v>
      </c>
      <c r="BT134" s="350"/>
      <c r="BU134" s="351"/>
    </row>
    <row r="135" spans="1:73" ht="30" customHeight="1">
      <c r="A135" s="76">
        <f t="shared" si="0"/>
        <v>121</v>
      </c>
      <c r="B135" s="686" t="s">
        <v>325</v>
      </c>
      <c r="C135" s="351"/>
      <c r="D135" s="687" t="s">
        <v>294</v>
      </c>
      <c r="E135" s="350"/>
      <c r="F135" s="350"/>
      <c r="G135" s="351"/>
      <c r="H135" s="688" t="s">
        <v>294</v>
      </c>
      <c r="I135" s="350"/>
      <c r="J135" s="350"/>
      <c r="K135" s="351"/>
      <c r="L135" s="538" t="s">
        <v>294</v>
      </c>
      <c r="M135" s="350"/>
      <c r="N135" s="351"/>
      <c r="O135" s="539" t="s">
        <v>294</v>
      </c>
      <c r="P135" s="350"/>
      <c r="Q135" s="351"/>
      <c r="R135" s="574"/>
      <c r="S135" s="350"/>
      <c r="T135" s="351"/>
      <c r="U135" s="567"/>
      <c r="V135" s="350"/>
      <c r="W135" s="351"/>
      <c r="X135" s="77"/>
      <c r="Y135" s="78"/>
      <c r="Z135" s="77"/>
      <c r="AA135" s="78"/>
      <c r="AB135" s="77"/>
      <c r="AC135" s="78"/>
      <c r="AD135" s="77"/>
      <c r="AE135" s="78"/>
      <c r="AF135" s="77"/>
      <c r="AG135" s="78"/>
      <c r="AH135" s="77"/>
      <c r="AI135" s="78"/>
      <c r="AJ135" s="64"/>
      <c r="AK135" s="80"/>
      <c r="AL135" s="64"/>
      <c r="AM135" s="80"/>
      <c r="AN135" s="64"/>
      <c r="AO135" s="80"/>
      <c r="AP135" s="64"/>
      <c r="AQ135" s="80"/>
      <c r="AR135" s="64"/>
      <c r="AS135" s="679" t="s">
        <v>294</v>
      </c>
      <c r="AT135" s="350"/>
      <c r="AU135" s="350"/>
      <c r="AV135" s="350"/>
      <c r="AW135" s="350"/>
      <c r="AX135" s="350"/>
      <c r="AY135" s="351"/>
      <c r="AZ135" s="81"/>
      <c r="BA135" s="81"/>
      <c r="BB135" s="677" t="s">
        <v>325</v>
      </c>
      <c r="BC135" s="351"/>
      <c r="BD135" s="681" t="s">
        <v>294</v>
      </c>
      <c r="BE135" s="350"/>
      <c r="BF135" s="351"/>
      <c r="BG135" s="678" t="s">
        <v>294</v>
      </c>
      <c r="BH135" s="350"/>
      <c r="BI135" s="350"/>
      <c r="BJ135" s="351"/>
      <c r="BK135" s="680"/>
      <c r="BL135" s="350"/>
      <c r="BM135" s="351"/>
      <c r="BN135" s="82"/>
      <c r="BO135" s="82"/>
      <c r="BP135" s="678"/>
      <c r="BQ135" s="350"/>
      <c r="BR135" s="351"/>
      <c r="BS135" s="681" t="s">
        <v>294</v>
      </c>
      <c r="BT135" s="350"/>
      <c r="BU135" s="351"/>
    </row>
    <row r="136" spans="1:73" ht="30" customHeight="1">
      <c r="A136" s="76">
        <f t="shared" si="0"/>
        <v>122</v>
      </c>
      <c r="B136" s="686" t="s">
        <v>325</v>
      </c>
      <c r="C136" s="351"/>
      <c r="D136" s="687" t="s">
        <v>294</v>
      </c>
      <c r="E136" s="350"/>
      <c r="F136" s="350"/>
      <c r="G136" s="351"/>
      <c r="H136" s="688" t="s">
        <v>294</v>
      </c>
      <c r="I136" s="350"/>
      <c r="J136" s="350"/>
      <c r="K136" s="351"/>
      <c r="L136" s="538" t="s">
        <v>294</v>
      </c>
      <c r="M136" s="350"/>
      <c r="N136" s="351"/>
      <c r="O136" s="539" t="s">
        <v>294</v>
      </c>
      <c r="P136" s="350"/>
      <c r="Q136" s="351"/>
      <c r="R136" s="574"/>
      <c r="S136" s="350"/>
      <c r="T136" s="351"/>
      <c r="U136" s="567"/>
      <c r="V136" s="350"/>
      <c r="W136" s="351"/>
      <c r="X136" s="77"/>
      <c r="Y136" s="78"/>
      <c r="Z136" s="77"/>
      <c r="AA136" s="78"/>
      <c r="AB136" s="77"/>
      <c r="AC136" s="78"/>
      <c r="AD136" s="77"/>
      <c r="AE136" s="78"/>
      <c r="AF136" s="77"/>
      <c r="AG136" s="78"/>
      <c r="AH136" s="77"/>
      <c r="AI136" s="78"/>
      <c r="AJ136" s="64"/>
      <c r="AK136" s="80"/>
      <c r="AL136" s="64"/>
      <c r="AM136" s="80"/>
      <c r="AN136" s="64"/>
      <c r="AO136" s="80"/>
      <c r="AP136" s="64"/>
      <c r="AQ136" s="80"/>
      <c r="AR136" s="64"/>
      <c r="AS136" s="679" t="s">
        <v>294</v>
      </c>
      <c r="AT136" s="350"/>
      <c r="AU136" s="350"/>
      <c r="AV136" s="350"/>
      <c r="AW136" s="350"/>
      <c r="AX136" s="350"/>
      <c r="AY136" s="351"/>
      <c r="AZ136" s="81"/>
      <c r="BA136" s="81"/>
      <c r="BB136" s="677" t="s">
        <v>325</v>
      </c>
      <c r="BC136" s="351"/>
      <c r="BD136" s="681" t="s">
        <v>294</v>
      </c>
      <c r="BE136" s="350"/>
      <c r="BF136" s="351"/>
      <c r="BG136" s="678" t="s">
        <v>294</v>
      </c>
      <c r="BH136" s="350"/>
      <c r="BI136" s="350"/>
      <c r="BJ136" s="351"/>
      <c r="BK136" s="680"/>
      <c r="BL136" s="350"/>
      <c r="BM136" s="351"/>
      <c r="BN136" s="82"/>
      <c r="BO136" s="82"/>
      <c r="BP136" s="678"/>
      <c r="BQ136" s="350"/>
      <c r="BR136" s="351"/>
      <c r="BS136" s="681" t="s">
        <v>294</v>
      </c>
      <c r="BT136" s="350"/>
      <c r="BU136" s="351"/>
    </row>
    <row r="137" spans="1:73" ht="30" customHeight="1">
      <c r="A137" s="76">
        <f t="shared" si="0"/>
        <v>123</v>
      </c>
      <c r="B137" s="686" t="s">
        <v>325</v>
      </c>
      <c r="C137" s="351"/>
      <c r="D137" s="687" t="s">
        <v>294</v>
      </c>
      <c r="E137" s="350"/>
      <c r="F137" s="350"/>
      <c r="G137" s="351"/>
      <c r="H137" s="688" t="s">
        <v>294</v>
      </c>
      <c r="I137" s="350"/>
      <c r="J137" s="350"/>
      <c r="K137" s="351"/>
      <c r="L137" s="538" t="s">
        <v>294</v>
      </c>
      <c r="M137" s="350"/>
      <c r="N137" s="351"/>
      <c r="O137" s="539" t="s">
        <v>294</v>
      </c>
      <c r="P137" s="350"/>
      <c r="Q137" s="351"/>
      <c r="R137" s="574"/>
      <c r="S137" s="350"/>
      <c r="T137" s="351"/>
      <c r="U137" s="567"/>
      <c r="V137" s="350"/>
      <c r="W137" s="351"/>
      <c r="X137" s="77"/>
      <c r="Y137" s="78"/>
      <c r="Z137" s="77"/>
      <c r="AA137" s="78"/>
      <c r="AB137" s="77"/>
      <c r="AC137" s="78"/>
      <c r="AD137" s="77"/>
      <c r="AE137" s="78"/>
      <c r="AF137" s="77"/>
      <c r="AG137" s="78"/>
      <c r="AH137" s="77"/>
      <c r="AI137" s="78"/>
      <c r="AJ137" s="64"/>
      <c r="AK137" s="80"/>
      <c r="AL137" s="64"/>
      <c r="AM137" s="80"/>
      <c r="AN137" s="64"/>
      <c r="AO137" s="80"/>
      <c r="AP137" s="64"/>
      <c r="AQ137" s="80"/>
      <c r="AR137" s="64"/>
      <c r="AS137" s="679" t="s">
        <v>294</v>
      </c>
      <c r="AT137" s="350"/>
      <c r="AU137" s="350"/>
      <c r="AV137" s="350"/>
      <c r="AW137" s="350"/>
      <c r="AX137" s="350"/>
      <c r="AY137" s="351"/>
      <c r="AZ137" s="81"/>
      <c r="BA137" s="81"/>
      <c r="BB137" s="677" t="s">
        <v>325</v>
      </c>
      <c r="BC137" s="351"/>
      <c r="BD137" s="681" t="s">
        <v>294</v>
      </c>
      <c r="BE137" s="350"/>
      <c r="BF137" s="351"/>
      <c r="BG137" s="678" t="s">
        <v>294</v>
      </c>
      <c r="BH137" s="350"/>
      <c r="BI137" s="350"/>
      <c r="BJ137" s="351"/>
      <c r="BK137" s="680"/>
      <c r="BL137" s="350"/>
      <c r="BM137" s="351"/>
      <c r="BN137" s="82"/>
      <c r="BO137" s="82"/>
      <c r="BP137" s="678"/>
      <c r="BQ137" s="350"/>
      <c r="BR137" s="351"/>
      <c r="BS137" s="681" t="s">
        <v>294</v>
      </c>
      <c r="BT137" s="350"/>
      <c r="BU137" s="351"/>
    </row>
    <row r="138" spans="1:73" ht="30" customHeight="1">
      <c r="A138" s="76">
        <f t="shared" si="0"/>
        <v>124</v>
      </c>
      <c r="B138" s="686" t="s">
        <v>325</v>
      </c>
      <c r="C138" s="351"/>
      <c r="D138" s="687" t="s">
        <v>294</v>
      </c>
      <c r="E138" s="350"/>
      <c r="F138" s="350"/>
      <c r="G138" s="351"/>
      <c r="H138" s="688" t="s">
        <v>294</v>
      </c>
      <c r="I138" s="350"/>
      <c r="J138" s="350"/>
      <c r="K138" s="351"/>
      <c r="L138" s="538" t="s">
        <v>294</v>
      </c>
      <c r="M138" s="350"/>
      <c r="N138" s="351"/>
      <c r="O138" s="539" t="s">
        <v>294</v>
      </c>
      <c r="P138" s="350"/>
      <c r="Q138" s="351"/>
      <c r="R138" s="574"/>
      <c r="S138" s="350"/>
      <c r="T138" s="351"/>
      <c r="U138" s="567"/>
      <c r="V138" s="350"/>
      <c r="W138" s="351"/>
      <c r="X138" s="77"/>
      <c r="Y138" s="78"/>
      <c r="Z138" s="77"/>
      <c r="AA138" s="78"/>
      <c r="AB138" s="77"/>
      <c r="AC138" s="78"/>
      <c r="AD138" s="77"/>
      <c r="AE138" s="78"/>
      <c r="AF138" s="77"/>
      <c r="AG138" s="78"/>
      <c r="AH138" s="77"/>
      <c r="AI138" s="78"/>
      <c r="AJ138" s="64"/>
      <c r="AK138" s="80"/>
      <c r="AL138" s="64"/>
      <c r="AM138" s="80"/>
      <c r="AN138" s="64"/>
      <c r="AO138" s="80"/>
      <c r="AP138" s="64"/>
      <c r="AQ138" s="80"/>
      <c r="AR138" s="64"/>
      <c r="AS138" s="679" t="s">
        <v>294</v>
      </c>
      <c r="AT138" s="350"/>
      <c r="AU138" s="350"/>
      <c r="AV138" s="350"/>
      <c r="AW138" s="350"/>
      <c r="AX138" s="350"/>
      <c r="AY138" s="351"/>
      <c r="AZ138" s="81"/>
      <c r="BA138" s="81"/>
      <c r="BB138" s="677" t="s">
        <v>325</v>
      </c>
      <c r="BC138" s="351"/>
      <c r="BD138" s="681" t="s">
        <v>294</v>
      </c>
      <c r="BE138" s="350"/>
      <c r="BF138" s="351"/>
      <c r="BG138" s="678" t="s">
        <v>294</v>
      </c>
      <c r="BH138" s="350"/>
      <c r="BI138" s="350"/>
      <c r="BJ138" s="351"/>
      <c r="BK138" s="680"/>
      <c r="BL138" s="350"/>
      <c r="BM138" s="351"/>
      <c r="BN138" s="82"/>
      <c r="BO138" s="82"/>
      <c r="BP138" s="678"/>
      <c r="BQ138" s="350"/>
      <c r="BR138" s="351"/>
      <c r="BS138" s="681" t="s">
        <v>294</v>
      </c>
      <c r="BT138" s="350"/>
      <c r="BU138" s="351"/>
    </row>
    <row r="139" spans="1:73" ht="30" customHeight="1">
      <c r="A139" s="76">
        <f t="shared" si="0"/>
        <v>125</v>
      </c>
      <c r="B139" s="686" t="s">
        <v>325</v>
      </c>
      <c r="C139" s="351"/>
      <c r="D139" s="687" t="s">
        <v>294</v>
      </c>
      <c r="E139" s="350"/>
      <c r="F139" s="350"/>
      <c r="G139" s="351"/>
      <c r="H139" s="688" t="s">
        <v>294</v>
      </c>
      <c r="I139" s="350"/>
      <c r="J139" s="350"/>
      <c r="K139" s="351"/>
      <c r="L139" s="538" t="s">
        <v>294</v>
      </c>
      <c r="M139" s="350"/>
      <c r="N139" s="351"/>
      <c r="O139" s="539" t="s">
        <v>294</v>
      </c>
      <c r="P139" s="350"/>
      <c r="Q139" s="351"/>
      <c r="R139" s="574"/>
      <c r="S139" s="350"/>
      <c r="T139" s="351"/>
      <c r="U139" s="567"/>
      <c r="V139" s="350"/>
      <c r="W139" s="351"/>
      <c r="X139" s="77"/>
      <c r="Y139" s="78"/>
      <c r="Z139" s="77"/>
      <c r="AA139" s="78"/>
      <c r="AB139" s="77"/>
      <c r="AC139" s="78"/>
      <c r="AD139" s="77"/>
      <c r="AE139" s="78"/>
      <c r="AF139" s="77"/>
      <c r="AG139" s="78"/>
      <c r="AH139" s="77"/>
      <c r="AI139" s="78"/>
      <c r="AJ139" s="64"/>
      <c r="AK139" s="80"/>
      <c r="AL139" s="64"/>
      <c r="AM139" s="80"/>
      <c r="AN139" s="64"/>
      <c r="AO139" s="80"/>
      <c r="AP139" s="64"/>
      <c r="AQ139" s="80"/>
      <c r="AR139" s="64"/>
      <c r="AS139" s="679" t="s">
        <v>294</v>
      </c>
      <c r="AT139" s="350"/>
      <c r="AU139" s="350"/>
      <c r="AV139" s="350"/>
      <c r="AW139" s="350"/>
      <c r="AX139" s="350"/>
      <c r="AY139" s="351"/>
      <c r="AZ139" s="81"/>
      <c r="BA139" s="81"/>
      <c r="BB139" s="677" t="s">
        <v>325</v>
      </c>
      <c r="BC139" s="351"/>
      <c r="BD139" s="681" t="s">
        <v>294</v>
      </c>
      <c r="BE139" s="350"/>
      <c r="BF139" s="351"/>
      <c r="BG139" s="678" t="s">
        <v>294</v>
      </c>
      <c r="BH139" s="350"/>
      <c r="BI139" s="350"/>
      <c r="BJ139" s="351"/>
      <c r="BK139" s="680"/>
      <c r="BL139" s="350"/>
      <c r="BM139" s="351"/>
      <c r="BN139" s="82"/>
      <c r="BO139" s="82"/>
      <c r="BP139" s="678"/>
      <c r="BQ139" s="350"/>
      <c r="BR139" s="351"/>
      <c r="BS139" s="681" t="s">
        <v>294</v>
      </c>
      <c r="BT139" s="350"/>
      <c r="BU139" s="351"/>
    </row>
    <row r="140" spans="1:73" ht="30" customHeight="1">
      <c r="A140" s="76">
        <f t="shared" si="0"/>
        <v>126</v>
      </c>
      <c r="B140" s="686" t="s">
        <v>325</v>
      </c>
      <c r="C140" s="351"/>
      <c r="D140" s="687" t="s">
        <v>294</v>
      </c>
      <c r="E140" s="350"/>
      <c r="F140" s="350"/>
      <c r="G140" s="351"/>
      <c r="H140" s="688" t="s">
        <v>294</v>
      </c>
      <c r="I140" s="350"/>
      <c r="J140" s="350"/>
      <c r="K140" s="351"/>
      <c r="L140" s="538" t="s">
        <v>294</v>
      </c>
      <c r="M140" s="350"/>
      <c r="N140" s="351"/>
      <c r="O140" s="539" t="s">
        <v>294</v>
      </c>
      <c r="P140" s="350"/>
      <c r="Q140" s="351"/>
      <c r="R140" s="574"/>
      <c r="S140" s="350"/>
      <c r="T140" s="351"/>
      <c r="U140" s="567"/>
      <c r="V140" s="350"/>
      <c r="W140" s="351"/>
      <c r="X140" s="77"/>
      <c r="Y140" s="78"/>
      <c r="Z140" s="77"/>
      <c r="AA140" s="78"/>
      <c r="AB140" s="77"/>
      <c r="AC140" s="78"/>
      <c r="AD140" s="77"/>
      <c r="AE140" s="78"/>
      <c r="AF140" s="77"/>
      <c r="AG140" s="78"/>
      <c r="AH140" s="77"/>
      <c r="AI140" s="78"/>
      <c r="AJ140" s="64"/>
      <c r="AK140" s="80"/>
      <c r="AL140" s="64"/>
      <c r="AM140" s="80"/>
      <c r="AN140" s="64"/>
      <c r="AO140" s="80"/>
      <c r="AP140" s="64"/>
      <c r="AQ140" s="80"/>
      <c r="AR140" s="64"/>
      <c r="AS140" s="679" t="s">
        <v>294</v>
      </c>
      <c r="AT140" s="350"/>
      <c r="AU140" s="350"/>
      <c r="AV140" s="350"/>
      <c r="AW140" s="350"/>
      <c r="AX140" s="350"/>
      <c r="AY140" s="351"/>
      <c r="AZ140" s="81"/>
      <c r="BA140" s="81"/>
      <c r="BB140" s="677" t="s">
        <v>325</v>
      </c>
      <c r="BC140" s="351"/>
      <c r="BD140" s="681" t="s">
        <v>294</v>
      </c>
      <c r="BE140" s="350"/>
      <c r="BF140" s="351"/>
      <c r="BG140" s="678" t="s">
        <v>294</v>
      </c>
      <c r="BH140" s="350"/>
      <c r="BI140" s="350"/>
      <c r="BJ140" s="351"/>
      <c r="BK140" s="680"/>
      <c r="BL140" s="350"/>
      <c r="BM140" s="351"/>
      <c r="BN140" s="82"/>
      <c r="BO140" s="82"/>
      <c r="BP140" s="678"/>
      <c r="BQ140" s="350"/>
      <c r="BR140" s="351"/>
      <c r="BS140" s="681" t="s">
        <v>294</v>
      </c>
      <c r="BT140" s="350"/>
      <c r="BU140" s="351"/>
    </row>
    <row r="141" spans="1:73" ht="30" customHeight="1">
      <c r="A141" s="76">
        <f t="shared" si="0"/>
        <v>127</v>
      </c>
      <c r="B141" s="686" t="s">
        <v>325</v>
      </c>
      <c r="C141" s="351"/>
      <c r="D141" s="687" t="s">
        <v>294</v>
      </c>
      <c r="E141" s="350"/>
      <c r="F141" s="350"/>
      <c r="G141" s="351"/>
      <c r="H141" s="688" t="s">
        <v>294</v>
      </c>
      <c r="I141" s="350"/>
      <c r="J141" s="350"/>
      <c r="K141" s="351"/>
      <c r="L141" s="538" t="s">
        <v>294</v>
      </c>
      <c r="M141" s="350"/>
      <c r="N141" s="351"/>
      <c r="O141" s="539" t="s">
        <v>294</v>
      </c>
      <c r="P141" s="350"/>
      <c r="Q141" s="351"/>
      <c r="R141" s="574"/>
      <c r="S141" s="350"/>
      <c r="T141" s="351"/>
      <c r="U141" s="567"/>
      <c r="V141" s="350"/>
      <c r="W141" s="351"/>
      <c r="X141" s="77"/>
      <c r="Y141" s="78"/>
      <c r="Z141" s="77"/>
      <c r="AA141" s="78"/>
      <c r="AB141" s="77"/>
      <c r="AC141" s="78"/>
      <c r="AD141" s="77"/>
      <c r="AE141" s="78"/>
      <c r="AF141" s="77"/>
      <c r="AG141" s="78"/>
      <c r="AH141" s="77"/>
      <c r="AI141" s="78"/>
      <c r="AJ141" s="64"/>
      <c r="AK141" s="80"/>
      <c r="AL141" s="64"/>
      <c r="AM141" s="80"/>
      <c r="AN141" s="64"/>
      <c r="AO141" s="80"/>
      <c r="AP141" s="64"/>
      <c r="AQ141" s="80"/>
      <c r="AR141" s="64"/>
      <c r="AS141" s="679" t="s">
        <v>294</v>
      </c>
      <c r="AT141" s="350"/>
      <c r="AU141" s="350"/>
      <c r="AV141" s="350"/>
      <c r="AW141" s="350"/>
      <c r="AX141" s="350"/>
      <c r="AY141" s="351"/>
      <c r="AZ141" s="81"/>
      <c r="BA141" s="81"/>
      <c r="BB141" s="685" t="s">
        <v>325</v>
      </c>
      <c r="BC141" s="351"/>
      <c r="BD141" s="681" t="s">
        <v>294</v>
      </c>
      <c r="BE141" s="350"/>
      <c r="BF141" s="351"/>
      <c r="BG141" s="678" t="s">
        <v>294</v>
      </c>
      <c r="BH141" s="350"/>
      <c r="BI141" s="350"/>
      <c r="BJ141" s="351"/>
      <c r="BK141" s="680"/>
      <c r="BL141" s="350"/>
      <c r="BM141" s="351"/>
      <c r="BN141" s="82"/>
      <c r="BO141" s="82"/>
      <c r="BP141" s="678"/>
      <c r="BQ141" s="350"/>
      <c r="BR141" s="351"/>
      <c r="BS141" s="681" t="s">
        <v>294</v>
      </c>
      <c r="BT141" s="350"/>
      <c r="BU141" s="351"/>
    </row>
    <row r="142" spans="1:73" ht="30" customHeight="1">
      <c r="A142" s="76">
        <f t="shared" si="0"/>
        <v>128</v>
      </c>
      <c r="B142" s="686" t="s">
        <v>325</v>
      </c>
      <c r="C142" s="351"/>
      <c r="D142" s="687" t="s">
        <v>294</v>
      </c>
      <c r="E142" s="350"/>
      <c r="F142" s="350"/>
      <c r="G142" s="351"/>
      <c r="H142" s="688" t="s">
        <v>294</v>
      </c>
      <c r="I142" s="350"/>
      <c r="J142" s="350"/>
      <c r="K142" s="351"/>
      <c r="L142" s="538" t="s">
        <v>294</v>
      </c>
      <c r="M142" s="350"/>
      <c r="N142" s="351"/>
      <c r="O142" s="539" t="s">
        <v>294</v>
      </c>
      <c r="P142" s="350"/>
      <c r="Q142" s="351"/>
      <c r="R142" s="574"/>
      <c r="S142" s="350"/>
      <c r="T142" s="351"/>
      <c r="U142" s="567"/>
      <c r="V142" s="350"/>
      <c r="W142" s="351"/>
      <c r="X142" s="77"/>
      <c r="Y142" s="78"/>
      <c r="Z142" s="77"/>
      <c r="AA142" s="78"/>
      <c r="AB142" s="77"/>
      <c r="AC142" s="78"/>
      <c r="AD142" s="77"/>
      <c r="AE142" s="78"/>
      <c r="AF142" s="77"/>
      <c r="AG142" s="78"/>
      <c r="AH142" s="77"/>
      <c r="AI142" s="78"/>
      <c r="AJ142" s="64"/>
      <c r="AK142" s="80"/>
      <c r="AL142" s="64"/>
      <c r="AM142" s="80"/>
      <c r="AN142" s="64"/>
      <c r="AO142" s="80"/>
      <c r="AP142" s="64"/>
      <c r="AQ142" s="80"/>
      <c r="AR142" s="64"/>
      <c r="AS142" s="679" t="s">
        <v>294</v>
      </c>
      <c r="AT142" s="350"/>
      <c r="AU142" s="350"/>
      <c r="AV142" s="350"/>
      <c r="AW142" s="350"/>
      <c r="AX142" s="350"/>
      <c r="AY142" s="351"/>
      <c r="AZ142" s="81"/>
      <c r="BA142" s="81"/>
      <c r="BB142" s="677" t="s">
        <v>325</v>
      </c>
      <c r="BC142" s="351"/>
      <c r="BD142" s="681" t="s">
        <v>294</v>
      </c>
      <c r="BE142" s="350"/>
      <c r="BF142" s="351"/>
      <c r="BG142" s="678" t="s">
        <v>294</v>
      </c>
      <c r="BH142" s="350"/>
      <c r="BI142" s="350"/>
      <c r="BJ142" s="351"/>
      <c r="BK142" s="680"/>
      <c r="BL142" s="350"/>
      <c r="BM142" s="351"/>
      <c r="BN142" s="82"/>
      <c r="BO142" s="82"/>
      <c r="BP142" s="678"/>
      <c r="BQ142" s="350"/>
      <c r="BR142" s="351"/>
      <c r="BS142" s="681" t="s">
        <v>294</v>
      </c>
      <c r="BT142" s="350"/>
      <c r="BU142" s="351"/>
    </row>
    <row r="143" spans="1:73" ht="30" customHeight="1">
      <c r="A143" s="76">
        <f t="shared" si="0"/>
        <v>129</v>
      </c>
      <c r="B143" s="686" t="s">
        <v>325</v>
      </c>
      <c r="C143" s="351"/>
      <c r="D143" s="687" t="s">
        <v>294</v>
      </c>
      <c r="E143" s="350"/>
      <c r="F143" s="350"/>
      <c r="G143" s="351"/>
      <c r="H143" s="688" t="s">
        <v>294</v>
      </c>
      <c r="I143" s="350"/>
      <c r="J143" s="350"/>
      <c r="K143" s="351"/>
      <c r="L143" s="538" t="s">
        <v>294</v>
      </c>
      <c r="M143" s="350"/>
      <c r="N143" s="351"/>
      <c r="O143" s="539" t="s">
        <v>294</v>
      </c>
      <c r="P143" s="350"/>
      <c r="Q143" s="351"/>
      <c r="R143" s="574"/>
      <c r="S143" s="350"/>
      <c r="T143" s="351"/>
      <c r="U143" s="567"/>
      <c r="V143" s="350"/>
      <c r="W143" s="351"/>
      <c r="X143" s="77"/>
      <c r="Y143" s="78"/>
      <c r="Z143" s="77"/>
      <c r="AA143" s="78"/>
      <c r="AB143" s="77"/>
      <c r="AC143" s="78"/>
      <c r="AD143" s="77"/>
      <c r="AE143" s="78"/>
      <c r="AF143" s="77"/>
      <c r="AG143" s="78"/>
      <c r="AH143" s="77"/>
      <c r="AI143" s="78"/>
      <c r="AJ143" s="64"/>
      <c r="AK143" s="80"/>
      <c r="AL143" s="64"/>
      <c r="AM143" s="80"/>
      <c r="AN143" s="64"/>
      <c r="AO143" s="80"/>
      <c r="AP143" s="64"/>
      <c r="AQ143" s="80"/>
      <c r="AR143" s="64"/>
      <c r="AS143" s="679" t="s">
        <v>294</v>
      </c>
      <c r="AT143" s="350"/>
      <c r="AU143" s="350"/>
      <c r="AV143" s="350"/>
      <c r="AW143" s="350"/>
      <c r="AX143" s="350"/>
      <c r="AY143" s="351"/>
      <c r="AZ143" s="81"/>
      <c r="BA143" s="81"/>
      <c r="BB143" s="677" t="s">
        <v>325</v>
      </c>
      <c r="BC143" s="351"/>
      <c r="BD143" s="681" t="s">
        <v>294</v>
      </c>
      <c r="BE143" s="350"/>
      <c r="BF143" s="351"/>
      <c r="BG143" s="678" t="s">
        <v>294</v>
      </c>
      <c r="BH143" s="350"/>
      <c r="BI143" s="350"/>
      <c r="BJ143" s="351"/>
      <c r="BK143" s="680"/>
      <c r="BL143" s="350"/>
      <c r="BM143" s="351"/>
      <c r="BN143" s="82"/>
      <c r="BO143" s="82"/>
      <c r="BP143" s="678"/>
      <c r="BQ143" s="350"/>
      <c r="BR143" s="351"/>
      <c r="BS143" s="681" t="s">
        <v>294</v>
      </c>
      <c r="BT143" s="350"/>
      <c r="BU143" s="351"/>
    </row>
    <row r="144" spans="1:73" ht="30" customHeight="1">
      <c r="A144" s="76">
        <f t="shared" si="0"/>
        <v>130</v>
      </c>
      <c r="B144" s="686" t="s">
        <v>325</v>
      </c>
      <c r="C144" s="351"/>
      <c r="D144" s="687" t="s">
        <v>294</v>
      </c>
      <c r="E144" s="350"/>
      <c r="F144" s="350"/>
      <c r="G144" s="351"/>
      <c r="H144" s="688" t="s">
        <v>294</v>
      </c>
      <c r="I144" s="350"/>
      <c r="J144" s="350"/>
      <c r="K144" s="351"/>
      <c r="L144" s="538" t="s">
        <v>294</v>
      </c>
      <c r="M144" s="350"/>
      <c r="N144" s="351"/>
      <c r="O144" s="539" t="s">
        <v>294</v>
      </c>
      <c r="P144" s="350"/>
      <c r="Q144" s="351"/>
      <c r="R144" s="574"/>
      <c r="S144" s="350"/>
      <c r="T144" s="351"/>
      <c r="U144" s="567"/>
      <c r="V144" s="350"/>
      <c r="W144" s="351"/>
      <c r="X144" s="77"/>
      <c r="Y144" s="78"/>
      <c r="Z144" s="77"/>
      <c r="AA144" s="78"/>
      <c r="AB144" s="77"/>
      <c r="AC144" s="78"/>
      <c r="AD144" s="77"/>
      <c r="AE144" s="78"/>
      <c r="AF144" s="77"/>
      <c r="AG144" s="78"/>
      <c r="AH144" s="77"/>
      <c r="AI144" s="78"/>
      <c r="AJ144" s="64"/>
      <c r="AK144" s="80"/>
      <c r="AL144" s="64"/>
      <c r="AM144" s="80"/>
      <c r="AN144" s="64"/>
      <c r="AO144" s="80"/>
      <c r="AP144" s="64"/>
      <c r="AQ144" s="80"/>
      <c r="AR144" s="64"/>
      <c r="AS144" s="679" t="s">
        <v>294</v>
      </c>
      <c r="AT144" s="350"/>
      <c r="AU144" s="350"/>
      <c r="AV144" s="350"/>
      <c r="AW144" s="350"/>
      <c r="AX144" s="350"/>
      <c r="AY144" s="351"/>
      <c r="AZ144" s="81"/>
      <c r="BA144" s="81"/>
      <c r="BB144" s="677" t="s">
        <v>325</v>
      </c>
      <c r="BC144" s="351"/>
      <c r="BD144" s="681" t="s">
        <v>294</v>
      </c>
      <c r="BE144" s="350"/>
      <c r="BF144" s="351"/>
      <c r="BG144" s="678" t="s">
        <v>294</v>
      </c>
      <c r="BH144" s="350"/>
      <c r="BI144" s="350"/>
      <c r="BJ144" s="351"/>
      <c r="BK144" s="680"/>
      <c r="BL144" s="350"/>
      <c r="BM144" s="351"/>
      <c r="BN144" s="82"/>
      <c r="BO144" s="82"/>
      <c r="BP144" s="678"/>
      <c r="BQ144" s="350"/>
      <c r="BR144" s="351"/>
      <c r="BS144" s="681" t="s">
        <v>294</v>
      </c>
      <c r="BT144" s="350"/>
      <c r="BU144" s="351"/>
    </row>
    <row r="145" spans="1:73" ht="30" customHeight="1">
      <c r="A145" s="76">
        <f t="shared" si="0"/>
        <v>131</v>
      </c>
      <c r="B145" s="686" t="s">
        <v>325</v>
      </c>
      <c r="C145" s="351"/>
      <c r="D145" s="687" t="s">
        <v>294</v>
      </c>
      <c r="E145" s="350"/>
      <c r="F145" s="350"/>
      <c r="G145" s="351"/>
      <c r="H145" s="688" t="s">
        <v>294</v>
      </c>
      <c r="I145" s="350"/>
      <c r="J145" s="350"/>
      <c r="K145" s="351"/>
      <c r="L145" s="538" t="s">
        <v>294</v>
      </c>
      <c r="M145" s="350"/>
      <c r="N145" s="351"/>
      <c r="O145" s="539" t="s">
        <v>294</v>
      </c>
      <c r="P145" s="350"/>
      <c r="Q145" s="351"/>
      <c r="R145" s="574"/>
      <c r="S145" s="350"/>
      <c r="T145" s="351"/>
      <c r="U145" s="567"/>
      <c r="V145" s="350"/>
      <c r="W145" s="351"/>
      <c r="X145" s="77"/>
      <c r="Y145" s="78"/>
      <c r="Z145" s="77"/>
      <c r="AA145" s="78"/>
      <c r="AB145" s="77"/>
      <c r="AC145" s="78"/>
      <c r="AD145" s="77"/>
      <c r="AE145" s="78"/>
      <c r="AF145" s="77"/>
      <c r="AG145" s="78"/>
      <c r="AH145" s="77"/>
      <c r="AI145" s="78"/>
      <c r="AJ145" s="64"/>
      <c r="AK145" s="80"/>
      <c r="AL145" s="64"/>
      <c r="AM145" s="80"/>
      <c r="AN145" s="64"/>
      <c r="AO145" s="80"/>
      <c r="AP145" s="64"/>
      <c r="AQ145" s="80"/>
      <c r="AR145" s="64"/>
      <c r="AS145" s="679" t="s">
        <v>294</v>
      </c>
      <c r="AT145" s="350"/>
      <c r="AU145" s="350"/>
      <c r="AV145" s="350"/>
      <c r="AW145" s="350"/>
      <c r="AX145" s="350"/>
      <c r="AY145" s="351"/>
      <c r="AZ145" s="81"/>
      <c r="BA145" s="81"/>
      <c r="BB145" s="677" t="s">
        <v>325</v>
      </c>
      <c r="BC145" s="351"/>
      <c r="BD145" s="681" t="s">
        <v>294</v>
      </c>
      <c r="BE145" s="350"/>
      <c r="BF145" s="351"/>
      <c r="BG145" s="678" t="s">
        <v>294</v>
      </c>
      <c r="BH145" s="350"/>
      <c r="BI145" s="350"/>
      <c r="BJ145" s="351"/>
      <c r="BK145" s="680"/>
      <c r="BL145" s="350"/>
      <c r="BM145" s="351"/>
      <c r="BN145" s="82"/>
      <c r="BO145" s="82"/>
      <c r="BP145" s="678"/>
      <c r="BQ145" s="350"/>
      <c r="BR145" s="351"/>
      <c r="BS145" s="681" t="s">
        <v>294</v>
      </c>
      <c r="BT145" s="350"/>
      <c r="BU145" s="351"/>
    </row>
    <row r="146" spans="1:73" ht="30" customHeight="1">
      <c r="A146" s="76">
        <f t="shared" si="0"/>
        <v>132</v>
      </c>
      <c r="B146" s="686" t="s">
        <v>325</v>
      </c>
      <c r="C146" s="351"/>
      <c r="D146" s="687" t="s">
        <v>294</v>
      </c>
      <c r="E146" s="350"/>
      <c r="F146" s="350"/>
      <c r="G146" s="351"/>
      <c r="H146" s="688" t="s">
        <v>294</v>
      </c>
      <c r="I146" s="350"/>
      <c r="J146" s="350"/>
      <c r="K146" s="351"/>
      <c r="L146" s="538" t="s">
        <v>294</v>
      </c>
      <c r="M146" s="350"/>
      <c r="N146" s="351"/>
      <c r="O146" s="539" t="s">
        <v>294</v>
      </c>
      <c r="P146" s="350"/>
      <c r="Q146" s="351"/>
      <c r="R146" s="574"/>
      <c r="S146" s="350"/>
      <c r="T146" s="351"/>
      <c r="U146" s="567"/>
      <c r="V146" s="350"/>
      <c r="W146" s="351"/>
      <c r="X146" s="77"/>
      <c r="Y146" s="78"/>
      <c r="Z146" s="77"/>
      <c r="AA146" s="78"/>
      <c r="AB146" s="77"/>
      <c r="AC146" s="78"/>
      <c r="AD146" s="77"/>
      <c r="AE146" s="78"/>
      <c r="AF146" s="77"/>
      <c r="AG146" s="78"/>
      <c r="AH146" s="77"/>
      <c r="AI146" s="78"/>
      <c r="AJ146" s="64"/>
      <c r="AK146" s="80"/>
      <c r="AL146" s="64"/>
      <c r="AM146" s="80"/>
      <c r="AN146" s="64"/>
      <c r="AO146" s="80"/>
      <c r="AP146" s="64"/>
      <c r="AQ146" s="80"/>
      <c r="AR146" s="64"/>
      <c r="AS146" s="679" t="s">
        <v>294</v>
      </c>
      <c r="AT146" s="350"/>
      <c r="AU146" s="350"/>
      <c r="AV146" s="350"/>
      <c r="AW146" s="350"/>
      <c r="AX146" s="350"/>
      <c r="AY146" s="351"/>
      <c r="AZ146" s="81"/>
      <c r="BA146" s="81"/>
      <c r="BB146" s="677" t="s">
        <v>325</v>
      </c>
      <c r="BC146" s="351"/>
      <c r="BD146" s="681" t="s">
        <v>294</v>
      </c>
      <c r="BE146" s="350"/>
      <c r="BF146" s="351"/>
      <c r="BG146" s="678" t="s">
        <v>294</v>
      </c>
      <c r="BH146" s="350"/>
      <c r="BI146" s="350"/>
      <c r="BJ146" s="351"/>
      <c r="BK146" s="680"/>
      <c r="BL146" s="350"/>
      <c r="BM146" s="351"/>
      <c r="BN146" s="82"/>
      <c r="BO146" s="82"/>
      <c r="BP146" s="678"/>
      <c r="BQ146" s="350"/>
      <c r="BR146" s="351"/>
      <c r="BS146" s="681" t="s">
        <v>294</v>
      </c>
      <c r="BT146" s="350"/>
      <c r="BU146" s="351"/>
    </row>
    <row r="147" spans="1:73" ht="30" customHeight="1">
      <c r="A147" s="76">
        <f t="shared" si="0"/>
        <v>133</v>
      </c>
      <c r="B147" s="686" t="s">
        <v>325</v>
      </c>
      <c r="C147" s="351"/>
      <c r="D147" s="687" t="s">
        <v>294</v>
      </c>
      <c r="E147" s="350"/>
      <c r="F147" s="350"/>
      <c r="G147" s="351"/>
      <c r="H147" s="688" t="s">
        <v>294</v>
      </c>
      <c r="I147" s="350"/>
      <c r="J147" s="350"/>
      <c r="K147" s="351"/>
      <c r="L147" s="538" t="s">
        <v>294</v>
      </c>
      <c r="M147" s="350"/>
      <c r="N147" s="351"/>
      <c r="O147" s="539" t="s">
        <v>294</v>
      </c>
      <c r="P147" s="350"/>
      <c r="Q147" s="351"/>
      <c r="R147" s="574"/>
      <c r="S147" s="350"/>
      <c r="T147" s="351"/>
      <c r="U147" s="567"/>
      <c r="V147" s="350"/>
      <c r="W147" s="351"/>
      <c r="X147" s="77"/>
      <c r="Y147" s="78"/>
      <c r="Z147" s="77"/>
      <c r="AA147" s="78"/>
      <c r="AB147" s="77"/>
      <c r="AC147" s="78"/>
      <c r="AD147" s="77"/>
      <c r="AE147" s="78"/>
      <c r="AF147" s="77"/>
      <c r="AG147" s="78"/>
      <c r="AH147" s="77"/>
      <c r="AI147" s="78"/>
      <c r="AJ147" s="64"/>
      <c r="AK147" s="80"/>
      <c r="AL147" s="64"/>
      <c r="AM147" s="80"/>
      <c r="AN147" s="64"/>
      <c r="AO147" s="80"/>
      <c r="AP147" s="64"/>
      <c r="AQ147" s="80"/>
      <c r="AR147" s="64"/>
      <c r="AS147" s="679" t="s">
        <v>294</v>
      </c>
      <c r="AT147" s="350"/>
      <c r="AU147" s="350"/>
      <c r="AV147" s="350"/>
      <c r="AW147" s="350"/>
      <c r="AX147" s="350"/>
      <c r="AY147" s="351"/>
      <c r="AZ147" s="81"/>
      <c r="BA147" s="81"/>
      <c r="BB147" s="677" t="s">
        <v>325</v>
      </c>
      <c r="BC147" s="351"/>
      <c r="BD147" s="681" t="s">
        <v>294</v>
      </c>
      <c r="BE147" s="350"/>
      <c r="BF147" s="351"/>
      <c r="BG147" s="678" t="s">
        <v>294</v>
      </c>
      <c r="BH147" s="350"/>
      <c r="BI147" s="350"/>
      <c r="BJ147" s="351"/>
      <c r="BK147" s="680"/>
      <c r="BL147" s="350"/>
      <c r="BM147" s="351"/>
      <c r="BN147" s="82"/>
      <c r="BO147" s="82"/>
      <c r="BP147" s="678"/>
      <c r="BQ147" s="350"/>
      <c r="BR147" s="351"/>
      <c r="BS147" s="681" t="s">
        <v>294</v>
      </c>
      <c r="BT147" s="350"/>
      <c r="BU147" s="351"/>
    </row>
    <row r="148" spans="1:73" ht="30" customHeight="1">
      <c r="A148" s="76">
        <f t="shared" si="0"/>
        <v>134</v>
      </c>
      <c r="B148" s="686" t="s">
        <v>325</v>
      </c>
      <c r="C148" s="351"/>
      <c r="D148" s="687" t="s">
        <v>294</v>
      </c>
      <c r="E148" s="350"/>
      <c r="F148" s="350"/>
      <c r="G148" s="351"/>
      <c r="H148" s="688" t="s">
        <v>294</v>
      </c>
      <c r="I148" s="350"/>
      <c r="J148" s="350"/>
      <c r="K148" s="351"/>
      <c r="L148" s="538" t="s">
        <v>294</v>
      </c>
      <c r="M148" s="350"/>
      <c r="N148" s="351"/>
      <c r="O148" s="539" t="s">
        <v>294</v>
      </c>
      <c r="P148" s="350"/>
      <c r="Q148" s="351"/>
      <c r="R148" s="574"/>
      <c r="S148" s="350"/>
      <c r="T148" s="351"/>
      <c r="U148" s="567"/>
      <c r="V148" s="350"/>
      <c r="W148" s="351"/>
      <c r="X148" s="77"/>
      <c r="Y148" s="78"/>
      <c r="Z148" s="77"/>
      <c r="AA148" s="78"/>
      <c r="AB148" s="77"/>
      <c r="AC148" s="78"/>
      <c r="AD148" s="77"/>
      <c r="AE148" s="78"/>
      <c r="AF148" s="77"/>
      <c r="AG148" s="78"/>
      <c r="AH148" s="77"/>
      <c r="AI148" s="78"/>
      <c r="AJ148" s="64"/>
      <c r="AK148" s="80"/>
      <c r="AL148" s="64"/>
      <c r="AM148" s="80"/>
      <c r="AN148" s="64"/>
      <c r="AO148" s="80"/>
      <c r="AP148" s="64"/>
      <c r="AQ148" s="80"/>
      <c r="AR148" s="64"/>
      <c r="AS148" s="679" t="s">
        <v>294</v>
      </c>
      <c r="AT148" s="350"/>
      <c r="AU148" s="350"/>
      <c r="AV148" s="350"/>
      <c r="AW148" s="350"/>
      <c r="AX148" s="350"/>
      <c r="AY148" s="351"/>
      <c r="AZ148" s="81"/>
      <c r="BA148" s="81"/>
      <c r="BB148" s="685" t="s">
        <v>325</v>
      </c>
      <c r="BC148" s="351"/>
      <c r="BD148" s="681" t="s">
        <v>294</v>
      </c>
      <c r="BE148" s="350"/>
      <c r="BF148" s="351"/>
      <c r="BG148" s="678" t="s">
        <v>294</v>
      </c>
      <c r="BH148" s="350"/>
      <c r="BI148" s="350"/>
      <c r="BJ148" s="351"/>
      <c r="BK148" s="680"/>
      <c r="BL148" s="350"/>
      <c r="BM148" s="351"/>
      <c r="BN148" s="82"/>
      <c r="BO148" s="82"/>
      <c r="BP148" s="678"/>
      <c r="BQ148" s="350"/>
      <c r="BR148" s="351"/>
      <c r="BS148" s="681" t="s">
        <v>294</v>
      </c>
      <c r="BT148" s="350"/>
      <c r="BU148" s="351"/>
    </row>
    <row r="149" spans="1:73" ht="30" customHeight="1">
      <c r="A149" s="76">
        <f t="shared" si="0"/>
        <v>135</v>
      </c>
      <c r="B149" s="686" t="s">
        <v>325</v>
      </c>
      <c r="C149" s="351"/>
      <c r="D149" s="687" t="s">
        <v>294</v>
      </c>
      <c r="E149" s="350"/>
      <c r="F149" s="350"/>
      <c r="G149" s="351"/>
      <c r="H149" s="688" t="s">
        <v>294</v>
      </c>
      <c r="I149" s="350"/>
      <c r="J149" s="350"/>
      <c r="K149" s="351"/>
      <c r="L149" s="538" t="s">
        <v>294</v>
      </c>
      <c r="M149" s="350"/>
      <c r="N149" s="351"/>
      <c r="O149" s="539" t="s">
        <v>294</v>
      </c>
      <c r="P149" s="350"/>
      <c r="Q149" s="351"/>
      <c r="R149" s="574"/>
      <c r="S149" s="350"/>
      <c r="T149" s="351"/>
      <c r="U149" s="567"/>
      <c r="V149" s="350"/>
      <c r="W149" s="351"/>
      <c r="X149" s="77"/>
      <c r="Y149" s="78"/>
      <c r="Z149" s="77"/>
      <c r="AA149" s="78"/>
      <c r="AB149" s="77"/>
      <c r="AC149" s="78"/>
      <c r="AD149" s="77"/>
      <c r="AE149" s="78"/>
      <c r="AF149" s="77"/>
      <c r="AG149" s="78"/>
      <c r="AH149" s="77"/>
      <c r="AI149" s="78"/>
      <c r="AJ149" s="64"/>
      <c r="AK149" s="80"/>
      <c r="AL149" s="64"/>
      <c r="AM149" s="80"/>
      <c r="AN149" s="64"/>
      <c r="AO149" s="80"/>
      <c r="AP149" s="64"/>
      <c r="AQ149" s="80"/>
      <c r="AR149" s="64"/>
      <c r="AS149" s="679" t="s">
        <v>294</v>
      </c>
      <c r="AT149" s="350"/>
      <c r="AU149" s="350"/>
      <c r="AV149" s="350"/>
      <c r="AW149" s="350"/>
      <c r="AX149" s="350"/>
      <c r="AY149" s="351"/>
      <c r="AZ149" s="81"/>
      <c r="BA149" s="81"/>
      <c r="BB149" s="677" t="s">
        <v>325</v>
      </c>
      <c r="BC149" s="351"/>
      <c r="BD149" s="681" t="s">
        <v>294</v>
      </c>
      <c r="BE149" s="350"/>
      <c r="BF149" s="351"/>
      <c r="BG149" s="678" t="s">
        <v>294</v>
      </c>
      <c r="BH149" s="350"/>
      <c r="BI149" s="350"/>
      <c r="BJ149" s="351"/>
      <c r="BK149" s="680"/>
      <c r="BL149" s="350"/>
      <c r="BM149" s="351"/>
      <c r="BN149" s="82"/>
      <c r="BO149" s="82"/>
      <c r="BP149" s="678"/>
      <c r="BQ149" s="350"/>
      <c r="BR149" s="351"/>
      <c r="BS149" s="681" t="s">
        <v>294</v>
      </c>
      <c r="BT149" s="350"/>
      <c r="BU149" s="351"/>
    </row>
    <row r="150" spans="1:73" ht="30" customHeight="1">
      <c r="A150" s="76">
        <f t="shared" si="0"/>
        <v>136</v>
      </c>
      <c r="B150" s="686" t="s">
        <v>325</v>
      </c>
      <c r="C150" s="351"/>
      <c r="D150" s="687" t="s">
        <v>294</v>
      </c>
      <c r="E150" s="350"/>
      <c r="F150" s="350"/>
      <c r="G150" s="351"/>
      <c r="H150" s="688" t="s">
        <v>294</v>
      </c>
      <c r="I150" s="350"/>
      <c r="J150" s="350"/>
      <c r="K150" s="351"/>
      <c r="L150" s="538" t="s">
        <v>294</v>
      </c>
      <c r="M150" s="350"/>
      <c r="N150" s="351"/>
      <c r="O150" s="539" t="s">
        <v>294</v>
      </c>
      <c r="P150" s="350"/>
      <c r="Q150" s="351"/>
      <c r="R150" s="574"/>
      <c r="S150" s="350"/>
      <c r="T150" s="351"/>
      <c r="U150" s="567"/>
      <c r="V150" s="350"/>
      <c r="W150" s="351"/>
      <c r="X150" s="77"/>
      <c r="Y150" s="78"/>
      <c r="Z150" s="77"/>
      <c r="AA150" s="78"/>
      <c r="AB150" s="77"/>
      <c r="AC150" s="78"/>
      <c r="AD150" s="77"/>
      <c r="AE150" s="78"/>
      <c r="AF150" s="77"/>
      <c r="AG150" s="78"/>
      <c r="AH150" s="77"/>
      <c r="AI150" s="78"/>
      <c r="AJ150" s="64"/>
      <c r="AK150" s="80"/>
      <c r="AL150" s="64"/>
      <c r="AM150" s="80"/>
      <c r="AN150" s="64"/>
      <c r="AO150" s="80"/>
      <c r="AP150" s="64"/>
      <c r="AQ150" s="80"/>
      <c r="AR150" s="64"/>
      <c r="AS150" s="679" t="s">
        <v>294</v>
      </c>
      <c r="AT150" s="350"/>
      <c r="AU150" s="350"/>
      <c r="AV150" s="350"/>
      <c r="AW150" s="350"/>
      <c r="AX150" s="350"/>
      <c r="AY150" s="351"/>
      <c r="AZ150" s="81"/>
      <c r="BA150" s="81"/>
      <c r="BB150" s="677" t="s">
        <v>325</v>
      </c>
      <c r="BC150" s="351"/>
      <c r="BD150" s="681" t="s">
        <v>294</v>
      </c>
      <c r="BE150" s="350"/>
      <c r="BF150" s="351"/>
      <c r="BG150" s="678" t="s">
        <v>294</v>
      </c>
      <c r="BH150" s="350"/>
      <c r="BI150" s="350"/>
      <c r="BJ150" s="351"/>
      <c r="BK150" s="680"/>
      <c r="BL150" s="350"/>
      <c r="BM150" s="351"/>
      <c r="BN150" s="82"/>
      <c r="BO150" s="82"/>
      <c r="BP150" s="678"/>
      <c r="BQ150" s="350"/>
      <c r="BR150" s="351"/>
      <c r="BS150" s="681" t="s">
        <v>294</v>
      </c>
      <c r="BT150" s="350"/>
      <c r="BU150" s="351"/>
    </row>
    <row r="151" spans="1:73" ht="30" customHeight="1">
      <c r="A151" s="76">
        <f t="shared" si="0"/>
        <v>137</v>
      </c>
      <c r="B151" s="686" t="s">
        <v>325</v>
      </c>
      <c r="C151" s="351"/>
      <c r="D151" s="687" t="s">
        <v>294</v>
      </c>
      <c r="E151" s="350"/>
      <c r="F151" s="350"/>
      <c r="G151" s="351"/>
      <c r="H151" s="688" t="s">
        <v>294</v>
      </c>
      <c r="I151" s="350"/>
      <c r="J151" s="350"/>
      <c r="K151" s="351"/>
      <c r="L151" s="538" t="s">
        <v>294</v>
      </c>
      <c r="M151" s="350"/>
      <c r="N151" s="351"/>
      <c r="O151" s="539" t="s">
        <v>294</v>
      </c>
      <c r="P151" s="350"/>
      <c r="Q151" s="351"/>
      <c r="R151" s="574"/>
      <c r="S151" s="350"/>
      <c r="T151" s="351"/>
      <c r="U151" s="567"/>
      <c r="V151" s="350"/>
      <c r="W151" s="351"/>
      <c r="X151" s="77"/>
      <c r="Y151" s="78"/>
      <c r="Z151" s="77"/>
      <c r="AA151" s="78"/>
      <c r="AB151" s="77"/>
      <c r="AC151" s="78"/>
      <c r="AD151" s="77"/>
      <c r="AE151" s="78"/>
      <c r="AF151" s="77"/>
      <c r="AG151" s="78"/>
      <c r="AH151" s="77"/>
      <c r="AI151" s="78"/>
      <c r="AJ151" s="64"/>
      <c r="AK151" s="80"/>
      <c r="AL151" s="64"/>
      <c r="AM151" s="80"/>
      <c r="AN151" s="64"/>
      <c r="AO151" s="80"/>
      <c r="AP151" s="64"/>
      <c r="AQ151" s="80"/>
      <c r="AR151" s="64"/>
      <c r="AS151" s="679" t="s">
        <v>294</v>
      </c>
      <c r="AT151" s="350"/>
      <c r="AU151" s="350"/>
      <c r="AV151" s="350"/>
      <c r="AW151" s="350"/>
      <c r="AX151" s="350"/>
      <c r="AY151" s="351"/>
      <c r="AZ151" s="81"/>
      <c r="BA151" s="81"/>
      <c r="BB151" s="677" t="s">
        <v>325</v>
      </c>
      <c r="BC151" s="351"/>
      <c r="BD151" s="681" t="s">
        <v>294</v>
      </c>
      <c r="BE151" s="350"/>
      <c r="BF151" s="351"/>
      <c r="BG151" s="678" t="s">
        <v>294</v>
      </c>
      <c r="BH151" s="350"/>
      <c r="BI151" s="350"/>
      <c r="BJ151" s="351"/>
      <c r="BK151" s="680"/>
      <c r="BL151" s="350"/>
      <c r="BM151" s="351"/>
      <c r="BN151" s="82"/>
      <c r="BO151" s="82"/>
      <c r="BP151" s="678"/>
      <c r="BQ151" s="350"/>
      <c r="BR151" s="351"/>
      <c r="BS151" s="681" t="s">
        <v>294</v>
      </c>
      <c r="BT151" s="350"/>
      <c r="BU151" s="351"/>
    </row>
    <row r="152" spans="1:73" ht="30" customHeight="1">
      <c r="A152" s="76">
        <f t="shared" si="0"/>
        <v>138</v>
      </c>
      <c r="B152" s="686" t="s">
        <v>325</v>
      </c>
      <c r="C152" s="351"/>
      <c r="D152" s="687" t="s">
        <v>294</v>
      </c>
      <c r="E152" s="350"/>
      <c r="F152" s="350"/>
      <c r="G152" s="351"/>
      <c r="H152" s="688" t="s">
        <v>294</v>
      </c>
      <c r="I152" s="350"/>
      <c r="J152" s="350"/>
      <c r="K152" s="351"/>
      <c r="L152" s="538" t="s">
        <v>294</v>
      </c>
      <c r="M152" s="350"/>
      <c r="N152" s="351"/>
      <c r="O152" s="539" t="s">
        <v>294</v>
      </c>
      <c r="P152" s="350"/>
      <c r="Q152" s="351"/>
      <c r="R152" s="574"/>
      <c r="S152" s="350"/>
      <c r="T152" s="351"/>
      <c r="U152" s="567"/>
      <c r="V152" s="350"/>
      <c r="W152" s="351"/>
      <c r="X152" s="77"/>
      <c r="Y152" s="78"/>
      <c r="Z152" s="77"/>
      <c r="AA152" s="78"/>
      <c r="AB152" s="77"/>
      <c r="AC152" s="78"/>
      <c r="AD152" s="77"/>
      <c r="AE152" s="78"/>
      <c r="AF152" s="77"/>
      <c r="AG152" s="78"/>
      <c r="AH152" s="77"/>
      <c r="AI152" s="78"/>
      <c r="AJ152" s="64"/>
      <c r="AK152" s="80"/>
      <c r="AL152" s="64"/>
      <c r="AM152" s="80"/>
      <c r="AN152" s="64"/>
      <c r="AO152" s="80"/>
      <c r="AP152" s="64"/>
      <c r="AQ152" s="80"/>
      <c r="AR152" s="64"/>
      <c r="AS152" s="679" t="s">
        <v>294</v>
      </c>
      <c r="AT152" s="350"/>
      <c r="AU152" s="350"/>
      <c r="AV152" s="350"/>
      <c r="AW152" s="350"/>
      <c r="AX152" s="350"/>
      <c r="AY152" s="351"/>
      <c r="AZ152" s="81"/>
      <c r="BA152" s="81"/>
      <c r="BB152" s="677" t="s">
        <v>325</v>
      </c>
      <c r="BC152" s="351"/>
      <c r="BD152" s="681" t="s">
        <v>294</v>
      </c>
      <c r="BE152" s="350"/>
      <c r="BF152" s="351"/>
      <c r="BG152" s="678" t="s">
        <v>294</v>
      </c>
      <c r="BH152" s="350"/>
      <c r="BI152" s="350"/>
      <c r="BJ152" s="351"/>
      <c r="BK152" s="680"/>
      <c r="BL152" s="350"/>
      <c r="BM152" s="351"/>
      <c r="BN152" s="82"/>
      <c r="BO152" s="82"/>
      <c r="BP152" s="678"/>
      <c r="BQ152" s="350"/>
      <c r="BR152" s="351"/>
      <c r="BS152" s="681" t="s">
        <v>294</v>
      </c>
      <c r="BT152" s="350"/>
      <c r="BU152" s="351"/>
    </row>
    <row r="153" spans="1:73" ht="30" customHeight="1">
      <c r="A153" s="76">
        <f t="shared" si="0"/>
        <v>139</v>
      </c>
      <c r="B153" s="686" t="s">
        <v>325</v>
      </c>
      <c r="C153" s="351"/>
      <c r="D153" s="687" t="s">
        <v>294</v>
      </c>
      <c r="E153" s="350"/>
      <c r="F153" s="350"/>
      <c r="G153" s="351"/>
      <c r="H153" s="688" t="s">
        <v>294</v>
      </c>
      <c r="I153" s="350"/>
      <c r="J153" s="350"/>
      <c r="K153" s="351"/>
      <c r="L153" s="538" t="s">
        <v>294</v>
      </c>
      <c r="M153" s="350"/>
      <c r="N153" s="351"/>
      <c r="O153" s="539" t="s">
        <v>294</v>
      </c>
      <c r="P153" s="350"/>
      <c r="Q153" s="351"/>
      <c r="R153" s="574"/>
      <c r="S153" s="350"/>
      <c r="T153" s="351"/>
      <c r="U153" s="567"/>
      <c r="V153" s="350"/>
      <c r="W153" s="351"/>
      <c r="X153" s="77"/>
      <c r="Y153" s="78"/>
      <c r="Z153" s="77"/>
      <c r="AA153" s="78"/>
      <c r="AB153" s="77"/>
      <c r="AC153" s="78"/>
      <c r="AD153" s="77"/>
      <c r="AE153" s="78"/>
      <c r="AF153" s="77"/>
      <c r="AG153" s="78"/>
      <c r="AH153" s="77"/>
      <c r="AI153" s="78"/>
      <c r="AJ153" s="64"/>
      <c r="AK153" s="80"/>
      <c r="AL153" s="64"/>
      <c r="AM153" s="80"/>
      <c r="AN153" s="64"/>
      <c r="AO153" s="80"/>
      <c r="AP153" s="64"/>
      <c r="AQ153" s="80"/>
      <c r="AR153" s="64"/>
      <c r="AS153" s="679" t="s">
        <v>294</v>
      </c>
      <c r="AT153" s="350"/>
      <c r="AU153" s="350"/>
      <c r="AV153" s="350"/>
      <c r="AW153" s="350"/>
      <c r="AX153" s="350"/>
      <c r="AY153" s="351"/>
      <c r="AZ153" s="81"/>
      <c r="BA153" s="81"/>
      <c r="BB153" s="677" t="s">
        <v>325</v>
      </c>
      <c r="BC153" s="351"/>
      <c r="BD153" s="681" t="s">
        <v>294</v>
      </c>
      <c r="BE153" s="350"/>
      <c r="BF153" s="351"/>
      <c r="BG153" s="678" t="s">
        <v>294</v>
      </c>
      <c r="BH153" s="350"/>
      <c r="BI153" s="350"/>
      <c r="BJ153" s="351"/>
      <c r="BK153" s="680"/>
      <c r="BL153" s="350"/>
      <c r="BM153" s="351"/>
      <c r="BN153" s="82"/>
      <c r="BO153" s="82"/>
      <c r="BP153" s="678"/>
      <c r="BQ153" s="350"/>
      <c r="BR153" s="351"/>
      <c r="BS153" s="681" t="s">
        <v>294</v>
      </c>
      <c r="BT153" s="350"/>
      <c r="BU153" s="351"/>
    </row>
    <row r="154" spans="1:73" ht="30" customHeight="1">
      <c r="A154" s="76">
        <f t="shared" si="0"/>
        <v>140</v>
      </c>
      <c r="B154" s="686" t="s">
        <v>325</v>
      </c>
      <c r="C154" s="351"/>
      <c r="D154" s="687" t="s">
        <v>294</v>
      </c>
      <c r="E154" s="350"/>
      <c r="F154" s="350"/>
      <c r="G154" s="351"/>
      <c r="H154" s="688" t="s">
        <v>294</v>
      </c>
      <c r="I154" s="350"/>
      <c r="J154" s="350"/>
      <c r="K154" s="351"/>
      <c r="L154" s="538" t="s">
        <v>294</v>
      </c>
      <c r="M154" s="350"/>
      <c r="N154" s="351"/>
      <c r="O154" s="539" t="s">
        <v>294</v>
      </c>
      <c r="P154" s="350"/>
      <c r="Q154" s="351"/>
      <c r="R154" s="574"/>
      <c r="S154" s="350"/>
      <c r="T154" s="351"/>
      <c r="U154" s="567"/>
      <c r="V154" s="350"/>
      <c r="W154" s="351"/>
      <c r="X154" s="77"/>
      <c r="Y154" s="78"/>
      <c r="Z154" s="77"/>
      <c r="AA154" s="78"/>
      <c r="AB154" s="77"/>
      <c r="AC154" s="78"/>
      <c r="AD154" s="77"/>
      <c r="AE154" s="78"/>
      <c r="AF154" s="77"/>
      <c r="AG154" s="78"/>
      <c r="AH154" s="77"/>
      <c r="AI154" s="78"/>
      <c r="AJ154" s="64"/>
      <c r="AK154" s="80"/>
      <c r="AL154" s="64"/>
      <c r="AM154" s="80"/>
      <c r="AN154" s="64"/>
      <c r="AO154" s="80"/>
      <c r="AP154" s="64"/>
      <c r="AQ154" s="80"/>
      <c r="AR154" s="64"/>
      <c r="AS154" s="679" t="s">
        <v>294</v>
      </c>
      <c r="AT154" s="350"/>
      <c r="AU154" s="350"/>
      <c r="AV154" s="350"/>
      <c r="AW154" s="350"/>
      <c r="AX154" s="350"/>
      <c r="AY154" s="351"/>
      <c r="AZ154" s="81"/>
      <c r="BA154" s="81"/>
      <c r="BB154" s="677" t="s">
        <v>325</v>
      </c>
      <c r="BC154" s="351"/>
      <c r="BD154" s="681" t="s">
        <v>294</v>
      </c>
      <c r="BE154" s="350"/>
      <c r="BF154" s="351"/>
      <c r="BG154" s="678" t="s">
        <v>294</v>
      </c>
      <c r="BH154" s="350"/>
      <c r="BI154" s="350"/>
      <c r="BJ154" s="351"/>
      <c r="BK154" s="680"/>
      <c r="BL154" s="350"/>
      <c r="BM154" s="351"/>
      <c r="BN154" s="82"/>
      <c r="BO154" s="82"/>
      <c r="BP154" s="678"/>
      <c r="BQ154" s="350"/>
      <c r="BR154" s="351"/>
      <c r="BS154" s="681" t="s">
        <v>294</v>
      </c>
      <c r="BT154" s="350"/>
      <c r="BU154" s="351"/>
    </row>
    <row r="155" spans="1:73" ht="30" customHeight="1">
      <c r="A155" s="76">
        <f t="shared" si="0"/>
        <v>141</v>
      </c>
      <c r="B155" s="686" t="s">
        <v>325</v>
      </c>
      <c r="C155" s="351"/>
      <c r="D155" s="687" t="s">
        <v>294</v>
      </c>
      <c r="E155" s="350"/>
      <c r="F155" s="350"/>
      <c r="G155" s="351"/>
      <c r="H155" s="688" t="s">
        <v>294</v>
      </c>
      <c r="I155" s="350"/>
      <c r="J155" s="350"/>
      <c r="K155" s="351"/>
      <c r="L155" s="538" t="s">
        <v>294</v>
      </c>
      <c r="M155" s="350"/>
      <c r="N155" s="351"/>
      <c r="O155" s="539" t="s">
        <v>294</v>
      </c>
      <c r="P155" s="350"/>
      <c r="Q155" s="351"/>
      <c r="R155" s="574"/>
      <c r="S155" s="350"/>
      <c r="T155" s="351"/>
      <c r="U155" s="567"/>
      <c r="V155" s="350"/>
      <c r="W155" s="351"/>
      <c r="X155" s="77"/>
      <c r="Y155" s="78"/>
      <c r="Z155" s="77"/>
      <c r="AA155" s="78"/>
      <c r="AB155" s="77"/>
      <c r="AC155" s="78"/>
      <c r="AD155" s="77"/>
      <c r="AE155" s="78"/>
      <c r="AF155" s="77"/>
      <c r="AG155" s="78"/>
      <c r="AH155" s="77"/>
      <c r="AI155" s="78"/>
      <c r="AJ155" s="64"/>
      <c r="AK155" s="80"/>
      <c r="AL155" s="64"/>
      <c r="AM155" s="80"/>
      <c r="AN155" s="64"/>
      <c r="AO155" s="80"/>
      <c r="AP155" s="64"/>
      <c r="AQ155" s="80"/>
      <c r="AR155" s="64"/>
      <c r="AS155" s="679" t="s">
        <v>294</v>
      </c>
      <c r="AT155" s="350"/>
      <c r="AU155" s="350"/>
      <c r="AV155" s="350"/>
      <c r="AW155" s="350"/>
      <c r="AX155" s="350"/>
      <c r="AY155" s="351"/>
      <c r="AZ155" s="81"/>
      <c r="BA155" s="81"/>
      <c r="BB155" s="685" t="s">
        <v>325</v>
      </c>
      <c r="BC155" s="351"/>
      <c r="BD155" s="681" t="s">
        <v>294</v>
      </c>
      <c r="BE155" s="350"/>
      <c r="BF155" s="351"/>
      <c r="BG155" s="678" t="s">
        <v>294</v>
      </c>
      <c r="BH155" s="350"/>
      <c r="BI155" s="350"/>
      <c r="BJ155" s="351"/>
      <c r="BK155" s="680"/>
      <c r="BL155" s="350"/>
      <c r="BM155" s="351"/>
      <c r="BN155" s="82"/>
      <c r="BO155" s="82"/>
      <c r="BP155" s="678"/>
      <c r="BQ155" s="350"/>
      <c r="BR155" s="351"/>
      <c r="BS155" s="681" t="s">
        <v>294</v>
      </c>
      <c r="BT155" s="350"/>
      <c r="BU155" s="351"/>
    </row>
    <row r="156" spans="1:73" ht="30" customHeight="1">
      <c r="A156" s="76">
        <f t="shared" si="0"/>
        <v>142</v>
      </c>
      <c r="B156" s="686" t="s">
        <v>325</v>
      </c>
      <c r="C156" s="351"/>
      <c r="D156" s="687" t="s">
        <v>294</v>
      </c>
      <c r="E156" s="350"/>
      <c r="F156" s="350"/>
      <c r="G156" s="351"/>
      <c r="H156" s="688" t="s">
        <v>294</v>
      </c>
      <c r="I156" s="350"/>
      <c r="J156" s="350"/>
      <c r="K156" s="351"/>
      <c r="L156" s="538" t="s">
        <v>294</v>
      </c>
      <c r="M156" s="350"/>
      <c r="N156" s="351"/>
      <c r="O156" s="539" t="s">
        <v>294</v>
      </c>
      <c r="P156" s="350"/>
      <c r="Q156" s="351"/>
      <c r="R156" s="574"/>
      <c r="S156" s="350"/>
      <c r="T156" s="351"/>
      <c r="U156" s="567"/>
      <c r="V156" s="350"/>
      <c r="W156" s="351"/>
      <c r="X156" s="77"/>
      <c r="Y156" s="78"/>
      <c r="Z156" s="77"/>
      <c r="AA156" s="78"/>
      <c r="AB156" s="77"/>
      <c r="AC156" s="78"/>
      <c r="AD156" s="77"/>
      <c r="AE156" s="78"/>
      <c r="AF156" s="77"/>
      <c r="AG156" s="78"/>
      <c r="AH156" s="77"/>
      <c r="AI156" s="78"/>
      <c r="AJ156" s="64"/>
      <c r="AK156" s="80"/>
      <c r="AL156" s="64"/>
      <c r="AM156" s="80"/>
      <c r="AN156" s="64"/>
      <c r="AO156" s="80"/>
      <c r="AP156" s="64"/>
      <c r="AQ156" s="80"/>
      <c r="AR156" s="64"/>
      <c r="AS156" s="679" t="s">
        <v>294</v>
      </c>
      <c r="AT156" s="350"/>
      <c r="AU156" s="350"/>
      <c r="AV156" s="350"/>
      <c r="AW156" s="350"/>
      <c r="AX156" s="350"/>
      <c r="AY156" s="351"/>
      <c r="AZ156" s="81"/>
      <c r="BA156" s="81"/>
      <c r="BB156" s="677" t="s">
        <v>325</v>
      </c>
      <c r="BC156" s="351"/>
      <c r="BD156" s="681" t="s">
        <v>294</v>
      </c>
      <c r="BE156" s="350"/>
      <c r="BF156" s="351"/>
      <c r="BG156" s="678" t="s">
        <v>294</v>
      </c>
      <c r="BH156" s="350"/>
      <c r="BI156" s="350"/>
      <c r="BJ156" s="351"/>
      <c r="BK156" s="680"/>
      <c r="BL156" s="350"/>
      <c r="BM156" s="351"/>
      <c r="BN156" s="82"/>
      <c r="BO156" s="82"/>
      <c r="BP156" s="678"/>
      <c r="BQ156" s="350"/>
      <c r="BR156" s="351"/>
      <c r="BS156" s="681" t="s">
        <v>294</v>
      </c>
      <c r="BT156" s="350"/>
      <c r="BU156" s="351"/>
    </row>
    <row r="157" spans="1:73" ht="30" customHeight="1">
      <c r="A157" s="76">
        <f t="shared" si="0"/>
        <v>143</v>
      </c>
      <c r="B157" s="686" t="s">
        <v>325</v>
      </c>
      <c r="C157" s="351"/>
      <c r="D157" s="687" t="s">
        <v>294</v>
      </c>
      <c r="E157" s="350"/>
      <c r="F157" s="350"/>
      <c r="G157" s="351"/>
      <c r="H157" s="688" t="s">
        <v>294</v>
      </c>
      <c r="I157" s="350"/>
      <c r="J157" s="350"/>
      <c r="K157" s="351"/>
      <c r="L157" s="538" t="s">
        <v>294</v>
      </c>
      <c r="M157" s="350"/>
      <c r="N157" s="351"/>
      <c r="O157" s="539" t="s">
        <v>294</v>
      </c>
      <c r="P157" s="350"/>
      <c r="Q157" s="351"/>
      <c r="R157" s="574"/>
      <c r="S157" s="350"/>
      <c r="T157" s="351"/>
      <c r="U157" s="567"/>
      <c r="V157" s="350"/>
      <c r="W157" s="351"/>
      <c r="X157" s="77"/>
      <c r="Y157" s="78"/>
      <c r="Z157" s="77"/>
      <c r="AA157" s="78"/>
      <c r="AB157" s="77"/>
      <c r="AC157" s="78"/>
      <c r="AD157" s="77"/>
      <c r="AE157" s="78"/>
      <c r="AF157" s="77"/>
      <c r="AG157" s="78"/>
      <c r="AH157" s="77"/>
      <c r="AI157" s="78"/>
      <c r="AJ157" s="64"/>
      <c r="AK157" s="80"/>
      <c r="AL157" s="64"/>
      <c r="AM157" s="80"/>
      <c r="AN157" s="64"/>
      <c r="AO157" s="80"/>
      <c r="AP157" s="64"/>
      <c r="AQ157" s="80"/>
      <c r="AR157" s="64"/>
      <c r="AS157" s="679" t="s">
        <v>294</v>
      </c>
      <c r="AT157" s="350"/>
      <c r="AU157" s="350"/>
      <c r="AV157" s="350"/>
      <c r="AW157" s="350"/>
      <c r="AX157" s="350"/>
      <c r="AY157" s="351"/>
      <c r="AZ157" s="81"/>
      <c r="BA157" s="81"/>
      <c r="BB157" s="677" t="s">
        <v>325</v>
      </c>
      <c r="BC157" s="351"/>
      <c r="BD157" s="681" t="s">
        <v>294</v>
      </c>
      <c r="BE157" s="350"/>
      <c r="BF157" s="351"/>
      <c r="BG157" s="678" t="s">
        <v>294</v>
      </c>
      <c r="BH157" s="350"/>
      <c r="BI157" s="350"/>
      <c r="BJ157" s="351"/>
      <c r="BK157" s="680"/>
      <c r="BL157" s="350"/>
      <c r="BM157" s="351"/>
      <c r="BN157" s="82"/>
      <c r="BO157" s="82"/>
      <c r="BP157" s="678"/>
      <c r="BQ157" s="350"/>
      <c r="BR157" s="351"/>
      <c r="BS157" s="681" t="s">
        <v>294</v>
      </c>
      <c r="BT157" s="350"/>
      <c r="BU157" s="351"/>
    </row>
    <row r="158" spans="1:73" ht="30" customHeight="1">
      <c r="A158" s="76">
        <f t="shared" si="0"/>
        <v>144</v>
      </c>
      <c r="B158" s="686" t="s">
        <v>325</v>
      </c>
      <c r="C158" s="351"/>
      <c r="D158" s="687" t="s">
        <v>294</v>
      </c>
      <c r="E158" s="350"/>
      <c r="F158" s="350"/>
      <c r="G158" s="351"/>
      <c r="H158" s="688" t="s">
        <v>294</v>
      </c>
      <c r="I158" s="350"/>
      <c r="J158" s="350"/>
      <c r="K158" s="351"/>
      <c r="L158" s="538" t="s">
        <v>294</v>
      </c>
      <c r="M158" s="350"/>
      <c r="N158" s="351"/>
      <c r="O158" s="539" t="s">
        <v>294</v>
      </c>
      <c r="P158" s="350"/>
      <c r="Q158" s="351"/>
      <c r="R158" s="574"/>
      <c r="S158" s="350"/>
      <c r="T158" s="351"/>
      <c r="U158" s="567"/>
      <c r="V158" s="350"/>
      <c r="W158" s="351"/>
      <c r="X158" s="77"/>
      <c r="Y158" s="78"/>
      <c r="Z158" s="77"/>
      <c r="AA158" s="78"/>
      <c r="AB158" s="77"/>
      <c r="AC158" s="78"/>
      <c r="AD158" s="77"/>
      <c r="AE158" s="78"/>
      <c r="AF158" s="77"/>
      <c r="AG158" s="78"/>
      <c r="AH158" s="77"/>
      <c r="AI158" s="78"/>
      <c r="AJ158" s="64"/>
      <c r="AK158" s="80"/>
      <c r="AL158" s="64"/>
      <c r="AM158" s="80"/>
      <c r="AN158" s="64"/>
      <c r="AO158" s="80"/>
      <c r="AP158" s="64"/>
      <c r="AQ158" s="80"/>
      <c r="AR158" s="64"/>
      <c r="AS158" s="679" t="s">
        <v>294</v>
      </c>
      <c r="AT158" s="350"/>
      <c r="AU158" s="350"/>
      <c r="AV158" s="350"/>
      <c r="AW158" s="350"/>
      <c r="AX158" s="350"/>
      <c r="AY158" s="351"/>
      <c r="AZ158" s="81"/>
      <c r="BA158" s="81"/>
      <c r="BB158" s="677" t="s">
        <v>325</v>
      </c>
      <c r="BC158" s="351"/>
      <c r="BD158" s="681" t="s">
        <v>294</v>
      </c>
      <c r="BE158" s="350"/>
      <c r="BF158" s="351"/>
      <c r="BG158" s="678" t="s">
        <v>294</v>
      </c>
      <c r="BH158" s="350"/>
      <c r="BI158" s="350"/>
      <c r="BJ158" s="351"/>
      <c r="BK158" s="680"/>
      <c r="BL158" s="350"/>
      <c r="BM158" s="351"/>
      <c r="BN158" s="82"/>
      <c r="BO158" s="82"/>
      <c r="BP158" s="678"/>
      <c r="BQ158" s="350"/>
      <c r="BR158" s="351"/>
      <c r="BS158" s="681" t="s">
        <v>294</v>
      </c>
      <c r="BT158" s="350"/>
      <c r="BU158" s="351"/>
    </row>
    <row r="159" spans="1:73" ht="30" customHeight="1">
      <c r="A159" s="76">
        <f t="shared" si="0"/>
        <v>145</v>
      </c>
      <c r="B159" s="686" t="s">
        <v>325</v>
      </c>
      <c r="C159" s="351"/>
      <c r="D159" s="687" t="s">
        <v>294</v>
      </c>
      <c r="E159" s="350"/>
      <c r="F159" s="350"/>
      <c r="G159" s="351"/>
      <c r="H159" s="688" t="s">
        <v>294</v>
      </c>
      <c r="I159" s="350"/>
      <c r="J159" s="350"/>
      <c r="K159" s="351"/>
      <c r="L159" s="538" t="s">
        <v>294</v>
      </c>
      <c r="M159" s="350"/>
      <c r="N159" s="351"/>
      <c r="O159" s="539" t="s">
        <v>294</v>
      </c>
      <c r="P159" s="350"/>
      <c r="Q159" s="351"/>
      <c r="R159" s="574"/>
      <c r="S159" s="350"/>
      <c r="T159" s="351"/>
      <c r="U159" s="567"/>
      <c r="V159" s="350"/>
      <c r="W159" s="351"/>
      <c r="X159" s="77"/>
      <c r="Y159" s="78"/>
      <c r="Z159" s="77"/>
      <c r="AA159" s="78"/>
      <c r="AB159" s="77"/>
      <c r="AC159" s="78"/>
      <c r="AD159" s="77"/>
      <c r="AE159" s="78"/>
      <c r="AF159" s="77"/>
      <c r="AG159" s="78"/>
      <c r="AH159" s="77"/>
      <c r="AI159" s="78"/>
      <c r="AJ159" s="64"/>
      <c r="AK159" s="80"/>
      <c r="AL159" s="64"/>
      <c r="AM159" s="80"/>
      <c r="AN159" s="64"/>
      <c r="AO159" s="80"/>
      <c r="AP159" s="64"/>
      <c r="AQ159" s="80"/>
      <c r="AR159" s="64"/>
      <c r="AS159" s="679" t="s">
        <v>294</v>
      </c>
      <c r="AT159" s="350"/>
      <c r="AU159" s="350"/>
      <c r="AV159" s="350"/>
      <c r="AW159" s="350"/>
      <c r="AX159" s="350"/>
      <c r="AY159" s="351"/>
      <c r="AZ159" s="81"/>
      <c r="BA159" s="81"/>
      <c r="BB159" s="677" t="s">
        <v>325</v>
      </c>
      <c r="BC159" s="351"/>
      <c r="BD159" s="681" t="s">
        <v>294</v>
      </c>
      <c r="BE159" s="350"/>
      <c r="BF159" s="351"/>
      <c r="BG159" s="678" t="s">
        <v>294</v>
      </c>
      <c r="BH159" s="350"/>
      <c r="BI159" s="350"/>
      <c r="BJ159" s="351"/>
      <c r="BK159" s="680"/>
      <c r="BL159" s="350"/>
      <c r="BM159" s="351"/>
      <c r="BN159" s="82"/>
      <c r="BO159" s="82"/>
      <c r="BP159" s="678"/>
      <c r="BQ159" s="350"/>
      <c r="BR159" s="351"/>
      <c r="BS159" s="681" t="s">
        <v>294</v>
      </c>
      <c r="BT159" s="350"/>
      <c r="BU159" s="351"/>
    </row>
    <row r="160" spans="1:73" ht="30" customHeight="1">
      <c r="A160" s="76">
        <f t="shared" si="0"/>
        <v>146</v>
      </c>
      <c r="B160" s="686" t="s">
        <v>325</v>
      </c>
      <c r="C160" s="351"/>
      <c r="D160" s="687" t="s">
        <v>294</v>
      </c>
      <c r="E160" s="350"/>
      <c r="F160" s="350"/>
      <c r="G160" s="351"/>
      <c r="H160" s="688" t="s">
        <v>294</v>
      </c>
      <c r="I160" s="350"/>
      <c r="J160" s="350"/>
      <c r="K160" s="351"/>
      <c r="L160" s="538" t="s">
        <v>294</v>
      </c>
      <c r="M160" s="350"/>
      <c r="N160" s="351"/>
      <c r="O160" s="539" t="s">
        <v>294</v>
      </c>
      <c r="P160" s="350"/>
      <c r="Q160" s="351"/>
      <c r="R160" s="574"/>
      <c r="S160" s="350"/>
      <c r="T160" s="351"/>
      <c r="U160" s="567"/>
      <c r="V160" s="350"/>
      <c r="W160" s="351"/>
      <c r="X160" s="77"/>
      <c r="Y160" s="78"/>
      <c r="Z160" s="77"/>
      <c r="AA160" s="78"/>
      <c r="AB160" s="77"/>
      <c r="AC160" s="78"/>
      <c r="AD160" s="77"/>
      <c r="AE160" s="78"/>
      <c r="AF160" s="77"/>
      <c r="AG160" s="78"/>
      <c r="AH160" s="77"/>
      <c r="AI160" s="78"/>
      <c r="AJ160" s="64"/>
      <c r="AK160" s="80"/>
      <c r="AL160" s="64"/>
      <c r="AM160" s="80"/>
      <c r="AN160" s="64"/>
      <c r="AO160" s="80"/>
      <c r="AP160" s="64"/>
      <c r="AQ160" s="80"/>
      <c r="AR160" s="64"/>
      <c r="AS160" s="679" t="s">
        <v>294</v>
      </c>
      <c r="AT160" s="350"/>
      <c r="AU160" s="350"/>
      <c r="AV160" s="350"/>
      <c r="AW160" s="350"/>
      <c r="AX160" s="350"/>
      <c r="AY160" s="351"/>
      <c r="AZ160" s="81"/>
      <c r="BA160" s="81"/>
      <c r="BB160" s="677" t="s">
        <v>325</v>
      </c>
      <c r="BC160" s="351"/>
      <c r="BD160" s="681" t="s">
        <v>294</v>
      </c>
      <c r="BE160" s="350"/>
      <c r="BF160" s="351"/>
      <c r="BG160" s="678" t="s">
        <v>294</v>
      </c>
      <c r="BH160" s="350"/>
      <c r="BI160" s="350"/>
      <c r="BJ160" s="351"/>
      <c r="BK160" s="680"/>
      <c r="BL160" s="350"/>
      <c r="BM160" s="351"/>
      <c r="BN160" s="82"/>
      <c r="BO160" s="82"/>
      <c r="BP160" s="678"/>
      <c r="BQ160" s="350"/>
      <c r="BR160" s="351"/>
      <c r="BS160" s="681" t="s">
        <v>294</v>
      </c>
      <c r="BT160" s="350"/>
      <c r="BU160" s="351"/>
    </row>
    <row r="161" spans="1:73" ht="30" customHeight="1">
      <c r="A161" s="76">
        <f t="shared" si="0"/>
        <v>147</v>
      </c>
      <c r="B161" s="686" t="s">
        <v>325</v>
      </c>
      <c r="C161" s="351"/>
      <c r="D161" s="687" t="s">
        <v>294</v>
      </c>
      <c r="E161" s="350"/>
      <c r="F161" s="350"/>
      <c r="G161" s="351"/>
      <c r="H161" s="688" t="s">
        <v>294</v>
      </c>
      <c r="I161" s="350"/>
      <c r="J161" s="350"/>
      <c r="K161" s="351"/>
      <c r="L161" s="538" t="s">
        <v>294</v>
      </c>
      <c r="M161" s="350"/>
      <c r="N161" s="351"/>
      <c r="O161" s="539" t="s">
        <v>294</v>
      </c>
      <c r="P161" s="350"/>
      <c r="Q161" s="351"/>
      <c r="R161" s="574"/>
      <c r="S161" s="350"/>
      <c r="T161" s="351"/>
      <c r="U161" s="567"/>
      <c r="V161" s="350"/>
      <c r="W161" s="351"/>
      <c r="X161" s="77"/>
      <c r="Y161" s="78"/>
      <c r="Z161" s="77"/>
      <c r="AA161" s="78"/>
      <c r="AB161" s="77"/>
      <c r="AC161" s="78"/>
      <c r="AD161" s="77"/>
      <c r="AE161" s="78"/>
      <c r="AF161" s="77"/>
      <c r="AG161" s="78"/>
      <c r="AH161" s="77"/>
      <c r="AI161" s="78"/>
      <c r="AJ161" s="64"/>
      <c r="AK161" s="80"/>
      <c r="AL161" s="64"/>
      <c r="AM161" s="80"/>
      <c r="AN161" s="64"/>
      <c r="AO161" s="80"/>
      <c r="AP161" s="64"/>
      <c r="AQ161" s="80"/>
      <c r="AR161" s="64"/>
      <c r="AS161" s="679" t="s">
        <v>294</v>
      </c>
      <c r="AT161" s="350"/>
      <c r="AU161" s="350"/>
      <c r="AV161" s="350"/>
      <c r="AW161" s="350"/>
      <c r="AX161" s="350"/>
      <c r="AY161" s="351"/>
      <c r="AZ161" s="81"/>
      <c r="BA161" s="81"/>
      <c r="BB161" s="677" t="s">
        <v>325</v>
      </c>
      <c r="BC161" s="351"/>
      <c r="BD161" s="681" t="s">
        <v>294</v>
      </c>
      <c r="BE161" s="350"/>
      <c r="BF161" s="351"/>
      <c r="BG161" s="678" t="s">
        <v>294</v>
      </c>
      <c r="BH161" s="350"/>
      <c r="BI161" s="350"/>
      <c r="BJ161" s="351"/>
      <c r="BK161" s="680"/>
      <c r="BL161" s="350"/>
      <c r="BM161" s="351"/>
      <c r="BN161" s="82"/>
      <c r="BO161" s="82"/>
      <c r="BP161" s="678"/>
      <c r="BQ161" s="350"/>
      <c r="BR161" s="351"/>
      <c r="BS161" s="681" t="s">
        <v>294</v>
      </c>
      <c r="BT161" s="350"/>
      <c r="BU161" s="351"/>
    </row>
    <row r="162" spans="1:73" ht="30" customHeight="1">
      <c r="A162" s="76">
        <f t="shared" si="0"/>
        <v>148</v>
      </c>
      <c r="B162" s="686" t="s">
        <v>325</v>
      </c>
      <c r="C162" s="351"/>
      <c r="D162" s="687" t="s">
        <v>294</v>
      </c>
      <c r="E162" s="350"/>
      <c r="F162" s="350"/>
      <c r="G162" s="351"/>
      <c r="H162" s="688" t="s">
        <v>294</v>
      </c>
      <c r="I162" s="350"/>
      <c r="J162" s="350"/>
      <c r="K162" s="351"/>
      <c r="L162" s="538" t="s">
        <v>294</v>
      </c>
      <c r="M162" s="350"/>
      <c r="N162" s="351"/>
      <c r="O162" s="539" t="s">
        <v>294</v>
      </c>
      <c r="P162" s="350"/>
      <c r="Q162" s="351"/>
      <c r="R162" s="574"/>
      <c r="S162" s="350"/>
      <c r="T162" s="351"/>
      <c r="U162" s="567"/>
      <c r="V162" s="350"/>
      <c r="W162" s="351"/>
      <c r="X162" s="77"/>
      <c r="Y162" s="78"/>
      <c r="Z162" s="77"/>
      <c r="AA162" s="78"/>
      <c r="AB162" s="77"/>
      <c r="AC162" s="78"/>
      <c r="AD162" s="77"/>
      <c r="AE162" s="78"/>
      <c r="AF162" s="77"/>
      <c r="AG162" s="78"/>
      <c r="AH162" s="77"/>
      <c r="AI162" s="78"/>
      <c r="AJ162" s="64"/>
      <c r="AK162" s="80"/>
      <c r="AL162" s="64"/>
      <c r="AM162" s="80"/>
      <c r="AN162" s="64"/>
      <c r="AO162" s="80"/>
      <c r="AP162" s="64"/>
      <c r="AQ162" s="80"/>
      <c r="AR162" s="64"/>
      <c r="AS162" s="679" t="s">
        <v>294</v>
      </c>
      <c r="AT162" s="350"/>
      <c r="AU162" s="350"/>
      <c r="AV162" s="350"/>
      <c r="AW162" s="350"/>
      <c r="AX162" s="350"/>
      <c r="AY162" s="351"/>
      <c r="AZ162" s="83"/>
      <c r="BA162" s="83"/>
      <c r="BB162" s="677" t="s">
        <v>325</v>
      </c>
      <c r="BC162" s="351"/>
      <c r="BD162" s="682" t="s">
        <v>294</v>
      </c>
      <c r="BE162" s="378"/>
      <c r="BF162" s="379"/>
      <c r="BG162" s="683" t="s">
        <v>294</v>
      </c>
      <c r="BH162" s="378"/>
      <c r="BI162" s="378"/>
      <c r="BJ162" s="379"/>
      <c r="BK162" s="684"/>
      <c r="BL162" s="378"/>
      <c r="BM162" s="379"/>
      <c r="BN162" s="84"/>
      <c r="BO162" s="84"/>
      <c r="BP162" s="683"/>
      <c r="BQ162" s="378"/>
      <c r="BR162" s="379"/>
      <c r="BS162" s="682" t="s">
        <v>294</v>
      </c>
      <c r="BT162" s="378"/>
      <c r="BU162" s="379"/>
    </row>
    <row r="163" spans="1:73" ht="30" customHeight="1">
      <c r="A163" s="76">
        <f t="shared" si="0"/>
        <v>149</v>
      </c>
      <c r="B163" s="686" t="s">
        <v>325</v>
      </c>
      <c r="C163" s="351"/>
      <c r="D163" s="687" t="s">
        <v>294</v>
      </c>
      <c r="E163" s="350"/>
      <c r="F163" s="350"/>
      <c r="G163" s="351"/>
      <c r="H163" s="688" t="s">
        <v>294</v>
      </c>
      <c r="I163" s="350"/>
      <c r="J163" s="350"/>
      <c r="K163" s="351"/>
      <c r="L163" s="538" t="s">
        <v>294</v>
      </c>
      <c r="M163" s="350"/>
      <c r="N163" s="351"/>
      <c r="O163" s="539" t="s">
        <v>294</v>
      </c>
      <c r="P163" s="350"/>
      <c r="Q163" s="351"/>
      <c r="R163" s="574"/>
      <c r="S163" s="350"/>
      <c r="T163" s="351"/>
      <c r="U163" s="567"/>
      <c r="V163" s="350"/>
      <c r="W163" s="351"/>
      <c r="X163" s="77"/>
      <c r="Y163" s="78"/>
      <c r="Z163" s="77"/>
      <c r="AA163" s="78"/>
      <c r="AB163" s="77"/>
      <c r="AC163" s="78"/>
      <c r="AD163" s="77"/>
      <c r="AE163" s="78"/>
      <c r="AF163" s="77"/>
      <c r="AG163" s="78"/>
      <c r="AH163" s="77"/>
      <c r="AI163" s="78"/>
      <c r="AJ163" s="64"/>
      <c r="AK163" s="80"/>
      <c r="AL163" s="64"/>
      <c r="AM163" s="80"/>
      <c r="AN163" s="64"/>
      <c r="AO163" s="80"/>
      <c r="AP163" s="64"/>
      <c r="AQ163" s="80"/>
      <c r="AR163" s="64"/>
      <c r="AS163" s="679" t="s">
        <v>294</v>
      </c>
      <c r="AT163" s="350"/>
      <c r="AU163" s="350"/>
      <c r="AV163" s="350"/>
      <c r="AW163" s="350"/>
      <c r="AX163" s="350"/>
      <c r="AY163" s="351"/>
      <c r="AZ163" s="81"/>
      <c r="BA163" s="81"/>
      <c r="BB163" s="677" t="s">
        <v>325</v>
      </c>
      <c r="BC163" s="351"/>
      <c r="BD163" s="681" t="s">
        <v>294</v>
      </c>
      <c r="BE163" s="350"/>
      <c r="BF163" s="351"/>
      <c r="BG163" s="678" t="s">
        <v>294</v>
      </c>
      <c r="BH163" s="350"/>
      <c r="BI163" s="350"/>
      <c r="BJ163" s="351"/>
      <c r="BK163" s="680"/>
      <c r="BL163" s="350"/>
      <c r="BM163" s="351"/>
      <c r="BN163" s="82"/>
      <c r="BO163" s="82"/>
      <c r="BP163" s="678"/>
      <c r="BQ163" s="350"/>
      <c r="BR163" s="351"/>
      <c r="BS163" s="681" t="s">
        <v>294</v>
      </c>
      <c r="BT163" s="350"/>
      <c r="BU163" s="351"/>
    </row>
    <row r="164" spans="1:73" ht="30" customHeight="1">
      <c r="A164" s="76">
        <f t="shared" si="0"/>
        <v>150</v>
      </c>
      <c r="B164" s="686" t="s">
        <v>325</v>
      </c>
      <c r="C164" s="351"/>
      <c r="D164" s="687" t="s">
        <v>294</v>
      </c>
      <c r="E164" s="350"/>
      <c r="F164" s="350"/>
      <c r="G164" s="351"/>
      <c r="H164" s="688" t="s">
        <v>294</v>
      </c>
      <c r="I164" s="350"/>
      <c r="J164" s="350"/>
      <c r="K164" s="351"/>
      <c r="L164" s="538" t="s">
        <v>294</v>
      </c>
      <c r="M164" s="350"/>
      <c r="N164" s="351"/>
      <c r="O164" s="539" t="s">
        <v>294</v>
      </c>
      <c r="P164" s="350"/>
      <c r="Q164" s="351"/>
      <c r="R164" s="574"/>
      <c r="S164" s="350"/>
      <c r="T164" s="351"/>
      <c r="U164" s="567"/>
      <c r="V164" s="350"/>
      <c r="W164" s="351"/>
      <c r="X164" s="77"/>
      <c r="Y164" s="78"/>
      <c r="Z164" s="77"/>
      <c r="AA164" s="78"/>
      <c r="AB164" s="77"/>
      <c r="AC164" s="78"/>
      <c r="AD164" s="77"/>
      <c r="AE164" s="78"/>
      <c r="AF164" s="77"/>
      <c r="AG164" s="78"/>
      <c r="AH164" s="77"/>
      <c r="AI164" s="78"/>
      <c r="AJ164" s="64"/>
      <c r="AK164" s="80"/>
      <c r="AL164" s="64"/>
      <c r="AM164" s="80"/>
      <c r="AN164" s="64"/>
      <c r="AO164" s="80"/>
      <c r="AP164" s="64"/>
      <c r="AQ164" s="80"/>
      <c r="AR164" s="64"/>
      <c r="AS164" s="679" t="s">
        <v>294</v>
      </c>
      <c r="AT164" s="350"/>
      <c r="AU164" s="350"/>
      <c r="AV164" s="350"/>
      <c r="AW164" s="350"/>
      <c r="AX164" s="350"/>
      <c r="AY164" s="351"/>
      <c r="AZ164" s="81"/>
      <c r="BA164" s="81"/>
      <c r="BB164" s="677" t="s">
        <v>325</v>
      </c>
      <c r="BC164" s="351"/>
      <c r="BD164" s="681" t="s">
        <v>294</v>
      </c>
      <c r="BE164" s="350"/>
      <c r="BF164" s="351"/>
      <c r="BG164" s="678" t="s">
        <v>294</v>
      </c>
      <c r="BH164" s="350"/>
      <c r="BI164" s="350"/>
      <c r="BJ164" s="351"/>
      <c r="BK164" s="680"/>
      <c r="BL164" s="350"/>
      <c r="BM164" s="351"/>
      <c r="BN164" s="82"/>
      <c r="BO164" s="82"/>
      <c r="BP164" s="678"/>
      <c r="BQ164" s="350"/>
      <c r="BR164" s="351"/>
      <c r="BS164" s="681" t="s">
        <v>294</v>
      </c>
      <c r="BT164" s="350"/>
      <c r="BU164" s="351"/>
    </row>
    <row r="165" spans="1:73" ht="30" customHeight="1">
      <c r="A165" s="76">
        <f t="shared" si="0"/>
        <v>151</v>
      </c>
      <c r="B165" s="686" t="s">
        <v>325</v>
      </c>
      <c r="C165" s="351"/>
      <c r="D165" s="687" t="s">
        <v>294</v>
      </c>
      <c r="E165" s="350"/>
      <c r="F165" s="350"/>
      <c r="G165" s="351"/>
      <c r="H165" s="688" t="s">
        <v>294</v>
      </c>
      <c r="I165" s="350"/>
      <c r="J165" s="350"/>
      <c r="K165" s="351"/>
      <c r="L165" s="538" t="s">
        <v>294</v>
      </c>
      <c r="M165" s="350"/>
      <c r="N165" s="351"/>
      <c r="O165" s="539" t="s">
        <v>294</v>
      </c>
      <c r="P165" s="350"/>
      <c r="Q165" s="351"/>
      <c r="R165" s="574"/>
      <c r="S165" s="350"/>
      <c r="T165" s="351"/>
      <c r="U165" s="567"/>
      <c r="V165" s="350"/>
      <c r="W165" s="351"/>
      <c r="X165" s="77"/>
      <c r="Y165" s="78"/>
      <c r="Z165" s="77"/>
      <c r="AA165" s="78"/>
      <c r="AB165" s="77"/>
      <c r="AC165" s="78"/>
      <c r="AD165" s="77"/>
      <c r="AE165" s="78"/>
      <c r="AF165" s="77"/>
      <c r="AG165" s="78"/>
      <c r="AH165" s="77"/>
      <c r="AI165" s="78"/>
      <c r="AJ165" s="64"/>
      <c r="AK165" s="80"/>
      <c r="AL165" s="64"/>
      <c r="AM165" s="80"/>
      <c r="AN165" s="64"/>
      <c r="AO165" s="80"/>
      <c r="AP165" s="64"/>
      <c r="AQ165" s="80"/>
      <c r="AR165" s="64"/>
      <c r="AS165" s="679" t="s">
        <v>294</v>
      </c>
      <c r="AT165" s="350"/>
      <c r="AU165" s="350"/>
      <c r="AV165" s="350"/>
      <c r="AW165" s="350"/>
      <c r="AX165" s="350"/>
      <c r="AY165" s="351"/>
      <c r="AZ165" s="81"/>
      <c r="BA165" s="81"/>
      <c r="BB165" s="677" t="s">
        <v>325</v>
      </c>
      <c r="BC165" s="351"/>
      <c r="BD165" s="681" t="s">
        <v>294</v>
      </c>
      <c r="BE165" s="350"/>
      <c r="BF165" s="351"/>
      <c r="BG165" s="678" t="s">
        <v>294</v>
      </c>
      <c r="BH165" s="350"/>
      <c r="BI165" s="350"/>
      <c r="BJ165" s="351"/>
      <c r="BK165" s="680"/>
      <c r="BL165" s="350"/>
      <c r="BM165" s="351"/>
      <c r="BN165" s="82"/>
      <c r="BO165" s="82"/>
      <c r="BP165" s="678"/>
      <c r="BQ165" s="350"/>
      <c r="BR165" s="351"/>
      <c r="BS165" s="681" t="s">
        <v>294</v>
      </c>
      <c r="BT165" s="350"/>
      <c r="BU165" s="351"/>
    </row>
    <row r="166" spans="1:73" ht="30" customHeight="1">
      <c r="A166" s="76">
        <f t="shared" si="0"/>
        <v>152</v>
      </c>
      <c r="B166" s="686" t="s">
        <v>325</v>
      </c>
      <c r="C166" s="351"/>
      <c r="D166" s="687" t="s">
        <v>294</v>
      </c>
      <c r="E166" s="350"/>
      <c r="F166" s="350"/>
      <c r="G166" s="351"/>
      <c r="H166" s="688" t="s">
        <v>294</v>
      </c>
      <c r="I166" s="350"/>
      <c r="J166" s="350"/>
      <c r="K166" s="351"/>
      <c r="L166" s="538" t="s">
        <v>294</v>
      </c>
      <c r="M166" s="350"/>
      <c r="N166" s="351"/>
      <c r="O166" s="539" t="s">
        <v>294</v>
      </c>
      <c r="P166" s="350"/>
      <c r="Q166" s="351"/>
      <c r="R166" s="574"/>
      <c r="S166" s="350"/>
      <c r="T166" s="351"/>
      <c r="U166" s="567"/>
      <c r="V166" s="350"/>
      <c r="W166" s="351"/>
      <c r="X166" s="77"/>
      <c r="Y166" s="78"/>
      <c r="Z166" s="77"/>
      <c r="AA166" s="78"/>
      <c r="AB166" s="77"/>
      <c r="AC166" s="78"/>
      <c r="AD166" s="77"/>
      <c r="AE166" s="78"/>
      <c r="AF166" s="77"/>
      <c r="AG166" s="78"/>
      <c r="AH166" s="77"/>
      <c r="AI166" s="78"/>
      <c r="AJ166" s="64"/>
      <c r="AK166" s="80"/>
      <c r="AL166" s="64"/>
      <c r="AM166" s="80"/>
      <c r="AN166" s="64"/>
      <c r="AO166" s="80"/>
      <c r="AP166" s="64"/>
      <c r="AQ166" s="80"/>
      <c r="AR166" s="64"/>
      <c r="AS166" s="679" t="s">
        <v>294</v>
      </c>
      <c r="AT166" s="350"/>
      <c r="AU166" s="350"/>
      <c r="AV166" s="350"/>
      <c r="AW166" s="350"/>
      <c r="AX166" s="350"/>
      <c r="AY166" s="351"/>
      <c r="AZ166" s="81"/>
      <c r="BA166" s="81"/>
      <c r="BB166" s="677" t="s">
        <v>325</v>
      </c>
      <c r="BC166" s="351"/>
      <c r="BD166" s="681" t="s">
        <v>294</v>
      </c>
      <c r="BE166" s="350"/>
      <c r="BF166" s="351"/>
      <c r="BG166" s="678" t="s">
        <v>294</v>
      </c>
      <c r="BH166" s="350"/>
      <c r="BI166" s="350"/>
      <c r="BJ166" s="351"/>
      <c r="BK166" s="680"/>
      <c r="BL166" s="350"/>
      <c r="BM166" s="351"/>
      <c r="BN166" s="82"/>
      <c r="BO166" s="82"/>
      <c r="BP166" s="678"/>
      <c r="BQ166" s="350"/>
      <c r="BR166" s="351"/>
      <c r="BS166" s="681" t="s">
        <v>294</v>
      </c>
      <c r="BT166" s="350"/>
      <c r="BU166" s="351"/>
    </row>
    <row r="167" spans="1:73" ht="30" customHeight="1">
      <c r="A167" s="76">
        <f t="shared" si="0"/>
        <v>153</v>
      </c>
      <c r="B167" s="686" t="s">
        <v>325</v>
      </c>
      <c r="C167" s="351"/>
      <c r="D167" s="687" t="s">
        <v>294</v>
      </c>
      <c r="E167" s="350"/>
      <c r="F167" s="350"/>
      <c r="G167" s="351"/>
      <c r="H167" s="688" t="s">
        <v>294</v>
      </c>
      <c r="I167" s="350"/>
      <c r="J167" s="350"/>
      <c r="K167" s="351"/>
      <c r="L167" s="538" t="s">
        <v>294</v>
      </c>
      <c r="M167" s="350"/>
      <c r="N167" s="351"/>
      <c r="O167" s="539" t="s">
        <v>294</v>
      </c>
      <c r="P167" s="350"/>
      <c r="Q167" s="351"/>
      <c r="R167" s="574"/>
      <c r="S167" s="350"/>
      <c r="T167" s="351"/>
      <c r="U167" s="567"/>
      <c r="V167" s="350"/>
      <c r="W167" s="351"/>
      <c r="X167" s="77"/>
      <c r="Y167" s="78"/>
      <c r="Z167" s="77"/>
      <c r="AA167" s="78"/>
      <c r="AB167" s="77"/>
      <c r="AC167" s="78"/>
      <c r="AD167" s="77"/>
      <c r="AE167" s="78"/>
      <c r="AF167" s="77"/>
      <c r="AG167" s="78"/>
      <c r="AH167" s="77"/>
      <c r="AI167" s="78"/>
      <c r="AJ167" s="64"/>
      <c r="AK167" s="80"/>
      <c r="AL167" s="64"/>
      <c r="AM167" s="80"/>
      <c r="AN167" s="64"/>
      <c r="AO167" s="80"/>
      <c r="AP167" s="64"/>
      <c r="AQ167" s="80"/>
      <c r="AR167" s="64"/>
      <c r="AS167" s="679" t="s">
        <v>294</v>
      </c>
      <c r="AT167" s="350"/>
      <c r="AU167" s="350"/>
      <c r="AV167" s="350"/>
      <c r="AW167" s="350"/>
      <c r="AX167" s="350"/>
      <c r="AY167" s="351"/>
      <c r="AZ167" s="81"/>
      <c r="BA167" s="81"/>
      <c r="BB167" s="677" t="s">
        <v>325</v>
      </c>
      <c r="BC167" s="351"/>
      <c r="BD167" s="681" t="s">
        <v>294</v>
      </c>
      <c r="BE167" s="350"/>
      <c r="BF167" s="351"/>
      <c r="BG167" s="678" t="s">
        <v>294</v>
      </c>
      <c r="BH167" s="350"/>
      <c r="BI167" s="350"/>
      <c r="BJ167" s="351"/>
      <c r="BK167" s="680"/>
      <c r="BL167" s="350"/>
      <c r="BM167" s="351"/>
      <c r="BN167" s="82"/>
      <c r="BO167" s="82"/>
      <c r="BP167" s="678"/>
      <c r="BQ167" s="350"/>
      <c r="BR167" s="351"/>
      <c r="BS167" s="681" t="s">
        <v>294</v>
      </c>
      <c r="BT167" s="350"/>
      <c r="BU167" s="351"/>
    </row>
    <row r="168" spans="1:73" ht="30" customHeight="1">
      <c r="A168" s="76">
        <f t="shared" si="0"/>
        <v>154</v>
      </c>
      <c r="B168" s="686" t="s">
        <v>325</v>
      </c>
      <c r="C168" s="351"/>
      <c r="D168" s="687" t="s">
        <v>294</v>
      </c>
      <c r="E168" s="350"/>
      <c r="F168" s="350"/>
      <c r="G168" s="351"/>
      <c r="H168" s="688" t="s">
        <v>294</v>
      </c>
      <c r="I168" s="350"/>
      <c r="J168" s="350"/>
      <c r="K168" s="351"/>
      <c r="L168" s="538" t="s">
        <v>294</v>
      </c>
      <c r="M168" s="350"/>
      <c r="N168" s="351"/>
      <c r="O168" s="539" t="s">
        <v>294</v>
      </c>
      <c r="P168" s="350"/>
      <c r="Q168" s="351"/>
      <c r="R168" s="574"/>
      <c r="S168" s="350"/>
      <c r="T168" s="351"/>
      <c r="U168" s="567"/>
      <c r="V168" s="350"/>
      <c r="W168" s="351"/>
      <c r="X168" s="77"/>
      <c r="Y168" s="78"/>
      <c r="Z168" s="77"/>
      <c r="AA168" s="78"/>
      <c r="AB168" s="77"/>
      <c r="AC168" s="78"/>
      <c r="AD168" s="77"/>
      <c r="AE168" s="78"/>
      <c r="AF168" s="77"/>
      <c r="AG168" s="78"/>
      <c r="AH168" s="77"/>
      <c r="AI168" s="78"/>
      <c r="AJ168" s="64"/>
      <c r="AK168" s="80"/>
      <c r="AL168" s="64"/>
      <c r="AM168" s="80"/>
      <c r="AN168" s="64"/>
      <c r="AO168" s="80"/>
      <c r="AP168" s="64"/>
      <c r="AQ168" s="80"/>
      <c r="AR168" s="64"/>
      <c r="AS168" s="679" t="s">
        <v>294</v>
      </c>
      <c r="AT168" s="350"/>
      <c r="AU168" s="350"/>
      <c r="AV168" s="350"/>
      <c r="AW168" s="350"/>
      <c r="AX168" s="350"/>
      <c r="AY168" s="351"/>
      <c r="AZ168" s="81"/>
      <c r="BA168" s="81"/>
      <c r="BB168" s="677" t="s">
        <v>325</v>
      </c>
      <c r="BC168" s="351"/>
      <c r="BD168" s="681" t="s">
        <v>294</v>
      </c>
      <c r="BE168" s="350"/>
      <c r="BF168" s="351"/>
      <c r="BG168" s="678" t="s">
        <v>294</v>
      </c>
      <c r="BH168" s="350"/>
      <c r="BI168" s="350"/>
      <c r="BJ168" s="351"/>
      <c r="BK168" s="680"/>
      <c r="BL168" s="350"/>
      <c r="BM168" s="351"/>
      <c r="BN168" s="82"/>
      <c r="BO168" s="82"/>
      <c r="BP168" s="678"/>
      <c r="BQ168" s="350"/>
      <c r="BR168" s="351"/>
      <c r="BS168" s="681" t="s">
        <v>294</v>
      </c>
      <c r="BT168" s="350"/>
      <c r="BU168" s="351"/>
    </row>
    <row r="169" spans="1:73" ht="30" customHeight="1">
      <c r="A169" s="76">
        <f t="shared" si="0"/>
        <v>155</v>
      </c>
      <c r="B169" s="686" t="s">
        <v>325</v>
      </c>
      <c r="C169" s="351"/>
      <c r="D169" s="687" t="s">
        <v>294</v>
      </c>
      <c r="E169" s="350"/>
      <c r="F169" s="350"/>
      <c r="G169" s="351"/>
      <c r="H169" s="688" t="s">
        <v>294</v>
      </c>
      <c r="I169" s="350"/>
      <c r="J169" s="350"/>
      <c r="K169" s="351"/>
      <c r="L169" s="538" t="s">
        <v>294</v>
      </c>
      <c r="M169" s="350"/>
      <c r="N169" s="351"/>
      <c r="O169" s="539" t="s">
        <v>294</v>
      </c>
      <c r="P169" s="350"/>
      <c r="Q169" s="351"/>
      <c r="R169" s="574"/>
      <c r="S169" s="350"/>
      <c r="T169" s="351"/>
      <c r="U169" s="567"/>
      <c r="V169" s="350"/>
      <c r="W169" s="351"/>
      <c r="X169" s="77"/>
      <c r="Y169" s="78"/>
      <c r="Z169" s="77"/>
      <c r="AA169" s="78"/>
      <c r="AB169" s="77"/>
      <c r="AC169" s="78"/>
      <c r="AD169" s="77"/>
      <c r="AE169" s="78"/>
      <c r="AF169" s="77"/>
      <c r="AG169" s="78"/>
      <c r="AH169" s="77"/>
      <c r="AI169" s="78"/>
      <c r="AJ169" s="64"/>
      <c r="AK169" s="80"/>
      <c r="AL169" s="64"/>
      <c r="AM169" s="80"/>
      <c r="AN169" s="64"/>
      <c r="AO169" s="80"/>
      <c r="AP169" s="64"/>
      <c r="AQ169" s="80"/>
      <c r="AR169" s="64"/>
      <c r="AS169" s="679" t="s">
        <v>294</v>
      </c>
      <c r="AT169" s="350"/>
      <c r="AU169" s="350"/>
      <c r="AV169" s="350"/>
      <c r="AW169" s="350"/>
      <c r="AX169" s="350"/>
      <c r="AY169" s="351"/>
      <c r="AZ169" s="83"/>
      <c r="BA169" s="83"/>
      <c r="BB169" s="677" t="s">
        <v>325</v>
      </c>
      <c r="BC169" s="351"/>
      <c r="BD169" s="682" t="s">
        <v>294</v>
      </c>
      <c r="BE169" s="378"/>
      <c r="BF169" s="379"/>
      <c r="BG169" s="683" t="s">
        <v>294</v>
      </c>
      <c r="BH169" s="378"/>
      <c r="BI169" s="378"/>
      <c r="BJ169" s="379"/>
      <c r="BK169" s="684"/>
      <c r="BL169" s="378"/>
      <c r="BM169" s="379"/>
      <c r="BN169" s="84"/>
      <c r="BO169" s="84"/>
      <c r="BP169" s="683"/>
      <c r="BQ169" s="378"/>
      <c r="BR169" s="379"/>
      <c r="BS169" s="682" t="s">
        <v>294</v>
      </c>
      <c r="BT169" s="378"/>
      <c r="BU169" s="379"/>
    </row>
    <row r="170" spans="1:73" ht="30" customHeight="1">
      <c r="A170" s="76">
        <f t="shared" si="0"/>
        <v>156</v>
      </c>
      <c r="B170" s="686" t="s">
        <v>325</v>
      </c>
      <c r="C170" s="351"/>
      <c r="D170" s="687" t="s">
        <v>294</v>
      </c>
      <c r="E170" s="350"/>
      <c r="F170" s="350"/>
      <c r="G170" s="351"/>
      <c r="H170" s="688" t="s">
        <v>294</v>
      </c>
      <c r="I170" s="350"/>
      <c r="J170" s="350"/>
      <c r="K170" s="351"/>
      <c r="L170" s="538" t="s">
        <v>294</v>
      </c>
      <c r="M170" s="350"/>
      <c r="N170" s="351"/>
      <c r="O170" s="539" t="s">
        <v>294</v>
      </c>
      <c r="P170" s="350"/>
      <c r="Q170" s="351"/>
      <c r="R170" s="574"/>
      <c r="S170" s="350"/>
      <c r="T170" s="351"/>
      <c r="U170" s="567"/>
      <c r="V170" s="350"/>
      <c r="W170" s="351"/>
      <c r="X170" s="77"/>
      <c r="Y170" s="78"/>
      <c r="Z170" s="77"/>
      <c r="AA170" s="78"/>
      <c r="AB170" s="77"/>
      <c r="AC170" s="78"/>
      <c r="AD170" s="77"/>
      <c r="AE170" s="78"/>
      <c r="AF170" s="77"/>
      <c r="AG170" s="78"/>
      <c r="AH170" s="77"/>
      <c r="AI170" s="78"/>
      <c r="AJ170" s="64"/>
      <c r="AK170" s="80"/>
      <c r="AL170" s="64"/>
      <c r="AM170" s="80"/>
      <c r="AN170" s="64"/>
      <c r="AO170" s="80"/>
      <c r="AP170" s="64"/>
      <c r="AQ170" s="80"/>
      <c r="AR170" s="64"/>
      <c r="AS170" s="679" t="s">
        <v>294</v>
      </c>
      <c r="AT170" s="350"/>
      <c r="AU170" s="350"/>
      <c r="AV170" s="350"/>
      <c r="AW170" s="350"/>
      <c r="AX170" s="350"/>
      <c r="AY170" s="351"/>
      <c r="AZ170" s="81"/>
      <c r="BA170" s="81"/>
      <c r="BB170" s="677" t="s">
        <v>325</v>
      </c>
      <c r="BC170" s="351"/>
      <c r="BD170" s="681" t="s">
        <v>294</v>
      </c>
      <c r="BE170" s="350"/>
      <c r="BF170" s="351"/>
      <c r="BG170" s="678" t="s">
        <v>294</v>
      </c>
      <c r="BH170" s="350"/>
      <c r="BI170" s="350"/>
      <c r="BJ170" s="351"/>
      <c r="BK170" s="680"/>
      <c r="BL170" s="350"/>
      <c r="BM170" s="351"/>
      <c r="BN170" s="82"/>
      <c r="BO170" s="82"/>
      <c r="BP170" s="678"/>
      <c r="BQ170" s="350"/>
      <c r="BR170" s="351"/>
      <c r="BS170" s="681" t="s">
        <v>294</v>
      </c>
      <c r="BT170" s="350"/>
      <c r="BU170" s="351"/>
    </row>
    <row r="171" spans="1:73" ht="30" customHeight="1">
      <c r="A171" s="76">
        <f t="shared" si="0"/>
        <v>157</v>
      </c>
      <c r="B171" s="686" t="s">
        <v>325</v>
      </c>
      <c r="C171" s="351"/>
      <c r="D171" s="687" t="s">
        <v>294</v>
      </c>
      <c r="E171" s="350"/>
      <c r="F171" s="350"/>
      <c r="G171" s="351"/>
      <c r="H171" s="688" t="s">
        <v>294</v>
      </c>
      <c r="I171" s="350"/>
      <c r="J171" s="350"/>
      <c r="K171" s="351"/>
      <c r="L171" s="538" t="s">
        <v>294</v>
      </c>
      <c r="M171" s="350"/>
      <c r="N171" s="351"/>
      <c r="O171" s="539" t="s">
        <v>294</v>
      </c>
      <c r="P171" s="350"/>
      <c r="Q171" s="351"/>
      <c r="R171" s="574"/>
      <c r="S171" s="350"/>
      <c r="T171" s="351"/>
      <c r="U171" s="567"/>
      <c r="V171" s="350"/>
      <c r="W171" s="351"/>
      <c r="X171" s="77"/>
      <c r="Y171" s="78"/>
      <c r="Z171" s="77"/>
      <c r="AA171" s="78"/>
      <c r="AB171" s="77"/>
      <c r="AC171" s="78"/>
      <c r="AD171" s="77"/>
      <c r="AE171" s="78"/>
      <c r="AF171" s="77"/>
      <c r="AG171" s="78"/>
      <c r="AH171" s="77"/>
      <c r="AI171" s="78"/>
      <c r="AJ171" s="64"/>
      <c r="AK171" s="80"/>
      <c r="AL171" s="64"/>
      <c r="AM171" s="80"/>
      <c r="AN171" s="64"/>
      <c r="AO171" s="80"/>
      <c r="AP171" s="64"/>
      <c r="AQ171" s="80"/>
      <c r="AR171" s="64"/>
      <c r="AS171" s="679" t="s">
        <v>294</v>
      </c>
      <c r="AT171" s="350"/>
      <c r="AU171" s="350"/>
      <c r="AV171" s="350"/>
      <c r="AW171" s="350"/>
      <c r="AX171" s="350"/>
      <c r="AY171" s="351"/>
      <c r="AZ171" s="81"/>
      <c r="BA171" s="81"/>
      <c r="BB171" s="677" t="s">
        <v>325</v>
      </c>
      <c r="BC171" s="351"/>
      <c r="BD171" s="681" t="s">
        <v>294</v>
      </c>
      <c r="BE171" s="350"/>
      <c r="BF171" s="351"/>
      <c r="BG171" s="678" t="s">
        <v>294</v>
      </c>
      <c r="BH171" s="350"/>
      <c r="BI171" s="350"/>
      <c r="BJ171" s="351"/>
      <c r="BK171" s="680"/>
      <c r="BL171" s="350"/>
      <c r="BM171" s="351"/>
      <c r="BN171" s="82"/>
      <c r="BO171" s="82"/>
      <c r="BP171" s="678"/>
      <c r="BQ171" s="350"/>
      <c r="BR171" s="351"/>
      <c r="BS171" s="681" t="s">
        <v>294</v>
      </c>
      <c r="BT171" s="350"/>
      <c r="BU171" s="351"/>
    </row>
    <row r="172" spans="1:73" ht="30" customHeight="1">
      <c r="A172" s="76">
        <f t="shared" si="0"/>
        <v>158</v>
      </c>
      <c r="B172" s="686" t="s">
        <v>325</v>
      </c>
      <c r="C172" s="351"/>
      <c r="D172" s="687" t="s">
        <v>294</v>
      </c>
      <c r="E172" s="350"/>
      <c r="F172" s="350"/>
      <c r="G172" s="351"/>
      <c r="H172" s="688" t="s">
        <v>294</v>
      </c>
      <c r="I172" s="350"/>
      <c r="J172" s="350"/>
      <c r="K172" s="351"/>
      <c r="L172" s="538" t="s">
        <v>294</v>
      </c>
      <c r="M172" s="350"/>
      <c r="N172" s="351"/>
      <c r="O172" s="539" t="s">
        <v>294</v>
      </c>
      <c r="P172" s="350"/>
      <c r="Q172" s="351"/>
      <c r="R172" s="574"/>
      <c r="S172" s="350"/>
      <c r="T172" s="351"/>
      <c r="U172" s="567"/>
      <c r="V172" s="350"/>
      <c r="W172" s="351"/>
      <c r="X172" s="77"/>
      <c r="Y172" s="78"/>
      <c r="Z172" s="77"/>
      <c r="AA172" s="78"/>
      <c r="AB172" s="77"/>
      <c r="AC172" s="78"/>
      <c r="AD172" s="77"/>
      <c r="AE172" s="78"/>
      <c r="AF172" s="77"/>
      <c r="AG172" s="78"/>
      <c r="AH172" s="77"/>
      <c r="AI172" s="78"/>
      <c r="AJ172" s="64"/>
      <c r="AK172" s="80"/>
      <c r="AL172" s="64"/>
      <c r="AM172" s="80"/>
      <c r="AN172" s="64"/>
      <c r="AO172" s="80"/>
      <c r="AP172" s="64"/>
      <c r="AQ172" s="80"/>
      <c r="AR172" s="64"/>
      <c r="AS172" s="679" t="s">
        <v>294</v>
      </c>
      <c r="AT172" s="350"/>
      <c r="AU172" s="350"/>
      <c r="AV172" s="350"/>
      <c r="AW172" s="350"/>
      <c r="AX172" s="350"/>
      <c r="AY172" s="351"/>
      <c r="AZ172" s="81"/>
      <c r="BA172" s="81"/>
      <c r="BB172" s="677" t="s">
        <v>325</v>
      </c>
      <c r="BC172" s="351"/>
      <c r="BD172" s="681" t="s">
        <v>294</v>
      </c>
      <c r="BE172" s="350"/>
      <c r="BF172" s="351"/>
      <c r="BG172" s="678" t="s">
        <v>294</v>
      </c>
      <c r="BH172" s="350"/>
      <c r="BI172" s="350"/>
      <c r="BJ172" s="351"/>
      <c r="BK172" s="680"/>
      <c r="BL172" s="350"/>
      <c r="BM172" s="351"/>
      <c r="BN172" s="82"/>
      <c r="BO172" s="82"/>
      <c r="BP172" s="678"/>
      <c r="BQ172" s="350"/>
      <c r="BR172" s="351"/>
      <c r="BS172" s="681" t="s">
        <v>294</v>
      </c>
      <c r="BT172" s="350"/>
      <c r="BU172" s="351"/>
    </row>
    <row r="173" spans="1:73" ht="30" customHeight="1">
      <c r="A173" s="76">
        <f t="shared" si="0"/>
        <v>159</v>
      </c>
      <c r="B173" s="686" t="s">
        <v>325</v>
      </c>
      <c r="C173" s="351"/>
      <c r="D173" s="687" t="s">
        <v>294</v>
      </c>
      <c r="E173" s="350"/>
      <c r="F173" s="350"/>
      <c r="G173" s="351"/>
      <c r="H173" s="688" t="s">
        <v>294</v>
      </c>
      <c r="I173" s="350"/>
      <c r="J173" s="350"/>
      <c r="K173" s="351"/>
      <c r="L173" s="538" t="s">
        <v>294</v>
      </c>
      <c r="M173" s="350"/>
      <c r="N173" s="351"/>
      <c r="O173" s="539" t="s">
        <v>294</v>
      </c>
      <c r="P173" s="350"/>
      <c r="Q173" s="351"/>
      <c r="R173" s="574"/>
      <c r="S173" s="350"/>
      <c r="T173" s="351"/>
      <c r="U173" s="567"/>
      <c r="V173" s="350"/>
      <c r="W173" s="351"/>
      <c r="X173" s="77"/>
      <c r="Y173" s="78"/>
      <c r="Z173" s="77"/>
      <c r="AA173" s="78"/>
      <c r="AB173" s="77"/>
      <c r="AC173" s="78"/>
      <c r="AD173" s="77"/>
      <c r="AE173" s="78"/>
      <c r="AF173" s="77"/>
      <c r="AG173" s="78"/>
      <c r="AH173" s="77"/>
      <c r="AI173" s="78"/>
      <c r="AJ173" s="64"/>
      <c r="AK173" s="80"/>
      <c r="AL173" s="64"/>
      <c r="AM173" s="80"/>
      <c r="AN173" s="64"/>
      <c r="AO173" s="80"/>
      <c r="AP173" s="64"/>
      <c r="AQ173" s="80"/>
      <c r="AR173" s="64"/>
      <c r="AS173" s="679" t="s">
        <v>294</v>
      </c>
      <c r="AT173" s="350"/>
      <c r="AU173" s="350"/>
      <c r="AV173" s="350"/>
      <c r="AW173" s="350"/>
      <c r="AX173" s="350"/>
      <c r="AY173" s="351"/>
      <c r="AZ173" s="81"/>
      <c r="BA173" s="81"/>
      <c r="BB173" s="677" t="s">
        <v>325</v>
      </c>
      <c r="BC173" s="351"/>
      <c r="BD173" s="681" t="s">
        <v>294</v>
      </c>
      <c r="BE173" s="350"/>
      <c r="BF173" s="351"/>
      <c r="BG173" s="678" t="s">
        <v>294</v>
      </c>
      <c r="BH173" s="350"/>
      <c r="BI173" s="350"/>
      <c r="BJ173" s="351"/>
      <c r="BK173" s="680"/>
      <c r="BL173" s="350"/>
      <c r="BM173" s="351"/>
      <c r="BN173" s="82"/>
      <c r="BO173" s="82"/>
      <c r="BP173" s="678"/>
      <c r="BQ173" s="350"/>
      <c r="BR173" s="351"/>
      <c r="BS173" s="681" t="s">
        <v>294</v>
      </c>
      <c r="BT173" s="350"/>
      <c r="BU173" s="351"/>
    </row>
    <row r="174" spans="1:73" ht="30" customHeight="1">
      <c r="A174" s="76">
        <f t="shared" si="0"/>
        <v>160</v>
      </c>
      <c r="B174" s="686" t="s">
        <v>325</v>
      </c>
      <c r="C174" s="351"/>
      <c r="D174" s="687" t="s">
        <v>294</v>
      </c>
      <c r="E174" s="350"/>
      <c r="F174" s="350"/>
      <c r="G174" s="351"/>
      <c r="H174" s="688" t="s">
        <v>294</v>
      </c>
      <c r="I174" s="350"/>
      <c r="J174" s="350"/>
      <c r="K174" s="351"/>
      <c r="L174" s="538" t="s">
        <v>294</v>
      </c>
      <c r="M174" s="350"/>
      <c r="N174" s="351"/>
      <c r="O174" s="539" t="s">
        <v>294</v>
      </c>
      <c r="P174" s="350"/>
      <c r="Q174" s="351"/>
      <c r="R174" s="574"/>
      <c r="S174" s="350"/>
      <c r="T174" s="351"/>
      <c r="U174" s="567"/>
      <c r="V174" s="350"/>
      <c r="W174" s="351"/>
      <c r="X174" s="77"/>
      <c r="Y174" s="78"/>
      <c r="Z174" s="77"/>
      <c r="AA174" s="78"/>
      <c r="AB174" s="77"/>
      <c r="AC174" s="78"/>
      <c r="AD174" s="77"/>
      <c r="AE174" s="78"/>
      <c r="AF174" s="77"/>
      <c r="AG174" s="78"/>
      <c r="AH174" s="77"/>
      <c r="AI174" s="78"/>
      <c r="AJ174" s="64"/>
      <c r="AK174" s="80"/>
      <c r="AL174" s="64"/>
      <c r="AM174" s="80"/>
      <c r="AN174" s="64"/>
      <c r="AO174" s="80"/>
      <c r="AP174" s="64"/>
      <c r="AQ174" s="80"/>
      <c r="AR174" s="64"/>
      <c r="AS174" s="679" t="s">
        <v>294</v>
      </c>
      <c r="AT174" s="350"/>
      <c r="AU174" s="350"/>
      <c r="AV174" s="350"/>
      <c r="AW174" s="350"/>
      <c r="AX174" s="350"/>
      <c r="AY174" s="351"/>
      <c r="AZ174" s="81"/>
      <c r="BA174" s="81"/>
      <c r="BB174" s="677" t="s">
        <v>325</v>
      </c>
      <c r="BC174" s="351"/>
      <c r="BD174" s="681" t="s">
        <v>294</v>
      </c>
      <c r="BE174" s="350"/>
      <c r="BF174" s="351"/>
      <c r="BG174" s="678" t="s">
        <v>294</v>
      </c>
      <c r="BH174" s="350"/>
      <c r="BI174" s="350"/>
      <c r="BJ174" s="351"/>
      <c r="BK174" s="680"/>
      <c r="BL174" s="350"/>
      <c r="BM174" s="351"/>
      <c r="BN174" s="82"/>
      <c r="BO174" s="82"/>
      <c r="BP174" s="678"/>
      <c r="BQ174" s="350"/>
      <c r="BR174" s="351"/>
      <c r="BS174" s="681" t="s">
        <v>294</v>
      </c>
      <c r="BT174" s="350"/>
      <c r="BU174" s="351"/>
    </row>
    <row r="175" spans="1:73" ht="30" customHeight="1">
      <c r="A175" s="76">
        <f t="shared" si="0"/>
        <v>161</v>
      </c>
      <c r="B175" s="686" t="s">
        <v>325</v>
      </c>
      <c r="C175" s="351"/>
      <c r="D175" s="687" t="s">
        <v>294</v>
      </c>
      <c r="E175" s="350"/>
      <c r="F175" s="350"/>
      <c r="G175" s="351"/>
      <c r="H175" s="688" t="s">
        <v>294</v>
      </c>
      <c r="I175" s="350"/>
      <c r="J175" s="350"/>
      <c r="K175" s="351"/>
      <c r="L175" s="538" t="s">
        <v>294</v>
      </c>
      <c r="M175" s="350"/>
      <c r="N175" s="351"/>
      <c r="O175" s="539" t="s">
        <v>294</v>
      </c>
      <c r="P175" s="350"/>
      <c r="Q175" s="351"/>
      <c r="R175" s="574"/>
      <c r="S175" s="350"/>
      <c r="T175" s="351"/>
      <c r="U175" s="567"/>
      <c r="V175" s="350"/>
      <c r="W175" s="351"/>
      <c r="X175" s="77"/>
      <c r="Y175" s="78"/>
      <c r="Z175" s="77"/>
      <c r="AA175" s="78"/>
      <c r="AB175" s="77"/>
      <c r="AC175" s="78"/>
      <c r="AD175" s="77"/>
      <c r="AE175" s="78"/>
      <c r="AF175" s="77"/>
      <c r="AG175" s="78"/>
      <c r="AH175" s="77"/>
      <c r="AI175" s="78"/>
      <c r="AJ175" s="64"/>
      <c r="AK175" s="80"/>
      <c r="AL175" s="64"/>
      <c r="AM175" s="80"/>
      <c r="AN175" s="64"/>
      <c r="AO175" s="80"/>
      <c r="AP175" s="64"/>
      <c r="AQ175" s="80"/>
      <c r="AR175" s="64"/>
      <c r="AS175" s="679" t="s">
        <v>294</v>
      </c>
      <c r="AT175" s="350"/>
      <c r="AU175" s="350"/>
      <c r="AV175" s="350"/>
      <c r="AW175" s="350"/>
      <c r="AX175" s="350"/>
      <c r="AY175" s="351"/>
      <c r="AZ175" s="81"/>
      <c r="BA175" s="81"/>
      <c r="BB175" s="677" t="s">
        <v>325</v>
      </c>
      <c r="BC175" s="351"/>
      <c r="BD175" s="681" t="s">
        <v>294</v>
      </c>
      <c r="BE175" s="350"/>
      <c r="BF175" s="351"/>
      <c r="BG175" s="678" t="s">
        <v>294</v>
      </c>
      <c r="BH175" s="350"/>
      <c r="BI175" s="350"/>
      <c r="BJ175" s="351"/>
      <c r="BK175" s="680"/>
      <c r="BL175" s="350"/>
      <c r="BM175" s="351"/>
      <c r="BN175" s="82"/>
      <c r="BO175" s="82"/>
      <c r="BP175" s="678"/>
      <c r="BQ175" s="350"/>
      <c r="BR175" s="351"/>
      <c r="BS175" s="681" t="s">
        <v>294</v>
      </c>
      <c r="BT175" s="350"/>
      <c r="BU175" s="351"/>
    </row>
    <row r="176" spans="1:73" ht="30" customHeight="1">
      <c r="A176" s="76">
        <f t="shared" si="0"/>
        <v>162</v>
      </c>
      <c r="B176" s="686" t="s">
        <v>325</v>
      </c>
      <c r="C176" s="351"/>
      <c r="D176" s="687" t="s">
        <v>294</v>
      </c>
      <c r="E176" s="350"/>
      <c r="F176" s="350"/>
      <c r="G176" s="351"/>
      <c r="H176" s="688" t="s">
        <v>294</v>
      </c>
      <c r="I176" s="350"/>
      <c r="J176" s="350"/>
      <c r="K176" s="351"/>
      <c r="L176" s="538" t="s">
        <v>294</v>
      </c>
      <c r="M176" s="350"/>
      <c r="N176" s="351"/>
      <c r="O176" s="539" t="s">
        <v>294</v>
      </c>
      <c r="P176" s="350"/>
      <c r="Q176" s="351"/>
      <c r="R176" s="574"/>
      <c r="S176" s="350"/>
      <c r="T176" s="351"/>
      <c r="U176" s="567"/>
      <c r="V176" s="350"/>
      <c r="W176" s="351"/>
      <c r="X176" s="77"/>
      <c r="Y176" s="78"/>
      <c r="Z176" s="77"/>
      <c r="AA176" s="78"/>
      <c r="AB176" s="77"/>
      <c r="AC176" s="78"/>
      <c r="AD176" s="77"/>
      <c r="AE176" s="78"/>
      <c r="AF176" s="77"/>
      <c r="AG176" s="78"/>
      <c r="AH176" s="77"/>
      <c r="AI176" s="78"/>
      <c r="AJ176" s="64"/>
      <c r="AK176" s="80"/>
      <c r="AL176" s="64"/>
      <c r="AM176" s="80"/>
      <c r="AN176" s="64"/>
      <c r="AO176" s="80"/>
      <c r="AP176" s="64"/>
      <c r="AQ176" s="80"/>
      <c r="AR176" s="64"/>
      <c r="AS176" s="679" t="s">
        <v>294</v>
      </c>
      <c r="AT176" s="350"/>
      <c r="AU176" s="350"/>
      <c r="AV176" s="350"/>
      <c r="AW176" s="350"/>
      <c r="AX176" s="350"/>
      <c r="AY176" s="351"/>
      <c r="AZ176" s="83"/>
      <c r="BA176" s="83"/>
      <c r="BB176" s="677" t="s">
        <v>325</v>
      </c>
      <c r="BC176" s="351"/>
      <c r="BD176" s="682" t="s">
        <v>294</v>
      </c>
      <c r="BE176" s="378"/>
      <c r="BF176" s="379"/>
      <c r="BG176" s="683" t="s">
        <v>294</v>
      </c>
      <c r="BH176" s="378"/>
      <c r="BI176" s="378"/>
      <c r="BJ176" s="379"/>
      <c r="BK176" s="684"/>
      <c r="BL176" s="378"/>
      <c r="BM176" s="379"/>
      <c r="BN176" s="84"/>
      <c r="BO176" s="84"/>
      <c r="BP176" s="683"/>
      <c r="BQ176" s="378"/>
      <c r="BR176" s="379"/>
      <c r="BS176" s="682" t="s">
        <v>294</v>
      </c>
      <c r="BT176" s="378"/>
      <c r="BU176" s="379"/>
    </row>
    <row r="177" spans="1:73" ht="30" customHeight="1">
      <c r="A177" s="76">
        <f t="shared" si="0"/>
        <v>163</v>
      </c>
      <c r="B177" s="686" t="s">
        <v>325</v>
      </c>
      <c r="C177" s="351"/>
      <c r="D177" s="687" t="s">
        <v>294</v>
      </c>
      <c r="E177" s="350"/>
      <c r="F177" s="350"/>
      <c r="G177" s="351"/>
      <c r="H177" s="688" t="s">
        <v>294</v>
      </c>
      <c r="I177" s="350"/>
      <c r="J177" s="350"/>
      <c r="K177" s="351"/>
      <c r="L177" s="538" t="s">
        <v>294</v>
      </c>
      <c r="M177" s="350"/>
      <c r="N177" s="351"/>
      <c r="O177" s="539" t="s">
        <v>294</v>
      </c>
      <c r="P177" s="350"/>
      <c r="Q177" s="351"/>
      <c r="R177" s="574"/>
      <c r="S177" s="350"/>
      <c r="T177" s="351"/>
      <c r="U177" s="567"/>
      <c r="V177" s="350"/>
      <c r="W177" s="351"/>
      <c r="X177" s="77"/>
      <c r="Y177" s="78"/>
      <c r="Z177" s="77"/>
      <c r="AA177" s="78"/>
      <c r="AB177" s="77"/>
      <c r="AC177" s="78"/>
      <c r="AD177" s="77"/>
      <c r="AE177" s="78"/>
      <c r="AF177" s="77"/>
      <c r="AG177" s="78"/>
      <c r="AH177" s="77"/>
      <c r="AI177" s="78"/>
      <c r="AJ177" s="64"/>
      <c r="AK177" s="80"/>
      <c r="AL177" s="64"/>
      <c r="AM177" s="80"/>
      <c r="AN177" s="64"/>
      <c r="AO177" s="80"/>
      <c r="AP177" s="64"/>
      <c r="AQ177" s="80"/>
      <c r="AR177" s="64"/>
      <c r="AS177" s="679" t="s">
        <v>294</v>
      </c>
      <c r="AT177" s="350"/>
      <c r="AU177" s="350"/>
      <c r="AV177" s="350"/>
      <c r="AW177" s="350"/>
      <c r="AX177" s="350"/>
      <c r="AY177" s="351"/>
      <c r="AZ177" s="81"/>
      <c r="BA177" s="81"/>
      <c r="BB177" s="677" t="s">
        <v>325</v>
      </c>
      <c r="BC177" s="351"/>
      <c r="BD177" s="681" t="s">
        <v>294</v>
      </c>
      <c r="BE177" s="350"/>
      <c r="BF177" s="351"/>
      <c r="BG177" s="678" t="s">
        <v>294</v>
      </c>
      <c r="BH177" s="350"/>
      <c r="BI177" s="350"/>
      <c r="BJ177" s="351"/>
      <c r="BK177" s="680"/>
      <c r="BL177" s="350"/>
      <c r="BM177" s="351"/>
      <c r="BN177" s="82"/>
      <c r="BO177" s="82"/>
      <c r="BP177" s="678"/>
      <c r="BQ177" s="350"/>
      <c r="BR177" s="351"/>
      <c r="BS177" s="681" t="s">
        <v>294</v>
      </c>
      <c r="BT177" s="350"/>
      <c r="BU177" s="351"/>
    </row>
    <row r="178" spans="1:73" ht="30" customHeight="1">
      <c r="A178" s="76">
        <f t="shared" si="0"/>
        <v>164</v>
      </c>
      <c r="B178" s="686" t="s">
        <v>325</v>
      </c>
      <c r="C178" s="351"/>
      <c r="D178" s="687" t="s">
        <v>294</v>
      </c>
      <c r="E178" s="350"/>
      <c r="F178" s="350"/>
      <c r="G178" s="351"/>
      <c r="H178" s="688" t="s">
        <v>294</v>
      </c>
      <c r="I178" s="350"/>
      <c r="J178" s="350"/>
      <c r="K178" s="351"/>
      <c r="L178" s="538" t="s">
        <v>294</v>
      </c>
      <c r="M178" s="350"/>
      <c r="N178" s="351"/>
      <c r="O178" s="539" t="s">
        <v>294</v>
      </c>
      <c r="P178" s="350"/>
      <c r="Q178" s="351"/>
      <c r="R178" s="574"/>
      <c r="S178" s="350"/>
      <c r="T178" s="351"/>
      <c r="U178" s="567"/>
      <c r="V178" s="350"/>
      <c r="W178" s="351"/>
      <c r="X178" s="77"/>
      <c r="Y178" s="78"/>
      <c r="Z178" s="77"/>
      <c r="AA178" s="78"/>
      <c r="AB178" s="77"/>
      <c r="AC178" s="78"/>
      <c r="AD178" s="77"/>
      <c r="AE178" s="78"/>
      <c r="AF178" s="77"/>
      <c r="AG178" s="78"/>
      <c r="AH178" s="77"/>
      <c r="AI178" s="78"/>
      <c r="AJ178" s="64"/>
      <c r="AK178" s="80"/>
      <c r="AL178" s="64"/>
      <c r="AM178" s="80"/>
      <c r="AN178" s="64"/>
      <c r="AO178" s="80"/>
      <c r="AP178" s="64"/>
      <c r="AQ178" s="80"/>
      <c r="AR178" s="64"/>
      <c r="AS178" s="679" t="s">
        <v>294</v>
      </c>
      <c r="AT178" s="350"/>
      <c r="AU178" s="350"/>
      <c r="AV178" s="350"/>
      <c r="AW178" s="350"/>
      <c r="AX178" s="350"/>
      <c r="AY178" s="351"/>
      <c r="AZ178" s="81"/>
      <c r="BA178" s="81"/>
      <c r="BB178" s="677" t="s">
        <v>325</v>
      </c>
      <c r="BC178" s="351"/>
      <c r="BD178" s="681" t="s">
        <v>294</v>
      </c>
      <c r="BE178" s="350"/>
      <c r="BF178" s="351"/>
      <c r="BG178" s="678" t="s">
        <v>294</v>
      </c>
      <c r="BH178" s="350"/>
      <c r="BI178" s="350"/>
      <c r="BJ178" s="351"/>
      <c r="BK178" s="680"/>
      <c r="BL178" s="350"/>
      <c r="BM178" s="351"/>
      <c r="BN178" s="82"/>
      <c r="BO178" s="82"/>
      <c r="BP178" s="678"/>
      <c r="BQ178" s="350"/>
      <c r="BR178" s="351"/>
      <c r="BS178" s="681" t="s">
        <v>294</v>
      </c>
      <c r="BT178" s="350"/>
      <c r="BU178" s="351"/>
    </row>
    <row r="179" spans="1:73" ht="30" customHeight="1">
      <c r="A179" s="76">
        <f t="shared" si="0"/>
        <v>165</v>
      </c>
      <c r="B179" s="686" t="s">
        <v>325</v>
      </c>
      <c r="C179" s="351"/>
      <c r="D179" s="687" t="s">
        <v>294</v>
      </c>
      <c r="E179" s="350"/>
      <c r="F179" s="350"/>
      <c r="G179" s="351"/>
      <c r="H179" s="688" t="s">
        <v>294</v>
      </c>
      <c r="I179" s="350"/>
      <c r="J179" s="350"/>
      <c r="K179" s="351"/>
      <c r="L179" s="538" t="s">
        <v>294</v>
      </c>
      <c r="M179" s="350"/>
      <c r="N179" s="351"/>
      <c r="O179" s="539" t="s">
        <v>294</v>
      </c>
      <c r="P179" s="350"/>
      <c r="Q179" s="351"/>
      <c r="R179" s="574"/>
      <c r="S179" s="350"/>
      <c r="T179" s="351"/>
      <c r="U179" s="567"/>
      <c r="V179" s="350"/>
      <c r="W179" s="351"/>
      <c r="X179" s="77"/>
      <c r="Y179" s="78"/>
      <c r="Z179" s="77"/>
      <c r="AA179" s="78"/>
      <c r="AB179" s="77"/>
      <c r="AC179" s="78"/>
      <c r="AD179" s="77"/>
      <c r="AE179" s="78"/>
      <c r="AF179" s="77"/>
      <c r="AG179" s="78"/>
      <c r="AH179" s="77"/>
      <c r="AI179" s="78"/>
      <c r="AJ179" s="64"/>
      <c r="AK179" s="80"/>
      <c r="AL179" s="64"/>
      <c r="AM179" s="80"/>
      <c r="AN179" s="64"/>
      <c r="AO179" s="80"/>
      <c r="AP179" s="64"/>
      <c r="AQ179" s="80"/>
      <c r="AR179" s="64"/>
      <c r="AS179" s="679" t="s">
        <v>294</v>
      </c>
      <c r="AT179" s="350"/>
      <c r="AU179" s="350"/>
      <c r="AV179" s="350"/>
      <c r="AW179" s="350"/>
      <c r="AX179" s="350"/>
      <c r="AY179" s="351"/>
      <c r="AZ179" s="81"/>
      <c r="BA179" s="81"/>
      <c r="BB179" s="677" t="s">
        <v>325</v>
      </c>
      <c r="BC179" s="351"/>
      <c r="BD179" s="681" t="s">
        <v>294</v>
      </c>
      <c r="BE179" s="350"/>
      <c r="BF179" s="351"/>
      <c r="BG179" s="678" t="s">
        <v>294</v>
      </c>
      <c r="BH179" s="350"/>
      <c r="BI179" s="350"/>
      <c r="BJ179" s="351"/>
      <c r="BK179" s="680"/>
      <c r="BL179" s="350"/>
      <c r="BM179" s="351"/>
      <c r="BN179" s="82"/>
      <c r="BO179" s="82"/>
      <c r="BP179" s="678"/>
      <c r="BQ179" s="350"/>
      <c r="BR179" s="351"/>
      <c r="BS179" s="681" t="s">
        <v>294</v>
      </c>
      <c r="BT179" s="350"/>
      <c r="BU179" s="351"/>
    </row>
    <row r="180" spans="1:73" ht="30" customHeight="1">
      <c r="A180" s="76">
        <f t="shared" si="0"/>
        <v>166</v>
      </c>
      <c r="B180" s="686" t="s">
        <v>325</v>
      </c>
      <c r="C180" s="351"/>
      <c r="D180" s="687" t="s">
        <v>294</v>
      </c>
      <c r="E180" s="350"/>
      <c r="F180" s="350"/>
      <c r="G180" s="351"/>
      <c r="H180" s="688" t="s">
        <v>294</v>
      </c>
      <c r="I180" s="350"/>
      <c r="J180" s="350"/>
      <c r="K180" s="351"/>
      <c r="L180" s="538" t="s">
        <v>294</v>
      </c>
      <c r="M180" s="350"/>
      <c r="N180" s="351"/>
      <c r="O180" s="539" t="s">
        <v>294</v>
      </c>
      <c r="P180" s="350"/>
      <c r="Q180" s="351"/>
      <c r="R180" s="574"/>
      <c r="S180" s="350"/>
      <c r="T180" s="351"/>
      <c r="U180" s="567"/>
      <c r="V180" s="350"/>
      <c r="W180" s="351"/>
      <c r="X180" s="77"/>
      <c r="Y180" s="78"/>
      <c r="Z180" s="77"/>
      <c r="AA180" s="78"/>
      <c r="AB180" s="77"/>
      <c r="AC180" s="78"/>
      <c r="AD180" s="77"/>
      <c r="AE180" s="78"/>
      <c r="AF180" s="77"/>
      <c r="AG180" s="78"/>
      <c r="AH180" s="77"/>
      <c r="AI180" s="78"/>
      <c r="AJ180" s="64"/>
      <c r="AK180" s="80"/>
      <c r="AL180" s="64"/>
      <c r="AM180" s="80"/>
      <c r="AN180" s="64"/>
      <c r="AO180" s="80"/>
      <c r="AP180" s="64"/>
      <c r="AQ180" s="80"/>
      <c r="AR180" s="64"/>
      <c r="AS180" s="679" t="s">
        <v>294</v>
      </c>
      <c r="AT180" s="350"/>
      <c r="AU180" s="350"/>
      <c r="AV180" s="350"/>
      <c r="AW180" s="350"/>
      <c r="AX180" s="350"/>
      <c r="AY180" s="351"/>
      <c r="AZ180" s="81"/>
      <c r="BA180" s="81"/>
      <c r="BB180" s="677" t="s">
        <v>325</v>
      </c>
      <c r="BC180" s="351"/>
      <c r="BD180" s="681" t="s">
        <v>294</v>
      </c>
      <c r="BE180" s="350"/>
      <c r="BF180" s="351"/>
      <c r="BG180" s="678" t="s">
        <v>294</v>
      </c>
      <c r="BH180" s="350"/>
      <c r="BI180" s="350"/>
      <c r="BJ180" s="351"/>
      <c r="BK180" s="680"/>
      <c r="BL180" s="350"/>
      <c r="BM180" s="351"/>
      <c r="BN180" s="82"/>
      <c r="BO180" s="82"/>
      <c r="BP180" s="678"/>
      <c r="BQ180" s="350"/>
      <c r="BR180" s="351"/>
      <c r="BS180" s="681" t="s">
        <v>294</v>
      </c>
      <c r="BT180" s="350"/>
      <c r="BU180" s="351"/>
    </row>
    <row r="181" spans="1:73" ht="30" customHeight="1">
      <c r="A181" s="76">
        <f t="shared" si="0"/>
        <v>167</v>
      </c>
      <c r="B181" s="686" t="s">
        <v>325</v>
      </c>
      <c r="C181" s="351"/>
      <c r="D181" s="687" t="s">
        <v>294</v>
      </c>
      <c r="E181" s="350"/>
      <c r="F181" s="350"/>
      <c r="G181" s="351"/>
      <c r="H181" s="688" t="s">
        <v>294</v>
      </c>
      <c r="I181" s="350"/>
      <c r="J181" s="350"/>
      <c r="K181" s="351"/>
      <c r="L181" s="538" t="s">
        <v>294</v>
      </c>
      <c r="M181" s="350"/>
      <c r="N181" s="351"/>
      <c r="O181" s="539" t="s">
        <v>294</v>
      </c>
      <c r="P181" s="350"/>
      <c r="Q181" s="351"/>
      <c r="R181" s="574"/>
      <c r="S181" s="350"/>
      <c r="T181" s="351"/>
      <c r="U181" s="567"/>
      <c r="V181" s="350"/>
      <c r="W181" s="351"/>
      <c r="X181" s="77"/>
      <c r="Y181" s="78"/>
      <c r="Z181" s="77"/>
      <c r="AA181" s="78"/>
      <c r="AB181" s="77"/>
      <c r="AC181" s="78"/>
      <c r="AD181" s="77"/>
      <c r="AE181" s="78"/>
      <c r="AF181" s="77"/>
      <c r="AG181" s="78"/>
      <c r="AH181" s="77"/>
      <c r="AI181" s="78"/>
      <c r="AJ181" s="64"/>
      <c r="AK181" s="80"/>
      <c r="AL181" s="64"/>
      <c r="AM181" s="80"/>
      <c r="AN181" s="64"/>
      <c r="AO181" s="80"/>
      <c r="AP181" s="64"/>
      <c r="AQ181" s="80"/>
      <c r="AR181" s="64"/>
      <c r="AS181" s="679" t="s">
        <v>294</v>
      </c>
      <c r="AT181" s="350"/>
      <c r="AU181" s="350"/>
      <c r="AV181" s="350"/>
      <c r="AW181" s="350"/>
      <c r="AX181" s="350"/>
      <c r="AY181" s="351"/>
      <c r="AZ181" s="81"/>
      <c r="BA181" s="81"/>
      <c r="BB181" s="677" t="s">
        <v>325</v>
      </c>
      <c r="BC181" s="351"/>
      <c r="BD181" s="681" t="s">
        <v>294</v>
      </c>
      <c r="BE181" s="350"/>
      <c r="BF181" s="351"/>
      <c r="BG181" s="678" t="s">
        <v>294</v>
      </c>
      <c r="BH181" s="350"/>
      <c r="BI181" s="350"/>
      <c r="BJ181" s="351"/>
      <c r="BK181" s="680"/>
      <c r="BL181" s="350"/>
      <c r="BM181" s="351"/>
      <c r="BN181" s="82"/>
      <c r="BO181" s="82"/>
      <c r="BP181" s="678"/>
      <c r="BQ181" s="350"/>
      <c r="BR181" s="351"/>
      <c r="BS181" s="681" t="s">
        <v>294</v>
      </c>
      <c r="BT181" s="350"/>
      <c r="BU181" s="351"/>
    </row>
    <row r="182" spans="1:73" ht="30" customHeight="1">
      <c r="A182" s="76">
        <f t="shared" si="0"/>
        <v>168</v>
      </c>
      <c r="B182" s="686" t="s">
        <v>325</v>
      </c>
      <c r="C182" s="351"/>
      <c r="D182" s="687" t="s">
        <v>294</v>
      </c>
      <c r="E182" s="350"/>
      <c r="F182" s="350"/>
      <c r="G182" s="351"/>
      <c r="H182" s="688" t="s">
        <v>294</v>
      </c>
      <c r="I182" s="350"/>
      <c r="J182" s="350"/>
      <c r="K182" s="351"/>
      <c r="L182" s="538" t="s">
        <v>294</v>
      </c>
      <c r="M182" s="350"/>
      <c r="N182" s="351"/>
      <c r="O182" s="539" t="s">
        <v>294</v>
      </c>
      <c r="P182" s="350"/>
      <c r="Q182" s="351"/>
      <c r="R182" s="574"/>
      <c r="S182" s="350"/>
      <c r="T182" s="351"/>
      <c r="U182" s="567"/>
      <c r="V182" s="350"/>
      <c r="W182" s="351"/>
      <c r="X182" s="77"/>
      <c r="Y182" s="78"/>
      <c r="Z182" s="77"/>
      <c r="AA182" s="78"/>
      <c r="AB182" s="77"/>
      <c r="AC182" s="78"/>
      <c r="AD182" s="77"/>
      <c r="AE182" s="78"/>
      <c r="AF182" s="77"/>
      <c r="AG182" s="78"/>
      <c r="AH182" s="77"/>
      <c r="AI182" s="78"/>
      <c r="AJ182" s="64"/>
      <c r="AK182" s="80"/>
      <c r="AL182" s="64"/>
      <c r="AM182" s="80"/>
      <c r="AN182" s="64"/>
      <c r="AO182" s="80"/>
      <c r="AP182" s="64"/>
      <c r="AQ182" s="80"/>
      <c r="AR182" s="64"/>
      <c r="AS182" s="679" t="s">
        <v>294</v>
      </c>
      <c r="AT182" s="350"/>
      <c r="AU182" s="350"/>
      <c r="AV182" s="350"/>
      <c r="AW182" s="350"/>
      <c r="AX182" s="350"/>
      <c r="AY182" s="351"/>
      <c r="AZ182" s="81"/>
      <c r="BA182" s="81"/>
      <c r="BB182" s="677" t="s">
        <v>325</v>
      </c>
      <c r="BC182" s="351"/>
      <c r="BD182" s="681" t="s">
        <v>294</v>
      </c>
      <c r="BE182" s="350"/>
      <c r="BF182" s="351"/>
      <c r="BG182" s="678" t="s">
        <v>294</v>
      </c>
      <c r="BH182" s="350"/>
      <c r="BI182" s="350"/>
      <c r="BJ182" s="351"/>
      <c r="BK182" s="680"/>
      <c r="BL182" s="350"/>
      <c r="BM182" s="351"/>
      <c r="BN182" s="82"/>
      <c r="BO182" s="82"/>
      <c r="BP182" s="678"/>
      <c r="BQ182" s="350"/>
      <c r="BR182" s="351"/>
      <c r="BS182" s="681" t="s">
        <v>294</v>
      </c>
      <c r="BT182" s="350"/>
      <c r="BU182" s="351"/>
    </row>
    <row r="183" spans="1:73" ht="30" customHeight="1">
      <c r="A183" s="76">
        <f t="shared" si="0"/>
        <v>169</v>
      </c>
      <c r="B183" s="686" t="s">
        <v>325</v>
      </c>
      <c r="C183" s="351"/>
      <c r="D183" s="687" t="s">
        <v>294</v>
      </c>
      <c r="E183" s="350"/>
      <c r="F183" s="350"/>
      <c r="G183" s="351"/>
      <c r="H183" s="688" t="s">
        <v>294</v>
      </c>
      <c r="I183" s="350"/>
      <c r="J183" s="350"/>
      <c r="K183" s="351"/>
      <c r="L183" s="538" t="s">
        <v>294</v>
      </c>
      <c r="M183" s="350"/>
      <c r="N183" s="351"/>
      <c r="O183" s="539" t="s">
        <v>294</v>
      </c>
      <c r="P183" s="350"/>
      <c r="Q183" s="351"/>
      <c r="R183" s="574"/>
      <c r="S183" s="350"/>
      <c r="T183" s="351"/>
      <c r="U183" s="567"/>
      <c r="V183" s="350"/>
      <c r="W183" s="351"/>
      <c r="X183" s="77"/>
      <c r="Y183" s="78"/>
      <c r="Z183" s="77"/>
      <c r="AA183" s="78"/>
      <c r="AB183" s="77"/>
      <c r="AC183" s="78"/>
      <c r="AD183" s="77"/>
      <c r="AE183" s="78"/>
      <c r="AF183" s="77"/>
      <c r="AG183" s="78"/>
      <c r="AH183" s="77"/>
      <c r="AI183" s="78"/>
      <c r="AJ183" s="64"/>
      <c r="AK183" s="80"/>
      <c r="AL183" s="64"/>
      <c r="AM183" s="80"/>
      <c r="AN183" s="64"/>
      <c r="AO183" s="80"/>
      <c r="AP183" s="64"/>
      <c r="AQ183" s="80"/>
      <c r="AR183" s="64"/>
      <c r="AS183" s="679" t="s">
        <v>294</v>
      </c>
      <c r="AT183" s="350"/>
      <c r="AU183" s="350"/>
      <c r="AV183" s="350"/>
      <c r="AW183" s="350"/>
      <c r="AX183" s="350"/>
      <c r="AY183" s="351"/>
      <c r="AZ183" s="83"/>
      <c r="BA183" s="83"/>
      <c r="BB183" s="677" t="s">
        <v>325</v>
      </c>
      <c r="BC183" s="351"/>
      <c r="BD183" s="682" t="s">
        <v>294</v>
      </c>
      <c r="BE183" s="378"/>
      <c r="BF183" s="379"/>
      <c r="BG183" s="683" t="s">
        <v>294</v>
      </c>
      <c r="BH183" s="378"/>
      <c r="BI183" s="378"/>
      <c r="BJ183" s="379"/>
      <c r="BK183" s="684"/>
      <c r="BL183" s="378"/>
      <c r="BM183" s="379"/>
      <c r="BN183" s="84"/>
      <c r="BO183" s="84"/>
      <c r="BP183" s="683"/>
      <c r="BQ183" s="378"/>
      <c r="BR183" s="379"/>
      <c r="BS183" s="682" t="s">
        <v>294</v>
      </c>
      <c r="BT183" s="378"/>
      <c r="BU183" s="379"/>
    </row>
    <row r="184" spans="1:73" ht="30" customHeight="1">
      <c r="A184" s="76">
        <f t="shared" si="0"/>
        <v>170</v>
      </c>
      <c r="B184" s="686" t="s">
        <v>325</v>
      </c>
      <c r="C184" s="351"/>
      <c r="D184" s="687" t="s">
        <v>294</v>
      </c>
      <c r="E184" s="350"/>
      <c r="F184" s="350"/>
      <c r="G184" s="351"/>
      <c r="H184" s="688" t="s">
        <v>294</v>
      </c>
      <c r="I184" s="350"/>
      <c r="J184" s="350"/>
      <c r="K184" s="351"/>
      <c r="L184" s="538" t="s">
        <v>294</v>
      </c>
      <c r="M184" s="350"/>
      <c r="N184" s="351"/>
      <c r="O184" s="539" t="s">
        <v>294</v>
      </c>
      <c r="P184" s="350"/>
      <c r="Q184" s="351"/>
      <c r="R184" s="574"/>
      <c r="S184" s="350"/>
      <c r="T184" s="351"/>
      <c r="U184" s="567"/>
      <c r="V184" s="350"/>
      <c r="W184" s="351"/>
      <c r="X184" s="77"/>
      <c r="Y184" s="78"/>
      <c r="Z184" s="77"/>
      <c r="AA184" s="78"/>
      <c r="AB184" s="77"/>
      <c r="AC184" s="78"/>
      <c r="AD184" s="77"/>
      <c r="AE184" s="78"/>
      <c r="AF184" s="77"/>
      <c r="AG184" s="78"/>
      <c r="AH184" s="77"/>
      <c r="AI184" s="78"/>
      <c r="AJ184" s="64"/>
      <c r="AK184" s="80"/>
      <c r="AL184" s="64"/>
      <c r="AM184" s="80"/>
      <c r="AN184" s="64"/>
      <c r="AO184" s="80"/>
      <c r="AP184" s="64"/>
      <c r="AQ184" s="80"/>
      <c r="AR184" s="64"/>
      <c r="AS184" s="679" t="s">
        <v>294</v>
      </c>
      <c r="AT184" s="350"/>
      <c r="AU184" s="350"/>
      <c r="AV184" s="350"/>
      <c r="AW184" s="350"/>
      <c r="AX184" s="350"/>
      <c r="AY184" s="351"/>
      <c r="AZ184" s="81"/>
      <c r="BA184" s="81"/>
      <c r="BB184" s="677" t="s">
        <v>325</v>
      </c>
      <c r="BC184" s="351"/>
      <c r="BD184" s="681" t="s">
        <v>294</v>
      </c>
      <c r="BE184" s="350"/>
      <c r="BF184" s="351"/>
      <c r="BG184" s="678" t="s">
        <v>294</v>
      </c>
      <c r="BH184" s="350"/>
      <c r="BI184" s="350"/>
      <c r="BJ184" s="351"/>
      <c r="BK184" s="680"/>
      <c r="BL184" s="350"/>
      <c r="BM184" s="351"/>
      <c r="BN184" s="82"/>
      <c r="BO184" s="82"/>
      <c r="BP184" s="678"/>
      <c r="BQ184" s="350"/>
      <c r="BR184" s="351"/>
      <c r="BS184" s="681" t="s">
        <v>294</v>
      </c>
      <c r="BT184" s="350"/>
      <c r="BU184" s="351"/>
    </row>
    <row r="185" spans="1:73" ht="30" customHeight="1">
      <c r="A185" s="76">
        <f t="shared" si="0"/>
        <v>171</v>
      </c>
      <c r="B185" s="686" t="s">
        <v>325</v>
      </c>
      <c r="C185" s="351"/>
      <c r="D185" s="687" t="s">
        <v>294</v>
      </c>
      <c r="E185" s="350"/>
      <c r="F185" s="350"/>
      <c r="G185" s="351"/>
      <c r="H185" s="688" t="s">
        <v>294</v>
      </c>
      <c r="I185" s="350"/>
      <c r="J185" s="350"/>
      <c r="K185" s="351"/>
      <c r="L185" s="538" t="s">
        <v>294</v>
      </c>
      <c r="M185" s="350"/>
      <c r="N185" s="351"/>
      <c r="O185" s="539" t="s">
        <v>294</v>
      </c>
      <c r="P185" s="350"/>
      <c r="Q185" s="351"/>
      <c r="R185" s="574"/>
      <c r="S185" s="350"/>
      <c r="T185" s="351"/>
      <c r="U185" s="567"/>
      <c r="V185" s="350"/>
      <c r="W185" s="351"/>
      <c r="X185" s="77"/>
      <c r="Y185" s="78"/>
      <c r="Z185" s="77"/>
      <c r="AA185" s="78"/>
      <c r="AB185" s="77"/>
      <c r="AC185" s="78"/>
      <c r="AD185" s="77"/>
      <c r="AE185" s="78"/>
      <c r="AF185" s="77"/>
      <c r="AG185" s="78"/>
      <c r="AH185" s="77"/>
      <c r="AI185" s="78"/>
      <c r="AJ185" s="64"/>
      <c r="AK185" s="80"/>
      <c r="AL185" s="64"/>
      <c r="AM185" s="80"/>
      <c r="AN185" s="64"/>
      <c r="AO185" s="80"/>
      <c r="AP185" s="64"/>
      <c r="AQ185" s="80"/>
      <c r="AR185" s="64"/>
      <c r="AS185" s="679" t="s">
        <v>294</v>
      </c>
      <c r="AT185" s="350"/>
      <c r="AU185" s="350"/>
      <c r="AV185" s="350"/>
      <c r="AW185" s="350"/>
      <c r="AX185" s="350"/>
      <c r="AY185" s="351"/>
      <c r="AZ185" s="81"/>
      <c r="BA185" s="81"/>
      <c r="BB185" s="677" t="s">
        <v>325</v>
      </c>
      <c r="BC185" s="351"/>
      <c r="BD185" s="681" t="s">
        <v>294</v>
      </c>
      <c r="BE185" s="350"/>
      <c r="BF185" s="351"/>
      <c r="BG185" s="678" t="s">
        <v>294</v>
      </c>
      <c r="BH185" s="350"/>
      <c r="BI185" s="350"/>
      <c r="BJ185" s="351"/>
      <c r="BK185" s="680"/>
      <c r="BL185" s="350"/>
      <c r="BM185" s="351"/>
      <c r="BN185" s="82"/>
      <c r="BO185" s="82"/>
      <c r="BP185" s="678"/>
      <c r="BQ185" s="350"/>
      <c r="BR185" s="351"/>
      <c r="BS185" s="681" t="s">
        <v>294</v>
      </c>
      <c r="BT185" s="350"/>
      <c r="BU185" s="351"/>
    </row>
    <row r="186" spans="1:73" ht="30" customHeight="1">
      <c r="A186" s="76">
        <f t="shared" si="0"/>
        <v>172</v>
      </c>
      <c r="B186" s="686" t="s">
        <v>325</v>
      </c>
      <c r="C186" s="351"/>
      <c r="D186" s="687" t="s">
        <v>294</v>
      </c>
      <c r="E186" s="350"/>
      <c r="F186" s="350"/>
      <c r="G186" s="351"/>
      <c r="H186" s="688" t="s">
        <v>294</v>
      </c>
      <c r="I186" s="350"/>
      <c r="J186" s="350"/>
      <c r="K186" s="351"/>
      <c r="L186" s="538" t="s">
        <v>294</v>
      </c>
      <c r="M186" s="350"/>
      <c r="N186" s="351"/>
      <c r="O186" s="539" t="s">
        <v>294</v>
      </c>
      <c r="P186" s="350"/>
      <c r="Q186" s="351"/>
      <c r="R186" s="574"/>
      <c r="S186" s="350"/>
      <c r="T186" s="351"/>
      <c r="U186" s="567"/>
      <c r="V186" s="350"/>
      <c r="W186" s="351"/>
      <c r="X186" s="77"/>
      <c r="Y186" s="78"/>
      <c r="Z186" s="77"/>
      <c r="AA186" s="78"/>
      <c r="AB186" s="77"/>
      <c r="AC186" s="78"/>
      <c r="AD186" s="77"/>
      <c r="AE186" s="78"/>
      <c r="AF186" s="77"/>
      <c r="AG186" s="78"/>
      <c r="AH186" s="77"/>
      <c r="AI186" s="78"/>
      <c r="AJ186" s="64"/>
      <c r="AK186" s="80"/>
      <c r="AL186" s="64"/>
      <c r="AM186" s="80"/>
      <c r="AN186" s="64"/>
      <c r="AO186" s="80"/>
      <c r="AP186" s="64"/>
      <c r="AQ186" s="80"/>
      <c r="AR186" s="64"/>
      <c r="AS186" s="679" t="s">
        <v>294</v>
      </c>
      <c r="AT186" s="350"/>
      <c r="AU186" s="350"/>
      <c r="AV186" s="350"/>
      <c r="AW186" s="350"/>
      <c r="AX186" s="350"/>
      <c r="AY186" s="351"/>
      <c r="AZ186" s="81"/>
      <c r="BA186" s="81"/>
      <c r="BB186" s="677" t="s">
        <v>325</v>
      </c>
      <c r="BC186" s="351"/>
      <c r="BD186" s="681" t="s">
        <v>294</v>
      </c>
      <c r="BE186" s="350"/>
      <c r="BF186" s="351"/>
      <c r="BG186" s="678" t="s">
        <v>294</v>
      </c>
      <c r="BH186" s="350"/>
      <c r="BI186" s="350"/>
      <c r="BJ186" s="351"/>
      <c r="BK186" s="680"/>
      <c r="BL186" s="350"/>
      <c r="BM186" s="351"/>
      <c r="BN186" s="82"/>
      <c r="BO186" s="82"/>
      <c r="BP186" s="678"/>
      <c r="BQ186" s="350"/>
      <c r="BR186" s="351"/>
      <c r="BS186" s="681" t="s">
        <v>294</v>
      </c>
      <c r="BT186" s="350"/>
      <c r="BU186" s="351"/>
    </row>
    <row r="187" spans="1:73" ht="30" customHeight="1">
      <c r="A187" s="76">
        <f t="shared" si="0"/>
        <v>173</v>
      </c>
      <c r="B187" s="686" t="s">
        <v>325</v>
      </c>
      <c r="C187" s="351"/>
      <c r="D187" s="687" t="s">
        <v>294</v>
      </c>
      <c r="E187" s="350"/>
      <c r="F187" s="350"/>
      <c r="G187" s="351"/>
      <c r="H187" s="688" t="s">
        <v>294</v>
      </c>
      <c r="I187" s="350"/>
      <c r="J187" s="350"/>
      <c r="K187" s="351"/>
      <c r="L187" s="538" t="s">
        <v>294</v>
      </c>
      <c r="M187" s="350"/>
      <c r="N187" s="351"/>
      <c r="O187" s="539" t="s">
        <v>294</v>
      </c>
      <c r="P187" s="350"/>
      <c r="Q187" s="351"/>
      <c r="R187" s="574"/>
      <c r="S187" s="350"/>
      <c r="T187" s="351"/>
      <c r="U187" s="567"/>
      <c r="V187" s="350"/>
      <c r="W187" s="351"/>
      <c r="X187" s="77"/>
      <c r="Y187" s="78"/>
      <c r="Z187" s="77"/>
      <c r="AA187" s="78"/>
      <c r="AB187" s="77"/>
      <c r="AC187" s="78"/>
      <c r="AD187" s="77"/>
      <c r="AE187" s="78"/>
      <c r="AF187" s="77"/>
      <c r="AG187" s="78"/>
      <c r="AH187" s="77"/>
      <c r="AI187" s="78"/>
      <c r="AJ187" s="64"/>
      <c r="AK187" s="80"/>
      <c r="AL187" s="64"/>
      <c r="AM187" s="80"/>
      <c r="AN187" s="64"/>
      <c r="AO187" s="80"/>
      <c r="AP187" s="64"/>
      <c r="AQ187" s="80"/>
      <c r="AR187" s="64"/>
      <c r="AS187" s="679" t="s">
        <v>294</v>
      </c>
      <c r="AT187" s="350"/>
      <c r="AU187" s="350"/>
      <c r="AV187" s="350"/>
      <c r="AW187" s="350"/>
      <c r="AX187" s="350"/>
      <c r="AY187" s="351"/>
      <c r="AZ187" s="81"/>
      <c r="BA187" s="81"/>
      <c r="BB187" s="677" t="s">
        <v>325</v>
      </c>
      <c r="BC187" s="351"/>
      <c r="BD187" s="681" t="s">
        <v>294</v>
      </c>
      <c r="BE187" s="350"/>
      <c r="BF187" s="351"/>
      <c r="BG187" s="678" t="s">
        <v>294</v>
      </c>
      <c r="BH187" s="350"/>
      <c r="BI187" s="350"/>
      <c r="BJ187" s="351"/>
      <c r="BK187" s="680"/>
      <c r="BL187" s="350"/>
      <c r="BM187" s="351"/>
      <c r="BN187" s="82"/>
      <c r="BO187" s="82"/>
      <c r="BP187" s="678"/>
      <c r="BQ187" s="350"/>
      <c r="BR187" s="351"/>
      <c r="BS187" s="681" t="s">
        <v>294</v>
      </c>
      <c r="BT187" s="350"/>
      <c r="BU187" s="351"/>
    </row>
    <row r="188" spans="1:73" ht="30" customHeight="1">
      <c r="A188" s="76">
        <f t="shared" si="0"/>
        <v>174</v>
      </c>
      <c r="B188" s="686" t="s">
        <v>325</v>
      </c>
      <c r="C188" s="351"/>
      <c r="D188" s="687" t="s">
        <v>294</v>
      </c>
      <c r="E188" s="350"/>
      <c r="F188" s="350"/>
      <c r="G188" s="351"/>
      <c r="H188" s="688" t="s">
        <v>294</v>
      </c>
      <c r="I188" s="350"/>
      <c r="J188" s="350"/>
      <c r="K188" s="351"/>
      <c r="L188" s="538" t="s">
        <v>294</v>
      </c>
      <c r="M188" s="350"/>
      <c r="N188" s="351"/>
      <c r="O188" s="539" t="s">
        <v>294</v>
      </c>
      <c r="P188" s="350"/>
      <c r="Q188" s="351"/>
      <c r="R188" s="574"/>
      <c r="S188" s="350"/>
      <c r="T188" s="351"/>
      <c r="U188" s="567"/>
      <c r="V188" s="350"/>
      <c r="W188" s="351"/>
      <c r="X188" s="77"/>
      <c r="Y188" s="78"/>
      <c r="Z188" s="77"/>
      <c r="AA188" s="78"/>
      <c r="AB188" s="77"/>
      <c r="AC188" s="78"/>
      <c r="AD188" s="77"/>
      <c r="AE188" s="78"/>
      <c r="AF188" s="77"/>
      <c r="AG188" s="78"/>
      <c r="AH188" s="77"/>
      <c r="AI188" s="78"/>
      <c r="AJ188" s="64"/>
      <c r="AK188" s="80"/>
      <c r="AL188" s="64"/>
      <c r="AM188" s="80"/>
      <c r="AN188" s="64"/>
      <c r="AO188" s="80"/>
      <c r="AP188" s="64"/>
      <c r="AQ188" s="80"/>
      <c r="AR188" s="64"/>
      <c r="AS188" s="679" t="s">
        <v>294</v>
      </c>
      <c r="AT188" s="350"/>
      <c r="AU188" s="350"/>
      <c r="AV188" s="350"/>
      <c r="AW188" s="350"/>
      <c r="AX188" s="350"/>
      <c r="AY188" s="351"/>
      <c r="AZ188" s="81"/>
      <c r="BA188" s="81"/>
      <c r="BB188" s="677" t="s">
        <v>325</v>
      </c>
      <c r="BC188" s="351"/>
      <c r="BD188" s="681" t="s">
        <v>294</v>
      </c>
      <c r="BE188" s="350"/>
      <c r="BF188" s="351"/>
      <c r="BG188" s="678" t="s">
        <v>294</v>
      </c>
      <c r="BH188" s="350"/>
      <c r="BI188" s="350"/>
      <c r="BJ188" s="351"/>
      <c r="BK188" s="680"/>
      <c r="BL188" s="350"/>
      <c r="BM188" s="351"/>
      <c r="BN188" s="82"/>
      <c r="BO188" s="82"/>
      <c r="BP188" s="678"/>
      <c r="BQ188" s="350"/>
      <c r="BR188" s="351"/>
      <c r="BS188" s="681" t="s">
        <v>294</v>
      </c>
      <c r="BT188" s="350"/>
      <c r="BU188" s="351"/>
    </row>
    <row r="189" spans="1:73" ht="30" customHeight="1">
      <c r="A189" s="76">
        <f t="shared" si="0"/>
        <v>175</v>
      </c>
      <c r="B189" s="686" t="s">
        <v>325</v>
      </c>
      <c r="C189" s="351"/>
      <c r="D189" s="687" t="s">
        <v>294</v>
      </c>
      <c r="E189" s="350"/>
      <c r="F189" s="350"/>
      <c r="G189" s="351"/>
      <c r="H189" s="688" t="s">
        <v>294</v>
      </c>
      <c r="I189" s="350"/>
      <c r="J189" s="350"/>
      <c r="K189" s="351"/>
      <c r="L189" s="538" t="s">
        <v>294</v>
      </c>
      <c r="M189" s="350"/>
      <c r="N189" s="351"/>
      <c r="O189" s="539" t="s">
        <v>294</v>
      </c>
      <c r="P189" s="350"/>
      <c r="Q189" s="351"/>
      <c r="R189" s="574"/>
      <c r="S189" s="350"/>
      <c r="T189" s="351"/>
      <c r="U189" s="567"/>
      <c r="V189" s="350"/>
      <c r="W189" s="351"/>
      <c r="X189" s="77"/>
      <c r="Y189" s="78"/>
      <c r="Z189" s="77"/>
      <c r="AA189" s="78"/>
      <c r="AB189" s="77"/>
      <c r="AC189" s="78"/>
      <c r="AD189" s="77"/>
      <c r="AE189" s="78"/>
      <c r="AF189" s="77"/>
      <c r="AG189" s="78"/>
      <c r="AH189" s="77"/>
      <c r="AI189" s="78"/>
      <c r="AJ189" s="64"/>
      <c r="AK189" s="80"/>
      <c r="AL189" s="64"/>
      <c r="AM189" s="80"/>
      <c r="AN189" s="64"/>
      <c r="AO189" s="80"/>
      <c r="AP189" s="64"/>
      <c r="AQ189" s="80"/>
      <c r="AR189" s="64"/>
      <c r="AS189" s="679" t="s">
        <v>294</v>
      </c>
      <c r="AT189" s="350"/>
      <c r="AU189" s="350"/>
      <c r="AV189" s="350"/>
      <c r="AW189" s="350"/>
      <c r="AX189" s="350"/>
      <c r="AY189" s="351"/>
      <c r="AZ189" s="81"/>
      <c r="BA189" s="81"/>
      <c r="BB189" s="677" t="s">
        <v>325</v>
      </c>
      <c r="BC189" s="351"/>
      <c r="BD189" s="681" t="s">
        <v>294</v>
      </c>
      <c r="BE189" s="350"/>
      <c r="BF189" s="351"/>
      <c r="BG189" s="678" t="s">
        <v>294</v>
      </c>
      <c r="BH189" s="350"/>
      <c r="BI189" s="350"/>
      <c r="BJ189" s="351"/>
      <c r="BK189" s="680"/>
      <c r="BL189" s="350"/>
      <c r="BM189" s="351"/>
      <c r="BN189" s="82"/>
      <c r="BO189" s="82"/>
      <c r="BP189" s="678"/>
      <c r="BQ189" s="350"/>
      <c r="BR189" s="351"/>
      <c r="BS189" s="681" t="s">
        <v>294</v>
      </c>
      <c r="BT189" s="350"/>
      <c r="BU189" s="351"/>
    </row>
    <row r="190" spans="1:73" ht="30" customHeight="1">
      <c r="A190" s="76">
        <f t="shared" si="0"/>
        <v>176</v>
      </c>
      <c r="B190" s="686" t="s">
        <v>325</v>
      </c>
      <c r="C190" s="351"/>
      <c r="D190" s="687" t="s">
        <v>294</v>
      </c>
      <c r="E190" s="350"/>
      <c r="F190" s="350"/>
      <c r="G190" s="351"/>
      <c r="H190" s="688" t="s">
        <v>294</v>
      </c>
      <c r="I190" s="350"/>
      <c r="J190" s="350"/>
      <c r="K190" s="351"/>
      <c r="L190" s="538" t="s">
        <v>294</v>
      </c>
      <c r="M190" s="350"/>
      <c r="N190" s="351"/>
      <c r="O190" s="539" t="s">
        <v>294</v>
      </c>
      <c r="P190" s="350"/>
      <c r="Q190" s="351"/>
      <c r="R190" s="574"/>
      <c r="S190" s="350"/>
      <c r="T190" s="351"/>
      <c r="U190" s="567"/>
      <c r="V190" s="350"/>
      <c r="W190" s="351"/>
      <c r="X190" s="77"/>
      <c r="Y190" s="78"/>
      <c r="Z190" s="77"/>
      <c r="AA190" s="78"/>
      <c r="AB190" s="77"/>
      <c r="AC190" s="78"/>
      <c r="AD190" s="77"/>
      <c r="AE190" s="78"/>
      <c r="AF190" s="77"/>
      <c r="AG190" s="78"/>
      <c r="AH190" s="77"/>
      <c r="AI190" s="78"/>
      <c r="AJ190" s="64"/>
      <c r="AK190" s="80"/>
      <c r="AL190" s="64"/>
      <c r="AM190" s="80"/>
      <c r="AN190" s="64"/>
      <c r="AO190" s="80"/>
      <c r="AP190" s="64"/>
      <c r="AQ190" s="80"/>
      <c r="AR190" s="64"/>
      <c r="AS190" s="679" t="s">
        <v>294</v>
      </c>
      <c r="AT190" s="350"/>
      <c r="AU190" s="350"/>
      <c r="AV190" s="350"/>
      <c r="AW190" s="350"/>
      <c r="AX190" s="350"/>
      <c r="AY190" s="351"/>
      <c r="AZ190" s="83"/>
      <c r="BA190" s="83"/>
      <c r="BB190" s="677" t="s">
        <v>325</v>
      </c>
      <c r="BC190" s="351"/>
      <c r="BD190" s="682" t="s">
        <v>294</v>
      </c>
      <c r="BE190" s="378"/>
      <c r="BF190" s="379"/>
      <c r="BG190" s="683" t="s">
        <v>294</v>
      </c>
      <c r="BH190" s="378"/>
      <c r="BI190" s="378"/>
      <c r="BJ190" s="379"/>
      <c r="BK190" s="684"/>
      <c r="BL190" s="378"/>
      <c r="BM190" s="379"/>
      <c r="BN190" s="84"/>
      <c r="BO190" s="84"/>
      <c r="BP190" s="683"/>
      <c r="BQ190" s="378"/>
      <c r="BR190" s="379"/>
      <c r="BS190" s="682" t="s">
        <v>294</v>
      </c>
      <c r="BT190" s="378"/>
      <c r="BU190" s="379"/>
    </row>
    <row r="191" spans="1:73" ht="30" customHeight="1">
      <c r="A191" s="76">
        <f t="shared" si="0"/>
        <v>177</v>
      </c>
      <c r="B191" s="686" t="s">
        <v>325</v>
      </c>
      <c r="C191" s="351"/>
      <c r="D191" s="687" t="s">
        <v>294</v>
      </c>
      <c r="E191" s="350"/>
      <c r="F191" s="350"/>
      <c r="G191" s="351"/>
      <c r="H191" s="688" t="s">
        <v>294</v>
      </c>
      <c r="I191" s="350"/>
      <c r="J191" s="350"/>
      <c r="K191" s="351"/>
      <c r="L191" s="538" t="s">
        <v>294</v>
      </c>
      <c r="M191" s="350"/>
      <c r="N191" s="351"/>
      <c r="O191" s="539" t="s">
        <v>294</v>
      </c>
      <c r="P191" s="350"/>
      <c r="Q191" s="351"/>
      <c r="R191" s="574"/>
      <c r="S191" s="350"/>
      <c r="T191" s="351"/>
      <c r="U191" s="567"/>
      <c r="V191" s="350"/>
      <c r="W191" s="351"/>
      <c r="X191" s="77"/>
      <c r="Y191" s="78"/>
      <c r="Z191" s="77"/>
      <c r="AA191" s="78"/>
      <c r="AB191" s="77"/>
      <c r="AC191" s="78"/>
      <c r="AD191" s="77"/>
      <c r="AE191" s="78"/>
      <c r="AF191" s="77"/>
      <c r="AG191" s="78"/>
      <c r="AH191" s="77"/>
      <c r="AI191" s="78"/>
      <c r="AJ191" s="64"/>
      <c r="AK191" s="80"/>
      <c r="AL191" s="64"/>
      <c r="AM191" s="80"/>
      <c r="AN191" s="64"/>
      <c r="AO191" s="80"/>
      <c r="AP191" s="64"/>
      <c r="AQ191" s="80"/>
      <c r="AR191" s="64"/>
      <c r="AS191" s="679" t="s">
        <v>294</v>
      </c>
      <c r="AT191" s="350"/>
      <c r="AU191" s="350"/>
      <c r="AV191" s="350"/>
      <c r="AW191" s="350"/>
      <c r="AX191" s="350"/>
      <c r="AY191" s="351"/>
      <c r="AZ191" s="81"/>
      <c r="BA191" s="81"/>
      <c r="BB191" s="677" t="s">
        <v>325</v>
      </c>
      <c r="BC191" s="351"/>
      <c r="BD191" s="681" t="s">
        <v>294</v>
      </c>
      <c r="BE191" s="350"/>
      <c r="BF191" s="351"/>
      <c r="BG191" s="678" t="s">
        <v>294</v>
      </c>
      <c r="BH191" s="350"/>
      <c r="BI191" s="350"/>
      <c r="BJ191" s="351"/>
      <c r="BK191" s="680"/>
      <c r="BL191" s="350"/>
      <c r="BM191" s="351"/>
      <c r="BN191" s="82"/>
      <c r="BO191" s="82"/>
      <c r="BP191" s="678"/>
      <c r="BQ191" s="350"/>
      <c r="BR191" s="351"/>
      <c r="BS191" s="681" t="s">
        <v>294</v>
      </c>
      <c r="BT191" s="350"/>
      <c r="BU191" s="351"/>
    </row>
    <row r="192" spans="1:73" ht="30" customHeight="1">
      <c r="A192" s="76">
        <f t="shared" si="0"/>
        <v>178</v>
      </c>
      <c r="B192" s="686" t="s">
        <v>325</v>
      </c>
      <c r="C192" s="351"/>
      <c r="D192" s="687" t="s">
        <v>294</v>
      </c>
      <c r="E192" s="350"/>
      <c r="F192" s="350"/>
      <c r="G192" s="351"/>
      <c r="H192" s="688" t="s">
        <v>294</v>
      </c>
      <c r="I192" s="350"/>
      <c r="J192" s="350"/>
      <c r="K192" s="351"/>
      <c r="L192" s="538" t="s">
        <v>294</v>
      </c>
      <c r="M192" s="350"/>
      <c r="N192" s="351"/>
      <c r="O192" s="539" t="s">
        <v>294</v>
      </c>
      <c r="P192" s="350"/>
      <c r="Q192" s="351"/>
      <c r="R192" s="574"/>
      <c r="S192" s="350"/>
      <c r="T192" s="351"/>
      <c r="U192" s="567"/>
      <c r="V192" s="350"/>
      <c r="W192" s="351"/>
      <c r="X192" s="77"/>
      <c r="Y192" s="78"/>
      <c r="Z192" s="77"/>
      <c r="AA192" s="78"/>
      <c r="AB192" s="77"/>
      <c r="AC192" s="78"/>
      <c r="AD192" s="77"/>
      <c r="AE192" s="78"/>
      <c r="AF192" s="77"/>
      <c r="AG192" s="78"/>
      <c r="AH192" s="77"/>
      <c r="AI192" s="78"/>
      <c r="AJ192" s="64"/>
      <c r="AK192" s="80"/>
      <c r="AL192" s="64"/>
      <c r="AM192" s="80"/>
      <c r="AN192" s="64"/>
      <c r="AO192" s="80"/>
      <c r="AP192" s="64"/>
      <c r="AQ192" s="80"/>
      <c r="AR192" s="64"/>
      <c r="AS192" s="679" t="s">
        <v>294</v>
      </c>
      <c r="AT192" s="350"/>
      <c r="AU192" s="350"/>
      <c r="AV192" s="350"/>
      <c r="AW192" s="350"/>
      <c r="AX192" s="350"/>
      <c r="AY192" s="351"/>
      <c r="AZ192" s="81"/>
      <c r="BA192" s="81"/>
      <c r="BB192" s="677" t="s">
        <v>325</v>
      </c>
      <c r="BC192" s="351"/>
      <c r="BD192" s="681" t="s">
        <v>294</v>
      </c>
      <c r="BE192" s="350"/>
      <c r="BF192" s="351"/>
      <c r="BG192" s="678" t="s">
        <v>294</v>
      </c>
      <c r="BH192" s="350"/>
      <c r="BI192" s="350"/>
      <c r="BJ192" s="351"/>
      <c r="BK192" s="680"/>
      <c r="BL192" s="350"/>
      <c r="BM192" s="351"/>
      <c r="BN192" s="82"/>
      <c r="BO192" s="82"/>
      <c r="BP192" s="678"/>
      <c r="BQ192" s="350"/>
      <c r="BR192" s="351"/>
      <c r="BS192" s="681" t="s">
        <v>294</v>
      </c>
      <c r="BT192" s="350"/>
      <c r="BU192" s="351"/>
    </row>
    <row r="193" spans="1:73" ht="30" customHeight="1">
      <c r="A193" s="76">
        <f t="shared" si="0"/>
        <v>179</v>
      </c>
      <c r="B193" s="686" t="s">
        <v>325</v>
      </c>
      <c r="C193" s="351"/>
      <c r="D193" s="687" t="s">
        <v>294</v>
      </c>
      <c r="E193" s="350"/>
      <c r="F193" s="350"/>
      <c r="G193" s="351"/>
      <c r="H193" s="688" t="s">
        <v>294</v>
      </c>
      <c r="I193" s="350"/>
      <c r="J193" s="350"/>
      <c r="K193" s="351"/>
      <c r="L193" s="538" t="s">
        <v>294</v>
      </c>
      <c r="M193" s="350"/>
      <c r="N193" s="351"/>
      <c r="O193" s="539" t="s">
        <v>294</v>
      </c>
      <c r="P193" s="350"/>
      <c r="Q193" s="351"/>
      <c r="R193" s="574"/>
      <c r="S193" s="350"/>
      <c r="T193" s="351"/>
      <c r="U193" s="567"/>
      <c r="V193" s="350"/>
      <c r="W193" s="351"/>
      <c r="X193" s="77"/>
      <c r="Y193" s="78"/>
      <c r="Z193" s="77"/>
      <c r="AA193" s="78"/>
      <c r="AB193" s="77"/>
      <c r="AC193" s="78"/>
      <c r="AD193" s="77"/>
      <c r="AE193" s="78"/>
      <c r="AF193" s="77"/>
      <c r="AG193" s="78"/>
      <c r="AH193" s="77"/>
      <c r="AI193" s="78"/>
      <c r="AJ193" s="64"/>
      <c r="AK193" s="80"/>
      <c r="AL193" s="64"/>
      <c r="AM193" s="80"/>
      <c r="AN193" s="64"/>
      <c r="AO193" s="80"/>
      <c r="AP193" s="64"/>
      <c r="AQ193" s="80"/>
      <c r="AR193" s="64"/>
      <c r="AS193" s="679" t="s">
        <v>294</v>
      </c>
      <c r="AT193" s="350"/>
      <c r="AU193" s="350"/>
      <c r="AV193" s="350"/>
      <c r="AW193" s="350"/>
      <c r="AX193" s="350"/>
      <c r="AY193" s="351"/>
      <c r="AZ193" s="81"/>
      <c r="BA193" s="81"/>
      <c r="BB193" s="677" t="s">
        <v>325</v>
      </c>
      <c r="BC193" s="351"/>
      <c r="BD193" s="681" t="s">
        <v>294</v>
      </c>
      <c r="BE193" s="350"/>
      <c r="BF193" s="351"/>
      <c r="BG193" s="678" t="s">
        <v>294</v>
      </c>
      <c r="BH193" s="350"/>
      <c r="BI193" s="350"/>
      <c r="BJ193" s="351"/>
      <c r="BK193" s="680"/>
      <c r="BL193" s="350"/>
      <c r="BM193" s="351"/>
      <c r="BN193" s="82"/>
      <c r="BO193" s="82"/>
      <c r="BP193" s="678"/>
      <c r="BQ193" s="350"/>
      <c r="BR193" s="351"/>
      <c r="BS193" s="681" t="s">
        <v>294</v>
      </c>
      <c r="BT193" s="350"/>
      <c r="BU193" s="351"/>
    </row>
    <row r="194" spans="1:73" ht="30" customHeight="1">
      <c r="A194" s="76">
        <f t="shared" si="0"/>
        <v>180</v>
      </c>
      <c r="B194" s="686" t="s">
        <v>325</v>
      </c>
      <c r="C194" s="351"/>
      <c r="D194" s="687" t="s">
        <v>294</v>
      </c>
      <c r="E194" s="350"/>
      <c r="F194" s="350"/>
      <c r="G194" s="351"/>
      <c r="H194" s="688" t="s">
        <v>294</v>
      </c>
      <c r="I194" s="350"/>
      <c r="J194" s="350"/>
      <c r="K194" s="351"/>
      <c r="L194" s="538" t="s">
        <v>294</v>
      </c>
      <c r="M194" s="350"/>
      <c r="N194" s="351"/>
      <c r="O194" s="539" t="s">
        <v>294</v>
      </c>
      <c r="P194" s="350"/>
      <c r="Q194" s="351"/>
      <c r="R194" s="574"/>
      <c r="S194" s="350"/>
      <c r="T194" s="351"/>
      <c r="U194" s="567"/>
      <c r="V194" s="350"/>
      <c r="W194" s="351"/>
      <c r="X194" s="77"/>
      <c r="Y194" s="78"/>
      <c r="Z194" s="77"/>
      <c r="AA194" s="78"/>
      <c r="AB194" s="77"/>
      <c r="AC194" s="78"/>
      <c r="AD194" s="77"/>
      <c r="AE194" s="78"/>
      <c r="AF194" s="77"/>
      <c r="AG194" s="78"/>
      <c r="AH194" s="77"/>
      <c r="AI194" s="78"/>
      <c r="AJ194" s="64"/>
      <c r="AK194" s="80"/>
      <c r="AL194" s="64"/>
      <c r="AM194" s="80"/>
      <c r="AN194" s="64"/>
      <c r="AO194" s="80"/>
      <c r="AP194" s="64"/>
      <c r="AQ194" s="80"/>
      <c r="AR194" s="64"/>
      <c r="AS194" s="679" t="s">
        <v>294</v>
      </c>
      <c r="AT194" s="350"/>
      <c r="AU194" s="350"/>
      <c r="AV194" s="350"/>
      <c r="AW194" s="350"/>
      <c r="AX194" s="350"/>
      <c r="AY194" s="351"/>
      <c r="AZ194" s="81"/>
      <c r="BA194" s="81"/>
      <c r="BB194" s="677" t="s">
        <v>325</v>
      </c>
      <c r="BC194" s="351"/>
      <c r="BD194" s="681" t="s">
        <v>294</v>
      </c>
      <c r="BE194" s="350"/>
      <c r="BF194" s="351"/>
      <c r="BG194" s="678" t="s">
        <v>294</v>
      </c>
      <c r="BH194" s="350"/>
      <c r="BI194" s="350"/>
      <c r="BJ194" s="351"/>
      <c r="BK194" s="680"/>
      <c r="BL194" s="350"/>
      <c r="BM194" s="351"/>
      <c r="BN194" s="82"/>
      <c r="BO194" s="82"/>
      <c r="BP194" s="678"/>
      <c r="BQ194" s="350"/>
      <c r="BR194" s="351"/>
      <c r="BS194" s="681" t="s">
        <v>294</v>
      </c>
      <c r="BT194" s="350"/>
      <c r="BU194" s="351"/>
    </row>
    <row r="195" spans="1:73" ht="30" customHeight="1">
      <c r="A195" s="76">
        <f t="shared" si="0"/>
        <v>181</v>
      </c>
      <c r="B195" s="686" t="s">
        <v>325</v>
      </c>
      <c r="C195" s="351"/>
      <c r="D195" s="687" t="s">
        <v>294</v>
      </c>
      <c r="E195" s="350"/>
      <c r="F195" s="350"/>
      <c r="G195" s="351"/>
      <c r="H195" s="688" t="s">
        <v>294</v>
      </c>
      <c r="I195" s="350"/>
      <c r="J195" s="350"/>
      <c r="K195" s="351"/>
      <c r="L195" s="538" t="s">
        <v>294</v>
      </c>
      <c r="M195" s="350"/>
      <c r="N195" s="351"/>
      <c r="O195" s="539" t="s">
        <v>294</v>
      </c>
      <c r="P195" s="350"/>
      <c r="Q195" s="351"/>
      <c r="R195" s="574"/>
      <c r="S195" s="350"/>
      <c r="T195" s="351"/>
      <c r="U195" s="567"/>
      <c r="V195" s="350"/>
      <c r="W195" s="351"/>
      <c r="X195" s="77"/>
      <c r="Y195" s="78"/>
      <c r="Z195" s="77"/>
      <c r="AA195" s="78"/>
      <c r="AB195" s="77"/>
      <c r="AC195" s="78"/>
      <c r="AD195" s="77"/>
      <c r="AE195" s="78"/>
      <c r="AF195" s="77"/>
      <c r="AG195" s="78"/>
      <c r="AH195" s="77"/>
      <c r="AI195" s="78"/>
      <c r="AJ195" s="64"/>
      <c r="AK195" s="80"/>
      <c r="AL195" s="64"/>
      <c r="AM195" s="80"/>
      <c r="AN195" s="64"/>
      <c r="AO195" s="80"/>
      <c r="AP195" s="64"/>
      <c r="AQ195" s="80"/>
      <c r="AR195" s="64"/>
      <c r="AS195" s="679" t="s">
        <v>294</v>
      </c>
      <c r="AT195" s="350"/>
      <c r="AU195" s="350"/>
      <c r="AV195" s="350"/>
      <c r="AW195" s="350"/>
      <c r="AX195" s="350"/>
      <c r="AY195" s="351"/>
      <c r="AZ195" s="81"/>
      <c r="BA195" s="81"/>
      <c r="BB195" s="677" t="s">
        <v>325</v>
      </c>
      <c r="BC195" s="351"/>
      <c r="BD195" s="681" t="s">
        <v>294</v>
      </c>
      <c r="BE195" s="350"/>
      <c r="BF195" s="351"/>
      <c r="BG195" s="678" t="s">
        <v>294</v>
      </c>
      <c r="BH195" s="350"/>
      <c r="BI195" s="350"/>
      <c r="BJ195" s="351"/>
      <c r="BK195" s="680"/>
      <c r="BL195" s="350"/>
      <c r="BM195" s="351"/>
      <c r="BN195" s="82"/>
      <c r="BO195" s="82"/>
      <c r="BP195" s="678"/>
      <c r="BQ195" s="350"/>
      <c r="BR195" s="351"/>
      <c r="BS195" s="681" t="s">
        <v>294</v>
      </c>
      <c r="BT195" s="350"/>
      <c r="BU195" s="351"/>
    </row>
    <row r="196" spans="1:73" ht="30" customHeight="1">
      <c r="A196" s="76">
        <f t="shared" si="0"/>
        <v>182</v>
      </c>
      <c r="B196" s="686" t="s">
        <v>325</v>
      </c>
      <c r="C196" s="351"/>
      <c r="D196" s="687" t="s">
        <v>294</v>
      </c>
      <c r="E196" s="350"/>
      <c r="F196" s="350"/>
      <c r="G196" s="351"/>
      <c r="H196" s="688" t="s">
        <v>294</v>
      </c>
      <c r="I196" s="350"/>
      <c r="J196" s="350"/>
      <c r="K196" s="351"/>
      <c r="L196" s="538" t="s">
        <v>294</v>
      </c>
      <c r="M196" s="350"/>
      <c r="N196" s="351"/>
      <c r="O196" s="539" t="s">
        <v>294</v>
      </c>
      <c r="P196" s="350"/>
      <c r="Q196" s="351"/>
      <c r="R196" s="574"/>
      <c r="S196" s="350"/>
      <c r="T196" s="351"/>
      <c r="U196" s="567"/>
      <c r="V196" s="350"/>
      <c r="W196" s="351"/>
      <c r="X196" s="77"/>
      <c r="Y196" s="78"/>
      <c r="Z196" s="77"/>
      <c r="AA196" s="78"/>
      <c r="AB196" s="77"/>
      <c r="AC196" s="78"/>
      <c r="AD196" s="77"/>
      <c r="AE196" s="78"/>
      <c r="AF196" s="77"/>
      <c r="AG196" s="78"/>
      <c r="AH196" s="77"/>
      <c r="AI196" s="78"/>
      <c r="AJ196" s="64"/>
      <c r="AK196" s="80"/>
      <c r="AL196" s="64"/>
      <c r="AM196" s="80"/>
      <c r="AN196" s="64"/>
      <c r="AO196" s="80"/>
      <c r="AP196" s="64"/>
      <c r="AQ196" s="80"/>
      <c r="AR196" s="64"/>
      <c r="AS196" s="679" t="s">
        <v>294</v>
      </c>
      <c r="AT196" s="350"/>
      <c r="AU196" s="350"/>
      <c r="AV196" s="350"/>
      <c r="AW196" s="350"/>
      <c r="AX196" s="350"/>
      <c r="AY196" s="351"/>
      <c r="AZ196" s="81"/>
      <c r="BA196" s="81"/>
      <c r="BB196" s="677" t="s">
        <v>325</v>
      </c>
      <c r="BC196" s="351"/>
      <c r="BD196" s="681" t="s">
        <v>294</v>
      </c>
      <c r="BE196" s="350"/>
      <c r="BF196" s="351"/>
      <c r="BG196" s="678" t="s">
        <v>294</v>
      </c>
      <c r="BH196" s="350"/>
      <c r="BI196" s="350"/>
      <c r="BJ196" s="351"/>
      <c r="BK196" s="680"/>
      <c r="BL196" s="350"/>
      <c r="BM196" s="351"/>
      <c r="BN196" s="82"/>
      <c r="BO196" s="82"/>
      <c r="BP196" s="678"/>
      <c r="BQ196" s="350"/>
      <c r="BR196" s="351"/>
      <c r="BS196" s="681" t="s">
        <v>294</v>
      </c>
      <c r="BT196" s="350"/>
      <c r="BU196" s="351"/>
    </row>
    <row r="197" spans="1:73" ht="30" customHeight="1">
      <c r="A197" s="76">
        <f t="shared" si="0"/>
        <v>183</v>
      </c>
      <c r="B197" s="686" t="s">
        <v>325</v>
      </c>
      <c r="C197" s="351"/>
      <c r="D197" s="687" t="s">
        <v>294</v>
      </c>
      <c r="E197" s="350"/>
      <c r="F197" s="350"/>
      <c r="G197" s="351"/>
      <c r="H197" s="688" t="s">
        <v>294</v>
      </c>
      <c r="I197" s="350"/>
      <c r="J197" s="350"/>
      <c r="K197" s="351"/>
      <c r="L197" s="538" t="s">
        <v>294</v>
      </c>
      <c r="M197" s="350"/>
      <c r="N197" s="351"/>
      <c r="O197" s="539" t="s">
        <v>294</v>
      </c>
      <c r="P197" s="350"/>
      <c r="Q197" s="351"/>
      <c r="R197" s="574"/>
      <c r="S197" s="350"/>
      <c r="T197" s="351"/>
      <c r="U197" s="567"/>
      <c r="V197" s="350"/>
      <c r="W197" s="351"/>
      <c r="X197" s="77"/>
      <c r="Y197" s="78"/>
      <c r="Z197" s="77"/>
      <c r="AA197" s="78"/>
      <c r="AB197" s="77"/>
      <c r="AC197" s="78"/>
      <c r="AD197" s="77"/>
      <c r="AE197" s="78"/>
      <c r="AF197" s="77"/>
      <c r="AG197" s="78"/>
      <c r="AH197" s="77"/>
      <c r="AI197" s="78"/>
      <c r="AJ197" s="64"/>
      <c r="AK197" s="80"/>
      <c r="AL197" s="64"/>
      <c r="AM197" s="80"/>
      <c r="AN197" s="64"/>
      <c r="AO197" s="80"/>
      <c r="AP197" s="64"/>
      <c r="AQ197" s="80"/>
      <c r="AR197" s="64"/>
      <c r="AS197" s="679" t="s">
        <v>294</v>
      </c>
      <c r="AT197" s="350"/>
      <c r="AU197" s="350"/>
      <c r="AV197" s="350"/>
      <c r="AW197" s="350"/>
      <c r="AX197" s="350"/>
      <c r="AY197" s="351"/>
      <c r="AZ197" s="83"/>
      <c r="BA197" s="83"/>
      <c r="BB197" s="677" t="s">
        <v>325</v>
      </c>
      <c r="BC197" s="351"/>
      <c r="BD197" s="682" t="s">
        <v>294</v>
      </c>
      <c r="BE197" s="378"/>
      <c r="BF197" s="379"/>
      <c r="BG197" s="683" t="s">
        <v>294</v>
      </c>
      <c r="BH197" s="378"/>
      <c r="BI197" s="378"/>
      <c r="BJ197" s="379"/>
      <c r="BK197" s="684"/>
      <c r="BL197" s="378"/>
      <c r="BM197" s="379"/>
      <c r="BN197" s="84"/>
      <c r="BO197" s="84"/>
      <c r="BP197" s="683"/>
      <c r="BQ197" s="378"/>
      <c r="BR197" s="379"/>
      <c r="BS197" s="682" t="s">
        <v>294</v>
      </c>
      <c r="BT197" s="378"/>
      <c r="BU197" s="379"/>
    </row>
    <row r="198" spans="1:73" ht="30" customHeight="1">
      <c r="A198" s="76">
        <f t="shared" si="0"/>
        <v>184</v>
      </c>
      <c r="B198" s="686" t="s">
        <v>325</v>
      </c>
      <c r="C198" s="351"/>
      <c r="D198" s="687" t="s">
        <v>294</v>
      </c>
      <c r="E198" s="350"/>
      <c r="F198" s="350"/>
      <c r="G198" s="351"/>
      <c r="H198" s="688" t="s">
        <v>294</v>
      </c>
      <c r="I198" s="350"/>
      <c r="J198" s="350"/>
      <c r="K198" s="351"/>
      <c r="L198" s="538" t="s">
        <v>294</v>
      </c>
      <c r="M198" s="350"/>
      <c r="N198" s="351"/>
      <c r="O198" s="539" t="s">
        <v>294</v>
      </c>
      <c r="P198" s="350"/>
      <c r="Q198" s="351"/>
      <c r="R198" s="574"/>
      <c r="S198" s="350"/>
      <c r="T198" s="351"/>
      <c r="U198" s="567"/>
      <c r="V198" s="350"/>
      <c r="W198" s="351"/>
      <c r="X198" s="77"/>
      <c r="Y198" s="78"/>
      <c r="Z198" s="77"/>
      <c r="AA198" s="78"/>
      <c r="AB198" s="77"/>
      <c r="AC198" s="78"/>
      <c r="AD198" s="77"/>
      <c r="AE198" s="78"/>
      <c r="AF198" s="77"/>
      <c r="AG198" s="78"/>
      <c r="AH198" s="77"/>
      <c r="AI198" s="78"/>
      <c r="AJ198" s="64"/>
      <c r="AK198" s="80"/>
      <c r="AL198" s="64"/>
      <c r="AM198" s="80"/>
      <c r="AN198" s="64"/>
      <c r="AO198" s="80"/>
      <c r="AP198" s="64"/>
      <c r="AQ198" s="80"/>
      <c r="AR198" s="64"/>
      <c r="AS198" s="679" t="s">
        <v>294</v>
      </c>
      <c r="AT198" s="350"/>
      <c r="AU198" s="350"/>
      <c r="AV198" s="350"/>
      <c r="AW198" s="350"/>
      <c r="AX198" s="350"/>
      <c r="AY198" s="351"/>
      <c r="AZ198" s="81"/>
      <c r="BA198" s="81"/>
      <c r="BB198" s="677" t="s">
        <v>325</v>
      </c>
      <c r="BC198" s="351"/>
      <c r="BD198" s="681" t="s">
        <v>294</v>
      </c>
      <c r="BE198" s="350"/>
      <c r="BF198" s="351"/>
      <c r="BG198" s="678" t="s">
        <v>294</v>
      </c>
      <c r="BH198" s="350"/>
      <c r="BI198" s="350"/>
      <c r="BJ198" s="351"/>
      <c r="BK198" s="680"/>
      <c r="BL198" s="350"/>
      <c r="BM198" s="351"/>
      <c r="BN198" s="82"/>
      <c r="BO198" s="82"/>
      <c r="BP198" s="678"/>
      <c r="BQ198" s="350"/>
      <c r="BR198" s="351"/>
      <c r="BS198" s="681" t="s">
        <v>294</v>
      </c>
      <c r="BT198" s="350"/>
      <c r="BU198" s="351"/>
    </row>
    <row r="199" spans="1:73" ht="30" customHeight="1">
      <c r="A199" s="76">
        <f t="shared" si="0"/>
        <v>185</v>
      </c>
      <c r="B199" s="686" t="s">
        <v>325</v>
      </c>
      <c r="C199" s="351"/>
      <c r="D199" s="687" t="s">
        <v>294</v>
      </c>
      <c r="E199" s="350"/>
      <c r="F199" s="350"/>
      <c r="G199" s="351"/>
      <c r="H199" s="688" t="s">
        <v>294</v>
      </c>
      <c r="I199" s="350"/>
      <c r="J199" s="350"/>
      <c r="K199" s="351"/>
      <c r="L199" s="538" t="s">
        <v>294</v>
      </c>
      <c r="M199" s="350"/>
      <c r="N199" s="351"/>
      <c r="O199" s="539" t="s">
        <v>294</v>
      </c>
      <c r="P199" s="350"/>
      <c r="Q199" s="351"/>
      <c r="R199" s="574"/>
      <c r="S199" s="350"/>
      <c r="T199" s="351"/>
      <c r="U199" s="567"/>
      <c r="V199" s="350"/>
      <c r="W199" s="351"/>
      <c r="X199" s="77"/>
      <c r="Y199" s="78"/>
      <c r="Z199" s="77"/>
      <c r="AA199" s="78"/>
      <c r="AB199" s="77"/>
      <c r="AC199" s="78"/>
      <c r="AD199" s="77"/>
      <c r="AE199" s="78"/>
      <c r="AF199" s="77"/>
      <c r="AG199" s="78"/>
      <c r="AH199" s="77"/>
      <c r="AI199" s="78"/>
      <c r="AJ199" s="64"/>
      <c r="AK199" s="80"/>
      <c r="AL199" s="64"/>
      <c r="AM199" s="80"/>
      <c r="AN199" s="64"/>
      <c r="AO199" s="80"/>
      <c r="AP199" s="64"/>
      <c r="AQ199" s="80"/>
      <c r="AR199" s="64"/>
      <c r="AS199" s="679" t="s">
        <v>294</v>
      </c>
      <c r="AT199" s="350"/>
      <c r="AU199" s="350"/>
      <c r="AV199" s="350"/>
      <c r="AW199" s="350"/>
      <c r="AX199" s="350"/>
      <c r="AY199" s="351"/>
      <c r="AZ199" s="81"/>
      <c r="BA199" s="81"/>
      <c r="BB199" s="677" t="s">
        <v>325</v>
      </c>
      <c r="BC199" s="351"/>
      <c r="BD199" s="681" t="s">
        <v>294</v>
      </c>
      <c r="BE199" s="350"/>
      <c r="BF199" s="351"/>
      <c r="BG199" s="678" t="s">
        <v>294</v>
      </c>
      <c r="BH199" s="350"/>
      <c r="BI199" s="350"/>
      <c r="BJ199" s="351"/>
      <c r="BK199" s="680"/>
      <c r="BL199" s="350"/>
      <c r="BM199" s="351"/>
      <c r="BN199" s="82"/>
      <c r="BO199" s="82"/>
      <c r="BP199" s="678"/>
      <c r="BQ199" s="350"/>
      <c r="BR199" s="351"/>
      <c r="BS199" s="681" t="s">
        <v>294</v>
      </c>
      <c r="BT199" s="350"/>
      <c r="BU199" s="351"/>
    </row>
    <row r="200" spans="1:73" ht="30" customHeight="1">
      <c r="A200" s="76">
        <f t="shared" si="0"/>
        <v>186</v>
      </c>
      <c r="B200" s="686" t="s">
        <v>325</v>
      </c>
      <c r="C200" s="351"/>
      <c r="D200" s="687" t="s">
        <v>294</v>
      </c>
      <c r="E200" s="350"/>
      <c r="F200" s="350"/>
      <c r="G200" s="351"/>
      <c r="H200" s="688" t="s">
        <v>294</v>
      </c>
      <c r="I200" s="350"/>
      <c r="J200" s="350"/>
      <c r="K200" s="351"/>
      <c r="L200" s="538" t="s">
        <v>294</v>
      </c>
      <c r="M200" s="350"/>
      <c r="N200" s="351"/>
      <c r="O200" s="539" t="s">
        <v>294</v>
      </c>
      <c r="P200" s="350"/>
      <c r="Q200" s="351"/>
      <c r="R200" s="574"/>
      <c r="S200" s="350"/>
      <c r="T200" s="351"/>
      <c r="U200" s="567"/>
      <c r="V200" s="350"/>
      <c r="W200" s="351"/>
      <c r="X200" s="77"/>
      <c r="Y200" s="78"/>
      <c r="Z200" s="77"/>
      <c r="AA200" s="78"/>
      <c r="AB200" s="77"/>
      <c r="AC200" s="78"/>
      <c r="AD200" s="77"/>
      <c r="AE200" s="78"/>
      <c r="AF200" s="77"/>
      <c r="AG200" s="78"/>
      <c r="AH200" s="77"/>
      <c r="AI200" s="78"/>
      <c r="AJ200" s="64"/>
      <c r="AK200" s="80"/>
      <c r="AL200" s="64"/>
      <c r="AM200" s="80"/>
      <c r="AN200" s="64"/>
      <c r="AO200" s="80"/>
      <c r="AP200" s="64"/>
      <c r="AQ200" s="80"/>
      <c r="AR200" s="64"/>
      <c r="AS200" s="679" t="s">
        <v>294</v>
      </c>
      <c r="AT200" s="350"/>
      <c r="AU200" s="350"/>
      <c r="AV200" s="350"/>
      <c r="AW200" s="350"/>
      <c r="AX200" s="350"/>
      <c r="AY200" s="351"/>
      <c r="AZ200" s="81"/>
      <c r="BA200" s="81"/>
      <c r="BB200" s="677" t="s">
        <v>325</v>
      </c>
      <c r="BC200" s="351"/>
      <c r="BD200" s="681" t="s">
        <v>294</v>
      </c>
      <c r="BE200" s="350"/>
      <c r="BF200" s="351"/>
      <c r="BG200" s="678" t="s">
        <v>294</v>
      </c>
      <c r="BH200" s="350"/>
      <c r="BI200" s="350"/>
      <c r="BJ200" s="351"/>
      <c r="BK200" s="680"/>
      <c r="BL200" s="350"/>
      <c r="BM200" s="351"/>
      <c r="BN200" s="82"/>
      <c r="BO200" s="82"/>
      <c r="BP200" s="678"/>
      <c r="BQ200" s="350"/>
      <c r="BR200" s="351"/>
      <c r="BS200" s="681" t="s">
        <v>294</v>
      </c>
      <c r="BT200" s="350"/>
      <c r="BU200" s="351"/>
    </row>
    <row r="201" spans="1:73" ht="30" customHeight="1">
      <c r="A201" s="76">
        <f t="shared" si="0"/>
        <v>187</v>
      </c>
      <c r="B201" s="686" t="s">
        <v>325</v>
      </c>
      <c r="C201" s="351"/>
      <c r="D201" s="687" t="s">
        <v>294</v>
      </c>
      <c r="E201" s="350"/>
      <c r="F201" s="350"/>
      <c r="G201" s="351"/>
      <c r="H201" s="688" t="s">
        <v>294</v>
      </c>
      <c r="I201" s="350"/>
      <c r="J201" s="350"/>
      <c r="K201" s="351"/>
      <c r="L201" s="538" t="s">
        <v>294</v>
      </c>
      <c r="M201" s="350"/>
      <c r="N201" s="351"/>
      <c r="O201" s="539" t="s">
        <v>294</v>
      </c>
      <c r="P201" s="350"/>
      <c r="Q201" s="351"/>
      <c r="R201" s="574"/>
      <c r="S201" s="350"/>
      <c r="T201" s="351"/>
      <c r="U201" s="567"/>
      <c r="V201" s="350"/>
      <c r="W201" s="351"/>
      <c r="X201" s="77"/>
      <c r="Y201" s="78"/>
      <c r="Z201" s="77"/>
      <c r="AA201" s="78"/>
      <c r="AB201" s="77"/>
      <c r="AC201" s="78"/>
      <c r="AD201" s="77"/>
      <c r="AE201" s="78"/>
      <c r="AF201" s="77"/>
      <c r="AG201" s="78"/>
      <c r="AH201" s="77"/>
      <c r="AI201" s="78"/>
      <c r="AJ201" s="64"/>
      <c r="AK201" s="80"/>
      <c r="AL201" s="64"/>
      <c r="AM201" s="80"/>
      <c r="AN201" s="64"/>
      <c r="AO201" s="80"/>
      <c r="AP201" s="64"/>
      <c r="AQ201" s="80"/>
      <c r="AR201" s="64"/>
      <c r="AS201" s="679" t="s">
        <v>294</v>
      </c>
      <c r="AT201" s="350"/>
      <c r="AU201" s="350"/>
      <c r="AV201" s="350"/>
      <c r="AW201" s="350"/>
      <c r="AX201" s="350"/>
      <c r="AY201" s="351"/>
      <c r="AZ201" s="81"/>
      <c r="BA201" s="81"/>
      <c r="BB201" s="677" t="s">
        <v>325</v>
      </c>
      <c r="BC201" s="351"/>
      <c r="BD201" s="681" t="s">
        <v>294</v>
      </c>
      <c r="BE201" s="350"/>
      <c r="BF201" s="351"/>
      <c r="BG201" s="678" t="s">
        <v>294</v>
      </c>
      <c r="BH201" s="350"/>
      <c r="BI201" s="350"/>
      <c r="BJ201" s="351"/>
      <c r="BK201" s="680"/>
      <c r="BL201" s="350"/>
      <c r="BM201" s="351"/>
      <c r="BN201" s="82"/>
      <c r="BO201" s="82"/>
      <c r="BP201" s="678"/>
      <c r="BQ201" s="350"/>
      <c r="BR201" s="351"/>
      <c r="BS201" s="681" t="s">
        <v>294</v>
      </c>
      <c r="BT201" s="350"/>
      <c r="BU201" s="351"/>
    </row>
    <row r="202" spans="1:73" ht="30" customHeight="1">
      <c r="A202" s="76">
        <f t="shared" si="0"/>
        <v>188</v>
      </c>
      <c r="B202" s="686" t="s">
        <v>325</v>
      </c>
      <c r="C202" s="351"/>
      <c r="D202" s="687" t="s">
        <v>294</v>
      </c>
      <c r="E202" s="350"/>
      <c r="F202" s="350"/>
      <c r="G202" s="351"/>
      <c r="H202" s="688" t="s">
        <v>294</v>
      </c>
      <c r="I202" s="350"/>
      <c r="J202" s="350"/>
      <c r="K202" s="351"/>
      <c r="L202" s="538" t="s">
        <v>294</v>
      </c>
      <c r="M202" s="350"/>
      <c r="N202" s="351"/>
      <c r="O202" s="539" t="s">
        <v>294</v>
      </c>
      <c r="P202" s="350"/>
      <c r="Q202" s="351"/>
      <c r="R202" s="574"/>
      <c r="S202" s="350"/>
      <c r="T202" s="351"/>
      <c r="U202" s="567"/>
      <c r="V202" s="350"/>
      <c r="W202" s="351"/>
      <c r="X202" s="77"/>
      <c r="Y202" s="78"/>
      <c r="Z202" s="77"/>
      <c r="AA202" s="78"/>
      <c r="AB202" s="77"/>
      <c r="AC202" s="78"/>
      <c r="AD202" s="77"/>
      <c r="AE202" s="78"/>
      <c r="AF202" s="77"/>
      <c r="AG202" s="78"/>
      <c r="AH202" s="77"/>
      <c r="AI202" s="78"/>
      <c r="AJ202" s="64"/>
      <c r="AK202" s="80"/>
      <c r="AL202" s="64"/>
      <c r="AM202" s="80"/>
      <c r="AN202" s="64"/>
      <c r="AO202" s="80"/>
      <c r="AP202" s="64"/>
      <c r="AQ202" s="80"/>
      <c r="AR202" s="64"/>
      <c r="AS202" s="679" t="s">
        <v>294</v>
      </c>
      <c r="AT202" s="350"/>
      <c r="AU202" s="350"/>
      <c r="AV202" s="350"/>
      <c r="AW202" s="350"/>
      <c r="AX202" s="350"/>
      <c r="AY202" s="351"/>
      <c r="AZ202" s="81"/>
      <c r="BA202" s="81"/>
      <c r="BB202" s="677" t="s">
        <v>325</v>
      </c>
      <c r="BC202" s="351"/>
      <c r="BD202" s="681" t="s">
        <v>294</v>
      </c>
      <c r="BE202" s="350"/>
      <c r="BF202" s="351"/>
      <c r="BG202" s="678" t="s">
        <v>294</v>
      </c>
      <c r="BH202" s="350"/>
      <c r="BI202" s="350"/>
      <c r="BJ202" s="351"/>
      <c r="BK202" s="680"/>
      <c r="BL202" s="350"/>
      <c r="BM202" s="351"/>
      <c r="BN202" s="82"/>
      <c r="BO202" s="82"/>
      <c r="BP202" s="678"/>
      <c r="BQ202" s="350"/>
      <c r="BR202" s="351"/>
      <c r="BS202" s="681" t="s">
        <v>294</v>
      </c>
      <c r="BT202" s="350"/>
      <c r="BU202" s="351"/>
    </row>
    <row r="203" spans="1:73" ht="30" customHeight="1">
      <c r="A203" s="76">
        <f t="shared" si="0"/>
        <v>189</v>
      </c>
      <c r="B203" s="686" t="s">
        <v>325</v>
      </c>
      <c r="C203" s="351"/>
      <c r="D203" s="687" t="s">
        <v>294</v>
      </c>
      <c r="E203" s="350"/>
      <c r="F203" s="350"/>
      <c r="G203" s="351"/>
      <c r="H203" s="688" t="s">
        <v>294</v>
      </c>
      <c r="I203" s="350"/>
      <c r="J203" s="350"/>
      <c r="K203" s="351"/>
      <c r="L203" s="538" t="s">
        <v>294</v>
      </c>
      <c r="M203" s="350"/>
      <c r="N203" s="351"/>
      <c r="O203" s="539" t="s">
        <v>294</v>
      </c>
      <c r="P203" s="350"/>
      <c r="Q203" s="351"/>
      <c r="R203" s="574"/>
      <c r="S203" s="350"/>
      <c r="T203" s="351"/>
      <c r="U203" s="567"/>
      <c r="V203" s="350"/>
      <c r="W203" s="351"/>
      <c r="X203" s="77"/>
      <c r="Y203" s="78"/>
      <c r="Z203" s="77"/>
      <c r="AA203" s="78"/>
      <c r="AB203" s="77"/>
      <c r="AC203" s="78"/>
      <c r="AD203" s="77"/>
      <c r="AE203" s="78"/>
      <c r="AF203" s="77"/>
      <c r="AG203" s="78"/>
      <c r="AH203" s="77"/>
      <c r="AI203" s="78"/>
      <c r="AJ203" s="64"/>
      <c r="AK203" s="80"/>
      <c r="AL203" s="64"/>
      <c r="AM203" s="80"/>
      <c r="AN203" s="64"/>
      <c r="AO203" s="80"/>
      <c r="AP203" s="64"/>
      <c r="AQ203" s="80"/>
      <c r="AR203" s="64"/>
      <c r="AS203" s="679" t="s">
        <v>294</v>
      </c>
      <c r="AT203" s="350"/>
      <c r="AU203" s="350"/>
      <c r="AV203" s="350"/>
      <c r="AW203" s="350"/>
      <c r="AX203" s="350"/>
      <c r="AY203" s="351"/>
      <c r="AZ203" s="81"/>
      <c r="BA203" s="81"/>
      <c r="BB203" s="677" t="s">
        <v>325</v>
      </c>
      <c r="BC203" s="351"/>
      <c r="BD203" s="681" t="s">
        <v>294</v>
      </c>
      <c r="BE203" s="350"/>
      <c r="BF203" s="351"/>
      <c r="BG203" s="678" t="s">
        <v>294</v>
      </c>
      <c r="BH203" s="350"/>
      <c r="BI203" s="350"/>
      <c r="BJ203" s="351"/>
      <c r="BK203" s="680"/>
      <c r="BL203" s="350"/>
      <c r="BM203" s="351"/>
      <c r="BN203" s="82"/>
      <c r="BO203" s="82"/>
      <c r="BP203" s="678"/>
      <c r="BQ203" s="350"/>
      <c r="BR203" s="351"/>
      <c r="BS203" s="681" t="s">
        <v>294</v>
      </c>
      <c r="BT203" s="350"/>
      <c r="BU203" s="351"/>
    </row>
    <row r="204" spans="1:73" ht="30" customHeight="1">
      <c r="A204" s="76">
        <f t="shared" si="0"/>
        <v>190</v>
      </c>
      <c r="B204" s="686" t="s">
        <v>325</v>
      </c>
      <c r="C204" s="351"/>
      <c r="D204" s="687" t="s">
        <v>294</v>
      </c>
      <c r="E204" s="350"/>
      <c r="F204" s="350"/>
      <c r="G204" s="351"/>
      <c r="H204" s="688" t="s">
        <v>294</v>
      </c>
      <c r="I204" s="350"/>
      <c r="J204" s="350"/>
      <c r="K204" s="351"/>
      <c r="L204" s="538" t="s">
        <v>294</v>
      </c>
      <c r="M204" s="350"/>
      <c r="N204" s="351"/>
      <c r="O204" s="539" t="s">
        <v>294</v>
      </c>
      <c r="P204" s="350"/>
      <c r="Q204" s="351"/>
      <c r="R204" s="574"/>
      <c r="S204" s="350"/>
      <c r="T204" s="351"/>
      <c r="U204" s="567"/>
      <c r="V204" s="350"/>
      <c r="W204" s="351"/>
      <c r="X204" s="77"/>
      <c r="Y204" s="78"/>
      <c r="Z204" s="77"/>
      <c r="AA204" s="78"/>
      <c r="AB204" s="77"/>
      <c r="AC204" s="78"/>
      <c r="AD204" s="77"/>
      <c r="AE204" s="78"/>
      <c r="AF204" s="77"/>
      <c r="AG204" s="78"/>
      <c r="AH204" s="77"/>
      <c r="AI204" s="78"/>
      <c r="AJ204" s="64"/>
      <c r="AK204" s="80"/>
      <c r="AL204" s="64"/>
      <c r="AM204" s="80"/>
      <c r="AN204" s="64"/>
      <c r="AO204" s="80"/>
      <c r="AP204" s="64"/>
      <c r="AQ204" s="80"/>
      <c r="AR204" s="64"/>
      <c r="AS204" s="679" t="s">
        <v>294</v>
      </c>
      <c r="AT204" s="350"/>
      <c r="AU204" s="350"/>
      <c r="AV204" s="350"/>
      <c r="AW204" s="350"/>
      <c r="AX204" s="350"/>
      <c r="AY204" s="351"/>
      <c r="AZ204" s="81"/>
      <c r="BA204" s="81"/>
      <c r="BB204" s="685" t="s">
        <v>325</v>
      </c>
      <c r="BC204" s="351"/>
      <c r="BD204" s="681" t="s">
        <v>294</v>
      </c>
      <c r="BE204" s="350"/>
      <c r="BF204" s="351"/>
      <c r="BG204" s="678" t="s">
        <v>294</v>
      </c>
      <c r="BH204" s="350"/>
      <c r="BI204" s="350"/>
      <c r="BJ204" s="351"/>
      <c r="BK204" s="680"/>
      <c r="BL204" s="350"/>
      <c r="BM204" s="351"/>
      <c r="BN204" s="82"/>
      <c r="BO204" s="82"/>
      <c r="BP204" s="678"/>
      <c r="BQ204" s="350"/>
      <c r="BR204" s="351"/>
      <c r="BS204" s="681" t="s">
        <v>294</v>
      </c>
      <c r="BT204" s="350"/>
      <c r="BU204" s="351"/>
    </row>
    <row r="205" spans="1:73" ht="30" customHeight="1">
      <c r="A205" s="76">
        <f t="shared" si="0"/>
        <v>191</v>
      </c>
      <c r="B205" s="686" t="s">
        <v>325</v>
      </c>
      <c r="C205" s="351"/>
      <c r="D205" s="687" t="s">
        <v>294</v>
      </c>
      <c r="E205" s="350"/>
      <c r="F205" s="350"/>
      <c r="G205" s="351"/>
      <c r="H205" s="688" t="s">
        <v>294</v>
      </c>
      <c r="I205" s="350"/>
      <c r="J205" s="350"/>
      <c r="K205" s="351"/>
      <c r="L205" s="538" t="s">
        <v>294</v>
      </c>
      <c r="M205" s="350"/>
      <c r="N205" s="351"/>
      <c r="O205" s="539" t="s">
        <v>294</v>
      </c>
      <c r="P205" s="350"/>
      <c r="Q205" s="351"/>
      <c r="R205" s="574"/>
      <c r="S205" s="350"/>
      <c r="T205" s="351"/>
      <c r="U205" s="567"/>
      <c r="V205" s="350"/>
      <c r="W205" s="351"/>
      <c r="X205" s="77"/>
      <c r="Y205" s="78"/>
      <c r="Z205" s="77"/>
      <c r="AA205" s="78"/>
      <c r="AB205" s="77"/>
      <c r="AC205" s="78"/>
      <c r="AD205" s="77"/>
      <c r="AE205" s="78"/>
      <c r="AF205" s="77"/>
      <c r="AG205" s="78"/>
      <c r="AH205" s="77"/>
      <c r="AI205" s="78"/>
      <c r="AJ205" s="64"/>
      <c r="AK205" s="80"/>
      <c r="AL205" s="64"/>
      <c r="AM205" s="80"/>
      <c r="AN205" s="64"/>
      <c r="AO205" s="80"/>
      <c r="AP205" s="64"/>
      <c r="AQ205" s="80"/>
      <c r="AR205" s="64"/>
      <c r="AS205" s="679" t="s">
        <v>294</v>
      </c>
      <c r="AT205" s="350"/>
      <c r="AU205" s="350"/>
      <c r="AV205" s="350"/>
      <c r="AW205" s="350"/>
      <c r="AX205" s="350"/>
      <c r="AY205" s="351"/>
      <c r="AZ205" s="81"/>
      <c r="BA205" s="81"/>
      <c r="BB205" s="677" t="s">
        <v>325</v>
      </c>
      <c r="BC205" s="351"/>
      <c r="BD205" s="681" t="s">
        <v>294</v>
      </c>
      <c r="BE205" s="350"/>
      <c r="BF205" s="351"/>
      <c r="BG205" s="678" t="s">
        <v>294</v>
      </c>
      <c r="BH205" s="350"/>
      <c r="BI205" s="350"/>
      <c r="BJ205" s="351"/>
      <c r="BK205" s="680"/>
      <c r="BL205" s="350"/>
      <c r="BM205" s="351"/>
      <c r="BN205" s="82"/>
      <c r="BO205" s="82"/>
      <c r="BP205" s="678"/>
      <c r="BQ205" s="350"/>
      <c r="BR205" s="351"/>
      <c r="BS205" s="681" t="s">
        <v>294</v>
      </c>
      <c r="BT205" s="350"/>
      <c r="BU205" s="351"/>
    </row>
    <row r="206" spans="1:73" ht="30" customHeight="1">
      <c r="A206" s="76">
        <f t="shared" si="0"/>
        <v>192</v>
      </c>
      <c r="B206" s="686" t="s">
        <v>325</v>
      </c>
      <c r="C206" s="351"/>
      <c r="D206" s="687" t="s">
        <v>294</v>
      </c>
      <c r="E206" s="350"/>
      <c r="F206" s="350"/>
      <c r="G206" s="351"/>
      <c r="H206" s="688" t="s">
        <v>294</v>
      </c>
      <c r="I206" s="350"/>
      <c r="J206" s="350"/>
      <c r="K206" s="351"/>
      <c r="L206" s="538" t="s">
        <v>294</v>
      </c>
      <c r="M206" s="350"/>
      <c r="N206" s="351"/>
      <c r="O206" s="539" t="s">
        <v>294</v>
      </c>
      <c r="P206" s="350"/>
      <c r="Q206" s="351"/>
      <c r="R206" s="574"/>
      <c r="S206" s="350"/>
      <c r="T206" s="351"/>
      <c r="U206" s="567"/>
      <c r="V206" s="350"/>
      <c r="W206" s="351"/>
      <c r="X206" s="77"/>
      <c r="Y206" s="78"/>
      <c r="Z206" s="77"/>
      <c r="AA206" s="78"/>
      <c r="AB206" s="77"/>
      <c r="AC206" s="78"/>
      <c r="AD206" s="77"/>
      <c r="AE206" s="78"/>
      <c r="AF206" s="77"/>
      <c r="AG206" s="78"/>
      <c r="AH206" s="77"/>
      <c r="AI206" s="78"/>
      <c r="AJ206" s="64"/>
      <c r="AK206" s="80"/>
      <c r="AL206" s="64"/>
      <c r="AM206" s="80"/>
      <c r="AN206" s="64"/>
      <c r="AO206" s="80"/>
      <c r="AP206" s="64"/>
      <c r="AQ206" s="80"/>
      <c r="AR206" s="64"/>
      <c r="AS206" s="679" t="s">
        <v>294</v>
      </c>
      <c r="AT206" s="350"/>
      <c r="AU206" s="350"/>
      <c r="AV206" s="350"/>
      <c r="AW206" s="350"/>
      <c r="AX206" s="350"/>
      <c r="AY206" s="351"/>
      <c r="AZ206" s="81"/>
      <c r="BA206" s="81"/>
      <c r="BB206" s="677" t="s">
        <v>325</v>
      </c>
      <c r="BC206" s="351"/>
      <c r="BD206" s="681" t="s">
        <v>294</v>
      </c>
      <c r="BE206" s="350"/>
      <c r="BF206" s="351"/>
      <c r="BG206" s="678" t="s">
        <v>294</v>
      </c>
      <c r="BH206" s="350"/>
      <c r="BI206" s="350"/>
      <c r="BJ206" s="351"/>
      <c r="BK206" s="680"/>
      <c r="BL206" s="350"/>
      <c r="BM206" s="351"/>
      <c r="BN206" s="82"/>
      <c r="BO206" s="82"/>
      <c r="BP206" s="678"/>
      <c r="BQ206" s="350"/>
      <c r="BR206" s="351"/>
      <c r="BS206" s="681" t="s">
        <v>294</v>
      </c>
      <c r="BT206" s="350"/>
      <c r="BU206" s="351"/>
    </row>
    <row r="207" spans="1:73" ht="30" customHeight="1">
      <c r="A207" s="76">
        <f t="shared" si="0"/>
        <v>193</v>
      </c>
      <c r="B207" s="686" t="s">
        <v>325</v>
      </c>
      <c r="C207" s="351"/>
      <c r="D207" s="687" t="s">
        <v>294</v>
      </c>
      <c r="E207" s="350"/>
      <c r="F207" s="350"/>
      <c r="G207" s="351"/>
      <c r="H207" s="688" t="s">
        <v>294</v>
      </c>
      <c r="I207" s="350"/>
      <c r="J207" s="350"/>
      <c r="K207" s="351"/>
      <c r="L207" s="538" t="s">
        <v>294</v>
      </c>
      <c r="M207" s="350"/>
      <c r="N207" s="351"/>
      <c r="O207" s="539" t="s">
        <v>294</v>
      </c>
      <c r="P207" s="350"/>
      <c r="Q207" s="351"/>
      <c r="R207" s="574"/>
      <c r="S207" s="350"/>
      <c r="T207" s="351"/>
      <c r="U207" s="567"/>
      <c r="V207" s="350"/>
      <c r="W207" s="351"/>
      <c r="X207" s="77"/>
      <c r="Y207" s="78"/>
      <c r="Z207" s="77"/>
      <c r="AA207" s="78"/>
      <c r="AB207" s="77"/>
      <c r="AC207" s="78"/>
      <c r="AD207" s="77"/>
      <c r="AE207" s="78"/>
      <c r="AF207" s="77"/>
      <c r="AG207" s="78"/>
      <c r="AH207" s="77"/>
      <c r="AI207" s="78"/>
      <c r="AJ207" s="64"/>
      <c r="AK207" s="80"/>
      <c r="AL207" s="64"/>
      <c r="AM207" s="80"/>
      <c r="AN207" s="64"/>
      <c r="AO207" s="80"/>
      <c r="AP207" s="64"/>
      <c r="AQ207" s="80"/>
      <c r="AR207" s="64"/>
      <c r="AS207" s="679" t="s">
        <v>294</v>
      </c>
      <c r="AT207" s="350"/>
      <c r="AU207" s="350"/>
      <c r="AV207" s="350"/>
      <c r="AW207" s="350"/>
      <c r="AX207" s="350"/>
      <c r="AY207" s="351"/>
      <c r="AZ207" s="81"/>
      <c r="BA207" s="81"/>
      <c r="BB207" s="677" t="s">
        <v>325</v>
      </c>
      <c r="BC207" s="351"/>
      <c r="BD207" s="681" t="s">
        <v>294</v>
      </c>
      <c r="BE207" s="350"/>
      <c r="BF207" s="351"/>
      <c r="BG207" s="678" t="s">
        <v>294</v>
      </c>
      <c r="BH207" s="350"/>
      <c r="BI207" s="350"/>
      <c r="BJ207" s="351"/>
      <c r="BK207" s="680"/>
      <c r="BL207" s="350"/>
      <c r="BM207" s="351"/>
      <c r="BN207" s="82"/>
      <c r="BO207" s="82"/>
      <c r="BP207" s="678"/>
      <c r="BQ207" s="350"/>
      <c r="BR207" s="351"/>
      <c r="BS207" s="681" t="s">
        <v>294</v>
      </c>
      <c r="BT207" s="350"/>
      <c r="BU207" s="351"/>
    </row>
    <row r="208" spans="1:73" ht="30" customHeight="1">
      <c r="A208" s="76">
        <f t="shared" si="0"/>
        <v>194</v>
      </c>
      <c r="B208" s="686" t="s">
        <v>325</v>
      </c>
      <c r="C208" s="351"/>
      <c r="D208" s="687" t="s">
        <v>294</v>
      </c>
      <c r="E208" s="350"/>
      <c r="F208" s="350"/>
      <c r="G208" s="351"/>
      <c r="H208" s="688" t="s">
        <v>294</v>
      </c>
      <c r="I208" s="350"/>
      <c r="J208" s="350"/>
      <c r="K208" s="351"/>
      <c r="L208" s="538" t="s">
        <v>294</v>
      </c>
      <c r="M208" s="350"/>
      <c r="N208" s="351"/>
      <c r="O208" s="539" t="s">
        <v>294</v>
      </c>
      <c r="P208" s="350"/>
      <c r="Q208" s="351"/>
      <c r="R208" s="574"/>
      <c r="S208" s="350"/>
      <c r="T208" s="351"/>
      <c r="U208" s="567"/>
      <c r="V208" s="350"/>
      <c r="W208" s="351"/>
      <c r="X208" s="77"/>
      <c r="Y208" s="78"/>
      <c r="Z208" s="77"/>
      <c r="AA208" s="78"/>
      <c r="AB208" s="77"/>
      <c r="AC208" s="78"/>
      <c r="AD208" s="77"/>
      <c r="AE208" s="78"/>
      <c r="AF208" s="77"/>
      <c r="AG208" s="78"/>
      <c r="AH208" s="77"/>
      <c r="AI208" s="78"/>
      <c r="AJ208" s="64"/>
      <c r="AK208" s="80"/>
      <c r="AL208" s="64"/>
      <c r="AM208" s="80"/>
      <c r="AN208" s="64"/>
      <c r="AO208" s="80"/>
      <c r="AP208" s="64"/>
      <c r="AQ208" s="80"/>
      <c r="AR208" s="64"/>
      <c r="AS208" s="679" t="s">
        <v>294</v>
      </c>
      <c r="AT208" s="350"/>
      <c r="AU208" s="350"/>
      <c r="AV208" s="350"/>
      <c r="AW208" s="350"/>
      <c r="AX208" s="350"/>
      <c r="AY208" s="351"/>
      <c r="AZ208" s="81"/>
      <c r="BA208" s="81"/>
      <c r="BB208" s="677" t="s">
        <v>325</v>
      </c>
      <c r="BC208" s="351"/>
      <c r="BD208" s="681" t="s">
        <v>294</v>
      </c>
      <c r="BE208" s="350"/>
      <c r="BF208" s="351"/>
      <c r="BG208" s="678" t="s">
        <v>294</v>
      </c>
      <c r="BH208" s="350"/>
      <c r="BI208" s="350"/>
      <c r="BJ208" s="351"/>
      <c r="BK208" s="680"/>
      <c r="BL208" s="350"/>
      <c r="BM208" s="351"/>
      <c r="BN208" s="82"/>
      <c r="BO208" s="82"/>
      <c r="BP208" s="678"/>
      <c r="BQ208" s="350"/>
      <c r="BR208" s="351"/>
      <c r="BS208" s="681" t="s">
        <v>294</v>
      </c>
      <c r="BT208" s="350"/>
      <c r="BU208" s="351"/>
    </row>
    <row r="209" spans="1:73" ht="30" customHeight="1">
      <c r="A209" s="76">
        <f t="shared" si="0"/>
        <v>195</v>
      </c>
      <c r="B209" s="686" t="s">
        <v>325</v>
      </c>
      <c r="C209" s="351"/>
      <c r="D209" s="687" t="s">
        <v>294</v>
      </c>
      <c r="E209" s="350"/>
      <c r="F209" s="350"/>
      <c r="G209" s="351"/>
      <c r="H209" s="688" t="s">
        <v>294</v>
      </c>
      <c r="I209" s="350"/>
      <c r="J209" s="350"/>
      <c r="K209" s="351"/>
      <c r="L209" s="538" t="s">
        <v>294</v>
      </c>
      <c r="M209" s="350"/>
      <c r="N209" s="351"/>
      <c r="O209" s="539" t="s">
        <v>294</v>
      </c>
      <c r="P209" s="350"/>
      <c r="Q209" s="351"/>
      <c r="R209" s="574"/>
      <c r="S209" s="350"/>
      <c r="T209" s="351"/>
      <c r="U209" s="567"/>
      <c r="V209" s="350"/>
      <c r="W209" s="351"/>
      <c r="X209" s="77"/>
      <c r="Y209" s="78"/>
      <c r="Z209" s="77"/>
      <c r="AA209" s="78"/>
      <c r="AB209" s="77"/>
      <c r="AC209" s="78"/>
      <c r="AD209" s="77"/>
      <c r="AE209" s="78"/>
      <c r="AF209" s="77"/>
      <c r="AG209" s="78"/>
      <c r="AH209" s="77"/>
      <c r="AI209" s="78"/>
      <c r="AJ209" s="64"/>
      <c r="AK209" s="80"/>
      <c r="AL209" s="64"/>
      <c r="AM209" s="80"/>
      <c r="AN209" s="64"/>
      <c r="AO209" s="80"/>
      <c r="AP209" s="64"/>
      <c r="AQ209" s="80"/>
      <c r="AR209" s="64"/>
      <c r="AS209" s="679" t="s">
        <v>294</v>
      </c>
      <c r="AT209" s="350"/>
      <c r="AU209" s="350"/>
      <c r="AV209" s="350"/>
      <c r="AW209" s="350"/>
      <c r="AX209" s="350"/>
      <c r="AY209" s="351"/>
      <c r="AZ209" s="81"/>
      <c r="BA209" s="81"/>
      <c r="BB209" s="677" t="s">
        <v>325</v>
      </c>
      <c r="BC209" s="351"/>
      <c r="BD209" s="681" t="s">
        <v>294</v>
      </c>
      <c r="BE209" s="350"/>
      <c r="BF209" s="351"/>
      <c r="BG209" s="678" t="s">
        <v>294</v>
      </c>
      <c r="BH209" s="350"/>
      <c r="BI209" s="350"/>
      <c r="BJ209" s="351"/>
      <c r="BK209" s="680"/>
      <c r="BL209" s="350"/>
      <c r="BM209" s="351"/>
      <c r="BN209" s="82"/>
      <c r="BO209" s="82"/>
      <c r="BP209" s="678"/>
      <c r="BQ209" s="350"/>
      <c r="BR209" s="351"/>
      <c r="BS209" s="681" t="s">
        <v>294</v>
      </c>
      <c r="BT209" s="350"/>
      <c r="BU209" s="351"/>
    </row>
    <row r="210" spans="1:73" ht="30" customHeight="1">
      <c r="A210" s="76">
        <f t="shared" si="0"/>
        <v>196</v>
      </c>
      <c r="B210" s="686" t="s">
        <v>325</v>
      </c>
      <c r="C210" s="351"/>
      <c r="D210" s="687" t="s">
        <v>294</v>
      </c>
      <c r="E210" s="350"/>
      <c r="F210" s="350"/>
      <c r="G210" s="351"/>
      <c r="H210" s="688" t="s">
        <v>294</v>
      </c>
      <c r="I210" s="350"/>
      <c r="J210" s="350"/>
      <c r="K210" s="351"/>
      <c r="L210" s="538" t="s">
        <v>294</v>
      </c>
      <c r="M210" s="350"/>
      <c r="N210" s="351"/>
      <c r="O210" s="539" t="s">
        <v>294</v>
      </c>
      <c r="P210" s="350"/>
      <c r="Q210" s="351"/>
      <c r="R210" s="574"/>
      <c r="S210" s="350"/>
      <c r="T210" s="351"/>
      <c r="U210" s="567"/>
      <c r="V210" s="350"/>
      <c r="W210" s="351"/>
      <c r="X210" s="77"/>
      <c r="Y210" s="78"/>
      <c r="Z210" s="77"/>
      <c r="AA210" s="78"/>
      <c r="AB210" s="77"/>
      <c r="AC210" s="78"/>
      <c r="AD210" s="77"/>
      <c r="AE210" s="78"/>
      <c r="AF210" s="77"/>
      <c r="AG210" s="78"/>
      <c r="AH210" s="77"/>
      <c r="AI210" s="78"/>
      <c r="AJ210" s="64"/>
      <c r="AK210" s="80"/>
      <c r="AL210" s="64"/>
      <c r="AM210" s="80"/>
      <c r="AN210" s="64"/>
      <c r="AO210" s="80"/>
      <c r="AP210" s="64"/>
      <c r="AQ210" s="80"/>
      <c r="AR210" s="64"/>
      <c r="AS210" s="679" t="s">
        <v>294</v>
      </c>
      <c r="AT210" s="350"/>
      <c r="AU210" s="350"/>
      <c r="AV210" s="350"/>
      <c r="AW210" s="350"/>
      <c r="AX210" s="350"/>
      <c r="AY210" s="351"/>
      <c r="AZ210" s="81"/>
      <c r="BA210" s="81"/>
      <c r="BB210" s="677" t="s">
        <v>325</v>
      </c>
      <c r="BC210" s="351"/>
      <c r="BD210" s="681" t="s">
        <v>294</v>
      </c>
      <c r="BE210" s="350"/>
      <c r="BF210" s="351"/>
      <c r="BG210" s="678" t="s">
        <v>294</v>
      </c>
      <c r="BH210" s="350"/>
      <c r="BI210" s="350"/>
      <c r="BJ210" s="351"/>
      <c r="BK210" s="680"/>
      <c r="BL210" s="350"/>
      <c r="BM210" s="351"/>
      <c r="BN210" s="82"/>
      <c r="BO210" s="82"/>
      <c r="BP210" s="678"/>
      <c r="BQ210" s="350"/>
      <c r="BR210" s="351"/>
      <c r="BS210" s="681" t="s">
        <v>294</v>
      </c>
      <c r="BT210" s="350"/>
      <c r="BU210" s="351"/>
    </row>
    <row r="211" spans="1:73" ht="30" customHeight="1">
      <c r="A211" s="76">
        <f t="shared" si="0"/>
        <v>197</v>
      </c>
      <c r="B211" s="686" t="s">
        <v>325</v>
      </c>
      <c r="C211" s="351"/>
      <c r="D211" s="687" t="s">
        <v>294</v>
      </c>
      <c r="E211" s="350"/>
      <c r="F211" s="350"/>
      <c r="G211" s="351"/>
      <c r="H211" s="688" t="s">
        <v>294</v>
      </c>
      <c r="I211" s="350"/>
      <c r="J211" s="350"/>
      <c r="K211" s="351"/>
      <c r="L211" s="538" t="s">
        <v>294</v>
      </c>
      <c r="M211" s="350"/>
      <c r="N211" s="351"/>
      <c r="O211" s="539" t="s">
        <v>294</v>
      </c>
      <c r="P211" s="350"/>
      <c r="Q211" s="351"/>
      <c r="R211" s="574"/>
      <c r="S211" s="350"/>
      <c r="T211" s="351"/>
      <c r="U211" s="567"/>
      <c r="V211" s="350"/>
      <c r="W211" s="351"/>
      <c r="X211" s="77"/>
      <c r="Y211" s="78"/>
      <c r="Z211" s="77"/>
      <c r="AA211" s="78"/>
      <c r="AB211" s="77"/>
      <c r="AC211" s="78"/>
      <c r="AD211" s="77"/>
      <c r="AE211" s="78"/>
      <c r="AF211" s="77"/>
      <c r="AG211" s="78"/>
      <c r="AH211" s="77"/>
      <c r="AI211" s="78"/>
      <c r="AJ211" s="64"/>
      <c r="AK211" s="80"/>
      <c r="AL211" s="64"/>
      <c r="AM211" s="80"/>
      <c r="AN211" s="64"/>
      <c r="AO211" s="80"/>
      <c r="AP211" s="64"/>
      <c r="AQ211" s="80"/>
      <c r="AR211" s="64"/>
      <c r="AS211" s="679" t="s">
        <v>294</v>
      </c>
      <c r="AT211" s="350"/>
      <c r="AU211" s="350"/>
      <c r="AV211" s="350"/>
      <c r="AW211" s="350"/>
      <c r="AX211" s="350"/>
      <c r="AY211" s="351"/>
      <c r="AZ211" s="81"/>
      <c r="BA211" s="81"/>
      <c r="BB211" s="685" t="s">
        <v>325</v>
      </c>
      <c r="BC211" s="351"/>
      <c r="BD211" s="681" t="s">
        <v>294</v>
      </c>
      <c r="BE211" s="350"/>
      <c r="BF211" s="351"/>
      <c r="BG211" s="678" t="s">
        <v>294</v>
      </c>
      <c r="BH211" s="350"/>
      <c r="BI211" s="350"/>
      <c r="BJ211" s="351"/>
      <c r="BK211" s="680"/>
      <c r="BL211" s="350"/>
      <c r="BM211" s="351"/>
      <c r="BN211" s="82"/>
      <c r="BO211" s="82"/>
      <c r="BP211" s="678"/>
      <c r="BQ211" s="350"/>
      <c r="BR211" s="351"/>
      <c r="BS211" s="681" t="s">
        <v>294</v>
      </c>
      <c r="BT211" s="350"/>
      <c r="BU211" s="351"/>
    </row>
    <row r="212" spans="1:73" ht="30" customHeight="1">
      <c r="A212" s="76">
        <f t="shared" si="0"/>
        <v>198</v>
      </c>
      <c r="B212" s="686" t="s">
        <v>325</v>
      </c>
      <c r="C212" s="351"/>
      <c r="D212" s="687" t="s">
        <v>294</v>
      </c>
      <c r="E212" s="350"/>
      <c r="F212" s="350"/>
      <c r="G212" s="351"/>
      <c r="H212" s="688" t="s">
        <v>294</v>
      </c>
      <c r="I212" s="350"/>
      <c r="J212" s="350"/>
      <c r="K212" s="351"/>
      <c r="L212" s="538" t="s">
        <v>294</v>
      </c>
      <c r="M212" s="350"/>
      <c r="N212" s="351"/>
      <c r="O212" s="539" t="s">
        <v>294</v>
      </c>
      <c r="P212" s="350"/>
      <c r="Q212" s="351"/>
      <c r="R212" s="574"/>
      <c r="S212" s="350"/>
      <c r="T212" s="351"/>
      <c r="U212" s="567"/>
      <c r="V212" s="350"/>
      <c r="W212" s="351"/>
      <c r="X212" s="77"/>
      <c r="Y212" s="78"/>
      <c r="Z212" s="77"/>
      <c r="AA212" s="78"/>
      <c r="AB212" s="77"/>
      <c r="AC212" s="78"/>
      <c r="AD212" s="77"/>
      <c r="AE212" s="78"/>
      <c r="AF212" s="77"/>
      <c r="AG212" s="78"/>
      <c r="AH212" s="77"/>
      <c r="AI212" s="78"/>
      <c r="AJ212" s="64"/>
      <c r="AK212" s="80"/>
      <c r="AL212" s="64"/>
      <c r="AM212" s="80"/>
      <c r="AN212" s="64"/>
      <c r="AO212" s="80"/>
      <c r="AP212" s="64"/>
      <c r="AQ212" s="80"/>
      <c r="AR212" s="64"/>
      <c r="AS212" s="679" t="s">
        <v>294</v>
      </c>
      <c r="AT212" s="350"/>
      <c r="AU212" s="350"/>
      <c r="AV212" s="350"/>
      <c r="AW212" s="350"/>
      <c r="AX212" s="350"/>
      <c r="AY212" s="351"/>
      <c r="AZ212" s="81"/>
      <c r="BA212" s="81"/>
      <c r="BB212" s="677" t="s">
        <v>325</v>
      </c>
      <c r="BC212" s="351"/>
      <c r="BD212" s="681" t="s">
        <v>294</v>
      </c>
      <c r="BE212" s="350"/>
      <c r="BF212" s="351"/>
      <c r="BG212" s="678" t="s">
        <v>294</v>
      </c>
      <c r="BH212" s="350"/>
      <c r="BI212" s="350"/>
      <c r="BJ212" s="351"/>
      <c r="BK212" s="680"/>
      <c r="BL212" s="350"/>
      <c r="BM212" s="351"/>
      <c r="BN212" s="82"/>
      <c r="BO212" s="82"/>
      <c r="BP212" s="678"/>
      <c r="BQ212" s="350"/>
      <c r="BR212" s="351"/>
      <c r="BS212" s="681" t="s">
        <v>294</v>
      </c>
      <c r="BT212" s="350"/>
      <c r="BU212" s="351"/>
    </row>
    <row r="213" spans="1:73" ht="30" customHeight="1">
      <c r="A213" s="76">
        <f t="shared" si="0"/>
        <v>199</v>
      </c>
      <c r="B213" s="686" t="s">
        <v>325</v>
      </c>
      <c r="C213" s="351"/>
      <c r="D213" s="687" t="s">
        <v>294</v>
      </c>
      <c r="E213" s="350"/>
      <c r="F213" s="350"/>
      <c r="G213" s="351"/>
      <c r="H213" s="688" t="s">
        <v>294</v>
      </c>
      <c r="I213" s="350"/>
      <c r="J213" s="350"/>
      <c r="K213" s="351"/>
      <c r="L213" s="538" t="s">
        <v>294</v>
      </c>
      <c r="M213" s="350"/>
      <c r="N213" s="351"/>
      <c r="O213" s="539" t="s">
        <v>294</v>
      </c>
      <c r="P213" s="350"/>
      <c r="Q213" s="351"/>
      <c r="R213" s="574"/>
      <c r="S213" s="350"/>
      <c r="T213" s="351"/>
      <c r="U213" s="567"/>
      <c r="V213" s="350"/>
      <c r="W213" s="351"/>
      <c r="X213" s="77"/>
      <c r="Y213" s="78"/>
      <c r="Z213" s="77"/>
      <c r="AA213" s="78"/>
      <c r="AB213" s="77"/>
      <c r="AC213" s="78"/>
      <c r="AD213" s="77"/>
      <c r="AE213" s="78"/>
      <c r="AF213" s="77"/>
      <c r="AG213" s="78"/>
      <c r="AH213" s="77"/>
      <c r="AI213" s="78"/>
      <c r="AJ213" s="64"/>
      <c r="AK213" s="80"/>
      <c r="AL213" s="64"/>
      <c r="AM213" s="80"/>
      <c r="AN213" s="64"/>
      <c r="AO213" s="80"/>
      <c r="AP213" s="64"/>
      <c r="AQ213" s="80"/>
      <c r="AR213" s="64"/>
      <c r="AS213" s="679" t="s">
        <v>294</v>
      </c>
      <c r="AT213" s="350"/>
      <c r="AU213" s="350"/>
      <c r="AV213" s="350"/>
      <c r="AW213" s="350"/>
      <c r="AX213" s="350"/>
      <c r="AY213" s="351"/>
      <c r="AZ213" s="81"/>
      <c r="BA213" s="81"/>
      <c r="BB213" s="677" t="s">
        <v>325</v>
      </c>
      <c r="BC213" s="351"/>
      <c r="BD213" s="681" t="s">
        <v>294</v>
      </c>
      <c r="BE213" s="350"/>
      <c r="BF213" s="351"/>
      <c r="BG213" s="678" t="s">
        <v>294</v>
      </c>
      <c r="BH213" s="350"/>
      <c r="BI213" s="350"/>
      <c r="BJ213" s="351"/>
      <c r="BK213" s="680"/>
      <c r="BL213" s="350"/>
      <c r="BM213" s="351"/>
      <c r="BN213" s="82"/>
      <c r="BO213" s="82"/>
      <c r="BP213" s="678"/>
      <c r="BQ213" s="350"/>
      <c r="BR213" s="351"/>
      <c r="BS213" s="681" t="s">
        <v>294</v>
      </c>
      <c r="BT213" s="350"/>
      <c r="BU213" s="351"/>
    </row>
    <row r="214" spans="1:73" ht="30" customHeight="1">
      <c r="A214" s="76">
        <f t="shared" si="0"/>
        <v>200</v>
      </c>
      <c r="B214" s="686" t="s">
        <v>325</v>
      </c>
      <c r="C214" s="351"/>
      <c r="D214" s="687" t="s">
        <v>294</v>
      </c>
      <c r="E214" s="350"/>
      <c r="F214" s="350"/>
      <c r="G214" s="351"/>
      <c r="H214" s="688" t="s">
        <v>294</v>
      </c>
      <c r="I214" s="350"/>
      <c r="J214" s="350"/>
      <c r="K214" s="351"/>
      <c r="L214" s="538" t="s">
        <v>294</v>
      </c>
      <c r="M214" s="350"/>
      <c r="N214" s="351"/>
      <c r="O214" s="539" t="s">
        <v>294</v>
      </c>
      <c r="P214" s="350"/>
      <c r="Q214" s="351"/>
      <c r="R214" s="574"/>
      <c r="S214" s="350"/>
      <c r="T214" s="351"/>
      <c r="U214" s="567"/>
      <c r="V214" s="350"/>
      <c r="W214" s="351"/>
      <c r="X214" s="77"/>
      <c r="Y214" s="78"/>
      <c r="Z214" s="77"/>
      <c r="AA214" s="78"/>
      <c r="AB214" s="77"/>
      <c r="AC214" s="78"/>
      <c r="AD214" s="77"/>
      <c r="AE214" s="78"/>
      <c r="AF214" s="77"/>
      <c r="AG214" s="78"/>
      <c r="AH214" s="77"/>
      <c r="AI214" s="78"/>
      <c r="AJ214" s="64"/>
      <c r="AK214" s="80"/>
      <c r="AL214" s="64"/>
      <c r="AM214" s="80"/>
      <c r="AN214" s="64"/>
      <c r="AO214" s="80"/>
      <c r="AP214" s="64"/>
      <c r="AQ214" s="80"/>
      <c r="AR214" s="64"/>
      <c r="AS214" s="679" t="s">
        <v>294</v>
      </c>
      <c r="AT214" s="350"/>
      <c r="AU214" s="350"/>
      <c r="AV214" s="350"/>
      <c r="AW214" s="350"/>
      <c r="AX214" s="350"/>
      <c r="AY214" s="351"/>
      <c r="AZ214" s="81"/>
      <c r="BA214" s="81"/>
      <c r="BB214" s="677" t="s">
        <v>325</v>
      </c>
      <c r="BC214" s="351"/>
      <c r="BD214" s="681" t="s">
        <v>294</v>
      </c>
      <c r="BE214" s="350"/>
      <c r="BF214" s="351"/>
      <c r="BG214" s="678" t="s">
        <v>294</v>
      </c>
      <c r="BH214" s="350"/>
      <c r="BI214" s="350"/>
      <c r="BJ214" s="351"/>
      <c r="BK214" s="680"/>
      <c r="BL214" s="350"/>
      <c r="BM214" s="351"/>
      <c r="BN214" s="82"/>
      <c r="BO214" s="82"/>
      <c r="BP214" s="678"/>
      <c r="BQ214" s="350"/>
      <c r="BR214" s="351"/>
      <c r="BS214" s="681" t="s">
        <v>294</v>
      </c>
      <c r="BT214" s="350"/>
      <c r="BU214" s="351"/>
    </row>
    <row r="215" spans="1:73" ht="30" customHeight="1">
      <c r="A215" s="76">
        <f t="shared" si="0"/>
        <v>201</v>
      </c>
      <c r="B215" s="686" t="s">
        <v>325</v>
      </c>
      <c r="C215" s="351"/>
      <c r="D215" s="687" t="s">
        <v>294</v>
      </c>
      <c r="E215" s="350"/>
      <c r="F215" s="350"/>
      <c r="G215" s="351"/>
      <c r="H215" s="688" t="s">
        <v>294</v>
      </c>
      <c r="I215" s="350"/>
      <c r="J215" s="350"/>
      <c r="K215" s="351"/>
      <c r="L215" s="538" t="s">
        <v>294</v>
      </c>
      <c r="M215" s="350"/>
      <c r="N215" s="351"/>
      <c r="O215" s="539" t="s">
        <v>294</v>
      </c>
      <c r="P215" s="350"/>
      <c r="Q215" s="351"/>
      <c r="R215" s="574"/>
      <c r="S215" s="350"/>
      <c r="T215" s="351"/>
      <c r="U215" s="567"/>
      <c r="V215" s="350"/>
      <c r="W215" s="351"/>
      <c r="X215" s="77"/>
      <c r="Y215" s="78"/>
      <c r="Z215" s="77"/>
      <c r="AA215" s="78"/>
      <c r="AB215" s="77"/>
      <c r="AC215" s="78"/>
      <c r="AD215" s="77"/>
      <c r="AE215" s="78"/>
      <c r="AF215" s="77"/>
      <c r="AG215" s="78"/>
      <c r="AH215" s="77"/>
      <c r="AI215" s="78"/>
      <c r="AJ215" s="64"/>
      <c r="AK215" s="80"/>
      <c r="AL215" s="64"/>
      <c r="AM215" s="80"/>
      <c r="AN215" s="64"/>
      <c r="AO215" s="80"/>
      <c r="AP215" s="64"/>
      <c r="AQ215" s="80"/>
      <c r="AR215" s="64"/>
      <c r="AS215" s="679" t="s">
        <v>294</v>
      </c>
      <c r="AT215" s="350"/>
      <c r="AU215" s="350"/>
      <c r="AV215" s="350"/>
      <c r="AW215" s="350"/>
      <c r="AX215" s="350"/>
      <c r="AY215" s="351"/>
      <c r="AZ215" s="81"/>
      <c r="BA215" s="81"/>
      <c r="BB215" s="677" t="s">
        <v>325</v>
      </c>
      <c r="BC215" s="351"/>
      <c r="BD215" s="681" t="s">
        <v>294</v>
      </c>
      <c r="BE215" s="350"/>
      <c r="BF215" s="351"/>
      <c r="BG215" s="678" t="s">
        <v>294</v>
      </c>
      <c r="BH215" s="350"/>
      <c r="BI215" s="350"/>
      <c r="BJ215" s="351"/>
      <c r="BK215" s="680"/>
      <c r="BL215" s="350"/>
      <c r="BM215" s="351"/>
      <c r="BN215" s="82"/>
      <c r="BO215" s="82"/>
      <c r="BP215" s="678"/>
      <c r="BQ215" s="350"/>
      <c r="BR215" s="351"/>
      <c r="BS215" s="681" t="s">
        <v>294</v>
      </c>
      <c r="BT215" s="350"/>
      <c r="BU215" s="351"/>
    </row>
    <row r="216" spans="1:73" ht="30" customHeight="1">
      <c r="A216" s="76">
        <f t="shared" si="0"/>
        <v>202</v>
      </c>
      <c r="B216" s="686" t="s">
        <v>325</v>
      </c>
      <c r="C216" s="351"/>
      <c r="D216" s="687" t="s">
        <v>294</v>
      </c>
      <c r="E216" s="350"/>
      <c r="F216" s="350"/>
      <c r="G216" s="351"/>
      <c r="H216" s="688" t="s">
        <v>294</v>
      </c>
      <c r="I216" s="350"/>
      <c r="J216" s="350"/>
      <c r="K216" s="351"/>
      <c r="L216" s="538" t="s">
        <v>294</v>
      </c>
      <c r="M216" s="350"/>
      <c r="N216" s="351"/>
      <c r="O216" s="539" t="s">
        <v>294</v>
      </c>
      <c r="P216" s="350"/>
      <c r="Q216" s="351"/>
      <c r="R216" s="574"/>
      <c r="S216" s="350"/>
      <c r="T216" s="351"/>
      <c r="U216" s="567"/>
      <c r="V216" s="350"/>
      <c r="W216" s="351"/>
      <c r="X216" s="77"/>
      <c r="Y216" s="78"/>
      <c r="Z216" s="77"/>
      <c r="AA216" s="78"/>
      <c r="AB216" s="77"/>
      <c r="AC216" s="78"/>
      <c r="AD216" s="77"/>
      <c r="AE216" s="78"/>
      <c r="AF216" s="77"/>
      <c r="AG216" s="78"/>
      <c r="AH216" s="77"/>
      <c r="AI216" s="78"/>
      <c r="AJ216" s="64"/>
      <c r="AK216" s="80"/>
      <c r="AL216" s="64"/>
      <c r="AM216" s="80"/>
      <c r="AN216" s="64"/>
      <c r="AO216" s="80"/>
      <c r="AP216" s="64"/>
      <c r="AQ216" s="80"/>
      <c r="AR216" s="64"/>
      <c r="AS216" s="679" t="s">
        <v>294</v>
      </c>
      <c r="AT216" s="350"/>
      <c r="AU216" s="350"/>
      <c r="AV216" s="350"/>
      <c r="AW216" s="350"/>
      <c r="AX216" s="350"/>
      <c r="AY216" s="351"/>
      <c r="AZ216" s="81"/>
      <c r="BA216" s="81"/>
      <c r="BB216" s="677" t="s">
        <v>325</v>
      </c>
      <c r="BC216" s="351"/>
      <c r="BD216" s="681" t="s">
        <v>294</v>
      </c>
      <c r="BE216" s="350"/>
      <c r="BF216" s="351"/>
      <c r="BG216" s="678" t="s">
        <v>294</v>
      </c>
      <c r="BH216" s="350"/>
      <c r="BI216" s="350"/>
      <c r="BJ216" s="351"/>
      <c r="BK216" s="680"/>
      <c r="BL216" s="350"/>
      <c r="BM216" s="351"/>
      <c r="BN216" s="82"/>
      <c r="BO216" s="82"/>
      <c r="BP216" s="678"/>
      <c r="BQ216" s="350"/>
      <c r="BR216" s="351"/>
      <c r="BS216" s="681" t="s">
        <v>294</v>
      </c>
      <c r="BT216" s="350"/>
      <c r="BU216" s="351"/>
    </row>
    <row r="217" spans="1:73" ht="30" customHeight="1">
      <c r="A217" s="76">
        <f t="shared" si="0"/>
        <v>203</v>
      </c>
      <c r="B217" s="686" t="s">
        <v>325</v>
      </c>
      <c r="C217" s="351"/>
      <c r="D217" s="687" t="s">
        <v>294</v>
      </c>
      <c r="E217" s="350"/>
      <c r="F217" s="350"/>
      <c r="G217" s="351"/>
      <c r="H217" s="688" t="s">
        <v>294</v>
      </c>
      <c r="I217" s="350"/>
      <c r="J217" s="350"/>
      <c r="K217" s="351"/>
      <c r="L217" s="538" t="s">
        <v>294</v>
      </c>
      <c r="M217" s="350"/>
      <c r="N217" s="351"/>
      <c r="O217" s="539" t="s">
        <v>294</v>
      </c>
      <c r="P217" s="350"/>
      <c r="Q217" s="351"/>
      <c r="R217" s="574"/>
      <c r="S217" s="350"/>
      <c r="T217" s="351"/>
      <c r="U217" s="567"/>
      <c r="V217" s="350"/>
      <c r="W217" s="351"/>
      <c r="X217" s="77"/>
      <c r="Y217" s="78"/>
      <c r="Z217" s="77"/>
      <c r="AA217" s="78"/>
      <c r="AB217" s="77"/>
      <c r="AC217" s="78"/>
      <c r="AD217" s="77"/>
      <c r="AE217" s="78"/>
      <c r="AF217" s="77"/>
      <c r="AG217" s="78"/>
      <c r="AH217" s="77"/>
      <c r="AI217" s="78"/>
      <c r="AJ217" s="64"/>
      <c r="AK217" s="80"/>
      <c r="AL217" s="64"/>
      <c r="AM217" s="80"/>
      <c r="AN217" s="64"/>
      <c r="AO217" s="80"/>
      <c r="AP217" s="64"/>
      <c r="AQ217" s="80"/>
      <c r="AR217" s="64"/>
      <c r="AS217" s="679" t="s">
        <v>294</v>
      </c>
      <c r="AT217" s="350"/>
      <c r="AU217" s="350"/>
      <c r="AV217" s="350"/>
      <c r="AW217" s="350"/>
      <c r="AX217" s="350"/>
      <c r="AY217" s="351"/>
      <c r="AZ217" s="81"/>
      <c r="BA217" s="81"/>
      <c r="BB217" s="677" t="s">
        <v>325</v>
      </c>
      <c r="BC217" s="351"/>
      <c r="BD217" s="681" t="s">
        <v>294</v>
      </c>
      <c r="BE217" s="350"/>
      <c r="BF217" s="351"/>
      <c r="BG217" s="678" t="s">
        <v>294</v>
      </c>
      <c r="BH217" s="350"/>
      <c r="BI217" s="350"/>
      <c r="BJ217" s="351"/>
      <c r="BK217" s="680"/>
      <c r="BL217" s="350"/>
      <c r="BM217" s="351"/>
      <c r="BN217" s="82"/>
      <c r="BO217" s="82"/>
      <c r="BP217" s="678"/>
      <c r="BQ217" s="350"/>
      <c r="BR217" s="351"/>
      <c r="BS217" s="681" t="s">
        <v>294</v>
      </c>
      <c r="BT217" s="350"/>
      <c r="BU217" s="351"/>
    </row>
    <row r="218" spans="1:73" ht="30" customHeight="1">
      <c r="A218" s="76">
        <f t="shared" si="0"/>
        <v>204</v>
      </c>
      <c r="B218" s="686" t="s">
        <v>325</v>
      </c>
      <c r="C218" s="351"/>
      <c r="D218" s="687" t="s">
        <v>294</v>
      </c>
      <c r="E218" s="350"/>
      <c r="F218" s="350"/>
      <c r="G218" s="351"/>
      <c r="H218" s="688" t="s">
        <v>294</v>
      </c>
      <c r="I218" s="350"/>
      <c r="J218" s="350"/>
      <c r="K218" s="351"/>
      <c r="L218" s="538" t="s">
        <v>294</v>
      </c>
      <c r="M218" s="350"/>
      <c r="N218" s="351"/>
      <c r="O218" s="539" t="s">
        <v>294</v>
      </c>
      <c r="P218" s="350"/>
      <c r="Q218" s="351"/>
      <c r="R218" s="574"/>
      <c r="S218" s="350"/>
      <c r="T218" s="351"/>
      <c r="U218" s="567"/>
      <c r="V218" s="350"/>
      <c r="W218" s="351"/>
      <c r="X218" s="77"/>
      <c r="Y218" s="78"/>
      <c r="Z218" s="77"/>
      <c r="AA218" s="78"/>
      <c r="AB218" s="77"/>
      <c r="AC218" s="78"/>
      <c r="AD218" s="77"/>
      <c r="AE218" s="78"/>
      <c r="AF218" s="77"/>
      <c r="AG218" s="78"/>
      <c r="AH218" s="77"/>
      <c r="AI218" s="78"/>
      <c r="AJ218" s="64"/>
      <c r="AK218" s="80"/>
      <c r="AL218" s="64"/>
      <c r="AM218" s="80"/>
      <c r="AN218" s="64"/>
      <c r="AO218" s="80"/>
      <c r="AP218" s="64"/>
      <c r="AQ218" s="80"/>
      <c r="AR218" s="64"/>
      <c r="AS218" s="679" t="s">
        <v>294</v>
      </c>
      <c r="AT218" s="350"/>
      <c r="AU218" s="350"/>
      <c r="AV218" s="350"/>
      <c r="AW218" s="350"/>
      <c r="AX218" s="350"/>
      <c r="AY218" s="351"/>
      <c r="AZ218" s="81"/>
      <c r="BA218" s="81"/>
      <c r="BB218" s="685" t="s">
        <v>325</v>
      </c>
      <c r="BC218" s="351"/>
      <c r="BD218" s="681" t="s">
        <v>294</v>
      </c>
      <c r="BE218" s="350"/>
      <c r="BF218" s="351"/>
      <c r="BG218" s="678" t="s">
        <v>294</v>
      </c>
      <c r="BH218" s="350"/>
      <c r="BI218" s="350"/>
      <c r="BJ218" s="351"/>
      <c r="BK218" s="680"/>
      <c r="BL218" s="350"/>
      <c r="BM218" s="351"/>
      <c r="BN218" s="82"/>
      <c r="BO218" s="82"/>
      <c r="BP218" s="678"/>
      <c r="BQ218" s="350"/>
      <c r="BR218" s="351"/>
      <c r="BS218" s="681" t="s">
        <v>294</v>
      </c>
      <c r="BT218" s="350"/>
      <c r="BU218" s="351"/>
    </row>
    <row r="219" spans="1:73" ht="30" customHeight="1">
      <c r="A219" s="76">
        <f t="shared" si="0"/>
        <v>205</v>
      </c>
      <c r="B219" s="686" t="s">
        <v>325</v>
      </c>
      <c r="C219" s="351"/>
      <c r="D219" s="687" t="s">
        <v>294</v>
      </c>
      <c r="E219" s="350"/>
      <c r="F219" s="350"/>
      <c r="G219" s="351"/>
      <c r="H219" s="688" t="s">
        <v>294</v>
      </c>
      <c r="I219" s="350"/>
      <c r="J219" s="350"/>
      <c r="K219" s="351"/>
      <c r="L219" s="538" t="s">
        <v>294</v>
      </c>
      <c r="M219" s="350"/>
      <c r="N219" s="351"/>
      <c r="O219" s="539" t="s">
        <v>294</v>
      </c>
      <c r="P219" s="350"/>
      <c r="Q219" s="351"/>
      <c r="R219" s="574"/>
      <c r="S219" s="350"/>
      <c r="T219" s="351"/>
      <c r="U219" s="567"/>
      <c r="V219" s="350"/>
      <c r="W219" s="351"/>
      <c r="X219" s="77"/>
      <c r="Y219" s="78"/>
      <c r="Z219" s="77"/>
      <c r="AA219" s="78"/>
      <c r="AB219" s="77"/>
      <c r="AC219" s="78"/>
      <c r="AD219" s="77"/>
      <c r="AE219" s="78"/>
      <c r="AF219" s="77"/>
      <c r="AG219" s="78"/>
      <c r="AH219" s="77"/>
      <c r="AI219" s="78"/>
      <c r="AJ219" s="64"/>
      <c r="AK219" s="80"/>
      <c r="AL219" s="64"/>
      <c r="AM219" s="80"/>
      <c r="AN219" s="64"/>
      <c r="AO219" s="80"/>
      <c r="AP219" s="64"/>
      <c r="AQ219" s="80"/>
      <c r="AR219" s="64"/>
      <c r="AS219" s="679" t="s">
        <v>294</v>
      </c>
      <c r="AT219" s="350"/>
      <c r="AU219" s="350"/>
      <c r="AV219" s="350"/>
      <c r="AW219" s="350"/>
      <c r="AX219" s="350"/>
      <c r="AY219" s="351"/>
      <c r="AZ219" s="81"/>
      <c r="BA219" s="81"/>
      <c r="BB219" s="677" t="s">
        <v>325</v>
      </c>
      <c r="BC219" s="351"/>
      <c r="BD219" s="681" t="s">
        <v>294</v>
      </c>
      <c r="BE219" s="350"/>
      <c r="BF219" s="351"/>
      <c r="BG219" s="678" t="s">
        <v>294</v>
      </c>
      <c r="BH219" s="350"/>
      <c r="BI219" s="350"/>
      <c r="BJ219" s="351"/>
      <c r="BK219" s="680"/>
      <c r="BL219" s="350"/>
      <c r="BM219" s="351"/>
      <c r="BN219" s="82"/>
      <c r="BO219" s="82"/>
      <c r="BP219" s="678"/>
      <c r="BQ219" s="350"/>
      <c r="BR219" s="351"/>
      <c r="BS219" s="681" t="s">
        <v>294</v>
      </c>
      <c r="BT219" s="350"/>
      <c r="BU219" s="351"/>
    </row>
    <row r="220" spans="1:73" ht="30" customHeight="1">
      <c r="A220" s="76">
        <f t="shared" si="0"/>
        <v>206</v>
      </c>
      <c r="B220" s="686" t="s">
        <v>325</v>
      </c>
      <c r="C220" s="351"/>
      <c r="D220" s="687" t="s">
        <v>294</v>
      </c>
      <c r="E220" s="350"/>
      <c r="F220" s="350"/>
      <c r="G220" s="351"/>
      <c r="H220" s="688" t="s">
        <v>294</v>
      </c>
      <c r="I220" s="350"/>
      <c r="J220" s="350"/>
      <c r="K220" s="351"/>
      <c r="L220" s="538" t="s">
        <v>294</v>
      </c>
      <c r="M220" s="350"/>
      <c r="N220" s="351"/>
      <c r="O220" s="539" t="s">
        <v>294</v>
      </c>
      <c r="P220" s="350"/>
      <c r="Q220" s="351"/>
      <c r="R220" s="574"/>
      <c r="S220" s="350"/>
      <c r="T220" s="351"/>
      <c r="U220" s="567"/>
      <c r="V220" s="350"/>
      <c r="W220" s="351"/>
      <c r="X220" s="77"/>
      <c r="Y220" s="78"/>
      <c r="Z220" s="77"/>
      <c r="AA220" s="78"/>
      <c r="AB220" s="77"/>
      <c r="AC220" s="78"/>
      <c r="AD220" s="77"/>
      <c r="AE220" s="78"/>
      <c r="AF220" s="77"/>
      <c r="AG220" s="78"/>
      <c r="AH220" s="77"/>
      <c r="AI220" s="78"/>
      <c r="AJ220" s="64"/>
      <c r="AK220" s="80"/>
      <c r="AL220" s="64"/>
      <c r="AM220" s="80"/>
      <c r="AN220" s="64"/>
      <c r="AO220" s="80"/>
      <c r="AP220" s="64"/>
      <c r="AQ220" s="80"/>
      <c r="AR220" s="64"/>
      <c r="AS220" s="679" t="s">
        <v>294</v>
      </c>
      <c r="AT220" s="350"/>
      <c r="AU220" s="350"/>
      <c r="AV220" s="350"/>
      <c r="AW220" s="350"/>
      <c r="AX220" s="350"/>
      <c r="AY220" s="351"/>
      <c r="AZ220" s="81"/>
      <c r="BA220" s="81"/>
      <c r="BB220" s="677" t="s">
        <v>325</v>
      </c>
      <c r="BC220" s="351"/>
      <c r="BD220" s="681" t="s">
        <v>294</v>
      </c>
      <c r="BE220" s="350"/>
      <c r="BF220" s="351"/>
      <c r="BG220" s="678" t="s">
        <v>294</v>
      </c>
      <c r="BH220" s="350"/>
      <c r="BI220" s="350"/>
      <c r="BJ220" s="351"/>
      <c r="BK220" s="680"/>
      <c r="BL220" s="350"/>
      <c r="BM220" s="351"/>
      <c r="BN220" s="82"/>
      <c r="BO220" s="82"/>
      <c r="BP220" s="678"/>
      <c r="BQ220" s="350"/>
      <c r="BR220" s="351"/>
      <c r="BS220" s="681" t="s">
        <v>294</v>
      </c>
      <c r="BT220" s="350"/>
      <c r="BU220" s="351"/>
    </row>
    <row r="221" spans="1:73" ht="30" customHeight="1">
      <c r="A221" s="76">
        <f t="shared" si="0"/>
        <v>207</v>
      </c>
      <c r="B221" s="686" t="s">
        <v>325</v>
      </c>
      <c r="C221" s="351"/>
      <c r="D221" s="687" t="s">
        <v>294</v>
      </c>
      <c r="E221" s="350"/>
      <c r="F221" s="350"/>
      <c r="G221" s="351"/>
      <c r="H221" s="688" t="s">
        <v>294</v>
      </c>
      <c r="I221" s="350"/>
      <c r="J221" s="350"/>
      <c r="K221" s="351"/>
      <c r="L221" s="538" t="s">
        <v>294</v>
      </c>
      <c r="M221" s="350"/>
      <c r="N221" s="351"/>
      <c r="O221" s="539" t="s">
        <v>294</v>
      </c>
      <c r="P221" s="350"/>
      <c r="Q221" s="351"/>
      <c r="R221" s="574"/>
      <c r="S221" s="350"/>
      <c r="T221" s="351"/>
      <c r="U221" s="567"/>
      <c r="V221" s="350"/>
      <c r="W221" s="351"/>
      <c r="X221" s="77"/>
      <c r="Y221" s="78"/>
      <c r="Z221" s="77"/>
      <c r="AA221" s="78"/>
      <c r="AB221" s="77"/>
      <c r="AC221" s="78"/>
      <c r="AD221" s="77"/>
      <c r="AE221" s="78"/>
      <c r="AF221" s="77"/>
      <c r="AG221" s="78"/>
      <c r="AH221" s="77"/>
      <c r="AI221" s="78"/>
      <c r="AJ221" s="64"/>
      <c r="AK221" s="80"/>
      <c r="AL221" s="64"/>
      <c r="AM221" s="80"/>
      <c r="AN221" s="64"/>
      <c r="AO221" s="80"/>
      <c r="AP221" s="64"/>
      <c r="AQ221" s="80"/>
      <c r="AR221" s="64"/>
      <c r="AS221" s="679" t="s">
        <v>294</v>
      </c>
      <c r="AT221" s="350"/>
      <c r="AU221" s="350"/>
      <c r="AV221" s="350"/>
      <c r="AW221" s="350"/>
      <c r="AX221" s="350"/>
      <c r="AY221" s="351"/>
      <c r="AZ221" s="81"/>
      <c r="BA221" s="81"/>
      <c r="BB221" s="677" t="s">
        <v>325</v>
      </c>
      <c r="BC221" s="351"/>
      <c r="BD221" s="681" t="s">
        <v>294</v>
      </c>
      <c r="BE221" s="350"/>
      <c r="BF221" s="351"/>
      <c r="BG221" s="678" t="s">
        <v>294</v>
      </c>
      <c r="BH221" s="350"/>
      <c r="BI221" s="350"/>
      <c r="BJ221" s="351"/>
      <c r="BK221" s="680"/>
      <c r="BL221" s="350"/>
      <c r="BM221" s="351"/>
      <c r="BN221" s="82"/>
      <c r="BO221" s="82"/>
      <c r="BP221" s="678"/>
      <c r="BQ221" s="350"/>
      <c r="BR221" s="351"/>
      <c r="BS221" s="681" t="s">
        <v>294</v>
      </c>
      <c r="BT221" s="350"/>
      <c r="BU221" s="351"/>
    </row>
    <row r="222" spans="1:73" ht="30" customHeight="1">
      <c r="A222" s="76">
        <f t="shared" si="0"/>
        <v>208</v>
      </c>
      <c r="B222" s="686" t="s">
        <v>325</v>
      </c>
      <c r="C222" s="351"/>
      <c r="D222" s="687" t="s">
        <v>294</v>
      </c>
      <c r="E222" s="350"/>
      <c r="F222" s="350"/>
      <c r="G222" s="351"/>
      <c r="H222" s="688" t="s">
        <v>294</v>
      </c>
      <c r="I222" s="350"/>
      <c r="J222" s="350"/>
      <c r="K222" s="351"/>
      <c r="L222" s="538" t="s">
        <v>294</v>
      </c>
      <c r="M222" s="350"/>
      <c r="N222" s="351"/>
      <c r="O222" s="539" t="s">
        <v>294</v>
      </c>
      <c r="P222" s="350"/>
      <c r="Q222" s="351"/>
      <c r="R222" s="574"/>
      <c r="S222" s="350"/>
      <c r="T222" s="351"/>
      <c r="U222" s="567"/>
      <c r="V222" s="350"/>
      <c r="W222" s="351"/>
      <c r="X222" s="77"/>
      <c r="Y222" s="78"/>
      <c r="Z222" s="77"/>
      <c r="AA222" s="78"/>
      <c r="AB222" s="77"/>
      <c r="AC222" s="78"/>
      <c r="AD222" s="77"/>
      <c r="AE222" s="78"/>
      <c r="AF222" s="77"/>
      <c r="AG222" s="78"/>
      <c r="AH222" s="77"/>
      <c r="AI222" s="78"/>
      <c r="AJ222" s="64"/>
      <c r="AK222" s="80"/>
      <c r="AL222" s="64"/>
      <c r="AM222" s="80"/>
      <c r="AN222" s="64"/>
      <c r="AO222" s="80"/>
      <c r="AP222" s="64"/>
      <c r="AQ222" s="80"/>
      <c r="AR222" s="64"/>
      <c r="AS222" s="679" t="s">
        <v>294</v>
      </c>
      <c r="AT222" s="350"/>
      <c r="AU222" s="350"/>
      <c r="AV222" s="350"/>
      <c r="AW222" s="350"/>
      <c r="AX222" s="350"/>
      <c r="AY222" s="351"/>
      <c r="AZ222" s="81"/>
      <c r="BA222" s="81"/>
      <c r="BB222" s="677" t="s">
        <v>325</v>
      </c>
      <c r="BC222" s="351"/>
      <c r="BD222" s="681" t="s">
        <v>294</v>
      </c>
      <c r="BE222" s="350"/>
      <c r="BF222" s="351"/>
      <c r="BG222" s="678" t="s">
        <v>294</v>
      </c>
      <c r="BH222" s="350"/>
      <c r="BI222" s="350"/>
      <c r="BJ222" s="351"/>
      <c r="BK222" s="680"/>
      <c r="BL222" s="350"/>
      <c r="BM222" s="351"/>
      <c r="BN222" s="82"/>
      <c r="BO222" s="82"/>
      <c r="BP222" s="678"/>
      <c r="BQ222" s="350"/>
      <c r="BR222" s="351"/>
      <c r="BS222" s="681" t="s">
        <v>294</v>
      </c>
      <c r="BT222" s="350"/>
      <c r="BU222" s="351"/>
    </row>
    <row r="223" spans="1:73" ht="30" customHeight="1">
      <c r="A223" s="76">
        <f t="shared" si="0"/>
        <v>209</v>
      </c>
      <c r="B223" s="686" t="s">
        <v>325</v>
      </c>
      <c r="C223" s="351"/>
      <c r="D223" s="687" t="s">
        <v>294</v>
      </c>
      <c r="E223" s="350"/>
      <c r="F223" s="350"/>
      <c r="G223" s="351"/>
      <c r="H223" s="688" t="s">
        <v>294</v>
      </c>
      <c r="I223" s="350"/>
      <c r="J223" s="350"/>
      <c r="K223" s="351"/>
      <c r="L223" s="538" t="s">
        <v>294</v>
      </c>
      <c r="M223" s="350"/>
      <c r="N223" s="351"/>
      <c r="O223" s="539" t="s">
        <v>294</v>
      </c>
      <c r="P223" s="350"/>
      <c r="Q223" s="351"/>
      <c r="R223" s="574"/>
      <c r="S223" s="350"/>
      <c r="T223" s="351"/>
      <c r="U223" s="567"/>
      <c r="V223" s="350"/>
      <c r="W223" s="351"/>
      <c r="X223" s="77"/>
      <c r="Y223" s="78"/>
      <c r="Z223" s="77"/>
      <c r="AA223" s="78"/>
      <c r="AB223" s="77"/>
      <c r="AC223" s="78"/>
      <c r="AD223" s="77"/>
      <c r="AE223" s="78"/>
      <c r="AF223" s="77"/>
      <c r="AG223" s="78"/>
      <c r="AH223" s="77"/>
      <c r="AI223" s="78"/>
      <c r="AJ223" s="64"/>
      <c r="AK223" s="80"/>
      <c r="AL223" s="64"/>
      <c r="AM223" s="80"/>
      <c r="AN223" s="64"/>
      <c r="AO223" s="80"/>
      <c r="AP223" s="64"/>
      <c r="AQ223" s="80"/>
      <c r="AR223" s="64"/>
      <c r="AS223" s="679" t="s">
        <v>294</v>
      </c>
      <c r="AT223" s="350"/>
      <c r="AU223" s="350"/>
      <c r="AV223" s="350"/>
      <c r="AW223" s="350"/>
      <c r="AX223" s="350"/>
      <c r="AY223" s="351"/>
      <c r="AZ223" s="81"/>
      <c r="BA223" s="81"/>
      <c r="BB223" s="677" t="s">
        <v>325</v>
      </c>
      <c r="BC223" s="351"/>
      <c r="BD223" s="681" t="s">
        <v>294</v>
      </c>
      <c r="BE223" s="350"/>
      <c r="BF223" s="351"/>
      <c r="BG223" s="678" t="s">
        <v>294</v>
      </c>
      <c r="BH223" s="350"/>
      <c r="BI223" s="350"/>
      <c r="BJ223" s="351"/>
      <c r="BK223" s="680"/>
      <c r="BL223" s="350"/>
      <c r="BM223" s="351"/>
      <c r="BN223" s="82"/>
      <c r="BO223" s="82"/>
      <c r="BP223" s="678"/>
      <c r="BQ223" s="350"/>
      <c r="BR223" s="351"/>
      <c r="BS223" s="681" t="s">
        <v>294</v>
      </c>
      <c r="BT223" s="350"/>
      <c r="BU223" s="351"/>
    </row>
    <row r="224" spans="1:73" ht="30" customHeight="1">
      <c r="A224" s="76">
        <f t="shared" si="0"/>
        <v>210</v>
      </c>
      <c r="B224" s="686" t="s">
        <v>325</v>
      </c>
      <c r="C224" s="351"/>
      <c r="D224" s="687" t="s">
        <v>294</v>
      </c>
      <c r="E224" s="350"/>
      <c r="F224" s="350"/>
      <c r="G224" s="351"/>
      <c r="H224" s="688" t="s">
        <v>294</v>
      </c>
      <c r="I224" s="350"/>
      <c r="J224" s="350"/>
      <c r="K224" s="351"/>
      <c r="L224" s="538" t="s">
        <v>294</v>
      </c>
      <c r="M224" s="350"/>
      <c r="N224" s="351"/>
      <c r="O224" s="539" t="s">
        <v>294</v>
      </c>
      <c r="P224" s="350"/>
      <c r="Q224" s="351"/>
      <c r="R224" s="574"/>
      <c r="S224" s="350"/>
      <c r="T224" s="351"/>
      <c r="U224" s="567"/>
      <c r="V224" s="350"/>
      <c r="W224" s="351"/>
      <c r="X224" s="77"/>
      <c r="Y224" s="78"/>
      <c r="Z224" s="77"/>
      <c r="AA224" s="78"/>
      <c r="AB224" s="77"/>
      <c r="AC224" s="78"/>
      <c r="AD224" s="77"/>
      <c r="AE224" s="78"/>
      <c r="AF224" s="77"/>
      <c r="AG224" s="78"/>
      <c r="AH224" s="77"/>
      <c r="AI224" s="78"/>
      <c r="AJ224" s="64"/>
      <c r="AK224" s="80"/>
      <c r="AL224" s="64"/>
      <c r="AM224" s="80"/>
      <c r="AN224" s="64"/>
      <c r="AO224" s="80"/>
      <c r="AP224" s="64"/>
      <c r="AQ224" s="80"/>
      <c r="AR224" s="64"/>
      <c r="AS224" s="679" t="s">
        <v>294</v>
      </c>
      <c r="AT224" s="350"/>
      <c r="AU224" s="350"/>
      <c r="AV224" s="350"/>
      <c r="AW224" s="350"/>
      <c r="AX224" s="350"/>
      <c r="AY224" s="351"/>
      <c r="AZ224" s="81"/>
      <c r="BA224" s="81"/>
      <c r="BB224" s="677" t="s">
        <v>325</v>
      </c>
      <c r="BC224" s="351"/>
      <c r="BD224" s="681" t="s">
        <v>294</v>
      </c>
      <c r="BE224" s="350"/>
      <c r="BF224" s="351"/>
      <c r="BG224" s="678" t="s">
        <v>294</v>
      </c>
      <c r="BH224" s="350"/>
      <c r="BI224" s="350"/>
      <c r="BJ224" s="351"/>
      <c r="BK224" s="680"/>
      <c r="BL224" s="350"/>
      <c r="BM224" s="351"/>
      <c r="BN224" s="82"/>
      <c r="BO224" s="82"/>
      <c r="BP224" s="678"/>
      <c r="BQ224" s="350"/>
      <c r="BR224" s="351"/>
      <c r="BS224" s="681" t="s">
        <v>294</v>
      </c>
      <c r="BT224" s="350"/>
      <c r="BU224" s="351"/>
    </row>
    <row r="225" spans="1:73" ht="30" customHeight="1">
      <c r="A225" s="76">
        <f t="shared" si="0"/>
        <v>211</v>
      </c>
      <c r="B225" s="686" t="s">
        <v>325</v>
      </c>
      <c r="C225" s="351"/>
      <c r="D225" s="687" t="s">
        <v>294</v>
      </c>
      <c r="E225" s="350"/>
      <c r="F225" s="350"/>
      <c r="G225" s="351"/>
      <c r="H225" s="688" t="s">
        <v>294</v>
      </c>
      <c r="I225" s="350"/>
      <c r="J225" s="350"/>
      <c r="K225" s="351"/>
      <c r="L225" s="538" t="s">
        <v>294</v>
      </c>
      <c r="M225" s="350"/>
      <c r="N225" s="351"/>
      <c r="O225" s="539" t="s">
        <v>294</v>
      </c>
      <c r="P225" s="350"/>
      <c r="Q225" s="351"/>
      <c r="R225" s="574"/>
      <c r="S225" s="350"/>
      <c r="T225" s="351"/>
      <c r="U225" s="567"/>
      <c r="V225" s="350"/>
      <c r="W225" s="351"/>
      <c r="X225" s="77"/>
      <c r="Y225" s="78"/>
      <c r="Z225" s="77"/>
      <c r="AA225" s="78"/>
      <c r="AB225" s="77"/>
      <c r="AC225" s="78"/>
      <c r="AD225" s="77"/>
      <c r="AE225" s="78"/>
      <c r="AF225" s="77"/>
      <c r="AG225" s="78"/>
      <c r="AH225" s="77"/>
      <c r="AI225" s="78"/>
      <c r="AJ225" s="64"/>
      <c r="AK225" s="80"/>
      <c r="AL225" s="64"/>
      <c r="AM225" s="80"/>
      <c r="AN225" s="64"/>
      <c r="AO225" s="80"/>
      <c r="AP225" s="64"/>
      <c r="AQ225" s="80"/>
      <c r="AR225" s="64"/>
      <c r="AS225" s="679" t="s">
        <v>294</v>
      </c>
      <c r="AT225" s="350"/>
      <c r="AU225" s="350"/>
      <c r="AV225" s="350"/>
      <c r="AW225" s="350"/>
      <c r="AX225" s="350"/>
      <c r="AY225" s="351"/>
      <c r="AZ225" s="81"/>
      <c r="BA225" s="81"/>
      <c r="BB225" s="685" t="s">
        <v>325</v>
      </c>
      <c r="BC225" s="351"/>
      <c r="BD225" s="681" t="s">
        <v>294</v>
      </c>
      <c r="BE225" s="350"/>
      <c r="BF225" s="351"/>
      <c r="BG225" s="678" t="s">
        <v>294</v>
      </c>
      <c r="BH225" s="350"/>
      <c r="BI225" s="350"/>
      <c r="BJ225" s="351"/>
      <c r="BK225" s="680"/>
      <c r="BL225" s="350"/>
      <c r="BM225" s="351"/>
      <c r="BN225" s="82"/>
      <c r="BO225" s="82"/>
      <c r="BP225" s="678"/>
      <c r="BQ225" s="350"/>
      <c r="BR225" s="351"/>
      <c r="BS225" s="681" t="s">
        <v>294</v>
      </c>
      <c r="BT225" s="350"/>
      <c r="BU225" s="351"/>
    </row>
    <row r="226" spans="1:73" ht="30" customHeight="1">
      <c r="A226" s="76">
        <f t="shared" si="0"/>
        <v>212</v>
      </c>
      <c r="B226" s="686" t="s">
        <v>325</v>
      </c>
      <c r="C226" s="351"/>
      <c r="D226" s="687" t="s">
        <v>294</v>
      </c>
      <c r="E226" s="350"/>
      <c r="F226" s="350"/>
      <c r="G226" s="351"/>
      <c r="H226" s="688" t="s">
        <v>294</v>
      </c>
      <c r="I226" s="350"/>
      <c r="J226" s="350"/>
      <c r="K226" s="351"/>
      <c r="L226" s="538" t="s">
        <v>294</v>
      </c>
      <c r="M226" s="350"/>
      <c r="N226" s="351"/>
      <c r="O226" s="539" t="s">
        <v>294</v>
      </c>
      <c r="P226" s="350"/>
      <c r="Q226" s="351"/>
      <c r="R226" s="574"/>
      <c r="S226" s="350"/>
      <c r="T226" s="351"/>
      <c r="U226" s="567"/>
      <c r="V226" s="350"/>
      <c r="W226" s="351"/>
      <c r="X226" s="77"/>
      <c r="Y226" s="78"/>
      <c r="Z226" s="77"/>
      <c r="AA226" s="78"/>
      <c r="AB226" s="77"/>
      <c r="AC226" s="78"/>
      <c r="AD226" s="77"/>
      <c r="AE226" s="78"/>
      <c r="AF226" s="77"/>
      <c r="AG226" s="78"/>
      <c r="AH226" s="77"/>
      <c r="AI226" s="78"/>
      <c r="AJ226" s="64"/>
      <c r="AK226" s="80"/>
      <c r="AL226" s="64"/>
      <c r="AM226" s="80"/>
      <c r="AN226" s="64"/>
      <c r="AO226" s="80"/>
      <c r="AP226" s="64"/>
      <c r="AQ226" s="80"/>
      <c r="AR226" s="64"/>
      <c r="AS226" s="679" t="s">
        <v>294</v>
      </c>
      <c r="AT226" s="350"/>
      <c r="AU226" s="350"/>
      <c r="AV226" s="350"/>
      <c r="AW226" s="350"/>
      <c r="AX226" s="350"/>
      <c r="AY226" s="351"/>
      <c r="AZ226" s="81"/>
      <c r="BA226" s="81"/>
      <c r="BB226" s="677" t="s">
        <v>325</v>
      </c>
      <c r="BC226" s="351"/>
      <c r="BD226" s="681" t="s">
        <v>294</v>
      </c>
      <c r="BE226" s="350"/>
      <c r="BF226" s="351"/>
      <c r="BG226" s="678" t="s">
        <v>294</v>
      </c>
      <c r="BH226" s="350"/>
      <c r="BI226" s="350"/>
      <c r="BJ226" s="351"/>
      <c r="BK226" s="680"/>
      <c r="BL226" s="350"/>
      <c r="BM226" s="351"/>
      <c r="BN226" s="82"/>
      <c r="BO226" s="82"/>
      <c r="BP226" s="678"/>
      <c r="BQ226" s="350"/>
      <c r="BR226" s="351"/>
      <c r="BS226" s="681" t="s">
        <v>294</v>
      </c>
      <c r="BT226" s="350"/>
      <c r="BU226" s="351"/>
    </row>
    <row r="227" spans="1:73" ht="30" customHeight="1">
      <c r="A227" s="76">
        <f t="shared" si="0"/>
        <v>213</v>
      </c>
      <c r="B227" s="686" t="s">
        <v>325</v>
      </c>
      <c r="C227" s="351"/>
      <c r="D227" s="687" t="s">
        <v>294</v>
      </c>
      <c r="E227" s="350"/>
      <c r="F227" s="350"/>
      <c r="G227" s="351"/>
      <c r="H227" s="688" t="s">
        <v>294</v>
      </c>
      <c r="I227" s="350"/>
      <c r="J227" s="350"/>
      <c r="K227" s="351"/>
      <c r="L227" s="538" t="s">
        <v>294</v>
      </c>
      <c r="M227" s="350"/>
      <c r="N227" s="351"/>
      <c r="O227" s="539" t="s">
        <v>294</v>
      </c>
      <c r="P227" s="350"/>
      <c r="Q227" s="351"/>
      <c r="R227" s="574"/>
      <c r="S227" s="350"/>
      <c r="T227" s="351"/>
      <c r="U227" s="567"/>
      <c r="V227" s="350"/>
      <c r="W227" s="351"/>
      <c r="X227" s="77"/>
      <c r="Y227" s="78"/>
      <c r="Z227" s="77"/>
      <c r="AA227" s="78"/>
      <c r="AB227" s="77"/>
      <c r="AC227" s="78"/>
      <c r="AD227" s="77"/>
      <c r="AE227" s="78"/>
      <c r="AF227" s="77"/>
      <c r="AG227" s="78"/>
      <c r="AH227" s="77"/>
      <c r="AI227" s="78"/>
      <c r="AJ227" s="64"/>
      <c r="AK227" s="80"/>
      <c r="AL227" s="64"/>
      <c r="AM227" s="80"/>
      <c r="AN227" s="64"/>
      <c r="AO227" s="80"/>
      <c r="AP227" s="64"/>
      <c r="AQ227" s="80"/>
      <c r="AR227" s="64"/>
      <c r="AS227" s="679" t="s">
        <v>294</v>
      </c>
      <c r="AT227" s="350"/>
      <c r="AU227" s="350"/>
      <c r="AV227" s="350"/>
      <c r="AW227" s="350"/>
      <c r="AX227" s="350"/>
      <c r="AY227" s="351"/>
      <c r="AZ227" s="81"/>
      <c r="BA227" s="81"/>
      <c r="BB227" s="677" t="s">
        <v>325</v>
      </c>
      <c r="BC227" s="351"/>
      <c r="BD227" s="681" t="s">
        <v>294</v>
      </c>
      <c r="BE227" s="350"/>
      <c r="BF227" s="351"/>
      <c r="BG227" s="678" t="s">
        <v>294</v>
      </c>
      <c r="BH227" s="350"/>
      <c r="BI227" s="350"/>
      <c r="BJ227" s="351"/>
      <c r="BK227" s="680"/>
      <c r="BL227" s="350"/>
      <c r="BM227" s="351"/>
      <c r="BN227" s="82"/>
      <c r="BO227" s="82"/>
      <c r="BP227" s="678"/>
      <c r="BQ227" s="350"/>
      <c r="BR227" s="351"/>
      <c r="BS227" s="681" t="s">
        <v>294</v>
      </c>
      <c r="BT227" s="350"/>
      <c r="BU227" s="351"/>
    </row>
    <row r="228" spans="1:73" ht="30" customHeight="1">
      <c r="A228" s="76">
        <f t="shared" si="0"/>
        <v>214</v>
      </c>
      <c r="B228" s="686" t="s">
        <v>325</v>
      </c>
      <c r="C228" s="351"/>
      <c r="D228" s="687" t="s">
        <v>294</v>
      </c>
      <c r="E228" s="350"/>
      <c r="F228" s="350"/>
      <c r="G228" s="351"/>
      <c r="H228" s="688" t="s">
        <v>294</v>
      </c>
      <c r="I228" s="350"/>
      <c r="J228" s="350"/>
      <c r="K228" s="351"/>
      <c r="L228" s="538" t="s">
        <v>294</v>
      </c>
      <c r="M228" s="350"/>
      <c r="N228" s="351"/>
      <c r="O228" s="539" t="s">
        <v>294</v>
      </c>
      <c r="P228" s="350"/>
      <c r="Q228" s="351"/>
      <c r="R228" s="574"/>
      <c r="S228" s="350"/>
      <c r="T228" s="351"/>
      <c r="U228" s="567"/>
      <c r="V228" s="350"/>
      <c r="W228" s="351"/>
      <c r="X228" s="77"/>
      <c r="Y228" s="78"/>
      <c r="Z228" s="77"/>
      <c r="AA228" s="78"/>
      <c r="AB228" s="77"/>
      <c r="AC228" s="78"/>
      <c r="AD228" s="77"/>
      <c r="AE228" s="78"/>
      <c r="AF228" s="77"/>
      <c r="AG228" s="78"/>
      <c r="AH228" s="77"/>
      <c r="AI228" s="78"/>
      <c r="AJ228" s="64"/>
      <c r="AK228" s="80"/>
      <c r="AL228" s="64"/>
      <c r="AM228" s="80"/>
      <c r="AN228" s="64"/>
      <c r="AO228" s="80"/>
      <c r="AP228" s="64"/>
      <c r="AQ228" s="80"/>
      <c r="AR228" s="64"/>
      <c r="AS228" s="679" t="s">
        <v>294</v>
      </c>
      <c r="AT228" s="350"/>
      <c r="AU228" s="350"/>
      <c r="AV228" s="350"/>
      <c r="AW228" s="350"/>
      <c r="AX228" s="350"/>
      <c r="AY228" s="351"/>
      <c r="AZ228" s="81"/>
      <c r="BA228" s="81"/>
      <c r="BB228" s="677" t="s">
        <v>325</v>
      </c>
      <c r="BC228" s="351"/>
      <c r="BD228" s="681" t="s">
        <v>294</v>
      </c>
      <c r="BE228" s="350"/>
      <c r="BF228" s="351"/>
      <c r="BG228" s="678" t="s">
        <v>294</v>
      </c>
      <c r="BH228" s="350"/>
      <c r="BI228" s="350"/>
      <c r="BJ228" s="351"/>
      <c r="BK228" s="680"/>
      <c r="BL228" s="350"/>
      <c r="BM228" s="351"/>
      <c r="BN228" s="82"/>
      <c r="BO228" s="82"/>
      <c r="BP228" s="678"/>
      <c r="BQ228" s="350"/>
      <c r="BR228" s="351"/>
      <c r="BS228" s="681" t="s">
        <v>294</v>
      </c>
      <c r="BT228" s="350"/>
      <c r="BU228" s="351"/>
    </row>
    <row r="229" spans="1:73" ht="30" customHeight="1">
      <c r="A229" s="76">
        <f t="shared" si="0"/>
        <v>215</v>
      </c>
      <c r="B229" s="686" t="s">
        <v>325</v>
      </c>
      <c r="C229" s="351"/>
      <c r="D229" s="687" t="s">
        <v>294</v>
      </c>
      <c r="E229" s="350"/>
      <c r="F229" s="350"/>
      <c r="G229" s="351"/>
      <c r="H229" s="688" t="s">
        <v>294</v>
      </c>
      <c r="I229" s="350"/>
      <c r="J229" s="350"/>
      <c r="K229" s="351"/>
      <c r="L229" s="538" t="s">
        <v>294</v>
      </c>
      <c r="M229" s="350"/>
      <c r="N229" s="351"/>
      <c r="O229" s="539" t="s">
        <v>294</v>
      </c>
      <c r="P229" s="350"/>
      <c r="Q229" s="351"/>
      <c r="R229" s="574"/>
      <c r="S229" s="350"/>
      <c r="T229" s="351"/>
      <c r="U229" s="567"/>
      <c r="V229" s="350"/>
      <c r="W229" s="351"/>
      <c r="X229" s="77"/>
      <c r="Y229" s="78"/>
      <c r="Z229" s="77"/>
      <c r="AA229" s="78"/>
      <c r="AB229" s="77"/>
      <c r="AC229" s="78"/>
      <c r="AD229" s="77"/>
      <c r="AE229" s="78"/>
      <c r="AF229" s="77"/>
      <c r="AG229" s="78"/>
      <c r="AH229" s="77"/>
      <c r="AI229" s="78"/>
      <c r="AJ229" s="64"/>
      <c r="AK229" s="80"/>
      <c r="AL229" s="64"/>
      <c r="AM229" s="80"/>
      <c r="AN229" s="64"/>
      <c r="AO229" s="80"/>
      <c r="AP229" s="64"/>
      <c r="AQ229" s="80"/>
      <c r="AR229" s="64"/>
      <c r="AS229" s="679" t="s">
        <v>294</v>
      </c>
      <c r="AT229" s="350"/>
      <c r="AU229" s="350"/>
      <c r="AV229" s="350"/>
      <c r="AW229" s="350"/>
      <c r="AX229" s="350"/>
      <c r="AY229" s="351"/>
      <c r="AZ229" s="81"/>
      <c r="BA229" s="81"/>
      <c r="BB229" s="677" t="s">
        <v>325</v>
      </c>
      <c r="BC229" s="351"/>
      <c r="BD229" s="681" t="s">
        <v>294</v>
      </c>
      <c r="BE229" s="350"/>
      <c r="BF229" s="351"/>
      <c r="BG229" s="678" t="s">
        <v>294</v>
      </c>
      <c r="BH229" s="350"/>
      <c r="BI229" s="350"/>
      <c r="BJ229" s="351"/>
      <c r="BK229" s="680"/>
      <c r="BL229" s="350"/>
      <c r="BM229" s="351"/>
      <c r="BN229" s="82"/>
      <c r="BO229" s="82"/>
      <c r="BP229" s="678"/>
      <c r="BQ229" s="350"/>
      <c r="BR229" s="351"/>
      <c r="BS229" s="681" t="s">
        <v>294</v>
      </c>
      <c r="BT229" s="350"/>
      <c r="BU229" s="351"/>
    </row>
    <row r="230" spans="1:73" ht="30" customHeight="1">
      <c r="A230" s="76">
        <f t="shared" si="0"/>
        <v>216</v>
      </c>
      <c r="B230" s="686" t="s">
        <v>325</v>
      </c>
      <c r="C230" s="351"/>
      <c r="D230" s="687" t="s">
        <v>294</v>
      </c>
      <c r="E230" s="350"/>
      <c r="F230" s="350"/>
      <c r="G230" s="351"/>
      <c r="H230" s="688" t="s">
        <v>294</v>
      </c>
      <c r="I230" s="350"/>
      <c r="J230" s="350"/>
      <c r="K230" s="351"/>
      <c r="L230" s="538" t="s">
        <v>294</v>
      </c>
      <c r="M230" s="350"/>
      <c r="N230" s="351"/>
      <c r="O230" s="539" t="s">
        <v>294</v>
      </c>
      <c r="P230" s="350"/>
      <c r="Q230" s="351"/>
      <c r="R230" s="574"/>
      <c r="S230" s="350"/>
      <c r="T230" s="351"/>
      <c r="U230" s="567"/>
      <c r="V230" s="350"/>
      <c r="W230" s="351"/>
      <c r="X230" s="77"/>
      <c r="Y230" s="78"/>
      <c r="Z230" s="77"/>
      <c r="AA230" s="78"/>
      <c r="AB230" s="77"/>
      <c r="AC230" s="78"/>
      <c r="AD230" s="77"/>
      <c r="AE230" s="78"/>
      <c r="AF230" s="77"/>
      <c r="AG230" s="78"/>
      <c r="AH230" s="77"/>
      <c r="AI230" s="78"/>
      <c r="AJ230" s="64"/>
      <c r="AK230" s="80"/>
      <c r="AL230" s="64"/>
      <c r="AM230" s="80"/>
      <c r="AN230" s="64"/>
      <c r="AO230" s="80"/>
      <c r="AP230" s="64"/>
      <c r="AQ230" s="80"/>
      <c r="AR230" s="64"/>
      <c r="AS230" s="679" t="s">
        <v>294</v>
      </c>
      <c r="AT230" s="350"/>
      <c r="AU230" s="350"/>
      <c r="AV230" s="350"/>
      <c r="AW230" s="350"/>
      <c r="AX230" s="350"/>
      <c r="AY230" s="351"/>
      <c r="AZ230" s="81"/>
      <c r="BA230" s="81"/>
      <c r="BB230" s="677" t="s">
        <v>325</v>
      </c>
      <c r="BC230" s="351"/>
      <c r="BD230" s="681" t="s">
        <v>294</v>
      </c>
      <c r="BE230" s="350"/>
      <c r="BF230" s="351"/>
      <c r="BG230" s="678" t="s">
        <v>294</v>
      </c>
      <c r="BH230" s="350"/>
      <c r="BI230" s="350"/>
      <c r="BJ230" s="351"/>
      <c r="BK230" s="680"/>
      <c r="BL230" s="350"/>
      <c r="BM230" s="351"/>
      <c r="BN230" s="82"/>
      <c r="BO230" s="82"/>
      <c r="BP230" s="678"/>
      <c r="BQ230" s="350"/>
      <c r="BR230" s="351"/>
      <c r="BS230" s="681" t="s">
        <v>294</v>
      </c>
      <c r="BT230" s="350"/>
      <c r="BU230" s="351"/>
    </row>
    <row r="231" spans="1:73" ht="30" customHeight="1">
      <c r="A231" s="76">
        <f t="shared" si="0"/>
        <v>217</v>
      </c>
      <c r="B231" s="686" t="s">
        <v>325</v>
      </c>
      <c r="C231" s="351"/>
      <c r="D231" s="687" t="s">
        <v>294</v>
      </c>
      <c r="E231" s="350"/>
      <c r="F231" s="350"/>
      <c r="G231" s="351"/>
      <c r="H231" s="688" t="s">
        <v>294</v>
      </c>
      <c r="I231" s="350"/>
      <c r="J231" s="350"/>
      <c r="K231" s="351"/>
      <c r="L231" s="538" t="s">
        <v>294</v>
      </c>
      <c r="M231" s="350"/>
      <c r="N231" s="351"/>
      <c r="O231" s="539" t="s">
        <v>294</v>
      </c>
      <c r="P231" s="350"/>
      <c r="Q231" s="351"/>
      <c r="R231" s="574"/>
      <c r="S231" s="350"/>
      <c r="T231" s="351"/>
      <c r="U231" s="567"/>
      <c r="V231" s="350"/>
      <c r="W231" s="351"/>
      <c r="X231" s="77"/>
      <c r="Y231" s="78"/>
      <c r="Z231" s="77"/>
      <c r="AA231" s="78"/>
      <c r="AB231" s="77"/>
      <c r="AC231" s="78"/>
      <c r="AD231" s="77"/>
      <c r="AE231" s="78"/>
      <c r="AF231" s="77"/>
      <c r="AG231" s="78"/>
      <c r="AH231" s="77"/>
      <c r="AI231" s="78"/>
      <c r="AJ231" s="64"/>
      <c r="AK231" s="80"/>
      <c r="AL231" s="64"/>
      <c r="AM231" s="80"/>
      <c r="AN231" s="64"/>
      <c r="AO231" s="80"/>
      <c r="AP231" s="64"/>
      <c r="AQ231" s="80"/>
      <c r="AR231" s="64"/>
      <c r="AS231" s="679" t="s">
        <v>294</v>
      </c>
      <c r="AT231" s="350"/>
      <c r="AU231" s="350"/>
      <c r="AV231" s="350"/>
      <c r="AW231" s="350"/>
      <c r="AX231" s="350"/>
      <c r="AY231" s="351"/>
      <c r="AZ231" s="81"/>
      <c r="BA231" s="81"/>
      <c r="BB231" s="677" t="s">
        <v>325</v>
      </c>
      <c r="BC231" s="351"/>
      <c r="BD231" s="681" t="s">
        <v>294</v>
      </c>
      <c r="BE231" s="350"/>
      <c r="BF231" s="351"/>
      <c r="BG231" s="678" t="s">
        <v>294</v>
      </c>
      <c r="BH231" s="350"/>
      <c r="BI231" s="350"/>
      <c r="BJ231" s="351"/>
      <c r="BK231" s="680"/>
      <c r="BL231" s="350"/>
      <c r="BM231" s="351"/>
      <c r="BN231" s="82"/>
      <c r="BO231" s="82"/>
      <c r="BP231" s="678"/>
      <c r="BQ231" s="350"/>
      <c r="BR231" s="351"/>
      <c r="BS231" s="681" t="s">
        <v>294</v>
      </c>
      <c r="BT231" s="350"/>
      <c r="BU231" s="351"/>
    </row>
    <row r="232" spans="1:73" ht="30" customHeight="1">
      <c r="A232" s="76">
        <f t="shared" si="0"/>
        <v>218</v>
      </c>
      <c r="B232" s="686" t="s">
        <v>325</v>
      </c>
      <c r="C232" s="351"/>
      <c r="D232" s="687" t="s">
        <v>294</v>
      </c>
      <c r="E232" s="350"/>
      <c r="F232" s="350"/>
      <c r="G232" s="351"/>
      <c r="H232" s="688" t="s">
        <v>294</v>
      </c>
      <c r="I232" s="350"/>
      <c r="J232" s="350"/>
      <c r="K232" s="351"/>
      <c r="L232" s="538" t="s">
        <v>294</v>
      </c>
      <c r="M232" s="350"/>
      <c r="N232" s="351"/>
      <c r="O232" s="539" t="s">
        <v>294</v>
      </c>
      <c r="P232" s="350"/>
      <c r="Q232" s="351"/>
      <c r="R232" s="574"/>
      <c r="S232" s="350"/>
      <c r="T232" s="351"/>
      <c r="U232" s="567"/>
      <c r="V232" s="350"/>
      <c r="W232" s="351"/>
      <c r="X232" s="77"/>
      <c r="Y232" s="78"/>
      <c r="Z232" s="77"/>
      <c r="AA232" s="78"/>
      <c r="AB232" s="77"/>
      <c r="AC232" s="78"/>
      <c r="AD232" s="77"/>
      <c r="AE232" s="78"/>
      <c r="AF232" s="77"/>
      <c r="AG232" s="78"/>
      <c r="AH232" s="77"/>
      <c r="AI232" s="78"/>
      <c r="AJ232" s="64"/>
      <c r="AK232" s="80"/>
      <c r="AL232" s="64"/>
      <c r="AM232" s="80"/>
      <c r="AN232" s="64"/>
      <c r="AO232" s="80"/>
      <c r="AP232" s="64"/>
      <c r="AQ232" s="80"/>
      <c r="AR232" s="64"/>
      <c r="AS232" s="679" t="s">
        <v>294</v>
      </c>
      <c r="AT232" s="350"/>
      <c r="AU232" s="350"/>
      <c r="AV232" s="350"/>
      <c r="AW232" s="350"/>
      <c r="AX232" s="350"/>
      <c r="AY232" s="351"/>
      <c r="AZ232" s="81"/>
      <c r="BA232" s="81"/>
      <c r="BB232" s="685" t="s">
        <v>325</v>
      </c>
      <c r="BC232" s="351"/>
      <c r="BD232" s="681" t="s">
        <v>294</v>
      </c>
      <c r="BE232" s="350"/>
      <c r="BF232" s="351"/>
      <c r="BG232" s="678" t="s">
        <v>294</v>
      </c>
      <c r="BH232" s="350"/>
      <c r="BI232" s="350"/>
      <c r="BJ232" s="351"/>
      <c r="BK232" s="680"/>
      <c r="BL232" s="350"/>
      <c r="BM232" s="351"/>
      <c r="BN232" s="82"/>
      <c r="BO232" s="82"/>
      <c r="BP232" s="678"/>
      <c r="BQ232" s="350"/>
      <c r="BR232" s="351"/>
      <c r="BS232" s="681" t="s">
        <v>294</v>
      </c>
      <c r="BT232" s="350"/>
      <c r="BU232" s="351"/>
    </row>
    <row r="233" spans="1:73" ht="30" customHeight="1">
      <c r="A233" s="76">
        <f t="shared" si="0"/>
        <v>219</v>
      </c>
      <c r="B233" s="686" t="s">
        <v>325</v>
      </c>
      <c r="C233" s="351"/>
      <c r="D233" s="687" t="s">
        <v>294</v>
      </c>
      <c r="E233" s="350"/>
      <c r="F233" s="350"/>
      <c r="G233" s="351"/>
      <c r="H233" s="688" t="s">
        <v>294</v>
      </c>
      <c r="I233" s="350"/>
      <c r="J233" s="350"/>
      <c r="K233" s="351"/>
      <c r="L233" s="538" t="s">
        <v>294</v>
      </c>
      <c r="M233" s="350"/>
      <c r="N233" s="351"/>
      <c r="O233" s="539" t="s">
        <v>294</v>
      </c>
      <c r="P233" s="350"/>
      <c r="Q233" s="351"/>
      <c r="R233" s="574"/>
      <c r="S233" s="350"/>
      <c r="T233" s="351"/>
      <c r="U233" s="567"/>
      <c r="V233" s="350"/>
      <c r="W233" s="351"/>
      <c r="X233" s="77"/>
      <c r="Y233" s="78"/>
      <c r="Z233" s="77"/>
      <c r="AA233" s="78"/>
      <c r="AB233" s="77"/>
      <c r="AC233" s="78"/>
      <c r="AD233" s="77"/>
      <c r="AE233" s="78"/>
      <c r="AF233" s="77"/>
      <c r="AG233" s="78"/>
      <c r="AH233" s="77"/>
      <c r="AI233" s="78"/>
      <c r="AJ233" s="64"/>
      <c r="AK233" s="80"/>
      <c r="AL233" s="64"/>
      <c r="AM233" s="80"/>
      <c r="AN233" s="64"/>
      <c r="AO233" s="80"/>
      <c r="AP233" s="64"/>
      <c r="AQ233" s="80"/>
      <c r="AR233" s="64"/>
      <c r="AS233" s="679" t="s">
        <v>294</v>
      </c>
      <c r="AT233" s="350"/>
      <c r="AU233" s="350"/>
      <c r="AV233" s="350"/>
      <c r="AW233" s="350"/>
      <c r="AX233" s="350"/>
      <c r="AY233" s="351"/>
      <c r="AZ233" s="81"/>
      <c r="BA233" s="81"/>
      <c r="BB233" s="677" t="s">
        <v>325</v>
      </c>
      <c r="BC233" s="351"/>
      <c r="BD233" s="681" t="s">
        <v>294</v>
      </c>
      <c r="BE233" s="350"/>
      <c r="BF233" s="351"/>
      <c r="BG233" s="678" t="s">
        <v>294</v>
      </c>
      <c r="BH233" s="350"/>
      <c r="BI233" s="350"/>
      <c r="BJ233" s="351"/>
      <c r="BK233" s="680"/>
      <c r="BL233" s="350"/>
      <c r="BM233" s="351"/>
      <c r="BN233" s="82"/>
      <c r="BO233" s="82"/>
      <c r="BP233" s="678"/>
      <c r="BQ233" s="350"/>
      <c r="BR233" s="351"/>
      <c r="BS233" s="681" t="s">
        <v>294</v>
      </c>
      <c r="BT233" s="350"/>
      <c r="BU233" s="351"/>
    </row>
    <row r="234" spans="1:73" ht="30" customHeight="1">
      <c r="A234" s="76">
        <f t="shared" si="0"/>
        <v>220</v>
      </c>
      <c r="B234" s="686" t="s">
        <v>325</v>
      </c>
      <c r="C234" s="351"/>
      <c r="D234" s="687" t="s">
        <v>294</v>
      </c>
      <c r="E234" s="350"/>
      <c r="F234" s="350"/>
      <c r="G234" s="351"/>
      <c r="H234" s="688" t="s">
        <v>294</v>
      </c>
      <c r="I234" s="350"/>
      <c r="J234" s="350"/>
      <c r="K234" s="351"/>
      <c r="L234" s="538" t="s">
        <v>294</v>
      </c>
      <c r="M234" s="350"/>
      <c r="N234" s="351"/>
      <c r="O234" s="539" t="s">
        <v>294</v>
      </c>
      <c r="P234" s="350"/>
      <c r="Q234" s="351"/>
      <c r="R234" s="574"/>
      <c r="S234" s="350"/>
      <c r="T234" s="351"/>
      <c r="U234" s="567"/>
      <c r="V234" s="350"/>
      <c r="W234" s="351"/>
      <c r="X234" s="77"/>
      <c r="Y234" s="78"/>
      <c r="Z234" s="77"/>
      <c r="AA234" s="78"/>
      <c r="AB234" s="77"/>
      <c r="AC234" s="78"/>
      <c r="AD234" s="77"/>
      <c r="AE234" s="78"/>
      <c r="AF234" s="77"/>
      <c r="AG234" s="78"/>
      <c r="AH234" s="77"/>
      <c r="AI234" s="78"/>
      <c r="AJ234" s="64"/>
      <c r="AK234" s="80"/>
      <c r="AL234" s="64"/>
      <c r="AM234" s="80"/>
      <c r="AN234" s="64"/>
      <c r="AO234" s="80"/>
      <c r="AP234" s="64"/>
      <c r="AQ234" s="80"/>
      <c r="AR234" s="64"/>
      <c r="AS234" s="679" t="s">
        <v>294</v>
      </c>
      <c r="AT234" s="350"/>
      <c r="AU234" s="350"/>
      <c r="AV234" s="350"/>
      <c r="AW234" s="350"/>
      <c r="AX234" s="350"/>
      <c r="AY234" s="351"/>
      <c r="AZ234" s="81"/>
      <c r="BA234" s="81"/>
      <c r="BB234" s="677" t="s">
        <v>325</v>
      </c>
      <c r="BC234" s="351"/>
      <c r="BD234" s="681" t="s">
        <v>294</v>
      </c>
      <c r="BE234" s="350"/>
      <c r="BF234" s="351"/>
      <c r="BG234" s="678" t="s">
        <v>294</v>
      </c>
      <c r="BH234" s="350"/>
      <c r="BI234" s="350"/>
      <c r="BJ234" s="351"/>
      <c r="BK234" s="680"/>
      <c r="BL234" s="350"/>
      <c r="BM234" s="351"/>
      <c r="BN234" s="82"/>
      <c r="BO234" s="82"/>
      <c r="BP234" s="678"/>
      <c r="BQ234" s="350"/>
      <c r="BR234" s="351"/>
      <c r="BS234" s="681" t="s">
        <v>294</v>
      </c>
      <c r="BT234" s="350"/>
      <c r="BU234" s="351"/>
    </row>
    <row r="235" spans="1:73" ht="30" customHeight="1">
      <c r="A235" s="76">
        <f t="shared" si="0"/>
        <v>221</v>
      </c>
      <c r="B235" s="686" t="s">
        <v>325</v>
      </c>
      <c r="C235" s="351"/>
      <c r="D235" s="687" t="s">
        <v>294</v>
      </c>
      <c r="E235" s="350"/>
      <c r="F235" s="350"/>
      <c r="G235" s="351"/>
      <c r="H235" s="688" t="s">
        <v>294</v>
      </c>
      <c r="I235" s="350"/>
      <c r="J235" s="350"/>
      <c r="K235" s="351"/>
      <c r="L235" s="538" t="s">
        <v>294</v>
      </c>
      <c r="M235" s="350"/>
      <c r="N235" s="351"/>
      <c r="O235" s="539" t="s">
        <v>294</v>
      </c>
      <c r="P235" s="350"/>
      <c r="Q235" s="351"/>
      <c r="R235" s="574"/>
      <c r="S235" s="350"/>
      <c r="T235" s="351"/>
      <c r="U235" s="567"/>
      <c r="V235" s="350"/>
      <c r="W235" s="351"/>
      <c r="X235" s="77"/>
      <c r="Y235" s="78"/>
      <c r="Z235" s="77"/>
      <c r="AA235" s="78"/>
      <c r="AB235" s="77"/>
      <c r="AC235" s="78"/>
      <c r="AD235" s="77"/>
      <c r="AE235" s="78"/>
      <c r="AF235" s="77"/>
      <c r="AG235" s="78"/>
      <c r="AH235" s="77"/>
      <c r="AI235" s="78"/>
      <c r="AJ235" s="64"/>
      <c r="AK235" s="80"/>
      <c r="AL235" s="64"/>
      <c r="AM235" s="80"/>
      <c r="AN235" s="64"/>
      <c r="AO235" s="80"/>
      <c r="AP235" s="64"/>
      <c r="AQ235" s="80"/>
      <c r="AR235" s="64"/>
      <c r="AS235" s="679" t="s">
        <v>294</v>
      </c>
      <c r="AT235" s="350"/>
      <c r="AU235" s="350"/>
      <c r="AV235" s="350"/>
      <c r="AW235" s="350"/>
      <c r="AX235" s="350"/>
      <c r="AY235" s="351"/>
      <c r="AZ235" s="81"/>
      <c r="BA235" s="81"/>
      <c r="BB235" s="677" t="s">
        <v>325</v>
      </c>
      <c r="BC235" s="351"/>
      <c r="BD235" s="681" t="s">
        <v>294</v>
      </c>
      <c r="BE235" s="350"/>
      <c r="BF235" s="351"/>
      <c r="BG235" s="678" t="s">
        <v>294</v>
      </c>
      <c r="BH235" s="350"/>
      <c r="BI235" s="350"/>
      <c r="BJ235" s="351"/>
      <c r="BK235" s="680"/>
      <c r="BL235" s="350"/>
      <c r="BM235" s="351"/>
      <c r="BN235" s="82"/>
      <c r="BO235" s="82"/>
      <c r="BP235" s="678"/>
      <c r="BQ235" s="350"/>
      <c r="BR235" s="351"/>
      <c r="BS235" s="681" t="s">
        <v>294</v>
      </c>
      <c r="BT235" s="350"/>
      <c r="BU235" s="351"/>
    </row>
    <row r="236" spans="1:73" ht="30" customHeight="1">
      <c r="A236" s="76">
        <f t="shared" si="0"/>
        <v>222</v>
      </c>
      <c r="B236" s="686" t="s">
        <v>325</v>
      </c>
      <c r="C236" s="351"/>
      <c r="D236" s="687" t="s">
        <v>294</v>
      </c>
      <c r="E236" s="350"/>
      <c r="F236" s="350"/>
      <c r="G236" s="351"/>
      <c r="H236" s="688" t="s">
        <v>294</v>
      </c>
      <c r="I236" s="350"/>
      <c r="J236" s="350"/>
      <c r="K236" s="351"/>
      <c r="L236" s="538" t="s">
        <v>294</v>
      </c>
      <c r="M236" s="350"/>
      <c r="N236" s="351"/>
      <c r="O236" s="539" t="s">
        <v>294</v>
      </c>
      <c r="P236" s="350"/>
      <c r="Q236" s="351"/>
      <c r="R236" s="574"/>
      <c r="S236" s="350"/>
      <c r="T236" s="351"/>
      <c r="U236" s="567"/>
      <c r="V236" s="350"/>
      <c r="W236" s="351"/>
      <c r="X236" s="77"/>
      <c r="Y236" s="78"/>
      <c r="Z236" s="77"/>
      <c r="AA236" s="78"/>
      <c r="AB236" s="77"/>
      <c r="AC236" s="78"/>
      <c r="AD236" s="77"/>
      <c r="AE236" s="78"/>
      <c r="AF236" s="77"/>
      <c r="AG236" s="78"/>
      <c r="AH236" s="77"/>
      <c r="AI236" s="78"/>
      <c r="AJ236" s="64"/>
      <c r="AK236" s="80"/>
      <c r="AL236" s="64"/>
      <c r="AM236" s="80"/>
      <c r="AN236" s="64"/>
      <c r="AO236" s="80"/>
      <c r="AP236" s="64"/>
      <c r="AQ236" s="80"/>
      <c r="AR236" s="64"/>
      <c r="AS236" s="679" t="s">
        <v>294</v>
      </c>
      <c r="AT236" s="350"/>
      <c r="AU236" s="350"/>
      <c r="AV236" s="350"/>
      <c r="AW236" s="350"/>
      <c r="AX236" s="350"/>
      <c r="AY236" s="351"/>
      <c r="AZ236" s="81"/>
      <c r="BA236" s="81"/>
      <c r="BB236" s="677" t="s">
        <v>325</v>
      </c>
      <c r="BC236" s="351"/>
      <c r="BD236" s="681" t="s">
        <v>294</v>
      </c>
      <c r="BE236" s="350"/>
      <c r="BF236" s="351"/>
      <c r="BG236" s="678" t="s">
        <v>294</v>
      </c>
      <c r="BH236" s="350"/>
      <c r="BI236" s="350"/>
      <c r="BJ236" s="351"/>
      <c r="BK236" s="680"/>
      <c r="BL236" s="350"/>
      <c r="BM236" s="351"/>
      <c r="BN236" s="82"/>
      <c r="BO236" s="82"/>
      <c r="BP236" s="678"/>
      <c r="BQ236" s="350"/>
      <c r="BR236" s="351"/>
      <c r="BS236" s="681" t="s">
        <v>294</v>
      </c>
      <c r="BT236" s="350"/>
      <c r="BU236" s="351"/>
    </row>
    <row r="237" spans="1:73" ht="30" customHeight="1">
      <c r="A237" s="76">
        <f t="shared" si="0"/>
        <v>223</v>
      </c>
      <c r="B237" s="686" t="s">
        <v>325</v>
      </c>
      <c r="C237" s="351"/>
      <c r="D237" s="687" t="s">
        <v>294</v>
      </c>
      <c r="E237" s="350"/>
      <c r="F237" s="350"/>
      <c r="G237" s="351"/>
      <c r="H237" s="688" t="s">
        <v>294</v>
      </c>
      <c r="I237" s="350"/>
      <c r="J237" s="350"/>
      <c r="K237" s="351"/>
      <c r="L237" s="538" t="s">
        <v>294</v>
      </c>
      <c r="M237" s="350"/>
      <c r="N237" s="351"/>
      <c r="O237" s="539" t="s">
        <v>294</v>
      </c>
      <c r="P237" s="350"/>
      <c r="Q237" s="351"/>
      <c r="R237" s="574"/>
      <c r="S237" s="350"/>
      <c r="T237" s="351"/>
      <c r="U237" s="567"/>
      <c r="V237" s="350"/>
      <c r="W237" s="351"/>
      <c r="X237" s="77"/>
      <c r="Y237" s="78"/>
      <c r="Z237" s="77"/>
      <c r="AA237" s="78"/>
      <c r="AB237" s="77"/>
      <c r="AC237" s="78"/>
      <c r="AD237" s="77"/>
      <c r="AE237" s="78"/>
      <c r="AF237" s="77"/>
      <c r="AG237" s="78"/>
      <c r="AH237" s="77"/>
      <c r="AI237" s="78"/>
      <c r="AJ237" s="64"/>
      <c r="AK237" s="80"/>
      <c r="AL237" s="64"/>
      <c r="AM237" s="80"/>
      <c r="AN237" s="64"/>
      <c r="AO237" s="80"/>
      <c r="AP237" s="64"/>
      <c r="AQ237" s="80"/>
      <c r="AR237" s="64"/>
      <c r="AS237" s="679" t="s">
        <v>294</v>
      </c>
      <c r="AT237" s="350"/>
      <c r="AU237" s="350"/>
      <c r="AV237" s="350"/>
      <c r="AW237" s="350"/>
      <c r="AX237" s="350"/>
      <c r="AY237" s="351"/>
      <c r="AZ237" s="81"/>
      <c r="BA237" s="81"/>
      <c r="BB237" s="677" t="s">
        <v>325</v>
      </c>
      <c r="BC237" s="351"/>
      <c r="BD237" s="681" t="s">
        <v>294</v>
      </c>
      <c r="BE237" s="350"/>
      <c r="BF237" s="351"/>
      <c r="BG237" s="678" t="s">
        <v>294</v>
      </c>
      <c r="BH237" s="350"/>
      <c r="BI237" s="350"/>
      <c r="BJ237" s="351"/>
      <c r="BK237" s="680"/>
      <c r="BL237" s="350"/>
      <c r="BM237" s="351"/>
      <c r="BN237" s="82"/>
      <c r="BO237" s="82"/>
      <c r="BP237" s="678"/>
      <c r="BQ237" s="350"/>
      <c r="BR237" s="351"/>
      <c r="BS237" s="681" t="s">
        <v>294</v>
      </c>
      <c r="BT237" s="350"/>
      <c r="BU237" s="351"/>
    </row>
    <row r="238" spans="1:73" ht="30" customHeight="1">
      <c r="A238" s="76">
        <f t="shared" si="0"/>
        <v>224</v>
      </c>
      <c r="B238" s="686" t="s">
        <v>325</v>
      </c>
      <c r="C238" s="351"/>
      <c r="D238" s="687" t="s">
        <v>294</v>
      </c>
      <c r="E238" s="350"/>
      <c r="F238" s="350"/>
      <c r="G238" s="351"/>
      <c r="H238" s="688" t="s">
        <v>294</v>
      </c>
      <c r="I238" s="350"/>
      <c r="J238" s="350"/>
      <c r="K238" s="351"/>
      <c r="L238" s="538" t="s">
        <v>294</v>
      </c>
      <c r="M238" s="350"/>
      <c r="N238" s="351"/>
      <c r="O238" s="539" t="s">
        <v>294</v>
      </c>
      <c r="P238" s="350"/>
      <c r="Q238" s="351"/>
      <c r="R238" s="574"/>
      <c r="S238" s="350"/>
      <c r="T238" s="351"/>
      <c r="U238" s="567"/>
      <c r="V238" s="350"/>
      <c r="W238" s="351"/>
      <c r="X238" s="77"/>
      <c r="Y238" s="78"/>
      <c r="Z238" s="77"/>
      <c r="AA238" s="78"/>
      <c r="AB238" s="77"/>
      <c r="AC238" s="78"/>
      <c r="AD238" s="77"/>
      <c r="AE238" s="78"/>
      <c r="AF238" s="77"/>
      <c r="AG238" s="78"/>
      <c r="AH238" s="77"/>
      <c r="AI238" s="78"/>
      <c r="AJ238" s="64"/>
      <c r="AK238" s="80"/>
      <c r="AL238" s="64"/>
      <c r="AM238" s="80"/>
      <c r="AN238" s="64"/>
      <c r="AO238" s="80"/>
      <c r="AP238" s="64"/>
      <c r="AQ238" s="80"/>
      <c r="AR238" s="64"/>
      <c r="AS238" s="679" t="s">
        <v>294</v>
      </c>
      <c r="AT238" s="350"/>
      <c r="AU238" s="350"/>
      <c r="AV238" s="350"/>
      <c r="AW238" s="350"/>
      <c r="AX238" s="350"/>
      <c r="AY238" s="351"/>
      <c r="AZ238" s="81"/>
      <c r="BA238" s="81"/>
      <c r="BB238" s="677" t="s">
        <v>325</v>
      </c>
      <c r="BC238" s="351"/>
      <c r="BD238" s="681" t="s">
        <v>294</v>
      </c>
      <c r="BE238" s="350"/>
      <c r="BF238" s="351"/>
      <c r="BG238" s="678" t="s">
        <v>294</v>
      </c>
      <c r="BH238" s="350"/>
      <c r="BI238" s="350"/>
      <c r="BJ238" s="351"/>
      <c r="BK238" s="680"/>
      <c r="BL238" s="350"/>
      <c r="BM238" s="351"/>
      <c r="BN238" s="82"/>
      <c r="BO238" s="82"/>
      <c r="BP238" s="678"/>
      <c r="BQ238" s="350"/>
      <c r="BR238" s="351"/>
      <c r="BS238" s="681" t="s">
        <v>294</v>
      </c>
      <c r="BT238" s="350"/>
      <c r="BU238" s="351"/>
    </row>
    <row r="239" spans="1:73" ht="30" customHeight="1">
      <c r="A239" s="76">
        <f t="shared" si="0"/>
        <v>225</v>
      </c>
      <c r="B239" s="686" t="s">
        <v>325</v>
      </c>
      <c r="C239" s="351"/>
      <c r="D239" s="687" t="s">
        <v>294</v>
      </c>
      <c r="E239" s="350"/>
      <c r="F239" s="350"/>
      <c r="G239" s="351"/>
      <c r="H239" s="688" t="s">
        <v>294</v>
      </c>
      <c r="I239" s="350"/>
      <c r="J239" s="350"/>
      <c r="K239" s="351"/>
      <c r="L239" s="538" t="s">
        <v>294</v>
      </c>
      <c r="M239" s="350"/>
      <c r="N239" s="351"/>
      <c r="O239" s="539" t="s">
        <v>294</v>
      </c>
      <c r="P239" s="350"/>
      <c r="Q239" s="351"/>
      <c r="R239" s="574"/>
      <c r="S239" s="350"/>
      <c r="T239" s="351"/>
      <c r="U239" s="567"/>
      <c r="V239" s="350"/>
      <c r="W239" s="351"/>
      <c r="X239" s="77"/>
      <c r="Y239" s="78"/>
      <c r="Z239" s="77"/>
      <c r="AA239" s="78"/>
      <c r="AB239" s="77"/>
      <c r="AC239" s="78"/>
      <c r="AD239" s="77"/>
      <c r="AE239" s="78"/>
      <c r="AF239" s="77"/>
      <c r="AG239" s="78"/>
      <c r="AH239" s="77"/>
      <c r="AI239" s="78"/>
      <c r="AJ239" s="64"/>
      <c r="AK239" s="80"/>
      <c r="AL239" s="64"/>
      <c r="AM239" s="80"/>
      <c r="AN239" s="64"/>
      <c r="AO239" s="80"/>
      <c r="AP239" s="64"/>
      <c r="AQ239" s="80"/>
      <c r="AR239" s="64"/>
      <c r="AS239" s="679" t="s">
        <v>294</v>
      </c>
      <c r="AT239" s="350"/>
      <c r="AU239" s="350"/>
      <c r="AV239" s="350"/>
      <c r="AW239" s="350"/>
      <c r="AX239" s="350"/>
      <c r="AY239" s="351"/>
      <c r="AZ239" s="81"/>
      <c r="BA239" s="81"/>
      <c r="BB239" s="685" t="s">
        <v>325</v>
      </c>
      <c r="BC239" s="351"/>
      <c r="BD239" s="681" t="s">
        <v>294</v>
      </c>
      <c r="BE239" s="350"/>
      <c r="BF239" s="351"/>
      <c r="BG239" s="678" t="s">
        <v>294</v>
      </c>
      <c r="BH239" s="350"/>
      <c r="BI239" s="350"/>
      <c r="BJ239" s="351"/>
      <c r="BK239" s="680"/>
      <c r="BL239" s="350"/>
      <c r="BM239" s="351"/>
      <c r="BN239" s="82"/>
      <c r="BO239" s="82"/>
      <c r="BP239" s="678"/>
      <c r="BQ239" s="350"/>
      <c r="BR239" s="351"/>
      <c r="BS239" s="681" t="s">
        <v>294</v>
      </c>
      <c r="BT239" s="350"/>
      <c r="BU239" s="351"/>
    </row>
    <row r="240" spans="1:73" ht="30" customHeight="1">
      <c r="A240" s="76">
        <f t="shared" si="0"/>
        <v>226</v>
      </c>
      <c r="B240" s="686" t="s">
        <v>325</v>
      </c>
      <c r="C240" s="351"/>
      <c r="D240" s="687" t="s">
        <v>294</v>
      </c>
      <c r="E240" s="350"/>
      <c r="F240" s="350"/>
      <c r="G240" s="351"/>
      <c r="H240" s="688" t="s">
        <v>294</v>
      </c>
      <c r="I240" s="350"/>
      <c r="J240" s="350"/>
      <c r="K240" s="351"/>
      <c r="L240" s="538" t="s">
        <v>294</v>
      </c>
      <c r="M240" s="350"/>
      <c r="N240" s="351"/>
      <c r="O240" s="539" t="s">
        <v>294</v>
      </c>
      <c r="P240" s="350"/>
      <c r="Q240" s="351"/>
      <c r="R240" s="574"/>
      <c r="S240" s="350"/>
      <c r="T240" s="351"/>
      <c r="U240" s="567"/>
      <c r="V240" s="350"/>
      <c r="W240" s="351"/>
      <c r="X240" s="77"/>
      <c r="Y240" s="78"/>
      <c r="Z240" s="77"/>
      <c r="AA240" s="78"/>
      <c r="AB240" s="77"/>
      <c r="AC240" s="78"/>
      <c r="AD240" s="77"/>
      <c r="AE240" s="78"/>
      <c r="AF240" s="77"/>
      <c r="AG240" s="78"/>
      <c r="AH240" s="77"/>
      <c r="AI240" s="78"/>
      <c r="AJ240" s="64"/>
      <c r="AK240" s="80"/>
      <c r="AL240" s="64"/>
      <c r="AM240" s="80"/>
      <c r="AN240" s="64"/>
      <c r="AO240" s="80"/>
      <c r="AP240" s="64"/>
      <c r="AQ240" s="80"/>
      <c r="AR240" s="64"/>
      <c r="AS240" s="679" t="s">
        <v>294</v>
      </c>
      <c r="AT240" s="350"/>
      <c r="AU240" s="350"/>
      <c r="AV240" s="350"/>
      <c r="AW240" s="350"/>
      <c r="AX240" s="350"/>
      <c r="AY240" s="351"/>
      <c r="AZ240" s="81"/>
      <c r="BA240" s="81"/>
      <c r="BB240" s="677" t="s">
        <v>325</v>
      </c>
      <c r="BC240" s="351"/>
      <c r="BD240" s="681" t="s">
        <v>294</v>
      </c>
      <c r="BE240" s="350"/>
      <c r="BF240" s="351"/>
      <c r="BG240" s="678" t="s">
        <v>294</v>
      </c>
      <c r="BH240" s="350"/>
      <c r="BI240" s="350"/>
      <c r="BJ240" s="351"/>
      <c r="BK240" s="680"/>
      <c r="BL240" s="350"/>
      <c r="BM240" s="351"/>
      <c r="BN240" s="82"/>
      <c r="BO240" s="82"/>
      <c r="BP240" s="678"/>
      <c r="BQ240" s="350"/>
      <c r="BR240" s="351"/>
      <c r="BS240" s="681" t="s">
        <v>294</v>
      </c>
      <c r="BT240" s="350"/>
      <c r="BU240" s="351"/>
    </row>
    <row r="241" spans="1:73" ht="30" customHeight="1">
      <c r="A241" s="76">
        <f t="shared" si="0"/>
        <v>227</v>
      </c>
      <c r="B241" s="686" t="s">
        <v>325</v>
      </c>
      <c r="C241" s="351"/>
      <c r="D241" s="687" t="s">
        <v>294</v>
      </c>
      <c r="E241" s="350"/>
      <c r="F241" s="350"/>
      <c r="G241" s="351"/>
      <c r="H241" s="688" t="s">
        <v>294</v>
      </c>
      <c r="I241" s="350"/>
      <c r="J241" s="350"/>
      <c r="K241" s="351"/>
      <c r="L241" s="538" t="s">
        <v>294</v>
      </c>
      <c r="M241" s="350"/>
      <c r="N241" s="351"/>
      <c r="O241" s="539" t="s">
        <v>294</v>
      </c>
      <c r="P241" s="350"/>
      <c r="Q241" s="351"/>
      <c r="R241" s="574"/>
      <c r="S241" s="350"/>
      <c r="T241" s="351"/>
      <c r="U241" s="567"/>
      <c r="V241" s="350"/>
      <c r="W241" s="351"/>
      <c r="X241" s="77"/>
      <c r="Y241" s="78"/>
      <c r="Z241" s="77"/>
      <c r="AA241" s="78"/>
      <c r="AB241" s="77"/>
      <c r="AC241" s="78"/>
      <c r="AD241" s="77"/>
      <c r="AE241" s="78"/>
      <c r="AF241" s="77"/>
      <c r="AG241" s="78"/>
      <c r="AH241" s="77"/>
      <c r="AI241" s="78"/>
      <c r="AJ241" s="64"/>
      <c r="AK241" s="80"/>
      <c r="AL241" s="64"/>
      <c r="AM241" s="80"/>
      <c r="AN241" s="64"/>
      <c r="AO241" s="80"/>
      <c r="AP241" s="64"/>
      <c r="AQ241" s="80"/>
      <c r="AR241" s="64"/>
      <c r="AS241" s="679" t="s">
        <v>294</v>
      </c>
      <c r="AT241" s="350"/>
      <c r="AU241" s="350"/>
      <c r="AV241" s="350"/>
      <c r="AW241" s="350"/>
      <c r="AX241" s="350"/>
      <c r="AY241" s="351"/>
      <c r="AZ241" s="81"/>
      <c r="BA241" s="81"/>
      <c r="BB241" s="677" t="s">
        <v>325</v>
      </c>
      <c r="BC241" s="351"/>
      <c r="BD241" s="681" t="s">
        <v>294</v>
      </c>
      <c r="BE241" s="350"/>
      <c r="BF241" s="351"/>
      <c r="BG241" s="678" t="s">
        <v>294</v>
      </c>
      <c r="BH241" s="350"/>
      <c r="BI241" s="350"/>
      <c r="BJ241" s="351"/>
      <c r="BK241" s="680"/>
      <c r="BL241" s="350"/>
      <c r="BM241" s="351"/>
      <c r="BN241" s="82"/>
      <c r="BO241" s="82"/>
      <c r="BP241" s="678"/>
      <c r="BQ241" s="350"/>
      <c r="BR241" s="351"/>
      <c r="BS241" s="681" t="s">
        <v>294</v>
      </c>
      <c r="BT241" s="350"/>
      <c r="BU241" s="351"/>
    </row>
    <row r="242" spans="1:73" ht="30" customHeight="1">
      <c r="A242" s="76">
        <f t="shared" si="0"/>
        <v>228</v>
      </c>
      <c r="B242" s="686" t="s">
        <v>325</v>
      </c>
      <c r="C242" s="351"/>
      <c r="D242" s="687" t="s">
        <v>294</v>
      </c>
      <c r="E242" s="350"/>
      <c r="F242" s="350"/>
      <c r="G242" s="351"/>
      <c r="H242" s="688" t="s">
        <v>294</v>
      </c>
      <c r="I242" s="350"/>
      <c r="J242" s="350"/>
      <c r="K242" s="351"/>
      <c r="L242" s="538" t="s">
        <v>294</v>
      </c>
      <c r="M242" s="350"/>
      <c r="N242" s="351"/>
      <c r="O242" s="539" t="s">
        <v>294</v>
      </c>
      <c r="P242" s="350"/>
      <c r="Q242" s="351"/>
      <c r="R242" s="574"/>
      <c r="S242" s="350"/>
      <c r="T242" s="351"/>
      <c r="U242" s="567"/>
      <c r="V242" s="350"/>
      <c r="W242" s="351"/>
      <c r="X242" s="77"/>
      <c r="Y242" s="78"/>
      <c r="Z242" s="77"/>
      <c r="AA242" s="78"/>
      <c r="AB242" s="77"/>
      <c r="AC242" s="78"/>
      <c r="AD242" s="77"/>
      <c r="AE242" s="78"/>
      <c r="AF242" s="77"/>
      <c r="AG242" s="78"/>
      <c r="AH242" s="77"/>
      <c r="AI242" s="78"/>
      <c r="AJ242" s="64"/>
      <c r="AK242" s="80"/>
      <c r="AL242" s="64"/>
      <c r="AM242" s="80"/>
      <c r="AN242" s="64"/>
      <c r="AO242" s="80"/>
      <c r="AP242" s="64"/>
      <c r="AQ242" s="80"/>
      <c r="AR242" s="64"/>
      <c r="AS242" s="679" t="s">
        <v>294</v>
      </c>
      <c r="AT242" s="350"/>
      <c r="AU242" s="350"/>
      <c r="AV242" s="350"/>
      <c r="AW242" s="350"/>
      <c r="AX242" s="350"/>
      <c r="AY242" s="351"/>
      <c r="AZ242" s="81"/>
      <c r="BA242" s="81"/>
      <c r="BB242" s="677" t="s">
        <v>325</v>
      </c>
      <c r="BC242" s="351"/>
      <c r="BD242" s="681" t="s">
        <v>294</v>
      </c>
      <c r="BE242" s="350"/>
      <c r="BF242" s="351"/>
      <c r="BG242" s="678" t="s">
        <v>294</v>
      </c>
      <c r="BH242" s="350"/>
      <c r="BI242" s="350"/>
      <c r="BJ242" s="351"/>
      <c r="BK242" s="680"/>
      <c r="BL242" s="350"/>
      <c r="BM242" s="351"/>
      <c r="BN242" s="82"/>
      <c r="BO242" s="82"/>
      <c r="BP242" s="678"/>
      <c r="BQ242" s="350"/>
      <c r="BR242" s="351"/>
      <c r="BS242" s="681" t="s">
        <v>294</v>
      </c>
      <c r="BT242" s="350"/>
      <c r="BU242" s="351"/>
    </row>
    <row r="243" spans="1:73" ht="30" customHeight="1">
      <c r="A243" s="76">
        <f t="shared" si="0"/>
        <v>229</v>
      </c>
      <c r="B243" s="686" t="s">
        <v>325</v>
      </c>
      <c r="C243" s="351"/>
      <c r="D243" s="687" t="s">
        <v>294</v>
      </c>
      <c r="E243" s="350"/>
      <c r="F243" s="350"/>
      <c r="G243" s="351"/>
      <c r="H243" s="688" t="s">
        <v>294</v>
      </c>
      <c r="I243" s="350"/>
      <c r="J243" s="350"/>
      <c r="K243" s="351"/>
      <c r="L243" s="538" t="s">
        <v>294</v>
      </c>
      <c r="M243" s="350"/>
      <c r="N243" s="351"/>
      <c r="O243" s="539" t="s">
        <v>294</v>
      </c>
      <c r="P243" s="350"/>
      <c r="Q243" s="351"/>
      <c r="R243" s="574"/>
      <c r="S243" s="350"/>
      <c r="T243" s="351"/>
      <c r="U243" s="567"/>
      <c r="V243" s="350"/>
      <c r="W243" s="351"/>
      <c r="X243" s="77"/>
      <c r="Y243" s="78"/>
      <c r="Z243" s="77"/>
      <c r="AA243" s="78"/>
      <c r="AB243" s="77"/>
      <c r="AC243" s="78"/>
      <c r="AD243" s="77"/>
      <c r="AE243" s="78"/>
      <c r="AF243" s="77"/>
      <c r="AG243" s="78"/>
      <c r="AH243" s="77"/>
      <c r="AI243" s="78"/>
      <c r="AJ243" s="64"/>
      <c r="AK243" s="80"/>
      <c r="AL243" s="64"/>
      <c r="AM243" s="80"/>
      <c r="AN243" s="64"/>
      <c r="AO243" s="80"/>
      <c r="AP243" s="64"/>
      <c r="AQ243" s="80"/>
      <c r="AR243" s="64"/>
      <c r="AS243" s="679" t="s">
        <v>294</v>
      </c>
      <c r="AT243" s="350"/>
      <c r="AU243" s="350"/>
      <c r="AV243" s="350"/>
      <c r="AW243" s="350"/>
      <c r="AX243" s="350"/>
      <c r="AY243" s="351"/>
      <c r="AZ243" s="81"/>
      <c r="BA243" s="81"/>
      <c r="BB243" s="677" t="s">
        <v>325</v>
      </c>
      <c r="BC243" s="351"/>
      <c r="BD243" s="681" t="s">
        <v>294</v>
      </c>
      <c r="BE243" s="350"/>
      <c r="BF243" s="351"/>
      <c r="BG243" s="678" t="s">
        <v>294</v>
      </c>
      <c r="BH243" s="350"/>
      <c r="BI243" s="350"/>
      <c r="BJ243" s="351"/>
      <c r="BK243" s="680"/>
      <c r="BL243" s="350"/>
      <c r="BM243" s="351"/>
      <c r="BN243" s="82"/>
      <c r="BO243" s="82"/>
      <c r="BP243" s="678"/>
      <c r="BQ243" s="350"/>
      <c r="BR243" s="351"/>
      <c r="BS243" s="681" t="s">
        <v>294</v>
      </c>
      <c r="BT243" s="350"/>
      <c r="BU243" s="351"/>
    </row>
    <row r="244" spans="1:73" ht="30" customHeight="1">
      <c r="A244" s="76">
        <f t="shared" si="0"/>
        <v>230</v>
      </c>
      <c r="B244" s="686" t="s">
        <v>325</v>
      </c>
      <c r="C244" s="351"/>
      <c r="D244" s="687" t="s">
        <v>294</v>
      </c>
      <c r="E244" s="350"/>
      <c r="F244" s="350"/>
      <c r="G244" s="351"/>
      <c r="H244" s="688" t="s">
        <v>294</v>
      </c>
      <c r="I244" s="350"/>
      <c r="J244" s="350"/>
      <c r="K244" s="351"/>
      <c r="L244" s="538" t="s">
        <v>294</v>
      </c>
      <c r="M244" s="350"/>
      <c r="N244" s="351"/>
      <c r="O244" s="539" t="s">
        <v>294</v>
      </c>
      <c r="P244" s="350"/>
      <c r="Q244" s="351"/>
      <c r="R244" s="574"/>
      <c r="S244" s="350"/>
      <c r="T244" s="351"/>
      <c r="U244" s="567"/>
      <c r="V244" s="350"/>
      <c r="W244" s="351"/>
      <c r="X244" s="77"/>
      <c r="Y244" s="78"/>
      <c r="Z244" s="77"/>
      <c r="AA244" s="78"/>
      <c r="AB244" s="77"/>
      <c r="AC244" s="78"/>
      <c r="AD244" s="77"/>
      <c r="AE244" s="78"/>
      <c r="AF244" s="77"/>
      <c r="AG244" s="78"/>
      <c r="AH244" s="77"/>
      <c r="AI244" s="78"/>
      <c r="AJ244" s="64"/>
      <c r="AK244" s="80"/>
      <c r="AL244" s="64"/>
      <c r="AM244" s="80"/>
      <c r="AN244" s="64"/>
      <c r="AO244" s="80"/>
      <c r="AP244" s="64"/>
      <c r="AQ244" s="80"/>
      <c r="AR244" s="64"/>
      <c r="AS244" s="679" t="s">
        <v>294</v>
      </c>
      <c r="AT244" s="350"/>
      <c r="AU244" s="350"/>
      <c r="AV244" s="350"/>
      <c r="AW244" s="350"/>
      <c r="AX244" s="350"/>
      <c r="AY244" s="351"/>
      <c r="AZ244" s="81"/>
      <c r="BA244" s="81"/>
      <c r="BB244" s="677" t="s">
        <v>325</v>
      </c>
      <c r="BC244" s="351"/>
      <c r="BD244" s="681" t="s">
        <v>294</v>
      </c>
      <c r="BE244" s="350"/>
      <c r="BF244" s="351"/>
      <c r="BG244" s="678" t="s">
        <v>294</v>
      </c>
      <c r="BH244" s="350"/>
      <c r="BI244" s="350"/>
      <c r="BJ244" s="351"/>
      <c r="BK244" s="680"/>
      <c r="BL244" s="350"/>
      <c r="BM244" s="351"/>
      <c r="BN244" s="82"/>
      <c r="BO244" s="82"/>
      <c r="BP244" s="678"/>
      <c r="BQ244" s="350"/>
      <c r="BR244" s="351"/>
      <c r="BS244" s="681" t="s">
        <v>294</v>
      </c>
      <c r="BT244" s="350"/>
      <c r="BU244" s="351"/>
    </row>
    <row r="245" spans="1:73" ht="30" customHeight="1">
      <c r="A245" s="76">
        <f t="shared" si="0"/>
        <v>231</v>
      </c>
      <c r="B245" s="686" t="s">
        <v>325</v>
      </c>
      <c r="C245" s="351"/>
      <c r="D245" s="687" t="s">
        <v>294</v>
      </c>
      <c r="E245" s="350"/>
      <c r="F245" s="350"/>
      <c r="G245" s="351"/>
      <c r="H245" s="688" t="s">
        <v>294</v>
      </c>
      <c r="I245" s="350"/>
      <c r="J245" s="350"/>
      <c r="K245" s="351"/>
      <c r="L245" s="538" t="s">
        <v>294</v>
      </c>
      <c r="M245" s="350"/>
      <c r="N245" s="351"/>
      <c r="O245" s="539" t="s">
        <v>294</v>
      </c>
      <c r="P245" s="350"/>
      <c r="Q245" s="351"/>
      <c r="R245" s="574"/>
      <c r="S245" s="350"/>
      <c r="T245" s="351"/>
      <c r="U245" s="567"/>
      <c r="V245" s="350"/>
      <c r="W245" s="351"/>
      <c r="X245" s="77"/>
      <c r="Y245" s="78"/>
      <c r="Z245" s="77"/>
      <c r="AA245" s="78"/>
      <c r="AB245" s="77"/>
      <c r="AC245" s="78"/>
      <c r="AD245" s="77"/>
      <c r="AE245" s="78"/>
      <c r="AF245" s="77"/>
      <c r="AG245" s="78"/>
      <c r="AH245" s="77"/>
      <c r="AI245" s="78"/>
      <c r="AJ245" s="64"/>
      <c r="AK245" s="80"/>
      <c r="AL245" s="64"/>
      <c r="AM245" s="80"/>
      <c r="AN245" s="64"/>
      <c r="AO245" s="80"/>
      <c r="AP245" s="64"/>
      <c r="AQ245" s="80"/>
      <c r="AR245" s="64"/>
      <c r="AS245" s="679" t="s">
        <v>294</v>
      </c>
      <c r="AT245" s="350"/>
      <c r="AU245" s="350"/>
      <c r="AV245" s="350"/>
      <c r="AW245" s="350"/>
      <c r="AX245" s="350"/>
      <c r="AY245" s="351"/>
      <c r="AZ245" s="81"/>
      <c r="BA245" s="81"/>
      <c r="BB245" s="677" t="s">
        <v>325</v>
      </c>
      <c r="BC245" s="351"/>
      <c r="BD245" s="681" t="s">
        <v>294</v>
      </c>
      <c r="BE245" s="350"/>
      <c r="BF245" s="351"/>
      <c r="BG245" s="678" t="s">
        <v>294</v>
      </c>
      <c r="BH245" s="350"/>
      <c r="BI245" s="350"/>
      <c r="BJ245" s="351"/>
      <c r="BK245" s="680"/>
      <c r="BL245" s="350"/>
      <c r="BM245" s="351"/>
      <c r="BN245" s="82"/>
      <c r="BO245" s="82"/>
      <c r="BP245" s="678"/>
      <c r="BQ245" s="350"/>
      <c r="BR245" s="351"/>
      <c r="BS245" s="681" t="s">
        <v>294</v>
      </c>
      <c r="BT245" s="350"/>
      <c r="BU245" s="351"/>
    </row>
    <row r="246" spans="1:73" ht="30" customHeight="1">
      <c r="A246" s="76">
        <f t="shared" si="0"/>
        <v>232</v>
      </c>
      <c r="B246" s="686" t="s">
        <v>325</v>
      </c>
      <c r="C246" s="351"/>
      <c r="D246" s="687" t="s">
        <v>294</v>
      </c>
      <c r="E246" s="350"/>
      <c r="F246" s="350"/>
      <c r="G246" s="351"/>
      <c r="H246" s="688" t="s">
        <v>294</v>
      </c>
      <c r="I246" s="350"/>
      <c r="J246" s="350"/>
      <c r="K246" s="351"/>
      <c r="L246" s="538" t="s">
        <v>294</v>
      </c>
      <c r="M246" s="350"/>
      <c r="N246" s="351"/>
      <c r="O246" s="539" t="s">
        <v>294</v>
      </c>
      <c r="P246" s="350"/>
      <c r="Q246" s="351"/>
      <c r="R246" s="574"/>
      <c r="S246" s="350"/>
      <c r="T246" s="351"/>
      <c r="U246" s="567"/>
      <c r="V246" s="350"/>
      <c r="W246" s="351"/>
      <c r="X246" s="77"/>
      <c r="Y246" s="78"/>
      <c r="Z246" s="77"/>
      <c r="AA246" s="78"/>
      <c r="AB246" s="77"/>
      <c r="AC246" s="78"/>
      <c r="AD246" s="77"/>
      <c r="AE246" s="78"/>
      <c r="AF246" s="77"/>
      <c r="AG246" s="78"/>
      <c r="AH246" s="77"/>
      <c r="AI246" s="78"/>
      <c r="AJ246" s="64"/>
      <c r="AK246" s="80"/>
      <c r="AL246" s="64"/>
      <c r="AM246" s="80"/>
      <c r="AN246" s="64"/>
      <c r="AO246" s="80"/>
      <c r="AP246" s="64"/>
      <c r="AQ246" s="80"/>
      <c r="AR246" s="64"/>
      <c r="AS246" s="679" t="s">
        <v>294</v>
      </c>
      <c r="AT246" s="350"/>
      <c r="AU246" s="350"/>
      <c r="AV246" s="350"/>
      <c r="AW246" s="350"/>
      <c r="AX246" s="350"/>
      <c r="AY246" s="351"/>
      <c r="AZ246" s="81"/>
      <c r="BA246" s="81"/>
      <c r="BB246" s="685" t="s">
        <v>325</v>
      </c>
      <c r="BC246" s="351"/>
      <c r="BD246" s="681" t="s">
        <v>294</v>
      </c>
      <c r="BE246" s="350"/>
      <c r="BF246" s="351"/>
      <c r="BG246" s="678" t="s">
        <v>294</v>
      </c>
      <c r="BH246" s="350"/>
      <c r="BI246" s="350"/>
      <c r="BJ246" s="351"/>
      <c r="BK246" s="680"/>
      <c r="BL246" s="350"/>
      <c r="BM246" s="351"/>
      <c r="BN246" s="82"/>
      <c r="BO246" s="82"/>
      <c r="BP246" s="678"/>
      <c r="BQ246" s="350"/>
      <c r="BR246" s="351"/>
      <c r="BS246" s="681" t="s">
        <v>294</v>
      </c>
      <c r="BT246" s="350"/>
      <c r="BU246" s="351"/>
    </row>
    <row r="247" spans="1:73" ht="30" customHeight="1">
      <c r="A247" s="76">
        <f t="shared" si="0"/>
        <v>233</v>
      </c>
      <c r="B247" s="686" t="s">
        <v>325</v>
      </c>
      <c r="C247" s="351"/>
      <c r="D247" s="687" t="s">
        <v>294</v>
      </c>
      <c r="E247" s="350"/>
      <c r="F247" s="350"/>
      <c r="G247" s="351"/>
      <c r="H247" s="688" t="s">
        <v>294</v>
      </c>
      <c r="I247" s="350"/>
      <c r="J247" s="350"/>
      <c r="K247" s="351"/>
      <c r="L247" s="538" t="s">
        <v>294</v>
      </c>
      <c r="M247" s="350"/>
      <c r="N247" s="351"/>
      <c r="O247" s="539" t="s">
        <v>294</v>
      </c>
      <c r="P247" s="350"/>
      <c r="Q247" s="351"/>
      <c r="R247" s="574"/>
      <c r="S247" s="350"/>
      <c r="T247" s="351"/>
      <c r="U247" s="567"/>
      <c r="V247" s="350"/>
      <c r="W247" s="351"/>
      <c r="X247" s="77"/>
      <c r="Y247" s="78"/>
      <c r="Z247" s="77"/>
      <c r="AA247" s="78"/>
      <c r="AB247" s="77"/>
      <c r="AC247" s="78"/>
      <c r="AD247" s="77"/>
      <c r="AE247" s="78"/>
      <c r="AF247" s="77"/>
      <c r="AG247" s="78"/>
      <c r="AH247" s="77"/>
      <c r="AI247" s="78"/>
      <c r="AJ247" s="64"/>
      <c r="AK247" s="80"/>
      <c r="AL247" s="64"/>
      <c r="AM247" s="80"/>
      <c r="AN247" s="64"/>
      <c r="AO247" s="80"/>
      <c r="AP247" s="64"/>
      <c r="AQ247" s="80"/>
      <c r="AR247" s="64"/>
      <c r="AS247" s="679" t="s">
        <v>294</v>
      </c>
      <c r="AT247" s="350"/>
      <c r="AU247" s="350"/>
      <c r="AV247" s="350"/>
      <c r="AW247" s="350"/>
      <c r="AX247" s="350"/>
      <c r="AY247" s="351"/>
      <c r="AZ247" s="81"/>
      <c r="BA247" s="81"/>
      <c r="BB247" s="677" t="s">
        <v>325</v>
      </c>
      <c r="BC247" s="351"/>
      <c r="BD247" s="681" t="s">
        <v>294</v>
      </c>
      <c r="BE247" s="350"/>
      <c r="BF247" s="351"/>
      <c r="BG247" s="678" t="s">
        <v>294</v>
      </c>
      <c r="BH247" s="350"/>
      <c r="BI247" s="350"/>
      <c r="BJ247" s="351"/>
      <c r="BK247" s="680"/>
      <c r="BL247" s="350"/>
      <c r="BM247" s="351"/>
      <c r="BN247" s="82"/>
      <c r="BO247" s="82"/>
      <c r="BP247" s="678"/>
      <c r="BQ247" s="350"/>
      <c r="BR247" s="351"/>
      <c r="BS247" s="681" t="s">
        <v>294</v>
      </c>
      <c r="BT247" s="350"/>
      <c r="BU247" s="351"/>
    </row>
    <row r="248" spans="1:73" ht="30" customHeight="1">
      <c r="A248" s="76">
        <f t="shared" si="0"/>
        <v>234</v>
      </c>
      <c r="B248" s="686" t="s">
        <v>325</v>
      </c>
      <c r="C248" s="351"/>
      <c r="D248" s="687" t="s">
        <v>294</v>
      </c>
      <c r="E248" s="350"/>
      <c r="F248" s="350"/>
      <c r="G248" s="351"/>
      <c r="H248" s="688" t="s">
        <v>294</v>
      </c>
      <c r="I248" s="350"/>
      <c r="J248" s="350"/>
      <c r="K248" s="351"/>
      <c r="L248" s="538" t="s">
        <v>294</v>
      </c>
      <c r="M248" s="350"/>
      <c r="N248" s="351"/>
      <c r="O248" s="539" t="s">
        <v>294</v>
      </c>
      <c r="P248" s="350"/>
      <c r="Q248" s="351"/>
      <c r="R248" s="574"/>
      <c r="S248" s="350"/>
      <c r="T248" s="351"/>
      <c r="U248" s="567"/>
      <c r="V248" s="350"/>
      <c r="W248" s="351"/>
      <c r="X248" s="77"/>
      <c r="Y248" s="78"/>
      <c r="Z248" s="77"/>
      <c r="AA248" s="78"/>
      <c r="AB248" s="77"/>
      <c r="AC248" s="78"/>
      <c r="AD248" s="77"/>
      <c r="AE248" s="78"/>
      <c r="AF248" s="77"/>
      <c r="AG248" s="78"/>
      <c r="AH248" s="77"/>
      <c r="AI248" s="78"/>
      <c r="AJ248" s="64"/>
      <c r="AK248" s="80"/>
      <c r="AL248" s="64"/>
      <c r="AM248" s="80"/>
      <c r="AN248" s="64"/>
      <c r="AO248" s="80"/>
      <c r="AP248" s="64"/>
      <c r="AQ248" s="80"/>
      <c r="AR248" s="64"/>
      <c r="AS248" s="679" t="s">
        <v>294</v>
      </c>
      <c r="AT248" s="350"/>
      <c r="AU248" s="350"/>
      <c r="AV248" s="350"/>
      <c r="AW248" s="350"/>
      <c r="AX248" s="350"/>
      <c r="AY248" s="351"/>
      <c r="AZ248" s="81"/>
      <c r="BA248" s="81"/>
      <c r="BB248" s="677" t="s">
        <v>325</v>
      </c>
      <c r="BC248" s="351"/>
      <c r="BD248" s="681" t="s">
        <v>294</v>
      </c>
      <c r="BE248" s="350"/>
      <c r="BF248" s="351"/>
      <c r="BG248" s="678" t="s">
        <v>294</v>
      </c>
      <c r="BH248" s="350"/>
      <c r="BI248" s="350"/>
      <c r="BJ248" s="351"/>
      <c r="BK248" s="680"/>
      <c r="BL248" s="350"/>
      <c r="BM248" s="351"/>
      <c r="BN248" s="82"/>
      <c r="BO248" s="82"/>
      <c r="BP248" s="678"/>
      <c r="BQ248" s="350"/>
      <c r="BR248" s="351"/>
      <c r="BS248" s="681" t="s">
        <v>294</v>
      </c>
      <c r="BT248" s="350"/>
      <c r="BU248" s="351"/>
    </row>
    <row r="249" spans="1:73" ht="30" customHeight="1">
      <c r="A249" s="76">
        <f t="shared" si="0"/>
        <v>235</v>
      </c>
      <c r="B249" s="686" t="s">
        <v>325</v>
      </c>
      <c r="C249" s="351"/>
      <c r="D249" s="687" t="s">
        <v>294</v>
      </c>
      <c r="E249" s="350"/>
      <c r="F249" s="350"/>
      <c r="G249" s="351"/>
      <c r="H249" s="688" t="s">
        <v>294</v>
      </c>
      <c r="I249" s="350"/>
      <c r="J249" s="350"/>
      <c r="K249" s="351"/>
      <c r="L249" s="538" t="s">
        <v>294</v>
      </c>
      <c r="M249" s="350"/>
      <c r="N249" s="351"/>
      <c r="O249" s="539" t="s">
        <v>294</v>
      </c>
      <c r="P249" s="350"/>
      <c r="Q249" s="351"/>
      <c r="R249" s="574"/>
      <c r="S249" s="350"/>
      <c r="T249" s="351"/>
      <c r="U249" s="567"/>
      <c r="V249" s="350"/>
      <c r="W249" s="351"/>
      <c r="X249" s="77"/>
      <c r="Y249" s="78"/>
      <c r="Z249" s="77"/>
      <c r="AA249" s="78"/>
      <c r="AB249" s="77"/>
      <c r="AC249" s="78"/>
      <c r="AD249" s="77"/>
      <c r="AE249" s="78"/>
      <c r="AF249" s="77"/>
      <c r="AG249" s="78"/>
      <c r="AH249" s="77"/>
      <c r="AI249" s="78"/>
      <c r="AJ249" s="64"/>
      <c r="AK249" s="80"/>
      <c r="AL249" s="64"/>
      <c r="AM249" s="80"/>
      <c r="AN249" s="64"/>
      <c r="AO249" s="80"/>
      <c r="AP249" s="64"/>
      <c r="AQ249" s="80"/>
      <c r="AR249" s="64"/>
      <c r="AS249" s="679" t="s">
        <v>294</v>
      </c>
      <c r="AT249" s="350"/>
      <c r="AU249" s="350"/>
      <c r="AV249" s="350"/>
      <c r="AW249" s="350"/>
      <c r="AX249" s="350"/>
      <c r="AY249" s="351"/>
      <c r="AZ249" s="81"/>
      <c r="BA249" s="81"/>
      <c r="BB249" s="677" t="s">
        <v>325</v>
      </c>
      <c r="BC249" s="351"/>
      <c r="BD249" s="681" t="s">
        <v>294</v>
      </c>
      <c r="BE249" s="350"/>
      <c r="BF249" s="351"/>
      <c r="BG249" s="678" t="s">
        <v>294</v>
      </c>
      <c r="BH249" s="350"/>
      <c r="BI249" s="350"/>
      <c r="BJ249" s="351"/>
      <c r="BK249" s="680"/>
      <c r="BL249" s="350"/>
      <c r="BM249" s="351"/>
      <c r="BN249" s="82"/>
      <c r="BO249" s="82"/>
      <c r="BP249" s="678"/>
      <c r="BQ249" s="350"/>
      <c r="BR249" s="351"/>
      <c r="BS249" s="681" t="s">
        <v>294</v>
      </c>
      <c r="BT249" s="350"/>
      <c r="BU249" s="351"/>
    </row>
    <row r="250" spans="1:73" ht="30" customHeight="1">
      <c r="A250" s="76">
        <f t="shared" si="0"/>
        <v>236</v>
      </c>
      <c r="B250" s="686" t="s">
        <v>325</v>
      </c>
      <c r="C250" s="351"/>
      <c r="D250" s="687" t="s">
        <v>294</v>
      </c>
      <c r="E250" s="350"/>
      <c r="F250" s="350"/>
      <c r="G250" s="351"/>
      <c r="H250" s="688" t="s">
        <v>294</v>
      </c>
      <c r="I250" s="350"/>
      <c r="J250" s="350"/>
      <c r="K250" s="351"/>
      <c r="L250" s="538" t="s">
        <v>294</v>
      </c>
      <c r="M250" s="350"/>
      <c r="N250" s="351"/>
      <c r="O250" s="539" t="s">
        <v>294</v>
      </c>
      <c r="P250" s="350"/>
      <c r="Q250" s="351"/>
      <c r="R250" s="574"/>
      <c r="S250" s="350"/>
      <c r="T250" s="351"/>
      <c r="U250" s="567"/>
      <c r="V250" s="350"/>
      <c r="W250" s="351"/>
      <c r="X250" s="77"/>
      <c r="Y250" s="78"/>
      <c r="Z250" s="77"/>
      <c r="AA250" s="78"/>
      <c r="AB250" s="77"/>
      <c r="AC250" s="78"/>
      <c r="AD250" s="77"/>
      <c r="AE250" s="78"/>
      <c r="AF250" s="77"/>
      <c r="AG250" s="78"/>
      <c r="AH250" s="77"/>
      <c r="AI250" s="78"/>
      <c r="AJ250" s="64"/>
      <c r="AK250" s="80"/>
      <c r="AL250" s="64"/>
      <c r="AM250" s="80"/>
      <c r="AN250" s="64"/>
      <c r="AO250" s="80"/>
      <c r="AP250" s="64"/>
      <c r="AQ250" s="80"/>
      <c r="AR250" s="64"/>
      <c r="AS250" s="679" t="s">
        <v>294</v>
      </c>
      <c r="AT250" s="350"/>
      <c r="AU250" s="350"/>
      <c r="AV250" s="350"/>
      <c r="AW250" s="350"/>
      <c r="AX250" s="350"/>
      <c r="AY250" s="351"/>
      <c r="AZ250" s="81"/>
      <c r="BA250" s="81"/>
      <c r="BB250" s="677" t="s">
        <v>325</v>
      </c>
      <c r="BC250" s="351"/>
      <c r="BD250" s="681" t="s">
        <v>294</v>
      </c>
      <c r="BE250" s="350"/>
      <c r="BF250" s="351"/>
      <c r="BG250" s="678" t="s">
        <v>294</v>
      </c>
      <c r="BH250" s="350"/>
      <c r="BI250" s="350"/>
      <c r="BJ250" s="351"/>
      <c r="BK250" s="680"/>
      <c r="BL250" s="350"/>
      <c r="BM250" s="351"/>
      <c r="BN250" s="82"/>
      <c r="BO250" s="82"/>
      <c r="BP250" s="678"/>
      <c r="BQ250" s="350"/>
      <c r="BR250" s="351"/>
      <c r="BS250" s="681" t="s">
        <v>294</v>
      </c>
      <c r="BT250" s="350"/>
      <c r="BU250" s="351"/>
    </row>
    <row r="251" spans="1:73" ht="30" customHeight="1">
      <c r="A251" s="76">
        <f t="shared" si="0"/>
        <v>237</v>
      </c>
      <c r="B251" s="686" t="s">
        <v>325</v>
      </c>
      <c r="C251" s="351"/>
      <c r="D251" s="687" t="s">
        <v>294</v>
      </c>
      <c r="E251" s="350"/>
      <c r="F251" s="350"/>
      <c r="G251" s="351"/>
      <c r="H251" s="688" t="s">
        <v>294</v>
      </c>
      <c r="I251" s="350"/>
      <c r="J251" s="350"/>
      <c r="K251" s="351"/>
      <c r="L251" s="538" t="s">
        <v>294</v>
      </c>
      <c r="M251" s="350"/>
      <c r="N251" s="351"/>
      <c r="O251" s="539" t="s">
        <v>294</v>
      </c>
      <c r="P251" s="350"/>
      <c r="Q251" s="351"/>
      <c r="R251" s="574"/>
      <c r="S251" s="350"/>
      <c r="T251" s="351"/>
      <c r="U251" s="567"/>
      <c r="V251" s="350"/>
      <c r="W251" s="351"/>
      <c r="X251" s="77"/>
      <c r="Y251" s="78"/>
      <c r="Z251" s="77"/>
      <c r="AA251" s="78"/>
      <c r="AB251" s="77"/>
      <c r="AC251" s="78"/>
      <c r="AD251" s="77"/>
      <c r="AE251" s="78"/>
      <c r="AF251" s="77"/>
      <c r="AG251" s="78"/>
      <c r="AH251" s="77"/>
      <c r="AI251" s="78"/>
      <c r="AJ251" s="64"/>
      <c r="AK251" s="80"/>
      <c r="AL251" s="64"/>
      <c r="AM251" s="80"/>
      <c r="AN251" s="64"/>
      <c r="AO251" s="80"/>
      <c r="AP251" s="64"/>
      <c r="AQ251" s="80"/>
      <c r="AR251" s="64"/>
      <c r="AS251" s="679" t="s">
        <v>294</v>
      </c>
      <c r="AT251" s="350"/>
      <c r="AU251" s="350"/>
      <c r="AV251" s="350"/>
      <c r="AW251" s="350"/>
      <c r="AX251" s="350"/>
      <c r="AY251" s="351"/>
      <c r="AZ251" s="81"/>
      <c r="BA251" s="81"/>
      <c r="BB251" s="677" t="s">
        <v>325</v>
      </c>
      <c r="BC251" s="351"/>
      <c r="BD251" s="681" t="s">
        <v>294</v>
      </c>
      <c r="BE251" s="350"/>
      <c r="BF251" s="351"/>
      <c r="BG251" s="678" t="s">
        <v>294</v>
      </c>
      <c r="BH251" s="350"/>
      <c r="BI251" s="350"/>
      <c r="BJ251" s="351"/>
      <c r="BK251" s="680"/>
      <c r="BL251" s="350"/>
      <c r="BM251" s="351"/>
      <c r="BN251" s="82"/>
      <c r="BO251" s="82"/>
      <c r="BP251" s="678"/>
      <c r="BQ251" s="350"/>
      <c r="BR251" s="351"/>
      <c r="BS251" s="681" t="s">
        <v>294</v>
      </c>
      <c r="BT251" s="350"/>
      <c r="BU251" s="351"/>
    </row>
    <row r="252" spans="1:73" ht="30" customHeight="1">
      <c r="A252" s="76">
        <f t="shared" si="0"/>
        <v>238</v>
      </c>
      <c r="B252" s="686" t="s">
        <v>325</v>
      </c>
      <c r="C252" s="351"/>
      <c r="D252" s="687" t="s">
        <v>294</v>
      </c>
      <c r="E252" s="350"/>
      <c r="F252" s="350"/>
      <c r="G252" s="351"/>
      <c r="H252" s="688" t="s">
        <v>294</v>
      </c>
      <c r="I252" s="350"/>
      <c r="J252" s="350"/>
      <c r="K252" s="351"/>
      <c r="L252" s="538" t="s">
        <v>294</v>
      </c>
      <c r="M252" s="350"/>
      <c r="N252" s="351"/>
      <c r="O252" s="539" t="s">
        <v>294</v>
      </c>
      <c r="P252" s="350"/>
      <c r="Q252" s="351"/>
      <c r="R252" s="574"/>
      <c r="S252" s="350"/>
      <c r="T252" s="351"/>
      <c r="U252" s="567"/>
      <c r="V252" s="350"/>
      <c r="W252" s="351"/>
      <c r="X252" s="77"/>
      <c r="Y252" s="78"/>
      <c r="Z252" s="77"/>
      <c r="AA252" s="78"/>
      <c r="AB252" s="77"/>
      <c r="AC252" s="78"/>
      <c r="AD252" s="77"/>
      <c r="AE252" s="78"/>
      <c r="AF252" s="77"/>
      <c r="AG252" s="78"/>
      <c r="AH252" s="77"/>
      <c r="AI252" s="78"/>
      <c r="AJ252" s="64"/>
      <c r="AK252" s="80"/>
      <c r="AL252" s="64"/>
      <c r="AM252" s="80"/>
      <c r="AN252" s="64"/>
      <c r="AO252" s="80"/>
      <c r="AP252" s="64"/>
      <c r="AQ252" s="80"/>
      <c r="AR252" s="64"/>
      <c r="AS252" s="679" t="s">
        <v>294</v>
      </c>
      <c r="AT252" s="350"/>
      <c r="AU252" s="350"/>
      <c r="AV252" s="350"/>
      <c r="AW252" s="350"/>
      <c r="AX252" s="350"/>
      <c r="AY252" s="351"/>
      <c r="AZ252" s="81"/>
      <c r="BA252" s="81"/>
      <c r="BB252" s="677" t="s">
        <v>325</v>
      </c>
      <c r="BC252" s="351"/>
      <c r="BD252" s="681" t="s">
        <v>294</v>
      </c>
      <c r="BE252" s="350"/>
      <c r="BF252" s="351"/>
      <c r="BG252" s="678" t="s">
        <v>294</v>
      </c>
      <c r="BH252" s="350"/>
      <c r="BI252" s="350"/>
      <c r="BJ252" s="351"/>
      <c r="BK252" s="680"/>
      <c r="BL252" s="350"/>
      <c r="BM252" s="351"/>
      <c r="BN252" s="82"/>
      <c r="BO252" s="82"/>
      <c r="BP252" s="678"/>
      <c r="BQ252" s="350"/>
      <c r="BR252" s="351"/>
      <c r="BS252" s="681" t="s">
        <v>294</v>
      </c>
      <c r="BT252" s="350"/>
      <c r="BU252" s="351"/>
    </row>
    <row r="253" spans="1:73" ht="30" customHeight="1">
      <c r="A253" s="76">
        <f t="shared" si="0"/>
        <v>239</v>
      </c>
      <c r="B253" s="686" t="s">
        <v>325</v>
      </c>
      <c r="C253" s="351"/>
      <c r="D253" s="687" t="s">
        <v>294</v>
      </c>
      <c r="E253" s="350"/>
      <c r="F253" s="350"/>
      <c r="G253" s="351"/>
      <c r="H253" s="688" t="s">
        <v>294</v>
      </c>
      <c r="I253" s="350"/>
      <c r="J253" s="350"/>
      <c r="K253" s="351"/>
      <c r="L253" s="538" t="s">
        <v>294</v>
      </c>
      <c r="M253" s="350"/>
      <c r="N253" s="351"/>
      <c r="O253" s="539" t="s">
        <v>294</v>
      </c>
      <c r="P253" s="350"/>
      <c r="Q253" s="351"/>
      <c r="R253" s="574"/>
      <c r="S253" s="350"/>
      <c r="T253" s="351"/>
      <c r="U253" s="567"/>
      <c r="V253" s="350"/>
      <c r="W253" s="351"/>
      <c r="X253" s="77"/>
      <c r="Y253" s="78"/>
      <c r="Z253" s="77"/>
      <c r="AA253" s="78"/>
      <c r="AB253" s="77"/>
      <c r="AC253" s="78"/>
      <c r="AD253" s="77"/>
      <c r="AE253" s="78"/>
      <c r="AF253" s="77"/>
      <c r="AG253" s="78"/>
      <c r="AH253" s="77"/>
      <c r="AI253" s="78"/>
      <c r="AJ253" s="64"/>
      <c r="AK253" s="80"/>
      <c r="AL253" s="64"/>
      <c r="AM253" s="80"/>
      <c r="AN253" s="64"/>
      <c r="AO253" s="80"/>
      <c r="AP253" s="64"/>
      <c r="AQ253" s="80"/>
      <c r="AR253" s="64"/>
      <c r="AS253" s="679" t="s">
        <v>294</v>
      </c>
      <c r="AT253" s="350"/>
      <c r="AU253" s="350"/>
      <c r="AV253" s="350"/>
      <c r="AW253" s="350"/>
      <c r="AX253" s="350"/>
      <c r="AY253" s="351"/>
      <c r="AZ253" s="81"/>
      <c r="BA253" s="81"/>
      <c r="BB253" s="685" t="s">
        <v>325</v>
      </c>
      <c r="BC253" s="351"/>
      <c r="BD253" s="681" t="s">
        <v>294</v>
      </c>
      <c r="BE253" s="350"/>
      <c r="BF253" s="351"/>
      <c r="BG253" s="678" t="s">
        <v>294</v>
      </c>
      <c r="BH253" s="350"/>
      <c r="BI253" s="350"/>
      <c r="BJ253" s="351"/>
      <c r="BK253" s="680"/>
      <c r="BL253" s="350"/>
      <c r="BM253" s="351"/>
      <c r="BN253" s="82"/>
      <c r="BO253" s="82"/>
      <c r="BP253" s="678"/>
      <c r="BQ253" s="350"/>
      <c r="BR253" s="351"/>
      <c r="BS253" s="681" t="s">
        <v>294</v>
      </c>
      <c r="BT253" s="350"/>
      <c r="BU253" s="351"/>
    </row>
    <row r="254" spans="1:73" ht="30" customHeight="1">
      <c r="A254" s="76">
        <f t="shared" si="0"/>
        <v>240</v>
      </c>
      <c r="B254" s="686" t="s">
        <v>325</v>
      </c>
      <c r="C254" s="351"/>
      <c r="D254" s="687" t="s">
        <v>294</v>
      </c>
      <c r="E254" s="350"/>
      <c r="F254" s="350"/>
      <c r="G254" s="351"/>
      <c r="H254" s="688" t="s">
        <v>294</v>
      </c>
      <c r="I254" s="350"/>
      <c r="J254" s="350"/>
      <c r="K254" s="351"/>
      <c r="L254" s="538" t="s">
        <v>294</v>
      </c>
      <c r="M254" s="350"/>
      <c r="N254" s="351"/>
      <c r="O254" s="539" t="s">
        <v>294</v>
      </c>
      <c r="P254" s="350"/>
      <c r="Q254" s="351"/>
      <c r="R254" s="574"/>
      <c r="S254" s="350"/>
      <c r="T254" s="351"/>
      <c r="U254" s="567"/>
      <c r="V254" s="350"/>
      <c r="W254" s="351"/>
      <c r="X254" s="77"/>
      <c r="Y254" s="78"/>
      <c r="Z254" s="77"/>
      <c r="AA254" s="78"/>
      <c r="AB254" s="77"/>
      <c r="AC254" s="78"/>
      <c r="AD254" s="77"/>
      <c r="AE254" s="78"/>
      <c r="AF254" s="77"/>
      <c r="AG254" s="78"/>
      <c r="AH254" s="77"/>
      <c r="AI254" s="78"/>
      <c r="AJ254" s="64"/>
      <c r="AK254" s="80"/>
      <c r="AL254" s="64"/>
      <c r="AM254" s="80"/>
      <c r="AN254" s="64"/>
      <c r="AO254" s="80"/>
      <c r="AP254" s="64"/>
      <c r="AQ254" s="80"/>
      <c r="AR254" s="64"/>
      <c r="AS254" s="679" t="s">
        <v>294</v>
      </c>
      <c r="AT254" s="350"/>
      <c r="AU254" s="350"/>
      <c r="AV254" s="350"/>
      <c r="AW254" s="350"/>
      <c r="AX254" s="350"/>
      <c r="AY254" s="351"/>
      <c r="AZ254" s="81"/>
      <c r="BA254" s="81"/>
      <c r="BB254" s="677" t="s">
        <v>325</v>
      </c>
      <c r="BC254" s="351"/>
      <c r="BD254" s="681" t="s">
        <v>294</v>
      </c>
      <c r="BE254" s="350"/>
      <c r="BF254" s="351"/>
      <c r="BG254" s="678" t="s">
        <v>294</v>
      </c>
      <c r="BH254" s="350"/>
      <c r="BI254" s="350"/>
      <c r="BJ254" s="351"/>
      <c r="BK254" s="680"/>
      <c r="BL254" s="350"/>
      <c r="BM254" s="351"/>
      <c r="BN254" s="82"/>
      <c r="BO254" s="82"/>
      <c r="BP254" s="678"/>
      <c r="BQ254" s="350"/>
      <c r="BR254" s="351"/>
      <c r="BS254" s="681" t="s">
        <v>294</v>
      </c>
      <c r="BT254" s="350"/>
      <c r="BU254" s="351"/>
    </row>
    <row r="255" spans="1:73" ht="30" customHeight="1">
      <c r="A255" s="76">
        <f t="shared" si="0"/>
        <v>241</v>
      </c>
      <c r="B255" s="686" t="s">
        <v>325</v>
      </c>
      <c r="C255" s="351"/>
      <c r="D255" s="687" t="s">
        <v>294</v>
      </c>
      <c r="E255" s="350"/>
      <c r="F255" s="350"/>
      <c r="G255" s="351"/>
      <c r="H255" s="688" t="s">
        <v>294</v>
      </c>
      <c r="I255" s="350"/>
      <c r="J255" s="350"/>
      <c r="K255" s="351"/>
      <c r="L255" s="538" t="s">
        <v>294</v>
      </c>
      <c r="M255" s="350"/>
      <c r="N255" s="351"/>
      <c r="O255" s="539" t="s">
        <v>294</v>
      </c>
      <c r="P255" s="350"/>
      <c r="Q255" s="351"/>
      <c r="R255" s="574"/>
      <c r="S255" s="350"/>
      <c r="T255" s="351"/>
      <c r="U255" s="567"/>
      <c r="V255" s="350"/>
      <c r="W255" s="351"/>
      <c r="X255" s="77"/>
      <c r="Y255" s="78"/>
      <c r="Z255" s="77"/>
      <c r="AA255" s="78"/>
      <c r="AB255" s="77"/>
      <c r="AC255" s="78"/>
      <c r="AD255" s="77"/>
      <c r="AE255" s="78"/>
      <c r="AF255" s="77"/>
      <c r="AG255" s="78"/>
      <c r="AH255" s="77"/>
      <c r="AI255" s="78"/>
      <c r="AJ255" s="64"/>
      <c r="AK255" s="80"/>
      <c r="AL255" s="64"/>
      <c r="AM255" s="80"/>
      <c r="AN255" s="64"/>
      <c r="AO255" s="80"/>
      <c r="AP255" s="64"/>
      <c r="AQ255" s="80"/>
      <c r="AR255" s="64"/>
      <c r="AS255" s="679" t="s">
        <v>294</v>
      </c>
      <c r="AT255" s="350"/>
      <c r="AU255" s="350"/>
      <c r="AV255" s="350"/>
      <c r="AW255" s="350"/>
      <c r="AX255" s="350"/>
      <c r="AY255" s="351"/>
      <c r="AZ255" s="81"/>
      <c r="BA255" s="81"/>
      <c r="BB255" s="677" t="s">
        <v>325</v>
      </c>
      <c r="BC255" s="351"/>
      <c r="BD255" s="681" t="s">
        <v>294</v>
      </c>
      <c r="BE255" s="350"/>
      <c r="BF255" s="351"/>
      <c r="BG255" s="678" t="s">
        <v>294</v>
      </c>
      <c r="BH255" s="350"/>
      <c r="BI255" s="350"/>
      <c r="BJ255" s="351"/>
      <c r="BK255" s="680"/>
      <c r="BL255" s="350"/>
      <c r="BM255" s="351"/>
      <c r="BN255" s="82"/>
      <c r="BO255" s="82"/>
      <c r="BP255" s="678"/>
      <c r="BQ255" s="350"/>
      <c r="BR255" s="351"/>
      <c r="BS255" s="681" t="s">
        <v>294</v>
      </c>
      <c r="BT255" s="350"/>
      <c r="BU255" s="351"/>
    </row>
    <row r="256" spans="1:73" ht="30" customHeight="1">
      <c r="A256" s="76">
        <f t="shared" si="0"/>
        <v>242</v>
      </c>
      <c r="B256" s="686" t="s">
        <v>325</v>
      </c>
      <c r="C256" s="351"/>
      <c r="D256" s="687" t="s">
        <v>294</v>
      </c>
      <c r="E256" s="350"/>
      <c r="F256" s="350"/>
      <c r="G256" s="351"/>
      <c r="H256" s="688" t="s">
        <v>294</v>
      </c>
      <c r="I256" s="350"/>
      <c r="J256" s="350"/>
      <c r="K256" s="351"/>
      <c r="L256" s="538" t="s">
        <v>294</v>
      </c>
      <c r="M256" s="350"/>
      <c r="N256" s="351"/>
      <c r="O256" s="539" t="s">
        <v>294</v>
      </c>
      <c r="P256" s="350"/>
      <c r="Q256" s="351"/>
      <c r="R256" s="574"/>
      <c r="S256" s="350"/>
      <c r="T256" s="351"/>
      <c r="U256" s="567"/>
      <c r="V256" s="350"/>
      <c r="W256" s="351"/>
      <c r="X256" s="77"/>
      <c r="Y256" s="78"/>
      <c r="Z256" s="77"/>
      <c r="AA256" s="78"/>
      <c r="AB256" s="77"/>
      <c r="AC256" s="78"/>
      <c r="AD256" s="77"/>
      <c r="AE256" s="78"/>
      <c r="AF256" s="77"/>
      <c r="AG256" s="78"/>
      <c r="AH256" s="77"/>
      <c r="AI256" s="78"/>
      <c r="AJ256" s="64"/>
      <c r="AK256" s="80"/>
      <c r="AL256" s="64"/>
      <c r="AM256" s="80"/>
      <c r="AN256" s="64"/>
      <c r="AO256" s="80"/>
      <c r="AP256" s="64"/>
      <c r="AQ256" s="80"/>
      <c r="AR256" s="64"/>
      <c r="AS256" s="679" t="s">
        <v>294</v>
      </c>
      <c r="AT256" s="350"/>
      <c r="AU256" s="350"/>
      <c r="AV256" s="350"/>
      <c r="AW256" s="350"/>
      <c r="AX256" s="350"/>
      <c r="AY256" s="351"/>
      <c r="AZ256" s="81"/>
      <c r="BA256" s="81"/>
      <c r="BB256" s="677" t="s">
        <v>325</v>
      </c>
      <c r="BC256" s="351"/>
      <c r="BD256" s="681" t="s">
        <v>294</v>
      </c>
      <c r="BE256" s="350"/>
      <c r="BF256" s="351"/>
      <c r="BG256" s="678" t="s">
        <v>294</v>
      </c>
      <c r="BH256" s="350"/>
      <c r="BI256" s="350"/>
      <c r="BJ256" s="351"/>
      <c r="BK256" s="680"/>
      <c r="BL256" s="350"/>
      <c r="BM256" s="351"/>
      <c r="BN256" s="82"/>
      <c r="BO256" s="82"/>
      <c r="BP256" s="678"/>
      <c r="BQ256" s="350"/>
      <c r="BR256" s="351"/>
      <c r="BS256" s="681" t="s">
        <v>294</v>
      </c>
      <c r="BT256" s="350"/>
      <c r="BU256" s="351"/>
    </row>
    <row r="257" spans="1:73" ht="30" customHeight="1">
      <c r="A257" s="76">
        <f t="shared" si="0"/>
        <v>243</v>
      </c>
      <c r="B257" s="686" t="s">
        <v>325</v>
      </c>
      <c r="C257" s="351"/>
      <c r="D257" s="687" t="s">
        <v>294</v>
      </c>
      <c r="E257" s="350"/>
      <c r="F257" s="350"/>
      <c r="G257" s="351"/>
      <c r="H257" s="688" t="s">
        <v>294</v>
      </c>
      <c r="I257" s="350"/>
      <c r="J257" s="350"/>
      <c r="K257" s="351"/>
      <c r="L257" s="538" t="s">
        <v>294</v>
      </c>
      <c r="M257" s="350"/>
      <c r="N257" s="351"/>
      <c r="O257" s="539" t="s">
        <v>294</v>
      </c>
      <c r="P257" s="350"/>
      <c r="Q257" s="351"/>
      <c r="R257" s="574"/>
      <c r="S257" s="350"/>
      <c r="T257" s="351"/>
      <c r="U257" s="567"/>
      <c r="V257" s="350"/>
      <c r="W257" s="351"/>
      <c r="X257" s="77"/>
      <c r="Y257" s="78"/>
      <c r="Z257" s="77"/>
      <c r="AA257" s="78"/>
      <c r="AB257" s="77"/>
      <c r="AC257" s="78"/>
      <c r="AD257" s="77"/>
      <c r="AE257" s="78"/>
      <c r="AF257" s="77"/>
      <c r="AG257" s="78"/>
      <c r="AH257" s="77"/>
      <c r="AI257" s="78"/>
      <c r="AJ257" s="64"/>
      <c r="AK257" s="80"/>
      <c r="AL257" s="64"/>
      <c r="AM257" s="80"/>
      <c r="AN257" s="64"/>
      <c r="AO257" s="80"/>
      <c r="AP257" s="64"/>
      <c r="AQ257" s="80"/>
      <c r="AR257" s="64"/>
      <c r="AS257" s="679" t="s">
        <v>294</v>
      </c>
      <c r="AT257" s="350"/>
      <c r="AU257" s="350"/>
      <c r="AV257" s="350"/>
      <c r="AW257" s="350"/>
      <c r="AX257" s="350"/>
      <c r="AY257" s="351"/>
      <c r="AZ257" s="81"/>
      <c r="BA257" s="81"/>
      <c r="BB257" s="677" t="s">
        <v>325</v>
      </c>
      <c r="BC257" s="351"/>
      <c r="BD257" s="681" t="s">
        <v>294</v>
      </c>
      <c r="BE257" s="350"/>
      <c r="BF257" s="351"/>
      <c r="BG257" s="678" t="s">
        <v>294</v>
      </c>
      <c r="BH257" s="350"/>
      <c r="BI257" s="350"/>
      <c r="BJ257" s="351"/>
      <c r="BK257" s="680"/>
      <c r="BL257" s="350"/>
      <c r="BM257" s="351"/>
      <c r="BN257" s="82"/>
      <c r="BO257" s="82"/>
      <c r="BP257" s="678"/>
      <c r="BQ257" s="350"/>
      <c r="BR257" s="351"/>
      <c r="BS257" s="681" t="s">
        <v>294</v>
      </c>
      <c r="BT257" s="350"/>
      <c r="BU257" s="351"/>
    </row>
    <row r="258" spans="1:73" ht="30" customHeight="1">
      <c r="A258" s="76">
        <f t="shared" si="0"/>
        <v>244</v>
      </c>
      <c r="B258" s="686" t="s">
        <v>325</v>
      </c>
      <c r="C258" s="351"/>
      <c r="D258" s="687" t="s">
        <v>294</v>
      </c>
      <c r="E258" s="350"/>
      <c r="F258" s="350"/>
      <c r="G258" s="351"/>
      <c r="H258" s="688" t="s">
        <v>294</v>
      </c>
      <c r="I258" s="350"/>
      <c r="J258" s="350"/>
      <c r="K258" s="351"/>
      <c r="L258" s="538" t="s">
        <v>294</v>
      </c>
      <c r="M258" s="350"/>
      <c r="N258" s="351"/>
      <c r="O258" s="539" t="s">
        <v>294</v>
      </c>
      <c r="P258" s="350"/>
      <c r="Q258" s="351"/>
      <c r="R258" s="574"/>
      <c r="S258" s="350"/>
      <c r="T258" s="351"/>
      <c r="U258" s="567"/>
      <c r="V258" s="350"/>
      <c r="W258" s="351"/>
      <c r="X258" s="77"/>
      <c r="Y258" s="78"/>
      <c r="Z258" s="77"/>
      <c r="AA258" s="78"/>
      <c r="AB258" s="77"/>
      <c r="AC258" s="78"/>
      <c r="AD258" s="77"/>
      <c r="AE258" s="78"/>
      <c r="AF258" s="77"/>
      <c r="AG258" s="78"/>
      <c r="AH258" s="77"/>
      <c r="AI258" s="78"/>
      <c r="AJ258" s="64"/>
      <c r="AK258" s="80"/>
      <c r="AL258" s="64"/>
      <c r="AM258" s="80"/>
      <c r="AN258" s="64"/>
      <c r="AO258" s="80"/>
      <c r="AP258" s="64"/>
      <c r="AQ258" s="80"/>
      <c r="AR258" s="64"/>
      <c r="AS258" s="679" t="s">
        <v>294</v>
      </c>
      <c r="AT258" s="350"/>
      <c r="AU258" s="350"/>
      <c r="AV258" s="350"/>
      <c r="AW258" s="350"/>
      <c r="AX258" s="350"/>
      <c r="AY258" s="351"/>
      <c r="AZ258" s="81"/>
      <c r="BA258" s="81"/>
      <c r="BB258" s="677" t="s">
        <v>325</v>
      </c>
      <c r="BC258" s="351"/>
      <c r="BD258" s="681" t="s">
        <v>294</v>
      </c>
      <c r="BE258" s="350"/>
      <c r="BF258" s="351"/>
      <c r="BG258" s="678" t="s">
        <v>294</v>
      </c>
      <c r="BH258" s="350"/>
      <c r="BI258" s="350"/>
      <c r="BJ258" s="351"/>
      <c r="BK258" s="680"/>
      <c r="BL258" s="350"/>
      <c r="BM258" s="351"/>
      <c r="BN258" s="82"/>
      <c r="BO258" s="82"/>
      <c r="BP258" s="678"/>
      <c r="BQ258" s="350"/>
      <c r="BR258" s="351"/>
      <c r="BS258" s="681" t="s">
        <v>294</v>
      </c>
      <c r="BT258" s="350"/>
      <c r="BU258" s="351"/>
    </row>
    <row r="259" spans="1:73" ht="30" customHeight="1">
      <c r="A259" s="76">
        <f t="shared" si="0"/>
        <v>245</v>
      </c>
      <c r="B259" s="686" t="s">
        <v>325</v>
      </c>
      <c r="C259" s="351"/>
      <c r="D259" s="687" t="s">
        <v>294</v>
      </c>
      <c r="E259" s="350"/>
      <c r="F259" s="350"/>
      <c r="G259" s="351"/>
      <c r="H259" s="688" t="s">
        <v>294</v>
      </c>
      <c r="I259" s="350"/>
      <c r="J259" s="350"/>
      <c r="K259" s="351"/>
      <c r="L259" s="538" t="s">
        <v>294</v>
      </c>
      <c r="M259" s="350"/>
      <c r="N259" s="351"/>
      <c r="O259" s="539" t="s">
        <v>294</v>
      </c>
      <c r="P259" s="350"/>
      <c r="Q259" s="351"/>
      <c r="R259" s="574"/>
      <c r="S259" s="350"/>
      <c r="T259" s="351"/>
      <c r="U259" s="567"/>
      <c r="V259" s="350"/>
      <c r="W259" s="351"/>
      <c r="X259" s="77"/>
      <c r="Y259" s="78"/>
      <c r="Z259" s="77"/>
      <c r="AA259" s="78"/>
      <c r="AB259" s="77"/>
      <c r="AC259" s="78"/>
      <c r="AD259" s="77"/>
      <c r="AE259" s="78"/>
      <c r="AF259" s="77"/>
      <c r="AG259" s="78"/>
      <c r="AH259" s="77"/>
      <c r="AI259" s="78"/>
      <c r="AJ259" s="64"/>
      <c r="AK259" s="80"/>
      <c r="AL259" s="64"/>
      <c r="AM259" s="80"/>
      <c r="AN259" s="64"/>
      <c r="AO259" s="80"/>
      <c r="AP259" s="64"/>
      <c r="AQ259" s="80"/>
      <c r="AR259" s="64"/>
      <c r="AS259" s="679" t="s">
        <v>294</v>
      </c>
      <c r="AT259" s="350"/>
      <c r="AU259" s="350"/>
      <c r="AV259" s="350"/>
      <c r="AW259" s="350"/>
      <c r="AX259" s="350"/>
      <c r="AY259" s="351"/>
      <c r="AZ259" s="81"/>
      <c r="BA259" s="81"/>
      <c r="BB259" s="677" t="s">
        <v>325</v>
      </c>
      <c r="BC259" s="351"/>
      <c r="BD259" s="681" t="s">
        <v>294</v>
      </c>
      <c r="BE259" s="350"/>
      <c r="BF259" s="351"/>
      <c r="BG259" s="678" t="s">
        <v>294</v>
      </c>
      <c r="BH259" s="350"/>
      <c r="BI259" s="350"/>
      <c r="BJ259" s="351"/>
      <c r="BK259" s="680"/>
      <c r="BL259" s="350"/>
      <c r="BM259" s="351"/>
      <c r="BN259" s="82"/>
      <c r="BO259" s="82"/>
      <c r="BP259" s="678"/>
      <c r="BQ259" s="350"/>
      <c r="BR259" s="351"/>
      <c r="BS259" s="681" t="s">
        <v>294</v>
      </c>
      <c r="BT259" s="350"/>
      <c r="BU259" s="351"/>
    </row>
    <row r="260" spans="1:73" ht="30" customHeight="1">
      <c r="A260" s="76">
        <f t="shared" si="0"/>
        <v>246</v>
      </c>
      <c r="B260" s="686" t="s">
        <v>325</v>
      </c>
      <c r="C260" s="351"/>
      <c r="D260" s="687" t="s">
        <v>294</v>
      </c>
      <c r="E260" s="350"/>
      <c r="F260" s="350"/>
      <c r="G260" s="351"/>
      <c r="H260" s="688" t="s">
        <v>294</v>
      </c>
      <c r="I260" s="350"/>
      <c r="J260" s="350"/>
      <c r="K260" s="351"/>
      <c r="L260" s="538" t="s">
        <v>294</v>
      </c>
      <c r="M260" s="350"/>
      <c r="N260" s="351"/>
      <c r="O260" s="539" t="s">
        <v>294</v>
      </c>
      <c r="P260" s="350"/>
      <c r="Q260" s="351"/>
      <c r="R260" s="574"/>
      <c r="S260" s="350"/>
      <c r="T260" s="351"/>
      <c r="U260" s="567"/>
      <c r="V260" s="350"/>
      <c r="W260" s="351"/>
      <c r="X260" s="77"/>
      <c r="Y260" s="78"/>
      <c r="Z260" s="77"/>
      <c r="AA260" s="78"/>
      <c r="AB260" s="77"/>
      <c r="AC260" s="78"/>
      <c r="AD260" s="77"/>
      <c r="AE260" s="78"/>
      <c r="AF260" s="77"/>
      <c r="AG260" s="78"/>
      <c r="AH260" s="77"/>
      <c r="AI260" s="78"/>
      <c r="AJ260" s="64"/>
      <c r="AK260" s="80"/>
      <c r="AL260" s="64"/>
      <c r="AM260" s="80"/>
      <c r="AN260" s="64"/>
      <c r="AO260" s="80"/>
      <c r="AP260" s="64"/>
      <c r="AQ260" s="80"/>
      <c r="AR260" s="64"/>
      <c r="AS260" s="679" t="s">
        <v>294</v>
      </c>
      <c r="AT260" s="350"/>
      <c r="AU260" s="350"/>
      <c r="AV260" s="350"/>
      <c r="AW260" s="350"/>
      <c r="AX260" s="350"/>
      <c r="AY260" s="351"/>
      <c r="AZ260" s="81"/>
      <c r="BA260" s="81"/>
      <c r="BB260" s="685" t="s">
        <v>325</v>
      </c>
      <c r="BC260" s="351"/>
      <c r="BD260" s="681" t="s">
        <v>294</v>
      </c>
      <c r="BE260" s="350"/>
      <c r="BF260" s="351"/>
      <c r="BG260" s="678" t="s">
        <v>294</v>
      </c>
      <c r="BH260" s="350"/>
      <c r="BI260" s="350"/>
      <c r="BJ260" s="351"/>
      <c r="BK260" s="680"/>
      <c r="BL260" s="350"/>
      <c r="BM260" s="351"/>
      <c r="BN260" s="82"/>
      <c r="BO260" s="82"/>
      <c r="BP260" s="678"/>
      <c r="BQ260" s="350"/>
      <c r="BR260" s="351"/>
      <c r="BS260" s="681" t="s">
        <v>294</v>
      </c>
      <c r="BT260" s="350"/>
      <c r="BU260" s="351"/>
    </row>
    <row r="261" spans="1:73" ht="30" customHeight="1">
      <c r="A261" s="76">
        <f t="shared" si="0"/>
        <v>247</v>
      </c>
      <c r="B261" s="686" t="s">
        <v>325</v>
      </c>
      <c r="C261" s="351"/>
      <c r="D261" s="687" t="s">
        <v>294</v>
      </c>
      <c r="E261" s="350"/>
      <c r="F261" s="350"/>
      <c r="G261" s="351"/>
      <c r="H261" s="688" t="s">
        <v>294</v>
      </c>
      <c r="I261" s="350"/>
      <c r="J261" s="350"/>
      <c r="K261" s="351"/>
      <c r="L261" s="538" t="s">
        <v>294</v>
      </c>
      <c r="M261" s="350"/>
      <c r="N261" s="351"/>
      <c r="O261" s="539" t="s">
        <v>294</v>
      </c>
      <c r="P261" s="350"/>
      <c r="Q261" s="351"/>
      <c r="R261" s="574"/>
      <c r="S261" s="350"/>
      <c r="T261" s="351"/>
      <c r="U261" s="567"/>
      <c r="V261" s="350"/>
      <c r="W261" s="351"/>
      <c r="X261" s="77"/>
      <c r="Y261" s="78"/>
      <c r="Z261" s="77"/>
      <c r="AA261" s="78"/>
      <c r="AB261" s="77"/>
      <c r="AC261" s="78"/>
      <c r="AD261" s="77"/>
      <c r="AE261" s="78"/>
      <c r="AF261" s="77"/>
      <c r="AG261" s="78"/>
      <c r="AH261" s="77"/>
      <c r="AI261" s="78"/>
      <c r="AJ261" s="64"/>
      <c r="AK261" s="80"/>
      <c r="AL261" s="64"/>
      <c r="AM261" s="80"/>
      <c r="AN261" s="64"/>
      <c r="AO261" s="80"/>
      <c r="AP261" s="64"/>
      <c r="AQ261" s="80"/>
      <c r="AR261" s="64"/>
      <c r="AS261" s="679" t="s">
        <v>294</v>
      </c>
      <c r="AT261" s="350"/>
      <c r="AU261" s="350"/>
      <c r="AV261" s="350"/>
      <c r="AW261" s="350"/>
      <c r="AX261" s="350"/>
      <c r="AY261" s="351"/>
      <c r="AZ261" s="81"/>
      <c r="BA261" s="81"/>
      <c r="BB261" s="677" t="s">
        <v>325</v>
      </c>
      <c r="BC261" s="351"/>
      <c r="BD261" s="681" t="s">
        <v>294</v>
      </c>
      <c r="BE261" s="350"/>
      <c r="BF261" s="351"/>
      <c r="BG261" s="678" t="s">
        <v>294</v>
      </c>
      <c r="BH261" s="350"/>
      <c r="BI261" s="350"/>
      <c r="BJ261" s="351"/>
      <c r="BK261" s="680"/>
      <c r="BL261" s="350"/>
      <c r="BM261" s="351"/>
      <c r="BN261" s="82"/>
      <c r="BO261" s="82"/>
      <c r="BP261" s="678"/>
      <c r="BQ261" s="350"/>
      <c r="BR261" s="351"/>
      <c r="BS261" s="681" t="s">
        <v>294</v>
      </c>
      <c r="BT261" s="350"/>
      <c r="BU261" s="351"/>
    </row>
    <row r="262" spans="1:73" ht="30" customHeight="1">
      <c r="A262" s="76">
        <f t="shared" si="0"/>
        <v>248</v>
      </c>
      <c r="B262" s="686" t="s">
        <v>325</v>
      </c>
      <c r="C262" s="351"/>
      <c r="D262" s="687" t="s">
        <v>294</v>
      </c>
      <c r="E262" s="350"/>
      <c r="F262" s="350"/>
      <c r="G262" s="351"/>
      <c r="H262" s="688" t="s">
        <v>294</v>
      </c>
      <c r="I262" s="350"/>
      <c r="J262" s="350"/>
      <c r="K262" s="351"/>
      <c r="L262" s="538" t="s">
        <v>294</v>
      </c>
      <c r="M262" s="350"/>
      <c r="N262" s="351"/>
      <c r="O262" s="539" t="s">
        <v>294</v>
      </c>
      <c r="P262" s="350"/>
      <c r="Q262" s="351"/>
      <c r="R262" s="574"/>
      <c r="S262" s="350"/>
      <c r="T262" s="351"/>
      <c r="U262" s="567"/>
      <c r="V262" s="350"/>
      <c r="W262" s="351"/>
      <c r="X262" s="77"/>
      <c r="Y262" s="78"/>
      <c r="Z262" s="77"/>
      <c r="AA262" s="78"/>
      <c r="AB262" s="77"/>
      <c r="AC262" s="78"/>
      <c r="AD262" s="77"/>
      <c r="AE262" s="78"/>
      <c r="AF262" s="77"/>
      <c r="AG262" s="78"/>
      <c r="AH262" s="77"/>
      <c r="AI262" s="78"/>
      <c r="AJ262" s="64"/>
      <c r="AK262" s="80"/>
      <c r="AL262" s="64"/>
      <c r="AM262" s="80"/>
      <c r="AN262" s="64"/>
      <c r="AO262" s="80"/>
      <c r="AP262" s="64"/>
      <c r="AQ262" s="80"/>
      <c r="AR262" s="64"/>
      <c r="AS262" s="679" t="s">
        <v>294</v>
      </c>
      <c r="AT262" s="350"/>
      <c r="AU262" s="350"/>
      <c r="AV262" s="350"/>
      <c r="AW262" s="350"/>
      <c r="AX262" s="350"/>
      <c r="AY262" s="351"/>
      <c r="AZ262" s="81"/>
      <c r="BA262" s="81"/>
      <c r="BB262" s="677" t="s">
        <v>325</v>
      </c>
      <c r="BC262" s="351"/>
      <c r="BD262" s="681" t="s">
        <v>294</v>
      </c>
      <c r="BE262" s="350"/>
      <c r="BF262" s="351"/>
      <c r="BG262" s="678" t="s">
        <v>294</v>
      </c>
      <c r="BH262" s="350"/>
      <c r="BI262" s="350"/>
      <c r="BJ262" s="351"/>
      <c r="BK262" s="680"/>
      <c r="BL262" s="350"/>
      <c r="BM262" s="351"/>
      <c r="BN262" s="82"/>
      <c r="BO262" s="82"/>
      <c r="BP262" s="678"/>
      <c r="BQ262" s="350"/>
      <c r="BR262" s="351"/>
      <c r="BS262" s="681" t="s">
        <v>294</v>
      </c>
      <c r="BT262" s="350"/>
      <c r="BU262" s="351"/>
    </row>
    <row r="263" spans="1:73" ht="30" customHeight="1">
      <c r="A263" s="76">
        <f t="shared" si="0"/>
        <v>249</v>
      </c>
      <c r="B263" s="686" t="s">
        <v>325</v>
      </c>
      <c r="C263" s="351"/>
      <c r="D263" s="687" t="s">
        <v>294</v>
      </c>
      <c r="E263" s="350"/>
      <c r="F263" s="350"/>
      <c r="G263" s="351"/>
      <c r="H263" s="688" t="s">
        <v>294</v>
      </c>
      <c r="I263" s="350"/>
      <c r="J263" s="350"/>
      <c r="K263" s="351"/>
      <c r="L263" s="538" t="s">
        <v>294</v>
      </c>
      <c r="M263" s="350"/>
      <c r="N263" s="351"/>
      <c r="O263" s="539" t="s">
        <v>294</v>
      </c>
      <c r="P263" s="350"/>
      <c r="Q263" s="351"/>
      <c r="R263" s="574"/>
      <c r="S263" s="350"/>
      <c r="T263" s="351"/>
      <c r="U263" s="567"/>
      <c r="V263" s="350"/>
      <c r="W263" s="351"/>
      <c r="X263" s="77"/>
      <c r="Y263" s="78"/>
      <c r="Z263" s="77"/>
      <c r="AA263" s="78"/>
      <c r="AB263" s="77"/>
      <c r="AC263" s="78"/>
      <c r="AD263" s="77"/>
      <c r="AE263" s="78"/>
      <c r="AF263" s="77"/>
      <c r="AG263" s="78"/>
      <c r="AH263" s="77"/>
      <c r="AI263" s="78"/>
      <c r="AJ263" s="64"/>
      <c r="AK263" s="80"/>
      <c r="AL263" s="64"/>
      <c r="AM263" s="80"/>
      <c r="AN263" s="64"/>
      <c r="AO263" s="80"/>
      <c r="AP263" s="64"/>
      <c r="AQ263" s="80"/>
      <c r="AR263" s="64"/>
      <c r="AS263" s="679" t="s">
        <v>294</v>
      </c>
      <c r="AT263" s="350"/>
      <c r="AU263" s="350"/>
      <c r="AV263" s="350"/>
      <c r="AW263" s="350"/>
      <c r="AX263" s="350"/>
      <c r="AY263" s="351"/>
      <c r="AZ263" s="81"/>
      <c r="BA263" s="81"/>
      <c r="BB263" s="677" t="s">
        <v>325</v>
      </c>
      <c r="BC263" s="351"/>
      <c r="BD263" s="681" t="s">
        <v>294</v>
      </c>
      <c r="BE263" s="350"/>
      <c r="BF263" s="351"/>
      <c r="BG263" s="678" t="s">
        <v>294</v>
      </c>
      <c r="BH263" s="350"/>
      <c r="BI263" s="350"/>
      <c r="BJ263" s="351"/>
      <c r="BK263" s="680"/>
      <c r="BL263" s="350"/>
      <c r="BM263" s="351"/>
      <c r="BN263" s="82"/>
      <c r="BO263" s="82"/>
      <c r="BP263" s="678"/>
      <c r="BQ263" s="350"/>
      <c r="BR263" s="351"/>
      <c r="BS263" s="681" t="s">
        <v>294</v>
      </c>
      <c r="BT263" s="350"/>
      <c r="BU263" s="351"/>
    </row>
    <row r="264" spans="1:73" ht="30" customHeight="1">
      <c r="A264" s="76">
        <f t="shared" si="0"/>
        <v>250</v>
      </c>
      <c r="B264" s="686" t="s">
        <v>325</v>
      </c>
      <c r="C264" s="351"/>
      <c r="D264" s="687" t="s">
        <v>294</v>
      </c>
      <c r="E264" s="350"/>
      <c r="F264" s="350"/>
      <c r="G264" s="351"/>
      <c r="H264" s="688" t="s">
        <v>294</v>
      </c>
      <c r="I264" s="350"/>
      <c r="J264" s="350"/>
      <c r="K264" s="351"/>
      <c r="L264" s="538" t="s">
        <v>294</v>
      </c>
      <c r="M264" s="350"/>
      <c r="N264" s="351"/>
      <c r="O264" s="539" t="s">
        <v>294</v>
      </c>
      <c r="P264" s="350"/>
      <c r="Q264" s="351"/>
      <c r="R264" s="574"/>
      <c r="S264" s="350"/>
      <c r="T264" s="351"/>
      <c r="U264" s="567"/>
      <c r="V264" s="350"/>
      <c r="W264" s="351"/>
      <c r="X264" s="77"/>
      <c r="Y264" s="78"/>
      <c r="Z264" s="77"/>
      <c r="AA264" s="78"/>
      <c r="AB264" s="77"/>
      <c r="AC264" s="78"/>
      <c r="AD264" s="77"/>
      <c r="AE264" s="78"/>
      <c r="AF264" s="77"/>
      <c r="AG264" s="78"/>
      <c r="AH264" s="77"/>
      <c r="AI264" s="78"/>
      <c r="AJ264" s="64"/>
      <c r="AK264" s="80"/>
      <c r="AL264" s="64"/>
      <c r="AM264" s="80"/>
      <c r="AN264" s="64"/>
      <c r="AO264" s="80"/>
      <c r="AP264" s="64"/>
      <c r="AQ264" s="80"/>
      <c r="AR264" s="64"/>
      <c r="AS264" s="679" t="s">
        <v>294</v>
      </c>
      <c r="AT264" s="350"/>
      <c r="AU264" s="350"/>
      <c r="AV264" s="350"/>
      <c r="AW264" s="350"/>
      <c r="AX264" s="350"/>
      <c r="AY264" s="351"/>
      <c r="AZ264" s="81"/>
      <c r="BA264" s="81"/>
      <c r="BB264" s="677" t="s">
        <v>325</v>
      </c>
      <c r="BC264" s="351"/>
      <c r="BD264" s="681" t="s">
        <v>294</v>
      </c>
      <c r="BE264" s="350"/>
      <c r="BF264" s="351"/>
      <c r="BG264" s="678" t="s">
        <v>294</v>
      </c>
      <c r="BH264" s="350"/>
      <c r="BI264" s="350"/>
      <c r="BJ264" s="351"/>
      <c r="BK264" s="680"/>
      <c r="BL264" s="350"/>
      <c r="BM264" s="351"/>
      <c r="BN264" s="82"/>
      <c r="BO264" s="82"/>
      <c r="BP264" s="678"/>
      <c r="BQ264" s="350"/>
      <c r="BR264" s="351"/>
      <c r="BS264" s="681" t="s">
        <v>294</v>
      </c>
      <c r="BT264" s="350"/>
      <c r="BU264" s="351"/>
    </row>
    <row r="265" spans="1:73" ht="30" customHeight="1">
      <c r="A265" s="76">
        <f t="shared" si="0"/>
        <v>251</v>
      </c>
      <c r="B265" s="686" t="s">
        <v>325</v>
      </c>
      <c r="C265" s="351"/>
      <c r="D265" s="687" t="s">
        <v>294</v>
      </c>
      <c r="E265" s="350"/>
      <c r="F265" s="350"/>
      <c r="G265" s="351"/>
      <c r="H265" s="688" t="s">
        <v>294</v>
      </c>
      <c r="I265" s="350"/>
      <c r="J265" s="350"/>
      <c r="K265" s="351"/>
      <c r="L265" s="538" t="s">
        <v>294</v>
      </c>
      <c r="M265" s="350"/>
      <c r="N265" s="351"/>
      <c r="O265" s="539" t="s">
        <v>294</v>
      </c>
      <c r="P265" s="350"/>
      <c r="Q265" s="351"/>
      <c r="R265" s="574"/>
      <c r="S265" s="350"/>
      <c r="T265" s="351"/>
      <c r="U265" s="567"/>
      <c r="V265" s="350"/>
      <c r="W265" s="351"/>
      <c r="X265" s="77"/>
      <c r="Y265" s="78"/>
      <c r="Z265" s="77"/>
      <c r="AA265" s="78"/>
      <c r="AB265" s="77"/>
      <c r="AC265" s="78"/>
      <c r="AD265" s="77"/>
      <c r="AE265" s="78"/>
      <c r="AF265" s="77"/>
      <c r="AG265" s="78"/>
      <c r="AH265" s="77"/>
      <c r="AI265" s="78"/>
      <c r="AJ265" s="64"/>
      <c r="AK265" s="80"/>
      <c r="AL265" s="64"/>
      <c r="AM265" s="80"/>
      <c r="AN265" s="64"/>
      <c r="AO265" s="80"/>
      <c r="AP265" s="64"/>
      <c r="AQ265" s="80"/>
      <c r="AR265" s="64"/>
      <c r="AS265" s="679" t="s">
        <v>294</v>
      </c>
      <c r="AT265" s="350"/>
      <c r="AU265" s="350"/>
      <c r="AV265" s="350"/>
      <c r="AW265" s="350"/>
      <c r="AX265" s="350"/>
      <c r="AY265" s="351"/>
      <c r="AZ265" s="81"/>
      <c r="BA265" s="81"/>
      <c r="BB265" s="677" t="s">
        <v>325</v>
      </c>
      <c r="BC265" s="351"/>
      <c r="BD265" s="681" t="s">
        <v>294</v>
      </c>
      <c r="BE265" s="350"/>
      <c r="BF265" s="351"/>
      <c r="BG265" s="678" t="s">
        <v>294</v>
      </c>
      <c r="BH265" s="350"/>
      <c r="BI265" s="350"/>
      <c r="BJ265" s="351"/>
      <c r="BK265" s="680"/>
      <c r="BL265" s="350"/>
      <c r="BM265" s="351"/>
      <c r="BN265" s="82"/>
      <c r="BO265" s="82"/>
      <c r="BP265" s="678"/>
      <c r="BQ265" s="350"/>
      <c r="BR265" s="351"/>
      <c r="BS265" s="681" t="s">
        <v>294</v>
      </c>
      <c r="BT265" s="350"/>
      <c r="BU265" s="351"/>
    </row>
    <row r="266" spans="1:73" ht="30" customHeight="1">
      <c r="A266" s="76">
        <f t="shared" si="0"/>
        <v>252</v>
      </c>
      <c r="B266" s="686" t="s">
        <v>325</v>
      </c>
      <c r="C266" s="351"/>
      <c r="D266" s="687" t="s">
        <v>294</v>
      </c>
      <c r="E266" s="350"/>
      <c r="F266" s="350"/>
      <c r="G266" s="351"/>
      <c r="H266" s="688" t="s">
        <v>294</v>
      </c>
      <c r="I266" s="350"/>
      <c r="J266" s="350"/>
      <c r="K266" s="351"/>
      <c r="L266" s="538" t="s">
        <v>294</v>
      </c>
      <c r="M266" s="350"/>
      <c r="N266" s="351"/>
      <c r="O266" s="539" t="s">
        <v>294</v>
      </c>
      <c r="P266" s="350"/>
      <c r="Q266" s="351"/>
      <c r="R266" s="574"/>
      <c r="S266" s="350"/>
      <c r="T266" s="351"/>
      <c r="U266" s="567"/>
      <c r="V266" s="350"/>
      <c r="W266" s="351"/>
      <c r="X266" s="77"/>
      <c r="Y266" s="78"/>
      <c r="Z266" s="77"/>
      <c r="AA266" s="78"/>
      <c r="AB266" s="77"/>
      <c r="AC266" s="78"/>
      <c r="AD266" s="77"/>
      <c r="AE266" s="78"/>
      <c r="AF266" s="77"/>
      <c r="AG266" s="78"/>
      <c r="AH266" s="77"/>
      <c r="AI266" s="78"/>
      <c r="AJ266" s="64"/>
      <c r="AK266" s="80"/>
      <c r="AL266" s="64"/>
      <c r="AM266" s="80"/>
      <c r="AN266" s="64"/>
      <c r="AO266" s="80"/>
      <c r="AP266" s="64"/>
      <c r="AQ266" s="80"/>
      <c r="AR266" s="64"/>
      <c r="AS266" s="679" t="s">
        <v>294</v>
      </c>
      <c r="AT266" s="350"/>
      <c r="AU266" s="350"/>
      <c r="AV266" s="350"/>
      <c r="AW266" s="350"/>
      <c r="AX266" s="350"/>
      <c r="AY266" s="351"/>
      <c r="AZ266" s="81"/>
      <c r="BA266" s="81"/>
      <c r="BB266" s="677" t="s">
        <v>325</v>
      </c>
      <c r="BC266" s="351"/>
      <c r="BD266" s="681" t="s">
        <v>294</v>
      </c>
      <c r="BE266" s="350"/>
      <c r="BF266" s="351"/>
      <c r="BG266" s="678" t="s">
        <v>294</v>
      </c>
      <c r="BH266" s="350"/>
      <c r="BI266" s="350"/>
      <c r="BJ266" s="351"/>
      <c r="BK266" s="680"/>
      <c r="BL266" s="350"/>
      <c r="BM266" s="351"/>
      <c r="BN266" s="82"/>
      <c r="BO266" s="82"/>
      <c r="BP266" s="678"/>
      <c r="BQ266" s="350"/>
      <c r="BR266" s="351"/>
      <c r="BS266" s="681" t="s">
        <v>294</v>
      </c>
      <c r="BT266" s="350"/>
      <c r="BU266" s="351"/>
    </row>
    <row r="267" spans="1:73" ht="30" customHeight="1">
      <c r="A267" s="76">
        <f t="shared" si="0"/>
        <v>253</v>
      </c>
      <c r="B267" s="686" t="s">
        <v>325</v>
      </c>
      <c r="C267" s="351"/>
      <c r="D267" s="687" t="s">
        <v>294</v>
      </c>
      <c r="E267" s="350"/>
      <c r="F267" s="350"/>
      <c r="G267" s="351"/>
      <c r="H267" s="688" t="s">
        <v>294</v>
      </c>
      <c r="I267" s="350"/>
      <c r="J267" s="350"/>
      <c r="K267" s="351"/>
      <c r="L267" s="538" t="s">
        <v>294</v>
      </c>
      <c r="M267" s="350"/>
      <c r="N267" s="351"/>
      <c r="O267" s="539" t="s">
        <v>294</v>
      </c>
      <c r="P267" s="350"/>
      <c r="Q267" s="351"/>
      <c r="R267" s="574"/>
      <c r="S267" s="350"/>
      <c r="T267" s="351"/>
      <c r="U267" s="567"/>
      <c r="V267" s="350"/>
      <c r="W267" s="351"/>
      <c r="X267" s="77"/>
      <c r="Y267" s="78"/>
      <c r="Z267" s="77"/>
      <c r="AA267" s="78"/>
      <c r="AB267" s="77"/>
      <c r="AC267" s="78"/>
      <c r="AD267" s="77"/>
      <c r="AE267" s="78"/>
      <c r="AF267" s="77"/>
      <c r="AG267" s="78"/>
      <c r="AH267" s="77"/>
      <c r="AI267" s="78"/>
      <c r="AJ267" s="64"/>
      <c r="AK267" s="80"/>
      <c r="AL267" s="64"/>
      <c r="AM267" s="80"/>
      <c r="AN267" s="64"/>
      <c r="AO267" s="80"/>
      <c r="AP267" s="64"/>
      <c r="AQ267" s="80"/>
      <c r="AR267" s="64"/>
      <c r="AS267" s="679" t="s">
        <v>294</v>
      </c>
      <c r="AT267" s="350"/>
      <c r="AU267" s="350"/>
      <c r="AV267" s="350"/>
      <c r="AW267" s="350"/>
      <c r="AX267" s="350"/>
      <c r="AY267" s="351"/>
      <c r="AZ267" s="81"/>
      <c r="BA267" s="81"/>
      <c r="BB267" s="685" t="s">
        <v>325</v>
      </c>
      <c r="BC267" s="351"/>
      <c r="BD267" s="681" t="s">
        <v>294</v>
      </c>
      <c r="BE267" s="350"/>
      <c r="BF267" s="351"/>
      <c r="BG267" s="678" t="s">
        <v>294</v>
      </c>
      <c r="BH267" s="350"/>
      <c r="BI267" s="350"/>
      <c r="BJ267" s="351"/>
      <c r="BK267" s="680"/>
      <c r="BL267" s="350"/>
      <c r="BM267" s="351"/>
      <c r="BN267" s="82"/>
      <c r="BO267" s="82"/>
      <c r="BP267" s="678"/>
      <c r="BQ267" s="350"/>
      <c r="BR267" s="351"/>
      <c r="BS267" s="681" t="s">
        <v>294</v>
      </c>
      <c r="BT267" s="350"/>
      <c r="BU267" s="351"/>
    </row>
    <row r="268" spans="1:73" ht="30" customHeight="1">
      <c r="A268" s="76">
        <f t="shared" si="0"/>
        <v>254</v>
      </c>
      <c r="B268" s="686" t="s">
        <v>325</v>
      </c>
      <c r="C268" s="351"/>
      <c r="D268" s="687" t="s">
        <v>294</v>
      </c>
      <c r="E268" s="350"/>
      <c r="F268" s="350"/>
      <c r="G268" s="351"/>
      <c r="H268" s="688" t="s">
        <v>294</v>
      </c>
      <c r="I268" s="350"/>
      <c r="J268" s="350"/>
      <c r="K268" s="351"/>
      <c r="L268" s="538" t="s">
        <v>294</v>
      </c>
      <c r="M268" s="350"/>
      <c r="N268" s="351"/>
      <c r="O268" s="539" t="s">
        <v>294</v>
      </c>
      <c r="P268" s="350"/>
      <c r="Q268" s="351"/>
      <c r="R268" s="574"/>
      <c r="S268" s="350"/>
      <c r="T268" s="351"/>
      <c r="U268" s="567"/>
      <c r="V268" s="350"/>
      <c r="W268" s="351"/>
      <c r="X268" s="77"/>
      <c r="Y268" s="78"/>
      <c r="Z268" s="77"/>
      <c r="AA268" s="78"/>
      <c r="AB268" s="77"/>
      <c r="AC268" s="78"/>
      <c r="AD268" s="77"/>
      <c r="AE268" s="78"/>
      <c r="AF268" s="77"/>
      <c r="AG268" s="78"/>
      <c r="AH268" s="77"/>
      <c r="AI268" s="78"/>
      <c r="AJ268" s="64"/>
      <c r="AK268" s="80"/>
      <c r="AL268" s="64"/>
      <c r="AM268" s="80"/>
      <c r="AN268" s="64"/>
      <c r="AO268" s="80"/>
      <c r="AP268" s="64"/>
      <c r="AQ268" s="80"/>
      <c r="AR268" s="64"/>
      <c r="AS268" s="679" t="s">
        <v>294</v>
      </c>
      <c r="AT268" s="350"/>
      <c r="AU268" s="350"/>
      <c r="AV268" s="350"/>
      <c r="AW268" s="350"/>
      <c r="AX268" s="350"/>
      <c r="AY268" s="351"/>
      <c r="AZ268" s="81"/>
      <c r="BA268" s="81"/>
      <c r="BB268" s="677" t="s">
        <v>325</v>
      </c>
      <c r="BC268" s="351"/>
      <c r="BD268" s="681" t="s">
        <v>294</v>
      </c>
      <c r="BE268" s="350"/>
      <c r="BF268" s="351"/>
      <c r="BG268" s="678" t="s">
        <v>294</v>
      </c>
      <c r="BH268" s="350"/>
      <c r="BI268" s="350"/>
      <c r="BJ268" s="351"/>
      <c r="BK268" s="680"/>
      <c r="BL268" s="350"/>
      <c r="BM268" s="351"/>
      <c r="BN268" s="82"/>
      <c r="BO268" s="82"/>
      <c r="BP268" s="678"/>
      <c r="BQ268" s="350"/>
      <c r="BR268" s="351"/>
      <c r="BS268" s="681" t="s">
        <v>294</v>
      </c>
      <c r="BT268" s="350"/>
      <c r="BU268" s="351"/>
    </row>
    <row r="269" spans="1:73" ht="30" customHeight="1">
      <c r="A269" s="76">
        <f t="shared" si="0"/>
        <v>255</v>
      </c>
      <c r="B269" s="686" t="s">
        <v>325</v>
      </c>
      <c r="C269" s="351"/>
      <c r="D269" s="687" t="s">
        <v>294</v>
      </c>
      <c r="E269" s="350"/>
      <c r="F269" s="350"/>
      <c r="G269" s="351"/>
      <c r="H269" s="688" t="s">
        <v>294</v>
      </c>
      <c r="I269" s="350"/>
      <c r="J269" s="350"/>
      <c r="K269" s="351"/>
      <c r="L269" s="538" t="s">
        <v>294</v>
      </c>
      <c r="M269" s="350"/>
      <c r="N269" s="351"/>
      <c r="O269" s="539" t="s">
        <v>294</v>
      </c>
      <c r="P269" s="350"/>
      <c r="Q269" s="351"/>
      <c r="R269" s="574"/>
      <c r="S269" s="350"/>
      <c r="T269" s="351"/>
      <c r="U269" s="567"/>
      <c r="V269" s="350"/>
      <c r="W269" s="351"/>
      <c r="X269" s="77"/>
      <c r="Y269" s="78"/>
      <c r="Z269" s="77"/>
      <c r="AA269" s="78"/>
      <c r="AB269" s="77"/>
      <c r="AC269" s="78"/>
      <c r="AD269" s="77"/>
      <c r="AE269" s="78"/>
      <c r="AF269" s="77"/>
      <c r="AG269" s="78"/>
      <c r="AH269" s="77"/>
      <c r="AI269" s="78"/>
      <c r="AJ269" s="64"/>
      <c r="AK269" s="80"/>
      <c r="AL269" s="64"/>
      <c r="AM269" s="80"/>
      <c r="AN269" s="64"/>
      <c r="AO269" s="80"/>
      <c r="AP269" s="64"/>
      <c r="AQ269" s="80"/>
      <c r="AR269" s="64"/>
      <c r="AS269" s="679" t="s">
        <v>294</v>
      </c>
      <c r="AT269" s="350"/>
      <c r="AU269" s="350"/>
      <c r="AV269" s="350"/>
      <c r="AW269" s="350"/>
      <c r="AX269" s="350"/>
      <c r="AY269" s="351"/>
      <c r="AZ269" s="81"/>
      <c r="BA269" s="81"/>
      <c r="BB269" s="677" t="s">
        <v>325</v>
      </c>
      <c r="BC269" s="351"/>
      <c r="BD269" s="681" t="s">
        <v>294</v>
      </c>
      <c r="BE269" s="350"/>
      <c r="BF269" s="351"/>
      <c r="BG269" s="678" t="s">
        <v>294</v>
      </c>
      <c r="BH269" s="350"/>
      <c r="BI269" s="350"/>
      <c r="BJ269" s="351"/>
      <c r="BK269" s="680"/>
      <c r="BL269" s="350"/>
      <c r="BM269" s="351"/>
      <c r="BN269" s="82"/>
      <c r="BO269" s="82"/>
      <c r="BP269" s="678"/>
      <c r="BQ269" s="350"/>
      <c r="BR269" s="351"/>
      <c r="BS269" s="681" t="s">
        <v>294</v>
      </c>
      <c r="BT269" s="350"/>
      <c r="BU269" s="351"/>
    </row>
    <row r="270" spans="1:73" ht="30" customHeight="1">
      <c r="A270" s="76">
        <f t="shared" ref="A270:A514" si="1">ROW(A256)</f>
        <v>256</v>
      </c>
      <c r="B270" s="686" t="s">
        <v>325</v>
      </c>
      <c r="C270" s="351"/>
      <c r="D270" s="687" t="s">
        <v>294</v>
      </c>
      <c r="E270" s="350"/>
      <c r="F270" s="350"/>
      <c r="G270" s="351"/>
      <c r="H270" s="688" t="s">
        <v>294</v>
      </c>
      <c r="I270" s="350"/>
      <c r="J270" s="350"/>
      <c r="K270" s="351"/>
      <c r="L270" s="538" t="s">
        <v>294</v>
      </c>
      <c r="M270" s="350"/>
      <c r="N270" s="351"/>
      <c r="O270" s="539" t="s">
        <v>294</v>
      </c>
      <c r="P270" s="350"/>
      <c r="Q270" s="351"/>
      <c r="R270" s="574"/>
      <c r="S270" s="350"/>
      <c r="T270" s="351"/>
      <c r="U270" s="567"/>
      <c r="V270" s="350"/>
      <c r="W270" s="351"/>
      <c r="X270" s="77"/>
      <c r="Y270" s="78"/>
      <c r="Z270" s="77"/>
      <c r="AA270" s="78"/>
      <c r="AB270" s="77"/>
      <c r="AC270" s="78"/>
      <c r="AD270" s="77"/>
      <c r="AE270" s="78"/>
      <c r="AF270" s="77"/>
      <c r="AG270" s="78"/>
      <c r="AH270" s="77"/>
      <c r="AI270" s="78"/>
      <c r="AJ270" s="64"/>
      <c r="AK270" s="80"/>
      <c r="AL270" s="64"/>
      <c r="AM270" s="80"/>
      <c r="AN270" s="64"/>
      <c r="AO270" s="80"/>
      <c r="AP270" s="64"/>
      <c r="AQ270" s="80"/>
      <c r="AR270" s="64"/>
      <c r="AS270" s="679" t="s">
        <v>294</v>
      </c>
      <c r="AT270" s="350"/>
      <c r="AU270" s="350"/>
      <c r="AV270" s="350"/>
      <c r="AW270" s="350"/>
      <c r="AX270" s="350"/>
      <c r="AY270" s="351"/>
      <c r="AZ270" s="81"/>
      <c r="BA270" s="81"/>
      <c r="BB270" s="677" t="s">
        <v>325</v>
      </c>
      <c r="BC270" s="351"/>
      <c r="BD270" s="681" t="s">
        <v>294</v>
      </c>
      <c r="BE270" s="350"/>
      <c r="BF270" s="351"/>
      <c r="BG270" s="678" t="s">
        <v>294</v>
      </c>
      <c r="BH270" s="350"/>
      <c r="BI270" s="350"/>
      <c r="BJ270" s="351"/>
      <c r="BK270" s="680"/>
      <c r="BL270" s="350"/>
      <c r="BM270" s="351"/>
      <c r="BN270" s="82"/>
      <c r="BO270" s="82"/>
      <c r="BP270" s="678"/>
      <c r="BQ270" s="350"/>
      <c r="BR270" s="351"/>
      <c r="BS270" s="681" t="s">
        <v>294</v>
      </c>
      <c r="BT270" s="350"/>
      <c r="BU270" s="351"/>
    </row>
    <row r="271" spans="1:73" ht="30" customHeight="1">
      <c r="A271" s="76">
        <f t="shared" si="1"/>
        <v>257</v>
      </c>
      <c r="B271" s="686" t="s">
        <v>325</v>
      </c>
      <c r="C271" s="351"/>
      <c r="D271" s="687" t="s">
        <v>294</v>
      </c>
      <c r="E271" s="350"/>
      <c r="F271" s="350"/>
      <c r="G271" s="351"/>
      <c r="H271" s="688" t="s">
        <v>294</v>
      </c>
      <c r="I271" s="350"/>
      <c r="J271" s="350"/>
      <c r="K271" s="351"/>
      <c r="L271" s="538" t="s">
        <v>294</v>
      </c>
      <c r="M271" s="350"/>
      <c r="N271" s="351"/>
      <c r="O271" s="539" t="s">
        <v>294</v>
      </c>
      <c r="P271" s="350"/>
      <c r="Q271" s="351"/>
      <c r="R271" s="574"/>
      <c r="S271" s="350"/>
      <c r="T271" s="351"/>
      <c r="U271" s="567"/>
      <c r="V271" s="350"/>
      <c r="W271" s="351"/>
      <c r="X271" s="77"/>
      <c r="Y271" s="78"/>
      <c r="Z271" s="77"/>
      <c r="AA271" s="78"/>
      <c r="AB271" s="77"/>
      <c r="AC271" s="78"/>
      <c r="AD271" s="77"/>
      <c r="AE271" s="78"/>
      <c r="AF271" s="77"/>
      <c r="AG271" s="78"/>
      <c r="AH271" s="77"/>
      <c r="AI271" s="78"/>
      <c r="AJ271" s="64"/>
      <c r="AK271" s="80"/>
      <c r="AL271" s="64"/>
      <c r="AM271" s="80"/>
      <c r="AN271" s="64"/>
      <c r="AO271" s="80"/>
      <c r="AP271" s="64"/>
      <c r="AQ271" s="80"/>
      <c r="AR271" s="64"/>
      <c r="AS271" s="679" t="s">
        <v>294</v>
      </c>
      <c r="AT271" s="350"/>
      <c r="AU271" s="350"/>
      <c r="AV271" s="350"/>
      <c r="AW271" s="350"/>
      <c r="AX271" s="350"/>
      <c r="AY271" s="351"/>
      <c r="AZ271" s="81"/>
      <c r="BA271" s="81"/>
      <c r="BB271" s="677" t="s">
        <v>325</v>
      </c>
      <c r="BC271" s="351"/>
      <c r="BD271" s="681" t="s">
        <v>294</v>
      </c>
      <c r="BE271" s="350"/>
      <c r="BF271" s="351"/>
      <c r="BG271" s="678" t="s">
        <v>294</v>
      </c>
      <c r="BH271" s="350"/>
      <c r="BI271" s="350"/>
      <c r="BJ271" s="351"/>
      <c r="BK271" s="680"/>
      <c r="BL271" s="350"/>
      <c r="BM271" s="351"/>
      <c r="BN271" s="82"/>
      <c r="BO271" s="82"/>
      <c r="BP271" s="678"/>
      <c r="BQ271" s="350"/>
      <c r="BR271" s="351"/>
      <c r="BS271" s="681" t="s">
        <v>294</v>
      </c>
      <c r="BT271" s="350"/>
      <c r="BU271" s="351"/>
    </row>
    <row r="272" spans="1:73" ht="30" customHeight="1">
      <c r="A272" s="76">
        <f t="shared" si="1"/>
        <v>258</v>
      </c>
      <c r="B272" s="686" t="s">
        <v>325</v>
      </c>
      <c r="C272" s="351"/>
      <c r="D272" s="687" t="s">
        <v>294</v>
      </c>
      <c r="E272" s="350"/>
      <c r="F272" s="350"/>
      <c r="G272" s="351"/>
      <c r="H272" s="688" t="s">
        <v>294</v>
      </c>
      <c r="I272" s="350"/>
      <c r="J272" s="350"/>
      <c r="K272" s="351"/>
      <c r="L272" s="538" t="s">
        <v>294</v>
      </c>
      <c r="M272" s="350"/>
      <c r="N272" s="351"/>
      <c r="O272" s="539" t="s">
        <v>294</v>
      </c>
      <c r="P272" s="350"/>
      <c r="Q272" s="351"/>
      <c r="R272" s="574"/>
      <c r="S272" s="350"/>
      <c r="T272" s="351"/>
      <c r="U272" s="567"/>
      <c r="V272" s="350"/>
      <c r="W272" s="351"/>
      <c r="X272" s="77"/>
      <c r="Y272" s="78"/>
      <c r="Z272" s="77"/>
      <c r="AA272" s="78"/>
      <c r="AB272" s="77"/>
      <c r="AC272" s="78"/>
      <c r="AD272" s="77"/>
      <c r="AE272" s="78"/>
      <c r="AF272" s="77"/>
      <c r="AG272" s="78"/>
      <c r="AH272" s="77"/>
      <c r="AI272" s="78"/>
      <c r="AJ272" s="64"/>
      <c r="AK272" s="80"/>
      <c r="AL272" s="64"/>
      <c r="AM272" s="80"/>
      <c r="AN272" s="64"/>
      <c r="AO272" s="80"/>
      <c r="AP272" s="64"/>
      <c r="AQ272" s="80"/>
      <c r="AR272" s="64"/>
      <c r="AS272" s="679" t="s">
        <v>294</v>
      </c>
      <c r="AT272" s="350"/>
      <c r="AU272" s="350"/>
      <c r="AV272" s="350"/>
      <c r="AW272" s="350"/>
      <c r="AX272" s="350"/>
      <c r="AY272" s="351"/>
      <c r="AZ272" s="81"/>
      <c r="BA272" s="81"/>
      <c r="BB272" s="677" t="s">
        <v>325</v>
      </c>
      <c r="BC272" s="351"/>
      <c r="BD272" s="681" t="s">
        <v>294</v>
      </c>
      <c r="BE272" s="350"/>
      <c r="BF272" s="351"/>
      <c r="BG272" s="678" t="s">
        <v>294</v>
      </c>
      <c r="BH272" s="350"/>
      <c r="BI272" s="350"/>
      <c r="BJ272" s="351"/>
      <c r="BK272" s="680"/>
      <c r="BL272" s="350"/>
      <c r="BM272" s="351"/>
      <c r="BN272" s="82"/>
      <c r="BO272" s="82"/>
      <c r="BP272" s="678"/>
      <c r="BQ272" s="350"/>
      <c r="BR272" s="351"/>
      <c r="BS272" s="681" t="s">
        <v>294</v>
      </c>
      <c r="BT272" s="350"/>
      <c r="BU272" s="351"/>
    </row>
    <row r="273" spans="1:73" ht="30" customHeight="1">
      <c r="A273" s="76">
        <f t="shared" si="1"/>
        <v>259</v>
      </c>
      <c r="B273" s="686" t="s">
        <v>325</v>
      </c>
      <c r="C273" s="351"/>
      <c r="D273" s="687" t="s">
        <v>294</v>
      </c>
      <c r="E273" s="350"/>
      <c r="F273" s="350"/>
      <c r="G273" s="351"/>
      <c r="H273" s="688" t="s">
        <v>294</v>
      </c>
      <c r="I273" s="350"/>
      <c r="J273" s="350"/>
      <c r="K273" s="351"/>
      <c r="L273" s="538" t="s">
        <v>294</v>
      </c>
      <c r="M273" s="350"/>
      <c r="N273" s="351"/>
      <c r="O273" s="539" t="s">
        <v>294</v>
      </c>
      <c r="P273" s="350"/>
      <c r="Q273" s="351"/>
      <c r="R273" s="574"/>
      <c r="S273" s="350"/>
      <c r="T273" s="351"/>
      <c r="U273" s="567"/>
      <c r="V273" s="350"/>
      <c r="W273" s="351"/>
      <c r="X273" s="77"/>
      <c r="Y273" s="78"/>
      <c r="Z273" s="77"/>
      <c r="AA273" s="78"/>
      <c r="AB273" s="77"/>
      <c r="AC273" s="78"/>
      <c r="AD273" s="77"/>
      <c r="AE273" s="78"/>
      <c r="AF273" s="77"/>
      <c r="AG273" s="78"/>
      <c r="AH273" s="77"/>
      <c r="AI273" s="78"/>
      <c r="AJ273" s="64"/>
      <c r="AK273" s="80"/>
      <c r="AL273" s="64"/>
      <c r="AM273" s="80"/>
      <c r="AN273" s="64"/>
      <c r="AO273" s="80"/>
      <c r="AP273" s="64"/>
      <c r="AQ273" s="80"/>
      <c r="AR273" s="64"/>
      <c r="AS273" s="679" t="s">
        <v>294</v>
      </c>
      <c r="AT273" s="350"/>
      <c r="AU273" s="350"/>
      <c r="AV273" s="350"/>
      <c r="AW273" s="350"/>
      <c r="AX273" s="350"/>
      <c r="AY273" s="351"/>
      <c r="AZ273" s="81"/>
      <c r="BA273" s="81"/>
      <c r="BB273" s="677" t="s">
        <v>325</v>
      </c>
      <c r="BC273" s="351"/>
      <c r="BD273" s="681" t="s">
        <v>294</v>
      </c>
      <c r="BE273" s="350"/>
      <c r="BF273" s="351"/>
      <c r="BG273" s="678" t="s">
        <v>294</v>
      </c>
      <c r="BH273" s="350"/>
      <c r="BI273" s="350"/>
      <c r="BJ273" s="351"/>
      <c r="BK273" s="680"/>
      <c r="BL273" s="350"/>
      <c r="BM273" s="351"/>
      <c r="BN273" s="82"/>
      <c r="BO273" s="82"/>
      <c r="BP273" s="678"/>
      <c r="BQ273" s="350"/>
      <c r="BR273" s="351"/>
      <c r="BS273" s="681" t="s">
        <v>294</v>
      </c>
      <c r="BT273" s="350"/>
      <c r="BU273" s="351"/>
    </row>
    <row r="274" spans="1:73" ht="30" customHeight="1">
      <c r="A274" s="76">
        <f t="shared" si="1"/>
        <v>260</v>
      </c>
      <c r="B274" s="686" t="s">
        <v>325</v>
      </c>
      <c r="C274" s="351"/>
      <c r="D274" s="687" t="s">
        <v>294</v>
      </c>
      <c r="E274" s="350"/>
      <c r="F274" s="350"/>
      <c r="G274" s="351"/>
      <c r="H274" s="688" t="s">
        <v>294</v>
      </c>
      <c r="I274" s="350"/>
      <c r="J274" s="350"/>
      <c r="K274" s="351"/>
      <c r="L274" s="538" t="s">
        <v>294</v>
      </c>
      <c r="M274" s="350"/>
      <c r="N274" s="351"/>
      <c r="O274" s="539" t="s">
        <v>294</v>
      </c>
      <c r="P274" s="350"/>
      <c r="Q274" s="351"/>
      <c r="R274" s="574"/>
      <c r="S274" s="350"/>
      <c r="T274" s="351"/>
      <c r="U274" s="567"/>
      <c r="V274" s="350"/>
      <c r="W274" s="351"/>
      <c r="X274" s="77"/>
      <c r="Y274" s="78"/>
      <c r="Z274" s="77"/>
      <c r="AA274" s="78"/>
      <c r="AB274" s="77"/>
      <c r="AC274" s="78"/>
      <c r="AD274" s="77"/>
      <c r="AE274" s="78"/>
      <c r="AF274" s="77"/>
      <c r="AG274" s="78"/>
      <c r="AH274" s="77"/>
      <c r="AI274" s="78"/>
      <c r="AJ274" s="64"/>
      <c r="AK274" s="80"/>
      <c r="AL274" s="64"/>
      <c r="AM274" s="80"/>
      <c r="AN274" s="64"/>
      <c r="AO274" s="80"/>
      <c r="AP274" s="64"/>
      <c r="AQ274" s="80"/>
      <c r="AR274" s="64"/>
      <c r="AS274" s="679" t="s">
        <v>294</v>
      </c>
      <c r="AT274" s="350"/>
      <c r="AU274" s="350"/>
      <c r="AV274" s="350"/>
      <c r="AW274" s="350"/>
      <c r="AX274" s="350"/>
      <c r="AY274" s="351"/>
      <c r="AZ274" s="81"/>
      <c r="BA274" s="81"/>
      <c r="BB274" s="685" t="s">
        <v>325</v>
      </c>
      <c r="BC274" s="351"/>
      <c r="BD274" s="681" t="s">
        <v>294</v>
      </c>
      <c r="BE274" s="350"/>
      <c r="BF274" s="351"/>
      <c r="BG274" s="678" t="s">
        <v>294</v>
      </c>
      <c r="BH274" s="350"/>
      <c r="BI274" s="350"/>
      <c r="BJ274" s="351"/>
      <c r="BK274" s="680"/>
      <c r="BL274" s="350"/>
      <c r="BM274" s="351"/>
      <c r="BN274" s="82"/>
      <c r="BO274" s="82"/>
      <c r="BP274" s="678"/>
      <c r="BQ274" s="350"/>
      <c r="BR274" s="351"/>
      <c r="BS274" s="681" t="s">
        <v>294</v>
      </c>
      <c r="BT274" s="350"/>
      <c r="BU274" s="351"/>
    </row>
    <row r="275" spans="1:73" ht="30" customHeight="1">
      <c r="A275" s="76">
        <f t="shared" si="1"/>
        <v>261</v>
      </c>
      <c r="B275" s="686" t="s">
        <v>325</v>
      </c>
      <c r="C275" s="351"/>
      <c r="D275" s="687" t="s">
        <v>294</v>
      </c>
      <c r="E275" s="350"/>
      <c r="F275" s="350"/>
      <c r="G275" s="351"/>
      <c r="H275" s="688" t="s">
        <v>294</v>
      </c>
      <c r="I275" s="350"/>
      <c r="J275" s="350"/>
      <c r="K275" s="351"/>
      <c r="L275" s="538" t="s">
        <v>294</v>
      </c>
      <c r="M275" s="350"/>
      <c r="N275" s="351"/>
      <c r="O275" s="539" t="s">
        <v>294</v>
      </c>
      <c r="P275" s="350"/>
      <c r="Q275" s="351"/>
      <c r="R275" s="574"/>
      <c r="S275" s="350"/>
      <c r="T275" s="351"/>
      <c r="U275" s="567"/>
      <c r="V275" s="350"/>
      <c r="W275" s="351"/>
      <c r="X275" s="77"/>
      <c r="Y275" s="78"/>
      <c r="Z275" s="77"/>
      <c r="AA275" s="78"/>
      <c r="AB275" s="77"/>
      <c r="AC275" s="78"/>
      <c r="AD275" s="77"/>
      <c r="AE275" s="78"/>
      <c r="AF275" s="77"/>
      <c r="AG275" s="78"/>
      <c r="AH275" s="77"/>
      <c r="AI275" s="78"/>
      <c r="AJ275" s="64"/>
      <c r="AK275" s="80"/>
      <c r="AL275" s="64"/>
      <c r="AM275" s="80"/>
      <c r="AN275" s="64"/>
      <c r="AO275" s="80"/>
      <c r="AP275" s="64"/>
      <c r="AQ275" s="80"/>
      <c r="AR275" s="64"/>
      <c r="AS275" s="679" t="s">
        <v>294</v>
      </c>
      <c r="AT275" s="350"/>
      <c r="AU275" s="350"/>
      <c r="AV275" s="350"/>
      <c r="AW275" s="350"/>
      <c r="AX275" s="350"/>
      <c r="AY275" s="351"/>
      <c r="AZ275" s="81"/>
      <c r="BA275" s="81"/>
      <c r="BB275" s="677" t="s">
        <v>325</v>
      </c>
      <c r="BC275" s="351"/>
      <c r="BD275" s="681" t="s">
        <v>294</v>
      </c>
      <c r="BE275" s="350"/>
      <c r="BF275" s="351"/>
      <c r="BG275" s="678" t="s">
        <v>294</v>
      </c>
      <c r="BH275" s="350"/>
      <c r="BI275" s="350"/>
      <c r="BJ275" s="351"/>
      <c r="BK275" s="680"/>
      <c r="BL275" s="350"/>
      <c r="BM275" s="351"/>
      <c r="BN275" s="82"/>
      <c r="BO275" s="82"/>
      <c r="BP275" s="678"/>
      <c r="BQ275" s="350"/>
      <c r="BR275" s="351"/>
      <c r="BS275" s="681" t="s">
        <v>294</v>
      </c>
      <c r="BT275" s="350"/>
      <c r="BU275" s="351"/>
    </row>
    <row r="276" spans="1:73" ht="30" customHeight="1">
      <c r="A276" s="76">
        <f t="shared" si="1"/>
        <v>262</v>
      </c>
      <c r="B276" s="686" t="s">
        <v>325</v>
      </c>
      <c r="C276" s="351"/>
      <c r="D276" s="687" t="s">
        <v>294</v>
      </c>
      <c r="E276" s="350"/>
      <c r="F276" s="350"/>
      <c r="G276" s="351"/>
      <c r="H276" s="688" t="s">
        <v>294</v>
      </c>
      <c r="I276" s="350"/>
      <c r="J276" s="350"/>
      <c r="K276" s="351"/>
      <c r="L276" s="538" t="s">
        <v>294</v>
      </c>
      <c r="M276" s="350"/>
      <c r="N276" s="351"/>
      <c r="O276" s="539" t="s">
        <v>294</v>
      </c>
      <c r="P276" s="350"/>
      <c r="Q276" s="351"/>
      <c r="R276" s="574"/>
      <c r="S276" s="350"/>
      <c r="T276" s="351"/>
      <c r="U276" s="567"/>
      <c r="V276" s="350"/>
      <c r="W276" s="351"/>
      <c r="X276" s="77"/>
      <c r="Y276" s="78"/>
      <c r="Z276" s="77"/>
      <c r="AA276" s="78"/>
      <c r="AB276" s="77"/>
      <c r="AC276" s="78"/>
      <c r="AD276" s="77"/>
      <c r="AE276" s="78"/>
      <c r="AF276" s="77"/>
      <c r="AG276" s="78"/>
      <c r="AH276" s="77"/>
      <c r="AI276" s="78"/>
      <c r="AJ276" s="64"/>
      <c r="AK276" s="80"/>
      <c r="AL276" s="64"/>
      <c r="AM276" s="80"/>
      <c r="AN276" s="64"/>
      <c r="AO276" s="80"/>
      <c r="AP276" s="64"/>
      <c r="AQ276" s="80"/>
      <c r="AR276" s="64"/>
      <c r="AS276" s="679" t="s">
        <v>294</v>
      </c>
      <c r="AT276" s="350"/>
      <c r="AU276" s="350"/>
      <c r="AV276" s="350"/>
      <c r="AW276" s="350"/>
      <c r="AX276" s="350"/>
      <c r="AY276" s="351"/>
      <c r="AZ276" s="81"/>
      <c r="BA276" s="81"/>
      <c r="BB276" s="677" t="s">
        <v>325</v>
      </c>
      <c r="BC276" s="351"/>
      <c r="BD276" s="681" t="s">
        <v>294</v>
      </c>
      <c r="BE276" s="350"/>
      <c r="BF276" s="351"/>
      <c r="BG276" s="678" t="s">
        <v>294</v>
      </c>
      <c r="BH276" s="350"/>
      <c r="BI276" s="350"/>
      <c r="BJ276" s="351"/>
      <c r="BK276" s="680"/>
      <c r="BL276" s="350"/>
      <c r="BM276" s="351"/>
      <c r="BN276" s="82"/>
      <c r="BO276" s="82"/>
      <c r="BP276" s="678"/>
      <c r="BQ276" s="350"/>
      <c r="BR276" s="351"/>
      <c r="BS276" s="681" t="s">
        <v>294</v>
      </c>
      <c r="BT276" s="350"/>
      <c r="BU276" s="351"/>
    </row>
    <row r="277" spans="1:73" ht="30" customHeight="1">
      <c r="A277" s="76">
        <f t="shared" si="1"/>
        <v>263</v>
      </c>
      <c r="B277" s="686" t="s">
        <v>325</v>
      </c>
      <c r="C277" s="351"/>
      <c r="D277" s="687" t="s">
        <v>294</v>
      </c>
      <c r="E277" s="350"/>
      <c r="F277" s="350"/>
      <c r="G277" s="351"/>
      <c r="H277" s="688" t="s">
        <v>294</v>
      </c>
      <c r="I277" s="350"/>
      <c r="J277" s="350"/>
      <c r="K277" s="351"/>
      <c r="L277" s="538" t="s">
        <v>294</v>
      </c>
      <c r="M277" s="350"/>
      <c r="N277" s="351"/>
      <c r="O277" s="539" t="s">
        <v>294</v>
      </c>
      <c r="P277" s="350"/>
      <c r="Q277" s="351"/>
      <c r="R277" s="574"/>
      <c r="S277" s="350"/>
      <c r="T277" s="351"/>
      <c r="U277" s="567"/>
      <c r="V277" s="350"/>
      <c r="W277" s="351"/>
      <c r="X277" s="77"/>
      <c r="Y277" s="78"/>
      <c r="Z277" s="77"/>
      <c r="AA277" s="78"/>
      <c r="AB277" s="77"/>
      <c r="AC277" s="78"/>
      <c r="AD277" s="77"/>
      <c r="AE277" s="78"/>
      <c r="AF277" s="77"/>
      <c r="AG277" s="78"/>
      <c r="AH277" s="77"/>
      <c r="AI277" s="78"/>
      <c r="AJ277" s="64"/>
      <c r="AK277" s="80"/>
      <c r="AL277" s="64"/>
      <c r="AM277" s="80"/>
      <c r="AN277" s="64"/>
      <c r="AO277" s="80"/>
      <c r="AP277" s="64"/>
      <c r="AQ277" s="80"/>
      <c r="AR277" s="64"/>
      <c r="AS277" s="679" t="s">
        <v>294</v>
      </c>
      <c r="AT277" s="350"/>
      <c r="AU277" s="350"/>
      <c r="AV277" s="350"/>
      <c r="AW277" s="350"/>
      <c r="AX277" s="350"/>
      <c r="AY277" s="351"/>
      <c r="AZ277" s="81"/>
      <c r="BA277" s="81"/>
      <c r="BB277" s="677" t="s">
        <v>325</v>
      </c>
      <c r="BC277" s="351"/>
      <c r="BD277" s="681" t="s">
        <v>294</v>
      </c>
      <c r="BE277" s="350"/>
      <c r="BF277" s="351"/>
      <c r="BG277" s="678" t="s">
        <v>294</v>
      </c>
      <c r="BH277" s="350"/>
      <c r="BI277" s="350"/>
      <c r="BJ277" s="351"/>
      <c r="BK277" s="680"/>
      <c r="BL277" s="350"/>
      <c r="BM277" s="351"/>
      <c r="BN277" s="82"/>
      <c r="BO277" s="82"/>
      <c r="BP277" s="678"/>
      <c r="BQ277" s="350"/>
      <c r="BR277" s="351"/>
      <c r="BS277" s="681" t="s">
        <v>294</v>
      </c>
      <c r="BT277" s="350"/>
      <c r="BU277" s="351"/>
    </row>
    <row r="278" spans="1:73" ht="30" customHeight="1">
      <c r="A278" s="76">
        <f t="shared" si="1"/>
        <v>264</v>
      </c>
      <c r="B278" s="686" t="s">
        <v>325</v>
      </c>
      <c r="C278" s="351"/>
      <c r="D278" s="687" t="s">
        <v>294</v>
      </c>
      <c r="E278" s="350"/>
      <c r="F278" s="350"/>
      <c r="G278" s="351"/>
      <c r="H278" s="688" t="s">
        <v>294</v>
      </c>
      <c r="I278" s="350"/>
      <c r="J278" s="350"/>
      <c r="K278" s="351"/>
      <c r="L278" s="538" t="s">
        <v>294</v>
      </c>
      <c r="M278" s="350"/>
      <c r="N278" s="351"/>
      <c r="O278" s="539" t="s">
        <v>294</v>
      </c>
      <c r="P278" s="350"/>
      <c r="Q278" s="351"/>
      <c r="R278" s="574"/>
      <c r="S278" s="350"/>
      <c r="T278" s="351"/>
      <c r="U278" s="567"/>
      <c r="V278" s="350"/>
      <c r="W278" s="351"/>
      <c r="X278" s="77"/>
      <c r="Y278" s="78"/>
      <c r="Z278" s="77"/>
      <c r="AA278" s="78"/>
      <c r="AB278" s="77"/>
      <c r="AC278" s="78"/>
      <c r="AD278" s="77"/>
      <c r="AE278" s="78"/>
      <c r="AF278" s="77"/>
      <c r="AG278" s="78"/>
      <c r="AH278" s="77"/>
      <c r="AI278" s="78"/>
      <c r="AJ278" s="64"/>
      <c r="AK278" s="80"/>
      <c r="AL278" s="64"/>
      <c r="AM278" s="80"/>
      <c r="AN278" s="64"/>
      <c r="AO278" s="80"/>
      <c r="AP278" s="64"/>
      <c r="AQ278" s="80"/>
      <c r="AR278" s="64"/>
      <c r="AS278" s="679" t="s">
        <v>294</v>
      </c>
      <c r="AT278" s="350"/>
      <c r="AU278" s="350"/>
      <c r="AV278" s="350"/>
      <c r="AW278" s="350"/>
      <c r="AX278" s="350"/>
      <c r="AY278" s="351"/>
      <c r="AZ278" s="81"/>
      <c r="BA278" s="81"/>
      <c r="BB278" s="677" t="s">
        <v>325</v>
      </c>
      <c r="BC278" s="351"/>
      <c r="BD278" s="681" t="s">
        <v>294</v>
      </c>
      <c r="BE278" s="350"/>
      <c r="BF278" s="351"/>
      <c r="BG278" s="678" t="s">
        <v>294</v>
      </c>
      <c r="BH278" s="350"/>
      <c r="BI278" s="350"/>
      <c r="BJ278" s="351"/>
      <c r="BK278" s="680"/>
      <c r="BL278" s="350"/>
      <c r="BM278" s="351"/>
      <c r="BN278" s="82"/>
      <c r="BO278" s="82"/>
      <c r="BP278" s="678"/>
      <c r="BQ278" s="350"/>
      <c r="BR278" s="351"/>
      <c r="BS278" s="681" t="s">
        <v>294</v>
      </c>
      <c r="BT278" s="350"/>
      <c r="BU278" s="351"/>
    </row>
    <row r="279" spans="1:73" ht="30" customHeight="1">
      <c r="A279" s="76">
        <f t="shared" si="1"/>
        <v>265</v>
      </c>
      <c r="B279" s="686" t="s">
        <v>325</v>
      </c>
      <c r="C279" s="351"/>
      <c r="D279" s="687" t="s">
        <v>294</v>
      </c>
      <c r="E279" s="350"/>
      <c r="F279" s="350"/>
      <c r="G279" s="351"/>
      <c r="H279" s="688" t="s">
        <v>294</v>
      </c>
      <c r="I279" s="350"/>
      <c r="J279" s="350"/>
      <c r="K279" s="351"/>
      <c r="L279" s="538" t="s">
        <v>294</v>
      </c>
      <c r="M279" s="350"/>
      <c r="N279" s="351"/>
      <c r="O279" s="539" t="s">
        <v>294</v>
      </c>
      <c r="P279" s="350"/>
      <c r="Q279" s="351"/>
      <c r="R279" s="574"/>
      <c r="S279" s="350"/>
      <c r="T279" s="351"/>
      <c r="U279" s="567"/>
      <c r="V279" s="350"/>
      <c r="W279" s="351"/>
      <c r="X279" s="77"/>
      <c r="Y279" s="78"/>
      <c r="Z279" s="77"/>
      <c r="AA279" s="78"/>
      <c r="AB279" s="77"/>
      <c r="AC279" s="78"/>
      <c r="AD279" s="77"/>
      <c r="AE279" s="78"/>
      <c r="AF279" s="77"/>
      <c r="AG279" s="78"/>
      <c r="AH279" s="77"/>
      <c r="AI279" s="78"/>
      <c r="AJ279" s="64"/>
      <c r="AK279" s="80"/>
      <c r="AL279" s="64"/>
      <c r="AM279" s="80"/>
      <c r="AN279" s="64"/>
      <c r="AO279" s="80"/>
      <c r="AP279" s="64"/>
      <c r="AQ279" s="80"/>
      <c r="AR279" s="64"/>
      <c r="AS279" s="679" t="s">
        <v>294</v>
      </c>
      <c r="AT279" s="350"/>
      <c r="AU279" s="350"/>
      <c r="AV279" s="350"/>
      <c r="AW279" s="350"/>
      <c r="AX279" s="350"/>
      <c r="AY279" s="351"/>
      <c r="AZ279" s="81"/>
      <c r="BA279" s="81"/>
      <c r="BB279" s="677" t="s">
        <v>325</v>
      </c>
      <c r="BC279" s="351"/>
      <c r="BD279" s="681" t="s">
        <v>294</v>
      </c>
      <c r="BE279" s="350"/>
      <c r="BF279" s="351"/>
      <c r="BG279" s="678" t="s">
        <v>294</v>
      </c>
      <c r="BH279" s="350"/>
      <c r="BI279" s="350"/>
      <c r="BJ279" s="351"/>
      <c r="BK279" s="680"/>
      <c r="BL279" s="350"/>
      <c r="BM279" s="351"/>
      <c r="BN279" s="82"/>
      <c r="BO279" s="82"/>
      <c r="BP279" s="678"/>
      <c r="BQ279" s="350"/>
      <c r="BR279" s="351"/>
      <c r="BS279" s="681" t="s">
        <v>294</v>
      </c>
      <c r="BT279" s="350"/>
      <c r="BU279" s="351"/>
    </row>
    <row r="280" spans="1:73" ht="30" customHeight="1">
      <c r="A280" s="76">
        <f t="shared" si="1"/>
        <v>266</v>
      </c>
      <c r="B280" s="686" t="s">
        <v>325</v>
      </c>
      <c r="C280" s="351"/>
      <c r="D280" s="687" t="s">
        <v>294</v>
      </c>
      <c r="E280" s="350"/>
      <c r="F280" s="350"/>
      <c r="G280" s="351"/>
      <c r="H280" s="688" t="s">
        <v>294</v>
      </c>
      <c r="I280" s="350"/>
      <c r="J280" s="350"/>
      <c r="K280" s="351"/>
      <c r="L280" s="538" t="s">
        <v>294</v>
      </c>
      <c r="M280" s="350"/>
      <c r="N280" s="351"/>
      <c r="O280" s="539" t="s">
        <v>294</v>
      </c>
      <c r="P280" s="350"/>
      <c r="Q280" s="351"/>
      <c r="R280" s="574"/>
      <c r="S280" s="350"/>
      <c r="T280" s="351"/>
      <c r="U280" s="567"/>
      <c r="V280" s="350"/>
      <c r="W280" s="351"/>
      <c r="X280" s="77"/>
      <c r="Y280" s="78"/>
      <c r="Z280" s="77"/>
      <c r="AA280" s="78"/>
      <c r="AB280" s="77"/>
      <c r="AC280" s="78"/>
      <c r="AD280" s="77"/>
      <c r="AE280" s="78"/>
      <c r="AF280" s="77"/>
      <c r="AG280" s="78"/>
      <c r="AH280" s="77"/>
      <c r="AI280" s="78"/>
      <c r="AJ280" s="64"/>
      <c r="AK280" s="80"/>
      <c r="AL280" s="64"/>
      <c r="AM280" s="80"/>
      <c r="AN280" s="64"/>
      <c r="AO280" s="80"/>
      <c r="AP280" s="64"/>
      <c r="AQ280" s="80"/>
      <c r="AR280" s="64"/>
      <c r="AS280" s="679" t="s">
        <v>294</v>
      </c>
      <c r="AT280" s="350"/>
      <c r="AU280" s="350"/>
      <c r="AV280" s="350"/>
      <c r="AW280" s="350"/>
      <c r="AX280" s="350"/>
      <c r="AY280" s="351"/>
      <c r="AZ280" s="81"/>
      <c r="BA280" s="81"/>
      <c r="BB280" s="677" t="s">
        <v>325</v>
      </c>
      <c r="BC280" s="351"/>
      <c r="BD280" s="681" t="s">
        <v>294</v>
      </c>
      <c r="BE280" s="350"/>
      <c r="BF280" s="351"/>
      <c r="BG280" s="678" t="s">
        <v>294</v>
      </c>
      <c r="BH280" s="350"/>
      <c r="BI280" s="350"/>
      <c r="BJ280" s="351"/>
      <c r="BK280" s="680"/>
      <c r="BL280" s="350"/>
      <c r="BM280" s="351"/>
      <c r="BN280" s="82"/>
      <c r="BO280" s="82"/>
      <c r="BP280" s="678"/>
      <c r="BQ280" s="350"/>
      <c r="BR280" s="351"/>
      <c r="BS280" s="681" t="s">
        <v>294</v>
      </c>
      <c r="BT280" s="350"/>
      <c r="BU280" s="351"/>
    </row>
    <row r="281" spans="1:73" ht="30" customHeight="1">
      <c r="A281" s="76">
        <f t="shared" si="1"/>
        <v>267</v>
      </c>
      <c r="B281" s="686" t="s">
        <v>325</v>
      </c>
      <c r="C281" s="351"/>
      <c r="D281" s="687" t="s">
        <v>294</v>
      </c>
      <c r="E281" s="350"/>
      <c r="F281" s="350"/>
      <c r="G281" s="351"/>
      <c r="H281" s="688" t="s">
        <v>294</v>
      </c>
      <c r="I281" s="350"/>
      <c r="J281" s="350"/>
      <c r="K281" s="351"/>
      <c r="L281" s="538" t="s">
        <v>294</v>
      </c>
      <c r="M281" s="350"/>
      <c r="N281" s="351"/>
      <c r="O281" s="539" t="s">
        <v>294</v>
      </c>
      <c r="P281" s="350"/>
      <c r="Q281" s="351"/>
      <c r="R281" s="574"/>
      <c r="S281" s="350"/>
      <c r="T281" s="351"/>
      <c r="U281" s="567"/>
      <c r="V281" s="350"/>
      <c r="W281" s="351"/>
      <c r="X281" s="77"/>
      <c r="Y281" s="78"/>
      <c r="Z281" s="77"/>
      <c r="AA281" s="78"/>
      <c r="AB281" s="77"/>
      <c r="AC281" s="78"/>
      <c r="AD281" s="77"/>
      <c r="AE281" s="78"/>
      <c r="AF281" s="77"/>
      <c r="AG281" s="78"/>
      <c r="AH281" s="77"/>
      <c r="AI281" s="78"/>
      <c r="AJ281" s="64"/>
      <c r="AK281" s="80"/>
      <c r="AL281" s="64"/>
      <c r="AM281" s="80"/>
      <c r="AN281" s="64"/>
      <c r="AO281" s="80"/>
      <c r="AP281" s="64"/>
      <c r="AQ281" s="80"/>
      <c r="AR281" s="64"/>
      <c r="AS281" s="679" t="s">
        <v>294</v>
      </c>
      <c r="AT281" s="350"/>
      <c r="AU281" s="350"/>
      <c r="AV281" s="350"/>
      <c r="AW281" s="350"/>
      <c r="AX281" s="350"/>
      <c r="AY281" s="351"/>
      <c r="AZ281" s="81"/>
      <c r="BA281" s="81"/>
      <c r="BB281" s="685" t="s">
        <v>325</v>
      </c>
      <c r="BC281" s="351"/>
      <c r="BD281" s="681" t="s">
        <v>294</v>
      </c>
      <c r="BE281" s="350"/>
      <c r="BF281" s="351"/>
      <c r="BG281" s="678" t="s">
        <v>294</v>
      </c>
      <c r="BH281" s="350"/>
      <c r="BI281" s="350"/>
      <c r="BJ281" s="351"/>
      <c r="BK281" s="680"/>
      <c r="BL281" s="350"/>
      <c r="BM281" s="351"/>
      <c r="BN281" s="82"/>
      <c r="BO281" s="82"/>
      <c r="BP281" s="678"/>
      <c r="BQ281" s="350"/>
      <c r="BR281" s="351"/>
      <c r="BS281" s="681" t="s">
        <v>294</v>
      </c>
      <c r="BT281" s="350"/>
      <c r="BU281" s="351"/>
    </row>
    <row r="282" spans="1:73" ht="30" customHeight="1">
      <c r="A282" s="76">
        <f t="shared" si="1"/>
        <v>268</v>
      </c>
      <c r="B282" s="686" t="s">
        <v>325</v>
      </c>
      <c r="C282" s="351"/>
      <c r="D282" s="687" t="s">
        <v>294</v>
      </c>
      <c r="E282" s="350"/>
      <c r="F282" s="350"/>
      <c r="G282" s="351"/>
      <c r="H282" s="688" t="s">
        <v>294</v>
      </c>
      <c r="I282" s="350"/>
      <c r="J282" s="350"/>
      <c r="K282" s="351"/>
      <c r="L282" s="538" t="s">
        <v>294</v>
      </c>
      <c r="M282" s="350"/>
      <c r="N282" s="351"/>
      <c r="O282" s="539" t="s">
        <v>294</v>
      </c>
      <c r="P282" s="350"/>
      <c r="Q282" s="351"/>
      <c r="R282" s="574"/>
      <c r="S282" s="350"/>
      <c r="T282" s="351"/>
      <c r="U282" s="567"/>
      <c r="V282" s="350"/>
      <c r="W282" s="351"/>
      <c r="X282" s="77"/>
      <c r="Y282" s="78"/>
      <c r="Z282" s="77"/>
      <c r="AA282" s="78"/>
      <c r="AB282" s="77"/>
      <c r="AC282" s="78"/>
      <c r="AD282" s="77"/>
      <c r="AE282" s="78"/>
      <c r="AF282" s="77"/>
      <c r="AG282" s="78"/>
      <c r="AH282" s="77"/>
      <c r="AI282" s="78"/>
      <c r="AJ282" s="64"/>
      <c r="AK282" s="80"/>
      <c r="AL282" s="64"/>
      <c r="AM282" s="80"/>
      <c r="AN282" s="64"/>
      <c r="AO282" s="80"/>
      <c r="AP282" s="64"/>
      <c r="AQ282" s="80"/>
      <c r="AR282" s="64"/>
      <c r="AS282" s="679" t="s">
        <v>294</v>
      </c>
      <c r="AT282" s="350"/>
      <c r="AU282" s="350"/>
      <c r="AV282" s="350"/>
      <c r="AW282" s="350"/>
      <c r="AX282" s="350"/>
      <c r="AY282" s="351"/>
      <c r="AZ282" s="81"/>
      <c r="BA282" s="81"/>
      <c r="BB282" s="677" t="s">
        <v>325</v>
      </c>
      <c r="BC282" s="351"/>
      <c r="BD282" s="681" t="s">
        <v>294</v>
      </c>
      <c r="BE282" s="350"/>
      <c r="BF282" s="351"/>
      <c r="BG282" s="678" t="s">
        <v>294</v>
      </c>
      <c r="BH282" s="350"/>
      <c r="BI282" s="350"/>
      <c r="BJ282" s="351"/>
      <c r="BK282" s="680"/>
      <c r="BL282" s="350"/>
      <c r="BM282" s="351"/>
      <c r="BN282" s="82"/>
      <c r="BO282" s="82"/>
      <c r="BP282" s="678"/>
      <c r="BQ282" s="350"/>
      <c r="BR282" s="351"/>
      <c r="BS282" s="681" t="s">
        <v>294</v>
      </c>
      <c r="BT282" s="350"/>
      <c r="BU282" s="351"/>
    </row>
    <row r="283" spans="1:73" ht="30" customHeight="1">
      <c r="A283" s="76">
        <f t="shared" si="1"/>
        <v>269</v>
      </c>
      <c r="B283" s="686" t="s">
        <v>325</v>
      </c>
      <c r="C283" s="351"/>
      <c r="D283" s="687" t="s">
        <v>294</v>
      </c>
      <c r="E283" s="350"/>
      <c r="F283" s="350"/>
      <c r="G283" s="351"/>
      <c r="H283" s="688" t="s">
        <v>294</v>
      </c>
      <c r="I283" s="350"/>
      <c r="J283" s="350"/>
      <c r="K283" s="351"/>
      <c r="L283" s="538" t="s">
        <v>294</v>
      </c>
      <c r="M283" s="350"/>
      <c r="N283" s="351"/>
      <c r="O283" s="539" t="s">
        <v>294</v>
      </c>
      <c r="P283" s="350"/>
      <c r="Q283" s="351"/>
      <c r="R283" s="574"/>
      <c r="S283" s="350"/>
      <c r="T283" s="351"/>
      <c r="U283" s="567"/>
      <c r="V283" s="350"/>
      <c r="W283" s="351"/>
      <c r="X283" s="77"/>
      <c r="Y283" s="78"/>
      <c r="Z283" s="77"/>
      <c r="AA283" s="78"/>
      <c r="AB283" s="77"/>
      <c r="AC283" s="78"/>
      <c r="AD283" s="77"/>
      <c r="AE283" s="78"/>
      <c r="AF283" s="77"/>
      <c r="AG283" s="78"/>
      <c r="AH283" s="77"/>
      <c r="AI283" s="78"/>
      <c r="AJ283" s="64"/>
      <c r="AK283" s="80"/>
      <c r="AL283" s="64"/>
      <c r="AM283" s="80"/>
      <c r="AN283" s="64"/>
      <c r="AO283" s="80"/>
      <c r="AP283" s="64"/>
      <c r="AQ283" s="80"/>
      <c r="AR283" s="64"/>
      <c r="AS283" s="679" t="s">
        <v>294</v>
      </c>
      <c r="AT283" s="350"/>
      <c r="AU283" s="350"/>
      <c r="AV283" s="350"/>
      <c r="AW283" s="350"/>
      <c r="AX283" s="350"/>
      <c r="AY283" s="351"/>
      <c r="AZ283" s="81"/>
      <c r="BA283" s="81"/>
      <c r="BB283" s="677" t="s">
        <v>325</v>
      </c>
      <c r="BC283" s="351"/>
      <c r="BD283" s="681" t="s">
        <v>294</v>
      </c>
      <c r="BE283" s="350"/>
      <c r="BF283" s="351"/>
      <c r="BG283" s="678" t="s">
        <v>294</v>
      </c>
      <c r="BH283" s="350"/>
      <c r="BI283" s="350"/>
      <c r="BJ283" s="351"/>
      <c r="BK283" s="680"/>
      <c r="BL283" s="350"/>
      <c r="BM283" s="351"/>
      <c r="BN283" s="82"/>
      <c r="BO283" s="82"/>
      <c r="BP283" s="678"/>
      <c r="BQ283" s="350"/>
      <c r="BR283" s="351"/>
      <c r="BS283" s="681" t="s">
        <v>294</v>
      </c>
      <c r="BT283" s="350"/>
      <c r="BU283" s="351"/>
    </row>
    <row r="284" spans="1:73" ht="30" customHeight="1">
      <c r="A284" s="76">
        <f t="shared" si="1"/>
        <v>270</v>
      </c>
      <c r="B284" s="686" t="s">
        <v>325</v>
      </c>
      <c r="C284" s="351"/>
      <c r="D284" s="687" t="s">
        <v>294</v>
      </c>
      <c r="E284" s="350"/>
      <c r="F284" s="350"/>
      <c r="G284" s="351"/>
      <c r="H284" s="688" t="s">
        <v>294</v>
      </c>
      <c r="I284" s="350"/>
      <c r="J284" s="350"/>
      <c r="K284" s="351"/>
      <c r="L284" s="538" t="s">
        <v>294</v>
      </c>
      <c r="M284" s="350"/>
      <c r="N284" s="351"/>
      <c r="O284" s="539" t="s">
        <v>294</v>
      </c>
      <c r="P284" s="350"/>
      <c r="Q284" s="351"/>
      <c r="R284" s="574"/>
      <c r="S284" s="350"/>
      <c r="T284" s="351"/>
      <c r="U284" s="567"/>
      <c r="V284" s="350"/>
      <c r="W284" s="351"/>
      <c r="X284" s="77"/>
      <c r="Y284" s="78"/>
      <c r="Z284" s="77"/>
      <c r="AA284" s="78"/>
      <c r="AB284" s="77"/>
      <c r="AC284" s="78"/>
      <c r="AD284" s="77"/>
      <c r="AE284" s="78"/>
      <c r="AF284" s="77"/>
      <c r="AG284" s="78"/>
      <c r="AH284" s="77"/>
      <c r="AI284" s="78"/>
      <c r="AJ284" s="64"/>
      <c r="AK284" s="80"/>
      <c r="AL284" s="64"/>
      <c r="AM284" s="80"/>
      <c r="AN284" s="64"/>
      <c r="AO284" s="80"/>
      <c r="AP284" s="64"/>
      <c r="AQ284" s="80"/>
      <c r="AR284" s="64"/>
      <c r="AS284" s="679" t="s">
        <v>294</v>
      </c>
      <c r="AT284" s="350"/>
      <c r="AU284" s="350"/>
      <c r="AV284" s="350"/>
      <c r="AW284" s="350"/>
      <c r="AX284" s="350"/>
      <c r="AY284" s="351"/>
      <c r="AZ284" s="81"/>
      <c r="BA284" s="81"/>
      <c r="BB284" s="677" t="s">
        <v>325</v>
      </c>
      <c r="BC284" s="351"/>
      <c r="BD284" s="681" t="s">
        <v>294</v>
      </c>
      <c r="BE284" s="350"/>
      <c r="BF284" s="351"/>
      <c r="BG284" s="678" t="s">
        <v>294</v>
      </c>
      <c r="BH284" s="350"/>
      <c r="BI284" s="350"/>
      <c r="BJ284" s="351"/>
      <c r="BK284" s="680"/>
      <c r="BL284" s="350"/>
      <c r="BM284" s="351"/>
      <c r="BN284" s="82"/>
      <c r="BO284" s="82"/>
      <c r="BP284" s="678"/>
      <c r="BQ284" s="350"/>
      <c r="BR284" s="351"/>
      <c r="BS284" s="681" t="s">
        <v>294</v>
      </c>
      <c r="BT284" s="350"/>
      <c r="BU284" s="351"/>
    </row>
    <row r="285" spans="1:73" ht="30" customHeight="1">
      <c r="A285" s="76">
        <f t="shared" si="1"/>
        <v>271</v>
      </c>
      <c r="B285" s="686" t="s">
        <v>325</v>
      </c>
      <c r="C285" s="351"/>
      <c r="D285" s="687" t="s">
        <v>294</v>
      </c>
      <c r="E285" s="350"/>
      <c r="F285" s="350"/>
      <c r="G285" s="351"/>
      <c r="H285" s="688" t="s">
        <v>294</v>
      </c>
      <c r="I285" s="350"/>
      <c r="J285" s="350"/>
      <c r="K285" s="351"/>
      <c r="L285" s="538" t="s">
        <v>294</v>
      </c>
      <c r="M285" s="350"/>
      <c r="N285" s="351"/>
      <c r="O285" s="539" t="s">
        <v>294</v>
      </c>
      <c r="P285" s="350"/>
      <c r="Q285" s="351"/>
      <c r="R285" s="574"/>
      <c r="S285" s="350"/>
      <c r="T285" s="351"/>
      <c r="U285" s="567"/>
      <c r="V285" s="350"/>
      <c r="W285" s="351"/>
      <c r="X285" s="77"/>
      <c r="Y285" s="78"/>
      <c r="Z285" s="77"/>
      <c r="AA285" s="78"/>
      <c r="AB285" s="77"/>
      <c r="AC285" s="78"/>
      <c r="AD285" s="77"/>
      <c r="AE285" s="78"/>
      <c r="AF285" s="77"/>
      <c r="AG285" s="78"/>
      <c r="AH285" s="77"/>
      <c r="AI285" s="78"/>
      <c r="AJ285" s="64"/>
      <c r="AK285" s="80"/>
      <c r="AL285" s="64"/>
      <c r="AM285" s="80"/>
      <c r="AN285" s="64"/>
      <c r="AO285" s="80"/>
      <c r="AP285" s="64"/>
      <c r="AQ285" s="80"/>
      <c r="AR285" s="64"/>
      <c r="AS285" s="679" t="s">
        <v>294</v>
      </c>
      <c r="AT285" s="350"/>
      <c r="AU285" s="350"/>
      <c r="AV285" s="350"/>
      <c r="AW285" s="350"/>
      <c r="AX285" s="350"/>
      <c r="AY285" s="351"/>
      <c r="AZ285" s="81"/>
      <c r="BA285" s="81"/>
      <c r="BB285" s="677" t="s">
        <v>325</v>
      </c>
      <c r="BC285" s="351"/>
      <c r="BD285" s="681" t="s">
        <v>294</v>
      </c>
      <c r="BE285" s="350"/>
      <c r="BF285" s="351"/>
      <c r="BG285" s="678" t="s">
        <v>294</v>
      </c>
      <c r="BH285" s="350"/>
      <c r="BI285" s="350"/>
      <c r="BJ285" s="351"/>
      <c r="BK285" s="680"/>
      <c r="BL285" s="350"/>
      <c r="BM285" s="351"/>
      <c r="BN285" s="82"/>
      <c r="BO285" s="82"/>
      <c r="BP285" s="678"/>
      <c r="BQ285" s="350"/>
      <c r="BR285" s="351"/>
      <c r="BS285" s="681" t="s">
        <v>294</v>
      </c>
      <c r="BT285" s="350"/>
      <c r="BU285" s="351"/>
    </row>
    <row r="286" spans="1:73" ht="30" customHeight="1">
      <c r="A286" s="76">
        <f t="shared" si="1"/>
        <v>272</v>
      </c>
      <c r="B286" s="686" t="s">
        <v>325</v>
      </c>
      <c r="C286" s="351"/>
      <c r="D286" s="687" t="s">
        <v>294</v>
      </c>
      <c r="E286" s="350"/>
      <c r="F286" s="350"/>
      <c r="G286" s="351"/>
      <c r="H286" s="688" t="s">
        <v>294</v>
      </c>
      <c r="I286" s="350"/>
      <c r="J286" s="350"/>
      <c r="K286" s="351"/>
      <c r="L286" s="538" t="s">
        <v>294</v>
      </c>
      <c r="M286" s="350"/>
      <c r="N286" s="351"/>
      <c r="O286" s="539" t="s">
        <v>294</v>
      </c>
      <c r="P286" s="350"/>
      <c r="Q286" s="351"/>
      <c r="R286" s="574"/>
      <c r="S286" s="350"/>
      <c r="T286" s="351"/>
      <c r="U286" s="567"/>
      <c r="V286" s="350"/>
      <c r="W286" s="351"/>
      <c r="X286" s="77"/>
      <c r="Y286" s="78"/>
      <c r="Z286" s="77"/>
      <c r="AA286" s="78"/>
      <c r="AB286" s="77"/>
      <c r="AC286" s="78"/>
      <c r="AD286" s="77"/>
      <c r="AE286" s="78"/>
      <c r="AF286" s="77"/>
      <c r="AG286" s="78"/>
      <c r="AH286" s="77"/>
      <c r="AI286" s="78"/>
      <c r="AJ286" s="64"/>
      <c r="AK286" s="80"/>
      <c r="AL286" s="64"/>
      <c r="AM286" s="80"/>
      <c r="AN286" s="64"/>
      <c r="AO286" s="80"/>
      <c r="AP286" s="64"/>
      <c r="AQ286" s="80"/>
      <c r="AR286" s="64"/>
      <c r="AS286" s="679" t="s">
        <v>294</v>
      </c>
      <c r="AT286" s="350"/>
      <c r="AU286" s="350"/>
      <c r="AV286" s="350"/>
      <c r="AW286" s="350"/>
      <c r="AX286" s="350"/>
      <c r="AY286" s="351"/>
      <c r="AZ286" s="81"/>
      <c r="BA286" s="81"/>
      <c r="BB286" s="677" t="s">
        <v>325</v>
      </c>
      <c r="BC286" s="351"/>
      <c r="BD286" s="681" t="s">
        <v>294</v>
      </c>
      <c r="BE286" s="350"/>
      <c r="BF286" s="351"/>
      <c r="BG286" s="678" t="s">
        <v>294</v>
      </c>
      <c r="BH286" s="350"/>
      <c r="BI286" s="350"/>
      <c r="BJ286" s="351"/>
      <c r="BK286" s="680"/>
      <c r="BL286" s="350"/>
      <c r="BM286" s="351"/>
      <c r="BN286" s="82"/>
      <c r="BO286" s="82"/>
      <c r="BP286" s="678"/>
      <c r="BQ286" s="350"/>
      <c r="BR286" s="351"/>
      <c r="BS286" s="681" t="s">
        <v>294</v>
      </c>
      <c r="BT286" s="350"/>
      <c r="BU286" s="351"/>
    </row>
    <row r="287" spans="1:73" ht="30" customHeight="1">
      <c r="A287" s="76">
        <f t="shared" si="1"/>
        <v>273</v>
      </c>
      <c r="B287" s="686" t="s">
        <v>325</v>
      </c>
      <c r="C287" s="351"/>
      <c r="D287" s="687" t="s">
        <v>294</v>
      </c>
      <c r="E287" s="350"/>
      <c r="F287" s="350"/>
      <c r="G287" s="351"/>
      <c r="H287" s="688" t="s">
        <v>294</v>
      </c>
      <c r="I287" s="350"/>
      <c r="J287" s="350"/>
      <c r="K287" s="351"/>
      <c r="L287" s="538" t="s">
        <v>294</v>
      </c>
      <c r="M287" s="350"/>
      <c r="N287" s="351"/>
      <c r="O287" s="539" t="s">
        <v>294</v>
      </c>
      <c r="P287" s="350"/>
      <c r="Q287" s="351"/>
      <c r="R287" s="574"/>
      <c r="S287" s="350"/>
      <c r="T287" s="351"/>
      <c r="U287" s="567"/>
      <c r="V287" s="350"/>
      <c r="W287" s="351"/>
      <c r="X287" s="77"/>
      <c r="Y287" s="78"/>
      <c r="Z287" s="77"/>
      <c r="AA287" s="78"/>
      <c r="AB287" s="77"/>
      <c r="AC287" s="78"/>
      <c r="AD287" s="77"/>
      <c r="AE287" s="78"/>
      <c r="AF287" s="77"/>
      <c r="AG287" s="78"/>
      <c r="AH287" s="77"/>
      <c r="AI287" s="78"/>
      <c r="AJ287" s="64"/>
      <c r="AK287" s="80"/>
      <c r="AL287" s="64"/>
      <c r="AM287" s="80"/>
      <c r="AN287" s="64"/>
      <c r="AO287" s="80"/>
      <c r="AP287" s="64"/>
      <c r="AQ287" s="80"/>
      <c r="AR287" s="64"/>
      <c r="AS287" s="679" t="s">
        <v>294</v>
      </c>
      <c r="AT287" s="350"/>
      <c r="AU287" s="350"/>
      <c r="AV287" s="350"/>
      <c r="AW287" s="350"/>
      <c r="AX287" s="350"/>
      <c r="AY287" s="351"/>
      <c r="AZ287" s="81"/>
      <c r="BA287" s="81"/>
      <c r="BB287" s="677" t="s">
        <v>325</v>
      </c>
      <c r="BC287" s="351"/>
      <c r="BD287" s="681" t="s">
        <v>294</v>
      </c>
      <c r="BE287" s="350"/>
      <c r="BF287" s="351"/>
      <c r="BG287" s="678" t="s">
        <v>294</v>
      </c>
      <c r="BH287" s="350"/>
      <c r="BI287" s="350"/>
      <c r="BJ287" s="351"/>
      <c r="BK287" s="680"/>
      <c r="BL287" s="350"/>
      <c r="BM287" s="351"/>
      <c r="BN287" s="82"/>
      <c r="BO287" s="82"/>
      <c r="BP287" s="678"/>
      <c r="BQ287" s="350"/>
      <c r="BR287" s="351"/>
      <c r="BS287" s="681" t="s">
        <v>294</v>
      </c>
      <c r="BT287" s="350"/>
      <c r="BU287" s="351"/>
    </row>
    <row r="288" spans="1:73" ht="30" customHeight="1">
      <c r="A288" s="76">
        <f t="shared" si="1"/>
        <v>274</v>
      </c>
      <c r="B288" s="686" t="s">
        <v>325</v>
      </c>
      <c r="C288" s="351"/>
      <c r="D288" s="687" t="s">
        <v>294</v>
      </c>
      <c r="E288" s="350"/>
      <c r="F288" s="350"/>
      <c r="G288" s="351"/>
      <c r="H288" s="688" t="s">
        <v>294</v>
      </c>
      <c r="I288" s="350"/>
      <c r="J288" s="350"/>
      <c r="K288" s="351"/>
      <c r="L288" s="538" t="s">
        <v>294</v>
      </c>
      <c r="M288" s="350"/>
      <c r="N288" s="351"/>
      <c r="O288" s="539" t="s">
        <v>294</v>
      </c>
      <c r="P288" s="350"/>
      <c r="Q288" s="351"/>
      <c r="R288" s="574"/>
      <c r="S288" s="350"/>
      <c r="T288" s="351"/>
      <c r="U288" s="567"/>
      <c r="V288" s="350"/>
      <c r="W288" s="351"/>
      <c r="X288" s="77"/>
      <c r="Y288" s="78"/>
      <c r="Z288" s="77"/>
      <c r="AA288" s="78"/>
      <c r="AB288" s="77"/>
      <c r="AC288" s="78"/>
      <c r="AD288" s="77"/>
      <c r="AE288" s="78"/>
      <c r="AF288" s="77"/>
      <c r="AG288" s="78"/>
      <c r="AH288" s="77"/>
      <c r="AI288" s="78"/>
      <c r="AJ288" s="64"/>
      <c r="AK288" s="80"/>
      <c r="AL288" s="64"/>
      <c r="AM288" s="80"/>
      <c r="AN288" s="64"/>
      <c r="AO288" s="80"/>
      <c r="AP288" s="64"/>
      <c r="AQ288" s="80"/>
      <c r="AR288" s="64"/>
      <c r="AS288" s="679" t="s">
        <v>294</v>
      </c>
      <c r="AT288" s="350"/>
      <c r="AU288" s="350"/>
      <c r="AV288" s="350"/>
      <c r="AW288" s="350"/>
      <c r="AX288" s="350"/>
      <c r="AY288" s="351"/>
      <c r="AZ288" s="81"/>
      <c r="BA288" s="81"/>
      <c r="BB288" s="685" t="s">
        <v>325</v>
      </c>
      <c r="BC288" s="351"/>
      <c r="BD288" s="681" t="s">
        <v>294</v>
      </c>
      <c r="BE288" s="350"/>
      <c r="BF288" s="351"/>
      <c r="BG288" s="678" t="s">
        <v>294</v>
      </c>
      <c r="BH288" s="350"/>
      <c r="BI288" s="350"/>
      <c r="BJ288" s="351"/>
      <c r="BK288" s="680"/>
      <c r="BL288" s="350"/>
      <c r="BM288" s="351"/>
      <c r="BN288" s="82"/>
      <c r="BO288" s="82"/>
      <c r="BP288" s="678"/>
      <c r="BQ288" s="350"/>
      <c r="BR288" s="351"/>
      <c r="BS288" s="681" t="s">
        <v>294</v>
      </c>
      <c r="BT288" s="350"/>
      <c r="BU288" s="351"/>
    </row>
    <row r="289" spans="1:73" ht="30" customHeight="1">
      <c r="A289" s="76">
        <f t="shared" si="1"/>
        <v>275</v>
      </c>
      <c r="B289" s="686" t="s">
        <v>325</v>
      </c>
      <c r="C289" s="351"/>
      <c r="D289" s="687" t="s">
        <v>294</v>
      </c>
      <c r="E289" s="350"/>
      <c r="F289" s="350"/>
      <c r="G289" s="351"/>
      <c r="H289" s="688" t="s">
        <v>294</v>
      </c>
      <c r="I289" s="350"/>
      <c r="J289" s="350"/>
      <c r="K289" s="351"/>
      <c r="L289" s="538" t="s">
        <v>294</v>
      </c>
      <c r="M289" s="350"/>
      <c r="N289" s="351"/>
      <c r="O289" s="539" t="s">
        <v>294</v>
      </c>
      <c r="P289" s="350"/>
      <c r="Q289" s="351"/>
      <c r="R289" s="574"/>
      <c r="S289" s="350"/>
      <c r="T289" s="351"/>
      <c r="U289" s="567"/>
      <c r="V289" s="350"/>
      <c r="W289" s="351"/>
      <c r="X289" s="77"/>
      <c r="Y289" s="78"/>
      <c r="Z289" s="77"/>
      <c r="AA289" s="78"/>
      <c r="AB289" s="77"/>
      <c r="AC289" s="78"/>
      <c r="AD289" s="77"/>
      <c r="AE289" s="78"/>
      <c r="AF289" s="77"/>
      <c r="AG289" s="78"/>
      <c r="AH289" s="77"/>
      <c r="AI289" s="78"/>
      <c r="AJ289" s="64"/>
      <c r="AK289" s="80"/>
      <c r="AL289" s="64"/>
      <c r="AM289" s="80"/>
      <c r="AN289" s="64"/>
      <c r="AO289" s="80"/>
      <c r="AP289" s="64"/>
      <c r="AQ289" s="80"/>
      <c r="AR289" s="64"/>
      <c r="AS289" s="679" t="s">
        <v>294</v>
      </c>
      <c r="AT289" s="350"/>
      <c r="AU289" s="350"/>
      <c r="AV289" s="350"/>
      <c r="AW289" s="350"/>
      <c r="AX289" s="350"/>
      <c r="AY289" s="351"/>
      <c r="AZ289" s="81"/>
      <c r="BA289" s="81"/>
      <c r="BB289" s="677" t="s">
        <v>325</v>
      </c>
      <c r="BC289" s="351"/>
      <c r="BD289" s="681" t="s">
        <v>294</v>
      </c>
      <c r="BE289" s="350"/>
      <c r="BF289" s="351"/>
      <c r="BG289" s="678" t="s">
        <v>294</v>
      </c>
      <c r="BH289" s="350"/>
      <c r="BI289" s="350"/>
      <c r="BJ289" s="351"/>
      <c r="BK289" s="680"/>
      <c r="BL289" s="350"/>
      <c r="BM289" s="351"/>
      <c r="BN289" s="82"/>
      <c r="BO289" s="82"/>
      <c r="BP289" s="678"/>
      <c r="BQ289" s="350"/>
      <c r="BR289" s="351"/>
      <c r="BS289" s="681" t="s">
        <v>294</v>
      </c>
      <c r="BT289" s="350"/>
      <c r="BU289" s="351"/>
    </row>
    <row r="290" spans="1:73" ht="30" customHeight="1">
      <c r="A290" s="76">
        <f t="shared" si="1"/>
        <v>276</v>
      </c>
      <c r="B290" s="686" t="s">
        <v>325</v>
      </c>
      <c r="C290" s="351"/>
      <c r="D290" s="687" t="s">
        <v>294</v>
      </c>
      <c r="E290" s="350"/>
      <c r="F290" s="350"/>
      <c r="G290" s="351"/>
      <c r="H290" s="688" t="s">
        <v>294</v>
      </c>
      <c r="I290" s="350"/>
      <c r="J290" s="350"/>
      <c r="K290" s="351"/>
      <c r="L290" s="538" t="s">
        <v>294</v>
      </c>
      <c r="M290" s="350"/>
      <c r="N290" s="351"/>
      <c r="O290" s="539" t="s">
        <v>294</v>
      </c>
      <c r="P290" s="350"/>
      <c r="Q290" s="351"/>
      <c r="R290" s="574"/>
      <c r="S290" s="350"/>
      <c r="T290" s="351"/>
      <c r="U290" s="567"/>
      <c r="V290" s="350"/>
      <c r="W290" s="351"/>
      <c r="X290" s="77"/>
      <c r="Y290" s="78"/>
      <c r="Z290" s="77"/>
      <c r="AA290" s="78"/>
      <c r="AB290" s="77"/>
      <c r="AC290" s="78"/>
      <c r="AD290" s="77"/>
      <c r="AE290" s="78"/>
      <c r="AF290" s="77"/>
      <c r="AG290" s="78"/>
      <c r="AH290" s="77"/>
      <c r="AI290" s="78"/>
      <c r="AJ290" s="64"/>
      <c r="AK290" s="80"/>
      <c r="AL290" s="64"/>
      <c r="AM290" s="80"/>
      <c r="AN290" s="64"/>
      <c r="AO290" s="80"/>
      <c r="AP290" s="64"/>
      <c r="AQ290" s="80"/>
      <c r="AR290" s="64"/>
      <c r="AS290" s="679" t="s">
        <v>294</v>
      </c>
      <c r="AT290" s="350"/>
      <c r="AU290" s="350"/>
      <c r="AV290" s="350"/>
      <c r="AW290" s="350"/>
      <c r="AX290" s="350"/>
      <c r="AY290" s="351"/>
      <c r="AZ290" s="81"/>
      <c r="BA290" s="81"/>
      <c r="BB290" s="677" t="s">
        <v>325</v>
      </c>
      <c r="BC290" s="351"/>
      <c r="BD290" s="681" t="s">
        <v>294</v>
      </c>
      <c r="BE290" s="350"/>
      <c r="BF290" s="351"/>
      <c r="BG290" s="678" t="s">
        <v>294</v>
      </c>
      <c r="BH290" s="350"/>
      <c r="BI290" s="350"/>
      <c r="BJ290" s="351"/>
      <c r="BK290" s="680"/>
      <c r="BL290" s="350"/>
      <c r="BM290" s="351"/>
      <c r="BN290" s="82"/>
      <c r="BO290" s="82"/>
      <c r="BP290" s="678"/>
      <c r="BQ290" s="350"/>
      <c r="BR290" s="351"/>
      <c r="BS290" s="681" t="s">
        <v>294</v>
      </c>
      <c r="BT290" s="350"/>
      <c r="BU290" s="351"/>
    </row>
    <row r="291" spans="1:73" ht="30" customHeight="1">
      <c r="A291" s="76">
        <f t="shared" si="1"/>
        <v>277</v>
      </c>
      <c r="B291" s="686" t="s">
        <v>325</v>
      </c>
      <c r="C291" s="351"/>
      <c r="D291" s="687" t="s">
        <v>294</v>
      </c>
      <c r="E291" s="350"/>
      <c r="F291" s="350"/>
      <c r="G291" s="351"/>
      <c r="H291" s="688" t="s">
        <v>294</v>
      </c>
      <c r="I291" s="350"/>
      <c r="J291" s="350"/>
      <c r="K291" s="351"/>
      <c r="L291" s="538" t="s">
        <v>294</v>
      </c>
      <c r="M291" s="350"/>
      <c r="N291" s="351"/>
      <c r="O291" s="539" t="s">
        <v>294</v>
      </c>
      <c r="P291" s="350"/>
      <c r="Q291" s="351"/>
      <c r="R291" s="574"/>
      <c r="S291" s="350"/>
      <c r="T291" s="351"/>
      <c r="U291" s="567"/>
      <c r="V291" s="350"/>
      <c r="W291" s="351"/>
      <c r="X291" s="77"/>
      <c r="Y291" s="78"/>
      <c r="Z291" s="77"/>
      <c r="AA291" s="78"/>
      <c r="AB291" s="77"/>
      <c r="AC291" s="78"/>
      <c r="AD291" s="77"/>
      <c r="AE291" s="78"/>
      <c r="AF291" s="77"/>
      <c r="AG291" s="78"/>
      <c r="AH291" s="77"/>
      <c r="AI291" s="78"/>
      <c r="AJ291" s="64"/>
      <c r="AK291" s="80"/>
      <c r="AL291" s="64"/>
      <c r="AM291" s="80"/>
      <c r="AN291" s="64"/>
      <c r="AO291" s="80"/>
      <c r="AP291" s="64"/>
      <c r="AQ291" s="80"/>
      <c r="AR291" s="64"/>
      <c r="AS291" s="679" t="s">
        <v>294</v>
      </c>
      <c r="AT291" s="350"/>
      <c r="AU291" s="350"/>
      <c r="AV291" s="350"/>
      <c r="AW291" s="350"/>
      <c r="AX291" s="350"/>
      <c r="AY291" s="351"/>
      <c r="AZ291" s="81"/>
      <c r="BA291" s="81"/>
      <c r="BB291" s="677" t="s">
        <v>325</v>
      </c>
      <c r="BC291" s="351"/>
      <c r="BD291" s="681" t="s">
        <v>294</v>
      </c>
      <c r="BE291" s="350"/>
      <c r="BF291" s="351"/>
      <c r="BG291" s="678" t="s">
        <v>294</v>
      </c>
      <c r="BH291" s="350"/>
      <c r="BI291" s="350"/>
      <c r="BJ291" s="351"/>
      <c r="BK291" s="680"/>
      <c r="BL291" s="350"/>
      <c r="BM291" s="351"/>
      <c r="BN291" s="82"/>
      <c r="BO291" s="82"/>
      <c r="BP291" s="678"/>
      <c r="BQ291" s="350"/>
      <c r="BR291" s="351"/>
      <c r="BS291" s="681" t="s">
        <v>294</v>
      </c>
      <c r="BT291" s="350"/>
      <c r="BU291" s="351"/>
    </row>
    <row r="292" spans="1:73" ht="30" customHeight="1">
      <c r="A292" s="76">
        <f t="shared" si="1"/>
        <v>278</v>
      </c>
      <c r="B292" s="686" t="s">
        <v>325</v>
      </c>
      <c r="C292" s="351"/>
      <c r="D292" s="687" t="s">
        <v>294</v>
      </c>
      <c r="E292" s="350"/>
      <c r="F292" s="350"/>
      <c r="G292" s="351"/>
      <c r="H292" s="688" t="s">
        <v>294</v>
      </c>
      <c r="I292" s="350"/>
      <c r="J292" s="350"/>
      <c r="K292" s="351"/>
      <c r="L292" s="538" t="s">
        <v>294</v>
      </c>
      <c r="M292" s="350"/>
      <c r="N292" s="351"/>
      <c r="O292" s="539" t="s">
        <v>294</v>
      </c>
      <c r="P292" s="350"/>
      <c r="Q292" s="351"/>
      <c r="R292" s="574"/>
      <c r="S292" s="350"/>
      <c r="T292" s="351"/>
      <c r="U292" s="567"/>
      <c r="V292" s="350"/>
      <c r="W292" s="351"/>
      <c r="X292" s="77"/>
      <c r="Y292" s="78"/>
      <c r="Z292" s="77"/>
      <c r="AA292" s="78"/>
      <c r="AB292" s="77"/>
      <c r="AC292" s="78"/>
      <c r="AD292" s="77"/>
      <c r="AE292" s="78"/>
      <c r="AF292" s="77"/>
      <c r="AG292" s="78"/>
      <c r="AH292" s="77"/>
      <c r="AI292" s="78"/>
      <c r="AJ292" s="64"/>
      <c r="AK292" s="80"/>
      <c r="AL292" s="64"/>
      <c r="AM292" s="80"/>
      <c r="AN292" s="64"/>
      <c r="AO292" s="80"/>
      <c r="AP292" s="64"/>
      <c r="AQ292" s="80"/>
      <c r="AR292" s="64"/>
      <c r="AS292" s="679" t="s">
        <v>294</v>
      </c>
      <c r="AT292" s="350"/>
      <c r="AU292" s="350"/>
      <c r="AV292" s="350"/>
      <c r="AW292" s="350"/>
      <c r="AX292" s="350"/>
      <c r="AY292" s="351"/>
      <c r="AZ292" s="81"/>
      <c r="BA292" s="81"/>
      <c r="BB292" s="677" t="s">
        <v>325</v>
      </c>
      <c r="BC292" s="351"/>
      <c r="BD292" s="681" t="s">
        <v>294</v>
      </c>
      <c r="BE292" s="350"/>
      <c r="BF292" s="351"/>
      <c r="BG292" s="678" t="s">
        <v>294</v>
      </c>
      <c r="BH292" s="350"/>
      <c r="BI292" s="350"/>
      <c r="BJ292" s="351"/>
      <c r="BK292" s="680"/>
      <c r="BL292" s="350"/>
      <c r="BM292" s="351"/>
      <c r="BN292" s="82"/>
      <c r="BO292" s="82"/>
      <c r="BP292" s="678"/>
      <c r="BQ292" s="350"/>
      <c r="BR292" s="351"/>
      <c r="BS292" s="681" t="s">
        <v>294</v>
      </c>
      <c r="BT292" s="350"/>
      <c r="BU292" s="351"/>
    </row>
    <row r="293" spans="1:73" ht="30" customHeight="1">
      <c r="A293" s="76">
        <f t="shared" si="1"/>
        <v>279</v>
      </c>
      <c r="B293" s="686" t="s">
        <v>325</v>
      </c>
      <c r="C293" s="351"/>
      <c r="D293" s="687" t="s">
        <v>294</v>
      </c>
      <c r="E293" s="350"/>
      <c r="F293" s="350"/>
      <c r="G293" s="351"/>
      <c r="H293" s="688" t="s">
        <v>294</v>
      </c>
      <c r="I293" s="350"/>
      <c r="J293" s="350"/>
      <c r="K293" s="351"/>
      <c r="L293" s="538" t="s">
        <v>294</v>
      </c>
      <c r="M293" s="350"/>
      <c r="N293" s="351"/>
      <c r="O293" s="539" t="s">
        <v>294</v>
      </c>
      <c r="P293" s="350"/>
      <c r="Q293" s="351"/>
      <c r="R293" s="574"/>
      <c r="S293" s="350"/>
      <c r="T293" s="351"/>
      <c r="U293" s="567"/>
      <c r="V293" s="350"/>
      <c r="W293" s="351"/>
      <c r="X293" s="77"/>
      <c r="Y293" s="78"/>
      <c r="Z293" s="77"/>
      <c r="AA293" s="78"/>
      <c r="AB293" s="77"/>
      <c r="AC293" s="78"/>
      <c r="AD293" s="77"/>
      <c r="AE293" s="78"/>
      <c r="AF293" s="77"/>
      <c r="AG293" s="78"/>
      <c r="AH293" s="77"/>
      <c r="AI293" s="78"/>
      <c r="AJ293" s="64"/>
      <c r="AK293" s="80"/>
      <c r="AL293" s="64"/>
      <c r="AM293" s="80"/>
      <c r="AN293" s="64"/>
      <c r="AO293" s="80"/>
      <c r="AP293" s="64"/>
      <c r="AQ293" s="80"/>
      <c r="AR293" s="64"/>
      <c r="AS293" s="679" t="s">
        <v>294</v>
      </c>
      <c r="AT293" s="350"/>
      <c r="AU293" s="350"/>
      <c r="AV293" s="350"/>
      <c r="AW293" s="350"/>
      <c r="AX293" s="350"/>
      <c r="AY293" s="351"/>
      <c r="AZ293" s="81"/>
      <c r="BA293" s="81"/>
      <c r="BB293" s="677" t="s">
        <v>325</v>
      </c>
      <c r="BC293" s="351"/>
      <c r="BD293" s="681" t="s">
        <v>294</v>
      </c>
      <c r="BE293" s="350"/>
      <c r="BF293" s="351"/>
      <c r="BG293" s="678" t="s">
        <v>294</v>
      </c>
      <c r="BH293" s="350"/>
      <c r="BI293" s="350"/>
      <c r="BJ293" s="351"/>
      <c r="BK293" s="680"/>
      <c r="BL293" s="350"/>
      <c r="BM293" s="351"/>
      <c r="BN293" s="82"/>
      <c r="BO293" s="82"/>
      <c r="BP293" s="678"/>
      <c r="BQ293" s="350"/>
      <c r="BR293" s="351"/>
      <c r="BS293" s="681" t="s">
        <v>294</v>
      </c>
      <c r="BT293" s="350"/>
      <c r="BU293" s="351"/>
    </row>
    <row r="294" spans="1:73" ht="30" customHeight="1">
      <c r="A294" s="76">
        <f t="shared" si="1"/>
        <v>280</v>
      </c>
      <c r="B294" s="686" t="s">
        <v>325</v>
      </c>
      <c r="C294" s="351"/>
      <c r="D294" s="687" t="s">
        <v>294</v>
      </c>
      <c r="E294" s="350"/>
      <c r="F294" s="350"/>
      <c r="G294" s="351"/>
      <c r="H294" s="688" t="s">
        <v>294</v>
      </c>
      <c r="I294" s="350"/>
      <c r="J294" s="350"/>
      <c r="K294" s="351"/>
      <c r="L294" s="538" t="s">
        <v>294</v>
      </c>
      <c r="M294" s="350"/>
      <c r="N294" s="351"/>
      <c r="O294" s="539" t="s">
        <v>294</v>
      </c>
      <c r="P294" s="350"/>
      <c r="Q294" s="351"/>
      <c r="R294" s="574"/>
      <c r="S294" s="350"/>
      <c r="T294" s="351"/>
      <c r="U294" s="567"/>
      <c r="V294" s="350"/>
      <c r="W294" s="351"/>
      <c r="X294" s="77"/>
      <c r="Y294" s="78"/>
      <c r="Z294" s="77"/>
      <c r="AA294" s="78"/>
      <c r="AB294" s="77"/>
      <c r="AC294" s="78"/>
      <c r="AD294" s="77"/>
      <c r="AE294" s="78"/>
      <c r="AF294" s="77"/>
      <c r="AG294" s="78"/>
      <c r="AH294" s="77"/>
      <c r="AI294" s="78"/>
      <c r="AJ294" s="64"/>
      <c r="AK294" s="80"/>
      <c r="AL294" s="64"/>
      <c r="AM294" s="80"/>
      <c r="AN294" s="64"/>
      <c r="AO294" s="80"/>
      <c r="AP294" s="64"/>
      <c r="AQ294" s="80"/>
      <c r="AR294" s="64"/>
      <c r="AS294" s="679" t="s">
        <v>294</v>
      </c>
      <c r="AT294" s="350"/>
      <c r="AU294" s="350"/>
      <c r="AV294" s="350"/>
      <c r="AW294" s="350"/>
      <c r="AX294" s="350"/>
      <c r="AY294" s="351"/>
      <c r="AZ294" s="81"/>
      <c r="BA294" s="81"/>
      <c r="BB294" s="677" t="s">
        <v>325</v>
      </c>
      <c r="BC294" s="351"/>
      <c r="BD294" s="681" t="s">
        <v>294</v>
      </c>
      <c r="BE294" s="350"/>
      <c r="BF294" s="351"/>
      <c r="BG294" s="678" t="s">
        <v>294</v>
      </c>
      <c r="BH294" s="350"/>
      <c r="BI294" s="350"/>
      <c r="BJ294" s="351"/>
      <c r="BK294" s="680"/>
      <c r="BL294" s="350"/>
      <c r="BM294" s="351"/>
      <c r="BN294" s="82"/>
      <c r="BO294" s="82"/>
      <c r="BP294" s="678"/>
      <c r="BQ294" s="350"/>
      <c r="BR294" s="351"/>
      <c r="BS294" s="681" t="s">
        <v>294</v>
      </c>
      <c r="BT294" s="350"/>
      <c r="BU294" s="351"/>
    </row>
    <row r="295" spans="1:73" ht="30" customHeight="1">
      <c r="A295" s="76">
        <f t="shared" si="1"/>
        <v>281</v>
      </c>
      <c r="B295" s="686" t="s">
        <v>325</v>
      </c>
      <c r="C295" s="351"/>
      <c r="D295" s="687" t="s">
        <v>294</v>
      </c>
      <c r="E295" s="350"/>
      <c r="F295" s="350"/>
      <c r="G295" s="351"/>
      <c r="H295" s="688" t="s">
        <v>294</v>
      </c>
      <c r="I295" s="350"/>
      <c r="J295" s="350"/>
      <c r="K295" s="351"/>
      <c r="L295" s="538" t="s">
        <v>294</v>
      </c>
      <c r="M295" s="350"/>
      <c r="N295" s="351"/>
      <c r="O295" s="539" t="s">
        <v>294</v>
      </c>
      <c r="P295" s="350"/>
      <c r="Q295" s="351"/>
      <c r="R295" s="574"/>
      <c r="S295" s="350"/>
      <c r="T295" s="351"/>
      <c r="U295" s="567"/>
      <c r="V295" s="350"/>
      <c r="W295" s="351"/>
      <c r="X295" s="77"/>
      <c r="Y295" s="78"/>
      <c r="Z295" s="77"/>
      <c r="AA295" s="78"/>
      <c r="AB295" s="77"/>
      <c r="AC295" s="78"/>
      <c r="AD295" s="77"/>
      <c r="AE295" s="78"/>
      <c r="AF295" s="77"/>
      <c r="AG295" s="78"/>
      <c r="AH295" s="77"/>
      <c r="AI295" s="78"/>
      <c r="AJ295" s="64"/>
      <c r="AK295" s="80"/>
      <c r="AL295" s="64"/>
      <c r="AM295" s="80"/>
      <c r="AN295" s="64"/>
      <c r="AO295" s="80"/>
      <c r="AP295" s="64"/>
      <c r="AQ295" s="80"/>
      <c r="AR295" s="64"/>
      <c r="AS295" s="679" t="s">
        <v>294</v>
      </c>
      <c r="AT295" s="350"/>
      <c r="AU295" s="350"/>
      <c r="AV295" s="350"/>
      <c r="AW295" s="350"/>
      <c r="AX295" s="350"/>
      <c r="AY295" s="351"/>
      <c r="AZ295" s="81"/>
      <c r="BA295" s="81"/>
      <c r="BB295" s="685" t="s">
        <v>325</v>
      </c>
      <c r="BC295" s="351"/>
      <c r="BD295" s="681" t="s">
        <v>294</v>
      </c>
      <c r="BE295" s="350"/>
      <c r="BF295" s="351"/>
      <c r="BG295" s="678" t="s">
        <v>294</v>
      </c>
      <c r="BH295" s="350"/>
      <c r="BI295" s="350"/>
      <c r="BJ295" s="351"/>
      <c r="BK295" s="680"/>
      <c r="BL295" s="350"/>
      <c r="BM295" s="351"/>
      <c r="BN295" s="82"/>
      <c r="BO295" s="82"/>
      <c r="BP295" s="678"/>
      <c r="BQ295" s="350"/>
      <c r="BR295" s="351"/>
      <c r="BS295" s="681" t="s">
        <v>294</v>
      </c>
      <c r="BT295" s="350"/>
      <c r="BU295" s="351"/>
    </row>
    <row r="296" spans="1:73" ht="30" customHeight="1">
      <c r="A296" s="76">
        <f t="shared" si="1"/>
        <v>282</v>
      </c>
      <c r="B296" s="686" t="s">
        <v>325</v>
      </c>
      <c r="C296" s="351"/>
      <c r="D296" s="687" t="s">
        <v>294</v>
      </c>
      <c r="E296" s="350"/>
      <c r="F296" s="350"/>
      <c r="G296" s="351"/>
      <c r="H296" s="688" t="s">
        <v>294</v>
      </c>
      <c r="I296" s="350"/>
      <c r="J296" s="350"/>
      <c r="K296" s="351"/>
      <c r="L296" s="538" t="s">
        <v>294</v>
      </c>
      <c r="M296" s="350"/>
      <c r="N296" s="351"/>
      <c r="O296" s="539" t="s">
        <v>294</v>
      </c>
      <c r="P296" s="350"/>
      <c r="Q296" s="351"/>
      <c r="R296" s="574"/>
      <c r="S296" s="350"/>
      <c r="T296" s="351"/>
      <c r="U296" s="567"/>
      <c r="V296" s="350"/>
      <c r="W296" s="351"/>
      <c r="X296" s="77"/>
      <c r="Y296" s="78"/>
      <c r="Z296" s="77"/>
      <c r="AA296" s="78"/>
      <c r="AB296" s="77"/>
      <c r="AC296" s="78"/>
      <c r="AD296" s="77"/>
      <c r="AE296" s="78"/>
      <c r="AF296" s="77"/>
      <c r="AG296" s="78"/>
      <c r="AH296" s="77"/>
      <c r="AI296" s="78"/>
      <c r="AJ296" s="64"/>
      <c r="AK296" s="80"/>
      <c r="AL296" s="64"/>
      <c r="AM296" s="80"/>
      <c r="AN296" s="64"/>
      <c r="AO296" s="80"/>
      <c r="AP296" s="64"/>
      <c r="AQ296" s="80"/>
      <c r="AR296" s="64"/>
      <c r="AS296" s="679" t="s">
        <v>294</v>
      </c>
      <c r="AT296" s="350"/>
      <c r="AU296" s="350"/>
      <c r="AV296" s="350"/>
      <c r="AW296" s="350"/>
      <c r="AX296" s="350"/>
      <c r="AY296" s="351"/>
      <c r="AZ296" s="81"/>
      <c r="BA296" s="81"/>
      <c r="BB296" s="677" t="s">
        <v>325</v>
      </c>
      <c r="BC296" s="351"/>
      <c r="BD296" s="681" t="s">
        <v>294</v>
      </c>
      <c r="BE296" s="350"/>
      <c r="BF296" s="351"/>
      <c r="BG296" s="678" t="s">
        <v>294</v>
      </c>
      <c r="BH296" s="350"/>
      <c r="BI296" s="350"/>
      <c r="BJ296" s="351"/>
      <c r="BK296" s="680"/>
      <c r="BL296" s="350"/>
      <c r="BM296" s="351"/>
      <c r="BN296" s="82"/>
      <c r="BO296" s="82"/>
      <c r="BP296" s="678"/>
      <c r="BQ296" s="350"/>
      <c r="BR296" s="351"/>
      <c r="BS296" s="681" t="s">
        <v>294</v>
      </c>
      <c r="BT296" s="350"/>
      <c r="BU296" s="351"/>
    </row>
    <row r="297" spans="1:73" ht="30" customHeight="1">
      <c r="A297" s="76">
        <f t="shared" si="1"/>
        <v>283</v>
      </c>
      <c r="B297" s="686" t="s">
        <v>325</v>
      </c>
      <c r="C297" s="351"/>
      <c r="D297" s="687" t="s">
        <v>294</v>
      </c>
      <c r="E297" s="350"/>
      <c r="F297" s="350"/>
      <c r="G297" s="351"/>
      <c r="H297" s="688" t="s">
        <v>294</v>
      </c>
      <c r="I297" s="350"/>
      <c r="J297" s="350"/>
      <c r="K297" s="351"/>
      <c r="L297" s="538" t="s">
        <v>294</v>
      </c>
      <c r="M297" s="350"/>
      <c r="N297" s="351"/>
      <c r="O297" s="539" t="s">
        <v>294</v>
      </c>
      <c r="P297" s="350"/>
      <c r="Q297" s="351"/>
      <c r="R297" s="574"/>
      <c r="S297" s="350"/>
      <c r="T297" s="351"/>
      <c r="U297" s="567"/>
      <c r="V297" s="350"/>
      <c r="W297" s="351"/>
      <c r="X297" s="77"/>
      <c r="Y297" s="78"/>
      <c r="Z297" s="77"/>
      <c r="AA297" s="78"/>
      <c r="AB297" s="77"/>
      <c r="AC297" s="78"/>
      <c r="AD297" s="77"/>
      <c r="AE297" s="78"/>
      <c r="AF297" s="77"/>
      <c r="AG297" s="78"/>
      <c r="AH297" s="77"/>
      <c r="AI297" s="78"/>
      <c r="AJ297" s="64"/>
      <c r="AK297" s="80"/>
      <c r="AL297" s="64"/>
      <c r="AM297" s="80"/>
      <c r="AN297" s="64"/>
      <c r="AO297" s="80"/>
      <c r="AP297" s="64"/>
      <c r="AQ297" s="80"/>
      <c r="AR297" s="64"/>
      <c r="AS297" s="679" t="s">
        <v>294</v>
      </c>
      <c r="AT297" s="350"/>
      <c r="AU297" s="350"/>
      <c r="AV297" s="350"/>
      <c r="AW297" s="350"/>
      <c r="AX297" s="350"/>
      <c r="AY297" s="351"/>
      <c r="AZ297" s="81"/>
      <c r="BA297" s="81"/>
      <c r="BB297" s="677" t="s">
        <v>325</v>
      </c>
      <c r="BC297" s="351"/>
      <c r="BD297" s="681" t="s">
        <v>294</v>
      </c>
      <c r="BE297" s="350"/>
      <c r="BF297" s="351"/>
      <c r="BG297" s="678" t="s">
        <v>294</v>
      </c>
      <c r="BH297" s="350"/>
      <c r="BI297" s="350"/>
      <c r="BJ297" s="351"/>
      <c r="BK297" s="680"/>
      <c r="BL297" s="350"/>
      <c r="BM297" s="351"/>
      <c r="BN297" s="82"/>
      <c r="BO297" s="82"/>
      <c r="BP297" s="678"/>
      <c r="BQ297" s="350"/>
      <c r="BR297" s="351"/>
      <c r="BS297" s="681" t="s">
        <v>294</v>
      </c>
      <c r="BT297" s="350"/>
      <c r="BU297" s="351"/>
    </row>
    <row r="298" spans="1:73" ht="30" customHeight="1">
      <c r="A298" s="76">
        <f t="shared" si="1"/>
        <v>284</v>
      </c>
      <c r="B298" s="686" t="s">
        <v>325</v>
      </c>
      <c r="C298" s="351"/>
      <c r="D298" s="687" t="s">
        <v>294</v>
      </c>
      <c r="E298" s="350"/>
      <c r="F298" s="350"/>
      <c r="G298" s="351"/>
      <c r="H298" s="688" t="s">
        <v>294</v>
      </c>
      <c r="I298" s="350"/>
      <c r="J298" s="350"/>
      <c r="K298" s="351"/>
      <c r="L298" s="538" t="s">
        <v>294</v>
      </c>
      <c r="M298" s="350"/>
      <c r="N298" s="351"/>
      <c r="O298" s="539" t="s">
        <v>294</v>
      </c>
      <c r="P298" s="350"/>
      <c r="Q298" s="351"/>
      <c r="R298" s="574"/>
      <c r="S298" s="350"/>
      <c r="T298" s="351"/>
      <c r="U298" s="567"/>
      <c r="V298" s="350"/>
      <c r="W298" s="351"/>
      <c r="X298" s="77"/>
      <c r="Y298" s="78"/>
      <c r="Z298" s="77"/>
      <c r="AA298" s="78"/>
      <c r="AB298" s="77"/>
      <c r="AC298" s="78"/>
      <c r="AD298" s="77"/>
      <c r="AE298" s="78"/>
      <c r="AF298" s="77"/>
      <c r="AG298" s="78"/>
      <c r="AH298" s="77"/>
      <c r="AI298" s="78"/>
      <c r="AJ298" s="64"/>
      <c r="AK298" s="80"/>
      <c r="AL298" s="64"/>
      <c r="AM298" s="80"/>
      <c r="AN298" s="64"/>
      <c r="AO298" s="80"/>
      <c r="AP298" s="64"/>
      <c r="AQ298" s="80"/>
      <c r="AR298" s="64"/>
      <c r="AS298" s="679" t="s">
        <v>294</v>
      </c>
      <c r="AT298" s="350"/>
      <c r="AU298" s="350"/>
      <c r="AV298" s="350"/>
      <c r="AW298" s="350"/>
      <c r="AX298" s="350"/>
      <c r="AY298" s="351"/>
      <c r="AZ298" s="81"/>
      <c r="BA298" s="81"/>
      <c r="BB298" s="677" t="s">
        <v>325</v>
      </c>
      <c r="BC298" s="351"/>
      <c r="BD298" s="681" t="s">
        <v>294</v>
      </c>
      <c r="BE298" s="350"/>
      <c r="BF298" s="351"/>
      <c r="BG298" s="678" t="s">
        <v>294</v>
      </c>
      <c r="BH298" s="350"/>
      <c r="BI298" s="350"/>
      <c r="BJ298" s="351"/>
      <c r="BK298" s="680"/>
      <c r="BL298" s="350"/>
      <c r="BM298" s="351"/>
      <c r="BN298" s="82"/>
      <c r="BO298" s="82"/>
      <c r="BP298" s="678"/>
      <c r="BQ298" s="350"/>
      <c r="BR298" s="351"/>
      <c r="BS298" s="681" t="s">
        <v>294</v>
      </c>
      <c r="BT298" s="350"/>
      <c r="BU298" s="351"/>
    </row>
    <row r="299" spans="1:73" ht="30" customHeight="1">
      <c r="A299" s="76">
        <f t="shared" si="1"/>
        <v>285</v>
      </c>
      <c r="B299" s="686" t="s">
        <v>325</v>
      </c>
      <c r="C299" s="351"/>
      <c r="D299" s="687" t="s">
        <v>294</v>
      </c>
      <c r="E299" s="350"/>
      <c r="F299" s="350"/>
      <c r="G299" s="351"/>
      <c r="H299" s="688" t="s">
        <v>294</v>
      </c>
      <c r="I299" s="350"/>
      <c r="J299" s="350"/>
      <c r="K299" s="351"/>
      <c r="L299" s="538" t="s">
        <v>294</v>
      </c>
      <c r="M299" s="350"/>
      <c r="N299" s="351"/>
      <c r="O299" s="539" t="s">
        <v>294</v>
      </c>
      <c r="P299" s="350"/>
      <c r="Q299" s="351"/>
      <c r="R299" s="574"/>
      <c r="S299" s="350"/>
      <c r="T299" s="351"/>
      <c r="U299" s="567"/>
      <c r="V299" s="350"/>
      <c r="W299" s="351"/>
      <c r="X299" s="77"/>
      <c r="Y299" s="78"/>
      <c r="Z299" s="77"/>
      <c r="AA299" s="78"/>
      <c r="AB299" s="77"/>
      <c r="AC299" s="78"/>
      <c r="AD299" s="77"/>
      <c r="AE299" s="78"/>
      <c r="AF299" s="77"/>
      <c r="AG299" s="78"/>
      <c r="AH299" s="77"/>
      <c r="AI299" s="78"/>
      <c r="AJ299" s="64"/>
      <c r="AK299" s="80"/>
      <c r="AL299" s="64"/>
      <c r="AM299" s="80"/>
      <c r="AN299" s="64"/>
      <c r="AO299" s="80"/>
      <c r="AP299" s="64"/>
      <c r="AQ299" s="80"/>
      <c r="AR299" s="64"/>
      <c r="AS299" s="679" t="s">
        <v>294</v>
      </c>
      <c r="AT299" s="350"/>
      <c r="AU299" s="350"/>
      <c r="AV299" s="350"/>
      <c r="AW299" s="350"/>
      <c r="AX299" s="350"/>
      <c r="AY299" s="351"/>
      <c r="AZ299" s="81"/>
      <c r="BA299" s="81"/>
      <c r="BB299" s="677" t="s">
        <v>325</v>
      </c>
      <c r="BC299" s="351"/>
      <c r="BD299" s="681" t="s">
        <v>294</v>
      </c>
      <c r="BE299" s="350"/>
      <c r="BF299" s="351"/>
      <c r="BG299" s="678" t="s">
        <v>294</v>
      </c>
      <c r="BH299" s="350"/>
      <c r="BI299" s="350"/>
      <c r="BJ299" s="351"/>
      <c r="BK299" s="680"/>
      <c r="BL299" s="350"/>
      <c r="BM299" s="351"/>
      <c r="BN299" s="82"/>
      <c r="BO299" s="82"/>
      <c r="BP299" s="678"/>
      <c r="BQ299" s="350"/>
      <c r="BR299" s="351"/>
      <c r="BS299" s="681" t="s">
        <v>294</v>
      </c>
      <c r="BT299" s="350"/>
      <c r="BU299" s="351"/>
    </row>
    <row r="300" spans="1:73" ht="30" customHeight="1">
      <c r="A300" s="76">
        <f t="shared" si="1"/>
        <v>286</v>
      </c>
      <c r="B300" s="686" t="s">
        <v>325</v>
      </c>
      <c r="C300" s="351"/>
      <c r="D300" s="687" t="s">
        <v>294</v>
      </c>
      <c r="E300" s="350"/>
      <c r="F300" s="350"/>
      <c r="G300" s="351"/>
      <c r="H300" s="688" t="s">
        <v>294</v>
      </c>
      <c r="I300" s="350"/>
      <c r="J300" s="350"/>
      <c r="K300" s="351"/>
      <c r="L300" s="538" t="s">
        <v>294</v>
      </c>
      <c r="M300" s="350"/>
      <c r="N300" s="351"/>
      <c r="O300" s="539" t="s">
        <v>294</v>
      </c>
      <c r="P300" s="350"/>
      <c r="Q300" s="351"/>
      <c r="R300" s="574"/>
      <c r="S300" s="350"/>
      <c r="T300" s="351"/>
      <c r="U300" s="567"/>
      <c r="V300" s="350"/>
      <c r="W300" s="351"/>
      <c r="X300" s="77"/>
      <c r="Y300" s="78"/>
      <c r="Z300" s="77"/>
      <c r="AA300" s="78"/>
      <c r="AB300" s="77"/>
      <c r="AC300" s="78"/>
      <c r="AD300" s="77"/>
      <c r="AE300" s="78"/>
      <c r="AF300" s="77"/>
      <c r="AG300" s="78"/>
      <c r="AH300" s="77"/>
      <c r="AI300" s="78"/>
      <c r="AJ300" s="64"/>
      <c r="AK300" s="80"/>
      <c r="AL300" s="64"/>
      <c r="AM300" s="80"/>
      <c r="AN300" s="64"/>
      <c r="AO300" s="80"/>
      <c r="AP300" s="64"/>
      <c r="AQ300" s="80"/>
      <c r="AR300" s="64"/>
      <c r="AS300" s="679" t="s">
        <v>294</v>
      </c>
      <c r="AT300" s="350"/>
      <c r="AU300" s="350"/>
      <c r="AV300" s="350"/>
      <c r="AW300" s="350"/>
      <c r="AX300" s="350"/>
      <c r="AY300" s="351"/>
      <c r="AZ300" s="81"/>
      <c r="BA300" s="81"/>
      <c r="BB300" s="677" t="s">
        <v>325</v>
      </c>
      <c r="BC300" s="351"/>
      <c r="BD300" s="681" t="s">
        <v>294</v>
      </c>
      <c r="BE300" s="350"/>
      <c r="BF300" s="351"/>
      <c r="BG300" s="678" t="s">
        <v>294</v>
      </c>
      <c r="BH300" s="350"/>
      <c r="BI300" s="350"/>
      <c r="BJ300" s="351"/>
      <c r="BK300" s="680"/>
      <c r="BL300" s="350"/>
      <c r="BM300" s="351"/>
      <c r="BN300" s="82"/>
      <c r="BO300" s="82"/>
      <c r="BP300" s="678"/>
      <c r="BQ300" s="350"/>
      <c r="BR300" s="351"/>
      <c r="BS300" s="681" t="s">
        <v>294</v>
      </c>
      <c r="BT300" s="350"/>
      <c r="BU300" s="351"/>
    </row>
    <row r="301" spans="1:73" ht="30" customHeight="1">
      <c r="A301" s="76">
        <f t="shared" si="1"/>
        <v>287</v>
      </c>
      <c r="B301" s="686" t="s">
        <v>325</v>
      </c>
      <c r="C301" s="351"/>
      <c r="D301" s="687" t="s">
        <v>294</v>
      </c>
      <c r="E301" s="350"/>
      <c r="F301" s="350"/>
      <c r="G301" s="351"/>
      <c r="H301" s="688" t="s">
        <v>294</v>
      </c>
      <c r="I301" s="350"/>
      <c r="J301" s="350"/>
      <c r="K301" s="351"/>
      <c r="L301" s="538" t="s">
        <v>294</v>
      </c>
      <c r="M301" s="350"/>
      <c r="N301" s="351"/>
      <c r="O301" s="539" t="s">
        <v>294</v>
      </c>
      <c r="P301" s="350"/>
      <c r="Q301" s="351"/>
      <c r="R301" s="574"/>
      <c r="S301" s="350"/>
      <c r="T301" s="351"/>
      <c r="U301" s="567"/>
      <c r="V301" s="350"/>
      <c r="W301" s="351"/>
      <c r="X301" s="77"/>
      <c r="Y301" s="78"/>
      <c r="Z301" s="77"/>
      <c r="AA301" s="78"/>
      <c r="AB301" s="77"/>
      <c r="AC301" s="78"/>
      <c r="AD301" s="77"/>
      <c r="AE301" s="78"/>
      <c r="AF301" s="77"/>
      <c r="AG301" s="78"/>
      <c r="AH301" s="77"/>
      <c r="AI301" s="78"/>
      <c r="AJ301" s="64"/>
      <c r="AK301" s="80"/>
      <c r="AL301" s="64"/>
      <c r="AM301" s="80"/>
      <c r="AN301" s="64"/>
      <c r="AO301" s="80"/>
      <c r="AP301" s="64"/>
      <c r="AQ301" s="80"/>
      <c r="AR301" s="64"/>
      <c r="AS301" s="679" t="s">
        <v>294</v>
      </c>
      <c r="AT301" s="350"/>
      <c r="AU301" s="350"/>
      <c r="AV301" s="350"/>
      <c r="AW301" s="350"/>
      <c r="AX301" s="350"/>
      <c r="AY301" s="351"/>
      <c r="AZ301" s="81"/>
      <c r="BA301" s="81"/>
      <c r="BB301" s="677" t="s">
        <v>325</v>
      </c>
      <c r="BC301" s="351"/>
      <c r="BD301" s="681" t="s">
        <v>294</v>
      </c>
      <c r="BE301" s="350"/>
      <c r="BF301" s="351"/>
      <c r="BG301" s="678" t="s">
        <v>294</v>
      </c>
      <c r="BH301" s="350"/>
      <c r="BI301" s="350"/>
      <c r="BJ301" s="351"/>
      <c r="BK301" s="680"/>
      <c r="BL301" s="350"/>
      <c r="BM301" s="351"/>
      <c r="BN301" s="82"/>
      <c r="BO301" s="82"/>
      <c r="BP301" s="678"/>
      <c r="BQ301" s="350"/>
      <c r="BR301" s="351"/>
      <c r="BS301" s="681" t="s">
        <v>294</v>
      </c>
      <c r="BT301" s="350"/>
      <c r="BU301" s="351"/>
    </row>
    <row r="302" spans="1:73" ht="30" customHeight="1">
      <c r="A302" s="76">
        <f t="shared" si="1"/>
        <v>288</v>
      </c>
      <c r="B302" s="686" t="s">
        <v>325</v>
      </c>
      <c r="C302" s="351"/>
      <c r="D302" s="687" t="s">
        <v>294</v>
      </c>
      <c r="E302" s="350"/>
      <c r="F302" s="350"/>
      <c r="G302" s="351"/>
      <c r="H302" s="688" t="s">
        <v>294</v>
      </c>
      <c r="I302" s="350"/>
      <c r="J302" s="350"/>
      <c r="K302" s="351"/>
      <c r="L302" s="538" t="s">
        <v>294</v>
      </c>
      <c r="M302" s="350"/>
      <c r="N302" s="351"/>
      <c r="O302" s="539" t="s">
        <v>294</v>
      </c>
      <c r="P302" s="350"/>
      <c r="Q302" s="351"/>
      <c r="R302" s="574"/>
      <c r="S302" s="350"/>
      <c r="T302" s="351"/>
      <c r="U302" s="567"/>
      <c r="V302" s="350"/>
      <c r="W302" s="351"/>
      <c r="X302" s="77"/>
      <c r="Y302" s="78"/>
      <c r="Z302" s="77"/>
      <c r="AA302" s="78"/>
      <c r="AB302" s="77"/>
      <c r="AC302" s="78"/>
      <c r="AD302" s="77"/>
      <c r="AE302" s="78"/>
      <c r="AF302" s="77"/>
      <c r="AG302" s="78"/>
      <c r="AH302" s="77"/>
      <c r="AI302" s="78"/>
      <c r="AJ302" s="64"/>
      <c r="AK302" s="80"/>
      <c r="AL302" s="64"/>
      <c r="AM302" s="80"/>
      <c r="AN302" s="64"/>
      <c r="AO302" s="80"/>
      <c r="AP302" s="64"/>
      <c r="AQ302" s="80"/>
      <c r="AR302" s="64"/>
      <c r="AS302" s="679" t="s">
        <v>294</v>
      </c>
      <c r="AT302" s="350"/>
      <c r="AU302" s="350"/>
      <c r="AV302" s="350"/>
      <c r="AW302" s="350"/>
      <c r="AX302" s="350"/>
      <c r="AY302" s="351"/>
      <c r="AZ302" s="81"/>
      <c r="BA302" s="81"/>
      <c r="BB302" s="685" t="s">
        <v>325</v>
      </c>
      <c r="BC302" s="351"/>
      <c r="BD302" s="681" t="s">
        <v>294</v>
      </c>
      <c r="BE302" s="350"/>
      <c r="BF302" s="351"/>
      <c r="BG302" s="678" t="s">
        <v>294</v>
      </c>
      <c r="BH302" s="350"/>
      <c r="BI302" s="350"/>
      <c r="BJ302" s="351"/>
      <c r="BK302" s="680"/>
      <c r="BL302" s="350"/>
      <c r="BM302" s="351"/>
      <c r="BN302" s="82"/>
      <c r="BO302" s="82"/>
      <c r="BP302" s="678"/>
      <c r="BQ302" s="350"/>
      <c r="BR302" s="351"/>
      <c r="BS302" s="681" t="s">
        <v>294</v>
      </c>
      <c r="BT302" s="350"/>
      <c r="BU302" s="351"/>
    </row>
    <row r="303" spans="1:73" ht="30" customHeight="1">
      <c r="A303" s="76">
        <f t="shared" si="1"/>
        <v>289</v>
      </c>
      <c r="B303" s="686" t="s">
        <v>325</v>
      </c>
      <c r="C303" s="351"/>
      <c r="D303" s="687" t="s">
        <v>294</v>
      </c>
      <c r="E303" s="350"/>
      <c r="F303" s="350"/>
      <c r="G303" s="351"/>
      <c r="H303" s="688" t="s">
        <v>294</v>
      </c>
      <c r="I303" s="350"/>
      <c r="J303" s="350"/>
      <c r="K303" s="351"/>
      <c r="L303" s="538" t="s">
        <v>294</v>
      </c>
      <c r="M303" s="350"/>
      <c r="N303" s="351"/>
      <c r="O303" s="539" t="s">
        <v>294</v>
      </c>
      <c r="P303" s="350"/>
      <c r="Q303" s="351"/>
      <c r="R303" s="574"/>
      <c r="S303" s="350"/>
      <c r="T303" s="351"/>
      <c r="U303" s="567"/>
      <c r="V303" s="350"/>
      <c r="W303" s="351"/>
      <c r="X303" s="77"/>
      <c r="Y303" s="78"/>
      <c r="Z303" s="77"/>
      <c r="AA303" s="78"/>
      <c r="AB303" s="77"/>
      <c r="AC303" s="78"/>
      <c r="AD303" s="77"/>
      <c r="AE303" s="78"/>
      <c r="AF303" s="77"/>
      <c r="AG303" s="78"/>
      <c r="AH303" s="77"/>
      <c r="AI303" s="78"/>
      <c r="AJ303" s="64"/>
      <c r="AK303" s="80"/>
      <c r="AL303" s="64"/>
      <c r="AM303" s="80"/>
      <c r="AN303" s="64"/>
      <c r="AO303" s="80"/>
      <c r="AP303" s="64"/>
      <c r="AQ303" s="80"/>
      <c r="AR303" s="64"/>
      <c r="AS303" s="679" t="s">
        <v>294</v>
      </c>
      <c r="AT303" s="350"/>
      <c r="AU303" s="350"/>
      <c r="AV303" s="350"/>
      <c r="AW303" s="350"/>
      <c r="AX303" s="350"/>
      <c r="AY303" s="351"/>
      <c r="AZ303" s="81"/>
      <c r="BA303" s="81"/>
      <c r="BB303" s="677" t="s">
        <v>325</v>
      </c>
      <c r="BC303" s="351"/>
      <c r="BD303" s="681" t="s">
        <v>294</v>
      </c>
      <c r="BE303" s="350"/>
      <c r="BF303" s="351"/>
      <c r="BG303" s="678" t="s">
        <v>294</v>
      </c>
      <c r="BH303" s="350"/>
      <c r="BI303" s="350"/>
      <c r="BJ303" s="351"/>
      <c r="BK303" s="680"/>
      <c r="BL303" s="350"/>
      <c r="BM303" s="351"/>
      <c r="BN303" s="82"/>
      <c r="BO303" s="82"/>
      <c r="BP303" s="678"/>
      <c r="BQ303" s="350"/>
      <c r="BR303" s="351"/>
      <c r="BS303" s="681" t="s">
        <v>294</v>
      </c>
      <c r="BT303" s="350"/>
      <c r="BU303" s="351"/>
    </row>
    <row r="304" spans="1:73" ht="30" customHeight="1">
      <c r="A304" s="76">
        <f t="shared" si="1"/>
        <v>290</v>
      </c>
      <c r="B304" s="686" t="s">
        <v>325</v>
      </c>
      <c r="C304" s="351"/>
      <c r="D304" s="687" t="s">
        <v>294</v>
      </c>
      <c r="E304" s="350"/>
      <c r="F304" s="350"/>
      <c r="G304" s="351"/>
      <c r="H304" s="688" t="s">
        <v>294</v>
      </c>
      <c r="I304" s="350"/>
      <c r="J304" s="350"/>
      <c r="K304" s="351"/>
      <c r="L304" s="538" t="s">
        <v>294</v>
      </c>
      <c r="M304" s="350"/>
      <c r="N304" s="351"/>
      <c r="O304" s="539" t="s">
        <v>294</v>
      </c>
      <c r="P304" s="350"/>
      <c r="Q304" s="351"/>
      <c r="R304" s="574"/>
      <c r="S304" s="350"/>
      <c r="T304" s="351"/>
      <c r="U304" s="567"/>
      <c r="V304" s="350"/>
      <c r="W304" s="351"/>
      <c r="X304" s="77"/>
      <c r="Y304" s="78"/>
      <c r="Z304" s="77"/>
      <c r="AA304" s="78"/>
      <c r="AB304" s="77"/>
      <c r="AC304" s="78"/>
      <c r="AD304" s="77"/>
      <c r="AE304" s="78"/>
      <c r="AF304" s="77"/>
      <c r="AG304" s="78"/>
      <c r="AH304" s="77"/>
      <c r="AI304" s="78"/>
      <c r="AJ304" s="64"/>
      <c r="AK304" s="80"/>
      <c r="AL304" s="64"/>
      <c r="AM304" s="80"/>
      <c r="AN304" s="64"/>
      <c r="AO304" s="80"/>
      <c r="AP304" s="64"/>
      <c r="AQ304" s="80"/>
      <c r="AR304" s="64"/>
      <c r="AS304" s="679" t="s">
        <v>294</v>
      </c>
      <c r="AT304" s="350"/>
      <c r="AU304" s="350"/>
      <c r="AV304" s="350"/>
      <c r="AW304" s="350"/>
      <c r="AX304" s="350"/>
      <c r="AY304" s="351"/>
      <c r="AZ304" s="81"/>
      <c r="BA304" s="81"/>
      <c r="BB304" s="677" t="s">
        <v>325</v>
      </c>
      <c r="BC304" s="351"/>
      <c r="BD304" s="681" t="s">
        <v>294</v>
      </c>
      <c r="BE304" s="350"/>
      <c r="BF304" s="351"/>
      <c r="BG304" s="678" t="s">
        <v>294</v>
      </c>
      <c r="BH304" s="350"/>
      <c r="BI304" s="350"/>
      <c r="BJ304" s="351"/>
      <c r="BK304" s="680"/>
      <c r="BL304" s="350"/>
      <c r="BM304" s="351"/>
      <c r="BN304" s="82"/>
      <c r="BO304" s="82"/>
      <c r="BP304" s="678"/>
      <c r="BQ304" s="350"/>
      <c r="BR304" s="351"/>
      <c r="BS304" s="681" t="s">
        <v>294</v>
      </c>
      <c r="BT304" s="350"/>
      <c r="BU304" s="351"/>
    </row>
    <row r="305" spans="1:73" ht="30" customHeight="1">
      <c r="A305" s="76">
        <f t="shared" si="1"/>
        <v>291</v>
      </c>
      <c r="B305" s="686" t="s">
        <v>325</v>
      </c>
      <c r="C305" s="351"/>
      <c r="D305" s="687" t="s">
        <v>294</v>
      </c>
      <c r="E305" s="350"/>
      <c r="F305" s="350"/>
      <c r="G305" s="351"/>
      <c r="H305" s="688" t="s">
        <v>294</v>
      </c>
      <c r="I305" s="350"/>
      <c r="J305" s="350"/>
      <c r="K305" s="351"/>
      <c r="L305" s="538" t="s">
        <v>294</v>
      </c>
      <c r="M305" s="350"/>
      <c r="N305" s="351"/>
      <c r="O305" s="539" t="s">
        <v>294</v>
      </c>
      <c r="P305" s="350"/>
      <c r="Q305" s="351"/>
      <c r="R305" s="574"/>
      <c r="S305" s="350"/>
      <c r="T305" s="351"/>
      <c r="U305" s="567"/>
      <c r="V305" s="350"/>
      <c r="W305" s="351"/>
      <c r="X305" s="77"/>
      <c r="Y305" s="78"/>
      <c r="Z305" s="77"/>
      <c r="AA305" s="78"/>
      <c r="AB305" s="77"/>
      <c r="AC305" s="78"/>
      <c r="AD305" s="77"/>
      <c r="AE305" s="78"/>
      <c r="AF305" s="77"/>
      <c r="AG305" s="78"/>
      <c r="AH305" s="77"/>
      <c r="AI305" s="78"/>
      <c r="AJ305" s="64"/>
      <c r="AK305" s="80"/>
      <c r="AL305" s="64"/>
      <c r="AM305" s="80"/>
      <c r="AN305" s="64"/>
      <c r="AO305" s="80"/>
      <c r="AP305" s="64"/>
      <c r="AQ305" s="80"/>
      <c r="AR305" s="64"/>
      <c r="AS305" s="679" t="s">
        <v>294</v>
      </c>
      <c r="AT305" s="350"/>
      <c r="AU305" s="350"/>
      <c r="AV305" s="350"/>
      <c r="AW305" s="350"/>
      <c r="AX305" s="350"/>
      <c r="AY305" s="351"/>
      <c r="AZ305" s="81"/>
      <c r="BA305" s="81"/>
      <c r="BB305" s="677" t="s">
        <v>325</v>
      </c>
      <c r="BC305" s="351"/>
      <c r="BD305" s="681" t="s">
        <v>294</v>
      </c>
      <c r="BE305" s="350"/>
      <c r="BF305" s="351"/>
      <c r="BG305" s="678" t="s">
        <v>294</v>
      </c>
      <c r="BH305" s="350"/>
      <c r="BI305" s="350"/>
      <c r="BJ305" s="351"/>
      <c r="BK305" s="680"/>
      <c r="BL305" s="350"/>
      <c r="BM305" s="351"/>
      <c r="BN305" s="82"/>
      <c r="BO305" s="82"/>
      <c r="BP305" s="678"/>
      <c r="BQ305" s="350"/>
      <c r="BR305" s="351"/>
      <c r="BS305" s="681" t="s">
        <v>294</v>
      </c>
      <c r="BT305" s="350"/>
      <c r="BU305" s="351"/>
    </row>
    <row r="306" spans="1:73" ht="30" customHeight="1">
      <c r="A306" s="76">
        <f t="shared" si="1"/>
        <v>292</v>
      </c>
      <c r="B306" s="686" t="s">
        <v>325</v>
      </c>
      <c r="C306" s="351"/>
      <c r="D306" s="687" t="s">
        <v>294</v>
      </c>
      <c r="E306" s="350"/>
      <c r="F306" s="350"/>
      <c r="G306" s="351"/>
      <c r="H306" s="688" t="s">
        <v>294</v>
      </c>
      <c r="I306" s="350"/>
      <c r="J306" s="350"/>
      <c r="K306" s="351"/>
      <c r="L306" s="538" t="s">
        <v>294</v>
      </c>
      <c r="M306" s="350"/>
      <c r="N306" s="351"/>
      <c r="O306" s="539" t="s">
        <v>294</v>
      </c>
      <c r="P306" s="350"/>
      <c r="Q306" s="351"/>
      <c r="R306" s="574"/>
      <c r="S306" s="350"/>
      <c r="T306" s="351"/>
      <c r="U306" s="567"/>
      <c r="V306" s="350"/>
      <c r="W306" s="351"/>
      <c r="X306" s="77"/>
      <c r="Y306" s="78"/>
      <c r="Z306" s="77"/>
      <c r="AA306" s="78"/>
      <c r="AB306" s="77"/>
      <c r="AC306" s="78"/>
      <c r="AD306" s="77"/>
      <c r="AE306" s="78"/>
      <c r="AF306" s="77"/>
      <c r="AG306" s="78"/>
      <c r="AH306" s="77"/>
      <c r="AI306" s="78"/>
      <c r="AJ306" s="64"/>
      <c r="AK306" s="80"/>
      <c r="AL306" s="64"/>
      <c r="AM306" s="80"/>
      <c r="AN306" s="64"/>
      <c r="AO306" s="80"/>
      <c r="AP306" s="64"/>
      <c r="AQ306" s="80"/>
      <c r="AR306" s="64"/>
      <c r="AS306" s="679" t="s">
        <v>294</v>
      </c>
      <c r="AT306" s="350"/>
      <c r="AU306" s="350"/>
      <c r="AV306" s="350"/>
      <c r="AW306" s="350"/>
      <c r="AX306" s="350"/>
      <c r="AY306" s="351"/>
      <c r="AZ306" s="81"/>
      <c r="BA306" s="81"/>
      <c r="BB306" s="677" t="s">
        <v>325</v>
      </c>
      <c r="BC306" s="351"/>
      <c r="BD306" s="681" t="s">
        <v>294</v>
      </c>
      <c r="BE306" s="350"/>
      <c r="BF306" s="351"/>
      <c r="BG306" s="678" t="s">
        <v>294</v>
      </c>
      <c r="BH306" s="350"/>
      <c r="BI306" s="350"/>
      <c r="BJ306" s="351"/>
      <c r="BK306" s="680"/>
      <c r="BL306" s="350"/>
      <c r="BM306" s="351"/>
      <c r="BN306" s="82"/>
      <c r="BO306" s="82"/>
      <c r="BP306" s="678"/>
      <c r="BQ306" s="350"/>
      <c r="BR306" s="351"/>
      <c r="BS306" s="681" t="s">
        <v>294</v>
      </c>
      <c r="BT306" s="350"/>
      <c r="BU306" s="351"/>
    </row>
    <row r="307" spans="1:73" ht="30" customHeight="1">
      <c r="A307" s="76">
        <f t="shared" si="1"/>
        <v>293</v>
      </c>
      <c r="B307" s="686" t="s">
        <v>325</v>
      </c>
      <c r="C307" s="351"/>
      <c r="D307" s="687" t="s">
        <v>294</v>
      </c>
      <c r="E307" s="350"/>
      <c r="F307" s="350"/>
      <c r="G307" s="351"/>
      <c r="H307" s="688" t="s">
        <v>294</v>
      </c>
      <c r="I307" s="350"/>
      <c r="J307" s="350"/>
      <c r="K307" s="351"/>
      <c r="L307" s="538" t="s">
        <v>294</v>
      </c>
      <c r="M307" s="350"/>
      <c r="N307" s="351"/>
      <c r="O307" s="539" t="s">
        <v>294</v>
      </c>
      <c r="P307" s="350"/>
      <c r="Q307" s="351"/>
      <c r="R307" s="574"/>
      <c r="S307" s="350"/>
      <c r="T307" s="351"/>
      <c r="U307" s="567"/>
      <c r="V307" s="350"/>
      <c r="W307" s="351"/>
      <c r="X307" s="77"/>
      <c r="Y307" s="78"/>
      <c r="Z307" s="77"/>
      <c r="AA307" s="78"/>
      <c r="AB307" s="77"/>
      <c r="AC307" s="78"/>
      <c r="AD307" s="77"/>
      <c r="AE307" s="78"/>
      <c r="AF307" s="77"/>
      <c r="AG307" s="78"/>
      <c r="AH307" s="77"/>
      <c r="AI307" s="78"/>
      <c r="AJ307" s="64"/>
      <c r="AK307" s="80"/>
      <c r="AL307" s="64"/>
      <c r="AM307" s="80"/>
      <c r="AN307" s="64"/>
      <c r="AO307" s="80"/>
      <c r="AP307" s="64"/>
      <c r="AQ307" s="80"/>
      <c r="AR307" s="64"/>
      <c r="AS307" s="679" t="s">
        <v>294</v>
      </c>
      <c r="AT307" s="350"/>
      <c r="AU307" s="350"/>
      <c r="AV307" s="350"/>
      <c r="AW307" s="350"/>
      <c r="AX307" s="350"/>
      <c r="AY307" s="351"/>
      <c r="AZ307" s="81"/>
      <c r="BA307" s="81"/>
      <c r="BB307" s="677" t="s">
        <v>325</v>
      </c>
      <c r="BC307" s="351"/>
      <c r="BD307" s="681" t="s">
        <v>294</v>
      </c>
      <c r="BE307" s="350"/>
      <c r="BF307" s="351"/>
      <c r="BG307" s="678" t="s">
        <v>294</v>
      </c>
      <c r="BH307" s="350"/>
      <c r="BI307" s="350"/>
      <c r="BJ307" s="351"/>
      <c r="BK307" s="680"/>
      <c r="BL307" s="350"/>
      <c r="BM307" s="351"/>
      <c r="BN307" s="82"/>
      <c r="BO307" s="82"/>
      <c r="BP307" s="678"/>
      <c r="BQ307" s="350"/>
      <c r="BR307" s="351"/>
      <c r="BS307" s="681" t="s">
        <v>294</v>
      </c>
      <c r="BT307" s="350"/>
      <c r="BU307" s="351"/>
    </row>
    <row r="308" spans="1:73" ht="30" customHeight="1">
      <c r="A308" s="76">
        <f t="shared" si="1"/>
        <v>294</v>
      </c>
      <c r="B308" s="686" t="s">
        <v>325</v>
      </c>
      <c r="C308" s="351"/>
      <c r="D308" s="687" t="s">
        <v>294</v>
      </c>
      <c r="E308" s="350"/>
      <c r="F308" s="350"/>
      <c r="G308" s="351"/>
      <c r="H308" s="688" t="s">
        <v>294</v>
      </c>
      <c r="I308" s="350"/>
      <c r="J308" s="350"/>
      <c r="K308" s="351"/>
      <c r="L308" s="538" t="s">
        <v>294</v>
      </c>
      <c r="M308" s="350"/>
      <c r="N308" s="351"/>
      <c r="O308" s="539" t="s">
        <v>294</v>
      </c>
      <c r="P308" s="350"/>
      <c r="Q308" s="351"/>
      <c r="R308" s="574"/>
      <c r="S308" s="350"/>
      <c r="T308" s="351"/>
      <c r="U308" s="567"/>
      <c r="V308" s="350"/>
      <c r="W308" s="351"/>
      <c r="X308" s="77"/>
      <c r="Y308" s="78"/>
      <c r="Z308" s="77"/>
      <c r="AA308" s="78"/>
      <c r="AB308" s="77"/>
      <c r="AC308" s="78"/>
      <c r="AD308" s="77"/>
      <c r="AE308" s="78"/>
      <c r="AF308" s="77"/>
      <c r="AG308" s="78"/>
      <c r="AH308" s="77"/>
      <c r="AI308" s="78"/>
      <c r="AJ308" s="64"/>
      <c r="AK308" s="80"/>
      <c r="AL308" s="64"/>
      <c r="AM308" s="80"/>
      <c r="AN308" s="64"/>
      <c r="AO308" s="80"/>
      <c r="AP308" s="64"/>
      <c r="AQ308" s="80"/>
      <c r="AR308" s="64"/>
      <c r="AS308" s="679" t="s">
        <v>294</v>
      </c>
      <c r="AT308" s="350"/>
      <c r="AU308" s="350"/>
      <c r="AV308" s="350"/>
      <c r="AW308" s="350"/>
      <c r="AX308" s="350"/>
      <c r="AY308" s="351"/>
      <c r="AZ308" s="81"/>
      <c r="BA308" s="81"/>
      <c r="BB308" s="677" t="s">
        <v>325</v>
      </c>
      <c r="BC308" s="351"/>
      <c r="BD308" s="681" t="s">
        <v>294</v>
      </c>
      <c r="BE308" s="350"/>
      <c r="BF308" s="351"/>
      <c r="BG308" s="678" t="s">
        <v>294</v>
      </c>
      <c r="BH308" s="350"/>
      <c r="BI308" s="350"/>
      <c r="BJ308" s="351"/>
      <c r="BK308" s="680"/>
      <c r="BL308" s="350"/>
      <c r="BM308" s="351"/>
      <c r="BN308" s="82"/>
      <c r="BO308" s="82"/>
      <c r="BP308" s="678"/>
      <c r="BQ308" s="350"/>
      <c r="BR308" s="351"/>
      <c r="BS308" s="681" t="s">
        <v>294</v>
      </c>
      <c r="BT308" s="350"/>
      <c r="BU308" s="351"/>
    </row>
    <row r="309" spans="1:73" ht="30" customHeight="1">
      <c r="A309" s="76">
        <f t="shared" si="1"/>
        <v>295</v>
      </c>
      <c r="B309" s="686" t="s">
        <v>325</v>
      </c>
      <c r="C309" s="351"/>
      <c r="D309" s="687" t="s">
        <v>294</v>
      </c>
      <c r="E309" s="350"/>
      <c r="F309" s="350"/>
      <c r="G309" s="351"/>
      <c r="H309" s="688" t="s">
        <v>294</v>
      </c>
      <c r="I309" s="350"/>
      <c r="J309" s="350"/>
      <c r="K309" s="351"/>
      <c r="L309" s="538" t="s">
        <v>294</v>
      </c>
      <c r="M309" s="350"/>
      <c r="N309" s="351"/>
      <c r="O309" s="539" t="s">
        <v>294</v>
      </c>
      <c r="P309" s="350"/>
      <c r="Q309" s="351"/>
      <c r="R309" s="574"/>
      <c r="S309" s="350"/>
      <c r="T309" s="351"/>
      <c r="U309" s="567"/>
      <c r="V309" s="350"/>
      <c r="W309" s="351"/>
      <c r="X309" s="77"/>
      <c r="Y309" s="78"/>
      <c r="Z309" s="77"/>
      <c r="AA309" s="78"/>
      <c r="AB309" s="77"/>
      <c r="AC309" s="78"/>
      <c r="AD309" s="77"/>
      <c r="AE309" s="78"/>
      <c r="AF309" s="77"/>
      <c r="AG309" s="78"/>
      <c r="AH309" s="77"/>
      <c r="AI309" s="78"/>
      <c r="AJ309" s="64"/>
      <c r="AK309" s="80"/>
      <c r="AL309" s="64"/>
      <c r="AM309" s="80"/>
      <c r="AN309" s="64"/>
      <c r="AO309" s="80"/>
      <c r="AP309" s="64"/>
      <c r="AQ309" s="80"/>
      <c r="AR309" s="64"/>
      <c r="AS309" s="679" t="s">
        <v>294</v>
      </c>
      <c r="AT309" s="350"/>
      <c r="AU309" s="350"/>
      <c r="AV309" s="350"/>
      <c r="AW309" s="350"/>
      <c r="AX309" s="350"/>
      <c r="AY309" s="351"/>
      <c r="AZ309" s="81"/>
      <c r="BA309" s="81"/>
      <c r="BB309" s="685" t="s">
        <v>325</v>
      </c>
      <c r="BC309" s="351"/>
      <c r="BD309" s="681" t="s">
        <v>294</v>
      </c>
      <c r="BE309" s="350"/>
      <c r="BF309" s="351"/>
      <c r="BG309" s="678" t="s">
        <v>294</v>
      </c>
      <c r="BH309" s="350"/>
      <c r="BI309" s="350"/>
      <c r="BJ309" s="351"/>
      <c r="BK309" s="680"/>
      <c r="BL309" s="350"/>
      <c r="BM309" s="351"/>
      <c r="BN309" s="82"/>
      <c r="BO309" s="82"/>
      <c r="BP309" s="678"/>
      <c r="BQ309" s="350"/>
      <c r="BR309" s="351"/>
      <c r="BS309" s="681" t="s">
        <v>294</v>
      </c>
      <c r="BT309" s="350"/>
      <c r="BU309" s="351"/>
    </row>
    <row r="310" spans="1:73" ht="30" customHeight="1">
      <c r="A310" s="76">
        <f t="shared" si="1"/>
        <v>296</v>
      </c>
      <c r="B310" s="686" t="s">
        <v>325</v>
      </c>
      <c r="C310" s="351"/>
      <c r="D310" s="687" t="s">
        <v>294</v>
      </c>
      <c r="E310" s="350"/>
      <c r="F310" s="350"/>
      <c r="G310" s="351"/>
      <c r="H310" s="688" t="s">
        <v>294</v>
      </c>
      <c r="I310" s="350"/>
      <c r="J310" s="350"/>
      <c r="K310" s="351"/>
      <c r="L310" s="538" t="s">
        <v>294</v>
      </c>
      <c r="M310" s="350"/>
      <c r="N310" s="351"/>
      <c r="O310" s="539" t="s">
        <v>294</v>
      </c>
      <c r="P310" s="350"/>
      <c r="Q310" s="351"/>
      <c r="R310" s="574"/>
      <c r="S310" s="350"/>
      <c r="T310" s="351"/>
      <c r="U310" s="567"/>
      <c r="V310" s="350"/>
      <c r="W310" s="351"/>
      <c r="X310" s="77"/>
      <c r="Y310" s="78"/>
      <c r="Z310" s="77"/>
      <c r="AA310" s="78"/>
      <c r="AB310" s="77"/>
      <c r="AC310" s="78"/>
      <c r="AD310" s="77"/>
      <c r="AE310" s="78"/>
      <c r="AF310" s="77"/>
      <c r="AG310" s="78"/>
      <c r="AH310" s="77"/>
      <c r="AI310" s="78"/>
      <c r="AJ310" s="64"/>
      <c r="AK310" s="80"/>
      <c r="AL310" s="64"/>
      <c r="AM310" s="80"/>
      <c r="AN310" s="64"/>
      <c r="AO310" s="80"/>
      <c r="AP310" s="64"/>
      <c r="AQ310" s="80"/>
      <c r="AR310" s="64"/>
      <c r="AS310" s="679" t="s">
        <v>294</v>
      </c>
      <c r="AT310" s="350"/>
      <c r="AU310" s="350"/>
      <c r="AV310" s="350"/>
      <c r="AW310" s="350"/>
      <c r="AX310" s="350"/>
      <c r="AY310" s="351"/>
      <c r="AZ310" s="81"/>
      <c r="BA310" s="81"/>
      <c r="BB310" s="677" t="s">
        <v>325</v>
      </c>
      <c r="BC310" s="351"/>
      <c r="BD310" s="681" t="s">
        <v>294</v>
      </c>
      <c r="BE310" s="350"/>
      <c r="BF310" s="351"/>
      <c r="BG310" s="678" t="s">
        <v>294</v>
      </c>
      <c r="BH310" s="350"/>
      <c r="BI310" s="350"/>
      <c r="BJ310" s="351"/>
      <c r="BK310" s="680"/>
      <c r="BL310" s="350"/>
      <c r="BM310" s="351"/>
      <c r="BN310" s="82"/>
      <c r="BO310" s="82"/>
      <c r="BP310" s="678"/>
      <c r="BQ310" s="350"/>
      <c r="BR310" s="351"/>
      <c r="BS310" s="681" t="s">
        <v>294</v>
      </c>
      <c r="BT310" s="350"/>
      <c r="BU310" s="351"/>
    </row>
    <row r="311" spans="1:73" ht="30" customHeight="1">
      <c r="A311" s="76">
        <f t="shared" si="1"/>
        <v>297</v>
      </c>
      <c r="B311" s="686" t="s">
        <v>325</v>
      </c>
      <c r="C311" s="351"/>
      <c r="D311" s="687" t="s">
        <v>294</v>
      </c>
      <c r="E311" s="350"/>
      <c r="F311" s="350"/>
      <c r="G311" s="351"/>
      <c r="H311" s="688" t="s">
        <v>294</v>
      </c>
      <c r="I311" s="350"/>
      <c r="J311" s="350"/>
      <c r="K311" s="351"/>
      <c r="L311" s="538" t="s">
        <v>294</v>
      </c>
      <c r="M311" s="350"/>
      <c r="N311" s="351"/>
      <c r="O311" s="539" t="s">
        <v>294</v>
      </c>
      <c r="P311" s="350"/>
      <c r="Q311" s="351"/>
      <c r="R311" s="574"/>
      <c r="S311" s="350"/>
      <c r="T311" s="351"/>
      <c r="U311" s="567"/>
      <c r="V311" s="350"/>
      <c r="W311" s="351"/>
      <c r="X311" s="77"/>
      <c r="Y311" s="78"/>
      <c r="Z311" s="77"/>
      <c r="AA311" s="78"/>
      <c r="AB311" s="77"/>
      <c r="AC311" s="78"/>
      <c r="AD311" s="77"/>
      <c r="AE311" s="78"/>
      <c r="AF311" s="77"/>
      <c r="AG311" s="78"/>
      <c r="AH311" s="77"/>
      <c r="AI311" s="78"/>
      <c r="AJ311" s="64"/>
      <c r="AK311" s="80"/>
      <c r="AL311" s="64"/>
      <c r="AM311" s="80"/>
      <c r="AN311" s="64"/>
      <c r="AO311" s="80"/>
      <c r="AP311" s="64"/>
      <c r="AQ311" s="80"/>
      <c r="AR311" s="64"/>
      <c r="AS311" s="679" t="s">
        <v>294</v>
      </c>
      <c r="AT311" s="350"/>
      <c r="AU311" s="350"/>
      <c r="AV311" s="350"/>
      <c r="AW311" s="350"/>
      <c r="AX311" s="350"/>
      <c r="AY311" s="351"/>
      <c r="AZ311" s="81"/>
      <c r="BA311" s="81"/>
      <c r="BB311" s="677" t="s">
        <v>325</v>
      </c>
      <c r="BC311" s="351"/>
      <c r="BD311" s="681" t="s">
        <v>294</v>
      </c>
      <c r="BE311" s="350"/>
      <c r="BF311" s="351"/>
      <c r="BG311" s="678" t="s">
        <v>294</v>
      </c>
      <c r="BH311" s="350"/>
      <c r="BI311" s="350"/>
      <c r="BJ311" s="351"/>
      <c r="BK311" s="680"/>
      <c r="BL311" s="350"/>
      <c r="BM311" s="351"/>
      <c r="BN311" s="82"/>
      <c r="BO311" s="82"/>
      <c r="BP311" s="678"/>
      <c r="BQ311" s="350"/>
      <c r="BR311" s="351"/>
      <c r="BS311" s="681" t="s">
        <v>294</v>
      </c>
      <c r="BT311" s="350"/>
      <c r="BU311" s="351"/>
    </row>
    <row r="312" spans="1:73" ht="30" customHeight="1">
      <c r="A312" s="76">
        <f t="shared" si="1"/>
        <v>298</v>
      </c>
      <c r="B312" s="686" t="s">
        <v>325</v>
      </c>
      <c r="C312" s="351"/>
      <c r="D312" s="687" t="s">
        <v>294</v>
      </c>
      <c r="E312" s="350"/>
      <c r="F312" s="350"/>
      <c r="G312" s="351"/>
      <c r="H312" s="688" t="s">
        <v>294</v>
      </c>
      <c r="I312" s="350"/>
      <c r="J312" s="350"/>
      <c r="K312" s="351"/>
      <c r="L312" s="538" t="s">
        <v>294</v>
      </c>
      <c r="M312" s="350"/>
      <c r="N312" s="351"/>
      <c r="O312" s="539" t="s">
        <v>294</v>
      </c>
      <c r="P312" s="350"/>
      <c r="Q312" s="351"/>
      <c r="R312" s="574"/>
      <c r="S312" s="350"/>
      <c r="T312" s="351"/>
      <c r="U312" s="567"/>
      <c r="V312" s="350"/>
      <c r="W312" s="351"/>
      <c r="X312" s="77"/>
      <c r="Y312" s="78"/>
      <c r="Z312" s="77"/>
      <c r="AA312" s="78"/>
      <c r="AB312" s="77"/>
      <c r="AC312" s="78"/>
      <c r="AD312" s="77"/>
      <c r="AE312" s="78"/>
      <c r="AF312" s="77"/>
      <c r="AG312" s="78"/>
      <c r="AH312" s="77"/>
      <c r="AI312" s="78"/>
      <c r="AJ312" s="64"/>
      <c r="AK312" s="80"/>
      <c r="AL312" s="64"/>
      <c r="AM312" s="80"/>
      <c r="AN312" s="64"/>
      <c r="AO312" s="80"/>
      <c r="AP312" s="64"/>
      <c r="AQ312" s="80"/>
      <c r="AR312" s="64"/>
      <c r="AS312" s="679" t="s">
        <v>294</v>
      </c>
      <c r="AT312" s="350"/>
      <c r="AU312" s="350"/>
      <c r="AV312" s="350"/>
      <c r="AW312" s="350"/>
      <c r="AX312" s="350"/>
      <c r="AY312" s="351"/>
      <c r="AZ312" s="81"/>
      <c r="BA312" s="81"/>
      <c r="BB312" s="677" t="s">
        <v>325</v>
      </c>
      <c r="BC312" s="351"/>
      <c r="BD312" s="681" t="s">
        <v>294</v>
      </c>
      <c r="BE312" s="350"/>
      <c r="BF312" s="351"/>
      <c r="BG312" s="678" t="s">
        <v>294</v>
      </c>
      <c r="BH312" s="350"/>
      <c r="BI312" s="350"/>
      <c r="BJ312" s="351"/>
      <c r="BK312" s="680"/>
      <c r="BL312" s="350"/>
      <c r="BM312" s="351"/>
      <c r="BN312" s="82"/>
      <c r="BO312" s="82"/>
      <c r="BP312" s="678"/>
      <c r="BQ312" s="350"/>
      <c r="BR312" s="351"/>
      <c r="BS312" s="681" t="s">
        <v>294</v>
      </c>
      <c r="BT312" s="350"/>
      <c r="BU312" s="351"/>
    </row>
    <row r="313" spans="1:73" ht="30" customHeight="1">
      <c r="A313" s="76">
        <f t="shared" si="1"/>
        <v>299</v>
      </c>
      <c r="B313" s="686" t="s">
        <v>325</v>
      </c>
      <c r="C313" s="351"/>
      <c r="D313" s="687" t="s">
        <v>294</v>
      </c>
      <c r="E313" s="350"/>
      <c r="F313" s="350"/>
      <c r="G313" s="351"/>
      <c r="H313" s="688" t="s">
        <v>294</v>
      </c>
      <c r="I313" s="350"/>
      <c r="J313" s="350"/>
      <c r="K313" s="351"/>
      <c r="L313" s="538" t="s">
        <v>294</v>
      </c>
      <c r="M313" s="350"/>
      <c r="N313" s="351"/>
      <c r="O313" s="539" t="s">
        <v>294</v>
      </c>
      <c r="P313" s="350"/>
      <c r="Q313" s="351"/>
      <c r="R313" s="574"/>
      <c r="S313" s="350"/>
      <c r="T313" s="351"/>
      <c r="U313" s="567"/>
      <c r="V313" s="350"/>
      <c r="W313" s="351"/>
      <c r="X313" s="77"/>
      <c r="Y313" s="78"/>
      <c r="Z313" s="77"/>
      <c r="AA313" s="78"/>
      <c r="AB313" s="77"/>
      <c r="AC313" s="78"/>
      <c r="AD313" s="77"/>
      <c r="AE313" s="78"/>
      <c r="AF313" s="77"/>
      <c r="AG313" s="78"/>
      <c r="AH313" s="77"/>
      <c r="AI313" s="78"/>
      <c r="AJ313" s="64"/>
      <c r="AK313" s="80"/>
      <c r="AL313" s="64"/>
      <c r="AM313" s="80"/>
      <c r="AN313" s="64"/>
      <c r="AO313" s="80"/>
      <c r="AP313" s="64"/>
      <c r="AQ313" s="80"/>
      <c r="AR313" s="64"/>
      <c r="AS313" s="679" t="s">
        <v>294</v>
      </c>
      <c r="AT313" s="350"/>
      <c r="AU313" s="350"/>
      <c r="AV313" s="350"/>
      <c r="AW313" s="350"/>
      <c r="AX313" s="350"/>
      <c r="AY313" s="351"/>
      <c r="AZ313" s="81"/>
      <c r="BA313" s="81"/>
      <c r="BB313" s="677" t="s">
        <v>325</v>
      </c>
      <c r="BC313" s="351"/>
      <c r="BD313" s="681" t="s">
        <v>294</v>
      </c>
      <c r="BE313" s="350"/>
      <c r="BF313" s="351"/>
      <c r="BG313" s="678" t="s">
        <v>294</v>
      </c>
      <c r="BH313" s="350"/>
      <c r="BI313" s="350"/>
      <c r="BJ313" s="351"/>
      <c r="BK313" s="680"/>
      <c r="BL313" s="350"/>
      <c r="BM313" s="351"/>
      <c r="BN313" s="82"/>
      <c r="BO313" s="82"/>
      <c r="BP313" s="678"/>
      <c r="BQ313" s="350"/>
      <c r="BR313" s="351"/>
      <c r="BS313" s="681" t="s">
        <v>294</v>
      </c>
      <c r="BT313" s="350"/>
      <c r="BU313" s="351"/>
    </row>
    <row r="314" spans="1:73" ht="30" customHeight="1">
      <c r="A314" s="76">
        <f t="shared" si="1"/>
        <v>300</v>
      </c>
      <c r="B314" s="686" t="s">
        <v>325</v>
      </c>
      <c r="C314" s="351"/>
      <c r="D314" s="687" t="s">
        <v>294</v>
      </c>
      <c r="E314" s="350"/>
      <c r="F314" s="350"/>
      <c r="G314" s="351"/>
      <c r="H314" s="688" t="s">
        <v>294</v>
      </c>
      <c r="I314" s="350"/>
      <c r="J314" s="350"/>
      <c r="K314" s="351"/>
      <c r="L314" s="538" t="s">
        <v>294</v>
      </c>
      <c r="M314" s="350"/>
      <c r="N314" s="351"/>
      <c r="O314" s="539" t="s">
        <v>294</v>
      </c>
      <c r="P314" s="350"/>
      <c r="Q314" s="351"/>
      <c r="R314" s="574"/>
      <c r="S314" s="350"/>
      <c r="T314" s="351"/>
      <c r="U314" s="567"/>
      <c r="V314" s="350"/>
      <c r="W314" s="351"/>
      <c r="X314" s="77"/>
      <c r="Y314" s="78"/>
      <c r="Z314" s="77"/>
      <c r="AA314" s="78"/>
      <c r="AB314" s="77"/>
      <c r="AC314" s="78"/>
      <c r="AD314" s="77"/>
      <c r="AE314" s="78"/>
      <c r="AF314" s="77"/>
      <c r="AG314" s="78"/>
      <c r="AH314" s="77"/>
      <c r="AI314" s="78"/>
      <c r="AJ314" s="64"/>
      <c r="AK314" s="80"/>
      <c r="AL314" s="64"/>
      <c r="AM314" s="80"/>
      <c r="AN314" s="64"/>
      <c r="AO314" s="80"/>
      <c r="AP314" s="64"/>
      <c r="AQ314" s="80"/>
      <c r="AR314" s="64"/>
      <c r="AS314" s="679" t="s">
        <v>294</v>
      </c>
      <c r="AT314" s="350"/>
      <c r="AU314" s="350"/>
      <c r="AV314" s="350"/>
      <c r="AW314" s="350"/>
      <c r="AX314" s="350"/>
      <c r="AY314" s="351"/>
      <c r="AZ314" s="81"/>
      <c r="BA314" s="81"/>
      <c r="BB314" s="677" t="s">
        <v>325</v>
      </c>
      <c r="BC314" s="351"/>
      <c r="BD314" s="681" t="s">
        <v>294</v>
      </c>
      <c r="BE314" s="350"/>
      <c r="BF314" s="351"/>
      <c r="BG314" s="678" t="s">
        <v>294</v>
      </c>
      <c r="BH314" s="350"/>
      <c r="BI314" s="350"/>
      <c r="BJ314" s="351"/>
      <c r="BK314" s="680"/>
      <c r="BL314" s="350"/>
      <c r="BM314" s="351"/>
      <c r="BN314" s="82"/>
      <c r="BO314" s="82"/>
      <c r="BP314" s="678"/>
      <c r="BQ314" s="350"/>
      <c r="BR314" s="351"/>
      <c r="BS314" s="681" t="s">
        <v>294</v>
      </c>
      <c r="BT314" s="350"/>
      <c r="BU314" s="351"/>
    </row>
    <row r="315" spans="1:73" ht="30" customHeight="1">
      <c r="A315" s="76">
        <f t="shared" si="1"/>
        <v>301</v>
      </c>
      <c r="B315" s="686" t="s">
        <v>325</v>
      </c>
      <c r="C315" s="351"/>
      <c r="D315" s="687" t="s">
        <v>294</v>
      </c>
      <c r="E315" s="350"/>
      <c r="F315" s="350"/>
      <c r="G315" s="351"/>
      <c r="H315" s="688" t="s">
        <v>294</v>
      </c>
      <c r="I315" s="350"/>
      <c r="J315" s="350"/>
      <c r="K315" s="351"/>
      <c r="L315" s="538" t="s">
        <v>294</v>
      </c>
      <c r="M315" s="350"/>
      <c r="N315" s="351"/>
      <c r="O315" s="539" t="s">
        <v>294</v>
      </c>
      <c r="P315" s="350"/>
      <c r="Q315" s="351"/>
      <c r="R315" s="574"/>
      <c r="S315" s="350"/>
      <c r="T315" s="351"/>
      <c r="U315" s="567"/>
      <c r="V315" s="350"/>
      <c r="W315" s="351"/>
      <c r="X315" s="77"/>
      <c r="Y315" s="78"/>
      <c r="Z315" s="77"/>
      <c r="AA315" s="78"/>
      <c r="AB315" s="77"/>
      <c r="AC315" s="78"/>
      <c r="AD315" s="77"/>
      <c r="AE315" s="78"/>
      <c r="AF315" s="77"/>
      <c r="AG315" s="78"/>
      <c r="AH315" s="77"/>
      <c r="AI315" s="78"/>
      <c r="AJ315" s="64"/>
      <c r="AK315" s="80"/>
      <c r="AL315" s="64"/>
      <c r="AM315" s="80"/>
      <c r="AN315" s="64"/>
      <c r="AO315" s="80"/>
      <c r="AP315" s="64"/>
      <c r="AQ315" s="80"/>
      <c r="AR315" s="64"/>
      <c r="AS315" s="679" t="s">
        <v>294</v>
      </c>
      <c r="AT315" s="350"/>
      <c r="AU315" s="350"/>
      <c r="AV315" s="350"/>
      <c r="AW315" s="350"/>
      <c r="AX315" s="350"/>
      <c r="AY315" s="351"/>
      <c r="AZ315" s="81"/>
      <c r="BA315" s="81"/>
      <c r="BB315" s="677" t="s">
        <v>325</v>
      </c>
      <c r="BC315" s="351"/>
      <c r="BD315" s="681" t="s">
        <v>294</v>
      </c>
      <c r="BE315" s="350"/>
      <c r="BF315" s="351"/>
      <c r="BG315" s="678" t="s">
        <v>294</v>
      </c>
      <c r="BH315" s="350"/>
      <c r="BI315" s="350"/>
      <c r="BJ315" s="351"/>
      <c r="BK315" s="680"/>
      <c r="BL315" s="350"/>
      <c r="BM315" s="351"/>
      <c r="BN315" s="82"/>
      <c r="BO315" s="82"/>
      <c r="BP315" s="678"/>
      <c r="BQ315" s="350"/>
      <c r="BR315" s="351"/>
      <c r="BS315" s="681" t="s">
        <v>294</v>
      </c>
      <c r="BT315" s="350"/>
      <c r="BU315" s="351"/>
    </row>
    <row r="316" spans="1:73" ht="30" customHeight="1">
      <c r="A316" s="76">
        <f t="shared" si="1"/>
        <v>302</v>
      </c>
      <c r="B316" s="686" t="s">
        <v>325</v>
      </c>
      <c r="C316" s="351"/>
      <c r="D316" s="687" t="s">
        <v>294</v>
      </c>
      <c r="E316" s="350"/>
      <c r="F316" s="350"/>
      <c r="G316" s="351"/>
      <c r="H316" s="688" t="s">
        <v>294</v>
      </c>
      <c r="I316" s="350"/>
      <c r="J316" s="350"/>
      <c r="K316" s="351"/>
      <c r="L316" s="538" t="s">
        <v>294</v>
      </c>
      <c r="M316" s="350"/>
      <c r="N316" s="351"/>
      <c r="O316" s="539" t="s">
        <v>294</v>
      </c>
      <c r="P316" s="350"/>
      <c r="Q316" s="351"/>
      <c r="R316" s="574"/>
      <c r="S316" s="350"/>
      <c r="T316" s="351"/>
      <c r="U316" s="567"/>
      <c r="V316" s="350"/>
      <c r="W316" s="351"/>
      <c r="X316" s="77"/>
      <c r="Y316" s="78"/>
      <c r="Z316" s="77"/>
      <c r="AA316" s="78"/>
      <c r="AB316" s="77"/>
      <c r="AC316" s="78"/>
      <c r="AD316" s="77"/>
      <c r="AE316" s="78"/>
      <c r="AF316" s="77"/>
      <c r="AG316" s="78"/>
      <c r="AH316" s="77"/>
      <c r="AI316" s="78"/>
      <c r="AJ316" s="64"/>
      <c r="AK316" s="80"/>
      <c r="AL316" s="64"/>
      <c r="AM316" s="80"/>
      <c r="AN316" s="64"/>
      <c r="AO316" s="80"/>
      <c r="AP316" s="64"/>
      <c r="AQ316" s="80"/>
      <c r="AR316" s="64"/>
      <c r="AS316" s="679" t="s">
        <v>294</v>
      </c>
      <c r="AT316" s="350"/>
      <c r="AU316" s="350"/>
      <c r="AV316" s="350"/>
      <c r="AW316" s="350"/>
      <c r="AX316" s="350"/>
      <c r="AY316" s="351"/>
      <c r="AZ316" s="81"/>
      <c r="BA316" s="81"/>
      <c r="BB316" s="685" t="s">
        <v>325</v>
      </c>
      <c r="BC316" s="351"/>
      <c r="BD316" s="681" t="s">
        <v>294</v>
      </c>
      <c r="BE316" s="350"/>
      <c r="BF316" s="351"/>
      <c r="BG316" s="678" t="s">
        <v>294</v>
      </c>
      <c r="BH316" s="350"/>
      <c r="BI316" s="350"/>
      <c r="BJ316" s="351"/>
      <c r="BK316" s="680"/>
      <c r="BL316" s="350"/>
      <c r="BM316" s="351"/>
      <c r="BN316" s="82"/>
      <c r="BO316" s="82"/>
      <c r="BP316" s="678"/>
      <c r="BQ316" s="350"/>
      <c r="BR316" s="351"/>
      <c r="BS316" s="681" t="s">
        <v>294</v>
      </c>
      <c r="BT316" s="350"/>
      <c r="BU316" s="351"/>
    </row>
    <row r="317" spans="1:73" ht="30" customHeight="1">
      <c r="A317" s="76">
        <f t="shared" si="1"/>
        <v>303</v>
      </c>
      <c r="B317" s="686" t="s">
        <v>325</v>
      </c>
      <c r="C317" s="351"/>
      <c r="D317" s="687" t="s">
        <v>294</v>
      </c>
      <c r="E317" s="350"/>
      <c r="F317" s="350"/>
      <c r="G317" s="351"/>
      <c r="H317" s="688" t="s">
        <v>294</v>
      </c>
      <c r="I317" s="350"/>
      <c r="J317" s="350"/>
      <c r="K317" s="351"/>
      <c r="L317" s="538" t="s">
        <v>294</v>
      </c>
      <c r="M317" s="350"/>
      <c r="N317" s="351"/>
      <c r="O317" s="539" t="s">
        <v>294</v>
      </c>
      <c r="P317" s="350"/>
      <c r="Q317" s="351"/>
      <c r="R317" s="574"/>
      <c r="S317" s="350"/>
      <c r="T317" s="351"/>
      <c r="U317" s="567"/>
      <c r="V317" s="350"/>
      <c r="W317" s="351"/>
      <c r="X317" s="77"/>
      <c r="Y317" s="78"/>
      <c r="Z317" s="77"/>
      <c r="AA317" s="78"/>
      <c r="AB317" s="77"/>
      <c r="AC317" s="78"/>
      <c r="AD317" s="77"/>
      <c r="AE317" s="78"/>
      <c r="AF317" s="77"/>
      <c r="AG317" s="78"/>
      <c r="AH317" s="77"/>
      <c r="AI317" s="78"/>
      <c r="AJ317" s="64"/>
      <c r="AK317" s="80"/>
      <c r="AL317" s="64"/>
      <c r="AM317" s="80"/>
      <c r="AN317" s="64"/>
      <c r="AO317" s="80"/>
      <c r="AP317" s="64"/>
      <c r="AQ317" s="80"/>
      <c r="AR317" s="64"/>
      <c r="AS317" s="679" t="s">
        <v>294</v>
      </c>
      <c r="AT317" s="350"/>
      <c r="AU317" s="350"/>
      <c r="AV317" s="350"/>
      <c r="AW317" s="350"/>
      <c r="AX317" s="350"/>
      <c r="AY317" s="351"/>
      <c r="AZ317" s="81"/>
      <c r="BA317" s="81"/>
      <c r="BB317" s="677" t="s">
        <v>325</v>
      </c>
      <c r="BC317" s="351"/>
      <c r="BD317" s="681" t="s">
        <v>294</v>
      </c>
      <c r="BE317" s="350"/>
      <c r="BF317" s="351"/>
      <c r="BG317" s="678" t="s">
        <v>294</v>
      </c>
      <c r="BH317" s="350"/>
      <c r="BI317" s="350"/>
      <c r="BJ317" s="351"/>
      <c r="BK317" s="680"/>
      <c r="BL317" s="350"/>
      <c r="BM317" s="351"/>
      <c r="BN317" s="82"/>
      <c r="BO317" s="82"/>
      <c r="BP317" s="678"/>
      <c r="BQ317" s="350"/>
      <c r="BR317" s="351"/>
      <c r="BS317" s="681" t="s">
        <v>294</v>
      </c>
      <c r="BT317" s="350"/>
      <c r="BU317" s="351"/>
    </row>
    <row r="318" spans="1:73" ht="30" customHeight="1">
      <c r="A318" s="76">
        <f t="shared" si="1"/>
        <v>304</v>
      </c>
      <c r="B318" s="686" t="s">
        <v>325</v>
      </c>
      <c r="C318" s="351"/>
      <c r="D318" s="687" t="s">
        <v>294</v>
      </c>
      <c r="E318" s="350"/>
      <c r="F318" s="350"/>
      <c r="G318" s="351"/>
      <c r="H318" s="688" t="s">
        <v>294</v>
      </c>
      <c r="I318" s="350"/>
      <c r="J318" s="350"/>
      <c r="K318" s="351"/>
      <c r="L318" s="538" t="s">
        <v>294</v>
      </c>
      <c r="M318" s="350"/>
      <c r="N318" s="351"/>
      <c r="O318" s="539" t="s">
        <v>294</v>
      </c>
      <c r="P318" s="350"/>
      <c r="Q318" s="351"/>
      <c r="R318" s="574"/>
      <c r="S318" s="350"/>
      <c r="T318" s="351"/>
      <c r="U318" s="567"/>
      <c r="V318" s="350"/>
      <c r="W318" s="351"/>
      <c r="X318" s="77"/>
      <c r="Y318" s="78"/>
      <c r="Z318" s="77"/>
      <c r="AA318" s="78"/>
      <c r="AB318" s="77"/>
      <c r="AC318" s="78"/>
      <c r="AD318" s="77"/>
      <c r="AE318" s="78"/>
      <c r="AF318" s="77"/>
      <c r="AG318" s="78"/>
      <c r="AH318" s="77"/>
      <c r="AI318" s="78"/>
      <c r="AJ318" s="64"/>
      <c r="AK318" s="80"/>
      <c r="AL318" s="64"/>
      <c r="AM318" s="80"/>
      <c r="AN318" s="64"/>
      <c r="AO318" s="80"/>
      <c r="AP318" s="64"/>
      <c r="AQ318" s="80"/>
      <c r="AR318" s="64"/>
      <c r="AS318" s="679" t="s">
        <v>294</v>
      </c>
      <c r="AT318" s="350"/>
      <c r="AU318" s="350"/>
      <c r="AV318" s="350"/>
      <c r="AW318" s="350"/>
      <c r="AX318" s="350"/>
      <c r="AY318" s="351"/>
      <c r="AZ318" s="81"/>
      <c r="BA318" s="81"/>
      <c r="BB318" s="677" t="s">
        <v>325</v>
      </c>
      <c r="BC318" s="351"/>
      <c r="BD318" s="681" t="s">
        <v>294</v>
      </c>
      <c r="BE318" s="350"/>
      <c r="BF318" s="351"/>
      <c r="BG318" s="678" t="s">
        <v>294</v>
      </c>
      <c r="BH318" s="350"/>
      <c r="BI318" s="350"/>
      <c r="BJ318" s="351"/>
      <c r="BK318" s="680"/>
      <c r="BL318" s="350"/>
      <c r="BM318" s="351"/>
      <c r="BN318" s="82"/>
      <c r="BO318" s="82"/>
      <c r="BP318" s="678"/>
      <c r="BQ318" s="350"/>
      <c r="BR318" s="351"/>
      <c r="BS318" s="681" t="s">
        <v>294</v>
      </c>
      <c r="BT318" s="350"/>
      <c r="BU318" s="351"/>
    </row>
    <row r="319" spans="1:73" ht="30" customHeight="1">
      <c r="A319" s="76">
        <f t="shared" si="1"/>
        <v>305</v>
      </c>
      <c r="B319" s="686" t="s">
        <v>325</v>
      </c>
      <c r="C319" s="351"/>
      <c r="D319" s="687" t="s">
        <v>294</v>
      </c>
      <c r="E319" s="350"/>
      <c r="F319" s="350"/>
      <c r="G319" s="351"/>
      <c r="H319" s="688" t="s">
        <v>294</v>
      </c>
      <c r="I319" s="350"/>
      <c r="J319" s="350"/>
      <c r="K319" s="351"/>
      <c r="L319" s="538" t="s">
        <v>294</v>
      </c>
      <c r="M319" s="350"/>
      <c r="N319" s="351"/>
      <c r="O319" s="539" t="s">
        <v>294</v>
      </c>
      <c r="P319" s="350"/>
      <c r="Q319" s="351"/>
      <c r="R319" s="574"/>
      <c r="S319" s="350"/>
      <c r="T319" s="351"/>
      <c r="U319" s="567"/>
      <c r="V319" s="350"/>
      <c r="W319" s="351"/>
      <c r="X319" s="77"/>
      <c r="Y319" s="78"/>
      <c r="Z319" s="77"/>
      <c r="AA319" s="78"/>
      <c r="AB319" s="77"/>
      <c r="AC319" s="78"/>
      <c r="AD319" s="77"/>
      <c r="AE319" s="78"/>
      <c r="AF319" s="77"/>
      <c r="AG319" s="78"/>
      <c r="AH319" s="77"/>
      <c r="AI319" s="78"/>
      <c r="AJ319" s="64"/>
      <c r="AK319" s="80"/>
      <c r="AL319" s="64"/>
      <c r="AM319" s="80"/>
      <c r="AN319" s="64"/>
      <c r="AO319" s="80"/>
      <c r="AP319" s="64"/>
      <c r="AQ319" s="80"/>
      <c r="AR319" s="64"/>
      <c r="AS319" s="679" t="s">
        <v>294</v>
      </c>
      <c r="AT319" s="350"/>
      <c r="AU319" s="350"/>
      <c r="AV319" s="350"/>
      <c r="AW319" s="350"/>
      <c r="AX319" s="350"/>
      <c r="AY319" s="351"/>
      <c r="AZ319" s="81"/>
      <c r="BA319" s="81"/>
      <c r="BB319" s="677" t="s">
        <v>325</v>
      </c>
      <c r="BC319" s="351"/>
      <c r="BD319" s="681" t="s">
        <v>294</v>
      </c>
      <c r="BE319" s="350"/>
      <c r="BF319" s="351"/>
      <c r="BG319" s="678" t="s">
        <v>294</v>
      </c>
      <c r="BH319" s="350"/>
      <c r="BI319" s="350"/>
      <c r="BJ319" s="351"/>
      <c r="BK319" s="680"/>
      <c r="BL319" s="350"/>
      <c r="BM319" s="351"/>
      <c r="BN319" s="82"/>
      <c r="BO319" s="82"/>
      <c r="BP319" s="678"/>
      <c r="BQ319" s="350"/>
      <c r="BR319" s="351"/>
      <c r="BS319" s="681" t="s">
        <v>294</v>
      </c>
      <c r="BT319" s="350"/>
      <c r="BU319" s="351"/>
    </row>
    <row r="320" spans="1:73" ht="30" customHeight="1">
      <c r="A320" s="76">
        <f t="shared" si="1"/>
        <v>306</v>
      </c>
      <c r="B320" s="686" t="s">
        <v>325</v>
      </c>
      <c r="C320" s="351"/>
      <c r="D320" s="687" t="s">
        <v>294</v>
      </c>
      <c r="E320" s="350"/>
      <c r="F320" s="350"/>
      <c r="G320" s="351"/>
      <c r="H320" s="688" t="s">
        <v>294</v>
      </c>
      <c r="I320" s="350"/>
      <c r="J320" s="350"/>
      <c r="K320" s="351"/>
      <c r="L320" s="538" t="s">
        <v>294</v>
      </c>
      <c r="M320" s="350"/>
      <c r="N320" s="351"/>
      <c r="O320" s="539" t="s">
        <v>294</v>
      </c>
      <c r="P320" s="350"/>
      <c r="Q320" s="351"/>
      <c r="R320" s="574"/>
      <c r="S320" s="350"/>
      <c r="T320" s="351"/>
      <c r="U320" s="567"/>
      <c r="V320" s="350"/>
      <c r="W320" s="351"/>
      <c r="X320" s="77"/>
      <c r="Y320" s="78"/>
      <c r="Z320" s="77"/>
      <c r="AA320" s="78"/>
      <c r="AB320" s="77"/>
      <c r="AC320" s="78"/>
      <c r="AD320" s="77"/>
      <c r="AE320" s="78"/>
      <c r="AF320" s="77"/>
      <c r="AG320" s="78"/>
      <c r="AH320" s="77"/>
      <c r="AI320" s="78"/>
      <c r="AJ320" s="64"/>
      <c r="AK320" s="80"/>
      <c r="AL320" s="64"/>
      <c r="AM320" s="80"/>
      <c r="AN320" s="64"/>
      <c r="AO320" s="80"/>
      <c r="AP320" s="64"/>
      <c r="AQ320" s="80"/>
      <c r="AR320" s="64"/>
      <c r="AS320" s="679" t="s">
        <v>294</v>
      </c>
      <c r="AT320" s="350"/>
      <c r="AU320" s="350"/>
      <c r="AV320" s="350"/>
      <c r="AW320" s="350"/>
      <c r="AX320" s="350"/>
      <c r="AY320" s="351"/>
      <c r="AZ320" s="81"/>
      <c r="BA320" s="81"/>
      <c r="BB320" s="677" t="s">
        <v>325</v>
      </c>
      <c r="BC320" s="351"/>
      <c r="BD320" s="681" t="s">
        <v>294</v>
      </c>
      <c r="BE320" s="350"/>
      <c r="BF320" s="351"/>
      <c r="BG320" s="678" t="s">
        <v>294</v>
      </c>
      <c r="BH320" s="350"/>
      <c r="BI320" s="350"/>
      <c r="BJ320" s="351"/>
      <c r="BK320" s="680"/>
      <c r="BL320" s="350"/>
      <c r="BM320" s="351"/>
      <c r="BN320" s="82"/>
      <c r="BO320" s="82"/>
      <c r="BP320" s="678"/>
      <c r="BQ320" s="350"/>
      <c r="BR320" s="351"/>
      <c r="BS320" s="681" t="s">
        <v>294</v>
      </c>
      <c r="BT320" s="350"/>
      <c r="BU320" s="351"/>
    </row>
    <row r="321" spans="1:73" ht="30" customHeight="1">
      <c r="A321" s="76">
        <f t="shared" si="1"/>
        <v>307</v>
      </c>
      <c r="B321" s="686" t="s">
        <v>325</v>
      </c>
      <c r="C321" s="351"/>
      <c r="D321" s="687" t="s">
        <v>294</v>
      </c>
      <c r="E321" s="350"/>
      <c r="F321" s="350"/>
      <c r="G321" s="351"/>
      <c r="H321" s="688" t="s">
        <v>294</v>
      </c>
      <c r="I321" s="350"/>
      <c r="J321" s="350"/>
      <c r="K321" s="351"/>
      <c r="L321" s="538" t="s">
        <v>294</v>
      </c>
      <c r="M321" s="350"/>
      <c r="N321" s="351"/>
      <c r="O321" s="539" t="s">
        <v>294</v>
      </c>
      <c r="P321" s="350"/>
      <c r="Q321" s="351"/>
      <c r="R321" s="574"/>
      <c r="S321" s="350"/>
      <c r="T321" s="351"/>
      <c r="U321" s="567"/>
      <c r="V321" s="350"/>
      <c r="W321" s="351"/>
      <c r="X321" s="77"/>
      <c r="Y321" s="78"/>
      <c r="Z321" s="77"/>
      <c r="AA321" s="78"/>
      <c r="AB321" s="77"/>
      <c r="AC321" s="78"/>
      <c r="AD321" s="77"/>
      <c r="AE321" s="78"/>
      <c r="AF321" s="77"/>
      <c r="AG321" s="78"/>
      <c r="AH321" s="77"/>
      <c r="AI321" s="78"/>
      <c r="AJ321" s="64"/>
      <c r="AK321" s="80"/>
      <c r="AL321" s="64"/>
      <c r="AM321" s="80"/>
      <c r="AN321" s="64"/>
      <c r="AO321" s="80"/>
      <c r="AP321" s="64"/>
      <c r="AQ321" s="80"/>
      <c r="AR321" s="64"/>
      <c r="AS321" s="679" t="s">
        <v>294</v>
      </c>
      <c r="AT321" s="350"/>
      <c r="AU321" s="350"/>
      <c r="AV321" s="350"/>
      <c r="AW321" s="350"/>
      <c r="AX321" s="350"/>
      <c r="AY321" s="351"/>
      <c r="AZ321" s="81"/>
      <c r="BA321" s="81"/>
      <c r="BB321" s="677" t="s">
        <v>325</v>
      </c>
      <c r="BC321" s="351"/>
      <c r="BD321" s="681" t="s">
        <v>294</v>
      </c>
      <c r="BE321" s="350"/>
      <c r="BF321" s="351"/>
      <c r="BG321" s="678" t="s">
        <v>294</v>
      </c>
      <c r="BH321" s="350"/>
      <c r="BI321" s="350"/>
      <c r="BJ321" s="351"/>
      <c r="BK321" s="680"/>
      <c r="BL321" s="350"/>
      <c r="BM321" s="351"/>
      <c r="BN321" s="82"/>
      <c r="BO321" s="82"/>
      <c r="BP321" s="678"/>
      <c r="BQ321" s="350"/>
      <c r="BR321" s="351"/>
      <c r="BS321" s="681" t="s">
        <v>294</v>
      </c>
      <c r="BT321" s="350"/>
      <c r="BU321" s="351"/>
    </row>
    <row r="322" spans="1:73" ht="30" customHeight="1">
      <c r="A322" s="76">
        <f t="shared" si="1"/>
        <v>308</v>
      </c>
      <c r="B322" s="686" t="s">
        <v>325</v>
      </c>
      <c r="C322" s="351"/>
      <c r="D322" s="687" t="s">
        <v>294</v>
      </c>
      <c r="E322" s="350"/>
      <c r="F322" s="350"/>
      <c r="G322" s="351"/>
      <c r="H322" s="688" t="s">
        <v>294</v>
      </c>
      <c r="I322" s="350"/>
      <c r="J322" s="350"/>
      <c r="K322" s="351"/>
      <c r="L322" s="538" t="s">
        <v>294</v>
      </c>
      <c r="M322" s="350"/>
      <c r="N322" s="351"/>
      <c r="O322" s="539" t="s">
        <v>294</v>
      </c>
      <c r="P322" s="350"/>
      <c r="Q322" s="351"/>
      <c r="R322" s="574"/>
      <c r="S322" s="350"/>
      <c r="T322" s="351"/>
      <c r="U322" s="567"/>
      <c r="V322" s="350"/>
      <c r="W322" s="351"/>
      <c r="X322" s="77"/>
      <c r="Y322" s="78"/>
      <c r="Z322" s="77"/>
      <c r="AA322" s="78"/>
      <c r="AB322" s="77"/>
      <c r="AC322" s="78"/>
      <c r="AD322" s="77"/>
      <c r="AE322" s="78"/>
      <c r="AF322" s="77"/>
      <c r="AG322" s="78"/>
      <c r="AH322" s="77"/>
      <c r="AI322" s="78"/>
      <c r="AJ322" s="64"/>
      <c r="AK322" s="80"/>
      <c r="AL322" s="64"/>
      <c r="AM322" s="80"/>
      <c r="AN322" s="64"/>
      <c r="AO322" s="80"/>
      <c r="AP322" s="64"/>
      <c r="AQ322" s="80"/>
      <c r="AR322" s="64"/>
      <c r="AS322" s="679" t="s">
        <v>294</v>
      </c>
      <c r="AT322" s="350"/>
      <c r="AU322" s="350"/>
      <c r="AV322" s="350"/>
      <c r="AW322" s="350"/>
      <c r="AX322" s="350"/>
      <c r="AY322" s="351"/>
      <c r="AZ322" s="81"/>
      <c r="BA322" s="81"/>
      <c r="BB322" s="677" t="s">
        <v>325</v>
      </c>
      <c r="BC322" s="351"/>
      <c r="BD322" s="681" t="s">
        <v>294</v>
      </c>
      <c r="BE322" s="350"/>
      <c r="BF322" s="351"/>
      <c r="BG322" s="678" t="s">
        <v>294</v>
      </c>
      <c r="BH322" s="350"/>
      <c r="BI322" s="350"/>
      <c r="BJ322" s="351"/>
      <c r="BK322" s="680"/>
      <c r="BL322" s="350"/>
      <c r="BM322" s="351"/>
      <c r="BN322" s="82"/>
      <c r="BO322" s="82"/>
      <c r="BP322" s="678"/>
      <c r="BQ322" s="350"/>
      <c r="BR322" s="351"/>
      <c r="BS322" s="681" t="s">
        <v>294</v>
      </c>
      <c r="BT322" s="350"/>
      <c r="BU322" s="351"/>
    </row>
    <row r="323" spans="1:73" ht="30" customHeight="1">
      <c r="A323" s="76">
        <f t="shared" si="1"/>
        <v>309</v>
      </c>
      <c r="B323" s="686" t="s">
        <v>325</v>
      </c>
      <c r="C323" s="351"/>
      <c r="D323" s="687" t="s">
        <v>294</v>
      </c>
      <c r="E323" s="350"/>
      <c r="F323" s="350"/>
      <c r="G323" s="351"/>
      <c r="H323" s="688" t="s">
        <v>294</v>
      </c>
      <c r="I323" s="350"/>
      <c r="J323" s="350"/>
      <c r="K323" s="351"/>
      <c r="L323" s="538" t="s">
        <v>294</v>
      </c>
      <c r="M323" s="350"/>
      <c r="N323" s="351"/>
      <c r="O323" s="539" t="s">
        <v>294</v>
      </c>
      <c r="P323" s="350"/>
      <c r="Q323" s="351"/>
      <c r="R323" s="574"/>
      <c r="S323" s="350"/>
      <c r="T323" s="351"/>
      <c r="U323" s="567"/>
      <c r="V323" s="350"/>
      <c r="W323" s="351"/>
      <c r="X323" s="77"/>
      <c r="Y323" s="78"/>
      <c r="Z323" s="77"/>
      <c r="AA323" s="78"/>
      <c r="AB323" s="77"/>
      <c r="AC323" s="78"/>
      <c r="AD323" s="77"/>
      <c r="AE323" s="78"/>
      <c r="AF323" s="77"/>
      <c r="AG323" s="78"/>
      <c r="AH323" s="77"/>
      <c r="AI323" s="78"/>
      <c r="AJ323" s="64"/>
      <c r="AK323" s="80"/>
      <c r="AL323" s="64"/>
      <c r="AM323" s="80"/>
      <c r="AN323" s="64"/>
      <c r="AO323" s="80"/>
      <c r="AP323" s="64"/>
      <c r="AQ323" s="80"/>
      <c r="AR323" s="64"/>
      <c r="AS323" s="679" t="s">
        <v>294</v>
      </c>
      <c r="AT323" s="350"/>
      <c r="AU323" s="350"/>
      <c r="AV323" s="350"/>
      <c r="AW323" s="350"/>
      <c r="AX323" s="350"/>
      <c r="AY323" s="351"/>
      <c r="AZ323" s="81"/>
      <c r="BA323" s="81"/>
      <c r="BB323" s="685" t="s">
        <v>325</v>
      </c>
      <c r="BC323" s="351"/>
      <c r="BD323" s="681" t="s">
        <v>294</v>
      </c>
      <c r="BE323" s="350"/>
      <c r="BF323" s="351"/>
      <c r="BG323" s="678" t="s">
        <v>294</v>
      </c>
      <c r="BH323" s="350"/>
      <c r="BI323" s="350"/>
      <c r="BJ323" s="351"/>
      <c r="BK323" s="680"/>
      <c r="BL323" s="350"/>
      <c r="BM323" s="351"/>
      <c r="BN323" s="82"/>
      <c r="BO323" s="82"/>
      <c r="BP323" s="678"/>
      <c r="BQ323" s="350"/>
      <c r="BR323" s="351"/>
      <c r="BS323" s="681" t="s">
        <v>294</v>
      </c>
      <c r="BT323" s="350"/>
      <c r="BU323" s="351"/>
    </row>
    <row r="324" spans="1:73" ht="30" customHeight="1">
      <c r="A324" s="76">
        <f t="shared" si="1"/>
        <v>310</v>
      </c>
      <c r="B324" s="686" t="s">
        <v>325</v>
      </c>
      <c r="C324" s="351"/>
      <c r="D324" s="687" t="s">
        <v>294</v>
      </c>
      <c r="E324" s="350"/>
      <c r="F324" s="350"/>
      <c r="G324" s="351"/>
      <c r="H324" s="688" t="s">
        <v>294</v>
      </c>
      <c r="I324" s="350"/>
      <c r="J324" s="350"/>
      <c r="K324" s="351"/>
      <c r="L324" s="538" t="s">
        <v>294</v>
      </c>
      <c r="M324" s="350"/>
      <c r="N324" s="351"/>
      <c r="O324" s="539" t="s">
        <v>294</v>
      </c>
      <c r="P324" s="350"/>
      <c r="Q324" s="351"/>
      <c r="R324" s="574"/>
      <c r="S324" s="350"/>
      <c r="T324" s="351"/>
      <c r="U324" s="567"/>
      <c r="V324" s="350"/>
      <c r="W324" s="351"/>
      <c r="X324" s="77"/>
      <c r="Y324" s="78"/>
      <c r="Z324" s="77"/>
      <c r="AA324" s="78"/>
      <c r="AB324" s="77"/>
      <c r="AC324" s="78"/>
      <c r="AD324" s="77"/>
      <c r="AE324" s="78"/>
      <c r="AF324" s="77"/>
      <c r="AG324" s="78"/>
      <c r="AH324" s="77"/>
      <c r="AI324" s="78"/>
      <c r="AJ324" s="64"/>
      <c r="AK324" s="80"/>
      <c r="AL324" s="64"/>
      <c r="AM324" s="80"/>
      <c r="AN324" s="64"/>
      <c r="AO324" s="80"/>
      <c r="AP324" s="64"/>
      <c r="AQ324" s="80"/>
      <c r="AR324" s="64"/>
      <c r="AS324" s="679" t="s">
        <v>294</v>
      </c>
      <c r="AT324" s="350"/>
      <c r="AU324" s="350"/>
      <c r="AV324" s="350"/>
      <c r="AW324" s="350"/>
      <c r="AX324" s="350"/>
      <c r="AY324" s="351"/>
      <c r="AZ324" s="81"/>
      <c r="BA324" s="81"/>
      <c r="BB324" s="677" t="s">
        <v>325</v>
      </c>
      <c r="BC324" s="351"/>
      <c r="BD324" s="681" t="s">
        <v>294</v>
      </c>
      <c r="BE324" s="350"/>
      <c r="BF324" s="351"/>
      <c r="BG324" s="678" t="s">
        <v>294</v>
      </c>
      <c r="BH324" s="350"/>
      <c r="BI324" s="350"/>
      <c r="BJ324" s="351"/>
      <c r="BK324" s="680"/>
      <c r="BL324" s="350"/>
      <c r="BM324" s="351"/>
      <c r="BN324" s="82"/>
      <c r="BO324" s="82"/>
      <c r="BP324" s="678"/>
      <c r="BQ324" s="350"/>
      <c r="BR324" s="351"/>
      <c r="BS324" s="681" t="s">
        <v>294</v>
      </c>
      <c r="BT324" s="350"/>
      <c r="BU324" s="351"/>
    </row>
    <row r="325" spans="1:73" ht="30" customHeight="1">
      <c r="A325" s="76">
        <f t="shared" si="1"/>
        <v>311</v>
      </c>
      <c r="B325" s="686" t="s">
        <v>325</v>
      </c>
      <c r="C325" s="351"/>
      <c r="D325" s="687" t="s">
        <v>294</v>
      </c>
      <c r="E325" s="350"/>
      <c r="F325" s="350"/>
      <c r="G325" s="351"/>
      <c r="H325" s="688" t="s">
        <v>294</v>
      </c>
      <c r="I325" s="350"/>
      <c r="J325" s="350"/>
      <c r="K325" s="351"/>
      <c r="L325" s="538" t="s">
        <v>294</v>
      </c>
      <c r="M325" s="350"/>
      <c r="N325" s="351"/>
      <c r="O325" s="539" t="s">
        <v>294</v>
      </c>
      <c r="P325" s="350"/>
      <c r="Q325" s="351"/>
      <c r="R325" s="574"/>
      <c r="S325" s="350"/>
      <c r="T325" s="351"/>
      <c r="U325" s="567"/>
      <c r="V325" s="350"/>
      <c r="W325" s="351"/>
      <c r="X325" s="77"/>
      <c r="Y325" s="78"/>
      <c r="Z325" s="77"/>
      <c r="AA325" s="78"/>
      <c r="AB325" s="77"/>
      <c r="AC325" s="78"/>
      <c r="AD325" s="77"/>
      <c r="AE325" s="78"/>
      <c r="AF325" s="77"/>
      <c r="AG325" s="78"/>
      <c r="AH325" s="77"/>
      <c r="AI325" s="78"/>
      <c r="AJ325" s="64"/>
      <c r="AK325" s="80"/>
      <c r="AL325" s="64"/>
      <c r="AM325" s="80"/>
      <c r="AN325" s="64"/>
      <c r="AO325" s="80"/>
      <c r="AP325" s="64"/>
      <c r="AQ325" s="80"/>
      <c r="AR325" s="64"/>
      <c r="AS325" s="679" t="s">
        <v>294</v>
      </c>
      <c r="AT325" s="350"/>
      <c r="AU325" s="350"/>
      <c r="AV325" s="350"/>
      <c r="AW325" s="350"/>
      <c r="AX325" s="350"/>
      <c r="AY325" s="351"/>
      <c r="AZ325" s="81"/>
      <c r="BA325" s="81"/>
      <c r="BB325" s="677" t="s">
        <v>325</v>
      </c>
      <c r="BC325" s="351"/>
      <c r="BD325" s="681" t="s">
        <v>294</v>
      </c>
      <c r="BE325" s="350"/>
      <c r="BF325" s="351"/>
      <c r="BG325" s="678" t="s">
        <v>294</v>
      </c>
      <c r="BH325" s="350"/>
      <c r="BI325" s="350"/>
      <c r="BJ325" s="351"/>
      <c r="BK325" s="680"/>
      <c r="BL325" s="350"/>
      <c r="BM325" s="351"/>
      <c r="BN325" s="82"/>
      <c r="BO325" s="82"/>
      <c r="BP325" s="678"/>
      <c r="BQ325" s="350"/>
      <c r="BR325" s="351"/>
      <c r="BS325" s="681" t="s">
        <v>294</v>
      </c>
      <c r="BT325" s="350"/>
      <c r="BU325" s="351"/>
    </row>
    <row r="326" spans="1:73" ht="30" customHeight="1">
      <c r="A326" s="76">
        <f t="shared" si="1"/>
        <v>312</v>
      </c>
      <c r="B326" s="686" t="s">
        <v>325</v>
      </c>
      <c r="C326" s="351"/>
      <c r="D326" s="687" t="s">
        <v>294</v>
      </c>
      <c r="E326" s="350"/>
      <c r="F326" s="350"/>
      <c r="G326" s="351"/>
      <c r="H326" s="688" t="s">
        <v>294</v>
      </c>
      <c r="I326" s="350"/>
      <c r="J326" s="350"/>
      <c r="K326" s="351"/>
      <c r="L326" s="538" t="s">
        <v>294</v>
      </c>
      <c r="M326" s="350"/>
      <c r="N326" s="351"/>
      <c r="O326" s="539" t="s">
        <v>294</v>
      </c>
      <c r="P326" s="350"/>
      <c r="Q326" s="351"/>
      <c r="R326" s="574"/>
      <c r="S326" s="350"/>
      <c r="T326" s="351"/>
      <c r="U326" s="567"/>
      <c r="V326" s="350"/>
      <c r="W326" s="351"/>
      <c r="X326" s="77"/>
      <c r="Y326" s="78"/>
      <c r="Z326" s="77"/>
      <c r="AA326" s="78"/>
      <c r="AB326" s="77"/>
      <c r="AC326" s="78"/>
      <c r="AD326" s="77"/>
      <c r="AE326" s="78"/>
      <c r="AF326" s="77"/>
      <c r="AG326" s="78"/>
      <c r="AH326" s="77"/>
      <c r="AI326" s="78"/>
      <c r="AJ326" s="64"/>
      <c r="AK326" s="80"/>
      <c r="AL326" s="64"/>
      <c r="AM326" s="80"/>
      <c r="AN326" s="64"/>
      <c r="AO326" s="80"/>
      <c r="AP326" s="64"/>
      <c r="AQ326" s="80"/>
      <c r="AR326" s="64"/>
      <c r="AS326" s="679" t="s">
        <v>294</v>
      </c>
      <c r="AT326" s="350"/>
      <c r="AU326" s="350"/>
      <c r="AV326" s="350"/>
      <c r="AW326" s="350"/>
      <c r="AX326" s="350"/>
      <c r="AY326" s="351"/>
      <c r="AZ326" s="81"/>
      <c r="BA326" s="81"/>
      <c r="BB326" s="677" t="s">
        <v>325</v>
      </c>
      <c r="BC326" s="351"/>
      <c r="BD326" s="681" t="s">
        <v>294</v>
      </c>
      <c r="BE326" s="350"/>
      <c r="BF326" s="351"/>
      <c r="BG326" s="678" t="s">
        <v>294</v>
      </c>
      <c r="BH326" s="350"/>
      <c r="BI326" s="350"/>
      <c r="BJ326" s="351"/>
      <c r="BK326" s="680"/>
      <c r="BL326" s="350"/>
      <c r="BM326" s="351"/>
      <c r="BN326" s="82"/>
      <c r="BO326" s="82"/>
      <c r="BP326" s="678"/>
      <c r="BQ326" s="350"/>
      <c r="BR326" s="351"/>
      <c r="BS326" s="681" t="s">
        <v>294</v>
      </c>
      <c r="BT326" s="350"/>
      <c r="BU326" s="351"/>
    </row>
    <row r="327" spans="1:73" ht="30" customHeight="1">
      <c r="A327" s="76">
        <f t="shared" si="1"/>
        <v>313</v>
      </c>
      <c r="B327" s="686" t="s">
        <v>325</v>
      </c>
      <c r="C327" s="351"/>
      <c r="D327" s="687" t="s">
        <v>294</v>
      </c>
      <c r="E327" s="350"/>
      <c r="F327" s="350"/>
      <c r="G327" s="351"/>
      <c r="H327" s="688" t="s">
        <v>294</v>
      </c>
      <c r="I327" s="350"/>
      <c r="J327" s="350"/>
      <c r="K327" s="351"/>
      <c r="L327" s="538" t="s">
        <v>294</v>
      </c>
      <c r="M327" s="350"/>
      <c r="N327" s="351"/>
      <c r="O327" s="539" t="s">
        <v>294</v>
      </c>
      <c r="P327" s="350"/>
      <c r="Q327" s="351"/>
      <c r="R327" s="574"/>
      <c r="S327" s="350"/>
      <c r="T327" s="351"/>
      <c r="U327" s="567"/>
      <c r="V327" s="350"/>
      <c r="W327" s="351"/>
      <c r="X327" s="77"/>
      <c r="Y327" s="78"/>
      <c r="Z327" s="77"/>
      <c r="AA327" s="78"/>
      <c r="AB327" s="77"/>
      <c r="AC327" s="78"/>
      <c r="AD327" s="77"/>
      <c r="AE327" s="78"/>
      <c r="AF327" s="77"/>
      <c r="AG327" s="78"/>
      <c r="AH327" s="77"/>
      <c r="AI327" s="78"/>
      <c r="AJ327" s="64"/>
      <c r="AK327" s="80"/>
      <c r="AL327" s="64"/>
      <c r="AM327" s="80"/>
      <c r="AN327" s="64"/>
      <c r="AO327" s="80"/>
      <c r="AP327" s="64"/>
      <c r="AQ327" s="80"/>
      <c r="AR327" s="64"/>
      <c r="AS327" s="679" t="s">
        <v>294</v>
      </c>
      <c r="AT327" s="350"/>
      <c r="AU327" s="350"/>
      <c r="AV327" s="350"/>
      <c r="AW327" s="350"/>
      <c r="AX327" s="350"/>
      <c r="AY327" s="351"/>
      <c r="AZ327" s="81"/>
      <c r="BA327" s="81"/>
      <c r="BB327" s="677" t="s">
        <v>325</v>
      </c>
      <c r="BC327" s="351"/>
      <c r="BD327" s="681" t="s">
        <v>294</v>
      </c>
      <c r="BE327" s="350"/>
      <c r="BF327" s="351"/>
      <c r="BG327" s="678" t="s">
        <v>294</v>
      </c>
      <c r="BH327" s="350"/>
      <c r="BI327" s="350"/>
      <c r="BJ327" s="351"/>
      <c r="BK327" s="680"/>
      <c r="BL327" s="350"/>
      <c r="BM327" s="351"/>
      <c r="BN327" s="82"/>
      <c r="BO327" s="82"/>
      <c r="BP327" s="678"/>
      <c r="BQ327" s="350"/>
      <c r="BR327" s="351"/>
      <c r="BS327" s="681" t="s">
        <v>294</v>
      </c>
      <c r="BT327" s="350"/>
      <c r="BU327" s="351"/>
    </row>
    <row r="328" spans="1:73" ht="30" customHeight="1">
      <c r="A328" s="76">
        <f t="shared" si="1"/>
        <v>314</v>
      </c>
      <c r="B328" s="686" t="s">
        <v>325</v>
      </c>
      <c r="C328" s="351"/>
      <c r="D328" s="687" t="s">
        <v>294</v>
      </c>
      <c r="E328" s="350"/>
      <c r="F328" s="350"/>
      <c r="G328" s="351"/>
      <c r="H328" s="688" t="s">
        <v>294</v>
      </c>
      <c r="I328" s="350"/>
      <c r="J328" s="350"/>
      <c r="K328" s="351"/>
      <c r="L328" s="538" t="s">
        <v>294</v>
      </c>
      <c r="M328" s="350"/>
      <c r="N328" s="351"/>
      <c r="O328" s="539" t="s">
        <v>294</v>
      </c>
      <c r="P328" s="350"/>
      <c r="Q328" s="351"/>
      <c r="R328" s="574"/>
      <c r="S328" s="350"/>
      <c r="T328" s="351"/>
      <c r="U328" s="567"/>
      <c r="V328" s="350"/>
      <c r="W328" s="351"/>
      <c r="X328" s="77"/>
      <c r="Y328" s="78"/>
      <c r="Z328" s="77"/>
      <c r="AA328" s="78"/>
      <c r="AB328" s="77"/>
      <c r="AC328" s="78"/>
      <c r="AD328" s="77"/>
      <c r="AE328" s="78"/>
      <c r="AF328" s="77"/>
      <c r="AG328" s="78"/>
      <c r="AH328" s="77"/>
      <c r="AI328" s="78"/>
      <c r="AJ328" s="64"/>
      <c r="AK328" s="80"/>
      <c r="AL328" s="64"/>
      <c r="AM328" s="80"/>
      <c r="AN328" s="64"/>
      <c r="AO328" s="80"/>
      <c r="AP328" s="64"/>
      <c r="AQ328" s="80"/>
      <c r="AR328" s="64"/>
      <c r="AS328" s="679" t="s">
        <v>294</v>
      </c>
      <c r="AT328" s="350"/>
      <c r="AU328" s="350"/>
      <c r="AV328" s="350"/>
      <c r="AW328" s="350"/>
      <c r="AX328" s="350"/>
      <c r="AY328" s="351"/>
      <c r="AZ328" s="81"/>
      <c r="BA328" s="81"/>
      <c r="BB328" s="677" t="s">
        <v>325</v>
      </c>
      <c r="BC328" s="351"/>
      <c r="BD328" s="681" t="s">
        <v>294</v>
      </c>
      <c r="BE328" s="350"/>
      <c r="BF328" s="351"/>
      <c r="BG328" s="678" t="s">
        <v>294</v>
      </c>
      <c r="BH328" s="350"/>
      <c r="BI328" s="350"/>
      <c r="BJ328" s="351"/>
      <c r="BK328" s="680"/>
      <c r="BL328" s="350"/>
      <c r="BM328" s="351"/>
      <c r="BN328" s="82"/>
      <c r="BO328" s="82"/>
      <c r="BP328" s="678"/>
      <c r="BQ328" s="350"/>
      <c r="BR328" s="351"/>
      <c r="BS328" s="681" t="s">
        <v>294</v>
      </c>
      <c r="BT328" s="350"/>
      <c r="BU328" s="351"/>
    </row>
    <row r="329" spans="1:73" ht="30" customHeight="1">
      <c r="A329" s="76">
        <f t="shared" si="1"/>
        <v>315</v>
      </c>
      <c r="B329" s="686" t="s">
        <v>325</v>
      </c>
      <c r="C329" s="351"/>
      <c r="D329" s="687" t="s">
        <v>294</v>
      </c>
      <c r="E329" s="350"/>
      <c r="F329" s="350"/>
      <c r="G329" s="351"/>
      <c r="H329" s="688" t="s">
        <v>294</v>
      </c>
      <c r="I329" s="350"/>
      <c r="J329" s="350"/>
      <c r="K329" s="351"/>
      <c r="L329" s="538" t="s">
        <v>294</v>
      </c>
      <c r="M329" s="350"/>
      <c r="N329" s="351"/>
      <c r="O329" s="539" t="s">
        <v>294</v>
      </c>
      <c r="P329" s="350"/>
      <c r="Q329" s="351"/>
      <c r="R329" s="574"/>
      <c r="S329" s="350"/>
      <c r="T329" s="351"/>
      <c r="U329" s="567"/>
      <c r="V329" s="350"/>
      <c r="W329" s="351"/>
      <c r="X329" s="77"/>
      <c r="Y329" s="78"/>
      <c r="Z329" s="77"/>
      <c r="AA329" s="78"/>
      <c r="AB329" s="77"/>
      <c r="AC329" s="78"/>
      <c r="AD329" s="77"/>
      <c r="AE329" s="78"/>
      <c r="AF329" s="77"/>
      <c r="AG329" s="78"/>
      <c r="AH329" s="77"/>
      <c r="AI329" s="78"/>
      <c r="AJ329" s="64"/>
      <c r="AK329" s="80"/>
      <c r="AL329" s="64"/>
      <c r="AM329" s="80"/>
      <c r="AN329" s="64"/>
      <c r="AO329" s="80"/>
      <c r="AP329" s="64"/>
      <c r="AQ329" s="80"/>
      <c r="AR329" s="64"/>
      <c r="AS329" s="679" t="s">
        <v>294</v>
      </c>
      <c r="AT329" s="350"/>
      <c r="AU329" s="350"/>
      <c r="AV329" s="350"/>
      <c r="AW329" s="350"/>
      <c r="AX329" s="350"/>
      <c r="AY329" s="351"/>
      <c r="AZ329" s="81"/>
      <c r="BA329" s="81"/>
      <c r="BB329" s="677" t="s">
        <v>325</v>
      </c>
      <c r="BC329" s="351"/>
      <c r="BD329" s="681" t="s">
        <v>294</v>
      </c>
      <c r="BE329" s="350"/>
      <c r="BF329" s="351"/>
      <c r="BG329" s="678" t="s">
        <v>294</v>
      </c>
      <c r="BH329" s="350"/>
      <c r="BI329" s="350"/>
      <c r="BJ329" s="351"/>
      <c r="BK329" s="680"/>
      <c r="BL329" s="350"/>
      <c r="BM329" s="351"/>
      <c r="BN329" s="82"/>
      <c r="BO329" s="82"/>
      <c r="BP329" s="678"/>
      <c r="BQ329" s="350"/>
      <c r="BR329" s="351"/>
      <c r="BS329" s="681" t="s">
        <v>294</v>
      </c>
      <c r="BT329" s="350"/>
      <c r="BU329" s="351"/>
    </row>
    <row r="330" spans="1:73" ht="30" customHeight="1">
      <c r="A330" s="76">
        <f t="shared" si="1"/>
        <v>316</v>
      </c>
      <c r="B330" s="686" t="s">
        <v>325</v>
      </c>
      <c r="C330" s="351"/>
      <c r="D330" s="687" t="s">
        <v>294</v>
      </c>
      <c r="E330" s="350"/>
      <c r="F330" s="350"/>
      <c r="G330" s="351"/>
      <c r="H330" s="688" t="s">
        <v>294</v>
      </c>
      <c r="I330" s="350"/>
      <c r="J330" s="350"/>
      <c r="K330" s="351"/>
      <c r="L330" s="538" t="s">
        <v>294</v>
      </c>
      <c r="M330" s="350"/>
      <c r="N330" s="351"/>
      <c r="O330" s="539" t="s">
        <v>294</v>
      </c>
      <c r="P330" s="350"/>
      <c r="Q330" s="351"/>
      <c r="R330" s="574"/>
      <c r="S330" s="350"/>
      <c r="T330" s="351"/>
      <c r="U330" s="567"/>
      <c r="V330" s="350"/>
      <c r="W330" s="351"/>
      <c r="X330" s="77"/>
      <c r="Y330" s="78"/>
      <c r="Z330" s="77"/>
      <c r="AA330" s="78"/>
      <c r="AB330" s="77"/>
      <c r="AC330" s="78"/>
      <c r="AD330" s="77"/>
      <c r="AE330" s="78"/>
      <c r="AF330" s="77"/>
      <c r="AG330" s="78"/>
      <c r="AH330" s="77"/>
      <c r="AI330" s="78"/>
      <c r="AJ330" s="64"/>
      <c r="AK330" s="80"/>
      <c r="AL330" s="64"/>
      <c r="AM330" s="80"/>
      <c r="AN330" s="64"/>
      <c r="AO330" s="80"/>
      <c r="AP330" s="64"/>
      <c r="AQ330" s="80"/>
      <c r="AR330" s="64"/>
      <c r="AS330" s="679" t="s">
        <v>294</v>
      </c>
      <c r="AT330" s="350"/>
      <c r="AU330" s="350"/>
      <c r="AV330" s="350"/>
      <c r="AW330" s="350"/>
      <c r="AX330" s="350"/>
      <c r="AY330" s="351"/>
      <c r="AZ330" s="81"/>
      <c r="BA330" s="81"/>
      <c r="BB330" s="685" t="s">
        <v>325</v>
      </c>
      <c r="BC330" s="351"/>
      <c r="BD330" s="681" t="s">
        <v>294</v>
      </c>
      <c r="BE330" s="350"/>
      <c r="BF330" s="351"/>
      <c r="BG330" s="678" t="s">
        <v>294</v>
      </c>
      <c r="BH330" s="350"/>
      <c r="BI330" s="350"/>
      <c r="BJ330" s="351"/>
      <c r="BK330" s="680"/>
      <c r="BL330" s="350"/>
      <c r="BM330" s="351"/>
      <c r="BN330" s="82"/>
      <c r="BO330" s="82"/>
      <c r="BP330" s="678"/>
      <c r="BQ330" s="350"/>
      <c r="BR330" s="351"/>
      <c r="BS330" s="681" t="s">
        <v>294</v>
      </c>
      <c r="BT330" s="350"/>
      <c r="BU330" s="351"/>
    </row>
    <row r="331" spans="1:73" ht="30" customHeight="1">
      <c r="A331" s="76">
        <f t="shared" si="1"/>
        <v>317</v>
      </c>
      <c r="B331" s="686" t="s">
        <v>325</v>
      </c>
      <c r="C331" s="351"/>
      <c r="D331" s="687" t="s">
        <v>294</v>
      </c>
      <c r="E331" s="350"/>
      <c r="F331" s="350"/>
      <c r="G331" s="351"/>
      <c r="H331" s="688" t="s">
        <v>294</v>
      </c>
      <c r="I331" s="350"/>
      <c r="J331" s="350"/>
      <c r="K331" s="351"/>
      <c r="L331" s="538" t="s">
        <v>294</v>
      </c>
      <c r="M331" s="350"/>
      <c r="N331" s="351"/>
      <c r="O331" s="539" t="s">
        <v>294</v>
      </c>
      <c r="P331" s="350"/>
      <c r="Q331" s="351"/>
      <c r="R331" s="574"/>
      <c r="S331" s="350"/>
      <c r="T331" s="351"/>
      <c r="U331" s="567"/>
      <c r="V331" s="350"/>
      <c r="W331" s="351"/>
      <c r="X331" s="77"/>
      <c r="Y331" s="78"/>
      <c r="Z331" s="77"/>
      <c r="AA331" s="78"/>
      <c r="AB331" s="77"/>
      <c r="AC331" s="78"/>
      <c r="AD331" s="77"/>
      <c r="AE331" s="78"/>
      <c r="AF331" s="77"/>
      <c r="AG331" s="78"/>
      <c r="AH331" s="77"/>
      <c r="AI331" s="78"/>
      <c r="AJ331" s="64"/>
      <c r="AK331" s="80"/>
      <c r="AL331" s="64"/>
      <c r="AM331" s="80"/>
      <c r="AN331" s="64"/>
      <c r="AO331" s="80"/>
      <c r="AP331" s="64"/>
      <c r="AQ331" s="80"/>
      <c r="AR331" s="64"/>
      <c r="AS331" s="679" t="s">
        <v>294</v>
      </c>
      <c r="AT331" s="350"/>
      <c r="AU331" s="350"/>
      <c r="AV331" s="350"/>
      <c r="AW331" s="350"/>
      <c r="AX331" s="350"/>
      <c r="AY331" s="351"/>
      <c r="AZ331" s="81"/>
      <c r="BA331" s="81"/>
      <c r="BB331" s="677" t="s">
        <v>325</v>
      </c>
      <c r="BC331" s="351"/>
      <c r="BD331" s="681" t="s">
        <v>294</v>
      </c>
      <c r="BE331" s="350"/>
      <c r="BF331" s="351"/>
      <c r="BG331" s="678" t="s">
        <v>294</v>
      </c>
      <c r="BH331" s="350"/>
      <c r="BI331" s="350"/>
      <c r="BJ331" s="351"/>
      <c r="BK331" s="680"/>
      <c r="BL331" s="350"/>
      <c r="BM331" s="351"/>
      <c r="BN331" s="82"/>
      <c r="BO331" s="82"/>
      <c r="BP331" s="678"/>
      <c r="BQ331" s="350"/>
      <c r="BR331" s="351"/>
      <c r="BS331" s="681" t="s">
        <v>294</v>
      </c>
      <c r="BT331" s="350"/>
      <c r="BU331" s="351"/>
    </row>
    <row r="332" spans="1:73" ht="30" customHeight="1">
      <c r="A332" s="76">
        <f t="shared" si="1"/>
        <v>318</v>
      </c>
      <c r="B332" s="686" t="s">
        <v>325</v>
      </c>
      <c r="C332" s="351"/>
      <c r="D332" s="687" t="s">
        <v>294</v>
      </c>
      <c r="E332" s="350"/>
      <c r="F332" s="350"/>
      <c r="G332" s="351"/>
      <c r="H332" s="688" t="s">
        <v>294</v>
      </c>
      <c r="I332" s="350"/>
      <c r="J332" s="350"/>
      <c r="K332" s="351"/>
      <c r="L332" s="538" t="s">
        <v>294</v>
      </c>
      <c r="M332" s="350"/>
      <c r="N332" s="351"/>
      <c r="O332" s="539" t="s">
        <v>294</v>
      </c>
      <c r="P332" s="350"/>
      <c r="Q332" s="351"/>
      <c r="R332" s="574"/>
      <c r="S332" s="350"/>
      <c r="T332" s="351"/>
      <c r="U332" s="567"/>
      <c r="V332" s="350"/>
      <c r="W332" s="351"/>
      <c r="X332" s="77"/>
      <c r="Y332" s="78"/>
      <c r="Z332" s="77"/>
      <c r="AA332" s="78"/>
      <c r="AB332" s="77"/>
      <c r="AC332" s="78"/>
      <c r="AD332" s="77"/>
      <c r="AE332" s="78"/>
      <c r="AF332" s="77"/>
      <c r="AG332" s="78"/>
      <c r="AH332" s="77"/>
      <c r="AI332" s="78"/>
      <c r="AJ332" s="64"/>
      <c r="AK332" s="80"/>
      <c r="AL332" s="64"/>
      <c r="AM332" s="80"/>
      <c r="AN332" s="64"/>
      <c r="AO332" s="80"/>
      <c r="AP332" s="64"/>
      <c r="AQ332" s="80"/>
      <c r="AR332" s="64"/>
      <c r="AS332" s="679" t="s">
        <v>294</v>
      </c>
      <c r="AT332" s="350"/>
      <c r="AU332" s="350"/>
      <c r="AV332" s="350"/>
      <c r="AW332" s="350"/>
      <c r="AX332" s="350"/>
      <c r="AY332" s="351"/>
      <c r="AZ332" s="81"/>
      <c r="BA332" s="81"/>
      <c r="BB332" s="677" t="s">
        <v>325</v>
      </c>
      <c r="BC332" s="351"/>
      <c r="BD332" s="681" t="s">
        <v>294</v>
      </c>
      <c r="BE332" s="350"/>
      <c r="BF332" s="351"/>
      <c r="BG332" s="678" t="s">
        <v>294</v>
      </c>
      <c r="BH332" s="350"/>
      <c r="BI332" s="350"/>
      <c r="BJ332" s="351"/>
      <c r="BK332" s="680"/>
      <c r="BL332" s="350"/>
      <c r="BM332" s="351"/>
      <c r="BN332" s="82"/>
      <c r="BO332" s="82"/>
      <c r="BP332" s="678"/>
      <c r="BQ332" s="350"/>
      <c r="BR332" s="351"/>
      <c r="BS332" s="681" t="s">
        <v>294</v>
      </c>
      <c r="BT332" s="350"/>
      <c r="BU332" s="351"/>
    </row>
    <row r="333" spans="1:73" ht="30" customHeight="1">
      <c r="A333" s="76">
        <f t="shared" si="1"/>
        <v>319</v>
      </c>
      <c r="B333" s="686" t="s">
        <v>325</v>
      </c>
      <c r="C333" s="351"/>
      <c r="D333" s="687" t="s">
        <v>294</v>
      </c>
      <c r="E333" s="350"/>
      <c r="F333" s="350"/>
      <c r="G333" s="351"/>
      <c r="H333" s="688" t="s">
        <v>294</v>
      </c>
      <c r="I333" s="350"/>
      <c r="J333" s="350"/>
      <c r="K333" s="351"/>
      <c r="L333" s="538" t="s">
        <v>294</v>
      </c>
      <c r="M333" s="350"/>
      <c r="N333" s="351"/>
      <c r="O333" s="539" t="s">
        <v>294</v>
      </c>
      <c r="P333" s="350"/>
      <c r="Q333" s="351"/>
      <c r="R333" s="574"/>
      <c r="S333" s="350"/>
      <c r="T333" s="351"/>
      <c r="U333" s="567"/>
      <c r="V333" s="350"/>
      <c r="W333" s="351"/>
      <c r="X333" s="77"/>
      <c r="Y333" s="78"/>
      <c r="Z333" s="77"/>
      <c r="AA333" s="78"/>
      <c r="AB333" s="77"/>
      <c r="AC333" s="78"/>
      <c r="AD333" s="77"/>
      <c r="AE333" s="78"/>
      <c r="AF333" s="77"/>
      <c r="AG333" s="78"/>
      <c r="AH333" s="77"/>
      <c r="AI333" s="78"/>
      <c r="AJ333" s="64"/>
      <c r="AK333" s="80"/>
      <c r="AL333" s="64"/>
      <c r="AM333" s="80"/>
      <c r="AN333" s="64"/>
      <c r="AO333" s="80"/>
      <c r="AP333" s="64"/>
      <c r="AQ333" s="80"/>
      <c r="AR333" s="64"/>
      <c r="AS333" s="679" t="s">
        <v>294</v>
      </c>
      <c r="AT333" s="350"/>
      <c r="AU333" s="350"/>
      <c r="AV333" s="350"/>
      <c r="AW333" s="350"/>
      <c r="AX333" s="350"/>
      <c r="AY333" s="351"/>
      <c r="AZ333" s="81"/>
      <c r="BA333" s="81"/>
      <c r="BB333" s="677" t="s">
        <v>325</v>
      </c>
      <c r="BC333" s="351"/>
      <c r="BD333" s="681" t="s">
        <v>294</v>
      </c>
      <c r="BE333" s="350"/>
      <c r="BF333" s="351"/>
      <c r="BG333" s="678" t="s">
        <v>294</v>
      </c>
      <c r="BH333" s="350"/>
      <c r="BI333" s="350"/>
      <c r="BJ333" s="351"/>
      <c r="BK333" s="680"/>
      <c r="BL333" s="350"/>
      <c r="BM333" s="351"/>
      <c r="BN333" s="82"/>
      <c r="BO333" s="82"/>
      <c r="BP333" s="678"/>
      <c r="BQ333" s="350"/>
      <c r="BR333" s="351"/>
      <c r="BS333" s="681" t="s">
        <v>294</v>
      </c>
      <c r="BT333" s="350"/>
      <c r="BU333" s="351"/>
    </row>
    <row r="334" spans="1:73" ht="30" customHeight="1">
      <c r="A334" s="76">
        <f t="shared" si="1"/>
        <v>320</v>
      </c>
      <c r="B334" s="686" t="s">
        <v>325</v>
      </c>
      <c r="C334" s="351"/>
      <c r="D334" s="687" t="s">
        <v>294</v>
      </c>
      <c r="E334" s="350"/>
      <c r="F334" s="350"/>
      <c r="G334" s="351"/>
      <c r="H334" s="688" t="s">
        <v>294</v>
      </c>
      <c r="I334" s="350"/>
      <c r="J334" s="350"/>
      <c r="K334" s="351"/>
      <c r="L334" s="538" t="s">
        <v>294</v>
      </c>
      <c r="M334" s="350"/>
      <c r="N334" s="351"/>
      <c r="O334" s="539" t="s">
        <v>294</v>
      </c>
      <c r="P334" s="350"/>
      <c r="Q334" s="351"/>
      <c r="R334" s="574"/>
      <c r="S334" s="350"/>
      <c r="T334" s="351"/>
      <c r="U334" s="567"/>
      <c r="V334" s="350"/>
      <c r="W334" s="351"/>
      <c r="X334" s="77"/>
      <c r="Y334" s="78"/>
      <c r="Z334" s="77"/>
      <c r="AA334" s="78"/>
      <c r="AB334" s="77"/>
      <c r="AC334" s="78"/>
      <c r="AD334" s="77"/>
      <c r="AE334" s="78"/>
      <c r="AF334" s="77"/>
      <c r="AG334" s="78"/>
      <c r="AH334" s="77"/>
      <c r="AI334" s="78"/>
      <c r="AJ334" s="64"/>
      <c r="AK334" s="80"/>
      <c r="AL334" s="64"/>
      <c r="AM334" s="80"/>
      <c r="AN334" s="64"/>
      <c r="AO334" s="80"/>
      <c r="AP334" s="64"/>
      <c r="AQ334" s="80"/>
      <c r="AR334" s="64"/>
      <c r="AS334" s="679" t="s">
        <v>294</v>
      </c>
      <c r="AT334" s="350"/>
      <c r="AU334" s="350"/>
      <c r="AV334" s="350"/>
      <c r="AW334" s="350"/>
      <c r="AX334" s="350"/>
      <c r="AY334" s="351"/>
      <c r="AZ334" s="81"/>
      <c r="BA334" s="81"/>
      <c r="BB334" s="677" t="s">
        <v>325</v>
      </c>
      <c r="BC334" s="351"/>
      <c r="BD334" s="681" t="s">
        <v>294</v>
      </c>
      <c r="BE334" s="350"/>
      <c r="BF334" s="351"/>
      <c r="BG334" s="678" t="s">
        <v>294</v>
      </c>
      <c r="BH334" s="350"/>
      <c r="BI334" s="350"/>
      <c r="BJ334" s="351"/>
      <c r="BK334" s="680"/>
      <c r="BL334" s="350"/>
      <c r="BM334" s="351"/>
      <c r="BN334" s="82"/>
      <c r="BO334" s="82"/>
      <c r="BP334" s="678"/>
      <c r="BQ334" s="350"/>
      <c r="BR334" s="351"/>
      <c r="BS334" s="681" t="s">
        <v>294</v>
      </c>
      <c r="BT334" s="350"/>
      <c r="BU334" s="351"/>
    </row>
    <row r="335" spans="1:73" ht="30" customHeight="1">
      <c r="A335" s="76">
        <f t="shared" si="1"/>
        <v>321</v>
      </c>
      <c r="B335" s="686" t="s">
        <v>325</v>
      </c>
      <c r="C335" s="351"/>
      <c r="D335" s="687" t="s">
        <v>294</v>
      </c>
      <c r="E335" s="350"/>
      <c r="F335" s="350"/>
      <c r="G335" s="351"/>
      <c r="H335" s="688" t="s">
        <v>294</v>
      </c>
      <c r="I335" s="350"/>
      <c r="J335" s="350"/>
      <c r="K335" s="351"/>
      <c r="L335" s="538" t="s">
        <v>294</v>
      </c>
      <c r="M335" s="350"/>
      <c r="N335" s="351"/>
      <c r="O335" s="539" t="s">
        <v>294</v>
      </c>
      <c r="P335" s="350"/>
      <c r="Q335" s="351"/>
      <c r="R335" s="574"/>
      <c r="S335" s="350"/>
      <c r="T335" s="351"/>
      <c r="U335" s="567"/>
      <c r="V335" s="350"/>
      <c r="W335" s="351"/>
      <c r="X335" s="77"/>
      <c r="Y335" s="78"/>
      <c r="Z335" s="77"/>
      <c r="AA335" s="78"/>
      <c r="AB335" s="77"/>
      <c r="AC335" s="78"/>
      <c r="AD335" s="77"/>
      <c r="AE335" s="78"/>
      <c r="AF335" s="77"/>
      <c r="AG335" s="78"/>
      <c r="AH335" s="77"/>
      <c r="AI335" s="78"/>
      <c r="AJ335" s="64"/>
      <c r="AK335" s="80"/>
      <c r="AL335" s="64"/>
      <c r="AM335" s="80"/>
      <c r="AN335" s="64"/>
      <c r="AO335" s="80"/>
      <c r="AP335" s="64"/>
      <c r="AQ335" s="80"/>
      <c r="AR335" s="64"/>
      <c r="AS335" s="679" t="s">
        <v>294</v>
      </c>
      <c r="AT335" s="350"/>
      <c r="AU335" s="350"/>
      <c r="AV335" s="350"/>
      <c r="AW335" s="350"/>
      <c r="AX335" s="350"/>
      <c r="AY335" s="351"/>
      <c r="AZ335" s="81"/>
      <c r="BA335" s="81"/>
      <c r="BB335" s="677" t="s">
        <v>325</v>
      </c>
      <c r="BC335" s="351"/>
      <c r="BD335" s="681" t="s">
        <v>294</v>
      </c>
      <c r="BE335" s="350"/>
      <c r="BF335" s="351"/>
      <c r="BG335" s="678" t="s">
        <v>294</v>
      </c>
      <c r="BH335" s="350"/>
      <c r="BI335" s="350"/>
      <c r="BJ335" s="351"/>
      <c r="BK335" s="680"/>
      <c r="BL335" s="350"/>
      <c r="BM335" s="351"/>
      <c r="BN335" s="82"/>
      <c r="BO335" s="82"/>
      <c r="BP335" s="678"/>
      <c r="BQ335" s="350"/>
      <c r="BR335" s="351"/>
      <c r="BS335" s="681" t="s">
        <v>294</v>
      </c>
      <c r="BT335" s="350"/>
      <c r="BU335" s="351"/>
    </row>
    <row r="336" spans="1:73" ht="30" customHeight="1">
      <c r="A336" s="76">
        <f t="shared" si="1"/>
        <v>322</v>
      </c>
      <c r="B336" s="686" t="s">
        <v>325</v>
      </c>
      <c r="C336" s="351"/>
      <c r="D336" s="687" t="s">
        <v>294</v>
      </c>
      <c r="E336" s="350"/>
      <c r="F336" s="350"/>
      <c r="G336" s="351"/>
      <c r="H336" s="688" t="s">
        <v>294</v>
      </c>
      <c r="I336" s="350"/>
      <c r="J336" s="350"/>
      <c r="K336" s="351"/>
      <c r="L336" s="538" t="s">
        <v>294</v>
      </c>
      <c r="M336" s="350"/>
      <c r="N336" s="351"/>
      <c r="O336" s="539" t="s">
        <v>294</v>
      </c>
      <c r="P336" s="350"/>
      <c r="Q336" s="351"/>
      <c r="R336" s="574"/>
      <c r="S336" s="350"/>
      <c r="T336" s="351"/>
      <c r="U336" s="567"/>
      <c r="V336" s="350"/>
      <c r="W336" s="351"/>
      <c r="X336" s="77"/>
      <c r="Y336" s="78"/>
      <c r="Z336" s="77"/>
      <c r="AA336" s="78"/>
      <c r="AB336" s="77"/>
      <c r="AC336" s="78"/>
      <c r="AD336" s="77"/>
      <c r="AE336" s="78"/>
      <c r="AF336" s="77"/>
      <c r="AG336" s="78"/>
      <c r="AH336" s="77"/>
      <c r="AI336" s="78"/>
      <c r="AJ336" s="64"/>
      <c r="AK336" s="80"/>
      <c r="AL336" s="64"/>
      <c r="AM336" s="80"/>
      <c r="AN336" s="64"/>
      <c r="AO336" s="80"/>
      <c r="AP336" s="64"/>
      <c r="AQ336" s="80"/>
      <c r="AR336" s="64"/>
      <c r="AS336" s="679" t="s">
        <v>294</v>
      </c>
      <c r="AT336" s="350"/>
      <c r="AU336" s="350"/>
      <c r="AV336" s="350"/>
      <c r="AW336" s="350"/>
      <c r="AX336" s="350"/>
      <c r="AY336" s="351"/>
      <c r="AZ336" s="81"/>
      <c r="BA336" s="81"/>
      <c r="BB336" s="677" t="s">
        <v>325</v>
      </c>
      <c r="BC336" s="351"/>
      <c r="BD336" s="681" t="s">
        <v>294</v>
      </c>
      <c r="BE336" s="350"/>
      <c r="BF336" s="351"/>
      <c r="BG336" s="678" t="s">
        <v>294</v>
      </c>
      <c r="BH336" s="350"/>
      <c r="BI336" s="350"/>
      <c r="BJ336" s="351"/>
      <c r="BK336" s="680"/>
      <c r="BL336" s="350"/>
      <c r="BM336" s="351"/>
      <c r="BN336" s="82"/>
      <c r="BO336" s="82"/>
      <c r="BP336" s="678"/>
      <c r="BQ336" s="350"/>
      <c r="BR336" s="351"/>
      <c r="BS336" s="681" t="s">
        <v>294</v>
      </c>
      <c r="BT336" s="350"/>
      <c r="BU336" s="351"/>
    </row>
    <row r="337" spans="1:73" ht="30" customHeight="1">
      <c r="A337" s="76">
        <f t="shared" si="1"/>
        <v>323</v>
      </c>
      <c r="B337" s="686" t="s">
        <v>325</v>
      </c>
      <c r="C337" s="351"/>
      <c r="D337" s="687" t="s">
        <v>294</v>
      </c>
      <c r="E337" s="350"/>
      <c r="F337" s="350"/>
      <c r="G337" s="351"/>
      <c r="H337" s="688" t="s">
        <v>294</v>
      </c>
      <c r="I337" s="350"/>
      <c r="J337" s="350"/>
      <c r="K337" s="351"/>
      <c r="L337" s="538" t="s">
        <v>294</v>
      </c>
      <c r="M337" s="350"/>
      <c r="N337" s="351"/>
      <c r="O337" s="539" t="s">
        <v>294</v>
      </c>
      <c r="P337" s="350"/>
      <c r="Q337" s="351"/>
      <c r="R337" s="574"/>
      <c r="S337" s="350"/>
      <c r="T337" s="351"/>
      <c r="U337" s="567"/>
      <c r="V337" s="350"/>
      <c r="W337" s="351"/>
      <c r="X337" s="77"/>
      <c r="Y337" s="78"/>
      <c r="Z337" s="77"/>
      <c r="AA337" s="78"/>
      <c r="AB337" s="77"/>
      <c r="AC337" s="78"/>
      <c r="AD337" s="77"/>
      <c r="AE337" s="78"/>
      <c r="AF337" s="77"/>
      <c r="AG337" s="78"/>
      <c r="AH337" s="77"/>
      <c r="AI337" s="78"/>
      <c r="AJ337" s="64"/>
      <c r="AK337" s="80"/>
      <c r="AL337" s="64"/>
      <c r="AM337" s="80"/>
      <c r="AN337" s="64"/>
      <c r="AO337" s="80"/>
      <c r="AP337" s="64"/>
      <c r="AQ337" s="80"/>
      <c r="AR337" s="64"/>
      <c r="AS337" s="679" t="s">
        <v>294</v>
      </c>
      <c r="AT337" s="350"/>
      <c r="AU337" s="350"/>
      <c r="AV337" s="350"/>
      <c r="AW337" s="350"/>
      <c r="AX337" s="350"/>
      <c r="AY337" s="351"/>
      <c r="AZ337" s="81"/>
      <c r="BA337" s="81"/>
      <c r="BB337" s="685" t="s">
        <v>325</v>
      </c>
      <c r="BC337" s="351"/>
      <c r="BD337" s="681" t="s">
        <v>294</v>
      </c>
      <c r="BE337" s="350"/>
      <c r="BF337" s="351"/>
      <c r="BG337" s="678" t="s">
        <v>294</v>
      </c>
      <c r="BH337" s="350"/>
      <c r="BI337" s="350"/>
      <c r="BJ337" s="351"/>
      <c r="BK337" s="680"/>
      <c r="BL337" s="350"/>
      <c r="BM337" s="351"/>
      <c r="BN337" s="82"/>
      <c r="BO337" s="82"/>
      <c r="BP337" s="678"/>
      <c r="BQ337" s="350"/>
      <c r="BR337" s="351"/>
      <c r="BS337" s="681" t="s">
        <v>294</v>
      </c>
      <c r="BT337" s="350"/>
      <c r="BU337" s="351"/>
    </row>
    <row r="338" spans="1:73" ht="30" customHeight="1">
      <c r="A338" s="76">
        <f t="shared" si="1"/>
        <v>324</v>
      </c>
      <c r="B338" s="686" t="s">
        <v>325</v>
      </c>
      <c r="C338" s="351"/>
      <c r="D338" s="687" t="s">
        <v>294</v>
      </c>
      <c r="E338" s="350"/>
      <c r="F338" s="350"/>
      <c r="G338" s="351"/>
      <c r="H338" s="688" t="s">
        <v>294</v>
      </c>
      <c r="I338" s="350"/>
      <c r="J338" s="350"/>
      <c r="K338" s="351"/>
      <c r="L338" s="538" t="s">
        <v>294</v>
      </c>
      <c r="M338" s="350"/>
      <c r="N338" s="351"/>
      <c r="O338" s="539" t="s">
        <v>294</v>
      </c>
      <c r="P338" s="350"/>
      <c r="Q338" s="351"/>
      <c r="R338" s="574"/>
      <c r="S338" s="350"/>
      <c r="T338" s="351"/>
      <c r="U338" s="567"/>
      <c r="V338" s="350"/>
      <c r="W338" s="351"/>
      <c r="X338" s="77"/>
      <c r="Y338" s="78"/>
      <c r="Z338" s="77"/>
      <c r="AA338" s="78"/>
      <c r="AB338" s="77"/>
      <c r="AC338" s="78"/>
      <c r="AD338" s="77"/>
      <c r="AE338" s="78"/>
      <c r="AF338" s="77"/>
      <c r="AG338" s="78"/>
      <c r="AH338" s="77"/>
      <c r="AI338" s="78"/>
      <c r="AJ338" s="64"/>
      <c r="AK338" s="80"/>
      <c r="AL338" s="64"/>
      <c r="AM338" s="80"/>
      <c r="AN338" s="64"/>
      <c r="AO338" s="80"/>
      <c r="AP338" s="64"/>
      <c r="AQ338" s="80"/>
      <c r="AR338" s="64"/>
      <c r="AS338" s="679" t="s">
        <v>294</v>
      </c>
      <c r="AT338" s="350"/>
      <c r="AU338" s="350"/>
      <c r="AV338" s="350"/>
      <c r="AW338" s="350"/>
      <c r="AX338" s="350"/>
      <c r="AY338" s="351"/>
      <c r="AZ338" s="81"/>
      <c r="BA338" s="81"/>
      <c r="BB338" s="677" t="s">
        <v>325</v>
      </c>
      <c r="BC338" s="351"/>
      <c r="BD338" s="681" t="s">
        <v>294</v>
      </c>
      <c r="BE338" s="350"/>
      <c r="BF338" s="351"/>
      <c r="BG338" s="678" t="s">
        <v>294</v>
      </c>
      <c r="BH338" s="350"/>
      <c r="BI338" s="350"/>
      <c r="BJ338" s="351"/>
      <c r="BK338" s="680"/>
      <c r="BL338" s="350"/>
      <c r="BM338" s="351"/>
      <c r="BN338" s="82"/>
      <c r="BO338" s="82"/>
      <c r="BP338" s="678"/>
      <c r="BQ338" s="350"/>
      <c r="BR338" s="351"/>
      <c r="BS338" s="681" t="s">
        <v>294</v>
      </c>
      <c r="BT338" s="350"/>
      <c r="BU338" s="351"/>
    </row>
    <row r="339" spans="1:73" ht="30" customHeight="1">
      <c r="A339" s="76">
        <f t="shared" si="1"/>
        <v>325</v>
      </c>
      <c r="B339" s="686" t="s">
        <v>325</v>
      </c>
      <c r="C339" s="351"/>
      <c r="D339" s="687" t="s">
        <v>294</v>
      </c>
      <c r="E339" s="350"/>
      <c r="F339" s="350"/>
      <c r="G339" s="351"/>
      <c r="H339" s="688" t="s">
        <v>294</v>
      </c>
      <c r="I339" s="350"/>
      <c r="J339" s="350"/>
      <c r="K339" s="351"/>
      <c r="L339" s="538" t="s">
        <v>294</v>
      </c>
      <c r="M339" s="350"/>
      <c r="N339" s="351"/>
      <c r="O339" s="539" t="s">
        <v>294</v>
      </c>
      <c r="P339" s="350"/>
      <c r="Q339" s="351"/>
      <c r="R339" s="574"/>
      <c r="S339" s="350"/>
      <c r="T339" s="351"/>
      <c r="U339" s="567"/>
      <c r="V339" s="350"/>
      <c r="W339" s="351"/>
      <c r="X339" s="77"/>
      <c r="Y339" s="78"/>
      <c r="Z339" s="77"/>
      <c r="AA339" s="78"/>
      <c r="AB339" s="77"/>
      <c r="AC339" s="78"/>
      <c r="AD339" s="77"/>
      <c r="AE339" s="78"/>
      <c r="AF339" s="77"/>
      <c r="AG339" s="78"/>
      <c r="AH339" s="77"/>
      <c r="AI339" s="78"/>
      <c r="AJ339" s="64"/>
      <c r="AK339" s="80"/>
      <c r="AL339" s="64"/>
      <c r="AM339" s="80"/>
      <c r="AN339" s="64"/>
      <c r="AO339" s="80"/>
      <c r="AP339" s="64"/>
      <c r="AQ339" s="80"/>
      <c r="AR339" s="64"/>
      <c r="AS339" s="679" t="s">
        <v>294</v>
      </c>
      <c r="AT339" s="350"/>
      <c r="AU339" s="350"/>
      <c r="AV339" s="350"/>
      <c r="AW339" s="350"/>
      <c r="AX339" s="350"/>
      <c r="AY339" s="351"/>
      <c r="AZ339" s="81"/>
      <c r="BA339" s="81"/>
      <c r="BB339" s="677" t="s">
        <v>325</v>
      </c>
      <c r="BC339" s="351"/>
      <c r="BD339" s="681" t="s">
        <v>294</v>
      </c>
      <c r="BE339" s="350"/>
      <c r="BF339" s="351"/>
      <c r="BG339" s="678" t="s">
        <v>294</v>
      </c>
      <c r="BH339" s="350"/>
      <c r="BI339" s="350"/>
      <c r="BJ339" s="351"/>
      <c r="BK339" s="680"/>
      <c r="BL339" s="350"/>
      <c r="BM339" s="351"/>
      <c r="BN339" s="82"/>
      <c r="BO339" s="82"/>
      <c r="BP339" s="678"/>
      <c r="BQ339" s="350"/>
      <c r="BR339" s="351"/>
      <c r="BS339" s="681" t="s">
        <v>294</v>
      </c>
      <c r="BT339" s="350"/>
      <c r="BU339" s="351"/>
    </row>
    <row r="340" spans="1:73" ht="30" customHeight="1">
      <c r="A340" s="76">
        <f t="shared" si="1"/>
        <v>326</v>
      </c>
      <c r="B340" s="686" t="s">
        <v>325</v>
      </c>
      <c r="C340" s="351"/>
      <c r="D340" s="687" t="s">
        <v>294</v>
      </c>
      <c r="E340" s="350"/>
      <c r="F340" s="350"/>
      <c r="G340" s="351"/>
      <c r="H340" s="688" t="s">
        <v>294</v>
      </c>
      <c r="I340" s="350"/>
      <c r="J340" s="350"/>
      <c r="K340" s="351"/>
      <c r="L340" s="538" t="s">
        <v>294</v>
      </c>
      <c r="M340" s="350"/>
      <c r="N340" s="351"/>
      <c r="O340" s="539" t="s">
        <v>294</v>
      </c>
      <c r="P340" s="350"/>
      <c r="Q340" s="351"/>
      <c r="R340" s="574"/>
      <c r="S340" s="350"/>
      <c r="T340" s="351"/>
      <c r="U340" s="567"/>
      <c r="V340" s="350"/>
      <c r="W340" s="351"/>
      <c r="X340" s="77"/>
      <c r="Y340" s="78"/>
      <c r="Z340" s="77"/>
      <c r="AA340" s="78"/>
      <c r="AB340" s="77"/>
      <c r="AC340" s="78"/>
      <c r="AD340" s="77"/>
      <c r="AE340" s="78"/>
      <c r="AF340" s="77"/>
      <c r="AG340" s="78"/>
      <c r="AH340" s="77"/>
      <c r="AI340" s="78"/>
      <c r="AJ340" s="64"/>
      <c r="AK340" s="80"/>
      <c r="AL340" s="64"/>
      <c r="AM340" s="80"/>
      <c r="AN340" s="64"/>
      <c r="AO340" s="80"/>
      <c r="AP340" s="64"/>
      <c r="AQ340" s="80"/>
      <c r="AR340" s="64"/>
      <c r="AS340" s="679" t="s">
        <v>294</v>
      </c>
      <c r="AT340" s="350"/>
      <c r="AU340" s="350"/>
      <c r="AV340" s="350"/>
      <c r="AW340" s="350"/>
      <c r="AX340" s="350"/>
      <c r="AY340" s="351"/>
      <c r="AZ340" s="81"/>
      <c r="BA340" s="81"/>
      <c r="BB340" s="677" t="s">
        <v>325</v>
      </c>
      <c r="BC340" s="351"/>
      <c r="BD340" s="681" t="s">
        <v>294</v>
      </c>
      <c r="BE340" s="350"/>
      <c r="BF340" s="351"/>
      <c r="BG340" s="678" t="s">
        <v>294</v>
      </c>
      <c r="BH340" s="350"/>
      <c r="BI340" s="350"/>
      <c r="BJ340" s="351"/>
      <c r="BK340" s="680"/>
      <c r="BL340" s="350"/>
      <c r="BM340" s="351"/>
      <c r="BN340" s="82"/>
      <c r="BO340" s="82"/>
      <c r="BP340" s="678"/>
      <c r="BQ340" s="350"/>
      <c r="BR340" s="351"/>
      <c r="BS340" s="681" t="s">
        <v>294</v>
      </c>
      <c r="BT340" s="350"/>
      <c r="BU340" s="351"/>
    </row>
    <row r="341" spans="1:73" ht="30" customHeight="1">
      <c r="A341" s="76">
        <f t="shared" si="1"/>
        <v>327</v>
      </c>
      <c r="B341" s="686" t="s">
        <v>325</v>
      </c>
      <c r="C341" s="351"/>
      <c r="D341" s="687" t="s">
        <v>294</v>
      </c>
      <c r="E341" s="350"/>
      <c r="F341" s="350"/>
      <c r="G341" s="351"/>
      <c r="H341" s="688" t="s">
        <v>294</v>
      </c>
      <c r="I341" s="350"/>
      <c r="J341" s="350"/>
      <c r="K341" s="351"/>
      <c r="L341" s="538" t="s">
        <v>294</v>
      </c>
      <c r="M341" s="350"/>
      <c r="N341" s="351"/>
      <c r="O341" s="539" t="s">
        <v>294</v>
      </c>
      <c r="P341" s="350"/>
      <c r="Q341" s="351"/>
      <c r="R341" s="574"/>
      <c r="S341" s="350"/>
      <c r="T341" s="351"/>
      <c r="U341" s="567"/>
      <c r="V341" s="350"/>
      <c r="W341" s="351"/>
      <c r="X341" s="77"/>
      <c r="Y341" s="78"/>
      <c r="Z341" s="77"/>
      <c r="AA341" s="78"/>
      <c r="AB341" s="77"/>
      <c r="AC341" s="78"/>
      <c r="AD341" s="77"/>
      <c r="AE341" s="78"/>
      <c r="AF341" s="77"/>
      <c r="AG341" s="78"/>
      <c r="AH341" s="77"/>
      <c r="AI341" s="78"/>
      <c r="AJ341" s="64"/>
      <c r="AK341" s="80"/>
      <c r="AL341" s="64"/>
      <c r="AM341" s="80"/>
      <c r="AN341" s="64"/>
      <c r="AO341" s="80"/>
      <c r="AP341" s="64"/>
      <c r="AQ341" s="80"/>
      <c r="AR341" s="64"/>
      <c r="AS341" s="679" t="s">
        <v>294</v>
      </c>
      <c r="AT341" s="350"/>
      <c r="AU341" s="350"/>
      <c r="AV341" s="350"/>
      <c r="AW341" s="350"/>
      <c r="AX341" s="350"/>
      <c r="AY341" s="351"/>
      <c r="AZ341" s="81"/>
      <c r="BA341" s="81"/>
      <c r="BB341" s="677" t="s">
        <v>325</v>
      </c>
      <c r="BC341" s="351"/>
      <c r="BD341" s="681" t="s">
        <v>294</v>
      </c>
      <c r="BE341" s="350"/>
      <c r="BF341" s="351"/>
      <c r="BG341" s="678" t="s">
        <v>294</v>
      </c>
      <c r="BH341" s="350"/>
      <c r="BI341" s="350"/>
      <c r="BJ341" s="351"/>
      <c r="BK341" s="680"/>
      <c r="BL341" s="350"/>
      <c r="BM341" s="351"/>
      <c r="BN341" s="82"/>
      <c r="BO341" s="82"/>
      <c r="BP341" s="678"/>
      <c r="BQ341" s="350"/>
      <c r="BR341" s="351"/>
      <c r="BS341" s="681" t="s">
        <v>294</v>
      </c>
      <c r="BT341" s="350"/>
      <c r="BU341" s="351"/>
    </row>
    <row r="342" spans="1:73" ht="30" customHeight="1">
      <c r="A342" s="76">
        <f t="shared" si="1"/>
        <v>328</v>
      </c>
      <c r="B342" s="686" t="s">
        <v>325</v>
      </c>
      <c r="C342" s="351"/>
      <c r="D342" s="687" t="s">
        <v>294</v>
      </c>
      <c r="E342" s="350"/>
      <c r="F342" s="350"/>
      <c r="G342" s="351"/>
      <c r="H342" s="688" t="s">
        <v>294</v>
      </c>
      <c r="I342" s="350"/>
      <c r="J342" s="350"/>
      <c r="K342" s="351"/>
      <c r="L342" s="538" t="s">
        <v>294</v>
      </c>
      <c r="M342" s="350"/>
      <c r="N342" s="351"/>
      <c r="O342" s="539" t="s">
        <v>294</v>
      </c>
      <c r="P342" s="350"/>
      <c r="Q342" s="351"/>
      <c r="R342" s="574"/>
      <c r="S342" s="350"/>
      <c r="T342" s="351"/>
      <c r="U342" s="567"/>
      <c r="V342" s="350"/>
      <c r="W342" s="351"/>
      <c r="X342" s="77"/>
      <c r="Y342" s="78"/>
      <c r="Z342" s="77"/>
      <c r="AA342" s="78"/>
      <c r="AB342" s="77"/>
      <c r="AC342" s="78"/>
      <c r="AD342" s="77"/>
      <c r="AE342" s="78"/>
      <c r="AF342" s="77"/>
      <c r="AG342" s="78"/>
      <c r="AH342" s="77"/>
      <c r="AI342" s="78"/>
      <c r="AJ342" s="64"/>
      <c r="AK342" s="80"/>
      <c r="AL342" s="64"/>
      <c r="AM342" s="80"/>
      <c r="AN342" s="64"/>
      <c r="AO342" s="80"/>
      <c r="AP342" s="64"/>
      <c r="AQ342" s="80"/>
      <c r="AR342" s="64"/>
      <c r="AS342" s="679" t="s">
        <v>294</v>
      </c>
      <c r="AT342" s="350"/>
      <c r="AU342" s="350"/>
      <c r="AV342" s="350"/>
      <c r="AW342" s="350"/>
      <c r="AX342" s="350"/>
      <c r="AY342" s="351"/>
      <c r="AZ342" s="81"/>
      <c r="BA342" s="81"/>
      <c r="BB342" s="677" t="s">
        <v>325</v>
      </c>
      <c r="BC342" s="351"/>
      <c r="BD342" s="681" t="s">
        <v>294</v>
      </c>
      <c r="BE342" s="350"/>
      <c r="BF342" s="351"/>
      <c r="BG342" s="678" t="s">
        <v>294</v>
      </c>
      <c r="BH342" s="350"/>
      <c r="BI342" s="350"/>
      <c r="BJ342" s="351"/>
      <c r="BK342" s="680"/>
      <c r="BL342" s="350"/>
      <c r="BM342" s="351"/>
      <c r="BN342" s="82"/>
      <c r="BO342" s="82"/>
      <c r="BP342" s="678"/>
      <c r="BQ342" s="350"/>
      <c r="BR342" s="351"/>
      <c r="BS342" s="681" t="s">
        <v>294</v>
      </c>
      <c r="BT342" s="350"/>
      <c r="BU342" s="351"/>
    </row>
    <row r="343" spans="1:73" ht="30" customHeight="1">
      <c r="A343" s="76">
        <f t="shared" si="1"/>
        <v>329</v>
      </c>
      <c r="B343" s="686" t="s">
        <v>325</v>
      </c>
      <c r="C343" s="351"/>
      <c r="D343" s="687" t="s">
        <v>294</v>
      </c>
      <c r="E343" s="350"/>
      <c r="F343" s="350"/>
      <c r="G343" s="351"/>
      <c r="H343" s="688" t="s">
        <v>294</v>
      </c>
      <c r="I343" s="350"/>
      <c r="J343" s="350"/>
      <c r="K343" s="351"/>
      <c r="L343" s="538" t="s">
        <v>294</v>
      </c>
      <c r="M343" s="350"/>
      <c r="N343" s="351"/>
      <c r="O343" s="539" t="s">
        <v>294</v>
      </c>
      <c r="P343" s="350"/>
      <c r="Q343" s="351"/>
      <c r="R343" s="574"/>
      <c r="S343" s="350"/>
      <c r="T343" s="351"/>
      <c r="U343" s="567"/>
      <c r="V343" s="350"/>
      <c r="W343" s="351"/>
      <c r="X343" s="77"/>
      <c r="Y343" s="78"/>
      <c r="Z343" s="77"/>
      <c r="AA343" s="78"/>
      <c r="AB343" s="77"/>
      <c r="AC343" s="78"/>
      <c r="AD343" s="77"/>
      <c r="AE343" s="78"/>
      <c r="AF343" s="77"/>
      <c r="AG343" s="78"/>
      <c r="AH343" s="77"/>
      <c r="AI343" s="78"/>
      <c r="AJ343" s="64"/>
      <c r="AK343" s="80"/>
      <c r="AL343" s="64"/>
      <c r="AM343" s="80"/>
      <c r="AN343" s="64"/>
      <c r="AO343" s="80"/>
      <c r="AP343" s="64"/>
      <c r="AQ343" s="80"/>
      <c r="AR343" s="64"/>
      <c r="AS343" s="679" t="s">
        <v>294</v>
      </c>
      <c r="AT343" s="350"/>
      <c r="AU343" s="350"/>
      <c r="AV343" s="350"/>
      <c r="AW343" s="350"/>
      <c r="AX343" s="350"/>
      <c r="AY343" s="351"/>
      <c r="AZ343" s="81"/>
      <c r="BA343" s="81"/>
      <c r="BB343" s="677" t="s">
        <v>325</v>
      </c>
      <c r="BC343" s="351"/>
      <c r="BD343" s="681" t="s">
        <v>294</v>
      </c>
      <c r="BE343" s="350"/>
      <c r="BF343" s="351"/>
      <c r="BG343" s="678" t="s">
        <v>294</v>
      </c>
      <c r="BH343" s="350"/>
      <c r="BI343" s="350"/>
      <c r="BJ343" s="351"/>
      <c r="BK343" s="680"/>
      <c r="BL343" s="350"/>
      <c r="BM343" s="351"/>
      <c r="BN343" s="82"/>
      <c r="BO343" s="82"/>
      <c r="BP343" s="678"/>
      <c r="BQ343" s="350"/>
      <c r="BR343" s="351"/>
      <c r="BS343" s="681" t="s">
        <v>294</v>
      </c>
      <c r="BT343" s="350"/>
      <c r="BU343" s="351"/>
    </row>
    <row r="344" spans="1:73" ht="30" customHeight="1">
      <c r="A344" s="76">
        <f t="shared" si="1"/>
        <v>330</v>
      </c>
      <c r="B344" s="686" t="s">
        <v>325</v>
      </c>
      <c r="C344" s="351"/>
      <c r="D344" s="687" t="s">
        <v>294</v>
      </c>
      <c r="E344" s="350"/>
      <c r="F344" s="350"/>
      <c r="G344" s="351"/>
      <c r="H344" s="688" t="s">
        <v>294</v>
      </c>
      <c r="I344" s="350"/>
      <c r="J344" s="350"/>
      <c r="K344" s="351"/>
      <c r="L344" s="538" t="s">
        <v>294</v>
      </c>
      <c r="M344" s="350"/>
      <c r="N344" s="351"/>
      <c r="O344" s="539" t="s">
        <v>294</v>
      </c>
      <c r="P344" s="350"/>
      <c r="Q344" s="351"/>
      <c r="R344" s="574"/>
      <c r="S344" s="350"/>
      <c r="T344" s="351"/>
      <c r="U344" s="567"/>
      <c r="V344" s="350"/>
      <c r="W344" s="351"/>
      <c r="X344" s="77"/>
      <c r="Y344" s="78"/>
      <c r="Z344" s="77"/>
      <c r="AA344" s="78"/>
      <c r="AB344" s="77"/>
      <c r="AC344" s="78"/>
      <c r="AD344" s="77"/>
      <c r="AE344" s="78"/>
      <c r="AF344" s="77"/>
      <c r="AG344" s="78"/>
      <c r="AH344" s="77"/>
      <c r="AI344" s="78"/>
      <c r="AJ344" s="64"/>
      <c r="AK344" s="80"/>
      <c r="AL344" s="64"/>
      <c r="AM344" s="80"/>
      <c r="AN344" s="64"/>
      <c r="AO344" s="80"/>
      <c r="AP344" s="64"/>
      <c r="AQ344" s="80"/>
      <c r="AR344" s="64"/>
      <c r="AS344" s="679" t="s">
        <v>294</v>
      </c>
      <c r="AT344" s="350"/>
      <c r="AU344" s="350"/>
      <c r="AV344" s="350"/>
      <c r="AW344" s="350"/>
      <c r="AX344" s="350"/>
      <c r="AY344" s="351"/>
      <c r="AZ344" s="81"/>
      <c r="BA344" s="81"/>
      <c r="BB344" s="685" t="s">
        <v>325</v>
      </c>
      <c r="BC344" s="351"/>
      <c r="BD344" s="681" t="s">
        <v>294</v>
      </c>
      <c r="BE344" s="350"/>
      <c r="BF344" s="351"/>
      <c r="BG344" s="678" t="s">
        <v>294</v>
      </c>
      <c r="BH344" s="350"/>
      <c r="BI344" s="350"/>
      <c r="BJ344" s="351"/>
      <c r="BK344" s="680"/>
      <c r="BL344" s="350"/>
      <c r="BM344" s="351"/>
      <c r="BN344" s="82"/>
      <c r="BO344" s="82"/>
      <c r="BP344" s="678"/>
      <c r="BQ344" s="350"/>
      <c r="BR344" s="351"/>
      <c r="BS344" s="681" t="s">
        <v>294</v>
      </c>
      <c r="BT344" s="350"/>
      <c r="BU344" s="351"/>
    </row>
    <row r="345" spans="1:73" ht="30" customHeight="1">
      <c r="A345" s="76">
        <f t="shared" si="1"/>
        <v>331</v>
      </c>
      <c r="B345" s="686" t="s">
        <v>325</v>
      </c>
      <c r="C345" s="351"/>
      <c r="D345" s="687" t="s">
        <v>294</v>
      </c>
      <c r="E345" s="350"/>
      <c r="F345" s="350"/>
      <c r="G345" s="351"/>
      <c r="H345" s="688" t="s">
        <v>294</v>
      </c>
      <c r="I345" s="350"/>
      <c r="J345" s="350"/>
      <c r="K345" s="351"/>
      <c r="L345" s="538" t="s">
        <v>294</v>
      </c>
      <c r="M345" s="350"/>
      <c r="N345" s="351"/>
      <c r="O345" s="539" t="s">
        <v>294</v>
      </c>
      <c r="P345" s="350"/>
      <c r="Q345" s="351"/>
      <c r="R345" s="574"/>
      <c r="S345" s="350"/>
      <c r="T345" s="351"/>
      <c r="U345" s="567"/>
      <c r="V345" s="350"/>
      <c r="W345" s="351"/>
      <c r="X345" s="77"/>
      <c r="Y345" s="78"/>
      <c r="Z345" s="77"/>
      <c r="AA345" s="78"/>
      <c r="AB345" s="77"/>
      <c r="AC345" s="78"/>
      <c r="AD345" s="77"/>
      <c r="AE345" s="78"/>
      <c r="AF345" s="77"/>
      <c r="AG345" s="78"/>
      <c r="AH345" s="77"/>
      <c r="AI345" s="78"/>
      <c r="AJ345" s="64"/>
      <c r="AK345" s="80"/>
      <c r="AL345" s="64"/>
      <c r="AM345" s="80"/>
      <c r="AN345" s="64"/>
      <c r="AO345" s="80"/>
      <c r="AP345" s="64"/>
      <c r="AQ345" s="80"/>
      <c r="AR345" s="64"/>
      <c r="AS345" s="679" t="s">
        <v>294</v>
      </c>
      <c r="AT345" s="350"/>
      <c r="AU345" s="350"/>
      <c r="AV345" s="350"/>
      <c r="AW345" s="350"/>
      <c r="AX345" s="350"/>
      <c r="AY345" s="351"/>
      <c r="AZ345" s="81"/>
      <c r="BA345" s="81"/>
      <c r="BB345" s="677" t="s">
        <v>325</v>
      </c>
      <c r="BC345" s="351"/>
      <c r="BD345" s="681" t="s">
        <v>294</v>
      </c>
      <c r="BE345" s="350"/>
      <c r="BF345" s="351"/>
      <c r="BG345" s="678" t="s">
        <v>294</v>
      </c>
      <c r="BH345" s="350"/>
      <c r="BI345" s="350"/>
      <c r="BJ345" s="351"/>
      <c r="BK345" s="680"/>
      <c r="BL345" s="350"/>
      <c r="BM345" s="351"/>
      <c r="BN345" s="82"/>
      <c r="BO345" s="82"/>
      <c r="BP345" s="678"/>
      <c r="BQ345" s="350"/>
      <c r="BR345" s="351"/>
      <c r="BS345" s="681" t="s">
        <v>294</v>
      </c>
      <c r="BT345" s="350"/>
      <c r="BU345" s="351"/>
    </row>
    <row r="346" spans="1:73" ht="30" customHeight="1">
      <c r="A346" s="76">
        <f t="shared" si="1"/>
        <v>332</v>
      </c>
      <c r="B346" s="686" t="s">
        <v>325</v>
      </c>
      <c r="C346" s="351"/>
      <c r="D346" s="687" t="s">
        <v>294</v>
      </c>
      <c r="E346" s="350"/>
      <c r="F346" s="350"/>
      <c r="G346" s="351"/>
      <c r="H346" s="688" t="s">
        <v>294</v>
      </c>
      <c r="I346" s="350"/>
      <c r="J346" s="350"/>
      <c r="K346" s="351"/>
      <c r="L346" s="538" t="s">
        <v>294</v>
      </c>
      <c r="M346" s="350"/>
      <c r="N346" s="351"/>
      <c r="O346" s="539" t="s">
        <v>294</v>
      </c>
      <c r="P346" s="350"/>
      <c r="Q346" s="351"/>
      <c r="R346" s="574"/>
      <c r="S346" s="350"/>
      <c r="T346" s="351"/>
      <c r="U346" s="567"/>
      <c r="V346" s="350"/>
      <c r="W346" s="351"/>
      <c r="X346" s="77"/>
      <c r="Y346" s="78"/>
      <c r="Z346" s="77"/>
      <c r="AA346" s="78"/>
      <c r="AB346" s="77"/>
      <c r="AC346" s="78"/>
      <c r="AD346" s="77"/>
      <c r="AE346" s="78"/>
      <c r="AF346" s="77"/>
      <c r="AG346" s="78"/>
      <c r="AH346" s="77"/>
      <c r="AI346" s="78"/>
      <c r="AJ346" s="64"/>
      <c r="AK346" s="80"/>
      <c r="AL346" s="64"/>
      <c r="AM346" s="80"/>
      <c r="AN346" s="64"/>
      <c r="AO346" s="80"/>
      <c r="AP346" s="64"/>
      <c r="AQ346" s="80"/>
      <c r="AR346" s="64"/>
      <c r="AS346" s="679" t="s">
        <v>294</v>
      </c>
      <c r="AT346" s="350"/>
      <c r="AU346" s="350"/>
      <c r="AV346" s="350"/>
      <c r="AW346" s="350"/>
      <c r="AX346" s="350"/>
      <c r="AY346" s="351"/>
      <c r="AZ346" s="81"/>
      <c r="BA346" s="81"/>
      <c r="BB346" s="677" t="s">
        <v>325</v>
      </c>
      <c r="BC346" s="351"/>
      <c r="BD346" s="681" t="s">
        <v>294</v>
      </c>
      <c r="BE346" s="350"/>
      <c r="BF346" s="351"/>
      <c r="BG346" s="678" t="s">
        <v>294</v>
      </c>
      <c r="BH346" s="350"/>
      <c r="BI346" s="350"/>
      <c r="BJ346" s="351"/>
      <c r="BK346" s="680"/>
      <c r="BL346" s="350"/>
      <c r="BM346" s="351"/>
      <c r="BN346" s="82"/>
      <c r="BO346" s="82"/>
      <c r="BP346" s="678"/>
      <c r="BQ346" s="350"/>
      <c r="BR346" s="351"/>
      <c r="BS346" s="681" t="s">
        <v>294</v>
      </c>
      <c r="BT346" s="350"/>
      <c r="BU346" s="351"/>
    </row>
    <row r="347" spans="1:73" ht="30" customHeight="1">
      <c r="A347" s="76">
        <f t="shared" si="1"/>
        <v>333</v>
      </c>
      <c r="B347" s="686" t="s">
        <v>325</v>
      </c>
      <c r="C347" s="351"/>
      <c r="D347" s="687" t="s">
        <v>294</v>
      </c>
      <c r="E347" s="350"/>
      <c r="F347" s="350"/>
      <c r="G347" s="351"/>
      <c r="H347" s="688" t="s">
        <v>294</v>
      </c>
      <c r="I347" s="350"/>
      <c r="J347" s="350"/>
      <c r="K347" s="351"/>
      <c r="L347" s="538" t="s">
        <v>294</v>
      </c>
      <c r="M347" s="350"/>
      <c r="N347" s="351"/>
      <c r="O347" s="539" t="s">
        <v>294</v>
      </c>
      <c r="P347" s="350"/>
      <c r="Q347" s="351"/>
      <c r="R347" s="574"/>
      <c r="S347" s="350"/>
      <c r="T347" s="351"/>
      <c r="U347" s="567"/>
      <c r="V347" s="350"/>
      <c r="W347" s="351"/>
      <c r="X347" s="77"/>
      <c r="Y347" s="78"/>
      <c r="Z347" s="77"/>
      <c r="AA347" s="78"/>
      <c r="AB347" s="77"/>
      <c r="AC347" s="78"/>
      <c r="AD347" s="77"/>
      <c r="AE347" s="78"/>
      <c r="AF347" s="77"/>
      <c r="AG347" s="78"/>
      <c r="AH347" s="77"/>
      <c r="AI347" s="78"/>
      <c r="AJ347" s="64"/>
      <c r="AK347" s="80"/>
      <c r="AL347" s="64"/>
      <c r="AM347" s="80"/>
      <c r="AN347" s="64"/>
      <c r="AO347" s="80"/>
      <c r="AP347" s="64"/>
      <c r="AQ347" s="80"/>
      <c r="AR347" s="64"/>
      <c r="AS347" s="679" t="s">
        <v>294</v>
      </c>
      <c r="AT347" s="350"/>
      <c r="AU347" s="350"/>
      <c r="AV347" s="350"/>
      <c r="AW347" s="350"/>
      <c r="AX347" s="350"/>
      <c r="AY347" s="351"/>
      <c r="AZ347" s="81"/>
      <c r="BA347" s="81"/>
      <c r="BB347" s="677" t="s">
        <v>325</v>
      </c>
      <c r="BC347" s="351"/>
      <c r="BD347" s="681" t="s">
        <v>294</v>
      </c>
      <c r="BE347" s="350"/>
      <c r="BF347" s="351"/>
      <c r="BG347" s="678" t="s">
        <v>294</v>
      </c>
      <c r="BH347" s="350"/>
      <c r="BI347" s="350"/>
      <c r="BJ347" s="351"/>
      <c r="BK347" s="680"/>
      <c r="BL347" s="350"/>
      <c r="BM347" s="351"/>
      <c r="BN347" s="82"/>
      <c r="BO347" s="82"/>
      <c r="BP347" s="678"/>
      <c r="BQ347" s="350"/>
      <c r="BR347" s="351"/>
      <c r="BS347" s="681" t="s">
        <v>294</v>
      </c>
      <c r="BT347" s="350"/>
      <c r="BU347" s="351"/>
    </row>
    <row r="348" spans="1:73" ht="30" customHeight="1">
      <c r="A348" s="76">
        <f t="shared" si="1"/>
        <v>334</v>
      </c>
      <c r="B348" s="686" t="s">
        <v>325</v>
      </c>
      <c r="C348" s="351"/>
      <c r="D348" s="687" t="s">
        <v>294</v>
      </c>
      <c r="E348" s="350"/>
      <c r="F348" s="350"/>
      <c r="G348" s="351"/>
      <c r="H348" s="688" t="s">
        <v>294</v>
      </c>
      <c r="I348" s="350"/>
      <c r="J348" s="350"/>
      <c r="K348" s="351"/>
      <c r="L348" s="538" t="s">
        <v>294</v>
      </c>
      <c r="M348" s="350"/>
      <c r="N348" s="351"/>
      <c r="O348" s="539" t="s">
        <v>294</v>
      </c>
      <c r="P348" s="350"/>
      <c r="Q348" s="351"/>
      <c r="R348" s="574"/>
      <c r="S348" s="350"/>
      <c r="T348" s="351"/>
      <c r="U348" s="567"/>
      <c r="V348" s="350"/>
      <c r="W348" s="351"/>
      <c r="X348" s="77"/>
      <c r="Y348" s="78"/>
      <c r="Z348" s="77"/>
      <c r="AA348" s="78"/>
      <c r="AB348" s="77"/>
      <c r="AC348" s="78"/>
      <c r="AD348" s="77"/>
      <c r="AE348" s="78"/>
      <c r="AF348" s="77"/>
      <c r="AG348" s="78"/>
      <c r="AH348" s="77"/>
      <c r="AI348" s="78"/>
      <c r="AJ348" s="64"/>
      <c r="AK348" s="80"/>
      <c r="AL348" s="64"/>
      <c r="AM348" s="80"/>
      <c r="AN348" s="64"/>
      <c r="AO348" s="80"/>
      <c r="AP348" s="64"/>
      <c r="AQ348" s="80"/>
      <c r="AR348" s="64"/>
      <c r="AS348" s="679" t="s">
        <v>294</v>
      </c>
      <c r="AT348" s="350"/>
      <c r="AU348" s="350"/>
      <c r="AV348" s="350"/>
      <c r="AW348" s="350"/>
      <c r="AX348" s="350"/>
      <c r="AY348" s="351"/>
      <c r="AZ348" s="81"/>
      <c r="BA348" s="81"/>
      <c r="BB348" s="677" t="s">
        <v>325</v>
      </c>
      <c r="BC348" s="351"/>
      <c r="BD348" s="681" t="s">
        <v>294</v>
      </c>
      <c r="BE348" s="350"/>
      <c r="BF348" s="351"/>
      <c r="BG348" s="678" t="s">
        <v>294</v>
      </c>
      <c r="BH348" s="350"/>
      <c r="BI348" s="350"/>
      <c r="BJ348" s="351"/>
      <c r="BK348" s="680"/>
      <c r="BL348" s="350"/>
      <c r="BM348" s="351"/>
      <c r="BN348" s="82"/>
      <c r="BO348" s="82"/>
      <c r="BP348" s="678"/>
      <c r="BQ348" s="350"/>
      <c r="BR348" s="351"/>
      <c r="BS348" s="681" t="s">
        <v>294</v>
      </c>
      <c r="BT348" s="350"/>
      <c r="BU348" s="351"/>
    </row>
    <row r="349" spans="1:73" ht="30" customHeight="1">
      <c r="A349" s="76">
        <f t="shared" si="1"/>
        <v>335</v>
      </c>
      <c r="B349" s="686" t="s">
        <v>325</v>
      </c>
      <c r="C349" s="351"/>
      <c r="D349" s="687" t="s">
        <v>294</v>
      </c>
      <c r="E349" s="350"/>
      <c r="F349" s="350"/>
      <c r="G349" s="351"/>
      <c r="H349" s="688" t="s">
        <v>294</v>
      </c>
      <c r="I349" s="350"/>
      <c r="J349" s="350"/>
      <c r="K349" s="351"/>
      <c r="L349" s="538" t="s">
        <v>294</v>
      </c>
      <c r="M349" s="350"/>
      <c r="N349" s="351"/>
      <c r="O349" s="539" t="s">
        <v>294</v>
      </c>
      <c r="P349" s="350"/>
      <c r="Q349" s="351"/>
      <c r="R349" s="574"/>
      <c r="S349" s="350"/>
      <c r="T349" s="351"/>
      <c r="U349" s="567"/>
      <c r="V349" s="350"/>
      <c r="W349" s="351"/>
      <c r="X349" s="77"/>
      <c r="Y349" s="78"/>
      <c r="Z349" s="77"/>
      <c r="AA349" s="78"/>
      <c r="AB349" s="77"/>
      <c r="AC349" s="78"/>
      <c r="AD349" s="77"/>
      <c r="AE349" s="78"/>
      <c r="AF349" s="77"/>
      <c r="AG349" s="78"/>
      <c r="AH349" s="77"/>
      <c r="AI349" s="78"/>
      <c r="AJ349" s="64"/>
      <c r="AK349" s="80"/>
      <c r="AL349" s="64"/>
      <c r="AM349" s="80"/>
      <c r="AN349" s="64"/>
      <c r="AO349" s="80"/>
      <c r="AP349" s="64"/>
      <c r="AQ349" s="80"/>
      <c r="AR349" s="64"/>
      <c r="AS349" s="679" t="s">
        <v>294</v>
      </c>
      <c r="AT349" s="350"/>
      <c r="AU349" s="350"/>
      <c r="AV349" s="350"/>
      <c r="AW349" s="350"/>
      <c r="AX349" s="350"/>
      <c r="AY349" s="351"/>
      <c r="AZ349" s="81"/>
      <c r="BA349" s="81"/>
      <c r="BB349" s="677" t="s">
        <v>325</v>
      </c>
      <c r="BC349" s="351"/>
      <c r="BD349" s="681" t="s">
        <v>294</v>
      </c>
      <c r="BE349" s="350"/>
      <c r="BF349" s="351"/>
      <c r="BG349" s="678" t="s">
        <v>294</v>
      </c>
      <c r="BH349" s="350"/>
      <c r="BI349" s="350"/>
      <c r="BJ349" s="351"/>
      <c r="BK349" s="680"/>
      <c r="BL349" s="350"/>
      <c r="BM349" s="351"/>
      <c r="BN349" s="82"/>
      <c r="BO349" s="82"/>
      <c r="BP349" s="678"/>
      <c r="BQ349" s="350"/>
      <c r="BR349" s="351"/>
      <c r="BS349" s="681" t="s">
        <v>294</v>
      </c>
      <c r="BT349" s="350"/>
      <c r="BU349" s="351"/>
    </row>
    <row r="350" spans="1:73" ht="30" customHeight="1">
      <c r="A350" s="76">
        <f t="shared" si="1"/>
        <v>336</v>
      </c>
      <c r="B350" s="686" t="s">
        <v>325</v>
      </c>
      <c r="C350" s="351"/>
      <c r="D350" s="687" t="s">
        <v>294</v>
      </c>
      <c r="E350" s="350"/>
      <c r="F350" s="350"/>
      <c r="G350" s="351"/>
      <c r="H350" s="688" t="s">
        <v>294</v>
      </c>
      <c r="I350" s="350"/>
      <c r="J350" s="350"/>
      <c r="K350" s="351"/>
      <c r="L350" s="538" t="s">
        <v>294</v>
      </c>
      <c r="M350" s="350"/>
      <c r="N350" s="351"/>
      <c r="O350" s="539" t="s">
        <v>294</v>
      </c>
      <c r="P350" s="350"/>
      <c r="Q350" s="351"/>
      <c r="R350" s="574"/>
      <c r="S350" s="350"/>
      <c r="T350" s="351"/>
      <c r="U350" s="567"/>
      <c r="V350" s="350"/>
      <c r="W350" s="351"/>
      <c r="X350" s="77"/>
      <c r="Y350" s="78"/>
      <c r="Z350" s="77"/>
      <c r="AA350" s="78"/>
      <c r="AB350" s="77"/>
      <c r="AC350" s="78"/>
      <c r="AD350" s="77"/>
      <c r="AE350" s="78"/>
      <c r="AF350" s="77"/>
      <c r="AG350" s="78"/>
      <c r="AH350" s="77"/>
      <c r="AI350" s="78"/>
      <c r="AJ350" s="64"/>
      <c r="AK350" s="80"/>
      <c r="AL350" s="64"/>
      <c r="AM350" s="80"/>
      <c r="AN350" s="64"/>
      <c r="AO350" s="80"/>
      <c r="AP350" s="64"/>
      <c r="AQ350" s="80"/>
      <c r="AR350" s="64"/>
      <c r="AS350" s="679" t="s">
        <v>294</v>
      </c>
      <c r="AT350" s="350"/>
      <c r="AU350" s="350"/>
      <c r="AV350" s="350"/>
      <c r="AW350" s="350"/>
      <c r="AX350" s="350"/>
      <c r="AY350" s="351"/>
      <c r="AZ350" s="81"/>
      <c r="BA350" s="81"/>
      <c r="BB350" s="677" t="s">
        <v>325</v>
      </c>
      <c r="BC350" s="351"/>
      <c r="BD350" s="681" t="s">
        <v>294</v>
      </c>
      <c r="BE350" s="350"/>
      <c r="BF350" s="351"/>
      <c r="BG350" s="678" t="s">
        <v>294</v>
      </c>
      <c r="BH350" s="350"/>
      <c r="BI350" s="350"/>
      <c r="BJ350" s="351"/>
      <c r="BK350" s="680"/>
      <c r="BL350" s="350"/>
      <c r="BM350" s="351"/>
      <c r="BN350" s="82"/>
      <c r="BO350" s="82"/>
      <c r="BP350" s="678"/>
      <c r="BQ350" s="350"/>
      <c r="BR350" s="351"/>
      <c r="BS350" s="681" t="s">
        <v>294</v>
      </c>
      <c r="BT350" s="350"/>
      <c r="BU350" s="351"/>
    </row>
    <row r="351" spans="1:73" ht="30" customHeight="1">
      <c r="A351" s="76">
        <f t="shared" si="1"/>
        <v>337</v>
      </c>
      <c r="B351" s="686" t="s">
        <v>325</v>
      </c>
      <c r="C351" s="351"/>
      <c r="D351" s="687" t="s">
        <v>294</v>
      </c>
      <c r="E351" s="350"/>
      <c r="F351" s="350"/>
      <c r="G351" s="351"/>
      <c r="H351" s="688" t="s">
        <v>294</v>
      </c>
      <c r="I351" s="350"/>
      <c r="J351" s="350"/>
      <c r="K351" s="351"/>
      <c r="L351" s="538" t="s">
        <v>294</v>
      </c>
      <c r="M351" s="350"/>
      <c r="N351" s="351"/>
      <c r="O351" s="539" t="s">
        <v>294</v>
      </c>
      <c r="P351" s="350"/>
      <c r="Q351" s="351"/>
      <c r="R351" s="574"/>
      <c r="S351" s="350"/>
      <c r="T351" s="351"/>
      <c r="U351" s="567"/>
      <c r="V351" s="350"/>
      <c r="W351" s="351"/>
      <c r="X351" s="77"/>
      <c r="Y351" s="78"/>
      <c r="Z351" s="77"/>
      <c r="AA351" s="78"/>
      <c r="AB351" s="77"/>
      <c r="AC351" s="78"/>
      <c r="AD351" s="77"/>
      <c r="AE351" s="78"/>
      <c r="AF351" s="77"/>
      <c r="AG351" s="78"/>
      <c r="AH351" s="77"/>
      <c r="AI351" s="78"/>
      <c r="AJ351" s="64"/>
      <c r="AK351" s="80"/>
      <c r="AL351" s="64"/>
      <c r="AM351" s="80"/>
      <c r="AN351" s="64"/>
      <c r="AO351" s="80"/>
      <c r="AP351" s="64"/>
      <c r="AQ351" s="80"/>
      <c r="AR351" s="64"/>
      <c r="AS351" s="679" t="s">
        <v>294</v>
      </c>
      <c r="AT351" s="350"/>
      <c r="AU351" s="350"/>
      <c r="AV351" s="350"/>
      <c r="AW351" s="350"/>
      <c r="AX351" s="350"/>
      <c r="AY351" s="351"/>
      <c r="AZ351" s="81"/>
      <c r="BA351" s="81"/>
      <c r="BB351" s="677" t="s">
        <v>325</v>
      </c>
      <c r="BC351" s="351"/>
      <c r="BD351" s="681" t="s">
        <v>294</v>
      </c>
      <c r="BE351" s="350"/>
      <c r="BF351" s="351"/>
      <c r="BG351" s="678" t="s">
        <v>294</v>
      </c>
      <c r="BH351" s="350"/>
      <c r="BI351" s="350"/>
      <c r="BJ351" s="351"/>
      <c r="BK351" s="680"/>
      <c r="BL351" s="350"/>
      <c r="BM351" s="351"/>
      <c r="BN351" s="82"/>
      <c r="BO351" s="82"/>
      <c r="BP351" s="678"/>
      <c r="BQ351" s="350"/>
      <c r="BR351" s="351"/>
      <c r="BS351" s="681" t="s">
        <v>294</v>
      </c>
      <c r="BT351" s="350"/>
      <c r="BU351" s="351"/>
    </row>
    <row r="352" spans="1:73" ht="30" customHeight="1">
      <c r="A352" s="76">
        <f t="shared" si="1"/>
        <v>338</v>
      </c>
      <c r="B352" s="686" t="s">
        <v>325</v>
      </c>
      <c r="C352" s="351"/>
      <c r="D352" s="687" t="s">
        <v>294</v>
      </c>
      <c r="E352" s="350"/>
      <c r="F352" s="350"/>
      <c r="G352" s="351"/>
      <c r="H352" s="688" t="s">
        <v>294</v>
      </c>
      <c r="I352" s="350"/>
      <c r="J352" s="350"/>
      <c r="K352" s="351"/>
      <c r="L352" s="538" t="s">
        <v>294</v>
      </c>
      <c r="M352" s="350"/>
      <c r="N352" s="351"/>
      <c r="O352" s="539" t="s">
        <v>294</v>
      </c>
      <c r="P352" s="350"/>
      <c r="Q352" s="351"/>
      <c r="R352" s="574"/>
      <c r="S352" s="350"/>
      <c r="T352" s="351"/>
      <c r="U352" s="567"/>
      <c r="V352" s="350"/>
      <c r="W352" s="351"/>
      <c r="X352" s="77"/>
      <c r="Y352" s="78"/>
      <c r="Z352" s="77"/>
      <c r="AA352" s="78"/>
      <c r="AB352" s="77"/>
      <c r="AC352" s="78"/>
      <c r="AD352" s="77"/>
      <c r="AE352" s="78"/>
      <c r="AF352" s="77"/>
      <c r="AG352" s="78"/>
      <c r="AH352" s="77"/>
      <c r="AI352" s="78"/>
      <c r="AJ352" s="64"/>
      <c r="AK352" s="80"/>
      <c r="AL352" s="64"/>
      <c r="AM352" s="80"/>
      <c r="AN352" s="64"/>
      <c r="AO352" s="80"/>
      <c r="AP352" s="64"/>
      <c r="AQ352" s="80"/>
      <c r="AR352" s="64"/>
      <c r="AS352" s="679" t="s">
        <v>294</v>
      </c>
      <c r="AT352" s="350"/>
      <c r="AU352" s="350"/>
      <c r="AV352" s="350"/>
      <c r="AW352" s="350"/>
      <c r="AX352" s="350"/>
      <c r="AY352" s="351"/>
      <c r="AZ352" s="81"/>
      <c r="BA352" s="81"/>
      <c r="BB352" s="677" t="s">
        <v>325</v>
      </c>
      <c r="BC352" s="351"/>
      <c r="BD352" s="681" t="s">
        <v>294</v>
      </c>
      <c r="BE352" s="350"/>
      <c r="BF352" s="351"/>
      <c r="BG352" s="678" t="s">
        <v>294</v>
      </c>
      <c r="BH352" s="350"/>
      <c r="BI352" s="350"/>
      <c r="BJ352" s="351"/>
      <c r="BK352" s="680"/>
      <c r="BL352" s="350"/>
      <c r="BM352" s="351"/>
      <c r="BN352" s="82"/>
      <c r="BO352" s="82"/>
      <c r="BP352" s="678"/>
      <c r="BQ352" s="350"/>
      <c r="BR352" s="351"/>
      <c r="BS352" s="681" t="s">
        <v>294</v>
      </c>
      <c r="BT352" s="350"/>
      <c r="BU352" s="351"/>
    </row>
    <row r="353" spans="1:73" ht="30" customHeight="1">
      <c r="A353" s="76">
        <f t="shared" si="1"/>
        <v>339</v>
      </c>
      <c r="B353" s="686" t="s">
        <v>325</v>
      </c>
      <c r="C353" s="351"/>
      <c r="D353" s="687" t="s">
        <v>294</v>
      </c>
      <c r="E353" s="350"/>
      <c r="F353" s="350"/>
      <c r="G353" s="351"/>
      <c r="H353" s="688" t="s">
        <v>294</v>
      </c>
      <c r="I353" s="350"/>
      <c r="J353" s="350"/>
      <c r="K353" s="351"/>
      <c r="L353" s="538" t="s">
        <v>294</v>
      </c>
      <c r="M353" s="350"/>
      <c r="N353" s="351"/>
      <c r="O353" s="539" t="s">
        <v>294</v>
      </c>
      <c r="P353" s="350"/>
      <c r="Q353" s="351"/>
      <c r="R353" s="574"/>
      <c r="S353" s="350"/>
      <c r="T353" s="351"/>
      <c r="U353" s="567"/>
      <c r="V353" s="350"/>
      <c r="W353" s="351"/>
      <c r="X353" s="77"/>
      <c r="Y353" s="78"/>
      <c r="Z353" s="77"/>
      <c r="AA353" s="78"/>
      <c r="AB353" s="77"/>
      <c r="AC353" s="78"/>
      <c r="AD353" s="77"/>
      <c r="AE353" s="78"/>
      <c r="AF353" s="77"/>
      <c r="AG353" s="78"/>
      <c r="AH353" s="77"/>
      <c r="AI353" s="78"/>
      <c r="AJ353" s="64"/>
      <c r="AK353" s="80"/>
      <c r="AL353" s="64"/>
      <c r="AM353" s="80"/>
      <c r="AN353" s="64"/>
      <c r="AO353" s="80"/>
      <c r="AP353" s="64"/>
      <c r="AQ353" s="80"/>
      <c r="AR353" s="64"/>
      <c r="AS353" s="679" t="s">
        <v>294</v>
      </c>
      <c r="AT353" s="350"/>
      <c r="AU353" s="350"/>
      <c r="AV353" s="350"/>
      <c r="AW353" s="350"/>
      <c r="AX353" s="350"/>
      <c r="AY353" s="351"/>
      <c r="AZ353" s="81"/>
      <c r="BA353" s="81"/>
      <c r="BB353" s="677" t="s">
        <v>325</v>
      </c>
      <c r="BC353" s="351"/>
      <c r="BD353" s="681" t="s">
        <v>294</v>
      </c>
      <c r="BE353" s="350"/>
      <c r="BF353" s="351"/>
      <c r="BG353" s="678" t="s">
        <v>294</v>
      </c>
      <c r="BH353" s="350"/>
      <c r="BI353" s="350"/>
      <c r="BJ353" s="351"/>
      <c r="BK353" s="680"/>
      <c r="BL353" s="350"/>
      <c r="BM353" s="351"/>
      <c r="BN353" s="82"/>
      <c r="BO353" s="82"/>
      <c r="BP353" s="678"/>
      <c r="BQ353" s="350"/>
      <c r="BR353" s="351"/>
      <c r="BS353" s="681" t="s">
        <v>294</v>
      </c>
      <c r="BT353" s="350"/>
      <c r="BU353" s="351"/>
    </row>
    <row r="354" spans="1:73" ht="30" customHeight="1">
      <c r="A354" s="76">
        <f t="shared" si="1"/>
        <v>340</v>
      </c>
      <c r="B354" s="686" t="s">
        <v>325</v>
      </c>
      <c r="C354" s="351"/>
      <c r="D354" s="687" t="s">
        <v>294</v>
      </c>
      <c r="E354" s="350"/>
      <c r="F354" s="350"/>
      <c r="G354" s="351"/>
      <c r="H354" s="688" t="s">
        <v>294</v>
      </c>
      <c r="I354" s="350"/>
      <c r="J354" s="350"/>
      <c r="K354" s="351"/>
      <c r="L354" s="538" t="s">
        <v>294</v>
      </c>
      <c r="M354" s="350"/>
      <c r="N354" s="351"/>
      <c r="O354" s="539" t="s">
        <v>294</v>
      </c>
      <c r="P354" s="350"/>
      <c r="Q354" s="351"/>
      <c r="R354" s="574"/>
      <c r="S354" s="350"/>
      <c r="T354" s="351"/>
      <c r="U354" s="567"/>
      <c r="V354" s="350"/>
      <c r="W354" s="351"/>
      <c r="X354" s="77"/>
      <c r="Y354" s="78"/>
      <c r="Z354" s="77"/>
      <c r="AA354" s="78"/>
      <c r="AB354" s="77"/>
      <c r="AC354" s="78"/>
      <c r="AD354" s="77"/>
      <c r="AE354" s="78"/>
      <c r="AF354" s="77"/>
      <c r="AG354" s="78"/>
      <c r="AH354" s="77"/>
      <c r="AI354" s="78"/>
      <c r="AJ354" s="64"/>
      <c r="AK354" s="80"/>
      <c r="AL354" s="64"/>
      <c r="AM354" s="80"/>
      <c r="AN354" s="64"/>
      <c r="AO354" s="80"/>
      <c r="AP354" s="64"/>
      <c r="AQ354" s="80"/>
      <c r="AR354" s="64"/>
      <c r="AS354" s="679" t="s">
        <v>294</v>
      </c>
      <c r="AT354" s="350"/>
      <c r="AU354" s="350"/>
      <c r="AV354" s="350"/>
      <c r="AW354" s="350"/>
      <c r="AX354" s="350"/>
      <c r="AY354" s="351"/>
      <c r="AZ354" s="81"/>
      <c r="BA354" s="81"/>
      <c r="BB354" s="677" t="s">
        <v>325</v>
      </c>
      <c r="BC354" s="351"/>
      <c r="BD354" s="681" t="s">
        <v>294</v>
      </c>
      <c r="BE354" s="350"/>
      <c r="BF354" s="351"/>
      <c r="BG354" s="678" t="s">
        <v>294</v>
      </c>
      <c r="BH354" s="350"/>
      <c r="BI354" s="350"/>
      <c r="BJ354" s="351"/>
      <c r="BK354" s="680"/>
      <c r="BL354" s="350"/>
      <c r="BM354" s="351"/>
      <c r="BN354" s="82"/>
      <c r="BO354" s="82"/>
      <c r="BP354" s="678"/>
      <c r="BQ354" s="350"/>
      <c r="BR354" s="351"/>
      <c r="BS354" s="681" t="s">
        <v>294</v>
      </c>
      <c r="BT354" s="350"/>
      <c r="BU354" s="351"/>
    </row>
    <row r="355" spans="1:73" ht="30" customHeight="1">
      <c r="A355" s="76">
        <f t="shared" si="1"/>
        <v>341</v>
      </c>
      <c r="B355" s="686" t="s">
        <v>325</v>
      </c>
      <c r="C355" s="351"/>
      <c r="D355" s="687" t="s">
        <v>294</v>
      </c>
      <c r="E355" s="350"/>
      <c r="F355" s="350"/>
      <c r="G355" s="351"/>
      <c r="H355" s="688" t="s">
        <v>294</v>
      </c>
      <c r="I355" s="350"/>
      <c r="J355" s="350"/>
      <c r="K355" s="351"/>
      <c r="L355" s="538" t="s">
        <v>294</v>
      </c>
      <c r="M355" s="350"/>
      <c r="N355" s="351"/>
      <c r="O355" s="539" t="s">
        <v>294</v>
      </c>
      <c r="P355" s="350"/>
      <c r="Q355" s="351"/>
      <c r="R355" s="574"/>
      <c r="S355" s="350"/>
      <c r="T355" s="351"/>
      <c r="U355" s="567"/>
      <c r="V355" s="350"/>
      <c r="W355" s="351"/>
      <c r="X355" s="77"/>
      <c r="Y355" s="78"/>
      <c r="Z355" s="77"/>
      <c r="AA355" s="78"/>
      <c r="AB355" s="77"/>
      <c r="AC355" s="78"/>
      <c r="AD355" s="77"/>
      <c r="AE355" s="78"/>
      <c r="AF355" s="77"/>
      <c r="AG355" s="78"/>
      <c r="AH355" s="77"/>
      <c r="AI355" s="78"/>
      <c r="AJ355" s="64"/>
      <c r="AK355" s="80"/>
      <c r="AL355" s="64"/>
      <c r="AM355" s="80"/>
      <c r="AN355" s="64"/>
      <c r="AO355" s="80"/>
      <c r="AP355" s="64"/>
      <c r="AQ355" s="80"/>
      <c r="AR355" s="64"/>
      <c r="AS355" s="679" t="s">
        <v>294</v>
      </c>
      <c r="AT355" s="350"/>
      <c r="AU355" s="350"/>
      <c r="AV355" s="350"/>
      <c r="AW355" s="350"/>
      <c r="AX355" s="350"/>
      <c r="AY355" s="351"/>
      <c r="AZ355" s="81"/>
      <c r="BA355" s="81"/>
      <c r="BB355" s="677" t="s">
        <v>325</v>
      </c>
      <c r="BC355" s="351"/>
      <c r="BD355" s="681" t="s">
        <v>294</v>
      </c>
      <c r="BE355" s="350"/>
      <c r="BF355" s="351"/>
      <c r="BG355" s="678" t="s">
        <v>294</v>
      </c>
      <c r="BH355" s="350"/>
      <c r="BI355" s="350"/>
      <c r="BJ355" s="351"/>
      <c r="BK355" s="680"/>
      <c r="BL355" s="350"/>
      <c r="BM355" s="351"/>
      <c r="BN355" s="82"/>
      <c r="BO355" s="82"/>
      <c r="BP355" s="678"/>
      <c r="BQ355" s="350"/>
      <c r="BR355" s="351"/>
      <c r="BS355" s="681" t="s">
        <v>294</v>
      </c>
      <c r="BT355" s="350"/>
      <c r="BU355" s="351"/>
    </row>
    <row r="356" spans="1:73" ht="30" customHeight="1">
      <c r="A356" s="76">
        <f t="shared" si="1"/>
        <v>342</v>
      </c>
      <c r="B356" s="686" t="s">
        <v>325</v>
      </c>
      <c r="C356" s="351"/>
      <c r="D356" s="687" t="s">
        <v>294</v>
      </c>
      <c r="E356" s="350"/>
      <c r="F356" s="350"/>
      <c r="G356" s="351"/>
      <c r="H356" s="688" t="s">
        <v>294</v>
      </c>
      <c r="I356" s="350"/>
      <c r="J356" s="350"/>
      <c r="K356" s="351"/>
      <c r="L356" s="538" t="s">
        <v>294</v>
      </c>
      <c r="M356" s="350"/>
      <c r="N356" s="351"/>
      <c r="O356" s="539" t="s">
        <v>294</v>
      </c>
      <c r="P356" s="350"/>
      <c r="Q356" s="351"/>
      <c r="R356" s="574"/>
      <c r="S356" s="350"/>
      <c r="T356" s="351"/>
      <c r="U356" s="567"/>
      <c r="V356" s="350"/>
      <c r="W356" s="351"/>
      <c r="X356" s="77"/>
      <c r="Y356" s="78"/>
      <c r="Z356" s="77"/>
      <c r="AA356" s="78"/>
      <c r="AB356" s="77"/>
      <c r="AC356" s="78"/>
      <c r="AD356" s="77"/>
      <c r="AE356" s="78"/>
      <c r="AF356" s="77"/>
      <c r="AG356" s="78"/>
      <c r="AH356" s="77"/>
      <c r="AI356" s="78"/>
      <c r="AJ356" s="64"/>
      <c r="AK356" s="80"/>
      <c r="AL356" s="64"/>
      <c r="AM356" s="80"/>
      <c r="AN356" s="64"/>
      <c r="AO356" s="80"/>
      <c r="AP356" s="64"/>
      <c r="AQ356" s="80"/>
      <c r="AR356" s="64"/>
      <c r="AS356" s="679" t="s">
        <v>294</v>
      </c>
      <c r="AT356" s="350"/>
      <c r="AU356" s="350"/>
      <c r="AV356" s="350"/>
      <c r="AW356" s="350"/>
      <c r="AX356" s="350"/>
      <c r="AY356" s="351"/>
      <c r="AZ356" s="81"/>
      <c r="BA356" s="81"/>
      <c r="BB356" s="677" t="s">
        <v>325</v>
      </c>
      <c r="BC356" s="351"/>
      <c r="BD356" s="681" t="s">
        <v>294</v>
      </c>
      <c r="BE356" s="350"/>
      <c r="BF356" s="351"/>
      <c r="BG356" s="678" t="s">
        <v>294</v>
      </c>
      <c r="BH356" s="350"/>
      <c r="BI356" s="350"/>
      <c r="BJ356" s="351"/>
      <c r="BK356" s="680"/>
      <c r="BL356" s="350"/>
      <c r="BM356" s="351"/>
      <c r="BN356" s="82"/>
      <c r="BO356" s="82"/>
      <c r="BP356" s="678"/>
      <c r="BQ356" s="350"/>
      <c r="BR356" s="351"/>
      <c r="BS356" s="681" t="s">
        <v>294</v>
      </c>
      <c r="BT356" s="350"/>
      <c r="BU356" s="351"/>
    </row>
    <row r="357" spans="1:73" ht="30" customHeight="1">
      <c r="A357" s="76">
        <f t="shared" si="1"/>
        <v>343</v>
      </c>
      <c r="B357" s="686" t="s">
        <v>325</v>
      </c>
      <c r="C357" s="351"/>
      <c r="D357" s="687" t="s">
        <v>294</v>
      </c>
      <c r="E357" s="350"/>
      <c r="F357" s="350"/>
      <c r="G357" s="351"/>
      <c r="H357" s="688" t="s">
        <v>294</v>
      </c>
      <c r="I357" s="350"/>
      <c r="J357" s="350"/>
      <c r="K357" s="351"/>
      <c r="L357" s="538" t="s">
        <v>294</v>
      </c>
      <c r="M357" s="350"/>
      <c r="N357" s="351"/>
      <c r="O357" s="539" t="s">
        <v>294</v>
      </c>
      <c r="P357" s="350"/>
      <c r="Q357" s="351"/>
      <c r="R357" s="574"/>
      <c r="S357" s="350"/>
      <c r="T357" s="351"/>
      <c r="U357" s="567"/>
      <c r="V357" s="350"/>
      <c r="W357" s="351"/>
      <c r="X357" s="77"/>
      <c r="Y357" s="78"/>
      <c r="Z357" s="77"/>
      <c r="AA357" s="78"/>
      <c r="AB357" s="77"/>
      <c r="AC357" s="78"/>
      <c r="AD357" s="77"/>
      <c r="AE357" s="78"/>
      <c r="AF357" s="77"/>
      <c r="AG357" s="78"/>
      <c r="AH357" s="77"/>
      <c r="AI357" s="78"/>
      <c r="AJ357" s="64"/>
      <c r="AK357" s="80"/>
      <c r="AL357" s="64"/>
      <c r="AM357" s="80"/>
      <c r="AN357" s="64"/>
      <c r="AO357" s="80"/>
      <c r="AP357" s="64"/>
      <c r="AQ357" s="80"/>
      <c r="AR357" s="64"/>
      <c r="AS357" s="679" t="s">
        <v>294</v>
      </c>
      <c r="AT357" s="350"/>
      <c r="AU357" s="350"/>
      <c r="AV357" s="350"/>
      <c r="AW357" s="350"/>
      <c r="AX357" s="350"/>
      <c r="AY357" s="351"/>
      <c r="AZ357" s="81"/>
      <c r="BA357" s="81"/>
      <c r="BB357" s="677" t="s">
        <v>325</v>
      </c>
      <c r="BC357" s="351"/>
      <c r="BD357" s="681" t="s">
        <v>294</v>
      </c>
      <c r="BE357" s="350"/>
      <c r="BF357" s="351"/>
      <c r="BG357" s="678" t="s">
        <v>294</v>
      </c>
      <c r="BH357" s="350"/>
      <c r="BI357" s="350"/>
      <c r="BJ357" s="351"/>
      <c r="BK357" s="680"/>
      <c r="BL357" s="350"/>
      <c r="BM357" s="351"/>
      <c r="BN357" s="82"/>
      <c r="BO357" s="82"/>
      <c r="BP357" s="678"/>
      <c r="BQ357" s="350"/>
      <c r="BR357" s="351"/>
      <c r="BS357" s="681" t="s">
        <v>294</v>
      </c>
      <c r="BT357" s="350"/>
      <c r="BU357" s="351"/>
    </row>
    <row r="358" spans="1:73" ht="30" customHeight="1">
      <c r="A358" s="76">
        <f t="shared" si="1"/>
        <v>344</v>
      </c>
      <c r="B358" s="686" t="s">
        <v>325</v>
      </c>
      <c r="C358" s="351"/>
      <c r="D358" s="687" t="s">
        <v>294</v>
      </c>
      <c r="E358" s="350"/>
      <c r="F358" s="350"/>
      <c r="G358" s="351"/>
      <c r="H358" s="688" t="s">
        <v>294</v>
      </c>
      <c r="I358" s="350"/>
      <c r="J358" s="350"/>
      <c r="K358" s="351"/>
      <c r="L358" s="538" t="s">
        <v>294</v>
      </c>
      <c r="M358" s="350"/>
      <c r="N358" s="351"/>
      <c r="O358" s="539" t="s">
        <v>294</v>
      </c>
      <c r="P358" s="350"/>
      <c r="Q358" s="351"/>
      <c r="R358" s="574"/>
      <c r="S358" s="350"/>
      <c r="T358" s="351"/>
      <c r="U358" s="567"/>
      <c r="V358" s="350"/>
      <c r="W358" s="351"/>
      <c r="X358" s="77"/>
      <c r="Y358" s="78"/>
      <c r="Z358" s="77"/>
      <c r="AA358" s="78"/>
      <c r="AB358" s="77"/>
      <c r="AC358" s="78"/>
      <c r="AD358" s="77"/>
      <c r="AE358" s="78"/>
      <c r="AF358" s="77"/>
      <c r="AG358" s="78"/>
      <c r="AH358" s="77"/>
      <c r="AI358" s="78"/>
      <c r="AJ358" s="64"/>
      <c r="AK358" s="80"/>
      <c r="AL358" s="64"/>
      <c r="AM358" s="80"/>
      <c r="AN358" s="64"/>
      <c r="AO358" s="80"/>
      <c r="AP358" s="64"/>
      <c r="AQ358" s="80"/>
      <c r="AR358" s="64"/>
      <c r="AS358" s="679" t="s">
        <v>294</v>
      </c>
      <c r="AT358" s="350"/>
      <c r="AU358" s="350"/>
      <c r="AV358" s="350"/>
      <c r="AW358" s="350"/>
      <c r="AX358" s="350"/>
      <c r="AY358" s="351"/>
      <c r="AZ358" s="81"/>
      <c r="BA358" s="81"/>
      <c r="BB358" s="677" t="s">
        <v>325</v>
      </c>
      <c r="BC358" s="351"/>
      <c r="BD358" s="681" t="s">
        <v>294</v>
      </c>
      <c r="BE358" s="350"/>
      <c r="BF358" s="351"/>
      <c r="BG358" s="678" t="s">
        <v>294</v>
      </c>
      <c r="BH358" s="350"/>
      <c r="BI358" s="350"/>
      <c r="BJ358" s="351"/>
      <c r="BK358" s="680"/>
      <c r="BL358" s="350"/>
      <c r="BM358" s="351"/>
      <c r="BN358" s="82"/>
      <c r="BO358" s="82"/>
      <c r="BP358" s="678"/>
      <c r="BQ358" s="350"/>
      <c r="BR358" s="351"/>
      <c r="BS358" s="681" t="s">
        <v>294</v>
      </c>
      <c r="BT358" s="350"/>
      <c r="BU358" s="351"/>
    </row>
    <row r="359" spans="1:73" ht="30" customHeight="1">
      <c r="A359" s="76">
        <f t="shared" si="1"/>
        <v>345</v>
      </c>
      <c r="B359" s="686" t="s">
        <v>325</v>
      </c>
      <c r="C359" s="351"/>
      <c r="D359" s="687" t="s">
        <v>294</v>
      </c>
      <c r="E359" s="350"/>
      <c r="F359" s="350"/>
      <c r="G359" s="351"/>
      <c r="H359" s="688" t="s">
        <v>294</v>
      </c>
      <c r="I359" s="350"/>
      <c r="J359" s="350"/>
      <c r="K359" s="351"/>
      <c r="L359" s="538" t="s">
        <v>294</v>
      </c>
      <c r="M359" s="350"/>
      <c r="N359" s="351"/>
      <c r="O359" s="539" t="s">
        <v>294</v>
      </c>
      <c r="P359" s="350"/>
      <c r="Q359" s="351"/>
      <c r="R359" s="574"/>
      <c r="S359" s="350"/>
      <c r="T359" s="351"/>
      <c r="U359" s="567"/>
      <c r="V359" s="350"/>
      <c r="W359" s="351"/>
      <c r="X359" s="77"/>
      <c r="Y359" s="78"/>
      <c r="Z359" s="77"/>
      <c r="AA359" s="78"/>
      <c r="AB359" s="77"/>
      <c r="AC359" s="78"/>
      <c r="AD359" s="77"/>
      <c r="AE359" s="78"/>
      <c r="AF359" s="77"/>
      <c r="AG359" s="78"/>
      <c r="AH359" s="77"/>
      <c r="AI359" s="78"/>
      <c r="AJ359" s="64"/>
      <c r="AK359" s="80"/>
      <c r="AL359" s="64"/>
      <c r="AM359" s="80"/>
      <c r="AN359" s="64"/>
      <c r="AO359" s="80"/>
      <c r="AP359" s="64"/>
      <c r="AQ359" s="80"/>
      <c r="AR359" s="64"/>
      <c r="AS359" s="679" t="s">
        <v>294</v>
      </c>
      <c r="AT359" s="350"/>
      <c r="AU359" s="350"/>
      <c r="AV359" s="350"/>
      <c r="AW359" s="350"/>
      <c r="AX359" s="350"/>
      <c r="AY359" s="351"/>
      <c r="AZ359" s="81"/>
      <c r="BA359" s="81"/>
      <c r="BB359" s="677" t="s">
        <v>325</v>
      </c>
      <c r="BC359" s="351"/>
      <c r="BD359" s="681" t="s">
        <v>294</v>
      </c>
      <c r="BE359" s="350"/>
      <c r="BF359" s="351"/>
      <c r="BG359" s="678" t="s">
        <v>294</v>
      </c>
      <c r="BH359" s="350"/>
      <c r="BI359" s="350"/>
      <c r="BJ359" s="351"/>
      <c r="BK359" s="680"/>
      <c r="BL359" s="350"/>
      <c r="BM359" s="351"/>
      <c r="BN359" s="82"/>
      <c r="BO359" s="82"/>
      <c r="BP359" s="678"/>
      <c r="BQ359" s="350"/>
      <c r="BR359" s="351"/>
      <c r="BS359" s="681" t="s">
        <v>294</v>
      </c>
      <c r="BT359" s="350"/>
      <c r="BU359" s="351"/>
    </row>
    <row r="360" spans="1:73" ht="30" customHeight="1">
      <c r="A360" s="76">
        <f t="shared" si="1"/>
        <v>346</v>
      </c>
      <c r="B360" s="686" t="s">
        <v>325</v>
      </c>
      <c r="C360" s="351"/>
      <c r="D360" s="687" t="s">
        <v>294</v>
      </c>
      <c r="E360" s="350"/>
      <c r="F360" s="350"/>
      <c r="G360" s="351"/>
      <c r="H360" s="688" t="s">
        <v>294</v>
      </c>
      <c r="I360" s="350"/>
      <c r="J360" s="350"/>
      <c r="K360" s="351"/>
      <c r="L360" s="538" t="s">
        <v>294</v>
      </c>
      <c r="M360" s="350"/>
      <c r="N360" s="351"/>
      <c r="O360" s="539" t="s">
        <v>294</v>
      </c>
      <c r="P360" s="350"/>
      <c r="Q360" s="351"/>
      <c r="R360" s="574"/>
      <c r="S360" s="350"/>
      <c r="T360" s="351"/>
      <c r="U360" s="567"/>
      <c r="V360" s="350"/>
      <c r="W360" s="351"/>
      <c r="X360" s="77"/>
      <c r="Y360" s="78"/>
      <c r="Z360" s="77"/>
      <c r="AA360" s="78"/>
      <c r="AB360" s="77"/>
      <c r="AC360" s="78"/>
      <c r="AD360" s="77"/>
      <c r="AE360" s="78"/>
      <c r="AF360" s="77"/>
      <c r="AG360" s="78"/>
      <c r="AH360" s="77"/>
      <c r="AI360" s="78"/>
      <c r="AJ360" s="64"/>
      <c r="AK360" s="80"/>
      <c r="AL360" s="64"/>
      <c r="AM360" s="80"/>
      <c r="AN360" s="64"/>
      <c r="AO360" s="80"/>
      <c r="AP360" s="64"/>
      <c r="AQ360" s="80"/>
      <c r="AR360" s="64"/>
      <c r="AS360" s="679" t="s">
        <v>294</v>
      </c>
      <c r="AT360" s="350"/>
      <c r="AU360" s="350"/>
      <c r="AV360" s="350"/>
      <c r="AW360" s="350"/>
      <c r="AX360" s="350"/>
      <c r="AY360" s="351"/>
      <c r="AZ360" s="81"/>
      <c r="BA360" s="81"/>
      <c r="BB360" s="677" t="s">
        <v>325</v>
      </c>
      <c r="BC360" s="351"/>
      <c r="BD360" s="681" t="s">
        <v>294</v>
      </c>
      <c r="BE360" s="350"/>
      <c r="BF360" s="351"/>
      <c r="BG360" s="678" t="s">
        <v>294</v>
      </c>
      <c r="BH360" s="350"/>
      <c r="BI360" s="350"/>
      <c r="BJ360" s="351"/>
      <c r="BK360" s="680"/>
      <c r="BL360" s="350"/>
      <c r="BM360" s="351"/>
      <c r="BN360" s="82"/>
      <c r="BO360" s="82"/>
      <c r="BP360" s="678"/>
      <c r="BQ360" s="350"/>
      <c r="BR360" s="351"/>
      <c r="BS360" s="681" t="s">
        <v>294</v>
      </c>
      <c r="BT360" s="350"/>
      <c r="BU360" s="351"/>
    </row>
    <row r="361" spans="1:73" ht="30" customHeight="1">
      <c r="A361" s="76">
        <f t="shared" si="1"/>
        <v>347</v>
      </c>
      <c r="B361" s="686" t="s">
        <v>325</v>
      </c>
      <c r="C361" s="351"/>
      <c r="D361" s="687" t="s">
        <v>294</v>
      </c>
      <c r="E361" s="350"/>
      <c r="F361" s="350"/>
      <c r="G361" s="351"/>
      <c r="H361" s="688" t="s">
        <v>294</v>
      </c>
      <c r="I361" s="350"/>
      <c r="J361" s="350"/>
      <c r="K361" s="351"/>
      <c r="L361" s="538" t="s">
        <v>294</v>
      </c>
      <c r="M361" s="350"/>
      <c r="N361" s="351"/>
      <c r="O361" s="539" t="s">
        <v>294</v>
      </c>
      <c r="P361" s="350"/>
      <c r="Q361" s="351"/>
      <c r="R361" s="574"/>
      <c r="S361" s="350"/>
      <c r="T361" s="351"/>
      <c r="U361" s="567"/>
      <c r="V361" s="350"/>
      <c r="W361" s="351"/>
      <c r="X361" s="77"/>
      <c r="Y361" s="78"/>
      <c r="Z361" s="77"/>
      <c r="AA361" s="78"/>
      <c r="AB361" s="77"/>
      <c r="AC361" s="78"/>
      <c r="AD361" s="77"/>
      <c r="AE361" s="78"/>
      <c r="AF361" s="77"/>
      <c r="AG361" s="78"/>
      <c r="AH361" s="77"/>
      <c r="AI361" s="78"/>
      <c r="AJ361" s="64"/>
      <c r="AK361" s="80"/>
      <c r="AL361" s="64"/>
      <c r="AM361" s="80"/>
      <c r="AN361" s="64"/>
      <c r="AO361" s="80"/>
      <c r="AP361" s="64"/>
      <c r="AQ361" s="80"/>
      <c r="AR361" s="64"/>
      <c r="AS361" s="679" t="s">
        <v>294</v>
      </c>
      <c r="AT361" s="350"/>
      <c r="AU361" s="350"/>
      <c r="AV361" s="350"/>
      <c r="AW361" s="350"/>
      <c r="AX361" s="350"/>
      <c r="AY361" s="351"/>
      <c r="AZ361" s="81"/>
      <c r="BA361" s="81"/>
      <c r="BB361" s="677" t="s">
        <v>325</v>
      </c>
      <c r="BC361" s="351"/>
      <c r="BD361" s="681" t="s">
        <v>294</v>
      </c>
      <c r="BE361" s="350"/>
      <c r="BF361" s="351"/>
      <c r="BG361" s="678" t="s">
        <v>294</v>
      </c>
      <c r="BH361" s="350"/>
      <c r="BI361" s="350"/>
      <c r="BJ361" s="351"/>
      <c r="BK361" s="680"/>
      <c r="BL361" s="350"/>
      <c r="BM361" s="351"/>
      <c r="BN361" s="82"/>
      <c r="BO361" s="82"/>
      <c r="BP361" s="678"/>
      <c r="BQ361" s="350"/>
      <c r="BR361" s="351"/>
      <c r="BS361" s="681" t="s">
        <v>294</v>
      </c>
      <c r="BT361" s="350"/>
      <c r="BU361" s="351"/>
    </row>
    <row r="362" spans="1:73" ht="30" customHeight="1">
      <c r="A362" s="76">
        <f t="shared" si="1"/>
        <v>348</v>
      </c>
      <c r="B362" s="686" t="s">
        <v>325</v>
      </c>
      <c r="C362" s="351"/>
      <c r="D362" s="687" t="s">
        <v>294</v>
      </c>
      <c r="E362" s="350"/>
      <c r="F362" s="350"/>
      <c r="G362" s="351"/>
      <c r="H362" s="688" t="s">
        <v>294</v>
      </c>
      <c r="I362" s="350"/>
      <c r="J362" s="350"/>
      <c r="K362" s="351"/>
      <c r="L362" s="538" t="s">
        <v>294</v>
      </c>
      <c r="M362" s="350"/>
      <c r="N362" s="351"/>
      <c r="O362" s="539" t="s">
        <v>294</v>
      </c>
      <c r="P362" s="350"/>
      <c r="Q362" s="351"/>
      <c r="R362" s="574"/>
      <c r="S362" s="350"/>
      <c r="T362" s="351"/>
      <c r="U362" s="567"/>
      <c r="V362" s="350"/>
      <c r="W362" s="351"/>
      <c r="X362" s="77"/>
      <c r="Y362" s="78"/>
      <c r="Z362" s="77"/>
      <c r="AA362" s="78"/>
      <c r="AB362" s="77"/>
      <c r="AC362" s="78"/>
      <c r="AD362" s="77"/>
      <c r="AE362" s="78"/>
      <c r="AF362" s="77"/>
      <c r="AG362" s="78"/>
      <c r="AH362" s="77"/>
      <c r="AI362" s="78"/>
      <c r="AJ362" s="64"/>
      <c r="AK362" s="80"/>
      <c r="AL362" s="64"/>
      <c r="AM362" s="80"/>
      <c r="AN362" s="64"/>
      <c r="AO362" s="80"/>
      <c r="AP362" s="64"/>
      <c r="AQ362" s="80"/>
      <c r="AR362" s="64"/>
      <c r="AS362" s="679" t="s">
        <v>294</v>
      </c>
      <c r="AT362" s="350"/>
      <c r="AU362" s="350"/>
      <c r="AV362" s="350"/>
      <c r="AW362" s="350"/>
      <c r="AX362" s="350"/>
      <c r="AY362" s="351"/>
      <c r="AZ362" s="81"/>
      <c r="BA362" s="81"/>
      <c r="BB362" s="677" t="s">
        <v>325</v>
      </c>
      <c r="BC362" s="351"/>
      <c r="BD362" s="681" t="s">
        <v>294</v>
      </c>
      <c r="BE362" s="350"/>
      <c r="BF362" s="351"/>
      <c r="BG362" s="678" t="s">
        <v>294</v>
      </c>
      <c r="BH362" s="350"/>
      <c r="BI362" s="350"/>
      <c r="BJ362" s="351"/>
      <c r="BK362" s="680"/>
      <c r="BL362" s="350"/>
      <c r="BM362" s="351"/>
      <c r="BN362" s="82"/>
      <c r="BO362" s="82"/>
      <c r="BP362" s="678"/>
      <c r="BQ362" s="350"/>
      <c r="BR362" s="351"/>
      <c r="BS362" s="681" t="s">
        <v>294</v>
      </c>
      <c r="BT362" s="350"/>
      <c r="BU362" s="351"/>
    </row>
    <row r="363" spans="1:73" ht="30" customHeight="1">
      <c r="A363" s="76">
        <f t="shared" si="1"/>
        <v>349</v>
      </c>
      <c r="B363" s="686" t="s">
        <v>325</v>
      </c>
      <c r="C363" s="351"/>
      <c r="D363" s="687" t="s">
        <v>294</v>
      </c>
      <c r="E363" s="350"/>
      <c r="F363" s="350"/>
      <c r="G363" s="351"/>
      <c r="H363" s="688" t="s">
        <v>294</v>
      </c>
      <c r="I363" s="350"/>
      <c r="J363" s="350"/>
      <c r="K363" s="351"/>
      <c r="L363" s="538" t="s">
        <v>294</v>
      </c>
      <c r="M363" s="350"/>
      <c r="N363" s="351"/>
      <c r="O363" s="539" t="s">
        <v>294</v>
      </c>
      <c r="P363" s="350"/>
      <c r="Q363" s="351"/>
      <c r="R363" s="574"/>
      <c r="S363" s="350"/>
      <c r="T363" s="351"/>
      <c r="U363" s="567"/>
      <c r="V363" s="350"/>
      <c r="W363" s="351"/>
      <c r="X363" s="77"/>
      <c r="Y363" s="78"/>
      <c r="Z363" s="77"/>
      <c r="AA363" s="78"/>
      <c r="AB363" s="77"/>
      <c r="AC363" s="78"/>
      <c r="AD363" s="77"/>
      <c r="AE363" s="78"/>
      <c r="AF363" s="77"/>
      <c r="AG363" s="78"/>
      <c r="AH363" s="77"/>
      <c r="AI363" s="78"/>
      <c r="AJ363" s="64"/>
      <c r="AK363" s="80"/>
      <c r="AL363" s="64"/>
      <c r="AM363" s="80"/>
      <c r="AN363" s="64"/>
      <c r="AO363" s="80"/>
      <c r="AP363" s="64"/>
      <c r="AQ363" s="80"/>
      <c r="AR363" s="64"/>
      <c r="AS363" s="679" t="s">
        <v>294</v>
      </c>
      <c r="AT363" s="350"/>
      <c r="AU363" s="350"/>
      <c r="AV363" s="350"/>
      <c r="AW363" s="350"/>
      <c r="AX363" s="350"/>
      <c r="AY363" s="351"/>
      <c r="AZ363" s="81"/>
      <c r="BA363" s="81"/>
      <c r="BB363" s="677" t="s">
        <v>325</v>
      </c>
      <c r="BC363" s="351"/>
      <c r="BD363" s="681" t="s">
        <v>294</v>
      </c>
      <c r="BE363" s="350"/>
      <c r="BF363" s="351"/>
      <c r="BG363" s="678" t="s">
        <v>294</v>
      </c>
      <c r="BH363" s="350"/>
      <c r="BI363" s="350"/>
      <c r="BJ363" s="351"/>
      <c r="BK363" s="680"/>
      <c r="BL363" s="350"/>
      <c r="BM363" s="351"/>
      <c r="BN363" s="82"/>
      <c r="BO363" s="82"/>
      <c r="BP363" s="678"/>
      <c r="BQ363" s="350"/>
      <c r="BR363" s="351"/>
      <c r="BS363" s="681" t="s">
        <v>294</v>
      </c>
      <c r="BT363" s="350"/>
      <c r="BU363" s="351"/>
    </row>
    <row r="364" spans="1:73" ht="30" customHeight="1">
      <c r="A364" s="76">
        <f t="shared" si="1"/>
        <v>350</v>
      </c>
      <c r="B364" s="686" t="s">
        <v>325</v>
      </c>
      <c r="C364" s="351"/>
      <c r="D364" s="687" t="s">
        <v>294</v>
      </c>
      <c r="E364" s="350"/>
      <c r="F364" s="350"/>
      <c r="G364" s="351"/>
      <c r="H364" s="688" t="s">
        <v>294</v>
      </c>
      <c r="I364" s="350"/>
      <c r="J364" s="350"/>
      <c r="K364" s="351"/>
      <c r="L364" s="538" t="s">
        <v>294</v>
      </c>
      <c r="M364" s="350"/>
      <c r="N364" s="351"/>
      <c r="O364" s="539" t="s">
        <v>294</v>
      </c>
      <c r="P364" s="350"/>
      <c r="Q364" s="351"/>
      <c r="R364" s="574"/>
      <c r="S364" s="350"/>
      <c r="T364" s="351"/>
      <c r="U364" s="567"/>
      <c r="V364" s="350"/>
      <c r="W364" s="351"/>
      <c r="X364" s="77"/>
      <c r="Y364" s="78"/>
      <c r="Z364" s="77"/>
      <c r="AA364" s="78"/>
      <c r="AB364" s="77"/>
      <c r="AC364" s="78"/>
      <c r="AD364" s="77"/>
      <c r="AE364" s="78"/>
      <c r="AF364" s="77"/>
      <c r="AG364" s="78"/>
      <c r="AH364" s="77"/>
      <c r="AI364" s="78"/>
      <c r="AJ364" s="64"/>
      <c r="AK364" s="80"/>
      <c r="AL364" s="64"/>
      <c r="AM364" s="80"/>
      <c r="AN364" s="64"/>
      <c r="AO364" s="80"/>
      <c r="AP364" s="64"/>
      <c r="AQ364" s="80"/>
      <c r="AR364" s="64"/>
      <c r="AS364" s="679" t="s">
        <v>294</v>
      </c>
      <c r="AT364" s="350"/>
      <c r="AU364" s="350"/>
      <c r="AV364" s="350"/>
      <c r="AW364" s="350"/>
      <c r="AX364" s="350"/>
      <c r="AY364" s="351"/>
      <c r="AZ364" s="81"/>
      <c r="BA364" s="81"/>
      <c r="BB364" s="677" t="s">
        <v>325</v>
      </c>
      <c r="BC364" s="351"/>
      <c r="BD364" s="681" t="s">
        <v>294</v>
      </c>
      <c r="BE364" s="350"/>
      <c r="BF364" s="351"/>
      <c r="BG364" s="678" t="s">
        <v>294</v>
      </c>
      <c r="BH364" s="350"/>
      <c r="BI364" s="350"/>
      <c r="BJ364" s="351"/>
      <c r="BK364" s="680"/>
      <c r="BL364" s="350"/>
      <c r="BM364" s="351"/>
      <c r="BN364" s="82"/>
      <c r="BO364" s="82"/>
      <c r="BP364" s="678"/>
      <c r="BQ364" s="350"/>
      <c r="BR364" s="351"/>
      <c r="BS364" s="681" t="s">
        <v>294</v>
      </c>
      <c r="BT364" s="350"/>
      <c r="BU364" s="351"/>
    </row>
    <row r="365" spans="1:73" ht="30" customHeight="1">
      <c r="A365" s="76">
        <f t="shared" si="1"/>
        <v>351</v>
      </c>
      <c r="B365" s="686" t="s">
        <v>325</v>
      </c>
      <c r="C365" s="351"/>
      <c r="D365" s="687" t="s">
        <v>294</v>
      </c>
      <c r="E365" s="350"/>
      <c r="F365" s="350"/>
      <c r="G365" s="351"/>
      <c r="H365" s="688" t="s">
        <v>294</v>
      </c>
      <c r="I365" s="350"/>
      <c r="J365" s="350"/>
      <c r="K365" s="351"/>
      <c r="L365" s="538" t="s">
        <v>294</v>
      </c>
      <c r="M365" s="350"/>
      <c r="N365" s="351"/>
      <c r="O365" s="539" t="s">
        <v>294</v>
      </c>
      <c r="P365" s="350"/>
      <c r="Q365" s="351"/>
      <c r="R365" s="574"/>
      <c r="S365" s="350"/>
      <c r="T365" s="351"/>
      <c r="U365" s="567"/>
      <c r="V365" s="350"/>
      <c r="W365" s="351"/>
      <c r="X365" s="77"/>
      <c r="Y365" s="78"/>
      <c r="Z365" s="77"/>
      <c r="AA365" s="78"/>
      <c r="AB365" s="77"/>
      <c r="AC365" s="78"/>
      <c r="AD365" s="77"/>
      <c r="AE365" s="78"/>
      <c r="AF365" s="77"/>
      <c r="AG365" s="78"/>
      <c r="AH365" s="77"/>
      <c r="AI365" s="78"/>
      <c r="AJ365" s="64"/>
      <c r="AK365" s="80"/>
      <c r="AL365" s="64"/>
      <c r="AM365" s="80"/>
      <c r="AN365" s="64"/>
      <c r="AO365" s="80"/>
      <c r="AP365" s="64"/>
      <c r="AQ365" s="80"/>
      <c r="AR365" s="64"/>
      <c r="AS365" s="679" t="s">
        <v>294</v>
      </c>
      <c r="AT365" s="350"/>
      <c r="AU365" s="350"/>
      <c r="AV365" s="350"/>
      <c r="AW365" s="350"/>
      <c r="AX365" s="350"/>
      <c r="AY365" s="351"/>
      <c r="AZ365" s="81"/>
      <c r="BA365" s="81"/>
      <c r="BB365" s="677" t="s">
        <v>325</v>
      </c>
      <c r="BC365" s="351"/>
      <c r="BD365" s="681" t="s">
        <v>294</v>
      </c>
      <c r="BE365" s="350"/>
      <c r="BF365" s="351"/>
      <c r="BG365" s="678" t="s">
        <v>294</v>
      </c>
      <c r="BH365" s="350"/>
      <c r="BI365" s="350"/>
      <c r="BJ365" s="351"/>
      <c r="BK365" s="680"/>
      <c r="BL365" s="350"/>
      <c r="BM365" s="351"/>
      <c r="BN365" s="82"/>
      <c r="BO365" s="82"/>
      <c r="BP365" s="678"/>
      <c r="BQ365" s="350"/>
      <c r="BR365" s="351"/>
      <c r="BS365" s="681" t="s">
        <v>294</v>
      </c>
      <c r="BT365" s="350"/>
      <c r="BU365" s="351"/>
    </row>
    <row r="366" spans="1:73" ht="30" customHeight="1">
      <c r="A366" s="76">
        <f t="shared" si="1"/>
        <v>352</v>
      </c>
      <c r="B366" s="686" t="s">
        <v>325</v>
      </c>
      <c r="C366" s="351"/>
      <c r="D366" s="687" t="s">
        <v>294</v>
      </c>
      <c r="E366" s="350"/>
      <c r="F366" s="350"/>
      <c r="G366" s="351"/>
      <c r="H366" s="688" t="s">
        <v>294</v>
      </c>
      <c r="I366" s="350"/>
      <c r="J366" s="350"/>
      <c r="K366" s="351"/>
      <c r="L366" s="538" t="s">
        <v>294</v>
      </c>
      <c r="M366" s="350"/>
      <c r="N366" s="351"/>
      <c r="O366" s="539" t="s">
        <v>294</v>
      </c>
      <c r="P366" s="350"/>
      <c r="Q366" s="351"/>
      <c r="R366" s="574"/>
      <c r="S366" s="350"/>
      <c r="T366" s="351"/>
      <c r="U366" s="567"/>
      <c r="V366" s="350"/>
      <c r="W366" s="351"/>
      <c r="X366" s="77"/>
      <c r="Y366" s="78"/>
      <c r="Z366" s="77"/>
      <c r="AA366" s="78"/>
      <c r="AB366" s="77"/>
      <c r="AC366" s="78"/>
      <c r="AD366" s="77"/>
      <c r="AE366" s="78"/>
      <c r="AF366" s="77"/>
      <c r="AG366" s="78"/>
      <c r="AH366" s="77"/>
      <c r="AI366" s="78"/>
      <c r="AJ366" s="64"/>
      <c r="AK366" s="80"/>
      <c r="AL366" s="64"/>
      <c r="AM366" s="80"/>
      <c r="AN366" s="64"/>
      <c r="AO366" s="80"/>
      <c r="AP366" s="64"/>
      <c r="AQ366" s="80"/>
      <c r="AR366" s="64"/>
      <c r="AS366" s="679" t="s">
        <v>294</v>
      </c>
      <c r="AT366" s="350"/>
      <c r="AU366" s="350"/>
      <c r="AV366" s="350"/>
      <c r="AW366" s="350"/>
      <c r="AX366" s="350"/>
      <c r="AY366" s="351"/>
      <c r="AZ366" s="81"/>
      <c r="BA366" s="81"/>
      <c r="BB366" s="677" t="s">
        <v>325</v>
      </c>
      <c r="BC366" s="351"/>
      <c r="BD366" s="681" t="s">
        <v>294</v>
      </c>
      <c r="BE366" s="350"/>
      <c r="BF366" s="351"/>
      <c r="BG366" s="678" t="s">
        <v>294</v>
      </c>
      <c r="BH366" s="350"/>
      <c r="BI366" s="350"/>
      <c r="BJ366" s="351"/>
      <c r="BK366" s="680"/>
      <c r="BL366" s="350"/>
      <c r="BM366" s="351"/>
      <c r="BN366" s="82"/>
      <c r="BO366" s="82"/>
      <c r="BP366" s="678"/>
      <c r="BQ366" s="350"/>
      <c r="BR366" s="351"/>
      <c r="BS366" s="681" t="s">
        <v>294</v>
      </c>
      <c r="BT366" s="350"/>
      <c r="BU366" s="351"/>
    </row>
    <row r="367" spans="1:73" ht="30" customHeight="1">
      <c r="A367" s="76">
        <f t="shared" si="1"/>
        <v>353</v>
      </c>
      <c r="B367" s="686" t="s">
        <v>325</v>
      </c>
      <c r="C367" s="351"/>
      <c r="D367" s="687" t="s">
        <v>294</v>
      </c>
      <c r="E367" s="350"/>
      <c r="F367" s="350"/>
      <c r="G367" s="351"/>
      <c r="H367" s="688" t="s">
        <v>294</v>
      </c>
      <c r="I367" s="350"/>
      <c r="J367" s="350"/>
      <c r="K367" s="351"/>
      <c r="L367" s="538" t="s">
        <v>294</v>
      </c>
      <c r="M367" s="350"/>
      <c r="N367" s="351"/>
      <c r="O367" s="539" t="s">
        <v>294</v>
      </c>
      <c r="P367" s="350"/>
      <c r="Q367" s="351"/>
      <c r="R367" s="574"/>
      <c r="S367" s="350"/>
      <c r="T367" s="351"/>
      <c r="U367" s="567"/>
      <c r="V367" s="350"/>
      <c r="W367" s="351"/>
      <c r="X367" s="77"/>
      <c r="Y367" s="78"/>
      <c r="Z367" s="77"/>
      <c r="AA367" s="78"/>
      <c r="AB367" s="77"/>
      <c r="AC367" s="78"/>
      <c r="AD367" s="77"/>
      <c r="AE367" s="78"/>
      <c r="AF367" s="77"/>
      <c r="AG367" s="78"/>
      <c r="AH367" s="77"/>
      <c r="AI367" s="78"/>
      <c r="AJ367" s="64"/>
      <c r="AK367" s="80"/>
      <c r="AL367" s="64"/>
      <c r="AM367" s="80"/>
      <c r="AN367" s="64"/>
      <c r="AO367" s="80"/>
      <c r="AP367" s="64"/>
      <c r="AQ367" s="80"/>
      <c r="AR367" s="64"/>
      <c r="AS367" s="679" t="s">
        <v>294</v>
      </c>
      <c r="AT367" s="350"/>
      <c r="AU367" s="350"/>
      <c r="AV367" s="350"/>
      <c r="AW367" s="350"/>
      <c r="AX367" s="350"/>
      <c r="AY367" s="351"/>
      <c r="AZ367" s="81"/>
      <c r="BA367" s="81"/>
      <c r="BB367" s="677" t="s">
        <v>325</v>
      </c>
      <c r="BC367" s="351"/>
      <c r="BD367" s="681" t="s">
        <v>294</v>
      </c>
      <c r="BE367" s="350"/>
      <c r="BF367" s="351"/>
      <c r="BG367" s="678" t="s">
        <v>294</v>
      </c>
      <c r="BH367" s="350"/>
      <c r="BI367" s="350"/>
      <c r="BJ367" s="351"/>
      <c r="BK367" s="680"/>
      <c r="BL367" s="350"/>
      <c r="BM367" s="351"/>
      <c r="BN367" s="82"/>
      <c r="BO367" s="82"/>
      <c r="BP367" s="678"/>
      <c r="BQ367" s="350"/>
      <c r="BR367" s="351"/>
      <c r="BS367" s="681" t="s">
        <v>294</v>
      </c>
      <c r="BT367" s="350"/>
      <c r="BU367" s="351"/>
    </row>
    <row r="368" spans="1:73" ht="30" customHeight="1">
      <c r="A368" s="76">
        <f t="shared" si="1"/>
        <v>354</v>
      </c>
      <c r="B368" s="686" t="s">
        <v>325</v>
      </c>
      <c r="C368" s="351"/>
      <c r="D368" s="687" t="s">
        <v>294</v>
      </c>
      <c r="E368" s="350"/>
      <c r="F368" s="350"/>
      <c r="G368" s="351"/>
      <c r="H368" s="688" t="s">
        <v>294</v>
      </c>
      <c r="I368" s="350"/>
      <c r="J368" s="350"/>
      <c r="K368" s="351"/>
      <c r="L368" s="538" t="s">
        <v>294</v>
      </c>
      <c r="M368" s="350"/>
      <c r="N368" s="351"/>
      <c r="O368" s="539" t="s">
        <v>294</v>
      </c>
      <c r="P368" s="350"/>
      <c r="Q368" s="351"/>
      <c r="R368" s="574"/>
      <c r="S368" s="350"/>
      <c r="T368" s="351"/>
      <c r="U368" s="567"/>
      <c r="V368" s="350"/>
      <c r="W368" s="351"/>
      <c r="X368" s="77"/>
      <c r="Y368" s="78"/>
      <c r="Z368" s="77"/>
      <c r="AA368" s="78"/>
      <c r="AB368" s="77"/>
      <c r="AC368" s="78"/>
      <c r="AD368" s="77"/>
      <c r="AE368" s="78"/>
      <c r="AF368" s="77"/>
      <c r="AG368" s="78"/>
      <c r="AH368" s="77"/>
      <c r="AI368" s="78"/>
      <c r="AJ368" s="64"/>
      <c r="AK368" s="80"/>
      <c r="AL368" s="64"/>
      <c r="AM368" s="80"/>
      <c r="AN368" s="64"/>
      <c r="AO368" s="80"/>
      <c r="AP368" s="64"/>
      <c r="AQ368" s="80"/>
      <c r="AR368" s="64"/>
      <c r="AS368" s="679" t="s">
        <v>294</v>
      </c>
      <c r="AT368" s="350"/>
      <c r="AU368" s="350"/>
      <c r="AV368" s="350"/>
      <c r="AW368" s="350"/>
      <c r="AX368" s="350"/>
      <c r="AY368" s="351"/>
      <c r="AZ368" s="81"/>
      <c r="BA368" s="81"/>
      <c r="BB368" s="677" t="s">
        <v>325</v>
      </c>
      <c r="BC368" s="351"/>
      <c r="BD368" s="681" t="s">
        <v>294</v>
      </c>
      <c r="BE368" s="350"/>
      <c r="BF368" s="351"/>
      <c r="BG368" s="678" t="s">
        <v>294</v>
      </c>
      <c r="BH368" s="350"/>
      <c r="BI368" s="350"/>
      <c r="BJ368" s="351"/>
      <c r="BK368" s="680"/>
      <c r="BL368" s="350"/>
      <c r="BM368" s="351"/>
      <c r="BN368" s="82"/>
      <c r="BO368" s="82"/>
      <c r="BP368" s="678"/>
      <c r="BQ368" s="350"/>
      <c r="BR368" s="351"/>
      <c r="BS368" s="681" t="s">
        <v>294</v>
      </c>
      <c r="BT368" s="350"/>
      <c r="BU368" s="351"/>
    </row>
    <row r="369" spans="1:73" ht="30" customHeight="1">
      <c r="A369" s="76">
        <f t="shared" si="1"/>
        <v>355</v>
      </c>
      <c r="B369" s="686" t="s">
        <v>325</v>
      </c>
      <c r="C369" s="351"/>
      <c r="D369" s="687" t="s">
        <v>294</v>
      </c>
      <c r="E369" s="350"/>
      <c r="F369" s="350"/>
      <c r="G369" s="351"/>
      <c r="H369" s="688" t="s">
        <v>294</v>
      </c>
      <c r="I369" s="350"/>
      <c r="J369" s="350"/>
      <c r="K369" s="351"/>
      <c r="L369" s="538" t="s">
        <v>294</v>
      </c>
      <c r="M369" s="350"/>
      <c r="N369" s="351"/>
      <c r="O369" s="539" t="s">
        <v>294</v>
      </c>
      <c r="P369" s="350"/>
      <c r="Q369" s="351"/>
      <c r="R369" s="574"/>
      <c r="S369" s="350"/>
      <c r="T369" s="351"/>
      <c r="U369" s="567"/>
      <c r="V369" s="350"/>
      <c r="W369" s="351"/>
      <c r="X369" s="77"/>
      <c r="Y369" s="78"/>
      <c r="Z369" s="77"/>
      <c r="AA369" s="78"/>
      <c r="AB369" s="77"/>
      <c r="AC369" s="78"/>
      <c r="AD369" s="77"/>
      <c r="AE369" s="78"/>
      <c r="AF369" s="77"/>
      <c r="AG369" s="78"/>
      <c r="AH369" s="77"/>
      <c r="AI369" s="78"/>
      <c r="AJ369" s="64"/>
      <c r="AK369" s="80"/>
      <c r="AL369" s="64"/>
      <c r="AM369" s="80"/>
      <c r="AN369" s="64"/>
      <c r="AO369" s="80"/>
      <c r="AP369" s="64"/>
      <c r="AQ369" s="80"/>
      <c r="AR369" s="64"/>
      <c r="AS369" s="679" t="s">
        <v>294</v>
      </c>
      <c r="AT369" s="350"/>
      <c r="AU369" s="350"/>
      <c r="AV369" s="350"/>
      <c r="AW369" s="350"/>
      <c r="AX369" s="350"/>
      <c r="AY369" s="351"/>
      <c r="AZ369" s="81"/>
      <c r="BA369" s="81"/>
      <c r="BB369" s="677" t="s">
        <v>325</v>
      </c>
      <c r="BC369" s="351"/>
      <c r="BD369" s="681" t="s">
        <v>294</v>
      </c>
      <c r="BE369" s="350"/>
      <c r="BF369" s="351"/>
      <c r="BG369" s="678" t="s">
        <v>294</v>
      </c>
      <c r="BH369" s="350"/>
      <c r="BI369" s="350"/>
      <c r="BJ369" s="351"/>
      <c r="BK369" s="680"/>
      <c r="BL369" s="350"/>
      <c r="BM369" s="351"/>
      <c r="BN369" s="82"/>
      <c r="BO369" s="82"/>
      <c r="BP369" s="678"/>
      <c r="BQ369" s="350"/>
      <c r="BR369" s="351"/>
      <c r="BS369" s="681" t="s">
        <v>294</v>
      </c>
      <c r="BT369" s="350"/>
      <c r="BU369" s="351"/>
    </row>
    <row r="370" spans="1:73" ht="30" customHeight="1">
      <c r="A370" s="76">
        <f t="shared" si="1"/>
        <v>356</v>
      </c>
      <c r="B370" s="686" t="s">
        <v>325</v>
      </c>
      <c r="C370" s="351"/>
      <c r="D370" s="687" t="s">
        <v>294</v>
      </c>
      <c r="E370" s="350"/>
      <c r="F370" s="350"/>
      <c r="G370" s="351"/>
      <c r="H370" s="688" t="s">
        <v>294</v>
      </c>
      <c r="I370" s="350"/>
      <c r="J370" s="350"/>
      <c r="K370" s="351"/>
      <c r="L370" s="538" t="s">
        <v>294</v>
      </c>
      <c r="M370" s="350"/>
      <c r="N370" s="351"/>
      <c r="O370" s="539" t="s">
        <v>294</v>
      </c>
      <c r="P370" s="350"/>
      <c r="Q370" s="351"/>
      <c r="R370" s="574"/>
      <c r="S370" s="350"/>
      <c r="T370" s="351"/>
      <c r="U370" s="567"/>
      <c r="V370" s="350"/>
      <c r="W370" s="351"/>
      <c r="X370" s="77"/>
      <c r="Y370" s="78"/>
      <c r="Z370" s="77"/>
      <c r="AA370" s="78"/>
      <c r="AB370" s="77"/>
      <c r="AC370" s="78"/>
      <c r="AD370" s="77"/>
      <c r="AE370" s="78"/>
      <c r="AF370" s="77"/>
      <c r="AG370" s="78"/>
      <c r="AH370" s="77"/>
      <c r="AI370" s="78"/>
      <c r="AJ370" s="64"/>
      <c r="AK370" s="80"/>
      <c r="AL370" s="64"/>
      <c r="AM370" s="80"/>
      <c r="AN370" s="64"/>
      <c r="AO370" s="80"/>
      <c r="AP370" s="64"/>
      <c r="AQ370" s="80"/>
      <c r="AR370" s="64"/>
      <c r="AS370" s="679" t="s">
        <v>294</v>
      </c>
      <c r="AT370" s="350"/>
      <c r="AU370" s="350"/>
      <c r="AV370" s="350"/>
      <c r="AW370" s="350"/>
      <c r="AX370" s="350"/>
      <c r="AY370" s="351"/>
      <c r="AZ370" s="81"/>
      <c r="BA370" s="81"/>
      <c r="BB370" s="677" t="s">
        <v>325</v>
      </c>
      <c r="BC370" s="351"/>
      <c r="BD370" s="681" t="s">
        <v>294</v>
      </c>
      <c r="BE370" s="350"/>
      <c r="BF370" s="351"/>
      <c r="BG370" s="678" t="s">
        <v>294</v>
      </c>
      <c r="BH370" s="350"/>
      <c r="BI370" s="350"/>
      <c r="BJ370" s="351"/>
      <c r="BK370" s="680"/>
      <c r="BL370" s="350"/>
      <c r="BM370" s="351"/>
      <c r="BN370" s="82"/>
      <c r="BO370" s="82"/>
      <c r="BP370" s="678"/>
      <c r="BQ370" s="350"/>
      <c r="BR370" s="351"/>
      <c r="BS370" s="681" t="s">
        <v>294</v>
      </c>
      <c r="BT370" s="350"/>
      <c r="BU370" s="351"/>
    </row>
    <row r="371" spans="1:73" ht="30" customHeight="1">
      <c r="A371" s="76">
        <f t="shared" si="1"/>
        <v>357</v>
      </c>
      <c r="B371" s="686" t="s">
        <v>325</v>
      </c>
      <c r="C371" s="351"/>
      <c r="D371" s="687" t="s">
        <v>294</v>
      </c>
      <c r="E371" s="350"/>
      <c r="F371" s="350"/>
      <c r="G371" s="351"/>
      <c r="H371" s="688" t="s">
        <v>294</v>
      </c>
      <c r="I371" s="350"/>
      <c r="J371" s="350"/>
      <c r="K371" s="351"/>
      <c r="L371" s="538" t="s">
        <v>294</v>
      </c>
      <c r="M371" s="350"/>
      <c r="N371" s="351"/>
      <c r="O371" s="539" t="s">
        <v>294</v>
      </c>
      <c r="P371" s="350"/>
      <c r="Q371" s="351"/>
      <c r="R371" s="574"/>
      <c r="S371" s="350"/>
      <c r="T371" s="351"/>
      <c r="U371" s="567"/>
      <c r="V371" s="350"/>
      <c r="W371" s="351"/>
      <c r="X371" s="77"/>
      <c r="Y371" s="78"/>
      <c r="Z371" s="77"/>
      <c r="AA371" s="78"/>
      <c r="AB371" s="77"/>
      <c r="AC371" s="78"/>
      <c r="AD371" s="77"/>
      <c r="AE371" s="78"/>
      <c r="AF371" s="77"/>
      <c r="AG371" s="78"/>
      <c r="AH371" s="77"/>
      <c r="AI371" s="78"/>
      <c r="AJ371" s="64"/>
      <c r="AK371" s="80"/>
      <c r="AL371" s="64"/>
      <c r="AM371" s="80"/>
      <c r="AN371" s="64"/>
      <c r="AO371" s="80"/>
      <c r="AP371" s="64"/>
      <c r="AQ371" s="80"/>
      <c r="AR371" s="64"/>
      <c r="AS371" s="679" t="s">
        <v>294</v>
      </c>
      <c r="AT371" s="350"/>
      <c r="AU371" s="350"/>
      <c r="AV371" s="350"/>
      <c r="AW371" s="350"/>
      <c r="AX371" s="350"/>
      <c r="AY371" s="351"/>
      <c r="AZ371" s="81"/>
      <c r="BA371" s="81"/>
      <c r="BB371" s="677" t="s">
        <v>325</v>
      </c>
      <c r="BC371" s="351"/>
      <c r="BD371" s="681" t="s">
        <v>294</v>
      </c>
      <c r="BE371" s="350"/>
      <c r="BF371" s="351"/>
      <c r="BG371" s="678" t="s">
        <v>294</v>
      </c>
      <c r="BH371" s="350"/>
      <c r="BI371" s="350"/>
      <c r="BJ371" s="351"/>
      <c r="BK371" s="680"/>
      <c r="BL371" s="350"/>
      <c r="BM371" s="351"/>
      <c r="BN371" s="82"/>
      <c r="BO371" s="82"/>
      <c r="BP371" s="678"/>
      <c r="BQ371" s="350"/>
      <c r="BR371" s="351"/>
      <c r="BS371" s="681" t="s">
        <v>294</v>
      </c>
      <c r="BT371" s="350"/>
      <c r="BU371" s="351"/>
    </row>
    <row r="372" spans="1:73" ht="30" customHeight="1">
      <c r="A372" s="76">
        <f t="shared" si="1"/>
        <v>358</v>
      </c>
      <c r="B372" s="686" t="s">
        <v>325</v>
      </c>
      <c r="C372" s="351"/>
      <c r="D372" s="687" t="s">
        <v>294</v>
      </c>
      <c r="E372" s="350"/>
      <c r="F372" s="350"/>
      <c r="G372" s="351"/>
      <c r="H372" s="688" t="s">
        <v>294</v>
      </c>
      <c r="I372" s="350"/>
      <c r="J372" s="350"/>
      <c r="K372" s="351"/>
      <c r="L372" s="538" t="s">
        <v>294</v>
      </c>
      <c r="M372" s="350"/>
      <c r="N372" s="351"/>
      <c r="O372" s="539" t="s">
        <v>294</v>
      </c>
      <c r="P372" s="350"/>
      <c r="Q372" s="351"/>
      <c r="R372" s="574"/>
      <c r="S372" s="350"/>
      <c r="T372" s="351"/>
      <c r="U372" s="567"/>
      <c r="V372" s="350"/>
      <c r="W372" s="351"/>
      <c r="X372" s="77"/>
      <c r="Y372" s="78"/>
      <c r="Z372" s="77"/>
      <c r="AA372" s="78"/>
      <c r="AB372" s="77"/>
      <c r="AC372" s="78"/>
      <c r="AD372" s="77"/>
      <c r="AE372" s="78"/>
      <c r="AF372" s="77"/>
      <c r="AG372" s="78"/>
      <c r="AH372" s="77"/>
      <c r="AI372" s="78"/>
      <c r="AJ372" s="64"/>
      <c r="AK372" s="80"/>
      <c r="AL372" s="64"/>
      <c r="AM372" s="80"/>
      <c r="AN372" s="64"/>
      <c r="AO372" s="80"/>
      <c r="AP372" s="64"/>
      <c r="AQ372" s="80"/>
      <c r="AR372" s="64"/>
      <c r="AS372" s="679" t="s">
        <v>294</v>
      </c>
      <c r="AT372" s="350"/>
      <c r="AU372" s="350"/>
      <c r="AV372" s="350"/>
      <c r="AW372" s="350"/>
      <c r="AX372" s="350"/>
      <c r="AY372" s="351"/>
      <c r="AZ372" s="81"/>
      <c r="BA372" s="81"/>
      <c r="BB372" s="677" t="s">
        <v>325</v>
      </c>
      <c r="BC372" s="351"/>
      <c r="BD372" s="681" t="s">
        <v>294</v>
      </c>
      <c r="BE372" s="350"/>
      <c r="BF372" s="351"/>
      <c r="BG372" s="678" t="s">
        <v>294</v>
      </c>
      <c r="BH372" s="350"/>
      <c r="BI372" s="350"/>
      <c r="BJ372" s="351"/>
      <c r="BK372" s="680"/>
      <c r="BL372" s="350"/>
      <c r="BM372" s="351"/>
      <c r="BN372" s="82"/>
      <c r="BO372" s="82"/>
      <c r="BP372" s="678"/>
      <c r="BQ372" s="350"/>
      <c r="BR372" s="351"/>
      <c r="BS372" s="681" t="s">
        <v>294</v>
      </c>
      <c r="BT372" s="350"/>
      <c r="BU372" s="351"/>
    </row>
    <row r="373" spans="1:73" ht="30" customHeight="1">
      <c r="A373" s="76">
        <f t="shared" si="1"/>
        <v>359</v>
      </c>
      <c r="B373" s="686" t="s">
        <v>325</v>
      </c>
      <c r="C373" s="351"/>
      <c r="D373" s="687" t="s">
        <v>294</v>
      </c>
      <c r="E373" s="350"/>
      <c r="F373" s="350"/>
      <c r="G373" s="351"/>
      <c r="H373" s="688" t="s">
        <v>294</v>
      </c>
      <c r="I373" s="350"/>
      <c r="J373" s="350"/>
      <c r="K373" s="351"/>
      <c r="L373" s="538" t="s">
        <v>294</v>
      </c>
      <c r="M373" s="350"/>
      <c r="N373" s="351"/>
      <c r="O373" s="539" t="s">
        <v>294</v>
      </c>
      <c r="P373" s="350"/>
      <c r="Q373" s="351"/>
      <c r="R373" s="574"/>
      <c r="S373" s="350"/>
      <c r="T373" s="351"/>
      <c r="U373" s="567"/>
      <c r="V373" s="350"/>
      <c r="W373" s="351"/>
      <c r="X373" s="77"/>
      <c r="Y373" s="78"/>
      <c r="Z373" s="77"/>
      <c r="AA373" s="78"/>
      <c r="AB373" s="77"/>
      <c r="AC373" s="78"/>
      <c r="AD373" s="77"/>
      <c r="AE373" s="78"/>
      <c r="AF373" s="77"/>
      <c r="AG373" s="78"/>
      <c r="AH373" s="77"/>
      <c r="AI373" s="78"/>
      <c r="AJ373" s="64"/>
      <c r="AK373" s="80"/>
      <c r="AL373" s="64"/>
      <c r="AM373" s="80"/>
      <c r="AN373" s="64"/>
      <c r="AO373" s="80"/>
      <c r="AP373" s="64"/>
      <c r="AQ373" s="80"/>
      <c r="AR373" s="64"/>
      <c r="AS373" s="679" t="s">
        <v>294</v>
      </c>
      <c r="AT373" s="350"/>
      <c r="AU373" s="350"/>
      <c r="AV373" s="350"/>
      <c r="AW373" s="350"/>
      <c r="AX373" s="350"/>
      <c r="AY373" s="351"/>
      <c r="AZ373" s="81"/>
      <c r="BA373" s="81"/>
      <c r="BB373" s="677" t="s">
        <v>325</v>
      </c>
      <c r="BC373" s="351"/>
      <c r="BD373" s="681" t="s">
        <v>294</v>
      </c>
      <c r="BE373" s="350"/>
      <c r="BF373" s="351"/>
      <c r="BG373" s="678" t="s">
        <v>294</v>
      </c>
      <c r="BH373" s="350"/>
      <c r="BI373" s="350"/>
      <c r="BJ373" s="351"/>
      <c r="BK373" s="680"/>
      <c r="BL373" s="350"/>
      <c r="BM373" s="351"/>
      <c r="BN373" s="82"/>
      <c r="BO373" s="82"/>
      <c r="BP373" s="678"/>
      <c r="BQ373" s="350"/>
      <c r="BR373" s="351"/>
      <c r="BS373" s="681" t="s">
        <v>294</v>
      </c>
      <c r="BT373" s="350"/>
      <c r="BU373" s="351"/>
    </row>
    <row r="374" spans="1:73" ht="30" customHeight="1">
      <c r="A374" s="76">
        <f t="shared" si="1"/>
        <v>360</v>
      </c>
      <c r="B374" s="686" t="s">
        <v>325</v>
      </c>
      <c r="C374" s="351"/>
      <c r="D374" s="687" t="s">
        <v>294</v>
      </c>
      <c r="E374" s="350"/>
      <c r="F374" s="350"/>
      <c r="G374" s="351"/>
      <c r="H374" s="688" t="s">
        <v>294</v>
      </c>
      <c r="I374" s="350"/>
      <c r="J374" s="350"/>
      <c r="K374" s="351"/>
      <c r="L374" s="538" t="s">
        <v>294</v>
      </c>
      <c r="M374" s="350"/>
      <c r="N374" s="351"/>
      <c r="O374" s="539" t="s">
        <v>294</v>
      </c>
      <c r="P374" s="350"/>
      <c r="Q374" s="351"/>
      <c r="R374" s="574"/>
      <c r="S374" s="350"/>
      <c r="T374" s="351"/>
      <c r="U374" s="567"/>
      <c r="V374" s="350"/>
      <c r="W374" s="351"/>
      <c r="X374" s="77"/>
      <c r="Y374" s="78"/>
      <c r="Z374" s="77"/>
      <c r="AA374" s="78"/>
      <c r="AB374" s="77"/>
      <c r="AC374" s="78"/>
      <c r="AD374" s="77"/>
      <c r="AE374" s="78"/>
      <c r="AF374" s="77"/>
      <c r="AG374" s="78"/>
      <c r="AH374" s="77"/>
      <c r="AI374" s="78"/>
      <c r="AJ374" s="64"/>
      <c r="AK374" s="80"/>
      <c r="AL374" s="64"/>
      <c r="AM374" s="80"/>
      <c r="AN374" s="64"/>
      <c r="AO374" s="80"/>
      <c r="AP374" s="64"/>
      <c r="AQ374" s="80"/>
      <c r="AR374" s="64"/>
      <c r="AS374" s="679" t="s">
        <v>294</v>
      </c>
      <c r="AT374" s="350"/>
      <c r="AU374" s="350"/>
      <c r="AV374" s="350"/>
      <c r="AW374" s="350"/>
      <c r="AX374" s="350"/>
      <c r="AY374" s="351"/>
      <c r="AZ374" s="81"/>
      <c r="BA374" s="81"/>
      <c r="BB374" s="677" t="s">
        <v>325</v>
      </c>
      <c r="BC374" s="351"/>
      <c r="BD374" s="681" t="s">
        <v>294</v>
      </c>
      <c r="BE374" s="350"/>
      <c r="BF374" s="351"/>
      <c r="BG374" s="678" t="s">
        <v>294</v>
      </c>
      <c r="BH374" s="350"/>
      <c r="BI374" s="350"/>
      <c r="BJ374" s="351"/>
      <c r="BK374" s="680"/>
      <c r="BL374" s="350"/>
      <c r="BM374" s="351"/>
      <c r="BN374" s="82"/>
      <c r="BO374" s="82"/>
      <c r="BP374" s="678"/>
      <c r="BQ374" s="350"/>
      <c r="BR374" s="351"/>
      <c r="BS374" s="681" t="s">
        <v>294</v>
      </c>
      <c r="BT374" s="350"/>
      <c r="BU374" s="351"/>
    </row>
    <row r="375" spans="1:73" ht="30" customHeight="1">
      <c r="A375" s="76">
        <f t="shared" si="1"/>
        <v>361</v>
      </c>
      <c r="B375" s="686" t="s">
        <v>325</v>
      </c>
      <c r="C375" s="351"/>
      <c r="D375" s="687" t="s">
        <v>294</v>
      </c>
      <c r="E375" s="350"/>
      <c r="F375" s="350"/>
      <c r="G375" s="351"/>
      <c r="H375" s="688" t="s">
        <v>294</v>
      </c>
      <c r="I375" s="350"/>
      <c r="J375" s="350"/>
      <c r="K375" s="351"/>
      <c r="L375" s="538" t="s">
        <v>294</v>
      </c>
      <c r="M375" s="350"/>
      <c r="N375" s="351"/>
      <c r="O375" s="539" t="s">
        <v>294</v>
      </c>
      <c r="P375" s="350"/>
      <c r="Q375" s="351"/>
      <c r="R375" s="574"/>
      <c r="S375" s="350"/>
      <c r="T375" s="351"/>
      <c r="U375" s="567"/>
      <c r="V375" s="350"/>
      <c r="W375" s="351"/>
      <c r="X375" s="77"/>
      <c r="Y375" s="78"/>
      <c r="Z375" s="77"/>
      <c r="AA375" s="78"/>
      <c r="AB375" s="77"/>
      <c r="AC375" s="78"/>
      <c r="AD375" s="77"/>
      <c r="AE375" s="78"/>
      <c r="AF375" s="77"/>
      <c r="AG375" s="78"/>
      <c r="AH375" s="77"/>
      <c r="AI375" s="78"/>
      <c r="AJ375" s="64"/>
      <c r="AK375" s="80"/>
      <c r="AL375" s="64"/>
      <c r="AM375" s="80"/>
      <c r="AN375" s="64"/>
      <c r="AO375" s="80"/>
      <c r="AP375" s="64"/>
      <c r="AQ375" s="80"/>
      <c r="AR375" s="64"/>
      <c r="AS375" s="679" t="s">
        <v>294</v>
      </c>
      <c r="AT375" s="350"/>
      <c r="AU375" s="350"/>
      <c r="AV375" s="350"/>
      <c r="AW375" s="350"/>
      <c r="AX375" s="350"/>
      <c r="AY375" s="351"/>
      <c r="AZ375" s="81"/>
      <c r="BA375" s="81"/>
      <c r="BB375" s="677" t="s">
        <v>325</v>
      </c>
      <c r="BC375" s="351"/>
      <c r="BD375" s="681" t="s">
        <v>294</v>
      </c>
      <c r="BE375" s="350"/>
      <c r="BF375" s="351"/>
      <c r="BG375" s="678" t="s">
        <v>294</v>
      </c>
      <c r="BH375" s="350"/>
      <c r="BI375" s="350"/>
      <c r="BJ375" s="351"/>
      <c r="BK375" s="680"/>
      <c r="BL375" s="350"/>
      <c r="BM375" s="351"/>
      <c r="BN375" s="82"/>
      <c r="BO375" s="82"/>
      <c r="BP375" s="678"/>
      <c r="BQ375" s="350"/>
      <c r="BR375" s="351"/>
      <c r="BS375" s="681" t="s">
        <v>294</v>
      </c>
      <c r="BT375" s="350"/>
      <c r="BU375" s="351"/>
    </row>
    <row r="376" spans="1:73" ht="30" customHeight="1">
      <c r="A376" s="76">
        <f t="shared" si="1"/>
        <v>362</v>
      </c>
      <c r="B376" s="686" t="s">
        <v>325</v>
      </c>
      <c r="C376" s="351"/>
      <c r="D376" s="687" t="s">
        <v>294</v>
      </c>
      <c r="E376" s="350"/>
      <c r="F376" s="350"/>
      <c r="G376" s="351"/>
      <c r="H376" s="688" t="s">
        <v>294</v>
      </c>
      <c r="I376" s="350"/>
      <c r="J376" s="350"/>
      <c r="K376" s="351"/>
      <c r="L376" s="538" t="s">
        <v>294</v>
      </c>
      <c r="M376" s="350"/>
      <c r="N376" s="351"/>
      <c r="O376" s="539" t="s">
        <v>294</v>
      </c>
      <c r="P376" s="350"/>
      <c r="Q376" s="351"/>
      <c r="R376" s="574"/>
      <c r="S376" s="350"/>
      <c r="T376" s="351"/>
      <c r="U376" s="567"/>
      <c r="V376" s="350"/>
      <c r="W376" s="351"/>
      <c r="X376" s="77"/>
      <c r="Y376" s="78"/>
      <c r="Z376" s="77"/>
      <c r="AA376" s="78"/>
      <c r="AB376" s="77"/>
      <c r="AC376" s="78"/>
      <c r="AD376" s="77"/>
      <c r="AE376" s="78"/>
      <c r="AF376" s="77"/>
      <c r="AG376" s="78"/>
      <c r="AH376" s="77"/>
      <c r="AI376" s="78"/>
      <c r="AJ376" s="64"/>
      <c r="AK376" s="80"/>
      <c r="AL376" s="64"/>
      <c r="AM376" s="80"/>
      <c r="AN376" s="64"/>
      <c r="AO376" s="80"/>
      <c r="AP376" s="64"/>
      <c r="AQ376" s="80"/>
      <c r="AR376" s="64"/>
      <c r="AS376" s="679" t="s">
        <v>294</v>
      </c>
      <c r="AT376" s="350"/>
      <c r="AU376" s="350"/>
      <c r="AV376" s="350"/>
      <c r="AW376" s="350"/>
      <c r="AX376" s="350"/>
      <c r="AY376" s="351"/>
      <c r="AZ376" s="81"/>
      <c r="BA376" s="81"/>
      <c r="BB376" s="677" t="s">
        <v>325</v>
      </c>
      <c r="BC376" s="351"/>
      <c r="BD376" s="681" t="s">
        <v>294</v>
      </c>
      <c r="BE376" s="350"/>
      <c r="BF376" s="351"/>
      <c r="BG376" s="678" t="s">
        <v>294</v>
      </c>
      <c r="BH376" s="350"/>
      <c r="BI376" s="350"/>
      <c r="BJ376" s="351"/>
      <c r="BK376" s="680"/>
      <c r="BL376" s="350"/>
      <c r="BM376" s="351"/>
      <c r="BN376" s="82"/>
      <c r="BO376" s="82"/>
      <c r="BP376" s="678"/>
      <c r="BQ376" s="350"/>
      <c r="BR376" s="351"/>
      <c r="BS376" s="681" t="s">
        <v>294</v>
      </c>
      <c r="BT376" s="350"/>
      <c r="BU376" s="351"/>
    </row>
    <row r="377" spans="1:73" ht="30" customHeight="1">
      <c r="A377" s="76">
        <f t="shared" si="1"/>
        <v>363</v>
      </c>
      <c r="B377" s="686" t="s">
        <v>325</v>
      </c>
      <c r="C377" s="351"/>
      <c r="D377" s="687" t="s">
        <v>294</v>
      </c>
      <c r="E377" s="350"/>
      <c r="F377" s="350"/>
      <c r="G377" s="351"/>
      <c r="H377" s="688" t="s">
        <v>294</v>
      </c>
      <c r="I377" s="350"/>
      <c r="J377" s="350"/>
      <c r="K377" s="351"/>
      <c r="L377" s="538" t="s">
        <v>294</v>
      </c>
      <c r="M377" s="350"/>
      <c r="N377" s="351"/>
      <c r="O377" s="539" t="s">
        <v>294</v>
      </c>
      <c r="P377" s="350"/>
      <c r="Q377" s="351"/>
      <c r="R377" s="574"/>
      <c r="S377" s="350"/>
      <c r="T377" s="351"/>
      <c r="U377" s="567"/>
      <c r="V377" s="350"/>
      <c r="W377" s="351"/>
      <c r="X377" s="77"/>
      <c r="Y377" s="78"/>
      <c r="Z377" s="77"/>
      <c r="AA377" s="78"/>
      <c r="AB377" s="77"/>
      <c r="AC377" s="78"/>
      <c r="AD377" s="77"/>
      <c r="AE377" s="78"/>
      <c r="AF377" s="77"/>
      <c r="AG377" s="78"/>
      <c r="AH377" s="77"/>
      <c r="AI377" s="78"/>
      <c r="AJ377" s="64"/>
      <c r="AK377" s="80"/>
      <c r="AL377" s="64"/>
      <c r="AM377" s="80"/>
      <c r="AN377" s="64"/>
      <c r="AO377" s="80"/>
      <c r="AP377" s="64"/>
      <c r="AQ377" s="80"/>
      <c r="AR377" s="64"/>
      <c r="AS377" s="679" t="s">
        <v>294</v>
      </c>
      <c r="AT377" s="350"/>
      <c r="AU377" s="350"/>
      <c r="AV377" s="350"/>
      <c r="AW377" s="350"/>
      <c r="AX377" s="350"/>
      <c r="AY377" s="351"/>
      <c r="AZ377" s="81"/>
      <c r="BA377" s="81"/>
      <c r="BB377" s="677" t="s">
        <v>325</v>
      </c>
      <c r="BC377" s="351"/>
      <c r="BD377" s="681" t="s">
        <v>294</v>
      </c>
      <c r="BE377" s="350"/>
      <c r="BF377" s="351"/>
      <c r="BG377" s="678" t="s">
        <v>294</v>
      </c>
      <c r="BH377" s="350"/>
      <c r="BI377" s="350"/>
      <c r="BJ377" s="351"/>
      <c r="BK377" s="680"/>
      <c r="BL377" s="350"/>
      <c r="BM377" s="351"/>
      <c r="BN377" s="82"/>
      <c r="BO377" s="82"/>
      <c r="BP377" s="678"/>
      <c r="BQ377" s="350"/>
      <c r="BR377" s="351"/>
      <c r="BS377" s="681" t="s">
        <v>294</v>
      </c>
      <c r="BT377" s="350"/>
      <c r="BU377" s="351"/>
    </row>
    <row r="378" spans="1:73" ht="30" customHeight="1">
      <c r="A378" s="76">
        <f t="shared" si="1"/>
        <v>364</v>
      </c>
      <c r="B378" s="686" t="s">
        <v>325</v>
      </c>
      <c r="C378" s="351"/>
      <c r="D378" s="687" t="s">
        <v>294</v>
      </c>
      <c r="E378" s="350"/>
      <c r="F378" s="350"/>
      <c r="G378" s="351"/>
      <c r="H378" s="688" t="s">
        <v>294</v>
      </c>
      <c r="I378" s="350"/>
      <c r="J378" s="350"/>
      <c r="K378" s="351"/>
      <c r="L378" s="538" t="s">
        <v>294</v>
      </c>
      <c r="M378" s="350"/>
      <c r="N378" s="351"/>
      <c r="O378" s="539" t="s">
        <v>294</v>
      </c>
      <c r="P378" s="350"/>
      <c r="Q378" s="351"/>
      <c r="R378" s="574"/>
      <c r="S378" s="350"/>
      <c r="T378" s="351"/>
      <c r="U378" s="567"/>
      <c r="V378" s="350"/>
      <c r="W378" s="351"/>
      <c r="X378" s="77"/>
      <c r="Y378" s="78"/>
      <c r="Z378" s="77"/>
      <c r="AA378" s="78"/>
      <c r="AB378" s="77"/>
      <c r="AC378" s="78"/>
      <c r="AD378" s="77"/>
      <c r="AE378" s="78"/>
      <c r="AF378" s="77"/>
      <c r="AG378" s="78"/>
      <c r="AH378" s="77"/>
      <c r="AI378" s="78"/>
      <c r="AJ378" s="64"/>
      <c r="AK378" s="80"/>
      <c r="AL378" s="64"/>
      <c r="AM378" s="80"/>
      <c r="AN378" s="64"/>
      <c r="AO378" s="80"/>
      <c r="AP378" s="64"/>
      <c r="AQ378" s="80"/>
      <c r="AR378" s="64"/>
      <c r="AS378" s="679" t="s">
        <v>294</v>
      </c>
      <c r="AT378" s="350"/>
      <c r="AU378" s="350"/>
      <c r="AV378" s="350"/>
      <c r="AW378" s="350"/>
      <c r="AX378" s="350"/>
      <c r="AY378" s="351"/>
      <c r="AZ378" s="81"/>
      <c r="BA378" s="81"/>
      <c r="BB378" s="677" t="s">
        <v>325</v>
      </c>
      <c r="BC378" s="351"/>
      <c r="BD378" s="681" t="s">
        <v>294</v>
      </c>
      <c r="BE378" s="350"/>
      <c r="BF378" s="351"/>
      <c r="BG378" s="678" t="s">
        <v>294</v>
      </c>
      <c r="BH378" s="350"/>
      <c r="BI378" s="350"/>
      <c r="BJ378" s="351"/>
      <c r="BK378" s="680"/>
      <c r="BL378" s="350"/>
      <c r="BM378" s="351"/>
      <c r="BN378" s="82"/>
      <c r="BO378" s="82"/>
      <c r="BP378" s="678"/>
      <c r="BQ378" s="350"/>
      <c r="BR378" s="351"/>
      <c r="BS378" s="681" t="s">
        <v>294</v>
      </c>
      <c r="BT378" s="350"/>
      <c r="BU378" s="351"/>
    </row>
    <row r="379" spans="1:73" ht="30" customHeight="1">
      <c r="A379" s="76">
        <f t="shared" si="1"/>
        <v>365</v>
      </c>
      <c r="B379" s="686" t="s">
        <v>325</v>
      </c>
      <c r="C379" s="351"/>
      <c r="D379" s="687" t="s">
        <v>294</v>
      </c>
      <c r="E379" s="350"/>
      <c r="F379" s="350"/>
      <c r="G379" s="351"/>
      <c r="H379" s="688" t="s">
        <v>294</v>
      </c>
      <c r="I379" s="350"/>
      <c r="J379" s="350"/>
      <c r="K379" s="351"/>
      <c r="L379" s="538" t="s">
        <v>294</v>
      </c>
      <c r="M379" s="350"/>
      <c r="N379" s="351"/>
      <c r="O379" s="539" t="s">
        <v>294</v>
      </c>
      <c r="P379" s="350"/>
      <c r="Q379" s="351"/>
      <c r="R379" s="574"/>
      <c r="S379" s="350"/>
      <c r="T379" s="351"/>
      <c r="U379" s="567"/>
      <c r="V379" s="350"/>
      <c r="W379" s="351"/>
      <c r="X379" s="77"/>
      <c r="Y379" s="78"/>
      <c r="Z379" s="77"/>
      <c r="AA379" s="78"/>
      <c r="AB379" s="77"/>
      <c r="AC379" s="78"/>
      <c r="AD379" s="77"/>
      <c r="AE379" s="78"/>
      <c r="AF379" s="77"/>
      <c r="AG379" s="78"/>
      <c r="AH379" s="77"/>
      <c r="AI379" s="78"/>
      <c r="AJ379" s="64"/>
      <c r="AK379" s="80"/>
      <c r="AL379" s="64"/>
      <c r="AM379" s="80"/>
      <c r="AN379" s="64"/>
      <c r="AO379" s="80"/>
      <c r="AP379" s="64"/>
      <c r="AQ379" s="80"/>
      <c r="AR379" s="64"/>
      <c r="AS379" s="679" t="s">
        <v>294</v>
      </c>
      <c r="AT379" s="350"/>
      <c r="AU379" s="350"/>
      <c r="AV379" s="350"/>
      <c r="AW379" s="350"/>
      <c r="AX379" s="350"/>
      <c r="AY379" s="351"/>
      <c r="AZ379" s="81"/>
      <c r="BA379" s="81"/>
      <c r="BB379" s="677" t="s">
        <v>325</v>
      </c>
      <c r="BC379" s="351"/>
      <c r="BD379" s="681" t="s">
        <v>294</v>
      </c>
      <c r="BE379" s="350"/>
      <c r="BF379" s="351"/>
      <c r="BG379" s="678" t="s">
        <v>294</v>
      </c>
      <c r="BH379" s="350"/>
      <c r="BI379" s="350"/>
      <c r="BJ379" s="351"/>
      <c r="BK379" s="680"/>
      <c r="BL379" s="350"/>
      <c r="BM379" s="351"/>
      <c r="BN379" s="82"/>
      <c r="BO379" s="82"/>
      <c r="BP379" s="678"/>
      <c r="BQ379" s="350"/>
      <c r="BR379" s="351"/>
      <c r="BS379" s="681" t="s">
        <v>294</v>
      </c>
      <c r="BT379" s="350"/>
      <c r="BU379" s="351"/>
    </row>
    <row r="380" spans="1:73" ht="30" customHeight="1">
      <c r="A380" s="76">
        <f t="shared" si="1"/>
        <v>366</v>
      </c>
      <c r="B380" s="686" t="s">
        <v>325</v>
      </c>
      <c r="C380" s="351"/>
      <c r="D380" s="687" t="s">
        <v>294</v>
      </c>
      <c r="E380" s="350"/>
      <c r="F380" s="350"/>
      <c r="G380" s="351"/>
      <c r="H380" s="688" t="s">
        <v>294</v>
      </c>
      <c r="I380" s="350"/>
      <c r="J380" s="350"/>
      <c r="K380" s="351"/>
      <c r="L380" s="538" t="s">
        <v>294</v>
      </c>
      <c r="M380" s="350"/>
      <c r="N380" s="351"/>
      <c r="O380" s="539" t="s">
        <v>294</v>
      </c>
      <c r="P380" s="350"/>
      <c r="Q380" s="351"/>
      <c r="R380" s="574"/>
      <c r="S380" s="350"/>
      <c r="T380" s="351"/>
      <c r="U380" s="567"/>
      <c r="V380" s="350"/>
      <c r="W380" s="351"/>
      <c r="X380" s="77"/>
      <c r="Y380" s="78"/>
      <c r="Z380" s="77"/>
      <c r="AA380" s="78"/>
      <c r="AB380" s="77"/>
      <c r="AC380" s="78"/>
      <c r="AD380" s="77"/>
      <c r="AE380" s="78"/>
      <c r="AF380" s="77"/>
      <c r="AG380" s="78"/>
      <c r="AH380" s="77"/>
      <c r="AI380" s="78"/>
      <c r="AJ380" s="64"/>
      <c r="AK380" s="80"/>
      <c r="AL380" s="64"/>
      <c r="AM380" s="80"/>
      <c r="AN380" s="64"/>
      <c r="AO380" s="80"/>
      <c r="AP380" s="64"/>
      <c r="AQ380" s="80"/>
      <c r="AR380" s="64"/>
      <c r="AS380" s="679" t="s">
        <v>294</v>
      </c>
      <c r="AT380" s="350"/>
      <c r="AU380" s="350"/>
      <c r="AV380" s="350"/>
      <c r="AW380" s="350"/>
      <c r="AX380" s="350"/>
      <c r="AY380" s="351"/>
      <c r="AZ380" s="81"/>
      <c r="BA380" s="81"/>
      <c r="BB380" s="677" t="s">
        <v>325</v>
      </c>
      <c r="BC380" s="351"/>
      <c r="BD380" s="681" t="s">
        <v>294</v>
      </c>
      <c r="BE380" s="350"/>
      <c r="BF380" s="351"/>
      <c r="BG380" s="678" t="s">
        <v>294</v>
      </c>
      <c r="BH380" s="350"/>
      <c r="BI380" s="350"/>
      <c r="BJ380" s="351"/>
      <c r="BK380" s="680"/>
      <c r="BL380" s="350"/>
      <c r="BM380" s="351"/>
      <c r="BN380" s="82"/>
      <c r="BO380" s="82"/>
      <c r="BP380" s="678"/>
      <c r="BQ380" s="350"/>
      <c r="BR380" s="351"/>
      <c r="BS380" s="681" t="s">
        <v>294</v>
      </c>
      <c r="BT380" s="350"/>
      <c r="BU380" s="351"/>
    </row>
    <row r="381" spans="1:73" ht="30" customHeight="1">
      <c r="A381" s="76">
        <f t="shared" si="1"/>
        <v>367</v>
      </c>
      <c r="B381" s="686" t="s">
        <v>325</v>
      </c>
      <c r="C381" s="351"/>
      <c r="D381" s="687" t="s">
        <v>294</v>
      </c>
      <c r="E381" s="350"/>
      <c r="F381" s="350"/>
      <c r="G381" s="351"/>
      <c r="H381" s="688" t="s">
        <v>294</v>
      </c>
      <c r="I381" s="350"/>
      <c r="J381" s="350"/>
      <c r="K381" s="351"/>
      <c r="L381" s="538" t="s">
        <v>294</v>
      </c>
      <c r="M381" s="350"/>
      <c r="N381" s="351"/>
      <c r="O381" s="539" t="s">
        <v>294</v>
      </c>
      <c r="P381" s="350"/>
      <c r="Q381" s="351"/>
      <c r="R381" s="574"/>
      <c r="S381" s="350"/>
      <c r="T381" s="351"/>
      <c r="U381" s="567"/>
      <c r="V381" s="350"/>
      <c r="W381" s="351"/>
      <c r="X381" s="77"/>
      <c r="Y381" s="78"/>
      <c r="Z381" s="77"/>
      <c r="AA381" s="78"/>
      <c r="AB381" s="77"/>
      <c r="AC381" s="78"/>
      <c r="AD381" s="77"/>
      <c r="AE381" s="78"/>
      <c r="AF381" s="77"/>
      <c r="AG381" s="78"/>
      <c r="AH381" s="77"/>
      <c r="AI381" s="78"/>
      <c r="AJ381" s="64"/>
      <c r="AK381" s="80"/>
      <c r="AL381" s="64"/>
      <c r="AM381" s="80"/>
      <c r="AN381" s="64"/>
      <c r="AO381" s="80"/>
      <c r="AP381" s="64"/>
      <c r="AQ381" s="80"/>
      <c r="AR381" s="64"/>
      <c r="AS381" s="679" t="s">
        <v>294</v>
      </c>
      <c r="AT381" s="350"/>
      <c r="AU381" s="350"/>
      <c r="AV381" s="350"/>
      <c r="AW381" s="350"/>
      <c r="AX381" s="350"/>
      <c r="AY381" s="351"/>
      <c r="AZ381" s="81"/>
      <c r="BA381" s="81"/>
      <c r="BB381" s="677" t="s">
        <v>325</v>
      </c>
      <c r="BC381" s="351"/>
      <c r="BD381" s="681" t="s">
        <v>294</v>
      </c>
      <c r="BE381" s="350"/>
      <c r="BF381" s="351"/>
      <c r="BG381" s="678" t="s">
        <v>294</v>
      </c>
      <c r="BH381" s="350"/>
      <c r="BI381" s="350"/>
      <c r="BJ381" s="351"/>
      <c r="BK381" s="680"/>
      <c r="BL381" s="350"/>
      <c r="BM381" s="351"/>
      <c r="BN381" s="82"/>
      <c r="BO381" s="82"/>
      <c r="BP381" s="678"/>
      <c r="BQ381" s="350"/>
      <c r="BR381" s="351"/>
      <c r="BS381" s="681" t="s">
        <v>294</v>
      </c>
      <c r="BT381" s="350"/>
      <c r="BU381" s="351"/>
    </row>
    <row r="382" spans="1:73" ht="30" customHeight="1">
      <c r="A382" s="76">
        <f t="shared" si="1"/>
        <v>368</v>
      </c>
      <c r="B382" s="686" t="s">
        <v>325</v>
      </c>
      <c r="C382" s="351"/>
      <c r="D382" s="687" t="s">
        <v>294</v>
      </c>
      <c r="E382" s="350"/>
      <c r="F382" s="350"/>
      <c r="G382" s="351"/>
      <c r="H382" s="688" t="s">
        <v>294</v>
      </c>
      <c r="I382" s="350"/>
      <c r="J382" s="350"/>
      <c r="K382" s="351"/>
      <c r="L382" s="538" t="s">
        <v>294</v>
      </c>
      <c r="M382" s="350"/>
      <c r="N382" s="351"/>
      <c r="O382" s="539" t="s">
        <v>294</v>
      </c>
      <c r="P382" s="350"/>
      <c r="Q382" s="351"/>
      <c r="R382" s="574"/>
      <c r="S382" s="350"/>
      <c r="T382" s="351"/>
      <c r="U382" s="567"/>
      <c r="V382" s="350"/>
      <c r="W382" s="351"/>
      <c r="X382" s="77"/>
      <c r="Y382" s="78"/>
      <c r="Z382" s="77"/>
      <c r="AA382" s="78"/>
      <c r="AB382" s="77"/>
      <c r="AC382" s="78"/>
      <c r="AD382" s="77"/>
      <c r="AE382" s="78"/>
      <c r="AF382" s="77"/>
      <c r="AG382" s="78"/>
      <c r="AH382" s="77"/>
      <c r="AI382" s="78"/>
      <c r="AJ382" s="64"/>
      <c r="AK382" s="80"/>
      <c r="AL382" s="64"/>
      <c r="AM382" s="80"/>
      <c r="AN382" s="64"/>
      <c r="AO382" s="80"/>
      <c r="AP382" s="64"/>
      <c r="AQ382" s="80"/>
      <c r="AR382" s="64"/>
      <c r="AS382" s="679" t="s">
        <v>294</v>
      </c>
      <c r="AT382" s="350"/>
      <c r="AU382" s="350"/>
      <c r="AV382" s="350"/>
      <c r="AW382" s="350"/>
      <c r="AX382" s="350"/>
      <c r="AY382" s="351"/>
      <c r="AZ382" s="81"/>
      <c r="BA382" s="81"/>
      <c r="BB382" s="677" t="s">
        <v>325</v>
      </c>
      <c r="BC382" s="351"/>
      <c r="BD382" s="681" t="s">
        <v>294</v>
      </c>
      <c r="BE382" s="350"/>
      <c r="BF382" s="351"/>
      <c r="BG382" s="678" t="s">
        <v>294</v>
      </c>
      <c r="BH382" s="350"/>
      <c r="BI382" s="350"/>
      <c r="BJ382" s="351"/>
      <c r="BK382" s="680"/>
      <c r="BL382" s="350"/>
      <c r="BM382" s="351"/>
      <c r="BN382" s="82"/>
      <c r="BO382" s="82"/>
      <c r="BP382" s="678"/>
      <c r="BQ382" s="350"/>
      <c r="BR382" s="351"/>
      <c r="BS382" s="681" t="s">
        <v>294</v>
      </c>
      <c r="BT382" s="350"/>
      <c r="BU382" s="351"/>
    </row>
    <row r="383" spans="1:73" ht="30" customHeight="1">
      <c r="A383" s="76">
        <f t="shared" si="1"/>
        <v>369</v>
      </c>
      <c r="B383" s="686" t="s">
        <v>325</v>
      </c>
      <c r="C383" s="351"/>
      <c r="D383" s="687" t="s">
        <v>294</v>
      </c>
      <c r="E383" s="350"/>
      <c r="F383" s="350"/>
      <c r="G383" s="351"/>
      <c r="H383" s="688" t="s">
        <v>294</v>
      </c>
      <c r="I383" s="350"/>
      <c r="J383" s="350"/>
      <c r="K383" s="351"/>
      <c r="L383" s="538" t="s">
        <v>294</v>
      </c>
      <c r="M383" s="350"/>
      <c r="N383" s="351"/>
      <c r="O383" s="539" t="s">
        <v>294</v>
      </c>
      <c r="P383" s="350"/>
      <c r="Q383" s="351"/>
      <c r="R383" s="574"/>
      <c r="S383" s="350"/>
      <c r="T383" s="351"/>
      <c r="U383" s="567"/>
      <c r="V383" s="350"/>
      <c r="W383" s="351"/>
      <c r="X383" s="77"/>
      <c r="Y383" s="78"/>
      <c r="Z383" s="77"/>
      <c r="AA383" s="78"/>
      <c r="AB383" s="77"/>
      <c r="AC383" s="78"/>
      <c r="AD383" s="77"/>
      <c r="AE383" s="78"/>
      <c r="AF383" s="77"/>
      <c r="AG383" s="78"/>
      <c r="AH383" s="77"/>
      <c r="AI383" s="78"/>
      <c r="AJ383" s="64"/>
      <c r="AK383" s="80"/>
      <c r="AL383" s="64"/>
      <c r="AM383" s="80"/>
      <c r="AN383" s="64"/>
      <c r="AO383" s="80"/>
      <c r="AP383" s="64"/>
      <c r="AQ383" s="80"/>
      <c r="AR383" s="64"/>
      <c r="AS383" s="679" t="s">
        <v>294</v>
      </c>
      <c r="AT383" s="350"/>
      <c r="AU383" s="350"/>
      <c r="AV383" s="350"/>
      <c r="AW383" s="350"/>
      <c r="AX383" s="350"/>
      <c r="AY383" s="351"/>
      <c r="AZ383" s="81"/>
      <c r="BA383" s="81"/>
      <c r="BB383" s="677" t="s">
        <v>325</v>
      </c>
      <c r="BC383" s="351"/>
      <c r="BD383" s="681" t="s">
        <v>294</v>
      </c>
      <c r="BE383" s="350"/>
      <c r="BF383" s="351"/>
      <c r="BG383" s="678" t="s">
        <v>294</v>
      </c>
      <c r="BH383" s="350"/>
      <c r="BI383" s="350"/>
      <c r="BJ383" s="351"/>
      <c r="BK383" s="680"/>
      <c r="BL383" s="350"/>
      <c r="BM383" s="351"/>
      <c r="BN383" s="82"/>
      <c r="BO383" s="82"/>
      <c r="BP383" s="678"/>
      <c r="BQ383" s="350"/>
      <c r="BR383" s="351"/>
      <c r="BS383" s="681" t="s">
        <v>294</v>
      </c>
      <c r="BT383" s="350"/>
      <c r="BU383" s="351"/>
    </row>
    <row r="384" spans="1:73" ht="30" customHeight="1">
      <c r="A384" s="76">
        <f t="shared" si="1"/>
        <v>370</v>
      </c>
      <c r="B384" s="686" t="s">
        <v>325</v>
      </c>
      <c r="C384" s="351"/>
      <c r="D384" s="687" t="s">
        <v>294</v>
      </c>
      <c r="E384" s="350"/>
      <c r="F384" s="350"/>
      <c r="G384" s="351"/>
      <c r="H384" s="688" t="s">
        <v>294</v>
      </c>
      <c r="I384" s="350"/>
      <c r="J384" s="350"/>
      <c r="K384" s="351"/>
      <c r="L384" s="538" t="s">
        <v>294</v>
      </c>
      <c r="M384" s="350"/>
      <c r="N384" s="351"/>
      <c r="O384" s="539" t="s">
        <v>294</v>
      </c>
      <c r="P384" s="350"/>
      <c r="Q384" s="351"/>
      <c r="R384" s="574"/>
      <c r="S384" s="350"/>
      <c r="T384" s="351"/>
      <c r="U384" s="567"/>
      <c r="V384" s="350"/>
      <c r="W384" s="351"/>
      <c r="X384" s="77"/>
      <c r="Y384" s="78"/>
      <c r="Z384" s="77"/>
      <c r="AA384" s="78"/>
      <c r="AB384" s="77"/>
      <c r="AC384" s="78"/>
      <c r="AD384" s="77"/>
      <c r="AE384" s="78"/>
      <c r="AF384" s="77"/>
      <c r="AG384" s="78"/>
      <c r="AH384" s="77"/>
      <c r="AI384" s="78"/>
      <c r="AJ384" s="64"/>
      <c r="AK384" s="80"/>
      <c r="AL384" s="64"/>
      <c r="AM384" s="80"/>
      <c r="AN384" s="64"/>
      <c r="AO384" s="80"/>
      <c r="AP384" s="64"/>
      <c r="AQ384" s="80"/>
      <c r="AR384" s="64"/>
      <c r="AS384" s="679" t="s">
        <v>294</v>
      </c>
      <c r="AT384" s="350"/>
      <c r="AU384" s="350"/>
      <c r="AV384" s="350"/>
      <c r="AW384" s="350"/>
      <c r="AX384" s="350"/>
      <c r="AY384" s="351"/>
      <c r="AZ384" s="81"/>
      <c r="BA384" s="81"/>
      <c r="BB384" s="677" t="s">
        <v>325</v>
      </c>
      <c r="BC384" s="351"/>
      <c r="BD384" s="681" t="s">
        <v>294</v>
      </c>
      <c r="BE384" s="350"/>
      <c r="BF384" s="351"/>
      <c r="BG384" s="678" t="s">
        <v>294</v>
      </c>
      <c r="BH384" s="350"/>
      <c r="BI384" s="350"/>
      <c r="BJ384" s="351"/>
      <c r="BK384" s="680"/>
      <c r="BL384" s="350"/>
      <c r="BM384" s="351"/>
      <c r="BN384" s="82"/>
      <c r="BO384" s="82"/>
      <c r="BP384" s="678"/>
      <c r="BQ384" s="350"/>
      <c r="BR384" s="351"/>
      <c r="BS384" s="681" t="s">
        <v>294</v>
      </c>
      <c r="BT384" s="350"/>
      <c r="BU384" s="351"/>
    </row>
    <row r="385" spans="1:73" ht="30" customHeight="1">
      <c r="A385" s="76">
        <f t="shared" si="1"/>
        <v>371</v>
      </c>
      <c r="B385" s="686" t="s">
        <v>325</v>
      </c>
      <c r="C385" s="351"/>
      <c r="D385" s="687" t="s">
        <v>294</v>
      </c>
      <c r="E385" s="350"/>
      <c r="F385" s="350"/>
      <c r="G385" s="351"/>
      <c r="H385" s="688" t="s">
        <v>294</v>
      </c>
      <c r="I385" s="350"/>
      <c r="J385" s="350"/>
      <c r="K385" s="351"/>
      <c r="L385" s="538" t="s">
        <v>294</v>
      </c>
      <c r="M385" s="350"/>
      <c r="N385" s="351"/>
      <c r="O385" s="539" t="s">
        <v>294</v>
      </c>
      <c r="P385" s="350"/>
      <c r="Q385" s="351"/>
      <c r="R385" s="574"/>
      <c r="S385" s="350"/>
      <c r="T385" s="351"/>
      <c r="U385" s="567"/>
      <c r="V385" s="350"/>
      <c r="W385" s="351"/>
      <c r="X385" s="77"/>
      <c r="Y385" s="78"/>
      <c r="Z385" s="77"/>
      <c r="AA385" s="78"/>
      <c r="AB385" s="77"/>
      <c r="AC385" s="78"/>
      <c r="AD385" s="77"/>
      <c r="AE385" s="78"/>
      <c r="AF385" s="77"/>
      <c r="AG385" s="78"/>
      <c r="AH385" s="77"/>
      <c r="AI385" s="78"/>
      <c r="AJ385" s="64"/>
      <c r="AK385" s="80"/>
      <c r="AL385" s="64"/>
      <c r="AM385" s="80"/>
      <c r="AN385" s="64"/>
      <c r="AO385" s="80"/>
      <c r="AP385" s="64"/>
      <c r="AQ385" s="80"/>
      <c r="AR385" s="64"/>
      <c r="AS385" s="679" t="s">
        <v>294</v>
      </c>
      <c r="AT385" s="350"/>
      <c r="AU385" s="350"/>
      <c r="AV385" s="350"/>
      <c r="AW385" s="350"/>
      <c r="AX385" s="350"/>
      <c r="AY385" s="351"/>
      <c r="AZ385" s="81"/>
      <c r="BA385" s="81"/>
      <c r="BB385" s="677" t="s">
        <v>325</v>
      </c>
      <c r="BC385" s="351"/>
      <c r="BD385" s="681" t="s">
        <v>294</v>
      </c>
      <c r="BE385" s="350"/>
      <c r="BF385" s="351"/>
      <c r="BG385" s="678" t="s">
        <v>294</v>
      </c>
      <c r="BH385" s="350"/>
      <c r="BI385" s="350"/>
      <c r="BJ385" s="351"/>
      <c r="BK385" s="680"/>
      <c r="BL385" s="350"/>
      <c r="BM385" s="351"/>
      <c r="BN385" s="82"/>
      <c r="BO385" s="82"/>
      <c r="BP385" s="678"/>
      <c r="BQ385" s="350"/>
      <c r="BR385" s="351"/>
      <c r="BS385" s="681" t="s">
        <v>294</v>
      </c>
      <c r="BT385" s="350"/>
      <c r="BU385" s="351"/>
    </row>
    <row r="386" spans="1:73" ht="30" customHeight="1">
      <c r="A386" s="76">
        <f t="shared" si="1"/>
        <v>372</v>
      </c>
      <c r="B386" s="686" t="s">
        <v>325</v>
      </c>
      <c r="C386" s="351"/>
      <c r="D386" s="687" t="s">
        <v>294</v>
      </c>
      <c r="E386" s="350"/>
      <c r="F386" s="350"/>
      <c r="G386" s="351"/>
      <c r="H386" s="688" t="s">
        <v>294</v>
      </c>
      <c r="I386" s="350"/>
      <c r="J386" s="350"/>
      <c r="K386" s="351"/>
      <c r="L386" s="538" t="s">
        <v>294</v>
      </c>
      <c r="M386" s="350"/>
      <c r="N386" s="351"/>
      <c r="O386" s="539" t="s">
        <v>294</v>
      </c>
      <c r="P386" s="350"/>
      <c r="Q386" s="351"/>
      <c r="R386" s="574"/>
      <c r="S386" s="350"/>
      <c r="T386" s="351"/>
      <c r="U386" s="567"/>
      <c r="V386" s="350"/>
      <c r="W386" s="351"/>
      <c r="X386" s="77"/>
      <c r="Y386" s="78"/>
      <c r="Z386" s="77"/>
      <c r="AA386" s="78"/>
      <c r="AB386" s="77"/>
      <c r="AC386" s="78"/>
      <c r="AD386" s="77"/>
      <c r="AE386" s="78"/>
      <c r="AF386" s="77"/>
      <c r="AG386" s="78"/>
      <c r="AH386" s="77"/>
      <c r="AI386" s="78"/>
      <c r="AJ386" s="64"/>
      <c r="AK386" s="80"/>
      <c r="AL386" s="64"/>
      <c r="AM386" s="80"/>
      <c r="AN386" s="64"/>
      <c r="AO386" s="80"/>
      <c r="AP386" s="64"/>
      <c r="AQ386" s="80"/>
      <c r="AR386" s="64"/>
      <c r="AS386" s="679" t="s">
        <v>294</v>
      </c>
      <c r="AT386" s="350"/>
      <c r="AU386" s="350"/>
      <c r="AV386" s="350"/>
      <c r="AW386" s="350"/>
      <c r="AX386" s="350"/>
      <c r="AY386" s="351"/>
      <c r="AZ386" s="81"/>
      <c r="BA386" s="81"/>
      <c r="BB386" s="677" t="s">
        <v>325</v>
      </c>
      <c r="BC386" s="351"/>
      <c r="BD386" s="681" t="s">
        <v>294</v>
      </c>
      <c r="BE386" s="350"/>
      <c r="BF386" s="351"/>
      <c r="BG386" s="678" t="s">
        <v>294</v>
      </c>
      <c r="BH386" s="350"/>
      <c r="BI386" s="350"/>
      <c r="BJ386" s="351"/>
      <c r="BK386" s="680"/>
      <c r="BL386" s="350"/>
      <c r="BM386" s="351"/>
      <c r="BN386" s="82"/>
      <c r="BO386" s="82"/>
      <c r="BP386" s="678"/>
      <c r="BQ386" s="350"/>
      <c r="BR386" s="351"/>
      <c r="BS386" s="681" t="s">
        <v>294</v>
      </c>
      <c r="BT386" s="350"/>
      <c r="BU386" s="351"/>
    </row>
    <row r="387" spans="1:73" ht="30" customHeight="1">
      <c r="A387" s="76">
        <f t="shared" si="1"/>
        <v>373</v>
      </c>
      <c r="B387" s="686" t="s">
        <v>325</v>
      </c>
      <c r="C387" s="351"/>
      <c r="D387" s="687" t="s">
        <v>294</v>
      </c>
      <c r="E387" s="350"/>
      <c r="F387" s="350"/>
      <c r="G387" s="351"/>
      <c r="H387" s="688" t="s">
        <v>294</v>
      </c>
      <c r="I387" s="350"/>
      <c r="J387" s="350"/>
      <c r="K387" s="351"/>
      <c r="L387" s="538" t="s">
        <v>294</v>
      </c>
      <c r="M387" s="350"/>
      <c r="N387" s="351"/>
      <c r="O387" s="539" t="s">
        <v>294</v>
      </c>
      <c r="P387" s="350"/>
      <c r="Q387" s="351"/>
      <c r="R387" s="574"/>
      <c r="S387" s="350"/>
      <c r="T387" s="351"/>
      <c r="U387" s="567"/>
      <c r="V387" s="350"/>
      <c r="W387" s="351"/>
      <c r="X387" s="77"/>
      <c r="Y387" s="78"/>
      <c r="Z387" s="77"/>
      <c r="AA387" s="78"/>
      <c r="AB387" s="77"/>
      <c r="AC387" s="78"/>
      <c r="AD387" s="77"/>
      <c r="AE387" s="78"/>
      <c r="AF387" s="77"/>
      <c r="AG387" s="78"/>
      <c r="AH387" s="77"/>
      <c r="AI387" s="78"/>
      <c r="AJ387" s="64"/>
      <c r="AK387" s="80"/>
      <c r="AL387" s="64"/>
      <c r="AM387" s="80"/>
      <c r="AN387" s="64"/>
      <c r="AO387" s="80"/>
      <c r="AP387" s="64"/>
      <c r="AQ387" s="80"/>
      <c r="AR387" s="64"/>
      <c r="AS387" s="679" t="s">
        <v>294</v>
      </c>
      <c r="AT387" s="350"/>
      <c r="AU387" s="350"/>
      <c r="AV387" s="350"/>
      <c r="AW387" s="350"/>
      <c r="AX387" s="350"/>
      <c r="AY387" s="351"/>
      <c r="AZ387" s="81"/>
      <c r="BA387" s="81"/>
      <c r="BB387" s="677" t="s">
        <v>325</v>
      </c>
      <c r="BC387" s="351"/>
      <c r="BD387" s="681" t="s">
        <v>294</v>
      </c>
      <c r="BE387" s="350"/>
      <c r="BF387" s="351"/>
      <c r="BG387" s="678" t="s">
        <v>294</v>
      </c>
      <c r="BH387" s="350"/>
      <c r="BI387" s="350"/>
      <c r="BJ387" s="351"/>
      <c r="BK387" s="680"/>
      <c r="BL387" s="350"/>
      <c r="BM387" s="351"/>
      <c r="BN387" s="82"/>
      <c r="BO387" s="82"/>
      <c r="BP387" s="678"/>
      <c r="BQ387" s="350"/>
      <c r="BR387" s="351"/>
      <c r="BS387" s="681" t="s">
        <v>294</v>
      </c>
      <c r="BT387" s="350"/>
      <c r="BU387" s="351"/>
    </row>
    <row r="388" spans="1:73" ht="30" customHeight="1">
      <c r="A388" s="76">
        <f t="shared" si="1"/>
        <v>374</v>
      </c>
      <c r="B388" s="686" t="s">
        <v>325</v>
      </c>
      <c r="C388" s="351"/>
      <c r="D388" s="687" t="s">
        <v>294</v>
      </c>
      <c r="E388" s="350"/>
      <c r="F388" s="350"/>
      <c r="G388" s="351"/>
      <c r="H388" s="688" t="s">
        <v>294</v>
      </c>
      <c r="I388" s="350"/>
      <c r="J388" s="350"/>
      <c r="K388" s="351"/>
      <c r="L388" s="538" t="s">
        <v>294</v>
      </c>
      <c r="M388" s="350"/>
      <c r="N388" s="351"/>
      <c r="O388" s="539" t="s">
        <v>294</v>
      </c>
      <c r="P388" s="350"/>
      <c r="Q388" s="351"/>
      <c r="R388" s="574"/>
      <c r="S388" s="350"/>
      <c r="T388" s="351"/>
      <c r="U388" s="567"/>
      <c r="V388" s="350"/>
      <c r="W388" s="351"/>
      <c r="X388" s="77"/>
      <c r="Y388" s="78"/>
      <c r="Z388" s="77"/>
      <c r="AA388" s="78"/>
      <c r="AB388" s="77"/>
      <c r="AC388" s="78"/>
      <c r="AD388" s="77"/>
      <c r="AE388" s="78"/>
      <c r="AF388" s="77"/>
      <c r="AG388" s="78"/>
      <c r="AH388" s="77"/>
      <c r="AI388" s="78"/>
      <c r="AJ388" s="64"/>
      <c r="AK388" s="80"/>
      <c r="AL388" s="64"/>
      <c r="AM388" s="80"/>
      <c r="AN388" s="64"/>
      <c r="AO388" s="80"/>
      <c r="AP388" s="64"/>
      <c r="AQ388" s="80"/>
      <c r="AR388" s="64"/>
      <c r="AS388" s="679" t="s">
        <v>294</v>
      </c>
      <c r="AT388" s="350"/>
      <c r="AU388" s="350"/>
      <c r="AV388" s="350"/>
      <c r="AW388" s="350"/>
      <c r="AX388" s="350"/>
      <c r="AY388" s="351"/>
      <c r="AZ388" s="81"/>
      <c r="BA388" s="81"/>
      <c r="BB388" s="677" t="s">
        <v>325</v>
      </c>
      <c r="BC388" s="351"/>
      <c r="BD388" s="681" t="s">
        <v>294</v>
      </c>
      <c r="BE388" s="350"/>
      <c r="BF388" s="351"/>
      <c r="BG388" s="678" t="s">
        <v>294</v>
      </c>
      <c r="BH388" s="350"/>
      <c r="BI388" s="350"/>
      <c r="BJ388" s="351"/>
      <c r="BK388" s="680"/>
      <c r="BL388" s="350"/>
      <c r="BM388" s="351"/>
      <c r="BN388" s="82"/>
      <c r="BO388" s="82"/>
      <c r="BP388" s="678"/>
      <c r="BQ388" s="350"/>
      <c r="BR388" s="351"/>
      <c r="BS388" s="681" t="s">
        <v>294</v>
      </c>
      <c r="BT388" s="350"/>
      <c r="BU388" s="351"/>
    </row>
    <row r="389" spans="1:73" ht="30" customHeight="1">
      <c r="A389" s="76">
        <f t="shared" si="1"/>
        <v>375</v>
      </c>
      <c r="B389" s="686" t="s">
        <v>325</v>
      </c>
      <c r="C389" s="351"/>
      <c r="D389" s="687" t="s">
        <v>294</v>
      </c>
      <c r="E389" s="350"/>
      <c r="F389" s="350"/>
      <c r="G389" s="351"/>
      <c r="H389" s="688" t="s">
        <v>294</v>
      </c>
      <c r="I389" s="350"/>
      <c r="J389" s="350"/>
      <c r="K389" s="351"/>
      <c r="L389" s="538" t="s">
        <v>294</v>
      </c>
      <c r="M389" s="350"/>
      <c r="N389" s="351"/>
      <c r="O389" s="539" t="s">
        <v>294</v>
      </c>
      <c r="P389" s="350"/>
      <c r="Q389" s="351"/>
      <c r="R389" s="574"/>
      <c r="S389" s="350"/>
      <c r="T389" s="351"/>
      <c r="U389" s="567"/>
      <c r="V389" s="350"/>
      <c r="W389" s="351"/>
      <c r="X389" s="77"/>
      <c r="Y389" s="78"/>
      <c r="Z389" s="77"/>
      <c r="AA389" s="78"/>
      <c r="AB389" s="77"/>
      <c r="AC389" s="78"/>
      <c r="AD389" s="77"/>
      <c r="AE389" s="78"/>
      <c r="AF389" s="77"/>
      <c r="AG389" s="78"/>
      <c r="AH389" s="77"/>
      <c r="AI389" s="78"/>
      <c r="AJ389" s="64"/>
      <c r="AK389" s="80"/>
      <c r="AL389" s="64"/>
      <c r="AM389" s="80"/>
      <c r="AN389" s="64"/>
      <c r="AO389" s="80"/>
      <c r="AP389" s="64"/>
      <c r="AQ389" s="80"/>
      <c r="AR389" s="64"/>
      <c r="AS389" s="679" t="s">
        <v>294</v>
      </c>
      <c r="AT389" s="350"/>
      <c r="AU389" s="350"/>
      <c r="AV389" s="350"/>
      <c r="AW389" s="350"/>
      <c r="AX389" s="350"/>
      <c r="AY389" s="351"/>
      <c r="AZ389" s="81"/>
      <c r="BA389" s="81"/>
      <c r="BB389" s="677" t="s">
        <v>325</v>
      </c>
      <c r="BC389" s="351"/>
      <c r="BD389" s="681" t="s">
        <v>294</v>
      </c>
      <c r="BE389" s="350"/>
      <c r="BF389" s="351"/>
      <c r="BG389" s="678" t="s">
        <v>294</v>
      </c>
      <c r="BH389" s="350"/>
      <c r="BI389" s="350"/>
      <c r="BJ389" s="351"/>
      <c r="BK389" s="680"/>
      <c r="BL389" s="350"/>
      <c r="BM389" s="351"/>
      <c r="BN389" s="82"/>
      <c r="BO389" s="82"/>
      <c r="BP389" s="678"/>
      <c r="BQ389" s="350"/>
      <c r="BR389" s="351"/>
      <c r="BS389" s="681" t="s">
        <v>294</v>
      </c>
      <c r="BT389" s="350"/>
      <c r="BU389" s="351"/>
    </row>
    <row r="390" spans="1:73" ht="30" customHeight="1">
      <c r="A390" s="76">
        <f t="shared" si="1"/>
        <v>376</v>
      </c>
      <c r="B390" s="686" t="s">
        <v>325</v>
      </c>
      <c r="C390" s="351"/>
      <c r="D390" s="687" t="s">
        <v>294</v>
      </c>
      <c r="E390" s="350"/>
      <c r="F390" s="350"/>
      <c r="G390" s="351"/>
      <c r="H390" s="688" t="s">
        <v>294</v>
      </c>
      <c r="I390" s="350"/>
      <c r="J390" s="350"/>
      <c r="K390" s="351"/>
      <c r="L390" s="538" t="s">
        <v>294</v>
      </c>
      <c r="M390" s="350"/>
      <c r="N390" s="351"/>
      <c r="O390" s="539" t="s">
        <v>294</v>
      </c>
      <c r="P390" s="350"/>
      <c r="Q390" s="351"/>
      <c r="R390" s="574"/>
      <c r="S390" s="350"/>
      <c r="T390" s="351"/>
      <c r="U390" s="567"/>
      <c r="V390" s="350"/>
      <c r="W390" s="351"/>
      <c r="X390" s="77"/>
      <c r="Y390" s="78"/>
      <c r="Z390" s="77"/>
      <c r="AA390" s="78"/>
      <c r="AB390" s="77"/>
      <c r="AC390" s="78"/>
      <c r="AD390" s="77"/>
      <c r="AE390" s="78"/>
      <c r="AF390" s="77"/>
      <c r="AG390" s="78"/>
      <c r="AH390" s="77"/>
      <c r="AI390" s="78"/>
      <c r="AJ390" s="64"/>
      <c r="AK390" s="80"/>
      <c r="AL390" s="64"/>
      <c r="AM390" s="80"/>
      <c r="AN390" s="64"/>
      <c r="AO390" s="80"/>
      <c r="AP390" s="64"/>
      <c r="AQ390" s="80"/>
      <c r="AR390" s="64"/>
      <c r="AS390" s="679" t="s">
        <v>294</v>
      </c>
      <c r="AT390" s="350"/>
      <c r="AU390" s="350"/>
      <c r="AV390" s="350"/>
      <c r="AW390" s="350"/>
      <c r="AX390" s="350"/>
      <c r="AY390" s="351"/>
      <c r="AZ390" s="81"/>
      <c r="BA390" s="81"/>
      <c r="BB390" s="677" t="s">
        <v>325</v>
      </c>
      <c r="BC390" s="351"/>
      <c r="BD390" s="681" t="s">
        <v>294</v>
      </c>
      <c r="BE390" s="350"/>
      <c r="BF390" s="351"/>
      <c r="BG390" s="678" t="s">
        <v>294</v>
      </c>
      <c r="BH390" s="350"/>
      <c r="BI390" s="350"/>
      <c r="BJ390" s="351"/>
      <c r="BK390" s="680"/>
      <c r="BL390" s="350"/>
      <c r="BM390" s="351"/>
      <c r="BN390" s="82"/>
      <c r="BO390" s="82"/>
      <c r="BP390" s="678"/>
      <c r="BQ390" s="350"/>
      <c r="BR390" s="351"/>
      <c r="BS390" s="681" t="s">
        <v>294</v>
      </c>
      <c r="BT390" s="350"/>
      <c r="BU390" s="351"/>
    </row>
    <row r="391" spans="1:73" ht="30" customHeight="1">
      <c r="A391" s="76">
        <f t="shared" si="1"/>
        <v>377</v>
      </c>
      <c r="B391" s="686" t="s">
        <v>325</v>
      </c>
      <c r="C391" s="351"/>
      <c r="D391" s="687" t="s">
        <v>294</v>
      </c>
      <c r="E391" s="350"/>
      <c r="F391" s="350"/>
      <c r="G391" s="351"/>
      <c r="H391" s="688" t="s">
        <v>294</v>
      </c>
      <c r="I391" s="350"/>
      <c r="J391" s="350"/>
      <c r="K391" s="351"/>
      <c r="L391" s="538" t="s">
        <v>294</v>
      </c>
      <c r="M391" s="350"/>
      <c r="N391" s="351"/>
      <c r="O391" s="539" t="s">
        <v>294</v>
      </c>
      <c r="P391" s="350"/>
      <c r="Q391" s="351"/>
      <c r="R391" s="574"/>
      <c r="S391" s="350"/>
      <c r="T391" s="351"/>
      <c r="U391" s="567"/>
      <c r="V391" s="350"/>
      <c r="W391" s="351"/>
      <c r="X391" s="77"/>
      <c r="Y391" s="78"/>
      <c r="Z391" s="77"/>
      <c r="AA391" s="78"/>
      <c r="AB391" s="77"/>
      <c r="AC391" s="78"/>
      <c r="AD391" s="77"/>
      <c r="AE391" s="78"/>
      <c r="AF391" s="77"/>
      <c r="AG391" s="78"/>
      <c r="AH391" s="77"/>
      <c r="AI391" s="78"/>
      <c r="AJ391" s="64"/>
      <c r="AK391" s="80"/>
      <c r="AL391" s="64"/>
      <c r="AM391" s="80"/>
      <c r="AN391" s="64"/>
      <c r="AO391" s="80"/>
      <c r="AP391" s="64"/>
      <c r="AQ391" s="80"/>
      <c r="AR391" s="64"/>
      <c r="AS391" s="679" t="s">
        <v>294</v>
      </c>
      <c r="AT391" s="350"/>
      <c r="AU391" s="350"/>
      <c r="AV391" s="350"/>
      <c r="AW391" s="350"/>
      <c r="AX391" s="350"/>
      <c r="AY391" s="351"/>
      <c r="AZ391" s="81"/>
      <c r="BA391" s="81"/>
      <c r="BB391" s="677" t="s">
        <v>325</v>
      </c>
      <c r="BC391" s="351"/>
      <c r="BD391" s="681" t="s">
        <v>294</v>
      </c>
      <c r="BE391" s="350"/>
      <c r="BF391" s="351"/>
      <c r="BG391" s="678" t="s">
        <v>294</v>
      </c>
      <c r="BH391" s="350"/>
      <c r="BI391" s="350"/>
      <c r="BJ391" s="351"/>
      <c r="BK391" s="680"/>
      <c r="BL391" s="350"/>
      <c r="BM391" s="351"/>
      <c r="BN391" s="82"/>
      <c r="BO391" s="82"/>
      <c r="BP391" s="678"/>
      <c r="BQ391" s="350"/>
      <c r="BR391" s="351"/>
      <c r="BS391" s="681" t="s">
        <v>294</v>
      </c>
      <c r="BT391" s="350"/>
      <c r="BU391" s="351"/>
    </row>
    <row r="392" spans="1:73" ht="30" customHeight="1">
      <c r="A392" s="76">
        <f t="shared" si="1"/>
        <v>378</v>
      </c>
      <c r="B392" s="686" t="s">
        <v>325</v>
      </c>
      <c r="C392" s="351"/>
      <c r="D392" s="687" t="s">
        <v>294</v>
      </c>
      <c r="E392" s="350"/>
      <c r="F392" s="350"/>
      <c r="G392" s="351"/>
      <c r="H392" s="688" t="s">
        <v>294</v>
      </c>
      <c r="I392" s="350"/>
      <c r="J392" s="350"/>
      <c r="K392" s="351"/>
      <c r="L392" s="538" t="s">
        <v>294</v>
      </c>
      <c r="M392" s="350"/>
      <c r="N392" s="351"/>
      <c r="O392" s="539" t="s">
        <v>294</v>
      </c>
      <c r="P392" s="350"/>
      <c r="Q392" s="351"/>
      <c r="R392" s="574"/>
      <c r="S392" s="350"/>
      <c r="T392" s="351"/>
      <c r="U392" s="567"/>
      <c r="V392" s="350"/>
      <c r="W392" s="351"/>
      <c r="X392" s="77"/>
      <c r="Y392" s="78"/>
      <c r="Z392" s="77"/>
      <c r="AA392" s="78"/>
      <c r="AB392" s="77"/>
      <c r="AC392" s="78"/>
      <c r="AD392" s="77"/>
      <c r="AE392" s="78"/>
      <c r="AF392" s="77"/>
      <c r="AG392" s="78"/>
      <c r="AH392" s="77"/>
      <c r="AI392" s="78"/>
      <c r="AJ392" s="64"/>
      <c r="AK392" s="80"/>
      <c r="AL392" s="64"/>
      <c r="AM392" s="80"/>
      <c r="AN392" s="64"/>
      <c r="AO392" s="80"/>
      <c r="AP392" s="64"/>
      <c r="AQ392" s="80"/>
      <c r="AR392" s="64"/>
      <c r="AS392" s="679" t="s">
        <v>294</v>
      </c>
      <c r="AT392" s="350"/>
      <c r="AU392" s="350"/>
      <c r="AV392" s="350"/>
      <c r="AW392" s="350"/>
      <c r="AX392" s="350"/>
      <c r="AY392" s="351"/>
      <c r="AZ392" s="81"/>
      <c r="BA392" s="81"/>
      <c r="BB392" s="677" t="s">
        <v>325</v>
      </c>
      <c r="BC392" s="351"/>
      <c r="BD392" s="681" t="s">
        <v>294</v>
      </c>
      <c r="BE392" s="350"/>
      <c r="BF392" s="351"/>
      <c r="BG392" s="678" t="s">
        <v>294</v>
      </c>
      <c r="BH392" s="350"/>
      <c r="BI392" s="350"/>
      <c r="BJ392" s="351"/>
      <c r="BK392" s="680"/>
      <c r="BL392" s="350"/>
      <c r="BM392" s="351"/>
      <c r="BN392" s="82"/>
      <c r="BO392" s="82"/>
      <c r="BP392" s="678"/>
      <c r="BQ392" s="350"/>
      <c r="BR392" s="351"/>
      <c r="BS392" s="681" t="s">
        <v>294</v>
      </c>
      <c r="BT392" s="350"/>
      <c r="BU392" s="351"/>
    </row>
    <row r="393" spans="1:73" ht="30" customHeight="1">
      <c r="A393" s="76">
        <f t="shared" si="1"/>
        <v>379</v>
      </c>
      <c r="B393" s="686" t="s">
        <v>325</v>
      </c>
      <c r="C393" s="351"/>
      <c r="D393" s="687" t="s">
        <v>294</v>
      </c>
      <c r="E393" s="350"/>
      <c r="F393" s="350"/>
      <c r="G393" s="351"/>
      <c r="H393" s="688" t="s">
        <v>294</v>
      </c>
      <c r="I393" s="350"/>
      <c r="J393" s="350"/>
      <c r="K393" s="351"/>
      <c r="L393" s="538" t="s">
        <v>294</v>
      </c>
      <c r="M393" s="350"/>
      <c r="N393" s="351"/>
      <c r="O393" s="539" t="s">
        <v>294</v>
      </c>
      <c r="P393" s="350"/>
      <c r="Q393" s="351"/>
      <c r="R393" s="574"/>
      <c r="S393" s="350"/>
      <c r="T393" s="351"/>
      <c r="U393" s="567"/>
      <c r="V393" s="350"/>
      <c r="W393" s="351"/>
      <c r="X393" s="77"/>
      <c r="Y393" s="78"/>
      <c r="Z393" s="77"/>
      <c r="AA393" s="78"/>
      <c r="AB393" s="77"/>
      <c r="AC393" s="78"/>
      <c r="AD393" s="77"/>
      <c r="AE393" s="78"/>
      <c r="AF393" s="77"/>
      <c r="AG393" s="78"/>
      <c r="AH393" s="77"/>
      <c r="AI393" s="78"/>
      <c r="AJ393" s="64"/>
      <c r="AK393" s="80"/>
      <c r="AL393" s="64"/>
      <c r="AM393" s="80"/>
      <c r="AN393" s="64"/>
      <c r="AO393" s="80"/>
      <c r="AP393" s="64"/>
      <c r="AQ393" s="80"/>
      <c r="AR393" s="64"/>
      <c r="AS393" s="679" t="s">
        <v>294</v>
      </c>
      <c r="AT393" s="350"/>
      <c r="AU393" s="350"/>
      <c r="AV393" s="350"/>
      <c r="AW393" s="350"/>
      <c r="AX393" s="350"/>
      <c r="AY393" s="351"/>
      <c r="AZ393" s="81"/>
      <c r="BA393" s="81"/>
      <c r="BB393" s="677" t="s">
        <v>325</v>
      </c>
      <c r="BC393" s="351"/>
      <c r="BD393" s="681" t="s">
        <v>294</v>
      </c>
      <c r="BE393" s="350"/>
      <c r="BF393" s="351"/>
      <c r="BG393" s="678" t="s">
        <v>294</v>
      </c>
      <c r="BH393" s="350"/>
      <c r="BI393" s="350"/>
      <c r="BJ393" s="351"/>
      <c r="BK393" s="680"/>
      <c r="BL393" s="350"/>
      <c r="BM393" s="351"/>
      <c r="BN393" s="82"/>
      <c r="BO393" s="82"/>
      <c r="BP393" s="678"/>
      <c r="BQ393" s="350"/>
      <c r="BR393" s="351"/>
      <c r="BS393" s="681" t="s">
        <v>294</v>
      </c>
      <c r="BT393" s="350"/>
      <c r="BU393" s="351"/>
    </row>
    <row r="394" spans="1:73" ht="30" customHeight="1">
      <c r="A394" s="76">
        <f t="shared" si="1"/>
        <v>380</v>
      </c>
      <c r="B394" s="686" t="s">
        <v>325</v>
      </c>
      <c r="C394" s="351"/>
      <c r="D394" s="687" t="s">
        <v>294</v>
      </c>
      <c r="E394" s="350"/>
      <c r="F394" s="350"/>
      <c r="G394" s="351"/>
      <c r="H394" s="688" t="s">
        <v>294</v>
      </c>
      <c r="I394" s="350"/>
      <c r="J394" s="350"/>
      <c r="K394" s="351"/>
      <c r="L394" s="538" t="s">
        <v>294</v>
      </c>
      <c r="M394" s="350"/>
      <c r="N394" s="351"/>
      <c r="O394" s="539" t="s">
        <v>294</v>
      </c>
      <c r="P394" s="350"/>
      <c r="Q394" s="351"/>
      <c r="R394" s="574"/>
      <c r="S394" s="350"/>
      <c r="T394" s="351"/>
      <c r="U394" s="567"/>
      <c r="V394" s="350"/>
      <c r="W394" s="351"/>
      <c r="X394" s="77"/>
      <c r="Y394" s="78"/>
      <c r="Z394" s="77"/>
      <c r="AA394" s="78"/>
      <c r="AB394" s="77"/>
      <c r="AC394" s="78"/>
      <c r="AD394" s="77"/>
      <c r="AE394" s="78"/>
      <c r="AF394" s="77"/>
      <c r="AG394" s="78"/>
      <c r="AH394" s="77"/>
      <c r="AI394" s="78"/>
      <c r="AJ394" s="64"/>
      <c r="AK394" s="80"/>
      <c r="AL394" s="64"/>
      <c r="AM394" s="80"/>
      <c r="AN394" s="64"/>
      <c r="AO394" s="80"/>
      <c r="AP394" s="64"/>
      <c r="AQ394" s="80"/>
      <c r="AR394" s="64"/>
      <c r="AS394" s="679" t="s">
        <v>294</v>
      </c>
      <c r="AT394" s="350"/>
      <c r="AU394" s="350"/>
      <c r="AV394" s="350"/>
      <c r="AW394" s="350"/>
      <c r="AX394" s="350"/>
      <c r="AY394" s="351"/>
      <c r="AZ394" s="81"/>
      <c r="BA394" s="81"/>
      <c r="BB394" s="677" t="s">
        <v>325</v>
      </c>
      <c r="BC394" s="351"/>
      <c r="BD394" s="681" t="s">
        <v>294</v>
      </c>
      <c r="BE394" s="350"/>
      <c r="BF394" s="351"/>
      <c r="BG394" s="678" t="s">
        <v>294</v>
      </c>
      <c r="BH394" s="350"/>
      <c r="BI394" s="350"/>
      <c r="BJ394" s="351"/>
      <c r="BK394" s="680"/>
      <c r="BL394" s="350"/>
      <c r="BM394" s="351"/>
      <c r="BN394" s="82"/>
      <c r="BO394" s="82"/>
      <c r="BP394" s="678"/>
      <c r="BQ394" s="350"/>
      <c r="BR394" s="351"/>
      <c r="BS394" s="681" t="s">
        <v>294</v>
      </c>
      <c r="BT394" s="350"/>
      <c r="BU394" s="351"/>
    </row>
    <row r="395" spans="1:73" ht="30" customHeight="1">
      <c r="A395" s="76">
        <f t="shared" si="1"/>
        <v>381</v>
      </c>
      <c r="B395" s="686" t="s">
        <v>325</v>
      </c>
      <c r="C395" s="351"/>
      <c r="D395" s="687" t="s">
        <v>294</v>
      </c>
      <c r="E395" s="350"/>
      <c r="F395" s="350"/>
      <c r="G395" s="351"/>
      <c r="H395" s="688" t="s">
        <v>294</v>
      </c>
      <c r="I395" s="350"/>
      <c r="J395" s="350"/>
      <c r="K395" s="351"/>
      <c r="L395" s="538" t="s">
        <v>294</v>
      </c>
      <c r="M395" s="350"/>
      <c r="N395" s="351"/>
      <c r="O395" s="539" t="s">
        <v>294</v>
      </c>
      <c r="P395" s="350"/>
      <c r="Q395" s="351"/>
      <c r="R395" s="574"/>
      <c r="S395" s="350"/>
      <c r="T395" s="351"/>
      <c r="U395" s="567"/>
      <c r="V395" s="350"/>
      <c r="W395" s="351"/>
      <c r="X395" s="77"/>
      <c r="Y395" s="78"/>
      <c r="Z395" s="77"/>
      <c r="AA395" s="78"/>
      <c r="AB395" s="77"/>
      <c r="AC395" s="78"/>
      <c r="AD395" s="77"/>
      <c r="AE395" s="78"/>
      <c r="AF395" s="77"/>
      <c r="AG395" s="78"/>
      <c r="AH395" s="77"/>
      <c r="AI395" s="78"/>
      <c r="AJ395" s="64"/>
      <c r="AK395" s="80"/>
      <c r="AL395" s="64"/>
      <c r="AM395" s="80"/>
      <c r="AN395" s="64"/>
      <c r="AO395" s="80"/>
      <c r="AP395" s="64"/>
      <c r="AQ395" s="80"/>
      <c r="AR395" s="64"/>
      <c r="AS395" s="679" t="s">
        <v>294</v>
      </c>
      <c r="AT395" s="350"/>
      <c r="AU395" s="350"/>
      <c r="AV395" s="350"/>
      <c r="AW395" s="350"/>
      <c r="AX395" s="350"/>
      <c r="AY395" s="351"/>
      <c r="AZ395" s="81"/>
      <c r="BA395" s="81"/>
      <c r="BB395" s="677" t="s">
        <v>325</v>
      </c>
      <c r="BC395" s="351"/>
      <c r="BD395" s="681" t="s">
        <v>294</v>
      </c>
      <c r="BE395" s="350"/>
      <c r="BF395" s="351"/>
      <c r="BG395" s="678" t="s">
        <v>294</v>
      </c>
      <c r="BH395" s="350"/>
      <c r="BI395" s="350"/>
      <c r="BJ395" s="351"/>
      <c r="BK395" s="680"/>
      <c r="BL395" s="350"/>
      <c r="BM395" s="351"/>
      <c r="BN395" s="82"/>
      <c r="BO395" s="82"/>
      <c r="BP395" s="678"/>
      <c r="BQ395" s="350"/>
      <c r="BR395" s="351"/>
      <c r="BS395" s="681" t="s">
        <v>294</v>
      </c>
      <c r="BT395" s="350"/>
      <c r="BU395" s="351"/>
    </row>
    <row r="396" spans="1:73" ht="30" customHeight="1">
      <c r="A396" s="76">
        <f t="shared" si="1"/>
        <v>382</v>
      </c>
      <c r="B396" s="686" t="s">
        <v>325</v>
      </c>
      <c r="C396" s="351"/>
      <c r="D396" s="687" t="s">
        <v>294</v>
      </c>
      <c r="E396" s="350"/>
      <c r="F396" s="350"/>
      <c r="G396" s="351"/>
      <c r="H396" s="688" t="s">
        <v>294</v>
      </c>
      <c r="I396" s="350"/>
      <c r="J396" s="350"/>
      <c r="K396" s="351"/>
      <c r="L396" s="538" t="s">
        <v>294</v>
      </c>
      <c r="M396" s="350"/>
      <c r="N396" s="351"/>
      <c r="O396" s="539" t="s">
        <v>294</v>
      </c>
      <c r="P396" s="350"/>
      <c r="Q396" s="351"/>
      <c r="R396" s="574"/>
      <c r="S396" s="350"/>
      <c r="T396" s="351"/>
      <c r="U396" s="567"/>
      <c r="V396" s="350"/>
      <c r="W396" s="351"/>
      <c r="X396" s="77"/>
      <c r="Y396" s="78"/>
      <c r="Z396" s="77"/>
      <c r="AA396" s="78"/>
      <c r="AB396" s="77"/>
      <c r="AC396" s="78"/>
      <c r="AD396" s="77"/>
      <c r="AE396" s="78"/>
      <c r="AF396" s="77"/>
      <c r="AG396" s="78"/>
      <c r="AH396" s="77"/>
      <c r="AI396" s="78"/>
      <c r="AJ396" s="64"/>
      <c r="AK396" s="80"/>
      <c r="AL396" s="64"/>
      <c r="AM396" s="80"/>
      <c r="AN396" s="64"/>
      <c r="AO396" s="80"/>
      <c r="AP396" s="64"/>
      <c r="AQ396" s="80"/>
      <c r="AR396" s="64"/>
      <c r="AS396" s="679" t="s">
        <v>294</v>
      </c>
      <c r="AT396" s="350"/>
      <c r="AU396" s="350"/>
      <c r="AV396" s="350"/>
      <c r="AW396" s="350"/>
      <c r="AX396" s="350"/>
      <c r="AY396" s="351"/>
      <c r="AZ396" s="81"/>
      <c r="BA396" s="81"/>
      <c r="BB396" s="677" t="s">
        <v>325</v>
      </c>
      <c r="BC396" s="351"/>
      <c r="BD396" s="681" t="s">
        <v>294</v>
      </c>
      <c r="BE396" s="350"/>
      <c r="BF396" s="351"/>
      <c r="BG396" s="678" t="s">
        <v>294</v>
      </c>
      <c r="BH396" s="350"/>
      <c r="BI396" s="350"/>
      <c r="BJ396" s="351"/>
      <c r="BK396" s="680"/>
      <c r="BL396" s="350"/>
      <c r="BM396" s="351"/>
      <c r="BN396" s="82"/>
      <c r="BO396" s="82"/>
      <c r="BP396" s="678"/>
      <c r="BQ396" s="350"/>
      <c r="BR396" s="351"/>
      <c r="BS396" s="681" t="s">
        <v>294</v>
      </c>
      <c r="BT396" s="350"/>
      <c r="BU396" s="351"/>
    </row>
    <row r="397" spans="1:73" ht="30" customHeight="1">
      <c r="A397" s="76">
        <f t="shared" si="1"/>
        <v>383</v>
      </c>
      <c r="B397" s="686" t="s">
        <v>325</v>
      </c>
      <c r="C397" s="351"/>
      <c r="D397" s="687" t="s">
        <v>294</v>
      </c>
      <c r="E397" s="350"/>
      <c r="F397" s="350"/>
      <c r="G397" s="351"/>
      <c r="H397" s="688" t="s">
        <v>294</v>
      </c>
      <c r="I397" s="350"/>
      <c r="J397" s="350"/>
      <c r="K397" s="351"/>
      <c r="L397" s="538" t="s">
        <v>294</v>
      </c>
      <c r="M397" s="350"/>
      <c r="N397" s="351"/>
      <c r="O397" s="539" t="s">
        <v>294</v>
      </c>
      <c r="P397" s="350"/>
      <c r="Q397" s="351"/>
      <c r="R397" s="574"/>
      <c r="S397" s="350"/>
      <c r="T397" s="351"/>
      <c r="U397" s="567"/>
      <c r="V397" s="350"/>
      <c r="W397" s="351"/>
      <c r="X397" s="77"/>
      <c r="Y397" s="78"/>
      <c r="Z397" s="77"/>
      <c r="AA397" s="78"/>
      <c r="AB397" s="77"/>
      <c r="AC397" s="78"/>
      <c r="AD397" s="77"/>
      <c r="AE397" s="78"/>
      <c r="AF397" s="77"/>
      <c r="AG397" s="78"/>
      <c r="AH397" s="77"/>
      <c r="AI397" s="78"/>
      <c r="AJ397" s="64"/>
      <c r="AK397" s="80"/>
      <c r="AL397" s="64"/>
      <c r="AM397" s="80"/>
      <c r="AN397" s="64"/>
      <c r="AO397" s="80"/>
      <c r="AP397" s="64"/>
      <c r="AQ397" s="80"/>
      <c r="AR397" s="64"/>
      <c r="AS397" s="679" t="s">
        <v>294</v>
      </c>
      <c r="AT397" s="350"/>
      <c r="AU397" s="350"/>
      <c r="AV397" s="350"/>
      <c r="AW397" s="350"/>
      <c r="AX397" s="350"/>
      <c r="AY397" s="351"/>
      <c r="AZ397" s="81"/>
      <c r="BA397" s="81"/>
      <c r="BB397" s="677" t="s">
        <v>325</v>
      </c>
      <c r="BC397" s="351"/>
      <c r="BD397" s="681" t="s">
        <v>294</v>
      </c>
      <c r="BE397" s="350"/>
      <c r="BF397" s="351"/>
      <c r="BG397" s="678" t="s">
        <v>294</v>
      </c>
      <c r="BH397" s="350"/>
      <c r="BI397" s="350"/>
      <c r="BJ397" s="351"/>
      <c r="BK397" s="680"/>
      <c r="BL397" s="350"/>
      <c r="BM397" s="351"/>
      <c r="BN397" s="82"/>
      <c r="BO397" s="82"/>
      <c r="BP397" s="678"/>
      <c r="BQ397" s="350"/>
      <c r="BR397" s="351"/>
      <c r="BS397" s="681" t="s">
        <v>294</v>
      </c>
      <c r="BT397" s="350"/>
      <c r="BU397" s="351"/>
    </row>
    <row r="398" spans="1:73" ht="30" customHeight="1">
      <c r="A398" s="76">
        <f t="shared" si="1"/>
        <v>384</v>
      </c>
      <c r="B398" s="686" t="s">
        <v>325</v>
      </c>
      <c r="C398" s="351"/>
      <c r="D398" s="687" t="s">
        <v>294</v>
      </c>
      <c r="E398" s="350"/>
      <c r="F398" s="350"/>
      <c r="G398" s="351"/>
      <c r="H398" s="688" t="s">
        <v>294</v>
      </c>
      <c r="I398" s="350"/>
      <c r="J398" s="350"/>
      <c r="K398" s="351"/>
      <c r="L398" s="538" t="s">
        <v>294</v>
      </c>
      <c r="M398" s="350"/>
      <c r="N398" s="351"/>
      <c r="O398" s="539" t="s">
        <v>294</v>
      </c>
      <c r="P398" s="350"/>
      <c r="Q398" s="351"/>
      <c r="R398" s="574"/>
      <c r="S398" s="350"/>
      <c r="T398" s="351"/>
      <c r="U398" s="567"/>
      <c r="V398" s="350"/>
      <c r="W398" s="351"/>
      <c r="X398" s="77"/>
      <c r="Y398" s="78"/>
      <c r="Z398" s="77"/>
      <c r="AA398" s="78"/>
      <c r="AB398" s="77"/>
      <c r="AC398" s="78"/>
      <c r="AD398" s="77"/>
      <c r="AE398" s="78"/>
      <c r="AF398" s="77"/>
      <c r="AG398" s="78"/>
      <c r="AH398" s="77"/>
      <c r="AI398" s="78"/>
      <c r="AJ398" s="64"/>
      <c r="AK398" s="80"/>
      <c r="AL398" s="64"/>
      <c r="AM398" s="80"/>
      <c r="AN398" s="64"/>
      <c r="AO398" s="80"/>
      <c r="AP398" s="64"/>
      <c r="AQ398" s="80"/>
      <c r="AR398" s="64"/>
      <c r="AS398" s="679" t="s">
        <v>294</v>
      </c>
      <c r="AT398" s="350"/>
      <c r="AU398" s="350"/>
      <c r="AV398" s="350"/>
      <c r="AW398" s="350"/>
      <c r="AX398" s="350"/>
      <c r="AY398" s="351"/>
      <c r="AZ398" s="81"/>
      <c r="BA398" s="81"/>
      <c r="BB398" s="677" t="s">
        <v>325</v>
      </c>
      <c r="BC398" s="351"/>
      <c r="BD398" s="681" t="s">
        <v>294</v>
      </c>
      <c r="BE398" s="350"/>
      <c r="BF398" s="351"/>
      <c r="BG398" s="678" t="s">
        <v>294</v>
      </c>
      <c r="BH398" s="350"/>
      <c r="BI398" s="350"/>
      <c r="BJ398" s="351"/>
      <c r="BK398" s="680"/>
      <c r="BL398" s="350"/>
      <c r="BM398" s="351"/>
      <c r="BN398" s="82"/>
      <c r="BO398" s="82"/>
      <c r="BP398" s="678"/>
      <c r="BQ398" s="350"/>
      <c r="BR398" s="351"/>
      <c r="BS398" s="681" t="s">
        <v>294</v>
      </c>
      <c r="BT398" s="350"/>
      <c r="BU398" s="351"/>
    </row>
    <row r="399" spans="1:73" ht="30" customHeight="1">
      <c r="A399" s="76">
        <f t="shared" si="1"/>
        <v>385</v>
      </c>
      <c r="B399" s="686" t="s">
        <v>325</v>
      </c>
      <c r="C399" s="351"/>
      <c r="D399" s="687" t="s">
        <v>294</v>
      </c>
      <c r="E399" s="350"/>
      <c r="F399" s="350"/>
      <c r="G399" s="351"/>
      <c r="H399" s="688" t="s">
        <v>294</v>
      </c>
      <c r="I399" s="350"/>
      <c r="J399" s="350"/>
      <c r="K399" s="351"/>
      <c r="L399" s="538" t="s">
        <v>294</v>
      </c>
      <c r="M399" s="350"/>
      <c r="N399" s="351"/>
      <c r="O399" s="539" t="s">
        <v>294</v>
      </c>
      <c r="P399" s="350"/>
      <c r="Q399" s="351"/>
      <c r="R399" s="574"/>
      <c r="S399" s="350"/>
      <c r="T399" s="351"/>
      <c r="U399" s="567"/>
      <c r="V399" s="350"/>
      <c r="W399" s="351"/>
      <c r="X399" s="77"/>
      <c r="Y399" s="78"/>
      <c r="Z399" s="77"/>
      <c r="AA399" s="78"/>
      <c r="AB399" s="77"/>
      <c r="AC399" s="78"/>
      <c r="AD399" s="77"/>
      <c r="AE399" s="78"/>
      <c r="AF399" s="77"/>
      <c r="AG399" s="78"/>
      <c r="AH399" s="77"/>
      <c r="AI399" s="78"/>
      <c r="AJ399" s="64"/>
      <c r="AK399" s="80"/>
      <c r="AL399" s="64"/>
      <c r="AM399" s="80"/>
      <c r="AN399" s="64"/>
      <c r="AO399" s="80"/>
      <c r="AP399" s="64"/>
      <c r="AQ399" s="80"/>
      <c r="AR399" s="64"/>
      <c r="AS399" s="679" t="s">
        <v>294</v>
      </c>
      <c r="AT399" s="350"/>
      <c r="AU399" s="350"/>
      <c r="AV399" s="350"/>
      <c r="AW399" s="350"/>
      <c r="AX399" s="350"/>
      <c r="AY399" s="351"/>
      <c r="AZ399" s="81"/>
      <c r="BA399" s="81"/>
      <c r="BB399" s="677" t="s">
        <v>325</v>
      </c>
      <c r="BC399" s="351"/>
      <c r="BD399" s="681" t="s">
        <v>294</v>
      </c>
      <c r="BE399" s="350"/>
      <c r="BF399" s="351"/>
      <c r="BG399" s="678" t="s">
        <v>294</v>
      </c>
      <c r="BH399" s="350"/>
      <c r="BI399" s="350"/>
      <c r="BJ399" s="351"/>
      <c r="BK399" s="680"/>
      <c r="BL399" s="350"/>
      <c r="BM399" s="351"/>
      <c r="BN399" s="82"/>
      <c r="BO399" s="82"/>
      <c r="BP399" s="678"/>
      <c r="BQ399" s="350"/>
      <c r="BR399" s="351"/>
      <c r="BS399" s="681" t="s">
        <v>294</v>
      </c>
      <c r="BT399" s="350"/>
      <c r="BU399" s="351"/>
    </row>
    <row r="400" spans="1:73" ht="30" customHeight="1">
      <c r="A400" s="76">
        <f t="shared" si="1"/>
        <v>386</v>
      </c>
      <c r="B400" s="686" t="s">
        <v>325</v>
      </c>
      <c r="C400" s="351"/>
      <c r="D400" s="687" t="s">
        <v>294</v>
      </c>
      <c r="E400" s="350"/>
      <c r="F400" s="350"/>
      <c r="G400" s="351"/>
      <c r="H400" s="688" t="s">
        <v>294</v>
      </c>
      <c r="I400" s="350"/>
      <c r="J400" s="350"/>
      <c r="K400" s="351"/>
      <c r="L400" s="538" t="s">
        <v>294</v>
      </c>
      <c r="M400" s="350"/>
      <c r="N400" s="351"/>
      <c r="O400" s="539" t="s">
        <v>294</v>
      </c>
      <c r="P400" s="350"/>
      <c r="Q400" s="351"/>
      <c r="R400" s="574"/>
      <c r="S400" s="350"/>
      <c r="T400" s="351"/>
      <c r="U400" s="567"/>
      <c r="V400" s="350"/>
      <c r="W400" s="351"/>
      <c r="X400" s="77"/>
      <c r="Y400" s="78"/>
      <c r="Z400" s="77"/>
      <c r="AA400" s="78"/>
      <c r="AB400" s="77"/>
      <c r="AC400" s="78"/>
      <c r="AD400" s="77"/>
      <c r="AE400" s="78"/>
      <c r="AF400" s="77"/>
      <c r="AG400" s="78"/>
      <c r="AH400" s="77"/>
      <c r="AI400" s="78"/>
      <c r="AJ400" s="64"/>
      <c r="AK400" s="80"/>
      <c r="AL400" s="64"/>
      <c r="AM400" s="80"/>
      <c r="AN400" s="64"/>
      <c r="AO400" s="80"/>
      <c r="AP400" s="64"/>
      <c r="AQ400" s="80"/>
      <c r="AR400" s="64"/>
      <c r="AS400" s="679" t="s">
        <v>294</v>
      </c>
      <c r="AT400" s="350"/>
      <c r="AU400" s="350"/>
      <c r="AV400" s="350"/>
      <c r="AW400" s="350"/>
      <c r="AX400" s="350"/>
      <c r="AY400" s="351"/>
      <c r="AZ400" s="81"/>
      <c r="BA400" s="81"/>
      <c r="BB400" s="677" t="s">
        <v>325</v>
      </c>
      <c r="BC400" s="351"/>
      <c r="BD400" s="681" t="s">
        <v>294</v>
      </c>
      <c r="BE400" s="350"/>
      <c r="BF400" s="351"/>
      <c r="BG400" s="678" t="s">
        <v>294</v>
      </c>
      <c r="BH400" s="350"/>
      <c r="BI400" s="350"/>
      <c r="BJ400" s="351"/>
      <c r="BK400" s="680"/>
      <c r="BL400" s="350"/>
      <c r="BM400" s="351"/>
      <c r="BN400" s="82"/>
      <c r="BO400" s="82"/>
      <c r="BP400" s="678"/>
      <c r="BQ400" s="350"/>
      <c r="BR400" s="351"/>
      <c r="BS400" s="681" t="s">
        <v>294</v>
      </c>
      <c r="BT400" s="350"/>
      <c r="BU400" s="351"/>
    </row>
    <row r="401" spans="1:73" ht="30" customHeight="1">
      <c r="A401" s="76">
        <f t="shared" si="1"/>
        <v>387</v>
      </c>
      <c r="B401" s="686" t="s">
        <v>325</v>
      </c>
      <c r="C401" s="351"/>
      <c r="D401" s="687" t="s">
        <v>294</v>
      </c>
      <c r="E401" s="350"/>
      <c r="F401" s="350"/>
      <c r="G401" s="351"/>
      <c r="H401" s="688" t="s">
        <v>294</v>
      </c>
      <c r="I401" s="350"/>
      <c r="J401" s="350"/>
      <c r="K401" s="351"/>
      <c r="L401" s="538" t="s">
        <v>294</v>
      </c>
      <c r="M401" s="350"/>
      <c r="N401" s="351"/>
      <c r="O401" s="539" t="s">
        <v>294</v>
      </c>
      <c r="P401" s="350"/>
      <c r="Q401" s="351"/>
      <c r="R401" s="574"/>
      <c r="S401" s="350"/>
      <c r="T401" s="351"/>
      <c r="U401" s="567"/>
      <c r="V401" s="350"/>
      <c r="W401" s="351"/>
      <c r="X401" s="77"/>
      <c r="Y401" s="78"/>
      <c r="Z401" s="77"/>
      <c r="AA401" s="78"/>
      <c r="AB401" s="77"/>
      <c r="AC401" s="78"/>
      <c r="AD401" s="77"/>
      <c r="AE401" s="78"/>
      <c r="AF401" s="77"/>
      <c r="AG401" s="78"/>
      <c r="AH401" s="77"/>
      <c r="AI401" s="78"/>
      <c r="AJ401" s="64"/>
      <c r="AK401" s="80"/>
      <c r="AL401" s="64"/>
      <c r="AM401" s="80"/>
      <c r="AN401" s="64"/>
      <c r="AO401" s="80"/>
      <c r="AP401" s="64"/>
      <c r="AQ401" s="80"/>
      <c r="AR401" s="64"/>
      <c r="AS401" s="679" t="s">
        <v>294</v>
      </c>
      <c r="AT401" s="350"/>
      <c r="AU401" s="350"/>
      <c r="AV401" s="350"/>
      <c r="AW401" s="350"/>
      <c r="AX401" s="350"/>
      <c r="AY401" s="351"/>
      <c r="AZ401" s="81"/>
      <c r="BA401" s="81"/>
      <c r="BB401" s="677" t="s">
        <v>325</v>
      </c>
      <c r="BC401" s="351"/>
      <c r="BD401" s="681" t="s">
        <v>294</v>
      </c>
      <c r="BE401" s="350"/>
      <c r="BF401" s="351"/>
      <c r="BG401" s="678" t="s">
        <v>294</v>
      </c>
      <c r="BH401" s="350"/>
      <c r="BI401" s="350"/>
      <c r="BJ401" s="351"/>
      <c r="BK401" s="680"/>
      <c r="BL401" s="350"/>
      <c r="BM401" s="351"/>
      <c r="BN401" s="82"/>
      <c r="BO401" s="82"/>
      <c r="BP401" s="678"/>
      <c r="BQ401" s="350"/>
      <c r="BR401" s="351"/>
      <c r="BS401" s="681" t="s">
        <v>294</v>
      </c>
      <c r="BT401" s="350"/>
      <c r="BU401" s="351"/>
    </row>
    <row r="402" spans="1:73" ht="30" customHeight="1">
      <c r="A402" s="76">
        <f t="shared" si="1"/>
        <v>388</v>
      </c>
      <c r="B402" s="686" t="s">
        <v>325</v>
      </c>
      <c r="C402" s="351"/>
      <c r="D402" s="687" t="s">
        <v>294</v>
      </c>
      <c r="E402" s="350"/>
      <c r="F402" s="350"/>
      <c r="G402" s="351"/>
      <c r="H402" s="688" t="s">
        <v>294</v>
      </c>
      <c r="I402" s="350"/>
      <c r="J402" s="350"/>
      <c r="K402" s="351"/>
      <c r="L402" s="538" t="s">
        <v>294</v>
      </c>
      <c r="M402" s="350"/>
      <c r="N402" s="351"/>
      <c r="O402" s="539" t="s">
        <v>294</v>
      </c>
      <c r="P402" s="350"/>
      <c r="Q402" s="351"/>
      <c r="R402" s="574"/>
      <c r="S402" s="350"/>
      <c r="T402" s="351"/>
      <c r="U402" s="567"/>
      <c r="V402" s="350"/>
      <c r="W402" s="351"/>
      <c r="X402" s="77"/>
      <c r="Y402" s="78"/>
      <c r="Z402" s="77"/>
      <c r="AA402" s="78"/>
      <c r="AB402" s="77"/>
      <c r="AC402" s="78"/>
      <c r="AD402" s="77"/>
      <c r="AE402" s="78"/>
      <c r="AF402" s="77"/>
      <c r="AG402" s="78"/>
      <c r="AH402" s="77"/>
      <c r="AI402" s="78"/>
      <c r="AJ402" s="64"/>
      <c r="AK402" s="80"/>
      <c r="AL402" s="64"/>
      <c r="AM402" s="80"/>
      <c r="AN402" s="64"/>
      <c r="AO402" s="80"/>
      <c r="AP402" s="64"/>
      <c r="AQ402" s="80"/>
      <c r="AR402" s="64"/>
      <c r="AS402" s="679" t="s">
        <v>294</v>
      </c>
      <c r="AT402" s="350"/>
      <c r="AU402" s="350"/>
      <c r="AV402" s="350"/>
      <c r="AW402" s="350"/>
      <c r="AX402" s="350"/>
      <c r="AY402" s="351"/>
      <c r="AZ402" s="81"/>
      <c r="BA402" s="81"/>
      <c r="BB402" s="677" t="s">
        <v>325</v>
      </c>
      <c r="BC402" s="351"/>
      <c r="BD402" s="681" t="s">
        <v>294</v>
      </c>
      <c r="BE402" s="350"/>
      <c r="BF402" s="351"/>
      <c r="BG402" s="678" t="s">
        <v>294</v>
      </c>
      <c r="BH402" s="350"/>
      <c r="BI402" s="350"/>
      <c r="BJ402" s="351"/>
      <c r="BK402" s="680"/>
      <c r="BL402" s="350"/>
      <c r="BM402" s="351"/>
      <c r="BN402" s="82"/>
      <c r="BO402" s="82"/>
      <c r="BP402" s="678"/>
      <c r="BQ402" s="350"/>
      <c r="BR402" s="351"/>
      <c r="BS402" s="681" t="s">
        <v>294</v>
      </c>
      <c r="BT402" s="350"/>
      <c r="BU402" s="351"/>
    </row>
    <row r="403" spans="1:73" ht="30" customHeight="1">
      <c r="A403" s="76">
        <f t="shared" si="1"/>
        <v>389</v>
      </c>
      <c r="B403" s="686" t="s">
        <v>325</v>
      </c>
      <c r="C403" s="351"/>
      <c r="D403" s="687" t="s">
        <v>294</v>
      </c>
      <c r="E403" s="350"/>
      <c r="F403" s="350"/>
      <c r="G403" s="351"/>
      <c r="H403" s="688" t="s">
        <v>294</v>
      </c>
      <c r="I403" s="350"/>
      <c r="J403" s="350"/>
      <c r="K403" s="351"/>
      <c r="L403" s="538" t="s">
        <v>294</v>
      </c>
      <c r="M403" s="350"/>
      <c r="N403" s="351"/>
      <c r="O403" s="539" t="s">
        <v>294</v>
      </c>
      <c r="P403" s="350"/>
      <c r="Q403" s="351"/>
      <c r="R403" s="574"/>
      <c r="S403" s="350"/>
      <c r="T403" s="351"/>
      <c r="U403" s="567"/>
      <c r="V403" s="350"/>
      <c r="W403" s="351"/>
      <c r="X403" s="77"/>
      <c r="Y403" s="78"/>
      <c r="Z403" s="77"/>
      <c r="AA403" s="78"/>
      <c r="AB403" s="77"/>
      <c r="AC403" s="78"/>
      <c r="AD403" s="77"/>
      <c r="AE403" s="78"/>
      <c r="AF403" s="77"/>
      <c r="AG403" s="78"/>
      <c r="AH403" s="77"/>
      <c r="AI403" s="78"/>
      <c r="AJ403" s="64"/>
      <c r="AK403" s="80"/>
      <c r="AL403" s="64"/>
      <c r="AM403" s="80"/>
      <c r="AN403" s="64"/>
      <c r="AO403" s="80"/>
      <c r="AP403" s="64"/>
      <c r="AQ403" s="80"/>
      <c r="AR403" s="64"/>
      <c r="AS403" s="679" t="s">
        <v>294</v>
      </c>
      <c r="AT403" s="350"/>
      <c r="AU403" s="350"/>
      <c r="AV403" s="350"/>
      <c r="AW403" s="350"/>
      <c r="AX403" s="350"/>
      <c r="AY403" s="351"/>
      <c r="AZ403" s="81"/>
      <c r="BA403" s="81"/>
      <c r="BB403" s="677" t="s">
        <v>325</v>
      </c>
      <c r="BC403" s="351"/>
      <c r="BD403" s="681" t="s">
        <v>294</v>
      </c>
      <c r="BE403" s="350"/>
      <c r="BF403" s="351"/>
      <c r="BG403" s="678" t="s">
        <v>294</v>
      </c>
      <c r="BH403" s="350"/>
      <c r="BI403" s="350"/>
      <c r="BJ403" s="351"/>
      <c r="BK403" s="680"/>
      <c r="BL403" s="350"/>
      <c r="BM403" s="351"/>
      <c r="BN403" s="82"/>
      <c r="BO403" s="82"/>
      <c r="BP403" s="678"/>
      <c r="BQ403" s="350"/>
      <c r="BR403" s="351"/>
      <c r="BS403" s="681" t="s">
        <v>294</v>
      </c>
      <c r="BT403" s="350"/>
      <c r="BU403" s="351"/>
    </row>
    <row r="404" spans="1:73" ht="30" customHeight="1">
      <c r="A404" s="76">
        <f t="shared" si="1"/>
        <v>390</v>
      </c>
      <c r="B404" s="686" t="s">
        <v>325</v>
      </c>
      <c r="C404" s="351"/>
      <c r="D404" s="687" t="s">
        <v>294</v>
      </c>
      <c r="E404" s="350"/>
      <c r="F404" s="350"/>
      <c r="G404" s="351"/>
      <c r="H404" s="688" t="s">
        <v>294</v>
      </c>
      <c r="I404" s="350"/>
      <c r="J404" s="350"/>
      <c r="K404" s="351"/>
      <c r="L404" s="538" t="s">
        <v>294</v>
      </c>
      <c r="M404" s="350"/>
      <c r="N404" s="351"/>
      <c r="O404" s="539" t="s">
        <v>294</v>
      </c>
      <c r="P404" s="350"/>
      <c r="Q404" s="351"/>
      <c r="R404" s="574"/>
      <c r="S404" s="350"/>
      <c r="T404" s="351"/>
      <c r="U404" s="567"/>
      <c r="V404" s="350"/>
      <c r="W404" s="351"/>
      <c r="X404" s="77"/>
      <c r="Y404" s="78"/>
      <c r="Z404" s="77"/>
      <c r="AA404" s="78"/>
      <c r="AB404" s="77"/>
      <c r="AC404" s="78"/>
      <c r="AD404" s="77"/>
      <c r="AE404" s="78"/>
      <c r="AF404" s="77"/>
      <c r="AG404" s="78"/>
      <c r="AH404" s="77"/>
      <c r="AI404" s="78"/>
      <c r="AJ404" s="64"/>
      <c r="AK404" s="80"/>
      <c r="AL404" s="64"/>
      <c r="AM404" s="80"/>
      <c r="AN404" s="64"/>
      <c r="AO404" s="80"/>
      <c r="AP404" s="64"/>
      <c r="AQ404" s="80"/>
      <c r="AR404" s="64"/>
      <c r="AS404" s="679" t="s">
        <v>294</v>
      </c>
      <c r="AT404" s="350"/>
      <c r="AU404" s="350"/>
      <c r="AV404" s="350"/>
      <c r="AW404" s="350"/>
      <c r="AX404" s="350"/>
      <c r="AY404" s="351"/>
      <c r="AZ404" s="81"/>
      <c r="BA404" s="81"/>
      <c r="BB404" s="677" t="s">
        <v>325</v>
      </c>
      <c r="BC404" s="351"/>
      <c r="BD404" s="681" t="s">
        <v>294</v>
      </c>
      <c r="BE404" s="350"/>
      <c r="BF404" s="351"/>
      <c r="BG404" s="678" t="s">
        <v>294</v>
      </c>
      <c r="BH404" s="350"/>
      <c r="BI404" s="350"/>
      <c r="BJ404" s="351"/>
      <c r="BK404" s="680"/>
      <c r="BL404" s="350"/>
      <c r="BM404" s="351"/>
      <c r="BN404" s="82"/>
      <c r="BO404" s="82"/>
      <c r="BP404" s="678"/>
      <c r="BQ404" s="350"/>
      <c r="BR404" s="351"/>
      <c r="BS404" s="681" t="s">
        <v>294</v>
      </c>
      <c r="BT404" s="350"/>
      <c r="BU404" s="351"/>
    </row>
    <row r="405" spans="1:73" ht="30" customHeight="1">
      <c r="A405" s="76">
        <f t="shared" si="1"/>
        <v>391</v>
      </c>
      <c r="B405" s="686" t="s">
        <v>325</v>
      </c>
      <c r="C405" s="351"/>
      <c r="D405" s="687" t="s">
        <v>294</v>
      </c>
      <c r="E405" s="350"/>
      <c r="F405" s="350"/>
      <c r="G405" s="351"/>
      <c r="H405" s="688" t="s">
        <v>294</v>
      </c>
      <c r="I405" s="350"/>
      <c r="J405" s="350"/>
      <c r="K405" s="351"/>
      <c r="L405" s="538" t="s">
        <v>294</v>
      </c>
      <c r="M405" s="350"/>
      <c r="N405" s="351"/>
      <c r="O405" s="539" t="s">
        <v>294</v>
      </c>
      <c r="P405" s="350"/>
      <c r="Q405" s="351"/>
      <c r="R405" s="574"/>
      <c r="S405" s="350"/>
      <c r="T405" s="351"/>
      <c r="U405" s="567"/>
      <c r="V405" s="350"/>
      <c r="W405" s="351"/>
      <c r="X405" s="77"/>
      <c r="Y405" s="78"/>
      <c r="Z405" s="77"/>
      <c r="AA405" s="78"/>
      <c r="AB405" s="77"/>
      <c r="AC405" s="78"/>
      <c r="AD405" s="77"/>
      <c r="AE405" s="78"/>
      <c r="AF405" s="77"/>
      <c r="AG405" s="78"/>
      <c r="AH405" s="77"/>
      <c r="AI405" s="78"/>
      <c r="AJ405" s="64"/>
      <c r="AK405" s="80"/>
      <c r="AL405" s="64"/>
      <c r="AM405" s="80"/>
      <c r="AN405" s="64"/>
      <c r="AO405" s="80"/>
      <c r="AP405" s="64"/>
      <c r="AQ405" s="80"/>
      <c r="AR405" s="64"/>
      <c r="AS405" s="679" t="s">
        <v>294</v>
      </c>
      <c r="AT405" s="350"/>
      <c r="AU405" s="350"/>
      <c r="AV405" s="350"/>
      <c r="AW405" s="350"/>
      <c r="AX405" s="350"/>
      <c r="AY405" s="351"/>
      <c r="AZ405" s="81"/>
      <c r="BA405" s="81"/>
      <c r="BB405" s="677" t="s">
        <v>325</v>
      </c>
      <c r="BC405" s="351"/>
      <c r="BD405" s="681" t="s">
        <v>294</v>
      </c>
      <c r="BE405" s="350"/>
      <c r="BF405" s="351"/>
      <c r="BG405" s="678" t="s">
        <v>294</v>
      </c>
      <c r="BH405" s="350"/>
      <c r="BI405" s="350"/>
      <c r="BJ405" s="351"/>
      <c r="BK405" s="680"/>
      <c r="BL405" s="350"/>
      <c r="BM405" s="351"/>
      <c r="BN405" s="82"/>
      <c r="BO405" s="82"/>
      <c r="BP405" s="678"/>
      <c r="BQ405" s="350"/>
      <c r="BR405" s="351"/>
      <c r="BS405" s="681" t="s">
        <v>294</v>
      </c>
      <c r="BT405" s="350"/>
      <c r="BU405" s="351"/>
    </row>
    <row r="406" spans="1:73" ht="30" customHeight="1">
      <c r="A406" s="76">
        <f t="shared" si="1"/>
        <v>392</v>
      </c>
      <c r="B406" s="686" t="s">
        <v>325</v>
      </c>
      <c r="C406" s="351"/>
      <c r="D406" s="687" t="s">
        <v>294</v>
      </c>
      <c r="E406" s="350"/>
      <c r="F406" s="350"/>
      <c r="G406" s="351"/>
      <c r="H406" s="688" t="s">
        <v>294</v>
      </c>
      <c r="I406" s="350"/>
      <c r="J406" s="350"/>
      <c r="K406" s="351"/>
      <c r="L406" s="538" t="s">
        <v>294</v>
      </c>
      <c r="M406" s="350"/>
      <c r="N406" s="351"/>
      <c r="O406" s="539" t="s">
        <v>294</v>
      </c>
      <c r="P406" s="350"/>
      <c r="Q406" s="351"/>
      <c r="R406" s="574"/>
      <c r="S406" s="350"/>
      <c r="T406" s="351"/>
      <c r="U406" s="567"/>
      <c r="V406" s="350"/>
      <c r="W406" s="351"/>
      <c r="X406" s="77"/>
      <c r="Y406" s="78"/>
      <c r="Z406" s="77"/>
      <c r="AA406" s="78"/>
      <c r="AB406" s="77"/>
      <c r="AC406" s="78"/>
      <c r="AD406" s="77"/>
      <c r="AE406" s="78"/>
      <c r="AF406" s="77"/>
      <c r="AG406" s="78"/>
      <c r="AH406" s="77"/>
      <c r="AI406" s="78"/>
      <c r="AJ406" s="64"/>
      <c r="AK406" s="80"/>
      <c r="AL406" s="64"/>
      <c r="AM406" s="80"/>
      <c r="AN406" s="64"/>
      <c r="AO406" s="80"/>
      <c r="AP406" s="64"/>
      <c r="AQ406" s="80"/>
      <c r="AR406" s="64"/>
      <c r="AS406" s="679" t="s">
        <v>294</v>
      </c>
      <c r="AT406" s="350"/>
      <c r="AU406" s="350"/>
      <c r="AV406" s="350"/>
      <c r="AW406" s="350"/>
      <c r="AX406" s="350"/>
      <c r="AY406" s="351"/>
      <c r="AZ406" s="81"/>
      <c r="BA406" s="81"/>
      <c r="BB406" s="677" t="s">
        <v>325</v>
      </c>
      <c r="BC406" s="351"/>
      <c r="BD406" s="681" t="s">
        <v>294</v>
      </c>
      <c r="BE406" s="350"/>
      <c r="BF406" s="351"/>
      <c r="BG406" s="678" t="s">
        <v>294</v>
      </c>
      <c r="BH406" s="350"/>
      <c r="BI406" s="350"/>
      <c r="BJ406" s="351"/>
      <c r="BK406" s="680"/>
      <c r="BL406" s="350"/>
      <c r="BM406" s="351"/>
      <c r="BN406" s="82"/>
      <c r="BO406" s="82"/>
      <c r="BP406" s="678"/>
      <c r="BQ406" s="350"/>
      <c r="BR406" s="351"/>
      <c r="BS406" s="681" t="s">
        <v>294</v>
      </c>
      <c r="BT406" s="350"/>
      <c r="BU406" s="351"/>
    </row>
    <row r="407" spans="1:73" ht="30" customHeight="1">
      <c r="A407" s="76">
        <f t="shared" si="1"/>
        <v>393</v>
      </c>
      <c r="B407" s="686" t="s">
        <v>325</v>
      </c>
      <c r="C407" s="351"/>
      <c r="D407" s="687" t="s">
        <v>294</v>
      </c>
      <c r="E407" s="350"/>
      <c r="F407" s="350"/>
      <c r="G407" s="351"/>
      <c r="H407" s="688" t="s">
        <v>294</v>
      </c>
      <c r="I407" s="350"/>
      <c r="J407" s="350"/>
      <c r="K407" s="351"/>
      <c r="L407" s="538" t="s">
        <v>294</v>
      </c>
      <c r="M407" s="350"/>
      <c r="N407" s="351"/>
      <c r="O407" s="539" t="s">
        <v>294</v>
      </c>
      <c r="P407" s="350"/>
      <c r="Q407" s="351"/>
      <c r="R407" s="574"/>
      <c r="S407" s="350"/>
      <c r="T407" s="351"/>
      <c r="U407" s="567"/>
      <c r="V407" s="350"/>
      <c r="W407" s="351"/>
      <c r="X407" s="77"/>
      <c r="Y407" s="78"/>
      <c r="Z407" s="77"/>
      <c r="AA407" s="78"/>
      <c r="AB407" s="77"/>
      <c r="AC407" s="78"/>
      <c r="AD407" s="77"/>
      <c r="AE407" s="78"/>
      <c r="AF407" s="77"/>
      <c r="AG407" s="78"/>
      <c r="AH407" s="77"/>
      <c r="AI407" s="78"/>
      <c r="AJ407" s="64"/>
      <c r="AK407" s="80"/>
      <c r="AL407" s="64"/>
      <c r="AM407" s="80"/>
      <c r="AN407" s="64"/>
      <c r="AO407" s="80"/>
      <c r="AP407" s="64"/>
      <c r="AQ407" s="80"/>
      <c r="AR407" s="64"/>
      <c r="AS407" s="679" t="s">
        <v>294</v>
      </c>
      <c r="AT407" s="350"/>
      <c r="AU407" s="350"/>
      <c r="AV407" s="350"/>
      <c r="AW407" s="350"/>
      <c r="AX407" s="350"/>
      <c r="AY407" s="351"/>
      <c r="AZ407" s="81"/>
      <c r="BA407" s="81"/>
      <c r="BB407" s="677" t="s">
        <v>325</v>
      </c>
      <c r="BC407" s="351"/>
      <c r="BD407" s="681" t="s">
        <v>294</v>
      </c>
      <c r="BE407" s="350"/>
      <c r="BF407" s="351"/>
      <c r="BG407" s="678" t="s">
        <v>294</v>
      </c>
      <c r="BH407" s="350"/>
      <c r="BI407" s="350"/>
      <c r="BJ407" s="351"/>
      <c r="BK407" s="680"/>
      <c r="BL407" s="350"/>
      <c r="BM407" s="351"/>
      <c r="BN407" s="82"/>
      <c r="BO407" s="82"/>
      <c r="BP407" s="678"/>
      <c r="BQ407" s="350"/>
      <c r="BR407" s="351"/>
      <c r="BS407" s="681" t="s">
        <v>294</v>
      </c>
      <c r="BT407" s="350"/>
      <c r="BU407" s="351"/>
    </row>
    <row r="408" spans="1:73" ht="30" customHeight="1">
      <c r="A408" s="76">
        <f t="shared" si="1"/>
        <v>394</v>
      </c>
      <c r="B408" s="686" t="s">
        <v>325</v>
      </c>
      <c r="C408" s="351"/>
      <c r="D408" s="687" t="s">
        <v>294</v>
      </c>
      <c r="E408" s="350"/>
      <c r="F408" s="350"/>
      <c r="G408" s="351"/>
      <c r="H408" s="688" t="s">
        <v>294</v>
      </c>
      <c r="I408" s="350"/>
      <c r="J408" s="350"/>
      <c r="K408" s="351"/>
      <c r="L408" s="538" t="s">
        <v>294</v>
      </c>
      <c r="M408" s="350"/>
      <c r="N408" s="351"/>
      <c r="O408" s="539" t="s">
        <v>294</v>
      </c>
      <c r="P408" s="350"/>
      <c r="Q408" s="351"/>
      <c r="R408" s="574"/>
      <c r="S408" s="350"/>
      <c r="T408" s="351"/>
      <c r="U408" s="567"/>
      <c r="V408" s="350"/>
      <c r="W408" s="351"/>
      <c r="X408" s="77"/>
      <c r="Y408" s="78"/>
      <c r="Z408" s="77"/>
      <c r="AA408" s="78"/>
      <c r="AB408" s="77"/>
      <c r="AC408" s="78"/>
      <c r="AD408" s="77"/>
      <c r="AE408" s="78"/>
      <c r="AF408" s="77"/>
      <c r="AG408" s="78"/>
      <c r="AH408" s="77"/>
      <c r="AI408" s="78"/>
      <c r="AJ408" s="64"/>
      <c r="AK408" s="80"/>
      <c r="AL408" s="64"/>
      <c r="AM408" s="80"/>
      <c r="AN408" s="64"/>
      <c r="AO408" s="80"/>
      <c r="AP408" s="64"/>
      <c r="AQ408" s="80"/>
      <c r="AR408" s="64"/>
      <c r="AS408" s="679" t="s">
        <v>294</v>
      </c>
      <c r="AT408" s="350"/>
      <c r="AU408" s="350"/>
      <c r="AV408" s="350"/>
      <c r="AW408" s="350"/>
      <c r="AX408" s="350"/>
      <c r="AY408" s="351"/>
      <c r="AZ408" s="81"/>
      <c r="BA408" s="81"/>
      <c r="BB408" s="677" t="s">
        <v>325</v>
      </c>
      <c r="BC408" s="351"/>
      <c r="BD408" s="681" t="s">
        <v>294</v>
      </c>
      <c r="BE408" s="350"/>
      <c r="BF408" s="351"/>
      <c r="BG408" s="678" t="s">
        <v>294</v>
      </c>
      <c r="BH408" s="350"/>
      <c r="BI408" s="350"/>
      <c r="BJ408" s="351"/>
      <c r="BK408" s="680"/>
      <c r="BL408" s="350"/>
      <c r="BM408" s="351"/>
      <c r="BN408" s="82"/>
      <c r="BO408" s="82"/>
      <c r="BP408" s="678"/>
      <c r="BQ408" s="350"/>
      <c r="BR408" s="351"/>
      <c r="BS408" s="681" t="s">
        <v>294</v>
      </c>
      <c r="BT408" s="350"/>
      <c r="BU408" s="351"/>
    </row>
    <row r="409" spans="1:73" ht="30" customHeight="1">
      <c r="A409" s="76">
        <f t="shared" si="1"/>
        <v>395</v>
      </c>
      <c r="B409" s="686" t="s">
        <v>325</v>
      </c>
      <c r="C409" s="351"/>
      <c r="D409" s="687" t="s">
        <v>294</v>
      </c>
      <c r="E409" s="350"/>
      <c r="F409" s="350"/>
      <c r="G409" s="351"/>
      <c r="H409" s="688" t="s">
        <v>294</v>
      </c>
      <c r="I409" s="350"/>
      <c r="J409" s="350"/>
      <c r="K409" s="351"/>
      <c r="L409" s="538" t="s">
        <v>294</v>
      </c>
      <c r="M409" s="350"/>
      <c r="N409" s="351"/>
      <c r="O409" s="539" t="s">
        <v>294</v>
      </c>
      <c r="P409" s="350"/>
      <c r="Q409" s="351"/>
      <c r="R409" s="574"/>
      <c r="S409" s="350"/>
      <c r="T409" s="351"/>
      <c r="U409" s="567"/>
      <c r="V409" s="350"/>
      <c r="W409" s="351"/>
      <c r="X409" s="77"/>
      <c r="Y409" s="78"/>
      <c r="Z409" s="77"/>
      <c r="AA409" s="78"/>
      <c r="AB409" s="77"/>
      <c r="AC409" s="78"/>
      <c r="AD409" s="77"/>
      <c r="AE409" s="78"/>
      <c r="AF409" s="77"/>
      <c r="AG409" s="78"/>
      <c r="AH409" s="77"/>
      <c r="AI409" s="78"/>
      <c r="AJ409" s="64"/>
      <c r="AK409" s="80"/>
      <c r="AL409" s="64"/>
      <c r="AM409" s="80"/>
      <c r="AN409" s="64"/>
      <c r="AO409" s="80"/>
      <c r="AP409" s="64"/>
      <c r="AQ409" s="80"/>
      <c r="AR409" s="64"/>
      <c r="AS409" s="679" t="s">
        <v>294</v>
      </c>
      <c r="AT409" s="350"/>
      <c r="AU409" s="350"/>
      <c r="AV409" s="350"/>
      <c r="AW409" s="350"/>
      <c r="AX409" s="350"/>
      <c r="AY409" s="351"/>
      <c r="AZ409" s="83"/>
      <c r="BA409" s="83"/>
      <c r="BB409" s="677" t="s">
        <v>325</v>
      </c>
      <c r="BC409" s="351"/>
      <c r="BD409" s="682" t="s">
        <v>294</v>
      </c>
      <c r="BE409" s="378"/>
      <c r="BF409" s="379"/>
      <c r="BG409" s="683" t="s">
        <v>294</v>
      </c>
      <c r="BH409" s="378"/>
      <c r="BI409" s="378"/>
      <c r="BJ409" s="379"/>
      <c r="BK409" s="684"/>
      <c r="BL409" s="378"/>
      <c r="BM409" s="379"/>
      <c r="BN409" s="84"/>
      <c r="BO409" s="84"/>
      <c r="BP409" s="683"/>
      <c r="BQ409" s="378"/>
      <c r="BR409" s="379"/>
      <c r="BS409" s="682" t="s">
        <v>294</v>
      </c>
      <c r="BT409" s="378"/>
      <c r="BU409" s="379"/>
    </row>
    <row r="410" spans="1:73" ht="30" customHeight="1">
      <c r="A410" s="76">
        <f t="shared" si="1"/>
        <v>396</v>
      </c>
      <c r="B410" s="686" t="s">
        <v>325</v>
      </c>
      <c r="C410" s="351"/>
      <c r="D410" s="687" t="s">
        <v>294</v>
      </c>
      <c r="E410" s="350"/>
      <c r="F410" s="350"/>
      <c r="G410" s="351"/>
      <c r="H410" s="688" t="s">
        <v>294</v>
      </c>
      <c r="I410" s="350"/>
      <c r="J410" s="350"/>
      <c r="K410" s="351"/>
      <c r="L410" s="538" t="s">
        <v>294</v>
      </c>
      <c r="M410" s="350"/>
      <c r="N410" s="351"/>
      <c r="O410" s="539" t="s">
        <v>294</v>
      </c>
      <c r="P410" s="350"/>
      <c r="Q410" s="351"/>
      <c r="R410" s="574"/>
      <c r="S410" s="350"/>
      <c r="T410" s="351"/>
      <c r="U410" s="567"/>
      <c r="V410" s="350"/>
      <c r="W410" s="351"/>
      <c r="X410" s="77"/>
      <c r="Y410" s="78"/>
      <c r="Z410" s="77"/>
      <c r="AA410" s="78"/>
      <c r="AB410" s="77"/>
      <c r="AC410" s="78"/>
      <c r="AD410" s="77"/>
      <c r="AE410" s="78"/>
      <c r="AF410" s="77"/>
      <c r="AG410" s="78"/>
      <c r="AH410" s="77"/>
      <c r="AI410" s="78"/>
      <c r="AJ410" s="64"/>
      <c r="AK410" s="80"/>
      <c r="AL410" s="64"/>
      <c r="AM410" s="80"/>
      <c r="AN410" s="64"/>
      <c r="AO410" s="80"/>
      <c r="AP410" s="64"/>
      <c r="AQ410" s="80"/>
      <c r="AR410" s="64"/>
      <c r="AS410" s="679" t="s">
        <v>294</v>
      </c>
      <c r="AT410" s="350"/>
      <c r="AU410" s="350"/>
      <c r="AV410" s="350"/>
      <c r="AW410" s="350"/>
      <c r="AX410" s="350"/>
      <c r="AY410" s="351"/>
      <c r="AZ410" s="81"/>
      <c r="BA410" s="81"/>
      <c r="BB410" s="677" t="s">
        <v>325</v>
      </c>
      <c r="BC410" s="351"/>
      <c r="BD410" s="681" t="s">
        <v>294</v>
      </c>
      <c r="BE410" s="350"/>
      <c r="BF410" s="351"/>
      <c r="BG410" s="678" t="s">
        <v>294</v>
      </c>
      <c r="BH410" s="350"/>
      <c r="BI410" s="350"/>
      <c r="BJ410" s="351"/>
      <c r="BK410" s="680"/>
      <c r="BL410" s="350"/>
      <c r="BM410" s="351"/>
      <c r="BN410" s="82"/>
      <c r="BO410" s="82"/>
      <c r="BP410" s="678"/>
      <c r="BQ410" s="350"/>
      <c r="BR410" s="351"/>
      <c r="BS410" s="681" t="s">
        <v>294</v>
      </c>
      <c r="BT410" s="350"/>
      <c r="BU410" s="351"/>
    </row>
    <row r="411" spans="1:73" ht="30" customHeight="1">
      <c r="A411" s="76">
        <f t="shared" si="1"/>
        <v>397</v>
      </c>
      <c r="B411" s="686" t="s">
        <v>325</v>
      </c>
      <c r="C411" s="351"/>
      <c r="D411" s="687" t="s">
        <v>294</v>
      </c>
      <c r="E411" s="350"/>
      <c r="F411" s="350"/>
      <c r="G411" s="351"/>
      <c r="H411" s="688" t="s">
        <v>294</v>
      </c>
      <c r="I411" s="350"/>
      <c r="J411" s="350"/>
      <c r="K411" s="351"/>
      <c r="L411" s="538" t="s">
        <v>294</v>
      </c>
      <c r="M411" s="350"/>
      <c r="N411" s="351"/>
      <c r="O411" s="539" t="s">
        <v>294</v>
      </c>
      <c r="P411" s="350"/>
      <c r="Q411" s="351"/>
      <c r="R411" s="574"/>
      <c r="S411" s="350"/>
      <c r="T411" s="351"/>
      <c r="U411" s="567"/>
      <c r="V411" s="350"/>
      <c r="W411" s="351"/>
      <c r="X411" s="77"/>
      <c r="Y411" s="78"/>
      <c r="Z411" s="77"/>
      <c r="AA411" s="78"/>
      <c r="AB411" s="77"/>
      <c r="AC411" s="78"/>
      <c r="AD411" s="77"/>
      <c r="AE411" s="78"/>
      <c r="AF411" s="77"/>
      <c r="AG411" s="78"/>
      <c r="AH411" s="77"/>
      <c r="AI411" s="78"/>
      <c r="AJ411" s="64"/>
      <c r="AK411" s="80"/>
      <c r="AL411" s="64"/>
      <c r="AM411" s="80"/>
      <c r="AN411" s="64"/>
      <c r="AO411" s="80"/>
      <c r="AP411" s="64"/>
      <c r="AQ411" s="80"/>
      <c r="AR411" s="64"/>
      <c r="AS411" s="679" t="s">
        <v>294</v>
      </c>
      <c r="AT411" s="350"/>
      <c r="AU411" s="350"/>
      <c r="AV411" s="350"/>
      <c r="AW411" s="350"/>
      <c r="AX411" s="350"/>
      <c r="AY411" s="351"/>
      <c r="AZ411" s="81"/>
      <c r="BA411" s="81"/>
      <c r="BB411" s="677" t="s">
        <v>325</v>
      </c>
      <c r="BC411" s="351"/>
      <c r="BD411" s="681" t="s">
        <v>294</v>
      </c>
      <c r="BE411" s="350"/>
      <c r="BF411" s="351"/>
      <c r="BG411" s="678" t="s">
        <v>294</v>
      </c>
      <c r="BH411" s="350"/>
      <c r="BI411" s="350"/>
      <c r="BJ411" s="351"/>
      <c r="BK411" s="680"/>
      <c r="BL411" s="350"/>
      <c r="BM411" s="351"/>
      <c r="BN411" s="82"/>
      <c r="BO411" s="82"/>
      <c r="BP411" s="678"/>
      <c r="BQ411" s="350"/>
      <c r="BR411" s="351"/>
      <c r="BS411" s="681" t="s">
        <v>294</v>
      </c>
      <c r="BT411" s="350"/>
      <c r="BU411" s="351"/>
    </row>
    <row r="412" spans="1:73" ht="30" customHeight="1">
      <c r="A412" s="76">
        <f t="shared" si="1"/>
        <v>398</v>
      </c>
      <c r="B412" s="686" t="s">
        <v>325</v>
      </c>
      <c r="C412" s="351"/>
      <c r="D412" s="687" t="s">
        <v>294</v>
      </c>
      <c r="E412" s="350"/>
      <c r="F412" s="350"/>
      <c r="G412" s="351"/>
      <c r="H412" s="688" t="s">
        <v>294</v>
      </c>
      <c r="I412" s="350"/>
      <c r="J412" s="350"/>
      <c r="K412" s="351"/>
      <c r="L412" s="538" t="s">
        <v>294</v>
      </c>
      <c r="M412" s="350"/>
      <c r="N412" s="351"/>
      <c r="O412" s="539" t="s">
        <v>294</v>
      </c>
      <c r="P412" s="350"/>
      <c r="Q412" s="351"/>
      <c r="R412" s="574"/>
      <c r="S412" s="350"/>
      <c r="T412" s="351"/>
      <c r="U412" s="567"/>
      <c r="V412" s="350"/>
      <c r="W412" s="351"/>
      <c r="X412" s="77"/>
      <c r="Y412" s="78"/>
      <c r="Z412" s="77"/>
      <c r="AA412" s="78"/>
      <c r="AB412" s="77"/>
      <c r="AC412" s="78"/>
      <c r="AD412" s="77"/>
      <c r="AE412" s="78"/>
      <c r="AF412" s="77"/>
      <c r="AG412" s="78"/>
      <c r="AH412" s="77"/>
      <c r="AI412" s="78"/>
      <c r="AJ412" s="64"/>
      <c r="AK412" s="80"/>
      <c r="AL412" s="64"/>
      <c r="AM412" s="80"/>
      <c r="AN412" s="64"/>
      <c r="AO412" s="80"/>
      <c r="AP412" s="64"/>
      <c r="AQ412" s="80"/>
      <c r="AR412" s="64"/>
      <c r="AS412" s="679" t="s">
        <v>294</v>
      </c>
      <c r="AT412" s="350"/>
      <c r="AU412" s="350"/>
      <c r="AV412" s="350"/>
      <c r="AW412" s="350"/>
      <c r="AX412" s="350"/>
      <c r="AY412" s="351"/>
      <c r="AZ412" s="81"/>
      <c r="BA412" s="81"/>
      <c r="BB412" s="677" t="s">
        <v>325</v>
      </c>
      <c r="BC412" s="351"/>
      <c r="BD412" s="681" t="s">
        <v>294</v>
      </c>
      <c r="BE412" s="350"/>
      <c r="BF412" s="351"/>
      <c r="BG412" s="678" t="s">
        <v>294</v>
      </c>
      <c r="BH412" s="350"/>
      <c r="BI412" s="350"/>
      <c r="BJ412" s="351"/>
      <c r="BK412" s="680"/>
      <c r="BL412" s="350"/>
      <c r="BM412" s="351"/>
      <c r="BN412" s="82"/>
      <c r="BO412" s="82"/>
      <c r="BP412" s="678"/>
      <c r="BQ412" s="350"/>
      <c r="BR412" s="351"/>
      <c r="BS412" s="681" t="s">
        <v>294</v>
      </c>
      <c r="BT412" s="350"/>
      <c r="BU412" s="351"/>
    </row>
    <row r="413" spans="1:73" ht="30" customHeight="1">
      <c r="A413" s="76">
        <f t="shared" si="1"/>
        <v>399</v>
      </c>
      <c r="B413" s="686" t="s">
        <v>325</v>
      </c>
      <c r="C413" s="351"/>
      <c r="D413" s="687" t="s">
        <v>294</v>
      </c>
      <c r="E413" s="350"/>
      <c r="F413" s="350"/>
      <c r="G413" s="351"/>
      <c r="H413" s="688" t="s">
        <v>294</v>
      </c>
      <c r="I413" s="350"/>
      <c r="J413" s="350"/>
      <c r="K413" s="351"/>
      <c r="L413" s="538" t="s">
        <v>294</v>
      </c>
      <c r="M413" s="350"/>
      <c r="N413" s="351"/>
      <c r="O413" s="539" t="s">
        <v>294</v>
      </c>
      <c r="P413" s="350"/>
      <c r="Q413" s="351"/>
      <c r="R413" s="574"/>
      <c r="S413" s="350"/>
      <c r="T413" s="351"/>
      <c r="U413" s="567"/>
      <c r="V413" s="350"/>
      <c r="W413" s="351"/>
      <c r="X413" s="77"/>
      <c r="Y413" s="78"/>
      <c r="Z413" s="77"/>
      <c r="AA413" s="78"/>
      <c r="AB413" s="77"/>
      <c r="AC413" s="78"/>
      <c r="AD413" s="77"/>
      <c r="AE413" s="78"/>
      <c r="AF413" s="77"/>
      <c r="AG413" s="78"/>
      <c r="AH413" s="77"/>
      <c r="AI413" s="78"/>
      <c r="AJ413" s="64"/>
      <c r="AK413" s="80"/>
      <c r="AL413" s="64"/>
      <c r="AM413" s="80"/>
      <c r="AN413" s="64"/>
      <c r="AO413" s="80"/>
      <c r="AP413" s="64"/>
      <c r="AQ413" s="80"/>
      <c r="AR413" s="64"/>
      <c r="AS413" s="679" t="s">
        <v>294</v>
      </c>
      <c r="AT413" s="350"/>
      <c r="AU413" s="350"/>
      <c r="AV413" s="350"/>
      <c r="AW413" s="350"/>
      <c r="AX413" s="350"/>
      <c r="AY413" s="351"/>
      <c r="AZ413" s="81"/>
      <c r="BA413" s="81"/>
      <c r="BB413" s="677" t="s">
        <v>325</v>
      </c>
      <c r="BC413" s="351"/>
      <c r="BD413" s="681" t="s">
        <v>294</v>
      </c>
      <c r="BE413" s="350"/>
      <c r="BF413" s="351"/>
      <c r="BG413" s="678" t="s">
        <v>294</v>
      </c>
      <c r="BH413" s="350"/>
      <c r="BI413" s="350"/>
      <c r="BJ413" s="351"/>
      <c r="BK413" s="680"/>
      <c r="BL413" s="350"/>
      <c r="BM413" s="351"/>
      <c r="BN413" s="82"/>
      <c r="BO413" s="82"/>
      <c r="BP413" s="678"/>
      <c r="BQ413" s="350"/>
      <c r="BR413" s="351"/>
      <c r="BS413" s="681" t="s">
        <v>294</v>
      </c>
      <c r="BT413" s="350"/>
      <c r="BU413" s="351"/>
    </row>
    <row r="414" spans="1:73" ht="30" customHeight="1">
      <c r="A414" s="76">
        <f t="shared" si="1"/>
        <v>400</v>
      </c>
      <c r="B414" s="686" t="s">
        <v>325</v>
      </c>
      <c r="C414" s="351"/>
      <c r="D414" s="687" t="s">
        <v>294</v>
      </c>
      <c r="E414" s="350"/>
      <c r="F414" s="350"/>
      <c r="G414" s="351"/>
      <c r="H414" s="688" t="s">
        <v>294</v>
      </c>
      <c r="I414" s="350"/>
      <c r="J414" s="350"/>
      <c r="K414" s="351"/>
      <c r="L414" s="538" t="s">
        <v>294</v>
      </c>
      <c r="M414" s="350"/>
      <c r="N414" s="351"/>
      <c r="O414" s="539" t="s">
        <v>294</v>
      </c>
      <c r="P414" s="350"/>
      <c r="Q414" s="351"/>
      <c r="R414" s="574"/>
      <c r="S414" s="350"/>
      <c r="T414" s="351"/>
      <c r="U414" s="567"/>
      <c r="V414" s="350"/>
      <c r="W414" s="351"/>
      <c r="X414" s="77"/>
      <c r="Y414" s="78"/>
      <c r="Z414" s="77"/>
      <c r="AA414" s="78"/>
      <c r="AB414" s="77"/>
      <c r="AC414" s="78"/>
      <c r="AD414" s="77"/>
      <c r="AE414" s="78"/>
      <c r="AF414" s="77"/>
      <c r="AG414" s="78"/>
      <c r="AH414" s="77"/>
      <c r="AI414" s="78"/>
      <c r="AJ414" s="64"/>
      <c r="AK414" s="80"/>
      <c r="AL414" s="64"/>
      <c r="AM414" s="80"/>
      <c r="AN414" s="64"/>
      <c r="AO414" s="80"/>
      <c r="AP414" s="64"/>
      <c r="AQ414" s="80"/>
      <c r="AR414" s="64"/>
      <c r="AS414" s="679" t="s">
        <v>294</v>
      </c>
      <c r="AT414" s="350"/>
      <c r="AU414" s="350"/>
      <c r="AV414" s="350"/>
      <c r="AW414" s="350"/>
      <c r="AX414" s="350"/>
      <c r="AY414" s="351"/>
      <c r="AZ414" s="81"/>
      <c r="BA414" s="81"/>
      <c r="BB414" s="677" t="s">
        <v>325</v>
      </c>
      <c r="BC414" s="351"/>
      <c r="BD414" s="681" t="s">
        <v>294</v>
      </c>
      <c r="BE414" s="350"/>
      <c r="BF414" s="351"/>
      <c r="BG414" s="678" t="s">
        <v>294</v>
      </c>
      <c r="BH414" s="350"/>
      <c r="BI414" s="350"/>
      <c r="BJ414" s="351"/>
      <c r="BK414" s="680"/>
      <c r="BL414" s="350"/>
      <c r="BM414" s="351"/>
      <c r="BN414" s="82"/>
      <c r="BO414" s="82"/>
      <c r="BP414" s="678"/>
      <c r="BQ414" s="350"/>
      <c r="BR414" s="351"/>
      <c r="BS414" s="681" t="s">
        <v>294</v>
      </c>
      <c r="BT414" s="350"/>
      <c r="BU414" s="351"/>
    </row>
    <row r="415" spans="1:73" ht="30" customHeight="1">
      <c r="A415" s="76">
        <f t="shared" si="1"/>
        <v>401</v>
      </c>
      <c r="B415" s="686" t="s">
        <v>325</v>
      </c>
      <c r="C415" s="351"/>
      <c r="D415" s="687" t="s">
        <v>294</v>
      </c>
      <c r="E415" s="350"/>
      <c r="F415" s="350"/>
      <c r="G415" s="351"/>
      <c r="H415" s="688" t="s">
        <v>294</v>
      </c>
      <c r="I415" s="350"/>
      <c r="J415" s="350"/>
      <c r="K415" s="351"/>
      <c r="L415" s="538" t="s">
        <v>294</v>
      </c>
      <c r="M415" s="350"/>
      <c r="N415" s="351"/>
      <c r="O415" s="539" t="s">
        <v>294</v>
      </c>
      <c r="P415" s="350"/>
      <c r="Q415" s="351"/>
      <c r="R415" s="574"/>
      <c r="S415" s="350"/>
      <c r="T415" s="351"/>
      <c r="U415" s="567"/>
      <c r="V415" s="350"/>
      <c r="W415" s="351"/>
      <c r="X415" s="77"/>
      <c r="Y415" s="78"/>
      <c r="Z415" s="77"/>
      <c r="AA415" s="78"/>
      <c r="AB415" s="77"/>
      <c r="AC415" s="78"/>
      <c r="AD415" s="77"/>
      <c r="AE415" s="78"/>
      <c r="AF415" s="77"/>
      <c r="AG415" s="78"/>
      <c r="AH415" s="77"/>
      <c r="AI415" s="78"/>
      <c r="AJ415" s="64"/>
      <c r="AK415" s="80"/>
      <c r="AL415" s="64"/>
      <c r="AM415" s="80"/>
      <c r="AN415" s="64"/>
      <c r="AO415" s="80"/>
      <c r="AP415" s="64"/>
      <c r="AQ415" s="80"/>
      <c r="AR415" s="64"/>
      <c r="AS415" s="679" t="s">
        <v>294</v>
      </c>
      <c r="AT415" s="350"/>
      <c r="AU415" s="350"/>
      <c r="AV415" s="350"/>
      <c r="AW415" s="350"/>
      <c r="AX415" s="350"/>
      <c r="AY415" s="351"/>
      <c r="AZ415" s="81"/>
      <c r="BA415" s="81"/>
      <c r="BB415" s="677" t="s">
        <v>325</v>
      </c>
      <c r="BC415" s="351"/>
      <c r="BD415" s="681" t="s">
        <v>294</v>
      </c>
      <c r="BE415" s="350"/>
      <c r="BF415" s="351"/>
      <c r="BG415" s="678" t="s">
        <v>294</v>
      </c>
      <c r="BH415" s="350"/>
      <c r="BI415" s="350"/>
      <c r="BJ415" s="351"/>
      <c r="BK415" s="680"/>
      <c r="BL415" s="350"/>
      <c r="BM415" s="351"/>
      <c r="BN415" s="82"/>
      <c r="BO415" s="82"/>
      <c r="BP415" s="678"/>
      <c r="BQ415" s="350"/>
      <c r="BR415" s="351"/>
      <c r="BS415" s="681" t="s">
        <v>294</v>
      </c>
      <c r="BT415" s="350"/>
      <c r="BU415" s="351"/>
    </row>
    <row r="416" spans="1:73" ht="30" customHeight="1">
      <c r="A416" s="76">
        <f t="shared" si="1"/>
        <v>402</v>
      </c>
      <c r="B416" s="686" t="s">
        <v>325</v>
      </c>
      <c r="C416" s="351"/>
      <c r="D416" s="687" t="s">
        <v>294</v>
      </c>
      <c r="E416" s="350"/>
      <c r="F416" s="350"/>
      <c r="G416" s="351"/>
      <c r="H416" s="688" t="s">
        <v>294</v>
      </c>
      <c r="I416" s="350"/>
      <c r="J416" s="350"/>
      <c r="K416" s="351"/>
      <c r="L416" s="538" t="s">
        <v>294</v>
      </c>
      <c r="M416" s="350"/>
      <c r="N416" s="351"/>
      <c r="O416" s="539" t="s">
        <v>294</v>
      </c>
      <c r="P416" s="350"/>
      <c r="Q416" s="351"/>
      <c r="R416" s="574"/>
      <c r="S416" s="350"/>
      <c r="T416" s="351"/>
      <c r="U416" s="567"/>
      <c r="V416" s="350"/>
      <c r="W416" s="351"/>
      <c r="X416" s="77"/>
      <c r="Y416" s="78"/>
      <c r="Z416" s="77"/>
      <c r="AA416" s="78"/>
      <c r="AB416" s="77"/>
      <c r="AC416" s="78"/>
      <c r="AD416" s="77"/>
      <c r="AE416" s="78"/>
      <c r="AF416" s="77"/>
      <c r="AG416" s="78"/>
      <c r="AH416" s="77"/>
      <c r="AI416" s="78"/>
      <c r="AJ416" s="64"/>
      <c r="AK416" s="80"/>
      <c r="AL416" s="64"/>
      <c r="AM416" s="80"/>
      <c r="AN416" s="64"/>
      <c r="AO416" s="80"/>
      <c r="AP416" s="64"/>
      <c r="AQ416" s="80"/>
      <c r="AR416" s="64"/>
      <c r="AS416" s="679" t="s">
        <v>294</v>
      </c>
      <c r="AT416" s="350"/>
      <c r="AU416" s="350"/>
      <c r="AV416" s="350"/>
      <c r="AW416" s="350"/>
      <c r="AX416" s="350"/>
      <c r="AY416" s="351"/>
      <c r="AZ416" s="81"/>
      <c r="BA416" s="81"/>
      <c r="BB416" s="677" t="s">
        <v>325</v>
      </c>
      <c r="BC416" s="351"/>
      <c r="BD416" s="681" t="s">
        <v>294</v>
      </c>
      <c r="BE416" s="350"/>
      <c r="BF416" s="351"/>
      <c r="BG416" s="678" t="s">
        <v>294</v>
      </c>
      <c r="BH416" s="350"/>
      <c r="BI416" s="350"/>
      <c r="BJ416" s="351"/>
      <c r="BK416" s="680"/>
      <c r="BL416" s="350"/>
      <c r="BM416" s="351"/>
      <c r="BN416" s="82"/>
      <c r="BO416" s="82"/>
      <c r="BP416" s="678"/>
      <c r="BQ416" s="350"/>
      <c r="BR416" s="351"/>
      <c r="BS416" s="681" t="s">
        <v>294</v>
      </c>
      <c r="BT416" s="350"/>
      <c r="BU416" s="351"/>
    </row>
    <row r="417" spans="1:73" ht="30" customHeight="1">
      <c r="A417" s="76">
        <f t="shared" si="1"/>
        <v>403</v>
      </c>
      <c r="B417" s="686" t="s">
        <v>325</v>
      </c>
      <c r="C417" s="351"/>
      <c r="D417" s="687" t="s">
        <v>294</v>
      </c>
      <c r="E417" s="350"/>
      <c r="F417" s="350"/>
      <c r="G417" s="351"/>
      <c r="H417" s="688" t="s">
        <v>294</v>
      </c>
      <c r="I417" s="350"/>
      <c r="J417" s="350"/>
      <c r="K417" s="351"/>
      <c r="L417" s="538" t="s">
        <v>294</v>
      </c>
      <c r="M417" s="350"/>
      <c r="N417" s="351"/>
      <c r="O417" s="539" t="s">
        <v>294</v>
      </c>
      <c r="P417" s="350"/>
      <c r="Q417" s="351"/>
      <c r="R417" s="574"/>
      <c r="S417" s="350"/>
      <c r="T417" s="351"/>
      <c r="U417" s="567"/>
      <c r="V417" s="350"/>
      <c r="W417" s="351"/>
      <c r="X417" s="77"/>
      <c r="Y417" s="78"/>
      <c r="Z417" s="77"/>
      <c r="AA417" s="78"/>
      <c r="AB417" s="77"/>
      <c r="AC417" s="78"/>
      <c r="AD417" s="77"/>
      <c r="AE417" s="78"/>
      <c r="AF417" s="77"/>
      <c r="AG417" s="78"/>
      <c r="AH417" s="77"/>
      <c r="AI417" s="78"/>
      <c r="AJ417" s="64"/>
      <c r="AK417" s="80"/>
      <c r="AL417" s="64"/>
      <c r="AM417" s="80"/>
      <c r="AN417" s="64"/>
      <c r="AO417" s="80"/>
      <c r="AP417" s="64"/>
      <c r="AQ417" s="80"/>
      <c r="AR417" s="64"/>
      <c r="AS417" s="679" t="s">
        <v>294</v>
      </c>
      <c r="AT417" s="350"/>
      <c r="AU417" s="350"/>
      <c r="AV417" s="350"/>
      <c r="AW417" s="350"/>
      <c r="AX417" s="350"/>
      <c r="AY417" s="351"/>
      <c r="AZ417" s="81"/>
      <c r="BA417" s="81"/>
      <c r="BB417" s="677" t="s">
        <v>325</v>
      </c>
      <c r="BC417" s="351"/>
      <c r="BD417" s="681" t="s">
        <v>294</v>
      </c>
      <c r="BE417" s="350"/>
      <c r="BF417" s="351"/>
      <c r="BG417" s="678" t="s">
        <v>294</v>
      </c>
      <c r="BH417" s="350"/>
      <c r="BI417" s="350"/>
      <c r="BJ417" s="351"/>
      <c r="BK417" s="680"/>
      <c r="BL417" s="350"/>
      <c r="BM417" s="351"/>
      <c r="BN417" s="82"/>
      <c r="BO417" s="82"/>
      <c r="BP417" s="678"/>
      <c r="BQ417" s="350"/>
      <c r="BR417" s="351"/>
      <c r="BS417" s="681" t="s">
        <v>294</v>
      </c>
      <c r="BT417" s="350"/>
      <c r="BU417" s="351"/>
    </row>
    <row r="418" spans="1:73" ht="30" customHeight="1">
      <c r="A418" s="76">
        <f t="shared" si="1"/>
        <v>404</v>
      </c>
      <c r="B418" s="686" t="s">
        <v>325</v>
      </c>
      <c r="C418" s="351"/>
      <c r="D418" s="687" t="s">
        <v>294</v>
      </c>
      <c r="E418" s="350"/>
      <c r="F418" s="350"/>
      <c r="G418" s="351"/>
      <c r="H418" s="688" t="s">
        <v>294</v>
      </c>
      <c r="I418" s="350"/>
      <c r="J418" s="350"/>
      <c r="K418" s="351"/>
      <c r="L418" s="538" t="s">
        <v>294</v>
      </c>
      <c r="M418" s="350"/>
      <c r="N418" s="351"/>
      <c r="O418" s="539" t="s">
        <v>294</v>
      </c>
      <c r="P418" s="350"/>
      <c r="Q418" s="351"/>
      <c r="R418" s="574"/>
      <c r="S418" s="350"/>
      <c r="T418" s="351"/>
      <c r="U418" s="567"/>
      <c r="V418" s="350"/>
      <c r="W418" s="351"/>
      <c r="X418" s="77"/>
      <c r="Y418" s="78"/>
      <c r="Z418" s="77"/>
      <c r="AA418" s="78"/>
      <c r="AB418" s="77"/>
      <c r="AC418" s="78"/>
      <c r="AD418" s="77"/>
      <c r="AE418" s="78"/>
      <c r="AF418" s="77"/>
      <c r="AG418" s="78"/>
      <c r="AH418" s="77"/>
      <c r="AI418" s="78"/>
      <c r="AJ418" s="64"/>
      <c r="AK418" s="80"/>
      <c r="AL418" s="64"/>
      <c r="AM418" s="80"/>
      <c r="AN418" s="64"/>
      <c r="AO418" s="80"/>
      <c r="AP418" s="64"/>
      <c r="AQ418" s="80"/>
      <c r="AR418" s="64"/>
      <c r="AS418" s="679" t="s">
        <v>294</v>
      </c>
      <c r="AT418" s="350"/>
      <c r="AU418" s="350"/>
      <c r="AV418" s="350"/>
      <c r="AW418" s="350"/>
      <c r="AX418" s="350"/>
      <c r="AY418" s="351"/>
      <c r="AZ418" s="81"/>
      <c r="BA418" s="81"/>
      <c r="BB418" s="677" t="s">
        <v>325</v>
      </c>
      <c r="BC418" s="351"/>
      <c r="BD418" s="681" t="s">
        <v>294</v>
      </c>
      <c r="BE418" s="350"/>
      <c r="BF418" s="351"/>
      <c r="BG418" s="678" t="s">
        <v>294</v>
      </c>
      <c r="BH418" s="350"/>
      <c r="BI418" s="350"/>
      <c r="BJ418" s="351"/>
      <c r="BK418" s="680"/>
      <c r="BL418" s="350"/>
      <c r="BM418" s="351"/>
      <c r="BN418" s="82"/>
      <c r="BO418" s="82"/>
      <c r="BP418" s="678"/>
      <c r="BQ418" s="350"/>
      <c r="BR418" s="351"/>
      <c r="BS418" s="681" t="s">
        <v>294</v>
      </c>
      <c r="BT418" s="350"/>
      <c r="BU418" s="351"/>
    </row>
    <row r="419" spans="1:73" ht="30" customHeight="1">
      <c r="A419" s="76">
        <f t="shared" si="1"/>
        <v>405</v>
      </c>
      <c r="B419" s="686" t="s">
        <v>325</v>
      </c>
      <c r="C419" s="351"/>
      <c r="D419" s="687" t="s">
        <v>294</v>
      </c>
      <c r="E419" s="350"/>
      <c r="F419" s="350"/>
      <c r="G419" s="351"/>
      <c r="H419" s="688" t="s">
        <v>294</v>
      </c>
      <c r="I419" s="350"/>
      <c r="J419" s="350"/>
      <c r="K419" s="351"/>
      <c r="L419" s="538" t="s">
        <v>294</v>
      </c>
      <c r="M419" s="350"/>
      <c r="N419" s="351"/>
      <c r="O419" s="539" t="s">
        <v>294</v>
      </c>
      <c r="P419" s="350"/>
      <c r="Q419" s="351"/>
      <c r="R419" s="574"/>
      <c r="S419" s="350"/>
      <c r="T419" s="351"/>
      <c r="U419" s="567"/>
      <c r="V419" s="350"/>
      <c r="W419" s="351"/>
      <c r="X419" s="77"/>
      <c r="Y419" s="78"/>
      <c r="Z419" s="77"/>
      <c r="AA419" s="78"/>
      <c r="AB419" s="77"/>
      <c r="AC419" s="78"/>
      <c r="AD419" s="77"/>
      <c r="AE419" s="78"/>
      <c r="AF419" s="77"/>
      <c r="AG419" s="78"/>
      <c r="AH419" s="77"/>
      <c r="AI419" s="78"/>
      <c r="AJ419" s="64"/>
      <c r="AK419" s="80"/>
      <c r="AL419" s="64"/>
      <c r="AM419" s="80"/>
      <c r="AN419" s="64"/>
      <c r="AO419" s="80"/>
      <c r="AP419" s="64"/>
      <c r="AQ419" s="80"/>
      <c r="AR419" s="64"/>
      <c r="AS419" s="679" t="s">
        <v>294</v>
      </c>
      <c r="AT419" s="350"/>
      <c r="AU419" s="350"/>
      <c r="AV419" s="350"/>
      <c r="AW419" s="350"/>
      <c r="AX419" s="350"/>
      <c r="AY419" s="351"/>
      <c r="AZ419" s="81"/>
      <c r="BA419" s="81"/>
      <c r="BB419" s="677" t="s">
        <v>325</v>
      </c>
      <c r="BC419" s="351"/>
      <c r="BD419" s="681" t="s">
        <v>294</v>
      </c>
      <c r="BE419" s="350"/>
      <c r="BF419" s="351"/>
      <c r="BG419" s="678" t="s">
        <v>294</v>
      </c>
      <c r="BH419" s="350"/>
      <c r="BI419" s="350"/>
      <c r="BJ419" s="351"/>
      <c r="BK419" s="680"/>
      <c r="BL419" s="350"/>
      <c r="BM419" s="351"/>
      <c r="BN419" s="82"/>
      <c r="BO419" s="82"/>
      <c r="BP419" s="678"/>
      <c r="BQ419" s="350"/>
      <c r="BR419" s="351"/>
      <c r="BS419" s="681" t="s">
        <v>294</v>
      </c>
      <c r="BT419" s="350"/>
      <c r="BU419" s="351"/>
    </row>
    <row r="420" spans="1:73" ht="30" customHeight="1">
      <c r="A420" s="76">
        <f t="shared" si="1"/>
        <v>406</v>
      </c>
      <c r="B420" s="686" t="s">
        <v>325</v>
      </c>
      <c r="C420" s="351"/>
      <c r="D420" s="687" t="s">
        <v>294</v>
      </c>
      <c r="E420" s="350"/>
      <c r="F420" s="350"/>
      <c r="G420" s="351"/>
      <c r="H420" s="688" t="s">
        <v>294</v>
      </c>
      <c r="I420" s="350"/>
      <c r="J420" s="350"/>
      <c r="K420" s="351"/>
      <c r="L420" s="538" t="s">
        <v>294</v>
      </c>
      <c r="M420" s="350"/>
      <c r="N420" s="351"/>
      <c r="O420" s="539" t="s">
        <v>294</v>
      </c>
      <c r="P420" s="350"/>
      <c r="Q420" s="351"/>
      <c r="R420" s="574"/>
      <c r="S420" s="350"/>
      <c r="T420" s="351"/>
      <c r="U420" s="567"/>
      <c r="V420" s="350"/>
      <c r="W420" s="351"/>
      <c r="X420" s="77"/>
      <c r="Y420" s="78"/>
      <c r="Z420" s="77"/>
      <c r="AA420" s="78"/>
      <c r="AB420" s="77"/>
      <c r="AC420" s="78"/>
      <c r="AD420" s="77"/>
      <c r="AE420" s="78"/>
      <c r="AF420" s="77"/>
      <c r="AG420" s="78"/>
      <c r="AH420" s="77"/>
      <c r="AI420" s="78"/>
      <c r="AJ420" s="64"/>
      <c r="AK420" s="80"/>
      <c r="AL420" s="64"/>
      <c r="AM420" s="80"/>
      <c r="AN420" s="64"/>
      <c r="AO420" s="80"/>
      <c r="AP420" s="64"/>
      <c r="AQ420" s="80"/>
      <c r="AR420" s="64"/>
      <c r="AS420" s="679" t="s">
        <v>294</v>
      </c>
      <c r="AT420" s="350"/>
      <c r="AU420" s="350"/>
      <c r="AV420" s="350"/>
      <c r="AW420" s="350"/>
      <c r="AX420" s="350"/>
      <c r="AY420" s="351"/>
      <c r="AZ420" s="81"/>
      <c r="BA420" s="81"/>
      <c r="BB420" s="677" t="s">
        <v>325</v>
      </c>
      <c r="BC420" s="351"/>
      <c r="BD420" s="681" t="s">
        <v>294</v>
      </c>
      <c r="BE420" s="350"/>
      <c r="BF420" s="351"/>
      <c r="BG420" s="678" t="s">
        <v>294</v>
      </c>
      <c r="BH420" s="350"/>
      <c r="BI420" s="350"/>
      <c r="BJ420" s="351"/>
      <c r="BK420" s="680"/>
      <c r="BL420" s="350"/>
      <c r="BM420" s="351"/>
      <c r="BN420" s="82"/>
      <c r="BO420" s="82"/>
      <c r="BP420" s="678"/>
      <c r="BQ420" s="350"/>
      <c r="BR420" s="351"/>
      <c r="BS420" s="681" t="s">
        <v>294</v>
      </c>
      <c r="BT420" s="350"/>
      <c r="BU420" s="351"/>
    </row>
    <row r="421" spans="1:73" ht="30" customHeight="1">
      <c r="A421" s="76">
        <f t="shared" si="1"/>
        <v>407</v>
      </c>
      <c r="B421" s="686" t="s">
        <v>325</v>
      </c>
      <c r="C421" s="351"/>
      <c r="D421" s="687" t="s">
        <v>294</v>
      </c>
      <c r="E421" s="350"/>
      <c r="F421" s="350"/>
      <c r="G421" s="351"/>
      <c r="H421" s="688" t="s">
        <v>294</v>
      </c>
      <c r="I421" s="350"/>
      <c r="J421" s="350"/>
      <c r="K421" s="351"/>
      <c r="L421" s="538" t="s">
        <v>294</v>
      </c>
      <c r="M421" s="350"/>
      <c r="N421" s="351"/>
      <c r="O421" s="539" t="s">
        <v>294</v>
      </c>
      <c r="P421" s="350"/>
      <c r="Q421" s="351"/>
      <c r="R421" s="574"/>
      <c r="S421" s="350"/>
      <c r="T421" s="351"/>
      <c r="U421" s="567"/>
      <c r="V421" s="350"/>
      <c r="W421" s="351"/>
      <c r="X421" s="77"/>
      <c r="Y421" s="78"/>
      <c r="Z421" s="77"/>
      <c r="AA421" s="78"/>
      <c r="AB421" s="77"/>
      <c r="AC421" s="78"/>
      <c r="AD421" s="77"/>
      <c r="AE421" s="78"/>
      <c r="AF421" s="77"/>
      <c r="AG421" s="78"/>
      <c r="AH421" s="77"/>
      <c r="AI421" s="78"/>
      <c r="AJ421" s="64"/>
      <c r="AK421" s="80"/>
      <c r="AL421" s="64"/>
      <c r="AM421" s="80"/>
      <c r="AN421" s="64"/>
      <c r="AO421" s="80"/>
      <c r="AP421" s="64"/>
      <c r="AQ421" s="80"/>
      <c r="AR421" s="64"/>
      <c r="AS421" s="679" t="s">
        <v>294</v>
      </c>
      <c r="AT421" s="350"/>
      <c r="AU421" s="350"/>
      <c r="AV421" s="350"/>
      <c r="AW421" s="350"/>
      <c r="AX421" s="350"/>
      <c r="AY421" s="351"/>
      <c r="AZ421" s="81"/>
      <c r="BA421" s="81"/>
      <c r="BB421" s="677" t="s">
        <v>325</v>
      </c>
      <c r="BC421" s="351"/>
      <c r="BD421" s="681" t="s">
        <v>294</v>
      </c>
      <c r="BE421" s="350"/>
      <c r="BF421" s="351"/>
      <c r="BG421" s="678" t="s">
        <v>294</v>
      </c>
      <c r="BH421" s="350"/>
      <c r="BI421" s="350"/>
      <c r="BJ421" s="351"/>
      <c r="BK421" s="680"/>
      <c r="BL421" s="350"/>
      <c r="BM421" s="351"/>
      <c r="BN421" s="82"/>
      <c r="BO421" s="82"/>
      <c r="BP421" s="678"/>
      <c r="BQ421" s="350"/>
      <c r="BR421" s="351"/>
      <c r="BS421" s="681" t="s">
        <v>294</v>
      </c>
      <c r="BT421" s="350"/>
      <c r="BU421" s="351"/>
    </row>
    <row r="422" spans="1:73" ht="30" customHeight="1">
      <c r="A422" s="76">
        <f t="shared" si="1"/>
        <v>408</v>
      </c>
      <c r="B422" s="686" t="s">
        <v>325</v>
      </c>
      <c r="C422" s="351"/>
      <c r="D422" s="687" t="s">
        <v>294</v>
      </c>
      <c r="E422" s="350"/>
      <c r="F422" s="350"/>
      <c r="G422" s="351"/>
      <c r="H422" s="688" t="s">
        <v>294</v>
      </c>
      <c r="I422" s="350"/>
      <c r="J422" s="350"/>
      <c r="K422" s="351"/>
      <c r="L422" s="538" t="s">
        <v>294</v>
      </c>
      <c r="M422" s="350"/>
      <c r="N422" s="351"/>
      <c r="O422" s="539" t="s">
        <v>294</v>
      </c>
      <c r="P422" s="350"/>
      <c r="Q422" s="351"/>
      <c r="R422" s="574"/>
      <c r="S422" s="350"/>
      <c r="T422" s="351"/>
      <c r="U422" s="567"/>
      <c r="V422" s="350"/>
      <c r="W422" s="351"/>
      <c r="X422" s="77"/>
      <c r="Y422" s="78"/>
      <c r="Z422" s="77"/>
      <c r="AA422" s="78"/>
      <c r="AB422" s="77"/>
      <c r="AC422" s="78"/>
      <c r="AD422" s="77"/>
      <c r="AE422" s="78"/>
      <c r="AF422" s="77"/>
      <c r="AG422" s="78"/>
      <c r="AH422" s="77"/>
      <c r="AI422" s="78"/>
      <c r="AJ422" s="64"/>
      <c r="AK422" s="80"/>
      <c r="AL422" s="64"/>
      <c r="AM422" s="80"/>
      <c r="AN422" s="64"/>
      <c r="AO422" s="80"/>
      <c r="AP422" s="64"/>
      <c r="AQ422" s="80"/>
      <c r="AR422" s="64"/>
      <c r="AS422" s="679" t="s">
        <v>294</v>
      </c>
      <c r="AT422" s="350"/>
      <c r="AU422" s="350"/>
      <c r="AV422" s="350"/>
      <c r="AW422" s="350"/>
      <c r="AX422" s="350"/>
      <c r="AY422" s="351"/>
      <c r="AZ422" s="81"/>
      <c r="BA422" s="81"/>
      <c r="BB422" s="677" t="s">
        <v>325</v>
      </c>
      <c r="BC422" s="351"/>
      <c r="BD422" s="681" t="s">
        <v>294</v>
      </c>
      <c r="BE422" s="350"/>
      <c r="BF422" s="351"/>
      <c r="BG422" s="678" t="s">
        <v>294</v>
      </c>
      <c r="BH422" s="350"/>
      <c r="BI422" s="350"/>
      <c r="BJ422" s="351"/>
      <c r="BK422" s="680"/>
      <c r="BL422" s="350"/>
      <c r="BM422" s="351"/>
      <c r="BN422" s="82"/>
      <c r="BO422" s="82"/>
      <c r="BP422" s="678"/>
      <c r="BQ422" s="350"/>
      <c r="BR422" s="351"/>
      <c r="BS422" s="681" t="s">
        <v>294</v>
      </c>
      <c r="BT422" s="350"/>
      <c r="BU422" s="351"/>
    </row>
    <row r="423" spans="1:73" ht="30" customHeight="1">
      <c r="A423" s="76">
        <f t="shared" si="1"/>
        <v>409</v>
      </c>
      <c r="B423" s="686" t="s">
        <v>325</v>
      </c>
      <c r="C423" s="351"/>
      <c r="D423" s="687" t="s">
        <v>294</v>
      </c>
      <c r="E423" s="350"/>
      <c r="F423" s="350"/>
      <c r="G423" s="351"/>
      <c r="H423" s="688" t="s">
        <v>294</v>
      </c>
      <c r="I423" s="350"/>
      <c r="J423" s="350"/>
      <c r="K423" s="351"/>
      <c r="L423" s="538" t="s">
        <v>294</v>
      </c>
      <c r="M423" s="350"/>
      <c r="N423" s="351"/>
      <c r="O423" s="539" t="s">
        <v>294</v>
      </c>
      <c r="P423" s="350"/>
      <c r="Q423" s="351"/>
      <c r="R423" s="574"/>
      <c r="S423" s="350"/>
      <c r="T423" s="351"/>
      <c r="U423" s="567"/>
      <c r="V423" s="350"/>
      <c r="W423" s="351"/>
      <c r="X423" s="77"/>
      <c r="Y423" s="78"/>
      <c r="Z423" s="77"/>
      <c r="AA423" s="78"/>
      <c r="AB423" s="77"/>
      <c r="AC423" s="78"/>
      <c r="AD423" s="77"/>
      <c r="AE423" s="78"/>
      <c r="AF423" s="77"/>
      <c r="AG423" s="78"/>
      <c r="AH423" s="77"/>
      <c r="AI423" s="78"/>
      <c r="AJ423" s="64"/>
      <c r="AK423" s="80"/>
      <c r="AL423" s="64"/>
      <c r="AM423" s="80"/>
      <c r="AN423" s="64"/>
      <c r="AO423" s="80"/>
      <c r="AP423" s="64"/>
      <c r="AQ423" s="80"/>
      <c r="AR423" s="64"/>
      <c r="AS423" s="679" t="s">
        <v>294</v>
      </c>
      <c r="AT423" s="350"/>
      <c r="AU423" s="350"/>
      <c r="AV423" s="350"/>
      <c r="AW423" s="350"/>
      <c r="AX423" s="350"/>
      <c r="AY423" s="351"/>
      <c r="AZ423" s="81"/>
      <c r="BA423" s="81"/>
      <c r="BB423" s="677" t="s">
        <v>325</v>
      </c>
      <c r="BC423" s="351"/>
      <c r="BD423" s="681" t="s">
        <v>294</v>
      </c>
      <c r="BE423" s="350"/>
      <c r="BF423" s="351"/>
      <c r="BG423" s="678" t="s">
        <v>294</v>
      </c>
      <c r="BH423" s="350"/>
      <c r="BI423" s="350"/>
      <c r="BJ423" s="351"/>
      <c r="BK423" s="680"/>
      <c r="BL423" s="350"/>
      <c r="BM423" s="351"/>
      <c r="BN423" s="82"/>
      <c r="BO423" s="82"/>
      <c r="BP423" s="678"/>
      <c r="BQ423" s="350"/>
      <c r="BR423" s="351"/>
      <c r="BS423" s="681" t="s">
        <v>294</v>
      </c>
      <c r="BT423" s="350"/>
      <c r="BU423" s="351"/>
    </row>
    <row r="424" spans="1:73" ht="30" customHeight="1">
      <c r="A424" s="76">
        <f t="shared" si="1"/>
        <v>410</v>
      </c>
      <c r="B424" s="686" t="s">
        <v>325</v>
      </c>
      <c r="C424" s="351"/>
      <c r="D424" s="687" t="s">
        <v>294</v>
      </c>
      <c r="E424" s="350"/>
      <c r="F424" s="350"/>
      <c r="G424" s="351"/>
      <c r="H424" s="688" t="s">
        <v>294</v>
      </c>
      <c r="I424" s="350"/>
      <c r="J424" s="350"/>
      <c r="K424" s="351"/>
      <c r="L424" s="538" t="s">
        <v>294</v>
      </c>
      <c r="M424" s="350"/>
      <c r="N424" s="351"/>
      <c r="O424" s="539" t="s">
        <v>294</v>
      </c>
      <c r="P424" s="350"/>
      <c r="Q424" s="351"/>
      <c r="R424" s="574"/>
      <c r="S424" s="350"/>
      <c r="T424" s="351"/>
      <c r="U424" s="567"/>
      <c r="V424" s="350"/>
      <c r="W424" s="351"/>
      <c r="X424" s="77"/>
      <c r="Y424" s="78"/>
      <c r="Z424" s="77"/>
      <c r="AA424" s="78"/>
      <c r="AB424" s="77"/>
      <c r="AC424" s="78"/>
      <c r="AD424" s="77"/>
      <c r="AE424" s="78"/>
      <c r="AF424" s="77"/>
      <c r="AG424" s="78"/>
      <c r="AH424" s="77"/>
      <c r="AI424" s="78"/>
      <c r="AJ424" s="64"/>
      <c r="AK424" s="80"/>
      <c r="AL424" s="64"/>
      <c r="AM424" s="80"/>
      <c r="AN424" s="64"/>
      <c r="AO424" s="80"/>
      <c r="AP424" s="64"/>
      <c r="AQ424" s="80"/>
      <c r="AR424" s="64"/>
      <c r="AS424" s="679" t="s">
        <v>294</v>
      </c>
      <c r="AT424" s="350"/>
      <c r="AU424" s="350"/>
      <c r="AV424" s="350"/>
      <c r="AW424" s="350"/>
      <c r="AX424" s="350"/>
      <c r="AY424" s="351"/>
      <c r="AZ424" s="81"/>
      <c r="BA424" s="81"/>
      <c r="BB424" s="677" t="s">
        <v>325</v>
      </c>
      <c r="BC424" s="351"/>
      <c r="BD424" s="681" t="s">
        <v>294</v>
      </c>
      <c r="BE424" s="350"/>
      <c r="BF424" s="351"/>
      <c r="BG424" s="678" t="s">
        <v>294</v>
      </c>
      <c r="BH424" s="350"/>
      <c r="BI424" s="350"/>
      <c r="BJ424" s="351"/>
      <c r="BK424" s="680"/>
      <c r="BL424" s="350"/>
      <c r="BM424" s="351"/>
      <c r="BN424" s="82"/>
      <c r="BO424" s="82"/>
      <c r="BP424" s="678"/>
      <c r="BQ424" s="350"/>
      <c r="BR424" s="351"/>
      <c r="BS424" s="681" t="s">
        <v>294</v>
      </c>
      <c r="BT424" s="350"/>
      <c r="BU424" s="351"/>
    </row>
    <row r="425" spans="1:73" ht="30" customHeight="1">
      <c r="A425" s="76">
        <f t="shared" si="1"/>
        <v>411</v>
      </c>
      <c r="B425" s="686" t="s">
        <v>325</v>
      </c>
      <c r="C425" s="351"/>
      <c r="D425" s="687" t="s">
        <v>294</v>
      </c>
      <c r="E425" s="350"/>
      <c r="F425" s="350"/>
      <c r="G425" s="351"/>
      <c r="H425" s="688" t="s">
        <v>294</v>
      </c>
      <c r="I425" s="350"/>
      <c r="J425" s="350"/>
      <c r="K425" s="351"/>
      <c r="L425" s="538" t="s">
        <v>294</v>
      </c>
      <c r="M425" s="350"/>
      <c r="N425" s="351"/>
      <c r="O425" s="539" t="s">
        <v>294</v>
      </c>
      <c r="P425" s="350"/>
      <c r="Q425" s="351"/>
      <c r="R425" s="574"/>
      <c r="S425" s="350"/>
      <c r="T425" s="351"/>
      <c r="U425" s="567"/>
      <c r="V425" s="350"/>
      <c r="W425" s="351"/>
      <c r="X425" s="77"/>
      <c r="Y425" s="78"/>
      <c r="Z425" s="77"/>
      <c r="AA425" s="78"/>
      <c r="AB425" s="77"/>
      <c r="AC425" s="78"/>
      <c r="AD425" s="77"/>
      <c r="AE425" s="78"/>
      <c r="AF425" s="77"/>
      <c r="AG425" s="78"/>
      <c r="AH425" s="77"/>
      <c r="AI425" s="78"/>
      <c r="AJ425" s="64"/>
      <c r="AK425" s="80"/>
      <c r="AL425" s="64"/>
      <c r="AM425" s="80"/>
      <c r="AN425" s="64"/>
      <c r="AO425" s="80"/>
      <c r="AP425" s="64"/>
      <c r="AQ425" s="80"/>
      <c r="AR425" s="64"/>
      <c r="AS425" s="679" t="s">
        <v>294</v>
      </c>
      <c r="AT425" s="350"/>
      <c r="AU425" s="350"/>
      <c r="AV425" s="350"/>
      <c r="AW425" s="350"/>
      <c r="AX425" s="350"/>
      <c r="AY425" s="351"/>
      <c r="AZ425" s="81"/>
      <c r="BA425" s="81"/>
      <c r="BB425" s="677" t="s">
        <v>325</v>
      </c>
      <c r="BC425" s="351"/>
      <c r="BD425" s="681" t="s">
        <v>294</v>
      </c>
      <c r="BE425" s="350"/>
      <c r="BF425" s="351"/>
      <c r="BG425" s="678" t="s">
        <v>294</v>
      </c>
      <c r="BH425" s="350"/>
      <c r="BI425" s="350"/>
      <c r="BJ425" s="351"/>
      <c r="BK425" s="680"/>
      <c r="BL425" s="350"/>
      <c r="BM425" s="351"/>
      <c r="BN425" s="82"/>
      <c r="BO425" s="82"/>
      <c r="BP425" s="678"/>
      <c r="BQ425" s="350"/>
      <c r="BR425" s="351"/>
      <c r="BS425" s="681" t="s">
        <v>294</v>
      </c>
      <c r="BT425" s="350"/>
      <c r="BU425" s="351"/>
    </row>
    <row r="426" spans="1:73" ht="30" customHeight="1">
      <c r="A426" s="76">
        <f t="shared" si="1"/>
        <v>412</v>
      </c>
      <c r="B426" s="686" t="s">
        <v>325</v>
      </c>
      <c r="C426" s="351"/>
      <c r="D426" s="687" t="s">
        <v>294</v>
      </c>
      <c r="E426" s="350"/>
      <c r="F426" s="350"/>
      <c r="G426" s="351"/>
      <c r="H426" s="688" t="s">
        <v>294</v>
      </c>
      <c r="I426" s="350"/>
      <c r="J426" s="350"/>
      <c r="K426" s="351"/>
      <c r="L426" s="538" t="s">
        <v>294</v>
      </c>
      <c r="M426" s="350"/>
      <c r="N426" s="351"/>
      <c r="O426" s="539" t="s">
        <v>294</v>
      </c>
      <c r="P426" s="350"/>
      <c r="Q426" s="351"/>
      <c r="R426" s="574"/>
      <c r="S426" s="350"/>
      <c r="T426" s="351"/>
      <c r="U426" s="567"/>
      <c r="V426" s="350"/>
      <c r="W426" s="351"/>
      <c r="X426" s="77"/>
      <c r="Y426" s="78"/>
      <c r="Z426" s="77"/>
      <c r="AA426" s="78"/>
      <c r="AB426" s="77"/>
      <c r="AC426" s="78"/>
      <c r="AD426" s="77"/>
      <c r="AE426" s="78"/>
      <c r="AF426" s="77"/>
      <c r="AG426" s="78"/>
      <c r="AH426" s="77"/>
      <c r="AI426" s="78"/>
      <c r="AJ426" s="64"/>
      <c r="AK426" s="80"/>
      <c r="AL426" s="64"/>
      <c r="AM426" s="80"/>
      <c r="AN426" s="64"/>
      <c r="AO426" s="80"/>
      <c r="AP426" s="64"/>
      <c r="AQ426" s="80"/>
      <c r="AR426" s="64"/>
      <c r="AS426" s="679" t="s">
        <v>294</v>
      </c>
      <c r="AT426" s="350"/>
      <c r="AU426" s="350"/>
      <c r="AV426" s="350"/>
      <c r="AW426" s="350"/>
      <c r="AX426" s="350"/>
      <c r="AY426" s="351"/>
      <c r="AZ426" s="81"/>
      <c r="BA426" s="81"/>
      <c r="BB426" s="677" t="s">
        <v>325</v>
      </c>
      <c r="BC426" s="351"/>
      <c r="BD426" s="681" t="s">
        <v>294</v>
      </c>
      <c r="BE426" s="350"/>
      <c r="BF426" s="351"/>
      <c r="BG426" s="678" t="s">
        <v>294</v>
      </c>
      <c r="BH426" s="350"/>
      <c r="BI426" s="350"/>
      <c r="BJ426" s="351"/>
      <c r="BK426" s="680"/>
      <c r="BL426" s="350"/>
      <c r="BM426" s="351"/>
      <c r="BN426" s="82"/>
      <c r="BO426" s="82"/>
      <c r="BP426" s="678"/>
      <c r="BQ426" s="350"/>
      <c r="BR426" s="351"/>
      <c r="BS426" s="681" t="s">
        <v>294</v>
      </c>
      <c r="BT426" s="350"/>
      <c r="BU426" s="351"/>
    </row>
    <row r="427" spans="1:73" ht="30" customHeight="1">
      <c r="A427" s="76">
        <f t="shared" si="1"/>
        <v>413</v>
      </c>
      <c r="B427" s="686" t="s">
        <v>325</v>
      </c>
      <c r="C427" s="351"/>
      <c r="D427" s="687" t="s">
        <v>294</v>
      </c>
      <c r="E427" s="350"/>
      <c r="F427" s="350"/>
      <c r="G427" s="351"/>
      <c r="H427" s="688" t="s">
        <v>294</v>
      </c>
      <c r="I427" s="350"/>
      <c r="J427" s="350"/>
      <c r="K427" s="351"/>
      <c r="L427" s="538" t="s">
        <v>294</v>
      </c>
      <c r="M427" s="350"/>
      <c r="N427" s="351"/>
      <c r="O427" s="539" t="s">
        <v>294</v>
      </c>
      <c r="P427" s="350"/>
      <c r="Q427" s="351"/>
      <c r="R427" s="574"/>
      <c r="S427" s="350"/>
      <c r="T427" s="351"/>
      <c r="U427" s="567"/>
      <c r="V427" s="350"/>
      <c r="W427" s="351"/>
      <c r="X427" s="77"/>
      <c r="Y427" s="78"/>
      <c r="Z427" s="77"/>
      <c r="AA427" s="78"/>
      <c r="AB427" s="77"/>
      <c r="AC427" s="78"/>
      <c r="AD427" s="77"/>
      <c r="AE427" s="78"/>
      <c r="AF427" s="77"/>
      <c r="AG427" s="78"/>
      <c r="AH427" s="77"/>
      <c r="AI427" s="78"/>
      <c r="AJ427" s="64"/>
      <c r="AK427" s="80"/>
      <c r="AL427" s="64"/>
      <c r="AM427" s="80"/>
      <c r="AN427" s="64"/>
      <c r="AO427" s="80"/>
      <c r="AP427" s="64"/>
      <c r="AQ427" s="80"/>
      <c r="AR427" s="64"/>
      <c r="AS427" s="679" t="s">
        <v>294</v>
      </c>
      <c r="AT427" s="350"/>
      <c r="AU427" s="350"/>
      <c r="AV427" s="350"/>
      <c r="AW427" s="350"/>
      <c r="AX427" s="350"/>
      <c r="AY427" s="351"/>
      <c r="AZ427" s="81"/>
      <c r="BA427" s="81"/>
      <c r="BB427" s="677" t="s">
        <v>325</v>
      </c>
      <c r="BC427" s="351"/>
      <c r="BD427" s="681" t="s">
        <v>294</v>
      </c>
      <c r="BE427" s="350"/>
      <c r="BF427" s="351"/>
      <c r="BG427" s="678" t="s">
        <v>294</v>
      </c>
      <c r="BH427" s="350"/>
      <c r="BI427" s="350"/>
      <c r="BJ427" s="351"/>
      <c r="BK427" s="680"/>
      <c r="BL427" s="350"/>
      <c r="BM427" s="351"/>
      <c r="BN427" s="82"/>
      <c r="BO427" s="82"/>
      <c r="BP427" s="678"/>
      <c r="BQ427" s="350"/>
      <c r="BR427" s="351"/>
      <c r="BS427" s="681" t="s">
        <v>294</v>
      </c>
      <c r="BT427" s="350"/>
      <c r="BU427" s="351"/>
    </row>
    <row r="428" spans="1:73" ht="30" customHeight="1">
      <c r="A428" s="76">
        <f t="shared" si="1"/>
        <v>414</v>
      </c>
      <c r="B428" s="686" t="s">
        <v>325</v>
      </c>
      <c r="C428" s="351"/>
      <c r="D428" s="687" t="s">
        <v>294</v>
      </c>
      <c r="E428" s="350"/>
      <c r="F428" s="350"/>
      <c r="G428" s="351"/>
      <c r="H428" s="688" t="s">
        <v>294</v>
      </c>
      <c r="I428" s="350"/>
      <c r="J428" s="350"/>
      <c r="K428" s="351"/>
      <c r="L428" s="538" t="s">
        <v>294</v>
      </c>
      <c r="M428" s="350"/>
      <c r="N428" s="351"/>
      <c r="O428" s="539" t="s">
        <v>294</v>
      </c>
      <c r="P428" s="350"/>
      <c r="Q428" s="351"/>
      <c r="R428" s="574"/>
      <c r="S428" s="350"/>
      <c r="T428" s="351"/>
      <c r="U428" s="567"/>
      <c r="V428" s="350"/>
      <c r="W428" s="351"/>
      <c r="X428" s="77"/>
      <c r="Y428" s="78"/>
      <c r="Z428" s="77"/>
      <c r="AA428" s="78"/>
      <c r="AB428" s="77"/>
      <c r="AC428" s="78"/>
      <c r="AD428" s="77"/>
      <c r="AE428" s="78"/>
      <c r="AF428" s="77"/>
      <c r="AG428" s="78"/>
      <c r="AH428" s="77"/>
      <c r="AI428" s="78"/>
      <c r="AJ428" s="64"/>
      <c r="AK428" s="80"/>
      <c r="AL428" s="64"/>
      <c r="AM428" s="80"/>
      <c r="AN428" s="64"/>
      <c r="AO428" s="80"/>
      <c r="AP428" s="64"/>
      <c r="AQ428" s="80"/>
      <c r="AR428" s="64"/>
      <c r="AS428" s="679" t="s">
        <v>294</v>
      </c>
      <c r="AT428" s="350"/>
      <c r="AU428" s="350"/>
      <c r="AV428" s="350"/>
      <c r="AW428" s="350"/>
      <c r="AX428" s="350"/>
      <c r="AY428" s="351"/>
      <c r="AZ428" s="81"/>
      <c r="BA428" s="81"/>
      <c r="BB428" s="677" t="s">
        <v>325</v>
      </c>
      <c r="BC428" s="351"/>
      <c r="BD428" s="681" t="s">
        <v>294</v>
      </c>
      <c r="BE428" s="350"/>
      <c r="BF428" s="351"/>
      <c r="BG428" s="678" t="s">
        <v>294</v>
      </c>
      <c r="BH428" s="350"/>
      <c r="BI428" s="350"/>
      <c r="BJ428" s="351"/>
      <c r="BK428" s="680"/>
      <c r="BL428" s="350"/>
      <c r="BM428" s="351"/>
      <c r="BN428" s="82"/>
      <c r="BO428" s="82"/>
      <c r="BP428" s="678"/>
      <c r="BQ428" s="350"/>
      <c r="BR428" s="351"/>
      <c r="BS428" s="681" t="s">
        <v>294</v>
      </c>
      <c r="BT428" s="350"/>
      <c r="BU428" s="351"/>
    </row>
    <row r="429" spans="1:73" ht="30" customHeight="1">
      <c r="A429" s="76">
        <f t="shared" si="1"/>
        <v>415</v>
      </c>
      <c r="B429" s="686" t="s">
        <v>325</v>
      </c>
      <c r="C429" s="351"/>
      <c r="D429" s="687" t="s">
        <v>294</v>
      </c>
      <c r="E429" s="350"/>
      <c r="F429" s="350"/>
      <c r="G429" s="351"/>
      <c r="H429" s="688" t="s">
        <v>294</v>
      </c>
      <c r="I429" s="350"/>
      <c r="J429" s="350"/>
      <c r="K429" s="351"/>
      <c r="L429" s="538" t="s">
        <v>294</v>
      </c>
      <c r="M429" s="350"/>
      <c r="N429" s="351"/>
      <c r="O429" s="539" t="s">
        <v>294</v>
      </c>
      <c r="P429" s="350"/>
      <c r="Q429" s="351"/>
      <c r="R429" s="574"/>
      <c r="S429" s="350"/>
      <c r="T429" s="351"/>
      <c r="U429" s="567"/>
      <c r="V429" s="350"/>
      <c r="W429" s="351"/>
      <c r="X429" s="77"/>
      <c r="Y429" s="78"/>
      <c r="Z429" s="77"/>
      <c r="AA429" s="78"/>
      <c r="AB429" s="77"/>
      <c r="AC429" s="78"/>
      <c r="AD429" s="77"/>
      <c r="AE429" s="78"/>
      <c r="AF429" s="77"/>
      <c r="AG429" s="78"/>
      <c r="AH429" s="77"/>
      <c r="AI429" s="78"/>
      <c r="AJ429" s="64"/>
      <c r="AK429" s="80"/>
      <c r="AL429" s="64"/>
      <c r="AM429" s="80"/>
      <c r="AN429" s="64"/>
      <c r="AO429" s="80"/>
      <c r="AP429" s="64"/>
      <c r="AQ429" s="80"/>
      <c r="AR429" s="64"/>
      <c r="AS429" s="679" t="s">
        <v>294</v>
      </c>
      <c r="AT429" s="350"/>
      <c r="AU429" s="350"/>
      <c r="AV429" s="350"/>
      <c r="AW429" s="350"/>
      <c r="AX429" s="350"/>
      <c r="AY429" s="351"/>
      <c r="AZ429" s="81"/>
      <c r="BA429" s="81"/>
      <c r="BB429" s="677" t="s">
        <v>325</v>
      </c>
      <c r="BC429" s="351"/>
      <c r="BD429" s="681" t="s">
        <v>294</v>
      </c>
      <c r="BE429" s="350"/>
      <c r="BF429" s="351"/>
      <c r="BG429" s="678" t="s">
        <v>294</v>
      </c>
      <c r="BH429" s="350"/>
      <c r="BI429" s="350"/>
      <c r="BJ429" s="351"/>
      <c r="BK429" s="680"/>
      <c r="BL429" s="350"/>
      <c r="BM429" s="351"/>
      <c r="BN429" s="82"/>
      <c r="BO429" s="82"/>
      <c r="BP429" s="678"/>
      <c r="BQ429" s="350"/>
      <c r="BR429" s="351"/>
      <c r="BS429" s="681" t="s">
        <v>294</v>
      </c>
      <c r="BT429" s="350"/>
      <c r="BU429" s="351"/>
    </row>
    <row r="430" spans="1:73" ht="30" customHeight="1">
      <c r="A430" s="76">
        <f t="shared" si="1"/>
        <v>416</v>
      </c>
      <c r="B430" s="686" t="s">
        <v>325</v>
      </c>
      <c r="C430" s="351"/>
      <c r="D430" s="687" t="s">
        <v>294</v>
      </c>
      <c r="E430" s="350"/>
      <c r="F430" s="350"/>
      <c r="G430" s="351"/>
      <c r="H430" s="688" t="s">
        <v>294</v>
      </c>
      <c r="I430" s="350"/>
      <c r="J430" s="350"/>
      <c r="K430" s="351"/>
      <c r="L430" s="538" t="s">
        <v>294</v>
      </c>
      <c r="M430" s="350"/>
      <c r="N430" s="351"/>
      <c r="O430" s="539" t="s">
        <v>294</v>
      </c>
      <c r="P430" s="350"/>
      <c r="Q430" s="351"/>
      <c r="R430" s="574"/>
      <c r="S430" s="350"/>
      <c r="T430" s="351"/>
      <c r="U430" s="567"/>
      <c r="V430" s="350"/>
      <c r="W430" s="351"/>
      <c r="X430" s="77"/>
      <c r="Y430" s="78"/>
      <c r="Z430" s="77"/>
      <c r="AA430" s="78"/>
      <c r="AB430" s="77"/>
      <c r="AC430" s="78"/>
      <c r="AD430" s="77"/>
      <c r="AE430" s="78"/>
      <c r="AF430" s="77"/>
      <c r="AG430" s="78"/>
      <c r="AH430" s="77"/>
      <c r="AI430" s="78"/>
      <c r="AJ430" s="64"/>
      <c r="AK430" s="80"/>
      <c r="AL430" s="64"/>
      <c r="AM430" s="80"/>
      <c r="AN430" s="64"/>
      <c r="AO430" s="80"/>
      <c r="AP430" s="64"/>
      <c r="AQ430" s="80"/>
      <c r="AR430" s="64"/>
      <c r="AS430" s="679" t="s">
        <v>294</v>
      </c>
      <c r="AT430" s="350"/>
      <c r="AU430" s="350"/>
      <c r="AV430" s="350"/>
      <c r="AW430" s="350"/>
      <c r="AX430" s="350"/>
      <c r="AY430" s="351"/>
      <c r="AZ430" s="81"/>
      <c r="BA430" s="81"/>
      <c r="BB430" s="677" t="s">
        <v>325</v>
      </c>
      <c r="BC430" s="351"/>
      <c r="BD430" s="681" t="s">
        <v>294</v>
      </c>
      <c r="BE430" s="350"/>
      <c r="BF430" s="351"/>
      <c r="BG430" s="678" t="s">
        <v>294</v>
      </c>
      <c r="BH430" s="350"/>
      <c r="BI430" s="350"/>
      <c r="BJ430" s="351"/>
      <c r="BK430" s="680"/>
      <c r="BL430" s="350"/>
      <c r="BM430" s="351"/>
      <c r="BN430" s="82"/>
      <c r="BO430" s="82"/>
      <c r="BP430" s="678"/>
      <c r="BQ430" s="350"/>
      <c r="BR430" s="351"/>
      <c r="BS430" s="681" t="s">
        <v>294</v>
      </c>
      <c r="BT430" s="350"/>
      <c r="BU430" s="351"/>
    </row>
    <row r="431" spans="1:73" ht="30" customHeight="1">
      <c r="A431" s="76">
        <f t="shared" si="1"/>
        <v>417</v>
      </c>
      <c r="B431" s="686" t="s">
        <v>325</v>
      </c>
      <c r="C431" s="351"/>
      <c r="D431" s="687" t="s">
        <v>294</v>
      </c>
      <c r="E431" s="350"/>
      <c r="F431" s="350"/>
      <c r="G431" s="351"/>
      <c r="H431" s="688" t="s">
        <v>294</v>
      </c>
      <c r="I431" s="350"/>
      <c r="J431" s="350"/>
      <c r="K431" s="351"/>
      <c r="L431" s="538" t="s">
        <v>294</v>
      </c>
      <c r="M431" s="350"/>
      <c r="N431" s="351"/>
      <c r="O431" s="539" t="s">
        <v>294</v>
      </c>
      <c r="P431" s="350"/>
      <c r="Q431" s="351"/>
      <c r="R431" s="574"/>
      <c r="S431" s="350"/>
      <c r="T431" s="351"/>
      <c r="U431" s="567"/>
      <c r="V431" s="350"/>
      <c r="W431" s="351"/>
      <c r="X431" s="77"/>
      <c r="Y431" s="78"/>
      <c r="Z431" s="77"/>
      <c r="AA431" s="78"/>
      <c r="AB431" s="77"/>
      <c r="AC431" s="78"/>
      <c r="AD431" s="77"/>
      <c r="AE431" s="78"/>
      <c r="AF431" s="77"/>
      <c r="AG431" s="78"/>
      <c r="AH431" s="77"/>
      <c r="AI431" s="78"/>
      <c r="AJ431" s="64"/>
      <c r="AK431" s="80"/>
      <c r="AL431" s="64"/>
      <c r="AM431" s="80"/>
      <c r="AN431" s="64"/>
      <c r="AO431" s="80"/>
      <c r="AP431" s="64"/>
      <c r="AQ431" s="80"/>
      <c r="AR431" s="64"/>
      <c r="AS431" s="679" t="s">
        <v>294</v>
      </c>
      <c r="AT431" s="350"/>
      <c r="AU431" s="350"/>
      <c r="AV431" s="350"/>
      <c r="AW431" s="350"/>
      <c r="AX431" s="350"/>
      <c r="AY431" s="351"/>
      <c r="AZ431" s="81"/>
      <c r="BA431" s="81"/>
      <c r="BB431" s="677" t="s">
        <v>325</v>
      </c>
      <c r="BC431" s="351"/>
      <c r="BD431" s="681" t="s">
        <v>294</v>
      </c>
      <c r="BE431" s="350"/>
      <c r="BF431" s="351"/>
      <c r="BG431" s="678" t="s">
        <v>294</v>
      </c>
      <c r="BH431" s="350"/>
      <c r="BI431" s="350"/>
      <c r="BJ431" s="351"/>
      <c r="BK431" s="680"/>
      <c r="BL431" s="350"/>
      <c r="BM431" s="351"/>
      <c r="BN431" s="82"/>
      <c r="BO431" s="82"/>
      <c r="BP431" s="678"/>
      <c r="BQ431" s="350"/>
      <c r="BR431" s="351"/>
      <c r="BS431" s="681" t="s">
        <v>294</v>
      </c>
      <c r="BT431" s="350"/>
      <c r="BU431" s="351"/>
    </row>
    <row r="432" spans="1:73" ht="30" customHeight="1">
      <c r="A432" s="76">
        <f t="shared" si="1"/>
        <v>418</v>
      </c>
      <c r="B432" s="686" t="s">
        <v>325</v>
      </c>
      <c r="C432" s="351"/>
      <c r="D432" s="687" t="s">
        <v>294</v>
      </c>
      <c r="E432" s="350"/>
      <c r="F432" s="350"/>
      <c r="G432" s="351"/>
      <c r="H432" s="688" t="s">
        <v>294</v>
      </c>
      <c r="I432" s="350"/>
      <c r="J432" s="350"/>
      <c r="K432" s="351"/>
      <c r="L432" s="538" t="s">
        <v>294</v>
      </c>
      <c r="M432" s="350"/>
      <c r="N432" s="351"/>
      <c r="O432" s="539" t="s">
        <v>294</v>
      </c>
      <c r="P432" s="350"/>
      <c r="Q432" s="351"/>
      <c r="R432" s="574"/>
      <c r="S432" s="350"/>
      <c r="T432" s="351"/>
      <c r="U432" s="567"/>
      <c r="V432" s="350"/>
      <c r="W432" s="351"/>
      <c r="X432" s="77"/>
      <c r="Y432" s="78"/>
      <c r="Z432" s="77"/>
      <c r="AA432" s="78"/>
      <c r="AB432" s="77"/>
      <c r="AC432" s="78"/>
      <c r="AD432" s="77"/>
      <c r="AE432" s="78"/>
      <c r="AF432" s="77"/>
      <c r="AG432" s="78"/>
      <c r="AH432" s="77"/>
      <c r="AI432" s="78"/>
      <c r="AJ432" s="64"/>
      <c r="AK432" s="80"/>
      <c r="AL432" s="64"/>
      <c r="AM432" s="80"/>
      <c r="AN432" s="64"/>
      <c r="AO432" s="80"/>
      <c r="AP432" s="64"/>
      <c r="AQ432" s="80"/>
      <c r="AR432" s="64"/>
      <c r="AS432" s="679" t="s">
        <v>294</v>
      </c>
      <c r="AT432" s="350"/>
      <c r="AU432" s="350"/>
      <c r="AV432" s="350"/>
      <c r="AW432" s="350"/>
      <c r="AX432" s="350"/>
      <c r="AY432" s="351"/>
      <c r="AZ432" s="81"/>
      <c r="BA432" s="81"/>
      <c r="BB432" s="677" t="s">
        <v>325</v>
      </c>
      <c r="BC432" s="351"/>
      <c r="BD432" s="681" t="s">
        <v>294</v>
      </c>
      <c r="BE432" s="350"/>
      <c r="BF432" s="351"/>
      <c r="BG432" s="678" t="s">
        <v>294</v>
      </c>
      <c r="BH432" s="350"/>
      <c r="BI432" s="350"/>
      <c r="BJ432" s="351"/>
      <c r="BK432" s="680"/>
      <c r="BL432" s="350"/>
      <c r="BM432" s="351"/>
      <c r="BN432" s="82"/>
      <c r="BO432" s="82"/>
      <c r="BP432" s="678"/>
      <c r="BQ432" s="350"/>
      <c r="BR432" s="351"/>
      <c r="BS432" s="681" t="s">
        <v>294</v>
      </c>
      <c r="BT432" s="350"/>
      <c r="BU432" s="351"/>
    </row>
    <row r="433" spans="1:73" ht="30" customHeight="1">
      <c r="A433" s="76">
        <f t="shared" si="1"/>
        <v>419</v>
      </c>
      <c r="B433" s="686" t="s">
        <v>325</v>
      </c>
      <c r="C433" s="351"/>
      <c r="D433" s="687" t="s">
        <v>294</v>
      </c>
      <c r="E433" s="350"/>
      <c r="F433" s="350"/>
      <c r="G433" s="351"/>
      <c r="H433" s="688" t="s">
        <v>294</v>
      </c>
      <c r="I433" s="350"/>
      <c r="J433" s="350"/>
      <c r="K433" s="351"/>
      <c r="L433" s="538" t="s">
        <v>294</v>
      </c>
      <c r="M433" s="350"/>
      <c r="N433" s="351"/>
      <c r="O433" s="539" t="s">
        <v>294</v>
      </c>
      <c r="P433" s="350"/>
      <c r="Q433" s="351"/>
      <c r="R433" s="574"/>
      <c r="S433" s="350"/>
      <c r="T433" s="351"/>
      <c r="U433" s="567"/>
      <c r="V433" s="350"/>
      <c r="W433" s="351"/>
      <c r="X433" s="77"/>
      <c r="Y433" s="78"/>
      <c r="Z433" s="77"/>
      <c r="AA433" s="78"/>
      <c r="AB433" s="77"/>
      <c r="AC433" s="78"/>
      <c r="AD433" s="77"/>
      <c r="AE433" s="78"/>
      <c r="AF433" s="77"/>
      <c r="AG433" s="78"/>
      <c r="AH433" s="77"/>
      <c r="AI433" s="78"/>
      <c r="AJ433" s="64"/>
      <c r="AK433" s="80"/>
      <c r="AL433" s="64"/>
      <c r="AM433" s="80"/>
      <c r="AN433" s="64"/>
      <c r="AO433" s="80"/>
      <c r="AP433" s="64"/>
      <c r="AQ433" s="80"/>
      <c r="AR433" s="64"/>
      <c r="AS433" s="679" t="s">
        <v>294</v>
      </c>
      <c r="AT433" s="350"/>
      <c r="AU433" s="350"/>
      <c r="AV433" s="350"/>
      <c r="AW433" s="350"/>
      <c r="AX433" s="350"/>
      <c r="AY433" s="351"/>
      <c r="AZ433" s="81"/>
      <c r="BA433" s="81"/>
      <c r="BB433" s="677" t="s">
        <v>325</v>
      </c>
      <c r="BC433" s="351"/>
      <c r="BD433" s="681" t="s">
        <v>294</v>
      </c>
      <c r="BE433" s="350"/>
      <c r="BF433" s="351"/>
      <c r="BG433" s="678" t="s">
        <v>294</v>
      </c>
      <c r="BH433" s="350"/>
      <c r="BI433" s="350"/>
      <c r="BJ433" s="351"/>
      <c r="BK433" s="680"/>
      <c r="BL433" s="350"/>
      <c r="BM433" s="351"/>
      <c r="BN433" s="82"/>
      <c r="BO433" s="82"/>
      <c r="BP433" s="678"/>
      <c r="BQ433" s="350"/>
      <c r="BR433" s="351"/>
      <c r="BS433" s="681" t="s">
        <v>294</v>
      </c>
      <c r="BT433" s="350"/>
      <c r="BU433" s="351"/>
    </row>
    <row r="434" spans="1:73" ht="30" customHeight="1">
      <c r="A434" s="76">
        <f t="shared" si="1"/>
        <v>420</v>
      </c>
      <c r="B434" s="686" t="s">
        <v>325</v>
      </c>
      <c r="C434" s="351"/>
      <c r="D434" s="687" t="s">
        <v>294</v>
      </c>
      <c r="E434" s="350"/>
      <c r="F434" s="350"/>
      <c r="G434" s="351"/>
      <c r="H434" s="688" t="s">
        <v>294</v>
      </c>
      <c r="I434" s="350"/>
      <c r="J434" s="350"/>
      <c r="K434" s="351"/>
      <c r="L434" s="538" t="s">
        <v>294</v>
      </c>
      <c r="M434" s="350"/>
      <c r="N434" s="351"/>
      <c r="O434" s="539" t="s">
        <v>294</v>
      </c>
      <c r="P434" s="350"/>
      <c r="Q434" s="351"/>
      <c r="R434" s="574"/>
      <c r="S434" s="350"/>
      <c r="T434" s="351"/>
      <c r="U434" s="567"/>
      <c r="V434" s="350"/>
      <c r="W434" s="351"/>
      <c r="X434" s="77"/>
      <c r="Y434" s="78"/>
      <c r="Z434" s="77"/>
      <c r="AA434" s="78"/>
      <c r="AB434" s="77"/>
      <c r="AC434" s="78"/>
      <c r="AD434" s="77"/>
      <c r="AE434" s="78"/>
      <c r="AF434" s="77"/>
      <c r="AG434" s="78"/>
      <c r="AH434" s="77"/>
      <c r="AI434" s="78"/>
      <c r="AJ434" s="64"/>
      <c r="AK434" s="80"/>
      <c r="AL434" s="64"/>
      <c r="AM434" s="80"/>
      <c r="AN434" s="64"/>
      <c r="AO434" s="80"/>
      <c r="AP434" s="64"/>
      <c r="AQ434" s="80"/>
      <c r="AR434" s="64"/>
      <c r="AS434" s="679" t="s">
        <v>294</v>
      </c>
      <c r="AT434" s="350"/>
      <c r="AU434" s="350"/>
      <c r="AV434" s="350"/>
      <c r="AW434" s="350"/>
      <c r="AX434" s="350"/>
      <c r="AY434" s="351"/>
      <c r="AZ434" s="81"/>
      <c r="BA434" s="81"/>
      <c r="BB434" s="677" t="s">
        <v>325</v>
      </c>
      <c r="BC434" s="351"/>
      <c r="BD434" s="681" t="s">
        <v>294</v>
      </c>
      <c r="BE434" s="350"/>
      <c r="BF434" s="351"/>
      <c r="BG434" s="678" t="s">
        <v>294</v>
      </c>
      <c r="BH434" s="350"/>
      <c r="BI434" s="350"/>
      <c r="BJ434" s="351"/>
      <c r="BK434" s="680"/>
      <c r="BL434" s="350"/>
      <c r="BM434" s="351"/>
      <c r="BN434" s="82"/>
      <c r="BO434" s="82"/>
      <c r="BP434" s="678"/>
      <c r="BQ434" s="350"/>
      <c r="BR434" s="351"/>
      <c r="BS434" s="681" t="s">
        <v>294</v>
      </c>
      <c r="BT434" s="350"/>
      <c r="BU434" s="351"/>
    </row>
    <row r="435" spans="1:73" ht="30" customHeight="1">
      <c r="A435" s="76">
        <f t="shared" si="1"/>
        <v>421</v>
      </c>
      <c r="B435" s="686" t="s">
        <v>325</v>
      </c>
      <c r="C435" s="351"/>
      <c r="D435" s="687" t="s">
        <v>294</v>
      </c>
      <c r="E435" s="350"/>
      <c r="F435" s="350"/>
      <c r="G435" s="351"/>
      <c r="H435" s="688" t="s">
        <v>294</v>
      </c>
      <c r="I435" s="350"/>
      <c r="J435" s="350"/>
      <c r="K435" s="351"/>
      <c r="L435" s="538" t="s">
        <v>294</v>
      </c>
      <c r="M435" s="350"/>
      <c r="N435" s="351"/>
      <c r="O435" s="539" t="s">
        <v>294</v>
      </c>
      <c r="P435" s="350"/>
      <c r="Q435" s="351"/>
      <c r="R435" s="574"/>
      <c r="S435" s="350"/>
      <c r="T435" s="351"/>
      <c r="U435" s="567"/>
      <c r="V435" s="350"/>
      <c r="W435" s="351"/>
      <c r="X435" s="77"/>
      <c r="Y435" s="78"/>
      <c r="Z435" s="77"/>
      <c r="AA435" s="78"/>
      <c r="AB435" s="77"/>
      <c r="AC435" s="78"/>
      <c r="AD435" s="77"/>
      <c r="AE435" s="78"/>
      <c r="AF435" s="77"/>
      <c r="AG435" s="78"/>
      <c r="AH435" s="77"/>
      <c r="AI435" s="78"/>
      <c r="AJ435" s="64"/>
      <c r="AK435" s="80"/>
      <c r="AL435" s="64"/>
      <c r="AM435" s="80"/>
      <c r="AN435" s="64"/>
      <c r="AO435" s="80"/>
      <c r="AP435" s="64"/>
      <c r="AQ435" s="80"/>
      <c r="AR435" s="64"/>
      <c r="AS435" s="679" t="s">
        <v>294</v>
      </c>
      <c r="AT435" s="350"/>
      <c r="AU435" s="350"/>
      <c r="AV435" s="350"/>
      <c r="AW435" s="350"/>
      <c r="AX435" s="350"/>
      <c r="AY435" s="351"/>
      <c r="AZ435" s="81"/>
      <c r="BA435" s="81"/>
      <c r="BB435" s="677" t="s">
        <v>325</v>
      </c>
      <c r="BC435" s="351"/>
      <c r="BD435" s="681" t="s">
        <v>294</v>
      </c>
      <c r="BE435" s="350"/>
      <c r="BF435" s="351"/>
      <c r="BG435" s="678" t="s">
        <v>294</v>
      </c>
      <c r="BH435" s="350"/>
      <c r="BI435" s="350"/>
      <c r="BJ435" s="351"/>
      <c r="BK435" s="680"/>
      <c r="BL435" s="350"/>
      <c r="BM435" s="351"/>
      <c r="BN435" s="82"/>
      <c r="BO435" s="82"/>
      <c r="BP435" s="678"/>
      <c r="BQ435" s="350"/>
      <c r="BR435" s="351"/>
      <c r="BS435" s="681" t="s">
        <v>294</v>
      </c>
      <c r="BT435" s="350"/>
      <c r="BU435" s="351"/>
    </row>
    <row r="436" spans="1:73" ht="30" customHeight="1">
      <c r="A436" s="76">
        <f t="shared" si="1"/>
        <v>422</v>
      </c>
      <c r="B436" s="686" t="s">
        <v>325</v>
      </c>
      <c r="C436" s="351"/>
      <c r="D436" s="687" t="s">
        <v>294</v>
      </c>
      <c r="E436" s="350"/>
      <c r="F436" s="350"/>
      <c r="G436" s="351"/>
      <c r="H436" s="688" t="s">
        <v>294</v>
      </c>
      <c r="I436" s="350"/>
      <c r="J436" s="350"/>
      <c r="K436" s="351"/>
      <c r="L436" s="538" t="s">
        <v>294</v>
      </c>
      <c r="M436" s="350"/>
      <c r="N436" s="351"/>
      <c r="O436" s="539" t="s">
        <v>294</v>
      </c>
      <c r="P436" s="350"/>
      <c r="Q436" s="351"/>
      <c r="R436" s="574"/>
      <c r="S436" s="350"/>
      <c r="T436" s="351"/>
      <c r="U436" s="567"/>
      <c r="V436" s="350"/>
      <c r="W436" s="351"/>
      <c r="X436" s="77"/>
      <c r="Y436" s="78"/>
      <c r="Z436" s="77"/>
      <c r="AA436" s="78"/>
      <c r="AB436" s="77"/>
      <c r="AC436" s="78"/>
      <c r="AD436" s="77"/>
      <c r="AE436" s="78"/>
      <c r="AF436" s="77"/>
      <c r="AG436" s="78"/>
      <c r="AH436" s="77"/>
      <c r="AI436" s="78"/>
      <c r="AJ436" s="64"/>
      <c r="AK436" s="80"/>
      <c r="AL436" s="64"/>
      <c r="AM436" s="80"/>
      <c r="AN436" s="64"/>
      <c r="AO436" s="80"/>
      <c r="AP436" s="64"/>
      <c r="AQ436" s="80"/>
      <c r="AR436" s="64"/>
      <c r="AS436" s="679" t="s">
        <v>294</v>
      </c>
      <c r="AT436" s="350"/>
      <c r="AU436" s="350"/>
      <c r="AV436" s="350"/>
      <c r="AW436" s="350"/>
      <c r="AX436" s="350"/>
      <c r="AY436" s="351"/>
      <c r="AZ436" s="81"/>
      <c r="BA436" s="81"/>
      <c r="BB436" s="677" t="s">
        <v>325</v>
      </c>
      <c r="BC436" s="351"/>
      <c r="BD436" s="681" t="s">
        <v>294</v>
      </c>
      <c r="BE436" s="350"/>
      <c r="BF436" s="351"/>
      <c r="BG436" s="678" t="s">
        <v>294</v>
      </c>
      <c r="BH436" s="350"/>
      <c r="BI436" s="350"/>
      <c r="BJ436" s="351"/>
      <c r="BK436" s="680"/>
      <c r="BL436" s="350"/>
      <c r="BM436" s="351"/>
      <c r="BN436" s="82"/>
      <c r="BO436" s="82"/>
      <c r="BP436" s="678"/>
      <c r="BQ436" s="350"/>
      <c r="BR436" s="351"/>
      <c r="BS436" s="681" t="s">
        <v>294</v>
      </c>
      <c r="BT436" s="350"/>
      <c r="BU436" s="351"/>
    </row>
    <row r="437" spans="1:73" ht="30" customHeight="1">
      <c r="A437" s="76">
        <f t="shared" si="1"/>
        <v>423</v>
      </c>
      <c r="B437" s="686" t="s">
        <v>325</v>
      </c>
      <c r="C437" s="351"/>
      <c r="D437" s="687" t="s">
        <v>294</v>
      </c>
      <c r="E437" s="350"/>
      <c r="F437" s="350"/>
      <c r="G437" s="351"/>
      <c r="H437" s="688" t="s">
        <v>294</v>
      </c>
      <c r="I437" s="350"/>
      <c r="J437" s="350"/>
      <c r="K437" s="351"/>
      <c r="L437" s="538" t="s">
        <v>294</v>
      </c>
      <c r="M437" s="350"/>
      <c r="N437" s="351"/>
      <c r="O437" s="539" t="s">
        <v>294</v>
      </c>
      <c r="P437" s="350"/>
      <c r="Q437" s="351"/>
      <c r="R437" s="574"/>
      <c r="S437" s="350"/>
      <c r="T437" s="351"/>
      <c r="U437" s="567"/>
      <c r="V437" s="350"/>
      <c r="W437" s="351"/>
      <c r="X437" s="77"/>
      <c r="Y437" s="78"/>
      <c r="Z437" s="77"/>
      <c r="AA437" s="78"/>
      <c r="AB437" s="77"/>
      <c r="AC437" s="78"/>
      <c r="AD437" s="77"/>
      <c r="AE437" s="78"/>
      <c r="AF437" s="77"/>
      <c r="AG437" s="78"/>
      <c r="AH437" s="77"/>
      <c r="AI437" s="78"/>
      <c r="AJ437" s="64"/>
      <c r="AK437" s="80"/>
      <c r="AL437" s="64"/>
      <c r="AM437" s="80"/>
      <c r="AN437" s="64"/>
      <c r="AO437" s="80"/>
      <c r="AP437" s="64"/>
      <c r="AQ437" s="80"/>
      <c r="AR437" s="64"/>
      <c r="AS437" s="679" t="s">
        <v>294</v>
      </c>
      <c r="AT437" s="350"/>
      <c r="AU437" s="350"/>
      <c r="AV437" s="350"/>
      <c r="AW437" s="350"/>
      <c r="AX437" s="350"/>
      <c r="AY437" s="351"/>
      <c r="AZ437" s="81"/>
      <c r="BA437" s="81"/>
      <c r="BB437" s="677" t="s">
        <v>325</v>
      </c>
      <c r="BC437" s="351"/>
      <c r="BD437" s="681" t="s">
        <v>294</v>
      </c>
      <c r="BE437" s="350"/>
      <c r="BF437" s="351"/>
      <c r="BG437" s="678" t="s">
        <v>294</v>
      </c>
      <c r="BH437" s="350"/>
      <c r="BI437" s="350"/>
      <c r="BJ437" s="351"/>
      <c r="BK437" s="680"/>
      <c r="BL437" s="350"/>
      <c r="BM437" s="351"/>
      <c r="BN437" s="82"/>
      <c r="BO437" s="82"/>
      <c r="BP437" s="678"/>
      <c r="BQ437" s="350"/>
      <c r="BR437" s="351"/>
      <c r="BS437" s="681" t="s">
        <v>294</v>
      </c>
      <c r="BT437" s="350"/>
      <c r="BU437" s="351"/>
    </row>
    <row r="438" spans="1:73" ht="30" customHeight="1">
      <c r="A438" s="76">
        <f t="shared" si="1"/>
        <v>424</v>
      </c>
      <c r="B438" s="686" t="s">
        <v>325</v>
      </c>
      <c r="C438" s="351"/>
      <c r="D438" s="687" t="s">
        <v>294</v>
      </c>
      <c r="E438" s="350"/>
      <c r="F438" s="350"/>
      <c r="G438" s="351"/>
      <c r="H438" s="688" t="s">
        <v>294</v>
      </c>
      <c r="I438" s="350"/>
      <c r="J438" s="350"/>
      <c r="K438" s="351"/>
      <c r="L438" s="538" t="s">
        <v>294</v>
      </c>
      <c r="M438" s="350"/>
      <c r="N438" s="351"/>
      <c r="O438" s="539" t="s">
        <v>294</v>
      </c>
      <c r="P438" s="350"/>
      <c r="Q438" s="351"/>
      <c r="R438" s="574"/>
      <c r="S438" s="350"/>
      <c r="T438" s="351"/>
      <c r="U438" s="567"/>
      <c r="V438" s="350"/>
      <c r="W438" s="351"/>
      <c r="X438" s="77"/>
      <c r="Y438" s="78"/>
      <c r="Z438" s="77"/>
      <c r="AA438" s="78"/>
      <c r="AB438" s="77"/>
      <c r="AC438" s="78"/>
      <c r="AD438" s="77"/>
      <c r="AE438" s="78"/>
      <c r="AF438" s="77"/>
      <c r="AG438" s="78"/>
      <c r="AH438" s="77"/>
      <c r="AI438" s="78"/>
      <c r="AJ438" s="64"/>
      <c r="AK438" s="80"/>
      <c r="AL438" s="64"/>
      <c r="AM438" s="80"/>
      <c r="AN438" s="64"/>
      <c r="AO438" s="80"/>
      <c r="AP438" s="64"/>
      <c r="AQ438" s="80"/>
      <c r="AR438" s="64"/>
      <c r="AS438" s="679" t="s">
        <v>294</v>
      </c>
      <c r="AT438" s="350"/>
      <c r="AU438" s="350"/>
      <c r="AV438" s="350"/>
      <c r="AW438" s="350"/>
      <c r="AX438" s="350"/>
      <c r="AY438" s="351"/>
      <c r="AZ438" s="81"/>
      <c r="BA438" s="81"/>
      <c r="BB438" s="677" t="s">
        <v>325</v>
      </c>
      <c r="BC438" s="351"/>
      <c r="BD438" s="681" t="s">
        <v>294</v>
      </c>
      <c r="BE438" s="350"/>
      <c r="BF438" s="351"/>
      <c r="BG438" s="678" t="s">
        <v>294</v>
      </c>
      <c r="BH438" s="350"/>
      <c r="BI438" s="350"/>
      <c r="BJ438" s="351"/>
      <c r="BK438" s="680"/>
      <c r="BL438" s="350"/>
      <c r="BM438" s="351"/>
      <c r="BN438" s="82"/>
      <c r="BO438" s="82"/>
      <c r="BP438" s="678"/>
      <c r="BQ438" s="350"/>
      <c r="BR438" s="351"/>
      <c r="BS438" s="681" t="s">
        <v>294</v>
      </c>
      <c r="BT438" s="350"/>
      <c r="BU438" s="351"/>
    </row>
    <row r="439" spans="1:73" ht="30" customHeight="1">
      <c r="A439" s="76">
        <f t="shared" si="1"/>
        <v>425</v>
      </c>
      <c r="B439" s="686" t="s">
        <v>325</v>
      </c>
      <c r="C439" s="351"/>
      <c r="D439" s="687" t="s">
        <v>294</v>
      </c>
      <c r="E439" s="350"/>
      <c r="F439" s="350"/>
      <c r="G439" s="351"/>
      <c r="H439" s="688" t="s">
        <v>294</v>
      </c>
      <c r="I439" s="350"/>
      <c r="J439" s="350"/>
      <c r="K439" s="351"/>
      <c r="L439" s="538" t="s">
        <v>294</v>
      </c>
      <c r="M439" s="350"/>
      <c r="N439" s="351"/>
      <c r="O439" s="539" t="s">
        <v>294</v>
      </c>
      <c r="P439" s="350"/>
      <c r="Q439" s="351"/>
      <c r="R439" s="574"/>
      <c r="S439" s="350"/>
      <c r="T439" s="351"/>
      <c r="U439" s="567"/>
      <c r="V439" s="350"/>
      <c r="W439" s="351"/>
      <c r="X439" s="77"/>
      <c r="Y439" s="78"/>
      <c r="Z439" s="77"/>
      <c r="AA439" s="78"/>
      <c r="AB439" s="77"/>
      <c r="AC439" s="78"/>
      <c r="AD439" s="77"/>
      <c r="AE439" s="78"/>
      <c r="AF439" s="77"/>
      <c r="AG439" s="78"/>
      <c r="AH439" s="77"/>
      <c r="AI439" s="78"/>
      <c r="AJ439" s="64"/>
      <c r="AK439" s="80"/>
      <c r="AL439" s="64"/>
      <c r="AM439" s="80"/>
      <c r="AN439" s="64"/>
      <c r="AO439" s="80"/>
      <c r="AP439" s="64"/>
      <c r="AQ439" s="80"/>
      <c r="AR439" s="64"/>
      <c r="AS439" s="679" t="s">
        <v>294</v>
      </c>
      <c r="AT439" s="350"/>
      <c r="AU439" s="350"/>
      <c r="AV439" s="350"/>
      <c r="AW439" s="350"/>
      <c r="AX439" s="350"/>
      <c r="AY439" s="351"/>
      <c r="AZ439" s="81"/>
      <c r="BA439" s="81"/>
      <c r="BB439" s="677" t="s">
        <v>325</v>
      </c>
      <c r="BC439" s="351"/>
      <c r="BD439" s="681" t="s">
        <v>294</v>
      </c>
      <c r="BE439" s="350"/>
      <c r="BF439" s="351"/>
      <c r="BG439" s="678" t="s">
        <v>294</v>
      </c>
      <c r="BH439" s="350"/>
      <c r="BI439" s="350"/>
      <c r="BJ439" s="351"/>
      <c r="BK439" s="680"/>
      <c r="BL439" s="350"/>
      <c r="BM439" s="351"/>
      <c r="BN439" s="82"/>
      <c r="BO439" s="82"/>
      <c r="BP439" s="678"/>
      <c r="BQ439" s="350"/>
      <c r="BR439" s="351"/>
      <c r="BS439" s="681" t="s">
        <v>294</v>
      </c>
      <c r="BT439" s="350"/>
      <c r="BU439" s="351"/>
    </row>
    <row r="440" spans="1:73" ht="30" customHeight="1">
      <c r="A440" s="76">
        <f t="shared" si="1"/>
        <v>426</v>
      </c>
      <c r="B440" s="686" t="s">
        <v>325</v>
      </c>
      <c r="C440" s="351"/>
      <c r="D440" s="687" t="s">
        <v>294</v>
      </c>
      <c r="E440" s="350"/>
      <c r="F440" s="350"/>
      <c r="G440" s="351"/>
      <c r="H440" s="688" t="s">
        <v>294</v>
      </c>
      <c r="I440" s="350"/>
      <c r="J440" s="350"/>
      <c r="K440" s="351"/>
      <c r="L440" s="538" t="s">
        <v>294</v>
      </c>
      <c r="M440" s="350"/>
      <c r="N440" s="351"/>
      <c r="O440" s="539" t="s">
        <v>294</v>
      </c>
      <c r="P440" s="350"/>
      <c r="Q440" s="351"/>
      <c r="R440" s="574"/>
      <c r="S440" s="350"/>
      <c r="T440" s="351"/>
      <c r="U440" s="567"/>
      <c r="V440" s="350"/>
      <c r="W440" s="351"/>
      <c r="X440" s="77"/>
      <c r="Y440" s="78"/>
      <c r="Z440" s="77"/>
      <c r="AA440" s="78"/>
      <c r="AB440" s="77"/>
      <c r="AC440" s="78"/>
      <c r="AD440" s="77"/>
      <c r="AE440" s="78"/>
      <c r="AF440" s="77"/>
      <c r="AG440" s="78"/>
      <c r="AH440" s="77"/>
      <c r="AI440" s="78"/>
      <c r="AJ440" s="64"/>
      <c r="AK440" s="80"/>
      <c r="AL440" s="64"/>
      <c r="AM440" s="80"/>
      <c r="AN440" s="64"/>
      <c r="AO440" s="80"/>
      <c r="AP440" s="64"/>
      <c r="AQ440" s="80"/>
      <c r="AR440" s="64"/>
      <c r="AS440" s="679" t="s">
        <v>294</v>
      </c>
      <c r="AT440" s="350"/>
      <c r="AU440" s="350"/>
      <c r="AV440" s="350"/>
      <c r="AW440" s="350"/>
      <c r="AX440" s="350"/>
      <c r="AY440" s="351"/>
      <c r="AZ440" s="81"/>
      <c r="BA440" s="81"/>
      <c r="BB440" s="677" t="s">
        <v>325</v>
      </c>
      <c r="BC440" s="351"/>
      <c r="BD440" s="681" t="s">
        <v>294</v>
      </c>
      <c r="BE440" s="350"/>
      <c r="BF440" s="351"/>
      <c r="BG440" s="678" t="s">
        <v>294</v>
      </c>
      <c r="BH440" s="350"/>
      <c r="BI440" s="350"/>
      <c r="BJ440" s="351"/>
      <c r="BK440" s="680"/>
      <c r="BL440" s="350"/>
      <c r="BM440" s="351"/>
      <c r="BN440" s="82"/>
      <c r="BO440" s="82"/>
      <c r="BP440" s="678"/>
      <c r="BQ440" s="350"/>
      <c r="BR440" s="351"/>
      <c r="BS440" s="681" t="s">
        <v>294</v>
      </c>
      <c r="BT440" s="350"/>
      <c r="BU440" s="351"/>
    </row>
    <row r="441" spans="1:73" ht="30" customHeight="1">
      <c r="A441" s="76">
        <f t="shared" si="1"/>
        <v>427</v>
      </c>
      <c r="B441" s="686" t="s">
        <v>325</v>
      </c>
      <c r="C441" s="351"/>
      <c r="D441" s="687" t="s">
        <v>294</v>
      </c>
      <c r="E441" s="350"/>
      <c r="F441" s="350"/>
      <c r="G441" s="351"/>
      <c r="H441" s="688" t="s">
        <v>294</v>
      </c>
      <c r="I441" s="350"/>
      <c r="J441" s="350"/>
      <c r="K441" s="351"/>
      <c r="L441" s="538" t="s">
        <v>294</v>
      </c>
      <c r="M441" s="350"/>
      <c r="N441" s="351"/>
      <c r="O441" s="539" t="s">
        <v>294</v>
      </c>
      <c r="P441" s="350"/>
      <c r="Q441" s="351"/>
      <c r="R441" s="574"/>
      <c r="S441" s="350"/>
      <c r="T441" s="351"/>
      <c r="U441" s="567"/>
      <c r="V441" s="350"/>
      <c r="W441" s="351"/>
      <c r="X441" s="77"/>
      <c r="Y441" s="78"/>
      <c r="Z441" s="77"/>
      <c r="AA441" s="78"/>
      <c r="AB441" s="77"/>
      <c r="AC441" s="78"/>
      <c r="AD441" s="77"/>
      <c r="AE441" s="78"/>
      <c r="AF441" s="77"/>
      <c r="AG441" s="78"/>
      <c r="AH441" s="77"/>
      <c r="AI441" s="78"/>
      <c r="AJ441" s="64"/>
      <c r="AK441" s="80"/>
      <c r="AL441" s="64"/>
      <c r="AM441" s="80"/>
      <c r="AN441" s="64"/>
      <c r="AO441" s="80"/>
      <c r="AP441" s="64"/>
      <c r="AQ441" s="80"/>
      <c r="AR441" s="64"/>
      <c r="AS441" s="679" t="s">
        <v>294</v>
      </c>
      <c r="AT441" s="350"/>
      <c r="AU441" s="350"/>
      <c r="AV441" s="350"/>
      <c r="AW441" s="350"/>
      <c r="AX441" s="350"/>
      <c r="AY441" s="351"/>
      <c r="AZ441" s="81"/>
      <c r="BA441" s="81"/>
      <c r="BB441" s="677" t="s">
        <v>325</v>
      </c>
      <c r="BC441" s="351"/>
      <c r="BD441" s="681" t="s">
        <v>294</v>
      </c>
      <c r="BE441" s="350"/>
      <c r="BF441" s="351"/>
      <c r="BG441" s="678" t="s">
        <v>294</v>
      </c>
      <c r="BH441" s="350"/>
      <c r="BI441" s="350"/>
      <c r="BJ441" s="351"/>
      <c r="BK441" s="680"/>
      <c r="BL441" s="350"/>
      <c r="BM441" s="351"/>
      <c r="BN441" s="82"/>
      <c r="BO441" s="82"/>
      <c r="BP441" s="678"/>
      <c r="BQ441" s="350"/>
      <c r="BR441" s="351"/>
      <c r="BS441" s="681" t="s">
        <v>294</v>
      </c>
      <c r="BT441" s="350"/>
      <c r="BU441" s="351"/>
    </row>
    <row r="442" spans="1:73" ht="30" customHeight="1">
      <c r="A442" s="76">
        <f t="shared" si="1"/>
        <v>428</v>
      </c>
      <c r="B442" s="686" t="s">
        <v>325</v>
      </c>
      <c r="C442" s="351"/>
      <c r="D442" s="687" t="s">
        <v>294</v>
      </c>
      <c r="E442" s="350"/>
      <c r="F442" s="350"/>
      <c r="G442" s="351"/>
      <c r="H442" s="688" t="s">
        <v>294</v>
      </c>
      <c r="I442" s="350"/>
      <c r="J442" s="350"/>
      <c r="K442" s="351"/>
      <c r="L442" s="538" t="s">
        <v>294</v>
      </c>
      <c r="M442" s="350"/>
      <c r="N442" s="351"/>
      <c r="O442" s="539" t="s">
        <v>294</v>
      </c>
      <c r="P442" s="350"/>
      <c r="Q442" s="351"/>
      <c r="R442" s="574"/>
      <c r="S442" s="350"/>
      <c r="T442" s="351"/>
      <c r="U442" s="567"/>
      <c r="V442" s="350"/>
      <c r="W442" s="351"/>
      <c r="X442" s="77"/>
      <c r="Y442" s="78"/>
      <c r="Z442" s="77"/>
      <c r="AA442" s="78"/>
      <c r="AB442" s="77"/>
      <c r="AC442" s="78"/>
      <c r="AD442" s="77"/>
      <c r="AE442" s="78"/>
      <c r="AF442" s="77"/>
      <c r="AG442" s="78"/>
      <c r="AH442" s="77"/>
      <c r="AI442" s="78"/>
      <c r="AJ442" s="64"/>
      <c r="AK442" s="80"/>
      <c r="AL442" s="64"/>
      <c r="AM442" s="80"/>
      <c r="AN442" s="64"/>
      <c r="AO442" s="80"/>
      <c r="AP442" s="64"/>
      <c r="AQ442" s="80"/>
      <c r="AR442" s="64"/>
      <c r="AS442" s="679" t="s">
        <v>294</v>
      </c>
      <c r="AT442" s="350"/>
      <c r="AU442" s="350"/>
      <c r="AV442" s="350"/>
      <c r="AW442" s="350"/>
      <c r="AX442" s="350"/>
      <c r="AY442" s="351"/>
      <c r="AZ442" s="81"/>
      <c r="BA442" s="81"/>
      <c r="BB442" s="677" t="s">
        <v>325</v>
      </c>
      <c r="BC442" s="351"/>
      <c r="BD442" s="681" t="s">
        <v>294</v>
      </c>
      <c r="BE442" s="350"/>
      <c r="BF442" s="351"/>
      <c r="BG442" s="678" t="s">
        <v>294</v>
      </c>
      <c r="BH442" s="350"/>
      <c r="BI442" s="350"/>
      <c r="BJ442" s="351"/>
      <c r="BK442" s="680"/>
      <c r="BL442" s="350"/>
      <c r="BM442" s="351"/>
      <c r="BN442" s="82"/>
      <c r="BO442" s="82"/>
      <c r="BP442" s="678"/>
      <c r="BQ442" s="350"/>
      <c r="BR442" s="351"/>
      <c r="BS442" s="681" t="s">
        <v>294</v>
      </c>
      <c r="BT442" s="350"/>
      <c r="BU442" s="351"/>
    </row>
    <row r="443" spans="1:73" ht="30" customHeight="1">
      <c r="A443" s="76">
        <f t="shared" si="1"/>
        <v>429</v>
      </c>
      <c r="B443" s="686" t="s">
        <v>325</v>
      </c>
      <c r="C443" s="351"/>
      <c r="D443" s="687" t="s">
        <v>294</v>
      </c>
      <c r="E443" s="350"/>
      <c r="F443" s="350"/>
      <c r="G443" s="351"/>
      <c r="H443" s="688" t="s">
        <v>294</v>
      </c>
      <c r="I443" s="350"/>
      <c r="J443" s="350"/>
      <c r="K443" s="351"/>
      <c r="L443" s="538" t="s">
        <v>294</v>
      </c>
      <c r="M443" s="350"/>
      <c r="N443" s="351"/>
      <c r="O443" s="539" t="s">
        <v>294</v>
      </c>
      <c r="P443" s="350"/>
      <c r="Q443" s="351"/>
      <c r="R443" s="574"/>
      <c r="S443" s="350"/>
      <c r="T443" s="351"/>
      <c r="U443" s="567"/>
      <c r="V443" s="350"/>
      <c r="W443" s="351"/>
      <c r="X443" s="77"/>
      <c r="Y443" s="78"/>
      <c r="Z443" s="77"/>
      <c r="AA443" s="78"/>
      <c r="AB443" s="77"/>
      <c r="AC443" s="78"/>
      <c r="AD443" s="77"/>
      <c r="AE443" s="78"/>
      <c r="AF443" s="77"/>
      <c r="AG443" s="78"/>
      <c r="AH443" s="77"/>
      <c r="AI443" s="78"/>
      <c r="AJ443" s="64"/>
      <c r="AK443" s="80"/>
      <c r="AL443" s="64"/>
      <c r="AM443" s="80"/>
      <c r="AN443" s="64"/>
      <c r="AO443" s="80"/>
      <c r="AP443" s="64"/>
      <c r="AQ443" s="80"/>
      <c r="AR443" s="64"/>
      <c r="AS443" s="679" t="s">
        <v>294</v>
      </c>
      <c r="AT443" s="350"/>
      <c r="AU443" s="350"/>
      <c r="AV443" s="350"/>
      <c r="AW443" s="350"/>
      <c r="AX443" s="350"/>
      <c r="AY443" s="351"/>
      <c r="AZ443" s="81"/>
      <c r="BA443" s="81"/>
      <c r="BB443" s="677" t="s">
        <v>325</v>
      </c>
      <c r="BC443" s="351"/>
      <c r="BD443" s="681" t="s">
        <v>294</v>
      </c>
      <c r="BE443" s="350"/>
      <c r="BF443" s="351"/>
      <c r="BG443" s="678" t="s">
        <v>294</v>
      </c>
      <c r="BH443" s="350"/>
      <c r="BI443" s="350"/>
      <c r="BJ443" s="351"/>
      <c r="BK443" s="680"/>
      <c r="BL443" s="350"/>
      <c r="BM443" s="351"/>
      <c r="BN443" s="82"/>
      <c r="BO443" s="82"/>
      <c r="BP443" s="678"/>
      <c r="BQ443" s="350"/>
      <c r="BR443" s="351"/>
      <c r="BS443" s="681" t="s">
        <v>294</v>
      </c>
      <c r="BT443" s="350"/>
      <c r="BU443" s="351"/>
    </row>
    <row r="444" spans="1:73" ht="30" customHeight="1">
      <c r="A444" s="76">
        <f t="shared" si="1"/>
        <v>430</v>
      </c>
      <c r="B444" s="686" t="s">
        <v>325</v>
      </c>
      <c r="C444" s="351"/>
      <c r="D444" s="687" t="s">
        <v>294</v>
      </c>
      <c r="E444" s="350"/>
      <c r="F444" s="350"/>
      <c r="G444" s="351"/>
      <c r="H444" s="688" t="s">
        <v>294</v>
      </c>
      <c r="I444" s="350"/>
      <c r="J444" s="350"/>
      <c r="K444" s="351"/>
      <c r="L444" s="538" t="s">
        <v>294</v>
      </c>
      <c r="M444" s="350"/>
      <c r="N444" s="351"/>
      <c r="O444" s="539" t="s">
        <v>294</v>
      </c>
      <c r="P444" s="350"/>
      <c r="Q444" s="351"/>
      <c r="R444" s="574"/>
      <c r="S444" s="350"/>
      <c r="T444" s="351"/>
      <c r="U444" s="567"/>
      <c r="V444" s="350"/>
      <c r="W444" s="351"/>
      <c r="X444" s="77"/>
      <c r="Y444" s="78"/>
      <c r="Z444" s="77"/>
      <c r="AA444" s="78"/>
      <c r="AB444" s="77"/>
      <c r="AC444" s="78"/>
      <c r="AD444" s="77"/>
      <c r="AE444" s="78"/>
      <c r="AF444" s="77"/>
      <c r="AG444" s="78"/>
      <c r="AH444" s="77"/>
      <c r="AI444" s="78"/>
      <c r="AJ444" s="64"/>
      <c r="AK444" s="80"/>
      <c r="AL444" s="64"/>
      <c r="AM444" s="80"/>
      <c r="AN444" s="64"/>
      <c r="AO444" s="80"/>
      <c r="AP444" s="64"/>
      <c r="AQ444" s="80"/>
      <c r="AR444" s="64"/>
      <c r="AS444" s="679" t="s">
        <v>294</v>
      </c>
      <c r="AT444" s="350"/>
      <c r="AU444" s="350"/>
      <c r="AV444" s="350"/>
      <c r="AW444" s="350"/>
      <c r="AX444" s="350"/>
      <c r="AY444" s="351"/>
      <c r="AZ444" s="81"/>
      <c r="BA444" s="81"/>
      <c r="BB444" s="677" t="s">
        <v>325</v>
      </c>
      <c r="BC444" s="351"/>
      <c r="BD444" s="681" t="s">
        <v>294</v>
      </c>
      <c r="BE444" s="350"/>
      <c r="BF444" s="351"/>
      <c r="BG444" s="678" t="s">
        <v>294</v>
      </c>
      <c r="BH444" s="350"/>
      <c r="BI444" s="350"/>
      <c r="BJ444" s="351"/>
      <c r="BK444" s="680"/>
      <c r="BL444" s="350"/>
      <c r="BM444" s="351"/>
      <c r="BN444" s="82"/>
      <c r="BO444" s="82"/>
      <c r="BP444" s="678"/>
      <c r="BQ444" s="350"/>
      <c r="BR444" s="351"/>
      <c r="BS444" s="681" t="s">
        <v>294</v>
      </c>
      <c r="BT444" s="350"/>
      <c r="BU444" s="351"/>
    </row>
    <row r="445" spans="1:73" ht="30" customHeight="1">
      <c r="A445" s="76">
        <f t="shared" si="1"/>
        <v>431</v>
      </c>
      <c r="B445" s="686" t="s">
        <v>325</v>
      </c>
      <c r="C445" s="351"/>
      <c r="D445" s="687" t="s">
        <v>294</v>
      </c>
      <c r="E445" s="350"/>
      <c r="F445" s="350"/>
      <c r="G445" s="351"/>
      <c r="H445" s="688" t="s">
        <v>294</v>
      </c>
      <c r="I445" s="350"/>
      <c r="J445" s="350"/>
      <c r="K445" s="351"/>
      <c r="L445" s="538" t="s">
        <v>294</v>
      </c>
      <c r="M445" s="350"/>
      <c r="N445" s="351"/>
      <c r="O445" s="539" t="s">
        <v>294</v>
      </c>
      <c r="P445" s="350"/>
      <c r="Q445" s="351"/>
      <c r="R445" s="574"/>
      <c r="S445" s="350"/>
      <c r="T445" s="351"/>
      <c r="U445" s="567"/>
      <c r="V445" s="350"/>
      <c r="W445" s="351"/>
      <c r="X445" s="77"/>
      <c r="Y445" s="78"/>
      <c r="Z445" s="77"/>
      <c r="AA445" s="78"/>
      <c r="AB445" s="77"/>
      <c r="AC445" s="78"/>
      <c r="AD445" s="77"/>
      <c r="AE445" s="78"/>
      <c r="AF445" s="77"/>
      <c r="AG445" s="78"/>
      <c r="AH445" s="77"/>
      <c r="AI445" s="78"/>
      <c r="AJ445" s="64"/>
      <c r="AK445" s="80"/>
      <c r="AL445" s="64"/>
      <c r="AM445" s="80"/>
      <c r="AN445" s="64"/>
      <c r="AO445" s="80"/>
      <c r="AP445" s="64"/>
      <c r="AQ445" s="80"/>
      <c r="AR445" s="64"/>
      <c r="AS445" s="679" t="s">
        <v>294</v>
      </c>
      <c r="AT445" s="350"/>
      <c r="AU445" s="350"/>
      <c r="AV445" s="350"/>
      <c r="AW445" s="350"/>
      <c r="AX445" s="350"/>
      <c r="AY445" s="351"/>
      <c r="AZ445" s="81"/>
      <c r="BA445" s="81"/>
      <c r="BB445" s="677" t="s">
        <v>325</v>
      </c>
      <c r="BC445" s="351"/>
      <c r="BD445" s="681" t="s">
        <v>294</v>
      </c>
      <c r="BE445" s="350"/>
      <c r="BF445" s="351"/>
      <c r="BG445" s="678" t="s">
        <v>294</v>
      </c>
      <c r="BH445" s="350"/>
      <c r="BI445" s="350"/>
      <c r="BJ445" s="351"/>
      <c r="BK445" s="680"/>
      <c r="BL445" s="350"/>
      <c r="BM445" s="351"/>
      <c r="BN445" s="82"/>
      <c r="BO445" s="82"/>
      <c r="BP445" s="678"/>
      <c r="BQ445" s="350"/>
      <c r="BR445" s="351"/>
      <c r="BS445" s="681" t="s">
        <v>294</v>
      </c>
      <c r="BT445" s="350"/>
      <c r="BU445" s="351"/>
    </row>
    <row r="446" spans="1:73" ht="30" customHeight="1">
      <c r="A446" s="76">
        <f t="shared" si="1"/>
        <v>432</v>
      </c>
      <c r="B446" s="686" t="s">
        <v>325</v>
      </c>
      <c r="C446" s="351"/>
      <c r="D446" s="687" t="s">
        <v>294</v>
      </c>
      <c r="E446" s="350"/>
      <c r="F446" s="350"/>
      <c r="G446" s="351"/>
      <c r="H446" s="688" t="s">
        <v>294</v>
      </c>
      <c r="I446" s="350"/>
      <c r="J446" s="350"/>
      <c r="K446" s="351"/>
      <c r="L446" s="538" t="s">
        <v>294</v>
      </c>
      <c r="M446" s="350"/>
      <c r="N446" s="351"/>
      <c r="O446" s="539" t="s">
        <v>294</v>
      </c>
      <c r="P446" s="350"/>
      <c r="Q446" s="351"/>
      <c r="R446" s="574"/>
      <c r="S446" s="350"/>
      <c r="T446" s="351"/>
      <c r="U446" s="567"/>
      <c r="V446" s="350"/>
      <c r="W446" s="351"/>
      <c r="X446" s="77"/>
      <c r="Y446" s="78"/>
      <c r="Z446" s="77"/>
      <c r="AA446" s="78"/>
      <c r="AB446" s="77"/>
      <c r="AC446" s="78"/>
      <c r="AD446" s="77"/>
      <c r="AE446" s="78"/>
      <c r="AF446" s="77"/>
      <c r="AG446" s="78"/>
      <c r="AH446" s="77"/>
      <c r="AI446" s="78"/>
      <c r="AJ446" s="64"/>
      <c r="AK446" s="80"/>
      <c r="AL446" s="64"/>
      <c r="AM446" s="80"/>
      <c r="AN446" s="64"/>
      <c r="AO446" s="80"/>
      <c r="AP446" s="64"/>
      <c r="AQ446" s="80"/>
      <c r="AR446" s="64"/>
      <c r="AS446" s="679" t="s">
        <v>294</v>
      </c>
      <c r="AT446" s="350"/>
      <c r="AU446" s="350"/>
      <c r="AV446" s="350"/>
      <c r="AW446" s="350"/>
      <c r="AX446" s="350"/>
      <c r="AY446" s="351"/>
      <c r="AZ446" s="81"/>
      <c r="BA446" s="81"/>
      <c r="BB446" s="677" t="s">
        <v>325</v>
      </c>
      <c r="BC446" s="351"/>
      <c r="BD446" s="681" t="s">
        <v>294</v>
      </c>
      <c r="BE446" s="350"/>
      <c r="BF446" s="351"/>
      <c r="BG446" s="678" t="s">
        <v>294</v>
      </c>
      <c r="BH446" s="350"/>
      <c r="BI446" s="350"/>
      <c r="BJ446" s="351"/>
      <c r="BK446" s="680"/>
      <c r="BL446" s="350"/>
      <c r="BM446" s="351"/>
      <c r="BN446" s="82"/>
      <c r="BO446" s="82"/>
      <c r="BP446" s="678"/>
      <c r="BQ446" s="350"/>
      <c r="BR446" s="351"/>
      <c r="BS446" s="681" t="s">
        <v>294</v>
      </c>
      <c r="BT446" s="350"/>
      <c r="BU446" s="351"/>
    </row>
    <row r="447" spans="1:73" ht="30" customHeight="1">
      <c r="A447" s="76">
        <f t="shared" si="1"/>
        <v>433</v>
      </c>
      <c r="B447" s="686" t="s">
        <v>325</v>
      </c>
      <c r="C447" s="351"/>
      <c r="D447" s="687" t="s">
        <v>294</v>
      </c>
      <c r="E447" s="350"/>
      <c r="F447" s="350"/>
      <c r="G447" s="351"/>
      <c r="H447" s="688" t="s">
        <v>294</v>
      </c>
      <c r="I447" s="350"/>
      <c r="J447" s="350"/>
      <c r="K447" s="351"/>
      <c r="L447" s="538" t="s">
        <v>294</v>
      </c>
      <c r="M447" s="350"/>
      <c r="N447" s="351"/>
      <c r="O447" s="539" t="s">
        <v>294</v>
      </c>
      <c r="P447" s="350"/>
      <c r="Q447" s="351"/>
      <c r="R447" s="574"/>
      <c r="S447" s="350"/>
      <c r="T447" s="351"/>
      <c r="U447" s="567"/>
      <c r="V447" s="350"/>
      <c r="W447" s="351"/>
      <c r="X447" s="77"/>
      <c r="Y447" s="78"/>
      <c r="Z447" s="77"/>
      <c r="AA447" s="78"/>
      <c r="AB447" s="77"/>
      <c r="AC447" s="78"/>
      <c r="AD447" s="77"/>
      <c r="AE447" s="78"/>
      <c r="AF447" s="77"/>
      <c r="AG447" s="78"/>
      <c r="AH447" s="77"/>
      <c r="AI447" s="78"/>
      <c r="AJ447" s="64"/>
      <c r="AK447" s="80"/>
      <c r="AL447" s="64"/>
      <c r="AM447" s="80"/>
      <c r="AN447" s="64"/>
      <c r="AO447" s="80"/>
      <c r="AP447" s="64"/>
      <c r="AQ447" s="80"/>
      <c r="AR447" s="64"/>
      <c r="AS447" s="679" t="s">
        <v>294</v>
      </c>
      <c r="AT447" s="350"/>
      <c r="AU447" s="350"/>
      <c r="AV447" s="350"/>
      <c r="AW447" s="350"/>
      <c r="AX447" s="350"/>
      <c r="AY447" s="351"/>
      <c r="AZ447" s="81"/>
      <c r="BA447" s="81"/>
      <c r="BB447" s="677" t="s">
        <v>325</v>
      </c>
      <c r="BC447" s="351"/>
      <c r="BD447" s="681" t="s">
        <v>294</v>
      </c>
      <c r="BE447" s="350"/>
      <c r="BF447" s="351"/>
      <c r="BG447" s="678" t="s">
        <v>294</v>
      </c>
      <c r="BH447" s="350"/>
      <c r="BI447" s="350"/>
      <c r="BJ447" s="351"/>
      <c r="BK447" s="680"/>
      <c r="BL447" s="350"/>
      <c r="BM447" s="351"/>
      <c r="BN447" s="82"/>
      <c r="BO447" s="82"/>
      <c r="BP447" s="678"/>
      <c r="BQ447" s="350"/>
      <c r="BR447" s="351"/>
      <c r="BS447" s="681" t="s">
        <v>294</v>
      </c>
      <c r="BT447" s="350"/>
      <c r="BU447" s="351"/>
    </row>
    <row r="448" spans="1:73" ht="30" customHeight="1">
      <c r="A448" s="76">
        <f t="shared" si="1"/>
        <v>434</v>
      </c>
      <c r="B448" s="686" t="s">
        <v>325</v>
      </c>
      <c r="C448" s="351"/>
      <c r="D448" s="687" t="s">
        <v>294</v>
      </c>
      <c r="E448" s="350"/>
      <c r="F448" s="350"/>
      <c r="G448" s="351"/>
      <c r="H448" s="688" t="s">
        <v>294</v>
      </c>
      <c r="I448" s="350"/>
      <c r="J448" s="350"/>
      <c r="K448" s="351"/>
      <c r="L448" s="538" t="s">
        <v>294</v>
      </c>
      <c r="M448" s="350"/>
      <c r="N448" s="351"/>
      <c r="O448" s="539" t="s">
        <v>294</v>
      </c>
      <c r="P448" s="350"/>
      <c r="Q448" s="351"/>
      <c r="R448" s="574"/>
      <c r="S448" s="350"/>
      <c r="T448" s="351"/>
      <c r="U448" s="567"/>
      <c r="V448" s="350"/>
      <c r="W448" s="351"/>
      <c r="X448" s="77"/>
      <c r="Y448" s="78"/>
      <c r="Z448" s="77"/>
      <c r="AA448" s="78"/>
      <c r="AB448" s="77"/>
      <c r="AC448" s="78"/>
      <c r="AD448" s="77"/>
      <c r="AE448" s="78"/>
      <c r="AF448" s="77"/>
      <c r="AG448" s="78"/>
      <c r="AH448" s="77"/>
      <c r="AI448" s="78"/>
      <c r="AJ448" s="64"/>
      <c r="AK448" s="80"/>
      <c r="AL448" s="64"/>
      <c r="AM448" s="80"/>
      <c r="AN448" s="64"/>
      <c r="AO448" s="80"/>
      <c r="AP448" s="64"/>
      <c r="AQ448" s="80"/>
      <c r="AR448" s="64"/>
      <c r="AS448" s="679" t="s">
        <v>294</v>
      </c>
      <c r="AT448" s="350"/>
      <c r="AU448" s="350"/>
      <c r="AV448" s="350"/>
      <c r="AW448" s="350"/>
      <c r="AX448" s="350"/>
      <c r="AY448" s="351"/>
      <c r="AZ448" s="81"/>
      <c r="BA448" s="81"/>
      <c r="BB448" s="677" t="s">
        <v>325</v>
      </c>
      <c r="BC448" s="351"/>
      <c r="BD448" s="681" t="s">
        <v>294</v>
      </c>
      <c r="BE448" s="350"/>
      <c r="BF448" s="351"/>
      <c r="BG448" s="678" t="s">
        <v>294</v>
      </c>
      <c r="BH448" s="350"/>
      <c r="BI448" s="350"/>
      <c r="BJ448" s="351"/>
      <c r="BK448" s="680"/>
      <c r="BL448" s="350"/>
      <c r="BM448" s="351"/>
      <c r="BN448" s="82"/>
      <c r="BO448" s="82"/>
      <c r="BP448" s="678"/>
      <c r="BQ448" s="350"/>
      <c r="BR448" s="351"/>
      <c r="BS448" s="681" t="s">
        <v>294</v>
      </c>
      <c r="BT448" s="350"/>
      <c r="BU448" s="351"/>
    </row>
    <row r="449" spans="1:73" ht="30" customHeight="1">
      <c r="A449" s="76">
        <f t="shared" si="1"/>
        <v>435</v>
      </c>
      <c r="B449" s="686" t="s">
        <v>325</v>
      </c>
      <c r="C449" s="351"/>
      <c r="D449" s="687" t="s">
        <v>294</v>
      </c>
      <c r="E449" s="350"/>
      <c r="F449" s="350"/>
      <c r="G449" s="351"/>
      <c r="H449" s="688" t="s">
        <v>294</v>
      </c>
      <c r="I449" s="350"/>
      <c r="J449" s="350"/>
      <c r="K449" s="351"/>
      <c r="L449" s="538" t="s">
        <v>294</v>
      </c>
      <c r="M449" s="350"/>
      <c r="N449" s="351"/>
      <c r="O449" s="539" t="s">
        <v>294</v>
      </c>
      <c r="P449" s="350"/>
      <c r="Q449" s="351"/>
      <c r="R449" s="574"/>
      <c r="S449" s="350"/>
      <c r="T449" s="351"/>
      <c r="U449" s="567"/>
      <c r="V449" s="350"/>
      <c r="W449" s="351"/>
      <c r="X449" s="77"/>
      <c r="Y449" s="78"/>
      <c r="Z449" s="77"/>
      <c r="AA449" s="78"/>
      <c r="AB449" s="77"/>
      <c r="AC449" s="78"/>
      <c r="AD449" s="77"/>
      <c r="AE449" s="78"/>
      <c r="AF449" s="77"/>
      <c r="AG449" s="78"/>
      <c r="AH449" s="77"/>
      <c r="AI449" s="78"/>
      <c r="AJ449" s="64"/>
      <c r="AK449" s="80"/>
      <c r="AL449" s="64"/>
      <c r="AM449" s="80"/>
      <c r="AN449" s="64"/>
      <c r="AO449" s="80"/>
      <c r="AP449" s="64"/>
      <c r="AQ449" s="80"/>
      <c r="AR449" s="64"/>
      <c r="AS449" s="679" t="s">
        <v>294</v>
      </c>
      <c r="AT449" s="350"/>
      <c r="AU449" s="350"/>
      <c r="AV449" s="350"/>
      <c r="AW449" s="350"/>
      <c r="AX449" s="350"/>
      <c r="AY449" s="351"/>
      <c r="AZ449" s="81"/>
      <c r="BA449" s="81"/>
      <c r="BB449" s="677" t="s">
        <v>325</v>
      </c>
      <c r="BC449" s="351"/>
      <c r="BD449" s="681" t="s">
        <v>294</v>
      </c>
      <c r="BE449" s="350"/>
      <c r="BF449" s="351"/>
      <c r="BG449" s="678" t="s">
        <v>294</v>
      </c>
      <c r="BH449" s="350"/>
      <c r="BI449" s="350"/>
      <c r="BJ449" s="351"/>
      <c r="BK449" s="680"/>
      <c r="BL449" s="350"/>
      <c r="BM449" s="351"/>
      <c r="BN449" s="82"/>
      <c r="BO449" s="82"/>
      <c r="BP449" s="678"/>
      <c r="BQ449" s="350"/>
      <c r="BR449" s="351"/>
      <c r="BS449" s="681" t="s">
        <v>294</v>
      </c>
      <c r="BT449" s="350"/>
      <c r="BU449" s="351"/>
    </row>
    <row r="450" spans="1:73" ht="30" customHeight="1">
      <c r="A450" s="76">
        <f t="shared" si="1"/>
        <v>436</v>
      </c>
      <c r="B450" s="686" t="s">
        <v>325</v>
      </c>
      <c r="C450" s="351"/>
      <c r="D450" s="687" t="s">
        <v>294</v>
      </c>
      <c r="E450" s="350"/>
      <c r="F450" s="350"/>
      <c r="G450" s="351"/>
      <c r="H450" s="688" t="s">
        <v>294</v>
      </c>
      <c r="I450" s="350"/>
      <c r="J450" s="350"/>
      <c r="K450" s="351"/>
      <c r="L450" s="538" t="s">
        <v>294</v>
      </c>
      <c r="M450" s="350"/>
      <c r="N450" s="351"/>
      <c r="O450" s="539" t="s">
        <v>294</v>
      </c>
      <c r="P450" s="350"/>
      <c r="Q450" s="351"/>
      <c r="R450" s="574"/>
      <c r="S450" s="350"/>
      <c r="T450" s="351"/>
      <c r="U450" s="567"/>
      <c r="V450" s="350"/>
      <c r="W450" s="351"/>
      <c r="X450" s="77"/>
      <c r="Y450" s="78"/>
      <c r="Z450" s="77"/>
      <c r="AA450" s="78"/>
      <c r="AB450" s="77"/>
      <c r="AC450" s="78"/>
      <c r="AD450" s="77"/>
      <c r="AE450" s="78"/>
      <c r="AF450" s="77"/>
      <c r="AG450" s="78"/>
      <c r="AH450" s="77"/>
      <c r="AI450" s="78"/>
      <c r="AJ450" s="64"/>
      <c r="AK450" s="80"/>
      <c r="AL450" s="64"/>
      <c r="AM450" s="80"/>
      <c r="AN450" s="64"/>
      <c r="AO450" s="80"/>
      <c r="AP450" s="64"/>
      <c r="AQ450" s="80"/>
      <c r="AR450" s="64"/>
      <c r="AS450" s="679" t="s">
        <v>294</v>
      </c>
      <c r="AT450" s="350"/>
      <c r="AU450" s="350"/>
      <c r="AV450" s="350"/>
      <c r="AW450" s="350"/>
      <c r="AX450" s="350"/>
      <c r="AY450" s="351"/>
      <c r="AZ450" s="81"/>
      <c r="BA450" s="81"/>
      <c r="BB450" s="677" t="s">
        <v>325</v>
      </c>
      <c r="BC450" s="351"/>
      <c r="BD450" s="681" t="s">
        <v>294</v>
      </c>
      <c r="BE450" s="350"/>
      <c r="BF450" s="351"/>
      <c r="BG450" s="678" t="s">
        <v>294</v>
      </c>
      <c r="BH450" s="350"/>
      <c r="BI450" s="350"/>
      <c r="BJ450" s="351"/>
      <c r="BK450" s="680"/>
      <c r="BL450" s="350"/>
      <c r="BM450" s="351"/>
      <c r="BN450" s="82"/>
      <c r="BO450" s="82"/>
      <c r="BP450" s="678"/>
      <c r="BQ450" s="350"/>
      <c r="BR450" s="351"/>
      <c r="BS450" s="681" t="s">
        <v>294</v>
      </c>
      <c r="BT450" s="350"/>
      <c r="BU450" s="351"/>
    </row>
    <row r="451" spans="1:73" ht="30" customHeight="1">
      <c r="A451" s="76">
        <f t="shared" si="1"/>
        <v>437</v>
      </c>
      <c r="B451" s="686" t="s">
        <v>325</v>
      </c>
      <c r="C451" s="351"/>
      <c r="D451" s="687" t="s">
        <v>294</v>
      </c>
      <c r="E451" s="350"/>
      <c r="F451" s="350"/>
      <c r="G451" s="351"/>
      <c r="H451" s="688" t="s">
        <v>294</v>
      </c>
      <c r="I451" s="350"/>
      <c r="J451" s="350"/>
      <c r="K451" s="351"/>
      <c r="L451" s="538" t="s">
        <v>294</v>
      </c>
      <c r="M451" s="350"/>
      <c r="N451" s="351"/>
      <c r="O451" s="539" t="s">
        <v>294</v>
      </c>
      <c r="P451" s="350"/>
      <c r="Q451" s="351"/>
      <c r="R451" s="574"/>
      <c r="S451" s="350"/>
      <c r="T451" s="351"/>
      <c r="U451" s="567"/>
      <c r="V451" s="350"/>
      <c r="W451" s="351"/>
      <c r="X451" s="77"/>
      <c r="Y451" s="78"/>
      <c r="Z451" s="77"/>
      <c r="AA451" s="78"/>
      <c r="AB451" s="77"/>
      <c r="AC451" s="78"/>
      <c r="AD451" s="77"/>
      <c r="AE451" s="78"/>
      <c r="AF451" s="77"/>
      <c r="AG451" s="78"/>
      <c r="AH451" s="77"/>
      <c r="AI451" s="78"/>
      <c r="AJ451" s="64"/>
      <c r="AK451" s="80"/>
      <c r="AL451" s="64"/>
      <c r="AM451" s="80"/>
      <c r="AN451" s="64"/>
      <c r="AO451" s="80"/>
      <c r="AP451" s="64"/>
      <c r="AQ451" s="80"/>
      <c r="AR451" s="64"/>
      <c r="AS451" s="679" t="s">
        <v>294</v>
      </c>
      <c r="AT451" s="350"/>
      <c r="AU451" s="350"/>
      <c r="AV451" s="350"/>
      <c r="AW451" s="350"/>
      <c r="AX451" s="350"/>
      <c r="AY451" s="351"/>
      <c r="AZ451" s="81"/>
      <c r="BA451" s="81"/>
      <c r="BB451" s="677" t="s">
        <v>325</v>
      </c>
      <c r="BC451" s="351"/>
      <c r="BD451" s="681" t="s">
        <v>294</v>
      </c>
      <c r="BE451" s="350"/>
      <c r="BF451" s="351"/>
      <c r="BG451" s="678" t="s">
        <v>294</v>
      </c>
      <c r="BH451" s="350"/>
      <c r="BI451" s="350"/>
      <c r="BJ451" s="351"/>
      <c r="BK451" s="680"/>
      <c r="BL451" s="350"/>
      <c r="BM451" s="351"/>
      <c r="BN451" s="82"/>
      <c r="BO451" s="82"/>
      <c r="BP451" s="678"/>
      <c r="BQ451" s="350"/>
      <c r="BR451" s="351"/>
      <c r="BS451" s="681" t="s">
        <v>294</v>
      </c>
      <c r="BT451" s="350"/>
      <c r="BU451" s="351"/>
    </row>
    <row r="452" spans="1:73" ht="30" customHeight="1">
      <c r="A452" s="76">
        <f t="shared" si="1"/>
        <v>438</v>
      </c>
      <c r="B452" s="686" t="s">
        <v>325</v>
      </c>
      <c r="C452" s="351"/>
      <c r="D452" s="687" t="s">
        <v>294</v>
      </c>
      <c r="E452" s="350"/>
      <c r="F452" s="350"/>
      <c r="G452" s="351"/>
      <c r="H452" s="688" t="s">
        <v>294</v>
      </c>
      <c r="I452" s="350"/>
      <c r="J452" s="350"/>
      <c r="K452" s="351"/>
      <c r="L452" s="538" t="s">
        <v>294</v>
      </c>
      <c r="M452" s="350"/>
      <c r="N452" s="351"/>
      <c r="O452" s="539" t="s">
        <v>294</v>
      </c>
      <c r="P452" s="350"/>
      <c r="Q452" s="351"/>
      <c r="R452" s="574"/>
      <c r="S452" s="350"/>
      <c r="T452" s="351"/>
      <c r="U452" s="567"/>
      <c r="V452" s="350"/>
      <c r="W452" s="351"/>
      <c r="X452" s="77"/>
      <c r="Y452" s="78"/>
      <c r="Z452" s="77"/>
      <c r="AA452" s="78"/>
      <c r="AB452" s="77"/>
      <c r="AC452" s="78"/>
      <c r="AD452" s="77"/>
      <c r="AE452" s="78"/>
      <c r="AF452" s="77"/>
      <c r="AG452" s="78"/>
      <c r="AH452" s="77"/>
      <c r="AI452" s="78"/>
      <c r="AJ452" s="64"/>
      <c r="AK452" s="80"/>
      <c r="AL452" s="64"/>
      <c r="AM452" s="80"/>
      <c r="AN452" s="64"/>
      <c r="AO452" s="80"/>
      <c r="AP452" s="64"/>
      <c r="AQ452" s="80"/>
      <c r="AR452" s="64"/>
      <c r="AS452" s="679" t="s">
        <v>294</v>
      </c>
      <c r="AT452" s="350"/>
      <c r="AU452" s="350"/>
      <c r="AV452" s="350"/>
      <c r="AW452" s="350"/>
      <c r="AX452" s="350"/>
      <c r="AY452" s="351"/>
      <c r="AZ452" s="81"/>
      <c r="BA452" s="81"/>
      <c r="BB452" s="677" t="s">
        <v>325</v>
      </c>
      <c r="BC452" s="351"/>
      <c r="BD452" s="681" t="s">
        <v>294</v>
      </c>
      <c r="BE452" s="350"/>
      <c r="BF452" s="351"/>
      <c r="BG452" s="678" t="s">
        <v>294</v>
      </c>
      <c r="BH452" s="350"/>
      <c r="BI452" s="350"/>
      <c r="BJ452" s="351"/>
      <c r="BK452" s="680"/>
      <c r="BL452" s="350"/>
      <c r="BM452" s="351"/>
      <c r="BN452" s="82"/>
      <c r="BO452" s="82"/>
      <c r="BP452" s="678"/>
      <c r="BQ452" s="350"/>
      <c r="BR452" s="351"/>
      <c r="BS452" s="681" t="s">
        <v>294</v>
      </c>
      <c r="BT452" s="350"/>
      <c r="BU452" s="351"/>
    </row>
    <row r="453" spans="1:73" ht="30" customHeight="1">
      <c r="A453" s="76">
        <f t="shared" si="1"/>
        <v>439</v>
      </c>
      <c r="B453" s="686" t="s">
        <v>325</v>
      </c>
      <c r="C453" s="351"/>
      <c r="D453" s="687" t="s">
        <v>294</v>
      </c>
      <c r="E453" s="350"/>
      <c r="F453" s="350"/>
      <c r="G453" s="351"/>
      <c r="H453" s="688" t="s">
        <v>294</v>
      </c>
      <c r="I453" s="350"/>
      <c r="J453" s="350"/>
      <c r="K453" s="351"/>
      <c r="L453" s="538" t="s">
        <v>294</v>
      </c>
      <c r="M453" s="350"/>
      <c r="N453" s="351"/>
      <c r="O453" s="539" t="s">
        <v>294</v>
      </c>
      <c r="P453" s="350"/>
      <c r="Q453" s="351"/>
      <c r="R453" s="574"/>
      <c r="S453" s="350"/>
      <c r="T453" s="351"/>
      <c r="U453" s="567"/>
      <c r="V453" s="350"/>
      <c r="W453" s="351"/>
      <c r="X453" s="77"/>
      <c r="Y453" s="78"/>
      <c r="Z453" s="77"/>
      <c r="AA453" s="78"/>
      <c r="AB453" s="77"/>
      <c r="AC453" s="78"/>
      <c r="AD453" s="77"/>
      <c r="AE453" s="78"/>
      <c r="AF453" s="77"/>
      <c r="AG453" s="78"/>
      <c r="AH453" s="77"/>
      <c r="AI453" s="78"/>
      <c r="AJ453" s="64"/>
      <c r="AK453" s="80"/>
      <c r="AL453" s="64"/>
      <c r="AM453" s="80"/>
      <c r="AN453" s="64"/>
      <c r="AO453" s="80"/>
      <c r="AP453" s="64"/>
      <c r="AQ453" s="80"/>
      <c r="AR453" s="64"/>
      <c r="AS453" s="679" t="s">
        <v>294</v>
      </c>
      <c r="AT453" s="350"/>
      <c r="AU453" s="350"/>
      <c r="AV453" s="350"/>
      <c r="AW453" s="350"/>
      <c r="AX453" s="350"/>
      <c r="AY453" s="351"/>
      <c r="AZ453" s="81"/>
      <c r="BA453" s="81"/>
      <c r="BB453" s="677" t="s">
        <v>325</v>
      </c>
      <c r="BC453" s="351"/>
      <c r="BD453" s="681" t="s">
        <v>294</v>
      </c>
      <c r="BE453" s="350"/>
      <c r="BF453" s="351"/>
      <c r="BG453" s="678" t="s">
        <v>294</v>
      </c>
      <c r="BH453" s="350"/>
      <c r="BI453" s="350"/>
      <c r="BJ453" s="351"/>
      <c r="BK453" s="680"/>
      <c r="BL453" s="350"/>
      <c r="BM453" s="351"/>
      <c r="BN453" s="82"/>
      <c r="BO453" s="82"/>
      <c r="BP453" s="678"/>
      <c r="BQ453" s="350"/>
      <c r="BR453" s="351"/>
      <c r="BS453" s="681" t="s">
        <v>294</v>
      </c>
      <c r="BT453" s="350"/>
      <c r="BU453" s="351"/>
    </row>
    <row r="454" spans="1:73" ht="30" customHeight="1">
      <c r="A454" s="76">
        <f t="shared" si="1"/>
        <v>440</v>
      </c>
      <c r="B454" s="686" t="s">
        <v>325</v>
      </c>
      <c r="C454" s="351"/>
      <c r="D454" s="687" t="s">
        <v>294</v>
      </c>
      <c r="E454" s="350"/>
      <c r="F454" s="350"/>
      <c r="G454" s="351"/>
      <c r="H454" s="688" t="s">
        <v>294</v>
      </c>
      <c r="I454" s="350"/>
      <c r="J454" s="350"/>
      <c r="K454" s="351"/>
      <c r="L454" s="538" t="s">
        <v>294</v>
      </c>
      <c r="M454" s="350"/>
      <c r="N454" s="351"/>
      <c r="O454" s="539" t="s">
        <v>294</v>
      </c>
      <c r="P454" s="350"/>
      <c r="Q454" s="351"/>
      <c r="R454" s="574"/>
      <c r="S454" s="350"/>
      <c r="T454" s="351"/>
      <c r="U454" s="567"/>
      <c r="V454" s="350"/>
      <c r="W454" s="351"/>
      <c r="X454" s="77"/>
      <c r="Y454" s="78"/>
      <c r="Z454" s="77"/>
      <c r="AA454" s="78"/>
      <c r="AB454" s="77"/>
      <c r="AC454" s="78"/>
      <c r="AD454" s="77"/>
      <c r="AE454" s="78"/>
      <c r="AF454" s="77"/>
      <c r="AG454" s="78"/>
      <c r="AH454" s="77"/>
      <c r="AI454" s="78"/>
      <c r="AJ454" s="64"/>
      <c r="AK454" s="80"/>
      <c r="AL454" s="64"/>
      <c r="AM454" s="80"/>
      <c r="AN454" s="64"/>
      <c r="AO454" s="80"/>
      <c r="AP454" s="64"/>
      <c r="AQ454" s="80"/>
      <c r="AR454" s="64"/>
      <c r="AS454" s="679" t="s">
        <v>294</v>
      </c>
      <c r="AT454" s="350"/>
      <c r="AU454" s="350"/>
      <c r="AV454" s="350"/>
      <c r="AW454" s="350"/>
      <c r="AX454" s="350"/>
      <c r="AY454" s="351"/>
      <c r="AZ454" s="81"/>
      <c r="BA454" s="81"/>
      <c r="BB454" s="677" t="s">
        <v>325</v>
      </c>
      <c r="BC454" s="351"/>
      <c r="BD454" s="681" t="s">
        <v>294</v>
      </c>
      <c r="BE454" s="350"/>
      <c r="BF454" s="351"/>
      <c r="BG454" s="678" t="s">
        <v>294</v>
      </c>
      <c r="BH454" s="350"/>
      <c r="BI454" s="350"/>
      <c r="BJ454" s="351"/>
      <c r="BK454" s="680"/>
      <c r="BL454" s="350"/>
      <c r="BM454" s="351"/>
      <c r="BN454" s="82"/>
      <c r="BO454" s="82"/>
      <c r="BP454" s="678"/>
      <c r="BQ454" s="350"/>
      <c r="BR454" s="351"/>
      <c r="BS454" s="681" t="s">
        <v>294</v>
      </c>
      <c r="BT454" s="350"/>
      <c r="BU454" s="351"/>
    </row>
    <row r="455" spans="1:73" ht="30" customHeight="1">
      <c r="A455" s="76">
        <f t="shared" si="1"/>
        <v>441</v>
      </c>
      <c r="B455" s="686" t="s">
        <v>325</v>
      </c>
      <c r="C455" s="351"/>
      <c r="D455" s="687" t="s">
        <v>294</v>
      </c>
      <c r="E455" s="350"/>
      <c r="F455" s="350"/>
      <c r="G455" s="351"/>
      <c r="H455" s="688" t="s">
        <v>294</v>
      </c>
      <c r="I455" s="350"/>
      <c r="J455" s="350"/>
      <c r="K455" s="351"/>
      <c r="L455" s="538" t="s">
        <v>294</v>
      </c>
      <c r="M455" s="350"/>
      <c r="N455" s="351"/>
      <c r="O455" s="539" t="s">
        <v>294</v>
      </c>
      <c r="P455" s="350"/>
      <c r="Q455" s="351"/>
      <c r="R455" s="574"/>
      <c r="S455" s="350"/>
      <c r="T455" s="351"/>
      <c r="U455" s="567"/>
      <c r="V455" s="350"/>
      <c r="W455" s="351"/>
      <c r="X455" s="77"/>
      <c r="Y455" s="78"/>
      <c r="Z455" s="77"/>
      <c r="AA455" s="78"/>
      <c r="AB455" s="77"/>
      <c r="AC455" s="78"/>
      <c r="AD455" s="77"/>
      <c r="AE455" s="78"/>
      <c r="AF455" s="77"/>
      <c r="AG455" s="78"/>
      <c r="AH455" s="77"/>
      <c r="AI455" s="78"/>
      <c r="AJ455" s="64"/>
      <c r="AK455" s="80"/>
      <c r="AL455" s="64"/>
      <c r="AM455" s="80"/>
      <c r="AN455" s="64"/>
      <c r="AO455" s="80"/>
      <c r="AP455" s="64"/>
      <c r="AQ455" s="80"/>
      <c r="AR455" s="64"/>
      <c r="AS455" s="679" t="s">
        <v>294</v>
      </c>
      <c r="AT455" s="350"/>
      <c r="AU455" s="350"/>
      <c r="AV455" s="350"/>
      <c r="AW455" s="350"/>
      <c r="AX455" s="350"/>
      <c r="AY455" s="351"/>
      <c r="AZ455" s="81"/>
      <c r="BA455" s="81"/>
      <c r="BB455" s="677" t="s">
        <v>325</v>
      </c>
      <c r="BC455" s="351"/>
      <c r="BD455" s="681" t="s">
        <v>294</v>
      </c>
      <c r="BE455" s="350"/>
      <c r="BF455" s="351"/>
      <c r="BG455" s="678" t="s">
        <v>294</v>
      </c>
      <c r="BH455" s="350"/>
      <c r="BI455" s="350"/>
      <c r="BJ455" s="351"/>
      <c r="BK455" s="680"/>
      <c r="BL455" s="350"/>
      <c r="BM455" s="351"/>
      <c r="BN455" s="82"/>
      <c r="BO455" s="82"/>
      <c r="BP455" s="678"/>
      <c r="BQ455" s="350"/>
      <c r="BR455" s="351"/>
      <c r="BS455" s="681" t="s">
        <v>294</v>
      </c>
      <c r="BT455" s="350"/>
      <c r="BU455" s="351"/>
    </row>
    <row r="456" spans="1:73" ht="30" customHeight="1">
      <c r="A456" s="76">
        <f t="shared" si="1"/>
        <v>442</v>
      </c>
      <c r="B456" s="686" t="s">
        <v>325</v>
      </c>
      <c r="C456" s="351"/>
      <c r="D456" s="687" t="s">
        <v>294</v>
      </c>
      <c r="E456" s="350"/>
      <c r="F456" s="350"/>
      <c r="G456" s="351"/>
      <c r="H456" s="688" t="s">
        <v>294</v>
      </c>
      <c r="I456" s="350"/>
      <c r="J456" s="350"/>
      <c r="K456" s="351"/>
      <c r="L456" s="538" t="s">
        <v>294</v>
      </c>
      <c r="M456" s="350"/>
      <c r="N456" s="351"/>
      <c r="O456" s="539" t="s">
        <v>294</v>
      </c>
      <c r="P456" s="350"/>
      <c r="Q456" s="351"/>
      <c r="R456" s="574"/>
      <c r="S456" s="350"/>
      <c r="T456" s="351"/>
      <c r="U456" s="567"/>
      <c r="V456" s="350"/>
      <c r="W456" s="351"/>
      <c r="X456" s="77"/>
      <c r="Y456" s="78"/>
      <c r="Z456" s="77"/>
      <c r="AA456" s="78"/>
      <c r="AB456" s="77"/>
      <c r="AC456" s="78"/>
      <c r="AD456" s="77"/>
      <c r="AE456" s="78"/>
      <c r="AF456" s="77"/>
      <c r="AG456" s="78"/>
      <c r="AH456" s="77"/>
      <c r="AI456" s="78"/>
      <c r="AJ456" s="64"/>
      <c r="AK456" s="80"/>
      <c r="AL456" s="64"/>
      <c r="AM456" s="80"/>
      <c r="AN456" s="64"/>
      <c r="AO456" s="80"/>
      <c r="AP456" s="64"/>
      <c r="AQ456" s="80"/>
      <c r="AR456" s="64"/>
      <c r="AS456" s="679" t="s">
        <v>294</v>
      </c>
      <c r="AT456" s="350"/>
      <c r="AU456" s="350"/>
      <c r="AV456" s="350"/>
      <c r="AW456" s="350"/>
      <c r="AX456" s="350"/>
      <c r="AY456" s="351"/>
      <c r="AZ456" s="81"/>
      <c r="BA456" s="81"/>
      <c r="BB456" s="677" t="s">
        <v>325</v>
      </c>
      <c r="BC456" s="351"/>
      <c r="BD456" s="681" t="s">
        <v>294</v>
      </c>
      <c r="BE456" s="350"/>
      <c r="BF456" s="351"/>
      <c r="BG456" s="678" t="s">
        <v>294</v>
      </c>
      <c r="BH456" s="350"/>
      <c r="BI456" s="350"/>
      <c r="BJ456" s="351"/>
      <c r="BK456" s="680"/>
      <c r="BL456" s="350"/>
      <c r="BM456" s="351"/>
      <c r="BN456" s="82"/>
      <c r="BO456" s="82"/>
      <c r="BP456" s="678"/>
      <c r="BQ456" s="350"/>
      <c r="BR456" s="351"/>
      <c r="BS456" s="681" t="s">
        <v>294</v>
      </c>
      <c r="BT456" s="350"/>
      <c r="BU456" s="351"/>
    </row>
    <row r="457" spans="1:73" ht="30" customHeight="1">
      <c r="A457" s="76">
        <f t="shared" si="1"/>
        <v>443</v>
      </c>
      <c r="B457" s="686" t="s">
        <v>325</v>
      </c>
      <c r="C457" s="351"/>
      <c r="D457" s="687" t="s">
        <v>294</v>
      </c>
      <c r="E457" s="350"/>
      <c r="F457" s="350"/>
      <c r="G457" s="351"/>
      <c r="H457" s="688" t="s">
        <v>294</v>
      </c>
      <c r="I457" s="350"/>
      <c r="J457" s="350"/>
      <c r="K457" s="351"/>
      <c r="L457" s="538" t="s">
        <v>294</v>
      </c>
      <c r="M457" s="350"/>
      <c r="N457" s="351"/>
      <c r="O457" s="539" t="s">
        <v>294</v>
      </c>
      <c r="P457" s="350"/>
      <c r="Q457" s="351"/>
      <c r="R457" s="574"/>
      <c r="S457" s="350"/>
      <c r="T457" s="351"/>
      <c r="U457" s="567"/>
      <c r="V457" s="350"/>
      <c r="W457" s="351"/>
      <c r="X457" s="77"/>
      <c r="Y457" s="78"/>
      <c r="Z457" s="77"/>
      <c r="AA457" s="78"/>
      <c r="AB457" s="77"/>
      <c r="AC457" s="78"/>
      <c r="AD457" s="77"/>
      <c r="AE457" s="78"/>
      <c r="AF457" s="77"/>
      <c r="AG457" s="78"/>
      <c r="AH457" s="77"/>
      <c r="AI457" s="78"/>
      <c r="AJ457" s="64"/>
      <c r="AK457" s="80"/>
      <c r="AL457" s="64"/>
      <c r="AM457" s="80"/>
      <c r="AN457" s="64"/>
      <c r="AO457" s="80"/>
      <c r="AP457" s="64"/>
      <c r="AQ457" s="80"/>
      <c r="AR457" s="64"/>
      <c r="AS457" s="679" t="s">
        <v>294</v>
      </c>
      <c r="AT457" s="350"/>
      <c r="AU457" s="350"/>
      <c r="AV457" s="350"/>
      <c r="AW457" s="350"/>
      <c r="AX457" s="350"/>
      <c r="AY457" s="351"/>
      <c r="AZ457" s="81"/>
      <c r="BA457" s="81"/>
      <c r="BB457" s="677" t="s">
        <v>325</v>
      </c>
      <c r="BC457" s="351"/>
      <c r="BD457" s="681" t="s">
        <v>294</v>
      </c>
      <c r="BE457" s="350"/>
      <c r="BF457" s="351"/>
      <c r="BG457" s="678" t="s">
        <v>294</v>
      </c>
      <c r="BH457" s="350"/>
      <c r="BI457" s="350"/>
      <c r="BJ457" s="351"/>
      <c r="BK457" s="680"/>
      <c r="BL457" s="350"/>
      <c r="BM457" s="351"/>
      <c r="BN457" s="82"/>
      <c r="BO457" s="82"/>
      <c r="BP457" s="678"/>
      <c r="BQ457" s="350"/>
      <c r="BR457" s="351"/>
      <c r="BS457" s="681" t="s">
        <v>294</v>
      </c>
      <c r="BT457" s="350"/>
      <c r="BU457" s="351"/>
    </row>
    <row r="458" spans="1:73" ht="30" customHeight="1">
      <c r="A458" s="76">
        <f t="shared" si="1"/>
        <v>444</v>
      </c>
      <c r="B458" s="686" t="s">
        <v>325</v>
      </c>
      <c r="C458" s="351"/>
      <c r="D458" s="687" t="s">
        <v>294</v>
      </c>
      <c r="E458" s="350"/>
      <c r="F458" s="350"/>
      <c r="G458" s="351"/>
      <c r="H458" s="688" t="s">
        <v>294</v>
      </c>
      <c r="I458" s="350"/>
      <c r="J458" s="350"/>
      <c r="K458" s="351"/>
      <c r="L458" s="538" t="s">
        <v>294</v>
      </c>
      <c r="M458" s="350"/>
      <c r="N458" s="351"/>
      <c r="O458" s="539" t="s">
        <v>294</v>
      </c>
      <c r="P458" s="350"/>
      <c r="Q458" s="351"/>
      <c r="R458" s="574"/>
      <c r="S458" s="350"/>
      <c r="T458" s="351"/>
      <c r="U458" s="567"/>
      <c r="V458" s="350"/>
      <c r="W458" s="351"/>
      <c r="X458" s="77"/>
      <c r="Y458" s="78"/>
      <c r="Z458" s="77"/>
      <c r="AA458" s="78"/>
      <c r="AB458" s="77"/>
      <c r="AC458" s="78"/>
      <c r="AD458" s="77"/>
      <c r="AE458" s="78"/>
      <c r="AF458" s="77"/>
      <c r="AG458" s="78"/>
      <c r="AH458" s="77"/>
      <c r="AI458" s="78"/>
      <c r="AJ458" s="64"/>
      <c r="AK458" s="80"/>
      <c r="AL458" s="64"/>
      <c r="AM458" s="80"/>
      <c r="AN458" s="64"/>
      <c r="AO458" s="80"/>
      <c r="AP458" s="64"/>
      <c r="AQ458" s="80"/>
      <c r="AR458" s="64"/>
      <c r="AS458" s="679" t="s">
        <v>294</v>
      </c>
      <c r="AT458" s="350"/>
      <c r="AU458" s="350"/>
      <c r="AV458" s="350"/>
      <c r="AW458" s="350"/>
      <c r="AX458" s="350"/>
      <c r="AY458" s="351"/>
      <c r="AZ458" s="81"/>
      <c r="BA458" s="81"/>
      <c r="BB458" s="677" t="s">
        <v>325</v>
      </c>
      <c r="BC458" s="351"/>
      <c r="BD458" s="681" t="s">
        <v>294</v>
      </c>
      <c r="BE458" s="350"/>
      <c r="BF458" s="351"/>
      <c r="BG458" s="678" t="s">
        <v>294</v>
      </c>
      <c r="BH458" s="350"/>
      <c r="BI458" s="350"/>
      <c r="BJ458" s="351"/>
      <c r="BK458" s="680"/>
      <c r="BL458" s="350"/>
      <c r="BM458" s="351"/>
      <c r="BN458" s="82"/>
      <c r="BO458" s="82"/>
      <c r="BP458" s="678"/>
      <c r="BQ458" s="350"/>
      <c r="BR458" s="351"/>
      <c r="BS458" s="681" t="s">
        <v>294</v>
      </c>
      <c r="BT458" s="350"/>
      <c r="BU458" s="351"/>
    </row>
    <row r="459" spans="1:73" ht="30" customHeight="1">
      <c r="A459" s="76">
        <f t="shared" si="1"/>
        <v>445</v>
      </c>
      <c r="B459" s="686" t="s">
        <v>325</v>
      </c>
      <c r="C459" s="351"/>
      <c r="D459" s="687" t="s">
        <v>294</v>
      </c>
      <c r="E459" s="350"/>
      <c r="F459" s="350"/>
      <c r="G459" s="351"/>
      <c r="H459" s="688" t="s">
        <v>294</v>
      </c>
      <c r="I459" s="350"/>
      <c r="J459" s="350"/>
      <c r="K459" s="351"/>
      <c r="L459" s="538" t="s">
        <v>294</v>
      </c>
      <c r="M459" s="350"/>
      <c r="N459" s="351"/>
      <c r="O459" s="539" t="s">
        <v>294</v>
      </c>
      <c r="P459" s="350"/>
      <c r="Q459" s="351"/>
      <c r="R459" s="574"/>
      <c r="S459" s="350"/>
      <c r="T459" s="351"/>
      <c r="U459" s="567"/>
      <c r="V459" s="350"/>
      <c r="W459" s="351"/>
      <c r="X459" s="77"/>
      <c r="Y459" s="78"/>
      <c r="Z459" s="77"/>
      <c r="AA459" s="78"/>
      <c r="AB459" s="77"/>
      <c r="AC459" s="78"/>
      <c r="AD459" s="77"/>
      <c r="AE459" s="78"/>
      <c r="AF459" s="77"/>
      <c r="AG459" s="78"/>
      <c r="AH459" s="77"/>
      <c r="AI459" s="78"/>
      <c r="AJ459" s="64"/>
      <c r="AK459" s="80"/>
      <c r="AL459" s="64"/>
      <c r="AM459" s="80"/>
      <c r="AN459" s="64"/>
      <c r="AO459" s="80"/>
      <c r="AP459" s="64"/>
      <c r="AQ459" s="80"/>
      <c r="AR459" s="64"/>
      <c r="AS459" s="679" t="s">
        <v>294</v>
      </c>
      <c r="AT459" s="350"/>
      <c r="AU459" s="350"/>
      <c r="AV459" s="350"/>
      <c r="AW459" s="350"/>
      <c r="AX459" s="350"/>
      <c r="AY459" s="351"/>
      <c r="AZ459" s="81"/>
      <c r="BA459" s="81"/>
      <c r="BB459" s="677" t="s">
        <v>325</v>
      </c>
      <c r="BC459" s="351"/>
      <c r="BD459" s="681" t="s">
        <v>294</v>
      </c>
      <c r="BE459" s="350"/>
      <c r="BF459" s="351"/>
      <c r="BG459" s="678" t="s">
        <v>294</v>
      </c>
      <c r="BH459" s="350"/>
      <c r="BI459" s="350"/>
      <c r="BJ459" s="351"/>
      <c r="BK459" s="680"/>
      <c r="BL459" s="350"/>
      <c r="BM459" s="351"/>
      <c r="BN459" s="82"/>
      <c r="BO459" s="82"/>
      <c r="BP459" s="678"/>
      <c r="BQ459" s="350"/>
      <c r="BR459" s="351"/>
      <c r="BS459" s="681" t="s">
        <v>294</v>
      </c>
      <c r="BT459" s="350"/>
      <c r="BU459" s="351"/>
    </row>
    <row r="460" spans="1:73" ht="30" customHeight="1">
      <c r="A460" s="76">
        <f t="shared" si="1"/>
        <v>446</v>
      </c>
      <c r="B460" s="686" t="s">
        <v>325</v>
      </c>
      <c r="C460" s="351"/>
      <c r="D460" s="687" t="s">
        <v>294</v>
      </c>
      <c r="E460" s="350"/>
      <c r="F460" s="350"/>
      <c r="G460" s="351"/>
      <c r="H460" s="688" t="s">
        <v>294</v>
      </c>
      <c r="I460" s="350"/>
      <c r="J460" s="350"/>
      <c r="K460" s="351"/>
      <c r="L460" s="538" t="s">
        <v>294</v>
      </c>
      <c r="M460" s="350"/>
      <c r="N460" s="351"/>
      <c r="O460" s="539" t="s">
        <v>294</v>
      </c>
      <c r="P460" s="350"/>
      <c r="Q460" s="351"/>
      <c r="R460" s="574"/>
      <c r="S460" s="350"/>
      <c r="T460" s="351"/>
      <c r="U460" s="567"/>
      <c r="V460" s="350"/>
      <c r="W460" s="351"/>
      <c r="X460" s="77"/>
      <c r="Y460" s="78"/>
      <c r="Z460" s="77"/>
      <c r="AA460" s="78"/>
      <c r="AB460" s="77"/>
      <c r="AC460" s="78"/>
      <c r="AD460" s="77"/>
      <c r="AE460" s="78"/>
      <c r="AF460" s="77"/>
      <c r="AG460" s="78"/>
      <c r="AH460" s="77"/>
      <c r="AI460" s="78"/>
      <c r="AJ460" s="64"/>
      <c r="AK460" s="80"/>
      <c r="AL460" s="64"/>
      <c r="AM460" s="80"/>
      <c r="AN460" s="64"/>
      <c r="AO460" s="80"/>
      <c r="AP460" s="64"/>
      <c r="AQ460" s="80"/>
      <c r="AR460" s="64"/>
      <c r="AS460" s="679" t="s">
        <v>294</v>
      </c>
      <c r="AT460" s="350"/>
      <c r="AU460" s="350"/>
      <c r="AV460" s="350"/>
      <c r="AW460" s="350"/>
      <c r="AX460" s="350"/>
      <c r="AY460" s="351"/>
      <c r="AZ460" s="81"/>
      <c r="BA460" s="81"/>
      <c r="BB460" s="677" t="s">
        <v>325</v>
      </c>
      <c r="BC460" s="351"/>
      <c r="BD460" s="681" t="s">
        <v>294</v>
      </c>
      <c r="BE460" s="350"/>
      <c r="BF460" s="351"/>
      <c r="BG460" s="678" t="s">
        <v>294</v>
      </c>
      <c r="BH460" s="350"/>
      <c r="BI460" s="350"/>
      <c r="BJ460" s="351"/>
      <c r="BK460" s="680"/>
      <c r="BL460" s="350"/>
      <c r="BM460" s="351"/>
      <c r="BN460" s="82"/>
      <c r="BO460" s="82"/>
      <c r="BP460" s="678"/>
      <c r="BQ460" s="350"/>
      <c r="BR460" s="351"/>
      <c r="BS460" s="681" t="s">
        <v>294</v>
      </c>
      <c r="BT460" s="350"/>
      <c r="BU460" s="351"/>
    </row>
    <row r="461" spans="1:73" ht="30" customHeight="1">
      <c r="A461" s="76">
        <f t="shared" si="1"/>
        <v>447</v>
      </c>
      <c r="B461" s="686" t="s">
        <v>325</v>
      </c>
      <c r="C461" s="351"/>
      <c r="D461" s="687" t="s">
        <v>294</v>
      </c>
      <c r="E461" s="350"/>
      <c r="F461" s="350"/>
      <c r="G461" s="351"/>
      <c r="H461" s="688" t="s">
        <v>294</v>
      </c>
      <c r="I461" s="350"/>
      <c r="J461" s="350"/>
      <c r="K461" s="351"/>
      <c r="L461" s="538" t="s">
        <v>294</v>
      </c>
      <c r="M461" s="350"/>
      <c r="N461" s="351"/>
      <c r="O461" s="539" t="s">
        <v>294</v>
      </c>
      <c r="P461" s="350"/>
      <c r="Q461" s="351"/>
      <c r="R461" s="574"/>
      <c r="S461" s="350"/>
      <c r="T461" s="351"/>
      <c r="U461" s="567"/>
      <c r="V461" s="350"/>
      <c r="W461" s="351"/>
      <c r="X461" s="77"/>
      <c r="Y461" s="78"/>
      <c r="Z461" s="77"/>
      <c r="AA461" s="78"/>
      <c r="AB461" s="77"/>
      <c r="AC461" s="78"/>
      <c r="AD461" s="77"/>
      <c r="AE461" s="78"/>
      <c r="AF461" s="77"/>
      <c r="AG461" s="78"/>
      <c r="AH461" s="77"/>
      <c r="AI461" s="78"/>
      <c r="AJ461" s="64"/>
      <c r="AK461" s="80"/>
      <c r="AL461" s="64"/>
      <c r="AM461" s="80"/>
      <c r="AN461" s="64"/>
      <c r="AO461" s="80"/>
      <c r="AP461" s="64"/>
      <c r="AQ461" s="80"/>
      <c r="AR461" s="64"/>
      <c r="AS461" s="679" t="s">
        <v>294</v>
      </c>
      <c r="AT461" s="350"/>
      <c r="AU461" s="350"/>
      <c r="AV461" s="350"/>
      <c r="AW461" s="350"/>
      <c r="AX461" s="350"/>
      <c r="AY461" s="351"/>
      <c r="AZ461" s="81"/>
      <c r="BA461" s="81"/>
      <c r="BB461" s="677" t="s">
        <v>325</v>
      </c>
      <c r="BC461" s="351"/>
      <c r="BD461" s="681" t="s">
        <v>294</v>
      </c>
      <c r="BE461" s="350"/>
      <c r="BF461" s="351"/>
      <c r="BG461" s="678" t="s">
        <v>294</v>
      </c>
      <c r="BH461" s="350"/>
      <c r="BI461" s="350"/>
      <c r="BJ461" s="351"/>
      <c r="BK461" s="680"/>
      <c r="BL461" s="350"/>
      <c r="BM461" s="351"/>
      <c r="BN461" s="82"/>
      <c r="BO461" s="82"/>
      <c r="BP461" s="678"/>
      <c r="BQ461" s="350"/>
      <c r="BR461" s="351"/>
      <c r="BS461" s="681" t="s">
        <v>294</v>
      </c>
      <c r="BT461" s="350"/>
      <c r="BU461" s="351"/>
    </row>
    <row r="462" spans="1:73" ht="30" customHeight="1">
      <c r="A462" s="76">
        <f t="shared" si="1"/>
        <v>448</v>
      </c>
      <c r="B462" s="686" t="s">
        <v>325</v>
      </c>
      <c r="C462" s="351"/>
      <c r="D462" s="687" t="s">
        <v>294</v>
      </c>
      <c r="E462" s="350"/>
      <c r="F462" s="350"/>
      <c r="G462" s="351"/>
      <c r="H462" s="688" t="s">
        <v>294</v>
      </c>
      <c r="I462" s="350"/>
      <c r="J462" s="350"/>
      <c r="K462" s="351"/>
      <c r="L462" s="538" t="s">
        <v>294</v>
      </c>
      <c r="M462" s="350"/>
      <c r="N462" s="351"/>
      <c r="O462" s="539" t="s">
        <v>294</v>
      </c>
      <c r="P462" s="350"/>
      <c r="Q462" s="351"/>
      <c r="R462" s="574"/>
      <c r="S462" s="350"/>
      <c r="T462" s="351"/>
      <c r="U462" s="567"/>
      <c r="V462" s="350"/>
      <c r="W462" s="351"/>
      <c r="X462" s="77"/>
      <c r="Y462" s="78"/>
      <c r="Z462" s="77"/>
      <c r="AA462" s="78"/>
      <c r="AB462" s="77"/>
      <c r="AC462" s="78"/>
      <c r="AD462" s="77"/>
      <c r="AE462" s="78"/>
      <c r="AF462" s="77"/>
      <c r="AG462" s="78"/>
      <c r="AH462" s="77"/>
      <c r="AI462" s="78"/>
      <c r="AJ462" s="64"/>
      <c r="AK462" s="80"/>
      <c r="AL462" s="64"/>
      <c r="AM462" s="80"/>
      <c r="AN462" s="64"/>
      <c r="AO462" s="80"/>
      <c r="AP462" s="64"/>
      <c r="AQ462" s="80"/>
      <c r="AR462" s="64"/>
      <c r="AS462" s="679" t="s">
        <v>294</v>
      </c>
      <c r="AT462" s="350"/>
      <c r="AU462" s="350"/>
      <c r="AV462" s="350"/>
      <c r="AW462" s="350"/>
      <c r="AX462" s="350"/>
      <c r="AY462" s="351"/>
      <c r="AZ462" s="81"/>
      <c r="BA462" s="81"/>
      <c r="BB462" s="677" t="s">
        <v>325</v>
      </c>
      <c r="BC462" s="351"/>
      <c r="BD462" s="681" t="s">
        <v>294</v>
      </c>
      <c r="BE462" s="350"/>
      <c r="BF462" s="351"/>
      <c r="BG462" s="678" t="s">
        <v>294</v>
      </c>
      <c r="BH462" s="350"/>
      <c r="BI462" s="350"/>
      <c r="BJ462" s="351"/>
      <c r="BK462" s="680"/>
      <c r="BL462" s="350"/>
      <c r="BM462" s="351"/>
      <c r="BN462" s="82"/>
      <c r="BO462" s="82"/>
      <c r="BP462" s="678"/>
      <c r="BQ462" s="350"/>
      <c r="BR462" s="351"/>
      <c r="BS462" s="681" t="s">
        <v>294</v>
      </c>
      <c r="BT462" s="350"/>
      <c r="BU462" s="351"/>
    </row>
    <row r="463" spans="1:73" ht="30" customHeight="1">
      <c r="A463" s="76">
        <f t="shared" si="1"/>
        <v>449</v>
      </c>
      <c r="B463" s="686" t="s">
        <v>325</v>
      </c>
      <c r="C463" s="351"/>
      <c r="D463" s="687" t="s">
        <v>294</v>
      </c>
      <c r="E463" s="350"/>
      <c r="F463" s="350"/>
      <c r="G463" s="351"/>
      <c r="H463" s="688" t="s">
        <v>294</v>
      </c>
      <c r="I463" s="350"/>
      <c r="J463" s="350"/>
      <c r="K463" s="351"/>
      <c r="L463" s="538" t="s">
        <v>294</v>
      </c>
      <c r="M463" s="350"/>
      <c r="N463" s="351"/>
      <c r="O463" s="539" t="s">
        <v>294</v>
      </c>
      <c r="P463" s="350"/>
      <c r="Q463" s="351"/>
      <c r="R463" s="574"/>
      <c r="S463" s="350"/>
      <c r="T463" s="351"/>
      <c r="U463" s="567"/>
      <c r="V463" s="350"/>
      <c r="W463" s="351"/>
      <c r="X463" s="77"/>
      <c r="Y463" s="78"/>
      <c r="Z463" s="77"/>
      <c r="AA463" s="78"/>
      <c r="AB463" s="77"/>
      <c r="AC463" s="78"/>
      <c r="AD463" s="77"/>
      <c r="AE463" s="78"/>
      <c r="AF463" s="77"/>
      <c r="AG463" s="78"/>
      <c r="AH463" s="77"/>
      <c r="AI463" s="78"/>
      <c r="AJ463" s="64"/>
      <c r="AK463" s="80"/>
      <c r="AL463" s="64"/>
      <c r="AM463" s="80"/>
      <c r="AN463" s="64"/>
      <c r="AO463" s="80"/>
      <c r="AP463" s="64"/>
      <c r="AQ463" s="80"/>
      <c r="AR463" s="64"/>
      <c r="AS463" s="679" t="s">
        <v>294</v>
      </c>
      <c r="AT463" s="350"/>
      <c r="AU463" s="350"/>
      <c r="AV463" s="350"/>
      <c r="AW463" s="350"/>
      <c r="AX463" s="350"/>
      <c r="AY463" s="351"/>
      <c r="AZ463" s="81"/>
      <c r="BA463" s="81"/>
      <c r="BB463" s="677" t="s">
        <v>325</v>
      </c>
      <c r="BC463" s="351"/>
      <c r="BD463" s="681" t="s">
        <v>294</v>
      </c>
      <c r="BE463" s="350"/>
      <c r="BF463" s="351"/>
      <c r="BG463" s="678" t="s">
        <v>294</v>
      </c>
      <c r="BH463" s="350"/>
      <c r="BI463" s="350"/>
      <c r="BJ463" s="351"/>
      <c r="BK463" s="680"/>
      <c r="BL463" s="350"/>
      <c r="BM463" s="351"/>
      <c r="BN463" s="82"/>
      <c r="BO463" s="82"/>
      <c r="BP463" s="678"/>
      <c r="BQ463" s="350"/>
      <c r="BR463" s="351"/>
      <c r="BS463" s="681" t="s">
        <v>294</v>
      </c>
      <c r="BT463" s="350"/>
      <c r="BU463" s="351"/>
    </row>
    <row r="464" spans="1:73" ht="30" customHeight="1">
      <c r="A464" s="76">
        <f t="shared" si="1"/>
        <v>450</v>
      </c>
      <c r="B464" s="686" t="s">
        <v>325</v>
      </c>
      <c r="C464" s="351"/>
      <c r="D464" s="687" t="s">
        <v>294</v>
      </c>
      <c r="E464" s="350"/>
      <c r="F464" s="350"/>
      <c r="G464" s="351"/>
      <c r="H464" s="688" t="s">
        <v>294</v>
      </c>
      <c r="I464" s="350"/>
      <c r="J464" s="350"/>
      <c r="K464" s="351"/>
      <c r="L464" s="538" t="s">
        <v>294</v>
      </c>
      <c r="M464" s="350"/>
      <c r="N464" s="351"/>
      <c r="O464" s="539" t="s">
        <v>294</v>
      </c>
      <c r="P464" s="350"/>
      <c r="Q464" s="351"/>
      <c r="R464" s="574"/>
      <c r="S464" s="350"/>
      <c r="T464" s="351"/>
      <c r="U464" s="567"/>
      <c r="V464" s="350"/>
      <c r="W464" s="351"/>
      <c r="X464" s="77"/>
      <c r="Y464" s="78"/>
      <c r="Z464" s="77"/>
      <c r="AA464" s="78"/>
      <c r="AB464" s="77"/>
      <c r="AC464" s="78"/>
      <c r="AD464" s="77"/>
      <c r="AE464" s="78"/>
      <c r="AF464" s="77"/>
      <c r="AG464" s="78"/>
      <c r="AH464" s="77"/>
      <c r="AI464" s="78"/>
      <c r="AJ464" s="64"/>
      <c r="AK464" s="80"/>
      <c r="AL464" s="64"/>
      <c r="AM464" s="80"/>
      <c r="AN464" s="64"/>
      <c r="AO464" s="80"/>
      <c r="AP464" s="64"/>
      <c r="AQ464" s="80"/>
      <c r="AR464" s="64"/>
      <c r="AS464" s="679" t="s">
        <v>294</v>
      </c>
      <c r="AT464" s="350"/>
      <c r="AU464" s="350"/>
      <c r="AV464" s="350"/>
      <c r="AW464" s="350"/>
      <c r="AX464" s="350"/>
      <c r="AY464" s="351"/>
      <c r="AZ464" s="81"/>
      <c r="BA464" s="81"/>
      <c r="BB464" s="677" t="s">
        <v>325</v>
      </c>
      <c r="BC464" s="351"/>
      <c r="BD464" s="681" t="s">
        <v>294</v>
      </c>
      <c r="BE464" s="350"/>
      <c r="BF464" s="351"/>
      <c r="BG464" s="678" t="s">
        <v>294</v>
      </c>
      <c r="BH464" s="350"/>
      <c r="BI464" s="350"/>
      <c r="BJ464" s="351"/>
      <c r="BK464" s="680"/>
      <c r="BL464" s="350"/>
      <c r="BM464" s="351"/>
      <c r="BN464" s="82"/>
      <c r="BO464" s="82"/>
      <c r="BP464" s="678"/>
      <c r="BQ464" s="350"/>
      <c r="BR464" s="351"/>
      <c r="BS464" s="681" t="s">
        <v>294</v>
      </c>
      <c r="BT464" s="350"/>
      <c r="BU464" s="351"/>
    </row>
    <row r="465" spans="1:73" ht="30" customHeight="1">
      <c r="A465" s="76">
        <f t="shared" si="1"/>
        <v>451</v>
      </c>
      <c r="B465" s="686" t="s">
        <v>325</v>
      </c>
      <c r="C465" s="351"/>
      <c r="D465" s="687" t="s">
        <v>294</v>
      </c>
      <c r="E465" s="350"/>
      <c r="F465" s="350"/>
      <c r="G465" s="351"/>
      <c r="H465" s="688" t="s">
        <v>294</v>
      </c>
      <c r="I465" s="350"/>
      <c r="J465" s="350"/>
      <c r="K465" s="351"/>
      <c r="L465" s="538" t="s">
        <v>294</v>
      </c>
      <c r="M465" s="350"/>
      <c r="N465" s="351"/>
      <c r="O465" s="539" t="s">
        <v>294</v>
      </c>
      <c r="P465" s="350"/>
      <c r="Q465" s="351"/>
      <c r="R465" s="574"/>
      <c r="S465" s="350"/>
      <c r="T465" s="351"/>
      <c r="U465" s="567"/>
      <c r="V465" s="350"/>
      <c r="W465" s="351"/>
      <c r="X465" s="77"/>
      <c r="Y465" s="78"/>
      <c r="Z465" s="77"/>
      <c r="AA465" s="78"/>
      <c r="AB465" s="77"/>
      <c r="AC465" s="78"/>
      <c r="AD465" s="77"/>
      <c r="AE465" s="78"/>
      <c r="AF465" s="77"/>
      <c r="AG465" s="78"/>
      <c r="AH465" s="77"/>
      <c r="AI465" s="78"/>
      <c r="AJ465" s="64"/>
      <c r="AK465" s="80"/>
      <c r="AL465" s="64"/>
      <c r="AM465" s="80"/>
      <c r="AN465" s="64"/>
      <c r="AO465" s="80"/>
      <c r="AP465" s="64"/>
      <c r="AQ465" s="80"/>
      <c r="AR465" s="64"/>
      <c r="AS465" s="679" t="s">
        <v>294</v>
      </c>
      <c r="AT465" s="350"/>
      <c r="AU465" s="350"/>
      <c r="AV465" s="350"/>
      <c r="AW465" s="350"/>
      <c r="AX465" s="350"/>
      <c r="AY465" s="351"/>
      <c r="AZ465" s="81"/>
      <c r="BA465" s="81"/>
      <c r="BB465" s="677" t="s">
        <v>325</v>
      </c>
      <c r="BC465" s="351"/>
      <c r="BD465" s="681" t="s">
        <v>294</v>
      </c>
      <c r="BE465" s="350"/>
      <c r="BF465" s="351"/>
      <c r="BG465" s="678" t="s">
        <v>294</v>
      </c>
      <c r="BH465" s="350"/>
      <c r="BI465" s="350"/>
      <c r="BJ465" s="351"/>
      <c r="BK465" s="680"/>
      <c r="BL465" s="350"/>
      <c r="BM465" s="351"/>
      <c r="BN465" s="82"/>
      <c r="BO465" s="82"/>
      <c r="BP465" s="678"/>
      <c r="BQ465" s="350"/>
      <c r="BR465" s="351"/>
      <c r="BS465" s="681" t="s">
        <v>294</v>
      </c>
      <c r="BT465" s="350"/>
      <c r="BU465" s="351"/>
    </row>
    <row r="466" spans="1:73" ht="30" customHeight="1">
      <c r="A466" s="76">
        <f t="shared" si="1"/>
        <v>452</v>
      </c>
      <c r="B466" s="686" t="s">
        <v>325</v>
      </c>
      <c r="C466" s="351"/>
      <c r="D466" s="687" t="s">
        <v>294</v>
      </c>
      <c r="E466" s="350"/>
      <c r="F466" s="350"/>
      <c r="G466" s="351"/>
      <c r="H466" s="688" t="s">
        <v>294</v>
      </c>
      <c r="I466" s="350"/>
      <c r="J466" s="350"/>
      <c r="K466" s="351"/>
      <c r="L466" s="538" t="s">
        <v>294</v>
      </c>
      <c r="M466" s="350"/>
      <c r="N466" s="351"/>
      <c r="O466" s="539" t="s">
        <v>294</v>
      </c>
      <c r="P466" s="350"/>
      <c r="Q466" s="351"/>
      <c r="R466" s="574"/>
      <c r="S466" s="350"/>
      <c r="T466" s="351"/>
      <c r="U466" s="567"/>
      <c r="V466" s="350"/>
      <c r="W466" s="351"/>
      <c r="X466" s="77"/>
      <c r="Y466" s="78"/>
      <c r="Z466" s="77"/>
      <c r="AA466" s="78"/>
      <c r="AB466" s="77"/>
      <c r="AC466" s="78"/>
      <c r="AD466" s="77"/>
      <c r="AE466" s="78"/>
      <c r="AF466" s="77"/>
      <c r="AG466" s="78"/>
      <c r="AH466" s="77"/>
      <c r="AI466" s="78"/>
      <c r="AJ466" s="64"/>
      <c r="AK466" s="80"/>
      <c r="AL466" s="64"/>
      <c r="AM466" s="80"/>
      <c r="AN466" s="64"/>
      <c r="AO466" s="80"/>
      <c r="AP466" s="64"/>
      <c r="AQ466" s="80"/>
      <c r="AR466" s="64"/>
      <c r="AS466" s="679" t="s">
        <v>294</v>
      </c>
      <c r="AT466" s="350"/>
      <c r="AU466" s="350"/>
      <c r="AV466" s="350"/>
      <c r="AW466" s="350"/>
      <c r="AX466" s="350"/>
      <c r="AY466" s="351"/>
      <c r="AZ466" s="83"/>
      <c r="BA466" s="83"/>
      <c r="BB466" s="677" t="s">
        <v>325</v>
      </c>
      <c r="BC466" s="351"/>
      <c r="BD466" s="682" t="s">
        <v>294</v>
      </c>
      <c r="BE466" s="378"/>
      <c r="BF466" s="379"/>
      <c r="BG466" s="683" t="s">
        <v>294</v>
      </c>
      <c r="BH466" s="378"/>
      <c r="BI466" s="378"/>
      <c r="BJ466" s="379"/>
      <c r="BK466" s="684"/>
      <c r="BL466" s="378"/>
      <c r="BM466" s="379"/>
      <c r="BN466" s="84"/>
      <c r="BO466" s="84"/>
      <c r="BP466" s="683"/>
      <c r="BQ466" s="378"/>
      <c r="BR466" s="379"/>
      <c r="BS466" s="682" t="s">
        <v>294</v>
      </c>
      <c r="BT466" s="378"/>
      <c r="BU466" s="379"/>
    </row>
    <row r="467" spans="1:73" ht="30" customHeight="1">
      <c r="A467" s="76">
        <f t="shared" si="1"/>
        <v>453</v>
      </c>
      <c r="B467" s="686" t="s">
        <v>325</v>
      </c>
      <c r="C467" s="351"/>
      <c r="D467" s="687" t="s">
        <v>294</v>
      </c>
      <c r="E467" s="350"/>
      <c r="F467" s="350"/>
      <c r="G467" s="351"/>
      <c r="H467" s="688" t="s">
        <v>294</v>
      </c>
      <c r="I467" s="350"/>
      <c r="J467" s="350"/>
      <c r="K467" s="351"/>
      <c r="L467" s="538" t="s">
        <v>294</v>
      </c>
      <c r="M467" s="350"/>
      <c r="N467" s="351"/>
      <c r="O467" s="539" t="s">
        <v>294</v>
      </c>
      <c r="P467" s="350"/>
      <c r="Q467" s="351"/>
      <c r="R467" s="574"/>
      <c r="S467" s="350"/>
      <c r="T467" s="351"/>
      <c r="U467" s="567"/>
      <c r="V467" s="350"/>
      <c r="W467" s="351"/>
      <c r="X467" s="77"/>
      <c r="Y467" s="78"/>
      <c r="Z467" s="77"/>
      <c r="AA467" s="78"/>
      <c r="AB467" s="77"/>
      <c r="AC467" s="78"/>
      <c r="AD467" s="77"/>
      <c r="AE467" s="78"/>
      <c r="AF467" s="77"/>
      <c r="AG467" s="78"/>
      <c r="AH467" s="77"/>
      <c r="AI467" s="78"/>
      <c r="AJ467" s="64"/>
      <c r="AK467" s="80"/>
      <c r="AL467" s="64"/>
      <c r="AM467" s="80"/>
      <c r="AN467" s="64"/>
      <c r="AO467" s="80"/>
      <c r="AP467" s="64"/>
      <c r="AQ467" s="80"/>
      <c r="AR467" s="64"/>
      <c r="AS467" s="679" t="s">
        <v>294</v>
      </c>
      <c r="AT467" s="350"/>
      <c r="AU467" s="350"/>
      <c r="AV467" s="350"/>
      <c r="AW467" s="350"/>
      <c r="AX467" s="350"/>
      <c r="AY467" s="351"/>
      <c r="AZ467" s="81"/>
      <c r="BA467" s="81"/>
      <c r="BB467" s="677" t="s">
        <v>325</v>
      </c>
      <c r="BC467" s="351"/>
      <c r="BD467" s="681" t="s">
        <v>294</v>
      </c>
      <c r="BE467" s="350"/>
      <c r="BF467" s="351"/>
      <c r="BG467" s="678" t="s">
        <v>294</v>
      </c>
      <c r="BH467" s="350"/>
      <c r="BI467" s="350"/>
      <c r="BJ467" s="351"/>
      <c r="BK467" s="680"/>
      <c r="BL467" s="350"/>
      <c r="BM467" s="351"/>
      <c r="BN467" s="82"/>
      <c r="BO467" s="82"/>
      <c r="BP467" s="678"/>
      <c r="BQ467" s="350"/>
      <c r="BR467" s="351"/>
      <c r="BS467" s="681" t="s">
        <v>294</v>
      </c>
      <c r="BT467" s="350"/>
      <c r="BU467" s="351"/>
    </row>
    <row r="468" spans="1:73" ht="30" customHeight="1">
      <c r="A468" s="76">
        <f t="shared" si="1"/>
        <v>454</v>
      </c>
      <c r="B468" s="686" t="s">
        <v>325</v>
      </c>
      <c r="C468" s="351"/>
      <c r="D468" s="687" t="s">
        <v>294</v>
      </c>
      <c r="E468" s="350"/>
      <c r="F468" s="350"/>
      <c r="G468" s="351"/>
      <c r="H468" s="688" t="s">
        <v>294</v>
      </c>
      <c r="I468" s="350"/>
      <c r="J468" s="350"/>
      <c r="K468" s="351"/>
      <c r="L468" s="538" t="s">
        <v>294</v>
      </c>
      <c r="M468" s="350"/>
      <c r="N468" s="351"/>
      <c r="O468" s="539" t="s">
        <v>294</v>
      </c>
      <c r="P468" s="350"/>
      <c r="Q468" s="351"/>
      <c r="R468" s="574"/>
      <c r="S468" s="350"/>
      <c r="T468" s="351"/>
      <c r="U468" s="567"/>
      <c r="V468" s="350"/>
      <c r="W468" s="351"/>
      <c r="X468" s="77"/>
      <c r="Y468" s="78"/>
      <c r="Z468" s="77"/>
      <c r="AA468" s="78"/>
      <c r="AB468" s="77"/>
      <c r="AC468" s="78"/>
      <c r="AD468" s="77"/>
      <c r="AE468" s="78"/>
      <c r="AF468" s="77"/>
      <c r="AG468" s="78"/>
      <c r="AH468" s="77"/>
      <c r="AI468" s="78"/>
      <c r="AJ468" s="64"/>
      <c r="AK468" s="80"/>
      <c r="AL468" s="64"/>
      <c r="AM468" s="80"/>
      <c r="AN468" s="64"/>
      <c r="AO468" s="80"/>
      <c r="AP468" s="64"/>
      <c r="AQ468" s="80"/>
      <c r="AR468" s="64"/>
      <c r="AS468" s="679" t="s">
        <v>294</v>
      </c>
      <c r="AT468" s="350"/>
      <c r="AU468" s="350"/>
      <c r="AV468" s="350"/>
      <c r="AW468" s="350"/>
      <c r="AX468" s="350"/>
      <c r="AY468" s="351"/>
      <c r="AZ468" s="81"/>
      <c r="BA468" s="81"/>
      <c r="BB468" s="677" t="s">
        <v>325</v>
      </c>
      <c r="BC468" s="351"/>
      <c r="BD468" s="681" t="s">
        <v>294</v>
      </c>
      <c r="BE468" s="350"/>
      <c r="BF468" s="351"/>
      <c r="BG468" s="678" t="s">
        <v>294</v>
      </c>
      <c r="BH468" s="350"/>
      <c r="BI468" s="350"/>
      <c r="BJ468" s="351"/>
      <c r="BK468" s="680"/>
      <c r="BL468" s="350"/>
      <c r="BM468" s="351"/>
      <c r="BN468" s="82"/>
      <c r="BO468" s="82"/>
      <c r="BP468" s="678"/>
      <c r="BQ468" s="350"/>
      <c r="BR468" s="351"/>
      <c r="BS468" s="681" t="s">
        <v>294</v>
      </c>
      <c r="BT468" s="350"/>
      <c r="BU468" s="351"/>
    </row>
    <row r="469" spans="1:73" ht="30" customHeight="1">
      <c r="A469" s="76">
        <f t="shared" si="1"/>
        <v>455</v>
      </c>
      <c r="B469" s="686" t="s">
        <v>325</v>
      </c>
      <c r="C469" s="351"/>
      <c r="D469" s="687" t="s">
        <v>294</v>
      </c>
      <c r="E469" s="350"/>
      <c r="F469" s="350"/>
      <c r="G469" s="351"/>
      <c r="H469" s="688" t="s">
        <v>294</v>
      </c>
      <c r="I469" s="350"/>
      <c r="J469" s="350"/>
      <c r="K469" s="351"/>
      <c r="L469" s="538" t="s">
        <v>294</v>
      </c>
      <c r="M469" s="350"/>
      <c r="N469" s="351"/>
      <c r="O469" s="539" t="s">
        <v>294</v>
      </c>
      <c r="P469" s="350"/>
      <c r="Q469" s="351"/>
      <c r="R469" s="574"/>
      <c r="S469" s="350"/>
      <c r="T469" s="351"/>
      <c r="U469" s="567"/>
      <c r="V469" s="350"/>
      <c r="W469" s="351"/>
      <c r="X469" s="77"/>
      <c r="Y469" s="78"/>
      <c r="Z469" s="77"/>
      <c r="AA469" s="78"/>
      <c r="AB469" s="77"/>
      <c r="AC469" s="78"/>
      <c r="AD469" s="77"/>
      <c r="AE469" s="78"/>
      <c r="AF469" s="77"/>
      <c r="AG469" s="78"/>
      <c r="AH469" s="77"/>
      <c r="AI469" s="78"/>
      <c r="AJ469" s="64"/>
      <c r="AK469" s="80"/>
      <c r="AL469" s="64"/>
      <c r="AM469" s="80"/>
      <c r="AN469" s="64"/>
      <c r="AO469" s="80"/>
      <c r="AP469" s="64"/>
      <c r="AQ469" s="80"/>
      <c r="AR469" s="64"/>
      <c r="AS469" s="679" t="s">
        <v>294</v>
      </c>
      <c r="AT469" s="350"/>
      <c r="AU469" s="350"/>
      <c r="AV469" s="350"/>
      <c r="AW469" s="350"/>
      <c r="AX469" s="350"/>
      <c r="AY469" s="351"/>
      <c r="AZ469" s="81"/>
      <c r="BA469" s="81"/>
      <c r="BB469" s="677" t="s">
        <v>325</v>
      </c>
      <c r="BC469" s="351"/>
      <c r="BD469" s="681" t="s">
        <v>294</v>
      </c>
      <c r="BE469" s="350"/>
      <c r="BF469" s="351"/>
      <c r="BG469" s="678" t="s">
        <v>294</v>
      </c>
      <c r="BH469" s="350"/>
      <c r="BI469" s="350"/>
      <c r="BJ469" s="351"/>
      <c r="BK469" s="680"/>
      <c r="BL469" s="350"/>
      <c r="BM469" s="351"/>
      <c r="BN469" s="82"/>
      <c r="BO469" s="82"/>
      <c r="BP469" s="678"/>
      <c r="BQ469" s="350"/>
      <c r="BR469" s="351"/>
      <c r="BS469" s="681" t="s">
        <v>294</v>
      </c>
      <c r="BT469" s="350"/>
      <c r="BU469" s="351"/>
    </row>
    <row r="470" spans="1:73" ht="30" customHeight="1">
      <c r="A470" s="76">
        <f t="shared" si="1"/>
        <v>456</v>
      </c>
      <c r="B470" s="686" t="s">
        <v>325</v>
      </c>
      <c r="C470" s="351"/>
      <c r="D470" s="687" t="s">
        <v>294</v>
      </c>
      <c r="E470" s="350"/>
      <c r="F470" s="350"/>
      <c r="G470" s="351"/>
      <c r="H470" s="688" t="s">
        <v>294</v>
      </c>
      <c r="I470" s="350"/>
      <c r="J470" s="350"/>
      <c r="K470" s="351"/>
      <c r="L470" s="538" t="s">
        <v>294</v>
      </c>
      <c r="M470" s="350"/>
      <c r="N470" s="351"/>
      <c r="O470" s="539" t="s">
        <v>294</v>
      </c>
      <c r="P470" s="350"/>
      <c r="Q470" s="351"/>
      <c r="R470" s="574"/>
      <c r="S470" s="350"/>
      <c r="T470" s="351"/>
      <c r="U470" s="567"/>
      <c r="V470" s="350"/>
      <c r="W470" s="351"/>
      <c r="X470" s="77"/>
      <c r="Y470" s="78"/>
      <c r="Z470" s="77"/>
      <c r="AA470" s="78"/>
      <c r="AB470" s="77"/>
      <c r="AC470" s="78"/>
      <c r="AD470" s="77"/>
      <c r="AE470" s="78"/>
      <c r="AF470" s="77"/>
      <c r="AG470" s="78"/>
      <c r="AH470" s="77"/>
      <c r="AI470" s="78"/>
      <c r="AJ470" s="64"/>
      <c r="AK470" s="80"/>
      <c r="AL470" s="64"/>
      <c r="AM470" s="80"/>
      <c r="AN470" s="64"/>
      <c r="AO470" s="80"/>
      <c r="AP470" s="64"/>
      <c r="AQ470" s="80"/>
      <c r="AR470" s="64"/>
      <c r="AS470" s="679" t="s">
        <v>294</v>
      </c>
      <c r="AT470" s="350"/>
      <c r="AU470" s="350"/>
      <c r="AV470" s="350"/>
      <c r="AW470" s="350"/>
      <c r="AX470" s="350"/>
      <c r="AY470" s="351"/>
      <c r="AZ470" s="81"/>
      <c r="BA470" s="81"/>
      <c r="BB470" s="677" t="s">
        <v>325</v>
      </c>
      <c r="BC470" s="351"/>
      <c r="BD470" s="681" t="s">
        <v>294</v>
      </c>
      <c r="BE470" s="350"/>
      <c r="BF470" s="351"/>
      <c r="BG470" s="678" t="s">
        <v>294</v>
      </c>
      <c r="BH470" s="350"/>
      <c r="BI470" s="350"/>
      <c r="BJ470" s="351"/>
      <c r="BK470" s="680"/>
      <c r="BL470" s="350"/>
      <c r="BM470" s="351"/>
      <c r="BN470" s="82"/>
      <c r="BO470" s="82"/>
      <c r="BP470" s="678"/>
      <c r="BQ470" s="350"/>
      <c r="BR470" s="351"/>
      <c r="BS470" s="681" t="s">
        <v>294</v>
      </c>
      <c r="BT470" s="350"/>
      <c r="BU470" s="351"/>
    </row>
    <row r="471" spans="1:73" ht="30" customHeight="1">
      <c r="A471" s="76">
        <f t="shared" si="1"/>
        <v>457</v>
      </c>
      <c r="B471" s="686" t="s">
        <v>325</v>
      </c>
      <c r="C471" s="351"/>
      <c r="D471" s="687" t="s">
        <v>294</v>
      </c>
      <c r="E471" s="350"/>
      <c r="F471" s="350"/>
      <c r="G471" s="351"/>
      <c r="H471" s="688" t="s">
        <v>294</v>
      </c>
      <c r="I471" s="350"/>
      <c r="J471" s="350"/>
      <c r="K471" s="351"/>
      <c r="L471" s="538" t="s">
        <v>294</v>
      </c>
      <c r="M471" s="350"/>
      <c r="N471" s="351"/>
      <c r="O471" s="539" t="s">
        <v>294</v>
      </c>
      <c r="P471" s="350"/>
      <c r="Q471" s="351"/>
      <c r="R471" s="574"/>
      <c r="S471" s="350"/>
      <c r="T471" s="351"/>
      <c r="U471" s="567"/>
      <c r="V471" s="350"/>
      <c r="W471" s="351"/>
      <c r="X471" s="77"/>
      <c r="Y471" s="78"/>
      <c r="Z471" s="77"/>
      <c r="AA471" s="78"/>
      <c r="AB471" s="77"/>
      <c r="AC471" s="78"/>
      <c r="AD471" s="77"/>
      <c r="AE471" s="78"/>
      <c r="AF471" s="77"/>
      <c r="AG471" s="78"/>
      <c r="AH471" s="77"/>
      <c r="AI471" s="78"/>
      <c r="AJ471" s="64"/>
      <c r="AK471" s="80"/>
      <c r="AL471" s="64"/>
      <c r="AM471" s="80"/>
      <c r="AN471" s="64"/>
      <c r="AO471" s="80"/>
      <c r="AP471" s="64"/>
      <c r="AQ471" s="80"/>
      <c r="AR471" s="64"/>
      <c r="AS471" s="679" t="s">
        <v>294</v>
      </c>
      <c r="AT471" s="350"/>
      <c r="AU471" s="350"/>
      <c r="AV471" s="350"/>
      <c r="AW471" s="350"/>
      <c r="AX471" s="350"/>
      <c r="AY471" s="351"/>
      <c r="AZ471" s="81"/>
      <c r="BA471" s="81"/>
      <c r="BB471" s="677" t="s">
        <v>325</v>
      </c>
      <c r="BC471" s="351"/>
      <c r="BD471" s="681" t="s">
        <v>294</v>
      </c>
      <c r="BE471" s="350"/>
      <c r="BF471" s="351"/>
      <c r="BG471" s="678" t="s">
        <v>294</v>
      </c>
      <c r="BH471" s="350"/>
      <c r="BI471" s="350"/>
      <c r="BJ471" s="351"/>
      <c r="BK471" s="680"/>
      <c r="BL471" s="350"/>
      <c r="BM471" s="351"/>
      <c r="BN471" s="82"/>
      <c r="BO471" s="82"/>
      <c r="BP471" s="678"/>
      <c r="BQ471" s="350"/>
      <c r="BR471" s="351"/>
      <c r="BS471" s="681" t="s">
        <v>294</v>
      </c>
      <c r="BT471" s="350"/>
      <c r="BU471" s="351"/>
    </row>
    <row r="472" spans="1:73" ht="30" customHeight="1">
      <c r="A472" s="76">
        <f t="shared" si="1"/>
        <v>458</v>
      </c>
      <c r="B472" s="686" t="s">
        <v>325</v>
      </c>
      <c r="C472" s="351"/>
      <c r="D472" s="687" t="s">
        <v>294</v>
      </c>
      <c r="E472" s="350"/>
      <c r="F472" s="350"/>
      <c r="G472" s="351"/>
      <c r="H472" s="688" t="s">
        <v>294</v>
      </c>
      <c r="I472" s="350"/>
      <c r="J472" s="350"/>
      <c r="K472" s="351"/>
      <c r="L472" s="538" t="s">
        <v>294</v>
      </c>
      <c r="M472" s="350"/>
      <c r="N472" s="351"/>
      <c r="O472" s="539" t="s">
        <v>294</v>
      </c>
      <c r="P472" s="350"/>
      <c r="Q472" s="351"/>
      <c r="R472" s="574"/>
      <c r="S472" s="350"/>
      <c r="T472" s="351"/>
      <c r="U472" s="567"/>
      <c r="V472" s="350"/>
      <c r="W472" s="351"/>
      <c r="X472" s="77"/>
      <c r="Y472" s="78"/>
      <c r="Z472" s="77"/>
      <c r="AA472" s="78"/>
      <c r="AB472" s="77"/>
      <c r="AC472" s="78"/>
      <c r="AD472" s="77"/>
      <c r="AE472" s="78"/>
      <c r="AF472" s="77"/>
      <c r="AG472" s="78"/>
      <c r="AH472" s="77"/>
      <c r="AI472" s="78"/>
      <c r="AJ472" s="64"/>
      <c r="AK472" s="80"/>
      <c r="AL472" s="64"/>
      <c r="AM472" s="80"/>
      <c r="AN472" s="64"/>
      <c r="AO472" s="80"/>
      <c r="AP472" s="64"/>
      <c r="AQ472" s="80"/>
      <c r="AR472" s="64"/>
      <c r="AS472" s="679" t="s">
        <v>294</v>
      </c>
      <c r="AT472" s="350"/>
      <c r="AU472" s="350"/>
      <c r="AV472" s="350"/>
      <c r="AW472" s="350"/>
      <c r="AX472" s="350"/>
      <c r="AY472" s="351"/>
      <c r="AZ472" s="81"/>
      <c r="BA472" s="81"/>
      <c r="BB472" s="677" t="s">
        <v>325</v>
      </c>
      <c r="BC472" s="351"/>
      <c r="BD472" s="681" t="s">
        <v>294</v>
      </c>
      <c r="BE472" s="350"/>
      <c r="BF472" s="351"/>
      <c r="BG472" s="678" t="s">
        <v>294</v>
      </c>
      <c r="BH472" s="350"/>
      <c r="BI472" s="350"/>
      <c r="BJ472" s="351"/>
      <c r="BK472" s="680"/>
      <c r="BL472" s="350"/>
      <c r="BM472" s="351"/>
      <c r="BN472" s="82"/>
      <c r="BO472" s="82"/>
      <c r="BP472" s="678"/>
      <c r="BQ472" s="350"/>
      <c r="BR472" s="351"/>
      <c r="BS472" s="681" t="s">
        <v>294</v>
      </c>
      <c r="BT472" s="350"/>
      <c r="BU472" s="351"/>
    </row>
    <row r="473" spans="1:73" ht="30" customHeight="1">
      <c r="A473" s="76">
        <f t="shared" si="1"/>
        <v>459</v>
      </c>
      <c r="B473" s="686" t="s">
        <v>325</v>
      </c>
      <c r="C473" s="351"/>
      <c r="D473" s="687" t="s">
        <v>294</v>
      </c>
      <c r="E473" s="350"/>
      <c r="F473" s="350"/>
      <c r="G473" s="351"/>
      <c r="H473" s="688" t="s">
        <v>294</v>
      </c>
      <c r="I473" s="350"/>
      <c r="J473" s="350"/>
      <c r="K473" s="351"/>
      <c r="L473" s="538" t="s">
        <v>294</v>
      </c>
      <c r="M473" s="350"/>
      <c r="N473" s="351"/>
      <c r="O473" s="539" t="s">
        <v>294</v>
      </c>
      <c r="P473" s="350"/>
      <c r="Q473" s="351"/>
      <c r="R473" s="574"/>
      <c r="S473" s="350"/>
      <c r="T473" s="351"/>
      <c r="U473" s="567"/>
      <c r="V473" s="350"/>
      <c r="W473" s="351"/>
      <c r="X473" s="77"/>
      <c r="Y473" s="78"/>
      <c r="Z473" s="77"/>
      <c r="AA473" s="78"/>
      <c r="AB473" s="77"/>
      <c r="AC473" s="78"/>
      <c r="AD473" s="77"/>
      <c r="AE473" s="78"/>
      <c r="AF473" s="77"/>
      <c r="AG473" s="78"/>
      <c r="AH473" s="77"/>
      <c r="AI473" s="78"/>
      <c r="AJ473" s="64"/>
      <c r="AK473" s="80"/>
      <c r="AL473" s="64"/>
      <c r="AM473" s="80"/>
      <c r="AN473" s="64"/>
      <c r="AO473" s="80"/>
      <c r="AP473" s="64"/>
      <c r="AQ473" s="80"/>
      <c r="AR473" s="64"/>
      <c r="AS473" s="679" t="s">
        <v>294</v>
      </c>
      <c r="AT473" s="350"/>
      <c r="AU473" s="350"/>
      <c r="AV473" s="350"/>
      <c r="AW473" s="350"/>
      <c r="AX473" s="350"/>
      <c r="AY473" s="351"/>
      <c r="AZ473" s="81"/>
      <c r="BA473" s="81"/>
      <c r="BB473" s="677" t="s">
        <v>325</v>
      </c>
      <c r="BC473" s="351"/>
      <c r="BD473" s="681" t="s">
        <v>294</v>
      </c>
      <c r="BE473" s="350"/>
      <c r="BF473" s="351"/>
      <c r="BG473" s="678" t="s">
        <v>294</v>
      </c>
      <c r="BH473" s="350"/>
      <c r="BI473" s="350"/>
      <c r="BJ473" s="351"/>
      <c r="BK473" s="680"/>
      <c r="BL473" s="350"/>
      <c r="BM473" s="351"/>
      <c r="BN473" s="82"/>
      <c r="BO473" s="82"/>
      <c r="BP473" s="678"/>
      <c r="BQ473" s="350"/>
      <c r="BR473" s="351"/>
      <c r="BS473" s="681" t="s">
        <v>294</v>
      </c>
      <c r="BT473" s="350"/>
      <c r="BU473" s="351"/>
    </row>
    <row r="474" spans="1:73" ht="30" customHeight="1">
      <c r="A474" s="76">
        <f t="shared" si="1"/>
        <v>460</v>
      </c>
      <c r="B474" s="686" t="s">
        <v>325</v>
      </c>
      <c r="C474" s="351"/>
      <c r="D474" s="687" t="s">
        <v>294</v>
      </c>
      <c r="E474" s="350"/>
      <c r="F474" s="350"/>
      <c r="G474" s="351"/>
      <c r="H474" s="688" t="s">
        <v>294</v>
      </c>
      <c r="I474" s="350"/>
      <c r="J474" s="350"/>
      <c r="K474" s="351"/>
      <c r="L474" s="538" t="s">
        <v>294</v>
      </c>
      <c r="M474" s="350"/>
      <c r="N474" s="351"/>
      <c r="O474" s="539" t="s">
        <v>294</v>
      </c>
      <c r="P474" s="350"/>
      <c r="Q474" s="351"/>
      <c r="R474" s="574"/>
      <c r="S474" s="350"/>
      <c r="T474" s="351"/>
      <c r="U474" s="567"/>
      <c r="V474" s="350"/>
      <c r="W474" s="351"/>
      <c r="X474" s="77"/>
      <c r="Y474" s="78"/>
      <c r="Z474" s="77"/>
      <c r="AA474" s="78"/>
      <c r="AB474" s="77"/>
      <c r="AC474" s="78"/>
      <c r="AD474" s="77"/>
      <c r="AE474" s="78"/>
      <c r="AF474" s="77"/>
      <c r="AG474" s="78"/>
      <c r="AH474" s="77"/>
      <c r="AI474" s="78"/>
      <c r="AJ474" s="64"/>
      <c r="AK474" s="80"/>
      <c r="AL474" s="64"/>
      <c r="AM474" s="80"/>
      <c r="AN474" s="64"/>
      <c r="AO474" s="80"/>
      <c r="AP474" s="64"/>
      <c r="AQ474" s="80"/>
      <c r="AR474" s="64"/>
      <c r="AS474" s="679" t="s">
        <v>294</v>
      </c>
      <c r="AT474" s="350"/>
      <c r="AU474" s="350"/>
      <c r="AV474" s="350"/>
      <c r="AW474" s="350"/>
      <c r="AX474" s="350"/>
      <c r="AY474" s="351"/>
      <c r="AZ474" s="81"/>
      <c r="BA474" s="81"/>
      <c r="BB474" s="677" t="s">
        <v>325</v>
      </c>
      <c r="BC474" s="351"/>
      <c r="BD474" s="681" t="s">
        <v>294</v>
      </c>
      <c r="BE474" s="350"/>
      <c r="BF474" s="351"/>
      <c r="BG474" s="678" t="s">
        <v>294</v>
      </c>
      <c r="BH474" s="350"/>
      <c r="BI474" s="350"/>
      <c r="BJ474" s="351"/>
      <c r="BK474" s="680"/>
      <c r="BL474" s="350"/>
      <c r="BM474" s="351"/>
      <c r="BN474" s="82"/>
      <c r="BO474" s="82"/>
      <c r="BP474" s="678"/>
      <c r="BQ474" s="350"/>
      <c r="BR474" s="351"/>
      <c r="BS474" s="681" t="s">
        <v>294</v>
      </c>
      <c r="BT474" s="350"/>
      <c r="BU474" s="351"/>
    </row>
    <row r="475" spans="1:73" ht="30" customHeight="1">
      <c r="A475" s="76">
        <f t="shared" si="1"/>
        <v>461</v>
      </c>
      <c r="B475" s="686" t="s">
        <v>325</v>
      </c>
      <c r="C475" s="351"/>
      <c r="D475" s="687" t="s">
        <v>294</v>
      </c>
      <c r="E475" s="350"/>
      <c r="F475" s="350"/>
      <c r="G475" s="351"/>
      <c r="H475" s="688" t="s">
        <v>294</v>
      </c>
      <c r="I475" s="350"/>
      <c r="J475" s="350"/>
      <c r="K475" s="351"/>
      <c r="L475" s="538" t="s">
        <v>294</v>
      </c>
      <c r="M475" s="350"/>
      <c r="N475" s="351"/>
      <c r="O475" s="539" t="s">
        <v>294</v>
      </c>
      <c r="P475" s="350"/>
      <c r="Q475" s="351"/>
      <c r="R475" s="574"/>
      <c r="S475" s="350"/>
      <c r="T475" s="351"/>
      <c r="U475" s="567"/>
      <c r="V475" s="350"/>
      <c r="W475" s="351"/>
      <c r="X475" s="77"/>
      <c r="Y475" s="78"/>
      <c r="Z475" s="77"/>
      <c r="AA475" s="78"/>
      <c r="AB475" s="77"/>
      <c r="AC475" s="78"/>
      <c r="AD475" s="77"/>
      <c r="AE475" s="78"/>
      <c r="AF475" s="77"/>
      <c r="AG475" s="78"/>
      <c r="AH475" s="77"/>
      <c r="AI475" s="78"/>
      <c r="AJ475" s="64"/>
      <c r="AK475" s="80"/>
      <c r="AL475" s="64"/>
      <c r="AM475" s="80"/>
      <c r="AN475" s="64"/>
      <c r="AO475" s="80"/>
      <c r="AP475" s="64"/>
      <c r="AQ475" s="80"/>
      <c r="AR475" s="64"/>
      <c r="AS475" s="679" t="s">
        <v>294</v>
      </c>
      <c r="AT475" s="350"/>
      <c r="AU475" s="350"/>
      <c r="AV475" s="350"/>
      <c r="AW475" s="350"/>
      <c r="AX475" s="350"/>
      <c r="AY475" s="351"/>
      <c r="AZ475" s="81"/>
      <c r="BA475" s="81"/>
      <c r="BB475" s="677" t="s">
        <v>325</v>
      </c>
      <c r="BC475" s="351"/>
      <c r="BD475" s="681" t="s">
        <v>294</v>
      </c>
      <c r="BE475" s="350"/>
      <c r="BF475" s="351"/>
      <c r="BG475" s="678" t="s">
        <v>294</v>
      </c>
      <c r="BH475" s="350"/>
      <c r="BI475" s="350"/>
      <c r="BJ475" s="351"/>
      <c r="BK475" s="680"/>
      <c r="BL475" s="350"/>
      <c r="BM475" s="351"/>
      <c r="BN475" s="82"/>
      <c r="BO475" s="82"/>
      <c r="BP475" s="678"/>
      <c r="BQ475" s="350"/>
      <c r="BR475" s="351"/>
      <c r="BS475" s="681" t="s">
        <v>294</v>
      </c>
      <c r="BT475" s="350"/>
      <c r="BU475" s="351"/>
    </row>
    <row r="476" spans="1:73" ht="30" customHeight="1">
      <c r="A476" s="76">
        <f t="shared" si="1"/>
        <v>462</v>
      </c>
      <c r="B476" s="686" t="s">
        <v>325</v>
      </c>
      <c r="C476" s="351"/>
      <c r="D476" s="687" t="s">
        <v>294</v>
      </c>
      <c r="E476" s="350"/>
      <c r="F476" s="350"/>
      <c r="G476" s="351"/>
      <c r="H476" s="688" t="s">
        <v>294</v>
      </c>
      <c r="I476" s="350"/>
      <c r="J476" s="350"/>
      <c r="K476" s="351"/>
      <c r="L476" s="538" t="s">
        <v>294</v>
      </c>
      <c r="M476" s="350"/>
      <c r="N476" s="351"/>
      <c r="O476" s="539" t="s">
        <v>294</v>
      </c>
      <c r="P476" s="350"/>
      <c r="Q476" s="351"/>
      <c r="R476" s="574"/>
      <c r="S476" s="350"/>
      <c r="T476" s="351"/>
      <c r="U476" s="567"/>
      <c r="V476" s="350"/>
      <c r="W476" s="351"/>
      <c r="X476" s="77"/>
      <c r="Y476" s="78"/>
      <c r="Z476" s="77"/>
      <c r="AA476" s="78"/>
      <c r="AB476" s="77"/>
      <c r="AC476" s="78"/>
      <c r="AD476" s="77"/>
      <c r="AE476" s="78"/>
      <c r="AF476" s="77"/>
      <c r="AG476" s="78"/>
      <c r="AH476" s="77"/>
      <c r="AI476" s="78"/>
      <c r="AJ476" s="64"/>
      <c r="AK476" s="80"/>
      <c r="AL476" s="64"/>
      <c r="AM476" s="80"/>
      <c r="AN476" s="64"/>
      <c r="AO476" s="80"/>
      <c r="AP476" s="64"/>
      <c r="AQ476" s="80"/>
      <c r="AR476" s="64"/>
      <c r="AS476" s="679" t="s">
        <v>294</v>
      </c>
      <c r="AT476" s="350"/>
      <c r="AU476" s="350"/>
      <c r="AV476" s="350"/>
      <c r="AW476" s="350"/>
      <c r="AX476" s="350"/>
      <c r="AY476" s="351"/>
      <c r="AZ476" s="81"/>
      <c r="BA476" s="81"/>
      <c r="BB476" s="677" t="s">
        <v>325</v>
      </c>
      <c r="BC476" s="351"/>
      <c r="BD476" s="681" t="s">
        <v>294</v>
      </c>
      <c r="BE476" s="350"/>
      <c r="BF476" s="351"/>
      <c r="BG476" s="678" t="s">
        <v>294</v>
      </c>
      <c r="BH476" s="350"/>
      <c r="BI476" s="350"/>
      <c r="BJ476" s="351"/>
      <c r="BK476" s="680"/>
      <c r="BL476" s="350"/>
      <c r="BM476" s="351"/>
      <c r="BN476" s="82"/>
      <c r="BO476" s="82"/>
      <c r="BP476" s="678"/>
      <c r="BQ476" s="350"/>
      <c r="BR476" s="351"/>
      <c r="BS476" s="681" t="s">
        <v>294</v>
      </c>
      <c r="BT476" s="350"/>
      <c r="BU476" s="351"/>
    </row>
    <row r="477" spans="1:73" ht="30" customHeight="1">
      <c r="A477" s="76">
        <f t="shared" si="1"/>
        <v>463</v>
      </c>
      <c r="B477" s="686" t="s">
        <v>325</v>
      </c>
      <c r="C477" s="351"/>
      <c r="D477" s="687" t="s">
        <v>294</v>
      </c>
      <c r="E477" s="350"/>
      <c r="F477" s="350"/>
      <c r="G477" s="351"/>
      <c r="H477" s="688" t="s">
        <v>294</v>
      </c>
      <c r="I477" s="350"/>
      <c r="J477" s="350"/>
      <c r="K477" s="351"/>
      <c r="L477" s="538" t="s">
        <v>294</v>
      </c>
      <c r="M477" s="350"/>
      <c r="N477" s="351"/>
      <c r="O477" s="539" t="s">
        <v>294</v>
      </c>
      <c r="P477" s="350"/>
      <c r="Q477" s="351"/>
      <c r="R477" s="574"/>
      <c r="S477" s="350"/>
      <c r="T477" s="351"/>
      <c r="U477" s="567"/>
      <c r="V477" s="350"/>
      <c r="W477" s="351"/>
      <c r="X477" s="77"/>
      <c r="Y477" s="78"/>
      <c r="Z477" s="77"/>
      <c r="AA477" s="78"/>
      <c r="AB477" s="77"/>
      <c r="AC477" s="78"/>
      <c r="AD477" s="77"/>
      <c r="AE477" s="78"/>
      <c r="AF477" s="77"/>
      <c r="AG477" s="78"/>
      <c r="AH477" s="77"/>
      <c r="AI477" s="78"/>
      <c r="AJ477" s="64"/>
      <c r="AK477" s="80"/>
      <c r="AL477" s="64"/>
      <c r="AM477" s="80"/>
      <c r="AN477" s="64"/>
      <c r="AO477" s="80"/>
      <c r="AP477" s="64"/>
      <c r="AQ477" s="80"/>
      <c r="AR477" s="64"/>
      <c r="AS477" s="679" t="s">
        <v>294</v>
      </c>
      <c r="AT477" s="350"/>
      <c r="AU477" s="350"/>
      <c r="AV477" s="350"/>
      <c r="AW477" s="350"/>
      <c r="AX477" s="350"/>
      <c r="AY477" s="351"/>
      <c r="AZ477" s="81"/>
      <c r="BA477" s="81"/>
      <c r="BB477" s="677" t="s">
        <v>325</v>
      </c>
      <c r="BC477" s="351"/>
      <c r="BD477" s="681" t="s">
        <v>294</v>
      </c>
      <c r="BE477" s="350"/>
      <c r="BF477" s="351"/>
      <c r="BG477" s="678" t="s">
        <v>294</v>
      </c>
      <c r="BH477" s="350"/>
      <c r="BI477" s="350"/>
      <c r="BJ477" s="351"/>
      <c r="BK477" s="680"/>
      <c r="BL477" s="350"/>
      <c r="BM477" s="351"/>
      <c r="BN477" s="82"/>
      <c r="BO477" s="82"/>
      <c r="BP477" s="678"/>
      <c r="BQ477" s="350"/>
      <c r="BR477" s="351"/>
      <c r="BS477" s="681" t="s">
        <v>294</v>
      </c>
      <c r="BT477" s="350"/>
      <c r="BU477" s="351"/>
    </row>
    <row r="478" spans="1:73" ht="30" customHeight="1">
      <c r="A478" s="76">
        <f t="shared" si="1"/>
        <v>464</v>
      </c>
      <c r="B478" s="686" t="s">
        <v>325</v>
      </c>
      <c r="C478" s="351"/>
      <c r="D478" s="687" t="s">
        <v>294</v>
      </c>
      <c r="E478" s="350"/>
      <c r="F478" s="350"/>
      <c r="G478" s="351"/>
      <c r="H478" s="688" t="s">
        <v>294</v>
      </c>
      <c r="I478" s="350"/>
      <c r="J478" s="350"/>
      <c r="K478" s="351"/>
      <c r="L478" s="538" t="s">
        <v>294</v>
      </c>
      <c r="M478" s="350"/>
      <c r="N478" s="351"/>
      <c r="O478" s="539" t="s">
        <v>294</v>
      </c>
      <c r="P478" s="350"/>
      <c r="Q478" s="351"/>
      <c r="R478" s="574"/>
      <c r="S478" s="350"/>
      <c r="T478" s="351"/>
      <c r="U478" s="567"/>
      <c r="V478" s="350"/>
      <c r="W478" s="351"/>
      <c r="X478" s="77"/>
      <c r="Y478" s="78"/>
      <c r="Z478" s="77"/>
      <c r="AA478" s="78"/>
      <c r="AB478" s="77"/>
      <c r="AC478" s="78"/>
      <c r="AD478" s="77"/>
      <c r="AE478" s="78"/>
      <c r="AF478" s="77"/>
      <c r="AG478" s="78"/>
      <c r="AH478" s="77"/>
      <c r="AI478" s="78"/>
      <c r="AJ478" s="64"/>
      <c r="AK478" s="80"/>
      <c r="AL478" s="64"/>
      <c r="AM478" s="80"/>
      <c r="AN478" s="64"/>
      <c r="AO478" s="80"/>
      <c r="AP478" s="64"/>
      <c r="AQ478" s="80"/>
      <c r="AR478" s="64"/>
      <c r="AS478" s="679" t="s">
        <v>294</v>
      </c>
      <c r="AT478" s="350"/>
      <c r="AU478" s="350"/>
      <c r="AV478" s="350"/>
      <c r="AW478" s="350"/>
      <c r="AX478" s="350"/>
      <c r="AY478" s="351"/>
      <c r="AZ478" s="81"/>
      <c r="BA478" s="81"/>
      <c r="BB478" s="677" t="s">
        <v>325</v>
      </c>
      <c r="BC478" s="351"/>
      <c r="BD478" s="681" t="s">
        <v>294</v>
      </c>
      <c r="BE478" s="350"/>
      <c r="BF478" s="351"/>
      <c r="BG478" s="678" t="s">
        <v>294</v>
      </c>
      <c r="BH478" s="350"/>
      <c r="BI478" s="350"/>
      <c r="BJ478" s="351"/>
      <c r="BK478" s="680"/>
      <c r="BL478" s="350"/>
      <c r="BM478" s="351"/>
      <c r="BN478" s="82"/>
      <c r="BO478" s="82"/>
      <c r="BP478" s="678"/>
      <c r="BQ478" s="350"/>
      <c r="BR478" s="351"/>
      <c r="BS478" s="681" t="s">
        <v>294</v>
      </c>
      <c r="BT478" s="350"/>
      <c r="BU478" s="351"/>
    </row>
    <row r="479" spans="1:73" ht="30" customHeight="1">
      <c r="A479" s="76">
        <f t="shared" si="1"/>
        <v>465</v>
      </c>
      <c r="B479" s="686" t="s">
        <v>325</v>
      </c>
      <c r="C479" s="351"/>
      <c r="D479" s="687" t="s">
        <v>294</v>
      </c>
      <c r="E479" s="350"/>
      <c r="F479" s="350"/>
      <c r="G479" s="351"/>
      <c r="H479" s="688" t="s">
        <v>294</v>
      </c>
      <c r="I479" s="350"/>
      <c r="J479" s="350"/>
      <c r="K479" s="351"/>
      <c r="L479" s="538" t="s">
        <v>294</v>
      </c>
      <c r="M479" s="350"/>
      <c r="N479" s="351"/>
      <c r="O479" s="539" t="s">
        <v>294</v>
      </c>
      <c r="P479" s="350"/>
      <c r="Q479" s="351"/>
      <c r="R479" s="574"/>
      <c r="S479" s="350"/>
      <c r="T479" s="351"/>
      <c r="U479" s="567"/>
      <c r="V479" s="350"/>
      <c r="W479" s="351"/>
      <c r="X479" s="77"/>
      <c r="Y479" s="78"/>
      <c r="Z479" s="77"/>
      <c r="AA479" s="78"/>
      <c r="AB479" s="77"/>
      <c r="AC479" s="78"/>
      <c r="AD479" s="77"/>
      <c r="AE479" s="78"/>
      <c r="AF479" s="77"/>
      <c r="AG479" s="78"/>
      <c r="AH479" s="77"/>
      <c r="AI479" s="78"/>
      <c r="AJ479" s="64"/>
      <c r="AK479" s="80"/>
      <c r="AL479" s="64"/>
      <c r="AM479" s="80"/>
      <c r="AN479" s="64"/>
      <c r="AO479" s="80"/>
      <c r="AP479" s="64"/>
      <c r="AQ479" s="80"/>
      <c r="AR479" s="64"/>
      <c r="AS479" s="679" t="s">
        <v>294</v>
      </c>
      <c r="AT479" s="350"/>
      <c r="AU479" s="350"/>
      <c r="AV479" s="350"/>
      <c r="AW479" s="350"/>
      <c r="AX479" s="350"/>
      <c r="AY479" s="351"/>
      <c r="AZ479" s="81"/>
      <c r="BA479" s="81"/>
      <c r="BB479" s="677" t="s">
        <v>325</v>
      </c>
      <c r="BC479" s="351"/>
      <c r="BD479" s="681" t="s">
        <v>294</v>
      </c>
      <c r="BE479" s="350"/>
      <c r="BF479" s="351"/>
      <c r="BG479" s="678" t="s">
        <v>294</v>
      </c>
      <c r="BH479" s="350"/>
      <c r="BI479" s="350"/>
      <c r="BJ479" s="351"/>
      <c r="BK479" s="680"/>
      <c r="BL479" s="350"/>
      <c r="BM479" s="351"/>
      <c r="BN479" s="82"/>
      <c r="BO479" s="82"/>
      <c r="BP479" s="678"/>
      <c r="BQ479" s="350"/>
      <c r="BR479" s="351"/>
      <c r="BS479" s="681" t="s">
        <v>294</v>
      </c>
      <c r="BT479" s="350"/>
      <c r="BU479" s="351"/>
    </row>
    <row r="480" spans="1:73" ht="30" customHeight="1">
      <c r="A480" s="76">
        <f t="shared" si="1"/>
        <v>466</v>
      </c>
      <c r="B480" s="686" t="s">
        <v>325</v>
      </c>
      <c r="C480" s="351"/>
      <c r="D480" s="687" t="s">
        <v>294</v>
      </c>
      <c r="E480" s="350"/>
      <c r="F480" s="350"/>
      <c r="G480" s="351"/>
      <c r="H480" s="688" t="s">
        <v>294</v>
      </c>
      <c r="I480" s="350"/>
      <c r="J480" s="350"/>
      <c r="K480" s="351"/>
      <c r="L480" s="538" t="s">
        <v>294</v>
      </c>
      <c r="M480" s="350"/>
      <c r="N480" s="351"/>
      <c r="O480" s="539" t="s">
        <v>294</v>
      </c>
      <c r="P480" s="350"/>
      <c r="Q480" s="351"/>
      <c r="R480" s="574"/>
      <c r="S480" s="350"/>
      <c r="T480" s="351"/>
      <c r="U480" s="567"/>
      <c r="V480" s="350"/>
      <c r="W480" s="351"/>
      <c r="X480" s="77"/>
      <c r="Y480" s="78"/>
      <c r="Z480" s="77"/>
      <c r="AA480" s="78"/>
      <c r="AB480" s="77"/>
      <c r="AC480" s="78"/>
      <c r="AD480" s="77"/>
      <c r="AE480" s="78"/>
      <c r="AF480" s="77"/>
      <c r="AG480" s="78"/>
      <c r="AH480" s="77"/>
      <c r="AI480" s="78"/>
      <c r="AJ480" s="64"/>
      <c r="AK480" s="80"/>
      <c r="AL480" s="64"/>
      <c r="AM480" s="80"/>
      <c r="AN480" s="64"/>
      <c r="AO480" s="80"/>
      <c r="AP480" s="64"/>
      <c r="AQ480" s="80"/>
      <c r="AR480" s="64"/>
      <c r="AS480" s="679" t="s">
        <v>294</v>
      </c>
      <c r="AT480" s="350"/>
      <c r="AU480" s="350"/>
      <c r="AV480" s="350"/>
      <c r="AW480" s="350"/>
      <c r="AX480" s="350"/>
      <c r="AY480" s="351"/>
      <c r="AZ480" s="81"/>
      <c r="BA480" s="81"/>
      <c r="BB480" s="677" t="s">
        <v>325</v>
      </c>
      <c r="BC480" s="351"/>
      <c r="BD480" s="681" t="s">
        <v>294</v>
      </c>
      <c r="BE480" s="350"/>
      <c r="BF480" s="351"/>
      <c r="BG480" s="678" t="s">
        <v>294</v>
      </c>
      <c r="BH480" s="350"/>
      <c r="BI480" s="350"/>
      <c r="BJ480" s="351"/>
      <c r="BK480" s="680"/>
      <c r="BL480" s="350"/>
      <c r="BM480" s="351"/>
      <c r="BN480" s="82"/>
      <c r="BO480" s="82"/>
      <c r="BP480" s="678"/>
      <c r="BQ480" s="350"/>
      <c r="BR480" s="351"/>
      <c r="BS480" s="681" t="s">
        <v>294</v>
      </c>
      <c r="BT480" s="350"/>
      <c r="BU480" s="351"/>
    </row>
    <row r="481" spans="1:73" ht="30" customHeight="1">
      <c r="A481" s="76">
        <f t="shared" si="1"/>
        <v>467</v>
      </c>
      <c r="B481" s="686" t="s">
        <v>325</v>
      </c>
      <c r="C481" s="351"/>
      <c r="D481" s="687" t="s">
        <v>294</v>
      </c>
      <c r="E481" s="350"/>
      <c r="F481" s="350"/>
      <c r="G481" s="351"/>
      <c r="H481" s="688" t="s">
        <v>294</v>
      </c>
      <c r="I481" s="350"/>
      <c r="J481" s="350"/>
      <c r="K481" s="351"/>
      <c r="L481" s="538" t="s">
        <v>294</v>
      </c>
      <c r="M481" s="350"/>
      <c r="N481" s="351"/>
      <c r="O481" s="539" t="s">
        <v>294</v>
      </c>
      <c r="P481" s="350"/>
      <c r="Q481" s="351"/>
      <c r="R481" s="574"/>
      <c r="S481" s="350"/>
      <c r="T481" s="351"/>
      <c r="U481" s="567"/>
      <c r="V481" s="350"/>
      <c r="W481" s="351"/>
      <c r="X481" s="77"/>
      <c r="Y481" s="78"/>
      <c r="Z481" s="77"/>
      <c r="AA481" s="78"/>
      <c r="AB481" s="77"/>
      <c r="AC481" s="78"/>
      <c r="AD481" s="77"/>
      <c r="AE481" s="78"/>
      <c r="AF481" s="77"/>
      <c r="AG481" s="78"/>
      <c r="AH481" s="77"/>
      <c r="AI481" s="78"/>
      <c r="AJ481" s="64"/>
      <c r="AK481" s="80"/>
      <c r="AL481" s="64"/>
      <c r="AM481" s="80"/>
      <c r="AN481" s="64"/>
      <c r="AO481" s="80"/>
      <c r="AP481" s="64"/>
      <c r="AQ481" s="80"/>
      <c r="AR481" s="64"/>
      <c r="AS481" s="679" t="s">
        <v>294</v>
      </c>
      <c r="AT481" s="350"/>
      <c r="AU481" s="350"/>
      <c r="AV481" s="350"/>
      <c r="AW481" s="350"/>
      <c r="AX481" s="350"/>
      <c r="AY481" s="351"/>
      <c r="AZ481" s="81"/>
      <c r="BA481" s="81"/>
      <c r="BB481" s="677" t="s">
        <v>325</v>
      </c>
      <c r="BC481" s="351"/>
      <c r="BD481" s="681" t="s">
        <v>294</v>
      </c>
      <c r="BE481" s="350"/>
      <c r="BF481" s="351"/>
      <c r="BG481" s="678" t="s">
        <v>294</v>
      </c>
      <c r="BH481" s="350"/>
      <c r="BI481" s="350"/>
      <c r="BJ481" s="351"/>
      <c r="BK481" s="680"/>
      <c r="BL481" s="350"/>
      <c r="BM481" s="351"/>
      <c r="BN481" s="82"/>
      <c r="BO481" s="82"/>
      <c r="BP481" s="678"/>
      <c r="BQ481" s="350"/>
      <c r="BR481" s="351"/>
      <c r="BS481" s="681" t="s">
        <v>294</v>
      </c>
      <c r="BT481" s="350"/>
      <c r="BU481" s="351"/>
    </row>
    <row r="482" spans="1:73" ht="30" customHeight="1">
      <c r="A482" s="76">
        <f t="shared" si="1"/>
        <v>468</v>
      </c>
      <c r="B482" s="686" t="s">
        <v>325</v>
      </c>
      <c r="C482" s="351"/>
      <c r="D482" s="687" t="s">
        <v>294</v>
      </c>
      <c r="E482" s="350"/>
      <c r="F482" s="350"/>
      <c r="G482" s="351"/>
      <c r="H482" s="688" t="s">
        <v>294</v>
      </c>
      <c r="I482" s="350"/>
      <c r="J482" s="350"/>
      <c r="K482" s="351"/>
      <c r="L482" s="538" t="s">
        <v>294</v>
      </c>
      <c r="M482" s="350"/>
      <c r="N482" s="351"/>
      <c r="O482" s="539" t="s">
        <v>294</v>
      </c>
      <c r="P482" s="350"/>
      <c r="Q482" s="351"/>
      <c r="R482" s="574"/>
      <c r="S482" s="350"/>
      <c r="T482" s="351"/>
      <c r="U482" s="567"/>
      <c r="V482" s="350"/>
      <c r="W482" s="351"/>
      <c r="X482" s="77"/>
      <c r="Y482" s="78"/>
      <c r="Z482" s="77"/>
      <c r="AA482" s="78"/>
      <c r="AB482" s="77"/>
      <c r="AC482" s="78"/>
      <c r="AD482" s="77"/>
      <c r="AE482" s="78"/>
      <c r="AF482" s="77"/>
      <c r="AG482" s="78"/>
      <c r="AH482" s="77"/>
      <c r="AI482" s="78"/>
      <c r="AJ482" s="64"/>
      <c r="AK482" s="80"/>
      <c r="AL482" s="64"/>
      <c r="AM482" s="80"/>
      <c r="AN482" s="64"/>
      <c r="AO482" s="80"/>
      <c r="AP482" s="64"/>
      <c r="AQ482" s="80"/>
      <c r="AR482" s="64"/>
      <c r="AS482" s="679" t="s">
        <v>294</v>
      </c>
      <c r="AT482" s="350"/>
      <c r="AU482" s="350"/>
      <c r="AV482" s="350"/>
      <c r="AW482" s="350"/>
      <c r="AX482" s="350"/>
      <c r="AY482" s="351"/>
      <c r="AZ482" s="81"/>
      <c r="BA482" s="81"/>
      <c r="BB482" s="677" t="s">
        <v>325</v>
      </c>
      <c r="BC482" s="351"/>
      <c r="BD482" s="681" t="s">
        <v>294</v>
      </c>
      <c r="BE482" s="350"/>
      <c r="BF482" s="351"/>
      <c r="BG482" s="678" t="s">
        <v>294</v>
      </c>
      <c r="BH482" s="350"/>
      <c r="BI482" s="350"/>
      <c r="BJ482" s="351"/>
      <c r="BK482" s="680"/>
      <c r="BL482" s="350"/>
      <c r="BM482" s="351"/>
      <c r="BN482" s="82"/>
      <c r="BO482" s="82"/>
      <c r="BP482" s="678"/>
      <c r="BQ482" s="350"/>
      <c r="BR482" s="351"/>
      <c r="BS482" s="681" t="s">
        <v>294</v>
      </c>
      <c r="BT482" s="350"/>
      <c r="BU482" s="351"/>
    </row>
    <row r="483" spans="1:73" ht="30" customHeight="1">
      <c r="A483" s="76">
        <f t="shared" si="1"/>
        <v>469</v>
      </c>
      <c r="B483" s="686" t="s">
        <v>325</v>
      </c>
      <c r="C483" s="351"/>
      <c r="D483" s="687" t="s">
        <v>294</v>
      </c>
      <c r="E483" s="350"/>
      <c r="F483" s="350"/>
      <c r="G483" s="351"/>
      <c r="H483" s="688" t="s">
        <v>294</v>
      </c>
      <c r="I483" s="350"/>
      <c r="J483" s="350"/>
      <c r="K483" s="351"/>
      <c r="L483" s="538" t="s">
        <v>294</v>
      </c>
      <c r="M483" s="350"/>
      <c r="N483" s="351"/>
      <c r="O483" s="539" t="s">
        <v>294</v>
      </c>
      <c r="P483" s="350"/>
      <c r="Q483" s="351"/>
      <c r="R483" s="574"/>
      <c r="S483" s="350"/>
      <c r="T483" s="351"/>
      <c r="U483" s="567"/>
      <c r="V483" s="350"/>
      <c r="W483" s="351"/>
      <c r="X483" s="77"/>
      <c r="Y483" s="78"/>
      <c r="Z483" s="77"/>
      <c r="AA483" s="78"/>
      <c r="AB483" s="77"/>
      <c r="AC483" s="78"/>
      <c r="AD483" s="77"/>
      <c r="AE483" s="78"/>
      <c r="AF483" s="77"/>
      <c r="AG483" s="78"/>
      <c r="AH483" s="77"/>
      <c r="AI483" s="78"/>
      <c r="AJ483" s="64"/>
      <c r="AK483" s="80"/>
      <c r="AL483" s="64"/>
      <c r="AM483" s="80"/>
      <c r="AN483" s="64"/>
      <c r="AO483" s="80"/>
      <c r="AP483" s="64"/>
      <c r="AQ483" s="80"/>
      <c r="AR483" s="64"/>
      <c r="AS483" s="679" t="s">
        <v>294</v>
      </c>
      <c r="AT483" s="350"/>
      <c r="AU483" s="350"/>
      <c r="AV483" s="350"/>
      <c r="AW483" s="350"/>
      <c r="AX483" s="350"/>
      <c r="AY483" s="351"/>
      <c r="AZ483" s="81"/>
      <c r="BA483" s="81"/>
      <c r="BB483" s="677" t="s">
        <v>325</v>
      </c>
      <c r="BC483" s="351"/>
      <c r="BD483" s="681" t="s">
        <v>294</v>
      </c>
      <c r="BE483" s="350"/>
      <c r="BF483" s="351"/>
      <c r="BG483" s="678" t="s">
        <v>294</v>
      </c>
      <c r="BH483" s="350"/>
      <c r="BI483" s="350"/>
      <c r="BJ483" s="351"/>
      <c r="BK483" s="680"/>
      <c r="BL483" s="350"/>
      <c r="BM483" s="351"/>
      <c r="BN483" s="82"/>
      <c r="BO483" s="82"/>
      <c r="BP483" s="678"/>
      <c r="BQ483" s="350"/>
      <c r="BR483" s="351"/>
      <c r="BS483" s="681" t="s">
        <v>294</v>
      </c>
      <c r="BT483" s="350"/>
      <c r="BU483" s="351"/>
    </row>
    <row r="484" spans="1:73" ht="30" customHeight="1">
      <c r="A484" s="76">
        <f t="shared" si="1"/>
        <v>470</v>
      </c>
      <c r="B484" s="686" t="s">
        <v>325</v>
      </c>
      <c r="C484" s="351"/>
      <c r="D484" s="687" t="s">
        <v>294</v>
      </c>
      <c r="E484" s="350"/>
      <c r="F484" s="350"/>
      <c r="G484" s="351"/>
      <c r="H484" s="688" t="s">
        <v>294</v>
      </c>
      <c r="I484" s="350"/>
      <c r="J484" s="350"/>
      <c r="K484" s="351"/>
      <c r="L484" s="538" t="s">
        <v>294</v>
      </c>
      <c r="M484" s="350"/>
      <c r="N484" s="351"/>
      <c r="O484" s="539" t="s">
        <v>294</v>
      </c>
      <c r="P484" s="350"/>
      <c r="Q484" s="351"/>
      <c r="R484" s="574"/>
      <c r="S484" s="350"/>
      <c r="T484" s="351"/>
      <c r="U484" s="567"/>
      <c r="V484" s="350"/>
      <c r="W484" s="351"/>
      <c r="X484" s="77"/>
      <c r="Y484" s="78"/>
      <c r="Z484" s="77"/>
      <c r="AA484" s="78"/>
      <c r="AB484" s="77"/>
      <c r="AC484" s="78"/>
      <c r="AD484" s="77"/>
      <c r="AE484" s="78"/>
      <c r="AF484" s="77"/>
      <c r="AG484" s="78"/>
      <c r="AH484" s="77"/>
      <c r="AI484" s="78"/>
      <c r="AJ484" s="64"/>
      <c r="AK484" s="80"/>
      <c r="AL484" s="64"/>
      <c r="AM484" s="80"/>
      <c r="AN484" s="64"/>
      <c r="AO484" s="80"/>
      <c r="AP484" s="64"/>
      <c r="AQ484" s="80"/>
      <c r="AR484" s="64"/>
      <c r="AS484" s="679" t="s">
        <v>294</v>
      </c>
      <c r="AT484" s="350"/>
      <c r="AU484" s="350"/>
      <c r="AV484" s="350"/>
      <c r="AW484" s="350"/>
      <c r="AX484" s="350"/>
      <c r="AY484" s="351"/>
      <c r="AZ484" s="81"/>
      <c r="BA484" s="81"/>
      <c r="BB484" s="677" t="s">
        <v>325</v>
      </c>
      <c r="BC484" s="351"/>
      <c r="BD484" s="681" t="s">
        <v>294</v>
      </c>
      <c r="BE484" s="350"/>
      <c r="BF484" s="351"/>
      <c r="BG484" s="678" t="s">
        <v>294</v>
      </c>
      <c r="BH484" s="350"/>
      <c r="BI484" s="350"/>
      <c r="BJ484" s="351"/>
      <c r="BK484" s="680"/>
      <c r="BL484" s="350"/>
      <c r="BM484" s="351"/>
      <c r="BN484" s="82"/>
      <c r="BO484" s="82"/>
      <c r="BP484" s="678"/>
      <c r="BQ484" s="350"/>
      <c r="BR484" s="351"/>
      <c r="BS484" s="681" t="s">
        <v>294</v>
      </c>
      <c r="BT484" s="350"/>
      <c r="BU484" s="351"/>
    </row>
    <row r="485" spans="1:73" ht="30" customHeight="1">
      <c r="A485" s="76">
        <f t="shared" si="1"/>
        <v>471</v>
      </c>
      <c r="B485" s="686" t="s">
        <v>325</v>
      </c>
      <c r="C485" s="351"/>
      <c r="D485" s="687" t="s">
        <v>294</v>
      </c>
      <c r="E485" s="350"/>
      <c r="F485" s="350"/>
      <c r="G485" s="351"/>
      <c r="H485" s="688" t="s">
        <v>294</v>
      </c>
      <c r="I485" s="350"/>
      <c r="J485" s="350"/>
      <c r="K485" s="351"/>
      <c r="L485" s="538" t="s">
        <v>294</v>
      </c>
      <c r="M485" s="350"/>
      <c r="N485" s="351"/>
      <c r="O485" s="539" t="s">
        <v>294</v>
      </c>
      <c r="P485" s="350"/>
      <c r="Q485" s="351"/>
      <c r="R485" s="574"/>
      <c r="S485" s="350"/>
      <c r="T485" s="351"/>
      <c r="U485" s="567"/>
      <c r="V485" s="350"/>
      <c r="W485" s="351"/>
      <c r="X485" s="77"/>
      <c r="Y485" s="78"/>
      <c r="Z485" s="77"/>
      <c r="AA485" s="78"/>
      <c r="AB485" s="77"/>
      <c r="AC485" s="78"/>
      <c r="AD485" s="77"/>
      <c r="AE485" s="78"/>
      <c r="AF485" s="77"/>
      <c r="AG485" s="78"/>
      <c r="AH485" s="77"/>
      <c r="AI485" s="78"/>
      <c r="AJ485" s="64"/>
      <c r="AK485" s="80"/>
      <c r="AL485" s="64"/>
      <c r="AM485" s="80"/>
      <c r="AN485" s="64"/>
      <c r="AO485" s="80"/>
      <c r="AP485" s="64"/>
      <c r="AQ485" s="80"/>
      <c r="AR485" s="64"/>
      <c r="AS485" s="679" t="s">
        <v>294</v>
      </c>
      <c r="AT485" s="350"/>
      <c r="AU485" s="350"/>
      <c r="AV485" s="350"/>
      <c r="AW485" s="350"/>
      <c r="AX485" s="350"/>
      <c r="AY485" s="351"/>
      <c r="AZ485" s="81"/>
      <c r="BA485" s="81"/>
      <c r="BB485" s="677" t="s">
        <v>325</v>
      </c>
      <c r="BC485" s="351"/>
      <c r="BD485" s="681" t="s">
        <v>294</v>
      </c>
      <c r="BE485" s="350"/>
      <c r="BF485" s="351"/>
      <c r="BG485" s="678" t="s">
        <v>294</v>
      </c>
      <c r="BH485" s="350"/>
      <c r="BI485" s="350"/>
      <c r="BJ485" s="351"/>
      <c r="BK485" s="680"/>
      <c r="BL485" s="350"/>
      <c r="BM485" s="351"/>
      <c r="BN485" s="82"/>
      <c r="BO485" s="82"/>
      <c r="BP485" s="678"/>
      <c r="BQ485" s="350"/>
      <c r="BR485" s="351"/>
      <c r="BS485" s="681" t="s">
        <v>294</v>
      </c>
      <c r="BT485" s="350"/>
      <c r="BU485" s="351"/>
    </row>
    <row r="486" spans="1:73" ht="30" customHeight="1">
      <c r="A486" s="76">
        <f t="shared" si="1"/>
        <v>472</v>
      </c>
      <c r="B486" s="686" t="s">
        <v>325</v>
      </c>
      <c r="C486" s="351"/>
      <c r="D486" s="687" t="s">
        <v>294</v>
      </c>
      <c r="E486" s="350"/>
      <c r="F486" s="350"/>
      <c r="G486" s="351"/>
      <c r="H486" s="688" t="s">
        <v>294</v>
      </c>
      <c r="I486" s="350"/>
      <c r="J486" s="350"/>
      <c r="K486" s="351"/>
      <c r="L486" s="538" t="s">
        <v>294</v>
      </c>
      <c r="M486" s="350"/>
      <c r="N486" s="351"/>
      <c r="O486" s="539" t="s">
        <v>294</v>
      </c>
      <c r="P486" s="350"/>
      <c r="Q486" s="351"/>
      <c r="R486" s="574"/>
      <c r="S486" s="350"/>
      <c r="T486" s="351"/>
      <c r="U486" s="567"/>
      <c r="V486" s="350"/>
      <c r="W486" s="351"/>
      <c r="X486" s="77"/>
      <c r="Y486" s="78"/>
      <c r="Z486" s="77"/>
      <c r="AA486" s="78"/>
      <c r="AB486" s="77"/>
      <c r="AC486" s="78"/>
      <c r="AD486" s="77"/>
      <c r="AE486" s="78"/>
      <c r="AF486" s="77"/>
      <c r="AG486" s="78"/>
      <c r="AH486" s="77"/>
      <c r="AI486" s="78"/>
      <c r="AJ486" s="64"/>
      <c r="AK486" s="80"/>
      <c r="AL486" s="64"/>
      <c r="AM486" s="80"/>
      <c r="AN486" s="64"/>
      <c r="AO486" s="80"/>
      <c r="AP486" s="64"/>
      <c r="AQ486" s="80"/>
      <c r="AR486" s="64"/>
      <c r="AS486" s="679" t="s">
        <v>294</v>
      </c>
      <c r="AT486" s="350"/>
      <c r="AU486" s="350"/>
      <c r="AV486" s="350"/>
      <c r="AW486" s="350"/>
      <c r="AX486" s="350"/>
      <c r="AY486" s="351"/>
      <c r="AZ486" s="81"/>
      <c r="BA486" s="81"/>
      <c r="BB486" s="677" t="s">
        <v>325</v>
      </c>
      <c r="BC486" s="351"/>
      <c r="BD486" s="681" t="s">
        <v>294</v>
      </c>
      <c r="BE486" s="350"/>
      <c r="BF486" s="351"/>
      <c r="BG486" s="678" t="s">
        <v>294</v>
      </c>
      <c r="BH486" s="350"/>
      <c r="BI486" s="350"/>
      <c r="BJ486" s="351"/>
      <c r="BK486" s="680"/>
      <c r="BL486" s="350"/>
      <c r="BM486" s="351"/>
      <c r="BN486" s="82"/>
      <c r="BO486" s="82"/>
      <c r="BP486" s="678"/>
      <c r="BQ486" s="350"/>
      <c r="BR486" s="351"/>
      <c r="BS486" s="681" t="s">
        <v>294</v>
      </c>
      <c r="BT486" s="350"/>
      <c r="BU486" s="351"/>
    </row>
    <row r="487" spans="1:73" ht="30" customHeight="1">
      <c r="A487" s="76">
        <f t="shared" si="1"/>
        <v>473</v>
      </c>
      <c r="B487" s="686" t="s">
        <v>325</v>
      </c>
      <c r="C487" s="351"/>
      <c r="D487" s="687" t="s">
        <v>294</v>
      </c>
      <c r="E487" s="350"/>
      <c r="F487" s="350"/>
      <c r="G487" s="351"/>
      <c r="H487" s="688" t="s">
        <v>294</v>
      </c>
      <c r="I487" s="350"/>
      <c r="J487" s="350"/>
      <c r="K487" s="351"/>
      <c r="L487" s="538" t="s">
        <v>294</v>
      </c>
      <c r="M487" s="350"/>
      <c r="N487" s="351"/>
      <c r="O487" s="539" t="s">
        <v>294</v>
      </c>
      <c r="P487" s="350"/>
      <c r="Q487" s="351"/>
      <c r="R487" s="574"/>
      <c r="S487" s="350"/>
      <c r="T487" s="351"/>
      <c r="U487" s="567"/>
      <c r="V487" s="350"/>
      <c r="W487" s="351"/>
      <c r="X487" s="77"/>
      <c r="Y487" s="78"/>
      <c r="Z487" s="77"/>
      <c r="AA487" s="78"/>
      <c r="AB487" s="77"/>
      <c r="AC487" s="78"/>
      <c r="AD487" s="77"/>
      <c r="AE487" s="78"/>
      <c r="AF487" s="77"/>
      <c r="AG487" s="78"/>
      <c r="AH487" s="77"/>
      <c r="AI487" s="78"/>
      <c r="AJ487" s="64"/>
      <c r="AK487" s="80"/>
      <c r="AL487" s="64"/>
      <c r="AM487" s="80"/>
      <c r="AN487" s="64"/>
      <c r="AO487" s="80"/>
      <c r="AP487" s="64"/>
      <c r="AQ487" s="80"/>
      <c r="AR487" s="64"/>
      <c r="AS487" s="679" t="s">
        <v>294</v>
      </c>
      <c r="AT487" s="350"/>
      <c r="AU487" s="350"/>
      <c r="AV487" s="350"/>
      <c r="AW487" s="350"/>
      <c r="AX487" s="350"/>
      <c r="AY487" s="351"/>
      <c r="AZ487" s="81"/>
      <c r="BA487" s="81"/>
      <c r="BB487" s="677" t="s">
        <v>325</v>
      </c>
      <c r="BC487" s="351"/>
      <c r="BD487" s="681" t="s">
        <v>294</v>
      </c>
      <c r="BE487" s="350"/>
      <c r="BF487" s="351"/>
      <c r="BG487" s="678" t="s">
        <v>294</v>
      </c>
      <c r="BH487" s="350"/>
      <c r="BI487" s="350"/>
      <c r="BJ487" s="351"/>
      <c r="BK487" s="680"/>
      <c r="BL487" s="350"/>
      <c r="BM487" s="351"/>
      <c r="BN487" s="82"/>
      <c r="BO487" s="82"/>
      <c r="BP487" s="678"/>
      <c r="BQ487" s="350"/>
      <c r="BR487" s="351"/>
      <c r="BS487" s="681" t="s">
        <v>294</v>
      </c>
      <c r="BT487" s="350"/>
      <c r="BU487" s="351"/>
    </row>
    <row r="488" spans="1:73" ht="30" customHeight="1">
      <c r="A488" s="76">
        <f t="shared" si="1"/>
        <v>474</v>
      </c>
      <c r="B488" s="686" t="s">
        <v>325</v>
      </c>
      <c r="C488" s="351"/>
      <c r="D488" s="687" t="s">
        <v>294</v>
      </c>
      <c r="E488" s="350"/>
      <c r="F488" s="350"/>
      <c r="G488" s="351"/>
      <c r="H488" s="688" t="s">
        <v>294</v>
      </c>
      <c r="I488" s="350"/>
      <c r="J488" s="350"/>
      <c r="K488" s="351"/>
      <c r="L488" s="538" t="s">
        <v>294</v>
      </c>
      <c r="M488" s="350"/>
      <c r="N488" s="351"/>
      <c r="O488" s="539" t="s">
        <v>294</v>
      </c>
      <c r="P488" s="350"/>
      <c r="Q488" s="351"/>
      <c r="R488" s="574"/>
      <c r="S488" s="350"/>
      <c r="T488" s="351"/>
      <c r="U488" s="567"/>
      <c r="V488" s="350"/>
      <c r="W488" s="351"/>
      <c r="X488" s="77"/>
      <c r="Y488" s="78"/>
      <c r="Z488" s="77"/>
      <c r="AA488" s="78"/>
      <c r="AB488" s="77"/>
      <c r="AC488" s="78"/>
      <c r="AD488" s="77"/>
      <c r="AE488" s="78"/>
      <c r="AF488" s="77"/>
      <c r="AG488" s="78"/>
      <c r="AH488" s="77"/>
      <c r="AI488" s="78"/>
      <c r="AJ488" s="64"/>
      <c r="AK488" s="80"/>
      <c r="AL488" s="64"/>
      <c r="AM488" s="80"/>
      <c r="AN488" s="64"/>
      <c r="AO488" s="80"/>
      <c r="AP488" s="64"/>
      <c r="AQ488" s="80"/>
      <c r="AR488" s="64"/>
      <c r="AS488" s="679" t="s">
        <v>294</v>
      </c>
      <c r="AT488" s="350"/>
      <c r="AU488" s="350"/>
      <c r="AV488" s="350"/>
      <c r="AW488" s="350"/>
      <c r="AX488" s="350"/>
      <c r="AY488" s="351"/>
      <c r="AZ488" s="81"/>
      <c r="BA488" s="81"/>
      <c r="BB488" s="677" t="s">
        <v>325</v>
      </c>
      <c r="BC488" s="351"/>
      <c r="BD488" s="681" t="s">
        <v>294</v>
      </c>
      <c r="BE488" s="350"/>
      <c r="BF488" s="351"/>
      <c r="BG488" s="678" t="s">
        <v>294</v>
      </c>
      <c r="BH488" s="350"/>
      <c r="BI488" s="350"/>
      <c r="BJ488" s="351"/>
      <c r="BK488" s="680"/>
      <c r="BL488" s="350"/>
      <c r="BM488" s="351"/>
      <c r="BN488" s="82"/>
      <c r="BO488" s="82"/>
      <c r="BP488" s="678"/>
      <c r="BQ488" s="350"/>
      <c r="BR488" s="351"/>
      <c r="BS488" s="681" t="s">
        <v>294</v>
      </c>
      <c r="BT488" s="350"/>
      <c r="BU488" s="351"/>
    </row>
    <row r="489" spans="1:73" ht="30" customHeight="1">
      <c r="A489" s="76">
        <f t="shared" si="1"/>
        <v>475</v>
      </c>
      <c r="B489" s="686" t="s">
        <v>325</v>
      </c>
      <c r="C489" s="351"/>
      <c r="D489" s="687" t="s">
        <v>294</v>
      </c>
      <c r="E489" s="350"/>
      <c r="F489" s="350"/>
      <c r="G489" s="351"/>
      <c r="H489" s="688" t="s">
        <v>294</v>
      </c>
      <c r="I489" s="350"/>
      <c r="J489" s="350"/>
      <c r="K489" s="351"/>
      <c r="L489" s="538" t="s">
        <v>294</v>
      </c>
      <c r="M489" s="350"/>
      <c r="N489" s="351"/>
      <c r="O489" s="539" t="s">
        <v>294</v>
      </c>
      <c r="P489" s="350"/>
      <c r="Q489" s="351"/>
      <c r="R489" s="574"/>
      <c r="S489" s="350"/>
      <c r="T489" s="351"/>
      <c r="U489" s="567"/>
      <c r="V489" s="350"/>
      <c r="W489" s="351"/>
      <c r="X489" s="77"/>
      <c r="Y489" s="78"/>
      <c r="Z489" s="77"/>
      <c r="AA489" s="78"/>
      <c r="AB489" s="77"/>
      <c r="AC489" s="78"/>
      <c r="AD489" s="77"/>
      <c r="AE489" s="78"/>
      <c r="AF489" s="77"/>
      <c r="AG489" s="78"/>
      <c r="AH489" s="77"/>
      <c r="AI489" s="78"/>
      <c r="AJ489" s="64"/>
      <c r="AK489" s="80"/>
      <c r="AL489" s="64"/>
      <c r="AM489" s="80"/>
      <c r="AN489" s="64"/>
      <c r="AO489" s="80"/>
      <c r="AP489" s="64"/>
      <c r="AQ489" s="80"/>
      <c r="AR489" s="64"/>
      <c r="AS489" s="679" t="s">
        <v>294</v>
      </c>
      <c r="AT489" s="350"/>
      <c r="AU489" s="350"/>
      <c r="AV489" s="350"/>
      <c r="AW489" s="350"/>
      <c r="AX489" s="350"/>
      <c r="AY489" s="351"/>
      <c r="AZ489" s="81"/>
      <c r="BA489" s="81"/>
      <c r="BB489" s="677" t="s">
        <v>325</v>
      </c>
      <c r="BC489" s="351"/>
      <c r="BD489" s="681" t="s">
        <v>294</v>
      </c>
      <c r="BE489" s="350"/>
      <c r="BF489" s="351"/>
      <c r="BG489" s="678" t="s">
        <v>294</v>
      </c>
      <c r="BH489" s="350"/>
      <c r="BI489" s="350"/>
      <c r="BJ489" s="351"/>
      <c r="BK489" s="680"/>
      <c r="BL489" s="350"/>
      <c r="BM489" s="351"/>
      <c r="BN489" s="82"/>
      <c r="BO489" s="82"/>
      <c r="BP489" s="678"/>
      <c r="BQ489" s="350"/>
      <c r="BR489" s="351"/>
      <c r="BS489" s="681" t="s">
        <v>294</v>
      </c>
      <c r="BT489" s="350"/>
      <c r="BU489" s="351"/>
    </row>
    <row r="490" spans="1:73" ht="30" customHeight="1">
      <c r="A490" s="76">
        <f t="shared" si="1"/>
        <v>476</v>
      </c>
      <c r="B490" s="686" t="s">
        <v>325</v>
      </c>
      <c r="C490" s="351"/>
      <c r="D490" s="687" t="s">
        <v>294</v>
      </c>
      <c r="E490" s="350"/>
      <c r="F490" s="350"/>
      <c r="G490" s="351"/>
      <c r="H490" s="688" t="s">
        <v>294</v>
      </c>
      <c r="I490" s="350"/>
      <c r="J490" s="350"/>
      <c r="K490" s="351"/>
      <c r="L490" s="538" t="s">
        <v>294</v>
      </c>
      <c r="M490" s="350"/>
      <c r="N490" s="351"/>
      <c r="O490" s="539" t="s">
        <v>294</v>
      </c>
      <c r="P490" s="350"/>
      <c r="Q490" s="351"/>
      <c r="R490" s="574"/>
      <c r="S490" s="350"/>
      <c r="T490" s="351"/>
      <c r="U490" s="567"/>
      <c r="V490" s="350"/>
      <c r="W490" s="351"/>
      <c r="X490" s="77"/>
      <c r="Y490" s="78"/>
      <c r="Z490" s="77"/>
      <c r="AA490" s="78"/>
      <c r="AB490" s="77"/>
      <c r="AC490" s="78"/>
      <c r="AD490" s="77"/>
      <c r="AE490" s="78"/>
      <c r="AF490" s="77"/>
      <c r="AG490" s="78"/>
      <c r="AH490" s="77"/>
      <c r="AI490" s="78"/>
      <c r="AJ490" s="64"/>
      <c r="AK490" s="80"/>
      <c r="AL490" s="64"/>
      <c r="AM490" s="80"/>
      <c r="AN490" s="64"/>
      <c r="AO490" s="80"/>
      <c r="AP490" s="64"/>
      <c r="AQ490" s="80"/>
      <c r="AR490" s="64"/>
      <c r="AS490" s="679" t="s">
        <v>294</v>
      </c>
      <c r="AT490" s="350"/>
      <c r="AU490" s="350"/>
      <c r="AV490" s="350"/>
      <c r="AW490" s="350"/>
      <c r="AX490" s="350"/>
      <c r="AY490" s="351"/>
      <c r="AZ490" s="81"/>
      <c r="BA490" s="81"/>
      <c r="BB490" s="677" t="s">
        <v>325</v>
      </c>
      <c r="BC490" s="351"/>
      <c r="BD490" s="681" t="s">
        <v>294</v>
      </c>
      <c r="BE490" s="350"/>
      <c r="BF490" s="351"/>
      <c r="BG490" s="678" t="s">
        <v>294</v>
      </c>
      <c r="BH490" s="350"/>
      <c r="BI490" s="350"/>
      <c r="BJ490" s="351"/>
      <c r="BK490" s="680"/>
      <c r="BL490" s="350"/>
      <c r="BM490" s="351"/>
      <c r="BN490" s="82"/>
      <c r="BO490" s="82"/>
      <c r="BP490" s="678"/>
      <c r="BQ490" s="350"/>
      <c r="BR490" s="351"/>
      <c r="BS490" s="681" t="s">
        <v>294</v>
      </c>
      <c r="BT490" s="350"/>
      <c r="BU490" s="351"/>
    </row>
    <row r="491" spans="1:73" ht="30" customHeight="1">
      <c r="A491" s="76">
        <f t="shared" si="1"/>
        <v>477</v>
      </c>
      <c r="B491" s="686" t="s">
        <v>325</v>
      </c>
      <c r="C491" s="351"/>
      <c r="D491" s="687" t="s">
        <v>294</v>
      </c>
      <c r="E491" s="350"/>
      <c r="F491" s="350"/>
      <c r="G491" s="351"/>
      <c r="H491" s="688" t="s">
        <v>294</v>
      </c>
      <c r="I491" s="350"/>
      <c r="J491" s="350"/>
      <c r="K491" s="351"/>
      <c r="L491" s="538" t="s">
        <v>294</v>
      </c>
      <c r="M491" s="350"/>
      <c r="N491" s="351"/>
      <c r="O491" s="539" t="s">
        <v>294</v>
      </c>
      <c r="P491" s="350"/>
      <c r="Q491" s="351"/>
      <c r="R491" s="574"/>
      <c r="S491" s="350"/>
      <c r="T491" s="351"/>
      <c r="U491" s="567"/>
      <c r="V491" s="350"/>
      <c r="W491" s="351"/>
      <c r="X491" s="77"/>
      <c r="Y491" s="78"/>
      <c r="Z491" s="77"/>
      <c r="AA491" s="78"/>
      <c r="AB491" s="77"/>
      <c r="AC491" s="78"/>
      <c r="AD491" s="77"/>
      <c r="AE491" s="78"/>
      <c r="AF491" s="77"/>
      <c r="AG491" s="78"/>
      <c r="AH491" s="77"/>
      <c r="AI491" s="78"/>
      <c r="AJ491" s="64"/>
      <c r="AK491" s="80"/>
      <c r="AL491" s="64"/>
      <c r="AM491" s="80"/>
      <c r="AN491" s="64"/>
      <c r="AO491" s="80"/>
      <c r="AP491" s="64"/>
      <c r="AQ491" s="80"/>
      <c r="AR491" s="64"/>
      <c r="AS491" s="679" t="s">
        <v>294</v>
      </c>
      <c r="AT491" s="350"/>
      <c r="AU491" s="350"/>
      <c r="AV491" s="350"/>
      <c r="AW491" s="350"/>
      <c r="AX491" s="350"/>
      <c r="AY491" s="351"/>
      <c r="AZ491" s="81"/>
      <c r="BA491" s="81"/>
      <c r="BB491" s="677" t="s">
        <v>325</v>
      </c>
      <c r="BC491" s="351"/>
      <c r="BD491" s="681" t="s">
        <v>294</v>
      </c>
      <c r="BE491" s="350"/>
      <c r="BF491" s="351"/>
      <c r="BG491" s="678" t="s">
        <v>294</v>
      </c>
      <c r="BH491" s="350"/>
      <c r="BI491" s="350"/>
      <c r="BJ491" s="351"/>
      <c r="BK491" s="680"/>
      <c r="BL491" s="350"/>
      <c r="BM491" s="351"/>
      <c r="BN491" s="82"/>
      <c r="BO491" s="82"/>
      <c r="BP491" s="678"/>
      <c r="BQ491" s="350"/>
      <c r="BR491" s="351"/>
      <c r="BS491" s="681" t="s">
        <v>294</v>
      </c>
      <c r="BT491" s="350"/>
      <c r="BU491" s="351"/>
    </row>
    <row r="492" spans="1:73" ht="30" customHeight="1">
      <c r="A492" s="76">
        <f t="shared" si="1"/>
        <v>478</v>
      </c>
      <c r="B492" s="686" t="s">
        <v>325</v>
      </c>
      <c r="C492" s="351"/>
      <c r="D492" s="687" t="s">
        <v>294</v>
      </c>
      <c r="E492" s="350"/>
      <c r="F492" s="350"/>
      <c r="G492" s="351"/>
      <c r="H492" s="688" t="s">
        <v>294</v>
      </c>
      <c r="I492" s="350"/>
      <c r="J492" s="350"/>
      <c r="K492" s="351"/>
      <c r="L492" s="538" t="s">
        <v>294</v>
      </c>
      <c r="M492" s="350"/>
      <c r="N492" s="351"/>
      <c r="O492" s="539" t="s">
        <v>294</v>
      </c>
      <c r="P492" s="350"/>
      <c r="Q492" s="351"/>
      <c r="R492" s="574"/>
      <c r="S492" s="350"/>
      <c r="T492" s="351"/>
      <c r="U492" s="567"/>
      <c r="V492" s="350"/>
      <c r="W492" s="351"/>
      <c r="X492" s="77"/>
      <c r="Y492" s="78"/>
      <c r="Z492" s="77"/>
      <c r="AA492" s="78"/>
      <c r="AB492" s="77"/>
      <c r="AC492" s="78"/>
      <c r="AD492" s="77"/>
      <c r="AE492" s="78"/>
      <c r="AF492" s="77"/>
      <c r="AG492" s="78"/>
      <c r="AH492" s="77"/>
      <c r="AI492" s="78"/>
      <c r="AJ492" s="64"/>
      <c r="AK492" s="80"/>
      <c r="AL492" s="64"/>
      <c r="AM492" s="80"/>
      <c r="AN492" s="64"/>
      <c r="AO492" s="80"/>
      <c r="AP492" s="64"/>
      <c r="AQ492" s="80"/>
      <c r="AR492" s="64"/>
      <c r="AS492" s="679" t="s">
        <v>294</v>
      </c>
      <c r="AT492" s="350"/>
      <c r="AU492" s="350"/>
      <c r="AV492" s="350"/>
      <c r="AW492" s="350"/>
      <c r="AX492" s="350"/>
      <c r="AY492" s="351"/>
      <c r="AZ492" s="81"/>
      <c r="BA492" s="81"/>
      <c r="BB492" s="677" t="s">
        <v>325</v>
      </c>
      <c r="BC492" s="351"/>
      <c r="BD492" s="681" t="s">
        <v>294</v>
      </c>
      <c r="BE492" s="350"/>
      <c r="BF492" s="351"/>
      <c r="BG492" s="678" t="s">
        <v>294</v>
      </c>
      <c r="BH492" s="350"/>
      <c r="BI492" s="350"/>
      <c r="BJ492" s="351"/>
      <c r="BK492" s="680"/>
      <c r="BL492" s="350"/>
      <c r="BM492" s="351"/>
      <c r="BN492" s="82"/>
      <c r="BO492" s="82"/>
      <c r="BP492" s="678"/>
      <c r="BQ492" s="350"/>
      <c r="BR492" s="351"/>
      <c r="BS492" s="681" t="s">
        <v>294</v>
      </c>
      <c r="BT492" s="350"/>
      <c r="BU492" s="351"/>
    </row>
    <row r="493" spans="1:73" ht="30" customHeight="1">
      <c r="A493" s="76">
        <f t="shared" si="1"/>
        <v>479</v>
      </c>
      <c r="B493" s="686" t="s">
        <v>325</v>
      </c>
      <c r="C493" s="351"/>
      <c r="D493" s="687" t="s">
        <v>294</v>
      </c>
      <c r="E493" s="350"/>
      <c r="F493" s="350"/>
      <c r="G493" s="351"/>
      <c r="H493" s="688" t="s">
        <v>294</v>
      </c>
      <c r="I493" s="350"/>
      <c r="J493" s="350"/>
      <c r="K493" s="351"/>
      <c r="L493" s="538" t="s">
        <v>294</v>
      </c>
      <c r="M493" s="350"/>
      <c r="N493" s="351"/>
      <c r="O493" s="539" t="s">
        <v>294</v>
      </c>
      <c r="P493" s="350"/>
      <c r="Q493" s="351"/>
      <c r="R493" s="574"/>
      <c r="S493" s="350"/>
      <c r="T493" s="351"/>
      <c r="U493" s="567"/>
      <c r="V493" s="350"/>
      <c r="W493" s="351"/>
      <c r="X493" s="77"/>
      <c r="Y493" s="78"/>
      <c r="Z493" s="77"/>
      <c r="AA493" s="78"/>
      <c r="AB493" s="77"/>
      <c r="AC493" s="78"/>
      <c r="AD493" s="77"/>
      <c r="AE493" s="78"/>
      <c r="AF493" s="77"/>
      <c r="AG493" s="78"/>
      <c r="AH493" s="77"/>
      <c r="AI493" s="78"/>
      <c r="AJ493" s="64"/>
      <c r="AK493" s="80"/>
      <c r="AL493" s="64"/>
      <c r="AM493" s="80"/>
      <c r="AN493" s="64"/>
      <c r="AO493" s="80"/>
      <c r="AP493" s="64"/>
      <c r="AQ493" s="80"/>
      <c r="AR493" s="64"/>
      <c r="AS493" s="679" t="s">
        <v>294</v>
      </c>
      <c r="AT493" s="350"/>
      <c r="AU493" s="350"/>
      <c r="AV493" s="350"/>
      <c r="AW493" s="350"/>
      <c r="AX493" s="350"/>
      <c r="AY493" s="351"/>
      <c r="AZ493" s="81"/>
      <c r="BA493" s="81"/>
      <c r="BB493" s="677" t="s">
        <v>325</v>
      </c>
      <c r="BC493" s="351"/>
      <c r="BD493" s="681" t="s">
        <v>294</v>
      </c>
      <c r="BE493" s="350"/>
      <c r="BF493" s="351"/>
      <c r="BG493" s="678" t="s">
        <v>294</v>
      </c>
      <c r="BH493" s="350"/>
      <c r="BI493" s="350"/>
      <c r="BJ493" s="351"/>
      <c r="BK493" s="680"/>
      <c r="BL493" s="350"/>
      <c r="BM493" s="351"/>
      <c r="BN493" s="82"/>
      <c r="BO493" s="82"/>
      <c r="BP493" s="678"/>
      <c r="BQ493" s="350"/>
      <c r="BR493" s="351"/>
      <c r="BS493" s="681" t="s">
        <v>294</v>
      </c>
      <c r="BT493" s="350"/>
      <c r="BU493" s="351"/>
    </row>
    <row r="494" spans="1:73" ht="30" customHeight="1">
      <c r="A494" s="76">
        <f t="shared" si="1"/>
        <v>480</v>
      </c>
      <c r="B494" s="686" t="s">
        <v>325</v>
      </c>
      <c r="C494" s="351"/>
      <c r="D494" s="687" t="s">
        <v>294</v>
      </c>
      <c r="E494" s="350"/>
      <c r="F494" s="350"/>
      <c r="G494" s="351"/>
      <c r="H494" s="688" t="s">
        <v>294</v>
      </c>
      <c r="I494" s="350"/>
      <c r="J494" s="350"/>
      <c r="K494" s="351"/>
      <c r="L494" s="538" t="s">
        <v>294</v>
      </c>
      <c r="M494" s="350"/>
      <c r="N494" s="351"/>
      <c r="O494" s="539" t="s">
        <v>294</v>
      </c>
      <c r="P494" s="350"/>
      <c r="Q494" s="351"/>
      <c r="R494" s="574"/>
      <c r="S494" s="350"/>
      <c r="T494" s="351"/>
      <c r="U494" s="567"/>
      <c r="V494" s="350"/>
      <c r="W494" s="351"/>
      <c r="X494" s="77"/>
      <c r="Y494" s="78"/>
      <c r="Z494" s="77"/>
      <c r="AA494" s="78"/>
      <c r="AB494" s="77"/>
      <c r="AC494" s="78"/>
      <c r="AD494" s="77"/>
      <c r="AE494" s="78"/>
      <c r="AF494" s="77"/>
      <c r="AG494" s="78"/>
      <c r="AH494" s="77"/>
      <c r="AI494" s="78"/>
      <c r="AJ494" s="64"/>
      <c r="AK494" s="80"/>
      <c r="AL494" s="64"/>
      <c r="AM494" s="80"/>
      <c r="AN494" s="64"/>
      <c r="AO494" s="80"/>
      <c r="AP494" s="64"/>
      <c r="AQ494" s="80"/>
      <c r="AR494" s="64"/>
      <c r="AS494" s="679" t="s">
        <v>294</v>
      </c>
      <c r="AT494" s="350"/>
      <c r="AU494" s="350"/>
      <c r="AV494" s="350"/>
      <c r="AW494" s="350"/>
      <c r="AX494" s="350"/>
      <c r="AY494" s="351"/>
      <c r="AZ494" s="81"/>
      <c r="BA494" s="81"/>
      <c r="BB494" s="677" t="s">
        <v>325</v>
      </c>
      <c r="BC494" s="351"/>
      <c r="BD494" s="681" t="s">
        <v>294</v>
      </c>
      <c r="BE494" s="350"/>
      <c r="BF494" s="351"/>
      <c r="BG494" s="678" t="s">
        <v>294</v>
      </c>
      <c r="BH494" s="350"/>
      <c r="BI494" s="350"/>
      <c r="BJ494" s="351"/>
      <c r="BK494" s="680"/>
      <c r="BL494" s="350"/>
      <c r="BM494" s="351"/>
      <c r="BN494" s="82"/>
      <c r="BO494" s="82"/>
      <c r="BP494" s="678"/>
      <c r="BQ494" s="350"/>
      <c r="BR494" s="351"/>
      <c r="BS494" s="681" t="s">
        <v>294</v>
      </c>
      <c r="BT494" s="350"/>
      <c r="BU494" s="351"/>
    </row>
    <row r="495" spans="1:73" ht="30" customHeight="1">
      <c r="A495" s="76">
        <f t="shared" si="1"/>
        <v>481</v>
      </c>
      <c r="B495" s="686" t="s">
        <v>325</v>
      </c>
      <c r="C495" s="351"/>
      <c r="D495" s="687" t="s">
        <v>294</v>
      </c>
      <c r="E495" s="350"/>
      <c r="F495" s="350"/>
      <c r="G495" s="351"/>
      <c r="H495" s="688" t="s">
        <v>294</v>
      </c>
      <c r="I495" s="350"/>
      <c r="J495" s="350"/>
      <c r="K495" s="351"/>
      <c r="L495" s="538" t="s">
        <v>294</v>
      </c>
      <c r="M495" s="350"/>
      <c r="N495" s="351"/>
      <c r="O495" s="539" t="s">
        <v>294</v>
      </c>
      <c r="P495" s="350"/>
      <c r="Q495" s="351"/>
      <c r="R495" s="574"/>
      <c r="S495" s="350"/>
      <c r="T495" s="351"/>
      <c r="U495" s="567"/>
      <c r="V495" s="350"/>
      <c r="W495" s="351"/>
      <c r="X495" s="77"/>
      <c r="Y495" s="78"/>
      <c r="Z495" s="77"/>
      <c r="AA495" s="78"/>
      <c r="AB495" s="77"/>
      <c r="AC495" s="78"/>
      <c r="AD495" s="77"/>
      <c r="AE495" s="78"/>
      <c r="AF495" s="77"/>
      <c r="AG495" s="78"/>
      <c r="AH495" s="77"/>
      <c r="AI495" s="78"/>
      <c r="AJ495" s="64"/>
      <c r="AK495" s="80"/>
      <c r="AL495" s="64"/>
      <c r="AM495" s="80"/>
      <c r="AN495" s="64"/>
      <c r="AO495" s="80"/>
      <c r="AP495" s="64"/>
      <c r="AQ495" s="80"/>
      <c r="AR495" s="64"/>
      <c r="AS495" s="679" t="s">
        <v>294</v>
      </c>
      <c r="AT495" s="350"/>
      <c r="AU495" s="350"/>
      <c r="AV495" s="350"/>
      <c r="AW495" s="350"/>
      <c r="AX495" s="350"/>
      <c r="AY495" s="351"/>
      <c r="AZ495" s="81"/>
      <c r="BA495" s="81"/>
      <c r="BB495" s="677" t="s">
        <v>325</v>
      </c>
      <c r="BC495" s="351"/>
      <c r="BD495" s="681" t="s">
        <v>294</v>
      </c>
      <c r="BE495" s="350"/>
      <c r="BF495" s="351"/>
      <c r="BG495" s="678" t="s">
        <v>294</v>
      </c>
      <c r="BH495" s="350"/>
      <c r="BI495" s="350"/>
      <c r="BJ495" s="351"/>
      <c r="BK495" s="680"/>
      <c r="BL495" s="350"/>
      <c r="BM495" s="351"/>
      <c r="BN495" s="82"/>
      <c r="BO495" s="82"/>
      <c r="BP495" s="678"/>
      <c r="BQ495" s="350"/>
      <c r="BR495" s="351"/>
      <c r="BS495" s="681" t="s">
        <v>294</v>
      </c>
      <c r="BT495" s="350"/>
      <c r="BU495" s="351"/>
    </row>
    <row r="496" spans="1:73" ht="30" customHeight="1">
      <c r="A496" s="76">
        <f t="shared" si="1"/>
        <v>482</v>
      </c>
      <c r="B496" s="686" t="s">
        <v>325</v>
      </c>
      <c r="C496" s="351"/>
      <c r="D496" s="687" t="s">
        <v>294</v>
      </c>
      <c r="E496" s="350"/>
      <c r="F496" s="350"/>
      <c r="G496" s="351"/>
      <c r="H496" s="688" t="s">
        <v>294</v>
      </c>
      <c r="I496" s="350"/>
      <c r="J496" s="350"/>
      <c r="K496" s="351"/>
      <c r="L496" s="538" t="s">
        <v>294</v>
      </c>
      <c r="M496" s="350"/>
      <c r="N496" s="351"/>
      <c r="O496" s="539" t="s">
        <v>294</v>
      </c>
      <c r="P496" s="350"/>
      <c r="Q496" s="351"/>
      <c r="R496" s="574"/>
      <c r="S496" s="350"/>
      <c r="T496" s="351"/>
      <c r="U496" s="567"/>
      <c r="V496" s="350"/>
      <c r="W496" s="351"/>
      <c r="X496" s="77"/>
      <c r="Y496" s="78"/>
      <c r="Z496" s="77"/>
      <c r="AA496" s="78"/>
      <c r="AB496" s="77"/>
      <c r="AC496" s="78"/>
      <c r="AD496" s="77"/>
      <c r="AE496" s="78"/>
      <c r="AF496" s="77"/>
      <c r="AG496" s="78"/>
      <c r="AH496" s="77"/>
      <c r="AI496" s="78"/>
      <c r="AJ496" s="64"/>
      <c r="AK496" s="80"/>
      <c r="AL496" s="64"/>
      <c r="AM496" s="80"/>
      <c r="AN496" s="64"/>
      <c r="AO496" s="80"/>
      <c r="AP496" s="64"/>
      <c r="AQ496" s="80"/>
      <c r="AR496" s="64"/>
      <c r="AS496" s="679" t="s">
        <v>294</v>
      </c>
      <c r="AT496" s="350"/>
      <c r="AU496" s="350"/>
      <c r="AV496" s="350"/>
      <c r="AW496" s="350"/>
      <c r="AX496" s="350"/>
      <c r="AY496" s="351"/>
      <c r="AZ496" s="81"/>
      <c r="BA496" s="81"/>
      <c r="BB496" s="677" t="s">
        <v>325</v>
      </c>
      <c r="BC496" s="351"/>
      <c r="BD496" s="681" t="s">
        <v>294</v>
      </c>
      <c r="BE496" s="350"/>
      <c r="BF496" s="351"/>
      <c r="BG496" s="678" t="s">
        <v>294</v>
      </c>
      <c r="BH496" s="350"/>
      <c r="BI496" s="350"/>
      <c r="BJ496" s="351"/>
      <c r="BK496" s="680"/>
      <c r="BL496" s="350"/>
      <c r="BM496" s="351"/>
      <c r="BN496" s="82"/>
      <c r="BO496" s="82"/>
      <c r="BP496" s="678"/>
      <c r="BQ496" s="350"/>
      <c r="BR496" s="351"/>
      <c r="BS496" s="681" t="s">
        <v>294</v>
      </c>
      <c r="BT496" s="350"/>
      <c r="BU496" s="351"/>
    </row>
    <row r="497" spans="1:73" ht="30" customHeight="1">
      <c r="A497" s="76">
        <f t="shared" si="1"/>
        <v>483</v>
      </c>
      <c r="B497" s="686" t="s">
        <v>325</v>
      </c>
      <c r="C497" s="351"/>
      <c r="D497" s="687" t="s">
        <v>294</v>
      </c>
      <c r="E497" s="350"/>
      <c r="F497" s="350"/>
      <c r="G497" s="351"/>
      <c r="H497" s="688" t="s">
        <v>294</v>
      </c>
      <c r="I497" s="350"/>
      <c r="J497" s="350"/>
      <c r="K497" s="351"/>
      <c r="L497" s="538" t="s">
        <v>294</v>
      </c>
      <c r="M497" s="350"/>
      <c r="N497" s="351"/>
      <c r="O497" s="539" t="s">
        <v>294</v>
      </c>
      <c r="P497" s="350"/>
      <c r="Q497" s="351"/>
      <c r="R497" s="574"/>
      <c r="S497" s="350"/>
      <c r="T497" s="351"/>
      <c r="U497" s="567"/>
      <c r="V497" s="350"/>
      <c r="W497" s="351"/>
      <c r="X497" s="77"/>
      <c r="Y497" s="78"/>
      <c r="Z497" s="77"/>
      <c r="AA497" s="78"/>
      <c r="AB497" s="77"/>
      <c r="AC497" s="78"/>
      <c r="AD497" s="77"/>
      <c r="AE497" s="78"/>
      <c r="AF497" s="77"/>
      <c r="AG497" s="78"/>
      <c r="AH497" s="77"/>
      <c r="AI497" s="78"/>
      <c r="AJ497" s="64"/>
      <c r="AK497" s="80"/>
      <c r="AL497" s="64"/>
      <c r="AM497" s="80"/>
      <c r="AN497" s="64"/>
      <c r="AO497" s="80"/>
      <c r="AP497" s="64"/>
      <c r="AQ497" s="80"/>
      <c r="AR497" s="64"/>
      <c r="AS497" s="679" t="s">
        <v>294</v>
      </c>
      <c r="AT497" s="350"/>
      <c r="AU497" s="350"/>
      <c r="AV497" s="350"/>
      <c r="AW497" s="350"/>
      <c r="AX497" s="350"/>
      <c r="AY497" s="351"/>
      <c r="AZ497" s="81"/>
      <c r="BA497" s="81"/>
      <c r="BB497" s="677" t="s">
        <v>325</v>
      </c>
      <c r="BC497" s="351"/>
      <c r="BD497" s="681" t="s">
        <v>294</v>
      </c>
      <c r="BE497" s="350"/>
      <c r="BF497" s="351"/>
      <c r="BG497" s="678" t="s">
        <v>294</v>
      </c>
      <c r="BH497" s="350"/>
      <c r="BI497" s="350"/>
      <c r="BJ497" s="351"/>
      <c r="BK497" s="680"/>
      <c r="BL497" s="350"/>
      <c r="BM497" s="351"/>
      <c r="BN497" s="82"/>
      <c r="BO497" s="82"/>
      <c r="BP497" s="678"/>
      <c r="BQ497" s="350"/>
      <c r="BR497" s="351"/>
      <c r="BS497" s="681" t="s">
        <v>294</v>
      </c>
      <c r="BT497" s="350"/>
      <c r="BU497" s="351"/>
    </row>
    <row r="498" spans="1:73" ht="30" customHeight="1">
      <c r="A498" s="76">
        <f t="shared" si="1"/>
        <v>484</v>
      </c>
      <c r="B498" s="686" t="s">
        <v>325</v>
      </c>
      <c r="C498" s="351"/>
      <c r="D498" s="687" t="s">
        <v>294</v>
      </c>
      <c r="E498" s="350"/>
      <c r="F498" s="350"/>
      <c r="G498" s="351"/>
      <c r="H498" s="688" t="s">
        <v>294</v>
      </c>
      <c r="I498" s="350"/>
      <c r="J498" s="350"/>
      <c r="K498" s="351"/>
      <c r="L498" s="538" t="s">
        <v>294</v>
      </c>
      <c r="M498" s="350"/>
      <c r="N498" s="351"/>
      <c r="O498" s="539" t="s">
        <v>294</v>
      </c>
      <c r="P498" s="350"/>
      <c r="Q498" s="351"/>
      <c r="R498" s="574"/>
      <c r="S498" s="350"/>
      <c r="T498" s="351"/>
      <c r="U498" s="567"/>
      <c r="V498" s="350"/>
      <c r="W498" s="351"/>
      <c r="X498" s="77"/>
      <c r="Y498" s="78"/>
      <c r="Z498" s="77"/>
      <c r="AA498" s="78"/>
      <c r="AB498" s="77"/>
      <c r="AC498" s="78"/>
      <c r="AD498" s="77"/>
      <c r="AE498" s="78"/>
      <c r="AF498" s="77"/>
      <c r="AG498" s="78"/>
      <c r="AH498" s="77"/>
      <c r="AI498" s="78"/>
      <c r="AJ498" s="64"/>
      <c r="AK498" s="80"/>
      <c r="AL498" s="64"/>
      <c r="AM498" s="80"/>
      <c r="AN498" s="64"/>
      <c r="AO498" s="80"/>
      <c r="AP498" s="64"/>
      <c r="AQ498" s="80"/>
      <c r="AR498" s="64"/>
      <c r="AS498" s="679" t="s">
        <v>294</v>
      </c>
      <c r="AT498" s="350"/>
      <c r="AU498" s="350"/>
      <c r="AV498" s="350"/>
      <c r="AW498" s="350"/>
      <c r="AX498" s="350"/>
      <c r="AY498" s="351"/>
      <c r="AZ498" s="81"/>
      <c r="BA498" s="81"/>
      <c r="BB498" s="677" t="s">
        <v>325</v>
      </c>
      <c r="BC498" s="351"/>
      <c r="BD498" s="681" t="s">
        <v>294</v>
      </c>
      <c r="BE498" s="350"/>
      <c r="BF498" s="351"/>
      <c r="BG498" s="678" t="s">
        <v>294</v>
      </c>
      <c r="BH498" s="350"/>
      <c r="BI498" s="350"/>
      <c r="BJ498" s="351"/>
      <c r="BK498" s="680"/>
      <c r="BL498" s="350"/>
      <c r="BM498" s="351"/>
      <c r="BN498" s="82"/>
      <c r="BO498" s="82"/>
      <c r="BP498" s="678"/>
      <c r="BQ498" s="350"/>
      <c r="BR498" s="351"/>
      <c r="BS498" s="681" t="s">
        <v>294</v>
      </c>
      <c r="BT498" s="350"/>
      <c r="BU498" s="351"/>
    </row>
    <row r="499" spans="1:73" ht="30" customHeight="1">
      <c r="A499" s="76">
        <f t="shared" si="1"/>
        <v>485</v>
      </c>
      <c r="B499" s="686" t="s">
        <v>325</v>
      </c>
      <c r="C499" s="351"/>
      <c r="D499" s="687" t="s">
        <v>294</v>
      </c>
      <c r="E499" s="350"/>
      <c r="F499" s="350"/>
      <c r="G499" s="351"/>
      <c r="H499" s="688" t="s">
        <v>294</v>
      </c>
      <c r="I499" s="350"/>
      <c r="J499" s="350"/>
      <c r="K499" s="351"/>
      <c r="L499" s="538" t="s">
        <v>294</v>
      </c>
      <c r="M499" s="350"/>
      <c r="N499" s="351"/>
      <c r="O499" s="539" t="s">
        <v>294</v>
      </c>
      <c r="P499" s="350"/>
      <c r="Q499" s="351"/>
      <c r="R499" s="574"/>
      <c r="S499" s="350"/>
      <c r="T499" s="351"/>
      <c r="U499" s="567"/>
      <c r="V499" s="350"/>
      <c r="W499" s="351"/>
      <c r="X499" s="77"/>
      <c r="Y499" s="78"/>
      <c r="Z499" s="77"/>
      <c r="AA499" s="78"/>
      <c r="AB499" s="77"/>
      <c r="AC499" s="78"/>
      <c r="AD499" s="77"/>
      <c r="AE499" s="78"/>
      <c r="AF499" s="77"/>
      <c r="AG499" s="78"/>
      <c r="AH499" s="77"/>
      <c r="AI499" s="78"/>
      <c r="AJ499" s="64"/>
      <c r="AK499" s="80"/>
      <c r="AL499" s="64"/>
      <c r="AM499" s="80"/>
      <c r="AN499" s="64"/>
      <c r="AO499" s="80"/>
      <c r="AP499" s="64"/>
      <c r="AQ499" s="80"/>
      <c r="AR499" s="64"/>
      <c r="AS499" s="679" t="s">
        <v>294</v>
      </c>
      <c r="AT499" s="350"/>
      <c r="AU499" s="350"/>
      <c r="AV499" s="350"/>
      <c r="AW499" s="350"/>
      <c r="AX499" s="350"/>
      <c r="AY499" s="351"/>
      <c r="AZ499" s="81"/>
      <c r="BA499" s="81"/>
      <c r="BB499" s="677" t="s">
        <v>325</v>
      </c>
      <c r="BC499" s="351"/>
      <c r="BD499" s="681" t="s">
        <v>294</v>
      </c>
      <c r="BE499" s="350"/>
      <c r="BF499" s="351"/>
      <c r="BG499" s="678" t="s">
        <v>294</v>
      </c>
      <c r="BH499" s="350"/>
      <c r="BI499" s="350"/>
      <c r="BJ499" s="351"/>
      <c r="BK499" s="680"/>
      <c r="BL499" s="350"/>
      <c r="BM499" s="351"/>
      <c r="BN499" s="82"/>
      <c r="BO499" s="82"/>
      <c r="BP499" s="678"/>
      <c r="BQ499" s="350"/>
      <c r="BR499" s="351"/>
      <c r="BS499" s="681" t="s">
        <v>294</v>
      </c>
      <c r="BT499" s="350"/>
      <c r="BU499" s="351"/>
    </row>
    <row r="500" spans="1:73" ht="30" customHeight="1">
      <c r="A500" s="76">
        <f t="shared" si="1"/>
        <v>486</v>
      </c>
      <c r="B500" s="686" t="s">
        <v>325</v>
      </c>
      <c r="C500" s="351"/>
      <c r="D500" s="687" t="s">
        <v>294</v>
      </c>
      <c r="E500" s="350"/>
      <c r="F500" s="350"/>
      <c r="G500" s="351"/>
      <c r="H500" s="688" t="s">
        <v>294</v>
      </c>
      <c r="I500" s="350"/>
      <c r="J500" s="350"/>
      <c r="K500" s="351"/>
      <c r="L500" s="538" t="s">
        <v>294</v>
      </c>
      <c r="M500" s="350"/>
      <c r="N500" s="351"/>
      <c r="O500" s="539" t="s">
        <v>294</v>
      </c>
      <c r="P500" s="350"/>
      <c r="Q500" s="351"/>
      <c r="R500" s="574"/>
      <c r="S500" s="350"/>
      <c r="T500" s="351"/>
      <c r="U500" s="567"/>
      <c r="V500" s="350"/>
      <c r="W500" s="351"/>
      <c r="X500" s="77"/>
      <c r="Y500" s="78"/>
      <c r="Z500" s="77"/>
      <c r="AA500" s="78"/>
      <c r="AB500" s="77"/>
      <c r="AC500" s="78"/>
      <c r="AD500" s="77"/>
      <c r="AE500" s="78"/>
      <c r="AF500" s="77"/>
      <c r="AG500" s="78"/>
      <c r="AH500" s="77"/>
      <c r="AI500" s="78"/>
      <c r="AJ500" s="64"/>
      <c r="AK500" s="80"/>
      <c r="AL500" s="64"/>
      <c r="AM500" s="80"/>
      <c r="AN500" s="64"/>
      <c r="AO500" s="80"/>
      <c r="AP500" s="64"/>
      <c r="AQ500" s="80"/>
      <c r="AR500" s="64"/>
      <c r="AS500" s="679" t="s">
        <v>294</v>
      </c>
      <c r="AT500" s="350"/>
      <c r="AU500" s="350"/>
      <c r="AV500" s="350"/>
      <c r="AW500" s="350"/>
      <c r="AX500" s="350"/>
      <c r="AY500" s="351"/>
      <c r="AZ500" s="81"/>
      <c r="BA500" s="81"/>
      <c r="BB500" s="677" t="s">
        <v>325</v>
      </c>
      <c r="BC500" s="351"/>
      <c r="BD500" s="681" t="s">
        <v>294</v>
      </c>
      <c r="BE500" s="350"/>
      <c r="BF500" s="351"/>
      <c r="BG500" s="678" t="s">
        <v>294</v>
      </c>
      <c r="BH500" s="350"/>
      <c r="BI500" s="350"/>
      <c r="BJ500" s="351"/>
      <c r="BK500" s="680"/>
      <c r="BL500" s="350"/>
      <c r="BM500" s="351"/>
      <c r="BN500" s="82"/>
      <c r="BO500" s="82"/>
      <c r="BP500" s="678"/>
      <c r="BQ500" s="350"/>
      <c r="BR500" s="351"/>
      <c r="BS500" s="681" t="s">
        <v>294</v>
      </c>
      <c r="BT500" s="350"/>
      <c r="BU500" s="351"/>
    </row>
    <row r="501" spans="1:73" ht="30" customHeight="1">
      <c r="A501" s="76">
        <f t="shared" si="1"/>
        <v>487</v>
      </c>
      <c r="B501" s="686" t="s">
        <v>325</v>
      </c>
      <c r="C501" s="351"/>
      <c r="D501" s="687" t="s">
        <v>294</v>
      </c>
      <c r="E501" s="350"/>
      <c r="F501" s="350"/>
      <c r="G501" s="351"/>
      <c r="H501" s="688" t="s">
        <v>294</v>
      </c>
      <c r="I501" s="350"/>
      <c r="J501" s="350"/>
      <c r="K501" s="351"/>
      <c r="L501" s="538" t="s">
        <v>294</v>
      </c>
      <c r="M501" s="350"/>
      <c r="N501" s="351"/>
      <c r="O501" s="539" t="s">
        <v>294</v>
      </c>
      <c r="P501" s="350"/>
      <c r="Q501" s="351"/>
      <c r="R501" s="574"/>
      <c r="S501" s="350"/>
      <c r="T501" s="351"/>
      <c r="U501" s="567"/>
      <c r="V501" s="350"/>
      <c r="W501" s="351"/>
      <c r="X501" s="77"/>
      <c r="Y501" s="78"/>
      <c r="Z501" s="77"/>
      <c r="AA501" s="78"/>
      <c r="AB501" s="77"/>
      <c r="AC501" s="78"/>
      <c r="AD501" s="77"/>
      <c r="AE501" s="78"/>
      <c r="AF501" s="77"/>
      <c r="AG501" s="78"/>
      <c r="AH501" s="77"/>
      <c r="AI501" s="78"/>
      <c r="AJ501" s="64"/>
      <c r="AK501" s="80"/>
      <c r="AL501" s="64"/>
      <c r="AM501" s="80"/>
      <c r="AN501" s="64"/>
      <c r="AO501" s="80"/>
      <c r="AP501" s="64"/>
      <c r="AQ501" s="80"/>
      <c r="AR501" s="64"/>
      <c r="AS501" s="679" t="s">
        <v>294</v>
      </c>
      <c r="AT501" s="350"/>
      <c r="AU501" s="350"/>
      <c r="AV501" s="350"/>
      <c r="AW501" s="350"/>
      <c r="AX501" s="350"/>
      <c r="AY501" s="351"/>
      <c r="AZ501" s="81"/>
      <c r="BA501" s="81"/>
      <c r="BB501" s="677" t="s">
        <v>325</v>
      </c>
      <c r="BC501" s="351"/>
      <c r="BD501" s="681" t="s">
        <v>294</v>
      </c>
      <c r="BE501" s="350"/>
      <c r="BF501" s="351"/>
      <c r="BG501" s="678" t="s">
        <v>294</v>
      </c>
      <c r="BH501" s="350"/>
      <c r="BI501" s="350"/>
      <c r="BJ501" s="351"/>
      <c r="BK501" s="680"/>
      <c r="BL501" s="350"/>
      <c r="BM501" s="351"/>
      <c r="BN501" s="82"/>
      <c r="BO501" s="82"/>
      <c r="BP501" s="678"/>
      <c r="BQ501" s="350"/>
      <c r="BR501" s="351"/>
      <c r="BS501" s="681" t="s">
        <v>294</v>
      </c>
      <c r="BT501" s="350"/>
      <c r="BU501" s="351"/>
    </row>
    <row r="502" spans="1:73" ht="30" customHeight="1">
      <c r="A502" s="76">
        <f t="shared" si="1"/>
        <v>488</v>
      </c>
      <c r="B502" s="686" t="s">
        <v>325</v>
      </c>
      <c r="C502" s="351"/>
      <c r="D502" s="687" t="s">
        <v>294</v>
      </c>
      <c r="E502" s="350"/>
      <c r="F502" s="350"/>
      <c r="G502" s="351"/>
      <c r="H502" s="688" t="s">
        <v>294</v>
      </c>
      <c r="I502" s="350"/>
      <c r="J502" s="350"/>
      <c r="K502" s="351"/>
      <c r="L502" s="538" t="s">
        <v>294</v>
      </c>
      <c r="M502" s="350"/>
      <c r="N502" s="351"/>
      <c r="O502" s="539" t="s">
        <v>294</v>
      </c>
      <c r="P502" s="350"/>
      <c r="Q502" s="351"/>
      <c r="R502" s="574"/>
      <c r="S502" s="350"/>
      <c r="T502" s="351"/>
      <c r="U502" s="567"/>
      <c r="V502" s="350"/>
      <c r="W502" s="351"/>
      <c r="X502" s="77"/>
      <c r="Y502" s="78"/>
      <c r="Z502" s="77"/>
      <c r="AA502" s="78"/>
      <c r="AB502" s="77"/>
      <c r="AC502" s="78"/>
      <c r="AD502" s="77"/>
      <c r="AE502" s="78"/>
      <c r="AF502" s="77"/>
      <c r="AG502" s="78"/>
      <c r="AH502" s="77"/>
      <c r="AI502" s="78"/>
      <c r="AJ502" s="64"/>
      <c r="AK502" s="80"/>
      <c r="AL502" s="64"/>
      <c r="AM502" s="80"/>
      <c r="AN502" s="64"/>
      <c r="AO502" s="80"/>
      <c r="AP502" s="64"/>
      <c r="AQ502" s="80"/>
      <c r="AR502" s="64"/>
      <c r="AS502" s="679" t="s">
        <v>294</v>
      </c>
      <c r="AT502" s="350"/>
      <c r="AU502" s="350"/>
      <c r="AV502" s="350"/>
      <c r="AW502" s="350"/>
      <c r="AX502" s="350"/>
      <c r="AY502" s="351"/>
      <c r="AZ502" s="81"/>
      <c r="BA502" s="81"/>
      <c r="BB502" s="677" t="s">
        <v>325</v>
      </c>
      <c r="BC502" s="351"/>
      <c r="BD502" s="681" t="s">
        <v>294</v>
      </c>
      <c r="BE502" s="350"/>
      <c r="BF502" s="351"/>
      <c r="BG502" s="678" t="s">
        <v>294</v>
      </c>
      <c r="BH502" s="350"/>
      <c r="BI502" s="350"/>
      <c r="BJ502" s="351"/>
      <c r="BK502" s="680"/>
      <c r="BL502" s="350"/>
      <c r="BM502" s="351"/>
      <c r="BN502" s="82"/>
      <c r="BO502" s="82"/>
      <c r="BP502" s="678"/>
      <c r="BQ502" s="350"/>
      <c r="BR502" s="351"/>
      <c r="BS502" s="681" t="s">
        <v>294</v>
      </c>
      <c r="BT502" s="350"/>
      <c r="BU502" s="351"/>
    </row>
    <row r="503" spans="1:73" ht="30" customHeight="1">
      <c r="A503" s="76">
        <f t="shared" si="1"/>
        <v>489</v>
      </c>
      <c r="B503" s="686" t="s">
        <v>325</v>
      </c>
      <c r="C503" s="351"/>
      <c r="D503" s="687" t="s">
        <v>294</v>
      </c>
      <c r="E503" s="350"/>
      <c r="F503" s="350"/>
      <c r="G503" s="351"/>
      <c r="H503" s="688" t="s">
        <v>294</v>
      </c>
      <c r="I503" s="350"/>
      <c r="J503" s="350"/>
      <c r="K503" s="351"/>
      <c r="L503" s="538" t="s">
        <v>294</v>
      </c>
      <c r="M503" s="350"/>
      <c r="N503" s="351"/>
      <c r="O503" s="539" t="s">
        <v>294</v>
      </c>
      <c r="P503" s="350"/>
      <c r="Q503" s="351"/>
      <c r="R503" s="574"/>
      <c r="S503" s="350"/>
      <c r="T503" s="351"/>
      <c r="U503" s="567"/>
      <c r="V503" s="350"/>
      <c r="W503" s="351"/>
      <c r="X503" s="77"/>
      <c r="Y503" s="78"/>
      <c r="Z503" s="77"/>
      <c r="AA503" s="78"/>
      <c r="AB503" s="77"/>
      <c r="AC503" s="78"/>
      <c r="AD503" s="77"/>
      <c r="AE503" s="78"/>
      <c r="AF503" s="77"/>
      <c r="AG503" s="78"/>
      <c r="AH503" s="77"/>
      <c r="AI503" s="78"/>
      <c r="AJ503" s="64"/>
      <c r="AK503" s="80"/>
      <c r="AL503" s="64"/>
      <c r="AM503" s="80"/>
      <c r="AN503" s="64"/>
      <c r="AO503" s="80"/>
      <c r="AP503" s="64"/>
      <c r="AQ503" s="80"/>
      <c r="AR503" s="64"/>
      <c r="AS503" s="679" t="s">
        <v>294</v>
      </c>
      <c r="AT503" s="350"/>
      <c r="AU503" s="350"/>
      <c r="AV503" s="350"/>
      <c r="AW503" s="350"/>
      <c r="AX503" s="350"/>
      <c r="AY503" s="351"/>
      <c r="AZ503" s="81"/>
      <c r="BA503" s="81"/>
      <c r="BB503" s="677" t="s">
        <v>325</v>
      </c>
      <c r="BC503" s="351"/>
      <c r="BD503" s="681" t="s">
        <v>294</v>
      </c>
      <c r="BE503" s="350"/>
      <c r="BF503" s="351"/>
      <c r="BG503" s="678" t="s">
        <v>294</v>
      </c>
      <c r="BH503" s="350"/>
      <c r="BI503" s="350"/>
      <c r="BJ503" s="351"/>
      <c r="BK503" s="680"/>
      <c r="BL503" s="350"/>
      <c r="BM503" s="351"/>
      <c r="BN503" s="82"/>
      <c r="BO503" s="82"/>
      <c r="BP503" s="678"/>
      <c r="BQ503" s="350"/>
      <c r="BR503" s="351"/>
      <c r="BS503" s="681" t="s">
        <v>294</v>
      </c>
      <c r="BT503" s="350"/>
      <c r="BU503" s="351"/>
    </row>
    <row r="504" spans="1:73" ht="30" customHeight="1">
      <c r="A504" s="76">
        <f t="shared" si="1"/>
        <v>490</v>
      </c>
      <c r="B504" s="686" t="s">
        <v>325</v>
      </c>
      <c r="C504" s="351"/>
      <c r="D504" s="687" t="s">
        <v>294</v>
      </c>
      <c r="E504" s="350"/>
      <c r="F504" s="350"/>
      <c r="G504" s="351"/>
      <c r="H504" s="688" t="s">
        <v>294</v>
      </c>
      <c r="I504" s="350"/>
      <c r="J504" s="350"/>
      <c r="K504" s="351"/>
      <c r="L504" s="538" t="s">
        <v>294</v>
      </c>
      <c r="M504" s="350"/>
      <c r="N504" s="351"/>
      <c r="O504" s="539" t="s">
        <v>294</v>
      </c>
      <c r="P504" s="350"/>
      <c r="Q504" s="351"/>
      <c r="R504" s="574"/>
      <c r="S504" s="350"/>
      <c r="T504" s="351"/>
      <c r="U504" s="567"/>
      <c r="V504" s="350"/>
      <c r="W504" s="351"/>
      <c r="X504" s="77"/>
      <c r="Y504" s="78"/>
      <c r="Z504" s="77"/>
      <c r="AA504" s="78"/>
      <c r="AB504" s="77"/>
      <c r="AC504" s="78"/>
      <c r="AD504" s="77"/>
      <c r="AE504" s="78"/>
      <c r="AF504" s="77"/>
      <c r="AG504" s="78"/>
      <c r="AH504" s="77"/>
      <c r="AI504" s="78"/>
      <c r="AJ504" s="64"/>
      <c r="AK504" s="80"/>
      <c r="AL504" s="64"/>
      <c r="AM504" s="80"/>
      <c r="AN504" s="64"/>
      <c r="AO504" s="80"/>
      <c r="AP504" s="64"/>
      <c r="AQ504" s="80"/>
      <c r="AR504" s="64"/>
      <c r="AS504" s="679" t="s">
        <v>294</v>
      </c>
      <c r="AT504" s="350"/>
      <c r="AU504" s="350"/>
      <c r="AV504" s="350"/>
      <c r="AW504" s="350"/>
      <c r="AX504" s="350"/>
      <c r="AY504" s="351"/>
      <c r="AZ504" s="81"/>
      <c r="BA504" s="81"/>
      <c r="BB504" s="677" t="s">
        <v>325</v>
      </c>
      <c r="BC504" s="351"/>
      <c r="BD504" s="681" t="s">
        <v>294</v>
      </c>
      <c r="BE504" s="350"/>
      <c r="BF504" s="351"/>
      <c r="BG504" s="678" t="s">
        <v>294</v>
      </c>
      <c r="BH504" s="350"/>
      <c r="BI504" s="350"/>
      <c r="BJ504" s="351"/>
      <c r="BK504" s="680"/>
      <c r="BL504" s="350"/>
      <c r="BM504" s="351"/>
      <c r="BN504" s="82"/>
      <c r="BO504" s="82"/>
      <c r="BP504" s="678"/>
      <c r="BQ504" s="350"/>
      <c r="BR504" s="351"/>
      <c r="BS504" s="681" t="s">
        <v>294</v>
      </c>
      <c r="BT504" s="350"/>
      <c r="BU504" s="351"/>
    </row>
    <row r="505" spans="1:73" ht="30" customHeight="1">
      <c r="A505" s="76">
        <f t="shared" si="1"/>
        <v>491</v>
      </c>
      <c r="B505" s="686" t="s">
        <v>325</v>
      </c>
      <c r="C505" s="351"/>
      <c r="D505" s="687" t="s">
        <v>294</v>
      </c>
      <c r="E505" s="350"/>
      <c r="F505" s="350"/>
      <c r="G505" s="351"/>
      <c r="H505" s="688" t="s">
        <v>294</v>
      </c>
      <c r="I505" s="350"/>
      <c r="J505" s="350"/>
      <c r="K505" s="351"/>
      <c r="L505" s="538" t="s">
        <v>294</v>
      </c>
      <c r="M505" s="350"/>
      <c r="N505" s="351"/>
      <c r="O505" s="539" t="s">
        <v>294</v>
      </c>
      <c r="P505" s="350"/>
      <c r="Q505" s="351"/>
      <c r="R505" s="574"/>
      <c r="S505" s="350"/>
      <c r="T505" s="351"/>
      <c r="U505" s="567"/>
      <c r="V505" s="350"/>
      <c r="W505" s="351"/>
      <c r="X505" s="77"/>
      <c r="Y505" s="78"/>
      <c r="Z505" s="77"/>
      <c r="AA505" s="78"/>
      <c r="AB505" s="77"/>
      <c r="AC505" s="78"/>
      <c r="AD505" s="77"/>
      <c r="AE505" s="78"/>
      <c r="AF505" s="77"/>
      <c r="AG505" s="78"/>
      <c r="AH505" s="77"/>
      <c r="AI505" s="78"/>
      <c r="AJ505" s="64"/>
      <c r="AK505" s="80"/>
      <c r="AL505" s="64"/>
      <c r="AM505" s="80"/>
      <c r="AN505" s="64"/>
      <c r="AO505" s="80"/>
      <c r="AP505" s="64"/>
      <c r="AQ505" s="80"/>
      <c r="AR505" s="64"/>
      <c r="AS505" s="679" t="s">
        <v>294</v>
      </c>
      <c r="AT505" s="350"/>
      <c r="AU505" s="350"/>
      <c r="AV505" s="350"/>
      <c r="AW505" s="350"/>
      <c r="AX505" s="350"/>
      <c r="AY505" s="351"/>
      <c r="AZ505" s="81"/>
      <c r="BA505" s="81"/>
      <c r="BB505" s="677" t="s">
        <v>325</v>
      </c>
      <c r="BC505" s="351"/>
      <c r="BD505" s="681" t="s">
        <v>294</v>
      </c>
      <c r="BE505" s="350"/>
      <c r="BF505" s="351"/>
      <c r="BG505" s="678" t="s">
        <v>294</v>
      </c>
      <c r="BH505" s="350"/>
      <c r="BI505" s="350"/>
      <c r="BJ505" s="351"/>
      <c r="BK505" s="680"/>
      <c r="BL505" s="350"/>
      <c r="BM505" s="351"/>
      <c r="BN505" s="82"/>
      <c r="BO505" s="82"/>
      <c r="BP505" s="678"/>
      <c r="BQ505" s="350"/>
      <c r="BR505" s="351"/>
      <c r="BS505" s="681" t="s">
        <v>294</v>
      </c>
      <c r="BT505" s="350"/>
      <c r="BU505" s="351"/>
    </row>
    <row r="506" spans="1:73" ht="30" customHeight="1">
      <c r="A506" s="76">
        <f t="shared" si="1"/>
        <v>492</v>
      </c>
      <c r="B506" s="686" t="s">
        <v>325</v>
      </c>
      <c r="C506" s="351"/>
      <c r="D506" s="687" t="s">
        <v>294</v>
      </c>
      <c r="E506" s="350"/>
      <c r="F506" s="350"/>
      <c r="G506" s="351"/>
      <c r="H506" s="688" t="s">
        <v>294</v>
      </c>
      <c r="I506" s="350"/>
      <c r="J506" s="350"/>
      <c r="K506" s="351"/>
      <c r="L506" s="538" t="s">
        <v>294</v>
      </c>
      <c r="M506" s="350"/>
      <c r="N506" s="351"/>
      <c r="O506" s="539" t="s">
        <v>294</v>
      </c>
      <c r="P506" s="350"/>
      <c r="Q506" s="351"/>
      <c r="R506" s="574"/>
      <c r="S506" s="350"/>
      <c r="T506" s="351"/>
      <c r="U506" s="567"/>
      <c r="V506" s="350"/>
      <c r="W506" s="351"/>
      <c r="X506" s="77"/>
      <c r="Y506" s="78"/>
      <c r="Z506" s="77"/>
      <c r="AA506" s="78"/>
      <c r="AB506" s="77"/>
      <c r="AC506" s="78"/>
      <c r="AD506" s="77"/>
      <c r="AE506" s="78"/>
      <c r="AF506" s="77"/>
      <c r="AG506" s="78"/>
      <c r="AH506" s="77"/>
      <c r="AI506" s="78"/>
      <c r="AJ506" s="64"/>
      <c r="AK506" s="80"/>
      <c r="AL506" s="64"/>
      <c r="AM506" s="80"/>
      <c r="AN506" s="64"/>
      <c r="AO506" s="80"/>
      <c r="AP506" s="64"/>
      <c r="AQ506" s="80"/>
      <c r="AR506" s="64"/>
      <c r="AS506" s="679" t="s">
        <v>294</v>
      </c>
      <c r="AT506" s="350"/>
      <c r="AU506" s="350"/>
      <c r="AV506" s="350"/>
      <c r="AW506" s="350"/>
      <c r="AX506" s="350"/>
      <c r="AY506" s="351"/>
      <c r="AZ506" s="81"/>
      <c r="BA506" s="81"/>
      <c r="BB506" s="677" t="s">
        <v>325</v>
      </c>
      <c r="BC506" s="351"/>
      <c r="BD506" s="681" t="s">
        <v>294</v>
      </c>
      <c r="BE506" s="350"/>
      <c r="BF506" s="351"/>
      <c r="BG506" s="678" t="s">
        <v>294</v>
      </c>
      <c r="BH506" s="350"/>
      <c r="BI506" s="350"/>
      <c r="BJ506" s="351"/>
      <c r="BK506" s="680"/>
      <c r="BL506" s="350"/>
      <c r="BM506" s="351"/>
      <c r="BN506" s="82"/>
      <c r="BO506" s="82"/>
      <c r="BP506" s="678"/>
      <c r="BQ506" s="350"/>
      <c r="BR506" s="351"/>
      <c r="BS506" s="681" t="s">
        <v>294</v>
      </c>
      <c r="BT506" s="350"/>
      <c r="BU506" s="351"/>
    </row>
    <row r="507" spans="1:73" ht="30" customHeight="1">
      <c r="A507" s="76">
        <f t="shared" si="1"/>
        <v>493</v>
      </c>
      <c r="B507" s="686" t="s">
        <v>325</v>
      </c>
      <c r="C507" s="351"/>
      <c r="D507" s="687" t="s">
        <v>294</v>
      </c>
      <c r="E507" s="350"/>
      <c r="F507" s="350"/>
      <c r="G507" s="351"/>
      <c r="H507" s="688" t="s">
        <v>294</v>
      </c>
      <c r="I507" s="350"/>
      <c r="J507" s="350"/>
      <c r="K507" s="351"/>
      <c r="L507" s="538" t="s">
        <v>294</v>
      </c>
      <c r="M507" s="350"/>
      <c r="N507" s="351"/>
      <c r="O507" s="539" t="s">
        <v>294</v>
      </c>
      <c r="P507" s="350"/>
      <c r="Q507" s="351"/>
      <c r="R507" s="574"/>
      <c r="S507" s="350"/>
      <c r="T507" s="351"/>
      <c r="U507" s="567"/>
      <c r="V507" s="350"/>
      <c r="W507" s="351"/>
      <c r="X507" s="77"/>
      <c r="Y507" s="78"/>
      <c r="Z507" s="77"/>
      <c r="AA507" s="78"/>
      <c r="AB507" s="77"/>
      <c r="AC507" s="78"/>
      <c r="AD507" s="77"/>
      <c r="AE507" s="78"/>
      <c r="AF507" s="77"/>
      <c r="AG507" s="78"/>
      <c r="AH507" s="77"/>
      <c r="AI507" s="78"/>
      <c r="AJ507" s="64"/>
      <c r="AK507" s="80"/>
      <c r="AL507" s="64"/>
      <c r="AM507" s="80"/>
      <c r="AN507" s="64"/>
      <c r="AO507" s="80"/>
      <c r="AP507" s="64"/>
      <c r="AQ507" s="80"/>
      <c r="AR507" s="64"/>
      <c r="AS507" s="679" t="s">
        <v>294</v>
      </c>
      <c r="AT507" s="350"/>
      <c r="AU507" s="350"/>
      <c r="AV507" s="350"/>
      <c r="AW507" s="350"/>
      <c r="AX507" s="350"/>
      <c r="AY507" s="351"/>
      <c r="AZ507" s="81"/>
      <c r="BA507" s="81"/>
      <c r="BB507" s="677" t="s">
        <v>325</v>
      </c>
      <c r="BC507" s="351"/>
      <c r="BD507" s="681" t="s">
        <v>294</v>
      </c>
      <c r="BE507" s="350"/>
      <c r="BF507" s="351"/>
      <c r="BG507" s="678" t="s">
        <v>294</v>
      </c>
      <c r="BH507" s="350"/>
      <c r="BI507" s="350"/>
      <c r="BJ507" s="351"/>
      <c r="BK507" s="680"/>
      <c r="BL507" s="350"/>
      <c r="BM507" s="351"/>
      <c r="BN507" s="82"/>
      <c r="BO507" s="82"/>
      <c r="BP507" s="678"/>
      <c r="BQ507" s="350"/>
      <c r="BR507" s="351"/>
      <c r="BS507" s="681" t="s">
        <v>294</v>
      </c>
      <c r="BT507" s="350"/>
      <c r="BU507" s="351"/>
    </row>
    <row r="508" spans="1:73" ht="30" customHeight="1">
      <c r="A508" s="76">
        <f t="shared" si="1"/>
        <v>494</v>
      </c>
      <c r="B508" s="686" t="s">
        <v>325</v>
      </c>
      <c r="C508" s="351"/>
      <c r="D508" s="687" t="s">
        <v>294</v>
      </c>
      <c r="E508" s="350"/>
      <c r="F508" s="350"/>
      <c r="G508" s="351"/>
      <c r="H508" s="688" t="s">
        <v>294</v>
      </c>
      <c r="I508" s="350"/>
      <c r="J508" s="350"/>
      <c r="K508" s="351"/>
      <c r="L508" s="538" t="s">
        <v>294</v>
      </c>
      <c r="M508" s="350"/>
      <c r="N508" s="351"/>
      <c r="O508" s="539" t="s">
        <v>294</v>
      </c>
      <c r="P508" s="350"/>
      <c r="Q508" s="351"/>
      <c r="R508" s="574"/>
      <c r="S508" s="350"/>
      <c r="T508" s="351"/>
      <c r="U508" s="567"/>
      <c r="V508" s="350"/>
      <c r="W508" s="351"/>
      <c r="X508" s="77"/>
      <c r="Y508" s="78"/>
      <c r="Z508" s="77"/>
      <c r="AA508" s="78"/>
      <c r="AB508" s="77"/>
      <c r="AC508" s="78"/>
      <c r="AD508" s="77"/>
      <c r="AE508" s="78"/>
      <c r="AF508" s="77"/>
      <c r="AG508" s="78"/>
      <c r="AH508" s="77"/>
      <c r="AI508" s="78"/>
      <c r="AJ508" s="64"/>
      <c r="AK508" s="80"/>
      <c r="AL508" s="64"/>
      <c r="AM508" s="80"/>
      <c r="AN508" s="64"/>
      <c r="AO508" s="80"/>
      <c r="AP508" s="64"/>
      <c r="AQ508" s="80"/>
      <c r="AR508" s="64"/>
      <c r="AS508" s="679" t="s">
        <v>294</v>
      </c>
      <c r="AT508" s="350"/>
      <c r="AU508" s="350"/>
      <c r="AV508" s="350"/>
      <c r="AW508" s="350"/>
      <c r="AX508" s="350"/>
      <c r="AY508" s="351"/>
      <c r="AZ508" s="81"/>
      <c r="BA508" s="81"/>
      <c r="BB508" s="677" t="s">
        <v>325</v>
      </c>
      <c r="BC508" s="351"/>
      <c r="BD508" s="681" t="s">
        <v>294</v>
      </c>
      <c r="BE508" s="350"/>
      <c r="BF508" s="351"/>
      <c r="BG508" s="678" t="s">
        <v>294</v>
      </c>
      <c r="BH508" s="350"/>
      <c r="BI508" s="350"/>
      <c r="BJ508" s="351"/>
      <c r="BK508" s="680"/>
      <c r="BL508" s="350"/>
      <c r="BM508" s="351"/>
      <c r="BN508" s="82"/>
      <c r="BO508" s="82"/>
      <c r="BP508" s="678"/>
      <c r="BQ508" s="350"/>
      <c r="BR508" s="351"/>
      <c r="BS508" s="681" t="s">
        <v>294</v>
      </c>
      <c r="BT508" s="350"/>
      <c r="BU508" s="351"/>
    </row>
    <row r="509" spans="1:73" ht="30" customHeight="1">
      <c r="A509" s="76">
        <f t="shared" si="1"/>
        <v>495</v>
      </c>
      <c r="B509" s="686" t="s">
        <v>325</v>
      </c>
      <c r="C509" s="351"/>
      <c r="D509" s="687" t="s">
        <v>294</v>
      </c>
      <c r="E509" s="350"/>
      <c r="F509" s="350"/>
      <c r="G509" s="351"/>
      <c r="H509" s="688" t="s">
        <v>294</v>
      </c>
      <c r="I509" s="350"/>
      <c r="J509" s="350"/>
      <c r="K509" s="351"/>
      <c r="L509" s="538" t="s">
        <v>294</v>
      </c>
      <c r="M509" s="350"/>
      <c r="N509" s="351"/>
      <c r="O509" s="539" t="s">
        <v>294</v>
      </c>
      <c r="P509" s="350"/>
      <c r="Q509" s="351"/>
      <c r="R509" s="574"/>
      <c r="S509" s="350"/>
      <c r="T509" s="351"/>
      <c r="U509" s="567"/>
      <c r="V509" s="350"/>
      <c r="W509" s="351"/>
      <c r="X509" s="77"/>
      <c r="Y509" s="78"/>
      <c r="Z509" s="77"/>
      <c r="AA509" s="78"/>
      <c r="AB509" s="77"/>
      <c r="AC509" s="78"/>
      <c r="AD509" s="77"/>
      <c r="AE509" s="78"/>
      <c r="AF509" s="77"/>
      <c r="AG509" s="78"/>
      <c r="AH509" s="77"/>
      <c r="AI509" s="78"/>
      <c r="AJ509" s="64"/>
      <c r="AK509" s="80"/>
      <c r="AL509" s="64"/>
      <c r="AM509" s="80"/>
      <c r="AN509" s="64"/>
      <c r="AO509" s="80"/>
      <c r="AP509" s="64"/>
      <c r="AQ509" s="80"/>
      <c r="AR509" s="64"/>
      <c r="AS509" s="679" t="s">
        <v>294</v>
      </c>
      <c r="AT509" s="350"/>
      <c r="AU509" s="350"/>
      <c r="AV509" s="350"/>
      <c r="AW509" s="350"/>
      <c r="AX509" s="350"/>
      <c r="AY509" s="351"/>
      <c r="AZ509" s="81"/>
      <c r="BA509" s="81"/>
      <c r="BB509" s="677" t="s">
        <v>325</v>
      </c>
      <c r="BC509" s="351"/>
      <c r="BD509" s="681" t="s">
        <v>294</v>
      </c>
      <c r="BE509" s="350"/>
      <c r="BF509" s="351"/>
      <c r="BG509" s="678" t="s">
        <v>294</v>
      </c>
      <c r="BH509" s="350"/>
      <c r="BI509" s="350"/>
      <c r="BJ509" s="351"/>
      <c r="BK509" s="680"/>
      <c r="BL509" s="350"/>
      <c r="BM509" s="351"/>
      <c r="BN509" s="82"/>
      <c r="BO509" s="82"/>
      <c r="BP509" s="678"/>
      <c r="BQ509" s="350"/>
      <c r="BR509" s="351"/>
      <c r="BS509" s="681" t="s">
        <v>294</v>
      </c>
      <c r="BT509" s="350"/>
      <c r="BU509" s="351"/>
    </row>
    <row r="510" spans="1:73" ht="30" customHeight="1">
      <c r="A510" s="76">
        <f t="shared" si="1"/>
        <v>496</v>
      </c>
      <c r="B510" s="686" t="s">
        <v>325</v>
      </c>
      <c r="C510" s="351"/>
      <c r="D510" s="687" t="s">
        <v>294</v>
      </c>
      <c r="E510" s="350"/>
      <c r="F510" s="350"/>
      <c r="G510" s="351"/>
      <c r="H510" s="688" t="s">
        <v>294</v>
      </c>
      <c r="I510" s="350"/>
      <c r="J510" s="350"/>
      <c r="K510" s="351"/>
      <c r="L510" s="538" t="s">
        <v>294</v>
      </c>
      <c r="M510" s="350"/>
      <c r="N510" s="351"/>
      <c r="O510" s="539" t="s">
        <v>294</v>
      </c>
      <c r="P510" s="350"/>
      <c r="Q510" s="351"/>
      <c r="R510" s="574"/>
      <c r="S510" s="350"/>
      <c r="T510" s="351"/>
      <c r="U510" s="567"/>
      <c r="V510" s="350"/>
      <c r="W510" s="351"/>
      <c r="X510" s="77"/>
      <c r="Y510" s="78"/>
      <c r="Z510" s="77"/>
      <c r="AA510" s="78"/>
      <c r="AB510" s="77"/>
      <c r="AC510" s="78"/>
      <c r="AD510" s="77"/>
      <c r="AE510" s="78"/>
      <c r="AF510" s="77"/>
      <c r="AG510" s="78"/>
      <c r="AH510" s="77"/>
      <c r="AI510" s="78"/>
      <c r="AJ510" s="64"/>
      <c r="AK510" s="80"/>
      <c r="AL510" s="64"/>
      <c r="AM510" s="80"/>
      <c r="AN510" s="64"/>
      <c r="AO510" s="80"/>
      <c r="AP510" s="64"/>
      <c r="AQ510" s="80"/>
      <c r="AR510" s="64"/>
      <c r="AS510" s="679" t="s">
        <v>294</v>
      </c>
      <c r="AT510" s="350"/>
      <c r="AU510" s="350"/>
      <c r="AV510" s="350"/>
      <c r="AW510" s="350"/>
      <c r="AX510" s="350"/>
      <c r="AY510" s="351"/>
      <c r="AZ510" s="81"/>
      <c r="BA510" s="81"/>
      <c r="BB510" s="677" t="s">
        <v>325</v>
      </c>
      <c r="BC510" s="351"/>
      <c r="BD510" s="681" t="s">
        <v>294</v>
      </c>
      <c r="BE510" s="350"/>
      <c r="BF510" s="351"/>
      <c r="BG510" s="678" t="s">
        <v>294</v>
      </c>
      <c r="BH510" s="350"/>
      <c r="BI510" s="350"/>
      <c r="BJ510" s="351"/>
      <c r="BK510" s="680"/>
      <c r="BL510" s="350"/>
      <c r="BM510" s="351"/>
      <c r="BN510" s="82"/>
      <c r="BO510" s="82"/>
      <c r="BP510" s="678"/>
      <c r="BQ510" s="350"/>
      <c r="BR510" s="351"/>
      <c r="BS510" s="681" t="s">
        <v>294</v>
      </c>
      <c r="BT510" s="350"/>
      <c r="BU510" s="351"/>
    </row>
    <row r="511" spans="1:73" ht="30" customHeight="1">
      <c r="A511" s="76">
        <f t="shared" si="1"/>
        <v>497</v>
      </c>
      <c r="B511" s="686" t="s">
        <v>325</v>
      </c>
      <c r="C511" s="351"/>
      <c r="D511" s="687" t="s">
        <v>294</v>
      </c>
      <c r="E511" s="350"/>
      <c r="F511" s="350"/>
      <c r="G511" s="351"/>
      <c r="H511" s="688" t="s">
        <v>294</v>
      </c>
      <c r="I511" s="350"/>
      <c r="J511" s="350"/>
      <c r="K511" s="351"/>
      <c r="L511" s="538" t="s">
        <v>294</v>
      </c>
      <c r="M511" s="350"/>
      <c r="N511" s="351"/>
      <c r="O511" s="539" t="s">
        <v>294</v>
      </c>
      <c r="P511" s="350"/>
      <c r="Q511" s="351"/>
      <c r="R511" s="574"/>
      <c r="S511" s="350"/>
      <c r="T511" s="351"/>
      <c r="U511" s="567"/>
      <c r="V511" s="350"/>
      <c r="W511" s="351"/>
      <c r="X511" s="77"/>
      <c r="Y511" s="78"/>
      <c r="Z511" s="77"/>
      <c r="AA511" s="78"/>
      <c r="AB511" s="77"/>
      <c r="AC511" s="78"/>
      <c r="AD511" s="77"/>
      <c r="AE511" s="78"/>
      <c r="AF511" s="77"/>
      <c r="AG511" s="78"/>
      <c r="AH511" s="77"/>
      <c r="AI511" s="78"/>
      <c r="AJ511" s="64"/>
      <c r="AK511" s="80"/>
      <c r="AL511" s="64"/>
      <c r="AM511" s="80"/>
      <c r="AN511" s="64"/>
      <c r="AO511" s="80"/>
      <c r="AP511" s="64"/>
      <c r="AQ511" s="80"/>
      <c r="AR511" s="64"/>
      <c r="AS511" s="679" t="s">
        <v>294</v>
      </c>
      <c r="AT511" s="350"/>
      <c r="AU511" s="350"/>
      <c r="AV511" s="350"/>
      <c r="AW511" s="350"/>
      <c r="AX511" s="350"/>
      <c r="AY511" s="351"/>
      <c r="AZ511" s="81"/>
      <c r="BA511" s="81"/>
      <c r="BB511" s="677" t="s">
        <v>325</v>
      </c>
      <c r="BC511" s="351"/>
      <c r="BD511" s="681" t="s">
        <v>294</v>
      </c>
      <c r="BE511" s="350"/>
      <c r="BF511" s="351"/>
      <c r="BG511" s="678" t="s">
        <v>294</v>
      </c>
      <c r="BH511" s="350"/>
      <c r="BI511" s="350"/>
      <c r="BJ511" s="351"/>
      <c r="BK511" s="680"/>
      <c r="BL511" s="350"/>
      <c r="BM511" s="351"/>
      <c r="BN511" s="82"/>
      <c r="BO511" s="82"/>
      <c r="BP511" s="678"/>
      <c r="BQ511" s="350"/>
      <c r="BR511" s="351"/>
      <c r="BS511" s="681" t="s">
        <v>294</v>
      </c>
      <c r="BT511" s="350"/>
      <c r="BU511" s="351"/>
    </row>
    <row r="512" spans="1:73" ht="30" customHeight="1">
      <c r="A512" s="76">
        <f t="shared" si="1"/>
        <v>498</v>
      </c>
      <c r="B512" s="686" t="s">
        <v>325</v>
      </c>
      <c r="C512" s="351"/>
      <c r="D512" s="687" t="s">
        <v>294</v>
      </c>
      <c r="E512" s="350"/>
      <c r="F512" s="350"/>
      <c r="G512" s="351"/>
      <c r="H512" s="688" t="s">
        <v>294</v>
      </c>
      <c r="I512" s="350"/>
      <c r="J512" s="350"/>
      <c r="K512" s="351"/>
      <c r="L512" s="538" t="s">
        <v>294</v>
      </c>
      <c r="M512" s="350"/>
      <c r="N512" s="351"/>
      <c r="O512" s="539" t="s">
        <v>294</v>
      </c>
      <c r="P512" s="350"/>
      <c r="Q512" s="351"/>
      <c r="R512" s="574"/>
      <c r="S512" s="350"/>
      <c r="T512" s="351"/>
      <c r="U512" s="567"/>
      <c r="V512" s="350"/>
      <c r="W512" s="351"/>
      <c r="X512" s="77"/>
      <c r="Y512" s="78"/>
      <c r="Z512" s="77"/>
      <c r="AA512" s="78"/>
      <c r="AB512" s="77"/>
      <c r="AC512" s="78"/>
      <c r="AD512" s="77"/>
      <c r="AE512" s="78"/>
      <c r="AF512" s="77"/>
      <c r="AG512" s="78"/>
      <c r="AH512" s="77"/>
      <c r="AI512" s="78"/>
      <c r="AJ512" s="64"/>
      <c r="AK512" s="80"/>
      <c r="AL512" s="64"/>
      <c r="AM512" s="80"/>
      <c r="AN512" s="64"/>
      <c r="AO512" s="80"/>
      <c r="AP512" s="64"/>
      <c r="AQ512" s="80"/>
      <c r="AR512" s="64"/>
      <c r="AS512" s="679" t="s">
        <v>294</v>
      </c>
      <c r="AT512" s="350"/>
      <c r="AU512" s="350"/>
      <c r="AV512" s="350"/>
      <c r="AW512" s="350"/>
      <c r="AX512" s="350"/>
      <c r="AY512" s="351"/>
      <c r="AZ512" s="81"/>
      <c r="BA512" s="81"/>
      <c r="BB512" s="677" t="s">
        <v>325</v>
      </c>
      <c r="BC512" s="351"/>
      <c r="BD512" s="681" t="s">
        <v>294</v>
      </c>
      <c r="BE512" s="350"/>
      <c r="BF512" s="351"/>
      <c r="BG512" s="678" t="s">
        <v>294</v>
      </c>
      <c r="BH512" s="350"/>
      <c r="BI512" s="350"/>
      <c r="BJ512" s="351"/>
      <c r="BK512" s="680"/>
      <c r="BL512" s="350"/>
      <c r="BM512" s="351"/>
      <c r="BN512" s="82"/>
      <c r="BO512" s="82"/>
      <c r="BP512" s="678"/>
      <c r="BQ512" s="350"/>
      <c r="BR512" s="351"/>
      <c r="BS512" s="681" t="s">
        <v>294</v>
      </c>
      <c r="BT512" s="350"/>
      <c r="BU512" s="351"/>
    </row>
    <row r="513" spans="1:73" ht="30" customHeight="1">
      <c r="A513" s="76">
        <f t="shared" si="1"/>
        <v>499</v>
      </c>
      <c r="B513" s="686" t="s">
        <v>325</v>
      </c>
      <c r="C513" s="351"/>
      <c r="D513" s="687" t="s">
        <v>294</v>
      </c>
      <c r="E513" s="350"/>
      <c r="F513" s="350"/>
      <c r="G513" s="351"/>
      <c r="H513" s="688" t="s">
        <v>294</v>
      </c>
      <c r="I513" s="350"/>
      <c r="J513" s="350"/>
      <c r="K513" s="351"/>
      <c r="L513" s="538" t="s">
        <v>294</v>
      </c>
      <c r="M513" s="350"/>
      <c r="N513" s="351"/>
      <c r="O513" s="539" t="s">
        <v>294</v>
      </c>
      <c r="P513" s="350"/>
      <c r="Q513" s="351"/>
      <c r="R513" s="574"/>
      <c r="S513" s="350"/>
      <c r="T513" s="351"/>
      <c r="U513" s="567"/>
      <c r="V513" s="350"/>
      <c r="W513" s="351"/>
      <c r="X513" s="77"/>
      <c r="Y513" s="78"/>
      <c r="Z513" s="77"/>
      <c r="AA513" s="78"/>
      <c r="AB513" s="77"/>
      <c r="AC513" s="78"/>
      <c r="AD513" s="77"/>
      <c r="AE513" s="78"/>
      <c r="AF513" s="77"/>
      <c r="AG513" s="78"/>
      <c r="AH513" s="77"/>
      <c r="AI513" s="78"/>
      <c r="AJ513" s="64"/>
      <c r="AK513" s="80"/>
      <c r="AL513" s="64"/>
      <c r="AM513" s="80"/>
      <c r="AN513" s="64"/>
      <c r="AO513" s="80"/>
      <c r="AP513" s="64"/>
      <c r="AQ513" s="80"/>
      <c r="AR513" s="64"/>
      <c r="AS513" s="679" t="s">
        <v>294</v>
      </c>
      <c r="AT513" s="350"/>
      <c r="AU513" s="350"/>
      <c r="AV513" s="350"/>
      <c r="AW513" s="350"/>
      <c r="AX513" s="350"/>
      <c r="AY513" s="351"/>
      <c r="AZ513" s="81"/>
      <c r="BA513" s="81"/>
      <c r="BB513" s="677" t="s">
        <v>325</v>
      </c>
      <c r="BC513" s="351"/>
      <c r="BD513" s="681" t="s">
        <v>294</v>
      </c>
      <c r="BE513" s="350"/>
      <c r="BF513" s="351"/>
      <c r="BG513" s="678" t="s">
        <v>294</v>
      </c>
      <c r="BH513" s="350"/>
      <c r="BI513" s="350"/>
      <c r="BJ513" s="351"/>
      <c r="BK513" s="680"/>
      <c r="BL513" s="350"/>
      <c r="BM513" s="351"/>
      <c r="BN513" s="82"/>
      <c r="BO513" s="82"/>
      <c r="BP513" s="678"/>
      <c r="BQ513" s="350"/>
      <c r="BR513" s="351"/>
      <c r="BS513" s="681" t="s">
        <v>294</v>
      </c>
      <c r="BT513" s="350"/>
      <c r="BU513" s="351"/>
    </row>
    <row r="514" spans="1:73" ht="30" customHeight="1">
      <c r="A514" s="76">
        <f t="shared" si="1"/>
        <v>500</v>
      </c>
      <c r="B514" s="686" t="s">
        <v>325</v>
      </c>
      <c r="C514" s="351"/>
      <c r="D514" s="687" t="s">
        <v>294</v>
      </c>
      <c r="E514" s="350"/>
      <c r="F514" s="350"/>
      <c r="G514" s="351"/>
      <c r="H514" s="688" t="s">
        <v>294</v>
      </c>
      <c r="I514" s="350"/>
      <c r="J514" s="350"/>
      <c r="K514" s="351"/>
      <c r="L514" s="538" t="s">
        <v>294</v>
      </c>
      <c r="M514" s="350"/>
      <c r="N514" s="351"/>
      <c r="O514" s="539" t="s">
        <v>294</v>
      </c>
      <c r="P514" s="350"/>
      <c r="Q514" s="351"/>
      <c r="R514" s="574"/>
      <c r="S514" s="350"/>
      <c r="T514" s="351"/>
      <c r="U514" s="567"/>
      <c r="V514" s="350"/>
      <c r="W514" s="351"/>
      <c r="X514" s="77"/>
      <c r="Y514" s="78"/>
      <c r="Z514" s="77"/>
      <c r="AA514" s="78"/>
      <c r="AB514" s="77"/>
      <c r="AC514" s="78"/>
      <c r="AD514" s="77"/>
      <c r="AE514" s="78"/>
      <c r="AF514" s="77"/>
      <c r="AG514" s="78"/>
      <c r="AH514" s="77"/>
      <c r="AI514" s="78"/>
      <c r="AJ514" s="64"/>
      <c r="AK514" s="80"/>
      <c r="AL514" s="64"/>
      <c r="AM514" s="80"/>
      <c r="AN514" s="64"/>
      <c r="AO514" s="80"/>
      <c r="AP514" s="64"/>
      <c r="AQ514" s="80"/>
      <c r="AR514" s="64"/>
      <c r="AS514" s="722" t="s">
        <v>294</v>
      </c>
      <c r="AT514" s="378"/>
      <c r="AU514" s="378"/>
      <c r="AV514" s="378"/>
      <c r="AW514" s="378"/>
      <c r="AX514" s="378"/>
      <c r="AY514" s="379"/>
      <c r="AZ514" s="83"/>
      <c r="BA514" s="83"/>
      <c r="BB514" s="677" t="s">
        <v>325</v>
      </c>
      <c r="BC514" s="351"/>
      <c r="BD514" s="682" t="s">
        <v>294</v>
      </c>
      <c r="BE514" s="378"/>
      <c r="BF514" s="379"/>
      <c r="BG514" s="683" t="s">
        <v>294</v>
      </c>
      <c r="BH514" s="378"/>
      <c r="BI514" s="378"/>
      <c r="BJ514" s="379"/>
      <c r="BK514" s="684"/>
      <c r="BL514" s="378"/>
      <c r="BM514" s="379"/>
      <c r="BN514" s="84"/>
      <c r="BO514" s="84"/>
      <c r="BP514" s="683"/>
      <c r="BQ514" s="378"/>
      <c r="BR514" s="379"/>
      <c r="BS514" s="682" t="s">
        <v>294</v>
      </c>
      <c r="BT514" s="378"/>
      <c r="BU514" s="379"/>
    </row>
    <row r="515" spans="1:73" ht="15.75" customHeight="1">
      <c r="AV515" s="85"/>
      <c r="AW515" s="85"/>
      <c r="AX515" s="85"/>
      <c r="AY515" s="85"/>
      <c r="AZ515" s="86"/>
      <c r="BA515" s="86"/>
      <c r="BB515" s="87"/>
      <c r="BC515" s="88"/>
      <c r="BD515" s="85"/>
      <c r="BE515" s="85"/>
      <c r="BF515" s="85"/>
      <c r="BG515" s="85"/>
      <c r="BH515" s="85"/>
      <c r="BI515" s="85"/>
      <c r="BJ515" s="85"/>
      <c r="BK515" s="89"/>
      <c r="BL515" s="89"/>
      <c r="BM515" s="89"/>
      <c r="BN515" s="89"/>
      <c r="BO515" s="89"/>
      <c r="BP515" s="85"/>
      <c r="BQ515" s="85"/>
      <c r="BR515" s="85"/>
      <c r="BS515" s="85"/>
      <c r="BT515" s="85"/>
      <c r="BU515" s="85"/>
    </row>
    <row r="516" spans="1:73" ht="15.75" customHeight="1">
      <c r="AZ516" s="90"/>
      <c r="BA516" s="90"/>
      <c r="BB516" s="91"/>
      <c r="BC516" s="92"/>
      <c r="BK516" s="93"/>
      <c r="BL516" s="93"/>
      <c r="BM516" s="93"/>
      <c r="BN516" s="93"/>
      <c r="BO516" s="93"/>
    </row>
    <row r="517" spans="1:73" ht="15.75" customHeight="1">
      <c r="AZ517" s="90"/>
      <c r="BA517" s="90"/>
      <c r="BB517" s="94"/>
      <c r="BC517" s="42"/>
      <c r="BK517" s="93"/>
      <c r="BL517" s="93"/>
      <c r="BM517" s="93"/>
      <c r="BN517" s="93"/>
      <c r="BO517" s="93"/>
    </row>
    <row r="518" spans="1:73" ht="15.75" customHeight="1">
      <c r="AZ518" s="90"/>
      <c r="BA518" s="90"/>
      <c r="BB518" s="94"/>
      <c r="BC518" s="42"/>
      <c r="BK518" s="93"/>
      <c r="BL518" s="93"/>
      <c r="BM518" s="93"/>
      <c r="BN518" s="93"/>
      <c r="BO518" s="93"/>
    </row>
    <row r="519" spans="1:73" ht="15.75" customHeight="1">
      <c r="AZ519" s="90"/>
      <c r="BA519" s="90"/>
      <c r="BB519" s="94"/>
      <c r="BC519" s="42"/>
      <c r="BK519" s="93"/>
      <c r="BL519" s="93"/>
      <c r="BM519" s="93"/>
      <c r="BN519" s="93"/>
      <c r="BO519" s="93"/>
    </row>
    <row r="520" spans="1:73" ht="15.75" customHeight="1">
      <c r="AZ520" s="90"/>
      <c r="BA520" s="90"/>
      <c r="BB520" s="94"/>
      <c r="BC520" s="42"/>
      <c r="BK520" s="93"/>
      <c r="BL520" s="93"/>
      <c r="BM520" s="93"/>
      <c r="BN520" s="93"/>
      <c r="BO520" s="93"/>
    </row>
    <row r="521" spans="1:73" ht="15.75" customHeight="1">
      <c r="AZ521" s="90"/>
      <c r="BA521" s="90"/>
      <c r="BB521" s="94"/>
      <c r="BC521" s="42"/>
      <c r="BK521" s="93"/>
      <c r="BL521" s="93"/>
      <c r="BM521" s="93"/>
      <c r="BN521" s="93"/>
      <c r="BO521" s="93"/>
    </row>
    <row r="522" spans="1:73" ht="15.75" customHeight="1">
      <c r="AZ522" s="90"/>
      <c r="BA522" s="90"/>
      <c r="BB522" s="94"/>
      <c r="BC522" s="42"/>
      <c r="BK522" s="93"/>
      <c r="BL522" s="93"/>
      <c r="BM522" s="93"/>
      <c r="BN522" s="93"/>
      <c r="BO522" s="93"/>
    </row>
  </sheetData>
  <mergeCells count="7068">
    <mergeCell ref="B178:C178"/>
    <mergeCell ref="D178:G178"/>
    <mergeCell ref="H178:K178"/>
    <mergeCell ref="L178:N178"/>
    <mergeCell ref="O178:Q178"/>
    <mergeCell ref="R178:T178"/>
    <mergeCell ref="U178:W178"/>
    <mergeCell ref="B179:C179"/>
    <mergeCell ref="D179:G179"/>
    <mergeCell ref="H179:K179"/>
    <mergeCell ref="L179:N179"/>
    <mergeCell ref="O179:Q179"/>
    <mergeCell ref="R179:T179"/>
    <mergeCell ref="U179:W179"/>
    <mergeCell ref="B180:C180"/>
    <mergeCell ref="D180:G180"/>
    <mergeCell ref="H180:K180"/>
    <mergeCell ref="L180:N180"/>
    <mergeCell ref="O180:Q180"/>
    <mergeCell ref="R180:T180"/>
    <mergeCell ref="U180:W180"/>
    <mergeCell ref="B181:C181"/>
    <mergeCell ref="D181:G181"/>
    <mergeCell ref="H181:K181"/>
    <mergeCell ref="L181:N181"/>
    <mergeCell ref="O181:Q181"/>
    <mergeCell ref="R181:T181"/>
    <mergeCell ref="U181:W181"/>
    <mergeCell ref="B182:C182"/>
    <mergeCell ref="D182:G182"/>
    <mergeCell ref="H182:K182"/>
    <mergeCell ref="L182:N182"/>
    <mergeCell ref="O182:Q182"/>
    <mergeCell ref="R182:T182"/>
    <mergeCell ref="U182:W182"/>
    <mergeCell ref="B183:C183"/>
    <mergeCell ref="D183:G183"/>
    <mergeCell ref="H183:K183"/>
    <mergeCell ref="L183:N183"/>
    <mergeCell ref="O183:Q183"/>
    <mergeCell ref="R183:T183"/>
    <mergeCell ref="U183:W183"/>
    <mergeCell ref="B184:C184"/>
    <mergeCell ref="D184:G184"/>
    <mergeCell ref="H184:K184"/>
    <mergeCell ref="L184:N184"/>
    <mergeCell ref="O184:Q184"/>
    <mergeCell ref="R184:T184"/>
    <mergeCell ref="U184:W184"/>
    <mergeCell ref="B185:C185"/>
    <mergeCell ref="D185:G185"/>
    <mergeCell ref="H185:K185"/>
    <mergeCell ref="L185:N185"/>
    <mergeCell ref="O185:Q185"/>
    <mergeCell ref="R185:T185"/>
    <mergeCell ref="U185:W185"/>
    <mergeCell ref="B186:C186"/>
    <mergeCell ref="D186:G186"/>
    <mergeCell ref="H186:K186"/>
    <mergeCell ref="L186:N186"/>
    <mergeCell ref="O186:Q186"/>
    <mergeCell ref="R186:T186"/>
    <mergeCell ref="U186:W186"/>
    <mergeCell ref="B187:C187"/>
    <mergeCell ref="D187:G187"/>
    <mergeCell ref="H187:K187"/>
    <mergeCell ref="L187:N187"/>
    <mergeCell ref="O187:Q187"/>
    <mergeCell ref="R187:T187"/>
    <mergeCell ref="U187:W187"/>
    <mergeCell ref="B188:C188"/>
    <mergeCell ref="D188:G188"/>
    <mergeCell ref="H188:K188"/>
    <mergeCell ref="L188:N188"/>
    <mergeCell ref="O188:Q188"/>
    <mergeCell ref="R188:T188"/>
    <mergeCell ref="U188:W188"/>
    <mergeCell ref="B189:C189"/>
    <mergeCell ref="D189:G189"/>
    <mergeCell ref="H189:K189"/>
    <mergeCell ref="L189:N189"/>
    <mergeCell ref="O189:Q189"/>
    <mergeCell ref="R189:T189"/>
    <mergeCell ref="U189:W189"/>
    <mergeCell ref="B190:C190"/>
    <mergeCell ref="D190:G190"/>
    <mergeCell ref="H190:K190"/>
    <mergeCell ref="L190:N190"/>
    <mergeCell ref="O190:Q190"/>
    <mergeCell ref="R190:T190"/>
    <mergeCell ref="U190:W190"/>
    <mergeCell ref="B191:C191"/>
    <mergeCell ref="D191:G191"/>
    <mergeCell ref="H191:K191"/>
    <mergeCell ref="L191:N191"/>
    <mergeCell ref="O191:Q191"/>
    <mergeCell ref="R191:T191"/>
    <mergeCell ref="U191:W191"/>
    <mergeCell ref="B192:C192"/>
    <mergeCell ref="D192:G192"/>
    <mergeCell ref="H192:K192"/>
    <mergeCell ref="L192:N192"/>
    <mergeCell ref="O192:Q192"/>
    <mergeCell ref="R192:T192"/>
    <mergeCell ref="U192:W192"/>
    <mergeCell ref="B193:C193"/>
    <mergeCell ref="D193:G193"/>
    <mergeCell ref="H193:K193"/>
    <mergeCell ref="L193:N193"/>
    <mergeCell ref="O193:Q193"/>
    <mergeCell ref="R193:T193"/>
    <mergeCell ref="U193:W193"/>
    <mergeCell ref="B194:C194"/>
    <mergeCell ref="D194:G194"/>
    <mergeCell ref="H194:K194"/>
    <mergeCell ref="L194:N194"/>
    <mergeCell ref="O194:Q194"/>
    <mergeCell ref="R194:T194"/>
    <mergeCell ref="U194:W194"/>
    <mergeCell ref="B195:C195"/>
    <mergeCell ref="D195:G195"/>
    <mergeCell ref="H195:K195"/>
    <mergeCell ref="L195:N195"/>
    <mergeCell ref="O195:Q195"/>
    <mergeCell ref="R195:T195"/>
    <mergeCell ref="U195:W195"/>
    <mergeCell ref="B196:C196"/>
    <mergeCell ref="D196:G196"/>
    <mergeCell ref="H196:K196"/>
    <mergeCell ref="L196:N196"/>
    <mergeCell ref="O196:Q196"/>
    <mergeCell ref="R196:T196"/>
    <mergeCell ref="U196:W196"/>
    <mergeCell ref="B197:C197"/>
    <mergeCell ref="D197:G197"/>
    <mergeCell ref="H197:K197"/>
    <mergeCell ref="L197:N197"/>
    <mergeCell ref="O197:Q197"/>
    <mergeCell ref="R197:T197"/>
    <mergeCell ref="U197:W197"/>
    <mergeCell ref="B198:C198"/>
    <mergeCell ref="D198:G198"/>
    <mergeCell ref="H198:K198"/>
    <mergeCell ref="L198:N198"/>
    <mergeCell ref="O198:Q198"/>
    <mergeCell ref="R198:T198"/>
    <mergeCell ref="U198:W198"/>
    <mergeCell ref="B199:C199"/>
    <mergeCell ref="D199:G199"/>
    <mergeCell ref="H199:K199"/>
    <mergeCell ref="L199:N199"/>
    <mergeCell ref="O199:Q199"/>
    <mergeCell ref="R199:T199"/>
    <mergeCell ref="U199:W199"/>
    <mergeCell ref="B200:C200"/>
    <mergeCell ref="D200:G200"/>
    <mergeCell ref="H200:K200"/>
    <mergeCell ref="L200:N200"/>
    <mergeCell ref="O200:Q200"/>
    <mergeCell ref="R200:T200"/>
    <mergeCell ref="U200:W200"/>
    <mergeCell ref="B201:C201"/>
    <mergeCell ref="D201:G201"/>
    <mergeCell ref="H201:K201"/>
    <mergeCell ref="L201:N201"/>
    <mergeCell ref="O201:Q201"/>
    <mergeCell ref="R201:T201"/>
    <mergeCell ref="U201:W201"/>
    <mergeCell ref="B202:C202"/>
    <mergeCell ref="D202:G202"/>
    <mergeCell ref="H202:K202"/>
    <mergeCell ref="L202:N202"/>
    <mergeCell ref="O202:Q202"/>
    <mergeCell ref="R202:T202"/>
    <mergeCell ref="U202:W202"/>
    <mergeCell ref="B203:C203"/>
    <mergeCell ref="D203:G203"/>
    <mergeCell ref="H203:K203"/>
    <mergeCell ref="L203:N203"/>
    <mergeCell ref="O203:Q203"/>
    <mergeCell ref="R203:T203"/>
    <mergeCell ref="U203:W203"/>
    <mergeCell ref="B204:C204"/>
    <mergeCell ref="D204:G204"/>
    <mergeCell ref="H204:K204"/>
    <mergeCell ref="L204:N204"/>
    <mergeCell ref="O204:Q204"/>
    <mergeCell ref="R204:T204"/>
    <mergeCell ref="U204:W204"/>
    <mergeCell ref="B205:C205"/>
    <mergeCell ref="D205:G205"/>
    <mergeCell ref="H205:K205"/>
    <mergeCell ref="L205:N205"/>
    <mergeCell ref="O205:Q205"/>
    <mergeCell ref="R205:T205"/>
    <mergeCell ref="U205:W205"/>
    <mergeCell ref="B206:C206"/>
    <mergeCell ref="D206:G206"/>
    <mergeCell ref="H206:K206"/>
    <mergeCell ref="L206:N206"/>
    <mergeCell ref="O206:Q206"/>
    <mergeCell ref="R206:T206"/>
    <mergeCell ref="U206:W206"/>
    <mergeCell ref="B207:C207"/>
    <mergeCell ref="D207:G207"/>
    <mergeCell ref="H207:K207"/>
    <mergeCell ref="L207:N207"/>
    <mergeCell ref="O207:Q207"/>
    <mergeCell ref="R207:T207"/>
    <mergeCell ref="U207:W207"/>
    <mergeCell ref="O208:Q208"/>
    <mergeCell ref="R208:T208"/>
    <mergeCell ref="U208:W208"/>
    <mergeCell ref="B209:C209"/>
    <mergeCell ref="D209:G209"/>
    <mergeCell ref="H209:K209"/>
    <mergeCell ref="L209:N209"/>
    <mergeCell ref="O209:Q209"/>
    <mergeCell ref="R209:T209"/>
    <mergeCell ref="U209:W209"/>
    <mergeCell ref="B210:C210"/>
    <mergeCell ref="D210:G210"/>
    <mergeCell ref="H210:K210"/>
    <mergeCell ref="L210:N210"/>
    <mergeCell ref="O210:Q210"/>
    <mergeCell ref="R210:T210"/>
    <mergeCell ref="U210:W210"/>
    <mergeCell ref="B211:C211"/>
    <mergeCell ref="D211:G211"/>
    <mergeCell ref="H211:K211"/>
    <mergeCell ref="L211:N211"/>
    <mergeCell ref="O211:Q211"/>
    <mergeCell ref="R211:T211"/>
    <mergeCell ref="U211:W211"/>
    <mergeCell ref="B212:C212"/>
    <mergeCell ref="D212:G212"/>
    <mergeCell ref="H212:K212"/>
    <mergeCell ref="L212:N212"/>
    <mergeCell ref="O212:Q212"/>
    <mergeCell ref="R212:T212"/>
    <mergeCell ref="U212:W212"/>
    <mergeCell ref="B213:C213"/>
    <mergeCell ref="D213:G213"/>
    <mergeCell ref="H213:K213"/>
    <mergeCell ref="L213:N213"/>
    <mergeCell ref="O213:Q213"/>
    <mergeCell ref="R213:T213"/>
    <mergeCell ref="U213:W213"/>
    <mergeCell ref="B214:C214"/>
    <mergeCell ref="D214:G214"/>
    <mergeCell ref="H214:K214"/>
    <mergeCell ref="L214:N214"/>
    <mergeCell ref="O214:Q214"/>
    <mergeCell ref="R214:T214"/>
    <mergeCell ref="U214:W214"/>
    <mergeCell ref="B215:C215"/>
    <mergeCell ref="D215:G215"/>
    <mergeCell ref="H215:K215"/>
    <mergeCell ref="L215:N215"/>
    <mergeCell ref="O215:Q215"/>
    <mergeCell ref="R215:T215"/>
    <mergeCell ref="U215:W215"/>
    <mergeCell ref="B216:C216"/>
    <mergeCell ref="D216:G216"/>
    <mergeCell ref="H216:K216"/>
    <mergeCell ref="L216:N216"/>
    <mergeCell ref="O216:Q216"/>
    <mergeCell ref="R216:T216"/>
    <mergeCell ref="U216:W216"/>
    <mergeCell ref="B217:C217"/>
    <mergeCell ref="D217:G217"/>
    <mergeCell ref="H217:K217"/>
    <mergeCell ref="L217:N217"/>
    <mergeCell ref="O217:Q217"/>
    <mergeCell ref="R217:T217"/>
    <mergeCell ref="U217:W217"/>
    <mergeCell ref="B218:C218"/>
    <mergeCell ref="D218:G218"/>
    <mergeCell ref="H218:K218"/>
    <mergeCell ref="L218:N218"/>
    <mergeCell ref="O218:Q218"/>
    <mergeCell ref="R218:T218"/>
    <mergeCell ref="U218:W218"/>
    <mergeCell ref="B219:C219"/>
    <mergeCell ref="D219:G219"/>
    <mergeCell ref="H219:K219"/>
    <mergeCell ref="L219:N219"/>
    <mergeCell ref="O219:Q219"/>
    <mergeCell ref="R219:T219"/>
    <mergeCell ref="U219:W219"/>
    <mergeCell ref="B220:C220"/>
    <mergeCell ref="D220:G220"/>
    <mergeCell ref="H220:K220"/>
    <mergeCell ref="L220:N220"/>
    <mergeCell ref="O220:Q220"/>
    <mergeCell ref="R220:T220"/>
    <mergeCell ref="U220:W220"/>
    <mergeCell ref="B221:C221"/>
    <mergeCell ref="D221:G221"/>
    <mergeCell ref="H221:K221"/>
    <mergeCell ref="L221:N221"/>
    <mergeCell ref="O221:Q221"/>
    <mergeCell ref="R221:T221"/>
    <mergeCell ref="U221:W221"/>
    <mergeCell ref="B222:C222"/>
    <mergeCell ref="D222:G222"/>
    <mergeCell ref="H222:K222"/>
    <mergeCell ref="L222:N222"/>
    <mergeCell ref="O222:Q222"/>
    <mergeCell ref="R222:T222"/>
    <mergeCell ref="U222:W222"/>
    <mergeCell ref="B223:C223"/>
    <mergeCell ref="D223:G223"/>
    <mergeCell ref="H223:K223"/>
    <mergeCell ref="L223:N223"/>
    <mergeCell ref="O223:Q223"/>
    <mergeCell ref="R223:T223"/>
    <mergeCell ref="U223:W223"/>
    <mergeCell ref="B224:C224"/>
    <mergeCell ref="D224:G224"/>
    <mergeCell ref="H224:K224"/>
    <mergeCell ref="L224:N224"/>
    <mergeCell ref="O224:Q224"/>
    <mergeCell ref="R224:T224"/>
    <mergeCell ref="U224:W224"/>
    <mergeCell ref="B225:C225"/>
    <mergeCell ref="D225:G225"/>
    <mergeCell ref="H225:K225"/>
    <mergeCell ref="L225:N225"/>
    <mergeCell ref="O225:Q225"/>
    <mergeCell ref="R225:T225"/>
    <mergeCell ref="U225:W225"/>
    <mergeCell ref="B226:C226"/>
    <mergeCell ref="D226:G226"/>
    <mergeCell ref="H226:K226"/>
    <mergeCell ref="L226:N226"/>
    <mergeCell ref="O226:Q226"/>
    <mergeCell ref="R226:T226"/>
    <mergeCell ref="U226:W226"/>
    <mergeCell ref="B227:C227"/>
    <mergeCell ref="D227:G227"/>
    <mergeCell ref="H227:K227"/>
    <mergeCell ref="L227:N227"/>
    <mergeCell ref="O227:Q227"/>
    <mergeCell ref="R227:T227"/>
    <mergeCell ref="U227:W227"/>
    <mergeCell ref="B228:C228"/>
    <mergeCell ref="D228:G228"/>
    <mergeCell ref="H228:K228"/>
    <mergeCell ref="L228:N228"/>
    <mergeCell ref="O228:Q228"/>
    <mergeCell ref="R228:T228"/>
    <mergeCell ref="U228:W228"/>
    <mergeCell ref="B229:C229"/>
    <mergeCell ref="D229:G229"/>
    <mergeCell ref="H229:K229"/>
    <mergeCell ref="L229:N229"/>
    <mergeCell ref="O229:Q229"/>
    <mergeCell ref="R229:T229"/>
    <mergeCell ref="U229:W229"/>
    <mergeCell ref="B230:C230"/>
    <mergeCell ref="D230:G230"/>
    <mergeCell ref="H230:K230"/>
    <mergeCell ref="L230:N230"/>
    <mergeCell ref="O230:Q230"/>
    <mergeCell ref="R230:T230"/>
    <mergeCell ref="U230:W230"/>
    <mergeCell ref="B231:C231"/>
    <mergeCell ref="D231:G231"/>
    <mergeCell ref="H231:K231"/>
    <mergeCell ref="L231:N231"/>
    <mergeCell ref="O231:Q231"/>
    <mergeCell ref="R231:T231"/>
    <mergeCell ref="U231:W231"/>
    <mergeCell ref="B232:C232"/>
    <mergeCell ref="D232:G232"/>
    <mergeCell ref="H232:K232"/>
    <mergeCell ref="L232:N232"/>
    <mergeCell ref="O232:Q232"/>
    <mergeCell ref="R232:T232"/>
    <mergeCell ref="U232:W232"/>
    <mergeCell ref="B233:C233"/>
    <mergeCell ref="D233:G233"/>
    <mergeCell ref="H233:K233"/>
    <mergeCell ref="L233:N233"/>
    <mergeCell ref="O233:Q233"/>
    <mergeCell ref="R233:T233"/>
    <mergeCell ref="U233:W233"/>
    <mergeCell ref="B234:C234"/>
    <mergeCell ref="D234:G234"/>
    <mergeCell ref="H234:K234"/>
    <mergeCell ref="L234:N234"/>
    <mergeCell ref="O234:Q234"/>
    <mergeCell ref="R234:T234"/>
    <mergeCell ref="U234:W234"/>
    <mergeCell ref="B235:C235"/>
    <mergeCell ref="D235:G235"/>
    <mergeCell ref="H235:K235"/>
    <mergeCell ref="L235:N235"/>
    <mergeCell ref="O235:Q235"/>
    <mergeCell ref="R235:T235"/>
    <mergeCell ref="U235:W235"/>
    <mergeCell ref="B236:C236"/>
    <mergeCell ref="D236:G236"/>
    <mergeCell ref="H236:K236"/>
    <mergeCell ref="L236:N236"/>
    <mergeCell ref="O236:Q236"/>
    <mergeCell ref="R236:T236"/>
    <mergeCell ref="U236:W236"/>
    <mergeCell ref="B237:C237"/>
    <mergeCell ref="D237:G237"/>
    <mergeCell ref="H237:K237"/>
    <mergeCell ref="L237:N237"/>
    <mergeCell ref="O237:Q237"/>
    <mergeCell ref="R237:T237"/>
    <mergeCell ref="U237:W237"/>
    <mergeCell ref="B238:C238"/>
    <mergeCell ref="D238:G238"/>
    <mergeCell ref="H238:K238"/>
    <mergeCell ref="L238:N238"/>
    <mergeCell ref="O238:Q238"/>
    <mergeCell ref="R238:T238"/>
    <mergeCell ref="U238:W238"/>
    <mergeCell ref="B239:C239"/>
    <mergeCell ref="D239:G239"/>
    <mergeCell ref="H239:K239"/>
    <mergeCell ref="L239:N239"/>
    <mergeCell ref="O239:Q239"/>
    <mergeCell ref="R239:T239"/>
    <mergeCell ref="U239:W239"/>
    <mergeCell ref="B240:C240"/>
    <mergeCell ref="D240:G240"/>
    <mergeCell ref="H240:K240"/>
    <mergeCell ref="L240:N240"/>
    <mergeCell ref="O240:Q240"/>
    <mergeCell ref="R240:T240"/>
    <mergeCell ref="U240:W240"/>
    <mergeCell ref="B241:C241"/>
    <mergeCell ref="D241:G241"/>
    <mergeCell ref="H241:K241"/>
    <mergeCell ref="L241:N241"/>
    <mergeCell ref="O241:Q241"/>
    <mergeCell ref="R241:T241"/>
    <mergeCell ref="U241:W241"/>
    <mergeCell ref="B242:C242"/>
    <mergeCell ref="D242:G242"/>
    <mergeCell ref="H242:K242"/>
    <mergeCell ref="L242:N242"/>
    <mergeCell ref="O242:Q242"/>
    <mergeCell ref="R242:T242"/>
    <mergeCell ref="U242:W242"/>
    <mergeCell ref="B243:C243"/>
    <mergeCell ref="D243:G243"/>
    <mergeCell ref="H243:K243"/>
    <mergeCell ref="L243:N243"/>
    <mergeCell ref="O243:Q243"/>
    <mergeCell ref="R243:T243"/>
    <mergeCell ref="U243:W243"/>
    <mergeCell ref="B244:C244"/>
    <mergeCell ref="D244:G244"/>
    <mergeCell ref="H244:K244"/>
    <mergeCell ref="L244:N244"/>
    <mergeCell ref="O244:Q244"/>
    <mergeCell ref="R244:T244"/>
    <mergeCell ref="U244:W244"/>
    <mergeCell ref="B245:C245"/>
    <mergeCell ref="D245:G245"/>
    <mergeCell ref="H245:K245"/>
    <mergeCell ref="L245:N245"/>
    <mergeCell ref="O245:Q245"/>
    <mergeCell ref="R245:T245"/>
    <mergeCell ref="U245:W245"/>
    <mergeCell ref="B246:C246"/>
    <mergeCell ref="D246:G246"/>
    <mergeCell ref="H246:K246"/>
    <mergeCell ref="L246:N246"/>
    <mergeCell ref="O246:Q246"/>
    <mergeCell ref="R246:T246"/>
    <mergeCell ref="U246:W246"/>
    <mergeCell ref="B247:C247"/>
    <mergeCell ref="D247:G247"/>
    <mergeCell ref="H247:K247"/>
    <mergeCell ref="L247:N247"/>
    <mergeCell ref="O247:Q247"/>
    <mergeCell ref="R247:T247"/>
    <mergeCell ref="U247:W247"/>
    <mergeCell ref="B248:C248"/>
    <mergeCell ref="D248:G248"/>
    <mergeCell ref="H248:K248"/>
    <mergeCell ref="L248:N248"/>
    <mergeCell ref="O248:Q248"/>
    <mergeCell ref="R248:T248"/>
    <mergeCell ref="U248:W248"/>
    <mergeCell ref="B249:C249"/>
    <mergeCell ref="D249:G249"/>
    <mergeCell ref="H249:K249"/>
    <mergeCell ref="L249:N249"/>
    <mergeCell ref="O249:Q249"/>
    <mergeCell ref="R249:T249"/>
    <mergeCell ref="U249:W249"/>
    <mergeCell ref="B250:C250"/>
    <mergeCell ref="D250:G250"/>
    <mergeCell ref="H250:K250"/>
    <mergeCell ref="L250:N250"/>
    <mergeCell ref="O250:Q250"/>
    <mergeCell ref="R250:T250"/>
    <mergeCell ref="U250:W250"/>
    <mergeCell ref="B251:C251"/>
    <mergeCell ref="D251:G251"/>
    <mergeCell ref="H251:K251"/>
    <mergeCell ref="L251:N251"/>
    <mergeCell ref="O251:Q251"/>
    <mergeCell ref="R251:T251"/>
    <mergeCell ref="U251:W251"/>
    <mergeCell ref="B252:C252"/>
    <mergeCell ref="D252:G252"/>
    <mergeCell ref="H252:K252"/>
    <mergeCell ref="L252:N252"/>
    <mergeCell ref="O252:Q252"/>
    <mergeCell ref="R252:T252"/>
    <mergeCell ref="U252:W252"/>
    <mergeCell ref="B253:C253"/>
    <mergeCell ref="D253:G253"/>
    <mergeCell ref="H253:K253"/>
    <mergeCell ref="L253:N253"/>
    <mergeCell ref="O253:Q253"/>
    <mergeCell ref="R253:T253"/>
    <mergeCell ref="U253:W253"/>
    <mergeCell ref="B254:C254"/>
    <mergeCell ref="D254:G254"/>
    <mergeCell ref="H254:K254"/>
    <mergeCell ref="L254:N254"/>
    <mergeCell ref="O254:Q254"/>
    <mergeCell ref="R254:T254"/>
    <mergeCell ref="U254:W254"/>
    <mergeCell ref="B255:C255"/>
    <mergeCell ref="D255:G255"/>
    <mergeCell ref="H255:K255"/>
    <mergeCell ref="L255:N255"/>
    <mergeCell ref="O255:Q255"/>
    <mergeCell ref="R255:T255"/>
    <mergeCell ref="U255:W255"/>
    <mergeCell ref="B256:C256"/>
    <mergeCell ref="D256:G256"/>
    <mergeCell ref="H256:K256"/>
    <mergeCell ref="L256:N256"/>
    <mergeCell ref="O256:Q256"/>
    <mergeCell ref="R256:T256"/>
    <mergeCell ref="U256:W256"/>
    <mergeCell ref="B257:C257"/>
    <mergeCell ref="D257:G257"/>
    <mergeCell ref="H257:K257"/>
    <mergeCell ref="L257:N257"/>
    <mergeCell ref="O257:Q257"/>
    <mergeCell ref="R257:T257"/>
    <mergeCell ref="U257:W257"/>
    <mergeCell ref="B258:C258"/>
    <mergeCell ref="D258:G258"/>
    <mergeCell ref="H258:K258"/>
    <mergeCell ref="L258:N258"/>
    <mergeCell ref="O258:Q258"/>
    <mergeCell ref="R258:T258"/>
    <mergeCell ref="U258:W258"/>
    <mergeCell ref="B259:C259"/>
    <mergeCell ref="D259:G259"/>
    <mergeCell ref="H259:K259"/>
    <mergeCell ref="L259:N259"/>
    <mergeCell ref="O259:Q259"/>
    <mergeCell ref="R259:T259"/>
    <mergeCell ref="U259:W259"/>
    <mergeCell ref="B260:C260"/>
    <mergeCell ref="D260:G260"/>
    <mergeCell ref="H260:K260"/>
    <mergeCell ref="L260:N260"/>
    <mergeCell ref="O260:Q260"/>
    <mergeCell ref="R260:T260"/>
    <mergeCell ref="U260:W260"/>
    <mergeCell ref="B261:C261"/>
    <mergeCell ref="D261:G261"/>
    <mergeCell ref="H261:K261"/>
    <mergeCell ref="L261:N261"/>
    <mergeCell ref="O261:Q261"/>
    <mergeCell ref="R261:T261"/>
    <mergeCell ref="U261:W261"/>
    <mergeCell ref="B262:C262"/>
    <mergeCell ref="D262:G262"/>
    <mergeCell ref="H262:K262"/>
    <mergeCell ref="L262:N262"/>
    <mergeCell ref="O262:Q262"/>
    <mergeCell ref="R262:T262"/>
    <mergeCell ref="U262:W262"/>
    <mergeCell ref="B263:C263"/>
    <mergeCell ref="D263:G263"/>
    <mergeCell ref="H263:K263"/>
    <mergeCell ref="L263:N263"/>
    <mergeCell ref="O263:Q263"/>
    <mergeCell ref="R263:T263"/>
    <mergeCell ref="U263:W263"/>
    <mergeCell ref="B264:C264"/>
    <mergeCell ref="D264:G264"/>
    <mergeCell ref="H264:K264"/>
    <mergeCell ref="L264:N264"/>
    <mergeCell ref="O264:Q264"/>
    <mergeCell ref="R264:T264"/>
    <mergeCell ref="U264:W264"/>
    <mergeCell ref="B265:C265"/>
    <mergeCell ref="D265:G265"/>
    <mergeCell ref="H265:K265"/>
    <mergeCell ref="L265:N265"/>
    <mergeCell ref="O265:Q265"/>
    <mergeCell ref="R265:T265"/>
    <mergeCell ref="U265:W265"/>
    <mergeCell ref="B266:C266"/>
    <mergeCell ref="D266:G266"/>
    <mergeCell ref="H266:K266"/>
    <mergeCell ref="L266:N266"/>
    <mergeCell ref="O266:Q266"/>
    <mergeCell ref="R266:T266"/>
    <mergeCell ref="U266:W266"/>
    <mergeCell ref="B267:C267"/>
    <mergeCell ref="D267:G267"/>
    <mergeCell ref="H267:K267"/>
    <mergeCell ref="L267:N267"/>
    <mergeCell ref="O267:Q267"/>
    <mergeCell ref="R267:T267"/>
    <mergeCell ref="U267:W267"/>
    <mergeCell ref="B268:C268"/>
    <mergeCell ref="D268:G268"/>
    <mergeCell ref="H268:K268"/>
    <mergeCell ref="L268:N268"/>
    <mergeCell ref="O268:Q268"/>
    <mergeCell ref="R268:T268"/>
    <mergeCell ref="U268:W268"/>
    <mergeCell ref="B269:C269"/>
    <mergeCell ref="D269:G269"/>
    <mergeCell ref="H269:K269"/>
    <mergeCell ref="L269:N269"/>
    <mergeCell ref="O269:Q269"/>
    <mergeCell ref="R269:T269"/>
    <mergeCell ref="U269:W269"/>
    <mergeCell ref="B270:C270"/>
    <mergeCell ref="D270:G270"/>
    <mergeCell ref="H270:K270"/>
    <mergeCell ref="L270:N270"/>
    <mergeCell ref="O270:Q270"/>
    <mergeCell ref="R270:T270"/>
    <mergeCell ref="U270:W270"/>
    <mergeCell ref="B271:C271"/>
    <mergeCell ref="D271:G271"/>
    <mergeCell ref="H271:K271"/>
    <mergeCell ref="L271:N271"/>
    <mergeCell ref="O271:Q271"/>
    <mergeCell ref="R271:T271"/>
    <mergeCell ref="U271:W271"/>
    <mergeCell ref="B272:C272"/>
    <mergeCell ref="D272:G272"/>
    <mergeCell ref="H272:K272"/>
    <mergeCell ref="L272:N272"/>
    <mergeCell ref="O272:Q272"/>
    <mergeCell ref="R272:T272"/>
    <mergeCell ref="U272:W272"/>
    <mergeCell ref="B273:C273"/>
    <mergeCell ref="D273:G273"/>
    <mergeCell ref="H273:K273"/>
    <mergeCell ref="L273:N273"/>
    <mergeCell ref="O273:Q273"/>
    <mergeCell ref="R273:T273"/>
    <mergeCell ref="U273:W273"/>
    <mergeCell ref="B274:C274"/>
    <mergeCell ref="D274:G274"/>
    <mergeCell ref="H274:K274"/>
    <mergeCell ref="L274:N274"/>
    <mergeCell ref="O274:Q274"/>
    <mergeCell ref="R274:T274"/>
    <mergeCell ref="U274:W274"/>
    <mergeCell ref="B275:C275"/>
    <mergeCell ref="D275:G275"/>
    <mergeCell ref="H275:K275"/>
    <mergeCell ref="L275:N275"/>
    <mergeCell ref="O275:Q275"/>
    <mergeCell ref="R275:T275"/>
    <mergeCell ref="U275:W275"/>
    <mergeCell ref="B276:C276"/>
    <mergeCell ref="D276:G276"/>
    <mergeCell ref="H276:K276"/>
    <mergeCell ref="L276:N276"/>
    <mergeCell ref="O276:Q276"/>
    <mergeCell ref="R276:T276"/>
    <mergeCell ref="U276:W276"/>
    <mergeCell ref="B277:C277"/>
    <mergeCell ref="D277:G277"/>
    <mergeCell ref="H277:K277"/>
    <mergeCell ref="L277:N277"/>
    <mergeCell ref="O277:Q277"/>
    <mergeCell ref="R277:T277"/>
    <mergeCell ref="U277:W277"/>
    <mergeCell ref="B278:C278"/>
    <mergeCell ref="D278:G278"/>
    <mergeCell ref="H278:K278"/>
    <mergeCell ref="L278:N278"/>
    <mergeCell ref="O278:Q278"/>
    <mergeCell ref="R278:T278"/>
    <mergeCell ref="U278:W278"/>
    <mergeCell ref="B279:C279"/>
    <mergeCell ref="D279:G279"/>
    <mergeCell ref="H279:K279"/>
    <mergeCell ref="L279:N279"/>
    <mergeCell ref="O279:Q279"/>
    <mergeCell ref="R279:T279"/>
    <mergeCell ref="U279:W279"/>
    <mergeCell ref="B280:C280"/>
    <mergeCell ref="D280:G280"/>
    <mergeCell ref="H280:K280"/>
    <mergeCell ref="L280:N280"/>
    <mergeCell ref="O280:Q280"/>
    <mergeCell ref="R280:T280"/>
    <mergeCell ref="U280:W280"/>
    <mergeCell ref="B281:C281"/>
    <mergeCell ref="D281:G281"/>
    <mergeCell ref="H281:K281"/>
    <mergeCell ref="L281:N281"/>
    <mergeCell ref="O281:Q281"/>
    <mergeCell ref="R281:T281"/>
    <mergeCell ref="U281:W281"/>
    <mergeCell ref="B282:C282"/>
    <mergeCell ref="D282:G282"/>
    <mergeCell ref="H282:K282"/>
    <mergeCell ref="L282:N282"/>
    <mergeCell ref="O282:Q282"/>
    <mergeCell ref="R282:T282"/>
    <mergeCell ref="U282:W282"/>
    <mergeCell ref="B283:C283"/>
    <mergeCell ref="D283:G283"/>
    <mergeCell ref="H283:K283"/>
    <mergeCell ref="L283:N283"/>
    <mergeCell ref="O283:Q283"/>
    <mergeCell ref="R283:T283"/>
    <mergeCell ref="U283:W283"/>
    <mergeCell ref="B284:C284"/>
    <mergeCell ref="D284:G284"/>
    <mergeCell ref="H284:K284"/>
    <mergeCell ref="L284:N284"/>
    <mergeCell ref="O284:Q284"/>
    <mergeCell ref="R284:T284"/>
    <mergeCell ref="U284:W284"/>
    <mergeCell ref="B285:C285"/>
    <mergeCell ref="D285:G285"/>
    <mergeCell ref="H285:K285"/>
    <mergeCell ref="L285:N285"/>
    <mergeCell ref="O285:Q285"/>
    <mergeCell ref="R285:T285"/>
    <mergeCell ref="U285:W285"/>
    <mergeCell ref="B286:C286"/>
    <mergeCell ref="D286:G286"/>
    <mergeCell ref="H286:K286"/>
    <mergeCell ref="L286:N286"/>
    <mergeCell ref="O286:Q286"/>
    <mergeCell ref="R286:T286"/>
    <mergeCell ref="U286:W286"/>
    <mergeCell ref="B287:C287"/>
    <mergeCell ref="D287:G287"/>
    <mergeCell ref="H287:K287"/>
    <mergeCell ref="L287:N287"/>
    <mergeCell ref="O287:Q287"/>
    <mergeCell ref="R287:T287"/>
    <mergeCell ref="U287:W287"/>
    <mergeCell ref="B288:C288"/>
    <mergeCell ref="D288:G288"/>
    <mergeCell ref="H288:K288"/>
    <mergeCell ref="L288:N288"/>
    <mergeCell ref="O288:Q288"/>
    <mergeCell ref="R288:T288"/>
    <mergeCell ref="U288:W288"/>
    <mergeCell ref="B289:C289"/>
    <mergeCell ref="D289:G289"/>
    <mergeCell ref="H289:K289"/>
    <mergeCell ref="L289:N289"/>
    <mergeCell ref="O289:Q289"/>
    <mergeCell ref="R289:T289"/>
    <mergeCell ref="U289:W289"/>
    <mergeCell ref="B290:C290"/>
    <mergeCell ref="D290:G290"/>
    <mergeCell ref="H290:K290"/>
    <mergeCell ref="L290:N290"/>
    <mergeCell ref="O290:Q290"/>
    <mergeCell ref="R290:T290"/>
    <mergeCell ref="U290:W290"/>
    <mergeCell ref="B291:C291"/>
    <mergeCell ref="D291:G291"/>
    <mergeCell ref="H291:K291"/>
    <mergeCell ref="L291:N291"/>
    <mergeCell ref="O291:Q291"/>
    <mergeCell ref="R291:T291"/>
    <mergeCell ref="U291:W291"/>
    <mergeCell ref="B292:C292"/>
    <mergeCell ref="D292:G292"/>
    <mergeCell ref="H292:K292"/>
    <mergeCell ref="L292:N292"/>
    <mergeCell ref="O292:Q292"/>
    <mergeCell ref="R292:T292"/>
    <mergeCell ref="U292:W292"/>
    <mergeCell ref="B293:C293"/>
    <mergeCell ref="D293:G293"/>
    <mergeCell ref="H293:K293"/>
    <mergeCell ref="L293:N293"/>
    <mergeCell ref="O293:Q293"/>
    <mergeCell ref="R293:T293"/>
    <mergeCell ref="U293:W293"/>
    <mergeCell ref="B294:C294"/>
    <mergeCell ref="D294:G294"/>
    <mergeCell ref="H294:K294"/>
    <mergeCell ref="L294:N294"/>
    <mergeCell ref="O294:Q294"/>
    <mergeCell ref="R294:T294"/>
    <mergeCell ref="U294:W294"/>
    <mergeCell ref="B295:C295"/>
    <mergeCell ref="D295:G295"/>
    <mergeCell ref="H295:K295"/>
    <mergeCell ref="L295:N295"/>
    <mergeCell ref="O295:Q295"/>
    <mergeCell ref="R295:T295"/>
    <mergeCell ref="U295:W295"/>
    <mergeCell ref="B296:C296"/>
    <mergeCell ref="D296:G296"/>
    <mergeCell ref="H296:K296"/>
    <mergeCell ref="L296:N296"/>
    <mergeCell ref="O296:Q296"/>
    <mergeCell ref="R296:T296"/>
    <mergeCell ref="U296:W296"/>
    <mergeCell ref="B297:C297"/>
    <mergeCell ref="D297:G297"/>
    <mergeCell ref="H297:K297"/>
    <mergeCell ref="L297:N297"/>
    <mergeCell ref="O297:Q297"/>
    <mergeCell ref="R297:T297"/>
    <mergeCell ref="U297:W297"/>
    <mergeCell ref="B298:C298"/>
    <mergeCell ref="D298:G298"/>
    <mergeCell ref="H298:K298"/>
    <mergeCell ref="L298:N298"/>
    <mergeCell ref="O298:Q298"/>
    <mergeCell ref="R298:T298"/>
    <mergeCell ref="U298:W298"/>
    <mergeCell ref="B299:C299"/>
    <mergeCell ref="D299:G299"/>
    <mergeCell ref="H299:K299"/>
    <mergeCell ref="L299:N299"/>
    <mergeCell ref="O299:Q299"/>
    <mergeCell ref="R299:T299"/>
    <mergeCell ref="U299:W299"/>
    <mergeCell ref="B300:C300"/>
    <mergeCell ref="D300:G300"/>
    <mergeCell ref="H300:K300"/>
    <mergeCell ref="L300:N300"/>
    <mergeCell ref="O300:Q300"/>
    <mergeCell ref="R300:T300"/>
    <mergeCell ref="U300:W300"/>
    <mergeCell ref="B301:C301"/>
    <mergeCell ref="D301:G301"/>
    <mergeCell ref="H301:K301"/>
    <mergeCell ref="L301:N301"/>
    <mergeCell ref="O301:Q301"/>
    <mergeCell ref="R301:T301"/>
    <mergeCell ref="U301:W301"/>
    <mergeCell ref="B302:C302"/>
    <mergeCell ref="D302:G302"/>
    <mergeCell ref="H302:K302"/>
    <mergeCell ref="L302:N302"/>
    <mergeCell ref="O302:Q302"/>
    <mergeCell ref="R302:T302"/>
    <mergeCell ref="U302:W302"/>
    <mergeCell ref="B303:C303"/>
    <mergeCell ref="D303:G303"/>
    <mergeCell ref="H303:K303"/>
    <mergeCell ref="L303:N303"/>
    <mergeCell ref="O303:Q303"/>
    <mergeCell ref="R303:T303"/>
    <mergeCell ref="U303:W303"/>
    <mergeCell ref="B304:C304"/>
    <mergeCell ref="D304:G304"/>
    <mergeCell ref="H304:K304"/>
    <mergeCell ref="L304:N304"/>
    <mergeCell ref="O304:Q304"/>
    <mergeCell ref="R304:T304"/>
    <mergeCell ref="U304:W304"/>
    <mergeCell ref="B305:C305"/>
    <mergeCell ref="D305:G305"/>
    <mergeCell ref="H305:K305"/>
    <mergeCell ref="L305:N305"/>
    <mergeCell ref="O305:Q305"/>
    <mergeCell ref="R305:T305"/>
    <mergeCell ref="U305:W305"/>
    <mergeCell ref="B306:C306"/>
    <mergeCell ref="D306:G306"/>
    <mergeCell ref="H306:K306"/>
    <mergeCell ref="L306:N306"/>
    <mergeCell ref="O306:Q306"/>
    <mergeCell ref="R306:T306"/>
    <mergeCell ref="U306:W306"/>
    <mergeCell ref="B307:C307"/>
    <mergeCell ref="D307:G307"/>
    <mergeCell ref="H307:K307"/>
    <mergeCell ref="L307:N307"/>
    <mergeCell ref="O307:Q307"/>
    <mergeCell ref="R307:T307"/>
    <mergeCell ref="U307:W307"/>
    <mergeCell ref="B308:C308"/>
    <mergeCell ref="D308:G308"/>
    <mergeCell ref="H308:K308"/>
    <mergeCell ref="L308:N308"/>
    <mergeCell ref="O308:Q308"/>
    <mergeCell ref="R308:T308"/>
    <mergeCell ref="U308:W308"/>
    <mergeCell ref="B309:C309"/>
    <mergeCell ref="D309:G309"/>
    <mergeCell ref="H309:K309"/>
    <mergeCell ref="L309:N309"/>
    <mergeCell ref="O309:Q309"/>
    <mergeCell ref="R309:T309"/>
    <mergeCell ref="U309:W309"/>
    <mergeCell ref="B310:C310"/>
    <mergeCell ref="D310:G310"/>
    <mergeCell ref="H310:K310"/>
    <mergeCell ref="L310:N310"/>
    <mergeCell ref="O310:Q310"/>
    <mergeCell ref="R310:T310"/>
    <mergeCell ref="U310:W310"/>
    <mergeCell ref="B311:C311"/>
    <mergeCell ref="D311:G311"/>
    <mergeCell ref="H311:K311"/>
    <mergeCell ref="L311:N311"/>
    <mergeCell ref="O311:Q311"/>
    <mergeCell ref="R311:T311"/>
    <mergeCell ref="U311:W311"/>
    <mergeCell ref="B312:C312"/>
    <mergeCell ref="D312:G312"/>
    <mergeCell ref="H312:K312"/>
    <mergeCell ref="L312:N312"/>
    <mergeCell ref="O312:Q312"/>
    <mergeCell ref="R312:T312"/>
    <mergeCell ref="U312:W312"/>
    <mergeCell ref="B313:C313"/>
    <mergeCell ref="D313:G313"/>
    <mergeCell ref="H313:K313"/>
    <mergeCell ref="L313:N313"/>
    <mergeCell ref="O313:Q313"/>
    <mergeCell ref="R313:T313"/>
    <mergeCell ref="U313:W313"/>
    <mergeCell ref="B314:C314"/>
    <mergeCell ref="D314:G314"/>
    <mergeCell ref="H314:K314"/>
    <mergeCell ref="L314:N314"/>
    <mergeCell ref="O314:Q314"/>
    <mergeCell ref="R314:T314"/>
    <mergeCell ref="U314:W314"/>
    <mergeCell ref="B315:C315"/>
    <mergeCell ref="D315:G315"/>
    <mergeCell ref="H315:K315"/>
    <mergeCell ref="L315:N315"/>
    <mergeCell ref="O315:Q315"/>
    <mergeCell ref="R315:T315"/>
    <mergeCell ref="U315:W315"/>
    <mergeCell ref="B316:C316"/>
    <mergeCell ref="D316:G316"/>
    <mergeCell ref="H316:K316"/>
    <mergeCell ref="L316:N316"/>
    <mergeCell ref="O316:Q316"/>
    <mergeCell ref="R316:T316"/>
    <mergeCell ref="U316:W316"/>
    <mergeCell ref="B317:C317"/>
    <mergeCell ref="D317:G317"/>
    <mergeCell ref="H317:K317"/>
    <mergeCell ref="L317:N317"/>
    <mergeCell ref="O317:Q317"/>
    <mergeCell ref="R317:T317"/>
    <mergeCell ref="U317:W317"/>
    <mergeCell ref="B318:C318"/>
    <mergeCell ref="D318:G318"/>
    <mergeCell ref="H318:K318"/>
    <mergeCell ref="L318:N318"/>
    <mergeCell ref="O318:Q318"/>
    <mergeCell ref="R318:T318"/>
    <mergeCell ref="U318:W318"/>
    <mergeCell ref="B319:C319"/>
    <mergeCell ref="D319:G319"/>
    <mergeCell ref="H319:K319"/>
    <mergeCell ref="L319:N319"/>
    <mergeCell ref="O319:Q319"/>
    <mergeCell ref="R319:T319"/>
    <mergeCell ref="U319:W319"/>
    <mergeCell ref="B320:C320"/>
    <mergeCell ref="D320:G320"/>
    <mergeCell ref="H320:K320"/>
    <mergeCell ref="L320:N320"/>
    <mergeCell ref="O320:Q320"/>
    <mergeCell ref="R320:T320"/>
    <mergeCell ref="U320:W320"/>
    <mergeCell ref="B321:C321"/>
    <mergeCell ref="D321:G321"/>
    <mergeCell ref="H321:K321"/>
    <mergeCell ref="L321:N321"/>
    <mergeCell ref="O321:Q321"/>
    <mergeCell ref="R321:T321"/>
    <mergeCell ref="U321:W321"/>
    <mergeCell ref="B322:C322"/>
    <mergeCell ref="D322:G322"/>
    <mergeCell ref="H322:K322"/>
    <mergeCell ref="L322:N322"/>
    <mergeCell ref="O322:Q322"/>
    <mergeCell ref="R322:T322"/>
    <mergeCell ref="U322:W322"/>
    <mergeCell ref="B323:C323"/>
    <mergeCell ref="D323:G323"/>
    <mergeCell ref="H323:K323"/>
    <mergeCell ref="L323:N323"/>
    <mergeCell ref="O323:Q323"/>
    <mergeCell ref="R323:T323"/>
    <mergeCell ref="U323:W323"/>
    <mergeCell ref="B324:C324"/>
    <mergeCell ref="D324:G324"/>
    <mergeCell ref="H324:K324"/>
    <mergeCell ref="L324:N324"/>
    <mergeCell ref="O324:Q324"/>
    <mergeCell ref="R324:T324"/>
    <mergeCell ref="U324:W324"/>
    <mergeCell ref="B325:C325"/>
    <mergeCell ref="D325:G325"/>
    <mergeCell ref="H325:K325"/>
    <mergeCell ref="L325:N325"/>
    <mergeCell ref="O325:Q325"/>
    <mergeCell ref="R325:T325"/>
    <mergeCell ref="U325:W325"/>
    <mergeCell ref="B326:C326"/>
    <mergeCell ref="D326:G326"/>
    <mergeCell ref="H326:K326"/>
    <mergeCell ref="L326:N326"/>
    <mergeCell ref="O326:Q326"/>
    <mergeCell ref="R326:T326"/>
    <mergeCell ref="U326:W326"/>
    <mergeCell ref="B327:C327"/>
    <mergeCell ref="D327:G327"/>
    <mergeCell ref="H327:K327"/>
    <mergeCell ref="L327:N327"/>
    <mergeCell ref="O327:Q327"/>
    <mergeCell ref="R327:T327"/>
    <mergeCell ref="U327:W327"/>
    <mergeCell ref="B328:C328"/>
    <mergeCell ref="D328:G328"/>
    <mergeCell ref="H328:K328"/>
    <mergeCell ref="L328:N328"/>
    <mergeCell ref="O328:Q328"/>
    <mergeCell ref="R328:T328"/>
    <mergeCell ref="U328:W328"/>
    <mergeCell ref="B329:C329"/>
    <mergeCell ref="D329:G329"/>
    <mergeCell ref="H329:K329"/>
    <mergeCell ref="L329:N329"/>
    <mergeCell ref="O329:Q329"/>
    <mergeCell ref="R329:T329"/>
    <mergeCell ref="U329:W329"/>
    <mergeCell ref="B330:C330"/>
    <mergeCell ref="D330:G330"/>
    <mergeCell ref="H330:K330"/>
    <mergeCell ref="L330:N330"/>
    <mergeCell ref="O330:Q330"/>
    <mergeCell ref="R330:T330"/>
    <mergeCell ref="U330:W330"/>
    <mergeCell ref="B331:C331"/>
    <mergeCell ref="D331:G331"/>
    <mergeCell ref="H331:K331"/>
    <mergeCell ref="L331:N331"/>
    <mergeCell ref="O331:Q331"/>
    <mergeCell ref="R331:T331"/>
    <mergeCell ref="U331:W331"/>
    <mergeCell ref="B332:C332"/>
    <mergeCell ref="D332:G332"/>
    <mergeCell ref="H332:K332"/>
    <mergeCell ref="L332:N332"/>
    <mergeCell ref="O332:Q332"/>
    <mergeCell ref="R332:T332"/>
    <mergeCell ref="U332:W332"/>
    <mergeCell ref="B333:C333"/>
    <mergeCell ref="D333:G333"/>
    <mergeCell ref="H333:K333"/>
    <mergeCell ref="L333:N333"/>
    <mergeCell ref="O333:Q333"/>
    <mergeCell ref="R333:T333"/>
    <mergeCell ref="U333:W333"/>
    <mergeCell ref="B334:C334"/>
    <mergeCell ref="D334:G334"/>
    <mergeCell ref="H334:K334"/>
    <mergeCell ref="L334:N334"/>
    <mergeCell ref="O334:Q334"/>
    <mergeCell ref="R334:T334"/>
    <mergeCell ref="U334:W334"/>
    <mergeCell ref="B335:C335"/>
    <mergeCell ref="D335:G335"/>
    <mergeCell ref="H335:K335"/>
    <mergeCell ref="L335:N335"/>
    <mergeCell ref="O335:Q335"/>
    <mergeCell ref="R335:T335"/>
    <mergeCell ref="U335:W335"/>
    <mergeCell ref="B336:C336"/>
    <mergeCell ref="D336:G336"/>
    <mergeCell ref="H336:K336"/>
    <mergeCell ref="L336:N336"/>
    <mergeCell ref="O336:Q336"/>
    <mergeCell ref="R336:T336"/>
    <mergeCell ref="U336:W336"/>
    <mergeCell ref="B337:C337"/>
    <mergeCell ref="D337:G337"/>
    <mergeCell ref="H337:K337"/>
    <mergeCell ref="L337:N337"/>
    <mergeCell ref="O337:Q337"/>
    <mergeCell ref="R337:T337"/>
    <mergeCell ref="U337:W337"/>
    <mergeCell ref="B338:C338"/>
    <mergeCell ref="D338:G338"/>
    <mergeCell ref="H338:K338"/>
    <mergeCell ref="L338:N338"/>
    <mergeCell ref="O338:Q338"/>
    <mergeCell ref="R338:T338"/>
    <mergeCell ref="U338:W338"/>
    <mergeCell ref="B339:C339"/>
    <mergeCell ref="D339:G339"/>
    <mergeCell ref="H339:K339"/>
    <mergeCell ref="L339:N339"/>
    <mergeCell ref="O339:Q339"/>
    <mergeCell ref="R339:T339"/>
    <mergeCell ref="U339:W339"/>
    <mergeCell ref="B340:C340"/>
    <mergeCell ref="D340:G340"/>
    <mergeCell ref="H340:K340"/>
    <mergeCell ref="L340:N340"/>
    <mergeCell ref="O340:Q340"/>
    <mergeCell ref="R340:T340"/>
    <mergeCell ref="U340:W340"/>
    <mergeCell ref="B341:C341"/>
    <mergeCell ref="D341:G341"/>
    <mergeCell ref="H341:K341"/>
    <mergeCell ref="L341:N341"/>
    <mergeCell ref="O341:Q341"/>
    <mergeCell ref="R341:T341"/>
    <mergeCell ref="U341:W341"/>
    <mergeCell ref="B342:C342"/>
    <mergeCell ref="D342:G342"/>
    <mergeCell ref="H342:K342"/>
    <mergeCell ref="L342:N342"/>
    <mergeCell ref="O342:Q342"/>
    <mergeCell ref="R342:T342"/>
    <mergeCell ref="U342:W342"/>
    <mergeCell ref="B343:C343"/>
    <mergeCell ref="D343:G343"/>
    <mergeCell ref="H343:K343"/>
    <mergeCell ref="L343:N343"/>
    <mergeCell ref="O343:Q343"/>
    <mergeCell ref="R343:T343"/>
    <mergeCell ref="U343:W343"/>
    <mergeCell ref="B344:C344"/>
    <mergeCell ref="D344:G344"/>
    <mergeCell ref="H344:K344"/>
    <mergeCell ref="L344:N344"/>
    <mergeCell ref="O344:Q344"/>
    <mergeCell ref="R344:T344"/>
    <mergeCell ref="U344:W344"/>
    <mergeCell ref="B345:C345"/>
    <mergeCell ref="D345:G345"/>
    <mergeCell ref="H345:K345"/>
    <mergeCell ref="L345:N345"/>
    <mergeCell ref="O345:Q345"/>
    <mergeCell ref="R345:T345"/>
    <mergeCell ref="U345:W345"/>
    <mergeCell ref="B346:C346"/>
    <mergeCell ref="D346:G346"/>
    <mergeCell ref="H346:K346"/>
    <mergeCell ref="L346:N346"/>
    <mergeCell ref="O346:Q346"/>
    <mergeCell ref="R346:T346"/>
    <mergeCell ref="U346:W346"/>
    <mergeCell ref="B347:C347"/>
    <mergeCell ref="D347:G347"/>
    <mergeCell ref="H347:K347"/>
    <mergeCell ref="L347:N347"/>
    <mergeCell ref="O347:Q347"/>
    <mergeCell ref="R347:T347"/>
    <mergeCell ref="U347:W347"/>
    <mergeCell ref="B348:C348"/>
    <mergeCell ref="D348:G348"/>
    <mergeCell ref="H348:K348"/>
    <mergeCell ref="L348:N348"/>
    <mergeCell ref="O348:Q348"/>
    <mergeCell ref="R348:T348"/>
    <mergeCell ref="U348:W348"/>
    <mergeCell ref="B349:C349"/>
    <mergeCell ref="D349:G349"/>
    <mergeCell ref="H349:K349"/>
    <mergeCell ref="L349:N349"/>
    <mergeCell ref="O349:Q349"/>
    <mergeCell ref="R349:T349"/>
    <mergeCell ref="U349:W349"/>
    <mergeCell ref="B350:C350"/>
    <mergeCell ref="D350:G350"/>
    <mergeCell ref="H350:K350"/>
    <mergeCell ref="L350:N350"/>
    <mergeCell ref="O350:Q350"/>
    <mergeCell ref="R350:T350"/>
    <mergeCell ref="U350:W350"/>
    <mergeCell ref="B351:C351"/>
    <mergeCell ref="D351:G351"/>
    <mergeCell ref="H351:K351"/>
    <mergeCell ref="L351:N351"/>
    <mergeCell ref="O351:Q351"/>
    <mergeCell ref="R351:T351"/>
    <mergeCell ref="U351:W351"/>
    <mergeCell ref="B352:C352"/>
    <mergeCell ref="D352:G352"/>
    <mergeCell ref="H352:K352"/>
    <mergeCell ref="L352:N352"/>
    <mergeCell ref="O352:Q352"/>
    <mergeCell ref="R352:T352"/>
    <mergeCell ref="U352:W352"/>
    <mergeCell ref="B353:C353"/>
    <mergeCell ref="D353:G353"/>
    <mergeCell ref="H353:K353"/>
    <mergeCell ref="L353:N353"/>
    <mergeCell ref="O353:Q353"/>
    <mergeCell ref="R353:T353"/>
    <mergeCell ref="U353:W353"/>
    <mergeCell ref="B354:C354"/>
    <mergeCell ref="D354:G354"/>
    <mergeCell ref="H354:K354"/>
    <mergeCell ref="L354:N354"/>
    <mergeCell ref="O354:Q354"/>
    <mergeCell ref="R354:T354"/>
    <mergeCell ref="U354:W354"/>
    <mergeCell ref="B355:C355"/>
    <mergeCell ref="D355:G355"/>
    <mergeCell ref="H355:K355"/>
    <mergeCell ref="L355:N355"/>
    <mergeCell ref="O355:Q355"/>
    <mergeCell ref="R355:T355"/>
    <mergeCell ref="U355:W355"/>
    <mergeCell ref="B356:C356"/>
    <mergeCell ref="D356:G356"/>
    <mergeCell ref="H356:K356"/>
    <mergeCell ref="L356:N356"/>
    <mergeCell ref="O356:Q356"/>
    <mergeCell ref="R356:T356"/>
    <mergeCell ref="U356:W356"/>
    <mergeCell ref="B357:C357"/>
    <mergeCell ref="D357:G357"/>
    <mergeCell ref="H357:K357"/>
    <mergeCell ref="L357:N357"/>
    <mergeCell ref="O357:Q357"/>
    <mergeCell ref="R357:T357"/>
    <mergeCell ref="U357:W357"/>
    <mergeCell ref="B358:C358"/>
    <mergeCell ref="D358:G358"/>
    <mergeCell ref="H358:K358"/>
    <mergeCell ref="L358:N358"/>
    <mergeCell ref="O358:Q358"/>
    <mergeCell ref="R358:T358"/>
    <mergeCell ref="U358:W358"/>
    <mergeCell ref="B359:C359"/>
    <mergeCell ref="D359:G359"/>
    <mergeCell ref="H359:K359"/>
    <mergeCell ref="L359:N359"/>
    <mergeCell ref="O359:Q359"/>
    <mergeCell ref="R359:T359"/>
    <mergeCell ref="U359:W359"/>
    <mergeCell ref="B360:C360"/>
    <mergeCell ref="D360:G360"/>
    <mergeCell ref="H360:K360"/>
    <mergeCell ref="L360:N360"/>
    <mergeCell ref="O360:Q360"/>
    <mergeCell ref="R360:T360"/>
    <mergeCell ref="U360:W360"/>
    <mergeCell ref="B361:C361"/>
    <mergeCell ref="D361:G361"/>
    <mergeCell ref="H361:K361"/>
    <mergeCell ref="L361:N361"/>
    <mergeCell ref="O361:Q361"/>
    <mergeCell ref="R361:T361"/>
    <mergeCell ref="U361:W361"/>
    <mergeCell ref="B362:C362"/>
    <mergeCell ref="D362:G362"/>
    <mergeCell ref="H362:K362"/>
    <mergeCell ref="L362:N362"/>
    <mergeCell ref="O362:Q362"/>
    <mergeCell ref="R362:T362"/>
    <mergeCell ref="U362:W362"/>
    <mergeCell ref="B363:C363"/>
    <mergeCell ref="D363:G363"/>
    <mergeCell ref="H363:K363"/>
    <mergeCell ref="L363:N363"/>
    <mergeCell ref="O363:Q363"/>
    <mergeCell ref="R363:T363"/>
    <mergeCell ref="U363:W363"/>
    <mergeCell ref="B364:C364"/>
    <mergeCell ref="D364:G364"/>
    <mergeCell ref="H364:K364"/>
    <mergeCell ref="L364:N364"/>
    <mergeCell ref="O364:Q364"/>
    <mergeCell ref="R364:T364"/>
    <mergeCell ref="U364:W364"/>
    <mergeCell ref="B365:C365"/>
    <mergeCell ref="D365:G365"/>
    <mergeCell ref="H365:K365"/>
    <mergeCell ref="L365:N365"/>
    <mergeCell ref="O365:Q365"/>
    <mergeCell ref="R365:T365"/>
    <mergeCell ref="U365:W365"/>
    <mergeCell ref="B366:C366"/>
    <mergeCell ref="D366:G366"/>
    <mergeCell ref="H366:K366"/>
    <mergeCell ref="L366:N366"/>
    <mergeCell ref="O366:Q366"/>
    <mergeCell ref="R366:T366"/>
    <mergeCell ref="U366:W366"/>
    <mergeCell ref="B367:C367"/>
    <mergeCell ref="D367:G367"/>
    <mergeCell ref="H367:K367"/>
    <mergeCell ref="L367:N367"/>
    <mergeCell ref="O367:Q367"/>
    <mergeCell ref="R367:T367"/>
    <mergeCell ref="U367:W367"/>
    <mergeCell ref="B368:C368"/>
    <mergeCell ref="D368:G368"/>
    <mergeCell ref="H368:K368"/>
    <mergeCell ref="L368:N368"/>
    <mergeCell ref="O368:Q368"/>
    <mergeCell ref="R368:T368"/>
    <mergeCell ref="U368:W368"/>
    <mergeCell ref="B369:C369"/>
    <mergeCell ref="D369:G369"/>
    <mergeCell ref="H369:K369"/>
    <mergeCell ref="L369:N369"/>
    <mergeCell ref="O369:Q369"/>
    <mergeCell ref="R369:T369"/>
    <mergeCell ref="U369:W369"/>
    <mergeCell ref="B370:C370"/>
    <mergeCell ref="D370:G370"/>
    <mergeCell ref="H370:K370"/>
    <mergeCell ref="L370:N370"/>
    <mergeCell ref="O370:Q370"/>
    <mergeCell ref="R370:T370"/>
    <mergeCell ref="U370:W370"/>
    <mergeCell ref="B371:C371"/>
    <mergeCell ref="D371:G371"/>
    <mergeCell ref="H371:K371"/>
    <mergeCell ref="L371:N371"/>
    <mergeCell ref="O371:Q371"/>
    <mergeCell ref="R371:T371"/>
    <mergeCell ref="U371:W371"/>
    <mergeCell ref="B372:C372"/>
    <mergeCell ref="D372:G372"/>
    <mergeCell ref="H372:K372"/>
    <mergeCell ref="L372:N372"/>
    <mergeCell ref="O372:Q372"/>
    <mergeCell ref="R372:T372"/>
    <mergeCell ref="U372:W372"/>
    <mergeCell ref="B373:C373"/>
    <mergeCell ref="D373:G373"/>
    <mergeCell ref="H373:K373"/>
    <mergeCell ref="L373:N373"/>
    <mergeCell ref="O373:Q373"/>
    <mergeCell ref="R373:T373"/>
    <mergeCell ref="U373:W373"/>
    <mergeCell ref="B472:C472"/>
    <mergeCell ref="D472:G472"/>
    <mergeCell ref="H472:K472"/>
    <mergeCell ref="L472:N472"/>
    <mergeCell ref="O472:Q472"/>
    <mergeCell ref="R472:T472"/>
    <mergeCell ref="U472:W472"/>
    <mergeCell ref="B473:C473"/>
    <mergeCell ref="D473:G473"/>
    <mergeCell ref="H473:K473"/>
    <mergeCell ref="L473:N473"/>
    <mergeCell ref="O473:Q473"/>
    <mergeCell ref="R473:T473"/>
    <mergeCell ref="U473:W473"/>
    <mergeCell ref="B374:C374"/>
    <mergeCell ref="D374:G374"/>
    <mergeCell ref="H374:K374"/>
    <mergeCell ref="L374:N374"/>
    <mergeCell ref="O374:Q374"/>
    <mergeCell ref="R374:T374"/>
    <mergeCell ref="U374:W374"/>
    <mergeCell ref="B375:C375"/>
    <mergeCell ref="D375:G375"/>
    <mergeCell ref="H375:K375"/>
    <mergeCell ref="L375:N375"/>
    <mergeCell ref="B474:C474"/>
    <mergeCell ref="D474:G474"/>
    <mergeCell ref="H474:K474"/>
    <mergeCell ref="L474:N474"/>
    <mergeCell ref="O474:Q474"/>
    <mergeCell ref="R474:T474"/>
    <mergeCell ref="U474:W474"/>
    <mergeCell ref="B475:C475"/>
    <mergeCell ref="D475:G475"/>
    <mergeCell ref="H475:K475"/>
    <mergeCell ref="L475:N475"/>
    <mergeCell ref="O475:Q475"/>
    <mergeCell ref="R475:T475"/>
    <mergeCell ref="U475:W475"/>
    <mergeCell ref="B476:C476"/>
    <mergeCell ref="D476:G476"/>
    <mergeCell ref="H476:K476"/>
    <mergeCell ref="L476:N476"/>
    <mergeCell ref="O476:Q476"/>
    <mergeCell ref="R476:T476"/>
    <mergeCell ref="U476:W476"/>
    <mergeCell ref="B477:C477"/>
    <mergeCell ref="D477:G477"/>
    <mergeCell ref="H477:K477"/>
    <mergeCell ref="L477:N477"/>
    <mergeCell ref="O477:Q477"/>
    <mergeCell ref="R477:T477"/>
    <mergeCell ref="U477:W477"/>
    <mergeCell ref="B478:C478"/>
    <mergeCell ref="D478:G478"/>
    <mergeCell ref="H478:K478"/>
    <mergeCell ref="L478:N478"/>
    <mergeCell ref="O478:Q478"/>
    <mergeCell ref="R478:T478"/>
    <mergeCell ref="U478:W478"/>
    <mergeCell ref="B479:C479"/>
    <mergeCell ref="D479:G479"/>
    <mergeCell ref="H479:K479"/>
    <mergeCell ref="L479:N479"/>
    <mergeCell ref="O479:Q479"/>
    <mergeCell ref="R479:T479"/>
    <mergeCell ref="U479:W479"/>
    <mergeCell ref="B480:C480"/>
    <mergeCell ref="D480:G480"/>
    <mergeCell ref="H480:K480"/>
    <mergeCell ref="L480:N480"/>
    <mergeCell ref="O480:Q480"/>
    <mergeCell ref="R480:T480"/>
    <mergeCell ref="U480:W480"/>
    <mergeCell ref="B481:C481"/>
    <mergeCell ref="D481:G481"/>
    <mergeCell ref="H481:K481"/>
    <mergeCell ref="L481:N481"/>
    <mergeCell ref="O481:Q481"/>
    <mergeCell ref="R481:T481"/>
    <mergeCell ref="U481:W481"/>
    <mergeCell ref="B482:C482"/>
    <mergeCell ref="D482:G482"/>
    <mergeCell ref="H482:K482"/>
    <mergeCell ref="L482:N482"/>
    <mergeCell ref="O482:Q482"/>
    <mergeCell ref="R482:T482"/>
    <mergeCell ref="U482:W482"/>
    <mergeCell ref="B483:C483"/>
    <mergeCell ref="D483:G483"/>
    <mergeCell ref="H483:K483"/>
    <mergeCell ref="L483:N483"/>
    <mergeCell ref="O483:Q483"/>
    <mergeCell ref="R483:T483"/>
    <mergeCell ref="U483:W483"/>
    <mergeCell ref="B484:C484"/>
    <mergeCell ref="D484:G484"/>
    <mergeCell ref="H484:K484"/>
    <mergeCell ref="L484:N484"/>
    <mergeCell ref="O484:Q484"/>
    <mergeCell ref="R484:T484"/>
    <mergeCell ref="U484:W484"/>
    <mergeCell ref="B485:C485"/>
    <mergeCell ref="D485:G485"/>
    <mergeCell ref="H485:K485"/>
    <mergeCell ref="L485:N485"/>
    <mergeCell ref="O485:Q485"/>
    <mergeCell ref="R485:T485"/>
    <mergeCell ref="U485:W485"/>
    <mergeCell ref="B500:C500"/>
    <mergeCell ref="D500:G500"/>
    <mergeCell ref="H500:K500"/>
    <mergeCell ref="L500:N500"/>
    <mergeCell ref="O500:Q500"/>
    <mergeCell ref="R500:T500"/>
    <mergeCell ref="U500:W500"/>
    <mergeCell ref="B501:C501"/>
    <mergeCell ref="D501:G501"/>
    <mergeCell ref="H501:K501"/>
    <mergeCell ref="L501:N501"/>
    <mergeCell ref="O501:Q501"/>
    <mergeCell ref="R501:T501"/>
    <mergeCell ref="U501:W501"/>
    <mergeCell ref="B502:C502"/>
    <mergeCell ref="D502:G502"/>
    <mergeCell ref="H502:K502"/>
    <mergeCell ref="L502:N502"/>
    <mergeCell ref="O502:Q502"/>
    <mergeCell ref="R502:T502"/>
    <mergeCell ref="U502:W502"/>
    <mergeCell ref="B503:C503"/>
    <mergeCell ref="D503:G503"/>
    <mergeCell ref="H503:K503"/>
    <mergeCell ref="L503:N503"/>
    <mergeCell ref="O503:Q503"/>
    <mergeCell ref="R503:T503"/>
    <mergeCell ref="U503:W503"/>
    <mergeCell ref="B504:C504"/>
    <mergeCell ref="D504:G504"/>
    <mergeCell ref="H504:K504"/>
    <mergeCell ref="L504:N504"/>
    <mergeCell ref="O504:Q504"/>
    <mergeCell ref="R504:T504"/>
    <mergeCell ref="U504:W504"/>
    <mergeCell ref="B505:C505"/>
    <mergeCell ref="D505:G505"/>
    <mergeCell ref="H505:K505"/>
    <mergeCell ref="L505:N505"/>
    <mergeCell ref="O505:Q505"/>
    <mergeCell ref="R505:T505"/>
    <mergeCell ref="U505:W505"/>
    <mergeCell ref="B506:C506"/>
    <mergeCell ref="D506:G506"/>
    <mergeCell ref="H506:K506"/>
    <mergeCell ref="L506:N506"/>
    <mergeCell ref="O506:Q506"/>
    <mergeCell ref="R506:T506"/>
    <mergeCell ref="U506:W506"/>
    <mergeCell ref="B507:C507"/>
    <mergeCell ref="D507:G507"/>
    <mergeCell ref="H507:K507"/>
    <mergeCell ref="L507:N507"/>
    <mergeCell ref="O507:Q507"/>
    <mergeCell ref="R507:T507"/>
    <mergeCell ref="U507:W507"/>
    <mergeCell ref="B508:C508"/>
    <mergeCell ref="D508:G508"/>
    <mergeCell ref="H508:K508"/>
    <mergeCell ref="L508:N508"/>
    <mergeCell ref="O508:Q508"/>
    <mergeCell ref="R508:T508"/>
    <mergeCell ref="U508:W508"/>
    <mergeCell ref="B509:C509"/>
    <mergeCell ref="D509:G509"/>
    <mergeCell ref="H509:K509"/>
    <mergeCell ref="L509:N509"/>
    <mergeCell ref="O509:Q509"/>
    <mergeCell ref="R509:T509"/>
    <mergeCell ref="U509:W509"/>
    <mergeCell ref="B510:C510"/>
    <mergeCell ref="D510:G510"/>
    <mergeCell ref="H510:K510"/>
    <mergeCell ref="L510:N510"/>
    <mergeCell ref="O510:Q510"/>
    <mergeCell ref="R510:T510"/>
    <mergeCell ref="U510:W510"/>
    <mergeCell ref="B511:C511"/>
    <mergeCell ref="D511:G511"/>
    <mergeCell ref="H511:K511"/>
    <mergeCell ref="L511:N511"/>
    <mergeCell ref="O511:Q511"/>
    <mergeCell ref="R511:T511"/>
    <mergeCell ref="U511:W511"/>
    <mergeCell ref="B512:C512"/>
    <mergeCell ref="D512:G512"/>
    <mergeCell ref="H512:K512"/>
    <mergeCell ref="L512:N512"/>
    <mergeCell ref="O512:Q512"/>
    <mergeCell ref="R512:T512"/>
    <mergeCell ref="U512:W512"/>
    <mergeCell ref="B513:C513"/>
    <mergeCell ref="D513:G513"/>
    <mergeCell ref="H513:K513"/>
    <mergeCell ref="L513:N513"/>
    <mergeCell ref="O513:Q513"/>
    <mergeCell ref="R513:T513"/>
    <mergeCell ref="U513:W513"/>
    <mergeCell ref="B16:C16"/>
    <mergeCell ref="D16:G16"/>
    <mergeCell ref="H16:K16"/>
    <mergeCell ref="L16:N16"/>
    <mergeCell ref="O16:Q16"/>
    <mergeCell ref="R16:T16"/>
    <mergeCell ref="U16:W16"/>
    <mergeCell ref="B17:C17"/>
    <mergeCell ref="D17:G17"/>
    <mergeCell ref="H17:K17"/>
    <mergeCell ref="L17:N17"/>
    <mergeCell ref="O17:Q17"/>
    <mergeCell ref="R17:T17"/>
    <mergeCell ref="U17:W17"/>
    <mergeCell ref="B18:C18"/>
    <mergeCell ref="D18:G18"/>
    <mergeCell ref="H18:K18"/>
    <mergeCell ref="L18:N18"/>
    <mergeCell ref="O18:Q18"/>
    <mergeCell ref="R18:T18"/>
    <mergeCell ref="U18:W18"/>
    <mergeCell ref="B19:C19"/>
    <mergeCell ref="D19:G19"/>
    <mergeCell ref="H19:K19"/>
    <mergeCell ref="L19:N19"/>
    <mergeCell ref="O19:Q19"/>
    <mergeCell ref="R19:T19"/>
    <mergeCell ref="U19:W19"/>
    <mergeCell ref="B20:C20"/>
    <mergeCell ref="D20:G20"/>
    <mergeCell ref="H20:K20"/>
    <mergeCell ref="L20:N20"/>
    <mergeCell ref="O20:Q20"/>
    <mergeCell ref="R20:T20"/>
    <mergeCell ref="U20:W20"/>
    <mergeCell ref="B21:C21"/>
    <mergeCell ref="D21:G21"/>
    <mergeCell ref="H21:K21"/>
    <mergeCell ref="L21:N21"/>
    <mergeCell ref="O21:Q21"/>
    <mergeCell ref="R21:T21"/>
    <mergeCell ref="U21:W21"/>
    <mergeCell ref="B514:C514"/>
    <mergeCell ref="D514:G514"/>
    <mergeCell ref="H514:K514"/>
    <mergeCell ref="L514:N514"/>
    <mergeCell ref="O514:Q514"/>
    <mergeCell ref="R514:T514"/>
    <mergeCell ref="U514:W514"/>
    <mergeCell ref="B486:C486"/>
    <mergeCell ref="D486:G486"/>
    <mergeCell ref="H486:K486"/>
    <mergeCell ref="L486:N486"/>
    <mergeCell ref="O486:Q486"/>
    <mergeCell ref="R486:T486"/>
    <mergeCell ref="U486:W486"/>
    <mergeCell ref="B487:C487"/>
    <mergeCell ref="D487:G487"/>
    <mergeCell ref="H487:K487"/>
    <mergeCell ref="L487:N487"/>
    <mergeCell ref="O487:Q487"/>
    <mergeCell ref="R487:T487"/>
    <mergeCell ref="U487:W487"/>
    <mergeCell ref="B488:C488"/>
    <mergeCell ref="D488:G488"/>
    <mergeCell ref="H488:K488"/>
    <mergeCell ref="L488:N488"/>
    <mergeCell ref="O488:Q488"/>
    <mergeCell ref="R488:T488"/>
    <mergeCell ref="U488:W488"/>
    <mergeCell ref="B489:C489"/>
    <mergeCell ref="D489:G489"/>
    <mergeCell ref="H489:K489"/>
    <mergeCell ref="L489:N489"/>
    <mergeCell ref="O489:Q489"/>
    <mergeCell ref="R489:T489"/>
    <mergeCell ref="U489:W489"/>
    <mergeCell ref="B490:C490"/>
    <mergeCell ref="D490:G490"/>
    <mergeCell ref="H490:K490"/>
    <mergeCell ref="L490:N490"/>
    <mergeCell ref="O490:Q490"/>
    <mergeCell ref="R490:T490"/>
    <mergeCell ref="U490:W490"/>
    <mergeCell ref="B491:C491"/>
    <mergeCell ref="D491:G491"/>
    <mergeCell ref="H491:K491"/>
    <mergeCell ref="L491:N491"/>
    <mergeCell ref="O491:Q491"/>
    <mergeCell ref="R491:T491"/>
    <mergeCell ref="U491:W491"/>
    <mergeCell ref="B492:C492"/>
    <mergeCell ref="D492:G492"/>
    <mergeCell ref="H492:K492"/>
    <mergeCell ref="L492:N492"/>
    <mergeCell ref="O492:Q492"/>
    <mergeCell ref="R492:T492"/>
    <mergeCell ref="U492:W492"/>
    <mergeCell ref="B493:C493"/>
    <mergeCell ref="D493:G493"/>
    <mergeCell ref="H493:K493"/>
    <mergeCell ref="L493:N493"/>
    <mergeCell ref="O493:Q493"/>
    <mergeCell ref="R493:T493"/>
    <mergeCell ref="U493:W493"/>
    <mergeCell ref="B494:C494"/>
    <mergeCell ref="D494:G494"/>
    <mergeCell ref="H494:K494"/>
    <mergeCell ref="L494:N494"/>
    <mergeCell ref="O494:Q494"/>
    <mergeCell ref="R494:T494"/>
    <mergeCell ref="U494:W494"/>
    <mergeCell ref="B495:C495"/>
    <mergeCell ref="D495:G495"/>
    <mergeCell ref="H495:K495"/>
    <mergeCell ref="L495:N495"/>
    <mergeCell ref="O495:Q495"/>
    <mergeCell ref="R495:T495"/>
    <mergeCell ref="U495:W495"/>
    <mergeCell ref="B496:C496"/>
    <mergeCell ref="D496:G496"/>
    <mergeCell ref="H496:K496"/>
    <mergeCell ref="L496:N496"/>
    <mergeCell ref="O496:Q496"/>
    <mergeCell ref="R496:T496"/>
    <mergeCell ref="U496:W496"/>
    <mergeCell ref="B497:C497"/>
    <mergeCell ref="D497:G497"/>
    <mergeCell ref="H497:K497"/>
    <mergeCell ref="L497:N497"/>
    <mergeCell ref="O497:Q497"/>
    <mergeCell ref="R497:T497"/>
    <mergeCell ref="U497:W497"/>
    <mergeCell ref="B498:C498"/>
    <mergeCell ref="D498:G498"/>
    <mergeCell ref="H498:K498"/>
    <mergeCell ref="L498:N498"/>
    <mergeCell ref="O498:Q498"/>
    <mergeCell ref="R498:T498"/>
    <mergeCell ref="U498:W498"/>
    <mergeCell ref="B499:C499"/>
    <mergeCell ref="D499:G499"/>
    <mergeCell ref="H499:K499"/>
    <mergeCell ref="L499:N499"/>
    <mergeCell ref="O499:Q499"/>
    <mergeCell ref="R499:T499"/>
    <mergeCell ref="U499:W499"/>
    <mergeCell ref="O375:Q375"/>
    <mergeCell ref="R375:T375"/>
    <mergeCell ref="U375:W375"/>
    <mergeCell ref="B376:C376"/>
    <mergeCell ref="D376:G376"/>
    <mergeCell ref="H376:K376"/>
    <mergeCell ref="L376:N376"/>
    <mergeCell ref="O376:Q376"/>
    <mergeCell ref="R376:T376"/>
    <mergeCell ref="U376:W376"/>
    <mergeCell ref="B377:C377"/>
    <mergeCell ref="D377:G377"/>
    <mergeCell ref="H377:K377"/>
    <mergeCell ref="L377:N377"/>
    <mergeCell ref="O377:Q377"/>
    <mergeCell ref="R377:T377"/>
    <mergeCell ref="U377:W377"/>
    <mergeCell ref="B378:C378"/>
    <mergeCell ref="D378:G378"/>
    <mergeCell ref="H378:K378"/>
    <mergeCell ref="L378:N378"/>
    <mergeCell ref="O378:Q378"/>
    <mergeCell ref="R378:T378"/>
    <mergeCell ref="U378:W378"/>
    <mergeCell ref="B379:C379"/>
    <mergeCell ref="D379:G379"/>
    <mergeCell ref="H379:K379"/>
    <mergeCell ref="L379:N379"/>
    <mergeCell ref="O379:Q379"/>
    <mergeCell ref="R379:T379"/>
    <mergeCell ref="U379:W379"/>
    <mergeCell ref="B380:C380"/>
    <mergeCell ref="D380:G380"/>
    <mergeCell ref="H380:K380"/>
    <mergeCell ref="L380:N380"/>
    <mergeCell ref="O380:Q380"/>
    <mergeCell ref="R380:T380"/>
    <mergeCell ref="U380:W380"/>
    <mergeCell ref="B381:C381"/>
    <mergeCell ref="D381:G381"/>
    <mergeCell ref="H381:K381"/>
    <mergeCell ref="L381:N381"/>
    <mergeCell ref="O381:Q381"/>
    <mergeCell ref="R381:T381"/>
    <mergeCell ref="U381:W381"/>
    <mergeCell ref="B382:C382"/>
    <mergeCell ref="D382:G382"/>
    <mergeCell ref="H382:K382"/>
    <mergeCell ref="L382:N382"/>
    <mergeCell ref="O382:Q382"/>
    <mergeCell ref="R382:T382"/>
    <mergeCell ref="U382:W382"/>
    <mergeCell ref="B383:C383"/>
    <mergeCell ref="D383:G383"/>
    <mergeCell ref="H383:K383"/>
    <mergeCell ref="L383:N383"/>
    <mergeCell ref="O383:Q383"/>
    <mergeCell ref="R383:T383"/>
    <mergeCell ref="U383:W383"/>
    <mergeCell ref="B384:C384"/>
    <mergeCell ref="D384:G384"/>
    <mergeCell ref="H384:K384"/>
    <mergeCell ref="L384:N384"/>
    <mergeCell ref="O384:Q384"/>
    <mergeCell ref="R384:T384"/>
    <mergeCell ref="U384:W384"/>
    <mergeCell ref="B385:C385"/>
    <mergeCell ref="D385:G385"/>
    <mergeCell ref="H385:K385"/>
    <mergeCell ref="L385:N385"/>
    <mergeCell ref="O385:Q385"/>
    <mergeCell ref="R385:T385"/>
    <mergeCell ref="U385:W385"/>
    <mergeCell ref="B386:C386"/>
    <mergeCell ref="D386:G386"/>
    <mergeCell ref="H386:K386"/>
    <mergeCell ref="L386:N386"/>
    <mergeCell ref="O386:Q386"/>
    <mergeCell ref="R386:T386"/>
    <mergeCell ref="U386:W386"/>
    <mergeCell ref="B387:C387"/>
    <mergeCell ref="D387:G387"/>
    <mergeCell ref="H387:K387"/>
    <mergeCell ref="L387:N387"/>
    <mergeCell ref="O387:Q387"/>
    <mergeCell ref="R387:T387"/>
    <mergeCell ref="U387:W387"/>
    <mergeCell ref="B388:C388"/>
    <mergeCell ref="D388:G388"/>
    <mergeCell ref="H388:K388"/>
    <mergeCell ref="L388:N388"/>
    <mergeCell ref="O388:Q388"/>
    <mergeCell ref="R388:T388"/>
    <mergeCell ref="U388:W388"/>
    <mergeCell ref="B389:C389"/>
    <mergeCell ref="D389:G389"/>
    <mergeCell ref="H389:K389"/>
    <mergeCell ref="L389:N389"/>
    <mergeCell ref="O389:Q389"/>
    <mergeCell ref="R389:T389"/>
    <mergeCell ref="U389:W389"/>
    <mergeCell ref="B390:C390"/>
    <mergeCell ref="D390:G390"/>
    <mergeCell ref="H390:K390"/>
    <mergeCell ref="L390:N390"/>
    <mergeCell ref="O390:Q390"/>
    <mergeCell ref="R390:T390"/>
    <mergeCell ref="U390:W390"/>
    <mergeCell ref="B391:C391"/>
    <mergeCell ref="D391:G391"/>
    <mergeCell ref="H391:K391"/>
    <mergeCell ref="L391:N391"/>
    <mergeCell ref="O391:Q391"/>
    <mergeCell ref="R391:T391"/>
    <mergeCell ref="U391:W391"/>
    <mergeCell ref="B392:C392"/>
    <mergeCell ref="D392:G392"/>
    <mergeCell ref="H392:K392"/>
    <mergeCell ref="L392:N392"/>
    <mergeCell ref="O392:Q392"/>
    <mergeCell ref="R392:T392"/>
    <mergeCell ref="U392:W392"/>
    <mergeCell ref="B393:C393"/>
    <mergeCell ref="D393:G393"/>
    <mergeCell ref="H393:K393"/>
    <mergeCell ref="L393:N393"/>
    <mergeCell ref="O393:Q393"/>
    <mergeCell ref="R393:T393"/>
    <mergeCell ref="U393:W393"/>
    <mergeCell ref="B394:C394"/>
    <mergeCell ref="D394:G394"/>
    <mergeCell ref="H394:K394"/>
    <mergeCell ref="L394:N394"/>
    <mergeCell ref="O394:Q394"/>
    <mergeCell ref="R394:T394"/>
    <mergeCell ref="U394:W394"/>
    <mergeCell ref="B395:C395"/>
    <mergeCell ref="D395:G395"/>
    <mergeCell ref="H395:K395"/>
    <mergeCell ref="L395:N395"/>
    <mergeCell ref="O395:Q395"/>
    <mergeCell ref="R395:T395"/>
    <mergeCell ref="U395:W395"/>
    <mergeCell ref="B396:C396"/>
    <mergeCell ref="D396:G396"/>
    <mergeCell ref="H396:K396"/>
    <mergeCell ref="L396:N396"/>
    <mergeCell ref="O396:Q396"/>
    <mergeCell ref="R396:T396"/>
    <mergeCell ref="U396:W396"/>
    <mergeCell ref="B397:C397"/>
    <mergeCell ref="D397:G397"/>
    <mergeCell ref="H397:K397"/>
    <mergeCell ref="L397:N397"/>
    <mergeCell ref="O397:Q397"/>
    <mergeCell ref="R397:T397"/>
    <mergeCell ref="U397:W397"/>
    <mergeCell ref="B398:C398"/>
    <mergeCell ref="D398:G398"/>
    <mergeCell ref="H398:K398"/>
    <mergeCell ref="L398:N398"/>
    <mergeCell ref="O398:Q398"/>
    <mergeCell ref="R398:T398"/>
    <mergeCell ref="U398:W398"/>
    <mergeCell ref="B399:C399"/>
    <mergeCell ref="D399:G399"/>
    <mergeCell ref="H399:K399"/>
    <mergeCell ref="L399:N399"/>
    <mergeCell ref="O399:Q399"/>
    <mergeCell ref="R399:T399"/>
    <mergeCell ref="U399:W399"/>
    <mergeCell ref="B400:C400"/>
    <mergeCell ref="D400:G400"/>
    <mergeCell ref="H400:K400"/>
    <mergeCell ref="L400:N400"/>
    <mergeCell ref="O400:Q400"/>
    <mergeCell ref="R400:T400"/>
    <mergeCell ref="U400:W400"/>
    <mergeCell ref="B401:C401"/>
    <mergeCell ref="D401:G401"/>
    <mergeCell ref="H401:K401"/>
    <mergeCell ref="L401:N401"/>
    <mergeCell ref="O401:Q401"/>
    <mergeCell ref="R401:T401"/>
    <mergeCell ref="U401:W401"/>
    <mergeCell ref="B402:C402"/>
    <mergeCell ref="D402:G402"/>
    <mergeCell ref="H402:K402"/>
    <mergeCell ref="L402:N402"/>
    <mergeCell ref="O402:Q402"/>
    <mergeCell ref="R402:T402"/>
    <mergeCell ref="U402:W402"/>
    <mergeCell ref="B403:C403"/>
    <mergeCell ref="D403:G403"/>
    <mergeCell ref="H403:K403"/>
    <mergeCell ref="L403:N403"/>
    <mergeCell ref="O403:Q403"/>
    <mergeCell ref="R403:T403"/>
    <mergeCell ref="U403:W403"/>
    <mergeCell ref="B404:C404"/>
    <mergeCell ref="D404:G404"/>
    <mergeCell ref="H404:K404"/>
    <mergeCell ref="L404:N404"/>
    <mergeCell ref="O404:Q404"/>
    <mergeCell ref="R404:T404"/>
    <mergeCell ref="U404:W404"/>
    <mergeCell ref="B405:C405"/>
    <mergeCell ref="D405:G405"/>
    <mergeCell ref="H405:K405"/>
    <mergeCell ref="L405:N405"/>
    <mergeCell ref="O405:Q405"/>
    <mergeCell ref="R405:T405"/>
    <mergeCell ref="U405:W405"/>
    <mergeCell ref="B406:C406"/>
    <mergeCell ref="D406:G406"/>
    <mergeCell ref="H406:K406"/>
    <mergeCell ref="L406:N406"/>
    <mergeCell ref="O406:Q406"/>
    <mergeCell ref="R406:T406"/>
    <mergeCell ref="U406:W406"/>
    <mergeCell ref="B407:C407"/>
    <mergeCell ref="D407:G407"/>
    <mergeCell ref="H407:K407"/>
    <mergeCell ref="L407:N407"/>
    <mergeCell ref="O407:Q407"/>
    <mergeCell ref="R407:T407"/>
    <mergeCell ref="U407:W407"/>
    <mergeCell ref="B408:C408"/>
    <mergeCell ref="D408:G408"/>
    <mergeCell ref="H408:K408"/>
    <mergeCell ref="L408:N408"/>
    <mergeCell ref="O408:Q408"/>
    <mergeCell ref="R408:T408"/>
    <mergeCell ref="U408:W408"/>
    <mergeCell ref="B409:C409"/>
    <mergeCell ref="D409:G409"/>
    <mergeCell ref="H409:K409"/>
    <mergeCell ref="L409:N409"/>
    <mergeCell ref="O409:Q409"/>
    <mergeCell ref="R409:T409"/>
    <mergeCell ref="U409:W409"/>
    <mergeCell ref="B410:C410"/>
    <mergeCell ref="D410:G410"/>
    <mergeCell ref="H410:K410"/>
    <mergeCell ref="L410:N410"/>
    <mergeCell ref="O410:Q410"/>
    <mergeCell ref="R410:T410"/>
    <mergeCell ref="U410:W410"/>
    <mergeCell ref="B411:C411"/>
    <mergeCell ref="D411:G411"/>
    <mergeCell ref="H411:K411"/>
    <mergeCell ref="L411:N411"/>
    <mergeCell ref="O411:Q411"/>
    <mergeCell ref="R411:T411"/>
    <mergeCell ref="U411:W411"/>
    <mergeCell ref="B412:C412"/>
    <mergeCell ref="D412:G412"/>
    <mergeCell ref="H412:K412"/>
    <mergeCell ref="L412:N412"/>
    <mergeCell ref="O412:Q412"/>
    <mergeCell ref="R412:T412"/>
    <mergeCell ref="U412:W412"/>
    <mergeCell ref="B413:C413"/>
    <mergeCell ref="D413:G413"/>
    <mergeCell ref="H413:K413"/>
    <mergeCell ref="L413:N413"/>
    <mergeCell ref="O413:Q413"/>
    <mergeCell ref="R413:T413"/>
    <mergeCell ref="U413:W413"/>
    <mergeCell ref="B414:C414"/>
    <mergeCell ref="D414:G414"/>
    <mergeCell ref="H414:K414"/>
    <mergeCell ref="L414:N414"/>
    <mergeCell ref="O414:Q414"/>
    <mergeCell ref="R414:T414"/>
    <mergeCell ref="U414:W414"/>
    <mergeCell ref="B415:C415"/>
    <mergeCell ref="D415:G415"/>
    <mergeCell ref="H415:K415"/>
    <mergeCell ref="L415:N415"/>
    <mergeCell ref="O415:Q415"/>
    <mergeCell ref="R415:T415"/>
    <mergeCell ref="U415:W415"/>
    <mergeCell ref="B416:C416"/>
    <mergeCell ref="D416:G416"/>
    <mergeCell ref="H416:K416"/>
    <mergeCell ref="L416:N416"/>
    <mergeCell ref="O416:Q416"/>
    <mergeCell ref="R416:T416"/>
    <mergeCell ref="U416:W416"/>
    <mergeCell ref="B417:C417"/>
    <mergeCell ref="D417:G417"/>
    <mergeCell ref="H417:K417"/>
    <mergeCell ref="L417:N417"/>
    <mergeCell ref="O417:Q417"/>
    <mergeCell ref="R417:T417"/>
    <mergeCell ref="U417:W417"/>
    <mergeCell ref="B418:C418"/>
    <mergeCell ref="D418:G418"/>
    <mergeCell ref="H418:K418"/>
    <mergeCell ref="L418:N418"/>
    <mergeCell ref="O418:Q418"/>
    <mergeCell ref="R418:T418"/>
    <mergeCell ref="U418:W418"/>
    <mergeCell ref="B419:C419"/>
    <mergeCell ref="D419:G419"/>
    <mergeCell ref="H419:K419"/>
    <mergeCell ref="L419:N419"/>
    <mergeCell ref="O419:Q419"/>
    <mergeCell ref="R419:T419"/>
    <mergeCell ref="U419:W419"/>
    <mergeCell ref="B420:C420"/>
    <mergeCell ref="D420:G420"/>
    <mergeCell ref="H420:K420"/>
    <mergeCell ref="L420:N420"/>
    <mergeCell ref="O420:Q420"/>
    <mergeCell ref="R420:T420"/>
    <mergeCell ref="U420:W420"/>
    <mergeCell ref="B421:C421"/>
    <mergeCell ref="D421:G421"/>
    <mergeCell ref="H421:K421"/>
    <mergeCell ref="L421:N421"/>
    <mergeCell ref="O421:Q421"/>
    <mergeCell ref="R421:T421"/>
    <mergeCell ref="U421:W421"/>
    <mergeCell ref="B422:C422"/>
    <mergeCell ref="D422:G422"/>
    <mergeCell ref="H422:K422"/>
    <mergeCell ref="L422:N422"/>
    <mergeCell ref="O422:Q422"/>
    <mergeCell ref="R422:T422"/>
    <mergeCell ref="U422:W422"/>
    <mergeCell ref="B423:C423"/>
    <mergeCell ref="D423:G423"/>
    <mergeCell ref="H423:K423"/>
    <mergeCell ref="L423:N423"/>
    <mergeCell ref="O423:Q423"/>
    <mergeCell ref="R423:T423"/>
    <mergeCell ref="U423:W423"/>
    <mergeCell ref="B424:C424"/>
    <mergeCell ref="D424:G424"/>
    <mergeCell ref="H424:K424"/>
    <mergeCell ref="L424:N424"/>
    <mergeCell ref="O424:Q424"/>
    <mergeCell ref="R424:T424"/>
    <mergeCell ref="U424:W424"/>
    <mergeCell ref="B425:C425"/>
    <mergeCell ref="D425:G425"/>
    <mergeCell ref="H425:K425"/>
    <mergeCell ref="L425:N425"/>
    <mergeCell ref="O425:Q425"/>
    <mergeCell ref="R425:T425"/>
    <mergeCell ref="U425:W425"/>
    <mergeCell ref="B426:C426"/>
    <mergeCell ref="D426:G426"/>
    <mergeCell ref="H426:K426"/>
    <mergeCell ref="L426:N426"/>
    <mergeCell ref="O426:Q426"/>
    <mergeCell ref="R426:T426"/>
    <mergeCell ref="U426:W426"/>
    <mergeCell ref="B427:C427"/>
    <mergeCell ref="D427:G427"/>
    <mergeCell ref="H427:K427"/>
    <mergeCell ref="L427:N427"/>
    <mergeCell ref="O427:Q427"/>
    <mergeCell ref="R427:T427"/>
    <mergeCell ref="U427:W427"/>
    <mergeCell ref="B428:C428"/>
    <mergeCell ref="D428:G428"/>
    <mergeCell ref="H428:K428"/>
    <mergeCell ref="L428:N428"/>
    <mergeCell ref="O428:Q428"/>
    <mergeCell ref="R428:T428"/>
    <mergeCell ref="U428:W428"/>
    <mergeCell ref="B429:C429"/>
    <mergeCell ref="D429:G429"/>
    <mergeCell ref="H429:K429"/>
    <mergeCell ref="L429:N429"/>
    <mergeCell ref="O429:Q429"/>
    <mergeCell ref="R429:T429"/>
    <mergeCell ref="U429:W429"/>
    <mergeCell ref="B430:C430"/>
    <mergeCell ref="D430:G430"/>
    <mergeCell ref="H430:K430"/>
    <mergeCell ref="L430:N430"/>
    <mergeCell ref="O430:Q430"/>
    <mergeCell ref="R430:T430"/>
    <mergeCell ref="U430:W430"/>
    <mergeCell ref="B431:C431"/>
    <mergeCell ref="D431:G431"/>
    <mergeCell ref="H431:K431"/>
    <mergeCell ref="L431:N431"/>
    <mergeCell ref="O431:Q431"/>
    <mergeCell ref="R431:T431"/>
    <mergeCell ref="U431:W431"/>
    <mergeCell ref="B432:C432"/>
    <mergeCell ref="D432:G432"/>
    <mergeCell ref="H432:K432"/>
    <mergeCell ref="L432:N432"/>
    <mergeCell ref="O432:Q432"/>
    <mergeCell ref="R432:T432"/>
    <mergeCell ref="U432:W432"/>
    <mergeCell ref="B433:C433"/>
    <mergeCell ref="D433:G433"/>
    <mergeCell ref="H433:K433"/>
    <mergeCell ref="L433:N433"/>
    <mergeCell ref="O433:Q433"/>
    <mergeCell ref="R433:T433"/>
    <mergeCell ref="U433:W433"/>
    <mergeCell ref="B434:C434"/>
    <mergeCell ref="D434:G434"/>
    <mergeCell ref="H434:K434"/>
    <mergeCell ref="L434:N434"/>
    <mergeCell ref="O434:Q434"/>
    <mergeCell ref="R434:T434"/>
    <mergeCell ref="U434:W434"/>
    <mergeCell ref="B435:C435"/>
    <mergeCell ref="D435:G435"/>
    <mergeCell ref="H435:K435"/>
    <mergeCell ref="L435:N435"/>
    <mergeCell ref="O435:Q435"/>
    <mergeCell ref="R435:T435"/>
    <mergeCell ref="U435:W435"/>
    <mergeCell ref="B436:C436"/>
    <mergeCell ref="D436:G436"/>
    <mergeCell ref="H436:K436"/>
    <mergeCell ref="L436:N436"/>
    <mergeCell ref="O436:Q436"/>
    <mergeCell ref="R436:T436"/>
    <mergeCell ref="U436:W436"/>
    <mergeCell ref="B437:C437"/>
    <mergeCell ref="D437:G437"/>
    <mergeCell ref="H437:K437"/>
    <mergeCell ref="L437:N437"/>
    <mergeCell ref="O437:Q437"/>
    <mergeCell ref="R437:T437"/>
    <mergeCell ref="U437:W437"/>
    <mergeCell ref="B438:C438"/>
    <mergeCell ref="D438:G438"/>
    <mergeCell ref="H438:K438"/>
    <mergeCell ref="L438:N438"/>
    <mergeCell ref="O438:Q438"/>
    <mergeCell ref="R438:T438"/>
    <mergeCell ref="U438:W438"/>
    <mergeCell ref="B439:C439"/>
    <mergeCell ref="D439:G439"/>
    <mergeCell ref="H439:K439"/>
    <mergeCell ref="L439:N439"/>
    <mergeCell ref="O439:Q439"/>
    <mergeCell ref="R439:T439"/>
    <mergeCell ref="U439:W439"/>
    <mergeCell ref="B440:C440"/>
    <mergeCell ref="D440:G440"/>
    <mergeCell ref="H440:K440"/>
    <mergeCell ref="L440:N440"/>
    <mergeCell ref="O440:Q440"/>
    <mergeCell ref="R440:T440"/>
    <mergeCell ref="U440:W440"/>
    <mergeCell ref="B441:C441"/>
    <mergeCell ref="D441:G441"/>
    <mergeCell ref="H441:K441"/>
    <mergeCell ref="L441:N441"/>
    <mergeCell ref="O441:Q441"/>
    <mergeCell ref="R441:T441"/>
    <mergeCell ref="U441:W441"/>
    <mergeCell ref="B442:C442"/>
    <mergeCell ref="D442:G442"/>
    <mergeCell ref="H442:K442"/>
    <mergeCell ref="L442:N442"/>
    <mergeCell ref="O442:Q442"/>
    <mergeCell ref="R442:T442"/>
    <mergeCell ref="U442:W442"/>
    <mergeCell ref="B443:C443"/>
    <mergeCell ref="D443:G443"/>
    <mergeCell ref="H443:K443"/>
    <mergeCell ref="L443:N443"/>
    <mergeCell ref="O443:Q443"/>
    <mergeCell ref="R443:T443"/>
    <mergeCell ref="U443:W443"/>
    <mergeCell ref="B444:C444"/>
    <mergeCell ref="D444:G444"/>
    <mergeCell ref="H444:K444"/>
    <mergeCell ref="L444:N444"/>
    <mergeCell ref="O444:Q444"/>
    <mergeCell ref="R444:T444"/>
    <mergeCell ref="U444:W444"/>
    <mergeCell ref="B445:C445"/>
    <mergeCell ref="D445:G445"/>
    <mergeCell ref="H445:K445"/>
    <mergeCell ref="L445:N445"/>
    <mergeCell ref="O445:Q445"/>
    <mergeCell ref="R445:T445"/>
    <mergeCell ref="U445:W445"/>
    <mergeCell ref="B446:C446"/>
    <mergeCell ref="D446:G446"/>
    <mergeCell ref="H446:K446"/>
    <mergeCell ref="L446:N446"/>
    <mergeCell ref="O446:Q446"/>
    <mergeCell ref="R446:T446"/>
    <mergeCell ref="U446:W446"/>
    <mergeCell ref="B447:C447"/>
    <mergeCell ref="D447:G447"/>
    <mergeCell ref="H447:K447"/>
    <mergeCell ref="L447:N447"/>
    <mergeCell ref="O447:Q447"/>
    <mergeCell ref="R447:T447"/>
    <mergeCell ref="U447:W447"/>
    <mergeCell ref="B448:C448"/>
    <mergeCell ref="D448:G448"/>
    <mergeCell ref="H448:K448"/>
    <mergeCell ref="L448:N448"/>
    <mergeCell ref="O448:Q448"/>
    <mergeCell ref="R448:T448"/>
    <mergeCell ref="U448:W448"/>
    <mergeCell ref="B449:C449"/>
    <mergeCell ref="D449:G449"/>
    <mergeCell ref="H449:K449"/>
    <mergeCell ref="L449:N449"/>
    <mergeCell ref="O449:Q449"/>
    <mergeCell ref="R449:T449"/>
    <mergeCell ref="U449:W449"/>
    <mergeCell ref="B450:C450"/>
    <mergeCell ref="D450:G450"/>
    <mergeCell ref="H450:K450"/>
    <mergeCell ref="L450:N450"/>
    <mergeCell ref="O450:Q450"/>
    <mergeCell ref="R450:T450"/>
    <mergeCell ref="U450:W450"/>
    <mergeCell ref="B451:C451"/>
    <mergeCell ref="D451:G451"/>
    <mergeCell ref="H451:K451"/>
    <mergeCell ref="L451:N451"/>
    <mergeCell ref="O451:Q451"/>
    <mergeCell ref="R451:T451"/>
    <mergeCell ref="U451:W451"/>
    <mergeCell ref="B452:C452"/>
    <mergeCell ref="D452:G452"/>
    <mergeCell ref="H452:K452"/>
    <mergeCell ref="L452:N452"/>
    <mergeCell ref="O452:Q452"/>
    <mergeCell ref="R452:T452"/>
    <mergeCell ref="U452:W452"/>
    <mergeCell ref="B453:C453"/>
    <mergeCell ref="D453:G453"/>
    <mergeCell ref="H453:K453"/>
    <mergeCell ref="L453:N453"/>
    <mergeCell ref="O453:Q453"/>
    <mergeCell ref="R453:T453"/>
    <mergeCell ref="U453:W453"/>
    <mergeCell ref="B454:C454"/>
    <mergeCell ref="D454:G454"/>
    <mergeCell ref="H454:K454"/>
    <mergeCell ref="L454:N454"/>
    <mergeCell ref="O454:Q454"/>
    <mergeCell ref="R454:T454"/>
    <mergeCell ref="U454:W454"/>
    <mergeCell ref="B455:C455"/>
    <mergeCell ref="D455:G455"/>
    <mergeCell ref="H455:K455"/>
    <mergeCell ref="L455:N455"/>
    <mergeCell ref="O455:Q455"/>
    <mergeCell ref="R455:T455"/>
    <mergeCell ref="U455:W455"/>
    <mergeCell ref="B456:C456"/>
    <mergeCell ref="D456:G456"/>
    <mergeCell ref="H456:K456"/>
    <mergeCell ref="L456:N456"/>
    <mergeCell ref="O456:Q456"/>
    <mergeCell ref="R456:T456"/>
    <mergeCell ref="U456:W456"/>
    <mergeCell ref="B457:C457"/>
    <mergeCell ref="D457:G457"/>
    <mergeCell ref="H457:K457"/>
    <mergeCell ref="L457:N457"/>
    <mergeCell ref="O457:Q457"/>
    <mergeCell ref="R457:T457"/>
    <mergeCell ref="U457:W457"/>
    <mergeCell ref="B458:C458"/>
    <mergeCell ref="D458:G458"/>
    <mergeCell ref="H458:K458"/>
    <mergeCell ref="L458:N458"/>
    <mergeCell ref="O458:Q458"/>
    <mergeCell ref="R458:T458"/>
    <mergeCell ref="U458:W458"/>
    <mergeCell ref="B459:C459"/>
    <mergeCell ref="D459:G459"/>
    <mergeCell ref="H459:K459"/>
    <mergeCell ref="L459:N459"/>
    <mergeCell ref="O459:Q459"/>
    <mergeCell ref="R459:T459"/>
    <mergeCell ref="U459:W459"/>
    <mergeCell ref="B460:C460"/>
    <mergeCell ref="D460:G460"/>
    <mergeCell ref="H460:K460"/>
    <mergeCell ref="L460:N460"/>
    <mergeCell ref="O460:Q460"/>
    <mergeCell ref="R460:T460"/>
    <mergeCell ref="U460:W460"/>
    <mergeCell ref="B461:C461"/>
    <mergeCell ref="D461:G461"/>
    <mergeCell ref="H461:K461"/>
    <mergeCell ref="L461:N461"/>
    <mergeCell ref="O461:Q461"/>
    <mergeCell ref="R461:T461"/>
    <mergeCell ref="U461:W461"/>
    <mergeCell ref="B462:C462"/>
    <mergeCell ref="D462:G462"/>
    <mergeCell ref="H462:K462"/>
    <mergeCell ref="L462:N462"/>
    <mergeCell ref="O462:Q462"/>
    <mergeCell ref="R462:T462"/>
    <mergeCell ref="U462:W462"/>
    <mergeCell ref="B463:C463"/>
    <mergeCell ref="D463:G463"/>
    <mergeCell ref="H463:K463"/>
    <mergeCell ref="L463:N463"/>
    <mergeCell ref="O463:Q463"/>
    <mergeCell ref="R463:T463"/>
    <mergeCell ref="U463:W463"/>
    <mergeCell ref="B464:C464"/>
    <mergeCell ref="D464:G464"/>
    <mergeCell ref="H464:K464"/>
    <mergeCell ref="L464:N464"/>
    <mergeCell ref="O464:Q464"/>
    <mergeCell ref="R464:T464"/>
    <mergeCell ref="U464:W464"/>
    <mergeCell ref="B465:C465"/>
    <mergeCell ref="D465:G465"/>
    <mergeCell ref="H465:K465"/>
    <mergeCell ref="L465:N465"/>
    <mergeCell ref="O465:Q465"/>
    <mergeCell ref="R465:T465"/>
    <mergeCell ref="U465:W465"/>
    <mergeCell ref="B466:C466"/>
    <mergeCell ref="D466:G466"/>
    <mergeCell ref="H466:K466"/>
    <mergeCell ref="L466:N466"/>
    <mergeCell ref="O466:Q466"/>
    <mergeCell ref="R466:T466"/>
    <mergeCell ref="U466:W466"/>
    <mergeCell ref="B467:C467"/>
    <mergeCell ref="D467:G467"/>
    <mergeCell ref="H467:K467"/>
    <mergeCell ref="L467:N467"/>
    <mergeCell ref="O467:Q467"/>
    <mergeCell ref="R467:T467"/>
    <mergeCell ref="U467:W467"/>
    <mergeCell ref="B468:C468"/>
    <mergeCell ref="D468:G468"/>
    <mergeCell ref="H468:K468"/>
    <mergeCell ref="L468:N468"/>
    <mergeCell ref="O468:Q468"/>
    <mergeCell ref="R468:T468"/>
    <mergeCell ref="U468:W468"/>
    <mergeCell ref="B469:C469"/>
    <mergeCell ref="D469:G469"/>
    <mergeCell ref="H469:K469"/>
    <mergeCell ref="L469:N469"/>
    <mergeCell ref="O469:Q469"/>
    <mergeCell ref="R469:T469"/>
    <mergeCell ref="U469:W469"/>
    <mergeCell ref="B470:C470"/>
    <mergeCell ref="D470:G470"/>
    <mergeCell ref="H470:K470"/>
    <mergeCell ref="L470:N470"/>
    <mergeCell ref="O470:Q470"/>
    <mergeCell ref="R470:T470"/>
    <mergeCell ref="U470:W470"/>
    <mergeCell ref="AS278:AY278"/>
    <mergeCell ref="AS279:AY279"/>
    <mergeCell ref="AS280:AY280"/>
    <mergeCell ref="AS281:AY281"/>
    <mergeCell ref="AS282:AY282"/>
    <mergeCell ref="B471:C471"/>
    <mergeCell ref="D471:G471"/>
    <mergeCell ref="H471:K471"/>
    <mergeCell ref="L471:N471"/>
    <mergeCell ref="O471:Q471"/>
    <mergeCell ref="R471:T471"/>
    <mergeCell ref="U471:W471"/>
    <mergeCell ref="AS298:AY298"/>
    <mergeCell ref="AS299:AY299"/>
    <mergeCell ref="AS300:AY300"/>
    <mergeCell ref="AS301:AY301"/>
    <mergeCell ref="AS302:AY302"/>
    <mergeCell ref="AS291:AY291"/>
    <mergeCell ref="AS292:AY292"/>
    <mergeCell ref="AS293:AY293"/>
    <mergeCell ref="AS294:AY294"/>
    <mergeCell ref="AS295:AY295"/>
    <mergeCell ref="AS296:AY296"/>
    <mergeCell ref="AS297:AY297"/>
    <mergeCell ref="AS314:AY314"/>
    <mergeCell ref="AS315:AY315"/>
    <mergeCell ref="AS324:AY324"/>
    <mergeCell ref="AS325:AY325"/>
    <mergeCell ref="AS326:AY326"/>
    <mergeCell ref="AS327:AY327"/>
    <mergeCell ref="AS328:AY328"/>
    <mergeCell ref="AS317:AY317"/>
    <mergeCell ref="BG299:BJ299"/>
    <mergeCell ref="BK299:BM299"/>
    <mergeCell ref="BD301:BF301"/>
    <mergeCell ref="BD302:BF302"/>
    <mergeCell ref="BB282:BC282"/>
    <mergeCell ref="BB283:BC283"/>
    <mergeCell ref="BB288:BC288"/>
    <mergeCell ref="BB289:BC289"/>
    <mergeCell ref="AS290:AY290"/>
    <mergeCell ref="BD290:BF290"/>
    <mergeCell ref="BG290:BJ290"/>
    <mergeCell ref="BK290:BM290"/>
    <mergeCell ref="BK291:BM291"/>
    <mergeCell ref="BD291:BF291"/>
    <mergeCell ref="BG291:BJ291"/>
    <mergeCell ref="BD292:BF292"/>
    <mergeCell ref="BG292:BJ292"/>
    <mergeCell ref="BK292:BM292"/>
    <mergeCell ref="BB290:BC290"/>
    <mergeCell ref="BB291:BC291"/>
    <mergeCell ref="BB292:BC292"/>
    <mergeCell ref="AS285:AY285"/>
    <mergeCell ref="AS286:AY286"/>
    <mergeCell ref="AS287:AY287"/>
    <mergeCell ref="AS288:AY288"/>
    <mergeCell ref="AS289:AY289"/>
    <mergeCell ref="BD283:BF283"/>
    <mergeCell ref="BG283:BJ283"/>
    <mergeCell ref="BK283:BM283"/>
    <mergeCell ref="BD284:BF284"/>
    <mergeCell ref="BG284:BJ284"/>
    <mergeCell ref="BK284:BM284"/>
    <mergeCell ref="BG293:BJ293"/>
    <mergeCell ref="BK293:BM293"/>
    <mergeCell ref="BD296:BF296"/>
    <mergeCell ref="BG296:BJ296"/>
    <mergeCell ref="BK296:BM296"/>
    <mergeCell ref="BD297:BF297"/>
    <mergeCell ref="BG297:BJ297"/>
    <mergeCell ref="BK297:BM297"/>
    <mergeCell ref="BD293:BF293"/>
    <mergeCell ref="BD294:BF294"/>
    <mergeCell ref="BG294:BJ294"/>
    <mergeCell ref="BK294:BM294"/>
    <mergeCell ref="BD295:BF295"/>
    <mergeCell ref="BG295:BJ295"/>
    <mergeCell ref="BK295:BM295"/>
    <mergeCell ref="BB297:BC297"/>
    <mergeCell ref="BB298:BC298"/>
    <mergeCell ref="BD298:BF298"/>
    <mergeCell ref="BG298:BJ298"/>
    <mergeCell ref="BK298:BM298"/>
    <mergeCell ref="BB293:BC293"/>
    <mergeCell ref="BB294:BC294"/>
    <mergeCell ref="BB295:BC295"/>
    <mergeCell ref="BB296:BC296"/>
    <mergeCell ref="AS311:AY311"/>
    <mergeCell ref="AS312:AY312"/>
    <mergeCell ref="AS313:AY313"/>
    <mergeCell ref="AS304:AY304"/>
    <mergeCell ref="AS305:AY305"/>
    <mergeCell ref="AS306:AY306"/>
    <mergeCell ref="AS307:AY307"/>
    <mergeCell ref="AS308:AY308"/>
    <mergeCell ref="AS309:AY309"/>
    <mergeCell ref="AS310:AY310"/>
    <mergeCell ref="AS303:AY303"/>
    <mergeCell ref="BD303:BF303"/>
    <mergeCell ref="BG303:BJ303"/>
    <mergeCell ref="BK303:BM303"/>
    <mergeCell ref="BK304:BM304"/>
    <mergeCell ref="BD304:BF304"/>
    <mergeCell ref="BG307:BJ307"/>
    <mergeCell ref="BK307:BM307"/>
    <mergeCell ref="BD308:BF308"/>
    <mergeCell ref="BG308:BJ308"/>
    <mergeCell ref="BK308:BM308"/>
    <mergeCell ref="BB308:BC308"/>
    <mergeCell ref="BB309:BC309"/>
    <mergeCell ref="BG302:BJ302"/>
    <mergeCell ref="BK302:BM302"/>
    <mergeCell ref="BB299:BC299"/>
    <mergeCell ref="BB300:BC300"/>
    <mergeCell ref="BD300:BF300"/>
    <mergeCell ref="BG300:BJ300"/>
    <mergeCell ref="BK300:BM300"/>
    <mergeCell ref="BG301:BJ301"/>
    <mergeCell ref="BK301:BM301"/>
    <mergeCell ref="BG319:BJ319"/>
    <mergeCell ref="BK319:BM319"/>
    <mergeCell ref="BB301:BC301"/>
    <mergeCell ref="BB302:BC302"/>
    <mergeCell ref="BB310:BC310"/>
    <mergeCell ref="BB311:BC311"/>
    <mergeCell ref="BD311:BF311"/>
    <mergeCell ref="BG311:BJ311"/>
    <mergeCell ref="BK311:BM311"/>
    <mergeCell ref="BD312:BF312"/>
    <mergeCell ref="BG312:BJ312"/>
    <mergeCell ref="BK312:BM312"/>
    <mergeCell ref="BD314:BF314"/>
    <mergeCell ref="BB303:BC303"/>
    <mergeCell ref="BB304:BC304"/>
    <mergeCell ref="BB305:BC305"/>
    <mergeCell ref="BB306:BC306"/>
    <mergeCell ref="BB307:BC307"/>
    <mergeCell ref="BB316:BC316"/>
    <mergeCell ref="BB317:BC317"/>
    <mergeCell ref="BB318:BC318"/>
    <mergeCell ref="BB319:BC319"/>
    <mergeCell ref="BD299:BF299"/>
    <mergeCell ref="BG332:BJ332"/>
    <mergeCell ref="BK332:BM332"/>
    <mergeCell ref="BD335:BF335"/>
    <mergeCell ref="BG335:BJ335"/>
    <mergeCell ref="BK335:BM335"/>
    <mergeCell ref="BD336:BF336"/>
    <mergeCell ref="BG336:BJ336"/>
    <mergeCell ref="BK336:BM336"/>
    <mergeCell ref="BD332:BF332"/>
    <mergeCell ref="BD315:BF315"/>
    <mergeCell ref="BG315:BJ315"/>
    <mergeCell ref="BK315:BM315"/>
    <mergeCell ref="BB315:BC315"/>
    <mergeCell ref="BD316:BF316"/>
    <mergeCell ref="BG316:BJ316"/>
    <mergeCell ref="BK316:BM316"/>
    <mergeCell ref="BK317:BM317"/>
    <mergeCell ref="BD317:BF317"/>
    <mergeCell ref="BG317:BJ317"/>
    <mergeCell ref="BG321:BJ321"/>
    <mergeCell ref="BK321:BM321"/>
    <mergeCell ref="BD320:BF320"/>
    <mergeCell ref="BG320:BJ320"/>
    <mergeCell ref="BK320:BM320"/>
    <mergeCell ref="BD322:BF322"/>
    <mergeCell ref="BD321:BF321"/>
    <mergeCell ref="BD323:BF323"/>
    <mergeCell ref="BG323:BJ323"/>
    <mergeCell ref="BK323:BM323"/>
    <mergeCell ref="BD319:BF319"/>
    <mergeCell ref="AS330:AY330"/>
    <mergeCell ref="BD318:BF318"/>
    <mergeCell ref="BG318:BJ318"/>
    <mergeCell ref="BK318:BM318"/>
    <mergeCell ref="BG304:BJ304"/>
    <mergeCell ref="BD305:BF305"/>
    <mergeCell ref="BG305:BJ305"/>
    <mergeCell ref="BK305:BM305"/>
    <mergeCell ref="BG306:BJ306"/>
    <mergeCell ref="BK306:BM306"/>
    <mergeCell ref="BD309:BF309"/>
    <mergeCell ref="BG309:BJ309"/>
    <mergeCell ref="BK309:BM309"/>
    <mergeCell ref="BG310:BJ310"/>
    <mergeCell ref="BK310:BM310"/>
    <mergeCell ref="BD306:BF306"/>
    <mergeCell ref="BD307:BF307"/>
    <mergeCell ref="BB312:BC312"/>
    <mergeCell ref="BB313:BC313"/>
    <mergeCell ref="BD313:BF313"/>
    <mergeCell ref="BG313:BJ313"/>
    <mergeCell ref="BK313:BM313"/>
    <mergeCell ref="BG314:BJ314"/>
    <mergeCell ref="BK314:BM314"/>
    <mergeCell ref="BD310:BF310"/>
    <mergeCell ref="BB314:BC314"/>
    <mergeCell ref="BG322:BJ322"/>
    <mergeCell ref="BK322:BM322"/>
    <mergeCell ref="BD324:BF324"/>
    <mergeCell ref="BG324:BJ324"/>
    <mergeCell ref="BK324:BM324"/>
    <mergeCell ref="BD325:BF325"/>
    <mergeCell ref="BG325:BJ325"/>
    <mergeCell ref="BK325:BM325"/>
    <mergeCell ref="BD327:BF327"/>
    <mergeCell ref="BD328:BF328"/>
    <mergeCell ref="BG328:BJ328"/>
    <mergeCell ref="BK328:BM328"/>
    <mergeCell ref="BB325:BC325"/>
    <mergeCell ref="BB326:BC326"/>
    <mergeCell ref="BD326:BF326"/>
    <mergeCell ref="BG326:BJ326"/>
    <mergeCell ref="BK326:BM326"/>
    <mergeCell ref="BG327:BJ327"/>
    <mergeCell ref="BK327:BM327"/>
    <mergeCell ref="BB320:BC320"/>
    <mergeCell ref="BB321:BC321"/>
    <mergeCell ref="BB322:BC322"/>
    <mergeCell ref="BB327:BC327"/>
    <mergeCell ref="BB328:BC328"/>
    <mergeCell ref="AS329:AY329"/>
    <mergeCell ref="BB336:BC336"/>
    <mergeCell ref="AS316:AY316"/>
    <mergeCell ref="AS323:AY323"/>
    <mergeCell ref="AS318:AY318"/>
    <mergeCell ref="AS319:AY319"/>
    <mergeCell ref="AS320:AY320"/>
    <mergeCell ref="AS321:AY321"/>
    <mergeCell ref="AS322:AY322"/>
    <mergeCell ref="BB329:BC329"/>
    <mergeCell ref="BB330:BC330"/>
    <mergeCell ref="BB323:BC323"/>
    <mergeCell ref="BB324:BC324"/>
    <mergeCell ref="BB331:BC331"/>
    <mergeCell ref="BB332:BC332"/>
    <mergeCell ref="BB333:BC333"/>
    <mergeCell ref="BB334:BC334"/>
    <mergeCell ref="BB335:BC335"/>
    <mergeCell ref="AS331:AY331"/>
    <mergeCell ref="AS332:AY332"/>
    <mergeCell ref="AS333:AY333"/>
    <mergeCell ref="AS334:AY334"/>
    <mergeCell ref="AS335:AY335"/>
    <mergeCell ref="AS336:AY336"/>
    <mergeCell ref="BB340:BC340"/>
    <mergeCell ref="BB341:BC341"/>
    <mergeCell ref="AS342:AY342"/>
    <mergeCell ref="BB349:BC349"/>
    <mergeCell ref="BB350:BC350"/>
    <mergeCell ref="BD337:BF337"/>
    <mergeCell ref="BG337:BJ337"/>
    <mergeCell ref="BK337:BM337"/>
    <mergeCell ref="BD338:BF338"/>
    <mergeCell ref="BG338:BJ338"/>
    <mergeCell ref="BK338:BM338"/>
    <mergeCell ref="BD340:BF340"/>
    <mergeCell ref="BD341:BF341"/>
    <mergeCell ref="BG341:BJ341"/>
    <mergeCell ref="BK341:BM341"/>
    <mergeCell ref="BB338:BC338"/>
    <mergeCell ref="BB339:BC339"/>
    <mergeCell ref="BD339:BF339"/>
    <mergeCell ref="BG339:BJ339"/>
    <mergeCell ref="BK339:BM339"/>
    <mergeCell ref="BG340:BJ340"/>
    <mergeCell ref="BK340:BM340"/>
    <mergeCell ref="AS337:AY337"/>
    <mergeCell ref="AS338:AY338"/>
    <mergeCell ref="AS339:AY339"/>
    <mergeCell ref="AS340:AY340"/>
    <mergeCell ref="AS341:AY341"/>
    <mergeCell ref="AS348:AY348"/>
    <mergeCell ref="AS349:AY349"/>
    <mergeCell ref="BG350:BJ350"/>
    <mergeCell ref="BK350:BM350"/>
    <mergeCell ref="BB337:BC337"/>
    <mergeCell ref="BD329:BF329"/>
    <mergeCell ref="BG329:BJ329"/>
    <mergeCell ref="BK329:BM329"/>
    <mergeCell ref="BK349:BM349"/>
    <mergeCell ref="BD345:BF345"/>
    <mergeCell ref="BD346:BF346"/>
    <mergeCell ref="BG346:BJ346"/>
    <mergeCell ref="BK346:BM346"/>
    <mergeCell ref="BD347:BF347"/>
    <mergeCell ref="BG347:BJ347"/>
    <mergeCell ref="BK347:BM347"/>
    <mergeCell ref="BD342:BF342"/>
    <mergeCell ref="BG342:BJ342"/>
    <mergeCell ref="BK342:BM342"/>
    <mergeCell ref="BK345:BM345"/>
    <mergeCell ref="BD348:BF348"/>
    <mergeCell ref="BG348:BJ348"/>
    <mergeCell ref="BK348:BM348"/>
    <mergeCell ref="BD349:BF349"/>
    <mergeCell ref="BG349:BJ349"/>
    <mergeCell ref="BD333:BF333"/>
    <mergeCell ref="BG333:BJ333"/>
    <mergeCell ref="BK333:BM333"/>
    <mergeCell ref="BD334:BF334"/>
    <mergeCell ref="BG334:BJ334"/>
    <mergeCell ref="BK334:BM334"/>
    <mergeCell ref="BK330:BM330"/>
    <mergeCell ref="BD330:BF330"/>
    <mergeCell ref="BG330:BJ330"/>
    <mergeCell ref="BD331:BF331"/>
    <mergeCell ref="BG331:BJ331"/>
    <mergeCell ref="BK331:BM331"/>
    <mergeCell ref="BD351:BF351"/>
    <mergeCell ref="BG351:BJ351"/>
    <mergeCell ref="BK351:BM351"/>
    <mergeCell ref="BD353:BF353"/>
    <mergeCell ref="BD354:BF354"/>
    <mergeCell ref="BG354:BJ354"/>
    <mergeCell ref="BK354:BM354"/>
    <mergeCell ref="BG352:BJ352"/>
    <mergeCell ref="BK352:BM352"/>
    <mergeCell ref="BG353:BJ353"/>
    <mergeCell ref="BK353:BM353"/>
    <mergeCell ref="BK343:BM343"/>
    <mergeCell ref="BD343:BF343"/>
    <mergeCell ref="BG343:BJ343"/>
    <mergeCell ref="BD344:BF344"/>
    <mergeCell ref="BG344:BJ344"/>
    <mergeCell ref="BK344:BM344"/>
    <mergeCell ref="BG345:BJ345"/>
    <mergeCell ref="AS359:AY359"/>
    <mergeCell ref="AS360:AY360"/>
    <mergeCell ref="AS361:AY361"/>
    <mergeCell ref="AS362:AY362"/>
    <mergeCell ref="BB342:BC342"/>
    <mergeCell ref="BB343:BC343"/>
    <mergeCell ref="BB344:BC344"/>
    <mergeCell ref="BB345:BC345"/>
    <mergeCell ref="BB346:BC346"/>
    <mergeCell ref="BB347:BC347"/>
    <mergeCell ref="BB348:BC348"/>
    <mergeCell ref="BB353:BC353"/>
    <mergeCell ref="BB354:BC354"/>
    <mergeCell ref="AS355:AY355"/>
    <mergeCell ref="BB362:BC362"/>
    <mergeCell ref="BB363:BC363"/>
    <mergeCell ref="BD350:BF350"/>
    <mergeCell ref="BD355:BF355"/>
    <mergeCell ref="BD363:BF363"/>
    <mergeCell ref="BB351:BC351"/>
    <mergeCell ref="BB352:BC352"/>
    <mergeCell ref="BD352:BF352"/>
    <mergeCell ref="AS350:AY350"/>
    <mergeCell ref="AS351:AY351"/>
    <mergeCell ref="AS352:AY352"/>
    <mergeCell ref="AS353:AY353"/>
    <mergeCell ref="AS354:AY354"/>
    <mergeCell ref="AS343:AY343"/>
    <mergeCell ref="AS344:AY344"/>
    <mergeCell ref="AS345:AY345"/>
    <mergeCell ref="AS346:AY346"/>
    <mergeCell ref="AS347:AY347"/>
    <mergeCell ref="BD374:BF374"/>
    <mergeCell ref="BG374:BJ374"/>
    <mergeCell ref="BK374:BM374"/>
    <mergeCell ref="BD375:BF375"/>
    <mergeCell ref="BG355:BJ355"/>
    <mergeCell ref="BK355:BM355"/>
    <mergeCell ref="BK356:BM356"/>
    <mergeCell ref="BD356:BF356"/>
    <mergeCell ref="BG356:BJ356"/>
    <mergeCell ref="BD357:BF357"/>
    <mergeCell ref="BG357:BJ357"/>
    <mergeCell ref="BK357:BM357"/>
    <mergeCell ref="BG358:BJ358"/>
    <mergeCell ref="BK358:BM358"/>
    <mergeCell ref="BD361:BF361"/>
    <mergeCell ref="BG361:BJ361"/>
    <mergeCell ref="BK361:BM361"/>
    <mergeCell ref="BD362:BF362"/>
    <mergeCell ref="BG362:BJ362"/>
    <mergeCell ref="BK362:BM362"/>
    <mergeCell ref="BD358:BF358"/>
    <mergeCell ref="BD359:BF359"/>
    <mergeCell ref="BG359:BJ359"/>
    <mergeCell ref="BK359:BM359"/>
    <mergeCell ref="BD360:BF360"/>
    <mergeCell ref="BG360:BJ360"/>
    <mergeCell ref="BK360:BM360"/>
    <mergeCell ref="AS356:AY356"/>
    <mergeCell ref="AS357:AY357"/>
    <mergeCell ref="AS358:AY358"/>
    <mergeCell ref="BB377:BC377"/>
    <mergeCell ref="BG363:BJ363"/>
    <mergeCell ref="BK363:BM363"/>
    <mergeCell ref="BD364:BF364"/>
    <mergeCell ref="BG364:BJ364"/>
    <mergeCell ref="BK364:BM364"/>
    <mergeCell ref="BD366:BF366"/>
    <mergeCell ref="BD367:BF367"/>
    <mergeCell ref="BG367:BJ367"/>
    <mergeCell ref="BK367:BM367"/>
    <mergeCell ref="BB364:BC364"/>
    <mergeCell ref="BB365:BC365"/>
    <mergeCell ref="BD365:BF365"/>
    <mergeCell ref="BG365:BJ365"/>
    <mergeCell ref="BK365:BM365"/>
    <mergeCell ref="BG366:BJ366"/>
    <mergeCell ref="BK366:BM366"/>
    <mergeCell ref="AS376:AY376"/>
    <mergeCell ref="BD368:BF368"/>
    <mergeCell ref="BG368:BJ368"/>
    <mergeCell ref="BK368:BM368"/>
    <mergeCell ref="BK369:BM369"/>
    <mergeCell ref="BD369:BF369"/>
    <mergeCell ref="BG369:BJ369"/>
    <mergeCell ref="BD370:BF370"/>
    <mergeCell ref="BG370:BJ370"/>
    <mergeCell ref="BK370:BM370"/>
    <mergeCell ref="BG371:BJ371"/>
    <mergeCell ref="BK371:BM371"/>
    <mergeCell ref="BD379:BF379"/>
    <mergeCell ref="BD380:BF380"/>
    <mergeCell ref="BG380:BJ380"/>
    <mergeCell ref="BK380:BM380"/>
    <mergeCell ref="AS377:AY377"/>
    <mergeCell ref="AS378:AY378"/>
    <mergeCell ref="AS379:AY379"/>
    <mergeCell ref="AS380:AY380"/>
    <mergeCell ref="AS369:AY369"/>
    <mergeCell ref="AS370:AY370"/>
    <mergeCell ref="AS371:AY371"/>
    <mergeCell ref="AS372:AY372"/>
    <mergeCell ref="AS373:AY373"/>
    <mergeCell ref="AS374:AY374"/>
    <mergeCell ref="AS375:AY375"/>
    <mergeCell ref="BB355:BC355"/>
    <mergeCell ref="BB356:BC356"/>
    <mergeCell ref="BB357:BC357"/>
    <mergeCell ref="BB358:BC358"/>
    <mergeCell ref="BB359:BC359"/>
    <mergeCell ref="BB360:BC360"/>
    <mergeCell ref="BB361:BC361"/>
    <mergeCell ref="BB366:BC366"/>
    <mergeCell ref="BB367:BC367"/>
    <mergeCell ref="AS368:AY368"/>
    <mergeCell ref="BB375:BC375"/>
    <mergeCell ref="BB376:BC376"/>
    <mergeCell ref="AS363:AY363"/>
    <mergeCell ref="AS364:AY364"/>
    <mergeCell ref="AS365:AY365"/>
    <mergeCell ref="AS366:AY366"/>
    <mergeCell ref="AS367:AY367"/>
    <mergeCell ref="BS403:BU403"/>
    <mergeCell ref="BS404:BU404"/>
    <mergeCell ref="BS405:BU405"/>
    <mergeCell ref="BS406:BU406"/>
    <mergeCell ref="BS407:BU407"/>
    <mergeCell ref="BS408:BU408"/>
    <mergeCell ref="BS409:BU409"/>
    <mergeCell ref="BS353:BU353"/>
    <mergeCell ref="BS354:BU354"/>
    <mergeCell ref="BS355:BU355"/>
    <mergeCell ref="BS356:BU356"/>
    <mergeCell ref="BS357:BU357"/>
    <mergeCell ref="BS358:BU358"/>
    <mergeCell ref="BS359:BU359"/>
    <mergeCell ref="BS360:BU360"/>
    <mergeCell ref="BS361:BU361"/>
    <mergeCell ref="BS362:BU362"/>
    <mergeCell ref="BS363:BU363"/>
    <mergeCell ref="BS364:BU364"/>
    <mergeCell ref="BS365:BU365"/>
    <mergeCell ref="BS366:BU366"/>
    <mergeCell ref="BS367:BU367"/>
    <mergeCell ref="BS368:BU368"/>
    <mergeCell ref="BS369:BU369"/>
    <mergeCell ref="BS370:BU370"/>
    <mergeCell ref="BS371:BU371"/>
    <mergeCell ref="BS372:BU372"/>
    <mergeCell ref="BS373:BU373"/>
    <mergeCell ref="BS374:BU374"/>
    <mergeCell ref="BS375:BU375"/>
    <mergeCell ref="BS376:BU376"/>
    <mergeCell ref="BS377:BU377"/>
    <mergeCell ref="BS378:BU378"/>
    <mergeCell ref="BS379:BU379"/>
    <mergeCell ref="BS380:BU380"/>
    <mergeCell ref="BS381:BU381"/>
    <mergeCell ref="BS382:BU382"/>
    <mergeCell ref="BS383:BU383"/>
    <mergeCell ref="BS384:BU384"/>
    <mergeCell ref="BS385:BU385"/>
    <mergeCell ref="BS386:BU386"/>
    <mergeCell ref="BS387:BU387"/>
    <mergeCell ref="BS388:BU388"/>
    <mergeCell ref="BS389:BU389"/>
    <mergeCell ref="BS390:BU390"/>
    <mergeCell ref="BS391:BU391"/>
    <mergeCell ref="BS392:BU392"/>
    <mergeCell ref="BS394:BU394"/>
    <mergeCell ref="BS395:BU395"/>
    <mergeCell ref="BS393:BU393"/>
    <mergeCell ref="BS396:BU396"/>
    <mergeCell ref="BS397:BU397"/>
    <mergeCell ref="BS398:BU398"/>
    <mergeCell ref="BS399:BU399"/>
    <mergeCell ref="BS400:BU400"/>
    <mergeCell ref="BS401:BU401"/>
    <mergeCell ref="BS402:BU402"/>
    <mergeCell ref="BP144:BR144"/>
    <mergeCell ref="BS144:BU144"/>
    <mergeCell ref="BP145:BR145"/>
    <mergeCell ref="BS145:BU145"/>
    <mergeCell ref="BP146:BR146"/>
    <mergeCell ref="BS146:BU146"/>
    <mergeCell ref="BS147:BU147"/>
    <mergeCell ref="BS148:BU148"/>
    <mergeCell ref="BS149:BU149"/>
    <mergeCell ref="BP153:BR153"/>
    <mergeCell ref="BS153:BU153"/>
    <mergeCell ref="BP154:BR154"/>
    <mergeCell ref="BS154:BU154"/>
    <mergeCell ref="BS155:BU155"/>
    <mergeCell ref="BP155:BR155"/>
    <mergeCell ref="BP156:BR156"/>
    <mergeCell ref="BP157:BR157"/>
    <mergeCell ref="BP158:BR158"/>
    <mergeCell ref="BP159:BR159"/>
    <mergeCell ref="BP160:BR160"/>
    <mergeCell ref="BP161:BR161"/>
    <mergeCell ref="BS156:BU156"/>
    <mergeCell ref="BS157:BU157"/>
    <mergeCell ref="BS158:BU158"/>
    <mergeCell ref="BS159:BU159"/>
    <mergeCell ref="BS160:BU160"/>
    <mergeCell ref="BS161:BU161"/>
    <mergeCell ref="BS162:BU162"/>
    <mergeCell ref="BP162:BR162"/>
    <mergeCell ref="BP163:BR163"/>
    <mergeCell ref="BP164:BR164"/>
    <mergeCell ref="BP165:BR165"/>
    <mergeCell ref="BP166:BR166"/>
    <mergeCell ref="BP167:BR167"/>
    <mergeCell ref="BP168:BR168"/>
    <mergeCell ref="BS163:BU163"/>
    <mergeCell ref="BS164:BU164"/>
    <mergeCell ref="BS165:BU165"/>
    <mergeCell ref="BS166:BU166"/>
    <mergeCell ref="BS167:BU167"/>
    <mergeCell ref="BS168:BU168"/>
    <mergeCell ref="BS169:BU169"/>
    <mergeCell ref="BS170:BU170"/>
    <mergeCell ref="BS171:BU171"/>
    <mergeCell ref="BS172:BU172"/>
    <mergeCell ref="BS173:BU173"/>
    <mergeCell ref="BS174:BU174"/>
    <mergeCell ref="BS175:BU175"/>
    <mergeCell ref="BS176:BU176"/>
    <mergeCell ref="BP169:BR169"/>
    <mergeCell ref="BP170:BR170"/>
    <mergeCell ref="BP171:BR171"/>
    <mergeCell ref="BP172:BR172"/>
    <mergeCell ref="BP173:BR173"/>
    <mergeCell ref="BP174:BR174"/>
    <mergeCell ref="BP175:BR175"/>
    <mergeCell ref="BP176:BR176"/>
    <mergeCell ref="BP177:BR177"/>
    <mergeCell ref="BS177:BU177"/>
    <mergeCell ref="BP178:BR178"/>
    <mergeCell ref="BP179:BR179"/>
    <mergeCell ref="BP180:BR180"/>
    <mergeCell ref="BP181:BR181"/>
    <mergeCell ref="BP182:BR182"/>
    <mergeCell ref="BP183:BR183"/>
    <mergeCell ref="BP184:BR184"/>
    <mergeCell ref="BP185:BR185"/>
    <mergeCell ref="BP186:BR186"/>
    <mergeCell ref="BS186:BU186"/>
    <mergeCell ref="BP187:BR187"/>
    <mergeCell ref="BS187:BU187"/>
    <mergeCell ref="BP188:BR188"/>
    <mergeCell ref="BS188:BU188"/>
    <mergeCell ref="BP189:BR189"/>
    <mergeCell ref="BS189:BU189"/>
    <mergeCell ref="BP190:BR190"/>
    <mergeCell ref="BS190:BU190"/>
    <mergeCell ref="BS184:BU184"/>
    <mergeCell ref="BS185:BU185"/>
    <mergeCell ref="BS178:BU178"/>
    <mergeCell ref="BS179:BU179"/>
    <mergeCell ref="BS180:BU180"/>
    <mergeCell ref="BS181:BU181"/>
    <mergeCell ref="BS182:BU182"/>
    <mergeCell ref="BS183:BU183"/>
    <mergeCell ref="BS191:BU191"/>
    <mergeCell ref="BP191:BR191"/>
    <mergeCell ref="BP192:BR192"/>
    <mergeCell ref="BP193:BR193"/>
    <mergeCell ref="BP194:BR194"/>
    <mergeCell ref="BP195:BR195"/>
    <mergeCell ref="BP196:BR196"/>
    <mergeCell ref="BP197:BR197"/>
    <mergeCell ref="BS192:BU192"/>
    <mergeCell ref="BS193:BU193"/>
    <mergeCell ref="BS194:BU194"/>
    <mergeCell ref="BS195:BU195"/>
    <mergeCell ref="BS196:BU196"/>
    <mergeCell ref="BS197:BU197"/>
    <mergeCell ref="BS198:BU198"/>
    <mergeCell ref="BS199:BU199"/>
    <mergeCell ref="BS200:BU200"/>
    <mergeCell ref="BS201:BU201"/>
    <mergeCell ref="BS202:BU202"/>
    <mergeCell ref="BS203:BU203"/>
    <mergeCell ref="BS204:BU204"/>
    <mergeCell ref="BS205:BU205"/>
    <mergeCell ref="BP198:BR198"/>
    <mergeCell ref="BP199:BR199"/>
    <mergeCell ref="BP200:BR200"/>
    <mergeCell ref="BP201:BR201"/>
    <mergeCell ref="BP202:BR202"/>
    <mergeCell ref="BP203:BR203"/>
    <mergeCell ref="BP204:BR204"/>
    <mergeCell ref="BP205:BR205"/>
    <mergeCell ref="BP206:BR206"/>
    <mergeCell ref="BP207:BR207"/>
    <mergeCell ref="BP208:BR208"/>
    <mergeCell ref="BP209:BR209"/>
    <mergeCell ref="BP210:BR210"/>
    <mergeCell ref="BP211:BR211"/>
    <mergeCell ref="BP212:BR212"/>
    <mergeCell ref="BP213:BR213"/>
    <mergeCell ref="BP214:BR214"/>
    <mergeCell ref="BP215:BR215"/>
    <mergeCell ref="BP216:BR216"/>
    <mergeCell ref="BP217:BR217"/>
    <mergeCell ref="BP218:BR218"/>
    <mergeCell ref="BP219:BR219"/>
    <mergeCell ref="BP220:BR220"/>
    <mergeCell ref="BP221:BR221"/>
    <mergeCell ref="BP222:BR222"/>
    <mergeCell ref="BP223:BR223"/>
    <mergeCell ref="BP224:BR224"/>
    <mergeCell ref="BP225:BR225"/>
    <mergeCell ref="BP226:BR226"/>
    <mergeCell ref="BP227:BR227"/>
    <mergeCell ref="BP228:BR228"/>
    <mergeCell ref="BP229:BR229"/>
    <mergeCell ref="BP230:BR230"/>
    <mergeCell ref="BP231:BR231"/>
    <mergeCell ref="BP232:BR232"/>
    <mergeCell ref="BP233:BR233"/>
    <mergeCell ref="BP234:BR234"/>
    <mergeCell ref="BP235:BR235"/>
    <mergeCell ref="BP236:BR236"/>
    <mergeCell ref="BP237:BR237"/>
    <mergeCell ref="BP238:BR238"/>
    <mergeCell ref="BP239:BR239"/>
    <mergeCell ref="BP240:BR240"/>
    <mergeCell ref="BP241:BR241"/>
    <mergeCell ref="BP242:BR242"/>
    <mergeCell ref="BP243:BR243"/>
    <mergeCell ref="BP244:BR244"/>
    <mergeCell ref="BP245:BR245"/>
    <mergeCell ref="BP246:BR246"/>
    <mergeCell ref="BS206:BU206"/>
    <mergeCell ref="BS207:BU207"/>
    <mergeCell ref="BS208:BU208"/>
    <mergeCell ref="BS209:BU209"/>
    <mergeCell ref="BS210:BU210"/>
    <mergeCell ref="BS211:BU211"/>
    <mergeCell ref="BS212:BU212"/>
    <mergeCell ref="BS213:BU213"/>
    <mergeCell ref="BS214:BU214"/>
    <mergeCell ref="BS215:BU215"/>
    <mergeCell ref="BS216:BU216"/>
    <mergeCell ref="BS217:BU217"/>
    <mergeCell ref="BS218:BU218"/>
    <mergeCell ref="BS219:BU219"/>
    <mergeCell ref="BS220:BU220"/>
    <mergeCell ref="BS221:BU221"/>
    <mergeCell ref="BS222:BU222"/>
    <mergeCell ref="BS223:BU223"/>
    <mergeCell ref="BS224:BU224"/>
    <mergeCell ref="BS225:BU225"/>
    <mergeCell ref="BS226:BU226"/>
    <mergeCell ref="BS227:BU227"/>
    <mergeCell ref="BS228:BU228"/>
    <mergeCell ref="BS229:BU229"/>
    <mergeCell ref="BS230:BU230"/>
    <mergeCell ref="BS231:BU231"/>
    <mergeCell ref="BS232:BU232"/>
    <mergeCell ref="BS233:BU233"/>
    <mergeCell ref="BS234:BU234"/>
    <mergeCell ref="BS235:BU235"/>
    <mergeCell ref="BS236:BU236"/>
    <mergeCell ref="BS237:BU237"/>
    <mergeCell ref="BS238:BU238"/>
    <mergeCell ref="BS239:BU239"/>
    <mergeCell ref="BS240:BU240"/>
    <mergeCell ref="BS241:BU241"/>
    <mergeCell ref="BS242:BU242"/>
    <mergeCell ref="BS243:BU243"/>
    <mergeCell ref="BS244:BU244"/>
    <mergeCell ref="BS245:BU245"/>
    <mergeCell ref="BS246:BU246"/>
    <mergeCell ref="BS247:BU247"/>
    <mergeCell ref="BS248:BU248"/>
    <mergeCell ref="BS249:BU249"/>
    <mergeCell ref="BS250:BU250"/>
    <mergeCell ref="BS251:BU251"/>
    <mergeCell ref="BS252:BU252"/>
    <mergeCell ref="BS253:BU253"/>
    <mergeCell ref="BS254:BU254"/>
    <mergeCell ref="BP247:BR247"/>
    <mergeCell ref="BP248:BR248"/>
    <mergeCell ref="BP249:BR249"/>
    <mergeCell ref="BP250:BR250"/>
    <mergeCell ref="BP251:BR251"/>
    <mergeCell ref="BP252:BR252"/>
    <mergeCell ref="BP253:BR253"/>
    <mergeCell ref="BP254:BR254"/>
    <mergeCell ref="BP255:BR255"/>
    <mergeCell ref="BP256:BR256"/>
    <mergeCell ref="BP257:BR257"/>
    <mergeCell ref="BP258:BR258"/>
    <mergeCell ref="BP259:BR259"/>
    <mergeCell ref="BP260:BR260"/>
    <mergeCell ref="BP261:BR261"/>
    <mergeCell ref="BP262:BR262"/>
    <mergeCell ref="BP263:BR263"/>
    <mergeCell ref="BP264:BR264"/>
    <mergeCell ref="BP265:BR265"/>
    <mergeCell ref="BP266:BR266"/>
    <mergeCell ref="BP267:BR267"/>
    <mergeCell ref="BP268:BR268"/>
    <mergeCell ref="BP269:BR269"/>
    <mergeCell ref="BP270:BR270"/>
    <mergeCell ref="BP271:BR271"/>
    <mergeCell ref="BP272:BR272"/>
    <mergeCell ref="BP273:BR273"/>
    <mergeCell ref="BP274:BR274"/>
    <mergeCell ref="BP275:BR275"/>
    <mergeCell ref="BP276:BR276"/>
    <mergeCell ref="BP277:BR277"/>
    <mergeCell ref="BP278:BR278"/>
    <mergeCell ref="BP279:BR279"/>
    <mergeCell ref="BP280:BR280"/>
    <mergeCell ref="BP281:BR281"/>
    <mergeCell ref="BP282:BR282"/>
    <mergeCell ref="BP283:BR283"/>
    <mergeCell ref="BP284:BR284"/>
    <mergeCell ref="BP285:BR285"/>
    <mergeCell ref="BP286:BR286"/>
    <mergeCell ref="BP287:BR287"/>
    <mergeCell ref="BP288:BR288"/>
    <mergeCell ref="BP289:BR289"/>
    <mergeCell ref="BP290:BR290"/>
    <mergeCell ref="BP291:BR291"/>
    <mergeCell ref="BP292:BR292"/>
    <mergeCell ref="BP293:BR293"/>
    <mergeCell ref="BP294:BR294"/>
    <mergeCell ref="BP295:BR295"/>
    <mergeCell ref="BS255:BU255"/>
    <mergeCell ref="BS256:BU256"/>
    <mergeCell ref="BS257:BU257"/>
    <mergeCell ref="BS258:BU258"/>
    <mergeCell ref="BS259:BU259"/>
    <mergeCell ref="BS260:BU260"/>
    <mergeCell ref="BS261:BU261"/>
    <mergeCell ref="BS262:BU262"/>
    <mergeCell ref="BS263:BU263"/>
    <mergeCell ref="BS264:BU264"/>
    <mergeCell ref="BS265:BU265"/>
    <mergeCell ref="BS266:BU266"/>
    <mergeCell ref="BS267:BU267"/>
    <mergeCell ref="BS268:BU268"/>
    <mergeCell ref="BS269:BU269"/>
    <mergeCell ref="BS270:BU270"/>
    <mergeCell ref="BS271:BU271"/>
    <mergeCell ref="BS272:BU272"/>
    <mergeCell ref="BS273:BU273"/>
    <mergeCell ref="BS274:BU274"/>
    <mergeCell ref="BS275:BU275"/>
    <mergeCell ref="BS276:BU276"/>
    <mergeCell ref="BS277:BU277"/>
    <mergeCell ref="BS278:BU278"/>
    <mergeCell ref="BS279:BU279"/>
    <mergeCell ref="BS280:BU280"/>
    <mergeCell ref="BS281:BU281"/>
    <mergeCell ref="BS282:BU282"/>
    <mergeCell ref="BS283:BU283"/>
    <mergeCell ref="BS284:BU284"/>
    <mergeCell ref="BS285:BU285"/>
    <mergeCell ref="BS310:BU310"/>
    <mergeCell ref="BS311:BU311"/>
    <mergeCell ref="BS312:BU312"/>
    <mergeCell ref="BS313:BU313"/>
    <mergeCell ref="BS314:BU314"/>
    <mergeCell ref="BS315:BU315"/>
    <mergeCell ref="BS316:BU316"/>
    <mergeCell ref="BS317:BU317"/>
    <mergeCell ref="BS318:BU318"/>
    <mergeCell ref="BS319:BU319"/>
    <mergeCell ref="BS286:BU286"/>
    <mergeCell ref="BS287:BU287"/>
    <mergeCell ref="BS288:BU288"/>
    <mergeCell ref="BS289:BU289"/>
    <mergeCell ref="BS290:BU290"/>
    <mergeCell ref="BS291:BU291"/>
    <mergeCell ref="BS292:BU292"/>
    <mergeCell ref="BS293:BU293"/>
    <mergeCell ref="BS294:BU294"/>
    <mergeCell ref="BS295:BU295"/>
    <mergeCell ref="BS296:BU296"/>
    <mergeCell ref="BS297:BU297"/>
    <mergeCell ref="BS298:BU298"/>
    <mergeCell ref="BS299:BU299"/>
    <mergeCell ref="BS300:BU300"/>
    <mergeCell ref="BS301:BU301"/>
    <mergeCell ref="BS302:BU302"/>
    <mergeCell ref="BS346:BU346"/>
    <mergeCell ref="BS347:BU347"/>
    <mergeCell ref="BS348:BU348"/>
    <mergeCell ref="BS349:BU349"/>
    <mergeCell ref="BS350:BU350"/>
    <mergeCell ref="BS351:BU351"/>
    <mergeCell ref="BS352:BU352"/>
    <mergeCell ref="BD88:BF88"/>
    <mergeCell ref="BD89:BF89"/>
    <mergeCell ref="BG89:BJ89"/>
    <mergeCell ref="BK89:BM89"/>
    <mergeCell ref="BD90:BF90"/>
    <mergeCell ref="BG90:BJ90"/>
    <mergeCell ref="BK90:BM90"/>
    <mergeCell ref="BG93:BJ93"/>
    <mergeCell ref="BK93:BM93"/>
    <mergeCell ref="BD91:BF91"/>
    <mergeCell ref="BG91:BJ91"/>
    <mergeCell ref="BK91:BM91"/>
    <mergeCell ref="BD92:BF92"/>
    <mergeCell ref="BG92:BJ92"/>
    <mergeCell ref="BK92:BM92"/>
    <mergeCell ref="BD93:BF93"/>
    <mergeCell ref="BS320:BU320"/>
    <mergeCell ref="BS321:BU321"/>
    <mergeCell ref="BS322:BU322"/>
    <mergeCell ref="BS323:BU323"/>
    <mergeCell ref="BS324:BU324"/>
    <mergeCell ref="BS325:BU325"/>
    <mergeCell ref="BS326:BU326"/>
    <mergeCell ref="BS327:BU327"/>
    <mergeCell ref="BS328:BU328"/>
    <mergeCell ref="BD100:BF100"/>
    <mergeCell ref="BG100:BJ100"/>
    <mergeCell ref="BD80:BF80"/>
    <mergeCell ref="BG80:BJ80"/>
    <mergeCell ref="BK80:BM80"/>
    <mergeCell ref="BP80:BR80"/>
    <mergeCell ref="BG88:BJ88"/>
    <mergeCell ref="BK88:BM88"/>
    <mergeCell ref="BS337:BU337"/>
    <mergeCell ref="BS338:BU338"/>
    <mergeCell ref="BS339:BU339"/>
    <mergeCell ref="BS340:BU340"/>
    <mergeCell ref="BS341:BU341"/>
    <mergeCell ref="BS342:BU342"/>
    <mergeCell ref="BS343:BU343"/>
    <mergeCell ref="BS344:BU344"/>
    <mergeCell ref="BS345:BU345"/>
    <mergeCell ref="BS329:BU329"/>
    <mergeCell ref="BS330:BU330"/>
    <mergeCell ref="BS331:BU331"/>
    <mergeCell ref="BS332:BU332"/>
    <mergeCell ref="BS333:BU333"/>
    <mergeCell ref="BS334:BU334"/>
    <mergeCell ref="BS335:BU335"/>
    <mergeCell ref="BS336:BU336"/>
    <mergeCell ref="BS303:BU303"/>
    <mergeCell ref="BS304:BU304"/>
    <mergeCell ref="BS305:BU305"/>
    <mergeCell ref="BS306:BU306"/>
    <mergeCell ref="BS307:BU307"/>
    <mergeCell ref="BS308:BU308"/>
    <mergeCell ref="BS309:BU309"/>
    <mergeCell ref="BS80:BU80"/>
    <mergeCell ref="BD81:BF81"/>
    <mergeCell ref="BG81:BJ81"/>
    <mergeCell ref="BK81:BM81"/>
    <mergeCell ref="BD82:BF82"/>
    <mergeCell ref="BG82:BJ82"/>
    <mergeCell ref="BK82:BM82"/>
    <mergeCell ref="BP82:BR82"/>
    <mergeCell ref="BS82:BU82"/>
    <mergeCell ref="BD83:BF83"/>
    <mergeCell ref="BG83:BJ83"/>
    <mergeCell ref="BK83:BM83"/>
    <mergeCell ref="BS83:BU83"/>
    <mergeCell ref="BP81:BR81"/>
    <mergeCell ref="BS81:BU81"/>
    <mergeCell ref="BP83:BR83"/>
    <mergeCell ref="BS87:BU87"/>
    <mergeCell ref="BS88:BU88"/>
    <mergeCell ref="BP84:BR84"/>
    <mergeCell ref="BP85:BR85"/>
    <mergeCell ref="BS85:BU85"/>
    <mergeCell ref="BP86:BR86"/>
    <mergeCell ref="BS86:BU86"/>
    <mergeCell ref="BP87:BR87"/>
    <mergeCell ref="BP88:BR88"/>
    <mergeCell ref="BK100:BM100"/>
    <mergeCell ref="BD97:BF97"/>
    <mergeCell ref="BG97:BJ97"/>
    <mergeCell ref="BK97:BM97"/>
    <mergeCell ref="BD98:BF98"/>
    <mergeCell ref="BG98:BJ98"/>
    <mergeCell ref="BK98:BM98"/>
    <mergeCell ref="BD99:BF99"/>
    <mergeCell ref="BG84:BJ84"/>
    <mergeCell ref="BK84:BM84"/>
    <mergeCell ref="BS84:BU84"/>
    <mergeCell ref="BS97:BU97"/>
    <mergeCell ref="BS98:BU98"/>
    <mergeCell ref="BS89:BU89"/>
    <mergeCell ref="BS90:BU90"/>
    <mergeCell ref="BS91:BU91"/>
    <mergeCell ref="BS92:BU92"/>
    <mergeCell ref="BS93:BU93"/>
    <mergeCell ref="BG96:BJ96"/>
    <mergeCell ref="BK96:BM96"/>
    <mergeCell ref="BD94:BF94"/>
    <mergeCell ref="BG94:BJ94"/>
    <mergeCell ref="BK94:BM94"/>
    <mergeCell ref="BD95:BF95"/>
    <mergeCell ref="BD84:BF84"/>
    <mergeCell ref="BD85:BF85"/>
    <mergeCell ref="BG85:BJ85"/>
    <mergeCell ref="BK85:BM85"/>
    <mergeCell ref="BD86:BF86"/>
    <mergeCell ref="BG86:BJ86"/>
    <mergeCell ref="BK86:BM86"/>
    <mergeCell ref="BD87:BF87"/>
    <mergeCell ref="BG87:BJ87"/>
    <mergeCell ref="BK87:BM87"/>
    <mergeCell ref="BB114:BC114"/>
    <mergeCell ref="BK114:BM114"/>
    <mergeCell ref="BP107:BR107"/>
    <mergeCell ref="BP101:BR101"/>
    <mergeCell ref="BP89:BR89"/>
    <mergeCell ref="BP90:BR90"/>
    <mergeCell ref="BB99:BC99"/>
    <mergeCell ref="BB100:BC100"/>
    <mergeCell ref="BB101:BC101"/>
    <mergeCell ref="BD101:BF101"/>
    <mergeCell ref="BB102:BC102"/>
    <mergeCell ref="BD102:BF102"/>
    <mergeCell ref="BD103:BF103"/>
    <mergeCell ref="BB110:BC110"/>
    <mergeCell ref="BB111:BC111"/>
    <mergeCell ref="BG114:BJ114"/>
    <mergeCell ref="BG106:BJ106"/>
    <mergeCell ref="BG95:BJ95"/>
    <mergeCell ref="BK95:BM95"/>
    <mergeCell ref="BD96:BF96"/>
    <mergeCell ref="BG99:BJ99"/>
    <mergeCell ref="BK99:BM99"/>
    <mergeCell ref="BS116:BU116"/>
    <mergeCell ref="BS117:BU117"/>
    <mergeCell ref="BS115:BU115"/>
    <mergeCell ref="BP98:BR98"/>
    <mergeCell ref="BP99:BR99"/>
    <mergeCell ref="BP100:BR100"/>
    <mergeCell ref="BP91:BR91"/>
    <mergeCell ref="BP92:BR92"/>
    <mergeCell ref="BP93:BR93"/>
    <mergeCell ref="BP94:BR94"/>
    <mergeCell ref="BP95:BR95"/>
    <mergeCell ref="BP96:BR96"/>
    <mergeCell ref="BP97:BR97"/>
    <mergeCell ref="BD116:BF116"/>
    <mergeCell ref="BG116:BJ116"/>
    <mergeCell ref="BB117:BC117"/>
    <mergeCell ref="BD117:BF117"/>
    <mergeCell ref="BG117:BJ117"/>
    <mergeCell ref="BK117:BM117"/>
    <mergeCell ref="BK115:BM115"/>
    <mergeCell ref="BB116:BC116"/>
    <mergeCell ref="BK116:BM116"/>
    <mergeCell ref="BP113:BR113"/>
    <mergeCell ref="BP114:BR114"/>
    <mergeCell ref="BG107:BJ107"/>
    <mergeCell ref="BK107:BM107"/>
    <mergeCell ref="BP115:BR115"/>
    <mergeCell ref="BP105:BR105"/>
    <mergeCell ref="BP108:BR108"/>
    <mergeCell ref="BP110:BR110"/>
    <mergeCell ref="BB95:BC95"/>
    <mergeCell ref="BB96:BC96"/>
    <mergeCell ref="BK123:BM123"/>
    <mergeCell ref="BS108:BU108"/>
    <mergeCell ref="BG108:BJ108"/>
    <mergeCell ref="BG109:BJ109"/>
    <mergeCell ref="BK109:BM109"/>
    <mergeCell ref="BP109:BR109"/>
    <mergeCell ref="BS109:BU109"/>
    <mergeCell ref="BG110:BJ110"/>
    <mergeCell ref="BK110:BM110"/>
    <mergeCell ref="BB113:BC113"/>
    <mergeCell ref="BD113:BF113"/>
    <mergeCell ref="BG113:BJ113"/>
    <mergeCell ref="BK113:BM113"/>
    <mergeCell ref="BS113:BU113"/>
    <mergeCell ref="BP127:BR127"/>
    <mergeCell ref="BK122:BM122"/>
    <mergeCell ref="BS123:BU123"/>
    <mergeCell ref="BS118:BU118"/>
    <mergeCell ref="BS119:BU119"/>
    <mergeCell ref="BD120:BF120"/>
    <mergeCell ref="BG120:BJ120"/>
    <mergeCell ref="BP120:BR120"/>
    <mergeCell ref="BS120:BU120"/>
    <mergeCell ref="BB120:BC120"/>
    <mergeCell ref="BB121:BC121"/>
    <mergeCell ref="BD121:BF121"/>
    <mergeCell ref="BG121:BJ121"/>
    <mergeCell ref="BK121:BM121"/>
    <mergeCell ref="BP121:BR121"/>
    <mergeCell ref="BS121:BU121"/>
    <mergeCell ref="BS114:BU114"/>
    <mergeCell ref="BD114:BF114"/>
    <mergeCell ref="BP125:BR125"/>
    <mergeCell ref="BS125:BU125"/>
    <mergeCell ref="BP126:BR126"/>
    <mergeCell ref="BS126:BU126"/>
    <mergeCell ref="BS127:BU127"/>
    <mergeCell ref="BS128:BU128"/>
    <mergeCell ref="BB124:BC124"/>
    <mergeCell ref="BK124:BM124"/>
    <mergeCell ref="BS124:BU124"/>
    <mergeCell ref="BD124:BF124"/>
    <mergeCell ref="BG124:BJ124"/>
    <mergeCell ref="BB125:BC125"/>
    <mergeCell ref="BD125:BF125"/>
    <mergeCell ref="BG125:BJ125"/>
    <mergeCell ref="BK125:BM125"/>
    <mergeCell ref="BD128:BF128"/>
    <mergeCell ref="BG128:BJ128"/>
    <mergeCell ref="BD126:BF126"/>
    <mergeCell ref="BG126:BJ126"/>
    <mergeCell ref="BB127:BC127"/>
    <mergeCell ref="BD127:BF127"/>
    <mergeCell ref="BG127:BJ127"/>
    <mergeCell ref="BK127:BM127"/>
    <mergeCell ref="BB128:BC128"/>
    <mergeCell ref="BK128:BM128"/>
    <mergeCell ref="BG68:BJ68"/>
    <mergeCell ref="BK68:BM68"/>
    <mergeCell ref="BG74:BJ74"/>
    <mergeCell ref="BK74:BM74"/>
    <mergeCell ref="BP74:BR74"/>
    <mergeCell ref="BS74:BU74"/>
    <mergeCell ref="BD72:BF72"/>
    <mergeCell ref="BD73:BF73"/>
    <mergeCell ref="BG73:BJ73"/>
    <mergeCell ref="BK73:BM73"/>
    <mergeCell ref="BP73:BR73"/>
    <mergeCell ref="BS73:BU73"/>
    <mergeCell ref="BD74:BF74"/>
    <mergeCell ref="BP78:BR78"/>
    <mergeCell ref="BP79:BR79"/>
    <mergeCell ref="BD78:BF78"/>
    <mergeCell ref="BG78:BJ78"/>
    <mergeCell ref="BK78:BM78"/>
    <mergeCell ref="BS78:BU78"/>
    <mergeCell ref="BG79:BJ79"/>
    <mergeCell ref="BK79:BM79"/>
    <mergeCell ref="BS79:BU79"/>
    <mergeCell ref="BG76:BJ76"/>
    <mergeCell ref="BD79:BF79"/>
    <mergeCell ref="AS74:AY74"/>
    <mergeCell ref="AS75:AY75"/>
    <mergeCell ref="AS76:AY76"/>
    <mergeCell ref="AS77:AY77"/>
    <mergeCell ref="BP76:BR76"/>
    <mergeCell ref="BD75:BF75"/>
    <mergeCell ref="BD76:BF76"/>
    <mergeCell ref="BP116:BR116"/>
    <mergeCell ref="BB75:BC75"/>
    <mergeCell ref="BG65:BJ65"/>
    <mergeCell ref="BG66:BJ66"/>
    <mergeCell ref="BK66:BM66"/>
    <mergeCell ref="BP66:BR66"/>
    <mergeCell ref="BS66:BU66"/>
    <mergeCell ref="BG67:BJ67"/>
    <mergeCell ref="BK67:BM67"/>
    <mergeCell ref="BP69:BR69"/>
    <mergeCell ref="BS69:BU69"/>
    <mergeCell ref="BK70:BM70"/>
    <mergeCell ref="BP70:BR70"/>
    <mergeCell ref="BP71:BR71"/>
    <mergeCell ref="BS71:BU71"/>
    <mergeCell ref="BP72:BR72"/>
    <mergeCell ref="BS72:BU72"/>
    <mergeCell ref="BP67:BR67"/>
    <mergeCell ref="BS67:BU67"/>
    <mergeCell ref="BS94:BU94"/>
    <mergeCell ref="BS95:BU95"/>
    <mergeCell ref="BS96:BU96"/>
    <mergeCell ref="BS107:BU107"/>
    <mergeCell ref="BK108:BM108"/>
    <mergeCell ref="AS69:AY69"/>
    <mergeCell ref="BD69:BF69"/>
    <mergeCell ref="BG69:BJ69"/>
    <mergeCell ref="BK69:BM69"/>
    <mergeCell ref="BS70:BU70"/>
    <mergeCell ref="BD70:BF70"/>
    <mergeCell ref="BG70:BJ70"/>
    <mergeCell ref="BD71:BF71"/>
    <mergeCell ref="BG71:BJ71"/>
    <mergeCell ref="BK71:BM71"/>
    <mergeCell ref="BG72:BJ72"/>
    <mergeCell ref="BK72:BM72"/>
    <mergeCell ref="BB76:BC76"/>
    <mergeCell ref="BB77:BC77"/>
    <mergeCell ref="BD77:BF77"/>
    <mergeCell ref="BG77:BJ77"/>
    <mergeCell ref="BK77:BM77"/>
    <mergeCell ref="BP77:BR77"/>
    <mergeCell ref="BS77:BU77"/>
    <mergeCell ref="BB73:BC73"/>
    <mergeCell ref="BB74:BC74"/>
    <mergeCell ref="AS70:AY70"/>
    <mergeCell ref="AS71:AY71"/>
    <mergeCell ref="AS72:AY72"/>
    <mergeCell ref="AS73:AY73"/>
    <mergeCell ref="BP75:BR75"/>
    <mergeCell ref="BG75:BJ75"/>
    <mergeCell ref="BK75:BM75"/>
    <mergeCell ref="BS75:BU75"/>
    <mergeCell ref="BK76:BM76"/>
    <mergeCell ref="BS76:BU76"/>
    <mergeCell ref="BS105:BU105"/>
    <mergeCell ref="BS99:BU99"/>
    <mergeCell ref="BS100:BU100"/>
    <mergeCell ref="BG101:BJ101"/>
    <mergeCell ref="BK101:BM101"/>
    <mergeCell ref="BS101:BU101"/>
    <mergeCell ref="BK102:BM102"/>
    <mergeCell ref="BS102:BU102"/>
    <mergeCell ref="AS87:AY87"/>
    <mergeCell ref="AS88:AY88"/>
    <mergeCell ref="AS89:AY89"/>
    <mergeCell ref="AS90:AY90"/>
    <mergeCell ref="AS91:AY91"/>
    <mergeCell ref="AS92:AY92"/>
    <mergeCell ref="AS101:AY101"/>
    <mergeCell ref="AS102:AY102"/>
    <mergeCell ref="AS103:AY103"/>
    <mergeCell ref="AS104:AY104"/>
    <mergeCell ref="AS105:AY105"/>
    <mergeCell ref="BB78:BC78"/>
    <mergeCell ref="BB79:BC79"/>
    <mergeCell ref="BB80:BC80"/>
    <mergeCell ref="BK106:BM106"/>
    <mergeCell ref="BP106:BR106"/>
    <mergeCell ref="BS106:BU106"/>
    <mergeCell ref="BG102:BJ102"/>
    <mergeCell ref="BG103:BJ103"/>
    <mergeCell ref="BK103:BM103"/>
    <mergeCell ref="BG104:BJ104"/>
    <mergeCell ref="BK104:BM104"/>
    <mergeCell ref="BG105:BJ105"/>
    <mergeCell ref="BK105:BM105"/>
    <mergeCell ref="BP102:BR102"/>
    <mergeCell ref="BP103:BR103"/>
    <mergeCell ref="BS103:BU103"/>
    <mergeCell ref="BP104:BR104"/>
    <mergeCell ref="BS104:BU104"/>
    <mergeCell ref="AS78:AY78"/>
    <mergeCell ref="AS79:AY79"/>
    <mergeCell ref="AS80:AY80"/>
    <mergeCell ref="AS81:AY81"/>
    <mergeCell ref="AS82:AY82"/>
    <mergeCell ref="AS83:AY83"/>
    <mergeCell ref="AS84:AY84"/>
    <mergeCell ref="AS85:AY85"/>
    <mergeCell ref="AS86:AY86"/>
    <mergeCell ref="AS93:AY93"/>
    <mergeCell ref="AS94:AY94"/>
    <mergeCell ref="AS95:AY95"/>
    <mergeCell ref="AS96:AY96"/>
    <mergeCell ref="AS97:AY97"/>
    <mergeCell ref="AS98:AY98"/>
    <mergeCell ref="AS99:AY99"/>
    <mergeCell ref="AS100:AY100"/>
    <mergeCell ref="AS106:AY106"/>
    <mergeCell ref="AS107:AY107"/>
    <mergeCell ref="AS108:AY108"/>
    <mergeCell ref="AS109:AY109"/>
    <mergeCell ref="AS110:AY110"/>
    <mergeCell ref="AS111:AY111"/>
    <mergeCell ref="AS112:AY112"/>
    <mergeCell ref="AS113:AY113"/>
    <mergeCell ref="AS114:AY114"/>
    <mergeCell ref="AS115:AY115"/>
    <mergeCell ref="AS116:AY116"/>
    <mergeCell ref="AS117:AY117"/>
    <mergeCell ref="AS118:AY118"/>
    <mergeCell ref="BD132:BF132"/>
    <mergeCell ref="BG132:BJ132"/>
    <mergeCell ref="AS131:AY131"/>
    <mergeCell ref="BD131:BF131"/>
    <mergeCell ref="BG131:BJ131"/>
    <mergeCell ref="BD119:BF119"/>
    <mergeCell ref="BG119:BJ119"/>
    <mergeCell ref="BB118:BC118"/>
    <mergeCell ref="BD118:BF118"/>
    <mergeCell ref="BG118:BJ118"/>
    <mergeCell ref="BB123:BC123"/>
    <mergeCell ref="BD123:BF123"/>
    <mergeCell ref="BG123:BJ123"/>
    <mergeCell ref="BB119:BC119"/>
    <mergeCell ref="BB115:BC115"/>
    <mergeCell ref="BD115:BF115"/>
    <mergeCell ref="BG115:BJ115"/>
    <mergeCell ref="BK131:BM131"/>
    <mergeCell ref="BS131:BU131"/>
    <mergeCell ref="AS132:AY132"/>
    <mergeCell ref="BK132:BM132"/>
    <mergeCell ref="BS132:BU132"/>
    <mergeCell ref="BB131:BC131"/>
    <mergeCell ref="BB132:BC132"/>
    <mergeCell ref="BS110:BU110"/>
    <mergeCell ref="BG111:BJ111"/>
    <mergeCell ref="BK111:BM111"/>
    <mergeCell ref="BP111:BR111"/>
    <mergeCell ref="BS111:BU111"/>
    <mergeCell ref="BG112:BJ112"/>
    <mergeCell ref="BK112:BM112"/>
    <mergeCell ref="BP112:BR112"/>
    <mergeCell ref="BS112:BU112"/>
    <mergeCell ref="BB126:BC126"/>
    <mergeCell ref="BK126:BM126"/>
    <mergeCell ref="BP122:BR122"/>
    <mergeCell ref="BS122:BU122"/>
    <mergeCell ref="BP117:BR117"/>
    <mergeCell ref="BP118:BR118"/>
    <mergeCell ref="BP119:BR119"/>
    <mergeCell ref="BB122:BC122"/>
    <mergeCell ref="BD122:BF122"/>
    <mergeCell ref="BG122:BJ122"/>
    <mergeCell ref="BK119:BM119"/>
    <mergeCell ref="BK120:BM120"/>
    <mergeCell ref="BK118:BM118"/>
    <mergeCell ref="BP128:BR128"/>
    <mergeCell ref="BP123:BR123"/>
    <mergeCell ref="BP124:BR124"/>
    <mergeCell ref="BK157:BM157"/>
    <mergeCell ref="BD158:BF158"/>
    <mergeCell ref="BG158:BJ158"/>
    <mergeCell ref="BK158:BM158"/>
    <mergeCell ref="BB158:BC158"/>
    <mergeCell ref="BB159:BC159"/>
    <mergeCell ref="BD159:BF159"/>
    <mergeCell ref="BG159:BJ159"/>
    <mergeCell ref="BK159:BM159"/>
    <mergeCell ref="BB160:BC160"/>
    <mergeCell ref="BD160:BF160"/>
    <mergeCell ref="BG151:BJ151"/>
    <mergeCell ref="BK151:BM151"/>
    <mergeCell ref="BB149:BC149"/>
    <mergeCell ref="BB150:BC150"/>
    <mergeCell ref="BD150:BF150"/>
    <mergeCell ref="BG150:BJ150"/>
    <mergeCell ref="BK150:BM150"/>
    <mergeCell ref="BB151:BC151"/>
    <mergeCell ref="BD151:BF151"/>
    <mergeCell ref="BB153:BC153"/>
    <mergeCell ref="BD153:BF153"/>
    <mergeCell ref="BG153:BJ153"/>
    <mergeCell ref="BK153:BM153"/>
    <mergeCell ref="BD154:BF154"/>
    <mergeCell ref="BG154:BJ154"/>
    <mergeCell ref="BK154:BM154"/>
    <mergeCell ref="BG156:BJ156"/>
    <mergeCell ref="BK156:BM156"/>
    <mergeCell ref="BG157:BJ157"/>
    <mergeCell ref="BD192:BF192"/>
    <mergeCell ref="BG192:BJ192"/>
    <mergeCell ref="BB154:BC154"/>
    <mergeCell ref="BB155:BC155"/>
    <mergeCell ref="BD155:BF155"/>
    <mergeCell ref="BG155:BJ155"/>
    <mergeCell ref="BK155:BM155"/>
    <mergeCell ref="BB156:BC156"/>
    <mergeCell ref="BD156:BF156"/>
    <mergeCell ref="BG160:BJ160"/>
    <mergeCell ref="BK160:BM160"/>
    <mergeCell ref="BB161:BC161"/>
    <mergeCell ref="BD161:BF161"/>
    <mergeCell ref="BG161:BJ161"/>
    <mergeCell ref="BK161:BM161"/>
    <mergeCell ref="AS194:AY194"/>
    <mergeCell ref="AS195:AY195"/>
    <mergeCell ref="BK192:BM192"/>
    <mergeCell ref="BD193:BF193"/>
    <mergeCell ref="BG193:BJ193"/>
    <mergeCell ref="BK193:BM193"/>
    <mergeCell ref="BD189:BF189"/>
    <mergeCell ref="BD190:BF190"/>
    <mergeCell ref="BG190:BJ190"/>
    <mergeCell ref="BK190:BM190"/>
    <mergeCell ref="BD191:BF191"/>
    <mergeCell ref="BG191:BJ191"/>
    <mergeCell ref="BK191:BM191"/>
    <mergeCell ref="BB193:BC193"/>
    <mergeCell ref="BB194:BC194"/>
    <mergeCell ref="BD194:BF194"/>
    <mergeCell ref="BG194:BJ194"/>
    <mergeCell ref="BK179:BM179"/>
    <mergeCell ref="AS180:AY180"/>
    <mergeCell ref="BK180:BM180"/>
    <mergeCell ref="BD180:BF180"/>
    <mergeCell ref="BG180:BJ180"/>
    <mergeCell ref="AS186:AY186"/>
    <mergeCell ref="BD186:BF186"/>
    <mergeCell ref="BG186:BJ186"/>
    <mergeCell ref="BK186:BM186"/>
    <mergeCell ref="BK187:BM187"/>
    <mergeCell ref="BD187:BF187"/>
    <mergeCell ref="BG187:BJ187"/>
    <mergeCell ref="BD188:BF188"/>
    <mergeCell ref="BG188:BJ188"/>
    <mergeCell ref="BK188:BM188"/>
    <mergeCell ref="BG189:BJ189"/>
    <mergeCell ref="BK189:BM189"/>
    <mergeCell ref="BK182:BM182"/>
    <mergeCell ref="BD184:BF184"/>
    <mergeCell ref="BG184:BJ184"/>
    <mergeCell ref="BB181:BC181"/>
    <mergeCell ref="BB182:BC182"/>
    <mergeCell ref="AS183:AY183"/>
    <mergeCell ref="BD183:BF183"/>
    <mergeCell ref="BG183:BJ183"/>
    <mergeCell ref="BK183:BM183"/>
    <mergeCell ref="AS184:AY184"/>
    <mergeCell ref="BK184:BM184"/>
    <mergeCell ref="BG182:BJ182"/>
    <mergeCell ref="BG181:BJ181"/>
    <mergeCell ref="BG179:BJ179"/>
    <mergeCell ref="BB185:BC185"/>
    <mergeCell ref="BK194:BM194"/>
    <mergeCell ref="BD195:BF195"/>
    <mergeCell ref="BG195:BJ195"/>
    <mergeCell ref="BK195:BM195"/>
    <mergeCell ref="BD197:BF197"/>
    <mergeCell ref="BD198:BF198"/>
    <mergeCell ref="BG198:BJ198"/>
    <mergeCell ref="BK198:BM198"/>
    <mergeCell ref="BB195:BC195"/>
    <mergeCell ref="BB196:BC196"/>
    <mergeCell ref="BD196:BF196"/>
    <mergeCell ref="BG196:BJ196"/>
    <mergeCell ref="BK196:BM196"/>
    <mergeCell ref="BG197:BJ197"/>
    <mergeCell ref="BK197:BM197"/>
    <mergeCell ref="BP296:BR296"/>
    <mergeCell ref="BP297:BR297"/>
    <mergeCell ref="BD199:BF199"/>
    <mergeCell ref="BG199:BJ199"/>
    <mergeCell ref="BK199:BM199"/>
    <mergeCell ref="BK200:BM200"/>
    <mergeCell ref="BD200:BF200"/>
    <mergeCell ref="BG200:BJ200"/>
    <mergeCell ref="BD201:BF201"/>
    <mergeCell ref="BG201:BJ201"/>
    <mergeCell ref="BK201:BM201"/>
    <mergeCell ref="BG202:BJ202"/>
    <mergeCell ref="BK202:BM202"/>
    <mergeCell ref="BD205:BF205"/>
    <mergeCell ref="BG205:BJ205"/>
    <mergeCell ref="BK205:BM205"/>
    <mergeCell ref="BD206:BF206"/>
    <mergeCell ref="BP298:BR298"/>
    <mergeCell ref="BP299:BR299"/>
    <mergeCell ref="BP300:BR300"/>
    <mergeCell ref="BP301:BR301"/>
    <mergeCell ref="BP302:BR302"/>
    <mergeCell ref="BP303:BR303"/>
    <mergeCell ref="BP304:BR304"/>
    <mergeCell ref="BP305:BR305"/>
    <mergeCell ref="BP306:BR306"/>
    <mergeCell ref="BP307:BR307"/>
    <mergeCell ref="BP308:BR308"/>
    <mergeCell ref="BP309:BR309"/>
    <mergeCell ref="BP310:BR310"/>
    <mergeCell ref="BP311:BR311"/>
    <mergeCell ref="BP312:BR312"/>
    <mergeCell ref="BP313:BR313"/>
    <mergeCell ref="BP314:BR314"/>
    <mergeCell ref="BP315:BR315"/>
    <mergeCell ref="BP316:BR316"/>
    <mergeCell ref="BP317:BR317"/>
    <mergeCell ref="BP318:BR318"/>
    <mergeCell ref="BP319:BR319"/>
    <mergeCell ref="BP320:BR320"/>
    <mergeCell ref="BP321:BR321"/>
    <mergeCell ref="BP322:BR322"/>
    <mergeCell ref="BP323:BR323"/>
    <mergeCell ref="BP324:BR324"/>
    <mergeCell ref="BP325:BR325"/>
    <mergeCell ref="BP326:BR326"/>
    <mergeCell ref="BP327:BR327"/>
    <mergeCell ref="BP328:BR328"/>
    <mergeCell ref="BP329:BR329"/>
    <mergeCell ref="BP330:BR330"/>
    <mergeCell ref="BP331:BR331"/>
    <mergeCell ref="BP332:BR332"/>
    <mergeCell ref="BP333:BR333"/>
    <mergeCell ref="BP334:BR334"/>
    <mergeCell ref="BP335:BR335"/>
    <mergeCell ref="BP336:BR336"/>
    <mergeCell ref="BP337:BR337"/>
    <mergeCell ref="BP338:BR338"/>
    <mergeCell ref="BP339:BR339"/>
    <mergeCell ref="BP340:BR340"/>
    <mergeCell ref="BP341:BR341"/>
    <mergeCell ref="BP342:BR342"/>
    <mergeCell ref="BP343:BR343"/>
    <mergeCell ref="BP344:BR344"/>
    <mergeCell ref="BP345:BR345"/>
    <mergeCell ref="BP346:BR346"/>
    <mergeCell ref="BP347:BR347"/>
    <mergeCell ref="BP348:BR348"/>
    <mergeCell ref="BP349:BR349"/>
    <mergeCell ref="BP350:BR350"/>
    <mergeCell ref="BP351:BR351"/>
    <mergeCell ref="BP352:BR352"/>
    <mergeCell ref="BP353:BR353"/>
    <mergeCell ref="BP354:BR354"/>
    <mergeCell ref="BP355:BR355"/>
    <mergeCell ref="BP356:BR356"/>
    <mergeCell ref="BP357:BR357"/>
    <mergeCell ref="BP358:BR358"/>
    <mergeCell ref="BP359:BR359"/>
    <mergeCell ref="BP360:BR360"/>
    <mergeCell ref="BP361:BR361"/>
    <mergeCell ref="BP362:BR362"/>
    <mergeCell ref="BP363:BR363"/>
    <mergeCell ref="BP364:BR364"/>
    <mergeCell ref="BP365:BR365"/>
    <mergeCell ref="BP366:BR366"/>
    <mergeCell ref="BP367:BR367"/>
    <mergeCell ref="BP368:BR368"/>
    <mergeCell ref="BP369:BR369"/>
    <mergeCell ref="BP370:BR370"/>
    <mergeCell ref="BP371:BR371"/>
    <mergeCell ref="BP372:BR372"/>
    <mergeCell ref="BP373:BR373"/>
    <mergeCell ref="BP374:BR374"/>
    <mergeCell ref="BP375:BR375"/>
    <mergeCell ref="BP376:BR376"/>
    <mergeCell ref="BP377:BR377"/>
    <mergeCell ref="BP378:BR378"/>
    <mergeCell ref="BP379:BR379"/>
    <mergeCell ref="BP380:BR380"/>
    <mergeCell ref="BP381:BR381"/>
    <mergeCell ref="BP382:BR382"/>
    <mergeCell ref="BP383:BR383"/>
    <mergeCell ref="BP384:BR384"/>
    <mergeCell ref="BP385:BR385"/>
    <mergeCell ref="BP386:BR386"/>
    <mergeCell ref="BB394:BC394"/>
    <mergeCell ref="BD394:BF394"/>
    <mergeCell ref="BG394:BJ394"/>
    <mergeCell ref="BK394:BM394"/>
    <mergeCell ref="BG395:BJ395"/>
    <mergeCell ref="BK395:BM395"/>
    <mergeCell ref="BG396:BJ396"/>
    <mergeCell ref="BK396:BM396"/>
    <mergeCell ref="BK397:BM397"/>
    <mergeCell ref="BG397:BJ397"/>
    <mergeCell ref="BG398:BJ398"/>
    <mergeCell ref="BK398:BM398"/>
    <mergeCell ref="BG399:BJ399"/>
    <mergeCell ref="BK399:BM399"/>
    <mergeCell ref="BD389:BF389"/>
    <mergeCell ref="BG389:BJ389"/>
    <mergeCell ref="BK389:BM389"/>
    <mergeCell ref="BD390:BF390"/>
    <mergeCell ref="BG390:BJ390"/>
    <mergeCell ref="BK390:BM390"/>
    <mergeCell ref="BD392:BF392"/>
    <mergeCell ref="BD393:BF393"/>
    <mergeCell ref="BG393:BJ393"/>
    <mergeCell ref="BK393:BM393"/>
    <mergeCell ref="BP393:BR393"/>
    <mergeCell ref="BK387:BM387"/>
    <mergeCell ref="BD388:BF388"/>
    <mergeCell ref="BG388:BJ388"/>
    <mergeCell ref="BG400:BJ400"/>
    <mergeCell ref="BK400:BM400"/>
    <mergeCell ref="BP402:BR402"/>
    <mergeCell ref="BP403:BR403"/>
    <mergeCell ref="BP395:BR395"/>
    <mergeCell ref="BP396:BR396"/>
    <mergeCell ref="BP397:BR397"/>
    <mergeCell ref="BP398:BR398"/>
    <mergeCell ref="BP399:BR399"/>
    <mergeCell ref="BP400:BR400"/>
    <mergeCell ref="BP401:BR401"/>
    <mergeCell ref="BP406:BR406"/>
    <mergeCell ref="BP407:BR407"/>
    <mergeCell ref="BG405:BJ405"/>
    <mergeCell ref="BK405:BM405"/>
    <mergeCell ref="BP405:BR405"/>
    <mergeCell ref="BG406:BJ406"/>
    <mergeCell ref="BK406:BM406"/>
    <mergeCell ref="BG407:BJ407"/>
    <mergeCell ref="BK407:BM407"/>
    <mergeCell ref="BG402:BJ402"/>
    <mergeCell ref="BK402:BM402"/>
    <mergeCell ref="BG403:BJ403"/>
    <mergeCell ref="BK403:BM403"/>
    <mergeCell ref="BG404:BJ404"/>
    <mergeCell ref="BD408:BF408"/>
    <mergeCell ref="BD409:BF409"/>
    <mergeCell ref="BB410:BC410"/>
    <mergeCell ref="BD410:BF410"/>
    <mergeCell ref="BB411:BC411"/>
    <mergeCell ref="BD411:BF411"/>
    <mergeCell ref="BB412:BC412"/>
    <mergeCell ref="BD412:BF412"/>
    <mergeCell ref="BD401:BF401"/>
    <mergeCell ref="BD402:BF402"/>
    <mergeCell ref="BD403:BF403"/>
    <mergeCell ref="BD404:BF404"/>
    <mergeCell ref="BD405:BF405"/>
    <mergeCell ref="BD406:BF406"/>
    <mergeCell ref="BD407:BF407"/>
    <mergeCell ref="BB407:BC407"/>
    <mergeCell ref="BB408:BC408"/>
    <mergeCell ref="BP408:BR408"/>
    <mergeCell ref="BK409:BM409"/>
    <mergeCell ref="BP409:BR409"/>
    <mergeCell ref="BG409:BJ409"/>
    <mergeCell ref="BG410:BJ410"/>
    <mergeCell ref="BK410:BM410"/>
    <mergeCell ref="BP410:BR410"/>
    <mergeCell ref="BG411:BJ411"/>
    <mergeCell ref="BK411:BM411"/>
    <mergeCell ref="BP411:BR411"/>
    <mergeCell ref="BG498:BJ498"/>
    <mergeCell ref="BK498:BM498"/>
    <mergeCell ref="BP498:BR498"/>
    <mergeCell ref="BS498:BU498"/>
    <mergeCell ref="BP460:BR460"/>
    <mergeCell ref="BS460:BU460"/>
    <mergeCell ref="BG461:BJ461"/>
    <mergeCell ref="BK461:BM461"/>
    <mergeCell ref="BP465:BR465"/>
    <mergeCell ref="BS465:BU465"/>
    <mergeCell ref="BK488:BM488"/>
    <mergeCell ref="BP488:BR488"/>
    <mergeCell ref="BS488:BU488"/>
    <mergeCell ref="BG489:BJ489"/>
    <mergeCell ref="BK489:BM489"/>
    <mergeCell ref="BG490:BJ490"/>
    <mergeCell ref="BP489:BR489"/>
    <mergeCell ref="BS489:BU489"/>
    <mergeCell ref="BG487:BJ487"/>
    <mergeCell ref="BG488:BJ488"/>
    <mergeCell ref="BS410:BU410"/>
    <mergeCell ref="BS411:BU411"/>
    <mergeCell ref="BK501:BM501"/>
    <mergeCell ref="BG454:BJ454"/>
    <mergeCell ref="BK454:BM454"/>
    <mergeCell ref="BP454:BR454"/>
    <mergeCell ref="BS454:BU454"/>
    <mergeCell ref="BK455:BM455"/>
    <mergeCell ref="BP455:BR455"/>
    <mergeCell ref="BS455:BU455"/>
    <mergeCell ref="BG455:BJ455"/>
    <mergeCell ref="BG456:BJ456"/>
    <mergeCell ref="BK456:BM456"/>
    <mergeCell ref="BP456:BR456"/>
    <mergeCell ref="BS456:BU456"/>
    <mergeCell ref="BG457:BJ457"/>
    <mergeCell ref="BK457:BM457"/>
    <mergeCell ref="BG458:BJ458"/>
    <mergeCell ref="BK458:BM458"/>
    <mergeCell ref="BP458:BR458"/>
    <mergeCell ref="BS458:BU458"/>
    <mergeCell ref="BK459:BM459"/>
    <mergeCell ref="BP459:BR459"/>
    <mergeCell ref="BS459:BU459"/>
    <mergeCell ref="BP461:BR461"/>
    <mergeCell ref="BG482:BJ482"/>
    <mergeCell ref="BK482:BM482"/>
    <mergeCell ref="BP482:BR482"/>
    <mergeCell ref="BS482:BU482"/>
    <mergeCell ref="BG466:BJ466"/>
    <mergeCell ref="BK466:BM466"/>
    <mergeCell ref="BP466:BR466"/>
    <mergeCell ref="BS466:BU466"/>
    <mergeCell ref="BK467:BM467"/>
    <mergeCell ref="BG504:BJ504"/>
    <mergeCell ref="BK504:BM504"/>
    <mergeCell ref="BP504:BR504"/>
    <mergeCell ref="BS504:BU504"/>
    <mergeCell ref="BK499:BM499"/>
    <mergeCell ref="BP499:BR499"/>
    <mergeCell ref="BS499:BU499"/>
    <mergeCell ref="BG499:BJ499"/>
    <mergeCell ref="BK483:BM483"/>
    <mergeCell ref="BP483:BR483"/>
    <mergeCell ref="BS483:BU483"/>
    <mergeCell ref="BG483:BJ483"/>
    <mergeCell ref="BG484:BJ484"/>
    <mergeCell ref="BK484:BM484"/>
    <mergeCell ref="BP484:BR484"/>
    <mergeCell ref="BS484:BU484"/>
    <mergeCell ref="BG485:BJ485"/>
    <mergeCell ref="BK485:BM485"/>
    <mergeCell ref="BP486:BR486"/>
    <mergeCell ref="BP487:BR487"/>
    <mergeCell ref="BP485:BR485"/>
    <mergeCell ref="BS485:BU485"/>
    <mergeCell ref="BG486:BJ486"/>
    <mergeCell ref="BK486:BM486"/>
    <mergeCell ref="BS486:BU486"/>
    <mergeCell ref="BK487:BM487"/>
    <mergeCell ref="BS487:BU487"/>
    <mergeCell ref="BG500:BJ500"/>
    <mergeCell ref="BK500:BM500"/>
    <mergeCell ref="BP500:BR500"/>
    <mergeCell ref="BS500:BU500"/>
    <mergeCell ref="BG501:BJ501"/>
    <mergeCell ref="BP502:BR502"/>
    <mergeCell ref="BP503:BR503"/>
    <mergeCell ref="BP501:BR501"/>
    <mergeCell ref="BS501:BU501"/>
    <mergeCell ref="BG502:BJ502"/>
    <mergeCell ref="BK502:BM502"/>
    <mergeCell ref="BS502:BU502"/>
    <mergeCell ref="BK503:BM503"/>
    <mergeCell ref="BS503:BU503"/>
    <mergeCell ref="BK490:BM490"/>
    <mergeCell ref="BP490:BR490"/>
    <mergeCell ref="BS490:BU490"/>
    <mergeCell ref="BK491:BM491"/>
    <mergeCell ref="BP491:BR491"/>
    <mergeCell ref="BS491:BU491"/>
    <mergeCell ref="BG491:BJ491"/>
    <mergeCell ref="BG492:BJ492"/>
    <mergeCell ref="BK492:BM492"/>
    <mergeCell ref="BP492:BR492"/>
    <mergeCell ref="BS492:BU492"/>
    <mergeCell ref="BG493:BJ493"/>
    <mergeCell ref="BK493:BM493"/>
    <mergeCell ref="BP494:BR494"/>
    <mergeCell ref="BP495:BR495"/>
    <mergeCell ref="BP493:BR493"/>
    <mergeCell ref="BS493:BU493"/>
    <mergeCell ref="BG494:BJ494"/>
    <mergeCell ref="BK494:BM494"/>
    <mergeCell ref="BS494:BU494"/>
    <mergeCell ref="BK495:BM495"/>
    <mergeCell ref="BS495:BU495"/>
    <mergeCell ref="BG503:BJ503"/>
    <mergeCell ref="BP497:BR497"/>
    <mergeCell ref="BS497:BU497"/>
    <mergeCell ref="BG495:BJ495"/>
    <mergeCell ref="BG496:BJ496"/>
    <mergeCell ref="BK496:BM496"/>
    <mergeCell ref="BP496:BR496"/>
    <mergeCell ref="BS496:BU496"/>
    <mergeCell ref="BG497:BJ497"/>
    <mergeCell ref="BK497:BM497"/>
    <mergeCell ref="BP424:BR424"/>
    <mergeCell ref="BS424:BU424"/>
    <mergeCell ref="BG423:BJ423"/>
    <mergeCell ref="BK423:BM423"/>
    <mergeCell ref="BP423:BR423"/>
    <mergeCell ref="BS423:BU423"/>
    <mergeCell ref="BG424:BJ424"/>
    <mergeCell ref="BK424:BM424"/>
    <mergeCell ref="BG433:BJ433"/>
    <mergeCell ref="BS433:BU433"/>
    <mergeCell ref="BP431:BR431"/>
    <mergeCell ref="BS431:BU431"/>
    <mergeCell ref="BG432:BJ432"/>
    <mergeCell ref="BK432:BM432"/>
    <mergeCell ref="BG425:BJ425"/>
    <mergeCell ref="BK425:BM425"/>
    <mergeCell ref="BP425:BR425"/>
    <mergeCell ref="BS425:BU425"/>
    <mergeCell ref="BK426:BM426"/>
    <mergeCell ref="BP426:BR426"/>
    <mergeCell ref="BS426:BU426"/>
    <mergeCell ref="BG426:BJ426"/>
    <mergeCell ref="BG427:BJ427"/>
    <mergeCell ref="BK427:BM427"/>
    <mergeCell ref="BK429:BM429"/>
    <mergeCell ref="BS429:BU429"/>
    <mergeCell ref="BK430:BM430"/>
    <mergeCell ref="BS430:BU430"/>
    <mergeCell ref="BP427:BR427"/>
    <mergeCell ref="BS427:BU427"/>
    <mergeCell ref="BG428:BJ428"/>
    <mergeCell ref="BK428:BM428"/>
    <mergeCell ref="BP429:BR429"/>
    <mergeCell ref="BP430:BR430"/>
    <mergeCell ref="BP428:BR428"/>
    <mergeCell ref="BS428:BU428"/>
    <mergeCell ref="BG429:BJ429"/>
    <mergeCell ref="BP441:BR441"/>
    <mergeCell ref="BS441:BU441"/>
    <mergeCell ref="BK442:BM442"/>
    <mergeCell ref="BP442:BR442"/>
    <mergeCell ref="BS442:BU442"/>
    <mergeCell ref="BG442:BJ442"/>
    <mergeCell ref="BP443:BR443"/>
    <mergeCell ref="BS443:BU443"/>
    <mergeCell ref="BG444:BJ444"/>
    <mergeCell ref="BK444:BM444"/>
    <mergeCell ref="BP432:BR432"/>
    <mergeCell ref="BS432:BU432"/>
    <mergeCell ref="BP444:BR444"/>
    <mergeCell ref="BS444:BU444"/>
    <mergeCell ref="BK434:BM434"/>
    <mergeCell ref="BP434:BR434"/>
    <mergeCell ref="BS434:BU434"/>
    <mergeCell ref="BG434:BJ434"/>
    <mergeCell ref="BG435:BJ435"/>
    <mergeCell ref="BK435:BM435"/>
    <mergeCell ref="BP435:BR435"/>
    <mergeCell ref="BS435:BU435"/>
    <mergeCell ref="AS414:AY414"/>
    <mergeCell ref="AS415:AY415"/>
    <mergeCell ref="AS416:AY416"/>
    <mergeCell ref="AS417:AY417"/>
    <mergeCell ref="AS418:AY418"/>
    <mergeCell ref="AS419:AY419"/>
    <mergeCell ref="AS420:AY420"/>
    <mergeCell ref="AS421:AY421"/>
    <mergeCell ref="AS422:AY422"/>
    <mergeCell ref="AS423:AY423"/>
    <mergeCell ref="AS424:AY424"/>
    <mergeCell ref="BG430:BJ430"/>
    <mergeCell ref="BG431:BJ431"/>
    <mergeCell ref="BK431:BM431"/>
    <mergeCell ref="BG437:BJ437"/>
    <mergeCell ref="BK437:BM437"/>
    <mergeCell ref="BP437:BR437"/>
    <mergeCell ref="BK433:BM433"/>
    <mergeCell ref="BP433:BR433"/>
    <mergeCell ref="AS425:AY425"/>
    <mergeCell ref="AS426:AY426"/>
    <mergeCell ref="AS427:AY427"/>
    <mergeCell ref="AS428:AY428"/>
    <mergeCell ref="AS429:AY429"/>
    <mergeCell ref="AS430:AY430"/>
    <mergeCell ref="AS431:AY431"/>
    <mergeCell ref="AS432:AY432"/>
    <mergeCell ref="AS433:AY433"/>
    <mergeCell ref="AS434:AY434"/>
    <mergeCell ref="AS435:AY435"/>
    <mergeCell ref="AS436:AY436"/>
    <mergeCell ref="AS437:AY437"/>
    <mergeCell ref="AS397:AY397"/>
    <mergeCell ref="AS398:AY398"/>
    <mergeCell ref="AS399:AY399"/>
    <mergeCell ref="AS400:AY400"/>
    <mergeCell ref="AS401:AY401"/>
    <mergeCell ref="AS402:AY402"/>
    <mergeCell ref="AS403:AY403"/>
    <mergeCell ref="AS404:AY404"/>
    <mergeCell ref="AS405:AY405"/>
    <mergeCell ref="AS406:AY406"/>
    <mergeCell ref="AS407:AY407"/>
    <mergeCell ref="AS408:AY408"/>
    <mergeCell ref="AS409:AY409"/>
    <mergeCell ref="AS410:AY410"/>
    <mergeCell ref="AS411:AY411"/>
    <mergeCell ref="AS412:AY412"/>
    <mergeCell ref="AS413:AY413"/>
    <mergeCell ref="AS438:AY438"/>
    <mergeCell ref="AS439:AY439"/>
    <mergeCell ref="AS440:AY440"/>
    <mergeCell ref="AS441:AY441"/>
    <mergeCell ref="AS442:AY442"/>
    <mergeCell ref="AS443:AY443"/>
    <mergeCell ref="AS444:AY444"/>
    <mergeCell ref="AS445:AY445"/>
    <mergeCell ref="AS495:AY495"/>
    <mergeCell ref="AS496:AY496"/>
    <mergeCell ref="AS497:AY497"/>
    <mergeCell ref="AS498:AY498"/>
    <mergeCell ref="AS499:AY499"/>
    <mergeCell ref="AS500:AY500"/>
    <mergeCell ref="AS501:AY501"/>
    <mergeCell ref="AS509:AY509"/>
    <mergeCell ref="AS510:AY510"/>
    <mergeCell ref="AS467:AY467"/>
    <mergeCell ref="AS468:AY468"/>
    <mergeCell ref="AS469:AY469"/>
    <mergeCell ref="AS470:AY470"/>
    <mergeCell ref="AS471:AY471"/>
    <mergeCell ref="AS472:AY472"/>
    <mergeCell ref="AS473:AY473"/>
    <mergeCell ref="AS474:AY474"/>
    <mergeCell ref="AS475:AY475"/>
    <mergeCell ref="AS476:AY476"/>
    <mergeCell ref="AS477:AY477"/>
    <mergeCell ref="AS478:AY478"/>
    <mergeCell ref="AS479:AY479"/>
    <mergeCell ref="AS480:AY480"/>
    <mergeCell ref="AS481:AY481"/>
    <mergeCell ref="AS511:AY511"/>
    <mergeCell ref="AS512:AY512"/>
    <mergeCell ref="AS513:AY513"/>
    <mergeCell ref="AS514:AY514"/>
    <mergeCell ref="AS502:AY502"/>
    <mergeCell ref="AS503:AY503"/>
    <mergeCell ref="AS504:AY504"/>
    <mergeCell ref="AS505:AY505"/>
    <mergeCell ref="AS506:AY506"/>
    <mergeCell ref="AS507:AY507"/>
    <mergeCell ref="AS508:AY508"/>
    <mergeCell ref="AS446:AY446"/>
    <mergeCell ref="AS447:AY447"/>
    <mergeCell ref="AS448:AY448"/>
    <mergeCell ref="AS449:AY449"/>
    <mergeCell ref="AS450:AY450"/>
    <mergeCell ref="AS451:AY451"/>
    <mergeCell ref="AS452:AY452"/>
    <mergeCell ref="AS453:AY453"/>
    <mergeCell ref="AS454:AY454"/>
    <mergeCell ref="AS455:AY455"/>
    <mergeCell ref="AS456:AY456"/>
    <mergeCell ref="AS457:AY457"/>
    <mergeCell ref="AS458:AY458"/>
    <mergeCell ref="AS459:AY459"/>
    <mergeCell ref="AS460:AY460"/>
    <mergeCell ref="AS461:AY461"/>
    <mergeCell ref="AS462:AY462"/>
    <mergeCell ref="AS463:AY463"/>
    <mergeCell ref="AS464:AY464"/>
    <mergeCell ref="AS465:AY465"/>
    <mergeCell ref="AS466:AY466"/>
    <mergeCell ref="AS482:AY482"/>
    <mergeCell ref="AS483:AY483"/>
    <mergeCell ref="AS484:AY484"/>
    <mergeCell ref="AS485:AY485"/>
    <mergeCell ref="AS486:AY486"/>
    <mergeCell ref="AS487:AY487"/>
    <mergeCell ref="AS488:AY488"/>
    <mergeCell ref="AS489:AY489"/>
    <mergeCell ref="AS490:AY490"/>
    <mergeCell ref="AS491:AY491"/>
    <mergeCell ref="AS492:AY492"/>
    <mergeCell ref="AS493:AY493"/>
    <mergeCell ref="AS494:AY494"/>
    <mergeCell ref="BP387:BR387"/>
    <mergeCell ref="BP388:BR388"/>
    <mergeCell ref="BP389:BR389"/>
    <mergeCell ref="BP390:BR390"/>
    <mergeCell ref="BP391:BR391"/>
    <mergeCell ref="BP392:BR392"/>
    <mergeCell ref="BP394:BR394"/>
    <mergeCell ref="AS394:AY394"/>
    <mergeCell ref="AS395:AY395"/>
    <mergeCell ref="BB395:BC395"/>
    <mergeCell ref="BD395:BF395"/>
    <mergeCell ref="AS396:AY396"/>
    <mergeCell ref="BD396:BF396"/>
    <mergeCell ref="BD397:BF397"/>
    <mergeCell ref="BB396:BC396"/>
    <mergeCell ref="BB397:BC397"/>
    <mergeCell ref="BB398:BC398"/>
    <mergeCell ref="BD398:BF398"/>
    <mergeCell ref="BB399:BC399"/>
    <mergeCell ref="BD399:BF399"/>
    <mergeCell ref="BD400:BF400"/>
    <mergeCell ref="BK404:BM404"/>
    <mergeCell ref="BP404:BR404"/>
    <mergeCell ref="BG401:BJ401"/>
    <mergeCell ref="BK401:BM401"/>
    <mergeCell ref="BB400:BC400"/>
    <mergeCell ref="BB401:BC401"/>
    <mergeCell ref="BB402:BC402"/>
    <mergeCell ref="BB403:BC403"/>
    <mergeCell ref="BB404:BC404"/>
    <mergeCell ref="BB405:BC405"/>
    <mergeCell ref="BB406:BC406"/>
    <mergeCell ref="BG415:BJ415"/>
    <mergeCell ref="BK415:BM415"/>
    <mergeCell ref="BP415:BR415"/>
    <mergeCell ref="BG421:BJ421"/>
    <mergeCell ref="BK421:BM421"/>
    <mergeCell ref="BP421:BR421"/>
    <mergeCell ref="BP414:BR414"/>
    <mergeCell ref="BG420:BJ420"/>
    <mergeCell ref="BK420:BM420"/>
    <mergeCell ref="BP420:BR420"/>
    <mergeCell ref="BG416:BJ416"/>
    <mergeCell ref="BG417:BJ417"/>
    <mergeCell ref="BK417:BM417"/>
    <mergeCell ref="BG418:BJ418"/>
    <mergeCell ref="BK418:BM418"/>
    <mergeCell ref="BG419:BJ419"/>
    <mergeCell ref="BK419:BM419"/>
    <mergeCell ref="BG408:BJ408"/>
    <mergeCell ref="BK408:BM408"/>
    <mergeCell ref="BS421:BU421"/>
    <mergeCell ref="BK422:BM422"/>
    <mergeCell ref="BP422:BR422"/>
    <mergeCell ref="BS422:BU422"/>
    <mergeCell ref="BG422:BJ422"/>
    <mergeCell ref="BG412:BJ412"/>
    <mergeCell ref="BK412:BM412"/>
    <mergeCell ref="BP412:BR412"/>
    <mergeCell ref="BS412:BU412"/>
    <mergeCell ref="BK413:BM413"/>
    <mergeCell ref="BP413:BR413"/>
    <mergeCell ref="BS413:BU413"/>
    <mergeCell ref="BK416:BM416"/>
    <mergeCell ref="BP416:BR416"/>
    <mergeCell ref="BP417:BR417"/>
    <mergeCell ref="BS417:BU417"/>
    <mergeCell ref="BP418:BR418"/>
    <mergeCell ref="BS418:BU418"/>
    <mergeCell ref="BP419:BR419"/>
    <mergeCell ref="BS414:BU414"/>
    <mergeCell ref="BS415:BU415"/>
    <mergeCell ref="BS416:BU416"/>
    <mergeCell ref="BS420:BU420"/>
    <mergeCell ref="BS419:BU419"/>
    <mergeCell ref="BG413:BJ413"/>
    <mergeCell ref="BG414:BJ414"/>
    <mergeCell ref="BK414:BM414"/>
    <mergeCell ref="BD447:BF447"/>
    <mergeCell ref="BD433:BF433"/>
    <mergeCell ref="BG450:BJ450"/>
    <mergeCell ref="BK450:BM450"/>
    <mergeCell ref="BP450:BR450"/>
    <mergeCell ref="BS450:BU450"/>
    <mergeCell ref="BG445:BJ445"/>
    <mergeCell ref="BK445:BM445"/>
    <mergeCell ref="BP445:BR445"/>
    <mergeCell ref="BP446:BR446"/>
    <mergeCell ref="BS446:BU446"/>
    <mergeCell ref="BS448:BU448"/>
    <mergeCell ref="BG449:BJ449"/>
    <mergeCell ref="BK449:BM449"/>
    <mergeCell ref="BS445:BU445"/>
    <mergeCell ref="BS437:BU437"/>
    <mergeCell ref="BK438:BM438"/>
    <mergeCell ref="BP438:BR438"/>
    <mergeCell ref="BS438:BU438"/>
    <mergeCell ref="BP440:BR440"/>
    <mergeCell ref="BS440:BU440"/>
    <mergeCell ref="BG438:BJ438"/>
    <mergeCell ref="BG439:BJ439"/>
    <mergeCell ref="BK439:BM439"/>
    <mergeCell ref="BP439:BR439"/>
    <mergeCell ref="BS439:BU439"/>
    <mergeCell ref="BG440:BJ440"/>
    <mergeCell ref="BK440:BM440"/>
    <mergeCell ref="BP436:BR436"/>
    <mergeCell ref="BS436:BU436"/>
    <mergeCell ref="BG436:BJ436"/>
    <mergeCell ref="BK436:BM436"/>
    <mergeCell ref="BK451:BM451"/>
    <mergeCell ref="BP451:BR451"/>
    <mergeCell ref="BS451:BU451"/>
    <mergeCell ref="BG451:BJ451"/>
    <mergeCell ref="BG452:BJ452"/>
    <mergeCell ref="BK452:BM452"/>
    <mergeCell ref="BP452:BR452"/>
    <mergeCell ref="BS452:BU452"/>
    <mergeCell ref="BG453:BJ453"/>
    <mergeCell ref="BK453:BM453"/>
    <mergeCell ref="BB447:BC447"/>
    <mergeCell ref="BB448:BC448"/>
    <mergeCell ref="BD448:BF448"/>
    <mergeCell ref="BB449:BC449"/>
    <mergeCell ref="BD449:BF449"/>
    <mergeCell ref="BB450:BC450"/>
    <mergeCell ref="BD450:BF450"/>
    <mergeCell ref="BB451:BC451"/>
    <mergeCell ref="BD451:BF451"/>
    <mergeCell ref="BB452:BC452"/>
    <mergeCell ref="BD452:BF452"/>
    <mergeCell ref="BB453:BC453"/>
    <mergeCell ref="BD453:BF453"/>
    <mergeCell ref="BK447:BM447"/>
    <mergeCell ref="BP447:BR447"/>
    <mergeCell ref="BS447:BU447"/>
    <mergeCell ref="BP449:BR449"/>
    <mergeCell ref="BS449:BU449"/>
    <mergeCell ref="BG447:BJ447"/>
    <mergeCell ref="BG448:BJ448"/>
    <mergeCell ref="BK448:BM448"/>
    <mergeCell ref="BP448:BR448"/>
    <mergeCell ref="BB445:BC445"/>
    <mergeCell ref="BB446:BC446"/>
    <mergeCell ref="BG446:BJ446"/>
    <mergeCell ref="BK446:BM446"/>
    <mergeCell ref="BD434:BF434"/>
    <mergeCell ref="BD435:BF435"/>
    <mergeCell ref="BD436:BF436"/>
    <mergeCell ref="BD437:BF437"/>
    <mergeCell ref="BD438:BF438"/>
    <mergeCell ref="BD439:BF439"/>
    <mergeCell ref="BD440:BF440"/>
    <mergeCell ref="BD441:BF441"/>
    <mergeCell ref="BD442:BF442"/>
    <mergeCell ref="BD443:BF443"/>
    <mergeCell ref="BD444:BF444"/>
    <mergeCell ref="BD445:BF445"/>
    <mergeCell ref="BD446:BF446"/>
    <mergeCell ref="BG441:BJ441"/>
    <mergeCell ref="BK441:BM441"/>
    <mergeCell ref="BG443:BJ443"/>
    <mergeCell ref="BK443:BM443"/>
    <mergeCell ref="BP453:BR453"/>
    <mergeCell ref="BS453:BU453"/>
    <mergeCell ref="BP457:BR457"/>
    <mergeCell ref="BS457:BU457"/>
    <mergeCell ref="BG462:BJ462"/>
    <mergeCell ref="BK462:BM462"/>
    <mergeCell ref="BP462:BR462"/>
    <mergeCell ref="BS462:BU462"/>
    <mergeCell ref="BK463:BM463"/>
    <mergeCell ref="BP463:BR463"/>
    <mergeCell ref="BS463:BU463"/>
    <mergeCell ref="BG463:BJ463"/>
    <mergeCell ref="BG464:BJ464"/>
    <mergeCell ref="BK464:BM464"/>
    <mergeCell ref="BP464:BR464"/>
    <mergeCell ref="BS464:BU464"/>
    <mergeCell ref="BG465:BJ465"/>
    <mergeCell ref="BK465:BM465"/>
    <mergeCell ref="BS461:BU461"/>
    <mergeCell ref="BG459:BJ459"/>
    <mergeCell ref="BG460:BJ460"/>
    <mergeCell ref="BK460:BM460"/>
    <mergeCell ref="BP467:BR467"/>
    <mergeCell ref="BS467:BU467"/>
    <mergeCell ref="BG467:BJ467"/>
    <mergeCell ref="BG468:BJ468"/>
    <mergeCell ref="BK468:BM468"/>
    <mergeCell ref="BP468:BR468"/>
    <mergeCell ref="BS468:BU468"/>
    <mergeCell ref="BG469:BJ469"/>
    <mergeCell ref="BK469:BM469"/>
    <mergeCell ref="BP470:BR470"/>
    <mergeCell ref="BP471:BR471"/>
    <mergeCell ref="BP469:BR469"/>
    <mergeCell ref="BS469:BU469"/>
    <mergeCell ref="BG470:BJ470"/>
    <mergeCell ref="BK470:BM470"/>
    <mergeCell ref="BS470:BU470"/>
    <mergeCell ref="BK471:BM471"/>
    <mergeCell ref="BS471:BU471"/>
    <mergeCell ref="BP473:BR473"/>
    <mergeCell ref="BS473:BU473"/>
    <mergeCell ref="BG471:BJ471"/>
    <mergeCell ref="BG472:BJ472"/>
    <mergeCell ref="BK472:BM472"/>
    <mergeCell ref="BP472:BR472"/>
    <mergeCell ref="BS472:BU472"/>
    <mergeCell ref="BG473:BJ473"/>
    <mergeCell ref="BK473:BM473"/>
    <mergeCell ref="BG474:BJ474"/>
    <mergeCell ref="BK474:BM474"/>
    <mergeCell ref="BP474:BR474"/>
    <mergeCell ref="BS474:BU474"/>
    <mergeCell ref="BK475:BM475"/>
    <mergeCell ref="BP475:BR475"/>
    <mergeCell ref="BS475:BU475"/>
    <mergeCell ref="BG475:BJ475"/>
    <mergeCell ref="BG476:BJ476"/>
    <mergeCell ref="BK476:BM476"/>
    <mergeCell ref="BP476:BR476"/>
    <mergeCell ref="BS476:BU476"/>
    <mergeCell ref="BG477:BJ477"/>
    <mergeCell ref="BK477:BM477"/>
    <mergeCell ref="BP478:BR478"/>
    <mergeCell ref="BP479:BR479"/>
    <mergeCell ref="BP477:BR477"/>
    <mergeCell ref="BS477:BU477"/>
    <mergeCell ref="BG478:BJ478"/>
    <mergeCell ref="BK478:BM478"/>
    <mergeCell ref="BS478:BU478"/>
    <mergeCell ref="BK479:BM479"/>
    <mergeCell ref="BS479:BU479"/>
    <mergeCell ref="BP481:BR481"/>
    <mergeCell ref="BS481:BU481"/>
    <mergeCell ref="BG479:BJ479"/>
    <mergeCell ref="BG480:BJ480"/>
    <mergeCell ref="BK480:BM480"/>
    <mergeCell ref="BP480:BR480"/>
    <mergeCell ref="BS480:BU480"/>
    <mergeCell ref="BG481:BJ481"/>
    <mergeCell ref="BK481:BM481"/>
    <mergeCell ref="BD510:BF510"/>
    <mergeCell ref="BB409:BC409"/>
    <mergeCell ref="BB413:BC413"/>
    <mergeCell ref="BD413:BF413"/>
    <mergeCell ref="BB414:BC414"/>
    <mergeCell ref="BD414:BF414"/>
    <mergeCell ref="BB415:BC415"/>
    <mergeCell ref="BD415:BF415"/>
    <mergeCell ref="BB416:BC416"/>
    <mergeCell ref="BD416:BF416"/>
    <mergeCell ref="BB417:BC417"/>
    <mergeCell ref="BD417:BF417"/>
    <mergeCell ref="BB418:BC418"/>
    <mergeCell ref="BD418:BF418"/>
    <mergeCell ref="BD419:BF419"/>
    <mergeCell ref="BB419:BC419"/>
    <mergeCell ref="BB420:BC420"/>
    <mergeCell ref="BB421:BC421"/>
    <mergeCell ref="BB422:BC422"/>
    <mergeCell ref="BD454:BF454"/>
    <mergeCell ref="BB433:BC433"/>
    <mergeCell ref="BB434:BC434"/>
    <mergeCell ref="BB435:BC435"/>
    <mergeCell ref="BB436:BC436"/>
    <mergeCell ref="BB437:BC437"/>
    <mergeCell ref="BB438:BC438"/>
    <mergeCell ref="BB439:BC439"/>
    <mergeCell ref="BB440:BC440"/>
    <mergeCell ref="BB441:BC441"/>
    <mergeCell ref="BB442:BC442"/>
    <mergeCell ref="BB443:BC443"/>
    <mergeCell ref="BB444:BC444"/>
    <mergeCell ref="BB423:BC423"/>
    <mergeCell ref="BB424:BC424"/>
    <mergeCell ref="BB425:BC425"/>
    <mergeCell ref="BD420:BF420"/>
    <mergeCell ref="BD421:BF421"/>
    <mergeCell ref="BD422:BF422"/>
    <mergeCell ref="BD423:BF423"/>
    <mergeCell ref="BD424:BF424"/>
    <mergeCell ref="BD425:BF425"/>
    <mergeCell ref="BD426:BF426"/>
    <mergeCell ref="BB426:BC426"/>
    <mergeCell ref="BB427:BC427"/>
    <mergeCell ref="BB428:BC428"/>
    <mergeCell ref="BB429:BC429"/>
    <mergeCell ref="BB430:BC430"/>
    <mergeCell ref="BB431:BC431"/>
    <mergeCell ref="BB432:BC432"/>
    <mergeCell ref="BD427:BF427"/>
    <mergeCell ref="BD428:BF428"/>
    <mergeCell ref="BD429:BF429"/>
    <mergeCell ref="BD430:BF430"/>
    <mergeCell ref="BD431:BF431"/>
    <mergeCell ref="BD432:BF432"/>
    <mergeCell ref="BB514:BC514"/>
    <mergeCell ref="BD514:BF514"/>
    <mergeCell ref="BB510:BC510"/>
    <mergeCell ref="BB511:BC511"/>
    <mergeCell ref="BD511:BF511"/>
    <mergeCell ref="BB512:BC512"/>
    <mergeCell ref="BD512:BF512"/>
    <mergeCell ref="BB513:BC513"/>
    <mergeCell ref="BD513:BF513"/>
    <mergeCell ref="BB454:BC454"/>
    <mergeCell ref="BB455:BC455"/>
    <mergeCell ref="BD455:BF455"/>
    <mergeCell ref="BB456:BC456"/>
    <mergeCell ref="BD456:BF456"/>
    <mergeCell ref="BB457:BC457"/>
    <mergeCell ref="BD457:BF457"/>
    <mergeCell ref="BB458:BC458"/>
    <mergeCell ref="BD458:BF458"/>
    <mergeCell ref="BB459:BC459"/>
    <mergeCell ref="BD459:BF459"/>
    <mergeCell ref="BB460:BC460"/>
    <mergeCell ref="BD460:BF460"/>
    <mergeCell ref="BD461:BF461"/>
    <mergeCell ref="BB461:BC461"/>
    <mergeCell ref="BB462:BC462"/>
    <mergeCell ref="BD462:BF462"/>
    <mergeCell ref="BB463:BC463"/>
    <mergeCell ref="BD463:BF463"/>
    <mergeCell ref="BB464:BC464"/>
    <mergeCell ref="BD464:BF464"/>
    <mergeCell ref="BB465:BC465"/>
    <mergeCell ref="BD465:BF465"/>
    <mergeCell ref="BB466:BC466"/>
    <mergeCell ref="BD466:BF466"/>
    <mergeCell ref="BB467:BC467"/>
    <mergeCell ref="BD467:BF467"/>
    <mergeCell ref="BD468:BF468"/>
    <mergeCell ref="BB468:BC468"/>
    <mergeCell ref="BB469:BC469"/>
    <mergeCell ref="BD469:BF469"/>
    <mergeCell ref="BB470:BC470"/>
    <mergeCell ref="BD470:BF470"/>
    <mergeCell ref="BB471:BC471"/>
    <mergeCell ref="BD471:BF471"/>
    <mergeCell ref="BB472:BC472"/>
    <mergeCell ref="BD472:BF472"/>
    <mergeCell ref="BB473:BC473"/>
    <mergeCell ref="BD473:BF473"/>
    <mergeCell ref="BB474:BC474"/>
    <mergeCell ref="BD474:BF474"/>
    <mergeCell ref="BD475:BF475"/>
    <mergeCell ref="BB475:BC475"/>
    <mergeCell ref="BB476:BC476"/>
    <mergeCell ref="BD476:BF476"/>
    <mergeCell ref="BB477:BC477"/>
    <mergeCell ref="BD477:BF477"/>
    <mergeCell ref="BB478:BC478"/>
    <mergeCell ref="BD478:BF478"/>
    <mergeCell ref="BB479:BC479"/>
    <mergeCell ref="BD479:BF479"/>
    <mergeCell ref="BB480:BC480"/>
    <mergeCell ref="BD480:BF480"/>
    <mergeCell ref="BB481:BC481"/>
    <mergeCell ref="BD481:BF481"/>
    <mergeCell ref="BD482:BF482"/>
    <mergeCell ref="BB482:BC482"/>
    <mergeCell ref="BB483:BC483"/>
    <mergeCell ref="BD483:BF483"/>
    <mergeCell ref="BB484:BC484"/>
    <mergeCell ref="BD484:BF484"/>
    <mergeCell ref="BB485:BC485"/>
    <mergeCell ref="BD485:BF485"/>
    <mergeCell ref="BB486:BC486"/>
    <mergeCell ref="BD486:BF486"/>
    <mergeCell ref="BB487:BC487"/>
    <mergeCell ref="BD487:BF487"/>
    <mergeCell ref="BB488:BC488"/>
    <mergeCell ref="BD488:BF488"/>
    <mergeCell ref="BD489:BF489"/>
    <mergeCell ref="BB489:BC489"/>
    <mergeCell ref="BB490:BC490"/>
    <mergeCell ref="BD490:BF490"/>
    <mergeCell ref="BB491:BC491"/>
    <mergeCell ref="BD491:BF491"/>
    <mergeCell ref="BB492:BC492"/>
    <mergeCell ref="BD492:BF492"/>
    <mergeCell ref="BB493:BC493"/>
    <mergeCell ref="BD493:BF493"/>
    <mergeCell ref="BB494:BC494"/>
    <mergeCell ref="BD494:BF494"/>
    <mergeCell ref="BB495:BC495"/>
    <mergeCell ref="BD495:BF495"/>
    <mergeCell ref="BD496:BF496"/>
    <mergeCell ref="BG509:BJ509"/>
    <mergeCell ref="BK509:BM509"/>
    <mergeCell ref="BP509:BR509"/>
    <mergeCell ref="BS509:BU509"/>
    <mergeCell ref="BK510:BM510"/>
    <mergeCell ref="BP510:BR510"/>
    <mergeCell ref="BS510:BU510"/>
    <mergeCell ref="BG510:BJ510"/>
    <mergeCell ref="BG511:BJ511"/>
    <mergeCell ref="BK511:BM511"/>
    <mergeCell ref="BP511:BR511"/>
    <mergeCell ref="BS511:BU511"/>
    <mergeCell ref="BP505:BR505"/>
    <mergeCell ref="BS505:BU505"/>
    <mergeCell ref="BP506:BR506"/>
    <mergeCell ref="BS506:BU506"/>
    <mergeCell ref="BP508:BR508"/>
    <mergeCell ref="BS508:BU508"/>
    <mergeCell ref="BP507:BR507"/>
    <mergeCell ref="BS507:BU507"/>
    <mergeCell ref="BB503:BC503"/>
    <mergeCell ref="BB504:BC504"/>
    <mergeCell ref="BD504:BF504"/>
    <mergeCell ref="BB505:BC505"/>
    <mergeCell ref="BD505:BF505"/>
    <mergeCell ref="BG512:BJ512"/>
    <mergeCell ref="BK512:BM512"/>
    <mergeCell ref="BB496:BC496"/>
    <mergeCell ref="BB497:BC497"/>
    <mergeCell ref="BD497:BF497"/>
    <mergeCell ref="BB498:BC498"/>
    <mergeCell ref="BD498:BF498"/>
    <mergeCell ref="BB499:BC499"/>
    <mergeCell ref="BD499:BF499"/>
    <mergeCell ref="BB500:BC500"/>
    <mergeCell ref="BD500:BF500"/>
    <mergeCell ref="BB501:BC501"/>
    <mergeCell ref="BD501:BF501"/>
    <mergeCell ref="BB502:BC502"/>
    <mergeCell ref="BD502:BF502"/>
    <mergeCell ref="BD503:BF503"/>
    <mergeCell ref="BG505:BJ505"/>
    <mergeCell ref="BK505:BM505"/>
    <mergeCell ref="BK506:BM506"/>
    <mergeCell ref="BG506:BJ506"/>
    <mergeCell ref="BG507:BJ507"/>
    <mergeCell ref="BK507:BM507"/>
    <mergeCell ref="BG508:BJ508"/>
    <mergeCell ref="BK508:BM508"/>
    <mergeCell ref="BB506:BC506"/>
    <mergeCell ref="BD506:BF506"/>
    <mergeCell ref="BB507:BC507"/>
    <mergeCell ref="BD507:BF507"/>
    <mergeCell ref="BB508:BC508"/>
    <mergeCell ref="BD508:BF508"/>
    <mergeCell ref="BB509:BC509"/>
    <mergeCell ref="BD509:BF509"/>
    <mergeCell ref="BP512:BR512"/>
    <mergeCell ref="BS512:BU512"/>
    <mergeCell ref="BG513:BJ513"/>
    <mergeCell ref="BK513:BM513"/>
    <mergeCell ref="BP513:BR513"/>
    <mergeCell ref="BS513:BU513"/>
    <mergeCell ref="BG514:BJ514"/>
    <mergeCell ref="BK514:BM514"/>
    <mergeCell ref="BP514:BR514"/>
    <mergeCell ref="BS514:BU514"/>
    <mergeCell ref="BB67:BC67"/>
    <mergeCell ref="BD67:BF67"/>
    <mergeCell ref="AS65:AY65"/>
    <mergeCell ref="BB65:BC65"/>
    <mergeCell ref="BD65:BF65"/>
    <mergeCell ref="AS66:AY66"/>
    <mergeCell ref="BB66:BC66"/>
    <mergeCell ref="BD66:BF66"/>
    <mergeCell ref="AS67:AY67"/>
    <mergeCell ref="BD111:BF111"/>
    <mergeCell ref="BD112:BF112"/>
    <mergeCell ref="BD104:BF104"/>
    <mergeCell ref="BD105:BF105"/>
    <mergeCell ref="BD106:BF106"/>
    <mergeCell ref="BD107:BF107"/>
    <mergeCell ref="BD108:BF108"/>
    <mergeCell ref="BD109:BF109"/>
    <mergeCell ref="BD110:BF110"/>
    <mergeCell ref="BB69:BC69"/>
    <mergeCell ref="BB70:BC70"/>
    <mergeCell ref="BB71:BC71"/>
    <mergeCell ref="BB72:BC72"/>
    <mergeCell ref="BB30:BC30"/>
    <mergeCell ref="BB31:BC31"/>
    <mergeCell ref="BD31:BF31"/>
    <mergeCell ref="BB24:BC24"/>
    <mergeCell ref="BB25:BC25"/>
    <mergeCell ref="BB26:BC26"/>
    <mergeCell ref="BB27:BC27"/>
    <mergeCell ref="BB28:BC28"/>
    <mergeCell ref="AS30:AY30"/>
    <mergeCell ref="AS31:AY31"/>
    <mergeCell ref="BB34:BC34"/>
    <mergeCell ref="BD34:BF34"/>
    <mergeCell ref="AS32:AY32"/>
    <mergeCell ref="BB32:BC32"/>
    <mergeCell ref="BD32:BF32"/>
    <mergeCell ref="AS33:AY33"/>
    <mergeCell ref="BB33:BC33"/>
    <mergeCell ref="BD33:BF33"/>
    <mergeCell ref="AS34:AY34"/>
    <mergeCell ref="AS28:AY28"/>
    <mergeCell ref="AS29:AY29"/>
    <mergeCell ref="BB29:BC29"/>
    <mergeCell ref="BD29:BF29"/>
    <mergeCell ref="AS26:AY26"/>
    <mergeCell ref="AS27:AY27"/>
    <mergeCell ref="AS35:AY35"/>
    <mergeCell ref="BB35:BC35"/>
    <mergeCell ref="BD35:BF35"/>
    <mergeCell ref="AS36:AY36"/>
    <mergeCell ref="BB36:BC36"/>
    <mergeCell ref="BD36:BF36"/>
    <mergeCell ref="AS37:AY37"/>
    <mergeCell ref="AS68:AY68"/>
    <mergeCell ref="BB68:BC68"/>
    <mergeCell ref="BD68:BF68"/>
    <mergeCell ref="BB46:BC46"/>
    <mergeCell ref="BD46:BF46"/>
    <mergeCell ref="AS44:AY44"/>
    <mergeCell ref="BB44:BC44"/>
    <mergeCell ref="BD44:BF44"/>
    <mergeCell ref="AS45:AY45"/>
    <mergeCell ref="BB45:BC45"/>
    <mergeCell ref="BD45:BF45"/>
    <mergeCell ref="AS46:AY46"/>
    <mergeCell ref="BB49:BC49"/>
    <mergeCell ref="BD49:BF49"/>
    <mergeCell ref="AS47:AY47"/>
    <mergeCell ref="BB47:BC47"/>
    <mergeCell ref="BD47:BF47"/>
    <mergeCell ref="AS48:AY48"/>
    <mergeCell ref="BB48:BC48"/>
    <mergeCell ref="BD48:BF48"/>
    <mergeCell ref="AS49:AY49"/>
    <mergeCell ref="BB52:BC52"/>
    <mergeCell ref="BD52:BF52"/>
    <mergeCell ref="BB53:BC53"/>
    <mergeCell ref="BD53:BF53"/>
    <mergeCell ref="AS54:AY54"/>
    <mergeCell ref="BB54:BC54"/>
    <mergeCell ref="BD54:BF54"/>
    <mergeCell ref="AS55:AY55"/>
    <mergeCell ref="BB58:BC58"/>
    <mergeCell ref="BD58:BF58"/>
    <mergeCell ref="AS56:AY56"/>
    <mergeCell ref="BB56:BC56"/>
    <mergeCell ref="BD56:BF56"/>
    <mergeCell ref="AS57:AY57"/>
    <mergeCell ref="BB57:BC57"/>
    <mergeCell ref="BD57:BF57"/>
    <mergeCell ref="AS58:AY58"/>
    <mergeCell ref="BB37:BC37"/>
    <mergeCell ref="BD37:BF37"/>
    <mergeCell ref="BP36:BR36"/>
    <mergeCell ref="BS36:BU36"/>
    <mergeCell ref="BP38:BR38"/>
    <mergeCell ref="BS38:BU38"/>
    <mergeCell ref="BG39:BJ39"/>
    <mergeCell ref="BK39:BM39"/>
    <mergeCell ref="BP43:BR43"/>
    <mergeCell ref="BS43:BU43"/>
    <mergeCell ref="BG54:BJ54"/>
    <mergeCell ref="BK54:BM54"/>
    <mergeCell ref="BP54:BR54"/>
    <mergeCell ref="BS54:BU54"/>
    <mergeCell ref="BG55:BJ55"/>
    <mergeCell ref="BK55:BM55"/>
    <mergeCell ref="BP56:BR56"/>
    <mergeCell ref="BP57:BR57"/>
    <mergeCell ref="BP55:BR55"/>
    <mergeCell ref="BP35:BR35"/>
    <mergeCell ref="BS35:BU35"/>
    <mergeCell ref="BB61:BC61"/>
    <mergeCell ref="BD61:BF61"/>
    <mergeCell ref="AS59:AY59"/>
    <mergeCell ref="BB59:BC59"/>
    <mergeCell ref="BD59:BF59"/>
    <mergeCell ref="AS60:AY60"/>
    <mergeCell ref="BB60:BC60"/>
    <mergeCell ref="BD60:BF60"/>
    <mergeCell ref="AS61:AY61"/>
    <mergeCell ref="BB64:BC64"/>
    <mergeCell ref="BD64:BF64"/>
    <mergeCell ref="AS62:AY62"/>
    <mergeCell ref="BB62:BC62"/>
    <mergeCell ref="BD62:BF62"/>
    <mergeCell ref="AS63:AY63"/>
    <mergeCell ref="BB63:BC63"/>
    <mergeCell ref="BD63:BF63"/>
    <mergeCell ref="AS64:AY64"/>
    <mergeCell ref="AS50:AY50"/>
    <mergeCell ref="BB50:BC50"/>
    <mergeCell ref="BD50:BF50"/>
    <mergeCell ref="AS51:AY51"/>
    <mergeCell ref="BB51:BC51"/>
    <mergeCell ref="BD51:BF51"/>
    <mergeCell ref="AS52:AY52"/>
    <mergeCell ref="BB55:BC55"/>
    <mergeCell ref="BD55:BF55"/>
    <mergeCell ref="AS53:AY53"/>
    <mergeCell ref="BG60:BJ60"/>
    <mergeCell ref="BK60:BM60"/>
    <mergeCell ref="BP60:BR60"/>
    <mergeCell ref="BS60:BU60"/>
    <mergeCell ref="BK61:BM61"/>
    <mergeCell ref="BP61:BR61"/>
    <mergeCell ref="BS61:BU61"/>
    <mergeCell ref="BG61:BJ61"/>
    <mergeCell ref="BG62:BJ62"/>
    <mergeCell ref="BK62:BM62"/>
    <mergeCell ref="BP62:BR62"/>
    <mergeCell ref="BS62:BU62"/>
    <mergeCell ref="BG63:BJ63"/>
    <mergeCell ref="BK63:BM63"/>
    <mergeCell ref="BK53:BM53"/>
    <mergeCell ref="BP53:BR53"/>
    <mergeCell ref="BG32:BJ32"/>
    <mergeCell ref="BK32:BM32"/>
    <mergeCell ref="BP32:BR32"/>
    <mergeCell ref="BS32:BU32"/>
    <mergeCell ref="BK33:BM33"/>
    <mergeCell ref="BP33:BR33"/>
    <mergeCell ref="BS33:BU33"/>
    <mergeCell ref="BG33:BJ33"/>
    <mergeCell ref="BG34:BJ34"/>
    <mergeCell ref="BK34:BM34"/>
    <mergeCell ref="BP34:BR34"/>
    <mergeCell ref="BS34:BU34"/>
    <mergeCell ref="BG35:BJ35"/>
    <mergeCell ref="BK35:BM35"/>
    <mergeCell ref="BG36:BJ36"/>
    <mergeCell ref="BK36:BM36"/>
    <mergeCell ref="BG38:BJ38"/>
    <mergeCell ref="BK38:BM38"/>
    <mergeCell ref="BS55:BU55"/>
    <mergeCell ref="BG56:BJ56"/>
    <mergeCell ref="BK56:BM56"/>
    <mergeCell ref="BP68:BR68"/>
    <mergeCell ref="BS68:BU68"/>
    <mergeCell ref="BG44:BJ44"/>
    <mergeCell ref="BK44:BM44"/>
    <mergeCell ref="BP44:BR44"/>
    <mergeCell ref="BS44:BU44"/>
    <mergeCell ref="BK45:BM45"/>
    <mergeCell ref="BP45:BR45"/>
    <mergeCell ref="BP58:BR58"/>
    <mergeCell ref="BS58:BU58"/>
    <mergeCell ref="BD1:BF1"/>
    <mergeCell ref="BG1:BJ1"/>
    <mergeCell ref="BK1:BM1"/>
    <mergeCell ref="BP1:BR1"/>
    <mergeCell ref="BS1:BU1"/>
    <mergeCell ref="A2:BR2"/>
    <mergeCell ref="A3:BR3"/>
    <mergeCell ref="A4:AX4"/>
    <mergeCell ref="B12:W12"/>
    <mergeCell ref="X12:AI12"/>
    <mergeCell ref="AJ12:AR12"/>
    <mergeCell ref="AS12:AY12"/>
    <mergeCell ref="A7:G8"/>
    <mergeCell ref="A9:G9"/>
    <mergeCell ref="H9:O9"/>
    <mergeCell ref="P9:S9"/>
    <mergeCell ref="B1:C1"/>
    <mergeCell ref="D1:G1"/>
    <mergeCell ref="H1:K1"/>
    <mergeCell ref="L1:N1"/>
    <mergeCell ref="O1:Q1"/>
    <mergeCell ref="R1:T1"/>
    <mergeCell ref="BS53:BU53"/>
    <mergeCell ref="BG53:BJ53"/>
    <mergeCell ref="BK37:BM37"/>
    <mergeCell ref="BP37:BR37"/>
    <mergeCell ref="BS37:BU37"/>
    <mergeCell ref="BP39:BR39"/>
    <mergeCell ref="BS39:BU39"/>
    <mergeCell ref="BG37:BJ37"/>
    <mergeCell ref="BP64:BR64"/>
    <mergeCell ref="BP65:BR65"/>
    <mergeCell ref="BP63:BR63"/>
    <mergeCell ref="BS63:BU63"/>
    <mergeCell ref="BG64:BJ64"/>
    <mergeCell ref="BK64:BM64"/>
    <mergeCell ref="BS64:BU64"/>
    <mergeCell ref="BK65:BM65"/>
    <mergeCell ref="BS65:BU65"/>
    <mergeCell ref="BG59:BJ59"/>
    <mergeCell ref="BK59:BM59"/>
    <mergeCell ref="BP51:BR51"/>
    <mergeCell ref="BS51:BU51"/>
    <mergeCell ref="BG49:BJ49"/>
    <mergeCell ref="BG50:BJ50"/>
    <mergeCell ref="BK50:BM50"/>
    <mergeCell ref="BP50:BR50"/>
    <mergeCell ref="BS50:BU50"/>
    <mergeCell ref="BG51:BJ51"/>
    <mergeCell ref="BK51:BM51"/>
    <mergeCell ref="BG52:BJ52"/>
    <mergeCell ref="BK52:BM52"/>
    <mergeCell ref="BP52:BR52"/>
    <mergeCell ref="BS52:BU52"/>
    <mergeCell ref="BS56:BU56"/>
    <mergeCell ref="BK57:BM57"/>
    <mergeCell ref="BS57:BU57"/>
    <mergeCell ref="BP59:BR59"/>
    <mergeCell ref="BS59:BU59"/>
    <mergeCell ref="BG57:BJ57"/>
    <mergeCell ref="BG58:BJ58"/>
    <mergeCell ref="BK58:BM58"/>
    <mergeCell ref="U1:W1"/>
    <mergeCell ref="AS1:AY1"/>
    <mergeCell ref="BB1:BC1"/>
    <mergeCell ref="L13:N14"/>
    <mergeCell ref="O13:Q14"/>
    <mergeCell ref="R13:T14"/>
    <mergeCell ref="U13:W14"/>
    <mergeCell ref="AJ13:AJ14"/>
    <mergeCell ref="AK13:AK14"/>
    <mergeCell ref="AL13:AL14"/>
    <mergeCell ref="AM13:AM14"/>
    <mergeCell ref="BD13:BF14"/>
    <mergeCell ref="BG13:BJ14"/>
    <mergeCell ref="BK13:BM14"/>
    <mergeCell ref="BP13:BR14"/>
    <mergeCell ref="BS13:BU14"/>
    <mergeCell ref="BS16:BU16"/>
    <mergeCell ref="BS15:BU15"/>
    <mergeCell ref="BB17:BC17"/>
    <mergeCell ref="BB18:BC18"/>
    <mergeCell ref="BG29:BJ29"/>
    <mergeCell ref="A5:G5"/>
    <mergeCell ref="H5:S5"/>
    <mergeCell ref="U5:Y5"/>
    <mergeCell ref="Z5:AL5"/>
    <mergeCell ref="U7:Y7"/>
    <mergeCell ref="U8:Y8"/>
    <mergeCell ref="U9:Y9"/>
    <mergeCell ref="A6:G6"/>
    <mergeCell ref="H6:S6"/>
    <mergeCell ref="U6:Y6"/>
    <mergeCell ref="Z6:AL6"/>
    <mergeCell ref="H7:S8"/>
    <mergeCell ref="Z7:AL7"/>
    <mergeCell ref="Z8:AL8"/>
    <mergeCell ref="BB12:BM12"/>
    <mergeCell ref="BP12:BU12"/>
    <mergeCell ref="Z9:AL9"/>
    <mergeCell ref="A10:AI10"/>
    <mergeCell ref="A11:AI11"/>
    <mergeCell ref="A13:A14"/>
    <mergeCell ref="B13:C14"/>
    <mergeCell ref="D13:G14"/>
    <mergeCell ref="B15:C15"/>
    <mergeCell ref="D15:G15"/>
    <mergeCell ref="H15:K15"/>
    <mergeCell ref="L15:N15"/>
    <mergeCell ref="O15:Q15"/>
    <mergeCell ref="R15:T15"/>
    <mergeCell ref="U15:W15"/>
    <mergeCell ref="AS16:AY16"/>
    <mergeCell ref="BB16:BC16"/>
    <mergeCell ref="BD16:BF16"/>
    <mergeCell ref="BG16:BJ16"/>
    <mergeCell ref="H13:K14"/>
    <mergeCell ref="BK16:BM16"/>
    <mergeCell ref="BP16:BR16"/>
    <mergeCell ref="BB13:BC14"/>
    <mergeCell ref="BB15:BC15"/>
    <mergeCell ref="BD15:BF15"/>
    <mergeCell ref="BG15:BJ15"/>
    <mergeCell ref="BK15:BM15"/>
    <mergeCell ref="BP15:BR15"/>
    <mergeCell ref="AN13:AN14"/>
    <mergeCell ref="AO13:AO14"/>
    <mergeCell ref="AP13:AP14"/>
    <mergeCell ref="AQ13:AQ14"/>
    <mergeCell ref="AR13:AR14"/>
    <mergeCell ref="AS13:AY14"/>
    <mergeCell ref="AS15:AY15"/>
    <mergeCell ref="B22:C22"/>
    <mergeCell ref="D22:G22"/>
    <mergeCell ref="H22:K22"/>
    <mergeCell ref="L22:N22"/>
    <mergeCell ref="O22:Q22"/>
    <mergeCell ref="R22:T22"/>
    <mergeCell ref="U22:W22"/>
    <mergeCell ref="B23:C23"/>
    <mergeCell ref="D23:G23"/>
    <mergeCell ref="H23:K23"/>
    <mergeCell ref="L23:N23"/>
    <mergeCell ref="O23:Q23"/>
    <mergeCell ref="R23:T23"/>
    <mergeCell ref="U23:W23"/>
    <mergeCell ref="BG25:BJ25"/>
    <mergeCell ref="AS21:AY21"/>
    <mergeCell ref="AS22:AY22"/>
    <mergeCell ref="AS23:AY23"/>
    <mergeCell ref="AS24:AY24"/>
    <mergeCell ref="AS25:AY25"/>
    <mergeCell ref="B24:C24"/>
    <mergeCell ref="D24:G24"/>
    <mergeCell ref="H24:K24"/>
    <mergeCell ref="L24:N24"/>
    <mergeCell ref="O24:Q24"/>
    <mergeCell ref="R24:T24"/>
    <mergeCell ref="U24:W24"/>
    <mergeCell ref="B25:C25"/>
    <mergeCell ref="D25:G25"/>
    <mergeCell ref="H25:K25"/>
    <mergeCell ref="L25:N25"/>
    <mergeCell ref="O25:Q25"/>
    <mergeCell ref="BK29:BM29"/>
    <mergeCell ref="BG21:BJ21"/>
    <mergeCell ref="BG22:BJ22"/>
    <mergeCell ref="BK22:BM22"/>
    <mergeCell ref="BG23:BJ23"/>
    <mergeCell ref="BK23:BM23"/>
    <mergeCell ref="BG24:BJ24"/>
    <mergeCell ref="BK24:BM24"/>
    <mergeCell ref="BP26:BR26"/>
    <mergeCell ref="BP27:BR27"/>
    <mergeCell ref="BP29:BR29"/>
    <mergeCell ref="BS27:BU27"/>
    <mergeCell ref="BS29:BU29"/>
    <mergeCell ref="BS22:BU22"/>
    <mergeCell ref="BS23:BU23"/>
    <mergeCell ref="BP24:BR24"/>
    <mergeCell ref="BS24:BU24"/>
    <mergeCell ref="BP25:BR25"/>
    <mergeCell ref="BS25:BU25"/>
    <mergeCell ref="BS26:BU26"/>
    <mergeCell ref="BP21:BR21"/>
    <mergeCell ref="BP22:BR22"/>
    <mergeCell ref="BP23:BR23"/>
    <mergeCell ref="R25:T25"/>
    <mergeCell ref="U25:W25"/>
    <mergeCell ref="B26:C26"/>
    <mergeCell ref="D26:G26"/>
    <mergeCell ref="H26:K26"/>
    <mergeCell ref="L26:N26"/>
    <mergeCell ref="O26:Q26"/>
    <mergeCell ref="R26:T26"/>
    <mergeCell ref="U26:W26"/>
    <mergeCell ref="B27:C27"/>
    <mergeCell ref="D27:G27"/>
    <mergeCell ref="H27:K27"/>
    <mergeCell ref="L27:N27"/>
    <mergeCell ref="O27:Q27"/>
    <mergeCell ref="R27:T27"/>
    <mergeCell ref="U27:W27"/>
    <mergeCell ref="B28:C28"/>
    <mergeCell ref="D28:G28"/>
    <mergeCell ref="H28:K28"/>
    <mergeCell ref="L28:N28"/>
    <mergeCell ref="O28:Q28"/>
    <mergeCell ref="R28:T28"/>
    <mergeCell ref="U28:W28"/>
    <mergeCell ref="B29:C29"/>
    <mergeCell ref="D29:G29"/>
    <mergeCell ref="H29:K29"/>
    <mergeCell ref="L29:N29"/>
    <mergeCell ref="O29:Q29"/>
    <mergeCell ref="R29:T29"/>
    <mergeCell ref="U29:W29"/>
    <mergeCell ref="B30:C30"/>
    <mergeCell ref="D30:G30"/>
    <mergeCell ref="H30:K30"/>
    <mergeCell ref="L30:N30"/>
    <mergeCell ref="O30:Q30"/>
    <mergeCell ref="R30:T30"/>
    <mergeCell ref="U30:W30"/>
    <mergeCell ref="B31:C31"/>
    <mergeCell ref="D31:G31"/>
    <mergeCell ref="H31:K31"/>
    <mergeCell ref="L31:N31"/>
    <mergeCell ref="O31:Q31"/>
    <mergeCell ref="R31:T31"/>
    <mergeCell ref="U31:W31"/>
    <mergeCell ref="B32:C32"/>
    <mergeCell ref="D32:G32"/>
    <mergeCell ref="H32:K32"/>
    <mergeCell ref="L32:N32"/>
    <mergeCell ref="O32:Q32"/>
    <mergeCell ref="R32:T32"/>
    <mergeCell ref="U32:W32"/>
    <mergeCell ref="B33:C33"/>
    <mergeCell ref="D33:G33"/>
    <mergeCell ref="H33:K33"/>
    <mergeCell ref="L33:N33"/>
    <mergeCell ref="O33:Q33"/>
    <mergeCell ref="R33:T33"/>
    <mergeCell ref="U33:W33"/>
    <mergeCell ref="B34:C34"/>
    <mergeCell ref="D34:G34"/>
    <mergeCell ref="H34:K34"/>
    <mergeCell ref="L34:N34"/>
    <mergeCell ref="O34:Q34"/>
    <mergeCell ref="R34:T34"/>
    <mergeCell ref="U34:W34"/>
    <mergeCell ref="B35:C35"/>
    <mergeCell ref="D35:G35"/>
    <mergeCell ref="H35:K35"/>
    <mergeCell ref="L35:N35"/>
    <mergeCell ref="O35:Q35"/>
    <mergeCell ref="R35:T35"/>
    <mergeCell ref="U35:W35"/>
    <mergeCell ref="B36:C36"/>
    <mergeCell ref="D36:G36"/>
    <mergeCell ref="H36:K36"/>
    <mergeCell ref="L36:N36"/>
    <mergeCell ref="O36:Q36"/>
    <mergeCell ref="R36:T36"/>
    <mergeCell ref="U36:W36"/>
    <mergeCell ref="B37:C37"/>
    <mergeCell ref="D37:G37"/>
    <mergeCell ref="H37:K37"/>
    <mergeCell ref="L37:N37"/>
    <mergeCell ref="O37:Q37"/>
    <mergeCell ref="R37:T37"/>
    <mergeCell ref="U37:W37"/>
    <mergeCell ref="BP17:BR17"/>
    <mergeCell ref="BP18:BR18"/>
    <mergeCell ref="BP19:BR19"/>
    <mergeCell ref="BS19:BU19"/>
    <mergeCell ref="BP20:BR20"/>
    <mergeCell ref="BS20:BU20"/>
    <mergeCell ref="BS21:BU21"/>
    <mergeCell ref="BP31:BR31"/>
    <mergeCell ref="BS31:BU31"/>
    <mergeCell ref="BD30:BF30"/>
    <mergeCell ref="BG30:BJ30"/>
    <mergeCell ref="BK30:BM30"/>
    <mergeCell ref="BP30:BR30"/>
    <mergeCell ref="BS30:BU30"/>
    <mergeCell ref="BG31:BJ31"/>
    <mergeCell ref="BK31:BM31"/>
    <mergeCell ref="AS17:AY17"/>
    <mergeCell ref="BD17:BF17"/>
    <mergeCell ref="BG17:BJ17"/>
    <mergeCell ref="BK17:BM17"/>
    <mergeCell ref="BS17:BU17"/>
    <mergeCell ref="BK18:BM18"/>
    <mergeCell ref="BS18:BU18"/>
    <mergeCell ref="AS18:AY18"/>
    <mergeCell ref="AS19:AY19"/>
    <mergeCell ref="BB19:BC19"/>
    <mergeCell ref="BD19:BF19"/>
    <mergeCell ref="AS20:AY20"/>
    <mergeCell ref="BD20:BF20"/>
    <mergeCell ref="BD21:BF21"/>
    <mergeCell ref="BD18:BF18"/>
    <mergeCell ref="BG18:BJ18"/>
    <mergeCell ref="BG19:BJ19"/>
    <mergeCell ref="BK19:BM19"/>
    <mergeCell ref="BG20:BJ20"/>
    <mergeCell ref="BK20:BM20"/>
    <mergeCell ref="BK21:BM21"/>
    <mergeCell ref="BB20:BC20"/>
    <mergeCell ref="BB21:BC21"/>
    <mergeCell ref="BB22:BC22"/>
    <mergeCell ref="BD22:BF22"/>
    <mergeCell ref="BB23:BC23"/>
    <mergeCell ref="BD23:BF23"/>
    <mergeCell ref="BD24:BF24"/>
    <mergeCell ref="BD28:BF28"/>
    <mergeCell ref="BG28:BJ28"/>
    <mergeCell ref="BK28:BM28"/>
    <mergeCell ref="BP28:BR28"/>
    <mergeCell ref="BS28:BU28"/>
    <mergeCell ref="BD25:BF25"/>
    <mergeCell ref="BD26:BF26"/>
    <mergeCell ref="BG26:BJ26"/>
    <mergeCell ref="BK26:BM26"/>
    <mergeCell ref="BD27:BF27"/>
    <mergeCell ref="BG27:BJ27"/>
    <mergeCell ref="BK27:BM27"/>
    <mergeCell ref="BK25:BM25"/>
    <mergeCell ref="BB40:BC40"/>
    <mergeCell ref="BD40:BF40"/>
    <mergeCell ref="AS38:AY38"/>
    <mergeCell ref="BB38:BC38"/>
    <mergeCell ref="BD38:BF38"/>
    <mergeCell ref="AS39:AY39"/>
    <mergeCell ref="BB39:BC39"/>
    <mergeCell ref="BD39:BF39"/>
    <mergeCell ref="AS40:AY40"/>
    <mergeCell ref="BB43:BC43"/>
    <mergeCell ref="BD43:BF43"/>
    <mergeCell ref="AS41:AY41"/>
    <mergeCell ref="BB41:BC41"/>
    <mergeCell ref="BD41:BF41"/>
    <mergeCell ref="AS42:AY42"/>
    <mergeCell ref="BB42:BC42"/>
    <mergeCell ref="BD42:BF42"/>
    <mergeCell ref="AS43:AY43"/>
    <mergeCell ref="BG40:BJ40"/>
    <mergeCell ref="BK40:BM40"/>
    <mergeCell ref="BP40:BR40"/>
    <mergeCell ref="BS40:BU40"/>
    <mergeCell ref="BK41:BM41"/>
    <mergeCell ref="BP41:BR41"/>
    <mergeCell ref="BS41:BU41"/>
    <mergeCell ref="BG41:BJ41"/>
    <mergeCell ref="BG42:BJ42"/>
    <mergeCell ref="BK42:BM42"/>
    <mergeCell ref="BP42:BR42"/>
    <mergeCell ref="BS42:BU42"/>
    <mergeCell ref="BG43:BJ43"/>
    <mergeCell ref="BK43:BM43"/>
    <mergeCell ref="BP48:BR48"/>
    <mergeCell ref="BP49:BR49"/>
    <mergeCell ref="BP47:BR47"/>
    <mergeCell ref="BS47:BU47"/>
    <mergeCell ref="BG48:BJ48"/>
    <mergeCell ref="BK48:BM48"/>
    <mergeCell ref="BS48:BU48"/>
    <mergeCell ref="BK49:BM49"/>
    <mergeCell ref="BS49:BU49"/>
    <mergeCell ref="BS45:BU45"/>
    <mergeCell ref="BG45:BJ45"/>
    <mergeCell ref="BG46:BJ46"/>
    <mergeCell ref="BK46:BM46"/>
    <mergeCell ref="BP46:BR46"/>
    <mergeCell ref="BS46:BU46"/>
    <mergeCell ref="BG47:BJ47"/>
    <mergeCell ref="BK47:BM47"/>
    <mergeCell ref="B38:C38"/>
    <mergeCell ref="D38:G38"/>
    <mergeCell ref="H38:K38"/>
    <mergeCell ref="L38:N38"/>
    <mergeCell ref="O38:Q38"/>
    <mergeCell ref="R38:T38"/>
    <mergeCell ref="U38:W38"/>
    <mergeCell ref="B39:C39"/>
    <mergeCell ref="D39:G39"/>
    <mergeCell ref="H39:K39"/>
    <mergeCell ref="L39:N39"/>
    <mergeCell ref="O39:Q39"/>
    <mergeCell ref="R39:T39"/>
    <mergeCell ref="U39:W39"/>
    <mergeCell ref="B40:C40"/>
    <mergeCell ref="D40:G40"/>
    <mergeCell ref="H40:K40"/>
    <mergeCell ref="L40:N40"/>
    <mergeCell ref="O40:Q40"/>
    <mergeCell ref="R40:T40"/>
    <mergeCell ref="U40:W40"/>
    <mergeCell ref="B41:C41"/>
    <mergeCell ref="D41:G41"/>
    <mergeCell ref="H41:K41"/>
    <mergeCell ref="L41:N41"/>
    <mergeCell ref="O41:Q41"/>
    <mergeCell ref="R41:T41"/>
    <mergeCell ref="U41:W41"/>
    <mergeCell ref="B42:C42"/>
    <mergeCell ref="D42:G42"/>
    <mergeCell ref="H42:K42"/>
    <mergeCell ref="L42:N42"/>
    <mergeCell ref="O42:Q42"/>
    <mergeCell ref="R42:T42"/>
    <mergeCell ref="U42:W42"/>
    <mergeCell ref="B43:C43"/>
    <mergeCell ref="D43:G43"/>
    <mergeCell ref="H43:K43"/>
    <mergeCell ref="L43:N43"/>
    <mergeCell ref="O43:Q43"/>
    <mergeCell ref="R43:T43"/>
    <mergeCell ref="U43:W43"/>
    <mergeCell ref="B44:C44"/>
    <mergeCell ref="D44:G44"/>
    <mergeCell ref="H44:K44"/>
    <mergeCell ref="L44:N44"/>
    <mergeCell ref="O44:Q44"/>
    <mergeCell ref="R44:T44"/>
    <mergeCell ref="U44:W44"/>
    <mergeCell ref="B45:C45"/>
    <mergeCell ref="D45:G45"/>
    <mergeCell ref="H45:K45"/>
    <mergeCell ref="L45:N45"/>
    <mergeCell ref="O45:Q45"/>
    <mergeCell ref="R45:T45"/>
    <mergeCell ref="U45:W45"/>
    <mergeCell ref="B46:C46"/>
    <mergeCell ref="D46:G46"/>
    <mergeCell ref="H46:K46"/>
    <mergeCell ref="L46:N46"/>
    <mergeCell ref="O46:Q46"/>
    <mergeCell ref="R46:T46"/>
    <mergeCell ref="U46:W46"/>
    <mergeCell ref="B47:C47"/>
    <mergeCell ref="D47:G47"/>
    <mergeCell ref="H47:K47"/>
    <mergeCell ref="L47:N47"/>
    <mergeCell ref="O47:Q47"/>
    <mergeCell ref="R47:T47"/>
    <mergeCell ref="U47:W47"/>
    <mergeCell ref="B48:C48"/>
    <mergeCell ref="D48:G48"/>
    <mergeCell ref="H48:K48"/>
    <mergeCell ref="L48:N48"/>
    <mergeCell ref="O48:Q48"/>
    <mergeCell ref="R48:T48"/>
    <mergeCell ref="U48:W48"/>
    <mergeCell ref="B49:C49"/>
    <mergeCell ref="D49:G49"/>
    <mergeCell ref="H49:K49"/>
    <mergeCell ref="L49:N49"/>
    <mergeCell ref="O49:Q49"/>
    <mergeCell ref="R49:T49"/>
    <mergeCell ref="U49:W49"/>
    <mergeCell ref="B50:C50"/>
    <mergeCell ref="D50:G50"/>
    <mergeCell ref="H50:K50"/>
    <mergeCell ref="L50:N50"/>
    <mergeCell ref="O50:Q50"/>
    <mergeCell ref="R50:T50"/>
    <mergeCell ref="U50:W50"/>
    <mergeCell ref="B51:C51"/>
    <mergeCell ref="D51:G51"/>
    <mergeCell ref="H51:K51"/>
    <mergeCell ref="L51:N51"/>
    <mergeCell ref="O51:Q51"/>
    <mergeCell ref="R51:T51"/>
    <mergeCell ref="U51:W51"/>
    <mergeCell ref="B52:C52"/>
    <mergeCell ref="D52:G52"/>
    <mergeCell ref="H52:K52"/>
    <mergeCell ref="L52:N52"/>
    <mergeCell ref="O52:Q52"/>
    <mergeCell ref="R52:T52"/>
    <mergeCell ref="U52:W52"/>
    <mergeCell ref="B53:C53"/>
    <mergeCell ref="D53:G53"/>
    <mergeCell ref="H53:K53"/>
    <mergeCell ref="L53:N53"/>
    <mergeCell ref="O53:Q53"/>
    <mergeCell ref="R53:T53"/>
    <mergeCell ref="U53:W53"/>
    <mergeCell ref="B54:C54"/>
    <mergeCell ref="D54:G54"/>
    <mergeCell ref="H54:K54"/>
    <mergeCell ref="L54:N54"/>
    <mergeCell ref="O54:Q54"/>
    <mergeCell ref="R54:T54"/>
    <mergeCell ref="U54:W54"/>
    <mergeCell ref="B55:C55"/>
    <mergeCell ref="D55:G55"/>
    <mergeCell ref="H55:K55"/>
    <mergeCell ref="L55:N55"/>
    <mergeCell ref="O55:Q55"/>
    <mergeCell ref="R55:T55"/>
    <mergeCell ref="U55:W55"/>
    <mergeCell ref="B56:C56"/>
    <mergeCell ref="D56:G56"/>
    <mergeCell ref="H56:K56"/>
    <mergeCell ref="L56:N56"/>
    <mergeCell ref="O56:Q56"/>
    <mergeCell ref="R56:T56"/>
    <mergeCell ref="U56:W56"/>
    <mergeCell ref="B57:C57"/>
    <mergeCell ref="D57:G57"/>
    <mergeCell ref="H57:K57"/>
    <mergeCell ref="L57:N57"/>
    <mergeCell ref="O57:Q57"/>
    <mergeCell ref="R57:T57"/>
    <mergeCell ref="U57:W57"/>
    <mergeCell ref="B58:C58"/>
    <mergeCell ref="D58:G58"/>
    <mergeCell ref="H58:K58"/>
    <mergeCell ref="L58:N58"/>
    <mergeCell ref="O58:Q58"/>
    <mergeCell ref="R58:T58"/>
    <mergeCell ref="U58:W58"/>
    <mergeCell ref="B59:C59"/>
    <mergeCell ref="D59:G59"/>
    <mergeCell ref="H59:K59"/>
    <mergeCell ref="L59:N59"/>
    <mergeCell ref="O59:Q59"/>
    <mergeCell ref="R59:T59"/>
    <mergeCell ref="U59:W59"/>
    <mergeCell ref="B60:C60"/>
    <mergeCell ref="D60:G60"/>
    <mergeCell ref="H60:K60"/>
    <mergeCell ref="L60:N60"/>
    <mergeCell ref="O60:Q60"/>
    <mergeCell ref="R60:T60"/>
    <mergeCell ref="U60:W60"/>
    <mergeCell ref="B61:C61"/>
    <mergeCell ref="D61:G61"/>
    <mergeCell ref="H61:K61"/>
    <mergeCell ref="L61:N61"/>
    <mergeCell ref="O61:Q61"/>
    <mergeCell ref="R61:T61"/>
    <mergeCell ref="U61:W61"/>
    <mergeCell ref="B62:C62"/>
    <mergeCell ref="D62:G62"/>
    <mergeCell ref="H62:K62"/>
    <mergeCell ref="L62:N62"/>
    <mergeCell ref="O62:Q62"/>
    <mergeCell ref="R62:T62"/>
    <mergeCell ref="U62:W62"/>
    <mergeCell ref="B63:C63"/>
    <mergeCell ref="D63:G63"/>
    <mergeCell ref="H63:K63"/>
    <mergeCell ref="L63:N63"/>
    <mergeCell ref="O63:Q63"/>
    <mergeCell ref="R63:T63"/>
    <mergeCell ref="U63:W63"/>
    <mergeCell ref="B64:C64"/>
    <mergeCell ref="D64:G64"/>
    <mergeCell ref="H64:K64"/>
    <mergeCell ref="L64:N64"/>
    <mergeCell ref="O64:Q64"/>
    <mergeCell ref="R64:T64"/>
    <mergeCell ref="U64:W64"/>
    <mergeCell ref="B65:C65"/>
    <mergeCell ref="D65:G65"/>
    <mergeCell ref="H65:K65"/>
    <mergeCell ref="L65:N65"/>
    <mergeCell ref="O65:Q65"/>
    <mergeCell ref="R65:T65"/>
    <mergeCell ref="U65:W65"/>
    <mergeCell ref="B66:C66"/>
    <mergeCell ref="D66:G66"/>
    <mergeCell ref="H66:K66"/>
    <mergeCell ref="L66:N66"/>
    <mergeCell ref="O66:Q66"/>
    <mergeCell ref="R66:T66"/>
    <mergeCell ref="U66:W66"/>
    <mergeCell ref="B67:C67"/>
    <mergeCell ref="D67:G67"/>
    <mergeCell ref="H67:K67"/>
    <mergeCell ref="L67:N67"/>
    <mergeCell ref="O67:Q67"/>
    <mergeCell ref="R67:T67"/>
    <mergeCell ref="U67:W67"/>
    <mergeCell ref="B68:C68"/>
    <mergeCell ref="D68:G68"/>
    <mergeCell ref="H68:K68"/>
    <mergeCell ref="L68:N68"/>
    <mergeCell ref="O68:Q68"/>
    <mergeCell ref="R68:T68"/>
    <mergeCell ref="U68:W68"/>
    <mergeCell ref="B69:C69"/>
    <mergeCell ref="D69:G69"/>
    <mergeCell ref="H69:K69"/>
    <mergeCell ref="L69:N69"/>
    <mergeCell ref="O69:Q69"/>
    <mergeCell ref="R69:T69"/>
    <mergeCell ref="U69:W69"/>
    <mergeCell ref="B70:C70"/>
    <mergeCell ref="D70:G70"/>
    <mergeCell ref="H70:K70"/>
    <mergeCell ref="L70:N70"/>
    <mergeCell ref="O70:Q70"/>
    <mergeCell ref="R70:T70"/>
    <mergeCell ref="U70:W70"/>
    <mergeCell ref="B71:C71"/>
    <mergeCell ref="D71:G71"/>
    <mergeCell ref="H71:K71"/>
    <mergeCell ref="L71:N71"/>
    <mergeCell ref="O71:Q71"/>
    <mergeCell ref="R71:T71"/>
    <mergeCell ref="U71:W71"/>
    <mergeCell ref="B72:C72"/>
    <mergeCell ref="D72:G72"/>
    <mergeCell ref="H72:K72"/>
    <mergeCell ref="L72:N72"/>
    <mergeCell ref="O72:Q72"/>
    <mergeCell ref="R72:T72"/>
    <mergeCell ref="U72:W72"/>
    <mergeCell ref="B73:C73"/>
    <mergeCell ref="D73:G73"/>
    <mergeCell ref="H73:K73"/>
    <mergeCell ref="L73:N73"/>
    <mergeCell ref="O73:Q73"/>
    <mergeCell ref="R73:T73"/>
    <mergeCell ref="U73:W73"/>
    <mergeCell ref="B74:C74"/>
    <mergeCell ref="D74:G74"/>
    <mergeCell ref="H74:K74"/>
    <mergeCell ref="L74:N74"/>
    <mergeCell ref="O74:Q74"/>
    <mergeCell ref="R74:T74"/>
    <mergeCell ref="U74:W74"/>
    <mergeCell ref="B75:C75"/>
    <mergeCell ref="D75:G75"/>
    <mergeCell ref="H75:K75"/>
    <mergeCell ref="L75:N75"/>
    <mergeCell ref="O75:Q75"/>
    <mergeCell ref="R75:T75"/>
    <mergeCell ref="U75:W75"/>
    <mergeCell ref="B76:C76"/>
    <mergeCell ref="D76:G76"/>
    <mergeCell ref="H76:K76"/>
    <mergeCell ref="L76:N76"/>
    <mergeCell ref="O76:Q76"/>
    <mergeCell ref="R76:T76"/>
    <mergeCell ref="U76:W76"/>
    <mergeCell ref="B77:C77"/>
    <mergeCell ref="D77:G77"/>
    <mergeCell ref="H77:K77"/>
    <mergeCell ref="L77:N77"/>
    <mergeCell ref="O77:Q77"/>
    <mergeCell ref="R77:T77"/>
    <mergeCell ref="U77:W77"/>
    <mergeCell ref="B78:C78"/>
    <mergeCell ref="D78:G78"/>
    <mergeCell ref="H78:K78"/>
    <mergeCell ref="L78:N78"/>
    <mergeCell ref="O78:Q78"/>
    <mergeCell ref="R78:T78"/>
    <mergeCell ref="U78:W78"/>
    <mergeCell ref="B79:C79"/>
    <mergeCell ref="D79:G79"/>
    <mergeCell ref="H79:K79"/>
    <mergeCell ref="L79:N79"/>
    <mergeCell ref="O79:Q79"/>
    <mergeCell ref="R79:T79"/>
    <mergeCell ref="U79:W79"/>
    <mergeCell ref="BB81:BC81"/>
    <mergeCell ref="BB82:BC82"/>
    <mergeCell ref="BB83:BC83"/>
    <mergeCell ref="BB84:BC84"/>
    <mergeCell ref="BB85:BC85"/>
    <mergeCell ref="BB86:BC86"/>
    <mergeCell ref="BB87:BC87"/>
    <mergeCell ref="BB88:BC88"/>
    <mergeCell ref="BB89:BC89"/>
    <mergeCell ref="BB90:BC90"/>
    <mergeCell ref="BB91:BC91"/>
    <mergeCell ref="BB92:BC92"/>
    <mergeCell ref="BB93:BC93"/>
    <mergeCell ref="BB94:BC94"/>
    <mergeCell ref="BB112:BC112"/>
    <mergeCell ref="BB103:BC103"/>
    <mergeCell ref="BB104:BC104"/>
    <mergeCell ref="BB105:BC105"/>
    <mergeCell ref="BB106:BC106"/>
    <mergeCell ref="BB107:BC107"/>
    <mergeCell ref="BB108:BC108"/>
    <mergeCell ref="BB109:BC109"/>
    <mergeCell ref="BB97:BC97"/>
    <mergeCell ref="BB98:BC98"/>
    <mergeCell ref="AS179:AY179"/>
    <mergeCell ref="BD179:BF179"/>
    <mergeCell ref="AS150:AY150"/>
    <mergeCell ref="AS151:AY151"/>
    <mergeCell ref="AS152:AY152"/>
    <mergeCell ref="AS153:AY153"/>
    <mergeCell ref="AS154:AY154"/>
    <mergeCell ref="AS155:AY155"/>
    <mergeCell ref="AS156:AY156"/>
    <mergeCell ref="AS157:AY157"/>
    <mergeCell ref="AS158:AY158"/>
    <mergeCell ref="AS159:AY159"/>
    <mergeCell ref="AS160:AY160"/>
    <mergeCell ref="AS161:AY161"/>
    <mergeCell ref="BB133:BC133"/>
    <mergeCell ref="BB134:BC134"/>
    <mergeCell ref="BD140:BF140"/>
    <mergeCell ref="AS133:AY133"/>
    <mergeCell ref="BD133:BF133"/>
    <mergeCell ref="AS141:AY141"/>
    <mergeCell ref="AS142:AY142"/>
    <mergeCell ref="AS143:AY143"/>
    <mergeCell ref="AS144:AY144"/>
    <mergeCell ref="BD177:BF177"/>
    <mergeCell ref="BD145:BF145"/>
    <mergeCell ref="BD172:BF172"/>
    <mergeCell ref="BD182:BF182"/>
    <mergeCell ref="BB179:BC179"/>
    <mergeCell ref="BB180:BC180"/>
    <mergeCell ref="AS181:AY181"/>
    <mergeCell ref="BD181:BF181"/>
    <mergeCell ref="AS182:AY182"/>
    <mergeCell ref="BB157:BC157"/>
    <mergeCell ref="BD157:BF157"/>
    <mergeCell ref="BD162:BF162"/>
    <mergeCell ref="BB171:BC171"/>
    <mergeCell ref="BB172:BC172"/>
    <mergeCell ref="AS173:AY173"/>
    <mergeCell ref="BD173:BF173"/>
    <mergeCell ref="BG162:BJ162"/>
    <mergeCell ref="BK162:BM162"/>
    <mergeCell ref="BB164:BC164"/>
    <mergeCell ref="BD164:BF164"/>
    <mergeCell ref="BG164:BJ164"/>
    <mergeCell ref="BK164:BM164"/>
    <mergeCell ref="AS162:AY162"/>
    <mergeCell ref="AS163:AY163"/>
    <mergeCell ref="BB163:BC163"/>
    <mergeCell ref="BD163:BF163"/>
    <mergeCell ref="BG163:BJ163"/>
    <mergeCell ref="BK163:BM163"/>
    <mergeCell ref="AS164:AY164"/>
    <mergeCell ref="BK176:BM176"/>
    <mergeCell ref="BD178:BF178"/>
    <mergeCell ref="BG178:BJ178"/>
    <mergeCell ref="BB175:BC175"/>
    <mergeCell ref="BB176:BC176"/>
    <mergeCell ref="AS177:AY177"/>
    <mergeCell ref="BB183:BC183"/>
    <mergeCell ref="BB184:BC184"/>
    <mergeCell ref="BD166:BF166"/>
    <mergeCell ref="BG166:BJ166"/>
    <mergeCell ref="AS165:AY165"/>
    <mergeCell ref="BB165:BC165"/>
    <mergeCell ref="BD165:BF165"/>
    <mergeCell ref="BG165:BJ165"/>
    <mergeCell ref="BK165:BM165"/>
    <mergeCell ref="BB166:BC166"/>
    <mergeCell ref="BK166:BM166"/>
    <mergeCell ref="BD171:BF171"/>
    <mergeCell ref="BG171:BJ171"/>
    <mergeCell ref="BK171:BM171"/>
    <mergeCell ref="AS172:AY172"/>
    <mergeCell ref="BK172:BM172"/>
    <mergeCell ref="BD174:BF174"/>
    <mergeCell ref="BK181:BM181"/>
    <mergeCell ref="BG174:BJ174"/>
    <mergeCell ref="BG173:BJ173"/>
    <mergeCell ref="BK173:BM173"/>
    <mergeCell ref="AS174:AY174"/>
    <mergeCell ref="BK174:BM174"/>
    <mergeCell ref="BD176:BF176"/>
    <mergeCell ref="BG176:BJ176"/>
    <mergeCell ref="BB173:BC173"/>
    <mergeCell ref="BB174:BC174"/>
    <mergeCell ref="AS175:AY175"/>
    <mergeCell ref="BD175:BF175"/>
    <mergeCell ref="BG175:BJ175"/>
    <mergeCell ref="BK175:BM175"/>
    <mergeCell ref="AS176:AY176"/>
    <mergeCell ref="BD185:BF185"/>
    <mergeCell ref="BG185:BJ185"/>
    <mergeCell ref="BK185:BM185"/>
    <mergeCell ref="AS119:AY119"/>
    <mergeCell ref="AS120:AY120"/>
    <mergeCell ref="AS121:AY121"/>
    <mergeCell ref="AS122:AY122"/>
    <mergeCell ref="AS123:AY123"/>
    <mergeCell ref="AS124:AY124"/>
    <mergeCell ref="AS125:AY125"/>
    <mergeCell ref="BK129:BM129"/>
    <mergeCell ref="BP129:BR129"/>
    <mergeCell ref="BS129:BU129"/>
    <mergeCell ref="BB129:BC129"/>
    <mergeCell ref="BB130:BC130"/>
    <mergeCell ref="BD130:BF130"/>
    <mergeCell ref="BG130:BJ130"/>
    <mergeCell ref="BK130:BM130"/>
    <mergeCell ref="BP130:BR130"/>
    <mergeCell ref="BS130:BU130"/>
    <mergeCell ref="AS126:AY126"/>
    <mergeCell ref="AS127:AY127"/>
    <mergeCell ref="AS128:AY128"/>
    <mergeCell ref="AS129:AY129"/>
    <mergeCell ref="BD129:BF129"/>
    <mergeCell ref="BG129:BJ129"/>
    <mergeCell ref="AS130:AY130"/>
    <mergeCell ref="BP131:BR131"/>
    <mergeCell ref="BP132:BR132"/>
    <mergeCell ref="BP133:BR133"/>
    <mergeCell ref="BB162:BC162"/>
    <mergeCell ref="BS133:BU133"/>
    <mergeCell ref="BG140:BJ140"/>
    <mergeCell ref="BP139:BR139"/>
    <mergeCell ref="BP140:BR140"/>
    <mergeCell ref="AS139:AY139"/>
    <mergeCell ref="BD139:BF139"/>
    <mergeCell ref="BG139:BJ139"/>
    <mergeCell ref="BK139:BM139"/>
    <mergeCell ref="BS139:BU139"/>
    <mergeCell ref="AS140:AY140"/>
    <mergeCell ref="BK140:BM140"/>
    <mergeCell ref="BS140:BU140"/>
    <mergeCell ref="BD134:BF134"/>
    <mergeCell ref="BG134:BJ134"/>
    <mergeCell ref="BG135:BJ135"/>
    <mergeCell ref="BK135:BM135"/>
    <mergeCell ref="BP135:BR135"/>
    <mergeCell ref="BS135:BU135"/>
    <mergeCell ref="BB139:BC139"/>
    <mergeCell ref="BB140:BC140"/>
    <mergeCell ref="BG133:BJ133"/>
    <mergeCell ref="BK133:BM133"/>
    <mergeCell ref="BK134:BM134"/>
    <mergeCell ref="BG136:BJ136"/>
    <mergeCell ref="BK136:BM136"/>
    <mergeCell ref="BP136:BR136"/>
    <mergeCell ref="BS136:BU136"/>
    <mergeCell ref="BB136:BC136"/>
    <mergeCell ref="BB137:BC137"/>
    <mergeCell ref="BG137:BJ137"/>
    <mergeCell ref="BK137:BM137"/>
    <mergeCell ref="BP137:BR137"/>
    <mergeCell ref="BS137:BU137"/>
    <mergeCell ref="AS137:AY137"/>
    <mergeCell ref="AS138:AY138"/>
    <mergeCell ref="BB138:BC138"/>
    <mergeCell ref="BD138:BF138"/>
    <mergeCell ref="BG138:BJ138"/>
    <mergeCell ref="BK138:BM138"/>
    <mergeCell ref="BP138:BR138"/>
    <mergeCell ref="BS138:BU138"/>
    <mergeCell ref="AS134:AY134"/>
    <mergeCell ref="AS135:AY135"/>
    <mergeCell ref="BB135:BC135"/>
    <mergeCell ref="BD135:BF135"/>
    <mergeCell ref="AS136:AY136"/>
    <mergeCell ref="BD136:BF136"/>
    <mergeCell ref="BD137:BF137"/>
    <mergeCell ref="BP134:BR134"/>
    <mergeCell ref="BS134:BU134"/>
    <mergeCell ref="BD146:BF146"/>
    <mergeCell ref="BG146:BJ146"/>
    <mergeCell ref="BK146:BM146"/>
    <mergeCell ref="BG147:BJ147"/>
    <mergeCell ref="BK147:BM147"/>
    <mergeCell ref="BB141:BC141"/>
    <mergeCell ref="BB142:BC142"/>
    <mergeCell ref="BB143:BC143"/>
    <mergeCell ref="BD143:BF143"/>
    <mergeCell ref="BG143:BJ143"/>
    <mergeCell ref="BK143:BM143"/>
    <mergeCell ref="BP143:BR143"/>
    <mergeCell ref="BS143:BU143"/>
    <mergeCell ref="BD142:BF142"/>
    <mergeCell ref="BG142:BJ142"/>
    <mergeCell ref="BP142:BR142"/>
    <mergeCell ref="BS142:BU142"/>
    <mergeCell ref="BD141:BF141"/>
    <mergeCell ref="BG141:BJ141"/>
    <mergeCell ref="BK141:BM141"/>
    <mergeCell ref="BK142:BM142"/>
    <mergeCell ref="BD144:BF144"/>
    <mergeCell ref="BG144:BJ144"/>
    <mergeCell ref="BK144:BM144"/>
    <mergeCell ref="BK145:BM145"/>
    <mergeCell ref="BP147:BR147"/>
    <mergeCell ref="BP148:BR148"/>
    <mergeCell ref="BK149:BM149"/>
    <mergeCell ref="BP149:BR149"/>
    <mergeCell ref="BP141:BR141"/>
    <mergeCell ref="AS145:AY145"/>
    <mergeCell ref="AS146:AY146"/>
    <mergeCell ref="AS147:AY147"/>
    <mergeCell ref="AS148:AY148"/>
    <mergeCell ref="AS149:AY149"/>
    <mergeCell ref="BP150:BR150"/>
    <mergeCell ref="BS150:BU150"/>
    <mergeCell ref="BP151:BR151"/>
    <mergeCell ref="BS151:BU151"/>
    <mergeCell ref="BB152:BC152"/>
    <mergeCell ref="BD152:BF152"/>
    <mergeCell ref="BG152:BJ152"/>
    <mergeCell ref="BK152:BM152"/>
    <mergeCell ref="BP152:BR152"/>
    <mergeCell ref="BS152:BU152"/>
    <mergeCell ref="BB144:BC144"/>
    <mergeCell ref="BB145:BC145"/>
    <mergeCell ref="BB146:BC146"/>
    <mergeCell ref="BB147:BC147"/>
    <mergeCell ref="BB148:BC148"/>
    <mergeCell ref="BD149:BF149"/>
    <mergeCell ref="BG149:BJ149"/>
    <mergeCell ref="BS141:BU141"/>
    <mergeCell ref="BD147:BF147"/>
    <mergeCell ref="BD148:BF148"/>
    <mergeCell ref="BG148:BJ148"/>
    <mergeCell ref="BK148:BM148"/>
    <mergeCell ref="BG145:BJ145"/>
    <mergeCell ref="B80:C80"/>
    <mergeCell ref="D80:G80"/>
    <mergeCell ref="H80:K80"/>
    <mergeCell ref="L80:N80"/>
    <mergeCell ref="O80:Q80"/>
    <mergeCell ref="R80:T80"/>
    <mergeCell ref="U80:W80"/>
    <mergeCell ref="B81:C81"/>
    <mergeCell ref="D81:G81"/>
    <mergeCell ref="H81:K81"/>
    <mergeCell ref="L81:N81"/>
    <mergeCell ref="O81:Q81"/>
    <mergeCell ref="R81:T81"/>
    <mergeCell ref="U81:W81"/>
    <mergeCell ref="B82:C82"/>
    <mergeCell ref="D82:G82"/>
    <mergeCell ref="H82:K82"/>
    <mergeCell ref="L82:N82"/>
    <mergeCell ref="O82:Q82"/>
    <mergeCell ref="R82:T82"/>
    <mergeCell ref="U82:W82"/>
    <mergeCell ref="B83:C83"/>
    <mergeCell ref="D83:G83"/>
    <mergeCell ref="H83:K83"/>
    <mergeCell ref="L83:N83"/>
    <mergeCell ref="O83:Q83"/>
    <mergeCell ref="R83:T83"/>
    <mergeCell ref="U83:W83"/>
    <mergeCell ref="B84:C84"/>
    <mergeCell ref="D84:G84"/>
    <mergeCell ref="H84:K84"/>
    <mergeCell ref="L84:N84"/>
    <mergeCell ref="O84:Q84"/>
    <mergeCell ref="R84:T84"/>
    <mergeCell ref="U84:W84"/>
    <mergeCell ref="B85:C85"/>
    <mergeCell ref="D85:G85"/>
    <mergeCell ref="H85:K85"/>
    <mergeCell ref="L85:N85"/>
    <mergeCell ref="O85:Q85"/>
    <mergeCell ref="R85:T85"/>
    <mergeCell ref="U85:W85"/>
    <mergeCell ref="B86:C86"/>
    <mergeCell ref="D86:G86"/>
    <mergeCell ref="H86:K86"/>
    <mergeCell ref="L86:N86"/>
    <mergeCell ref="O86:Q86"/>
    <mergeCell ref="R86:T86"/>
    <mergeCell ref="U86:W86"/>
    <mergeCell ref="B87:C87"/>
    <mergeCell ref="D87:G87"/>
    <mergeCell ref="H87:K87"/>
    <mergeCell ref="L87:N87"/>
    <mergeCell ref="O87:Q87"/>
    <mergeCell ref="R87:T87"/>
    <mergeCell ref="U87:W87"/>
    <mergeCell ref="B88:C88"/>
    <mergeCell ref="D88:G88"/>
    <mergeCell ref="H88:K88"/>
    <mergeCell ref="L88:N88"/>
    <mergeCell ref="O88:Q88"/>
    <mergeCell ref="R88:T88"/>
    <mergeCell ref="U88:W88"/>
    <mergeCell ref="B89:C89"/>
    <mergeCell ref="D89:G89"/>
    <mergeCell ref="H89:K89"/>
    <mergeCell ref="L89:N89"/>
    <mergeCell ref="O89:Q89"/>
    <mergeCell ref="R89:T89"/>
    <mergeCell ref="U89:W89"/>
    <mergeCell ref="B90:C90"/>
    <mergeCell ref="D90:G90"/>
    <mergeCell ref="H90:K90"/>
    <mergeCell ref="L90:N90"/>
    <mergeCell ref="O90:Q90"/>
    <mergeCell ref="R90:T90"/>
    <mergeCell ref="U90:W90"/>
    <mergeCell ref="B91:C91"/>
    <mergeCell ref="D91:G91"/>
    <mergeCell ref="H91:K91"/>
    <mergeCell ref="L91:N91"/>
    <mergeCell ref="O91:Q91"/>
    <mergeCell ref="R91:T91"/>
    <mergeCell ref="U91:W91"/>
    <mergeCell ref="B92:C92"/>
    <mergeCell ref="D92:G92"/>
    <mergeCell ref="H92:K92"/>
    <mergeCell ref="L92:N92"/>
    <mergeCell ref="O92:Q92"/>
    <mergeCell ref="R92:T92"/>
    <mergeCell ref="U92:W92"/>
    <mergeCell ref="B93:C93"/>
    <mergeCell ref="D93:G93"/>
    <mergeCell ref="H93:K93"/>
    <mergeCell ref="L93:N93"/>
    <mergeCell ref="O93:Q93"/>
    <mergeCell ref="R93:T93"/>
    <mergeCell ref="U93:W93"/>
    <mergeCell ref="B94:C94"/>
    <mergeCell ref="D94:G94"/>
    <mergeCell ref="H94:K94"/>
    <mergeCell ref="L94:N94"/>
    <mergeCell ref="O94:Q94"/>
    <mergeCell ref="R94:T94"/>
    <mergeCell ref="U94:W94"/>
    <mergeCell ref="B95:C95"/>
    <mergeCell ref="D95:G95"/>
    <mergeCell ref="H95:K95"/>
    <mergeCell ref="L95:N95"/>
    <mergeCell ref="O95:Q95"/>
    <mergeCell ref="R95:T95"/>
    <mergeCell ref="U95:W95"/>
    <mergeCell ref="B96:C96"/>
    <mergeCell ref="D96:G96"/>
    <mergeCell ref="H96:K96"/>
    <mergeCell ref="L96:N96"/>
    <mergeCell ref="O96:Q96"/>
    <mergeCell ref="R96:T96"/>
    <mergeCell ref="U96:W96"/>
    <mergeCell ref="B97:C97"/>
    <mergeCell ref="D97:G97"/>
    <mergeCell ref="H97:K97"/>
    <mergeCell ref="L97:N97"/>
    <mergeCell ref="O97:Q97"/>
    <mergeCell ref="R97:T97"/>
    <mergeCell ref="U97:W97"/>
    <mergeCell ref="B98:C98"/>
    <mergeCell ref="D98:G98"/>
    <mergeCell ref="H98:K98"/>
    <mergeCell ref="L98:N98"/>
    <mergeCell ref="O98:Q98"/>
    <mergeCell ref="R98:T98"/>
    <mergeCell ref="U98:W98"/>
    <mergeCell ref="B99:C99"/>
    <mergeCell ref="D99:G99"/>
    <mergeCell ref="H99:K99"/>
    <mergeCell ref="L99:N99"/>
    <mergeCell ref="O99:Q99"/>
    <mergeCell ref="R99:T99"/>
    <mergeCell ref="U99:W99"/>
    <mergeCell ref="B100:C100"/>
    <mergeCell ref="D100:G100"/>
    <mergeCell ref="H100:K100"/>
    <mergeCell ref="L100:N100"/>
    <mergeCell ref="O100:Q100"/>
    <mergeCell ref="R100:T100"/>
    <mergeCell ref="U100:W100"/>
    <mergeCell ref="B101:C101"/>
    <mergeCell ref="D101:G101"/>
    <mergeCell ref="H101:K101"/>
    <mergeCell ref="L101:N101"/>
    <mergeCell ref="O101:Q101"/>
    <mergeCell ref="R101:T101"/>
    <mergeCell ref="U101:W101"/>
    <mergeCell ref="B102:C102"/>
    <mergeCell ref="D102:G102"/>
    <mergeCell ref="H102:K102"/>
    <mergeCell ref="L102:N102"/>
    <mergeCell ref="O102:Q102"/>
    <mergeCell ref="R102:T102"/>
    <mergeCell ref="U102:W102"/>
    <mergeCell ref="B103:C103"/>
    <mergeCell ref="D103:G103"/>
    <mergeCell ref="H103:K103"/>
    <mergeCell ref="L103:N103"/>
    <mergeCell ref="O103:Q103"/>
    <mergeCell ref="R103:T103"/>
    <mergeCell ref="U103:W103"/>
    <mergeCell ref="B104:C104"/>
    <mergeCell ref="D104:G104"/>
    <mergeCell ref="H104:K104"/>
    <mergeCell ref="L104:N104"/>
    <mergeCell ref="O104:Q104"/>
    <mergeCell ref="R104:T104"/>
    <mergeCell ref="U104:W104"/>
    <mergeCell ref="B105:C105"/>
    <mergeCell ref="D105:G105"/>
    <mergeCell ref="H105:K105"/>
    <mergeCell ref="L105:N105"/>
    <mergeCell ref="O105:Q105"/>
    <mergeCell ref="R105:T105"/>
    <mergeCell ref="U105:W105"/>
    <mergeCell ref="B106:C106"/>
    <mergeCell ref="D106:G106"/>
    <mergeCell ref="H106:K106"/>
    <mergeCell ref="L106:N106"/>
    <mergeCell ref="O106:Q106"/>
    <mergeCell ref="R106:T106"/>
    <mergeCell ref="U106:W106"/>
    <mergeCell ref="B107:C107"/>
    <mergeCell ref="D107:G107"/>
    <mergeCell ref="H107:K107"/>
    <mergeCell ref="L107:N107"/>
    <mergeCell ref="O107:Q107"/>
    <mergeCell ref="R107:T107"/>
    <mergeCell ref="U107:W107"/>
    <mergeCell ref="B108:C108"/>
    <mergeCell ref="D108:G108"/>
    <mergeCell ref="H108:K108"/>
    <mergeCell ref="L108:N108"/>
    <mergeCell ref="O108:Q108"/>
    <mergeCell ref="R108:T108"/>
    <mergeCell ref="U108:W108"/>
    <mergeCell ref="B109:C109"/>
    <mergeCell ref="D109:G109"/>
    <mergeCell ref="H109:K109"/>
    <mergeCell ref="L109:N109"/>
    <mergeCell ref="O109:Q109"/>
    <mergeCell ref="R109:T109"/>
    <mergeCell ref="U109:W109"/>
    <mergeCell ref="B110:C110"/>
    <mergeCell ref="D110:G110"/>
    <mergeCell ref="H110:K110"/>
    <mergeCell ref="L110:N110"/>
    <mergeCell ref="O110:Q110"/>
    <mergeCell ref="R110:T110"/>
    <mergeCell ref="U110:W110"/>
    <mergeCell ref="B111:C111"/>
    <mergeCell ref="D111:G111"/>
    <mergeCell ref="H111:K111"/>
    <mergeCell ref="L111:N111"/>
    <mergeCell ref="O111:Q111"/>
    <mergeCell ref="R111:T111"/>
    <mergeCell ref="U111:W111"/>
    <mergeCell ref="B112:C112"/>
    <mergeCell ref="D112:G112"/>
    <mergeCell ref="H112:K112"/>
    <mergeCell ref="L112:N112"/>
    <mergeCell ref="O112:Q112"/>
    <mergeCell ref="R112:T112"/>
    <mergeCell ref="U112:W112"/>
    <mergeCell ref="B113:C113"/>
    <mergeCell ref="D113:G113"/>
    <mergeCell ref="H113:K113"/>
    <mergeCell ref="L113:N113"/>
    <mergeCell ref="O113:Q113"/>
    <mergeCell ref="R113:T113"/>
    <mergeCell ref="U113:W113"/>
    <mergeCell ref="B114:C114"/>
    <mergeCell ref="D114:G114"/>
    <mergeCell ref="H114:K114"/>
    <mergeCell ref="L114:N114"/>
    <mergeCell ref="O114:Q114"/>
    <mergeCell ref="R114:T114"/>
    <mergeCell ref="U114:W114"/>
    <mergeCell ref="B115:C115"/>
    <mergeCell ref="D115:G115"/>
    <mergeCell ref="H115:K115"/>
    <mergeCell ref="L115:N115"/>
    <mergeCell ref="O115:Q115"/>
    <mergeCell ref="R115:T115"/>
    <mergeCell ref="U115:W115"/>
    <mergeCell ref="B116:C116"/>
    <mergeCell ref="D116:G116"/>
    <mergeCell ref="H116:K116"/>
    <mergeCell ref="L116:N116"/>
    <mergeCell ref="O116:Q116"/>
    <mergeCell ref="R116:T116"/>
    <mergeCell ref="U116:W116"/>
    <mergeCell ref="B117:C117"/>
    <mergeCell ref="D117:G117"/>
    <mergeCell ref="H117:K117"/>
    <mergeCell ref="L117:N117"/>
    <mergeCell ref="O117:Q117"/>
    <mergeCell ref="R117:T117"/>
    <mergeCell ref="U117:W117"/>
    <mergeCell ref="B118:C118"/>
    <mergeCell ref="D118:G118"/>
    <mergeCell ref="H118:K118"/>
    <mergeCell ref="L118:N118"/>
    <mergeCell ref="O118:Q118"/>
    <mergeCell ref="R118:T118"/>
    <mergeCell ref="U118:W118"/>
    <mergeCell ref="B119:C119"/>
    <mergeCell ref="D119:G119"/>
    <mergeCell ref="H119:K119"/>
    <mergeCell ref="L119:N119"/>
    <mergeCell ref="O119:Q119"/>
    <mergeCell ref="R119:T119"/>
    <mergeCell ref="U119:W119"/>
    <mergeCell ref="B120:C120"/>
    <mergeCell ref="D120:G120"/>
    <mergeCell ref="H120:K120"/>
    <mergeCell ref="L120:N120"/>
    <mergeCell ref="O120:Q120"/>
    <mergeCell ref="R120:T120"/>
    <mergeCell ref="U120:W120"/>
    <mergeCell ref="B121:C121"/>
    <mergeCell ref="D121:G121"/>
    <mergeCell ref="H121:K121"/>
    <mergeCell ref="L121:N121"/>
    <mergeCell ref="O121:Q121"/>
    <mergeCell ref="R121:T121"/>
    <mergeCell ref="U121:W121"/>
    <mergeCell ref="B122:C122"/>
    <mergeCell ref="D122:G122"/>
    <mergeCell ref="H122:K122"/>
    <mergeCell ref="L122:N122"/>
    <mergeCell ref="O122:Q122"/>
    <mergeCell ref="R122:T122"/>
    <mergeCell ref="U122:W122"/>
    <mergeCell ref="B123:C123"/>
    <mergeCell ref="D123:G123"/>
    <mergeCell ref="H123:K123"/>
    <mergeCell ref="L123:N123"/>
    <mergeCell ref="O123:Q123"/>
    <mergeCell ref="R123:T123"/>
    <mergeCell ref="U123:W123"/>
    <mergeCell ref="B124:C124"/>
    <mergeCell ref="D124:G124"/>
    <mergeCell ref="H124:K124"/>
    <mergeCell ref="L124:N124"/>
    <mergeCell ref="O124:Q124"/>
    <mergeCell ref="R124:T124"/>
    <mergeCell ref="U124:W124"/>
    <mergeCell ref="B125:C125"/>
    <mergeCell ref="D125:G125"/>
    <mergeCell ref="H125:K125"/>
    <mergeCell ref="L125:N125"/>
    <mergeCell ref="O125:Q125"/>
    <mergeCell ref="R125:T125"/>
    <mergeCell ref="U125:W125"/>
    <mergeCell ref="B126:C126"/>
    <mergeCell ref="D126:G126"/>
    <mergeCell ref="H126:K126"/>
    <mergeCell ref="L126:N126"/>
    <mergeCell ref="O126:Q126"/>
    <mergeCell ref="R126:T126"/>
    <mergeCell ref="U126:W126"/>
    <mergeCell ref="B127:C127"/>
    <mergeCell ref="D127:G127"/>
    <mergeCell ref="H127:K127"/>
    <mergeCell ref="L127:N127"/>
    <mergeCell ref="O127:Q127"/>
    <mergeCell ref="R127:T127"/>
    <mergeCell ref="U127:W127"/>
    <mergeCell ref="B128:C128"/>
    <mergeCell ref="D128:G128"/>
    <mergeCell ref="H128:K128"/>
    <mergeCell ref="L128:N128"/>
    <mergeCell ref="O128:Q128"/>
    <mergeCell ref="R128:T128"/>
    <mergeCell ref="U128:W128"/>
    <mergeCell ref="B129:C129"/>
    <mergeCell ref="D129:G129"/>
    <mergeCell ref="H129:K129"/>
    <mergeCell ref="L129:N129"/>
    <mergeCell ref="O129:Q129"/>
    <mergeCell ref="R129:T129"/>
    <mergeCell ref="U129:W129"/>
    <mergeCell ref="B130:C130"/>
    <mergeCell ref="D130:G130"/>
    <mergeCell ref="H130:K130"/>
    <mergeCell ref="L130:N130"/>
    <mergeCell ref="O130:Q130"/>
    <mergeCell ref="R130:T130"/>
    <mergeCell ref="U130:W130"/>
    <mergeCell ref="B131:C131"/>
    <mergeCell ref="D131:G131"/>
    <mergeCell ref="H131:K131"/>
    <mergeCell ref="L131:N131"/>
    <mergeCell ref="O131:Q131"/>
    <mergeCell ref="R131:T131"/>
    <mergeCell ref="U131:W131"/>
    <mergeCell ref="B132:C132"/>
    <mergeCell ref="D132:G132"/>
    <mergeCell ref="H132:K132"/>
    <mergeCell ref="L132:N132"/>
    <mergeCell ref="O132:Q132"/>
    <mergeCell ref="R132:T132"/>
    <mergeCell ref="U132:W132"/>
    <mergeCell ref="B133:C133"/>
    <mergeCell ref="D133:G133"/>
    <mergeCell ref="H133:K133"/>
    <mergeCell ref="L133:N133"/>
    <mergeCell ref="O133:Q133"/>
    <mergeCell ref="R133:T133"/>
    <mergeCell ref="U133:W133"/>
    <mergeCell ref="B134:C134"/>
    <mergeCell ref="D134:G134"/>
    <mergeCell ref="H134:K134"/>
    <mergeCell ref="L134:N134"/>
    <mergeCell ref="O134:Q134"/>
    <mergeCell ref="R134:T134"/>
    <mergeCell ref="U134:W134"/>
    <mergeCell ref="B135:C135"/>
    <mergeCell ref="D135:G135"/>
    <mergeCell ref="H135:K135"/>
    <mergeCell ref="L135:N135"/>
    <mergeCell ref="O135:Q135"/>
    <mergeCell ref="R135:T135"/>
    <mergeCell ref="U135:W135"/>
    <mergeCell ref="B136:C136"/>
    <mergeCell ref="D136:G136"/>
    <mergeCell ref="H136:K136"/>
    <mergeCell ref="L136:N136"/>
    <mergeCell ref="O136:Q136"/>
    <mergeCell ref="R136:T136"/>
    <mergeCell ref="U136:W136"/>
    <mergeCell ref="B137:C137"/>
    <mergeCell ref="D137:G137"/>
    <mergeCell ref="H137:K137"/>
    <mergeCell ref="L137:N137"/>
    <mergeCell ref="O137:Q137"/>
    <mergeCell ref="R137:T137"/>
    <mergeCell ref="U137:W137"/>
    <mergeCell ref="B138:C138"/>
    <mergeCell ref="D138:G138"/>
    <mergeCell ref="H138:K138"/>
    <mergeCell ref="L138:N138"/>
    <mergeCell ref="O138:Q138"/>
    <mergeCell ref="R138:T138"/>
    <mergeCell ref="U138:W138"/>
    <mergeCell ref="B139:C139"/>
    <mergeCell ref="D139:G139"/>
    <mergeCell ref="H139:K139"/>
    <mergeCell ref="L139:N139"/>
    <mergeCell ref="O139:Q139"/>
    <mergeCell ref="R139:T139"/>
    <mergeCell ref="U139:W139"/>
    <mergeCell ref="B140:C140"/>
    <mergeCell ref="D140:G140"/>
    <mergeCell ref="H140:K140"/>
    <mergeCell ref="L140:N140"/>
    <mergeCell ref="O140:Q140"/>
    <mergeCell ref="R140:T140"/>
    <mergeCell ref="U140:W140"/>
    <mergeCell ref="B141:C141"/>
    <mergeCell ref="D141:G141"/>
    <mergeCell ref="H141:K141"/>
    <mergeCell ref="L141:N141"/>
    <mergeCell ref="O141:Q141"/>
    <mergeCell ref="R141:T141"/>
    <mergeCell ref="U141:W141"/>
    <mergeCell ref="B142:C142"/>
    <mergeCell ref="D142:G142"/>
    <mergeCell ref="H142:K142"/>
    <mergeCell ref="L142:N142"/>
    <mergeCell ref="O142:Q142"/>
    <mergeCell ref="R142:T142"/>
    <mergeCell ref="U142:W142"/>
    <mergeCell ref="B143:C143"/>
    <mergeCell ref="D143:G143"/>
    <mergeCell ref="H143:K143"/>
    <mergeCell ref="L143:N143"/>
    <mergeCell ref="O143:Q143"/>
    <mergeCell ref="R143:T143"/>
    <mergeCell ref="U143:W143"/>
    <mergeCell ref="B144:C144"/>
    <mergeCell ref="D144:G144"/>
    <mergeCell ref="H144:K144"/>
    <mergeCell ref="L144:N144"/>
    <mergeCell ref="O144:Q144"/>
    <mergeCell ref="R144:T144"/>
    <mergeCell ref="U144:W144"/>
    <mergeCell ref="B145:C145"/>
    <mergeCell ref="D145:G145"/>
    <mergeCell ref="H145:K145"/>
    <mergeCell ref="L145:N145"/>
    <mergeCell ref="O145:Q145"/>
    <mergeCell ref="R145:T145"/>
    <mergeCell ref="U145:W145"/>
    <mergeCell ref="B146:C146"/>
    <mergeCell ref="D146:G146"/>
    <mergeCell ref="H146:K146"/>
    <mergeCell ref="L146:N146"/>
    <mergeCell ref="O146:Q146"/>
    <mergeCell ref="R146:T146"/>
    <mergeCell ref="U146:W146"/>
    <mergeCell ref="B147:C147"/>
    <mergeCell ref="D147:G147"/>
    <mergeCell ref="H147:K147"/>
    <mergeCell ref="L147:N147"/>
    <mergeCell ref="O147:Q147"/>
    <mergeCell ref="R147:T147"/>
    <mergeCell ref="U147:W147"/>
    <mergeCell ref="B148:C148"/>
    <mergeCell ref="D148:G148"/>
    <mergeCell ref="H148:K148"/>
    <mergeCell ref="L148:N148"/>
    <mergeCell ref="O148:Q148"/>
    <mergeCell ref="R148:T148"/>
    <mergeCell ref="U148:W148"/>
    <mergeCell ref="B149:C149"/>
    <mergeCell ref="D149:G149"/>
    <mergeCell ref="H149:K149"/>
    <mergeCell ref="L149:N149"/>
    <mergeCell ref="O149:Q149"/>
    <mergeCell ref="R149:T149"/>
    <mergeCell ref="U149:W149"/>
    <mergeCell ref="B150:C150"/>
    <mergeCell ref="D150:G150"/>
    <mergeCell ref="H150:K150"/>
    <mergeCell ref="L150:N150"/>
    <mergeCell ref="O150:Q150"/>
    <mergeCell ref="R150:T150"/>
    <mergeCell ref="U150:W150"/>
    <mergeCell ref="B151:C151"/>
    <mergeCell ref="D151:G151"/>
    <mergeCell ref="H151:K151"/>
    <mergeCell ref="L151:N151"/>
    <mergeCell ref="O151:Q151"/>
    <mergeCell ref="R151:T151"/>
    <mergeCell ref="U151:W151"/>
    <mergeCell ref="B152:C152"/>
    <mergeCell ref="D152:G152"/>
    <mergeCell ref="H152:K152"/>
    <mergeCell ref="L152:N152"/>
    <mergeCell ref="O152:Q152"/>
    <mergeCell ref="R152:T152"/>
    <mergeCell ref="U152:W152"/>
    <mergeCell ref="B153:C153"/>
    <mergeCell ref="D153:G153"/>
    <mergeCell ref="H153:K153"/>
    <mergeCell ref="L153:N153"/>
    <mergeCell ref="O153:Q153"/>
    <mergeCell ref="R153:T153"/>
    <mergeCell ref="U153:W153"/>
    <mergeCell ref="B154:C154"/>
    <mergeCell ref="D154:G154"/>
    <mergeCell ref="H154:K154"/>
    <mergeCell ref="L154:N154"/>
    <mergeCell ref="O154:Q154"/>
    <mergeCell ref="R154:T154"/>
    <mergeCell ref="U154:W154"/>
    <mergeCell ref="B155:C155"/>
    <mergeCell ref="D155:G155"/>
    <mergeCell ref="H155:K155"/>
    <mergeCell ref="L155:N155"/>
    <mergeCell ref="O155:Q155"/>
    <mergeCell ref="R155:T155"/>
    <mergeCell ref="U155:W155"/>
    <mergeCell ref="B156:C156"/>
    <mergeCell ref="D156:G156"/>
    <mergeCell ref="H156:K156"/>
    <mergeCell ref="L156:N156"/>
    <mergeCell ref="O156:Q156"/>
    <mergeCell ref="R156:T156"/>
    <mergeCell ref="U156:W156"/>
    <mergeCell ref="B157:C157"/>
    <mergeCell ref="D157:G157"/>
    <mergeCell ref="H157:K157"/>
    <mergeCell ref="L157:N157"/>
    <mergeCell ref="O157:Q157"/>
    <mergeCell ref="R157:T157"/>
    <mergeCell ref="U157:W157"/>
    <mergeCell ref="B158:C158"/>
    <mergeCell ref="D158:G158"/>
    <mergeCell ref="H158:K158"/>
    <mergeCell ref="L158:N158"/>
    <mergeCell ref="O158:Q158"/>
    <mergeCell ref="R158:T158"/>
    <mergeCell ref="U158:W158"/>
    <mergeCell ref="B159:C159"/>
    <mergeCell ref="D159:G159"/>
    <mergeCell ref="H159:K159"/>
    <mergeCell ref="L159:N159"/>
    <mergeCell ref="O159:Q159"/>
    <mergeCell ref="R159:T159"/>
    <mergeCell ref="U159:W159"/>
    <mergeCell ref="B160:C160"/>
    <mergeCell ref="D160:G160"/>
    <mergeCell ref="H160:K160"/>
    <mergeCell ref="L160:N160"/>
    <mergeCell ref="O160:Q160"/>
    <mergeCell ref="R160:T160"/>
    <mergeCell ref="U160:W160"/>
    <mergeCell ref="B161:C161"/>
    <mergeCell ref="D161:G161"/>
    <mergeCell ref="H161:K161"/>
    <mergeCell ref="L161:N161"/>
    <mergeCell ref="O161:Q161"/>
    <mergeCell ref="R161:T161"/>
    <mergeCell ref="U161:W161"/>
    <mergeCell ref="B162:C162"/>
    <mergeCell ref="D162:G162"/>
    <mergeCell ref="H162:K162"/>
    <mergeCell ref="L162:N162"/>
    <mergeCell ref="O162:Q162"/>
    <mergeCell ref="R162:T162"/>
    <mergeCell ref="U162:W162"/>
    <mergeCell ref="B163:C163"/>
    <mergeCell ref="D163:G163"/>
    <mergeCell ref="H163:K163"/>
    <mergeCell ref="L163:N163"/>
    <mergeCell ref="O163:Q163"/>
    <mergeCell ref="R163:T163"/>
    <mergeCell ref="U163:W163"/>
    <mergeCell ref="B164:C164"/>
    <mergeCell ref="D164:G164"/>
    <mergeCell ref="H164:K164"/>
    <mergeCell ref="L164:N164"/>
    <mergeCell ref="O164:Q164"/>
    <mergeCell ref="R164:T164"/>
    <mergeCell ref="U164:W164"/>
    <mergeCell ref="B165:C165"/>
    <mergeCell ref="D165:G165"/>
    <mergeCell ref="H165:K165"/>
    <mergeCell ref="L165:N165"/>
    <mergeCell ref="O165:Q165"/>
    <mergeCell ref="R165:T165"/>
    <mergeCell ref="U165:W165"/>
    <mergeCell ref="B166:C166"/>
    <mergeCell ref="D166:G166"/>
    <mergeCell ref="H166:K166"/>
    <mergeCell ref="L166:N166"/>
    <mergeCell ref="O166:Q166"/>
    <mergeCell ref="R166:T166"/>
    <mergeCell ref="U166:W166"/>
    <mergeCell ref="B167:C167"/>
    <mergeCell ref="D167:G167"/>
    <mergeCell ref="H167:K167"/>
    <mergeCell ref="L167:N167"/>
    <mergeCell ref="O167:Q167"/>
    <mergeCell ref="R167:T167"/>
    <mergeCell ref="U167:W167"/>
    <mergeCell ref="B168:C168"/>
    <mergeCell ref="D168:G168"/>
    <mergeCell ref="H168:K168"/>
    <mergeCell ref="L168:N168"/>
    <mergeCell ref="O168:Q168"/>
    <mergeCell ref="R168:T168"/>
    <mergeCell ref="U168:W168"/>
    <mergeCell ref="B169:C169"/>
    <mergeCell ref="D169:G169"/>
    <mergeCell ref="H169:K169"/>
    <mergeCell ref="L169:N169"/>
    <mergeCell ref="O169:Q169"/>
    <mergeCell ref="R169:T169"/>
    <mergeCell ref="U169:W169"/>
    <mergeCell ref="B170:C170"/>
    <mergeCell ref="D170:G170"/>
    <mergeCell ref="H170:K170"/>
    <mergeCell ref="L170:N170"/>
    <mergeCell ref="O170:Q170"/>
    <mergeCell ref="R170:T170"/>
    <mergeCell ref="U170:W170"/>
    <mergeCell ref="B171:C171"/>
    <mergeCell ref="D171:G171"/>
    <mergeCell ref="H171:K171"/>
    <mergeCell ref="L171:N171"/>
    <mergeCell ref="O171:Q171"/>
    <mergeCell ref="R171:T171"/>
    <mergeCell ref="U171:W171"/>
    <mergeCell ref="B172:C172"/>
    <mergeCell ref="D172:G172"/>
    <mergeCell ref="H172:K172"/>
    <mergeCell ref="L172:N172"/>
    <mergeCell ref="O172:Q172"/>
    <mergeCell ref="R172:T172"/>
    <mergeCell ref="U172:W172"/>
    <mergeCell ref="B173:C173"/>
    <mergeCell ref="D173:G173"/>
    <mergeCell ref="H173:K173"/>
    <mergeCell ref="L173:N173"/>
    <mergeCell ref="O173:Q173"/>
    <mergeCell ref="R173:T173"/>
    <mergeCell ref="U173:W173"/>
    <mergeCell ref="B174:C174"/>
    <mergeCell ref="D174:G174"/>
    <mergeCell ref="H174:K174"/>
    <mergeCell ref="L174:N174"/>
    <mergeCell ref="O174:Q174"/>
    <mergeCell ref="R174:T174"/>
    <mergeCell ref="U174:W174"/>
    <mergeCell ref="B175:C175"/>
    <mergeCell ref="D175:G175"/>
    <mergeCell ref="H175:K175"/>
    <mergeCell ref="L175:N175"/>
    <mergeCell ref="O175:Q175"/>
    <mergeCell ref="R175:T175"/>
    <mergeCell ref="U175:W175"/>
    <mergeCell ref="B176:C176"/>
    <mergeCell ref="D176:G176"/>
    <mergeCell ref="H176:K176"/>
    <mergeCell ref="L176:N176"/>
    <mergeCell ref="O176:Q176"/>
    <mergeCell ref="R176:T176"/>
    <mergeCell ref="U176:W176"/>
    <mergeCell ref="B177:C177"/>
    <mergeCell ref="D177:G177"/>
    <mergeCell ref="H177:K177"/>
    <mergeCell ref="L177:N177"/>
    <mergeCell ref="O177:Q177"/>
    <mergeCell ref="R177:T177"/>
    <mergeCell ref="U177:W177"/>
    <mergeCell ref="AS207:AY207"/>
    <mergeCell ref="AS208:AY208"/>
    <mergeCell ref="AS209:AY209"/>
    <mergeCell ref="AS185:AY185"/>
    <mergeCell ref="AS198:AY198"/>
    <mergeCell ref="AS187:AY187"/>
    <mergeCell ref="AS188:AY188"/>
    <mergeCell ref="AS189:AY189"/>
    <mergeCell ref="AS190:AY190"/>
    <mergeCell ref="AS191:AY191"/>
    <mergeCell ref="AS192:AY192"/>
    <mergeCell ref="AS193:AY193"/>
    <mergeCell ref="AS196:AY196"/>
    <mergeCell ref="AS197:AY197"/>
    <mergeCell ref="B208:C208"/>
    <mergeCell ref="D208:G208"/>
    <mergeCell ref="H208:K208"/>
    <mergeCell ref="L208:N208"/>
    <mergeCell ref="AS210:AY210"/>
    <mergeCell ref="AS211:AY211"/>
    <mergeCell ref="AS200:AY200"/>
    <mergeCell ref="AS201:AY201"/>
    <mergeCell ref="AS202:AY202"/>
    <mergeCell ref="AS203:AY203"/>
    <mergeCell ref="AS204:AY204"/>
    <mergeCell ref="AS205:AY205"/>
    <mergeCell ref="AS206:AY206"/>
    <mergeCell ref="BB186:BC186"/>
    <mergeCell ref="BB187:BC187"/>
    <mergeCell ref="BB188:BC188"/>
    <mergeCell ref="BB189:BC189"/>
    <mergeCell ref="BB190:BC190"/>
    <mergeCell ref="BB191:BC191"/>
    <mergeCell ref="BB192:BC192"/>
    <mergeCell ref="BB197:BC197"/>
    <mergeCell ref="BB198:BC198"/>
    <mergeCell ref="AS199:AY199"/>
    <mergeCell ref="BB199:BC199"/>
    <mergeCell ref="BB200:BC200"/>
    <mergeCell ref="BB201:BC201"/>
    <mergeCell ref="BG206:BJ206"/>
    <mergeCell ref="BK206:BM206"/>
    <mergeCell ref="BD202:BF202"/>
    <mergeCell ref="BD203:BF203"/>
    <mergeCell ref="BG203:BJ203"/>
    <mergeCell ref="BK203:BM203"/>
    <mergeCell ref="BD204:BF204"/>
    <mergeCell ref="BG204:BJ204"/>
    <mergeCell ref="BK204:BM204"/>
    <mergeCell ref="BB206:BC206"/>
    <mergeCell ref="BB207:BC207"/>
    <mergeCell ref="BD207:BF207"/>
    <mergeCell ref="BG207:BJ207"/>
    <mergeCell ref="BK207:BM207"/>
    <mergeCell ref="BD208:BF208"/>
    <mergeCell ref="BG208:BJ208"/>
    <mergeCell ref="BK208:BM208"/>
    <mergeCell ref="BB202:BC202"/>
    <mergeCell ref="BB203:BC203"/>
    <mergeCell ref="BB204:BC204"/>
    <mergeCell ref="BB205:BC205"/>
    <mergeCell ref="BD210:BF210"/>
    <mergeCell ref="BD211:BF211"/>
    <mergeCell ref="BG211:BJ211"/>
    <mergeCell ref="BK211:BM211"/>
    <mergeCell ref="BB208:BC208"/>
    <mergeCell ref="BB209:BC209"/>
    <mergeCell ref="BD209:BF209"/>
    <mergeCell ref="BG209:BJ209"/>
    <mergeCell ref="BK209:BM209"/>
    <mergeCell ref="BG210:BJ210"/>
    <mergeCell ref="BK210:BM210"/>
    <mergeCell ref="AS220:AY220"/>
    <mergeCell ref="AS221:AY221"/>
    <mergeCell ref="AS222:AY222"/>
    <mergeCell ref="AS223:AY223"/>
    <mergeCell ref="AS224:AY224"/>
    <mergeCell ref="AS213:AY213"/>
    <mergeCell ref="AS214:AY214"/>
    <mergeCell ref="AS215:AY215"/>
    <mergeCell ref="AS216:AY216"/>
    <mergeCell ref="AS217:AY217"/>
    <mergeCell ref="AS218:AY218"/>
    <mergeCell ref="AS219:AY219"/>
    <mergeCell ref="BB210:BC210"/>
    <mergeCell ref="BB211:BC211"/>
    <mergeCell ref="AS212:AY212"/>
    <mergeCell ref="BD212:BF212"/>
    <mergeCell ref="BG212:BJ212"/>
    <mergeCell ref="BK212:BM212"/>
    <mergeCell ref="BK213:BM213"/>
    <mergeCell ref="BD213:BF213"/>
    <mergeCell ref="BG213:BJ213"/>
    <mergeCell ref="BD214:BF214"/>
    <mergeCell ref="BG214:BJ214"/>
    <mergeCell ref="BK214:BM214"/>
    <mergeCell ref="BG215:BJ215"/>
    <mergeCell ref="BK215:BM215"/>
    <mergeCell ref="BD218:BF218"/>
    <mergeCell ref="BG218:BJ218"/>
    <mergeCell ref="BK218:BM218"/>
    <mergeCell ref="BD219:BF219"/>
    <mergeCell ref="BG219:BJ219"/>
    <mergeCell ref="BK219:BM219"/>
    <mergeCell ref="BD215:BF215"/>
    <mergeCell ref="BD216:BF216"/>
    <mergeCell ref="BG216:BJ216"/>
    <mergeCell ref="BK216:BM216"/>
    <mergeCell ref="BD217:BF217"/>
    <mergeCell ref="BG217:BJ217"/>
    <mergeCell ref="BK217:BM217"/>
    <mergeCell ref="BD220:BF220"/>
    <mergeCell ref="BG220:BJ220"/>
    <mergeCell ref="BK220:BM220"/>
    <mergeCell ref="BD221:BF221"/>
    <mergeCell ref="BG221:BJ221"/>
    <mergeCell ref="BK221:BM221"/>
    <mergeCell ref="BD223:BF223"/>
    <mergeCell ref="BD224:BF224"/>
    <mergeCell ref="BG224:BJ224"/>
    <mergeCell ref="BK224:BM224"/>
    <mergeCell ref="BB221:BC221"/>
    <mergeCell ref="BB222:BC222"/>
    <mergeCell ref="BD222:BF222"/>
    <mergeCell ref="BG222:BJ222"/>
    <mergeCell ref="BK222:BM222"/>
    <mergeCell ref="BG223:BJ223"/>
    <mergeCell ref="BK223:BM223"/>
    <mergeCell ref="AS226:AY226"/>
    <mergeCell ref="AS227:AY227"/>
    <mergeCell ref="AS228:AY228"/>
    <mergeCell ref="AS229:AY229"/>
    <mergeCell ref="AS230:AY230"/>
    <mergeCell ref="AS231:AY231"/>
    <mergeCell ref="AS232:AY232"/>
    <mergeCell ref="BB212:BC212"/>
    <mergeCell ref="BB213:BC213"/>
    <mergeCell ref="BB214:BC214"/>
    <mergeCell ref="BB215:BC215"/>
    <mergeCell ref="BB216:BC216"/>
    <mergeCell ref="BB217:BC217"/>
    <mergeCell ref="BB218:BC218"/>
    <mergeCell ref="BB223:BC223"/>
    <mergeCell ref="BB224:BC224"/>
    <mergeCell ref="AS225:AY225"/>
    <mergeCell ref="BB232:BC232"/>
    <mergeCell ref="BB219:BC219"/>
    <mergeCell ref="BB220:BC220"/>
    <mergeCell ref="BB225:BC225"/>
    <mergeCell ref="BB226:BC226"/>
    <mergeCell ref="BB227:BC227"/>
    <mergeCell ref="BB228:BC228"/>
    <mergeCell ref="BB229:BC229"/>
    <mergeCell ref="BB230:BC230"/>
    <mergeCell ref="BB231:BC231"/>
    <mergeCell ref="BK226:BM226"/>
    <mergeCell ref="BD226:BF226"/>
    <mergeCell ref="BG226:BJ226"/>
    <mergeCell ref="BD227:BF227"/>
    <mergeCell ref="BG227:BJ227"/>
    <mergeCell ref="BK227:BM227"/>
    <mergeCell ref="BG228:BJ228"/>
    <mergeCell ref="BK228:BM228"/>
    <mergeCell ref="BD231:BF231"/>
    <mergeCell ref="BG231:BJ231"/>
    <mergeCell ref="BK231:BM231"/>
    <mergeCell ref="BD232:BF232"/>
    <mergeCell ref="BG232:BJ232"/>
    <mergeCell ref="BK232:BM232"/>
    <mergeCell ref="BD228:BF228"/>
    <mergeCell ref="BD229:BF229"/>
    <mergeCell ref="BG229:BJ229"/>
    <mergeCell ref="BK229:BM229"/>
    <mergeCell ref="BD230:BF230"/>
    <mergeCell ref="BG230:BJ230"/>
    <mergeCell ref="BK230:BM230"/>
    <mergeCell ref="BB236:BC236"/>
    <mergeCell ref="BB237:BC237"/>
    <mergeCell ref="AS238:AY238"/>
    <mergeCell ref="BB245:BC245"/>
    <mergeCell ref="BB246:BC246"/>
    <mergeCell ref="BD233:BF233"/>
    <mergeCell ref="BG233:BJ233"/>
    <mergeCell ref="BK233:BM233"/>
    <mergeCell ref="BD234:BF234"/>
    <mergeCell ref="BG234:BJ234"/>
    <mergeCell ref="BK234:BM234"/>
    <mergeCell ref="BD236:BF236"/>
    <mergeCell ref="BD237:BF237"/>
    <mergeCell ref="BG237:BJ237"/>
    <mergeCell ref="BK237:BM237"/>
    <mergeCell ref="BB234:BC234"/>
    <mergeCell ref="BB235:BC235"/>
    <mergeCell ref="BD235:BF235"/>
    <mergeCell ref="BG235:BJ235"/>
    <mergeCell ref="BK235:BM235"/>
    <mergeCell ref="BG236:BJ236"/>
    <mergeCell ref="BK236:BM236"/>
    <mergeCell ref="AS233:AY233"/>
    <mergeCell ref="AS234:AY234"/>
    <mergeCell ref="AS235:AY235"/>
    <mergeCell ref="AS236:AY236"/>
    <mergeCell ref="AS237:AY237"/>
    <mergeCell ref="BB233:BC233"/>
    <mergeCell ref="BD225:BF225"/>
    <mergeCell ref="BG225:BJ225"/>
    <mergeCell ref="BK225:BM225"/>
    <mergeCell ref="BK245:BM245"/>
    <mergeCell ref="BD241:BF241"/>
    <mergeCell ref="BD242:BF242"/>
    <mergeCell ref="BG242:BJ242"/>
    <mergeCell ref="BK242:BM242"/>
    <mergeCell ref="BD243:BF243"/>
    <mergeCell ref="BG243:BJ243"/>
    <mergeCell ref="BK243:BM243"/>
    <mergeCell ref="AS246:AY246"/>
    <mergeCell ref="AS247:AY247"/>
    <mergeCell ref="AS248:AY248"/>
    <mergeCell ref="AS249:AY249"/>
    <mergeCell ref="AS250:AY250"/>
    <mergeCell ref="AS239:AY239"/>
    <mergeCell ref="AS240:AY240"/>
    <mergeCell ref="AS241:AY241"/>
    <mergeCell ref="AS242:AY242"/>
    <mergeCell ref="AS243:AY243"/>
    <mergeCell ref="AS244:AY244"/>
    <mergeCell ref="AS245:AY245"/>
    <mergeCell ref="BG246:BJ246"/>
    <mergeCell ref="BK246:BM246"/>
    <mergeCell ref="BD247:BF247"/>
    <mergeCell ref="BG247:BJ247"/>
    <mergeCell ref="BK247:BM247"/>
    <mergeCell ref="BD249:BF249"/>
    <mergeCell ref="BD250:BF250"/>
    <mergeCell ref="BG250:BJ250"/>
    <mergeCell ref="BK250:BM250"/>
    <mergeCell ref="BG248:BJ248"/>
    <mergeCell ref="BK248:BM248"/>
    <mergeCell ref="BG249:BJ249"/>
    <mergeCell ref="BK249:BM249"/>
    <mergeCell ref="BD238:BF238"/>
    <mergeCell ref="BG238:BJ238"/>
    <mergeCell ref="BK238:BM238"/>
    <mergeCell ref="BK239:BM239"/>
    <mergeCell ref="BD239:BF239"/>
    <mergeCell ref="BG239:BJ239"/>
    <mergeCell ref="BD240:BF240"/>
    <mergeCell ref="BG240:BJ240"/>
    <mergeCell ref="BK240:BM240"/>
    <mergeCell ref="BG241:BJ241"/>
    <mergeCell ref="BK241:BM241"/>
    <mergeCell ref="BD244:BF244"/>
    <mergeCell ref="BG244:BJ244"/>
    <mergeCell ref="BK244:BM244"/>
    <mergeCell ref="BD245:BF245"/>
    <mergeCell ref="BG245:BJ245"/>
    <mergeCell ref="AS255:AY255"/>
    <mergeCell ref="AS256:AY256"/>
    <mergeCell ref="AS257:AY257"/>
    <mergeCell ref="AS258:AY258"/>
    <mergeCell ref="BB238:BC238"/>
    <mergeCell ref="BB239:BC239"/>
    <mergeCell ref="BB240:BC240"/>
    <mergeCell ref="BB241:BC241"/>
    <mergeCell ref="BB242:BC242"/>
    <mergeCell ref="BB243:BC243"/>
    <mergeCell ref="BB244:BC244"/>
    <mergeCell ref="BB249:BC249"/>
    <mergeCell ref="BB250:BC250"/>
    <mergeCell ref="AS251:AY251"/>
    <mergeCell ref="BB258:BC258"/>
    <mergeCell ref="BB259:BC259"/>
    <mergeCell ref="BD246:BF246"/>
    <mergeCell ref="BD251:BF251"/>
    <mergeCell ref="BD259:BF259"/>
    <mergeCell ref="BB247:BC247"/>
    <mergeCell ref="BB248:BC248"/>
    <mergeCell ref="BD248:BF248"/>
    <mergeCell ref="BG251:BJ251"/>
    <mergeCell ref="BK251:BM251"/>
    <mergeCell ref="BK252:BM252"/>
    <mergeCell ref="BD252:BF252"/>
    <mergeCell ref="BG252:BJ252"/>
    <mergeCell ref="BD253:BF253"/>
    <mergeCell ref="BG253:BJ253"/>
    <mergeCell ref="BK253:BM253"/>
    <mergeCell ref="BG254:BJ254"/>
    <mergeCell ref="BK254:BM254"/>
    <mergeCell ref="BD257:BF257"/>
    <mergeCell ref="BG257:BJ257"/>
    <mergeCell ref="BK257:BM257"/>
    <mergeCell ref="BD258:BF258"/>
    <mergeCell ref="BG258:BJ258"/>
    <mergeCell ref="BK258:BM258"/>
    <mergeCell ref="BD254:BF254"/>
    <mergeCell ref="BD255:BF255"/>
    <mergeCell ref="BG255:BJ255"/>
    <mergeCell ref="BK255:BM255"/>
    <mergeCell ref="BD256:BF256"/>
    <mergeCell ref="BG256:BJ256"/>
    <mergeCell ref="BK256:BM256"/>
    <mergeCell ref="BG259:BJ259"/>
    <mergeCell ref="BK259:BM259"/>
    <mergeCell ref="BD260:BF260"/>
    <mergeCell ref="BG260:BJ260"/>
    <mergeCell ref="BK260:BM260"/>
    <mergeCell ref="BD262:BF262"/>
    <mergeCell ref="BD263:BF263"/>
    <mergeCell ref="BG263:BJ263"/>
    <mergeCell ref="BK263:BM263"/>
    <mergeCell ref="BB260:BC260"/>
    <mergeCell ref="BB261:BC261"/>
    <mergeCell ref="BD261:BF261"/>
    <mergeCell ref="BG261:BJ261"/>
    <mergeCell ref="BK261:BM261"/>
    <mergeCell ref="BG262:BJ262"/>
    <mergeCell ref="BK262:BM262"/>
    <mergeCell ref="AS272:AY272"/>
    <mergeCell ref="BD264:BF264"/>
    <mergeCell ref="BG264:BJ264"/>
    <mergeCell ref="BK264:BM264"/>
    <mergeCell ref="BK265:BM265"/>
    <mergeCell ref="BD265:BF265"/>
    <mergeCell ref="BG265:BJ265"/>
    <mergeCell ref="BD266:BF266"/>
    <mergeCell ref="BG266:BJ266"/>
    <mergeCell ref="BK266:BM266"/>
    <mergeCell ref="BG267:BJ267"/>
    <mergeCell ref="BK267:BM267"/>
    <mergeCell ref="BD270:BF270"/>
    <mergeCell ref="BG270:BJ270"/>
    <mergeCell ref="BK270:BM270"/>
    <mergeCell ref="BD271:BF271"/>
    <mergeCell ref="AS273:AY273"/>
    <mergeCell ref="AS274:AY274"/>
    <mergeCell ref="AS275:AY275"/>
    <mergeCell ref="AS276:AY276"/>
    <mergeCell ref="AS265:AY265"/>
    <mergeCell ref="AS266:AY266"/>
    <mergeCell ref="AS267:AY267"/>
    <mergeCell ref="AS268:AY268"/>
    <mergeCell ref="AS269:AY269"/>
    <mergeCell ref="AS270:AY270"/>
    <mergeCell ref="AS271:AY271"/>
    <mergeCell ref="BB251:BC251"/>
    <mergeCell ref="BB252:BC252"/>
    <mergeCell ref="BB253:BC253"/>
    <mergeCell ref="BB254:BC254"/>
    <mergeCell ref="BB255:BC255"/>
    <mergeCell ref="BB256:BC256"/>
    <mergeCell ref="BB257:BC257"/>
    <mergeCell ref="BB262:BC262"/>
    <mergeCell ref="BB263:BC263"/>
    <mergeCell ref="AS264:AY264"/>
    <mergeCell ref="BB271:BC271"/>
    <mergeCell ref="BB272:BC272"/>
    <mergeCell ref="AS259:AY259"/>
    <mergeCell ref="AS260:AY260"/>
    <mergeCell ref="AS261:AY261"/>
    <mergeCell ref="AS262:AY262"/>
    <mergeCell ref="AS263:AY263"/>
    <mergeCell ref="AS252:AY252"/>
    <mergeCell ref="AS253:AY253"/>
    <mergeCell ref="AS254:AY254"/>
    <mergeCell ref="BB273:BC273"/>
    <mergeCell ref="BG271:BJ271"/>
    <mergeCell ref="BK271:BM271"/>
    <mergeCell ref="BD267:BF267"/>
    <mergeCell ref="BD268:BF268"/>
    <mergeCell ref="BG268:BJ268"/>
    <mergeCell ref="BK268:BM268"/>
    <mergeCell ref="BD269:BF269"/>
    <mergeCell ref="BG269:BJ269"/>
    <mergeCell ref="BK269:BM269"/>
    <mergeCell ref="BD280:BF280"/>
    <mergeCell ref="BD281:BF281"/>
    <mergeCell ref="BG281:BJ281"/>
    <mergeCell ref="BD272:BF272"/>
    <mergeCell ref="BG272:BJ272"/>
    <mergeCell ref="BK272:BM272"/>
    <mergeCell ref="BD273:BF273"/>
    <mergeCell ref="BG273:BJ273"/>
    <mergeCell ref="BK273:BM273"/>
    <mergeCell ref="BD275:BF275"/>
    <mergeCell ref="BD276:BF276"/>
    <mergeCell ref="BG276:BJ276"/>
    <mergeCell ref="BK276:BM276"/>
    <mergeCell ref="BD279:BF279"/>
    <mergeCell ref="BG279:BJ279"/>
    <mergeCell ref="BK279:BM279"/>
    <mergeCell ref="BG280:BJ280"/>
    <mergeCell ref="BK280:BM280"/>
    <mergeCell ref="BB274:BC274"/>
    <mergeCell ref="BD274:BF274"/>
    <mergeCell ref="BG274:BJ274"/>
    <mergeCell ref="BK274:BM274"/>
    <mergeCell ref="BG275:BJ275"/>
    <mergeCell ref="BK275:BM275"/>
    <mergeCell ref="BB277:BC277"/>
    <mergeCell ref="BB278:BC278"/>
    <mergeCell ref="BB279:BC279"/>
    <mergeCell ref="BB280:BC280"/>
    <mergeCell ref="BB281:BC281"/>
    <mergeCell ref="BK287:BM287"/>
    <mergeCell ref="BG288:BJ288"/>
    <mergeCell ref="BK288:BM288"/>
    <mergeCell ref="AS283:AY283"/>
    <mergeCell ref="AS284:AY284"/>
    <mergeCell ref="BB264:BC264"/>
    <mergeCell ref="BB265:BC265"/>
    <mergeCell ref="BB266:BC266"/>
    <mergeCell ref="BB267:BC267"/>
    <mergeCell ref="BB268:BC268"/>
    <mergeCell ref="BB269:BC269"/>
    <mergeCell ref="BB270:BC270"/>
    <mergeCell ref="BB275:BC275"/>
    <mergeCell ref="BB276:BC276"/>
    <mergeCell ref="AS277:AY277"/>
    <mergeCell ref="BD277:BF277"/>
    <mergeCell ref="BG277:BJ277"/>
    <mergeCell ref="BK277:BM277"/>
    <mergeCell ref="BK278:BM278"/>
    <mergeCell ref="BD278:BF278"/>
    <mergeCell ref="BG278:BJ278"/>
    <mergeCell ref="BD286:BF286"/>
    <mergeCell ref="BG286:BJ286"/>
    <mergeCell ref="BK286:BM286"/>
    <mergeCell ref="BD288:BF288"/>
    <mergeCell ref="BD289:BF289"/>
    <mergeCell ref="BG289:BJ289"/>
    <mergeCell ref="BK289:BM289"/>
    <mergeCell ref="BB286:BC286"/>
    <mergeCell ref="BB287:BC287"/>
    <mergeCell ref="BD287:BF287"/>
    <mergeCell ref="BG287:BJ287"/>
    <mergeCell ref="BB378:BC378"/>
    <mergeCell ref="BD378:BF378"/>
    <mergeCell ref="BG378:BJ378"/>
    <mergeCell ref="BK378:BM378"/>
    <mergeCell ref="BG379:BJ379"/>
    <mergeCell ref="BK379:BM379"/>
    <mergeCell ref="BG375:BJ375"/>
    <mergeCell ref="BK375:BM375"/>
    <mergeCell ref="BD371:BF371"/>
    <mergeCell ref="BD372:BF372"/>
    <mergeCell ref="BG372:BJ372"/>
    <mergeCell ref="BK372:BM372"/>
    <mergeCell ref="BD373:BF373"/>
    <mergeCell ref="BG373:BJ373"/>
    <mergeCell ref="BK373:BM373"/>
    <mergeCell ref="BD376:BF376"/>
    <mergeCell ref="BG376:BJ376"/>
    <mergeCell ref="BK376:BM376"/>
    <mergeCell ref="BD377:BF377"/>
    <mergeCell ref="BG377:BJ377"/>
    <mergeCell ref="BK377:BM377"/>
    <mergeCell ref="BK388:BM388"/>
    <mergeCell ref="BD384:BF384"/>
    <mergeCell ref="BD385:BF385"/>
    <mergeCell ref="BG385:BJ385"/>
    <mergeCell ref="BK385:BM385"/>
    <mergeCell ref="BD386:BF386"/>
    <mergeCell ref="BG386:BJ386"/>
    <mergeCell ref="BK386:BM386"/>
    <mergeCell ref="AS389:AY389"/>
    <mergeCell ref="AS390:AY390"/>
    <mergeCell ref="AS391:AY391"/>
    <mergeCell ref="AS392:AY392"/>
    <mergeCell ref="AS393:AY393"/>
    <mergeCell ref="AS382:AY382"/>
    <mergeCell ref="AS383:AY383"/>
    <mergeCell ref="AS384:AY384"/>
    <mergeCell ref="AS385:AY385"/>
    <mergeCell ref="AS386:AY386"/>
    <mergeCell ref="AS387:AY387"/>
    <mergeCell ref="AS388:AY388"/>
    <mergeCell ref="BB392:BC392"/>
    <mergeCell ref="BB393:BC393"/>
    <mergeCell ref="BB390:BC390"/>
    <mergeCell ref="BB391:BC391"/>
    <mergeCell ref="BD391:BF391"/>
    <mergeCell ref="BG391:BJ391"/>
    <mergeCell ref="BK391:BM391"/>
    <mergeCell ref="BG392:BJ392"/>
    <mergeCell ref="BK392:BM392"/>
    <mergeCell ref="BB388:BC388"/>
    <mergeCell ref="BB389:BC389"/>
    <mergeCell ref="BG168:BJ168"/>
    <mergeCell ref="BK168:BM168"/>
    <mergeCell ref="AS166:AY166"/>
    <mergeCell ref="AS167:AY167"/>
    <mergeCell ref="BB167:BC167"/>
    <mergeCell ref="BD167:BF167"/>
    <mergeCell ref="BG167:BJ167"/>
    <mergeCell ref="BK167:BM167"/>
    <mergeCell ref="AS168:AY168"/>
    <mergeCell ref="BD170:BF170"/>
    <mergeCell ref="BG170:BJ170"/>
    <mergeCell ref="BB168:BC168"/>
    <mergeCell ref="BD168:BF168"/>
    <mergeCell ref="AS169:AY169"/>
    <mergeCell ref="BD169:BF169"/>
    <mergeCell ref="BG169:BJ169"/>
    <mergeCell ref="BK169:BM169"/>
    <mergeCell ref="AS170:AY170"/>
    <mergeCell ref="BK170:BM170"/>
    <mergeCell ref="BB384:BC384"/>
    <mergeCell ref="BB385:BC385"/>
    <mergeCell ref="BB386:BC386"/>
    <mergeCell ref="BB387:BC387"/>
    <mergeCell ref="BD381:BF381"/>
    <mergeCell ref="BG381:BJ381"/>
    <mergeCell ref="BK381:BM381"/>
    <mergeCell ref="BK382:BM382"/>
    <mergeCell ref="BD382:BF382"/>
    <mergeCell ref="BG382:BJ382"/>
    <mergeCell ref="BD383:BF383"/>
    <mergeCell ref="BG383:BJ383"/>
    <mergeCell ref="BK383:BM383"/>
    <mergeCell ref="BG384:BJ384"/>
    <mergeCell ref="BK384:BM384"/>
    <mergeCell ref="BD387:BF387"/>
    <mergeCell ref="BG387:BJ387"/>
    <mergeCell ref="BB370:BC370"/>
    <mergeCell ref="BB371:BC371"/>
    <mergeCell ref="BB372:BC372"/>
    <mergeCell ref="BB373:BC373"/>
    <mergeCell ref="BG172:BJ172"/>
    <mergeCell ref="BB169:BC169"/>
    <mergeCell ref="BB170:BC170"/>
    <mergeCell ref="AS171:AY171"/>
    <mergeCell ref="BG177:BJ177"/>
    <mergeCell ref="BK177:BM177"/>
    <mergeCell ref="AS178:AY178"/>
    <mergeCell ref="BK178:BM178"/>
    <mergeCell ref="BB177:BC177"/>
    <mergeCell ref="BB178:BC178"/>
    <mergeCell ref="BB381:BC381"/>
    <mergeCell ref="BB382:BC382"/>
    <mergeCell ref="BB383:BC383"/>
    <mergeCell ref="BB368:BC368"/>
    <mergeCell ref="BB369:BC369"/>
    <mergeCell ref="BB374:BC374"/>
    <mergeCell ref="BB379:BC379"/>
    <mergeCell ref="BB380:BC380"/>
    <mergeCell ref="AS381:AY381"/>
    <mergeCell ref="BK281:BM281"/>
    <mergeCell ref="BD282:BF282"/>
    <mergeCell ref="BG282:BJ282"/>
    <mergeCell ref="BK282:BM282"/>
    <mergeCell ref="BB284:BC284"/>
    <mergeCell ref="BB285:BC285"/>
    <mergeCell ref="BD285:BF285"/>
    <mergeCell ref="BG285:BJ285"/>
    <mergeCell ref="BK285:BM285"/>
  </mergeCells>
  <pageMargins left="0.25" right="0.25" top="0.75" bottom="0.75" header="0" footer="0"/>
  <pageSetup paperSize="5"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600-000000000000}">
          <x14:formula1>
            <xm:f>'Drop-Down Boxes '!$A$79:$A$80</xm:f>
          </x14:formula1>
          <xm:sqref>R15:R514 U15:U514 BK15:BK514 BN15:BO514 BK515:BO522</xm:sqref>
        </x14:dataValidation>
        <x14:dataValidation type="list" allowBlank="1" showErrorMessage="1" xr:uid="{00000000-0002-0000-0600-000001000000}">
          <x14:formula1>
            <xm:f>'Drop-Down Boxes '!$H$3:$H$11</xm:f>
          </x14:formula1>
          <xm:sqref>P9</xm:sqref>
        </x14:dataValidation>
        <x14:dataValidation type="list" allowBlank="1" showErrorMessage="1" xr:uid="{00000000-0002-0000-0600-000002000000}">
          <x14:formula1>
            <xm:f>'Drop-Down Boxes '!$D$3:$D$14</xm:f>
          </x14:formula1>
          <xm:sqref>H9</xm:sqref>
        </x14:dataValidation>
        <x14:dataValidation type="list" allowBlank="1" showErrorMessage="1" xr:uid="{00000000-0002-0000-0600-000003000000}">
          <x14:formula1>
            <xm:f>'Drop-Down Boxes '!$H$89:$H$90</xm:f>
          </x14:formula1>
          <xm:sqref>X15:AI514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66092"/>
  </sheetPr>
  <dimension ref="A1:BO512"/>
  <sheetViews>
    <sheetView workbookViewId="0">
      <pane ySplit="1" topLeftCell="A7" activePane="bottomLeft" state="frozen"/>
      <selection pane="bottomLeft" activeCell="D18" sqref="D18:H18"/>
    </sheetView>
  </sheetViews>
  <sheetFormatPr defaultColWidth="14.42578125" defaultRowHeight="15" customHeight="1"/>
  <cols>
    <col min="1" max="3" width="4.7109375" customWidth="1"/>
    <col min="4" max="4" width="5.42578125" customWidth="1"/>
    <col min="5" max="5" width="5" customWidth="1"/>
    <col min="6" max="6" width="5.5703125" customWidth="1"/>
    <col min="7" max="7" width="6" customWidth="1"/>
    <col min="8" max="8" width="7.28515625" customWidth="1"/>
    <col min="9" max="66" width="4.7109375" customWidth="1"/>
    <col min="67" max="67" width="8.85546875" customWidth="1"/>
  </cols>
  <sheetData>
    <row r="1" spans="1:67" ht="49.5" customHeight="1">
      <c r="A1" s="24" t="s">
        <v>287</v>
      </c>
      <c r="B1" s="506" t="s">
        <v>499</v>
      </c>
      <c r="C1" s="351"/>
      <c r="D1" s="734" t="s">
        <v>500</v>
      </c>
      <c r="E1" s="350"/>
      <c r="F1" s="350"/>
      <c r="G1" s="350"/>
      <c r="H1" s="351"/>
      <c r="I1" s="506" t="s">
        <v>501</v>
      </c>
      <c r="J1" s="350"/>
      <c r="K1" s="350"/>
      <c r="L1" s="350"/>
      <c r="M1" s="350"/>
      <c r="N1" s="350"/>
      <c r="O1" s="350"/>
      <c r="P1" s="351"/>
      <c r="Q1" s="571" t="s">
        <v>502</v>
      </c>
      <c r="R1" s="350"/>
      <c r="S1" s="350"/>
      <c r="T1" s="350"/>
      <c r="U1" s="350"/>
      <c r="V1" s="350"/>
      <c r="W1" s="350"/>
      <c r="X1" s="351"/>
      <c r="Y1" s="506" t="s">
        <v>503</v>
      </c>
      <c r="Z1" s="351"/>
      <c r="AA1" s="571" t="s">
        <v>504</v>
      </c>
      <c r="AB1" s="350"/>
      <c r="AC1" s="350"/>
      <c r="AD1" s="351"/>
      <c r="AE1" s="506" t="s">
        <v>505</v>
      </c>
      <c r="AF1" s="350"/>
      <c r="AG1" s="351"/>
      <c r="AH1" s="571" t="s">
        <v>506</v>
      </c>
      <c r="AI1" s="350"/>
      <c r="AJ1" s="351"/>
      <c r="AK1" s="506" t="s">
        <v>507</v>
      </c>
      <c r="AL1" s="350"/>
      <c r="AM1" s="350"/>
      <c r="AN1" s="351"/>
      <c r="AO1" s="571" t="s">
        <v>508</v>
      </c>
      <c r="AP1" s="350"/>
      <c r="AQ1" s="350"/>
      <c r="AR1" s="350"/>
      <c r="AS1" s="350"/>
      <c r="AT1" s="350"/>
      <c r="AU1" s="350"/>
      <c r="AV1" s="351"/>
      <c r="AW1" s="732" t="s">
        <v>509</v>
      </c>
      <c r="AX1" s="350"/>
      <c r="AY1" s="351"/>
      <c r="AZ1" s="733" t="s">
        <v>315</v>
      </c>
      <c r="BA1" s="350"/>
      <c r="BB1" s="350"/>
      <c r="BC1" s="350"/>
      <c r="BD1" s="350"/>
      <c r="BE1" s="350"/>
      <c r="BF1" s="350"/>
      <c r="BG1" s="350"/>
      <c r="BH1" s="350"/>
      <c r="BI1" s="350"/>
      <c r="BJ1" s="350"/>
      <c r="BK1" s="350"/>
      <c r="BL1" s="350"/>
      <c r="BM1" s="350"/>
      <c r="BN1" s="350"/>
      <c r="BO1" s="351"/>
    </row>
    <row r="2" spans="1:67" ht="15.75" customHeight="1">
      <c r="A2" s="466" t="str">
        <f>'GRANTEE SET UP INFO &amp; DATE '!A1</f>
        <v>WV Bureau for Behavioral Health  - Peer Recovery Support Services  V 20200110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428"/>
      <c r="BC2" s="69"/>
      <c r="BD2" s="69"/>
      <c r="BE2" s="69"/>
      <c r="BF2" s="69"/>
      <c r="BG2" s="69"/>
      <c r="BH2" s="69"/>
      <c r="BI2" s="69"/>
      <c r="BJ2" s="69"/>
      <c r="BK2" s="69"/>
      <c r="BL2" s="69"/>
      <c r="BM2" s="69"/>
      <c r="BN2" s="69"/>
      <c r="BO2" s="69"/>
    </row>
    <row r="3" spans="1:67" ht="15" customHeight="1">
      <c r="A3" s="467" t="str">
        <f>'GRANTEE SET UP INFO &amp; DATE '!A2</f>
        <v xml:space="preserve">Program reports need to be submitted electronically, via e-mail to DHHRBBHReporting@wv.gov  within 25 calendar days of the end of each month </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428"/>
      <c r="BC3" s="69"/>
      <c r="BD3" s="69"/>
      <c r="BE3" s="69"/>
      <c r="BF3" s="69"/>
      <c r="BG3" s="69"/>
      <c r="BH3" s="69"/>
      <c r="BI3" s="69"/>
      <c r="BJ3" s="69"/>
      <c r="BK3" s="69"/>
      <c r="BL3" s="69"/>
      <c r="BM3" s="69"/>
      <c r="BN3" s="69"/>
      <c r="BO3" s="69"/>
    </row>
    <row r="4" spans="1:67" ht="19.5" customHeight="1">
      <c r="A4" s="514" t="s">
        <v>510</v>
      </c>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428"/>
      <c r="BC4" s="8"/>
      <c r="BD4" s="8"/>
      <c r="BE4" s="8"/>
      <c r="BF4" s="8"/>
      <c r="BG4" s="8"/>
      <c r="BH4" s="8"/>
      <c r="BI4" s="8"/>
      <c r="BJ4" s="8"/>
      <c r="BK4" s="8"/>
      <c r="BL4" s="8"/>
      <c r="BM4" s="8"/>
      <c r="BN4" s="8"/>
      <c r="BO4" s="8"/>
    </row>
    <row r="5" spans="1:67" ht="15" customHeight="1">
      <c r="A5" s="697" t="s">
        <v>511</v>
      </c>
      <c r="B5" s="384"/>
      <c r="C5" s="384"/>
      <c r="D5" s="384"/>
      <c r="E5" s="384"/>
      <c r="F5" s="384"/>
      <c r="G5" s="385"/>
      <c r="H5" s="516" t="str">
        <f>'GRANTEE SET UP INFO &amp; DATE '!H4</f>
        <v>Recovery Community Organization (RCO)</v>
      </c>
      <c r="I5" s="361"/>
      <c r="J5" s="361"/>
      <c r="K5" s="361"/>
      <c r="L5" s="361"/>
      <c r="M5" s="361"/>
      <c r="N5" s="361"/>
      <c r="O5" s="361"/>
      <c r="P5" s="361"/>
      <c r="Q5" s="361"/>
      <c r="R5" s="361"/>
      <c r="S5" s="362"/>
      <c r="T5" s="5"/>
      <c r="U5" s="374" t="s">
        <v>32</v>
      </c>
      <c r="V5" s="350"/>
      <c r="W5" s="350"/>
      <c r="X5" s="350"/>
      <c r="Y5" s="351"/>
      <c r="Z5" s="517">
        <f>'GRANTEE SET UP INFO &amp; DATE '!Z4</f>
        <v>0</v>
      </c>
      <c r="AA5" s="350"/>
      <c r="AB5" s="350"/>
      <c r="AC5" s="350"/>
      <c r="AD5" s="350"/>
      <c r="AE5" s="350"/>
      <c r="AF5" s="350"/>
      <c r="AG5" s="350"/>
      <c r="AH5" s="350"/>
      <c r="AI5" s="350"/>
      <c r="AJ5" s="95"/>
      <c r="AK5" s="95"/>
      <c r="AL5" s="95"/>
      <c r="AM5" s="95"/>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row>
    <row r="6" spans="1:67" ht="14.25" customHeight="1">
      <c r="A6" s="368" t="s">
        <v>512</v>
      </c>
      <c r="B6" s="350"/>
      <c r="C6" s="350"/>
      <c r="D6" s="350"/>
      <c r="E6" s="350"/>
      <c r="F6" s="350"/>
      <c r="G6" s="351"/>
      <c r="H6" s="412">
        <f>'GRANTEE SET UP INFO &amp; DATE '!H5</f>
        <v>0</v>
      </c>
      <c r="I6" s="350"/>
      <c r="J6" s="350"/>
      <c r="K6" s="350"/>
      <c r="L6" s="350"/>
      <c r="M6" s="350"/>
      <c r="N6" s="350"/>
      <c r="O6" s="350"/>
      <c r="P6" s="350"/>
      <c r="Q6" s="350"/>
      <c r="R6" s="350"/>
      <c r="S6" s="351"/>
      <c r="T6" s="5"/>
      <c r="U6" s="479" t="s">
        <v>36</v>
      </c>
      <c r="V6" s="350"/>
      <c r="W6" s="350"/>
      <c r="X6" s="350"/>
      <c r="Y6" s="351"/>
      <c r="Z6" s="413" t="str">
        <f>'GRANTEE SET UP INFO &amp; DATE '!Z5</f>
        <v xml:space="preserve">Names of Contact(s): </v>
      </c>
      <c r="AA6" s="350"/>
      <c r="AB6" s="350"/>
      <c r="AC6" s="350"/>
      <c r="AD6" s="350"/>
      <c r="AE6" s="350"/>
      <c r="AF6" s="350"/>
      <c r="AG6" s="350"/>
      <c r="AH6" s="350"/>
      <c r="AI6" s="350"/>
      <c r="AJ6" s="96"/>
      <c r="AK6" s="96"/>
      <c r="AL6" s="96"/>
      <c r="AM6" s="96"/>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row>
    <row r="7" spans="1:67" ht="15" customHeight="1">
      <c r="A7" s="453" t="s">
        <v>38</v>
      </c>
      <c r="B7" s="355"/>
      <c r="C7" s="355"/>
      <c r="D7" s="355"/>
      <c r="E7" s="355"/>
      <c r="F7" s="355"/>
      <c r="G7" s="356"/>
      <c r="H7" s="519">
        <f>'GRANTEE SET UP INFO &amp; DATE '!H6</f>
        <v>0</v>
      </c>
      <c r="I7" s="355"/>
      <c r="J7" s="355"/>
      <c r="K7" s="355"/>
      <c r="L7" s="355"/>
      <c r="M7" s="355"/>
      <c r="N7" s="355"/>
      <c r="O7" s="355"/>
      <c r="P7" s="355"/>
      <c r="Q7" s="355"/>
      <c r="R7" s="355"/>
      <c r="S7" s="356"/>
      <c r="T7" s="5"/>
      <c r="U7" s="368" t="s">
        <v>40</v>
      </c>
      <c r="V7" s="350"/>
      <c r="W7" s="350"/>
      <c r="X7" s="350"/>
      <c r="Y7" s="351"/>
      <c r="Z7" s="412">
        <f>'GRANTEE SET UP INFO &amp; DATE '!Z6</f>
        <v>0</v>
      </c>
      <c r="AA7" s="350"/>
      <c r="AB7" s="350"/>
      <c r="AC7" s="350"/>
      <c r="AD7" s="350"/>
      <c r="AE7" s="350"/>
      <c r="AF7" s="350"/>
      <c r="AG7" s="350"/>
      <c r="AH7" s="350"/>
      <c r="AI7" s="350"/>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row>
    <row r="8" spans="1:67" ht="15" customHeight="1">
      <c r="A8" s="360"/>
      <c r="B8" s="361"/>
      <c r="C8" s="361"/>
      <c r="D8" s="361"/>
      <c r="E8" s="361"/>
      <c r="F8" s="361"/>
      <c r="G8" s="362"/>
      <c r="H8" s="360"/>
      <c r="I8" s="361"/>
      <c r="J8" s="361"/>
      <c r="K8" s="361"/>
      <c r="L8" s="361"/>
      <c r="M8" s="361"/>
      <c r="N8" s="361"/>
      <c r="O8" s="361"/>
      <c r="P8" s="361"/>
      <c r="Q8" s="361"/>
      <c r="R8" s="361"/>
      <c r="S8" s="362"/>
      <c r="T8" s="5"/>
      <c r="U8" s="368" t="s">
        <v>42</v>
      </c>
      <c r="V8" s="350"/>
      <c r="W8" s="350"/>
      <c r="X8" s="350"/>
      <c r="Y8" s="351"/>
      <c r="Z8" s="412">
        <f>'GRANTEE SET UP INFO &amp; DATE '!Z7</f>
        <v>0</v>
      </c>
      <c r="AA8" s="350"/>
      <c r="AB8" s="350"/>
      <c r="AC8" s="350"/>
      <c r="AD8" s="350"/>
      <c r="AE8" s="350"/>
      <c r="AF8" s="350"/>
      <c r="AG8" s="350"/>
      <c r="AH8" s="350"/>
      <c r="AI8" s="350"/>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row>
    <row r="9" spans="1:67" ht="24.75" customHeight="1">
      <c r="A9" s="521" t="s">
        <v>513</v>
      </c>
      <c r="B9" s="350"/>
      <c r="C9" s="350"/>
      <c r="D9" s="350"/>
      <c r="E9" s="350"/>
      <c r="F9" s="350"/>
      <c r="G9" s="351"/>
      <c r="H9" s="720" t="str">
        <f>'GRANTEE SET UP INFO &amp; DATE '!H8</f>
        <v>June 1 - 30</v>
      </c>
      <c r="I9" s="350"/>
      <c r="J9" s="350"/>
      <c r="K9" s="350"/>
      <c r="L9" s="350"/>
      <c r="M9" s="350"/>
      <c r="N9" s="350"/>
      <c r="O9" s="351"/>
      <c r="P9" s="720">
        <f>'GRANTEE SET UP INFO &amp; DATE '!P8</f>
        <v>2022</v>
      </c>
      <c r="Q9" s="350"/>
      <c r="R9" s="350"/>
      <c r="S9" s="351"/>
      <c r="T9" s="5"/>
      <c r="U9" s="698" t="s">
        <v>46</v>
      </c>
      <c r="V9" s="350"/>
      <c r="W9" s="350"/>
      <c r="X9" s="350"/>
      <c r="Y9" s="351"/>
      <c r="Z9" s="701">
        <f>'GRANTEE SET UP INFO &amp; DATE '!Z8</f>
        <v>0</v>
      </c>
      <c r="AA9" s="350"/>
      <c r="AB9" s="350"/>
      <c r="AC9" s="350"/>
      <c r="AD9" s="350"/>
      <c r="AE9" s="350"/>
      <c r="AF9" s="350"/>
      <c r="AG9" s="350"/>
      <c r="AH9" s="350"/>
      <c r="AI9" s="350"/>
      <c r="AJ9" s="97"/>
      <c r="AK9" s="97"/>
      <c r="AL9" s="97"/>
      <c r="AM9" s="97"/>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row>
    <row r="10" spans="1:67" ht="39.75" customHeight="1">
      <c r="A10" s="660" t="s">
        <v>514</v>
      </c>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428"/>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row>
    <row r="11" spans="1:67" ht="15" customHeight="1">
      <c r="A11" s="661" t="s">
        <v>515</v>
      </c>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42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row>
    <row r="12" spans="1:67" ht="60" customHeight="1">
      <c r="A12" s="25" t="s">
        <v>287</v>
      </c>
      <c r="B12" s="730" t="s">
        <v>516</v>
      </c>
      <c r="C12" s="351"/>
      <c r="D12" s="557" t="s">
        <v>517</v>
      </c>
      <c r="E12" s="350"/>
      <c r="F12" s="350"/>
      <c r="G12" s="350"/>
      <c r="H12" s="351"/>
      <c r="I12" s="502" t="s">
        <v>518</v>
      </c>
      <c r="J12" s="350"/>
      <c r="K12" s="350"/>
      <c r="L12" s="350"/>
      <c r="M12" s="350"/>
      <c r="N12" s="350"/>
      <c r="O12" s="350"/>
      <c r="P12" s="351"/>
      <c r="Q12" s="727" t="s">
        <v>502</v>
      </c>
      <c r="R12" s="350"/>
      <c r="S12" s="350"/>
      <c r="T12" s="350"/>
      <c r="U12" s="350"/>
      <c r="V12" s="350"/>
      <c r="W12" s="350"/>
      <c r="X12" s="351"/>
      <c r="Y12" s="731" t="s">
        <v>503</v>
      </c>
      <c r="Z12" s="351"/>
      <c r="AA12" s="727" t="s">
        <v>504</v>
      </c>
      <c r="AB12" s="350"/>
      <c r="AC12" s="350"/>
      <c r="AD12" s="351"/>
      <c r="AE12" s="492" t="s">
        <v>519</v>
      </c>
      <c r="AF12" s="350"/>
      <c r="AG12" s="351"/>
      <c r="AH12" s="605" t="s">
        <v>506</v>
      </c>
      <c r="AI12" s="350"/>
      <c r="AJ12" s="351"/>
      <c r="AK12" s="502" t="s">
        <v>520</v>
      </c>
      <c r="AL12" s="350"/>
      <c r="AM12" s="350"/>
      <c r="AN12" s="351"/>
      <c r="AO12" s="727" t="s">
        <v>521</v>
      </c>
      <c r="AP12" s="350"/>
      <c r="AQ12" s="350"/>
      <c r="AR12" s="350"/>
      <c r="AS12" s="350"/>
      <c r="AT12" s="350"/>
      <c r="AU12" s="350"/>
      <c r="AV12" s="351"/>
      <c r="AW12" s="728" t="s">
        <v>522</v>
      </c>
      <c r="AX12" s="350"/>
      <c r="AY12" s="351"/>
      <c r="AZ12" s="729" t="s">
        <v>315</v>
      </c>
      <c r="BA12" s="350"/>
      <c r="BB12" s="350"/>
      <c r="BC12" s="350"/>
      <c r="BD12" s="350"/>
      <c r="BE12" s="350"/>
      <c r="BF12" s="350"/>
      <c r="BG12" s="350"/>
      <c r="BH12" s="350"/>
      <c r="BI12" s="350"/>
      <c r="BJ12" s="350"/>
      <c r="BK12" s="350"/>
      <c r="BL12" s="350"/>
      <c r="BM12" s="350"/>
      <c r="BN12" s="350"/>
      <c r="BO12" s="351"/>
    </row>
    <row r="13" spans="1:67" ht="34.5" customHeight="1">
      <c r="A13" s="98">
        <f t="shared" ref="A13:A267" si="0">+ROW(A1)</f>
        <v>1</v>
      </c>
      <c r="B13" s="416" t="s">
        <v>325</v>
      </c>
      <c r="C13" s="351"/>
      <c r="D13" s="724"/>
      <c r="E13" s="350"/>
      <c r="F13" s="350"/>
      <c r="G13" s="350"/>
      <c r="H13" s="351"/>
      <c r="I13" s="412"/>
      <c r="J13" s="350"/>
      <c r="K13" s="350"/>
      <c r="L13" s="350"/>
      <c r="M13" s="350"/>
      <c r="N13" s="350"/>
      <c r="O13" s="350"/>
      <c r="P13" s="351"/>
      <c r="Q13" s="412"/>
      <c r="R13" s="350"/>
      <c r="S13" s="350"/>
      <c r="T13" s="350"/>
      <c r="U13" s="350"/>
      <c r="V13" s="350"/>
      <c r="W13" s="350"/>
      <c r="X13" s="351"/>
      <c r="Y13" s="412"/>
      <c r="Z13" s="351"/>
      <c r="AA13" s="412"/>
      <c r="AB13" s="350"/>
      <c r="AC13" s="350"/>
      <c r="AD13" s="351"/>
      <c r="AE13" s="412"/>
      <c r="AF13" s="350"/>
      <c r="AG13" s="351"/>
      <c r="AH13" s="412"/>
      <c r="AI13" s="350"/>
      <c r="AJ13" s="351"/>
      <c r="AK13" s="412"/>
      <c r="AL13" s="350"/>
      <c r="AM13" s="350"/>
      <c r="AN13" s="351"/>
      <c r="AO13" s="412"/>
      <c r="AP13" s="350"/>
      <c r="AQ13" s="350"/>
      <c r="AR13" s="350"/>
      <c r="AS13" s="350"/>
      <c r="AT13" s="350"/>
      <c r="AU13" s="350"/>
      <c r="AV13" s="351"/>
      <c r="AW13" s="723"/>
      <c r="AX13" s="350"/>
      <c r="AY13" s="351"/>
      <c r="AZ13" s="412"/>
      <c r="BA13" s="350"/>
      <c r="BB13" s="350"/>
      <c r="BC13" s="350"/>
      <c r="BD13" s="350"/>
      <c r="BE13" s="350"/>
      <c r="BF13" s="350"/>
      <c r="BG13" s="350"/>
      <c r="BH13" s="350"/>
      <c r="BI13" s="350"/>
      <c r="BJ13" s="350"/>
      <c r="BK13" s="350"/>
      <c r="BL13" s="350"/>
      <c r="BM13" s="350"/>
      <c r="BN13" s="350"/>
      <c r="BO13" s="351"/>
    </row>
    <row r="14" spans="1:67" ht="34.5" customHeight="1">
      <c r="A14" s="70">
        <f t="shared" si="0"/>
        <v>2</v>
      </c>
      <c r="B14" s="726" t="s">
        <v>325</v>
      </c>
      <c r="C14" s="351"/>
      <c r="D14" s="594"/>
      <c r="E14" s="350"/>
      <c r="F14" s="350"/>
      <c r="G14" s="350"/>
      <c r="H14" s="351"/>
      <c r="I14" s="368"/>
      <c r="J14" s="350"/>
      <c r="K14" s="350"/>
      <c r="L14" s="350"/>
      <c r="M14" s="350"/>
      <c r="N14" s="350"/>
      <c r="O14" s="350"/>
      <c r="P14" s="351"/>
      <c r="Q14" s="511"/>
      <c r="R14" s="350"/>
      <c r="S14" s="350"/>
      <c r="T14" s="350"/>
      <c r="U14" s="350"/>
      <c r="V14" s="350"/>
      <c r="W14" s="350"/>
      <c r="X14" s="351"/>
      <c r="Y14" s="368"/>
      <c r="Z14" s="351"/>
      <c r="AA14" s="511"/>
      <c r="AB14" s="350"/>
      <c r="AC14" s="350"/>
      <c r="AD14" s="351"/>
      <c r="AE14" s="368"/>
      <c r="AF14" s="350"/>
      <c r="AG14" s="351"/>
      <c r="AH14" s="511"/>
      <c r="AI14" s="350"/>
      <c r="AJ14" s="351"/>
      <c r="AK14" s="368"/>
      <c r="AL14" s="350"/>
      <c r="AM14" s="350"/>
      <c r="AN14" s="351"/>
      <c r="AO14" s="511"/>
      <c r="AP14" s="350"/>
      <c r="AQ14" s="350"/>
      <c r="AR14" s="350"/>
      <c r="AS14" s="350"/>
      <c r="AT14" s="350"/>
      <c r="AU14" s="350"/>
      <c r="AV14" s="351"/>
      <c r="AW14" s="725"/>
      <c r="AX14" s="350"/>
      <c r="AY14" s="351"/>
      <c r="AZ14" s="511"/>
      <c r="BA14" s="350"/>
      <c r="BB14" s="350"/>
      <c r="BC14" s="350"/>
      <c r="BD14" s="350"/>
      <c r="BE14" s="350"/>
      <c r="BF14" s="350"/>
      <c r="BG14" s="350"/>
      <c r="BH14" s="350"/>
      <c r="BI14" s="350"/>
      <c r="BJ14" s="350"/>
      <c r="BK14" s="350"/>
      <c r="BL14" s="350"/>
      <c r="BM14" s="350"/>
      <c r="BN14" s="350"/>
      <c r="BO14" s="351"/>
    </row>
    <row r="15" spans="1:67" ht="34.5" customHeight="1">
      <c r="A15" s="98">
        <f t="shared" si="0"/>
        <v>3</v>
      </c>
      <c r="B15" s="416" t="s">
        <v>325</v>
      </c>
      <c r="C15" s="351"/>
      <c r="D15" s="724"/>
      <c r="E15" s="350"/>
      <c r="F15" s="350"/>
      <c r="G15" s="350"/>
      <c r="H15" s="351"/>
      <c r="I15" s="412"/>
      <c r="J15" s="350"/>
      <c r="K15" s="350"/>
      <c r="L15" s="350"/>
      <c r="M15" s="350"/>
      <c r="N15" s="350"/>
      <c r="O15" s="350"/>
      <c r="P15" s="351"/>
      <c r="Q15" s="412"/>
      <c r="R15" s="350"/>
      <c r="S15" s="350"/>
      <c r="T15" s="350"/>
      <c r="U15" s="350"/>
      <c r="V15" s="350"/>
      <c r="W15" s="350"/>
      <c r="X15" s="351"/>
      <c r="Y15" s="412"/>
      <c r="Z15" s="351"/>
      <c r="AA15" s="412"/>
      <c r="AB15" s="350"/>
      <c r="AC15" s="350"/>
      <c r="AD15" s="351"/>
      <c r="AE15" s="412"/>
      <c r="AF15" s="350"/>
      <c r="AG15" s="351"/>
      <c r="AH15" s="412"/>
      <c r="AI15" s="350"/>
      <c r="AJ15" s="351"/>
      <c r="AK15" s="412"/>
      <c r="AL15" s="350"/>
      <c r="AM15" s="350"/>
      <c r="AN15" s="351"/>
      <c r="AO15" s="412"/>
      <c r="AP15" s="350"/>
      <c r="AQ15" s="350"/>
      <c r="AR15" s="350"/>
      <c r="AS15" s="350"/>
      <c r="AT15" s="350"/>
      <c r="AU15" s="350"/>
      <c r="AV15" s="351"/>
      <c r="AW15" s="723"/>
      <c r="AX15" s="350"/>
      <c r="AY15" s="351"/>
      <c r="AZ15" s="412"/>
      <c r="BA15" s="350"/>
      <c r="BB15" s="350"/>
      <c r="BC15" s="350"/>
      <c r="BD15" s="350"/>
      <c r="BE15" s="350"/>
      <c r="BF15" s="350"/>
      <c r="BG15" s="350"/>
      <c r="BH15" s="350"/>
      <c r="BI15" s="350"/>
      <c r="BJ15" s="350"/>
      <c r="BK15" s="350"/>
      <c r="BL15" s="350"/>
      <c r="BM15" s="350"/>
      <c r="BN15" s="350"/>
      <c r="BO15" s="351"/>
    </row>
    <row r="16" spans="1:67" ht="34.5" customHeight="1">
      <c r="A16" s="98">
        <f t="shared" si="0"/>
        <v>4</v>
      </c>
      <c r="B16" s="416" t="s">
        <v>325</v>
      </c>
      <c r="C16" s="351"/>
      <c r="D16" s="594"/>
      <c r="E16" s="350"/>
      <c r="F16" s="350"/>
      <c r="G16" s="350"/>
      <c r="H16" s="351"/>
      <c r="I16" s="368"/>
      <c r="J16" s="350"/>
      <c r="K16" s="350"/>
      <c r="L16" s="350"/>
      <c r="M16" s="350"/>
      <c r="N16" s="350"/>
      <c r="O16" s="350"/>
      <c r="P16" s="351"/>
      <c r="Q16" s="511"/>
      <c r="R16" s="350"/>
      <c r="S16" s="350"/>
      <c r="T16" s="350"/>
      <c r="U16" s="350"/>
      <c r="V16" s="350"/>
      <c r="W16" s="350"/>
      <c r="X16" s="351"/>
      <c r="Y16" s="368"/>
      <c r="Z16" s="351"/>
      <c r="AA16" s="511"/>
      <c r="AB16" s="350"/>
      <c r="AC16" s="350"/>
      <c r="AD16" s="351"/>
      <c r="AE16" s="368"/>
      <c r="AF16" s="350"/>
      <c r="AG16" s="351"/>
      <c r="AH16" s="511"/>
      <c r="AI16" s="350"/>
      <c r="AJ16" s="351"/>
      <c r="AK16" s="368"/>
      <c r="AL16" s="350"/>
      <c r="AM16" s="350"/>
      <c r="AN16" s="351"/>
      <c r="AO16" s="511"/>
      <c r="AP16" s="350"/>
      <c r="AQ16" s="350"/>
      <c r="AR16" s="350"/>
      <c r="AS16" s="350"/>
      <c r="AT16" s="350"/>
      <c r="AU16" s="350"/>
      <c r="AV16" s="351"/>
      <c r="AW16" s="725"/>
      <c r="AX16" s="350"/>
      <c r="AY16" s="351"/>
      <c r="AZ16" s="511"/>
      <c r="BA16" s="350"/>
      <c r="BB16" s="350"/>
      <c r="BC16" s="350"/>
      <c r="BD16" s="350"/>
      <c r="BE16" s="350"/>
      <c r="BF16" s="350"/>
      <c r="BG16" s="350"/>
      <c r="BH16" s="350"/>
      <c r="BI16" s="350"/>
      <c r="BJ16" s="350"/>
      <c r="BK16" s="350"/>
      <c r="BL16" s="350"/>
      <c r="BM16" s="350"/>
      <c r="BN16" s="350"/>
      <c r="BO16" s="351"/>
    </row>
    <row r="17" spans="1:67" ht="34.5" customHeight="1">
      <c r="A17" s="98">
        <f t="shared" si="0"/>
        <v>5</v>
      </c>
      <c r="B17" s="416" t="s">
        <v>325</v>
      </c>
      <c r="C17" s="351"/>
      <c r="D17" s="724"/>
      <c r="E17" s="350"/>
      <c r="F17" s="350"/>
      <c r="G17" s="350"/>
      <c r="H17" s="351"/>
      <c r="I17" s="412"/>
      <c r="J17" s="350"/>
      <c r="K17" s="350"/>
      <c r="L17" s="350"/>
      <c r="M17" s="350"/>
      <c r="N17" s="350"/>
      <c r="O17" s="350"/>
      <c r="P17" s="351"/>
      <c r="Q17" s="412"/>
      <c r="R17" s="350"/>
      <c r="S17" s="350"/>
      <c r="T17" s="350"/>
      <c r="U17" s="350"/>
      <c r="V17" s="350"/>
      <c r="W17" s="350"/>
      <c r="X17" s="351"/>
      <c r="Y17" s="412"/>
      <c r="Z17" s="351"/>
      <c r="AA17" s="412"/>
      <c r="AB17" s="350"/>
      <c r="AC17" s="350"/>
      <c r="AD17" s="351"/>
      <c r="AE17" s="412"/>
      <c r="AF17" s="350"/>
      <c r="AG17" s="351"/>
      <c r="AH17" s="412"/>
      <c r="AI17" s="350"/>
      <c r="AJ17" s="351"/>
      <c r="AK17" s="412"/>
      <c r="AL17" s="350"/>
      <c r="AM17" s="350"/>
      <c r="AN17" s="351"/>
      <c r="AO17" s="412"/>
      <c r="AP17" s="350"/>
      <c r="AQ17" s="350"/>
      <c r="AR17" s="350"/>
      <c r="AS17" s="350"/>
      <c r="AT17" s="350"/>
      <c r="AU17" s="350"/>
      <c r="AV17" s="351"/>
      <c r="AW17" s="723"/>
      <c r="AX17" s="350"/>
      <c r="AY17" s="351"/>
      <c r="AZ17" s="412"/>
      <c r="BA17" s="350"/>
      <c r="BB17" s="350"/>
      <c r="BC17" s="350"/>
      <c r="BD17" s="350"/>
      <c r="BE17" s="350"/>
      <c r="BF17" s="350"/>
      <c r="BG17" s="350"/>
      <c r="BH17" s="350"/>
      <c r="BI17" s="350"/>
      <c r="BJ17" s="350"/>
      <c r="BK17" s="350"/>
      <c r="BL17" s="350"/>
      <c r="BM17" s="350"/>
      <c r="BN17" s="350"/>
      <c r="BO17" s="351"/>
    </row>
    <row r="18" spans="1:67" ht="34.5" customHeight="1">
      <c r="A18" s="98">
        <f t="shared" si="0"/>
        <v>6</v>
      </c>
      <c r="B18" s="416" t="s">
        <v>325</v>
      </c>
      <c r="C18" s="351"/>
      <c r="D18" s="594"/>
      <c r="E18" s="350"/>
      <c r="F18" s="350"/>
      <c r="G18" s="350"/>
      <c r="H18" s="351"/>
      <c r="I18" s="368"/>
      <c r="J18" s="350"/>
      <c r="K18" s="350"/>
      <c r="L18" s="350"/>
      <c r="M18" s="350"/>
      <c r="N18" s="350"/>
      <c r="O18" s="350"/>
      <c r="P18" s="351"/>
      <c r="Q18" s="511"/>
      <c r="R18" s="350"/>
      <c r="S18" s="350"/>
      <c r="T18" s="350"/>
      <c r="U18" s="350"/>
      <c r="V18" s="350"/>
      <c r="W18" s="350"/>
      <c r="X18" s="351"/>
      <c r="Y18" s="368"/>
      <c r="Z18" s="351"/>
      <c r="AA18" s="511"/>
      <c r="AB18" s="350"/>
      <c r="AC18" s="350"/>
      <c r="AD18" s="351"/>
      <c r="AE18" s="368"/>
      <c r="AF18" s="350"/>
      <c r="AG18" s="351"/>
      <c r="AH18" s="511"/>
      <c r="AI18" s="350"/>
      <c r="AJ18" s="351"/>
      <c r="AK18" s="368"/>
      <c r="AL18" s="350"/>
      <c r="AM18" s="350"/>
      <c r="AN18" s="351"/>
      <c r="AO18" s="511"/>
      <c r="AP18" s="350"/>
      <c r="AQ18" s="350"/>
      <c r="AR18" s="350"/>
      <c r="AS18" s="350"/>
      <c r="AT18" s="350"/>
      <c r="AU18" s="350"/>
      <c r="AV18" s="351"/>
      <c r="AW18" s="725"/>
      <c r="AX18" s="350"/>
      <c r="AY18" s="351"/>
      <c r="AZ18" s="511"/>
      <c r="BA18" s="350"/>
      <c r="BB18" s="350"/>
      <c r="BC18" s="350"/>
      <c r="BD18" s="350"/>
      <c r="BE18" s="350"/>
      <c r="BF18" s="350"/>
      <c r="BG18" s="350"/>
      <c r="BH18" s="350"/>
      <c r="BI18" s="350"/>
      <c r="BJ18" s="350"/>
      <c r="BK18" s="350"/>
      <c r="BL18" s="350"/>
      <c r="BM18" s="350"/>
      <c r="BN18" s="350"/>
      <c r="BO18" s="351"/>
    </row>
    <row r="19" spans="1:67" ht="34.5" customHeight="1">
      <c r="A19" s="98">
        <f t="shared" si="0"/>
        <v>7</v>
      </c>
      <c r="B19" s="416" t="s">
        <v>325</v>
      </c>
      <c r="C19" s="351"/>
      <c r="D19" s="724"/>
      <c r="E19" s="350"/>
      <c r="F19" s="350"/>
      <c r="G19" s="350"/>
      <c r="H19" s="351"/>
      <c r="I19" s="412"/>
      <c r="J19" s="350"/>
      <c r="K19" s="350"/>
      <c r="L19" s="350"/>
      <c r="M19" s="350"/>
      <c r="N19" s="350"/>
      <c r="O19" s="350"/>
      <c r="P19" s="351"/>
      <c r="Q19" s="412"/>
      <c r="R19" s="350"/>
      <c r="S19" s="350"/>
      <c r="T19" s="350"/>
      <c r="U19" s="350"/>
      <c r="V19" s="350"/>
      <c r="W19" s="350"/>
      <c r="X19" s="351"/>
      <c r="Y19" s="412"/>
      <c r="Z19" s="351"/>
      <c r="AA19" s="412"/>
      <c r="AB19" s="350"/>
      <c r="AC19" s="350"/>
      <c r="AD19" s="351"/>
      <c r="AE19" s="412"/>
      <c r="AF19" s="350"/>
      <c r="AG19" s="351"/>
      <c r="AH19" s="412"/>
      <c r="AI19" s="350"/>
      <c r="AJ19" s="351"/>
      <c r="AK19" s="412"/>
      <c r="AL19" s="350"/>
      <c r="AM19" s="350"/>
      <c r="AN19" s="351"/>
      <c r="AO19" s="412"/>
      <c r="AP19" s="350"/>
      <c r="AQ19" s="350"/>
      <c r="AR19" s="350"/>
      <c r="AS19" s="350"/>
      <c r="AT19" s="350"/>
      <c r="AU19" s="350"/>
      <c r="AV19" s="351"/>
      <c r="AW19" s="723"/>
      <c r="AX19" s="350"/>
      <c r="AY19" s="351"/>
      <c r="AZ19" s="412"/>
      <c r="BA19" s="350"/>
      <c r="BB19" s="350"/>
      <c r="BC19" s="350"/>
      <c r="BD19" s="350"/>
      <c r="BE19" s="350"/>
      <c r="BF19" s="350"/>
      <c r="BG19" s="350"/>
      <c r="BH19" s="350"/>
      <c r="BI19" s="350"/>
      <c r="BJ19" s="350"/>
      <c r="BK19" s="350"/>
      <c r="BL19" s="350"/>
      <c r="BM19" s="350"/>
      <c r="BN19" s="350"/>
      <c r="BO19" s="351"/>
    </row>
    <row r="20" spans="1:67" ht="34.5" customHeight="1">
      <c r="A20" s="98">
        <f t="shared" si="0"/>
        <v>8</v>
      </c>
      <c r="B20" s="416" t="s">
        <v>325</v>
      </c>
      <c r="C20" s="351"/>
      <c r="D20" s="594"/>
      <c r="E20" s="350"/>
      <c r="F20" s="350"/>
      <c r="G20" s="350"/>
      <c r="H20" s="351"/>
      <c r="I20" s="368"/>
      <c r="J20" s="350"/>
      <c r="K20" s="350"/>
      <c r="L20" s="350"/>
      <c r="M20" s="350"/>
      <c r="N20" s="350"/>
      <c r="O20" s="350"/>
      <c r="P20" s="351"/>
      <c r="Q20" s="511"/>
      <c r="R20" s="350"/>
      <c r="S20" s="350"/>
      <c r="T20" s="350"/>
      <c r="U20" s="350"/>
      <c r="V20" s="350"/>
      <c r="W20" s="350"/>
      <c r="X20" s="351"/>
      <c r="Y20" s="368"/>
      <c r="Z20" s="351"/>
      <c r="AA20" s="511"/>
      <c r="AB20" s="350"/>
      <c r="AC20" s="350"/>
      <c r="AD20" s="351"/>
      <c r="AE20" s="368"/>
      <c r="AF20" s="350"/>
      <c r="AG20" s="351"/>
      <c r="AH20" s="511"/>
      <c r="AI20" s="350"/>
      <c r="AJ20" s="351"/>
      <c r="AK20" s="368"/>
      <c r="AL20" s="350"/>
      <c r="AM20" s="350"/>
      <c r="AN20" s="351"/>
      <c r="AO20" s="511"/>
      <c r="AP20" s="350"/>
      <c r="AQ20" s="350"/>
      <c r="AR20" s="350"/>
      <c r="AS20" s="350"/>
      <c r="AT20" s="350"/>
      <c r="AU20" s="350"/>
      <c r="AV20" s="351"/>
      <c r="AW20" s="725"/>
      <c r="AX20" s="350"/>
      <c r="AY20" s="351"/>
      <c r="AZ20" s="511"/>
      <c r="BA20" s="350"/>
      <c r="BB20" s="350"/>
      <c r="BC20" s="350"/>
      <c r="BD20" s="350"/>
      <c r="BE20" s="350"/>
      <c r="BF20" s="350"/>
      <c r="BG20" s="350"/>
      <c r="BH20" s="350"/>
      <c r="BI20" s="350"/>
      <c r="BJ20" s="350"/>
      <c r="BK20" s="350"/>
      <c r="BL20" s="350"/>
      <c r="BM20" s="350"/>
      <c r="BN20" s="350"/>
      <c r="BO20" s="351"/>
    </row>
    <row r="21" spans="1:67" ht="34.5" customHeight="1">
      <c r="A21" s="98">
        <f t="shared" si="0"/>
        <v>9</v>
      </c>
      <c r="B21" s="416" t="s">
        <v>325</v>
      </c>
      <c r="C21" s="351"/>
      <c r="D21" s="724"/>
      <c r="E21" s="350"/>
      <c r="F21" s="350"/>
      <c r="G21" s="350"/>
      <c r="H21" s="351"/>
      <c r="I21" s="412"/>
      <c r="J21" s="350"/>
      <c r="K21" s="350"/>
      <c r="L21" s="350"/>
      <c r="M21" s="350"/>
      <c r="N21" s="350"/>
      <c r="O21" s="350"/>
      <c r="P21" s="351"/>
      <c r="Q21" s="412"/>
      <c r="R21" s="350"/>
      <c r="S21" s="350"/>
      <c r="T21" s="350"/>
      <c r="U21" s="350"/>
      <c r="V21" s="350"/>
      <c r="W21" s="350"/>
      <c r="X21" s="351"/>
      <c r="Y21" s="412"/>
      <c r="Z21" s="351"/>
      <c r="AA21" s="412"/>
      <c r="AB21" s="350"/>
      <c r="AC21" s="350"/>
      <c r="AD21" s="351"/>
      <c r="AE21" s="412"/>
      <c r="AF21" s="350"/>
      <c r="AG21" s="351"/>
      <c r="AH21" s="412"/>
      <c r="AI21" s="350"/>
      <c r="AJ21" s="351"/>
      <c r="AK21" s="412"/>
      <c r="AL21" s="350"/>
      <c r="AM21" s="350"/>
      <c r="AN21" s="351"/>
      <c r="AO21" s="412"/>
      <c r="AP21" s="350"/>
      <c r="AQ21" s="350"/>
      <c r="AR21" s="350"/>
      <c r="AS21" s="350"/>
      <c r="AT21" s="350"/>
      <c r="AU21" s="350"/>
      <c r="AV21" s="351"/>
      <c r="AW21" s="723"/>
      <c r="AX21" s="350"/>
      <c r="AY21" s="351"/>
      <c r="AZ21" s="412"/>
      <c r="BA21" s="350"/>
      <c r="BB21" s="350"/>
      <c r="BC21" s="350"/>
      <c r="BD21" s="350"/>
      <c r="BE21" s="350"/>
      <c r="BF21" s="350"/>
      <c r="BG21" s="350"/>
      <c r="BH21" s="350"/>
      <c r="BI21" s="350"/>
      <c r="BJ21" s="350"/>
      <c r="BK21" s="350"/>
      <c r="BL21" s="350"/>
      <c r="BM21" s="350"/>
      <c r="BN21" s="350"/>
      <c r="BO21" s="351"/>
    </row>
    <row r="22" spans="1:67" ht="34.5" customHeight="1">
      <c r="A22" s="98">
        <f t="shared" si="0"/>
        <v>10</v>
      </c>
      <c r="B22" s="416" t="s">
        <v>325</v>
      </c>
      <c r="C22" s="351"/>
      <c r="D22" s="594"/>
      <c r="E22" s="350"/>
      <c r="F22" s="350"/>
      <c r="G22" s="350"/>
      <c r="H22" s="351"/>
      <c r="I22" s="368"/>
      <c r="J22" s="350"/>
      <c r="K22" s="350"/>
      <c r="L22" s="350"/>
      <c r="M22" s="350"/>
      <c r="N22" s="350"/>
      <c r="O22" s="350"/>
      <c r="P22" s="351"/>
      <c r="Q22" s="511"/>
      <c r="R22" s="350"/>
      <c r="S22" s="350"/>
      <c r="T22" s="350"/>
      <c r="U22" s="350"/>
      <c r="V22" s="350"/>
      <c r="W22" s="350"/>
      <c r="X22" s="351"/>
      <c r="Y22" s="368"/>
      <c r="Z22" s="351"/>
      <c r="AA22" s="511"/>
      <c r="AB22" s="350"/>
      <c r="AC22" s="350"/>
      <c r="AD22" s="351"/>
      <c r="AE22" s="368"/>
      <c r="AF22" s="350"/>
      <c r="AG22" s="351"/>
      <c r="AH22" s="511"/>
      <c r="AI22" s="350"/>
      <c r="AJ22" s="351"/>
      <c r="AK22" s="368"/>
      <c r="AL22" s="350"/>
      <c r="AM22" s="350"/>
      <c r="AN22" s="351"/>
      <c r="AO22" s="511"/>
      <c r="AP22" s="350"/>
      <c r="AQ22" s="350"/>
      <c r="AR22" s="350"/>
      <c r="AS22" s="350"/>
      <c r="AT22" s="350"/>
      <c r="AU22" s="350"/>
      <c r="AV22" s="351"/>
      <c r="AW22" s="725"/>
      <c r="AX22" s="350"/>
      <c r="AY22" s="351"/>
      <c r="AZ22" s="511"/>
      <c r="BA22" s="350"/>
      <c r="BB22" s="350"/>
      <c r="BC22" s="350"/>
      <c r="BD22" s="350"/>
      <c r="BE22" s="350"/>
      <c r="BF22" s="350"/>
      <c r="BG22" s="350"/>
      <c r="BH22" s="350"/>
      <c r="BI22" s="350"/>
      <c r="BJ22" s="350"/>
      <c r="BK22" s="350"/>
      <c r="BL22" s="350"/>
      <c r="BM22" s="350"/>
      <c r="BN22" s="350"/>
      <c r="BO22" s="351"/>
    </row>
    <row r="23" spans="1:67" ht="34.5" customHeight="1">
      <c r="A23" s="98">
        <f t="shared" si="0"/>
        <v>11</v>
      </c>
      <c r="B23" s="416" t="s">
        <v>325</v>
      </c>
      <c r="C23" s="351"/>
      <c r="D23" s="724"/>
      <c r="E23" s="350"/>
      <c r="F23" s="350"/>
      <c r="G23" s="350"/>
      <c r="H23" s="351"/>
      <c r="I23" s="412"/>
      <c r="J23" s="350"/>
      <c r="K23" s="350"/>
      <c r="L23" s="350"/>
      <c r="M23" s="350"/>
      <c r="N23" s="350"/>
      <c r="O23" s="350"/>
      <c r="P23" s="351"/>
      <c r="Q23" s="412"/>
      <c r="R23" s="350"/>
      <c r="S23" s="350"/>
      <c r="T23" s="350"/>
      <c r="U23" s="350"/>
      <c r="V23" s="350"/>
      <c r="W23" s="350"/>
      <c r="X23" s="351"/>
      <c r="Y23" s="412"/>
      <c r="Z23" s="351"/>
      <c r="AA23" s="412"/>
      <c r="AB23" s="350"/>
      <c r="AC23" s="350"/>
      <c r="AD23" s="351"/>
      <c r="AE23" s="412"/>
      <c r="AF23" s="350"/>
      <c r="AG23" s="351"/>
      <c r="AH23" s="412"/>
      <c r="AI23" s="350"/>
      <c r="AJ23" s="351"/>
      <c r="AK23" s="412"/>
      <c r="AL23" s="350"/>
      <c r="AM23" s="350"/>
      <c r="AN23" s="351"/>
      <c r="AO23" s="412"/>
      <c r="AP23" s="350"/>
      <c r="AQ23" s="350"/>
      <c r="AR23" s="350"/>
      <c r="AS23" s="350"/>
      <c r="AT23" s="350"/>
      <c r="AU23" s="350"/>
      <c r="AV23" s="351"/>
      <c r="AW23" s="723"/>
      <c r="AX23" s="350"/>
      <c r="AY23" s="351"/>
      <c r="AZ23" s="412"/>
      <c r="BA23" s="350"/>
      <c r="BB23" s="350"/>
      <c r="BC23" s="350"/>
      <c r="BD23" s="350"/>
      <c r="BE23" s="350"/>
      <c r="BF23" s="350"/>
      <c r="BG23" s="350"/>
      <c r="BH23" s="350"/>
      <c r="BI23" s="350"/>
      <c r="BJ23" s="350"/>
      <c r="BK23" s="350"/>
      <c r="BL23" s="350"/>
      <c r="BM23" s="350"/>
      <c r="BN23" s="350"/>
      <c r="BO23" s="351"/>
    </row>
    <row r="24" spans="1:67" ht="34.5" customHeight="1">
      <c r="A24" s="98">
        <f t="shared" si="0"/>
        <v>12</v>
      </c>
      <c r="B24" s="416" t="s">
        <v>325</v>
      </c>
      <c r="C24" s="351"/>
      <c r="D24" s="594"/>
      <c r="E24" s="350"/>
      <c r="F24" s="350"/>
      <c r="G24" s="350"/>
      <c r="H24" s="351"/>
      <c r="I24" s="368"/>
      <c r="J24" s="350"/>
      <c r="K24" s="350"/>
      <c r="L24" s="350"/>
      <c r="M24" s="350"/>
      <c r="N24" s="350"/>
      <c r="O24" s="350"/>
      <c r="P24" s="351"/>
      <c r="Q24" s="511"/>
      <c r="R24" s="350"/>
      <c r="S24" s="350"/>
      <c r="T24" s="350"/>
      <c r="U24" s="350"/>
      <c r="V24" s="350"/>
      <c r="W24" s="350"/>
      <c r="X24" s="351"/>
      <c r="Y24" s="368"/>
      <c r="Z24" s="351"/>
      <c r="AA24" s="511"/>
      <c r="AB24" s="350"/>
      <c r="AC24" s="350"/>
      <c r="AD24" s="351"/>
      <c r="AE24" s="368"/>
      <c r="AF24" s="350"/>
      <c r="AG24" s="351"/>
      <c r="AH24" s="511"/>
      <c r="AI24" s="350"/>
      <c r="AJ24" s="351"/>
      <c r="AK24" s="368"/>
      <c r="AL24" s="350"/>
      <c r="AM24" s="350"/>
      <c r="AN24" s="351"/>
      <c r="AO24" s="511"/>
      <c r="AP24" s="350"/>
      <c r="AQ24" s="350"/>
      <c r="AR24" s="350"/>
      <c r="AS24" s="350"/>
      <c r="AT24" s="350"/>
      <c r="AU24" s="350"/>
      <c r="AV24" s="351"/>
      <c r="AW24" s="725"/>
      <c r="AX24" s="350"/>
      <c r="AY24" s="351"/>
      <c r="AZ24" s="511"/>
      <c r="BA24" s="350"/>
      <c r="BB24" s="350"/>
      <c r="BC24" s="350"/>
      <c r="BD24" s="350"/>
      <c r="BE24" s="350"/>
      <c r="BF24" s="350"/>
      <c r="BG24" s="350"/>
      <c r="BH24" s="350"/>
      <c r="BI24" s="350"/>
      <c r="BJ24" s="350"/>
      <c r="BK24" s="350"/>
      <c r="BL24" s="350"/>
      <c r="BM24" s="350"/>
      <c r="BN24" s="350"/>
      <c r="BO24" s="351"/>
    </row>
    <row r="25" spans="1:67" ht="34.5" customHeight="1">
      <c r="A25" s="98">
        <f t="shared" si="0"/>
        <v>13</v>
      </c>
      <c r="B25" s="416" t="s">
        <v>325</v>
      </c>
      <c r="C25" s="351"/>
      <c r="D25" s="724"/>
      <c r="E25" s="350"/>
      <c r="F25" s="350"/>
      <c r="G25" s="350"/>
      <c r="H25" s="351"/>
      <c r="I25" s="412"/>
      <c r="J25" s="350"/>
      <c r="K25" s="350"/>
      <c r="L25" s="350"/>
      <c r="M25" s="350"/>
      <c r="N25" s="350"/>
      <c r="O25" s="350"/>
      <c r="P25" s="351"/>
      <c r="Q25" s="412"/>
      <c r="R25" s="350"/>
      <c r="S25" s="350"/>
      <c r="T25" s="350"/>
      <c r="U25" s="350"/>
      <c r="V25" s="350"/>
      <c r="W25" s="350"/>
      <c r="X25" s="351"/>
      <c r="Y25" s="412"/>
      <c r="Z25" s="351"/>
      <c r="AA25" s="412"/>
      <c r="AB25" s="350"/>
      <c r="AC25" s="350"/>
      <c r="AD25" s="351"/>
      <c r="AE25" s="412"/>
      <c r="AF25" s="350"/>
      <c r="AG25" s="351"/>
      <c r="AH25" s="412"/>
      <c r="AI25" s="350"/>
      <c r="AJ25" s="351"/>
      <c r="AK25" s="412"/>
      <c r="AL25" s="350"/>
      <c r="AM25" s="350"/>
      <c r="AN25" s="351"/>
      <c r="AO25" s="412"/>
      <c r="AP25" s="350"/>
      <c r="AQ25" s="350"/>
      <c r="AR25" s="350"/>
      <c r="AS25" s="350"/>
      <c r="AT25" s="350"/>
      <c r="AU25" s="350"/>
      <c r="AV25" s="351"/>
      <c r="AW25" s="723"/>
      <c r="AX25" s="350"/>
      <c r="AY25" s="351"/>
      <c r="AZ25" s="412"/>
      <c r="BA25" s="350"/>
      <c r="BB25" s="350"/>
      <c r="BC25" s="350"/>
      <c r="BD25" s="350"/>
      <c r="BE25" s="350"/>
      <c r="BF25" s="350"/>
      <c r="BG25" s="350"/>
      <c r="BH25" s="350"/>
      <c r="BI25" s="350"/>
      <c r="BJ25" s="350"/>
      <c r="BK25" s="350"/>
      <c r="BL25" s="350"/>
      <c r="BM25" s="350"/>
      <c r="BN25" s="350"/>
      <c r="BO25" s="351"/>
    </row>
    <row r="26" spans="1:67" ht="34.5" customHeight="1">
      <c r="A26" s="98">
        <f t="shared" si="0"/>
        <v>14</v>
      </c>
      <c r="B26" s="416" t="s">
        <v>325</v>
      </c>
      <c r="C26" s="351"/>
      <c r="D26" s="594"/>
      <c r="E26" s="350"/>
      <c r="F26" s="350"/>
      <c r="G26" s="350"/>
      <c r="H26" s="351"/>
      <c r="I26" s="368"/>
      <c r="J26" s="350"/>
      <c r="K26" s="350"/>
      <c r="L26" s="350"/>
      <c r="M26" s="350"/>
      <c r="N26" s="350"/>
      <c r="O26" s="350"/>
      <c r="P26" s="351"/>
      <c r="Q26" s="511"/>
      <c r="R26" s="350"/>
      <c r="S26" s="350"/>
      <c r="T26" s="350"/>
      <c r="U26" s="350"/>
      <c r="V26" s="350"/>
      <c r="W26" s="350"/>
      <c r="X26" s="351"/>
      <c r="Y26" s="368"/>
      <c r="Z26" s="351"/>
      <c r="AA26" s="511"/>
      <c r="AB26" s="350"/>
      <c r="AC26" s="350"/>
      <c r="AD26" s="351"/>
      <c r="AE26" s="368"/>
      <c r="AF26" s="350"/>
      <c r="AG26" s="351"/>
      <c r="AH26" s="511"/>
      <c r="AI26" s="350"/>
      <c r="AJ26" s="351"/>
      <c r="AK26" s="368"/>
      <c r="AL26" s="350"/>
      <c r="AM26" s="350"/>
      <c r="AN26" s="351"/>
      <c r="AO26" s="511"/>
      <c r="AP26" s="350"/>
      <c r="AQ26" s="350"/>
      <c r="AR26" s="350"/>
      <c r="AS26" s="350"/>
      <c r="AT26" s="350"/>
      <c r="AU26" s="350"/>
      <c r="AV26" s="351"/>
      <c r="AW26" s="725"/>
      <c r="AX26" s="350"/>
      <c r="AY26" s="351"/>
      <c r="AZ26" s="511"/>
      <c r="BA26" s="350"/>
      <c r="BB26" s="350"/>
      <c r="BC26" s="350"/>
      <c r="BD26" s="350"/>
      <c r="BE26" s="350"/>
      <c r="BF26" s="350"/>
      <c r="BG26" s="350"/>
      <c r="BH26" s="350"/>
      <c r="BI26" s="350"/>
      <c r="BJ26" s="350"/>
      <c r="BK26" s="350"/>
      <c r="BL26" s="350"/>
      <c r="BM26" s="350"/>
      <c r="BN26" s="350"/>
      <c r="BO26" s="351"/>
    </row>
    <row r="27" spans="1:67" ht="34.5" customHeight="1">
      <c r="A27" s="98">
        <f t="shared" si="0"/>
        <v>15</v>
      </c>
      <c r="B27" s="416" t="s">
        <v>325</v>
      </c>
      <c r="C27" s="351"/>
      <c r="D27" s="724"/>
      <c r="E27" s="350"/>
      <c r="F27" s="350"/>
      <c r="G27" s="350"/>
      <c r="H27" s="351"/>
      <c r="I27" s="412"/>
      <c r="J27" s="350"/>
      <c r="K27" s="350"/>
      <c r="L27" s="350"/>
      <c r="M27" s="350"/>
      <c r="N27" s="350"/>
      <c r="O27" s="350"/>
      <c r="P27" s="351"/>
      <c r="Q27" s="412"/>
      <c r="R27" s="350"/>
      <c r="S27" s="350"/>
      <c r="T27" s="350"/>
      <c r="U27" s="350"/>
      <c r="V27" s="350"/>
      <c r="W27" s="350"/>
      <c r="X27" s="351"/>
      <c r="Y27" s="412"/>
      <c r="Z27" s="351"/>
      <c r="AA27" s="412"/>
      <c r="AB27" s="350"/>
      <c r="AC27" s="350"/>
      <c r="AD27" s="351"/>
      <c r="AE27" s="412"/>
      <c r="AF27" s="350"/>
      <c r="AG27" s="351"/>
      <c r="AH27" s="412"/>
      <c r="AI27" s="350"/>
      <c r="AJ27" s="351"/>
      <c r="AK27" s="412"/>
      <c r="AL27" s="350"/>
      <c r="AM27" s="350"/>
      <c r="AN27" s="351"/>
      <c r="AO27" s="412"/>
      <c r="AP27" s="350"/>
      <c r="AQ27" s="350"/>
      <c r="AR27" s="350"/>
      <c r="AS27" s="350"/>
      <c r="AT27" s="350"/>
      <c r="AU27" s="350"/>
      <c r="AV27" s="351"/>
      <c r="AW27" s="723"/>
      <c r="AX27" s="350"/>
      <c r="AY27" s="351"/>
      <c r="AZ27" s="412"/>
      <c r="BA27" s="350"/>
      <c r="BB27" s="350"/>
      <c r="BC27" s="350"/>
      <c r="BD27" s="350"/>
      <c r="BE27" s="350"/>
      <c r="BF27" s="350"/>
      <c r="BG27" s="350"/>
      <c r="BH27" s="350"/>
      <c r="BI27" s="350"/>
      <c r="BJ27" s="350"/>
      <c r="BK27" s="350"/>
      <c r="BL27" s="350"/>
      <c r="BM27" s="350"/>
      <c r="BN27" s="350"/>
      <c r="BO27" s="351"/>
    </row>
    <row r="28" spans="1:67" ht="34.5" customHeight="1">
      <c r="A28" s="98">
        <f t="shared" si="0"/>
        <v>16</v>
      </c>
      <c r="B28" s="416" t="s">
        <v>325</v>
      </c>
      <c r="C28" s="351"/>
      <c r="D28" s="594"/>
      <c r="E28" s="350"/>
      <c r="F28" s="350"/>
      <c r="G28" s="350"/>
      <c r="H28" s="351"/>
      <c r="I28" s="368"/>
      <c r="J28" s="350"/>
      <c r="K28" s="350"/>
      <c r="L28" s="350"/>
      <c r="M28" s="350"/>
      <c r="N28" s="350"/>
      <c r="O28" s="350"/>
      <c r="P28" s="351"/>
      <c r="Q28" s="511"/>
      <c r="R28" s="350"/>
      <c r="S28" s="350"/>
      <c r="T28" s="350"/>
      <c r="U28" s="350"/>
      <c r="V28" s="350"/>
      <c r="W28" s="350"/>
      <c r="X28" s="351"/>
      <c r="Y28" s="368"/>
      <c r="Z28" s="351"/>
      <c r="AA28" s="511"/>
      <c r="AB28" s="350"/>
      <c r="AC28" s="350"/>
      <c r="AD28" s="351"/>
      <c r="AE28" s="368"/>
      <c r="AF28" s="350"/>
      <c r="AG28" s="351"/>
      <c r="AH28" s="511"/>
      <c r="AI28" s="350"/>
      <c r="AJ28" s="351"/>
      <c r="AK28" s="368"/>
      <c r="AL28" s="350"/>
      <c r="AM28" s="350"/>
      <c r="AN28" s="351"/>
      <c r="AO28" s="511"/>
      <c r="AP28" s="350"/>
      <c r="AQ28" s="350"/>
      <c r="AR28" s="350"/>
      <c r="AS28" s="350"/>
      <c r="AT28" s="350"/>
      <c r="AU28" s="350"/>
      <c r="AV28" s="351"/>
      <c r="AW28" s="725"/>
      <c r="AX28" s="350"/>
      <c r="AY28" s="351"/>
      <c r="AZ28" s="511"/>
      <c r="BA28" s="350"/>
      <c r="BB28" s="350"/>
      <c r="BC28" s="350"/>
      <c r="BD28" s="350"/>
      <c r="BE28" s="350"/>
      <c r="BF28" s="350"/>
      <c r="BG28" s="350"/>
      <c r="BH28" s="350"/>
      <c r="BI28" s="350"/>
      <c r="BJ28" s="350"/>
      <c r="BK28" s="350"/>
      <c r="BL28" s="350"/>
      <c r="BM28" s="350"/>
      <c r="BN28" s="350"/>
      <c r="BO28" s="351"/>
    </row>
    <row r="29" spans="1:67" ht="34.5" customHeight="1">
      <c r="A29" s="98">
        <f t="shared" si="0"/>
        <v>17</v>
      </c>
      <c r="B29" s="416" t="s">
        <v>325</v>
      </c>
      <c r="C29" s="351"/>
      <c r="D29" s="724"/>
      <c r="E29" s="350"/>
      <c r="F29" s="350"/>
      <c r="G29" s="350"/>
      <c r="H29" s="351"/>
      <c r="I29" s="412"/>
      <c r="J29" s="350"/>
      <c r="K29" s="350"/>
      <c r="L29" s="350"/>
      <c r="M29" s="350"/>
      <c r="N29" s="350"/>
      <c r="O29" s="350"/>
      <c r="P29" s="351"/>
      <c r="Q29" s="412"/>
      <c r="R29" s="350"/>
      <c r="S29" s="350"/>
      <c r="T29" s="350"/>
      <c r="U29" s="350"/>
      <c r="V29" s="350"/>
      <c r="W29" s="350"/>
      <c r="X29" s="351"/>
      <c r="Y29" s="412"/>
      <c r="Z29" s="351"/>
      <c r="AA29" s="412"/>
      <c r="AB29" s="350"/>
      <c r="AC29" s="350"/>
      <c r="AD29" s="351"/>
      <c r="AE29" s="412"/>
      <c r="AF29" s="350"/>
      <c r="AG29" s="351"/>
      <c r="AH29" s="412"/>
      <c r="AI29" s="350"/>
      <c r="AJ29" s="351"/>
      <c r="AK29" s="412"/>
      <c r="AL29" s="350"/>
      <c r="AM29" s="350"/>
      <c r="AN29" s="351"/>
      <c r="AO29" s="412"/>
      <c r="AP29" s="350"/>
      <c r="AQ29" s="350"/>
      <c r="AR29" s="350"/>
      <c r="AS29" s="350"/>
      <c r="AT29" s="350"/>
      <c r="AU29" s="350"/>
      <c r="AV29" s="351"/>
      <c r="AW29" s="723"/>
      <c r="AX29" s="350"/>
      <c r="AY29" s="351"/>
      <c r="AZ29" s="412"/>
      <c r="BA29" s="350"/>
      <c r="BB29" s="350"/>
      <c r="BC29" s="350"/>
      <c r="BD29" s="350"/>
      <c r="BE29" s="350"/>
      <c r="BF29" s="350"/>
      <c r="BG29" s="350"/>
      <c r="BH29" s="350"/>
      <c r="BI29" s="350"/>
      <c r="BJ29" s="350"/>
      <c r="BK29" s="350"/>
      <c r="BL29" s="350"/>
      <c r="BM29" s="350"/>
      <c r="BN29" s="350"/>
      <c r="BO29" s="351"/>
    </row>
    <row r="30" spans="1:67" ht="34.5" customHeight="1">
      <c r="A30" s="98">
        <f t="shared" si="0"/>
        <v>18</v>
      </c>
      <c r="B30" s="416" t="s">
        <v>325</v>
      </c>
      <c r="C30" s="351"/>
      <c r="D30" s="594"/>
      <c r="E30" s="350"/>
      <c r="F30" s="350"/>
      <c r="G30" s="350"/>
      <c r="H30" s="351"/>
      <c r="I30" s="368"/>
      <c r="J30" s="350"/>
      <c r="K30" s="350"/>
      <c r="L30" s="350"/>
      <c r="M30" s="350"/>
      <c r="N30" s="350"/>
      <c r="O30" s="350"/>
      <c r="P30" s="351"/>
      <c r="Q30" s="511"/>
      <c r="R30" s="350"/>
      <c r="S30" s="350"/>
      <c r="T30" s="350"/>
      <c r="U30" s="350"/>
      <c r="V30" s="350"/>
      <c r="W30" s="350"/>
      <c r="X30" s="351"/>
      <c r="Y30" s="368"/>
      <c r="Z30" s="351"/>
      <c r="AA30" s="511"/>
      <c r="AB30" s="350"/>
      <c r="AC30" s="350"/>
      <c r="AD30" s="351"/>
      <c r="AE30" s="368"/>
      <c r="AF30" s="350"/>
      <c r="AG30" s="351"/>
      <c r="AH30" s="511"/>
      <c r="AI30" s="350"/>
      <c r="AJ30" s="351"/>
      <c r="AK30" s="368"/>
      <c r="AL30" s="350"/>
      <c r="AM30" s="350"/>
      <c r="AN30" s="351"/>
      <c r="AO30" s="511"/>
      <c r="AP30" s="350"/>
      <c r="AQ30" s="350"/>
      <c r="AR30" s="350"/>
      <c r="AS30" s="350"/>
      <c r="AT30" s="350"/>
      <c r="AU30" s="350"/>
      <c r="AV30" s="351"/>
      <c r="AW30" s="725"/>
      <c r="AX30" s="350"/>
      <c r="AY30" s="351"/>
      <c r="AZ30" s="511"/>
      <c r="BA30" s="350"/>
      <c r="BB30" s="350"/>
      <c r="BC30" s="350"/>
      <c r="BD30" s="350"/>
      <c r="BE30" s="350"/>
      <c r="BF30" s="350"/>
      <c r="BG30" s="350"/>
      <c r="BH30" s="350"/>
      <c r="BI30" s="350"/>
      <c r="BJ30" s="350"/>
      <c r="BK30" s="350"/>
      <c r="BL30" s="350"/>
      <c r="BM30" s="350"/>
      <c r="BN30" s="350"/>
      <c r="BO30" s="351"/>
    </row>
    <row r="31" spans="1:67" ht="34.5" customHeight="1">
      <c r="A31" s="98">
        <f t="shared" si="0"/>
        <v>19</v>
      </c>
      <c r="B31" s="416" t="s">
        <v>325</v>
      </c>
      <c r="C31" s="351"/>
      <c r="D31" s="724"/>
      <c r="E31" s="350"/>
      <c r="F31" s="350"/>
      <c r="G31" s="350"/>
      <c r="H31" s="351"/>
      <c r="I31" s="412"/>
      <c r="J31" s="350"/>
      <c r="K31" s="350"/>
      <c r="L31" s="350"/>
      <c r="M31" s="350"/>
      <c r="N31" s="350"/>
      <c r="O31" s="350"/>
      <c r="P31" s="351"/>
      <c r="Q31" s="412"/>
      <c r="R31" s="350"/>
      <c r="S31" s="350"/>
      <c r="T31" s="350"/>
      <c r="U31" s="350"/>
      <c r="V31" s="350"/>
      <c r="W31" s="350"/>
      <c r="X31" s="351"/>
      <c r="Y31" s="412"/>
      <c r="Z31" s="351"/>
      <c r="AA31" s="412"/>
      <c r="AB31" s="350"/>
      <c r="AC31" s="350"/>
      <c r="AD31" s="351"/>
      <c r="AE31" s="412"/>
      <c r="AF31" s="350"/>
      <c r="AG31" s="351"/>
      <c r="AH31" s="412"/>
      <c r="AI31" s="350"/>
      <c r="AJ31" s="351"/>
      <c r="AK31" s="412"/>
      <c r="AL31" s="350"/>
      <c r="AM31" s="350"/>
      <c r="AN31" s="351"/>
      <c r="AO31" s="412"/>
      <c r="AP31" s="350"/>
      <c r="AQ31" s="350"/>
      <c r="AR31" s="350"/>
      <c r="AS31" s="350"/>
      <c r="AT31" s="350"/>
      <c r="AU31" s="350"/>
      <c r="AV31" s="351"/>
      <c r="AW31" s="723"/>
      <c r="AX31" s="350"/>
      <c r="AY31" s="351"/>
      <c r="AZ31" s="412"/>
      <c r="BA31" s="350"/>
      <c r="BB31" s="350"/>
      <c r="BC31" s="350"/>
      <c r="BD31" s="350"/>
      <c r="BE31" s="350"/>
      <c r="BF31" s="350"/>
      <c r="BG31" s="350"/>
      <c r="BH31" s="350"/>
      <c r="BI31" s="350"/>
      <c r="BJ31" s="350"/>
      <c r="BK31" s="350"/>
      <c r="BL31" s="350"/>
      <c r="BM31" s="350"/>
      <c r="BN31" s="350"/>
      <c r="BO31" s="351"/>
    </row>
    <row r="32" spans="1:67" ht="34.5" customHeight="1">
      <c r="A32" s="98">
        <f t="shared" si="0"/>
        <v>20</v>
      </c>
      <c r="B32" s="726" t="s">
        <v>325</v>
      </c>
      <c r="C32" s="351"/>
      <c r="D32" s="594"/>
      <c r="E32" s="350"/>
      <c r="F32" s="350"/>
      <c r="G32" s="350"/>
      <c r="H32" s="351"/>
      <c r="I32" s="368"/>
      <c r="J32" s="350"/>
      <c r="K32" s="350"/>
      <c r="L32" s="350"/>
      <c r="M32" s="350"/>
      <c r="N32" s="350"/>
      <c r="O32" s="350"/>
      <c r="P32" s="351"/>
      <c r="Q32" s="511"/>
      <c r="R32" s="350"/>
      <c r="S32" s="350"/>
      <c r="T32" s="350"/>
      <c r="U32" s="350"/>
      <c r="V32" s="350"/>
      <c r="W32" s="350"/>
      <c r="X32" s="351"/>
      <c r="Y32" s="368"/>
      <c r="Z32" s="351"/>
      <c r="AA32" s="511"/>
      <c r="AB32" s="350"/>
      <c r="AC32" s="350"/>
      <c r="AD32" s="351"/>
      <c r="AE32" s="368"/>
      <c r="AF32" s="350"/>
      <c r="AG32" s="351"/>
      <c r="AH32" s="511"/>
      <c r="AI32" s="350"/>
      <c r="AJ32" s="351"/>
      <c r="AK32" s="368"/>
      <c r="AL32" s="350"/>
      <c r="AM32" s="350"/>
      <c r="AN32" s="351"/>
      <c r="AO32" s="511"/>
      <c r="AP32" s="350"/>
      <c r="AQ32" s="350"/>
      <c r="AR32" s="350"/>
      <c r="AS32" s="350"/>
      <c r="AT32" s="350"/>
      <c r="AU32" s="350"/>
      <c r="AV32" s="351"/>
      <c r="AW32" s="725"/>
      <c r="AX32" s="350"/>
      <c r="AY32" s="351"/>
      <c r="AZ32" s="511"/>
      <c r="BA32" s="350"/>
      <c r="BB32" s="350"/>
      <c r="BC32" s="350"/>
      <c r="BD32" s="350"/>
      <c r="BE32" s="350"/>
      <c r="BF32" s="350"/>
      <c r="BG32" s="350"/>
      <c r="BH32" s="350"/>
      <c r="BI32" s="350"/>
      <c r="BJ32" s="350"/>
      <c r="BK32" s="350"/>
      <c r="BL32" s="350"/>
      <c r="BM32" s="350"/>
      <c r="BN32" s="350"/>
      <c r="BO32" s="351"/>
    </row>
    <row r="33" spans="1:67" ht="34.5" customHeight="1">
      <c r="A33" s="98">
        <f t="shared" si="0"/>
        <v>21</v>
      </c>
      <c r="B33" s="416" t="s">
        <v>325</v>
      </c>
      <c r="C33" s="351"/>
      <c r="D33" s="724"/>
      <c r="E33" s="350"/>
      <c r="F33" s="350"/>
      <c r="G33" s="350"/>
      <c r="H33" s="351"/>
      <c r="I33" s="412"/>
      <c r="J33" s="350"/>
      <c r="K33" s="350"/>
      <c r="L33" s="350"/>
      <c r="M33" s="350"/>
      <c r="N33" s="350"/>
      <c r="O33" s="350"/>
      <c r="P33" s="351"/>
      <c r="Q33" s="412"/>
      <c r="R33" s="350"/>
      <c r="S33" s="350"/>
      <c r="T33" s="350"/>
      <c r="U33" s="350"/>
      <c r="V33" s="350"/>
      <c r="W33" s="350"/>
      <c r="X33" s="351"/>
      <c r="Y33" s="412"/>
      <c r="Z33" s="351"/>
      <c r="AA33" s="412"/>
      <c r="AB33" s="350"/>
      <c r="AC33" s="350"/>
      <c r="AD33" s="351"/>
      <c r="AE33" s="412"/>
      <c r="AF33" s="350"/>
      <c r="AG33" s="351"/>
      <c r="AH33" s="412"/>
      <c r="AI33" s="350"/>
      <c r="AJ33" s="351"/>
      <c r="AK33" s="412"/>
      <c r="AL33" s="350"/>
      <c r="AM33" s="350"/>
      <c r="AN33" s="351"/>
      <c r="AO33" s="412"/>
      <c r="AP33" s="350"/>
      <c r="AQ33" s="350"/>
      <c r="AR33" s="350"/>
      <c r="AS33" s="350"/>
      <c r="AT33" s="350"/>
      <c r="AU33" s="350"/>
      <c r="AV33" s="351"/>
      <c r="AW33" s="723"/>
      <c r="AX33" s="350"/>
      <c r="AY33" s="351"/>
      <c r="AZ33" s="412"/>
      <c r="BA33" s="350"/>
      <c r="BB33" s="350"/>
      <c r="BC33" s="350"/>
      <c r="BD33" s="350"/>
      <c r="BE33" s="350"/>
      <c r="BF33" s="350"/>
      <c r="BG33" s="350"/>
      <c r="BH33" s="350"/>
      <c r="BI33" s="350"/>
      <c r="BJ33" s="350"/>
      <c r="BK33" s="350"/>
      <c r="BL33" s="350"/>
      <c r="BM33" s="350"/>
      <c r="BN33" s="350"/>
      <c r="BO33" s="351"/>
    </row>
    <row r="34" spans="1:67" ht="34.5" customHeight="1">
      <c r="A34" s="98">
        <f t="shared" si="0"/>
        <v>22</v>
      </c>
      <c r="B34" s="416" t="s">
        <v>325</v>
      </c>
      <c r="C34" s="351"/>
      <c r="D34" s="594"/>
      <c r="E34" s="350"/>
      <c r="F34" s="350"/>
      <c r="G34" s="350"/>
      <c r="H34" s="351"/>
      <c r="I34" s="368"/>
      <c r="J34" s="350"/>
      <c r="K34" s="350"/>
      <c r="L34" s="350"/>
      <c r="M34" s="350"/>
      <c r="N34" s="350"/>
      <c r="O34" s="350"/>
      <c r="P34" s="351"/>
      <c r="Q34" s="511"/>
      <c r="R34" s="350"/>
      <c r="S34" s="350"/>
      <c r="T34" s="350"/>
      <c r="U34" s="350"/>
      <c r="V34" s="350"/>
      <c r="W34" s="350"/>
      <c r="X34" s="351"/>
      <c r="Y34" s="368"/>
      <c r="Z34" s="351"/>
      <c r="AA34" s="511"/>
      <c r="AB34" s="350"/>
      <c r="AC34" s="350"/>
      <c r="AD34" s="351"/>
      <c r="AE34" s="368"/>
      <c r="AF34" s="350"/>
      <c r="AG34" s="351"/>
      <c r="AH34" s="511"/>
      <c r="AI34" s="350"/>
      <c r="AJ34" s="351"/>
      <c r="AK34" s="368"/>
      <c r="AL34" s="350"/>
      <c r="AM34" s="350"/>
      <c r="AN34" s="351"/>
      <c r="AO34" s="511"/>
      <c r="AP34" s="350"/>
      <c r="AQ34" s="350"/>
      <c r="AR34" s="350"/>
      <c r="AS34" s="350"/>
      <c r="AT34" s="350"/>
      <c r="AU34" s="350"/>
      <c r="AV34" s="351"/>
      <c r="AW34" s="725"/>
      <c r="AX34" s="350"/>
      <c r="AY34" s="351"/>
      <c r="AZ34" s="511"/>
      <c r="BA34" s="350"/>
      <c r="BB34" s="350"/>
      <c r="BC34" s="350"/>
      <c r="BD34" s="350"/>
      <c r="BE34" s="350"/>
      <c r="BF34" s="350"/>
      <c r="BG34" s="350"/>
      <c r="BH34" s="350"/>
      <c r="BI34" s="350"/>
      <c r="BJ34" s="350"/>
      <c r="BK34" s="350"/>
      <c r="BL34" s="350"/>
      <c r="BM34" s="350"/>
      <c r="BN34" s="350"/>
      <c r="BO34" s="351"/>
    </row>
    <row r="35" spans="1:67" ht="34.5" customHeight="1">
      <c r="A35" s="98">
        <f t="shared" si="0"/>
        <v>23</v>
      </c>
      <c r="B35" s="416" t="s">
        <v>325</v>
      </c>
      <c r="C35" s="351"/>
      <c r="D35" s="724"/>
      <c r="E35" s="350"/>
      <c r="F35" s="350"/>
      <c r="G35" s="350"/>
      <c r="H35" s="351"/>
      <c r="I35" s="412"/>
      <c r="J35" s="350"/>
      <c r="K35" s="350"/>
      <c r="L35" s="350"/>
      <c r="M35" s="350"/>
      <c r="N35" s="350"/>
      <c r="O35" s="350"/>
      <c r="P35" s="351"/>
      <c r="Q35" s="412"/>
      <c r="R35" s="350"/>
      <c r="S35" s="350"/>
      <c r="T35" s="350"/>
      <c r="U35" s="350"/>
      <c r="V35" s="350"/>
      <c r="W35" s="350"/>
      <c r="X35" s="351"/>
      <c r="Y35" s="412"/>
      <c r="Z35" s="351"/>
      <c r="AA35" s="412"/>
      <c r="AB35" s="350"/>
      <c r="AC35" s="350"/>
      <c r="AD35" s="351"/>
      <c r="AE35" s="412"/>
      <c r="AF35" s="350"/>
      <c r="AG35" s="351"/>
      <c r="AH35" s="412"/>
      <c r="AI35" s="350"/>
      <c r="AJ35" s="351"/>
      <c r="AK35" s="412"/>
      <c r="AL35" s="350"/>
      <c r="AM35" s="350"/>
      <c r="AN35" s="351"/>
      <c r="AO35" s="412"/>
      <c r="AP35" s="350"/>
      <c r="AQ35" s="350"/>
      <c r="AR35" s="350"/>
      <c r="AS35" s="350"/>
      <c r="AT35" s="350"/>
      <c r="AU35" s="350"/>
      <c r="AV35" s="351"/>
      <c r="AW35" s="723"/>
      <c r="AX35" s="350"/>
      <c r="AY35" s="351"/>
      <c r="AZ35" s="412"/>
      <c r="BA35" s="350"/>
      <c r="BB35" s="350"/>
      <c r="BC35" s="350"/>
      <c r="BD35" s="350"/>
      <c r="BE35" s="350"/>
      <c r="BF35" s="350"/>
      <c r="BG35" s="350"/>
      <c r="BH35" s="350"/>
      <c r="BI35" s="350"/>
      <c r="BJ35" s="350"/>
      <c r="BK35" s="350"/>
      <c r="BL35" s="350"/>
      <c r="BM35" s="350"/>
      <c r="BN35" s="350"/>
      <c r="BO35" s="351"/>
    </row>
    <row r="36" spans="1:67" ht="34.5" customHeight="1">
      <c r="A36" s="98">
        <f t="shared" si="0"/>
        <v>24</v>
      </c>
      <c r="B36" s="416" t="s">
        <v>325</v>
      </c>
      <c r="C36" s="351"/>
      <c r="D36" s="594"/>
      <c r="E36" s="350"/>
      <c r="F36" s="350"/>
      <c r="G36" s="350"/>
      <c r="H36" s="351"/>
      <c r="I36" s="368"/>
      <c r="J36" s="350"/>
      <c r="K36" s="350"/>
      <c r="L36" s="350"/>
      <c r="M36" s="350"/>
      <c r="N36" s="350"/>
      <c r="O36" s="350"/>
      <c r="P36" s="351"/>
      <c r="Q36" s="511"/>
      <c r="R36" s="350"/>
      <c r="S36" s="350"/>
      <c r="T36" s="350"/>
      <c r="U36" s="350"/>
      <c r="V36" s="350"/>
      <c r="W36" s="350"/>
      <c r="X36" s="351"/>
      <c r="Y36" s="368"/>
      <c r="Z36" s="351"/>
      <c r="AA36" s="511"/>
      <c r="AB36" s="350"/>
      <c r="AC36" s="350"/>
      <c r="AD36" s="351"/>
      <c r="AE36" s="368"/>
      <c r="AF36" s="350"/>
      <c r="AG36" s="351"/>
      <c r="AH36" s="511"/>
      <c r="AI36" s="350"/>
      <c r="AJ36" s="351"/>
      <c r="AK36" s="368"/>
      <c r="AL36" s="350"/>
      <c r="AM36" s="350"/>
      <c r="AN36" s="351"/>
      <c r="AO36" s="511"/>
      <c r="AP36" s="350"/>
      <c r="AQ36" s="350"/>
      <c r="AR36" s="350"/>
      <c r="AS36" s="350"/>
      <c r="AT36" s="350"/>
      <c r="AU36" s="350"/>
      <c r="AV36" s="351"/>
      <c r="AW36" s="725"/>
      <c r="AX36" s="350"/>
      <c r="AY36" s="351"/>
      <c r="AZ36" s="511"/>
      <c r="BA36" s="350"/>
      <c r="BB36" s="350"/>
      <c r="BC36" s="350"/>
      <c r="BD36" s="350"/>
      <c r="BE36" s="350"/>
      <c r="BF36" s="350"/>
      <c r="BG36" s="350"/>
      <c r="BH36" s="350"/>
      <c r="BI36" s="350"/>
      <c r="BJ36" s="350"/>
      <c r="BK36" s="350"/>
      <c r="BL36" s="350"/>
      <c r="BM36" s="350"/>
      <c r="BN36" s="350"/>
      <c r="BO36" s="351"/>
    </row>
    <row r="37" spans="1:67" ht="34.5" customHeight="1">
      <c r="A37" s="98">
        <f t="shared" si="0"/>
        <v>25</v>
      </c>
      <c r="B37" s="416" t="s">
        <v>325</v>
      </c>
      <c r="C37" s="351"/>
      <c r="D37" s="724"/>
      <c r="E37" s="350"/>
      <c r="F37" s="350"/>
      <c r="G37" s="350"/>
      <c r="H37" s="351"/>
      <c r="I37" s="412"/>
      <c r="J37" s="350"/>
      <c r="K37" s="350"/>
      <c r="L37" s="350"/>
      <c r="M37" s="350"/>
      <c r="N37" s="350"/>
      <c r="O37" s="350"/>
      <c r="P37" s="351"/>
      <c r="Q37" s="412"/>
      <c r="R37" s="350"/>
      <c r="S37" s="350"/>
      <c r="T37" s="350"/>
      <c r="U37" s="350"/>
      <c r="V37" s="350"/>
      <c r="W37" s="350"/>
      <c r="X37" s="351"/>
      <c r="Y37" s="412"/>
      <c r="Z37" s="351"/>
      <c r="AA37" s="412"/>
      <c r="AB37" s="350"/>
      <c r="AC37" s="350"/>
      <c r="AD37" s="351"/>
      <c r="AE37" s="412"/>
      <c r="AF37" s="350"/>
      <c r="AG37" s="351"/>
      <c r="AH37" s="412"/>
      <c r="AI37" s="350"/>
      <c r="AJ37" s="351"/>
      <c r="AK37" s="412"/>
      <c r="AL37" s="350"/>
      <c r="AM37" s="350"/>
      <c r="AN37" s="351"/>
      <c r="AO37" s="412"/>
      <c r="AP37" s="350"/>
      <c r="AQ37" s="350"/>
      <c r="AR37" s="350"/>
      <c r="AS37" s="350"/>
      <c r="AT37" s="350"/>
      <c r="AU37" s="350"/>
      <c r="AV37" s="351"/>
      <c r="AW37" s="723"/>
      <c r="AX37" s="350"/>
      <c r="AY37" s="351"/>
      <c r="AZ37" s="412"/>
      <c r="BA37" s="350"/>
      <c r="BB37" s="350"/>
      <c r="BC37" s="350"/>
      <c r="BD37" s="350"/>
      <c r="BE37" s="350"/>
      <c r="BF37" s="350"/>
      <c r="BG37" s="350"/>
      <c r="BH37" s="350"/>
      <c r="BI37" s="350"/>
      <c r="BJ37" s="350"/>
      <c r="BK37" s="350"/>
      <c r="BL37" s="350"/>
      <c r="BM37" s="350"/>
      <c r="BN37" s="350"/>
      <c r="BO37" s="351"/>
    </row>
    <row r="38" spans="1:67" ht="34.5" customHeight="1">
      <c r="A38" s="98">
        <f t="shared" si="0"/>
        <v>26</v>
      </c>
      <c r="B38" s="416" t="s">
        <v>325</v>
      </c>
      <c r="C38" s="351"/>
      <c r="D38" s="594"/>
      <c r="E38" s="350"/>
      <c r="F38" s="350"/>
      <c r="G38" s="350"/>
      <c r="H38" s="351"/>
      <c r="I38" s="368"/>
      <c r="J38" s="350"/>
      <c r="K38" s="350"/>
      <c r="L38" s="350"/>
      <c r="M38" s="350"/>
      <c r="N38" s="350"/>
      <c r="O38" s="350"/>
      <c r="P38" s="351"/>
      <c r="Q38" s="511"/>
      <c r="R38" s="350"/>
      <c r="S38" s="350"/>
      <c r="T38" s="350"/>
      <c r="U38" s="350"/>
      <c r="V38" s="350"/>
      <c r="W38" s="350"/>
      <c r="X38" s="351"/>
      <c r="Y38" s="368"/>
      <c r="Z38" s="351"/>
      <c r="AA38" s="511"/>
      <c r="AB38" s="350"/>
      <c r="AC38" s="350"/>
      <c r="AD38" s="351"/>
      <c r="AE38" s="368"/>
      <c r="AF38" s="350"/>
      <c r="AG38" s="351"/>
      <c r="AH38" s="511"/>
      <c r="AI38" s="350"/>
      <c r="AJ38" s="351"/>
      <c r="AK38" s="368"/>
      <c r="AL38" s="350"/>
      <c r="AM38" s="350"/>
      <c r="AN38" s="351"/>
      <c r="AO38" s="511"/>
      <c r="AP38" s="350"/>
      <c r="AQ38" s="350"/>
      <c r="AR38" s="350"/>
      <c r="AS38" s="350"/>
      <c r="AT38" s="350"/>
      <c r="AU38" s="350"/>
      <c r="AV38" s="351"/>
      <c r="AW38" s="725"/>
      <c r="AX38" s="350"/>
      <c r="AY38" s="351"/>
      <c r="AZ38" s="511"/>
      <c r="BA38" s="350"/>
      <c r="BB38" s="350"/>
      <c r="BC38" s="350"/>
      <c r="BD38" s="350"/>
      <c r="BE38" s="350"/>
      <c r="BF38" s="350"/>
      <c r="BG38" s="350"/>
      <c r="BH38" s="350"/>
      <c r="BI38" s="350"/>
      <c r="BJ38" s="350"/>
      <c r="BK38" s="350"/>
      <c r="BL38" s="350"/>
      <c r="BM38" s="350"/>
      <c r="BN38" s="350"/>
      <c r="BO38" s="351"/>
    </row>
    <row r="39" spans="1:67" ht="34.5" customHeight="1">
      <c r="A39" s="98">
        <f t="shared" si="0"/>
        <v>27</v>
      </c>
      <c r="B39" s="416" t="s">
        <v>325</v>
      </c>
      <c r="C39" s="351"/>
      <c r="D39" s="724"/>
      <c r="E39" s="350"/>
      <c r="F39" s="350"/>
      <c r="G39" s="350"/>
      <c r="H39" s="351"/>
      <c r="I39" s="412"/>
      <c r="J39" s="350"/>
      <c r="K39" s="350"/>
      <c r="L39" s="350"/>
      <c r="M39" s="350"/>
      <c r="N39" s="350"/>
      <c r="O39" s="350"/>
      <c r="P39" s="351"/>
      <c r="Q39" s="412"/>
      <c r="R39" s="350"/>
      <c r="S39" s="350"/>
      <c r="T39" s="350"/>
      <c r="U39" s="350"/>
      <c r="V39" s="350"/>
      <c r="W39" s="350"/>
      <c r="X39" s="351"/>
      <c r="Y39" s="412"/>
      <c r="Z39" s="351"/>
      <c r="AA39" s="412"/>
      <c r="AB39" s="350"/>
      <c r="AC39" s="350"/>
      <c r="AD39" s="351"/>
      <c r="AE39" s="412"/>
      <c r="AF39" s="350"/>
      <c r="AG39" s="351"/>
      <c r="AH39" s="412"/>
      <c r="AI39" s="350"/>
      <c r="AJ39" s="351"/>
      <c r="AK39" s="412"/>
      <c r="AL39" s="350"/>
      <c r="AM39" s="350"/>
      <c r="AN39" s="351"/>
      <c r="AO39" s="412"/>
      <c r="AP39" s="350"/>
      <c r="AQ39" s="350"/>
      <c r="AR39" s="350"/>
      <c r="AS39" s="350"/>
      <c r="AT39" s="350"/>
      <c r="AU39" s="350"/>
      <c r="AV39" s="351"/>
      <c r="AW39" s="723"/>
      <c r="AX39" s="350"/>
      <c r="AY39" s="351"/>
      <c r="AZ39" s="412"/>
      <c r="BA39" s="350"/>
      <c r="BB39" s="350"/>
      <c r="BC39" s="350"/>
      <c r="BD39" s="350"/>
      <c r="BE39" s="350"/>
      <c r="BF39" s="350"/>
      <c r="BG39" s="350"/>
      <c r="BH39" s="350"/>
      <c r="BI39" s="350"/>
      <c r="BJ39" s="350"/>
      <c r="BK39" s="350"/>
      <c r="BL39" s="350"/>
      <c r="BM39" s="350"/>
      <c r="BN39" s="350"/>
      <c r="BO39" s="351"/>
    </row>
    <row r="40" spans="1:67" ht="34.5" customHeight="1">
      <c r="A40" s="98">
        <f t="shared" si="0"/>
        <v>28</v>
      </c>
      <c r="B40" s="416" t="s">
        <v>325</v>
      </c>
      <c r="C40" s="351"/>
      <c r="D40" s="594"/>
      <c r="E40" s="350"/>
      <c r="F40" s="350"/>
      <c r="G40" s="350"/>
      <c r="H40" s="351"/>
      <c r="I40" s="368"/>
      <c r="J40" s="350"/>
      <c r="K40" s="350"/>
      <c r="L40" s="350"/>
      <c r="M40" s="350"/>
      <c r="N40" s="350"/>
      <c r="O40" s="350"/>
      <c r="P40" s="351"/>
      <c r="Q40" s="511"/>
      <c r="R40" s="350"/>
      <c r="S40" s="350"/>
      <c r="T40" s="350"/>
      <c r="U40" s="350"/>
      <c r="V40" s="350"/>
      <c r="W40" s="350"/>
      <c r="X40" s="351"/>
      <c r="Y40" s="368"/>
      <c r="Z40" s="351"/>
      <c r="AA40" s="511"/>
      <c r="AB40" s="350"/>
      <c r="AC40" s="350"/>
      <c r="AD40" s="351"/>
      <c r="AE40" s="368"/>
      <c r="AF40" s="350"/>
      <c r="AG40" s="351"/>
      <c r="AH40" s="511"/>
      <c r="AI40" s="350"/>
      <c r="AJ40" s="351"/>
      <c r="AK40" s="368"/>
      <c r="AL40" s="350"/>
      <c r="AM40" s="350"/>
      <c r="AN40" s="351"/>
      <c r="AO40" s="511"/>
      <c r="AP40" s="350"/>
      <c r="AQ40" s="350"/>
      <c r="AR40" s="350"/>
      <c r="AS40" s="350"/>
      <c r="AT40" s="350"/>
      <c r="AU40" s="350"/>
      <c r="AV40" s="351"/>
      <c r="AW40" s="725"/>
      <c r="AX40" s="350"/>
      <c r="AY40" s="351"/>
      <c r="AZ40" s="511"/>
      <c r="BA40" s="350"/>
      <c r="BB40" s="350"/>
      <c r="BC40" s="350"/>
      <c r="BD40" s="350"/>
      <c r="BE40" s="350"/>
      <c r="BF40" s="350"/>
      <c r="BG40" s="350"/>
      <c r="BH40" s="350"/>
      <c r="BI40" s="350"/>
      <c r="BJ40" s="350"/>
      <c r="BK40" s="350"/>
      <c r="BL40" s="350"/>
      <c r="BM40" s="350"/>
      <c r="BN40" s="350"/>
      <c r="BO40" s="351"/>
    </row>
    <row r="41" spans="1:67" ht="34.5" customHeight="1">
      <c r="A41" s="98">
        <f t="shared" si="0"/>
        <v>29</v>
      </c>
      <c r="B41" s="416" t="s">
        <v>325</v>
      </c>
      <c r="C41" s="351"/>
      <c r="D41" s="724"/>
      <c r="E41" s="350"/>
      <c r="F41" s="350"/>
      <c r="G41" s="350"/>
      <c r="H41" s="351"/>
      <c r="I41" s="412"/>
      <c r="J41" s="350"/>
      <c r="K41" s="350"/>
      <c r="L41" s="350"/>
      <c r="M41" s="350"/>
      <c r="N41" s="350"/>
      <c r="O41" s="350"/>
      <c r="P41" s="351"/>
      <c r="Q41" s="412"/>
      <c r="R41" s="350"/>
      <c r="S41" s="350"/>
      <c r="T41" s="350"/>
      <c r="U41" s="350"/>
      <c r="V41" s="350"/>
      <c r="W41" s="350"/>
      <c r="X41" s="351"/>
      <c r="Y41" s="412"/>
      <c r="Z41" s="351"/>
      <c r="AA41" s="412"/>
      <c r="AB41" s="350"/>
      <c r="AC41" s="350"/>
      <c r="AD41" s="351"/>
      <c r="AE41" s="412"/>
      <c r="AF41" s="350"/>
      <c r="AG41" s="351"/>
      <c r="AH41" s="412"/>
      <c r="AI41" s="350"/>
      <c r="AJ41" s="351"/>
      <c r="AK41" s="412"/>
      <c r="AL41" s="350"/>
      <c r="AM41" s="350"/>
      <c r="AN41" s="351"/>
      <c r="AO41" s="412"/>
      <c r="AP41" s="350"/>
      <c r="AQ41" s="350"/>
      <c r="AR41" s="350"/>
      <c r="AS41" s="350"/>
      <c r="AT41" s="350"/>
      <c r="AU41" s="350"/>
      <c r="AV41" s="351"/>
      <c r="AW41" s="723"/>
      <c r="AX41" s="350"/>
      <c r="AY41" s="351"/>
      <c r="AZ41" s="412"/>
      <c r="BA41" s="350"/>
      <c r="BB41" s="350"/>
      <c r="BC41" s="350"/>
      <c r="BD41" s="350"/>
      <c r="BE41" s="350"/>
      <c r="BF41" s="350"/>
      <c r="BG41" s="350"/>
      <c r="BH41" s="350"/>
      <c r="BI41" s="350"/>
      <c r="BJ41" s="350"/>
      <c r="BK41" s="350"/>
      <c r="BL41" s="350"/>
      <c r="BM41" s="350"/>
      <c r="BN41" s="350"/>
      <c r="BO41" s="351"/>
    </row>
    <row r="42" spans="1:67" ht="34.5" customHeight="1">
      <c r="A42" s="98">
        <f t="shared" si="0"/>
        <v>30</v>
      </c>
      <c r="B42" s="416" t="s">
        <v>325</v>
      </c>
      <c r="C42" s="351"/>
      <c r="D42" s="594"/>
      <c r="E42" s="350"/>
      <c r="F42" s="350"/>
      <c r="G42" s="350"/>
      <c r="H42" s="351"/>
      <c r="I42" s="368"/>
      <c r="J42" s="350"/>
      <c r="K42" s="350"/>
      <c r="L42" s="350"/>
      <c r="M42" s="350"/>
      <c r="N42" s="350"/>
      <c r="O42" s="350"/>
      <c r="P42" s="351"/>
      <c r="Q42" s="511"/>
      <c r="R42" s="350"/>
      <c r="S42" s="350"/>
      <c r="T42" s="350"/>
      <c r="U42" s="350"/>
      <c r="V42" s="350"/>
      <c r="W42" s="350"/>
      <c r="X42" s="351"/>
      <c r="Y42" s="368"/>
      <c r="Z42" s="351"/>
      <c r="AA42" s="511"/>
      <c r="AB42" s="350"/>
      <c r="AC42" s="350"/>
      <c r="AD42" s="351"/>
      <c r="AE42" s="368"/>
      <c r="AF42" s="350"/>
      <c r="AG42" s="351"/>
      <c r="AH42" s="511"/>
      <c r="AI42" s="350"/>
      <c r="AJ42" s="351"/>
      <c r="AK42" s="368"/>
      <c r="AL42" s="350"/>
      <c r="AM42" s="350"/>
      <c r="AN42" s="351"/>
      <c r="AO42" s="511"/>
      <c r="AP42" s="350"/>
      <c r="AQ42" s="350"/>
      <c r="AR42" s="350"/>
      <c r="AS42" s="350"/>
      <c r="AT42" s="350"/>
      <c r="AU42" s="350"/>
      <c r="AV42" s="351"/>
      <c r="AW42" s="725"/>
      <c r="AX42" s="350"/>
      <c r="AY42" s="351"/>
      <c r="AZ42" s="511"/>
      <c r="BA42" s="350"/>
      <c r="BB42" s="350"/>
      <c r="BC42" s="350"/>
      <c r="BD42" s="350"/>
      <c r="BE42" s="350"/>
      <c r="BF42" s="350"/>
      <c r="BG42" s="350"/>
      <c r="BH42" s="350"/>
      <c r="BI42" s="350"/>
      <c r="BJ42" s="350"/>
      <c r="BK42" s="350"/>
      <c r="BL42" s="350"/>
      <c r="BM42" s="350"/>
      <c r="BN42" s="350"/>
      <c r="BO42" s="351"/>
    </row>
    <row r="43" spans="1:67" ht="34.5" customHeight="1">
      <c r="A43" s="98">
        <f t="shared" si="0"/>
        <v>31</v>
      </c>
      <c r="B43" s="416" t="s">
        <v>325</v>
      </c>
      <c r="C43" s="351"/>
      <c r="D43" s="724"/>
      <c r="E43" s="350"/>
      <c r="F43" s="350"/>
      <c r="G43" s="350"/>
      <c r="H43" s="351"/>
      <c r="I43" s="412"/>
      <c r="J43" s="350"/>
      <c r="K43" s="350"/>
      <c r="L43" s="350"/>
      <c r="M43" s="350"/>
      <c r="N43" s="350"/>
      <c r="O43" s="350"/>
      <c r="P43" s="351"/>
      <c r="Q43" s="412"/>
      <c r="R43" s="350"/>
      <c r="S43" s="350"/>
      <c r="T43" s="350"/>
      <c r="U43" s="350"/>
      <c r="V43" s="350"/>
      <c r="W43" s="350"/>
      <c r="X43" s="351"/>
      <c r="Y43" s="412"/>
      <c r="Z43" s="351"/>
      <c r="AA43" s="412"/>
      <c r="AB43" s="350"/>
      <c r="AC43" s="350"/>
      <c r="AD43" s="351"/>
      <c r="AE43" s="412"/>
      <c r="AF43" s="350"/>
      <c r="AG43" s="351"/>
      <c r="AH43" s="412"/>
      <c r="AI43" s="350"/>
      <c r="AJ43" s="351"/>
      <c r="AK43" s="412"/>
      <c r="AL43" s="350"/>
      <c r="AM43" s="350"/>
      <c r="AN43" s="351"/>
      <c r="AO43" s="412"/>
      <c r="AP43" s="350"/>
      <c r="AQ43" s="350"/>
      <c r="AR43" s="350"/>
      <c r="AS43" s="350"/>
      <c r="AT43" s="350"/>
      <c r="AU43" s="350"/>
      <c r="AV43" s="351"/>
      <c r="AW43" s="723"/>
      <c r="AX43" s="350"/>
      <c r="AY43" s="351"/>
      <c r="AZ43" s="412"/>
      <c r="BA43" s="350"/>
      <c r="BB43" s="350"/>
      <c r="BC43" s="350"/>
      <c r="BD43" s="350"/>
      <c r="BE43" s="350"/>
      <c r="BF43" s="350"/>
      <c r="BG43" s="350"/>
      <c r="BH43" s="350"/>
      <c r="BI43" s="350"/>
      <c r="BJ43" s="350"/>
      <c r="BK43" s="350"/>
      <c r="BL43" s="350"/>
      <c r="BM43" s="350"/>
      <c r="BN43" s="350"/>
      <c r="BO43" s="351"/>
    </row>
    <row r="44" spans="1:67" ht="34.5" customHeight="1">
      <c r="A44" s="98">
        <f t="shared" si="0"/>
        <v>32</v>
      </c>
      <c r="B44" s="416" t="s">
        <v>325</v>
      </c>
      <c r="C44" s="351"/>
      <c r="D44" s="594"/>
      <c r="E44" s="350"/>
      <c r="F44" s="350"/>
      <c r="G44" s="350"/>
      <c r="H44" s="351"/>
      <c r="I44" s="368"/>
      <c r="J44" s="350"/>
      <c r="K44" s="350"/>
      <c r="L44" s="350"/>
      <c r="M44" s="350"/>
      <c r="N44" s="350"/>
      <c r="O44" s="350"/>
      <c r="P44" s="351"/>
      <c r="Q44" s="511"/>
      <c r="R44" s="350"/>
      <c r="S44" s="350"/>
      <c r="T44" s="350"/>
      <c r="U44" s="350"/>
      <c r="V44" s="350"/>
      <c r="W44" s="350"/>
      <c r="X44" s="351"/>
      <c r="Y44" s="368"/>
      <c r="Z44" s="351"/>
      <c r="AA44" s="511"/>
      <c r="AB44" s="350"/>
      <c r="AC44" s="350"/>
      <c r="AD44" s="351"/>
      <c r="AE44" s="368"/>
      <c r="AF44" s="350"/>
      <c r="AG44" s="351"/>
      <c r="AH44" s="511"/>
      <c r="AI44" s="350"/>
      <c r="AJ44" s="351"/>
      <c r="AK44" s="368"/>
      <c r="AL44" s="350"/>
      <c r="AM44" s="350"/>
      <c r="AN44" s="351"/>
      <c r="AO44" s="511"/>
      <c r="AP44" s="350"/>
      <c r="AQ44" s="350"/>
      <c r="AR44" s="350"/>
      <c r="AS44" s="350"/>
      <c r="AT44" s="350"/>
      <c r="AU44" s="350"/>
      <c r="AV44" s="351"/>
      <c r="AW44" s="725"/>
      <c r="AX44" s="350"/>
      <c r="AY44" s="351"/>
      <c r="AZ44" s="511"/>
      <c r="BA44" s="350"/>
      <c r="BB44" s="350"/>
      <c r="BC44" s="350"/>
      <c r="BD44" s="350"/>
      <c r="BE44" s="350"/>
      <c r="BF44" s="350"/>
      <c r="BG44" s="350"/>
      <c r="BH44" s="350"/>
      <c r="BI44" s="350"/>
      <c r="BJ44" s="350"/>
      <c r="BK44" s="350"/>
      <c r="BL44" s="350"/>
      <c r="BM44" s="350"/>
      <c r="BN44" s="350"/>
      <c r="BO44" s="351"/>
    </row>
    <row r="45" spans="1:67" ht="34.5" customHeight="1">
      <c r="A45" s="98">
        <f t="shared" si="0"/>
        <v>33</v>
      </c>
      <c r="B45" s="416" t="s">
        <v>325</v>
      </c>
      <c r="C45" s="351"/>
      <c r="D45" s="724"/>
      <c r="E45" s="350"/>
      <c r="F45" s="350"/>
      <c r="G45" s="350"/>
      <c r="H45" s="351"/>
      <c r="I45" s="412"/>
      <c r="J45" s="350"/>
      <c r="K45" s="350"/>
      <c r="L45" s="350"/>
      <c r="M45" s="350"/>
      <c r="N45" s="350"/>
      <c r="O45" s="350"/>
      <c r="P45" s="351"/>
      <c r="Q45" s="412"/>
      <c r="R45" s="350"/>
      <c r="S45" s="350"/>
      <c r="T45" s="350"/>
      <c r="U45" s="350"/>
      <c r="V45" s="350"/>
      <c r="W45" s="350"/>
      <c r="X45" s="351"/>
      <c r="Y45" s="412"/>
      <c r="Z45" s="351"/>
      <c r="AA45" s="412"/>
      <c r="AB45" s="350"/>
      <c r="AC45" s="350"/>
      <c r="AD45" s="351"/>
      <c r="AE45" s="412"/>
      <c r="AF45" s="350"/>
      <c r="AG45" s="351"/>
      <c r="AH45" s="412"/>
      <c r="AI45" s="350"/>
      <c r="AJ45" s="351"/>
      <c r="AK45" s="412"/>
      <c r="AL45" s="350"/>
      <c r="AM45" s="350"/>
      <c r="AN45" s="351"/>
      <c r="AO45" s="412"/>
      <c r="AP45" s="350"/>
      <c r="AQ45" s="350"/>
      <c r="AR45" s="350"/>
      <c r="AS45" s="350"/>
      <c r="AT45" s="350"/>
      <c r="AU45" s="350"/>
      <c r="AV45" s="351"/>
      <c r="AW45" s="723"/>
      <c r="AX45" s="350"/>
      <c r="AY45" s="351"/>
      <c r="AZ45" s="412"/>
      <c r="BA45" s="350"/>
      <c r="BB45" s="350"/>
      <c r="BC45" s="350"/>
      <c r="BD45" s="350"/>
      <c r="BE45" s="350"/>
      <c r="BF45" s="350"/>
      <c r="BG45" s="350"/>
      <c r="BH45" s="350"/>
      <c r="BI45" s="350"/>
      <c r="BJ45" s="350"/>
      <c r="BK45" s="350"/>
      <c r="BL45" s="350"/>
      <c r="BM45" s="350"/>
      <c r="BN45" s="350"/>
      <c r="BO45" s="351"/>
    </row>
    <row r="46" spans="1:67" ht="34.5" customHeight="1">
      <c r="A46" s="98">
        <f t="shared" si="0"/>
        <v>34</v>
      </c>
      <c r="B46" s="416" t="s">
        <v>325</v>
      </c>
      <c r="C46" s="351"/>
      <c r="D46" s="594"/>
      <c r="E46" s="350"/>
      <c r="F46" s="350"/>
      <c r="G46" s="350"/>
      <c r="H46" s="351"/>
      <c r="I46" s="368"/>
      <c r="J46" s="350"/>
      <c r="K46" s="350"/>
      <c r="L46" s="350"/>
      <c r="M46" s="350"/>
      <c r="N46" s="350"/>
      <c r="O46" s="350"/>
      <c r="P46" s="351"/>
      <c r="Q46" s="511"/>
      <c r="R46" s="350"/>
      <c r="S46" s="350"/>
      <c r="T46" s="350"/>
      <c r="U46" s="350"/>
      <c r="V46" s="350"/>
      <c r="W46" s="350"/>
      <c r="X46" s="351"/>
      <c r="Y46" s="368"/>
      <c r="Z46" s="351"/>
      <c r="AA46" s="511"/>
      <c r="AB46" s="350"/>
      <c r="AC46" s="350"/>
      <c r="AD46" s="351"/>
      <c r="AE46" s="368"/>
      <c r="AF46" s="350"/>
      <c r="AG46" s="351"/>
      <c r="AH46" s="511"/>
      <c r="AI46" s="350"/>
      <c r="AJ46" s="351"/>
      <c r="AK46" s="368"/>
      <c r="AL46" s="350"/>
      <c r="AM46" s="350"/>
      <c r="AN46" s="351"/>
      <c r="AO46" s="511"/>
      <c r="AP46" s="350"/>
      <c r="AQ46" s="350"/>
      <c r="AR46" s="350"/>
      <c r="AS46" s="350"/>
      <c r="AT46" s="350"/>
      <c r="AU46" s="350"/>
      <c r="AV46" s="351"/>
      <c r="AW46" s="725"/>
      <c r="AX46" s="350"/>
      <c r="AY46" s="351"/>
      <c r="AZ46" s="511"/>
      <c r="BA46" s="350"/>
      <c r="BB46" s="350"/>
      <c r="BC46" s="350"/>
      <c r="BD46" s="350"/>
      <c r="BE46" s="350"/>
      <c r="BF46" s="350"/>
      <c r="BG46" s="350"/>
      <c r="BH46" s="350"/>
      <c r="BI46" s="350"/>
      <c r="BJ46" s="350"/>
      <c r="BK46" s="350"/>
      <c r="BL46" s="350"/>
      <c r="BM46" s="350"/>
      <c r="BN46" s="350"/>
      <c r="BO46" s="351"/>
    </row>
    <row r="47" spans="1:67" ht="34.5" customHeight="1">
      <c r="A47" s="98">
        <f t="shared" si="0"/>
        <v>35</v>
      </c>
      <c r="B47" s="416" t="s">
        <v>325</v>
      </c>
      <c r="C47" s="351"/>
      <c r="D47" s="724"/>
      <c r="E47" s="350"/>
      <c r="F47" s="350"/>
      <c r="G47" s="350"/>
      <c r="H47" s="351"/>
      <c r="I47" s="412"/>
      <c r="J47" s="350"/>
      <c r="K47" s="350"/>
      <c r="L47" s="350"/>
      <c r="M47" s="350"/>
      <c r="N47" s="350"/>
      <c r="O47" s="350"/>
      <c r="P47" s="351"/>
      <c r="Q47" s="412"/>
      <c r="R47" s="350"/>
      <c r="S47" s="350"/>
      <c r="T47" s="350"/>
      <c r="U47" s="350"/>
      <c r="V47" s="350"/>
      <c r="W47" s="350"/>
      <c r="X47" s="351"/>
      <c r="Y47" s="412"/>
      <c r="Z47" s="351"/>
      <c r="AA47" s="412"/>
      <c r="AB47" s="350"/>
      <c r="AC47" s="350"/>
      <c r="AD47" s="351"/>
      <c r="AE47" s="412"/>
      <c r="AF47" s="350"/>
      <c r="AG47" s="351"/>
      <c r="AH47" s="412"/>
      <c r="AI47" s="350"/>
      <c r="AJ47" s="351"/>
      <c r="AK47" s="412"/>
      <c r="AL47" s="350"/>
      <c r="AM47" s="350"/>
      <c r="AN47" s="351"/>
      <c r="AO47" s="412"/>
      <c r="AP47" s="350"/>
      <c r="AQ47" s="350"/>
      <c r="AR47" s="350"/>
      <c r="AS47" s="350"/>
      <c r="AT47" s="350"/>
      <c r="AU47" s="350"/>
      <c r="AV47" s="351"/>
      <c r="AW47" s="723"/>
      <c r="AX47" s="350"/>
      <c r="AY47" s="351"/>
      <c r="AZ47" s="412"/>
      <c r="BA47" s="350"/>
      <c r="BB47" s="350"/>
      <c r="BC47" s="350"/>
      <c r="BD47" s="350"/>
      <c r="BE47" s="350"/>
      <c r="BF47" s="350"/>
      <c r="BG47" s="350"/>
      <c r="BH47" s="350"/>
      <c r="BI47" s="350"/>
      <c r="BJ47" s="350"/>
      <c r="BK47" s="350"/>
      <c r="BL47" s="350"/>
      <c r="BM47" s="350"/>
      <c r="BN47" s="350"/>
      <c r="BO47" s="351"/>
    </row>
    <row r="48" spans="1:67" ht="34.5" customHeight="1">
      <c r="A48" s="98">
        <f t="shared" si="0"/>
        <v>36</v>
      </c>
      <c r="B48" s="416" t="s">
        <v>325</v>
      </c>
      <c r="C48" s="351"/>
      <c r="D48" s="594"/>
      <c r="E48" s="350"/>
      <c r="F48" s="350"/>
      <c r="G48" s="350"/>
      <c r="H48" s="351"/>
      <c r="I48" s="368"/>
      <c r="J48" s="350"/>
      <c r="K48" s="350"/>
      <c r="L48" s="350"/>
      <c r="M48" s="350"/>
      <c r="N48" s="350"/>
      <c r="O48" s="350"/>
      <c r="P48" s="351"/>
      <c r="Q48" s="511"/>
      <c r="R48" s="350"/>
      <c r="S48" s="350"/>
      <c r="T48" s="350"/>
      <c r="U48" s="350"/>
      <c r="V48" s="350"/>
      <c r="W48" s="350"/>
      <c r="X48" s="351"/>
      <c r="Y48" s="368"/>
      <c r="Z48" s="351"/>
      <c r="AA48" s="511"/>
      <c r="AB48" s="350"/>
      <c r="AC48" s="350"/>
      <c r="AD48" s="351"/>
      <c r="AE48" s="368"/>
      <c r="AF48" s="350"/>
      <c r="AG48" s="351"/>
      <c r="AH48" s="511"/>
      <c r="AI48" s="350"/>
      <c r="AJ48" s="351"/>
      <c r="AK48" s="368"/>
      <c r="AL48" s="350"/>
      <c r="AM48" s="350"/>
      <c r="AN48" s="351"/>
      <c r="AO48" s="511"/>
      <c r="AP48" s="350"/>
      <c r="AQ48" s="350"/>
      <c r="AR48" s="350"/>
      <c r="AS48" s="350"/>
      <c r="AT48" s="350"/>
      <c r="AU48" s="350"/>
      <c r="AV48" s="351"/>
      <c r="AW48" s="725"/>
      <c r="AX48" s="350"/>
      <c r="AY48" s="351"/>
      <c r="AZ48" s="511"/>
      <c r="BA48" s="350"/>
      <c r="BB48" s="350"/>
      <c r="BC48" s="350"/>
      <c r="BD48" s="350"/>
      <c r="BE48" s="350"/>
      <c r="BF48" s="350"/>
      <c r="BG48" s="350"/>
      <c r="BH48" s="350"/>
      <c r="BI48" s="350"/>
      <c r="BJ48" s="350"/>
      <c r="BK48" s="350"/>
      <c r="BL48" s="350"/>
      <c r="BM48" s="350"/>
      <c r="BN48" s="350"/>
      <c r="BO48" s="351"/>
    </row>
    <row r="49" spans="1:67" ht="34.5" customHeight="1">
      <c r="A49" s="98">
        <f t="shared" si="0"/>
        <v>37</v>
      </c>
      <c r="B49" s="416" t="s">
        <v>325</v>
      </c>
      <c r="C49" s="351"/>
      <c r="D49" s="724"/>
      <c r="E49" s="350"/>
      <c r="F49" s="350"/>
      <c r="G49" s="350"/>
      <c r="H49" s="351"/>
      <c r="I49" s="412"/>
      <c r="J49" s="350"/>
      <c r="K49" s="350"/>
      <c r="L49" s="350"/>
      <c r="M49" s="350"/>
      <c r="N49" s="350"/>
      <c r="O49" s="350"/>
      <c r="P49" s="351"/>
      <c r="Q49" s="412"/>
      <c r="R49" s="350"/>
      <c r="S49" s="350"/>
      <c r="T49" s="350"/>
      <c r="U49" s="350"/>
      <c r="V49" s="350"/>
      <c r="W49" s="350"/>
      <c r="X49" s="351"/>
      <c r="Y49" s="412"/>
      <c r="Z49" s="351"/>
      <c r="AA49" s="412"/>
      <c r="AB49" s="350"/>
      <c r="AC49" s="350"/>
      <c r="AD49" s="351"/>
      <c r="AE49" s="412"/>
      <c r="AF49" s="350"/>
      <c r="AG49" s="351"/>
      <c r="AH49" s="412"/>
      <c r="AI49" s="350"/>
      <c r="AJ49" s="351"/>
      <c r="AK49" s="412"/>
      <c r="AL49" s="350"/>
      <c r="AM49" s="350"/>
      <c r="AN49" s="351"/>
      <c r="AO49" s="412"/>
      <c r="AP49" s="350"/>
      <c r="AQ49" s="350"/>
      <c r="AR49" s="350"/>
      <c r="AS49" s="350"/>
      <c r="AT49" s="350"/>
      <c r="AU49" s="350"/>
      <c r="AV49" s="351"/>
      <c r="AW49" s="723"/>
      <c r="AX49" s="350"/>
      <c r="AY49" s="351"/>
      <c r="AZ49" s="412"/>
      <c r="BA49" s="350"/>
      <c r="BB49" s="350"/>
      <c r="BC49" s="350"/>
      <c r="BD49" s="350"/>
      <c r="BE49" s="350"/>
      <c r="BF49" s="350"/>
      <c r="BG49" s="350"/>
      <c r="BH49" s="350"/>
      <c r="BI49" s="350"/>
      <c r="BJ49" s="350"/>
      <c r="BK49" s="350"/>
      <c r="BL49" s="350"/>
      <c r="BM49" s="350"/>
      <c r="BN49" s="350"/>
      <c r="BO49" s="351"/>
    </row>
    <row r="50" spans="1:67" ht="34.5" customHeight="1">
      <c r="A50" s="98">
        <f t="shared" si="0"/>
        <v>38</v>
      </c>
      <c r="B50" s="726" t="s">
        <v>325</v>
      </c>
      <c r="C50" s="351"/>
      <c r="D50" s="594"/>
      <c r="E50" s="350"/>
      <c r="F50" s="350"/>
      <c r="G50" s="350"/>
      <c r="H50" s="351"/>
      <c r="I50" s="368"/>
      <c r="J50" s="350"/>
      <c r="K50" s="350"/>
      <c r="L50" s="350"/>
      <c r="M50" s="350"/>
      <c r="N50" s="350"/>
      <c r="O50" s="350"/>
      <c r="P50" s="351"/>
      <c r="Q50" s="511"/>
      <c r="R50" s="350"/>
      <c r="S50" s="350"/>
      <c r="T50" s="350"/>
      <c r="U50" s="350"/>
      <c r="V50" s="350"/>
      <c r="W50" s="350"/>
      <c r="X50" s="351"/>
      <c r="Y50" s="368"/>
      <c r="Z50" s="351"/>
      <c r="AA50" s="511"/>
      <c r="AB50" s="350"/>
      <c r="AC50" s="350"/>
      <c r="AD50" s="351"/>
      <c r="AE50" s="368"/>
      <c r="AF50" s="350"/>
      <c r="AG50" s="351"/>
      <c r="AH50" s="511"/>
      <c r="AI50" s="350"/>
      <c r="AJ50" s="351"/>
      <c r="AK50" s="368"/>
      <c r="AL50" s="350"/>
      <c r="AM50" s="350"/>
      <c r="AN50" s="351"/>
      <c r="AO50" s="511"/>
      <c r="AP50" s="350"/>
      <c r="AQ50" s="350"/>
      <c r="AR50" s="350"/>
      <c r="AS50" s="350"/>
      <c r="AT50" s="350"/>
      <c r="AU50" s="350"/>
      <c r="AV50" s="351"/>
      <c r="AW50" s="725"/>
      <c r="AX50" s="350"/>
      <c r="AY50" s="351"/>
      <c r="AZ50" s="511"/>
      <c r="BA50" s="350"/>
      <c r="BB50" s="350"/>
      <c r="BC50" s="350"/>
      <c r="BD50" s="350"/>
      <c r="BE50" s="350"/>
      <c r="BF50" s="350"/>
      <c r="BG50" s="350"/>
      <c r="BH50" s="350"/>
      <c r="BI50" s="350"/>
      <c r="BJ50" s="350"/>
      <c r="BK50" s="350"/>
      <c r="BL50" s="350"/>
      <c r="BM50" s="350"/>
      <c r="BN50" s="350"/>
      <c r="BO50" s="351"/>
    </row>
    <row r="51" spans="1:67" ht="34.5" customHeight="1">
      <c r="A51" s="98">
        <f t="shared" si="0"/>
        <v>39</v>
      </c>
      <c r="B51" s="416" t="s">
        <v>325</v>
      </c>
      <c r="C51" s="351"/>
      <c r="D51" s="724"/>
      <c r="E51" s="350"/>
      <c r="F51" s="350"/>
      <c r="G51" s="350"/>
      <c r="H51" s="351"/>
      <c r="I51" s="412"/>
      <c r="J51" s="350"/>
      <c r="K51" s="350"/>
      <c r="L51" s="350"/>
      <c r="M51" s="350"/>
      <c r="N51" s="350"/>
      <c r="O51" s="350"/>
      <c r="P51" s="351"/>
      <c r="Q51" s="412"/>
      <c r="R51" s="350"/>
      <c r="S51" s="350"/>
      <c r="T51" s="350"/>
      <c r="U51" s="350"/>
      <c r="V51" s="350"/>
      <c r="W51" s="350"/>
      <c r="X51" s="351"/>
      <c r="Y51" s="412"/>
      <c r="Z51" s="351"/>
      <c r="AA51" s="412"/>
      <c r="AB51" s="350"/>
      <c r="AC51" s="350"/>
      <c r="AD51" s="351"/>
      <c r="AE51" s="412"/>
      <c r="AF51" s="350"/>
      <c r="AG51" s="351"/>
      <c r="AH51" s="412"/>
      <c r="AI51" s="350"/>
      <c r="AJ51" s="351"/>
      <c r="AK51" s="412"/>
      <c r="AL51" s="350"/>
      <c r="AM51" s="350"/>
      <c r="AN51" s="351"/>
      <c r="AO51" s="412"/>
      <c r="AP51" s="350"/>
      <c r="AQ51" s="350"/>
      <c r="AR51" s="350"/>
      <c r="AS51" s="350"/>
      <c r="AT51" s="350"/>
      <c r="AU51" s="350"/>
      <c r="AV51" s="351"/>
      <c r="AW51" s="723"/>
      <c r="AX51" s="350"/>
      <c r="AY51" s="351"/>
      <c r="AZ51" s="412"/>
      <c r="BA51" s="350"/>
      <c r="BB51" s="350"/>
      <c r="BC51" s="350"/>
      <c r="BD51" s="350"/>
      <c r="BE51" s="350"/>
      <c r="BF51" s="350"/>
      <c r="BG51" s="350"/>
      <c r="BH51" s="350"/>
      <c r="BI51" s="350"/>
      <c r="BJ51" s="350"/>
      <c r="BK51" s="350"/>
      <c r="BL51" s="350"/>
      <c r="BM51" s="350"/>
      <c r="BN51" s="350"/>
      <c r="BO51" s="351"/>
    </row>
    <row r="52" spans="1:67" ht="34.5" customHeight="1">
      <c r="A52" s="98">
        <f t="shared" si="0"/>
        <v>40</v>
      </c>
      <c r="B52" s="416" t="s">
        <v>325</v>
      </c>
      <c r="C52" s="351"/>
      <c r="D52" s="594"/>
      <c r="E52" s="350"/>
      <c r="F52" s="350"/>
      <c r="G52" s="350"/>
      <c r="H52" s="351"/>
      <c r="I52" s="368"/>
      <c r="J52" s="350"/>
      <c r="K52" s="350"/>
      <c r="L52" s="350"/>
      <c r="M52" s="350"/>
      <c r="N52" s="350"/>
      <c r="O52" s="350"/>
      <c r="P52" s="351"/>
      <c r="Q52" s="511"/>
      <c r="R52" s="350"/>
      <c r="S52" s="350"/>
      <c r="T52" s="350"/>
      <c r="U52" s="350"/>
      <c r="V52" s="350"/>
      <c r="W52" s="350"/>
      <c r="X52" s="351"/>
      <c r="Y52" s="368"/>
      <c r="Z52" s="351"/>
      <c r="AA52" s="511"/>
      <c r="AB52" s="350"/>
      <c r="AC52" s="350"/>
      <c r="AD52" s="351"/>
      <c r="AE52" s="368"/>
      <c r="AF52" s="350"/>
      <c r="AG52" s="351"/>
      <c r="AH52" s="511"/>
      <c r="AI52" s="350"/>
      <c r="AJ52" s="351"/>
      <c r="AK52" s="368"/>
      <c r="AL52" s="350"/>
      <c r="AM52" s="350"/>
      <c r="AN52" s="351"/>
      <c r="AO52" s="511"/>
      <c r="AP52" s="350"/>
      <c r="AQ52" s="350"/>
      <c r="AR52" s="350"/>
      <c r="AS52" s="350"/>
      <c r="AT52" s="350"/>
      <c r="AU52" s="350"/>
      <c r="AV52" s="351"/>
      <c r="AW52" s="725"/>
      <c r="AX52" s="350"/>
      <c r="AY52" s="351"/>
      <c r="AZ52" s="511"/>
      <c r="BA52" s="350"/>
      <c r="BB52" s="350"/>
      <c r="BC52" s="350"/>
      <c r="BD52" s="350"/>
      <c r="BE52" s="350"/>
      <c r="BF52" s="350"/>
      <c r="BG52" s="350"/>
      <c r="BH52" s="350"/>
      <c r="BI52" s="350"/>
      <c r="BJ52" s="350"/>
      <c r="BK52" s="350"/>
      <c r="BL52" s="350"/>
      <c r="BM52" s="350"/>
      <c r="BN52" s="350"/>
      <c r="BO52" s="351"/>
    </row>
    <row r="53" spans="1:67" ht="34.5" customHeight="1">
      <c r="A53" s="98">
        <f t="shared" si="0"/>
        <v>41</v>
      </c>
      <c r="B53" s="416" t="s">
        <v>325</v>
      </c>
      <c r="C53" s="351"/>
      <c r="D53" s="724"/>
      <c r="E53" s="350"/>
      <c r="F53" s="350"/>
      <c r="G53" s="350"/>
      <c r="H53" s="351"/>
      <c r="I53" s="412"/>
      <c r="J53" s="350"/>
      <c r="K53" s="350"/>
      <c r="L53" s="350"/>
      <c r="M53" s="350"/>
      <c r="N53" s="350"/>
      <c r="O53" s="350"/>
      <c r="P53" s="351"/>
      <c r="Q53" s="412"/>
      <c r="R53" s="350"/>
      <c r="S53" s="350"/>
      <c r="T53" s="350"/>
      <c r="U53" s="350"/>
      <c r="V53" s="350"/>
      <c r="W53" s="350"/>
      <c r="X53" s="351"/>
      <c r="Y53" s="412"/>
      <c r="Z53" s="351"/>
      <c r="AA53" s="412"/>
      <c r="AB53" s="350"/>
      <c r="AC53" s="350"/>
      <c r="AD53" s="351"/>
      <c r="AE53" s="412"/>
      <c r="AF53" s="350"/>
      <c r="AG53" s="351"/>
      <c r="AH53" s="412"/>
      <c r="AI53" s="350"/>
      <c r="AJ53" s="351"/>
      <c r="AK53" s="412"/>
      <c r="AL53" s="350"/>
      <c r="AM53" s="350"/>
      <c r="AN53" s="351"/>
      <c r="AO53" s="412"/>
      <c r="AP53" s="350"/>
      <c r="AQ53" s="350"/>
      <c r="AR53" s="350"/>
      <c r="AS53" s="350"/>
      <c r="AT53" s="350"/>
      <c r="AU53" s="350"/>
      <c r="AV53" s="351"/>
      <c r="AW53" s="723"/>
      <c r="AX53" s="350"/>
      <c r="AY53" s="351"/>
      <c r="AZ53" s="412"/>
      <c r="BA53" s="350"/>
      <c r="BB53" s="350"/>
      <c r="BC53" s="350"/>
      <c r="BD53" s="350"/>
      <c r="BE53" s="350"/>
      <c r="BF53" s="350"/>
      <c r="BG53" s="350"/>
      <c r="BH53" s="350"/>
      <c r="BI53" s="350"/>
      <c r="BJ53" s="350"/>
      <c r="BK53" s="350"/>
      <c r="BL53" s="350"/>
      <c r="BM53" s="350"/>
      <c r="BN53" s="350"/>
      <c r="BO53" s="351"/>
    </row>
    <row r="54" spans="1:67" ht="34.5" customHeight="1">
      <c r="A54" s="98">
        <f t="shared" si="0"/>
        <v>42</v>
      </c>
      <c r="B54" s="416" t="s">
        <v>325</v>
      </c>
      <c r="C54" s="351"/>
      <c r="D54" s="594"/>
      <c r="E54" s="350"/>
      <c r="F54" s="350"/>
      <c r="G54" s="350"/>
      <c r="H54" s="351"/>
      <c r="I54" s="368"/>
      <c r="J54" s="350"/>
      <c r="K54" s="350"/>
      <c r="L54" s="350"/>
      <c r="M54" s="350"/>
      <c r="N54" s="350"/>
      <c r="O54" s="350"/>
      <c r="P54" s="351"/>
      <c r="Q54" s="511"/>
      <c r="R54" s="350"/>
      <c r="S54" s="350"/>
      <c r="T54" s="350"/>
      <c r="U54" s="350"/>
      <c r="V54" s="350"/>
      <c r="W54" s="350"/>
      <c r="X54" s="351"/>
      <c r="Y54" s="368"/>
      <c r="Z54" s="351"/>
      <c r="AA54" s="511"/>
      <c r="AB54" s="350"/>
      <c r="AC54" s="350"/>
      <c r="AD54" s="351"/>
      <c r="AE54" s="368"/>
      <c r="AF54" s="350"/>
      <c r="AG54" s="351"/>
      <c r="AH54" s="511"/>
      <c r="AI54" s="350"/>
      <c r="AJ54" s="351"/>
      <c r="AK54" s="368"/>
      <c r="AL54" s="350"/>
      <c r="AM54" s="350"/>
      <c r="AN54" s="351"/>
      <c r="AO54" s="511"/>
      <c r="AP54" s="350"/>
      <c r="AQ54" s="350"/>
      <c r="AR54" s="350"/>
      <c r="AS54" s="350"/>
      <c r="AT54" s="350"/>
      <c r="AU54" s="350"/>
      <c r="AV54" s="351"/>
      <c r="AW54" s="725"/>
      <c r="AX54" s="350"/>
      <c r="AY54" s="351"/>
      <c r="AZ54" s="511"/>
      <c r="BA54" s="350"/>
      <c r="BB54" s="350"/>
      <c r="BC54" s="350"/>
      <c r="BD54" s="350"/>
      <c r="BE54" s="350"/>
      <c r="BF54" s="350"/>
      <c r="BG54" s="350"/>
      <c r="BH54" s="350"/>
      <c r="BI54" s="350"/>
      <c r="BJ54" s="350"/>
      <c r="BK54" s="350"/>
      <c r="BL54" s="350"/>
      <c r="BM54" s="350"/>
      <c r="BN54" s="350"/>
      <c r="BO54" s="351"/>
    </row>
    <row r="55" spans="1:67" ht="34.5" customHeight="1">
      <c r="A55" s="98">
        <f t="shared" si="0"/>
        <v>43</v>
      </c>
      <c r="B55" s="416" t="s">
        <v>325</v>
      </c>
      <c r="C55" s="351"/>
      <c r="D55" s="724"/>
      <c r="E55" s="350"/>
      <c r="F55" s="350"/>
      <c r="G55" s="350"/>
      <c r="H55" s="351"/>
      <c r="I55" s="412"/>
      <c r="J55" s="350"/>
      <c r="K55" s="350"/>
      <c r="L55" s="350"/>
      <c r="M55" s="350"/>
      <c r="N55" s="350"/>
      <c r="O55" s="350"/>
      <c r="P55" s="351"/>
      <c r="Q55" s="412"/>
      <c r="R55" s="350"/>
      <c r="S55" s="350"/>
      <c r="T55" s="350"/>
      <c r="U55" s="350"/>
      <c r="V55" s="350"/>
      <c r="W55" s="350"/>
      <c r="X55" s="351"/>
      <c r="Y55" s="412"/>
      <c r="Z55" s="351"/>
      <c r="AA55" s="412"/>
      <c r="AB55" s="350"/>
      <c r="AC55" s="350"/>
      <c r="AD55" s="351"/>
      <c r="AE55" s="412"/>
      <c r="AF55" s="350"/>
      <c r="AG55" s="351"/>
      <c r="AH55" s="412"/>
      <c r="AI55" s="350"/>
      <c r="AJ55" s="351"/>
      <c r="AK55" s="412"/>
      <c r="AL55" s="350"/>
      <c r="AM55" s="350"/>
      <c r="AN55" s="351"/>
      <c r="AO55" s="412"/>
      <c r="AP55" s="350"/>
      <c r="AQ55" s="350"/>
      <c r="AR55" s="350"/>
      <c r="AS55" s="350"/>
      <c r="AT55" s="350"/>
      <c r="AU55" s="350"/>
      <c r="AV55" s="351"/>
      <c r="AW55" s="723"/>
      <c r="AX55" s="350"/>
      <c r="AY55" s="351"/>
      <c r="AZ55" s="412"/>
      <c r="BA55" s="350"/>
      <c r="BB55" s="350"/>
      <c r="BC55" s="350"/>
      <c r="BD55" s="350"/>
      <c r="BE55" s="350"/>
      <c r="BF55" s="350"/>
      <c r="BG55" s="350"/>
      <c r="BH55" s="350"/>
      <c r="BI55" s="350"/>
      <c r="BJ55" s="350"/>
      <c r="BK55" s="350"/>
      <c r="BL55" s="350"/>
      <c r="BM55" s="350"/>
      <c r="BN55" s="350"/>
      <c r="BO55" s="351"/>
    </row>
    <row r="56" spans="1:67" ht="34.5" customHeight="1">
      <c r="A56" s="98">
        <f t="shared" si="0"/>
        <v>44</v>
      </c>
      <c r="B56" s="416" t="s">
        <v>325</v>
      </c>
      <c r="C56" s="351"/>
      <c r="D56" s="594"/>
      <c r="E56" s="350"/>
      <c r="F56" s="350"/>
      <c r="G56" s="350"/>
      <c r="H56" s="351"/>
      <c r="I56" s="368"/>
      <c r="J56" s="350"/>
      <c r="K56" s="350"/>
      <c r="L56" s="350"/>
      <c r="M56" s="350"/>
      <c r="N56" s="350"/>
      <c r="O56" s="350"/>
      <c r="P56" s="351"/>
      <c r="Q56" s="511"/>
      <c r="R56" s="350"/>
      <c r="S56" s="350"/>
      <c r="T56" s="350"/>
      <c r="U56" s="350"/>
      <c r="V56" s="350"/>
      <c r="W56" s="350"/>
      <c r="X56" s="351"/>
      <c r="Y56" s="368"/>
      <c r="Z56" s="351"/>
      <c r="AA56" s="511"/>
      <c r="AB56" s="350"/>
      <c r="AC56" s="350"/>
      <c r="AD56" s="351"/>
      <c r="AE56" s="368"/>
      <c r="AF56" s="350"/>
      <c r="AG56" s="351"/>
      <c r="AH56" s="511"/>
      <c r="AI56" s="350"/>
      <c r="AJ56" s="351"/>
      <c r="AK56" s="368"/>
      <c r="AL56" s="350"/>
      <c r="AM56" s="350"/>
      <c r="AN56" s="351"/>
      <c r="AO56" s="511"/>
      <c r="AP56" s="350"/>
      <c r="AQ56" s="350"/>
      <c r="AR56" s="350"/>
      <c r="AS56" s="350"/>
      <c r="AT56" s="350"/>
      <c r="AU56" s="350"/>
      <c r="AV56" s="351"/>
      <c r="AW56" s="725"/>
      <c r="AX56" s="350"/>
      <c r="AY56" s="351"/>
      <c r="AZ56" s="511"/>
      <c r="BA56" s="350"/>
      <c r="BB56" s="350"/>
      <c r="BC56" s="350"/>
      <c r="BD56" s="350"/>
      <c r="BE56" s="350"/>
      <c r="BF56" s="350"/>
      <c r="BG56" s="350"/>
      <c r="BH56" s="350"/>
      <c r="BI56" s="350"/>
      <c r="BJ56" s="350"/>
      <c r="BK56" s="350"/>
      <c r="BL56" s="350"/>
      <c r="BM56" s="350"/>
      <c r="BN56" s="350"/>
      <c r="BO56" s="351"/>
    </row>
    <row r="57" spans="1:67" ht="34.5" customHeight="1">
      <c r="A57" s="98">
        <f t="shared" si="0"/>
        <v>45</v>
      </c>
      <c r="B57" s="416" t="s">
        <v>325</v>
      </c>
      <c r="C57" s="351"/>
      <c r="D57" s="724"/>
      <c r="E57" s="350"/>
      <c r="F57" s="350"/>
      <c r="G57" s="350"/>
      <c r="H57" s="351"/>
      <c r="I57" s="412"/>
      <c r="J57" s="350"/>
      <c r="K57" s="350"/>
      <c r="L57" s="350"/>
      <c r="M57" s="350"/>
      <c r="N57" s="350"/>
      <c r="O57" s="350"/>
      <c r="P57" s="351"/>
      <c r="Q57" s="412"/>
      <c r="R57" s="350"/>
      <c r="S57" s="350"/>
      <c r="T57" s="350"/>
      <c r="U57" s="350"/>
      <c r="V57" s="350"/>
      <c r="W57" s="350"/>
      <c r="X57" s="351"/>
      <c r="Y57" s="412"/>
      <c r="Z57" s="351"/>
      <c r="AA57" s="412"/>
      <c r="AB57" s="350"/>
      <c r="AC57" s="350"/>
      <c r="AD57" s="351"/>
      <c r="AE57" s="412"/>
      <c r="AF57" s="350"/>
      <c r="AG57" s="351"/>
      <c r="AH57" s="412"/>
      <c r="AI57" s="350"/>
      <c r="AJ57" s="351"/>
      <c r="AK57" s="412"/>
      <c r="AL57" s="350"/>
      <c r="AM57" s="350"/>
      <c r="AN57" s="351"/>
      <c r="AO57" s="412"/>
      <c r="AP57" s="350"/>
      <c r="AQ57" s="350"/>
      <c r="AR57" s="350"/>
      <c r="AS57" s="350"/>
      <c r="AT57" s="350"/>
      <c r="AU57" s="350"/>
      <c r="AV57" s="351"/>
      <c r="AW57" s="723"/>
      <c r="AX57" s="350"/>
      <c r="AY57" s="351"/>
      <c r="AZ57" s="412"/>
      <c r="BA57" s="350"/>
      <c r="BB57" s="350"/>
      <c r="BC57" s="350"/>
      <c r="BD57" s="350"/>
      <c r="BE57" s="350"/>
      <c r="BF57" s="350"/>
      <c r="BG57" s="350"/>
      <c r="BH57" s="350"/>
      <c r="BI57" s="350"/>
      <c r="BJ57" s="350"/>
      <c r="BK57" s="350"/>
      <c r="BL57" s="350"/>
      <c r="BM57" s="350"/>
      <c r="BN57" s="350"/>
      <c r="BO57" s="351"/>
    </row>
    <row r="58" spans="1:67" ht="34.5" customHeight="1">
      <c r="A58" s="98">
        <f t="shared" si="0"/>
        <v>46</v>
      </c>
      <c r="B58" s="416" t="s">
        <v>325</v>
      </c>
      <c r="C58" s="351"/>
      <c r="D58" s="594"/>
      <c r="E58" s="350"/>
      <c r="F58" s="350"/>
      <c r="G58" s="350"/>
      <c r="H58" s="351"/>
      <c r="I58" s="368"/>
      <c r="J58" s="350"/>
      <c r="K58" s="350"/>
      <c r="L58" s="350"/>
      <c r="M58" s="350"/>
      <c r="N58" s="350"/>
      <c r="O58" s="350"/>
      <c r="P58" s="351"/>
      <c r="Q58" s="511"/>
      <c r="R58" s="350"/>
      <c r="S58" s="350"/>
      <c r="T58" s="350"/>
      <c r="U58" s="350"/>
      <c r="V58" s="350"/>
      <c r="W58" s="350"/>
      <c r="X58" s="351"/>
      <c r="Y58" s="368"/>
      <c r="Z58" s="351"/>
      <c r="AA58" s="511"/>
      <c r="AB58" s="350"/>
      <c r="AC58" s="350"/>
      <c r="AD58" s="351"/>
      <c r="AE58" s="368"/>
      <c r="AF58" s="350"/>
      <c r="AG58" s="351"/>
      <c r="AH58" s="511"/>
      <c r="AI58" s="350"/>
      <c r="AJ58" s="351"/>
      <c r="AK58" s="368"/>
      <c r="AL58" s="350"/>
      <c r="AM58" s="350"/>
      <c r="AN58" s="351"/>
      <c r="AO58" s="511"/>
      <c r="AP58" s="350"/>
      <c r="AQ58" s="350"/>
      <c r="AR58" s="350"/>
      <c r="AS58" s="350"/>
      <c r="AT58" s="350"/>
      <c r="AU58" s="350"/>
      <c r="AV58" s="351"/>
      <c r="AW58" s="725"/>
      <c r="AX58" s="350"/>
      <c r="AY58" s="351"/>
      <c r="AZ58" s="511"/>
      <c r="BA58" s="350"/>
      <c r="BB58" s="350"/>
      <c r="BC58" s="350"/>
      <c r="BD58" s="350"/>
      <c r="BE58" s="350"/>
      <c r="BF58" s="350"/>
      <c r="BG58" s="350"/>
      <c r="BH58" s="350"/>
      <c r="BI58" s="350"/>
      <c r="BJ58" s="350"/>
      <c r="BK58" s="350"/>
      <c r="BL58" s="350"/>
      <c r="BM58" s="350"/>
      <c r="BN58" s="350"/>
      <c r="BO58" s="351"/>
    </row>
    <row r="59" spans="1:67" ht="34.5" customHeight="1">
      <c r="A59" s="98">
        <f t="shared" si="0"/>
        <v>47</v>
      </c>
      <c r="B59" s="416" t="s">
        <v>325</v>
      </c>
      <c r="C59" s="351"/>
      <c r="D59" s="724"/>
      <c r="E59" s="350"/>
      <c r="F59" s="350"/>
      <c r="G59" s="350"/>
      <c r="H59" s="351"/>
      <c r="I59" s="412"/>
      <c r="J59" s="350"/>
      <c r="K59" s="350"/>
      <c r="L59" s="350"/>
      <c r="M59" s="350"/>
      <c r="N59" s="350"/>
      <c r="O59" s="350"/>
      <c r="P59" s="351"/>
      <c r="Q59" s="412"/>
      <c r="R59" s="350"/>
      <c r="S59" s="350"/>
      <c r="T59" s="350"/>
      <c r="U59" s="350"/>
      <c r="V59" s="350"/>
      <c r="W59" s="350"/>
      <c r="X59" s="351"/>
      <c r="Y59" s="412"/>
      <c r="Z59" s="351"/>
      <c r="AA59" s="412"/>
      <c r="AB59" s="350"/>
      <c r="AC59" s="350"/>
      <c r="AD59" s="351"/>
      <c r="AE59" s="412"/>
      <c r="AF59" s="350"/>
      <c r="AG59" s="351"/>
      <c r="AH59" s="412"/>
      <c r="AI59" s="350"/>
      <c r="AJ59" s="351"/>
      <c r="AK59" s="412"/>
      <c r="AL59" s="350"/>
      <c r="AM59" s="350"/>
      <c r="AN59" s="351"/>
      <c r="AO59" s="412"/>
      <c r="AP59" s="350"/>
      <c r="AQ59" s="350"/>
      <c r="AR59" s="350"/>
      <c r="AS59" s="350"/>
      <c r="AT59" s="350"/>
      <c r="AU59" s="350"/>
      <c r="AV59" s="351"/>
      <c r="AW59" s="723"/>
      <c r="AX59" s="350"/>
      <c r="AY59" s="351"/>
      <c r="AZ59" s="412"/>
      <c r="BA59" s="350"/>
      <c r="BB59" s="350"/>
      <c r="BC59" s="350"/>
      <c r="BD59" s="350"/>
      <c r="BE59" s="350"/>
      <c r="BF59" s="350"/>
      <c r="BG59" s="350"/>
      <c r="BH59" s="350"/>
      <c r="BI59" s="350"/>
      <c r="BJ59" s="350"/>
      <c r="BK59" s="350"/>
      <c r="BL59" s="350"/>
      <c r="BM59" s="350"/>
      <c r="BN59" s="350"/>
      <c r="BO59" s="351"/>
    </row>
    <row r="60" spans="1:67" ht="34.5" customHeight="1">
      <c r="A60" s="98">
        <f t="shared" si="0"/>
        <v>48</v>
      </c>
      <c r="B60" s="416" t="s">
        <v>325</v>
      </c>
      <c r="C60" s="351"/>
      <c r="D60" s="594"/>
      <c r="E60" s="350"/>
      <c r="F60" s="350"/>
      <c r="G60" s="350"/>
      <c r="H60" s="351"/>
      <c r="I60" s="368"/>
      <c r="J60" s="350"/>
      <c r="K60" s="350"/>
      <c r="L60" s="350"/>
      <c r="M60" s="350"/>
      <c r="N60" s="350"/>
      <c r="O60" s="350"/>
      <c r="P60" s="351"/>
      <c r="Q60" s="511"/>
      <c r="R60" s="350"/>
      <c r="S60" s="350"/>
      <c r="T60" s="350"/>
      <c r="U60" s="350"/>
      <c r="V60" s="350"/>
      <c r="W60" s="350"/>
      <c r="X60" s="351"/>
      <c r="Y60" s="368"/>
      <c r="Z60" s="351"/>
      <c r="AA60" s="511"/>
      <c r="AB60" s="350"/>
      <c r="AC60" s="350"/>
      <c r="AD60" s="351"/>
      <c r="AE60" s="368"/>
      <c r="AF60" s="350"/>
      <c r="AG60" s="351"/>
      <c r="AH60" s="511"/>
      <c r="AI60" s="350"/>
      <c r="AJ60" s="351"/>
      <c r="AK60" s="368"/>
      <c r="AL60" s="350"/>
      <c r="AM60" s="350"/>
      <c r="AN60" s="351"/>
      <c r="AO60" s="511"/>
      <c r="AP60" s="350"/>
      <c r="AQ60" s="350"/>
      <c r="AR60" s="350"/>
      <c r="AS60" s="350"/>
      <c r="AT60" s="350"/>
      <c r="AU60" s="350"/>
      <c r="AV60" s="351"/>
      <c r="AW60" s="725"/>
      <c r="AX60" s="350"/>
      <c r="AY60" s="351"/>
      <c r="AZ60" s="511"/>
      <c r="BA60" s="350"/>
      <c r="BB60" s="350"/>
      <c r="BC60" s="350"/>
      <c r="BD60" s="350"/>
      <c r="BE60" s="350"/>
      <c r="BF60" s="350"/>
      <c r="BG60" s="350"/>
      <c r="BH60" s="350"/>
      <c r="BI60" s="350"/>
      <c r="BJ60" s="350"/>
      <c r="BK60" s="350"/>
      <c r="BL60" s="350"/>
      <c r="BM60" s="350"/>
      <c r="BN60" s="350"/>
      <c r="BO60" s="351"/>
    </row>
    <row r="61" spans="1:67" ht="34.5" customHeight="1">
      <c r="A61" s="98">
        <f t="shared" si="0"/>
        <v>49</v>
      </c>
      <c r="B61" s="416" t="s">
        <v>325</v>
      </c>
      <c r="C61" s="351"/>
      <c r="D61" s="724"/>
      <c r="E61" s="350"/>
      <c r="F61" s="350"/>
      <c r="G61" s="350"/>
      <c r="H61" s="351"/>
      <c r="I61" s="412"/>
      <c r="J61" s="350"/>
      <c r="K61" s="350"/>
      <c r="L61" s="350"/>
      <c r="M61" s="350"/>
      <c r="N61" s="350"/>
      <c r="O61" s="350"/>
      <c r="P61" s="351"/>
      <c r="Q61" s="412"/>
      <c r="R61" s="350"/>
      <c r="S61" s="350"/>
      <c r="T61" s="350"/>
      <c r="U61" s="350"/>
      <c r="V61" s="350"/>
      <c r="W61" s="350"/>
      <c r="X61" s="351"/>
      <c r="Y61" s="412"/>
      <c r="Z61" s="351"/>
      <c r="AA61" s="412"/>
      <c r="AB61" s="350"/>
      <c r="AC61" s="350"/>
      <c r="AD61" s="351"/>
      <c r="AE61" s="412"/>
      <c r="AF61" s="350"/>
      <c r="AG61" s="351"/>
      <c r="AH61" s="412"/>
      <c r="AI61" s="350"/>
      <c r="AJ61" s="351"/>
      <c r="AK61" s="412"/>
      <c r="AL61" s="350"/>
      <c r="AM61" s="350"/>
      <c r="AN61" s="351"/>
      <c r="AO61" s="412"/>
      <c r="AP61" s="350"/>
      <c r="AQ61" s="350"/>
      <c r="AR61" s="350"/>
      <c r="AS61" s="350"/>
      <c r="AT61" s="350"/>
      <c r="AU61" s="350"/>
      <c r="AV61" s="351"/>
      <c r="AW61" s="723"/>
      <c r="AX61" s="350"/>
      <c r="AY61" s="351"/>
      <c r="AZ61" s="412"/>
      <c r="BA61" s="350"/>
      <c r="BB61" s="350"/>
      <c r="BC61" s="350"/>
      <c r="BD61" s="350"/>
      <c r="BE61" s="350"/>
      <c r="BF61" s="350"/>
      <c r="BG61" s="350"/>
      <c r="BH61" s="350"/>
      <c r="BI61" s="350"/>
      <c r="BJ61" s="350"/>
      <c r="BK61" s="350"/>
      <c r="BL61" s="350"/>
      <c r="BM61" s="350"/>
      <c r="BN61" s="350"/>
      <c r="BO61" s="351"/>
    </row>
    <row r="62" spans="1:67" ht="34.5" customHeight="1">
      <c r="A62" s="98">
        <f t="shared" si="0"/>
        <v>50</v>
      </c>
      <c r="B62" s="416" t="s">
        <v>325</v>
      </c>
      <c r="C62" s="351"/>
      <c r="D62" s="594"/>
      <c r="E62" s="350"/>
      <c r="F62" s="350"/>
      <c r="G62" s="350"/>
      <c r="H62" s="351"/>
      <c r="I62" s="368"/>
      <c r="J62" s="350"/>
      <c r="K62" s="350"/>
      <c r="L62" s="350"/>
      <c r="M62" s="350"/>
      <c r="N62" s="350"/>
      <c r="O62" s="350"/>
      <c r="P62" s="351"/>
      <c r="Q62" s="511"/>
      <c r="R62" s="350"/>
      <c r="S62" s="350"/>
      <c r="T62" s="350"/>
      <c r="U62" s="350"/>
      <c r="V62" s="350"/>
      <c r="W62" s="350"/>
      <c r="X62" s="351"/>
      <c r="Y62" s="368"/>
      <c r="Z62" s="351"/>
      <c r="AA62" s="511"/>
      <c r="AB62" s="350"/>
      <c r="AC62" s="350"/>
      <c r="AD62" s="351"/>
      <c r="AE62" s="368"/>
      <c r="AF62" s="350"/>
      <c r="AG62" s="351"/>
      <c r="AH62" s="511"/>
      <c r="AI62" s="350"/>
      <c r="AJ62" s="351"/>
      <c r="AK62" s="368"/>
      <c r="AL62" s="350"/>
      <c r="AM62" s="350"/>
      <c r="AN62" s="351"/>
      <c r="AO62" s="511"/>
      <c r="AP62" s="350"/>
      <c r="AQ62" s="350"/>
      <c r="AR62" s="350"/>
      <c r="AS62" s="350"/>
      <c r="AT62" s="350"/>
      <c r="AU62" s="350"/>
      <c r="AV62" s="351"/>
      <c r="AW62" s="725"/>
      <c r="AX62" s="350"/>
      <c r="AY62" s="351"/>
      <c r="AZ62" s="511"/>
      <c r="BA62" s="350"/>
      <c r="BB62" s="350"/>
      <c r="BC62" s="350"/>
      <c r="BD62" s="350"/>
      <c r="BE62" s="350"/>
      <c r="BF62" s="350"/>
      <c r="BG62" s="350"/>
      <c r="BH62" s="350"/>
      <c r="BI62" s="350"/>
      <c r="BJ62" s="350"/>
      <c r="BK62" s="350"/>
      <c r="BL62" s="350"/>
      <c r="BM62" s="350"/>
      <c r="BN62" s="350"/>
      <c r="BO62" s="351"/>
    </row>
    <row r="63" spans="1:67" ht="34.5" customHeight="1">
      <c r="A63" s="98">
        <f t="shared" si="0"/>
        <v>51</v>
      </c>
      <c r="B63" s="416" t="s">
        <v>325</v>
      </c>
      <c r="C63" s="351"/>
      <c r="D63" s="724"/>
      <c r="E63" s="350"/>
      <c r="F63" s="350"/>
      <c r="G63" s="350"/>
      <c r="H63" s="351"/>
      <c r="I63" s="412"/>
      <c r="J63" s="350"/>
      <c r="K63" s="350"/>
      <c r="L63" s="350"/>
      <c r="M63" s="350"/>
      <c r="N63" s="350"/>
      <c r="O63" s="350"/>
      <c r="P63" s="351"/>
      <c r="Q63" s="412"/>
      <c r="R63" s="350"/>
      <c r="S63" s="350"/>
      <c r="T63" s="350"/>
      <c r="U63" s="350"/>
      <c r="V63" s="350"/>
      <c r="W63" s="350"/>
      <c r="X63" s="351"/>
      <c r="Y63" s="412"/>
      <c r="Z63" s="351"/>
      <c r="AA63" s="412"/>
      <c r="AB63" s="350"/>
      <c r="AC63" s="350"/>
      <c r="AD63" s="351"/>
      <c r="AE63" s="412"/>
      <c r="AF63" s="350"/>
      <c r="AG63" s="351"/>
      <c r="AH63" s="412"/>
      <c r="AI63" s="350"/>
      <c r="AJ63" s="351"/>
      <c r="AK63" s="412"/>
      <c r="AL63" s="350"/>
      <c r="AM63" s="350"/>
      <c r="AN63" s="351"/>
      <c r="AO63" s="412"/>
      <c r="AP63" s="350"/>
      <c r="AQ63" s="350"/>
      <c r="AR63" s="350"/>
      <c r="AS63" s="350"/>
      <c r="AT63" s="350"/>
      <c r="AU63" s="350"/>
      <c r="AV63" s="351"/>
      <c r="AW63" s="723"/>
      <c r="AX63" s="350"/>
      <c r="AY63" s="351"/>
      <c r="AZ63" s="412"/>
      <c r="BA63" s="350"/>
      <c r="BB63" s="350"/>
      <c r="BC63" s="350"/>
      <c r="BD63" s="350"/>
      <c r="BE63" s="350"/>
      <c r="BF63" s="350"/>
      <c r="BG63" s="350"/>
      <c r="BH63" s="350"/>
      <c r="BI63" s="350"/>
      <c r="BJ63" s="350"/>
      <c r="BK63" s="350"/>
      <c r="BL63" s="350"/>
      <c r="BM63" s="350"/>
      <c r="BN63" s="350"/>
      <c r="BO63" s="351"/>
    </row>
    <row r="64" spans="1:67" ht="34.5" customHeight="1">
      <c r="A64" s="98">
        <f t="shared" si="0"/>
        <v>52</v>
      </c>
      <c r="B64" s="416" t="s">
        <v>325</v>
      </c>
      <c r="C64" s="351"/>
      <c r="D64" s="594"/>
      <c r="E64" s="350"/>
      <c r="F64" s="350"/>
      <c r="G64" s="350"/>
      <c r="H64" s="351"/>
      <c r="I64" s="368"/>
      <c r="J64" s="350"/>
      <c r="K64" s="350"/>
      <c r="L64" s="350"/>
      <c r="M64" s="350"/>
      <c r="N64" s="350"/>
      <c r="O64" s="350"/>
      <c r="P64" s="351"/>
      <c r="Q64" s="511"/>
      <c r="R64" s="350"/>
      <c r="S64" s="350"/>
      <c r="T64" s="350"/>
      <c r="U64" s="350"/>
      <c r="V64" s="350"/>
      <c r="W64" s="350"/>
      <c r="X64" s="351"/>
      <c r="Y64" s="368"/>
      <c r="Z64" s="351"/>
      <c r="AA64" s="511"/>
      <c r="AB64" s="350"/>
      <c r="AC64" s="350"/>
      <c r="AD64" s="351"/>
      <c r="AE64" s="368"/>
      <c r="AF64" s="350"/>
      <c r="AG64" s="351"/>
      <c r="AH64" s="511"/>
      <c r="AI64" s="350"/>
      <c r="AJ64" s="351"/>
      <c r="AK64" s="368"/>
      <c r="AL64" s="350"/>
      <c r="AM64" s="350"/>
      <c r="AN64" s="351"/>
      <c r="AO64" s="511"/>
      <c r="AP64" s="350"/>
      <c r="AQ64" s="350"/>
      <c r="AR64" s="350"/>
      <c r="AS64" s="350"/>
      <c r="AT64" s="350"/>
      <c r="AU64" s="350"/>
      <c r="AV64" s="351"/>
      <c r="AW64" s="725"/>
      <c r="AX64" s="350"/>
      <c r="AY64" s="351"/>
      <c r="AZ64" s="511"/>
      <c r="BA64" s="350"/>
      <c r="BB64" s="350"/>
      <c r="BC64" s="350"/>
      <c r="BD64" s="350"/>
      <c r="BE64" s="350"/>
      <c r="BF64" s="350"/>
      <c r="BG64" s="350"/>
      <c r="BH64" s="350"/>
      <c r="BI64" s="350"/>
      <c r="BJ64" s="350"/>
      <c r="BK64" s="350"/>
      <c r="BL64" s="350"/>
      <c r="BM64" s="350"/>
      <c r="BN64" s="350"/>
      <c r="BO64" s="351"/>
    </row>
    <row r="65" spans="1:67" ht="34.5" customHeight="1">
      <c r="A65" s="98">
        <f t="shared" si="0"/>
        <v>53</v>
      </c>
      <c r="B65" s="416" t="s">
        <v>325</v>
      </c>
      <c r="C65" s="351"/>
      <c r="D65" s="724"/>
      <c r="E65" s="350"/>
      <c r="F65" s="350"/>
      <c r="G65" s="350"/>
      <c r="H65" s="351"/>
      <c r="I65" s="412"/>
      <c r="J65" s="350"/>
      <c r="K65" s="350"/>
      <c r="L65" s="350"/>
      <c r="M65" s="350"/>
      <c r="N65" s="350"/>
      <c r="O65" s="350"/>
      <c r="P65" s="351"/>
      <c r="Q65" s="412"/>
      <c r="R65" s="350"/>
      <c r="S65" s="350"/>
      <c r="T65" s="350"/>
      <c r="U65" s="350"/>
      <c r="V65" s="350"/>
      <c r="W65" s="350"/>
      <c r="X65" s="351"/>
      <c r="Y65" s="412"/>
      <c r="Z65" s="351"/>
      <c r="AA65" s="412"/>
      <c r="AB65" s="350"/>
      <c r="AC65" s="350"/>
      <c r="AD65" s="351"/>
      <c r="AE65" s="412"/>
      <c r="AF65" s="350"/>
      <c r="AG65" s="351"/>
      <c r="AH65" s="412"/>
      <c r="AI65" s="350"/>
      <c r="AJ65" s="351"/>
      <c r="AK65" s="412"/>
      <c r="AL65" s="350"/>
      <c r="AM65" s="350"/>
      <c r="AN65" s="351"/>
      <c r="AO65" s="412"/>
      <c r="AP65" s="350"/>
      <c r="AQ65" s="350"/>
      <c r="AR65" s="350"/>
      <c r="AS65" s="350"/>
      <c r="AT65" s="350"/>
      <c r="AU65" s="350"/>
      <c r="AV65" s="351"/>
      <c r="AW65" s="723"/>
      <c r="AX65" s="350"/>
      <c r="AY65" s="351"/>
      <c r="AZ65" s="412"/>
      <c r="BA65" s="350"/>
      <c r="BB65" s="350"/>
      <c r="BC65" s="350"/>
      <c r="BD65" s="350"/>
      <c r="BE65" s="350"/>
      <c r="BF65" s="350"/>
      <c r="BG65" s="350"/>
      <c r="BH65" s="350"/>
      <c r="BI65" s="350"/>
      <c r="BJ65" s="350"/>
      <c r="BK65" s="350"/>
      <c r="BL65" s="350"/>
      <c r="BM65" s="350"/>
      <c r="BN65" s="350"/>
      <c r="BO65" s="351"/>
    </row>
    <row r="66" spans="1:67" ht="34.5" customHeight="1">
      <c r="A66" s="98">
        <f t="shared" si="0"/>
        <v>54</v>
      </c>
      <c r="B66" s="416" t="s">
        <v>325</v>
      </c>
      <c r="C66" s="351"/>
      <c r="D66" s="594"/>
      <c r="E66" s="350"/>
      <c r="F66" s="350"/>
      <c r="G66" s="350"/>
      <c r="H66" s="351"/>
      <c r="I66" s="368"/>
      <c r="J66" s="350"/>
      <c r="K66" s="350"/>
      <c r="L66" s="350"/>
      <c r="M66" s="350"/>
      <c r="N66" s="350"/>
      <c r="O66" s="350"/>
      <c r="P66" s="351"/>
      <c r="Q66" s="511"/>
      <c r="R66" s="350"/>
      <c r="S66" s="350"/>
      <c r="T66" s="350"/>
      <c r="U66" s="350"/>
      <c r="V66" s="350"/>
      <c r="W66" s="350"/>
      <c r="X66" s="351"/>
      <c r="Y66" s="368"/>
      <c r="Z66" s="351"/>
      <c r="AA66" s="511"/>
      <c r="AB66" s="350"/>
      <c r="AC66" s="350"/>
      <c r="AD66" s="351"/>
      <c r="AE66" s="368"/>
      <c r="AF66" s="350"/>
      <c r="AG66" s="351"/>
      <c r="AH66" s="511"/>
      <c r="AI66" s="350"/>
      <c r="AJ66" s="351"/>
      <c r="AK66" s="368"/>
      <c r="AL66" s="350"/>
      <c r="AM66" s="350"/>
      <c r="AN66" s="351"/>
      <c r="AO66" s="511"/>
      <c r="AP66" s="350"/>
      <c r="AQ66" s="350"/>
      <c r="AR66" s="350"/>
      <c r="AS66" s="350"/>
      <c r="AT66" s="350"/>
      <c r="AU66" s="350"/>
      <c r="AV66" s="351"/>
      <c r="AW66" s="725"/>
      <c r="AX66" s="350"/>
      <c r="AY66" s="351"/>
      <c r="AZ66" s="511"/>
      <c r="BA66" s="350"/>
      <c r="BB66" s="350"/>
      <c r="BC66" s="350"/>
      <c r="BD66" s="350"/>
      <c r="BE66" s="350"/>
      <c r="BF66" s="350"/>
      <c r="BG66" s="350"/>
      <c r="BH66" s="350"/>
      <c r="BI66" s="350"/>
      <c r="BJ66" s="350"/>
      <c r="BK66" s="350"/>
      <c r="BL66" s="350"/>
      <c r="BM66" s="350"/>
      <c r="BN66" s="350"/>
      <c r="BO66" s="351"/>
    </row>
    <row r="67" spans="1:67" ht="34.5" customHeight="1">
      <c r="A67" s="98">
        <f t="shared" si="0"/>
        <v>55</v>
      </c>
      <c r="B67" s="416" t="s">
        <v>325</v>
      </c>
      <c r="C67" s="351"/>
      <c r="D67" s="724"/>
      <c r="E67" s="350"/>
      <c r="F67" s="350"/>
      <c r="G67" s="350"/>
      <c r="H67" s="351"/>
      <c r="I67" s="412"/>
      <c r="J67" s="350"/>
      <c r="K67" s="350"/>
      <c r="L67" s="350"/>
      <c r="M67" s="350"/>
      <c r="N67" s="350"/>
      <c r="O67" s="350"/>
      <c r="P67" s="351"/>
      <c r="Q67" s="412"/>
      <c r="R67" s="350"/>
      <c r="S67" s="350"/>
      <c r="T67" s="350"/>
      <c r="U67" s="350"/>
      <c r="V67" s="350"/>
      <c r="W67" s="350"/>
      <c r="X67" s="351"/>
      <c r="Y67" s="412"/>
      <c r="Z67" s="351"/>
      <c r="AA67" s="412"/>
      <c r="AB67" s="350"/>
      <c r="AC67" s="350"/>
      <c r="AD67" s="351"/>
      <c r="AE67" s="412"/>
      <c r="AF67" s="350"/>
      <c r="AG67" s="351"/>
      <c r="AH67" s="412"/>
      <c r="AI67" s="350"/>
      <c r="AJ67" s="351"/>
      <c r="AK67" s="412"/>
      <c r="AL67" s="350"/>
      <c r="AM67" s="350"/>
      <c r="AN67" s="351"/>
      <c r="AO67" s="412"/>
      <c r="AP67" s="350"/>
      <c r="AQ67" s="350"/>
      <c r="AR67" s="350"/>
      <c r="AS67" s="350"/>
      <c r="AT67" s="350"/>
      <c r="AU67" s="350"/>
      <c r="AV67" s="351"/>
      <c r="AW67" s="723"/>
      <c r="AX67" s="350"/>
      <c r="AY67" s="351"/>
      <c r="AZ67" s="412"/>
      <c r="BA67" s="350"/>
      <c r="BB67" s="350"/>
      <c r="BC67" s="350"/>
      <c r="BD67" s="350"/>
      <c r="BE67" s="350"/>
      <c r="BF67" s="350"/>
      <c r="BG67" s="350"/>
      <c r="BH67" s="350"/>
      <c r="BI67" s="350"/>
      <c r="BJ67" s="350"/>
      <c r="BK67" s="350"/>
      <c r="BL67" s="350"/>
      <c r="BM67" s="350"/>
      <c r="BN67" s="350"/>
      <c r="BO67" s="351"/>
    </row>
    <row r="68" spans="1:67" ht="34.5" customHeight="1">
      <c r="A68" s="98">
        <f t="shared" si="0"/>
        <v>56</v>
      </c>
      <c r="B68" s="726" t="s">
        <v>325</v>
      </c>
      <c r="C68" s="351"/>
      <c r="D68" s="594"/>
      <c r="E68" s="350"/>
      <c r="F68" s="350"/>
      <c r="G68" s="350"/>
      <c r="H68" s="351"/>
      <c r="I68" s="368"/>
      <c r="J68" s="350"/>
      <c r="K68" s="350"/>
      <c r="L68" s="350"/>
      <c r="M68" s="350"/>
      <c r="N68" s="350"/>
      <c r="O68" s="350"/>
      <c r="P68" s="351"/>
      <c r="Q68" s="511"/>
      <c r="R68" s="350"/>
      <c r="S68" s="350"/>
      <c r="T68" s="350"/>
      <c r="U68" s="350"/>
      <c r="V68" s="350"/>
      <c r="W68" s="350"/>
      <c r="X68" s="351"/>
      <c r="Y68" s="368"/>
      <c r="Z68" s="351"/>
      <c r="AA68" s="511"/>
      <c r="AB68" s="350"/>
      <c r="AC68" s="350"/>
      <c r="AD68" s="351"/>
      <c r="AE68" s="368"/>
      <c r="AF68" s="350"/>
      <c r="AG68" s="351"/>
      <c r="AH68" s="511"/>
      <c r="AI68" s="350"/>
      <c r="AJ68" s="351"/>
      <c r="AK68" s="368"/>
      <c r="AL68" s="350"/>
      <c r="AM68" s="350"/>
      <c r="AN68" s="351"/>
      <c r="AO68" s="511"/>
      <c r="AP68" s="350"/>
      <c r="AQ68" s="350"/>
      <c r="AR68" s="350"/>
      <c r="AS68" s="350"/>
      <c r="AT68" s="350"/>
      <c r="AU68" s="350"/>
      <c r="AV68" s="351"/>
      <c r="AW68" s="725"/>
      <c r="AX68" s="350"/>
      <c r="AY68" s="351"/>
      <c r="AZ68" s="511"/>
      <c r="BA68" s="350"/>
      <c r="BB68" s="350"/>
      <c r="BC68" s="350"/>
      <c r="BD68" s="350"/>
      <c r="BE68" s="350"/>
      <c r="BF68" s="350"/>
      <c r="BG68" s="350"/>
      <c r="BH68" s="350"/>
      <c r="BI68" s="350"/>
      <c r="BJ68" s="350"/>
      <c r="BK68" s="350"/>
      <c r="BL68" s="350"/>
      <c r="BM68" s="350"/>
      <c r="BN68" s="350"/>
      <c r="BO68" s="351"/>
    </row>
    <row r="69" spans="1:67" ht="34.5" customHeight="1">
      <c r="A69" s="98">
        <f t="shared" si="0"/>
        <v>57</v>
      </c>
      <c r="B69" s="416" t="s">
        <v>325</v>
      </c>
      <c r="C69" s="351"/>
      <c r="D69" s="724"/>
      <c r="E69" s="350"/>
      <c r="F69" s="350"/>
      <c r="G69" s="350"/>
      <c r="H69" s="351"/>
      <c r="I69" s="412"/>
      <c r="J69" s="350"/>
      <c r="K69" s="350"/>
      <c r="L69" s="350"/>
      <c r="M69" s="350"/>
      <c r="N69" s="350"/>
      <c r="O69" s="350"/>
      <c r="P69" s="351"/>
      <c r="Q69" s="412"/>
      <c r="R69" s="350"/>
      <c r="S69" s="350"/>
      <c r="T69" s="350"/>
      <c r="U69" s="350"/>
      <c r="V69" s="350"/>
      <c r="W69" s="350"/>
      <c r="X69" s="351"/>
      <c r="Y69" s="412"/>
      <c r="Z69" s="351"/>
      <c r="AA69" s="412"/>
      <c r="AB69" s="350"/>
      <c r="AC69" s="350"/>
      <c r="AD69" s="351"/>
      <c r="AE69" s="412"/>
      <c r="AF69" s="350"/>
      <c r="AG69" s="351"/>
      <c r="AH69" s="412"/>
      <c r="AI69" s="350"/>
      <c r="AJ69" s="351"/>
      <c r="AK69" s="412"/>
      <c r="AL69" s="350"/>
      <c r="AM69" s="350"/>
      <c r="AN69" s="351"/>
      <c r="AO69" s="412"/>
      <c r="AP69" s="350"/>
      <c r="AQ69" s="350"/>
      <c r="AR69" s="350"/>
      <c r="AS69" s="350"/>
      <c r="AT69" s="350"/>
      <c r="AU69" s="350"/>
      <c r="AV69" s="351"/>
      <c r="AW69" s="723"/>
      <c r="AX69" s="350"/>
      <c r="AY69" s="351"/>
      <c r="AZ69" s="412"/>
      <c r="BA69" s="350"/>
      <c r="BB69" s="350"/>
      <c r="BC69" s="350"/>
      <c r="BD69" s="350"/>
      <c r="BE69" s="350"/>
      <c r="BF69" s="350"/>
      <c r="BG69" s="350"/>
      <c r="BH69" s="350"/>
      <c r="BI69" s="350"/>
      <c r="BJ69" s="350"/>
      <c r="BK69" s="350"/>
      <c r="BL69" s="350"/>
      <c r="BM69" s="350"/>
      <c r="BN69" s="350"/>
      <c r="BO69" s="351"/>
    </row>
    <row r="70" spans="1:67" ht="34.5" customHeight="1">
      <c r="A70" s="98">
        <f t="shared" si="0"/>
        <v>58</v>
      </c>
      <c r="B70" s="416" t="s">
        <v>325</v>
      </c>
      <c r="C70" s="351"/>
      <c r="D70" s="594"/>
      <c r="E70" s="350"/>
      <c r="F70" s="350"/>
      <c r="G70" s="350"/>
      <c r="H70" s="351"/>
      <c r="I70" s="368"/>
      <c r="J70" s="350"/>
      <c r="K70" s="350"/>
      <c r="L70" s="350"/>
      <c r="M70" s="350"/>
      <c r="N70" s="350"/>
      <c r="O70" s="350"/>
      <c r="P70" s="351"/>
      <c r="Q70" s="511"/>
      <c r="R70" s="350"/>
      <c r="S70" s="350"/>
      <c r="T70" s="350"/>
      <c r="U70" s="350"/>
      <c r="V70" s="350"/>
      <c r="W70" s="350"/>
      <c r="X70" s="351"/>
      <c r="Y70" s="368"/>
      <c r="Z70" s="351"/>
      <c r="AA70" s="511"/>
      <c r="AB70" s="350"/>
      <c r="AC70" s="350"/>
      <c r="AD70" s="351"/>
      <c r="AE70" s="368"/>
      <c r="AF70" s="350"/>
      <c r="AG70" s="351"/>
      <c r="AH70" s="511"/>
      <c r="AI70" s="350"/>
      <c r="AJ70" s="351"/>
      <c r="AK70" s="368"/>
      <c r="AL70" s="350"/>
      <c r="AM70" s="350"/>
      <c r="AN70" s="351"/>
      <c r="AO70" s="511"/>
      <c r="AP70" s="350"/>
      <c r="AQ70" s="350"/>
      <c r="AR70" s="350"/>
      <c r="AS70" s="350"/>
      <c r="AT70" s="350"/>
      <c r="AU70" s="350"/>
      <c r="AV70" s="351"/>
      <c r="AW70" s="725"/>
      <c r="AX70" s="350"/>
      <c r="AY70" s="351"/>
      <c r="AZ70" s="511"/>
      <c r="BA70" s="350"/>
      <c r="BB70" s="350"/>
      <c r="BC70" s="350"/>
      <c r="BD70" s="350"/>
      <c r="BE70" s="350"/>
      <c r="BF70" s="350"/>
      <c r="BG70" s="350"/>
      <c r="BH70" s="350"/>
      <c r="BI70" s="350"/>
      <c r="BJ70" s="350"/>
      <c r="BK70" s="350"/>
      <c r="BL70" s="350"/>
      <c r="BM70" s="350"/>
      <c r="BN70" s="350"/>
      <c r="BO70" s="351"/>
    </row>
    <row r="71" spans="1:67" ht="34.5" customHeight="1">
      <c r="A71" s="98">
        <f t="shared" si="0"/>
        <v>59</v>
      </c>
      <c r="B71" s="416" t="s">
        <v>325</v>
      </c>
      <c r="C71" s="351"/>
      <c r="D71" s="724"/>
      <c r="E71" s="350"/>
      <c r="F71" s="350"/>
      <c r="G71" s="350"/>
      <c r="H71" s="351"/>
      <c r="I71" s="412"/>
      <c r="J71" s="350"/>
      <c r="K71" s="350"/>
      <c r="L71" s="350"/>
      <c r="M71" s="350"/>
      <c r="N71" s="350"/>
      <c r="O71" s="350"/>
      <c r="P71" s="351"/>
      <c r="Q71" s="412"/>
      <c r="R71" s="350"/>
      <c r="S71" s="350"/>
      <c r="T71" s="350"/>
      <c r="U71" s="350"/>
      <c r="V71" s="350"/>
      <c r="W71" s="350"/>
      <c r="X71" s="351"/>
      <c r="Y71" s="412"/>
      <c r="Z71" s="351"/>
      <c r="AA71" s="412"/>
      <c r="AB71" s="350"/>
      <c r="AC71" s="350"/>
      <c r="AD71" s="351"/>
      <c r="AE71" s="412"/>
      <c r="AF71" s="350"/>
      <c r="AG71" s="351"/>
      <c r="AH71" s="412"/>
      <c r="AI71" s="350"/>
      <c r="AJ71" s="351"/>
      <c r="AK71" s="412"/>
      <c r="AL71" s="350"/>
      <c r="AM71" s="350"/>
      <c r="AN71" s="351"/>
      <c r="AO71" s="412"/>
      <c r="AP71" s="350"/>
      <c r="AQ71" s="350"/>
      <c r="AR71" s="350"/>
      <c r="AS71" s="350"/>
      <c r="AT71" s="350"/>
      <c r="AU71" s="350"/>
      <c r="AV71" s="351"/>
      <c r="AW71" s="723"/>
      <c r="AX71" s="350"/>
      <c r="AY71" s="351"/>
      <c r="AZ71" s="412"/>
      <c r="BA71" s="350"/>
      <c r="BB71" s="350"/>
      <c r="BC71" s="350"/>
      <c r="BD71" s="350"/>
      <c r="BE71" s="350"/>
      <c r="BF71" s="350"/>
      <c r="BG71" s="350"/>
      <c r="BH71" s="350"/>
      <c r="BI71" s="350"/>
      <c r="BJ71" s="350"/>
      <c r="BK71" s="350"/>
      <c r="BL71" s="350"/>
      <c r="BM71" s="350"/>
      <c r="BN71" s="350"/>
      <c r="BO71" s="351"/>
    </row>
    <row r="72" spans="1:67" ht="34.5" customHeight="1">
      <c r="A72" s="98">
        <f t="shared" si="0"/>
        <v>60</v>
      </c>
      <c r="B72" s="416" t="s">
        <v>325</v>
      </c>
      <c r="C72" s="351"/>
      <c r="D72" s="594"/>
      <c r="E72" s="350"/>
      <c r="F72" s="350"/>
      <c r="G72" s="350"/>
      <c r="H72" s="351"/>
      <c r="I72" s="368"/>
      <c r="J72" s="350"/>
      <c r="K72" s="350"/>
      <c r="L72" s="350"/>
      <c r="M72" s="350"/>
      <c r="N72" s="350"/>
      <c r="O72" s="350"/>
      <c r="P72" s="351"/>
      <c r="Q72" s="511"/>
      <c r="R72" s="350"/>
      <c r="S72" s="350"/>
      <c r="T72" s="350"/>
      <c r="U72" s="350"/>
      <c r="V72" s="350"/>
      <c r="W72" s="350"/>
      <c r="X72" s="351"/>
      <c r="Y72" s="368"/>
      <c r="Z72" s="351"/>
      <c r="AA72" s="511"/>
      <c r="AB72" s="350"/>
      <c r="AC72" s="350"/>
      <c r="AD72" s="351"/>
      <c r="AE72" s="368"/>
      <c r="AF72" s="350"/>
      <c r="AG72" s="351"/>
      <c r="AH72" s="511"/>
      <c r="AI72" s="350"/>
      <c r="AJ72" s="351"/>
      <c r="AK72" s="368"/>
      <c r="AL72" s="350"/>
      <c r="AM72" s="350"/>
      <c r="AN72" s="351"/>
      <c r="AO72" s="511"/>
      <c r="AP72" s="350"/>
      <c r="AQ72" s="350"/>
      <c r="AR72" s="350"/>
      <c r="AS72" s="350"/>
      <c r="AT72" s="350"/>
      <c r="AU72" s="350"/>
      <c r="AV72" s="351"/>
      <c r="AW72" s="725"/>
      <c r="AX72" s="350"/>
      <c r="AY72" s="351"/>
      <c r="AZ72" s="511"/>
      <c r="BA72" s="350"/>
      <c r="BB72" s="350"/>
      <c r="BC72" s="350"/>
      <c r="BD72" s="350"/>
      <c r="BE72" s="350"/>
      <c r="BF72" s="350"/>
      <c r="BG72" s="350"/>
      <c r="BH72" s="350"/>
      <c r="BI72" s="350"/>
      <c r="BJ72" s="350"/>
      <c r="BK72" s="350"/>
      <c r="BL72" s="350"/>
      <c r="BM72" s="350"/>
      <c r="BN72" s="350"/>
      <c r="BO72" s="351"/>
    </row>
    <row r="73" spans="1:67" ht="34.5" customHeight="1">
      <c r="A73" s="98">
        <f t="shared" si="0"/>
        <v>61</v>
      </c>
      <c r="B73" s="416" t="s">
        <v>325</v>
      </c>
      <c r="C73" s="351"/>
      <c r="D73" s="724"/>
      <c r="E73" s="350"/>
      <c r="F73" s="350"/>
      <c r="G73" s="350"/>
      <c r="H73" s="351"/>
      <c r="I73" s="412"/>
      <c r="J73" s="350"/>
      <c r="K73" s="350"/>
      <c r="L73" s="350"/>
      <c r="M73" s="350"/>
      <c r="N73" s="350"/>
      <c r="O73" s="350"/>
      <c r="P73" s="351"/>
      <c r="Q73" s="412"/>
      <c r="R73" s="350"/>
      <c r="S73" s="350"/>
      <c r="T73" s="350"/>
      <c r="U73" s="350"/>
      <c r="V73" s="350"/>
      <c r="W73" s="350"/>
      <c r="X73" s="351"/>
      <c r="Y73" s="412"/>
      <c r="Z73" s="351"/>
      <c r="AA73" s="412"/>
      <c r="AB73" s="350"/>
      <c r="AC73" s="350"/>
      <c r="AD73" s="351"/>
      <c r="AE73" s="412"/>
      <c r="AF73" s="350"/>
      <c r="AG73" s="351"/>
      <c r="AH73" s="412"/>
      <c r="AI73" s="350"/>
      <c r="AJ73" s="351"/>
      <c r="AK73" s="412"/>
      <c r="AL73" s="350"/>
      <c r="AM73" s="350"/>
      <c r="AN73" s="351"/>
      <c r="AO73" s="412"/>
      <c r="AP73" s="350"/>
      <c r="AQ73" s="350"/>
      <c r="AR73" s="350"/>
      <c r="AS73" s="350"/>
      <c r="AT73" s="350"/>
      <c r="AU73" s="350"/>
      <c r="AV73" s="351"/>
      <c r="AW73" s="723"/>
      <c r="AX73" s="350"/>
      <c r="AY73" s="351"/>
      <c r="AZ73" s="412"/>
      <c r="BA73" s="350"/>
      <c r="BB73" s="350"/>
      <c r="BC73" s="350"/>
      <c r="BD73" s="350"/>
      <c r="BE73" s="350"/>
      <c r="BF73" s="350"/>
      <c r="BG73" s="350"/>
      <c r="BH73" s="350"/>
      <c r="BI73" s="350"/>
      <c r="BJ73" s="350"/>
      <c r="BK73" s="350"/>
      <c r="BL73" s="350"/>
      <c r="BM73" s="350"/>
      <c r="BN73" s="350"/>
      <c r="BO73" s="351"/>
    </row>
    <row r="74" spans="1:67" ht="34.5" customHeight="1">
      <c r="A74" s="98">
        <f t="shared" si="0"/>
        <v>62</v>
      </c>
      <c r="B74" s="416" t="s">
        <v>325</v>
      </c>
      <c r="C74" s="351"/>
      <c r="D74" s="594"/>
      <c r="E74" s="350"/>
      <c r="F74" s="350"/>
      <c r="G74" s="350"/>
      <c r="H74" s="351"/>
      <c r="I74" s="368"/>
      <c r="J74" s="350"/>
      <c r="K74" s="350"/>
      <c r="L74" s="350"/>
      <c r="M74" s="350"/>
      <c r="N74" s="350"/>
      <c r="O74" s="350"/>
      <c r="P74" s="351"/>
      <c r="Q74" s="511"/>
      <c r="R74" s="350"/>
      <c r="S74" s="350"/>
      <c r="T74" s="350"/>
      <c r="U74" s="350"/>
      <c r="V74" s="350"/>
      <c r="W74" s="350"/>
      <c r="X74" s="351"/>
      <c r="Y74" s="368"/>
      <c r="Z74" s="351"/>
      <c r="AA74" s="511"/>
      <c r="AB74" s="350"/>
      <c r="AC74" s="350"/>
      <c r="AD74" s="351"/>
      <c r="AE74" s="368"/>
      <c r="AF74" s="350"/>
      <c r="AG74" s="351"/>
      <c r="AH74" s="511"/>
      <c r="AI74" s="350"/>
      <c r="AJ74" s="351"/>
      <c r="AK74" s="368"/>
      <c r="AL74" s="350"/>
      <c r="AM74" s="350"/>
      <c r="AN74" s="351"/>
      <c r="AO74" s="511"/>
      <c r="AP74" s="350"/>
      <c r="AQ74" s="350"/>
      <c r="AR74" s="350"/>
      <c r="AS74" s="350"/>
      <c r="AT74" s="350"/>
      <c r="AU74" s="350"/>
      <c r="AV74" s="351"/>
      <c r="AW74" s="725"/>
      <c r="AX74" s="350"/>
      <c r="AY74" s="351"/>
      <c r="AZ74" s="511"/>
      <c r="BA74" s="350"/>
      <c r="BB74" s="350"/>
      <c r="BC74" s="350"/>
      <c r="BD74" s="350"/>
      <c r="BE74" s="350"/>
      <c r="BF74" s="350"/>
      <c r="BG74" s="350"/>
      <c r="BH74" s="350"/>
      <c r="BI74" s="350"/>
      <c r="BJ74" s="350"/>
      <c r="BK74" s="350"/>
      <c r="BL74" s="350"/>
      <c r="BM74" s="350"/>
      <c r="BN74" s="350"/>
      <c r="BO74" s="351"/>
    </row>
    <row r="75" spans="1:67" ht="34.5" customHeight="1">
      <c r="A75" s="98">
        <f t="shared" si="0"/>
        <v>63</v>
      </c>
      <c r="B75" s="416" t="s">
        <v>325</v>
      </c>
      <c r="C75" s="351"/>
      <c r="D75" s="724"/>
      <c r="E75" s="350"/>
      <c r="F75" s="350"/>
      <c r="G75" s="350"/>
      <c r="H75" s="351"/>
      <c r="I75" s="412"/>
      <c r="J75" s="350"/>
      <c r="K75" s="350"/>
      <c r="L75" s="350"/>
      <c r="M75" s="350"/>
      <c r="N75" s="350"/>
      <c r="O75" s="350"/>
      <c r="P75" s="351"/>
      <c r="Q75" s="412"/>
      <c r="R75" s="350"/>
      <c r="S75" s="350"/>
      <c r="T75" s="350"/>
      <c r="U75" s="350"/>
      <c r="V75" s="350"/>
      <c r="W75" s="350"/>
      <c r="X75" s="351"/>
      <c r="Y75" s="412"/>
      <c r="Z75" s="351"/>
      <c r="AA75" s="412"/>
      <c r="AB75" s="350"/>
      <c r="AC75" s="350"/>
      <c r="AD75" s="351"/>
      <c r="AE75" s="412"/>
      <c r="AF75" s="350"/>
      <c r="AG75" s="351"/>
      <c r="AH75" s="412"/>
      <c r="AI75" s="350"/>
      <c r="AJ75" s="351"/>
      <c r="AK75" s="412"/>
      <c r="AL75" s="350"/>
      <c r="AM75" s="350"/>
      <c r="AN75" s="351"/>
      <c r="AO75" s="412"/>
      <c r="AP75" s="350"/>
      <c r="AQ75" s="350"/>
      <c r="AR75" s="350"/>
      <c r="AS75" s="350"/>
      <c r="AT75" s="350"/>
      <c r="AU75" s="350"/>
      <c r="AV75" s="351"/>
      <c r="AW75" s="723"/>
      <c r="AX75" s="350"/>
      <c r="AY75" s="351"/>
      <c r="AZ75" s="412"/>
      <c r="BA75" s="350"/>
      <c r="BB75" s="350"/>
      <c r="BC75" s="350"/>
      <c r="BD75" s="350"/>
      <c r="BE75" s="350"/>
      <c r="BF75" s="350"/>
      <c r="BG75" s="350"/>
      <c r="BH75" s="350"/>
      <c r="BI75" s="350"/>
      <c r="BJ75" s="350"/>
      <c r="BK75" s="350"/>
      <c r="BL75" s="350"/>
      <c r="BM75" s="350"/>
      <c r="BN75" s="350"/>
      <c r="BO75" s="351"/>
    </row>
    <row r="76" spans="1:67" ht="34.5" customHeight="1">
      <c r="A76" s="98">
        <f t="shared" si="0"/>
        <v>64</v>
      </c>
      <c r="B76" s="416" t="s">
        <v>325</v>
      </c>
      <c r="C76" s="351"/>
      <c r="D76" s="594"/>
      <c r="E76" s="350"/>
      <c r="F76" s="350"/>
      <c r="G76" s="350"/>
      <c r="H76" s="351"/>
      <c r="I76" s="368"/>
      <c r="J76" s="350"/>
      <c r="K76" s="350"/>
      <c r="L76" s="350"/>
      <c r="M76" s="350"/>
      <c r="N76" s="350"/>
      <c r="O76" s="350"/>
      <c r="P76" s="351"/>
      <c r="Q76" s="511"/>
      <c r="R76" s="350"/>
      <c r="S76" s="350"/>
      <c r="T76" s="350"/>
      <c r="U76" s="350"/>
      <c r="V76" s="350"/>
      <c r="W76" s="350"/>
      <c r="X76" s="351"/>
      <c r="Y76" s="368"/>
      <c r="Z76" s="351"/>
      <c r="AA76" s="511"/>
      <c r="AB76" s="350"/>
      <c r="AC76" s="350"/>
      <c r="AD76" s="351"/>
      <c r="AE76" s="368"/>
      <c r="AF76" s="350"/>
      <c r="AG76" s="351"/>
      <c r="AH76" s="511"/>
      <c r="AI76" s="350"/>
      <c r="AJ76" s="351"/>
      <c r="AK76" s="368"/>
      <c r="AL76" s="350"/>
      <c r="AM76" s="350"/>
      <c r="AN76" s="351"/>
      <c r="AO76" s="511"/>
      <c r="AP76" s="350"/>
      <c r="AQ76" s="350"/>
      <c r="AR76" s="350"/>
      <c r="AS76" s="350"/>
      <c r="AT76" s="350"/>
      <c r="AU76" s="350"/>
      <c r="AV76" s="351"/>
      <c r="AW76" s="725"/>
      <c r="AX76" s="350"/>
      <c r="AY76" s="351"/>
      <c r="AZ76" s="511"/>
      <c r="BA76" s="350"/>
      <c r="BB76" s="350"/>
      <c r="BC76" s="350"/>
      <c r="BD76" s="350"/>
      <c r="BE76" s="350"/>
      <c r="BF76" s="350"/>
      <c r="BG76" s="350"/>
      <c r="BH76" s="350"/>
      <c r="BI76" s="350"/>
      <c r="BJ76" s="350"/>
      <c r="BK76" s="350"/>
      <c r="BL76" s="350"/>
      <c r="BM76" s="350"/>
      <c r="BN76" s="350"/>
      <c r="BO76" s="351"/>
    </row>
    <row r="77" spans="1:67" ht="34.5" customHeight="1">
      <c r="A77" s="98">
        <f t="shared" si="0"/>
        <v>65</v>
      </c>
      <c r="B77" s="416" t="s">
        <v>325</v>
      </c>
      <c r="C77" s="351"/>
      <c r="D77" s="724"/>
      <c r="E77" s="350"/>
      <c r="F77" s="350"/>
      <c r="G77" s="350"/>
      <c r="H77" s="351"/>
      <c r="I77" s="412"/>
      <c r="J77" s="350"/>
      <c r="K77" s="350"/>
      <c r="L77" s="350"/>
      <c r="M77" s="350"/>
      <c r="N77" s="350"/>
      <c r="O77" s="350"/>
      <c r="P77" s="351"/>
      <c r="Q77" s="412"/>
      <c r="R77" s="350"/>
      <c r="S77" s="350"/>
      <c r="T77" s="350"/>
      <c r="U77" s="350"/>
      <c r="V77" s="350"/>
      <c r="W77" s="350"/>
      <c r="X77" s="351"/>
      <c r="Y77" s="412"/>
      <c r="Z77" s="351"/>
      <c r="AA77" s="412"/>
      <c r="AB77" s="350"/>
      <c r="AC77" s="350"/>
      <c r="AD77" s="351"/>
      <c r="AE77" s="412"/>
      <c r="AF77" s="350"/>
      <c r="AG77" s="351"/>
      <c r="AH77" s="412"/>
      <c r="AI77" s="350"/>
      <c r="AJ77" s="351"/>
      <c r="AK77" s="412"/>
      <c r="AL77" s="350"/>
      <c r="AM77" s="350"/>
      <c r="AN77" s="351"/>
      <c r="AO77" s="412"/>
      <c r="AP77" s="350"/>
      <c r="AQ77" s="350"/>
      <c r="AR77" s="350"/>
      <c r="AS77" s="350"/>
      <c r="AT77" s="350"/>
      <c r="AU77" s="350"/>
      <c r="AV77" s="351"/>
      <c r="AW77" s="723"/>
      <c r="AX77" s="350"/>
      <c r="AY77" s="351"/>
      <c r="AZ77" s="412"/>
      <c r="BA77" s="350"/>
      <c r="BB77" s="350"/>
      <c r="BC77" s="350"/>
      <c r="BD77" s="350"/>
      <c r="BE77" s="350"/>
      <c r="BF77" s="350"/>
      <c r="BG77" s="350"/>
      <c r="BH77" s="350"/>
      <c r="BI77" s="350"/>
      <c r="BJ77" s="350"/>
      <c r="BK77" s="350"/>
      <c r="BL77" s="350"/>
      <c r="BM77" s="350"/>
      <c r="BN77" s="350"/>
      <c r="BO77" s="351"/>
    </row>
    <row r="78" spans="1:67" ht="34.5" customHeight="1">
      <c r="A78" s="98">
        <f t="shared" si="0"/>
        <v>66</v>
      </c>
      <c r="B78" s="416" t="s">
        <v>325</v>
      </c>
      <c r="C78" s="351"/>
      <c r="D78" s="594"/>
      <c r="E78" s="350"/>
      <c r="F78" s="350"/>
      <c r="G78" s="350"/>
      <c r="H78" s="351"/>
      <c r="I78" s="368"/>
      <c r="J78" s="350"/>
      <c r="K78" s="350"/>
      <c r="L78" s="350"/>
      <c r="M78" s="350"/>
      <c r="N78" s="350"/>
      <c r="O78" s="350"/>
      <c r="P78" s="351"/>
      <c r="Q78" s="511"/>
      <c r="R78" s="350"/>
      <c r="S78" s="350"/>
      <c r="T78" s="350"/>
      <c r="U78" s="350"/>
      <c r="V78" s="350"/>
      <c r="W78" s="350"/>
      <c r="X78" s="351"/>
      <c r="Y78" s="368"/>
      <c r="Z78" s="351"/>
      <c r="AA78" s="511"/>
      <c r="AB78" s="350"/>
      <c r="AC78" s="350"/>
      <c r="AD78" s="351"/>
      <c r="AE78" s="368"/>
      <c r="AF78" s="350"/>
      <c r="AG78" s="351"/>
      <c r="AH78" s="511"/>
      <c r="AI78" s="350"/>
      <c r="AJ78" s="351"/>
      <c r="AK78" s="368"/>
      <c r="AL78" s="350"/>
      <c r="AM78" s="350"/>
      <c r="AN78" s="351"/>
      <c r="AO78" s="511"/>
      <c r="AP78" s="350"/>
      <c r="AQ78" s="350"/>
      <c r="AR78" s="350"/>
      <c r="AS78" s="350"/>
      <c r="AT78" s="350"/>
      <c r="AU78" s="350"/>
      <c r="AV78" s="351"/>
      <c r="AW78" s="725"/>
      <c r="AX78" s="350"/>
      <c r="AY78" s="351"/>
      <c r="AZ78" s="511"/>
      <c r="BA78" s="350"/>
      <c r="BB78" s="350"/>
      <c r="BC78" s="350"/>
      <c r="BD78" s="350"/>
      <c r="BE78" s="350"/>
      <c r="BF78" s="350"/>
      <c r="BG78" s="350"/>
      <c r="BH78" s="350"/>
      <c r="BI78" s="350"/>
      <c r="BJ78" s="350"/>
      <c r="BK78" s="350"/>
      <c r="BL78" s="350"/>
      <c r="BM78" s="350"/>
      <c r="BN78" s="350"/>
      <c r="BO78" s="351"/>
    </row>
    <row r="79" spans="1:67" ht="34.5" customHeight="1">
      <c r="A79" s="98">
        <f t="shared" si="0"/>
        <v>67</v>
      </c>
      <c r="B79" s="416" t="s">
        <v>325</v>
      </c>
      <c r="C79" s="351"/>
      <c r="D79" s="724"/>
      <c r="E79" s="350"/>
      <c r="F79" s="350"/>
      <c r="G79" s="350"/>
      <c r="H79" s="351"/>
      <c r="I79" s="412"/>
      <c r="J79" s="350"/>
      <c r="K79" s="350"/>
      <c r="L79" s="350"/>
      <c r="M79" s="350"/>
      <c r="N79" s="350"/>
      <c r="O79" s="350"/>
      <c r="P79" s="351"/>
      <c r="Q79" s="412"/>
      <c r="R79" s="350"/>
      <c r="S79" s="350"/>
      <c r="T79" s="350"/>
      <c r="U79" s="350"/>
      <c r="V79" s="350"/>
      <c r="W79" s="350"/>
      <c r="X79" s="351"/>
      <c r="Y79" s="412"/>
      <c r="Z79" s="351"/>
      <c r="AA79" s="412"/>
      <c r="AB79" s="350"/>
      <c r="AC79" s="350"/>
      <c r="AD79" s="351"/>
      <c r="AE79" s="412"/>
      <c r="AF79" s="350"/>
      <c r="AG79" s="351"/>
      <c r="AH79" s="412"/>
      <c r="AI79" s="350"/>
      <c r="AJ79" s="351"/>
      <c r="AK79" s="412"/>
      <c r="AL79" s="350"/>
      <c r="AM79" s="350"/>
      <c r="AN79" s="351"/>
      <c r="AO79" s="412"/>
      <c r="AP79" s="350"/>
      <c r="AQ79" s="350"/>
      <c r="AR79" s="350"/>
      <c r="AS79" s="350"/>
      <c r="AT79" s="350"/>
      <c r="AU79" s="350"/>
      <c r="AV79" s="351"/>
      <c r="AW79" s="723"/>
      <c r="AX79" s="350"/>
      <c r="AY79" s="351"/>
      <c r="AZ79" s="412"/>
      <c r="BA79" s="350"/>
      <c r="BB79" s="350"/>
      <c r="BC79" s="350"/>
      <c r="BD79" s="350"/>
      <c r="BE79" s="350"/>
      <c r="BF79" s="350"/>
      <c r="BG79" s="350"/>
      <c r="BH79" s="350"/>
      <c r="BI79" s="350"/>
      <c r="BJ79" s="350"/>
      <c r="BK79" s="350"/>
      <c r="BL79" s="350"/>
      <c r="BM79" s="350"/>
      <c r="BN79" s="350"/>
      <c r="BO79" s="351"/>
    </row>
    <row r="80" spans="1:67" ht="34.5" customHeight="1">
      <c r="A80" s="98">
        <f t="shared" si="0"/>
        <v>68</v>
      </c>
      <c r="B80" s="416" t="s">
        <v>325</v>
      </c>
      <c r="C80" s="351"/>
      <c r="D80" s="594"/>
      <c r="E80" s="350"/>
      <c r="F80" s="350"/>
      <c r="G80" s="350"/>
      <c r="H80" s="351"/>
      <c r="I80" s="368"/>
      <c r="J80" s="350"/>
      <c r="K80" s="350"/>
      <c r="L80" s="350"/>
      <c r="M80" s="350"/>
      <c r="N80" s="350"/>
      <c r="O80" s="350"/>
      <c r="P80" s="351"/>
      <c r="Q80" s="511"/>
      <c r="R80" s="350"/>
      <c r="S80" s="350"/>
      <c r="T80" s="350"/>
      <c r="U80" s="350"/>
      <c r="V80" s="350"/>
      <c r="W80" s="350"/>
      <c r="X80" s="351"/>
      <c r="Y80" s="368"/>
      <c r="Z80" s="351"/>
      <c r="AA80" s="511"/>
      <c r="AB80" s="350"/>
      <c r="AC80" s="350"/>
      <c r="AD80" s="351"/>
      <c r="AE80" s="368"/>
      <c r="AF80" s="350"/>
      <c r="AG80" s="351"/>
      <c r="AH80" s="511"/>
      <c r="AI80" s="350"/>
      <c r="AJ80" s="351"/>
      <c r="AK80" s="368"/>
      <c r="AL80" s="350"/>
      <c r="AM80" s="350"/>
      <c r="AN80" s="351"/>
      <c r="AO80" s="511"/>
      <c r="AP80" s="350"/>
      <c r="AQ80" s="350"/>
      <c r="AR80" s="350"/>
      <c r="AS80" s="350"/>
      <c r="AT80" s="350"/>
      <c r="AU80" s="350"/>
      <c r="AV80" s="351"/>
      <c r="AW80" s="725"/>
      <c r="AX80" s="350"/>
      <c r="AY80" s="351"/>
      <c r="AZ80" s="511"/>
      <c r="BA80" s="350"/>
      <c r="BB80" s="350"/>
      <c r="BC80" s="350"/>
      <c r="BD80" s="350"/>
      <c r="BE80" s="350"/>
      <c r="BF80" s="350"/>
      <c r="BG80" s="350"/>
      <c r="BH80" s="350"/>
      <c r="BI80" s="350"/>
      <c r="BJ80" s="350"/>
      <c r="BK80" s="350"/>
      <c r="BL80" s="350"/>
      <c r="BM80" s="350"/>
      <c r="BN80" s="350"/>
      <c r="BO80" s="351"/>
    </row>
    <row r="81" spans="1:67" ht="34.5" customHeight="1">
      <c r="A81" s="98">
        <f t="shared" si="0"/>
        <v>69</v>
      </c>
      <c r="B81" s="416" t="s">
        <v>325</v>
      </c>
      <c r="C81" s="351"/>
      <c r="D81" s="724"/>
      <c r="E81" s="350"/>
      <c r="F81" s="350"/>
      <c r="G81" s="350"/>
      <c r="H81" s="351"/>
      <c r="I81" s="412"/>
      <c r="J81" s="350"/>
      <c r="K81" s="350"/>
      <c r="L81" s="350"/>
      <c r="M81" s="350"/>
      <c r="N81" s="350"/>
      <c r="O81" s="350"/>
      <c r="P81" s="351"/>
      <c r="Q81" s="412"/>
      <c r="R81" s="350"/>
      <c r="S81" s="350"/>
      <c r="T81" s="350"/>
      <c r="U81" s="350"/>
      <c r="V81" s="350"/>
      <c r="W81" s="350"/>
      <c r="X81" s="351"/>
      <c r="Y81" s="412"/>
      <c r="Z81" s="351"/>
      <c r="AA81" s="412"/>
      <c r="AB81" s="350"/>
      <c r="AC81" s="350"/>
      <c r="AD81" s="351"/>
      <c r="AE81" s="412"/>
      <c r="AF81" s="350"/>
      <c r="AG81" s="351"/>
      <c r="AH81" s="412"/>
      <c r="AI81" s="350"/>
      <c r="AJ81" s="351"/>
      <c r="AK81" s="412"/>
      <c r="AL81" s="350"/>
      <c r="AM81" s="350"/>
      <c r="AN81" s="351"/>
      <c r="AO81" s="412"/>
      <c r="AP81" s="350"/>
      <c r="AQ81" s="350"/>
      <c r="AR81" s="350"/>
      <c r="AS81" s="350"/>
      <c r="AT81" s="350"/>
      <c r="AU81" s="350"/>
      <c r="AV81" s="351"/>
      <c r="AW81" s="723"/>
      <c r="AX81" s="350"/>
      <c r="AY81" s="351"/>
      <c r="AZ81" s="412"/>
      <c r="BA81" s="350"/>
      <c r="BB81" s="350"/>
      <c r="BC81" s="350"/>
      <c r="BD81" s="350"/>
      <c r="BE81" s="350"/>
      <c r="BF81" s="350"/>
      <c r="BG81" s="350"/>
      <c r="BH81" s="350"/>
      <c r="BI81" s="350"/>
      <c r="BJ81" s="350"/>
      <c r="BK81" s="350"/>
      <c r="BL81" s="350"/>
      <c r="BM81" s="350"/>
      <c r="BN81" s="350"/>
      <c r="BO81" s="351"/>
    </row>
    <row r="82" spans="1:67" ht="34.5" customHeight="1">
      <c r="A82" s="98">
        <f t="shared" si="0"/>
        <v>70</v>
      </c>
      <c r="B82" s="416" t="s">
        <v>325</v>
      </c>
      <c r="C82" s="351"/>
      <c r="D82" s="594"/>
      <c r="E82" s="350"/>
      <c r="F82" s="350"/>
      <c r="G82" s="350"/>
      <c r="H82" s="351"/>
      <c r="I82" s="368"/>
      <c r="J82" s="350"/>
      <c r="K82" s="350"/>
      <c r="L82" s="350"/>
      <c r="M82" s="350"/>
      <c r="N82" s="350"/>
      <c r="O82" s="350"/>
      <c r="P82" s="351"/>
      <c r="Q82" s="511"/>
      <c r="R82" s="350"/>
      <c r="S82" s="350"/>
      <c r="T82" s="350"/>
      <c r="U82" s="350"/>
      <c r="V82" s="350"/>
      <c r="W82" s="350"/>
      <c r="X82" s="351"/>
      <c r="Y82" s="368"/>
      <c r="Z82" s="351"/>
      <c r="AA82" s="511"/>
      <c r="AB82" s="350"/>
      <c r="AC82" s="350"/>
      <c r="AD82" s="351"/>
      <c r="AE82" s="368"/>
      <c r="AF82" s="350"/>
      <c r="AG82" s="351"/>
      <c r="AH82" s="511"/>
      <c r="AI82" s="350"/>
      <c r="AJ82" s="351"/>
      <c r="AK82" s="368"/>
      <c r="AL82" s="350"/>
      <c r="AM82" s="350"/>
      <c r="AN82" s="351"/>
      <c r="AO82" s="511"/>
      <c r="AP82" s="350"/>
      <c r="AQ82" s="350"/>
      <c r="AR82" s="350"/>
      <c r="AS82" s="350"/>
      <c r="AT82" s="350"/>
      <c r="AU82" s="350"/>
      <c r="AV82" s="351"/>
      <c r="AW82" s="725"/>
      <c r="AX82" s="350"/>
      <c r="AY82" s="351"/>
      <c r="AZ82" s="511"/>
      <c r="BA82" s="350"/>
      <c r="BB82" s="350"/>
      <c r="BC82" s="350"/>
      <c r="BD82" s="350"/>
      <c r="BE82" s="350"/>
      <c r="BF82" s="350"/>
      <c r="BG82" s="350"/>
      <c r="BH82" s="350"/>
      <c r="BI82" s="350"/>
      <c r="BJ82" s="350"/>
      <c r="BK82" s="350"/>
      <c r="BL82" s="350"/>
      <c r="BM82" s="350"/>
      <c r="BN82" s="350"/>
      <c r="BO82" s="351"/>
    </row>
    <row r="83" spans="1:67" ht="34.5" customHeight="1">
      <c r="A83" s="98">
        <f t="shared" si="0"/>
        <v>71</v>
      </c>
      <c r="B83" s="416" t="s">
        <v>325</v>
      </c>
      <c r="C83" s="351"/>
      <c r="D83" s="724"/>
      <c r="E83" s="350"/>
      <c r="F83" s="350"/>
      <c r="G83" s="350"/>
      <c r="H83" s="351"/>
      <c r="I83" s="412"/>
      <c r="J83" s="350"/>
      <c r="K83" s="350"/>
      <c r="L83" s="350"/>
      <c r="M83" s="350"/>
      <c r="N83" s="350"/>
      <c r="O83" s="350"/>
      <c r="P83" s="351"/>
      <c r="Q83" s="412"/>
      <c r="R83" s="350"/>
      <c r="S83" s="350"/>
      <c r="T83" s="350"/>
      <c r="U83" s="350"/>
      <c r="V83" s="350"/>
      <c r="W83" s="350"/>
      <c r="X83" s="351"/>
      <c r="Y83" s="412"/>
      <c r="Z83" s="351"/>
      <c r="AA83" s="412"/>
      <c r="AB83" s="350"/>
      <c r="AC83" s="350"/>
      <c r="AD83" s="351"/>
      <c r="AE83" s="412"/>
      <c r="AF83" s="350"/>
      <c r="AG83" s="351"/>
      <c r="AH83" s="412"/>
      <c r="AI83" s="350"/>
      <c r="AJ83" s="351"/>
      <c r="AK83" s="412"/>
      <c r="AL83" s="350"/>
      <c r="AM83" s="350"/>
      <c r="AN83" s="351"/>
      <c r="AO83" s="412"/>
      <c r="AP83" s="350"/>
      <c r="AQ83" s="350"/>
      <c r="AR83" s="350"/>
      <c r="AS83" s="350"/>
      <c r="AT83" s="350"/>
      <c r="AU83" s="350"/>
      <c r="AV83" s="351"/>
      <c r="AW83" s="723"/>
      <c r="AX83" s="350"/>
      <c r="AY83" s="351"/>
      <c r="AZ83" s="412"/>
      <c r="BA83" s="350"/>
      <c r="BB83" s="350"/>
      <c r="BC83" s="350"/>
      <c r="BD83" s="350"/>
      <c r="BE83" s="350"/>
      <c r="BF83" s="350"/>
      <c r="BG83" s="350"/>
      <c r="BH83" s="350"/>
      <c r="BI83" s="350"/>
      <c r="BJ83" s="350"/>
      <c r="BK83" s="350"/>
      <c r="BL83" s="350"/>
      <c r="BM83" s="350"/>
      <c r="BN83" s="350"/>
      <c r="BO83" s="351"/>
    </row>
    <row r="84" spans="1:67" ht="34.5" customHeight="1">
      <c r="A84" s="98">
        <f t="shared" si="0"/>
        <v>72</v>
      </c>
      <c r="B84" s="416" t="s">
        <v>325</v>
      </c>
      <c r="C84" s="351"/>
      <c r="D84" s="594"/>
      <c r="E84" s="350"/>
      <c r="F84" s="350"/>
      <c r="G84" s="350"/>
      <c r="H84" s="351"/>
      <c r="I84" s="368"/>
      <c r="J84" s="350"/>
      <c r="K84" s="350"/>
      <c r="L84" s="350"/>
      <c r="M84" s="350"/>
      <c r="N84" s="350"/>
      <c r="O84" s="350"/>
      <c r="P84" s="351"/>
      <c r="Q84" s="511"/>
      <c r="R84" s="350"/>
      <c r="S84" s="350"/>
      <c r="T84" s="350"/>
      <c r="U84" s="350"/>
      <c r="V84" s="350"/>
      <c r="W84" s="350"/>
      <c r="X84" s="351"/>
      <c r="Y84" s="368"/>
      <c r="Z84" s="351"/>
      <c r="AA84" s="511"/>
      <c r="AB84" s="350"/>
      <c r="AC84" s="350"/>
      <c r="AD84" s="351"/>
      <c r="AE84" s="368"/>
      <c r="AF84" s="350"/>
      <c r="AG84" s="351"/>
      <c r="AH84" s="511"/>
      <c r="AI84" s="350"/>
      <c r="AJ84" s="351"/>
      <c r="AK84" s="368"/>
      <c r="AL84" s="350"/>
      <c r="AM84" s="350"/>
      <c r="AN84" s="351"/>
      <c r="AO84" s="511"/>
      <c r="AP84" s="350"/>
      <c r="AQ84" s="350"/>
      <c r="AR84" s="350"/>
      <c r="AS84" s="350"/>
      <c r="AT84" s="350"/>
      <c r="AU84" s="350"/>
      <c r="AV84" s="351"/>
      <c r="AW84" s="725"/>
      <c r="AX84" s="350"/>
      <c r="AY84" s="351"/>
      <c r="AZ84" s="511"/>
      <c r="BA84" s="350"/>
      <c r="BB84" s="350"/>
      <c r="BC84" s="350"/>
      <c r="BD84" s="350"/>
      <c r="BE84" s="350"/>
      <c r="BF84" s="350"/>
      <c r="BG84" s="350"/>
      <c r="BH84" s="350"/>
      <c r="BI84" s="350"/>
      <c r="BJ84" s="350"/>
      <c r="BK84" s="350"/>
      <c r="BL84" s="350"/>
      <c r="BM84" s="350"/>
      <c r="BN84" s="350"/>
      <c r="BO84" s="351"/>
    </row>
    <row r="85" spans="1:67" ht="34.5" customHeight="1">
      <c r="A85" s="98">
        <f t="shared" si="0"/>
        <v>73</v>
      </c>
      <c r="B85" s="416" t="s">
        <v>325</v>
      </c>
      <c r="C85" s="351"/>
      <c r="D85" s="724"/>
      <c r="E85" s="350"/>
      <c r="F85" s="350"/>
      <c r="G85" s="350"/>
      <c r="H85" s="351"/>
      <c r="I85" s="412"/>
      <c r="J85" s="350"/>
      <c r="K85" s="350"/>
      <c r="L85" s="350"/>
      <c r="M85" s="350"/>
      <c r="N85" s="350"/>
      <c r="O85" s="350"/>
      <c r="P85" s="351"/>
      <c r="Q85" s="412"/>
      <c r="R85" s="350"/>
      <c r="S85" s="350"/>
      <c r="T85" s="350"/>
      <c r="U85" s="350"/>
      <c r="V85" s="350"/>
      <c r="W85" s="350"/>
      <c r="X85" s="351"/>
      <c r="Y85" s="412"/>
      <c r="Z85" s="351"/>
      <c r="AA85" s="412"/>
      <c r="AB85" s="350"/>
      <c r="AC85" s="350"/>
      <c r="AD85" s="351"/>
      <c r="AE85" s="412"/>
      <c r="AF85" s="350"/>
      <c r="AG85" s="351"/>
      <c r="AH85" s="412"/>
      <c r="AI85" s="350"/>
      <c r="AJ85" s="351"/>
      <c r="AK85" s="412"/>
      <c r="AL85" s="350"/>
      <c r="AM85" s="350"/>
      <c r="AN85" s="351"/>
      <c r="AO85" s="412"/>
      <c r="AP85" s="350"/>
      <c r="AQ85" s="350"/>
      <c r="AR85" s="350"/>
      <c r="AS85" s="350"/>
      <c r="AT85" s="350"/>
      <c r="AU85" s="350"/>
      <c r="AV85" s="351"/>
      <c r="AW85" s="723"/>
      <c r="AX85" s="350"/>
      <c r="AY85" s="351"/>
      <c r="AZ85" s="412"/>
      <c r="BA85" s="350"/>
      <c r="BB85" s="350"/>
      <c r="BC85" s="350"/>
      <c r="BD85" s="350"/>
      <c r="BE85" s="350"/>
      <c r="BF85" s="350"/>
      <c r="BG85" s="350"/>
      <c r="BH85" s="350"/>
      <c r="BI85" s="350"/>
      <c r="BJ85" s="350"/>
      <c r="BK85" s="350"/>
      <c r="BL85" s="350"/>
      <c r="BM85" s="350"/>
      <c r="BN85" s="350"/>
      <c r="BO85" s="351"/>
    </row>
    <row r="86" spans="1:67" ht="34.5" customHeight="1">
      <c r="A86" s="98">
        <f t="shared" si="0"/>
        <v>74</v>
      </c>
      <c r="B86" s="726" t="s">
        <v>325</v>
      </c>
      <c r="C86" s="351"/>
      <c r="D86" s="594"/>
      <c r="E86" s="350"/>
      <c r="F86" s="350"/>
      <c r="G86" s="350"/>
      <c r="H86" s="351"/>
      <c r="I86" s="368"/>
      <c r="J86" s="350"/>
      <c r="K86" s="350"/>
      <c r="L86" s="350"/>
      <c r="M86" s="350"/>
      <c r="N86" s="350"/>
      <c r="O86" s="350"/>
      <c r="P86" s="351"/>
      <c r="Q86" s="511"/>
      <c r="R86" s="350"/>
      <c r="S86" s="350"/>
      <c r="T86" s="350"/>
      <c r="U86" s="350"/>
      <c r="V86" s="350"/>
      <c r="W86" s="350"/>
      <c r="X86" s="351"/>
      <c r="Y86" s="368"/>
      <c r="Z86" s="351"/>
      <c r="AA86" s="511"/>
      <c r="AB86" s="350"/>
      <c r="AC86" s="350"/>
      <c r="AD86" s="351"/>
      <c r="AE86" s="368"/>
      <c r="AF86" s="350"/>
      <c r="AG86" s="351"/>
      <c r="AH86" s="511"/>
      <c r="AI86" s="350"/>
      <c r="AJ86" s="351"/>
      <c r="AK86" s="368"/>
      <c r="AL86" s="350"/>
      <c r="AM86" s="350"/>
      <c r="AN86" s="351"/>
      <c r="AO86" s="511"/>
      <c r="AP86" s="350"/>
      <c r="AQ86" s="350"/>
      <c r="AR86" s="350"/>
      <c r="AS86" s="350"/>
      <c r="AT86" s="350"/>
      <c r="AU86" s="350"/>
      <c r="AV86" s="351"/>
      <c r="AW86" s="725"/>
      <c r="AX86" s="350"/>
      <c r="AY86" s="351"/>
      <c r="AZ86" s="511"/>
      <c r="BA86" s="350"/>
      <c r="BB86" s="350"/>
      <c r="BC86" s="350"/>
      <c r="BD86" s="350"/>
      <c r="BE86" s="350"/>
      <c r="BF86" s="350"/>
      <c r="BG86" s="350"/>
      <c r="BH86" s="350"/>
      <c r="BI86" s="350"/>
      <c r="BJ86" s="350"/>
      <c r="BK86" s="350"/>
      <c r="BL86" s="350"/>
      <c r="BM86" s="350"/>
      <c r="BN86" s="350"/>
      <c r="BO86" s="351"/>
    </row>
    <row r="87" spans="1:67" ht="34.5" customHeight="1">
      <c r="A87" s="98">
        <f t="shared" si="0"/>
        <v>75</v>
      </c>
      <c r="B87" s="416" t="s">
        <v>325</v>
      </c>
      <c r="C87" s="351"/>
      <c r="D87" s="724"/>
      <c r="E87" s="350"/>
      <c r="F87" s="350"/>
      <c r="G87" s="350"/>
      <c r="H87" s="351"/>
      <c r="I87" s="412"/>
      <c r="J87" s="350"/>
      <c r="K87" s="350"/>
      <c r="L87" s="350"/>
      <c r="M87" s="350"/>
      <c r="N87" s="350"/>
      <c r="O87" s="350"/>
      <c r="P87" s="351"/>
      <c r="Q87" s="412"/>
      <c r="R87" s="350"/>
      <c r="S87" s="350"/>
      <c r="T87" s="350"/>
      <c r="U87" s="350"/>
      <c r="V87" s="350"/>
      <c r="W87" s="350"/>
      <c r="X87" s="351"/>
      <c r="Y87" s="412"/>
      <c r="Z87" s="351"/>
      <c r="AA87" s="412"/>
      <c r="AB87" s="350"/>
      <c r="AC87" s="350"/>
      <c r="AD87" s="351"/>
      <c r="AE87" s="412"/>
      <c r="AF87" s="350"/>
      <c r="AG87" s="351"/>
      <c r="AH87" s="412"/>
      <c r="AI87" s="350"/>
      <c r="AJ87" s="351"/>
      <c r="AK87" s="412"/>
      <c r="AL87" s="350"/>
      <c r="AM87" s="350"/>
      <c r="AN87" s="351"/>
      <c r="AO87" s="412"/>
      <c r="AP87" s="350"/>
      <c r="AQ87" s="350"/>
      <c r="AR87" s="350"/>
      <c r="AS87" s="350"/>
      <c r="AT87" s="350"/>
      <c r="AU87" s="350"/>
      <c r="AV87" s="351"/>
      <c r="AW87" s="723"/>
      <c r="AX87" s="350"/>
      <c r="AY87" s="351"/>
      <c r="AZ87" s="412"/>
      <c r="BA87" s="350"/>
      <c r="BB87" s="350"/>
      <c r="BC87" s="350"/>
      <c r="BD87" s="350"/>
      <c r="BE87" s="350"/>
      <c r="BF87" s="350"/>
      <c r="BG87" s="350"/>
      <c r="BH87" s="350"/>
      <c r="BI87" s="350"/>
      <c r="BJ87" s="350"/>
      <c r="BK87" s="350"/>
      <c r="BL87" s="350"/>
      <c r="BM87" s="350"/>
      <c r="BN87" s="350"/>
      <c r="BO87" s="351"/>
    </row>
    <row r="88" spans="1:67" ht="34.5" customHeight="1">
      <c r="A88" s="98">
        <f t="shared" si="0"/>
        <v>76</v>
      </c>
      <c r="B88" s="416" t="s">
        <v>325</v>
      </c>
      <c r="C88" s="351"/>
      <c r="D88" s="594"/>
      <c r="E88" s="350"/>
      <c r="F88" s="350"/>
      <c r="G88" s="350"/>
      <c r="H88" s="351"/>
      <c r="I88" s="368"/>
      <c r="J88" s="350"/>
      <c r="K88" s="350"/>
      <c r="L88" s="350"/>
      <c r="M88" s="350"/>
      <c r="N88" s="350"/>
      <c r="O88" s="350"/>
      <c r="P88" s="351"/>
      <c r="Q88" s="511"/>
      <c r="R88" s="350"/>
      <c r="S88" s="350"/>
      <c r="T88" s="350"/>
      <c r="U88" s="350"/>
      <c r="V88" s="350"/>
      <c r="W88" s="350"/>
      <c r="X88" s="351"/>
      <c r="Y88" s="368"/>
      <c r="Z88" s="351"/>
      <c r="AA88" s="511"/>
      <c r="AB88" s="350"/>
      <c r="AC88" s="350"/>
      <c r="AD88" s="351"/>
      <c r="AE88" s="368"/>
      <c r="AF88" s="350"/>
      <c r="AG88" s="351"/>
      <c r="AH88" s="511"/>
      <c r="AI88" s="350"/>
      <c r="AJ88" s="351"/>
      <c r="AK88" s="368"/>
      <c r="AL88" s="350"/>
      <c r="AM88" s="350"/>
      <c r="AN88" s="351"/>
      <c r="AO88" s="511"/>
      <c r="AP88" s="350"/>
      <c r="AQ88" s="350"/>
      <c r="AR88" s="350"/>
      <c r="AS88" s="350"/>
      <c r="AT88" s="350"/>
      <c r="AU88" s="350"/>
      <c r="AV88" s="351"/>
      <c r="AW88" s="725"/>
      <c r="AX88" s="350"/>
      <c r="AY88" s="351"/>
      <c r="AZ88" s="511"/>
      <c r="BA88" s="350"/>
      <c r="BB88" s="350"/>
      <c r="BC88" s="350"/>
      <c r="BD88" s="350"/>
      <c r="BE88" s="350"/>
      <c r="BF88" s="350"/>
      <c r="BG88" s="350"/>
      <c r="BH88" s="350"/>
      <c r="BI88" s="350"/>
      <c r="BJ88" s="350"/>
      <c r="BK88" s="350"/>
      <c r="BL88" s="350"/>
      <c r="BM88" s="350"/>
      <c r="BN88" s="350"/>
      <c r="BO88" s="351"/>
    </row>
    <row r="89" spans="1:67" ht="34.5" customHeight="1">
      <c r="A89" s="98">
        <f t="shared" si="0"/>
        <v>77</v>
      </c>
      <c r="B89" s="416" t="s">
        <v>325</v>
      </c>
      <c r="C89" s="351"/>
      <c r="D89" s="724"/>
      <c r="E89" s="350"/>
      <c r="F89" s="350"/>
      <c r="G89" s="350"/>
      <c r="H89" s="351"/>
      <c r="I89" s="412"/>
      <c r="J89" s="350"/>
      <c r="K89" s="350"/>
      <c r="L89" s="350"/>
      <c r="M89" s="350"/>
      <c r="N89" s="350"/>
      <c r="O89" s="350"/>
      <c r="P89" s="351"/>
      <c r="Q89" s="412"/>
      <c r="R89" s="350"/>
      <c r="S89" s="350"/>
      <c r="T89" s="350"/>
      <c r="U89" s="350"/>
      <c r="V89" s="350"/>
      <c r="W89" s="350"/>
      <c r="X89" s="351"/>
      <c r="Y89" s="412"/>
      <c r="Z89" s="351"/>
      <c r="AA89" s="412"/>
      <c r="AB89" s="350"/>
      <c r="AC89" s="350"/>
      <c r="AD89" s="351"/>
      <c r="AE89" s="412"/>
      <c r="AF89" s="350"/>
      <c r="AG89" s="351"/>
      <c r="AH89" s="412"/>
      <c r="AI89" s="350"/>
      <c r="AJ89" s="351"/>
      <c r="AK89" s="412"/>
      <c r="AL89" s="350"/>
      <c r="AM89" s="350"/>
      <c r="AN89" s="351"/>
      <c r="AO89" s="412"/>
      <c r="AP89" s="350"/>
      <c r="AQ89" s="350"/>
      <c r="AR89" s="350"/>
      <c r="AS89" s="350"/>
      <c r="AT89" s="350"/>
      <c r="AU89" s="350"/>
      <c r="AV89" s="351"/>
      <c r="AW89" s="723"/>
      <c r="AX89" s="350"/>
      <c r="AY89" s="351"/>
      <c r="AZ89" s="412"/>
      <c r="BA89" s="350"/>
      <c r="BB89" s="350"/>
      <c r="BC89" s="350"/>
      <c r="BD89" s="350"/>
      <c r="BE89" s="350"/>
      <c r="BF89" s="350"/>
      <c r="BG89" s="350"/>
      <c r="BH89" s="350"/>
      <c r="BI89" s="350"/>
      <c r="BJ89" s="350"/>
      <c r="BK89" s="350"/>
      <c r="BL89" s="350"/>
      <c r="BM89" s="350"/>
      <c r="BN89" s="350"/>
      <c r="BO89" s="351"/>
    </row>
    <row r="90" spans="1:67" ht="34.5" customHeight="1">
      <c r="A90" s="98">
        <f t="shared" si="0"/>
        <v>78</v>
      </c>
      <c r="B90" s="416" t="s">
        <v>325</v>
      </c>
      <c r="C90" s="351"/>
      <c r="D90" s="594"/>
      <c r="E90" s="350"/>
      <c r="F90" s="350"/>
      <c r="G90" s="350"/>
      <c r="H90" s="351"/>
      <c r="I90" s="368"/>
      <c r="J90" s="350"/>
      <c r="K90" s="350"/>
      <c r="L90" s="350"/>
      <c r="M90" s="350"/>
      <c r="N90" s="350"/>
      <c r="O90" s="350"/>
      <c r="P90" s="351"/>
      <c r="Q90" s="511"/>
      <c r="R90" s="350"/>
      <c r="S90" s="350"/>
      <c r="T90" s="350"/>
      <c r="U90" s="350"/>
      <c r="V90" s="350"/>
      <c r="W90" s="350"/>
      <c r="X90" s="351"/>
      <c r="Y90" s="368"/>
      <c r="Z90" s="351"/>
      <c r="AA90" s="511"/>
      <c r="AB90" s="350"/>
      <c r="AC90" s="350"/>
      <c r="AD90" s="351"/>
      <c r="AE90" s="368"/>
      <c r="AF90" s="350"/>
      <c r="AG90" s="351"/>
      <c r="AH90" s="511"/>
      <c r="AI90" s="350"/>
      <c r="AJ90" s="351"/>
      <c r="AK90" s="368"/>
      <c r="AL90" s="350"/>
      <c r="AM90" s="350"/>
      <c r="AN90" s="351"/>
      <c r="AO90" s="511"/>
      <c r="AP90" s="350"/>
      <c r="AQ90" s="350"/>
      <c r="AR90" s="350"/>
      <c r="AS90" s="350"/>
      <c r="AT90" s="350"/>
      <c r="AU90" s="350"/>
      <c r="AV90" s="351"/>
      <c r="AW90" s="725"/>
      <c r="AX90" s="350"/>
      <c r="AY90" s="351"/>
      <c r="AZ90" s="511"/>
      <c r="BA90" s="350"/>
      <c r="BB90" s="350"/>
      <c r="BC90" s="350"/>
      <c r="BD90" s="350"/>
      <c r="BE90" s="350"/>
      <c r="BF90" s="350"/>
      <c r="BG90" s="350"/>
      <c r="BH90" s="350"/>
      <c r="BI90" s="350"/>
      <c r="BJ90" s="350"/>
      <c r="BK90" s="350"/>
      <c r="BL90" s="350"/>
      <c r="BM90" s="350"/>
      <c r="BN90" s="350"/>
      <c r="BO90" s="351"/>
    </row>
    <row r="91" spans="1:67" ht="34.5" customHeight="1">
      <c r="A91" s="98">
        <f t="shared" si="0"/>
        <v>79</v>
      </c>
      <c r="B91" s="416" t="s">
        <v>325</v>
      </c>
      <c r="C91" s="351"/>
      <c r="D91" s="724"/>
      <c r="E91" s="350"/>
      <c r="F91" s="350"/>
      <c r="G91" s="350"/>
      <c r="H91" s="351"/>
      <c r="I91" s="412"/>
      <c r="J91" s="350"/>
      <c r="K91" s="350"/>
      <c r="L91" s="350"/>
      <c r="M91" s="350"/>
      <c r="N91" s="350"/>
      <c r="O91" s="350"/>
      <c r="P91" s="351"/>
      <c r="Q91" s="412"/>
      <c r="R91" s="350"/>
      <c r="S91" s="350"/>
      <c r="T91" s="350"/>
      <c r="U91" s="350"/>
      <c r="V91" s="350"/>
      <c r="W91" s="350"/>
      <c r="X91" s="351"/>
      <c r="Y91" s="412"/>
      <c r="Z91" s="351"/>
      <c r="AA91" s="412"/>
      <c r="AB91" s="350"/>
      <c r="AC91" s="350"/>
      <c r="AD91" s="351"/>
      <c r="AE91" s="412"/>
      <c r="AF91" s="350"/>
      <c r="AG91" s="351"/>
      <c r="AH91" s="412"/>
      <c r="AI91" s="350"/>
      <c r="AJ91" s="351"/>
      <c r="AK91" s="412"/>
      <c r="AL91" s="350"/>
      <c r="AM91" s="350"/>
      <c r="AN91" s="351"/>
      <c r="AO91" s="412"/>
      <c r="AP91" s="350"/>
      <c r="AQ91" s="350"/>
      <c r="AR91" s="350"/>
      <c r="AS91" s="350"/>
      <c r="AT91" s="350"/>
      <c r="AU91" s="350"/>
      <c r="AV91" s="351"/>
      <c r="AW91" s="723"/>
      <c r="AX91" s="350"/>
      <c r="AY91" s="351"/>
      <c r="AZ91" s="412"/>
      <c r="BA91" s="350"/>
      <c r="BB91" s="350"/>
      <c r="BC91" s="350"/>
      <c r="BD91" s="350"/>
      <c r="BE91" s="350"/>
      <c r="BF91" s="350"/>
      <c r="BG91" s="350"/>
      <c r="BH91" s="350"/>
      <c r="BI91" s="350"/>
      <c r="BJ91" s="350"/>
      <c r="BK91" s="350"/>
      <c r="BL91" s="350"/>
      <c r="BM91" s="350"/>
      <c r="BN91" s="350"/>
      <c r="BO91" s="351"/>
    </row>
    <row r="92" spans="1:67" ht="34.5" customHeight="1">
      <c r="A92" s="98">
        <f t="shared" si="0"/>
        <v>80</v>
      </c>
      <c r="B92" s="416" t="s">
        <v>325</v>
      </c>
      <c r="C92" s="351"/>
      <c r="D92" s="594"/>
      <c r="E92" s="350"/>
      <c r="F92" s="350"/>
      <c r="G92" s="350"/>
      <c r="H92" s="351"/>
      <c r="I92" s="368"/>
      <c r="J92" s="350"/>
      <c r="K92" s="350"/>
      <c r="L92" s="350"/>
      <c r="M92" s="350"/>
      <c r="N92" s="350"/>
      <c r="O92" s="350"/>
      <c r="P92" s="351"/>
      <c r="Q92" s="511"/>
      <c r="R92" s="350"/>
      <c r="S92" s="350"/>
      <c r="T92" s="350"/>
      <c r="U92" s="350"/>
      <c r="V92" s="350"/>
      <c r="W92" s="350"/>
      <c r="X92" s="351"/>
      <c r="Y92" s="368"/>
      <c r="Z92" s="351"/>
      <c r="AA92" s="511"/>
      <c r="AB92" s="350"/>
      <c r="AC92" s="350"/>
      <c r="AD92" s="351"/>
      <c r="AE92" s="368"/>
      <c r="AF92" s="350"/>
      <c r="AG92" s="351"/>
      <c r="AH92" s="511"/>
      <c r="AI92" s="350"/>
      <c r="AJ92" s="351"/>
      <c r="AK92" s="368"/>
      <c r="AL92" s="350"/>
      <c r="AM92" s="350"/>
      <c r="AN92" s="351"/>
      <c r="AO92" s="511"/>
      <c r="AP92" s="350"/>
      <c r="AQ92" s="350"/>
      <c r="AR92" s="350"/>
      <c r="AS92" s="350"/>
      <c r="AT92" s="350"/>
      <c r="AU92" s="350"/>
      <c r="AV92" s="351"/>
      <c r="AW92" s="725"/>
      <c r="AX92" s="350"/>
      <c r="AY92" s="351"/>
      <c r="AZ92" s="511"/>
      <c r="BA92" s="350"/>
      <c r="BB92" s="350"/>
      <c r="BC92" s="350"/>
      <c r="BD92" s="350"/>
      <c r="BE92" s="350"/>
      <c r="BF92" s="350"/>
      <c r="BG92" s="350"/>
      <c r="BH92" s="350"/>
      <c r="BI92" s="350"/>
      <c r="BJ92" s="350"/>
      <c r="BK92" s="350"/>
      <c r="BL92" s="350"/>
      <c r="BM92" s="350"/>
      <c r="BN92" s="350"/>
      <c r="BO92" s="351"/>
    </row>
    <row r="93" spans="1:67" ht="34.5" customHeight="1">
      <c r="A93" s="98">
        <f t="shared" si="0"/>
        <v>81</v>
      </c>
      <c r="B93" s="416" t="s">
        <v>325</v>
      </c>
      <c r="C93" s="351"/>
      <c r="D93" s="724"/>
      <c r="E93" s="350"/>
      <c r="F93" s="350"/>
      <c r="G93" s="350"/>
      <c r="H93" s="351"/>
      <c r="I93" s="412"/>
      <c r="J93" s="350"/>
      <c r="K93" s="350"/>
      <c r="L93" s="350"/>
      <c r="M93" s="350"/>
      <c r="N93" s="350"/>
      <c r="O93" s="350"/>
      <c r="P93" s="351"/>
      <c r="Q93" s="412"/>
      <c r="R93" s="350"/>
      <c r="S93" s="350"/>
      <c r="T93" s="350"/>
      <c r="U93" s="350"/>
      <c r="V93" s="350"/>
      <c r="W93" s="350"/>
      <c r="X93" s="351"/>
      <c r="Y93" s="412"/>
      <c r="Z93" s="351"/>
      <c r="AA93" s="412"/>
      <c r="AB93" s="350"/>
      <c r="AC93" s="350"/>
      <c r="AD93" s="351"/>
      <c r="AE93" s="412"/>
      <c r="AF93" s="350"/>
      <c r="AG93" s="351"/>
      <c r="AH93" s="412"/>
      <c r="AI93" s="350"/>
      <c r="AJ93" s="351"/>
      <c r="AK93" s="412"/>
      <c r="AL93" s="350"/>
      <c r="AM93" s="350"/>
      <c r="AN93" s="351"/>
      <c r="AO93" s="412"/>
      <c r="AP93" s="350"/>
      <c r="AQ93" s="350"/>
      <c r="AR93" s="350"/>
      <c r="AS93" s="350"/>
      <c r="AT93" s="350"/>
      <c r="AU93" s="350"/>
      <c r="AV93" s="351"/>
      <c r="AW93" s="723"/>
      <c r="AX93" s="350"/>
      <c r="AY93" s="351"/>
      <c r="AZ93" s="412"/>
      <c r="BA93" s="350"/>
      <c r="BB93" s="350"/>
      <c r="BC93" s="350"/>
      <c r="BD93" s="350"/>
      <c r="BE93" s="350"/>
      <c r="BF93" s="350"/>
      <c r="BG93" s="350"/>
      <c r="BH93" s="350"/>
      <c r="BI93" s="350"/>
      <c r="BJ93" s="350"/>
      <c r="BK93" s="350"/>
      <c r="BL93" s="350"/>
      <c r="BM93" s="350"/>
      <c r="BN93" s="350"/>
      <c r="BO93" s="351"/>
    </row>
    <row r="94" spans="1:67" ht="34.5" customHeight="1">
      <c r="A94" s="98">
        <f t="shared" si="0"/>
        <v>82</v>
      </c>
      <c r="B94" s="416" t="s">
        <v>325</v>
      </c>
      <c r="C94" s="351"/>
      <c r="D94" s="594"/>
      <c r="E94" s="350"/>
      <c r="F94" s="350"/>
      <c r="G94" s="350"/>
      <c r="H94" s="351"/>
      <c r="I94" s="368"/>
      <c r="J94" s="350"/>
      <c r="K94" s="350"/>
      <c r="L94" s="350"/>
      <c r="M94" s="350"/>
      <c r="N94" s="350"/>
      <c r="O94" s="350"/>
      <c r="P94" s="351"/>
      <c r="Q94" s="511"/>
      <c r="R94" s="350"/>
      <c r="S94" s="350"/>
      <c r="T94" s="350"/>
      <c r="U94" s="350"/>
      <c r="V94" s="350"/>
      <c r="W94" s="350"/>
      <c r="X94" s="351"/>
      <c r="Y94" s="368"/>
      <c r="Z94" s="351"/>
      <c r="AA94" s="511"/>
      <c r="AB94" s="350"/>
      <c r="AC94" s="350"/>
      <c r="AD94" s="351"/>
      <c r="AE94" s="368"/>
      <c r="AF94" s="350"/>
      <c r="AG94" s="351"/>
      <c r="AH94" s="511"/>
      <c r="AI94" s="350"/>
      <c r="AJ94" s="351"/>
      <c r="AK94" s="368"/>
      <c r="AL94" s="350"/>
      <c r="AM94" s="350"/>
      <c r="AN94" s="351"/>
      <c r="AO94" s="511"/>
      <c r="AP94" s="350"/>
      <c r="AQ94" s="350"/>
      <c r="AR94" s="350"/>
      <c r="AS94" s="350"/>
      <c r="AT94" s="350"/>
      <c r="AU94" s="350"/>
      <c r="AV94" s="351"/>
      <c r="AW94" s="725"/>
      <c r="AX94" s="350"/>
      <c r="AY94" s="351"/>
      <c r="AZ94" s="511"/>
      <c r="BA94" s="350"/>
      <c r="BB94" s="350"/>
      <c r="BC94" s="350"/>
      <c r="BD94" s="350"/>
      <c r="BE94" s="350"/>
      <c r="BF94" s="350"/>
      <c r="BG94" s="350"/>
      <c r="BH94" s="350"/>
      <c r="BI94" s="350"/>
      <c r="BJ94" s="350"/>
      <c r="BK94" s="350"/>
      <c r="BL94" s="350"/>
      <c r="BM94" s="350"/>
      <c r="BN94" s="350"/>
      <c r="BO94" s="351"/>
    </row>
    <row r="95" spans="1:67" ht="34.5" customHeight="1">
      <c r="A95" s="98">
        <f t="shared" si="0"/>
        <v>83</v>
      </c>
      <c r="B95" s="416" t="s">
        <v>325</v>
      </c>
      <c r="C95" s="351"/>
      <c r="D95" s="724"/>
      <c r="E95" s="350"/>
      <c r="F95" s="350"/>
      <c r="G95" s="350"/>
      <c r="H95" s="351"/>
      <c r="I95" s="412"/>
      <c r="J95" s="350"/>
      <c r="K95" s="350"/>
      <c r="L95" s="350"/>
      <c r="M95" s="350"/>
      <c r="N95" s="350"/>
      <c r="O95" s="350"/>
      <c r="P95" s="351"/>
      <c r="Q95" s="412"/>
      <c r="R95" s="350"/>
      <c r="S95" s="350"/>
      <c r="T95" s="350"/>
      <c r="U95" s="350"/>
      <c r="V95" s="350"/>
      <c r="W95" s="350"/>
      <c r="X95" s="351"/>
      <c r="Y95" s="412"/>
      <c r="Z95" s="351"/>
      <c r="AA95" s="412"/>
      <c r="AB95" s="350"/>
      <c r="AC95" s="350"/>
      <c r="AD95" s="351"/>
      <c r="AE95" s="412"/>
      <c r="AF95" s="350"/>
      <c r="AG95" s="351"/>
      <c r="AH95" s="412"/>
      <c r="AI95" s="350"/>
      <c r="AJ95" s="351"/>
      <c r="AK95" s="412"/>
      <c r="AL95" s="350"/>
      <c r="AM95" s="350"/>
      <c r="AN95" s="351"/>
      <c r="AO95" s="412"/>
      <c r="AP95" s="350"/>
      <c r="AQ95" s="350"/>
      <c r="AR95" s="350"/>
      <c r="AS95" s="350"/>
      <c r="AT95" s="350"/>
      <c r="AU95" s="350"/>
      <c r="AV95" s="351"/>
      <c r="AW95" s="723"/>
      <c r="AX95" s="350"/>
      <c r="AY95" s="351"/>
      <c r="AZ95" s="412"/>
      <c r="BA95" s="350"/>
      <c r="BB95" s="350"/>
      <c r="BC95" s="350"/>
      <c r="BD95" s="350"/>
      <c r="BE95" s="350"/>
      <c r="BF95" s="350"/>
      <c r="BG95" s="350"/>
      <c r="BH95" s="350"/>
      <c r="BI95" s="350"/>
      <c r="BJ95" s="350"/>
      <c r="BK95" s="350"/>
      <c r="BL95" s="350"/>
      <c r="BM95" s="350"/>
      <c r="BN95" s="350"/>
      <c r="BO95" s="351"/>
    </row>
    <row r="96" spans="1:67" ht="34.5" customHeight="1">
      <c r="A96" s="98">
        <f t="shared" si="0"/>
        <v>84</v>
      </c>
      <c r="B96" s="416" t="s">
        <v>325</v>
      </c>
      <c r="C96" s="351"/>
      <c r="D96" s="594"/>
      <c r="E96" s="350"/>
      <c r="F96" s="350"/>
      <c r="G96" s="350"/>
      <c r="H96" s="351"/>
      <c r="I96" s="368"/>
      <c r="J96" s="350"/>
      <c r="K96" s="350"/>
      <c r="L96" s="350"/>
      <c r="M96" s="350"/>
      <c r="N96" s="350"/>
      <c r="O96" s="350"/>
      <c r="P96" s="351"/>
      <c r="Q96" s="511"/>
      <c r="R96" s="350"/>
      <c r="S96" s="350"/>
      <c r="T96" s="350"/>
      <c r="U96" s="350"/>
      <c r="V96" s="350"/>
      <c r="W96" s="350"/>
      <c r="X96" s="351"/>
      <c r="Y96" s="368"/>
      <c r="Z96" s="351"/>
      <c r="AA96" s="511"/>
      <c r="AB96" s="350"/>
      <c r="AC96" s="350"/>
      <c r="AD96" s="351"/>
      <c r="AE96" s="368"/>
      <c r="AF96" s="350"/>
      <c r="AG96" s="351"/>
      <c r="AH96" s="511"/>
      <c r="AI96" s="350"/>
      <c r="AJ96" s="351"/>
      <c r="AK96" s="368"/>
      <c r="AL96" s="350"/>
      <c r="AM96" s="350"/>
      <c r="AN96" s="351"/>
      <c r="AO96" s="511"/>
      <c r="AP96" s="350"/>
      <c r="AQ96" s="350"/>
      <c r="AR96" s="350"/>
      <c r="AS96" s="350"/>
      <c r="AT96" s="350"/>
      <c r="AU96" s="350"/>
      <c r="AV96" s="351"/>
      <c r="AW96" s="725"/>
      <c r="AX96" s="350"/>
      <c r="AY96" s="351"/>
      <c r="AZ96" s="511"/>
      <c r="BA96" s="350"/>
      <c r="BB96" s="350"/>
      <c r="BC96" s="350"/>
      <c r="BD96" s="350"/>
      <c r="BE96" s="350"/>
      <c r="BF96" s="350"/>
      <c r="BG96" s="350"/>
      <c r="BH96" s="350"/>
      <c r="BI96" s="350"/>
      <c r="BJ96" s="350"/>
      <c r="BK96" s="350"/>
      <c r="BL96" s="350"/>
      <c r="BM96" s="350"/>
      <c r="BN96" s="350"/>
      <c r="BO96" s="351"/>
    </row>
    <row r="97" spans="1:67" ht="34.5" customHeight="1">
      <c r="A97" s="98">
        <f t="shared" si="0"/>
        <v>85</v>
      </c>
      <c r="B97" s="416" t="s">
        <v>325</v>
      </c>
      <c r="C97" s="351"/>
      <c r="D97" s="724"/>
      <c r="E97" s="350"/>
      <c r="F97" s="350"/>
      <c r="G97" s="350"/>
      <c r="H97" s="351"/>
      <c r="I97" s="412"/>
      <c r="J97" s="350"/>
      <c r="K97" s="350"/>
      <c r="L97" s="350"/>
      <c r="M97" s="350"/>
      <c r="N97" s="350"/>
      <c r="O97" s="350"/>
      <c r="P97" s="351"/>
      <c r="Q97" s="412"/>
      <c r="R97" s="350"/>
      <c r="S97" s="350"/>
      <c r="T97" s="350"/>
      <c r="U97" s="350"/>
      <c r="V97" s="350"/>
      <c r="W97" s="350"/>
      <c r="X97" s="351"/>
      <c r="Y97" s="412"/>
      <c r="Z97" s="351"/>
      <c r="AA97" s="412"/>
      <c r="AB97" s="350"/>
      <c r="AC97" s="350"/>
      <c r="AD97" s="351"/>
      <c r="AE97" s="412"/>
      <c r="AF97" s="350"/>
      <c r="AG97" s="351"/>
      <c r="AH97" s="412"/>
      <c r="AI97" s="350"/>
      <c r="AJ97" s="351"/>
      <c r="AK97" s="412"/>
      <c r="AL97" s="350"/>
      <c r="AM97" s="350"/>
      <c r="AN97" s="351"/>
      <c r="AO97" s="412"/>
      <c r="AP97" s="350"/>
      <c r="AQ97" s="350"/>
      <c r="AR97" s="350"/>
      <c r="AS97" s="350"/>
      <c r="AT97" s="350"/>
      <c r="AU97" s="350"/>
      <c r="AV97" s="351"/>
      <c r="AW97" s="723"/>
      <c r="AX97" s="350"/>
      <c r="AY97" s="351"/>
      <c r="AZ97" s="412"/>
      <c r="BA97" s="350"/>
      <c r="BB97" s="350"/>
      <c r="BC97" s="350"/>
      <c r="BD97" s="350"/>
      <c r="BE97" s="350"/>
      <c r="BF97" s="350"/>
      <c r="BG97" s="350"/>
      <c r="BH97" s="350"/>
      <c r="BI97" s="350"/>
      <c r="BJ97" s="350"/>
      <c r="BK97" s="350"/>
      <c r="BL97" s="350"/>
      <c r="BM97" s="350"/>
      <c r="BN97" s="350"/>
      <c r="BO97" s="351"/>
    </row>
    <row r="98" spans="1:67" ht="34.5" customHeight="1">
      <c r="A98" s="98">
        <f t="shared" si="0"/>
        <v>86</v>
      </c>
      <c r="B98" s="416" t="s">
        <v>325</v>
      </c>
      <c r="C98" s="351"/>
      <c r="D98" s="594"/>
      <c r="E98" s="350"/>
      <c r="F98" s="350"/>
      <c r="G98" s="350"/>
      <c r="H98" s="351"/>
      <c r="I98" s="368"/>
      <c r="J98" s="350"/>
      <c r="K98" s="350"/>
      <c r="L98" s="350"/>
      <c r="M98" s="350"/>
      <c r="N98" s="350"/>
      <c r="O98" s="350"/>
      <c r="P98" s="351"/>
      <c r="Q98" s="511"/>
      <c r="R98" s="350"/>
      <c r="S98" s="350"/>
      <c r="T98" s="350"/>
      <c r="U98" s="350"/>
      <c r="V98" s="350"/>
      <c r="W98" s="350"/>
      <c r="X98" s="351"/>
      <c r="Y98" s="368"/>
      <c r="Z98" s="351"/>
      <c r="AA98" s="511"/>
      <c r="AB98" s="350"/>
      <c r="AC98" s="350"/>
      <c r="AD98" s="351"/>
      <c r="AE98" s="368"/>
      <c r="AF98" s="350"/>
      <c r="AG98" s="351"/>
      <c r="AH98" s="511"/>
      <c r="AI98" s="350"/>
      <c r="AJ98" s="351"/>
      <c r="AK98" s="368"/>
      <c r="AL98" s="350"/>
      <c r="AM98" s="350"/>
      <c r="AN98" s="351"/>
      <c r="AO98" s="511"/>
      <c r="AP98" s="350"/>
      <c r="AQ98" s="350"/>
      <c r="AR98" s="350"/>
      <c r="AS98" s="350"/>
      <c r="AT98" s="350"/>
      <c r="AU98" s="350"/>
      <c r="AV98" s="351"/>
      <c r="AW98" s="725"/>
      <c r="AX98" s="350"/>
      <c r="AY98" s="351"/>
      <c r="AZ98" s="511"/>
      <c r="BA98" s="350"/>
      <c r="BB98" s="350"/>
      <c r="BC98" s="350"/>
      <c r="BD98" s="350"/>
      <c r="BE98" s="350"/>
      <c r="BF98" s="350"/>
      <c r="BG98" s="350"/>
      <c r="BH98" s="350"/>
      <c r="BI98" s="350"/>
      <c r="BJ98" s="350"/>
      <c r="BK98" s="350"/>
      <c r="BL98" s="350"/>
      <c r="BM98" s="350"/>
      <c r="BN98" s="350"/>
      <c r="BO98" s="351"/>
    </row>
    <row r="99" spans="1:67" ht="34.5" customHeight="1">
      <c r="A99" s="98">
        <f t="shared" si="0"/>
        <v>87</v>
      </c>
      <c r="B99" s="416" t="s">
        <v>325</v>
      </c>
      <c r="C99" s="351"/>
      <c r="D99" s="724"/>
      <c r="E99" s="350"/>
      <c r="F99" s="350"/>
      <c r="G99" s="350"/>
      <c r="H99" s="351"/>
      <c r="I99" s="412"/>
      <c r="J99" s="350"/>
      <c r="K99" s="350"/>
      <c r="L99" s="350"/>
      <c r="M99" s="350"/>
      <c r="N99" s="350"/>
      <c r="O99" s="350"/>
      <c r="P99" s="351"/>
      <c r="Q99" s="412"/>
      <c r="R99" s="350"/>
      <c r="S99" s="350"/>
      <c r="T99" s="350"/>
      <c r="U99" s="350"/>
      <c r="V99" s="350"/>
      <c r="W99" s="350"/>
      <c r="X99" s="351"/>
      <c r="Y99" s="412"/>
      <c r="Z99" s="351"/>
      <c r="AA99" s="412"/>
      <c r="AB99" s="350"/>
      <c r="AC99" s="350"/>
      <c r="AD99" s="351"/>
      <c r="AE99" s="412"/>
      <c r="AF99" s="350"/>
      <c r="AG99" s="351"/>
      <c r="AH99" s="412"/>
      <c r="AI99" s="350"/>
      <c r="AJ99" s="351"/>
      <c r="AK99" s="412"/>
      <c r="AL99" s="350"/>
      <c r="AM99" s="350"/>
      <c r="AN99" s="351"/>
      <c r="AO99" s="412"/>
      <c r="AP99" s="350"/>
      <c r="AQ99" s="350"/>
      <c r="AR99" s="350"/>
      <c r="AS99" s="350"/>
      <c r="AT99" s="350"/>
      <c r="AU99" s="350"/>
      <c r="AV99" s="351"/>
      <c r="AW99" s="723"/>
      <c r="AX99" s="350"/>
      <c r="AY99" s="351"/>
      <c r="AZ99" s="412"/>
      <c r="BA99" s="350"/>
      <c r="BB99" s="350"/>
      <c r="BC99" s="350"/>
      <c r="BD99" s="350"/>
      <c r="BE99" s="350"/>
      <c r="BF99" s="350"/>
      <c r="BG99" s="350"/>
      <c r="BH99" s="350"/>
      <c r="BI99" s="350"/>
      <c r="BJ99" s="350"/>
      <c r="BK99" s="350"/>
      <c r="BL99" s="350"/>
      <c r="BM99" s="350"/>
      <c r="BN99" s="350"/>
      <c r="BO99" s="351"/>
    </row>
    <row r="100" spans="1:67" ht="34.5" customHeight="1">
      <c r="A100" s="98">
        <f t="shared" si="0"/>
        <v>88</v>
      </c>
      <c r="B100" s="416" t="s">
        <v>325</v>
      </c>
      <c r="C100" s="351"/>
      <c r="D100" s="594"/>
      <c r="E100" s="350"/>
      <c r="F100" s="350"/>
      <c r="G100" s="350"/>
      <c r="H100" s="351"/>
      <c r="I100" s="368"/>
      <c r="J100" s="350"/>
      <c r="K100" s="350"/>
      <c r="L100" s="350"/>
      <c r="M100" s="350"/>
      <c r="N100" s="350"/>
      <c r="O100" s="350"/>
      <c r="P100" s="351"/>
      <c r="Q100" s="511"/>
      <c r="R100" s="350"/>
      <c r="S100" s="350"/>
      <c r="T100" s="350"/>
      <c r="U100" s="350"/>
      <c r="V100" s="350"/>
      <c r="W100" s="350"/>
      <c r="X100" s="351"/>
      <c r="Y100" s="368"/>
      <c r="Z100" s="351"/>
      <c r="AA100" s="511"/>
      <c r="AB100" s="350"/>
      <c r="AC100" s="350"/>
      <c r="AD100" s="351"/>
      <c r="AE100" s="368"/>
      <c r="AF100" s="350"/>
      <c r="AG100" s="351"/>
      <c r="AH100" s="511"/>
      <c r="AI100" s="350"/>
      <c r="AJ100" s="351"/>
      <c r="AK100" s="368"/>
      <c r="AL100" s="350"/>
      <c r="AM100" s="350"/>
      <c r="AN100" s="351"/>
      <c r="AO100" s="511"/>
      <c r="AP100" s="350"/>
      <c r="AQ100" s="350"/>
      <c r="AR100" s="350"/>
      <c r="AS100" s="350"/>
      <c r="AT100" s="350"/>
      <c r="AU100" s="350"/>
      <c r="AV100" s="351"/>
      <c r="AW100" s="725"/>
      <c r="AX100" s="350"/>
      <c r="AY100" s="351"/>
      <c r="AZ100" s="511"/>
      <c r="BA100" s="350"/>
      <c r="BB100" s="350"/>
      <c r="BC100" s="350"/>
      <c r="BD100" s="350"/>
      <c r="BE100" s="350"/>
      <c r="BF100" s="350"/>
      <c r="BG100" s="350"/>
      <c r="BH100" s="350"/>
      <c r="BI100" s="350"/>
      <c r="BJ100" s="350"/>
      <c r="BK100" s="350"/>
      <c r="BL100" s="350"/>
      <c r="BM100" s="350"/>
      <c r="BN100" s="350"/>
      <c r="BO100" s="351"/>
    </row>
    <row r="101" spans="1:67" ht="34.5" customHeight="1">
      <c r="A101" s="98">
        <f t="shared" si="0"/>
        <v>89</v>
      </c>
      <c r="B101" s="416" t="s">
        <v>325</v>
      </c>
      <c r="C101" s="351"/>
      <c r="D101" s="724"/>
      <c r="E101" s="350"/>
      <c r="F101" s="350"/>
      <c r="G101" s="350"/>
      <c r="H101" s="351"/>
      <c r="I101" s="412"/>
      <c r="J101" s="350"/>
      <c r="K101" s="350"/>
      <c r="L101" s="350"/>
      <c r="M101" s="350"/>
      <c r="N101" s="350"/>
      <c r="O101" s="350"/>
      <c r="P101" s="351"/>
      <c r="Q101" s="412"/>
      <c r="R101" s="350"/>
      <c r="S101" s="350"/>
      <c r="T101" s="350"/>
      <c r="U101" s="350"/>
      <c r="V101" s="350"/>
      <c r="W101" s="350"/>
      <c r="X101" s="351"/>
      <c r="Y101" s="412"/>
      <c r="Z101" s="351"/>
      <c r="AA101" s="412"/>
      <c r="AB101" s="350"/>
      <c r="AC101" s="350"/>
      <c r="AD101" s="351"/>
      <c r="AE101" s="412"/>
      <c r="AF101" s="350"/>
      <c r="AG101" s="351"/>
      <c r="AH101" s="412"/>
      <c r="AI101" s="350"/>
      <c r="AJ101" s="351"/>
      <c r="AK101" s="412"/>
      <c r="AL101" s="350"/>
      <c r="AM101" s="350"/>
      <c r="AN101" s="351"/>
      <c r="AO101" s="412"/>
      <c r="AP101" s="350"/>
      <c r="AQ101" s="350"/>
      <c r="AR101" s="350"/>
      <c r="AS101" s="350"/>
      <c r="AT101" s="350"/>
      <c r="AU101" s="350"/>
      <c r="AV101" s="351"/>
      <c r="AW101" s="723"/>
      <c r="AX101" s="350"/>
      <c r="AY101" s="351"/>
      <c r="AZ101" s="412"/>
      <c r="BA101" s="350"/>
      <c r="BB101" s="350"/>
      <c r="BC101" s="350"/>
      <c r="BD101" s="350"/>
      <c r="BE101" s="350"/>
      <c r="BF101" s="350"/>
      <c r="BG101" s="350"/>
      <c r="BH101" s="350"/>
      <c r="BI101" s="350"/>
      <c r="BJ101" s="350"/>
      <c r="BK101" s="350"/>
      <c r="BL101" s="350"/>
      <c r="BM101" s="350"/>
      <c r="BN101" s="350"/>
      <c r="BO101" s="351"/>
    </row>
    <row r="102" spans="1:67" ht="34.5" customHeight="1">
      <c r="A102" s="98">
        <f t="shared" si="0"/>
        <v>90</v>
      </c>
      <c r="B102" s="416" t="s">
        <v>325</v>
      </c>
      <c r="C102" s="351"/>
      <c r="D102" s="594"/>
      <c r="E102" s="350"/>
      <c r="F102" s="350"/>
      <c r="G102" s="350"/>
      <c r="H102" s="351"/>
      <c r="I102" s="368"/>
      <c r="J102" s="350"/>
      <c r="K102" s="350"/>
      <c r="L102" s="350"/>
      <c r="M102" s="350"/>
      <c r="N102" s="350"/>
      <c r="O102" s="350"/>
      <c r="P102" s="351"/>
      <c r="Q102" s="511"/>
      <c r="R102" s="350"/>
      <c r="S102" s="350"/>
      <c r="T102" s="350"/>
      <c r="U102" s="350"/>
      <c r="V102" s="350"/>
      <c r="W102" s="350"/>
      <c r="X102" s="351"/>
      <c r="Y102" s="368"/>
      <c r="Z102" s="351"/>
      <c r="AA102" s="511"/>
      <c r="AB102" s="350"/>
      <c r="AC102" s="350"/>
      <c r="AD102" s="351"/>
      <c r="AE102" s="368"/>
      <c r="AF102" s="350"/>
      <c r="AG102" s="351"/>
      <c r="AH102" s="511"/>
      <c r="AI102" s="350"/>
      <c r="AJ102" s="351"/>
      <c r="AK102" s="368"/>
      <c r="AL102" s="350"/>
      <c r="AM102" s="350"/>
      <c r="AN102" s="351"/>
      <c r="AO102" s="511"/>
      <c r="AP102" s="350"/>
      <c r="AQ102" s="350"/>
      <c r="AR102" s="350"/>
      <c r="AS102" s="350"/>
      <c r="AT102" s="350"/>
      <c r="AU102" s="350"/>
      <c r="AV102" s="351"/>
      <c r="AW102" s="725"/>
      <c r="AX102" s="350"/>
      <c r="AY102" s="351"/>
      <c r="AZ102" s="511"/>
      <c r="BA102" s="350"/>
      <c r="BB102" s="350"/>
      <c r="BC102" s="350"/>
      <c r="BD102" s="350"/>
      <c r="BE102" s="350"/>
      <c r="BF102" s="350"/>
      <c r="BG102" s="350"/>
      <c r="BH102" s="350"/>
      <c r="BI102" s="350"/>
      <c r="BJ102" s="350"/>
      <c r="BK102" s="350"/>
      <c r="BL102" s="350"/>
      <c r="BM102" s="350"/>
      <c r="BN102" s="350"/>
      <c r="BO102" s="351"/>
    </row>
    <row r="103" spans="1:67" ht="34.5" customHeight="1">
      <c r="A103" s="98">
        <f t="shared" si="0"/>
        <v>91</v>
      </c>
      <c r="B103" s="416" t="s">
        <v>325</v>
      </c>
      <c r="C103" s="351"/>
      <c r="D103" s="724"/>
      <c r="E103" s="350"/>
      <c r="F103" s="350"/>
      <c r="G103" s="350"/>
      <c r="H103" s="351"/>
      <c r="I103" s="412"/>
      <c r="J103" s="350"/>
      <c r="K103" s="350"/>
      <c r="L103" s="350"/>
      <c r="M103" s="350"/>
      <c r="N103" s="350"/>
      <c r="O103" s="350"/>
      <c r="P103" s="351"/>
      <c r="Q103" s="412"/>
      <c r="R103" s="350"/>
      <c r="S103" s="350"/>
      <c r="T103" s="350"/>
      <c r="U103" s="350"/>
      <c r="V103" s="350"/>
      <c r="W103" s="350"/>
      <c r="X103" s="351"/>
      <c r="Y103" s="412"/>
      <c r="Z103" s="351"/>
      <c r="AA103" s="412"/>
      <c r="AB103" s="350"/>
      <c r="AC103" s="350"/>
      <c r="AD103" s="351"/>
      <c r="AE103" s="412"/>
      <c r="AF103" s="350"/>
      <c r="AG103" s="351"/>
      <c r="AH103" s="412"/>
      <c r="AI103" s="350"/>
      <c r="AJ103" s="351"/>
      <c r="AK103" s="412"/>
      <c r="AL103" s="350"/>
      <c r="AM103" s="350"/>
      <c r="AN103" s="351"/>
      <c r="AO103" s="412"/>
      <c r="AP103" s="350"/>
      <c r="AQ103" s="350"/>
      <c r="AR103" s="350"/>
      <c r="AS103" s="350"/>
      <c r="AT103" s="350"/>
      <c r="AU103" s="350"/>
      <c r="AV103" s="351"/>
      <c r="AW103" s="723"/>
      <c r="AX103" s="350"/>
      <c r="AY103" s="351"/>
      <c r="AZ103" s="412"/>
      <c r="BA103" s="350"/>
      <c r="BB103" s="350"/>
      <c r="BC103" s="350"/>
      <c r="BD103" s="350"/>
      <c r="BE103" s="350"/>
      <c r="BF103" s="350"/>
      <c r="BG103" s="350"/>
      <c r="BH103" s="350"/>
      <c r="BI103" s="350"/>
      <c r="BJ103" s="350"/>
      <c r="BK103" s="350"/>
      <c r="BL103" s="350"/>
      <c r="BM103" s="350"/>
      <c r="BN103" s="350"/>
      <c r="BO103" s="351"/>
    </row>
    <row r="104" spans="1:67" ht="34.5" customHeight="1">
      <c r="A104" s="98">
        <f t="shared" si="0"/>
        <v>92</v>
      </c>
      <c r="B104" s="726" t="s">
        <v>325</v>
      </c>
      <c r="C104" s="351"/>
      <c r="D104" s="594"/>
      <c r="E104" s="350"/>
      <c r="F104" s="350"/>
      <c r="G104" s="350"/>
      <c r="H104" s="351"/>
      <c r="I104" s="368"/>
      <c r="J104" s="350"/>
      <c r="K104" s="350"/>
      <c r="L104" s="350"/>
      <c r="M104" s="350"/>
      <c r="N104" s="350"/>
      <c r="O104" s="350"/>
      <c r="P104" s="351"/>
      <c r="Q104" s="511"/>
      <c r="R104" s="350"/>
      <c r="S104" s="350"/>
      <c r="T104" s="350"/>
      <c r="U104" s="350"/>
      <c r="V104" s="350"/>
      <c r="W104" s="350"/>
      <c r="X104" s="351"/>
      <c r="Y104" s="368"/>
      <c r="Z104" s="351"/>
      <c r="AA104" s="511"/>
      <c r="AB104" s="350"/>
      <c r="AC104" s="350"/>
      <c r="AD104" s="351"/>
      <c r="AE104" s="368"/>
      <c r="AF104" s="350"/>
      <c r="AG104" s="351"/>
      <c r="AH104" s="511"/>
      <c r="AI104" s="350"/>
      <c r="AJ104" s="351"/>
      <c r="AK104" s="368"/>
      <c r="AL104" s="350"/>
      <c r="AM104" s="350"/>
      <c r="AN104" s="351"/>
      <c r="AO104" s="511"/>
      <c r="AP104" s="350"/>
      <c r="AQ104" s="350"/>
      <c r="AR104" s="350"/>
      <c r="AS104" s="350"/>
      <c r="AT104" s="350"/>
      <c r="AU104" s="350"/>
      <c r="AV104" s="351"/>
      <c r="AW104" s="725"/>
      <c r="AX104" s="350"/>
      <c r="AY104" s="351"/>
      <c r="AZ104" s="511"/>
      <c r="BA104" s="350"/>
      <c r="BB104" s="350"/>
      <c r="BC104" s="350"/>
      <c r="BD104" s="350"/>
      <c r="BE104" s="350"/>
      <c r="BF104" s="350"/>
      <c r="BG104" s="350"/>
      <c r="BH104" s="350"/>
      <c r="BI104" s="350"/>
      <c r="BJ104" s="350"/>
      <c r="BK104" s="350"/>
      <c r="BL104" s="350"/>
      <c r="BM104" s="350"/>
      <c r="BN104" s="350"/>
      <c r="BO104" s="351"/>
    </row>
    <row r="105" spans="1:67" ht="34.5" customHeight="1">
      <c r="A105" s="98">
        <f t="shared" si="0"/>
        <v>93</v>
      </c>
      <c r="B105" s="416" t="s">
        <v>325</v>
      </c>
      <c r="C105" s="351"/>
      <c r="D105" s="724"/>
      <c r="E105" s="350"/>
      <c r="F105" s="350"/>
      <c r="G105" s="350"/>
      <c r="H105" s="351"/>
      <c r="I105" s="412"/>
      <c r="J105" s="350"/>
      <c r="K105" s="350"/>
      <c r="L105" s="350"/>
      <c r="M105" s="350"/>
      <c r="N105" s="350"/>
      <c r="O105" s="350"/>
      <c r="P105" s="351"/>
      <c r="Q105" s="412"/>
      <c r="R105" s="350"/>
      <c r="S105" s="350"/>
      <c r="T105" s="350"/>
      <c r="U105" s="350"/>
      <c r="V105" s="350"/>
      <c r="W105" s="350"/>
      <c r="X105" s="351"/>
      <c r="Y105" s="412"/>
      <c r="Z105" s="351"/>
      <c r="AA105" s="412"/>
      <c r="AB105" s="350"/>
      <c r="AC105" s="350"/>
      <c r="AD105" s="351"/>
      <c r="AE105" s="412"/>
      <c r="AF105" s="350"/>
      <c r="AG105" s="351"/>
      <c r="AH105" s="412"/>
      <c r="AI105" s="350"/>
      <c r="AJ105" s="351"/>
      <c r="AK105" s="412"/>
      <c r="AL105" s="350"/>
      <c r="AM105" s="350"/>
      <c r="AN105" s="351"/>
      <c r="AO105" s="412"/>
      <c r="AP105" s="350"/>
      <c r="AQ105" s="350"/>
      <c r="AR105" s="350"/>
      <c r="AS105" s="350"/>
      <c r="AT105" s="350"/>
      <c r="AU105" s="350"/>
      <c r="AV105" s="351"/>
      <c r="AW105" s="723"/>
      <c r="AX105" s="350"/>
      <c r="AY105" s="351"/>
      <c r="AZ105" s="412"/>
      <c r="BA105" s="350"/>
      <c r="BB105" s="350"/>
      <c r="BC105" s="350"/>
      <c r="BD105" s="350"/>
      <c r="BE105" s="350"/>
      <c r="BF105" s="350"/>
      <c r="BG105" s="350"/>
      <c r="BH105" s="350"/>
      <c r="BI105" s="350"/>
      <c r="BJ105" s="350"/>
      <c r="BK105" s="350"/>
      <c r="BL105" s="350"/>
      <c r="BM105" s="350"/>
      <c r="BN105" s="350"/>
      <c r="BO105" s="351"/>
    </row>
    <row r="106" spans="1:67" ht="34.5" customHeight="1">
      <c r="A106" s="98">
        <f t="shared" si="0"/>
        <v>94</v>
      </c>
      <c r="B106" s="416" t="s">
        <v>325</v>
      </c>
      <c r="C106" s="351"/>
      <c r="D106" s="594"/>
      <c r="E106" s="350"/>
      <c r="F106" s="350"/>
      <c r="G106" s="350"/>
      <c r="H106" s="351"/>
      <c r="I106" s="368"/>
      <c r="J106" s="350"/>
      <c r="K106" s="350"/>
      <c r="L106" s="350"/>
      <c r="M106" s="350"/>
      <c r="N106" s="350"/>
      <c r="O106" s="350"/>
      <c r="P106" s="351"/>
      <c r="Q106" s="511"/>
      <c r="R106" s="350"/>
      <c r="S106" s="350"/>
      <c r="T106" s="350"/>
      <c r="U106" s="350"/>
      <c r="V106" s="350"/>
      <c r="W106" s="350"/>
      <c r="X106" s="351"/>
      <c r="Y106" s="368"/>
      <c r="Z106" s="351"/>
      <c r="AA106" s="511"/>
      <c r="AB106" s="350"/>
      <c r="AC106" s="350"/>
      <c r="AD106" s="351"/>
      <c r="AE106" s="368"/>
      <c r="AF106" s="350"/>
      <c r="AG106" s="351"/>
      <c r="AH106" s="511"/>
      <c r="AI106" s="350"/>
      <c r="AJ106" s="351"/>
      <c r="AK106" s="368"/>
      <c r="AL106" s="350"/>
      <c r="AM106" s="350"/>
      <c r="AN106" s="351"/>
      <c r="AO106" s="511"/>
      <c r="AP106" s="350"/>
      <c r="AQ106" s="350"/>
      <c r="AR106" s="350"/>
      <c r="AS106" s="350"/>
      <c r="AT106" s="350"/>
      <c r="AU106" s="350"/>
      <c r="AV106" s="351"/>
      <c r="AW106" s="725"/>
      <c r="AX106" s="350"/>
      <c r="AY106" s="351"/>
      <c r="AZ106" s="511"/>
      <c r="BA106" s="350"/>
      <c r="BB106" s="350"/>
      <c r="BC106" s="350"/>
      <c r="BD106" s="350"/>
      <c r="BE106" s="350"/>
      <c r="BF106" s="350"/>
      <c r="BG106" s="350"/>
      <c r="BH106" s="350"/>
      <c r="BI106" s="350"/>
      <c r="BJ106" s="350"/>
      <c r="BK106" s="350"/>
      <c r="BL106" s="350"/>
      <c r="BM106" s="350"/>
      <c r="BN106" s="350"/>
      <c r="BO106" s="351"/>
    </row>
    <row r="107" spans="1:67" ht="34.5" customHeight="1">
      <c r="A107" s="98">
        <f t="shared" si="0"/>
        <v>95</v>
      </c>
      <c r="B107" s="416" t="s">
        <v>325</v>
      </c>
      <c r="C107" s="351"/>
      <c r="D107" s="724"/>
      <c r="E107" s="350"/>
      <c r="F107" s="350"/>
      <c r="G107" s="350"/>
      <c r="H107" s="351"/>
      <c r="I107" s="412"/>
      <c r="J107" s="350"/>
      <c r="K107" s="350"/>
      <c r="L107" s="350"/>
      <c r="M107" s="350"/>
      <c r="N107" s="350"/>
      <c r="O107" s="350"/>
      <c r="P107" s="351"/>
      <c r="Q107" s="412"/>
      <c r="R107" s="350"/>
      <c r="S107" s="350"/>
      <c r="T107" s="350"/>
      <c r="U107" s="350"/>
      <c r="V107" s="350"/>
      <c r="W107" s="350"/>
      <c r="X107" s="351"/>
      <c r="Y107" s="412"/>
      <c r="Z107" s="351"/>
      <c r="AA107" s="412"/>
      <c r="AB107" s="350"/>
      <c r="AC107" s="350"/>
      <c r="AD107" s="351"/>
      <c r="AE107" s="412"/>
      <c r="AF107" s="350"/>
      <c r="AG107" s="351"/>
      <c r="AH107" s="412"/>
      <c r="AI107" s="350"/>
      <c r="AJ107" s="351"/>
      <c r="AK107" s="412"/>
      <c r="AL107" s="350"/>
      <c r="AM107" s="350"/>
      <c r="AN107" s="351"/>
      <c r="AO107" s="412"/>
      <c r="AP107" s="350"/>
      <c r="AQ107" s="350"/>
      <c r="AR107" s="350"/>
      <c r="AS107" s="350"/>
      <c r="AT107" s="350"/>
      <c r="AU107" s="350"/>
      <c r="AV107" s="351"/>
      <c r="AW107" s="723"/>
      <c r="AX107" s="350"/>
      <c r="AY107" s="351"/>
      <c r="AZ107" s="412"/>
      <c r="BA107" s="350"/>
      <c r="BB107" s="350"/>
      <c r="BC107" s="350"/>
      <c r="BD107" s="350"/>
      <c r="BE107" s="350"/>
      <c r="BF107" s="350"/>
      <c r="BG107" s="350"/>
      <c r="BH107" s="350"/>
      <c r="BI107" s="350"/>
      <c r="BJ107" s="350"/>
      <c r="BK107" s="350"/>
      <c r="BL107" s="350"/>
      <c r="BM107" s="350"/>
      <c r="BN107" s="350"/>
      <c r="BO107" s="351"/>
    </row>
    <row r="108" spans="1:67" ht="34.5" customHeight="1">
      <c r="A108" s="98">
        <f t="shared" si="0"/>
        <v>96</v>
      </c>
      <c r="B108" s="416" t="s">
        <v>325</v>
      </c>
      <c r="C108" s="351"/>
      <c r="D108" s="594"/>
      <c r="E108" s="350"/>
      <c r="F108" s="350"/>
      <c r="G108" s="350"/>
      <c r="H108" s="351"/>
      <c r="I108" s="368"/>
      <c r="J108" s="350"/>
      <c r="K108" s="350"/>
      <c r="L108" s="350"/>
      <c r="M108" s="350"/>
      <c r="N108" s="350"/>
      <c r="O108" s="350"/>
      <c r="P108" s="351"/>
      <c r="Q108" s="511"/>
      <c r="R108" s="350"/>
      <c r="S108" s="350"/>
      <c r="T108" s="350"/>
      <c r="U108" s="350"/>
      <c r="V108" s="350"/>
      <c r="W108" s="350"/>
      <c r="X108" s="351"/>
      <c r="Y108" s="368"/>
      <c r="Z108" s="351"/>
      <c r="AA108" s="511"/>
      <c r="AB108" s="350"/>
      <c r="AC108" s="350"/>
      <c r="AD108" s="351"/>
      <c r="AE108" s="368"/>
      <c r="AF108" s="350"/>
      <c r="AG108" s="351"/>
      <c r="AH108" s="511"/>
      <c r="AI108" s="350"/>
      <c r="AJ108" s="351"/>
      <c r="AK108" s="368"/>
      <c r="AL108" s="350"/>
      <c r="AM108" s="350"/>
      <c r="AN108" s="351"/>
      <c r="AO108" s="511"/>
      <c r="AP108" s="350"/>
      <c r="AQ108" s="350"/>
      <c r="AR108" s="350"/>
      <c r="AS108" s="350"/>
      <c r="AT108" s="350"/>
      <c r="AU108" s="350"/>
      <c r="AV108" s="351"/>
      <c r="AW108" s="725"/>
      <c r="AX108" s="350"/>
      <c r="AY108" s="351"/>
      <c r="AZ108" s="511"/>
      <c r="BA108" s="350"/>
      <c r="BB108" s="350"/>
      <c r="BC108" s="350"/>
      <c r="BD108" s="350"/>
      <c r="BE108" s="350"/>
      <c r="BF108" s="350"/>
      <c r="BG108" s="350"/>
      <c r="BH108" s="350"/>
      <c r="BI108" s="350"/>
      <c r="BJ108" s="350"/>
      <c r="BK108" s="350"/>
      <c r="BL108" s="350"/>
      <c r="BM108" s="350"/>
      <c r="BN108" s="350"/>
      <c r="BO108" s="351"/>
    </row>
    <row r="109" spans="1:67" ht="34.5" customHeight="1">
      <c r="A109" s="98">
        <f t="shared" si="0"/>
        <v>97</v>
      </c>
      <c r="B109" s="416" t="s">
        <v>325</v>
      </c>
      <c r="C109" s="351"/>
      <c r="D109" s="724"/>
      <c r="E109" s="350"/>
      <c r="F109" s="350"/>
      <c r="G109" s="350"/>
      <c r="H109" s="351"/>
      <c r="I109" s="412"/>
      <c r="J109" s="350"/>
      <c r="K109" s="350"/>
      <c r="L109" s="350"/>
      <c r="M109" s="350"/>
      <c r="N109" s="350"/>
      <c r="O109" s="350"/>
      <c r="P109" s="351"/>
      <c r="Q109" s="412"/>
      <c r="R109" s="350"/>
      <c r="S109" s="350"/>
      <c r="T109" s="350"/>
      <c r="U109" s="350"/>
      <c r="V109" s="350"/>
      <c r="W109" s="350"/>
      <c r="X109" s="351"/>
      <c r="Y109" s="412"/>
      <c r="Z109" s="351"/>
      <c r="AA109" s="412"/>
      <c r="AB109" s="350"/>
      <c r="AC109" s="350"/>
      <c r="AD109" s="351"/>
      <c r="AE109" s="412"/>
      <c r="AF109" s="350"/>
      <c r="AG109" s="351"/>
      <c r="AH109" s="412"/>
      <c r="AI109" s="350"/>
      <c r="AJ109" s="351"/>
      <c r="AK109" s="412"/>
      <c r="AL109" s="350"/>
      <c r="AM109" s="350"/>
      <c r="AN109" s="351"/>
      <c r="AO109" s="412"/>
      <c r="AP109" s="350"/>
      <c r="AQ109" s="350"/>
      <c r="AR109" s="350"/>
      <c r="AS109" s="350"/>
      <c r="AT109" s="350"/>
      <c r="AU109" s="350"/>
      <c r="AV109" s="351"/>
      <c r="AW109" s="723"/>
      <c r="AX109" s="350"/>
      <c r="AY109" s="351"/>
      <c r="AZ109" s="412"/>
      <c r="BA109" s="350"/>
      <c r="BB109" s="350"/>
      <c r="BC109" s="350"/>
      <c r="BD109" s="350"/>
      <c r="BE109" s="350"/>
      <c r="BF109" s="350"/>
      <c r="BG109" s="350"/>
      <c r="BH109" s="350"/>
      <c r="BI109" s="350"/>
      <c r="BJ109" s="350"/>
      <c r="BK109" s="350"/>
      <c r="BL109" s="350"/>
      <c r="BM109" s="350"/>
      <c r="BN109" s="350"/>
      <c r="BO109" s="351"/>
    </row>
    <row r="110" spans="1:67" ht="34.5" customHeight="1">
      <c r="A110" s="98">
        <f t="shared" si="0"/>
        <v>98</v>
      </c>
      <c r="B110" s="416" t="s">
        <v>325</v>
      </c>
      <c r="C110" s="351"/>
      <c r="D110" s="594"/>
      <c r="E110" s="350"/>
      <c r="F110" s="350"/>
      <c r="G110" s="350"/>
      <c r="H110" s="351"/>
      <c r="I110" s="368"/>
      <c r="J110" s="350"/>
      <c r="K110" s="350"/>
      <c r="L110" s="350"/>
      <c r="M110" s="350"/>
      <c r="N110" s="350"/>
      <c r="O110" s="350"/>
      <c r="P110" s="351"/>
      <c r="Q110" s="511"/>
      <c r="R110" s="350"/>
      <c r="S110" s="350"/>
      <c r="T110" s="350"/>
      <c r="U110" s="350"/>
      <c r="V110" s="350"/>
      <c r="W110" s="350"/>
      <c r="X110" s="351"/>
      <c r="Y110" s="368"/>
      <c r="Z110" s="351"/>
      <c r="AA110" s="511"/>
      <c r="AB110" s="350"/>
      <c r="AC110" s="350"/>
      <c r="AD110" s="351"/>
      <c r="AE110" s="368"/>
      <c r="AF110" s="350"/>
      <c r="AG110" s="351"/>
      <c r="AH110" s="511"/>
      <c r="AI110" s="350"/>
      <c r="AJ110" s="351"/>
      <c r="AK110" s="368"/>
      <c r="AL110" s="350"/>
      <c r="AM110" s="350"/>
      <c r="AN110" s="351"/>
      <c r="AO110" s="511"/>
      <c r="AP110" s="350"/>
      <c r="AQ110" s="350"/>
      <c r="AR110" s="350"/>
      <c r="AS110" s="350"/>
      <c r="AT110" s="350"/>
      <c r="AU110" s="350"/>
      <c r="AV110" s="351"/>
      <c r="AW110" s="725"/>
      <c r="AX110" s="350"/>
      <c r="AY110" s="351"/>
      <c r="AZ110" s="511"/>
      <c r="BA110" s="350"/>
      <c r="BB110" s="350"/>
      <c r="BC110" s="350"/>
      <c r="BD110" s="350"/>
      <c r="BE110" s="350"/>
      <c r="BF110" s="350"/>
      <c r="BG110" s="350"/>
      <c r="BH110" s="350"/>
      <c r="BI110" s="350"/>
      <c r="BJ110" s="350"/>
      <c r="BK110" s="350"/>
      <c r="BL110" s="350"/>
      <c r="BM110" s="350"/>
      <c r="BN110" s="350"/>
      <c r="BO110" s="351"/>
    </row>
    <row r="111" spans="1:67" ht="34.5" customHeight="1">
      <c r="A111" s="98">
        <f t="shared" si="0"/>
        <v>99</v>
      </c>
      <c r="B111" s="416" t="s">
        <v>325</v>
      </c>
      <c r="C111" s="351"/>
      <c r="D111" s="724"/>
      <c r="E111" s="350"/>
      <c r="F111" s="350"/>
      <c r="G111" s="350"/>
      <c r="H111" s="351"/>
      <c r="I111" s="412"/>
      <c r="J111" s="350"/>
      <c r="K111" s="350"/>
      <c r="L111" s="350"/>
      <c r="M111" s="350"/>
      <c r="N111" s="350"/>
      <c r="O111" s="350"/>
      <c r="P111" s="351"/>
      <c r="Q111" s="412"/>
      <c r="R111" s="350"/>
      <c r="S111" s="350"/>
      <c r="T111" s="350"/>
      <c r="U111" s="350"/>
      <c r="V111" s="350"/>
      <c r="W111" s="350"/>
      <c r="X111" s="351"/>
      <c r="Y111" s="412"/>
      <c r="Z111" s="351"/>
      <c r="AA111" s="412"/>
      <c r="AB111" s="350"/>
      <c r="AC111" s="350"/>
      <c r="AD111" s="351"/>
      <c r="AE111" s="412"/>
      <c r="AF111" s="350"/>
      <c r="AG111" s="351"/>
      <c r="AH111" s="412"/>
      <c r="AI111" s="350"/>
      <c r="AJ111" s="351"/>
      <c r="AK111" s="412"/>
      <c r="AL111" s="350"/>
      <c r="AM111" s="350"/>
      <c r="AN111" s="351"/>
      <c r="AO111" s="412"/>
      <c r="AP111" s="350"/>
      <c r="AQ111" s="350"/>
      <c r="AR111" s="350"/>
      <c r="AS111" s="350"/>
      <c r="AT111" s="350"/>
      <c r="AU111" s="350"/>
      <c r="AV111" s="351"/>
      <c r="AW111" s="723"/>
      <c r="AX111" s="350"/>
      <c r="AY111" s="351"/>
      <c r="AZ111" s="412"/>
      <c r="BA111" s="350"/>
      <c r="BB111" s="350"/>
      <c r="BC111" s="350"/>
      <c r="BD111" s="350"/>
      <c r="BE111" s="350"/>
      <c r="BF111" s="350"/>
      <c r="BG111" s="350"/>
      <c r="BH111" s="350"/>
      <c r="BI111" s="350"/>
      <c r="BJ111" s="350"/>
      <c r="BK111" s="350"/>
      <c r="BL111" s="350"/>
      <c r="BM111" s="350"/>
      <c r="BN111" s="350"/>
      <c r="BO111" s="351"/>
    </row>
    <row r="112" spans="1:67" ht="34.5" customHeight="1">
      <c r="A112" s="98">
        <f t="shared" si="0"/>
        <v>100</v>
      </c>
      <c r="B112" s="416" t="s">
        <v>325</v>
      </c>
      <c r="C112" s="351"/>
      <c r="D112" s="594"/>
      <c r="E112" s="350"/>
      <c r="F112" s="350"/>
      <c r="G112" s="350"/>
      <c r="H112" s="351"/>
      <c r="I112" s="368"/>
      <c r="J112" s="350"/>
      <c r="K112" s="350"/>
      <c r="L112" s="350"/>
      <c r="M112" s="350"/>
      <c r="N112" s="350"/>
      <c r="O112" s="350"/>
      <c r="P112" s="351"/>
      <c r="Q112" s="511"/>
      <c r="R112" s="350"/>
      <c r="S112" s="350"/>
      <c r="T112" s="350"/>
      <c r="U112" s="350"/>
      <c r="V112" s="350"/>
      <c r="W112" s="350"/>
      <c r="X112" s="351"/>
      <c r="Y112" s="368"/>
      <c r="Z112" s="351"/>
      <c r="AA112" s="511"/>
      <c r="AB112" s="350"/>
      <c r="AC112" s="350"/>
      <c r="AD112" s="351"/>
      <c r="AE112" s="368"/>
      <c r="AF112" s="350"/>
      <c r="AG112" s="351"/>
      <c r="AH112" s="511"/>
      <c r="AI112" s="350"/>
      <c r="AJ112" s="351"/>
      <c r="AK112" s="368"/>
      <c r="AL112" s="350"/>
      <c r="AM112" s="350"/>
      <c r="AN112" s="351"/>
      <c r="AO112" s="511"/>
      <c r="AP112" s="350"/>
      <c r="AQ112" s="350"/>
      <c r="AR112" s="350"/>
      <c r="AS112" s="350"/>
      <c r="AT112" s="350"/>
      <c r="AU112" s="350"/>
      <c r="AV112" s="351"/>
      <c r="AW112" s="725"/>
      <c r="AX112" s="350"/>
      <c r="AY112" s="351"/>
      <c r="AZ112" s="511"/>
      <c r="BA112" s="350"/>
      <c r="BB112" s="350"/>
      <c r="BC112" s="350"/>
      <c r="BD112" s="350"/>
      <c r="BE112" s="350"/>
      <c r="BF112" s="350"/>
      <c r="BG112" s="350"/>
      <c r="BH112" s="350"/>
      <c r="BI112" s="350"/>
      <c r="BJ112" s="350"/>
      <c r="BK112" s="350"/>
      <c r="BL112" s="350"/>
      <c r="BM112" s="350"/>
      <c r="BN112" s="350"/>
      <c r="BO112" s="351"/>
    </row>
    <row r="113" spans="1:67" ht="34.5" customHeight="1">
      <c r="A113" s="98">
        <f t="shared" si="0"/>
        <v>101</v>
      </c>
      <c r="B113" s="416" t="s">
        <v>325</v>
      </c>
      <c r="C113" s="351"/>
      <c r="D113" s="724"/>
      <c r="E113" s="350"/>
      <c r="F113" s="350"/>
      <c r="G113" s="350"/>
      <c r="H113" s="351"/>
      <c r="I113" s="412"/>
      <c r="J113" s="350"/>
      <c r="K113" s="350"/>
      <c r="L113" s="350"/>
      <c r="M113" s="350"/>
      <c r="N113" s="350"/>
      <c r="O113" s="350"/>
      <c r="P113" s="351"/>
      <c r="Q113" s="412"/>
      <c r="R113" s="350"/>
      <c r="S113" s="350"/>
      <c r="T113" s="350"/>
      <c r="U113" s="350"/>
      <c r="V113" s="350"/>
      <c r="W113" s="350"/>
      <c r="X113" s="351"/>
      <c r="Y113" s="412"/>
      <c r="Z113" s="351"/>
      <c r="AA113" s="412"/>
      <c r="AB113" s="350"/>
      <c r="AC113" s="350"/>
      <c r="AD113" s="351"/>
      <c r="AE113" s="412"/>
      <c r="AF113" s="350"/>
      <c r="AG113" s="351"/>
      <c r="AH113" s="412"/>
      <c r="AI113" s="350"/>
      <c r="AJ113" s="351"/>
      <c r="AK113" s="412"/>
      <c r="AL113" s="350"/>
      <c r="AM113" s="350"/>
      <c r="AN113" s="351"/>
      <c r="AO113" s="412"/>
      <c r="AP113" s="350"/>
      <c r="AQ113" s="350"/>
      <c r="AR113" s="350"/>
      <c r="AS113" s="350"/>
      <c r="AT113" s="350"/>
      <c r="AU113" s="350"/>
      <c r="AV113" s="351"/>
      <c r="AW113" s="723"/>
      <c r="AX113" s="350"/>
      <c r="AY113" s="351"/>
      <c r="AZ113" s="412"/>
      <c r="BA113" s="350"/>
      <c r="BB113" s="350"/>
      <c r="BC113" s="350"/>
      <c r="BD113" s="350"/>
      <c r="BE113" s="350"/>
      <c r="BF113" s="350"/>
      <c r="BG113" s="350"/>
      <c r="BH113" s="350"/>
      <c r="BI113" s="350"/>
      <c r="BJ113" s="350"/>
      <c r="BK113" s="350"/>
      <c r="BL113" s="350"/>
      <c r="BM113" s="350"/>
      <c r="BN113" s="350"/>
      <c r="BO113" s="351"/>
    </row>
    <row r="114" spans="1:67" ht="34.5" customHeight="1">
      <c r="A114" s="98">
        <f t="shared" si="0"/>
        <v>102</v>
      </c>
      <c r="B114" s="416" t="s">
        <v>325</v>
      </c>
      <c r="C114" s="351"/>
      <c r="D114" s="594"/>
      <c r="E114" s="350"/>
      <c r="F114" s="350"/>
      <c r="G114" s="350"/>
      <c r="H114" s="351"/>
      <c r="I114" s="368"/>
      <c r="J114" s="350"/>
      <c r="K114" s="350"/>
      <c r="L114" s="350"/>
      <c r="M114" s="350"/>
      <c r="N114" s="350"/>
      <c r="O114" s="350"/>
      <c r="P114" s="351"/>
      <c r="Q114" s="511"/>
      <c r="R114" s="350"/>
      <c r="S114" s="350"/>
      <c r="T114" s="350"/>
      <c r="U114" s="350"/>
      <c r="V114" s="350"/>
      <c r="W114" s="350"/>
      <c r="X114" s="351"/>
      <c r="Y114" s="368"/>
      <c r="Z114" s="351"/>
      <c r="AA114" s="511"/>
      <c r="AB114" s="350"/>
      <c r="AC114" s="350"/>
      <c r="AD114" s="351"/>
      <c r="AE114" s="368"/>
      <c r="AF114" s="350"/>
      <c r="AG114" s="351"/>
      <c r="AH114" s="511"/>
      <c r="AI114" s="350"/>
      <c r="AJ114" s="351"/>
      <c r="AK114" s="368"/>
      <c r="AL114" s="350"/>
      <c r="AM114" s="350"/>
      <c r="AN114" s="351"/>
      <c r="AO114" s="511"/>
      <c r="AP114" s="350"/>
      <c r="AQ114" s="350"/>
      <c r="AR114" s="350"/>
      <c r="AS114" s="350"/>
      <c r="AT114" s="350"/>
      <c r="AU114" s="350"/>
      <c r="AV114" s="351"/>
      <c r="AW114" s="725"/>
      <c r="AX114" s="350"/>
      <c r="AY114" s="351"/>
      <c r="AZ114" s="511"/>
      <c r="BA114" s="350"/>
      <c r="BB114" s="350"/>
      <c r="BC114" s="350"/>
      <c r="BD114" s="350"/>
      <c r="BE114" s="350"/>
      <c r="BF114" s="350"/>
      <c r="BG114" s="350"/>
      <c r="BH114" s="350"/>
      <c r="BI114" s="350"/>
      <c r="BJ114" s="350"/>
      <c r="BK114" s="350"/>
      <c r="BL114" s="350"/>
      <c r="BM114" s="350"/>
      <c r="BN114" s="350"/>
      <c r="BO114" s="351"/>
    </row>
    <row r="115" spans="1:67" ht="34.5" customHeight="1">
      <c r="A115" s="98">
        <f t="shared" si="0"/>
        <v>103</v>
      </c>
      <c r="B115" s="416" t="s">
        <v>325</v>
      </c>
      <c r="C115" s="351"/>
      <c r="D115" s="724"/>
      <c r="E115" s="350"/>
      <c r="F115" s="350"/>
      <c r="G115" s="350"/>
      <c r="H115" s="351"/>
      <c r="I115" s="412"/>
      <c r="J115" s="350"/>
      <c r="K115" s="350"/>
      <c r="L115" s="350"/>
      <c r="M115" s="350"/>
      <c r="N115" s="350"/>
      <c r="O115" s="350"/>
      <c r="P115" s="351"/>
      <c r="Q115" s="412"/>
      <c r="R115" s="350"/>
      <c r="S115" s="350"/>
      <c r="T115" s="350"/>
      <c r="U115" s="350"/>
      <c r="V115" s="350"/>
      <c r="W115" s="350"/>
      <c r="X115" s="351"/>
      <c r="Y115" s="412"/>
      <c r="Z115" s="351"/>
      <c r="AA115" s="412"/>
      <c r="AB115" s="350"/>
      <c r="AC115" s="350"/>
      <c r="AD115" s="351"/>
      <c r="AE115" s="412"/>
      <c r="AF115" s="350"/>
      <c r="AG115" s="351"/>
      <c r="AH115" s="412"/>
      <c r="AI115" s="350"/>
      <c r="AJ115" s="351"/>
      <c r="AK115" s="412"/>
      <c r="AL115" s="350"/>
      <c r="AM115" s="350"/>
      <c r="AN115" s="351"/>
      <c r="AO115" s="412"/>
      <c r="AP115" s="350"/>
      <c r="AQ115" s="350"/>
      <c r="AR115" s="350"/>
      <c r="AS115" s="350"/>
      <c r="AT115" s="350"/>
      <c r="AU115" s="350"/>
      <c r="AV115" s="351"/>
      <c r="AW115" s="723"/>
      <c r="AX115" s="350"/>
      <c r="AY115" s="351"/>
      <c r="AZ115" s="412"/>
      <c r="BA115" s="350"/>
      <c r="BB115" s="350"/>
      <c r="BC115" s="350"/>
      <c r="BD115" s="350"/>
      <c r="BE115" s="350"/>
      <c r="BF115" s="350"/>
      <c r="BG115" s="350"/>
      <c r="BH115" s="350"/>
      <c r="BI115" s="350"/>
      <c r="BJ115" s="350"/>
      <c r="BK115" s="350"/>
      <c r="BL115" s="350"/>
      <c r="BM115" s="350"/>
      <c r="BN115" s="350"/>
      <c r="BO115" s="351"/>
    </row>
    <row r="116" spans="1:67" ht="34.5" customHeight="1">
      <c r="A116" s="98">
        <f t="shared" si="0"/>
        <v>104</v>
      </c>
      <c r="B116" s="416" t="s">
        <v>325</v>
      </c>
      <c r="C116" s="351"/>
      <c r="D116" s="594"/>
      <c r="E116" s="350"/>
      <c r="F116" s="350"/>
      <c r="G116" s="350"/>
      <c r="H116" s="351"/>
      <c r="I116" s="368"/>
      <c r="J116" s="350"/>
      <c r="K116" s="350"/>
      <c r="L116" s="350"/>
      <c r="M116" s="350"/>
      <c r="N116" s="350"/>
      <c r="O116" s="350"/>
      <c r="P116" s="351"/>
      <c r="Q116" s="511"/>
      <c r="R116" s="350"/>
      <c r="S116" s="350"/>
      <c r="T116" s="350"/>
      <c r="U116" s="350"/>
      <c r="V116" s="350"/>
      <c r="W116" s="350"/>
      <c r="X116" s="351"/>
      <c r="Y116" s="368"/>
      <c r="Z116" s="351"/>
      <c r="AA116" s="511"/>
      <c r="AB116" s="350"/>
      <c r="AC116" s="350"/>
      <c r="AD116" s="351"/>
      <c r="AE116" s="368"/>
      <c r="AF116" s="350"/>
      <c r="AG116" s="351"/>
      <c r="AH116" s="511"/>
      <c r="AI116" s="350"/>
      <c r="AJ116" s="351"/>
      <c r="AK116" s="368"/>
      <c r="AL116" s="350"/>
      <c r="AM116" s="350"/>
      <c r="AN116" s="351"/>
      <c r="AO116" s="511"/>
      <c r="AP116" s="350"/>
      <c r="AQ116" s="350"/>
      <c r="AR116" s="350"/>
      <c r="AS116" s="350"/>
      <c r="AT116" s="350"/>
      <c r="AU116" s="350"/>
      <c r="AV116" s="351"/>
      <c r="AW116" s="725"/>
      <c r="AX116" s="350"/>
      <c r="AY116" s="351"/>
      <c r="AZ116" s="511"/>
      <c r="BA116" s="350"/>
      <c r="BB116" s="350"/>
      <c r="BC116" s="350"/>
      <c r="BD116" s="350"/>
      <c r="BE116" s="350"/>
      <c r="BF116" s="350"/>
      <c r="BG116" s="350"/>
      <c r="BH116" s="350"/>
      <c r="BI116" s="350"/>
      <c r="BJ116" s="350"/>
      <c r="BK116" s="350"/>
      <c r="BL116" s="350"/>
      <c r="BM116" s="350"/>
      <c r="BN116" s="350"/>
      <c r="BO116" s="351"/>
    </row>
    <row r="117" spans="1:67" ht="34.5" customHeight="1">
      <c r="A117" s="98">
        <f t="shared" si="0"/>
        <v>105</v>
      </c>
      <c r="B117" s="416" t="s">
        <v>325</v>
      </c>
      <c r="C117" s="351"/>
      <c r="D117" s="724"/>
      <c r="E117" s="350"/>
      <c r="F117" s="350"/>
      <c r="G117" s="350"/>
      <c r="H117" s="351"/>
      <c r="I117" s="412"/>
      <c r="J117" s="350"/>
      <c r="K117" s="350"/>
      <c r="L117" s="350"/>
      <c r="M117" s="350"/>
      <c r="N117" s="350"/>
      <c r="O117" s="350"/>
      <c r="P117" s="351"/>
      <c r="Q117" s="412"/>
      <c r="R117" s="350"/>
      <c r="S117" s="350"/>
      <c r="T117" s="350"/>
      <c r="U117" s="350"/>
      <c r="V117" s="350"/>
      <c r="W117" s="350"/>
      <c r="X117" s="351"/>
      <c r="Y117" s="412"/>
      <c r="Z117" s="351"/>
      <c r="AA117" s="412"/>
      <c r="AB117" s="350"/>
      <c r="AC117" s="350"/>
      <c r="AD117" s="351"/>
      <c r="AE117" s="412"/>
      <c r="AF117" s="350"/>
      <c r="AG117" s="351"/>
      <c r="AH117" s="412"/>
      <c r="AI117" s="350"/>
      <c r="AJ117" s="351"/>
      <c r="AK117" s="412"/>
      <c r="AL117" s="350"/>
      <c r="AM117" s="350"/>
      <c r="AN117" s="351"/>
      <c r="AO117" s="412"/>
      <c r="AP117" s="350"/>
      <c r="AQ117" s="350"/>
      <c r="AR117" s="350"/>
      <c r="AS117" s="350"/>
      <c r="AT117" s="350"/>
      <c r="AU117" s="350"/>
      <c r="AV117" s="351"/>
      <c r="AW117" s="723"/>
      <c r="AX117" s="350"/>
      <c r="AY117" s="351"/>
      <c r="AZ117" s="412"/>
      <c r="BA117" s="350"/>
      <c r="BB117" s="350"/>
      <c r="BC117" s="350"/>
      <c r="BD117" s="350"/>
      <c r="BE117" s="350"/>
      <c r="BF117" s="350"/>
      <c r="BG117" s="350"/>
      <c r="BH117" s="350"/>
      <c r="BI117" s="350"/>
      <c r="BJ117" s="350"/>
      <c r="BK117" s="350"/>
      <c r="BL117" s="350"/>
      <c r="BM117" s="350"/>
      <c r="BN117" s="350"/>
      <c r="BO117" s="351"/>
    </row>
    <row r="118" spans="1:67" ht="34.5" customHeight="1">
      <c r="A118" s="98">
        <f t="shared" si="0"/>
        <v>106</v>
      </c>
      <c r="B118" s="416" t="s">
        <v>325</v>
      </c>
      <c r="C118" s="351"/>
      <c r="D118" s="594"/>
      <c r="E118" s="350"/>
      <c r="F118" s="350"/>
      <c r="G118" s="350"/>
      <c r="H118" s="351"/>
      <c r="I118" s="368"/>
      <c r="J118" s="350"/>
      <c r="K118" s="350"/>
      <c r="L118" s="350"/>
      <c r="M118" s="350"/>
      <c r="N118" s="350"/>
      <c r="O118" s="350"/>
      <c r="P118" s="351"/>
      <c r="Q118" s="511"/>
      <c r="R118" s="350"/>
      <c r="S118" s="350"/>
      <c r="T118" s="350"/>
      <c r="U118" s="350"/>
      <c r="V118" s="350"/>
      <c r="W118" s="350"/>
      <c r="X118" s="351"/>
      <c r="Y118" s="368"/>
      <c r="Z118" s="351"/>
      <c r="AA118" s="511"/>
      <c r="AB118" s="350"/>
      <c r="AC118" s="350"/>
      <c r="AD118" s="351"/>
      <c r="AE118" s="368"/>
      <c r="AF118" s="350"/>
      <c r="AG118" s="351"/>
      <c r="AH118" s="511"/>
      <c r="AI118" s="350"/>
      <c r="AJ118" s="351"/>
      <c r="AK118" s="368"/>
      <c r="AL118" s="350"/>
      <c r="AM118" s="350"/>
      <c r="AN118" s="351"/>
      <c r="AO118" s="511"/>
      <c r="AP118" s="350"/>
      <c r="AQ118" s="350"/>
      <c r="AR118" s="350"/>
      <c r="AS118" s="350"/>
      <c r="AT118" s="350"/>
      <c r="AU118" s="350"/>
      <c r="AV118" s="351"/>
      <c r="AW118" s="725"/>
      <c r="AX118" s="350"/>
      <c r="AY118" s="351"/>
      <c r="AZ118" s="511"/>
      <c r="BA118" s="350"/>
      <c r="BB118" s="350"/>
      <c r="BC118" s="350"/>
      <c r="BD118" s="350"/>
      <c r="BE118" s="350"/>
      <c r="BF118" s="350"/>
      <c r="BG118" s="350"/>
      <c r="BH118" s="350"/>
      <c r="BI118" s="350"/>
      <c r="BJ118" s="350"/>
      <c r="BK118" s="350"/>
      <c r="BL118" s="350"/>
      <c r="BM118" s="350"/>
      <c r="BN118" s="350"/>
      <c r="BO118" s="351"/>
    </row>
    <row r="119" spans="1:67" ht="34.5" customHeight="1">
      <c r="A119" s="98">
        <f t="shared" si="0"/>
        <v>107</v>
      </c>
      <c r="B119" s="416" t="s">
        <v>325</v>
      </c>
      <c r="C119" s="351"/>
      <c r="D119" s="724"/>
      <c r="E119" s="350"/>
      <c r="F119" s="350"/>
      <c r="G119" s="350"/>
      <c r="H119" s="351"/>
      <c r="I119" s="412"/>
      <c r="J119" s="350"/>
      <c r="K119" s="350"/>
      <c r="L119" s="350"/>
      <c r="M119" s="350"/>
      <c r="N119" s="350"/>
      <c r="O119" s="350"/>
      <c r="P119" s="351"/>
      <c r="Q119" s="412"/>
      <c r="R119" s="350"/>
      <c r="S119" s="350"/>
      <c r="T119" s="350"/>
      <c r="U119" s="350"/>
      <c r="V119" s="350"/>
      <c r="W119" s="350"/>
      <c r="X119" s="351"/>
      <c r="Y119" s="412"/>
      <c r="Z119" s="351"/>
      <c r="AA119" s="412"/>
      <c r="AB119" s="350"/>
      <c r="AC119" s="350"/>
      <c r="AD119" s="351"/>
      <c r="AE119" s="412"/>
      <c r="AF119" s="350"/>
      <c r="AG119" s="351"/>
      <c r="AH119" s="412"/>
      <c r="AI119" s="350"/>
      <c r="AJ119" s="351"/>
      <c r="AK119" s="412"/>
      <c r="AL119" s="350"/>
      <c r="AM119" s="350"/>
      <c r="AN119" s="351"/>
      <c r="AO119" s="412"/>
      <c r="AP119" s="350"/>
      <c r="AQ119" s="350"/>
      <c r="AR119" s="350"/>
      <c r="AS119" s="350"/>
      <c r="AT119" s="350"/>
      <c r="AU119" s="350"/>
      <c r="AV119" s="351"/>
      <c r="AW119" s="723"/>
      <c r="AX119" s="350"/>
      <c r="AY119" s="351"/>
      <c r="AZ119" s="412"/>
      <c r="BA119" s="350"/>
      <c r="BB119" s="350"/>
      <c r="BC119" s="350"/>
      <c r="BD119" s="350"/>
      <c r="BE119" s="350"/>
      <c r="BF119" s="350"/>
      <c r="BG119" s="350"/>
      <c r="BH119" s="350"/>
      <c r="BI119" s="350"/>
      <c r="BJ119" s="350"/>
      <c r="BK119" s="350"/>
      <c r="BL119" s="350"/>
      <c r="BM119" s="350"/>
      <c r="BN119" s="350"/>
      <c r="BO119" s="351"/>
    </row>
    <row r="120" spans="1:67" ht="34.5" customHeight="1">
      <c r="A120" s="98">
        <f t="shared" si="0"/>
        <v>108</v>
      </c>
      <c r="B120" s="416" t="s">
        <v>325</v>
      </c>
      <c r="C120" s="351"/>
      <c r="D120" s="594"/>
      <c r="E120" s="350"/>
      <c r="F120" s="350"/>
      <c r="G120" s="350"/>
      <c r="H120" s="351"/>
      <c r="I120" s="368"/>
      <c r="J120" s="350"/>
      <c r="K120" s="350"/>
      <c r="L120" s="350"/>
      <c r="M120" s="350"/>
      <c r="N120" s="350"/>
      <c r="O120" s="350"/>
      <c r="P120" s="351"/>
      <c r="Q120" s="511"/>
      <c r="R120" s="350"/>
      <c r="S120" s="350"/>
      <c r="T120" s="350"/>
      <c r="U120" s="350"/>
      <c r="V120" s="350"/>
      <c r="W120" s="350"/>
      <c r="X120" s="351"/>
      <c r="Y120" s="368"/>
      <c r="Z120" s="351"/>
      <c r="AA120" s="511"/>
      <c r="AB120" s="350"/>
      <c r="AC120" s="350"/>
      <c r="AD120" s="351"/>
      <c r="AE120" s="368"/>
      <c r="AF120" s="350"/>
      <c r="AG120" s="351"/>
      <c r="AH120" s="511"/>
      <c r="AI120" s="350"/>
      <c r="AJ120" s="351"/>
      <c r="AK120" s="368"/>
      <c r="AL120" s="350"/>
      <c r="AM120" s="350"/>
      <c r="AN120" s="351"/>
      <c r="AO120" s="511"/>
      <c r="AP120" s="350"/>
      <c r="AQ120" s="350"/>
      <c r="AR120" s="350"/>
      <c r="AS120" s="350"/>
      <c r="AT120" s="350"/>
      <c r="AU120" s="350"/>
      <c r="AV120" s="351"/>
      <c r="AW120" s="725"/>
      <c r="AX120" s="350"/>
      <c r="AY120" s="351"/>
      <c r="AZ120" s="511"/>
      <c r="BA120" s="350"/>
      <c r="BB120" s="350"/>
      <c r="BC120" s="350"/>
      <c r="BD120" s="350"/>
      <c r="BE120" s="350"/>
      <c r="BF120" s="350"/>
      <c r="BG120" s="350"/>
      <c r="BH120" s="350"/>
      <c r="BI120" s="350"/>
      <c r="BJ120" s="350"/>
      <c r="BK120" s="350"/>
      <c r="BL120" s="350"/>
      <c r="BM120" s="350"/>
      <c r="BN120" s="350"/>
      <c r="BO120" s="351"/>
    </row>
    <row r="121" spans="1:67" ht="34.5" customHeight="1">
      <c r="A121" s="98">
        <f t="shared" si="0"/>
        <v>109</v>
      </c>
      <c r="B121" s="416" t="s">
        <v>325</v>
      </c>
      <c r="C121" s="351"/>
      <c r="D121" s="724"/>
      <c r="E121" s="350"/>
      <c r="F121" s="350"/>
      <c r="G121" s="350"/>
      <c r="H121" s="351"/>
      <c r="I121" s="412"/>
      <c r="J121" s="350"/>
      <c r="K121" s="350"/>
      <c r="L121" s="350"/>
      <c r="M121" s="350"/>
      <c r="N121" s="350"/>
      <c r="O121" s="350"/>
      <c r="P121" s="351"/>
      <c r="Q121" s="412"/>
      <c r="R121" s="350"/>
      <c r="S121" s="350"/>
      <c r="T121" s="350"/>
      <c r="U121" s="350"/>
      <c r="V121" s="350"/>
      <c r="W121" s="350"/>
      <c r="X121" s="351"/>
      <c r="Y121" s="412"/>
      <c r="Z121" s="351"/>
      <c r="AA121" s="412"/>
      <c r="AB121" s="350"/>
      <c r="AC121" s="350"/>
      <c r="AD121" s="351"/>
      <c r="AE121" s="412"/>
      <c r="AF121" s="350"/>
      <c r="AG121" s="351"/>
      <c r="AH121" s="412"/>
      <c r="AI121" s="350"/>
      <c r="AJ121" s="351"/>
      <c r="AK121" s="412"/>
      <c r="AL121" s="350"/>
      <c r="AM121" s="350"/>
      <c r="AN121" s="351"/>
      <c r="AO121" s="412"/>
      <c r="AP121" s="350"/>
      <c r="AQ121" s="350"/>
      <c r="AR121" s="350"/>
      <c r="AS121" s="350"/>
      <c r="AT121" s="350"/>
      <c r="AU121" s="350"/>
      <c r="AV121" s="351"/>
      <c r="AW121" s="723"/>
      <c r="AX121" s="350"/>
      <c r="AY121" s="351"/>
      <c r="AZ121" s="412"/>
      <c r="BA121" s="350"/>
      <c r="BB121" s="350"/>
      <c r="BC121" s="350"/>
      <c r="BD121" s="350"/>
      <c r="BE121" s="350"/>
      <c r="BF121" s="350"/>
      <c r="BG121" s="350"/>
      <c r="BH121" s="350"/>
      <c r="BI121" s="350"/>
      <c r="BJ121" s="350"/>
      <c r="BK121" s="350"/>
      <c r="BL121" s="350"/>
      <c r="BM121" s="350"/>
      <c r="BN121" s="350"/>
      <c r="BO121" s="351"/>
    </row>
    <row r="122" spans="1:67" ht="34.5" customHeight="1">
      <c r="A122" s="98">
        <f t="shared" si="0"/>
        <v>110</v>
      </c>
      <c r="B122" s="726" t="s">
        <v>325</v>
      </c>
      <c r="C122" s="351"/>
      <c r="D122" s="594"/>
      <c r="E122" s="350"/>
      <c r="F122" s="350"/>
      <c r="G122" s="350"/>
      <c r="H122" s="351"/>
      <c r="I122" s="368"/>
      <c r="J122" s="350"/>
      <c r="K122" s="350"/>
      <c r="L122" s="350"/>
      <c r="M122" s="350"/>
      <c r="N122" s="350"/>
      <c r="O122" s="350"/>
      <c r="P122" s="351"/>
      <c r="Q122" s="511"/>
      <c r="R122" s="350"/>
      <c r="S122" s="350"/>
      <c r="T122" s="350"/>
      <c r="U122" s="350"/>
      <c r="V122" s="350"/>
      <c r="W122" s="350"/>
      <c r="X122" s="351"/>
      <c r="Y122" s="368"/>
      <c r="Z122" s="351"/>
      <c r="AA122" s="511"/>
      <c r="AB122" s="350"/>
      <c r="AC122" s="350"/>
      <c r="AD122" s="351"/>
      <c r="AE122" s="368"/>
      <c r="AF122" s="350"/>
      <c r="AG122" s="351"/>
      <c r="AH122" s="511"/>
      <c r="AI122" s="350"/>
      <c r="AJ122" s="351"/>
      <c r="AK122" s="368"/>
      <c r="AL122" s="350"/>
      <c r="AM122" s="350"/>
      <c r="AN122" s="351"/>
      <c r="AO122" s="511"/>
      <c r="AP122" s="350"/>
      <c r="AQ122" s="350"/>
      <c r="AR122" s="350"/>
      <c r="AS122" s="350"/>
      <c r="AT122" s="350"/>
      <c r="AU122" s="350"/>
      <c r="AV122" s="351"/>
      <c r="AW122" s="725"/>
      <c r="AX122" s="350"/>
      <c r="AY122" s="351"/>
      <c r="AZ122" s="511"/>
      <c r="BA122" s="350"/>
      <c r="BB122" s="350"/>
      <c r="BC122" s="350"/>
      <c r="BD122" s="350"/>
      <c r="BE122" s="350"/>
      <c r="BF122" s="350"/>
      <c r="BG122" s="350"/>
      <c r="BH122" s="350"/>
      <c r="BI122" s="350"/>
      <c r="BJ122" s="350"/>
      <c r="BK122" s="350"/>
      <c r="BL122" s="350"/>
      <c r="BM122" s="350"/>
      <c r="BN122" s="350"/>
      <c r="BO122" s="351"/>
    </row>
    <row r="123" spans="1:67" ht="34.5" customHeight="1">
      <c r="A123" s="98">
        <f t="shared" si="0"/>
        <v>111</v>
      </c>
      <c r="B123" s="416" t="s">
        <v>325</v>
      </c>
      <c r="C123" s="351"/>
      <c r="D123" s="724"/>
      <c r="E123" s="350"/>
      <c r="F123" s="350"/>
      <c r="G123" s="350"/>
      <c r="H123" s="351"/>
      <c r="I123" s="412"/>
      <c r="J123" s="350"/>
      <c r="K123" s="350"/>
      <c r="L123" s="350"/>
      <c r="M123" s="350"/>
      <c r="N123" s="350"/>
      <c r="O123" s="350"/>
      <c r="P123" s="351"/>
      <c r="Q123" s="412"/>
      <c r="R123" s="350"/>
      <c r="S123" s="350"/>
      <c r="T123" s="350"/>
      <c r="U123" s="350"/>
      <c r="V123" s="350"/>
      <c r="W123" s="350"/>
      <c r="X123" s="351"/>
      <c r="Y123" s="412"/>
      <c r="Z123" s="351"/>
      <c r="AA123" s="412"/>
      <c r="AB123" s="350"/>
      <c r="AC123" s="350"/>
      <c r="AD123" s="351"/>
      <c r="AE123" s="412"/>
      <c r="AF123" s="350"/>
      <c r="AG123" s="351"/>
      <c r="AH123" s="412"/>
      <c r="AI123" s="350"/>
      <c r="AJ123" s="351"/>
      <c r="AK123" s="412"/>
      <c r="AL123" s="350"/>
      <c r="AM123" s="350"/>
      <c r="AN123" s="351"/>
      <c r="AO123" s="412"/>
      <c r="AP123" s="350"/>
      <c r="AQ123" s="350"/>
      <c r="AR123" s="350"/>
      <c r="AS123" s="350"/>
      <c r="AT123" s="350"/>
      <c r="AU123" s="350"/>
      <c r="AV123" s="351"/>
      <c r="AW123" s="723"/>
      <c r="AX123" s="350"/>
      <c r="AY123" s="351"/>
      <c r="AZ123" s="412"/>
      <c r="BA123" s="350"/>
      <c r="BB123" s="350"/>
      <c r="BC123" s="350"/>
      <c r="BD123" s="350"/>
      <c r="BE123" s="350"/>
      <c r="BF123" s="350"/>
      <c r="BG123" s="350"/>
      <c r="BH123" s="350"/>
      <c r="BI123" s="350"/>
      <c r="BJ123" s="350"/>
      <c r="BK123" s="350"/>
      <c r="BL123" s="350"/>
      <c r="BM123" s="350"/>
      <c r="BN123" s="350"/>
      <c r="BO123" s="351"/>
    </row>
    <row r="124" spans="1:67" ht="34.5" customHeight="1">
      <c r="A124" s="98">
        <f t="shared" si="0"/>
        <v>112</v>
      </c>
      <c r="B124" s="416" t="s">
        <v>325</v>
      </c>
      <c r="C124" s="351"/>
      <c r="D124" s="594"/>
      <c r="E124" s="350"/>
      <c r="F124" s="350"/>
      <c r="G124" s="350"/>
      <c r="H124" s="351"/>
      <c r="I124" s="368"/>
      <c r="J124" s="350"/>
      <c r="K124" s="350"/>
      <c r="L124" s="350"/>
      <c r="M124" s="350"/>
      <c r="N124" s="350"/>
      <c r="O124" s="350"/>
      <c r="P124" s="351"/>
      <c r="Q124" s="511"/>
      <c r="R124" s="350"/>
      <c r="S124" s="350"/>
      <c r="T124" s="350"/>
      <c r="U124" s="350"/>
      <c r="V124" s="350"/>
      <c r="W124" s="350"/>
      <c r="X124" s="351"/>
      <c r="Y124" s="368"/>
      <c r="Z124" s="351"/>
      <c r="AA124" s="511"/>
      <c r="AB124" s="350"/>
      <c r="AC124" s="350"/>
      <c r="AD124" s="351"/>
      <c r="AE124" s="368"/>
      <c r="AF124" s="350"/>
      <c r="AG124" s="351"/>
      <c r="AH124" s="511"/>
      <c r="AI124" s="350"/>
      <c r="AJ124" s="351"/>
      <c r="AK124" s="368"/>
      <c r="AL124" s="350"/>
      <c r="AM124" s="350"/>
      <c r="AN124" s="351"/>
      <c r="AO124" s="511"/>
      <c r="AP124" s="350"/>
      <c r="AQ124" s="350"/>
      <c r="AR124" s="350"/>
      <c r="AS124" s="350"/>
      <c r="AT124" s="350"/>
      <c r="AU124" s="350"/>
      <c r="AV124" s="351"/>
      <c r="AW124" s="725"/>
      <c r="AX124" s="350"/>
      <c r="AY124" s="351"/>
      <c r="AZ124" s="511"/>
      <c r="BA124" s="350"/>
      <c r="BB124" s="350"/>
      <c r="BC124" s="350"/>
      <c r="BD124" s="350"/>
      <c r="BE124" s="350"/>
      <c r="BF124" s="350"/>
      <c r="BG124" s="350"/>
      <c r="BH124" s="350"/>
      <c r="BI124" s="350"/>
      <c r="BJ124" s="350"/>
      <c r="BK124" s="350"/>
      <c r="BL124" s="350"/>
      <c r="BM124" s="350"/>
      <c r="BN124" s="350"/>
      <c r="BO124" s="351"/>
    </row>
    <row r="125" spans="1:67" ht="34.5" customHeight="1">
      <c r="A125" s="98">
        <f t="shared" si="0"/>
        <v>113</v>
      </c>
      <c r="B125" s="416" t="s">
        <v>325</v>
      </c>
      <c r="C125" s="351"/>
      <c r="D125" s="724"/>
      <c r="E125" s="350"/>
      <c r="F125" s="350"/>
      <c r="G125" s="350"/>
      <c r="H125" s="351"/>
      <c r="I125" s="412"/>
      <c r="J125" s="350"/>
      <c r="K125" s="350"/>
      <c r="L125" s="350"/>
      <c r="M125" s="350"/>
      <c r="N125" s="350"/>
      <c r="O125" s="350"/>
      <c r="P125" s="351"/>
      <c r="Q125" s="412"/>
      <c r="R125" s="350"/>
      <c r="S125" s="350"/>
      <c r="T125" s="350"/>
      <c r="U125" s="350"/>
      <c r="V125" s="350"/>
      <c r="W125" s="350"/>
      <c r="X125" s="351"/>
      <c r="Y125" s="412"/>
      <c r="Z125" s="351"/>
      <c r="AA125" s="412"/>
      <c r="AB125" s="350"/>
      <c r="AC125" s="350"/>
      <c r="AD125" s="351"/>
      <c r="AE125" s="412"/>
      <c r="AF125" s="350"/>
      <c r="AG125" s="351"/>
      <c r="AH125" s="412"/>
      <c r="AI125" s="350"/>
      <c r="AJ125" s="351"/>
      <c r="AK125" s="412"/>
      <c r="AL125" s="350"/>
      <c r="AM125" s="350"/>
      <c r="AN125" s="351"/>
      <c r="AO125" s="412"/>
      <c r="AP125" s="350"/>
      <c r="AQ125" s="350"/>
      <c r="AR125" s="350"/>
      <c r="AS125" s="350"/>
      <c r="AT125" s="350"/>
      <c r="AU125" s="350"/>
      <c r="AV125" s="351"/>
      <c r="AW125" s="723"/>
      <c r="AX125" s="350"/>
      <c r="AY125" s="351"/>
      <c r="AZ125" s="412"/>
      <c r="BA125" s="350"/>
      <c r="BB125" s="350"/>
      <c r="BC125" s="350"/>
      <c r="BD125" s="350"/>
      <c r="BE125" s="350"/>
      <c r="BF125" s="350"/>
      <c r="BG125" s="350"/>
      <c r="BH125" s="350"/>
      <c r="BI125" s="350"/>
      <c r="BJ125" s="350"/>
      <c r="BK125" s="350"/>
      <c r="BL125" s="350"/>
      <c r="BM125" s="350"/>
      <c r="BN125" s="350"/>
      <c r="BO125" s="351"/>
    </row>
    <row r="126" spans="1:67" ht="34.5" customHeight="1">
      <c r="A126" s="98">
        <f t="shared" si="0"/>
        <v>114</v>
      </c>
      <c r="B126" s="416" t="s">
        <v>325</v>
      </c>
      <c r="C126" s="351"/>
      <c r="D126" s="594"/>
      <c r="E126" s="350"/>
      <c r="F126" s="350"/>
      <c r="G126" s="350"/>
      <c r="H126" s="351"/>
      <c r="I126" s="368"/>
      <c r="J126" s="350"/>
      <c r="K126" s="350"/>
      <c r="L126" s="350"/>
      <c r="M126" s="350"/>
      <c r="N126" s="350"/>
      <c r="O126" s="350"/>
      <c r="P126" s="351"/>
      <c r="Q126" s="511"/>
      <c r="R126" s="350"/>
      <c r="S126" s="350"/>
      <c r="T126" s="350"/>
      <c r="U126" s="350"/>
      <c r="V126" s="350"/>
      <c r="W126" s="350"/>
      <c r="X126" s="351"/>
      <c r="Y126" s="368"/>
      <c r="Z126" s="351"/>
      <c r="AA126" s="511"/>
      <c r="AB126" s="350"/>
      <c r="AC126" s="350"/>
      <c r="AD126" s="351"/>
      <c r="AE126" s="368"/>
      <c r="AF126" s="350"/>
      <c r="AG126" s="351"/>
      <c r="AH126" s="511"/>
      <c r="AI126" s="350"/>
      <c r="AJ126" s="351"/>
      <c r="AK126" s="368"/>
      <c r="AL126" s="350"/>
      <c r="AM126" s="350"/>
      <c r="AN126" s="351"/>
      <c r="AO126" s="511"/>
      <c r="AP126" s="350"/>
      <c r="AQ126" s="350"/>
      <c r="AR126" s="350"/>
      <c r="AS126" s="350"/>
      <c r="AT126" s="350"/>
      <c r="AU126" s="350"/>
      <c r="AV126" s="351"/>
      <c r="AW126" s="725"/>
      <c r="AX126" s="350"/>
      <c r="AY126" s="351"/>
      <c r="AZ126" s="511"/>
      <c r="BA126" s="350"/>
      <c r="BB126" s="350"/>
      <c r="BC126" s="350"/>
      <c r="BD126" s="350"/>
      <c r="BE126" s="350"/>
      <c r="BF126" s="350"/>
      <c r="BG126" s="350"/>
      <c r="BH126" s="350"/>
      <c r="BI126" s="350"/>
      <c r="BJ126" s="350"/>
      <c r="BK126" s="350"/>
      <c r="BL126" s="350"/>
      <c r="BM126" s="350"/>
      <c r="BN126" s="350"/>
      <c r="BO126" s="351"/>
    </row>
    <row r="127" spans="1:67" ht="34.5" customHeight="1">
      <c r="A127" s="98">
        <f t="shared" si="0"/>
        <v>115</v>
      </c>
      <c r="B127" s="416" t="s">
        <v>325</v>
      </c>
      <c r="C127" s="351"/>
      <c r="D127" s="724"/>
      <c r="E127" s="350"/>
      <c r="F127" s="350"/>
      <c r="G127" s="350"/>
      <c r="H127" s="351"/>
      <c r="I127" s="412"/>
      <c r="J127" s="350"/>
      <c r="K127" s="350"/>
      <c r="L127" s="350"/>
      <c r="M127" s="350"/>
      <c r="N127" s="350"/>
      <c r="O127" s="350"/>
      <c r="P127" s="351"/>
      <c r="Q127" s="412"/>
      <c r="R127" s="350"/>
      <c r="S127" s="350"/>
      <c r="T127" s="350"/>
      <c r="U127" s="350"/>
      <c r="V127" s="350"/>
      <c r="W127" s="350"/>
      <c r="X127" s="351"/>
      <c r="Y127" s="412"/>
      <c r="Z127" s="351"/>
      <c r="AA127" s="412"/>
      <c r="AB127" s="350"/>
      <c r="AC127" s="350"/>
      <c r="AD127" s="351"/>
      <c r="AE127" s="412"/>
      <c r="AF127" s="350"/>
      <c r="AG127" s="351"/>
      <c r="AH127" s="412"/>
      <c r="AI127" s="350"/>
      <c r="AJ127" s="351"/>
      <c r="AK127" s="412"/>
      <c r="AL127" s="350"/>
      <c r="AM127" s="350"/>
      <c r="AN127" s="351"/>
      <c r="AO127" s="412"/>
      <c r="AP127" s="350"/>
      <c r="AQ127" s="350"/>
      <c r="AR127" s="350"/>
      <c r="AS127" s="350"/>
      <c r="AT127" s="350"/>
      <c r="AU127" s="350"/>
      <c r="AV127" s="351"/>
      <c r="AW127" s="723"/>
      <c r="AX127" s="350"/>
      <c r="AY127" s="351"/>
      <c r="AZ127" s="412"/>
      <c r="BA127" s="350"/>
      <c r="BB127" s="350"/>
      <c r="BC127" s="350"/>
      <c r="BD127" s="350"/>
      <c r="BE127" s="350"/>
      <c r="BF127" s="350"/>
      <c r="BG127" s="350"/>
      <c r="BH127" s="350"/>
      <c r="BI127" s="350"/>
      <c r="BJ127" s="350"/>
      <c r="BK127" s="350"/>
      <c r="BL127" s="350"/>
      <c r="BM127" s="350"/>
      <c r="BN127" s="350"/>
      <c r="BO127" s="351"/>
    </row>
    <row r="128" spans="1:67" ht="34.5" customHeight="1">
      <c r="A128" s="98">
        <f t="shared" si="0"/>
        <v>116</v>
      </c>
      <c r="B128" s="416" t="s">
        <v>325</v>
      </c>
      <c r="C128" s="351"/>
      <c r="D128" s="594"/>
      <c r="E128" s="350"/>
      <c r="F128" s="350"/>
      <c r="G128" s="350"/>
      <c r="H128" s="351"/>
      <c r="I128" s="368"/>
      <c r="J128" s="350"/>
      <c r="K128" s="350"/>
      <c r="L128" s="350"/>
      <c r="M128" s="350"/>
      <c r="N128" s="350"/>
      <c r="O128" s="350"/>
      <c r="P128" s="351"/>
      <c r="Q128" s="511"/>
      <c r="R128" s="350"/>
      <c r="S128" s="350"/>
      <c r="T128" s="350"/>
      <c r="U128" s="350"/>
      <c r="V128" s="350"/>
      <c r="W128" s="350"/>
      <c r="X128" s="351"/>
      <c r="Y128" s="368"/>
      <c r="Z128" s="351"/>
      <c r="AA128" s="511"/>
      <c r="AB128" s="350"/>
      <c r="AC128" s="350"/>
      <c r="AD128" s="351"/>
      <c r="AE128" s="368"/>
      <c r="AF128" s="350"/>
      <c r="AG128" s="351"/>
      <c r="AH128" s="511"/>
      <c r="AI128" s="350"/>
      <c r="AJ128" s="351"/>
      <c r="AK128" s="368"/>
      <c r="AL128" s="350"/>
      <c r="AM128" s="350"/>
      <c r="AN128" s="351"/>
      <c r="AO128" s="511"/>
      <c r="AP128" s="350"/>
      <c r="AQ128" s="350"/>
      <c r="AR128" s="350"/>
      <c r="AS128" s="350"/>
      <c r="AT128" s="350"/>
      <c r="AU128" s="350"/>
      <c r="AV128" s="351"/>
      <c r="AW128" s="725"/>
      <c r="AX128" s="350"/>
      <c r="AY128" s="351"/>
      <c r="AZ128" s="511"/>
      <c r="BA128" s="350"/>
      <c r="BB128" s="350"/>
      <c r="BC128" s="350"/>
      <c r="BD128" s="350"/>
      <c r="BE128" s="350"/>
      <c r="BF128" s="350"/>
      <c r="BG128" s="350"/>
      <c r="BH128" s="350"/>
      <c r="BI128" s="350"/>
      <c r="BJ128" s="350"/>
      <c r="BK128" s="350"/>
      <c r="BL128" s="350"/>
      <c r="BM128" s="350"/>
      <c r="BN128" s="350"/>
      <c r="BO128" s="351"/>
    </row>
    <row r="129" spans="1:67" ht="34.5" customHeight="1">
      <c r="A129" s="98">
        <f t="shared" si="0"/>
        <v>117</v>
      </c>
      <c r="B129" s="416" t="s">
        <v>325</v>
      </c>
      <c r="C129" s="351"/>
      <c r="D129" s="724"/>
      <c r="E129" s="350"/>
      <c r="F129" s="350"/>
      <c r="G129" s="350"/>
      <c r="H129" s="351"/>
      <c r="I129" s="412"/>
      <c r="J129" s="350"/>
      <c r="K129" s="350"/>
      <c r="L129" s="350"/>
      <c r="M129" s="350"/>
      <c r="N129" s="350"/>
      <c r="O129" s="350"/>
      <c r="P129" s="351"/>
      <c r="Q129" s="412"/>
      <c r="R129" s="350"/>
      <c r="S129" s="350"/>
      <c r="T129" s="350"/>
      <c r="U129" s="350"/>
      <c r="V129" s="350"/>
      <c r="W129" s="350"/>
      <c r="X129" s="351"/>
      <c r="Y129" s="412"/>
      <c r="Z129" s="351"/>
      <c r="AA129" s="412"/>
      <c r="AB129" s="350"/>
      <c r="AC129" s="350"/>
      <c r="AD129" s="351"/>
      <c r="AE129" s="412"/>
      <c r="AF129" s="350"/>
      <c r="AG129" s="351"/>
      <c r="AH129" s="412"/>
      <c r="AI129" s="350"/>
      <c r="AJ129" s="351"/>
      <c r="AK129" s="412"/>
      <c r="AL129" s="350"/>
      <c r="AM129" s="350"/>
      <c r="AN129" s="351"/>
      <c r="AO129" s="412"/>
      <c r="AP129" s="350"/>
      <c r="AQ129" s="350"/>
      <c r="AR129" s="350"/>
      <c r="AS129" s="350"/>
      <c r="AT129" s="350"/>
      <c r="AU129" s="350"/>
      <c r="AV129" s="351"/>
      <c r="AW129" s="723"/>
      <c r="AX129" s="350"/>
      <c r="AY129" s="351"/>
      <c r="AZ129" s="412"/>
      <c r="BA129" s="350"/>
      <c r="BB129" s="350"/>
      <c r="BC129" s="350"/>
      <c r="BD129" s="350"/>
      <c r="BE129" s="350"/>
      <c r="BF129" s="350"/>
      <c r="BG129" s="350"/>
      <c r="BH129" s="350"/>
      <c r="BI129" s="350"/>
      <c r="BJ129" s="350"/>
      <c r="BK129" s="350"/>
      <c r="BL129" s="350"/>
      <c r="BM129" s="350"/>
      <c r="BN129" s="350"/>
      <c r="BO129" s="351"/>
    </row>
    <row r="130" spans="1:67" ht="34.5" customHeight="1">
      <c r="A130" s="98">
        <f t="shared" si="0"/>
        <v>118</v>
      </c>
      <c r="B130" s="416" t="s">
        <v>325</v>
      </c>
      <c r="C130" s="351"/>
      <c r="D130" s="594"/>
      <c r="E130" s="350"/>
      <c r="F130" s="350"/>
      <c r="G130" s="350"/>
      <c r="H130" s="351"/>
      <c r="I130" s="368"/>
      <c r="J130" s="350"/>
      <c r="K130" s="350"/>
      <c r="L130" s="350"/>
      <c r="M130" s="350"/>
      <c r="N130" s="350"/>
      <c r="O130" s="350"/>
      <c r="P130" s="351"/>
      <c r="Q130" s="511"/>
      <c r="R130" s="350"/>
      <c r="S130" s="350"/>
      <c r="T130" s="350"/>
      <c r="U130" s="350"/>
      <c r="V130" s="350"/>
      <c r="W130" s="350"/>
      <c r="X130" s="351"/>
      <c r="Y130" s="368"/>
      <c r="Z130" s="351"/>
      <c r="AA130" s="511"/>
      <c r="AB130" s="350"/>
      <c r="AC130" s="350"/>
      <c r="AD130" s="351"/>
      <c r="AE130" s="368"/>
      <c r="AF130" s="350"/>
      <c r="AG130" s="351"/>
      <c r="AH130" s="511"/>
      <c r="AI130" s="350"/>
      <c r="AJ130" s="351"/>
      <c r="AK130" s="368"/>
      <c r="AL130" s="350"/>
      <c r="AM130" s="350"/>
      <c r="AN130" s="351"/>
      <c r="AO130" s="511"/>
      <c r="AP130" s="350"/>
      <c r="AQ130" s="350"/>
      <c r="AR130" s="350"/>
      <c r="AS130" s="350"/>
      <c r="AT130" s="350"/>
      <c r="AU130" s="350"/>
      <c r="AV130" s="351"/>
      <c r="AW130" s="725"/>
      <c r="AX130" s="350"/>
      <c r="AY130" s="351"/>
      <c r="AZ130" s="511"/>
      <c r="BA130" s="350"/>
      <c r="BB130" s="350"/>
      <c r="BC130" s="350"/>
      <c r="BD130" s="350"/>
      <c r="BE130" s="350"/>
      <c r="BF130" s="350"/>
      <c r="BG130" s="350"/>
      <c r="BH130" s="350"/>
      <c r="BI130" s="350"/>
      <c r="BJ130" s="350"/>
      <c r="BK130" s="350"/>
      <c r="BL130" s="350"/>
      <c r="BM130" s="350"/>
      <c r="BN130" s="350"/>
      <c r="BO130" s="351"/>
    </row>
    <row r="131" spans="1:67" ht="34.5" customHeight="1">
      <c r="A131" s="98">
        <f t="shared" si="0"/>
        <v>119</v>
      </c>
      <c r="B131" s="416" t="s">
        <v>325</v>
      </c>
      <c r="C131" s="351"/>
      <c r="D131" s="724"/>
      <c r="E131" s="350"/>
      <c r="F131" s="350"/>
      <c r="G131" s="350"/>
      <c r="H131" s="351"/>
      <c r="I131" s="412"/>
      <c r="J131" s="350"/>
      <c r="K131" s="350"/>
      <c r="L131" s="350"/>
      <c r="M131" s="350"/>
      <c r="N131" s="350"/>
      <c r="O131" s="350"/>
      <c r="P131" s="351"/>
      <c r="Q131" s="412"/>
      <c r="R131" s="350"/>
      <c r="S131" s="350"/>
      <c r="T131" s="350"/>
      <c r="U131" s="350"/>
      <c r="V131" s="350"/>
      <c r="W131" s="350"/>
      <c r="X131" s="351"/>
      <c r="Y131" s="412"/>
      <c r="Z131" s="351"/>
      <c r="AA131" s="412"/>
      <c r="AB131" s="350"/>
      <c r="AC131" s="350"/>
      <c r="AD131" s="351"/>
      <c r="AE131" s="412"/>
      <c r="AF131" s="350"/>
      <c r="AG131" s="351"/>
      <c r="AH131" s="412"/>
      <c r="AI131" s="350"/>
      <c r="AJ131" s="351"/>
      <c r="AK131" s="412"/>
      <c r="AL131" s="350"/>
      <c r="AM131" s="350"/>
      <c r="AN131" s="351"/>
      <c r="AO131" s="412"/>
      <c r="AP131" s="350"/>
      <c r="AQ131" s="350"/>
      <c r="AR131" s="350"/>
      <c r="AS131" s="350"/>
      <c r="AT131" s="350"/>
      <c r="AU131" s="350"/>
      <c r="AV131" s="351"/>
      <c r="AW131" s="723"/>
      <c r="AX131" s="350"/>
      <c r="AY131" s="351"/>
      <c r="AZ131" s="412"/>
      <c r="BA131" s="350"/>
      <c r="BB131" s="350"/>
      <c r="BC131" s="350"/>
      <c r="BD131" s="350"/>
      <c r="BE131" s="350"/>
      <c r="BF131" s="350"/>
      <c r="BG131" s="350"/>
      <c r="BH131" s="350"/>
      <c r="BI131" s="350"/>
      <c r="BJ131" s="350"/>
      <c r="BK131" s="350"/>
      <c r="BL131" s="350"/>
      <c r="BM131" s="350"/>
      <c r="BN131" s="350"/>
      <c r="BO131" s="351"/>
    </row>
    <row r="132" spans="1:67" ht="34.5" customHeight="1">
      <c r="A132" s="98">
        <f t="shared" si="0"/>
        <v>120</v>
      </c>
      <c r="B132" s="416" t="s">
        <v>325</v>
      </c>
      <c r="C132" s="351"/>
      <c r="D132" s="594"/>
      <c r="E132" s="350"/>
      <c r="F132" s="350"/>
      <c r="G132" s="350"/>
      <c r="H132" s="351"/>
      <c r="I132" s="368"/>
      <c r="J132" s="350"/>
      <c r="K132" s="350"/>
      <c r="L132" s="350"/>
      <c r="M132" s="350"/>
      <c r="N132" s="350"/>
      <c r="O132" s="350"/>
      <c r="P132" s="351"/>
      <c r="Q132" s="511"/>
      <c r="R132" s="350"/>
      <c r="S132" s="350"/>
      <c r="T132" s="350"/>
      <c r="U132" s="350"/>
      <c r="V132" s="350"/>
      <c r="W132" s="350"/>
      <c r="X132" s="351"/>
      <c r="Y132" s="368"/>
      <c r="Z132" s="351"/>
      <c r="AA132" s="511"/>
      <c r="AB132" s="350"/>
      <c r="AC132" s="350"/>
      <c r="AD132" s="351"/>
      <c r="AE132" s="368"/>
      <c r="AF132" s="350"/>
      <c r="AG132" s="351"/>
      <c r="AH132" s="511"/>
      <c r="AI132" s="350"/>
      <c r="AJ132" s="351"/>
      <c r="AK132" s="368"/>
      <c r="AL132" s="350"/>
      <c r="AM132" s="350"/>
      <c r="AN132" s="351"/>
      <c r="AO132" s="511"/>
      <c r="AP132" s="350"/>
      <c r="AQ132" s="350"/>
      <c r="AR132" s="350"/>
      <c r="AS132" s="350"/>
      <c r="AT132" s="350"/>
      <c r="AU132" s="350"/>
      <c r="AV132" s="351"/>
      <c r="AW132" s="725"/>
      <c r="AX132" s="350"/>
      <c r="AY132" s="351"/>
      <c r="AZ132" s="511"/>
      <c r="BA132" s="350"/>
      <c r="BB132" s="350"/>
      <c r="BC132" s="350"/>
      <c r="BD132" s="350"/>
      <c r="BE132" s="350"/>
      <c r="BF132" s="350"/>
      <c r="BG132" s="350"/>
      <c r="BH132" s="350"/>
      <c r="BI132" s="350"/>
      <c r="BJ132" s="350"/>
      <c r="BK132" s="350"/>
      <c r="BL132" s="350"/>
      <c r="BM132" s="350"/>
      <c r="BN132" s="350"/>
      <c r="BO132" s="351"/>
    </row>
    <row r="133" spans="1:67" ht="34.5" customHeight="1">
      <c r="A133" s="98">
        <f t="shared" si="0"/>
        <v>121</v>
      </c>
      <c r="B133" s="416" t="s">
        <v>325</v>
      </c>
      <c r="C133" s="351"/>
      <c r="D133" s="724"/>
      <c r="E133" s="350"/>
      <c r="F133" s="350"/>
      <c r="G133" s="350"/>
      <c r="H133" s="351"/>
      <c r="I133" s="412"/>
      <c r="J133" s="350"/>
      <c r="K133" s="350"/>
      <c r="L133" s="350"/>
      <c r="M133" s="350"/>
      <c r="N133" s="350"/>
      <c r="O133" s="350"/>
      <c r="P133" s="351"/>
      <c r="Q133" s="412"/>
      <c r="R133" s="350"/>
      <c r="S133" s="350"/>
      <c r="T133" s="350"/>
      <c r="U133" s="350"/>
      <c r="V133" s="350"/>
      <c r="W133" s="350"/>
      <c r="X133" s="351"/>
      <c r="Y133" s="412"/>
      <c r="Z133" s="351"/>
      <c r="AA133" s="412"/>
      <c r="AB133" s="350"/>
      <c r="AC133" s="350"/>
      <c r="AD133" s="351"/>
      <c r="AE133" s="412"/>
      <c r="AF133" s="350"/>
      <c r="AG133" s="351"/>
      <c r="AH133" s="412"/>
      <c r="AI133" s="350"/>
      <c r="AJ133" s="351"/>
      <c r="AK133" s="412"/>
      <c r="AL133" s="350"/>
      <c r="AM133" s="350"/>
      <c r="AN133" s="351"/>
      <c r="AO133" s="412"/>
      <c r="AP133" s="350"/>
      <c r="AQ133" s="350"/>
      <c r="AR133" s="350"/>
      <c r="AS133" s="350"/>
      <c r="AT133" s="350"/>
      <c r="AU133" s="350"/>
      <c r="AV133" s="351"/>
      <c r="AW133" s="723"/>
      <c r="AX133" s="350"/>
      <c r="AY133" s="351"/>
      <c r="AZ133" s="412"/>
      <c r="BA133" s="350"/>
      <c r="BB133" s="350"/>
      <c r="BC133" s="350"/>
      <c r="BD133" s="350"/>
      <c r="BE133" s="350"/>
      <c r="BF133" s="350"/>
      <c r="BG133" s="350"/>
      <c r="BH133" s="350"/>
      <c r="BI133" s="350"/>
      <c r="BJ133" s="350"/>
      <c r="BK133" s="350"/>
      <c r="BL133" s="350"/>
      <c r="BM133" s="350"/>
      <c r="BN133" s="350"/>
      <c r="BO133" s="351"/>
    </row>
    <row r="134" spans="1:67" ht="34.5" customHeight="1">
      <c r="A134" s="98">
        <f t="shared" si="0"/>
        <v>122</v>
      </c>
      <c r="B134" s="416" t="s">
        <v>325</v>
      </c>
      <c r="C134" s="351"/>
      <c r="D134" s="594"/>
      <c r="E134" s="350"/>
      <c r="F134" s="350"/>
      <c r="G134" s="350"/>
      <c r="H134" s="351"/>
      <c r="I134" s="368"/>
      <c r="J134" s="350"/>
      <c r="K134" s="350"/>
      <c r="L134" s="350"/>
      <c r="M134" s="350"/>
      <c r="N134" s="350"/>
      <c r="O134" s="350"/>
      <c r="P134" s="351"/>
      <c r="Q134" s="511"/>
      <c r="R134" s="350"/>
      <c r="S134" s="350"/>
      <c r="T134" s="350"/>
      <c r="U134" s="350"/>
      <c r="V134" s="350"/>
      <c r="W134" s="350"/>
      <c r="X134" s="351"/>
      <c r="Y134" s="368"/>
      <c r="Z134" s="351"/>
      <c r="AA134" s="511"/>
      <c r="AB134" s="350"/>
      <c r="AC134" s="350"/>
      <c r="AD134" s="351"/>
      <c r="AE134" s="368"/>
      <c r="AF134" s="350"/>
      <c r="AG134" s="351"/>
      <c r="AH134" s="511"/>
      <c r="AI134" s="350"/>
      <c r="AJ134" s="351"/>
      <c r="AK134" s="368"/>
      <c r="AL134" s="350"/>
      <c r="AM134" s="350"/>
      <c r="AN134" s="351"/>
      <c r="AO134" s="511"/>
      <c r="AP134" s="350"/>
      <c r="AQ134" s="350"/>
      <c r="AR134" s="350"/>
      <c r="AS134" s="350"/>
      <c r="AT134" s="350"/>
      <c r="AU134" s="350"/>
      <c r="AV134" s="351"/>
      <c r="AW134" s="725"/>
      <c r="AX134" s="350"/>
      <c r="AY134" s="351"/>
      <c r="AZ134" s="511"/>
      <c r="BA134" s="350"/>
      <c r="BB134" s="350"/>
      <c r="BC134" s="350"/>
      <c r="BD134" s="350"/>
      <c r="BE134" s="350"/>
      <c r="BF134" s="350"/>
      <c r="BG134" s="350"/>
      <c r="BH134" s="350"/>
      <c r="BI134" s="350"/>
      <c r="BJ134" s="350"/>
      <c r="BK134" s="350"/>
      <c r="BL134" s="350"/>
      <c r="BM134" s="350"/>
      <c r="BN134" s="350"/>
      <c r="BO134" s="351"/>
    </row>
    <row r="135" spans="1:67" ht="34.5" customHeight="1">
      <c r="A135" s="98">
        <f t="shared" si="0"/>
        <v>123</v>
      </c>
      <c r="B135" s="416" t="s">
        <v>325</v>
      </c>
      <c r="C135" s="351"/>
      <c r="D135" s="724"/>
      <c r="E135" s="350"/>
      <c r="F135" s="350"/>
      <c r="G135" s="350"/>
      <c r="H135" s="351"/>
      <c r="I135" s="412"/>
      <c r="J135" s="350"/>
      <c r="K135" s="350"/>
      <c r="L135" s="350"/>
      <c r="M135" s="350"/>
      <c r="N135" s="350"/>
      <c r="O135" s="350"/>
      <c r="P135" s="351"/>
      <c r="Q135" s="412"/>
      <c r="R135" s="350"/>
      <c r="S135" s="350"/>
      <c r="T135" s="350"/>
      <c r="U135" s="350"/>
      <c r="V135" s="350"/>
      <c r="W135" s="350"/>
      <c r="X135" s="351"/>
      <c r="Y135" s="412"/>
      <c r="Z135" s="351"/>
      <c r="AA135" s="412"/>
      <c r="AB135" s="350"/>
      <c r="AC135" s="350"/>
      <c r="AD135" s="351"/>
      <c r="AE135" s="412"/>
      <c r="AF135" s="350"/>
      <c r="AG135" s="351"/>
      <c r="AH135" s="412"/>
      <c r="AI135" s="350"/>
      <c r="AJ135" s="351"/>
      <c r="AK135" s="412"/>
      <c r="AL135" s="350"/>
      <c r="AM135" s="350"/>
      <c r="AN135" s="351"/>
      <c r="AO135" s="412"/>
      <c r="AP135" s="350"/>
      <c r="AQ135" s="350"/>
      <c r="AR135" s="350"/>
      <c r="AS135" s="350"/>
      <c r="AT135" s="350"/>
      <c r="AU135" s="350"/>
      <c r="AV135" s="351"/>
      <c r="AW135" s="723"/>
      <c r="AX135" s="350"/>
      <c r="AY135" s="351"/>
      <c r="AZ135" s="412"/>
      <c r="BA135" s="350"/>
      <c r="BB135" s="350"/>
      <c r="BC135" s="350"/>
      <c r="BD135" s="350"/>
      <c r="BE135" s="350"/>
      <c r="BF135" s="350"/>
      <c r="BG135" s="350"/>
      <c r="BH135" s="350"/>
      <c r="BI135" s="350"/>
      <c r="BJ135" s="350"/>
      <c r="BK135" s="350"/>
      <c r="BL135" s="350"/>
      <c r="BM135" s="350"/>
      <c r="BN135" s="350"/>
      <c r="BO135" s="351"/>
    </row>
    <row r="136" spans="1:67" ht="34.5" customHeight="1">
      <c r="A136" s="98">
        <f t="shared" si="0"/>
        <v>124</v>
      </c>
      <c r="B136" s="416" t="s">
        <v>325</v>
      </c>
      <c r="C136" s="351"/>
      <c r="D136" s="594"/>
      <c r="E136" s="350"/>
      <c r="F136" s="350"/>
      <c r="G136" s="350"/>
      <c r="H136" s="351"/>
      <c r="I136" s="368"/>
      <c r="J136" s="350"/>
      <c r="K136" s="350"/>
      <c r="L136" s="350"/>
      <c r="M136" s="350"/>
      <c r="N136" s="350"/>
      <c r="O136" s="350"/>
      <c r="P136" s="351"/>
      <c r="Q136" s="511"/>
      <c r="R136" s="350"/>
      <c r="S136" s="350"/>
      <c r="T136" s="350"/>
      <c r="U136" s="350"/>
      <c r="V136" s="350"/>
      <c r="W136" s="350"/>
      <c r="X136" s="351"/>
      <c r="Y136" s="368"/>
      <c r="Z136" s="351"/>
      <c r="AA136" s="511"/>
      <c r="AB136" s="350"/>
      <c r="AC136" s="350"/>
      <c r="AD136" s="351"/>
      <c r="AE136" s="368"/>
      <c r="AF136" s="350"/>
      <c r="AG136" s="351"/>
      <c r="AH136" s="511"/>
      <c r="AI136" s="350"/>
      <c r="AJ136" s="351"/>
      <c r="AK136" s="368"/>
      <c r="AL136" s="350"/>
      <c r="AM136" s="350"/>
      <c r="AN136" s="351"/>
      <c r="AO136" s="511"/>
      <c r="AP136" s="350"/>
      <c r="AQ136" s="350"/>
      <c r="AR136" s="350"/>
      <c r="AS136" s="350"/>
      <c r="AT136" s="350"/>
      <c r="AU136" s="350"/>
      <c r="AV136" s="351"/>
      <c r="AW136" s="725"/>
      <c r="AX136" s="350"/>
      <c r="AY136" s="351"/>
      <c r="AZ136" s="511"/>
      <c r="BA136" s="350"/>
      <c r="BB136" s="350"/>
      <c r="BC136" s="350"/>
      <c r="BD136" s="350"/>
      <c r="BE136" s="350"/>
      <c r="BF136" s="350"/>
      <c r="BG136" s="350"/>
      <c r="BH136" s="350"/>
      <c r="BI136" s="350"/>
      <c r="BJ136" s="350"/>
      <c r="BK136" s="350"/>
      <c r="BL136" s="350"/>
      <c r="BM136" s="350"/>
      <c r="BN136" s="350"/>
      <c r="BO136" s="351"/>
    </row>
    <row r="137" spans="1:67" ht="34.5" customHeight="1">
      <c r="A137" s="98">
        <f t="shared" si="0"/>
        <v>125</v>
      </c>
      <c r="B137" s="416" t="s">
        <v>325</v>
      </c>
      <c r="C137" s="351"/>
      <c r="D137" s="724"/>
      <c r="E137" s="350"/>
      <c r="F137" s="350"/>
      <c r="G137" s="350"/>
      <c r="H137" s="351"/>
      <c r="I137" s="412"/>
      <c r="J137" s="350"/>
      <c r="K137" s="350"/>
      <c r="L137" s="350"/>
      <c r="M137" s="350"/>
      <c r="N137" s="350"/>
      <c r="O137" s="350"/>
      <c r="P137" s="351"/>
      <c r="Q137" s="412"/>
      <c r="R137" s="350"/>
      <c r="S137" s="350"/>
      <c r="T137" s="350"/>
      <c r="U137" s="350"/>
      <c r="V137" s="350"/>
      <c r="W137" s="350"/>
      <c r="X137" s="351"/>
      <c r="Y137" s="412"/>
      <c r="Z137" s="351"/>
      <c r="AA137" s="412"/>
      <c r="AB137" s="350"/>
      <c r="AC137" s="350"/>
      <c r="AD137" s="351"/>
      <c r="AE137" s="412"/>
      <c r="AF137" s="350"/>
      <c r="AG137" s="351"/>
      <c r="AH137" s="412"/>
      <c r="AI137" s="350"/>
      <c r="AJ137" s="351"/>
      <c r="AK137" s="412"/>
      <c r="AL137" s="350"/>
      <c r="AM137" s="350"/>
      <c r="AN137" s="351"/>
      <c r="AO137" s="412"/>
      <c r="AP137" s="350"/>
      <c r="AQ137" s="350"/>
      <c r="AR137" s="350"/>
      <c r="AS137" s="350"/>
      <c r="AT137" s="350"/>
      <c r="AU137" s="350"/>
      <c r="AV137" s="351"/>
      <c r="AW137" s="723"/>
      <c r="AX137" s="350"/>
      <c r="AY137" s="351"/>
      <c r="AZ137" s="412"/>
      <c r="BA137" s="350"/>
      <c r="BB137" s="350"/>
      <c r="BC137" s="350"/>
      <c r="BD137" s="350"/>
      <c r="BE137" s="350"/>
      <c r="BF137" s="350"/>
      <c r="BG137" s="350"/>
      <c r="BH137" s="350"/>
      <c r="BI137" s="350"/>
      <c r="BJ137" s="350"/>
      <c r="BK137" s="350"/>
      <c r="BL137" s="350"/>
      <c r="BM137" s="350"/>
      <c r="BN137" s="350"/>
      <c r="BO137" s="351"/>
    </row>
    <row r="138" spans="1:67" ht="34.5" customHeight="1">
      <c r="A138" s="98">
        <f t="shared" si="0"/>
        <v>126</v>
      </c>
      <c r="B138" s="416" t="s">
        <v>325</v>
      </c>
      <c r="C138" s="351"/>
      <c r="D138" s="594"/>
      <c r="E138" s="350"/>
      <c r="F138" s="350"/>
      <c r="G138" s="350"/>
      <c r="H138" s="351"/>
      <c r="I138" s="368"/>
      <c r="J138" s="350"/>
      <c r="K138" s="350"/>
      <c r="L138" s="350"/>
      <c r="M138" s="350"/>
      <c r="N138" s="350"/>
      <c r="O138" s="350"/>
      <c r="P138" s="351"/>
      <c r="Q138" s="511"/>
      <c r="R138" s="350"/>
      <c r="S138" s="350"/>
      <c r="T138" s="350"/>
      <c r="U138" s="350"/>
      <c r="V138" s="350"/>
      <c r="W138" s="350"/>
      <c r="X138" s="351"/>
      <c r="Y138" s="368"/>
      <c r="Z138" s="351"/>
      <c r="AA138" s="511"/>
      <c r="AB138" s="350"/>
      <c r="AC138" s="350"/>
      <c r="AD138" s="351"/>
      <c r="AE138" s="368"/>
      <c r="AF138" s="350"/>
      <c r="AG138" s="351"/>
      <c r="AH138" s="511"/>
      <c r="AI138" s="350"/>
      <c r="AJ138" s="351"/>
      <c r="AK138" s="368"/>
      <c r="AL138" s="350"/>
      <c r="AM138" s="350"/>
      <c r="AN138" s="351"/>
      <c r="AO138" s="511"/>
      <c r="AP138" s="350"/>
      <c r="AQ138" s="350"/>
      <c r="AR138" s="350"/>
      <c r="AS138" s="350"/>
      <c r="AT138" s="350"/>
      <c r="AU138" s="350"/>
      <c r="AV138" s="351"/>
      <c r="AW138" s="725"/>
      <c r="AX138" s="350"/>
      <c r="AY138" s="351"/>
      <c r="AZ138" s="511"/>
      <c r="BA138" s="350"/>
      <c r="BB138" s="350"/>
      <c r="BC138" s="350"/>
      <c r="BD138" s="350"/>
      <c r="BE138" s="350"/>
      <c r="BF138" s="350"/>
      <c r="BG138" s="350"/>
      <c r="BH138" s="350"/>
      <c r="BI138" s="350"/>
      <c r="BJ138" s="350"/>
      <c r="BK138" s="350"/>
      <c r="BL138" s="350"/>
      <c r="BM138" s="350"/>
      <c r="BN138" s="350"/>
      <c r="BO138" s="351"/>
    </row>
    <row r="139" spans="1:67" ht="34.5" customHeight="1">
      <c r="A139" s="98">
        <f t="shared" si="0"/>
        <v>127</v>
      </c>
      <c r="B139" s="416" t="s">
        <v>325</v>
      </c>
      <c r="C139" s="351"/>
      <c r="D139" s="724"/>
      <c r="E139" s="350"/>
      <c r="F139" s="350"/>
      <c r="G139" s="350"/>
      <c r="H139" s="351"/>
      <c r="I139" s="412"/>
      <c r="J139" s="350"/>
      <c r="K139" s="350"/>
      <c r="L139" s="350"/>
      <c r="M139" s="350"/>
      <c r="N139" s="350"/>
      <c r="O139" s="350"/>
      <c r="P139" s="351"/>
      <c r="Q139" s="412"/>
      <c r="R139" s="350"/>
      <c r="S139" s="350"/>
      <c r="T139" s="350"/>
      <c r="U139" s="350"/>
      <c r="V139" s="350"/>
      <c r="W139" s="350"/>
      <c r="X139" s="351"/>
      <c r="Y139" s="412"/>
      <c r="Z139" s="351"/>
      <c r="AA139" s="412"/>
      <c r="AB139" s="350"/>
      <c r="AC139" s="350"/>
      <c r="AD139" s="351"/>
      <c r="AE139" s="412"/>
      <c r="AF139" s="350"/>
      <c r="AG139" s="351"/>
      <c r="AH139" s="412"/>
      <c r="AI139" s="350"/>
      <c r="AJ139" s="351"/>
      <c r="AK139" s="412"/>
      <c r="AL139" s="350"/>
      <c r="AM139" s="350"/>
      <c r="AN139" s="351"/>
      <c r="AO139" s="412"/>
      <c r="AP139" s="350"/>
      <c r="AQ139" s="350"/>
      <c r="AR139" s="350"/>
      <c r="AS139" s="350"/>
      <c r="AT139" s="350"/>
      <c r="AU139" s="350"/>
      <c r="AV139" s="351"/>
      <c r="AW139" s="723"/>
      <c r="AX139" s="350"/>
      <c r="AY139" s="351"/>
      <c r="AZ139" s="412"/>
      <c r="BA139" s="350"/>
      <c r="BB139" s="350"/>
      <c r="BC139" s="350"/>
      <c r="BD139" s="350"/>
      <c r="BE139" s="350"/>
      <c r="BF139" s="350"/>
      <c r="BG139" s="350"/>
      <c r="BH139" s="350"/>
      <c r="BI139" s="350"/>
      <c r="BJ139" s="350"/>
      <c r="BK139" s="350"/>
      <c r="BL139" s="350"/>
      <c r="BM139" s="350"/>
      <c r="BN139" s="350"/>
      <c r="BO139" s="351"/>
    </row>
    <row r="140" spans="1:67" ht="34.5" customHeight="1">
      <c r="A140" s="98">
        <f t="shared" si="0"/>
        <v>128</v>
      </c>
      <c r="B140" s="726" t="s">
        <v>325</v>
      </c>
      <c r="C140" s="351"/>
      <c r="D140" s="594"/>
      <c r="E140" s="350"/>
      <c r="F140" s="350"/>
      <c r="G140" s="350"/>
      <c r="H140" s="351"/>
      <c r="I140" s="368"/>
      <c r="J140" s="350"/>
      <c r="K140" s="350"/>
      <c r="L140" s="350"/>
      <c r="M140" s="350"/>
      <c r="N140" s="350"/>
      <c r="O140" s="350"/>
      <c r="P140" s="351"/>
      <c r="Q140" s="511"/>
      <c r="R140" s="350"/>
      <c r="S140" s="350"/>
      <c r="T140" s="350"/>
      <c r="U140" s="350"/>
      <c r="V140" s="350"/>
      <c r="W140" s="350"/>
      <c r="X140" s="351"/>
      <c r="Y140" s="368"/>
      <c r="Z140" s="351"/>
      <c r="AA140" s="511"/>
      <c r="AB140" s="350"/>
      <c r="AC140" s="350"/>
      <c r="AD140" s="351"/>
      <c r="AE140" s="368"/>
      <c r="AF140" s="350"/>
      <c r="AG140" s="351"/>
      <c r="AH140" s="511"/>
      <c r="AI140" s="350"/>
      <c r="AJ140" s="351"/>
      <c r="AK140" s="368"/>
      <c r="AL140" s="350"/>
      <c r="AM140" s="350"/>
      <c r="AN140" s="351"/>
      <c r="AO140" s="511"/>
      <c r="AP140" s="350"/>
      <c r="AQ140" s="350"/>
      <c r="AR140" s="350"/>
      <c r="AS140" s="350"/>
      <c r="AT140" s="350"/>
      <c r="AU140" s="350"/>
      <c r="AV140" s="351"/>
      <c r="AW140" s="725"/>
      <c r="AX140" s="350"/>
      <c r="AY140" s="351"/>
      <c r="AZ140" s="511"/>
      <c r="BA140" s="350"/>
      <c r="BB140" s="350"/>
      <c r="BC140" s="350"/>
      <c r="BD140" s="350"/>
      <c r="BE140" s="350"/>
      <c r="BF140" s="350"/>
      <c r="BG140" s="350"/>
      <c r="BH140" s="350"/>
      <c r="BI140" s="350"/>
      <c r="BJ140" s="350"/>
      <c r="BK140" s="350"/>
      <c r="BL140" s="350"/>
      <c r="BM140" s="350"/>
      <c r="BN140" s="350"/>
      <c r="BO140" s="351"/>
    </row>
    <row r="141" spans="1:67" ht="34.5" customHeight="1">
      <c r="A141" s="98">
        <f t="shared" si="0"/>
        <v>129</v>
      </c>
      <c r="B141" s="416" t="s">
        <v>325</v>
      </c>
      <c r="C141" s="351"/>
      <c r="D141" s="724"/>
      <c r="E141" s="350"/>
      <c r="F141" s="350"/>
      <c r="G141" s="350"/>
      <c r="H141" s="351"/>
      <c r="I141" s="412"/>
      <c r="J141" s="350"/>
      <c r="K141" s="350"/>
      <c r="L141" s="350"/>
      <c r="M141" s="350"/>
      <c r="N141" s="350"/>
      <c r="O141" s="350"/>
      <c r="P141" s="351"/>
      <c r="Q141" s="412"/>
      <c r="R141" s="350"/>
      <c r="S141" s="350"/>
      <c r="T141" s="350"/>
      <c r="U141" s="350"/>
      <c r="V141" s="350"/>
      <c r="W141" s="350"/>
      <c r="X141" s="351"/>
      <c r="Y141" s="412"/>
      <c r="Z141" s="351"/>
      <c r="AA141" s="412"/>
      <c r="AB141" s="350"/>
      <c r="AC141" s="350"/>
      <c r="AD141" s="351"/>
      <c r="AE141" s="412"/>
      <c r="AF141" s="350"/>
      <c r="AG141" s="351"/>
      <c r="AH141" s="412"/>
      <c r="AI141" s="350"/>
      <c r="AJ141" s="351"/>
      <c r="AK141" s="412"/>
      <c r="AL141" s="350"/>
      <c r="AM141" s="350"/>
      <c r="AN141" s="351"/>
      <c r="AO141" s="412"/>
      <c r="AP141" s="350"/>
      <c r="AQ141" s="350"/>
      <c r="AR141" s="350"/>
      <c r="AS141" s="350"/>
      <c r="AT141" s="350"/>
      <c r="AU141" s="350"/>
      <c r="AV141" s="351"/>
      <c r="AW141" s="723"/>
      <c r="AX141" s="350"/>
      <c r="AY141" s="351"/>
      <c r="AZ141" s="412"/>
      <c r="BA141" s="350"/>
      <c r="BB141" s="350"/>
      <c r="BC141" s="350"/>
      <c r="BD141" s="350"/>
      <c r="BE141" s="350"/>
      <c r="BF141" s="350"/>
      <c r="BG141" s="350"/>
      <c r="BH141" s="350"/>
      <c r="BI141" s="350"/>
      <c r="BJ141" s="350"/>
      <c r="BK141" s="350"/>
      <c r="BL141" s="350"/>
      <c r="BM141" s="350"/>
      <c r="BN141" s="350"/>
      <c r="BO141" s="351"/>
    </row>
    <row r="142" spans="1:67" ht="34.5" customHeight="1">
      <c r="A142" s="98">
        <f t="shared" si="0"/>
        <v>130</v>
      </c>
      <c r="B142" s="416" t="s">
        <v>325</v>
      </c>
      <c r="C142" s="351"/>
      <c r="D142" s="594"/>
      <c r="E142" s="350"/>
      <c r="F142" s="350"/>
      <c r="G142" s="350"/>
      <c r="H142" s="351"/>
      <c r="I142" s="368"/>
      <c r="J142" s="350"/>
      <c r="K142" s="350"/>
      <c r="L142" s="350"/>
      <c r="M142" s="350"/>
      <c r="N142" s="350"/>
      <c r="O142" s="350"/>
      <c r="P142" s="351"/>
      <c r="Q142" s="511"/>
      <c r="R142" s="350"/>
      <c r="S142" s="350"/>
      <c r="T142" s="350"/>
      <c r="U142" s="350"/>
      <c r="V142" s="350"/>
      <c r="W142" s="350"/>
      <c r="X142" s="351"/>
      <c r="Y142" s="368"/>
      <c r="Z142" s="351"/>
      <c r="AA142" s="511"/>
      <c r="AB142" s="350"/>
      <c r="AC142" s="350"/>
      <c r="AD142" s="351"/>
      <c r="AE142" s="368"/>
      <c r="AF142" s="350"/>
      <c r="AG142" s="351"/>
      <c r="AH142" s="511"/>
      <c r="AI142" s="350"/>
      <c r="AJ142" s="351"/>
      <c r="AK142" s="368"/>
      <c r="AL142" s="350"/>
      <c r="AM142" s="350"/>
      <c r="AN142" s="351"/>
      <c r="AO142" s="511"/>
      <c r="AP142" s="350"/>
      <c r="AQ142" s="350"/>
      <c r="AR142" s="350"/>
      <c r="AS142" s="350"/>
      <c r="AT142" s="350"/>
      <c r="AU142" s="350"/>
      <c r="AV142" s="351"/>
      <c r="AW142" s="725"/>
      <c r="AX142" s="350"/>
      <c r="AY142" s="351"/>
      <c r="AZ142" s="511"/>
      <c r="BA142" s="350"/>
      <c r="BB142" s="350"/>
      <c r="BC142" s="350"/>
      <c r="BD142" s="350"/>
      <c r="BE142" s="350"/>
      <c r="BF142" s="350"/>
      <c r="BG142" s="350"/>
      <c r="BH142" s="350"/>
      <c r="BI142" s="350"/>
      <c r="BJ142" s="350"/>
      <c r="BK142" s="350"/>
      <c r="BL142" s="350"/>
      <c r="BM142" s="350"/>
      <c r="BN142" s="350"/>
      <c r="BO142" s="351"/>
    </row>
    <row r="143" spans="1:67" ht="34.5" customHeight="1">
      <c r="A143" s="98">
        <f t="shared" si="0"/>
        <v>131</v>
      </c>
      <c r="B143" s="416" t="s">
        <v>325</v>
      </c>
      <c r="C143" s="351"/>
      <c r="D143" s="724"/>
      <c r="E143" s="350"/>
      <c r="F143" s="350"/>
      <c r="G143" s="350"/>
      <c r="H143" s="351"/>
      <c r="I143" s="412"/>
      <c r="J143" s="350"/>
      <c r="K143" s="350"/>
      <c r="L143" s="350"/>
      <c r="M143" s="350"/>
      <c r="N143" s="350"/>
      <c r="O143" s="350"/>
      <c r="P143" s="351"/>
      <c r="Q143" s="412"/>
      <c r="R143" s="350"/>
      <c r="S143" s="350"/>
      <c r="T143" s="350"/>
      <c r="U143" s="350"/>
      <c r="V143" s="350"/>
      <c r="W143" s="350"/>
      <c r="X143" s="351"/>
      <c r="Y143" s="412"/>
      <c r="Z143" s="351"/>
      <c r="AA143" s="412"/>
      <c r="AB143" s="350"/>
      <c r="AC143" s="350"/>
      <c r="AD143" s="351"/>
      <c r="AE143" s="412"/>
      <c r="AF143" s="350"/>
      <c r="AG143" s="351"/>
      <c r="AH143" s="412"/>
      <c r="AI143" s="350"/>
      <c r="AJ143" s="351"/>
      <c r="AK143" s="412"/>
      <c r="AL143" s="350"/>
      <c r="AM143" s="350"/>
      <c r="AN143" s="351"/>
      <c r="AO143" s="412"/>
      <c r="AP143" s="350"/>
      <c r="AQ143" s="350"/>
      <c r="AR143" s="350"/>
      <c r="AS143" s="350"/>
      <c r="AT143" s="350"/>
      <c r="AU143" s="350"/>
      <c r="AV143" s="351"/>
      <c r="AW143" s="723"/>
      <c r="AX143" s="350"/>
      <c r="AY143" s="351"/>
      <c r="AZ143" s="412"/>
      <c r="BA143" s="350"/>
      <c r="BB143" s="350"/>
      <c r="BC143" s="350"/>
      <c r="BD143" s="350"/>
      <c r="BE143" s="350"/>
      <c r="BF143" s="350"/>
      <c r="BG143" s="350"/>
      <c r="BH143" s="350"/>
      <c r="BI143" s="350"/>
      <c r="BJ143" s="350"/>
      <c r="BK143" s="350"/>
      <c r="BL143" s="350"/>
      <c r="BM143" s="350"/>
      <c r="BN143" s="350"/>
      <c r="BO143" s="351"/>
    </row>
    <row r="144" spans="1:67" ht="34.5" customHeight="1">
      <c r="A144" s="98">
        <f t="shared" si="0"/>
        <v>132</v>
      </c>
      <c r="B144" s="416" t="s">
        <v>325</v>
      </c>
      <c r="C144" s="351"/>
      <c r="D144" s="594"/>
      <c r="E144" s="350"/>
      <c r="F144" s="350"/>
      <c r="G144" s="350"/>
      <c r="H144" s="351"/>
      <c r="I144" s="368"/>
      <c r="J144" s="350"/>
      <c r="K144" s="350"/>
      <c r="L144" s="350"/>
      <c r="M144" s="350"/>
      <c r="N144" s="350"/>
      <c r="O144" s="350"/>
      <c r="P144" s="351"/>
      <c r="Q144" s="511"/>
      <c r="R144" s="350"/>
      <c r="S144" s="350"/>
      <c r="T144" s="350"/>
      <c r="U144" s="350"/>
      <c r="V144" s="350"/>
      <c r="W144" s="350"/>
      <c r="X144" s="351"/>
      <c r="Y144" s="368"/>
      <c r="Z144" s="351"/>
      <c r="AA144" s="511"/>
      <c r="AB144" s="350"/>
      <c r="AC144" s="350"/>
      <c r="AD144" s="351"/>
      <c r="AE144" s="368"/>
      <c r="AF144" s="350"/>
      <c r="AG144" s="351"/>
      <c r="AH144" s="511"/>
      <c r="AI144" s="350"/>
      <c r="AJ144" s="351"/>
      <c r="AK144" s="368"/>
      <c r="AL144" s="350"/>
      <c r="AM144" s="350"/>
      <c r="AN144" s="351"/>
      <c r="AO144" s="511"/>
      <c r="AP144" s="350"/>
      <c r="AQ144" s="350"/>
      <c r="AR144" s="350"/>
      <c r="AS144" s="350"/>
      <c r="AT144" s="350"/>
      <c r="AU144" s="350"/>
      <c r="AV144" s="351"/>
      <c r="AW144" s="725"/>
      <c r="AX144" s="350"/>
      <c r="AY144" s="351"/>
      <c r="AZ144" s="511"/>
      <c r="BA144" s="350"/>
      <c r="BB144" s="350"/>
      <c r="BC144" s="350"/>
      <c r="BD144" s="350"/>
      <c r="BE144" s="350"/>
      <c r="BF144" s="350"/>
      <c r="BG144" s="350"/>
      <c r="BH144" s="350"/>
      <c r="BI144" s="350"/>
      <c r="BJ144" s="350"/>
      <c r="BK144" s="350"/>
      <c r="BL144" s="350"/>
      <c r="BM144" s="350"/>
      <c r="BN144" s="350"/>
      <c r="BO144" s="351"/>
    </row>
    <row r="145" spans="1:67" ht="34.5" customHeight="1">
      <c r="A145" s="98">
        <f t="shared" si="0"/>
        <v>133</v>
      </c>
      <c r="B145" s="416" t="s">
        <v>325</v>
      </c>
      <c r="C145" s="351"/>
      <c r="D145" s="724"/>
      <c r="E145" s="350"/>
      <c r="F145" s="350"/>
      <c r="G145" s="350"/>
      <c r="H145" s="351"/>
      <c r="I145" s="412"/>
      <c r="J145" s="350"/>
      <c r="K145" s="350"/>
      <c r="L145" s="350"/>
      <c r="M145" s="350"/>
      <c r="N145" s="350"/>
      <c r="O145" s="350"/>
      <c r="P145" s="351"/>
      <c r="Q145" s="412"/>
      <c r="R145" s="350"/>
      <c r="S145" s="350"/>
      <c r="T145" s="350"/>
      <c r="U145" s="350"/>
      <c r="V145" s="350"/>
      <c r="W145" s="350"/>
      <c r="X145" s="351"/>
      <c r="Y145" s="412"/>
      <c r="Z145" s="351"/>
      <c r="AA145" s="412"/>
      <c r="AB145" s="350"/>
      <c r="AC145" s="350"/>
      <c r="AD145" s="351"/>
      <c r="AE145" s="412"/>
      <c r="AF145" s="350"/>
      <c r="AG145" s="351"/>
      <c r="AH145" s="412"/>
      <c r="AI145" s="350"/>
      <c r="AJ145" s="351"/>
      <c r="AK145" s="412"/>
      <c r="AL145" s="350"/>
      <c r="AM145" s="350"/>
      <c r="AN145" s="351"/>
      <c r="AO145" s="412"/>
      <c r="AP145" s="350"/>
      <c r="AQ145" s="350"/>
      <c r="AR145" s="350"/>
      <c r="AS145" s="350"/>
      <c r="AT145" s="350"/>
      <c r="AU145" s="350"/>
      <c r="AV145" s="351"/>
      <c r="AW145" s="723"/>
      <c r="AX145" s="350"/>
      <c r="AY145" s="351"/>
      <c r="AZ145" s="412"/>
      <c r="BA145" s="350"/>
      <c r="BB145" s="350"/>
      <c r="BC145" s="350"/>
      <c r="BD145" s="350"/>
      <c r="BE145" s="350"/>
      <c r="BF145" s="350"/>
      <c r="BG145" s="350"/>
      <c r="BH145" s="350"/>
      <c r="BI145" s="350"/>
      <c r="BJ145" s="350"/>
      <c r="BK145" s="350"/>
      <c r="BL145" s="350"/>
      <c r="BM145" s="350"/>
      <c r="BN145" s="350"/>
      <c r="BO145" s="351"/>
    </row>
    <row r="146" spans="1:67" ht="34.5" customHeight="1">
      <c r="A146" s="98">
        <f t="shared" si="0"/>
        <v>134</v>
      </c>
      <c r="B146" s="416" t="s">
        <v>325</v>
      </c>
      <c r="C146" s="351"/>
      <c r="D146" s="594"/>
      <c r="E146" s="350"/>
      <c r="F146" s="350"/>
      <c r="G146" s="350"/>
      <c r="H146" s="351"/>
      <c r="I146" s="368"/>
      <c r="J146" s="350"/>
      <c r="K146" s="350"/>
      <c r="L146" s="350"/>
      <c r="M146" s="350"/>
      <c r="N146" s="350"/>
      <c r="O146" s="350"/>
      <c r="P146" s="351"/>
      <c r="Q146" s="511"/>
      <c r="R146" s="350"/>
      <c r="S146" s="350"/>
      <c r="T146" s="350"/>
      <c r="U146" s="350"/>
      <c r="V146" s="350"/>
      <c r="W146" s="350"/>
      <c r="X146" s="351"/>
      <c r="Y146" s="368"/>
      <c r="Z146" s="351"/>
      <c r="AA146" s="511"/>
      <c r="AB146" s="350"/>
      <c r="AC146" s="350"/>
      <c r="AD146" s="351"/>
      <c r="AE146" s="368"/>
      <c r="AF146" s="350"/>
      <c r="AG146" s="351"/>
      <c r="AH146" s="511"/>
      <c r="AI146" s="350"/>
      <c r="AJ146" s="351"/>
      <c r="AK146" s="368"/>
      <c r="AL146" s="350"/>
      <c r="AM146" s="350"/>
      <c r="AN146" s="351"/>
      <c r="AO146" s="511"/>
      <c r="AP146" s="350"/>
      <c r="AQ146" s="350"/>
      <c r="AR146" s="350"/>
      <c r="AS146" s="350"/>
      <c r="AT146" s="350"/>
      <c r="AU146" s="350"/>
      <c r="AV146" s="351"/>
      <c r="AW146" s="725"/>
      <c r="AX146" s="350"/>
      <c r="AY146" s="351"/>
      <c r="AZ146" s="511"/>
      <c r="BA146" s="350"/>
      <c r="BB146" s="350"/>
      <c r="BC146" s="350"/>
      <c r="BD146" s="350"/>
      <c r="BE146" s="350"/>
      <c r="BF146" s="350"/>
      <c r="BG146" s="350"/>
      <c r="BH146" s="350"/>
      <c r="BI146" s="350"/>
      <c r="BJ146" s="350"/>
      <c r="BK146" s="350"/>
      <c r="BL146" s="350"/>
      <c r="BM146" s="350"/>
      <c r="BN146" s="350"/>
      <c r="BO146" s="351"/>
    </row>
    <row r="147" spans="1:67" ht="34.5" customHeight="1">
      <c r="A147" s="98">
        <f t="shared" si="0"/>
        <v>135</v>
      </c>
      <c r="B147" s="416" t="s">
        <v>325</v>
      </c>
      <c r="C147" s="351"/>
      <c r="D147" s="724"/>
      <c r="E147" s="350"/>
      <c r="F147" s="350"/>
      <c r="G147" s="350"/>
      <c r="H147" s="351"/>
      <c r="I147" s="412"/>
      <c r="J147" s="350"/>
      <c r="K147" s="350"/>
      <c r="L147" s="350"/>
      <c r="M147" s="350"/>
      <c r="N147" s="350"/>
      <c r="O147" s="350"/>
      <c r="P147" s="351"/>
      <c r="Q147" s="412"/>
      <c r="R147" s="350"/>
      <c r="S147" s="350"/>
      <c r="T147" s="350"/>
      <c r="U147" s="350"/>
      <c r="V147" s="350"/>
      <c r="W147" s="350"/>
      <c r="X147" s="351"/>
      <c r="Y147" s="412"/>
      <c r="Z147" s="351"/>
      <c r="AA147" s="412"/>
      <c r="AB147" s="350"/>
      <c r="AC147" s="350"/>
      <c r="AD147" s="351"/>
      <c r="AE147" s="412"/>
      <c r="AF147" s="350"/>
      <c r="AG147" s="351"/>
      <c r="AH147" s="412"/>
      <c r="AI147" s="350"/>
      <c r="AJ147" s="351"/>
      <c r="AK147" s="412"/>
      <c r="AL147" s="350"/>
      <c r="AM147" s="350"/>
      <c r="AN147" s="351"/>
      <c r="AO147" s="412"/>
      <c r="AP147" s="350"/>
      <c r="AQ147" s="350"/>
      <c r="AR147" s="350"/>
      <c r="AS147" s="350"/>
      <c r="AT147" s="350"/>
      <c r="AU147" s="350"/>
      <c r="AV147" s="351"/>
      <c r="AW147" s="723"/>
      <c r="AX147" s="350"/>
      <c r="AY147" s="351"/>
      <c r="AZ147" s="412"/>
      <c r="BA147" s="350"/>
      <c r="BB147" s="350"/>
      <c r="BC147" s="350"/>
      <c r="BD147" s="350"/>
      <c r="BE147" s="350"/>
      <c r="BF147" s="350"/>
      <c r="BG147" s="350"/>
      <c r="BH147" s="350"/>
      <c r="BI147" s="350"/>
      <c r="BJ147" s="350"/>
      <c r="BK147" s="350"/>
      <c r="BL147" s="350"/>
      <c r="BM147" s="350"/>
      <c r="BN147" s="350"/>
      <c r="BO147" s="351"/>
    </row>
    <row r="148" spans="1:67" ht="34.5" customHeight="1">
      <c r="A148" s="98">
        <f t="shared" si="0"/>
        <v>136</v>
      </c>
      <c r="B148" s="416" t="s">
        <v>325</v>
      </c>
      <c r="C148" s="351"/>
      <c r="D148" s="594"/>
      <c r="E148" s="350"/>
      <c r="F148" s="350"/>
      <c r="G148" s="350"/>
      <c r="H148" s="351"/>
      <c r="I148" s="368"/>
      <c r="J148" s="350"/>
      <c r="K148" s="350"/>
      <c r="L148" s="350"/>
      <c r="M148" s="350"/>
      <c r="N148" s="350"/>
      <c r="O148" s="350"/>
      <c r="P148" s="351"/>
      <c r="Q148" s="511"/>
      <c r="R148" s="350"/>
      <c r="S148" s="350"/>
      <c r="T148" s="350"/>
      <c r="U148" s="350"/>
      <c r="V148" s="350"/>
      <c r="W148" s="350"/>
      <c r="X148" s="351"/>
      <c r="Y148" s="368"/>
      <c r="Z148" s="351"/>
      <c r="AA148" s="511"/>
      <c r="AB148" s="350"/>
      <c r="AC148" s="350"/>
      <c r="AD148" s="351"/>
      <c r="AE148" s="368"/>
      <c r="AF148" s="350"/>
      <c r="AG148" s="351"/>
      <c r="AH148" s="511"/>
      <c r="AI148" s="350"/>
      <c r="AJ148" s="351"/>
      <c r="AK148" s="368"/>
      <c r="AL148" s="350"/>
      <c r="AM148" s="350"/>
      <c r="AN148" s="351"/>
      <c r="AO148" s="511"/>
      <c r="AP148" s="350"/>
      <c r="AQ148" s="350"/>
      <c r="AR148" s="350"/>
      <c r="AS148" s="350"/>
      <c r="AT148" s="350"/>
      <c r="AU148" s="350"/>
      <c r="AV148" s="351"/>
      <c r="AW148" s="725"/>
      <c r="AX148" s="350"/>
      <c r="AY148" s="351"/>
      <c r="AZ148" s="511"/>
      <c r="BA148" s="350"/>
      <c r="BB148" s="350"/>
      <c r="BC148" s="350"/>
      <c r="BD148" s="350"/>
      <c r="BE148" s="350"/>
      <c r="BF148" s="350"/>
      <c r="BG148" s="350"/>
      <c r="BH148" s="350"/>
      <c r="BI148" s="350"/>
      <c r="BJ148" s="350"/>
      <c r="BK148" s="350"/>
      <c r="BL148" s="350"/>
      <c r="BM148" s="350"/>
      <c r="BN148" s="350"/>
      <c r="BO148" s="351"/>
    </row>
    <row r="149" spans="1:67" ht="34.5" customHeight="1">
      <c r="A149" s="98">
        <f t="shared" si="0"/>
        <v>137</v>
      </c>
      <c r="B149" s="416" t="s">
        <v>325</v>
      </c>
      <c r="C149" s="351"/>
      <c r="D149" s="724"/>
      <c r="E149" s="350"/>
      <c r="F149" s="350"/>
      <c r="G149" s="350"/>
      <c r="H149" s="351"/>
      <c r="I149" s="412"/>
      <c r="J149" s="350"/>
      <c r="K149" s="350"/>
      <c r="L149" s="350"/>
      <c r="M149" s="350"/>
      <c r="N149" s="350"/>
      <c r="O149" s="350"/>
      <c r="P149" s="351"/>
      <c r="Q149" s="412"/>
      <c r="R149" s="350"/>
      <c r="S149" s="350"/>
      <c r="T149" s="350"/>
      <c r="U149" s="350"/>
      <c r="V149" s="350"/>
      <c r="W149" s="350"/>
      <c r="X149" s="351"/>
      <c r="Y149" s="412"/>
      <c r="Z149" s="351"/>
      <c r="AA149" s="412"/>
      <c r="AB149" s="350"/>
      <c r="AC149" s="350"/>
      <c r="AD149" s="351"/>
      <c r="AE149" s="412"/>
      <c r="AF149" s="350"/>
      <c r="AG149" s="351"/>
      <c r="AH149" s="412"/>
      <c r="AI149" s="350"/>
      <c r="AJ149" s="351"/>
      <c r="AK149" s="412"/>
      <c r="AL149" s="350"/>
      <c r="AM149" s="350"/>
      <c r="AN149" s="351"/>
      <c r="AO149" s="412"/>
      <c r="AP149" s="350"/>
      <c r="AQ149" s="350"/>
      <c r="AR149" s="350"/>
      <c r="AS149" s="350"/>
      <c r="AT149" s="350"/>
      <c r="AU149" s="350"/>
      <c r="AV149" s="351"/>
      <c r="AW149" s="723"/>
      <c r="AX149" s="350"/>
      <c r="AY149" s="351"/>
      <c r="AZ149" s="412"/>
      <c r="BA149" s="350"/>
      <c r="BB149" s="350"/>
      <c r="BC149" s="350"/>
      <c r="BD149" s="350"/>
      <c r="BE149" s="350"/>
      <c r="BF149" s="350"/>
      <c r="BG149" s="350"/>
      <c r="BH149" s="350"/>
      <c r="BI149" s="350"/>
      <c r="BJ149" s="350"/>
      <c r="BK149" s="350"/>
      <c r="BL149" s="350"/>
      <c r="BM149" s="350"/>
      <c r="BN149" s="350"/>
      <c r="BO149" s="351"/>
    </row>
    <row r="150" spans="1:67" ht="34.5" customHeight="1">
      <c r="A150" s="98">
        <f t="shared" si="0"/>
        <v>138</v>
      </c>
      <c r="B150" s="416" t="s">
        <v>325</v>
      </c>
      <c r="C150" s="351"/>
      <c r="D150" s="594"/>
      <c r="E150" s="350"/>
      <c r="F150" s="350"/>
      <c r="G150" s="350"/>
      <c r="H150" s="351"/>
      <c r="I150" s="368"/>
      <c r="J150" s="350"/>
      <c r="K150" s="350"/>
      <c r="L150" s="350"/>
      <c r="M150" s="350"/>
      <c r="N150" s="350"/>
      <c r="O150" s="350"/>
      <c r="P150" s="351"/>
      <c r="Q150" s="511"/>
      <c r="R150" s="350"/>
      <c r="S150" s="350"/>
      <c r="T150" s="350"/>
      <c r="U150" s="350"/>
      <c r="V150" s="350"/>
      <c r="W150" s="350"/>
      <c r="X150" s="351"/>
      <c r="Y150" s="368"/>
      <c r="Z150" s="351"/>
      <c r="AA150" s="511"/>
      <c r="AB150" s="350"/>
      <c r="AC150" s="350"/>
      <c r="AD150" s="351"/>
      <c r="AE150" s="368"/>
      <c r="AF150" s="350"/>
      <c r="AG150" s="351"/>
      <c r="AH150" s="511"/>
      <c r="AI150" s="350"/>
      <c r="AJ150" s="351"/>
      <c r="AK150" s="368"/>
      <c r="AL150" s="350"/>
      <c r="AM150" s="350"/>
      <c r="AN150" s="351"/>
      <c r="AO150" s="511"/>
      <c r="AP150" s="350"/>
      <c r="AQ150" s="350"/>
      <c r="AR150" s="350"/>
      <c r="AS150" s="350"/>
      <c r="AT150" s="350"/>
      <c r="AU150" s="350"/>
      <c r="AV150" s="351"/>
      <c r="AW150" s="725"/>
      <c r="AX150" s="350"/>
      <c r="AY150" s="351"/>
      <c r="AZ150" s="511"/>
      <c r="BA150" s="350"/>
      <c r="BB150" s="350"/>
      <c r="BC150" s="350"/>
      <c r="BD150" s="350"/>
      <c r="BE150" s="350"/>
      <c r="BF150" s="350"/>
      <c r="BG150" s="350"/>
      <c r="BH150" s="350"/>
      <c r="BI150" s="350"/>
      <c r="BJ150" s="350"/>
      <c r="BK150" s="350"/>
      <c r="BL150" s="350"/>
      <c r="BM150" s="350"/>
      <c r="BN150" s="350"/>
      <c r="BO150" s="351"/>
    </row>
    <row r="151" spans="1:67" ht="34.5" customHeight="1">
      <c r="A151" s="98">
        <f t="shared" si="0"/>
        <v>139</v>
      </c>
      <c r="B151" s="416" t="s">
        <v>325</v>
      </c>
      <c r="C151" s="351"/>
      <c r="D151" s="724"/>
      <c r="E151" s="350"/>
      <c r="F151" s="350"/>
      <c r="G151" s="350"/>
      <c r="H151" s="351"/>
      <c r="I151" s="412"/>
      <c r="J151" s="350"/>
      <c r="K151" s="350"/>
      <c r="L151" s="350"/>
      <c r="M151" s="350"/>
      <c r="N151" s="350"/>
      <c r="O151" s="350"/>
      <c r="P151" s="351"/>
      <c r="Q151" s="412"/>
      <c r="R151" s="350"/>
      <c r="S151" s="350"/>
      <c r="T151" s="350"/>
      <c r="U151" s="350"/>
      <c r="V151" s="350"/>
      <c r="W151" s="350"/>
      <c r="X151" s="351"/>
      <c r="Y151" s="412"/>
      <c r="Z151" s="351"/>
      <c r="AA151" s="412"/>
      <c r="AB151" s="350"/>
      <c r="AC151" s="350"/>
      <c r="AD151" s="351"/>
      <c r="AE151" s="412"/>
      <c r="AF151" s="350"/>
      <c r="AG151" s="351"/>
      <c r="AH151" s="412"/>
      <c r="AI151" s="350"/>
      <c r="AJ151" s="351"/>
      <c r="AK151" s="412"/>
      <c r="AL151" s="350"/>
      <c r="AM151" s="350"/>
      <c r="AN151" s="351"/>
      <c r="AO151" s="412"/>
      <c r="AP151" s="350"/>
      <c r="AQ151" s="350"/>
      <c r="AR151" s="350"/>
      <c r="AS151" s="350"/>
      <c r="AT151" s="350"/>
      <c r="AU151" s="350"/>
      <c r="AV151" s="351"/>
      <c r="AW151" s="723"/>
      <c r="AX151" s="350"/>
      <c r="AY151" s="351"/>
      <c r="AZ151" s="412"/>
      <c r="BA151" s="350"/>
      <c r="BB151" s="350"/>
      <c r="BC151" s="350"/>
      <c r="BD151" s="350"/>
      <c r="BE151" s="350"/>
      <c r="BF151" s="350"/>
      <c r="BG151" s="350"/>
      <c r="BH151" s="350"/>
      <c r="BI151" s="350"/>
      <c r="BJ151" s="350"/>
      <c r="BK151" s="350"/>
      <c r="BL151" s="350"/>
      <c r="BM151" s="350"/>
      <c r="BN151" s="350"/>
      <c r="BO151" s="351"/>
    </row>
    <row r="152" spans="1:67" ht="34.5" customHeight="1">
      <c r="A152" s="98">
        <f t="shared" si="0"/>
        <v>140</v>
      </c>
      <c r="B152" s="416" t="s">
        <v>325</v>
      </c>
      <c r="C152" s="351"/>
      <c r="D152" s="594"/>
      <c r="E152" s="350"/>
      <c r="F152" s="350"/>
      <c r="G152" s="350"/>
      <c r="H152" s="351"/>
      <c r="I152" s="368"/>
      <c r="J152" s="350"/>
      <c r="K152" s="350"/>
      <c r="L152" s="350"/>
      <c r="M152" s="350"/>
      <c r="N152" s="350"/>
      <c r="O152" s="350"/>
      <c r="P152" s="351"/>
      <c r="Q152" s="511"/>
      <c r="R152" s="350"/>
      <c r="S152" s="350"/>
      <c r="T152" s="350"/>
      <c r="U152" s="350"/>
      <c r="V152" s="350"/>
      <c r="W152" s="350"/>
      <c r="X152" s="351"/>
      <c r="Y152" s="368"/>
      <c r="Z152" s="351"/>
      <c r="AA152" s="511"/>
      <c r="AB152" s="350"/>
      <c r="AC152" s="350"/>
      <c r="AD152" s="351"/>
      <c r="AE152" s="368"/>
      <c r="AF152" s="350"/>
      <c r="AG152" s="351"/>
      <c r="AH152" s="511"/>
      <c r="AI152" s="350"/>
      <c r="AJ152" s="351"/>
      <c r="AK152" s="368"/>
      <c r="AL152" s="350"/>
      <c r="AM152" s="350"/>
      <c r="AN152" s="351"/>
      <c r="AO152" s="511"/>
      <c r="AP152" s="350"/>
      <c r="AQ152" s="350"/>
      <c r="AR152" s="350"/>
      <c r="AS152" s="350"/>
      <c r="AT152" s="350"/>
      <c r="AU152" s="350"/>
      <c r="AV152" s="351"/>
      <c r="AW152" s="725"/>
      <c r="AX152" s="350"/>
      <c r="AY152" s="351"/>
      <c r="AZ152" s="511"/>
      <c r="BA152" s="350"/>
      <c r="BB152" s="350"/>
      <c r="BC152" s="350"/>
      <c r="BD152" s="350"/>
      <c r="BE152" s="350"/>
      <c r="BF152" s="350"/>
      <c r="BG152" s="350"/>
      <c r="BH152" s="350"/>
      <c r="BI152" s="350"/>
      <c r="BJ152" s="350"/>
      <c r="BK152" s="350"/>
      <c r="BL152" s="350"/>
      <c r="BM152" s="350"/>
      <c r="BN152" s="350"/>
      <c r="BO152" s="351"/>
    </row>
    <row r="153" spans="1:67" ht="34.5" customHeight="1">
      <c r="A153" s="98">
        <f t="shared" si="0"/>
        <v>141</v>
      </c>
      <c r="B153" s="416" t="s">
        <v>325</v>
      </c>
      <c r="C153" s="351"/>
      <c r="D153" s="724"/>
      <c r="E153" s="350"/>
      <c r="F153" s="350"/>
      <c r="G153" s="350"/>
      <c r="H153" s="351"/>
      <c r="I153" s="412"/>
      <c r="J153" s="350"/>
      <c r="K153" s="350"/>
      <c r="L153" s="350"/>
      <c r="M153" s="350"/>
      <c r="N153" s="350"/>
      <c r="O153" s="350"/>
      <c r="P153" s="351"/>
      <c r="Q153" s="412"/>
      <c r="R153" s="350"/>
      <c r="S153" s="350"/>
      <c r="T153" s="350"/>
      <c r="U153" s="350"/>
      <c r="V153" s="350"/>
      <c r="W153" s="350"/>
      <c r="X153" s="351"/>
      <c r="Y153" s="412"/>
      <c r="Z153" s="351"/>
      <c r="AA153" s="412"/>
      <c r="AB153" s="350"/>
      <c r="AC153" s="350"/>
      <c r="AD153" s="351"/>
      <c r="AE153" s="412"/>
      <c r="AF153" s="350"/>
      <c r="AG153" s="351"/>
      <c r="AH153" s="412"/>
      <c r="AI153" s="350"/>
      <c r="AJ153" s="351"/>
      <c r="AK153" s="412"/>
      <c r="AL153" s="350"/>
      <c r="AM153" s="350"/>
      <c r="AN153" s="351"/>
      <c r="AO153" s="412"/>
      <c r="AP153" s="350"/>
      <c r="AQ153" s="350"/>
      <c r="AR153" s="350"/>
      <c r="AS153" s="350"/>
      <c r="AT153" s="350"/>
      <c r="AU153" s="350"/>
      <c r="AV153" s="351"/>
      <c r="AW153" s="723"/>
      <c r="AX153" s="350"/>
      <c r="AY153" s="351"/>
      <c r="AZ153" s="412"/>
      <c r="BA153" s="350"/>
      <c r="BB153" s="350"/>
      <c r="BC153" s="350"/>
      <c r="BD153" s="350"/>
      <c r="BE153" s="350"/>
      <c r="BF153" s="350"/>
      <c r="BG153" s="350"/>
      <c r="BH153" s="350"/>
      <c r="BI153" s="350"/>
      <c r="BJ153" s="350"/>
      <c r="BK153" s="350"/>
      <c r="BL153" s="350"/>
      <c r="BM153" s="350"/>
      <c r="BN153" s="350"/>
      <c r="BO153" s="351"/>
    </row>
    <row r="154" spans="1:67" ht="34.5" customHeight="1">
      <c r="A154" s="98">
        <f t="shared" si="0"/>
        <v>142</v>
      </c>
      <c r="B154" s="416" t="s">
        <v>325</v>
      </c>
      <c r="C154" s="351"/>
      <c r="D154" s="594"/>
      <c r="E154" s="350"/>
      <c r="F154" s="350"/>
      <c r="G154" s="350"/>
      <c r="H154" s="351"/>
      <c r="I154" s="368"/>
      <c r="J154" s="350"/>
      <c r="K154" s="350"/>
      <c r="L154" s="350"/>
      <c r="M154" s="350"/>
      <c r="N154" s="350"/>
      <c r="O154" s="350"/>
      <c r="P154" s="351"/>
      <c r="Q154" s="511"/>
      <c r="R154" s="350"/>
      <c r="S154" s="350"/>
      <c r="T154" s="350"/>
      <c r="U154" s="350"/>
      <c r="V154" s="350"/>
      <c r="W154" s="350"/>
      <c r="X154" s="351"/>
      <c r="Y154" s="368"/>
      <c r="Z154" s="351"/>
      <c r="AA154" s="511"/>
      <c r="AB154" s="350"/>
      <c r="AC154" s="350"/>
      <c r="AD154" s="351"/>
      <c r="AE154" s="368"/>
      <c r="AF154" s="350"/>
      <c r="AG154" s="351"/>
      <c r="AH154" s="511"/>
      <c r="AI154" s="350"/>
      <c r="AJ154" s="351"/>
      <c r="AK154" s="368"/>
      <c r="AL154" s="350"/>
      <c r="AM154" s="350"/>
      <c r="AN154" s="351"/>
      <c r="AO154" s="511"/>
      <c r="AP154" s="350"/>
      <c r="AQ154" s="350"/>
      <c r="AR154" s="350"/>
      <c r="AS154" s="350"/>
      <c r="AT154" s="350"/>
      <c r="AU154" s="350"/>
      <c r="AV154" s="351"/>
      <c r="AW154" s="725"/>
      <c r="AX154" s="350"/>
      <c r="AY154" s="351"/>
      <c r="AZ154" s="511"/>
      <c r="BA154" s="350"/>
      <c r="BB154" s="350"/>
      <c r="BC154" s="350"/>
      <c r="BD154" s="350"/>
      <c r="BE154" s="350"/>
      <c r="BF154" s="350"/>
      <c r="BG154" s="350"/>
      <c r="BH154" s="350"/>
      <c r="BI154" s="350"/>
      <c r="BJ154" s="350"/>
      <c r="BK154" s="350"/>
      <c r="BL154" s="350"/>
      <c r="BM154" s="350"/>
      <c r="BN154" s="350"/>
      <c r="BO154" s="351"/>
    </row>
    <row r="155" spans="1:67" ht="34.5" customHeight="1">
      <c r="A155" s="98">
        <f t="shared" si="0"/>
        <v>143</v>
      </c>
      <c r="B155" s="416" t="s">
        <v>325</v>
      </c>
      <c r="C155" s="351"/>
      <c r="D155" s="724"/>
      <c r="E155" s="350"/>
      <c r="F155" s="350"/>
      <c r="G155" s="350"/>
      <c r="H155" s="351"/>
      <c r="I155" s="412"/>
      <c r="J155" s="350"/>
      <c r="K155" s="350"/>
      <c r="L155" s="350"/>
      <c r="M155" s="350"/>
      <c r="N155" s="350"/>
      <c r="O155" s="350"/>
      <c r="P155" s="351"/>
      <c r="Q155" s="412"/>
      <c r="R155" s="350"/>
      <c r="S155" s="350"/>
      <c r="T155" s="350"/>
      <c r="U155" s="350"/>
      <c r="V155" s="350"/>
      <c r="W155" s="350"/>
      <c r="X155" s="351"/>
      <c r="Y155" s="412"/>
      <c r="Z155" s="351"/>
      <c r="AA155" s="412"/>
      <c r="AB155" s="350"/>
      <c r="AC155" s="350"/>
      <c r="AD155" s="351"/>
      <c r="AE155" s="412"/>
      <c r="AF155" s="350"/>
      <c r="AG155" s="351"/>
      <c r="AH155" s="412"/>
      <c r="AI155" s="350"/>
      <c r="AJ155" s="351"/>
      <c r="AK155" s="412"/>
      <c r="AL155" s="350"/>
      <c r="AM155" s="350"/>
      <c r="AN155" s="351"/>
      <c r="AO155" s="412"/>
      <c r="AP155" s="350"/>
      <c r="AQ155" s="350"/>
      <c r="AR155" s="350"/>
      <c r="AS155" s="350"/>
      <c r="AT155" s="350"/>
      <c r="AU155" s="350"/>
      <c r="AV155" s="351"/>
      <c r="AW155" s="723"/>
      <c r="AX155" s="350"/>
      <c r="AY155" s="351"/>
      <c r="AZ155" s="412"/>
      <c r="BA155" s="350"/>
      <c r="BB155" s="350"/>
      <c r="BC155" s="350"/>
      <c r="BD155" s="350"/>
      <c r="BE155" s="350"/>
      <c r="BF155" s="350"/>
      <c r="BG155" s="350"/>
      <c r="BH155" s="350"/>
      <c r="BI155" s="350"/>
      <c r="BJ155" s="350"/>
      <c r="BK155" s="350"/>
      <c r="BL155" s="350"/>
      <c r="BM155" s="350"/>
      <c r="BN155" s="350"/>
      <c r="BO155" s="351"/>
    </row>
    <row r="156" spans="1:67" ht="34.5" customHeight="1">
      <c r="A156" s="98">
        <f t="shared" si="0"/>
        <v>144</v>
      </c>
      <c r="B156" s="416" t="s">
        <v>325</v>
      </c>
      <c r="C156" s="351"/>
      <c r="D156" s="594"/>
      <c r="E156" s="350"/>
      <c r="F156" s="350"/>
      <c r="G156" s="350"/>
      <c r="H156" s="351"/>
      <c r="I156" s="368"/>
      <c r="J156" s="350"/>
      <c r="K156" s="350"/>
      <c r="L156" s="350"/>
      <c r="M156" s="350"/>
      <c r="N156" s="350"/>
      <c r="O156" s="350"/>
      <c r="P156" s="351"/>
      <c r="Q156" s="511"/>
      <c r="R156" s="350"/>
      <c r="S156" s="350"/>
      <c r="T156" s="350"/>
      <c r="U156" s="350"/>
      <c r="V156" s="350"/>
      <c r="W156" s="350"/>
      <c r="X156" s="351"/>
      <c r="Y156" s="368"/>
      <c r="Z156" s="351"/>
      <c r="AA156" s="511"/>
      <c r="AB156" s="350"/>
      <c r="AC156" s="350"/>
      <c r="AD156" s="351"/>
      <c r="AE156" s="368"/>
      <c r="AF156" s="350"/>
      <c r="AG156" s="351"/>
      <c r="AH156" s="511"/>
      <c r="AI156" s="350"/>
      <c r="AJ156" s="351"/>
      <c r="AK156" s="368"/>
      <c r="AL156" s="350"/>
      <c r="AM156" s="350"/>
      <c r="AN156" s="351"/>
      <c r="AO156" s="511"/>
      <c r="AP156" s="350"/>
      <c r="AQ156" s="350"/>
      <c r="AR156" s="350"/>
      <c r="AS156" s="350"/>
      <c r="AT156" s="350"/>
      <c r="AU156" s="350"/>
      <c r="AV156" s="351"/>
      <c r="AW156" s="725"/>
      <c r="AX156" s="350"/>
      <c r="AY156" s="351"/>
      <c r="AZ156" s="511"/>
      <c r="BA156" s="350"/>
      <c r="BB156" s="350"/>
      <c r="BC156" s="350"/>
      <c r="BD156" s="350"/>
      <c r="BE156" s="350"/>
      <c r="BF156" s="350"/>
      <c r="BG156" s="350"/>
      <c r="BH156" s="350"/>
      <c r="BI156" s="350"/>
      <c r="BJ156" s="350"/>
      <c r="BK156" s="350"/>
      <c r="BL156" s="350"/>
      <c r="BM156" s="350"/>
      <c r="BN156" s="350"/>
      <c r="BO156" s="351"/>
    </row>
    <row r="157" spans="1:67" ht="34.5" customHeight="1">
      <c r="A157" s="98">
        <f t="shared" si="0"/>
        <v>145</v>
      </c>
      <c r="B157" s="416" t="s">
        <v>325</v>
      </c>
      <c r="C157" s="351"/>
      <c r="D157" s="724"/>
      <c r="E157" s="350"/>
      <c r="F157" s="350"/>
      <c r="G157" s="350"/>
      <c r="H157" s="351"/>
      <c r="I157" s="412"/>
      <c r="J157" s="350"/>
      <c r="K157" s="350"/>
      <c r="L157" s="350"/>
      <c r="M157" s="350"/>
      <c r="N157" s="350"/>
      <c r="O157" s="350"/>
      <c r="P157" s="351"/>
      <c r="Q157" s="412"/>
      <c r="R157" s="350"/>
      <c r="S157" s="350"/>
      <c r="T157" s="350"/>
      <c r="U157" s="350"/>
      <c r="V157" s="350"/>
      <c r="W157" s="350"/>
      <c r="X157" s="351"/>
      <c r="Y157" s="412"/>
      <c r="Z157" s="351"/>
      <c r="AA157" s="412"/>
      <c r="AB157" s="350"/>
      <c r="AC157" s="350"/>
      <c r="AD157" s="351"/>
      <c r="AE157" s="412"/>
      <c r="AF157" s="350"/>
      <c r="AG157" s="351"/>
      <c r="AH157" s="412"/>
      <c r="AI157" s="350"/>
      <c r="AJ157" s="351"/>
      <c r="AK157" s="412"/>
      <c r="AL157" s="350"/>
      <c r="AM157" s="350"/>
      <c r="AN157" s="351"/>
      <c r="AO157" s="412"/>
      <c r="AP157" s="350"/>
      <c r="AQ157" s="350"/>
      <c r="AR157" s="350"/>
      <c r="AS157" s="350"/>
      <c r="AT157" s="350"/>
      <c r="AU157" s="350"/>
      <c r="AV157" s="351"/>
      <c r="AW157" s="723"/>
      <c r="AX157" s="350"/>
      <c r="AY157" s="351"/>
      <c r="AZ157" s="412"/>
      <c r="BA157" s="350"/>
      <c r="BB157" s="350"/>
      <c r="BC157" s="350"/>
      <c r="BD157" s="350"/>
      <c r="BE157" s="350"/>
      <c r="BF157" s="350"/>
      <c r="BG157" s="350"/>
      <c r="BH157" s="350"/>
      <c r="BI157" s="350"/>
      <c r="BJ157" s="350"/>
      <c r="BK157" s="350"/>
      <c r="BL157" s="350"/>
      <c r="BM157" s="350"/>
      <c r="BN157" s="350"/>
      <c r="BO157" s="351"/>
    </row>
    <row r="158" spans="1:67" ht="34.5" customHeight="1">
      <c r="A158" s="98">
        <f t="shared" si="0"/>
        <v>146</v>
      </c>
      <c r="B158" s="726" t="s">
        <v>325</v>
      </c>
      <c r="C158" s="351"/>
      <c r="D158" s="594"/>
      <c r="E158" s="350"/>
      <c r="F158" s="350"/>
      <c r="G158" s="350"/>
      <c r="H158" s="351"/>
      <c r="I158" s="368"/>
      <c r="J158" s="350"/>
      <c r="K158" s="350"/>
      <c r="L158" s="350"/>
      <c r="M158" s="350"/>
      <c r="N158" s="350"/>
      <c r="O158" s="350"/>
      <c r="P158" s="351"/>
      <c r="Q158" s="511"/>
      <c r="R158" s="350"/>
      <c r="S158" s="350"/>
      <c r="T158" s="350"/>
      <c r="U158" s="350"/>
      <c r="V158" s="350"/>
      <c r="W158" s="350"/>
      <c r="X158" s="351"/>
      <c r="Y158" s="368"/>
      <c r="Z158" s="351"/>
      <c r="AA158" s="511"/>
      <c r="AB158" s="350"/>
      <c r="AC158" s="350"/>
      <c r="AD158" s="351"/>
      <c r="AE158" s="368"/>
      <c r="AF158" s="350"/>
      <c r="AG158" s="351"/>
      <c r="AH158" s="511"/>
      <c r="AI158" s="350"/>
      <c r="AJ158" s="351"/>
      <c r="AK158" s="368"/>
      <c r="AL158" s="350"/>
      <c r="AM158" s="350"/>
      <c r="AN158" s="351"/>
      <c r="AO158" s="511"/>
      <c r="AP158" s="350"/>
      <c r="AQ158" s="350"/>
      <c r="AR158" s="350"/>
      <c r="AS158" s="350"/>
      <c r="AT158" s="350"/>
      <c r="AU158" s="350"/>
      <c r="AV158" s="351"/>
      <c r="AW158" s="725"/>
      <c r="AX158" s="350"/>
      <c r="AY158" s="351"/>
      <c r="AZ158" s="511"/>
      <c r="BA158" s="350"/>
      <c r="BB158" s="350"/>
      <c r="BC158" s="350"/>
      <c r="BD158" s="350"/>
      <c r="BE158" s="350"/>
      <c r="BF158" s="350"/>
      <c r="BG158" s="350"/>
      <c r="BH158" s="350"/>
      <c r="BI158" s="350"/>
      <c r="BJ158" s="350"/>
      <c r="BK158" s="350"/>
      <c r="BL158" s="350"/>
      <c r="BM158" s="350"/>
      <c r="BN158" s="350"/>
      <c r="BO158" s="351"/>
    </row>
    <row r="159" spans="1:67" ht="34.5" customHeight="1">
      <c r="A159" s="98">
        <f t="shared" si="0"/>
        <v>147</v>
      </c>
      <c r="B159" s="416" t="s">
        <v>325</v>
      </c>
      <c r="C159" s="351"/>
      <c r="D159" s="724"/>
      <c r="E159" s="350"/>
      <c r="F159" s="350"/>
      <c r="G159" s="350"/>
      <c r="H159" s="351"/>
      <c r="I159" s="412"/>
      <c r="J159" s="350"/>
      <c r="K159" s="350"/>
      <c r="L159" s="350"/>
      <c r="M159" s="350"/>
      <c r="N159" s="350"/>
      <c r="O159" s="350"/>
      <c r="P159" s="351"/>
      <c r="Q159" s="412"/>
      <c r="R159" s="350"/>
      <c r="S159" s="350"/>
      <c r="T159" s="350"/>
      <c r="U159" s="350"/>
      <c r="V159" s="350"/>
      <c r="W159" s="350"/>
      <c r="X159" s="351"/>
      <c r="Y159" s="412"/>
      <c r="Z159" s="351"/>
      <c r="AA159" s="412"/>
      <c r="AB159" s="350"/>
      <c r="AC159" s="350"/>
      <c r="AD159" s="351"/>
      <c r="AE159" s="412"/>
      <c r="AF159" s="350"/>
      <c r="AG159" s="351"/>
      <c r="AH159" s="412"/>
      <c r="AI159" s="350"/>
      <c r="AJ159" s="351"/>
      <c r="AK159" s="412"/>
      <c r="AL159" s="350"/>
      <c r="AM159" s="350"/>
      <c r="AN159" s="351"/>
      <c r="AO159" s="412"/>
      <c r="AP159" s="350"/>
      <c r="AQ159" s="350"/>
      <c r="AR159" s="350"/>
      <c r="AS159" s="350"/>
      <c r="AT159" s="350"/>
      <c r="AU159" s="350"/>
      <c r="AV159" s="351"/>
      <c r="AW159" s="723"/>
      <c r="AX159" s="350"/>
      <c r="AY159" s="351"/>
      <c r="AZ159" s="412"/>
      <c r="BA159" s="350"/>
      <c r="BB159" s="350"/>
      <c r="BC159" s="350"/>
      <c r="BD159" s="350"/>
      <c r="BE159" s="350"/>
      <c r="BF159" s="350"/>
      <c r="BG159" s="350"/>
      <c r="BH159" s="350"/>
      <c r="BI159" s="350"/>
      <c r="BJ159" s="350"/>
      <c r="BK159" s="350"/>
      <c r="BL159" s="350"/>
      <c r="BM159" s="350"/>
      <c r="BN159" s="350"/>
      <c r="BO159" s="351"/>
    </row>
    <row r="160" spans="1:67" ht="34.5" customHeight="1">
      <c r="A160" s="98">
        <f t="shared" si="0"/>
        <v>148</v>
      </c>
      <c r="B160" s="416" t="s">
        <v>325</v>
      </c>
      <c r="C160" s="351"/>
      <c r="D160" s="594"/>
      <c r="E160" s="350"/>
      <c r="F160" s="350"/>
      <c r="G160" s="350"/>
      <c r="H160" s="351"/>
      <c r="I160" s="368"/>
      <c r="J160" s="350"/>
      <c r="K160" s="350"/>
      <c r="L160" s="350"/>
      <c r="M160" s="350"/>
      <c r="N160" s="350"/>
      <c r="O160" s="350"/>
      <c r="P160" s="351"/>
      <c r="Q160" s="511"/>
      <c r="R160" s="350"/>
      <c r="S160" s="350"/>
      <c r="T160" s="350"/>
      <c r="U160" s="350"/>
      <c r="V160" s="350"/>
      <c r="W160" s="350"/>
      <c r="X160" s="351"/>
      <c r="Y160" s="368"/>
      <c r="Z160" s="351"/>
      <c r="AA160" s="511"/>
      <c r="AB160" s="350"/>
      <c r="AC160" s="350"/>
      <c r="AD160" s="351"/>
      <c r="AE160" s="368"/>
      <c r="AF160" s="350"/>
      <c r="AG160" s="351"/>
      <c r="AH160" s="511"/>
      <c r="AI160" s="350"/>
      <c r="AJ160" s="351"/>
      <c r="AK160" s="368"/>
      <c r="AL160" s="350"/>
      <c r="AM160" s="350"/>
      <c r="AN160" s="351"/>
      <c r="AO160" s="511"/>
      <c r="AP160" s="350"/>
      <c r="AQ160" s="350"/>
      <c r="AR160" s="350"/>
      <c r="AS160" s="350"/>
      <c r="AT160" s="350"/>
      <c r="AU160" s="350"/>
      <c r="AV160" s="351"/>
      <c r="AW160" s="725"/>
      <c r="AX160" s="350"/>
      <c r="AY160" s="351"/>
      <c r="AZ160" s="511"/>
      <c r="BA160" s="350"/>
      <c r="BB160" s="350"/>
      <c r="BC160" s="350"/>
      <c r="BD160" s="350"/>
      <c r="BE160" s="350"/>
      <c r="BF160" s="350"/>
      <c r="BG160" s="350"/>
      <c r="BH160" s="350"/>
      <c r="BI160" s="350"/>
      <c r="BJ160" s="350"/>
      <c r="BK160" s="350"/>
      <c r="BL160" s="350"/>
      <c r="BM160" s="350"/>
      <c r="BN160" s="350"/>
      <c r="BO160" s="351"/>
    </row>
    <row r="161" spans="1:67" ht="34.5" customHeight="1">
      <c r="A161" s="98">
        <f t="shared" si="0"/>
        <v>149</v>
      </c>
      <c r="B161" s="416" t="s">
        <v>325</v>
      </c>
      <c r="C161" s="351"/>
      <c r="D161" s="724"/>
      <c r="E161" s="350"/>
      <c r="F161" s="350"/>
      <c r="G161" s="350"/>
      <c r="H161" s="351"/>
      <c r="I161" s="412"/>
      <c r="J161" s="350"/>
      <c r="K161" s="350"/>
      <c r="L161" s="350"/>
      <c r="M161" s="350"/>
      <c r="N161" s="350"/>
      <c r="O161" s="350"/>
      <c r="P161" s="351"/>
      <c r="Q161" s="412"/>
      <c r="R161" s="350"/>
      <c r="S161" s="350"/>
      <c r="T161" s="350"/>
      <c r="U161" s="350"/>
      <c r="V161" s="350"/>
      <c r="W161" s="350"/>
      <c r="X161" s="351"/>
      <c r="Y161" s="412"/>
      <c r="Z161" s="351"/>
      <c r="AA161" s="412"/>
      <c r="AB161" s="350"/>
      <c r="AC161" s="350"/>
      <c r="AD161" s="351"/>
      <c r="AE161" s="412"/>
      <c r="AF161" s="350"/>
      <c r="AG161" s="351"/>
      <c r="AH161" s="412"/>
      <c r="AI161" s="350"/>
      <c r="AJ161" s="351"/>
      <c r="AK161" s="412"/>
      <c r="AL161" s="350"/>
      <c r="AM161" s="350"/>
      <c r="AN161" s="351"/>
      <c r="AO161" s="412"/>
      <c r="AP161" s="350"/>
      <c r="AQ161" s="350"/>
      <c r="AR161" s="350"/>
      <c r="AS161" s="350"/>
      <c r="AT161" s="350"/>
      <c r="AU161" s="350"/>
      <c r="AV161" s="351"/>
      <c r="AW161" s="723"/>
      <c r="AX161" s="350"/>
      <c r="AY161" s="351"/>
      <c r="AZ161" s="412"/>
      <c r="BA161" s="350"/>
      <c r="BB161" s="350"/>
      <c r="BC161" s="350"/>
      <c r="BD161" s="350"/>
      <c r="BE161" s="350"/>
      <c r="BF161" s="350"/>
      <c r="BG161" s="350"/>
      <c r="BH161" s="350"/>
      <c r="BI161" s="350"/>
      <c r="BJ161" s="350"/>
      <c r="BK161" s="350"/>
      <c r="BL161" s="350"/>
      <c r="BM161" s="350"/>
      <c r="BN161" s="350"/>
      <c r="BO161" s="351"/>
    </row>
    <row r="162" spans="1:67" ht="34.5" customHeight="1">
      <c r="A162" s="98">
        <f t="shared" si="0"/>
        <v>150</v>
      </c>
      <c r="B162" s="416" t="s">
        <v>325</v>
      </c>
      <c r="C162" s="351"/>
      <c r="D162" s="594"/>
      <c r="E162" s="350"/>
      <c r="F162" s="350"/>
      <c r="G162" s="350"/>
      <c r="H162" s="351"/>
      <c r="I162" s="368"/>
      <c r="J162" s="350"/>
      <c r="K162" s="350"/>
      <c r="L162" s="350"/>
      <c r="M162" s="350"/>
      <c r="N162" s="350"/>
      <c r="O162" s="350"/>
      <c r="P162" s="351"/>
      <c r="Q162" s="511"/>
      <c r="R162" s="350"/>
      <c r="S162" s="350"/>
      <c r="T162" s="350"/>
      <c r="U162" s="350"/>
      <c r="V162" s="350"/>
      <c r="W162" s="350"/>
      <c r="X162" s="351"/>
      <c r="Y162" s="368"/>
      <c r="Z162" s="351"/>
      <c r="AA162" s="511"/>
      <c r="AB162" s="350"/>
      <c r="AC162" s="350"/>
      <c r="AD162" s="351"/>
      <c r="AE162" s="368"/>
      <c r="AF162" s="350"/>
      <c r="AG162" s="351"/>
      <c r="AH162" s="511"/>
      <c r="AI162" s="350"/>
      <c r="AJ162" s="351"/>
      <c r="AK162" s="368"/>
      <c r="AL162" s="350"/>
      <c r="AM162" s="350"/>
      <c r="AN162" s="351"/>
      <c r="AO162" s="511"/>
      <c r="AP162" s="350"/>
      <c r="AQ162" s="350"/>
      <c r="AR162" s="350"/>
      <c r="AS162" s="350"/>
      <c r="AT162" s="350"/>
      <c r="AU162" s="350"/>
      <c r="AV162" s="351"/>
      <c r="AW162" s="725"/>
      <c r="AX162" s="350"/>
      <c r="AY162" s="351"/>
      <c r="AZ162" s="511"/>
      <c r="BA162" s="350"/>
      <c r="BB162" s="350"/>
      <c r="BC162" s="350"/>
      <c r="BD162" s="350"/>
      <c r="BE162" s="350"/>
      <c r="BF162" s="350"/>
      <c r="BG162" s="350"/>
      <c r="BH162" s="350"/>
      <c r="BI162" s="350"/>
      <c r="BJ162" s="350"/>
      <c r="BK162" s="350"/>
      <c r="BL162" s="350"/>
      <c r="BM162" s="350"/>
      <c r="BN162" s="350"/>
      <c r="BO162" s="351"/>
    </row>
    <row r="163" spans="1:67" ht="34.5" customHeight="1">
      <c r="A163" s="98">
        <f t="shared" si="0"/>
        <v>151</v>
      </c>
      <c r="B163" s="416" t="s">
        <v>325</v>
      </c>
      <c r="C163" s="351"/>
      <c r="D163" s="724"/>
      <c r="E163" s="350"/>
      <c r="F163" s="350"/>
      <c r="G163" s="350"/>
      <c r="H163" s="351"/>
      <c r="I163" s="412"/>
      <c r="J163" s="350"/>
      <c r="K163" s="350"/>
      <c r="L163" s="350"/>
      <c r="M163" s="350"/>
      <c r="N163" s="350"/>
      <c r="O163" s="350"/>
      <c r="P163" s="351"/>
      <c r="Q163" s="412"/>
      <c r="R163" s="350"/>
      <c r="S163" s="350"/>
      <c r="T163" s="350"/>
      <c r="U163" s="350"/>
      <c r="V163" s="350"/>
      <c r="W163" s="350"/>
      <c r="X163" s="351"/>
      <c r="Y163" s="412"/>
      <c r="Z163" s="351"/>
      <c r="AA163" s="412"/>
      <c r="AB163" s="350"/>
      <c r="AC163" s="350"/>
      <c r="AD163" s="351"/>
      <c r="AE163" s="412"/>
      <c r="AF163" s="350"/>
      <c r="AG163" s="351"/>
      <c r="AH163" s="412"/>
      <c r="AI163" s="350"/>
      <c r="AJ163" s="351"/>
      <c r="AK163" s="412"/>
      <c r="AL163" s="350"/>
      <c r="AM163" s="350"/>
      <c r="AN163" s="351"/>
      <c r="AO163" s="412"/>
      <c r="AP163" s="350"/>
      <c r="AQ163" s="350"/>
      <c r="AR163" s="350"/>
      <c r="AS163" s="350"/>
      <c r="AT163" s="350"/>
      <c r="AU163" s="350"/>
      <c r="AV163" s="351"/>
      <c r="AW163" s="723"/>
      <c r="AX163" s="350"/>
      <c r="AY163" s="351"/>
      <c r="AZ163" s="412"/>
      <c r="BA163" s="350"/>
      <c r="BB163" s="350"/>
      <c r="BC163" s="350"/>
      <c r="BD163" s="350"/>
      <c r="BE163" s="350"/>
      <c r="BF163" s="350"/>
      <c r="BG163" s="350"/>
      <c r="BH163" s="350"/>
      <c r="BI163" s="350"/>
      <c r="BJ163" s="350"/>
      <c r="BK163" s="350"/>
      <c r="BL163" s="350"/>
      <c r="BM163" s="350"/>
      <c r="BN163" s="350"/>
      <c r="BO163" s="351"/>
    </row>
    <row r="164" spans="1:67" ht="34.5" customHeight="1">
      <c r="A164" s="98">
        <f t="shared" si="0"/>
        <v>152</v>
      </c>
      <c r="B164" s="416" t="s">
        <v>325</v>
      </c>
      <c r="C164" s="351"/>
      <c r="D164" s="594"/>
      <c r="E164" s="350"/>
      <c r="F164" s="350"/>
      <c r="G164" s="350"/>
      <c r="H164" s="351"/>
      <c r="I164" s="368"/>
      <c r="J164" s="350"/>
      <c r="K164" s="350"/>
      <c r="L164" s="350"/>
      <c r="M164" s="350"/>
      <c r="N164" s="350"/>
      <c r="O164" s="350"/>
      <c r="P164" s="351"/>
      <c r="Q164" s="511"/>
      <c r="R164" s="350"/>
      <c r="S164" s="350"/>
      <c r="T164" s="350"/>
      <c r="U164" s="350"/>
      <c r="V164" s="350"/>
      <c r="W164" s="350"/>
      <c r="X164" s="351"/>
      <c r="Y164" s="368"/>
      <c r="Z164" s="351"/>
      <c r="AA164" s="511"/>
      <c r="AB164" s="350"/>
      <c r="AC164" s="350"/>
      <c r="AD164" s="351"/>
      <c r="AE164" s="368"/>
      <c r="AF164" s="350"/>
      <c r="AG164" s="351"/>
      <c r="AH164" s="511"/>
      <c r="AI164" s="350"/>
      <c r="AJ164" s="351"/>
      <c r="AK164" s="368"/>
      <c r="AL164" s="350"/>
      <c r="AM164" s="350"/>
      <c r="AN164" s="351"/>
      <c r="AO164" s="511"/>
      <c r="AP164" s="350"/>
      <c r="AQ164" s="350"/>
      <c r="AR164" s="350"/>
      <c r="AS164" s="350"/>
      <c r="AT164" s="350"/>
      <c r="AU164" s="350"/>
      <c r="AV164" s="351"/>
      <c r="AW164" s="725"/>
      <c r="AX164" s="350"/>
      <c r="AY164" s="351"/>
      <c r="AZ164" s="511"/>
      <c r="BA164" s="350"/>
      <c r="BB164" s="350"/>
      <c r="BC164" s="350"/>
      <c r="BD164" s="350"/>
      <c r="BE164" s="350"/>
      <c r="BF164" s="350"/>
      <c r="BG164" s="350"/>
      <c r="BH164" s="350"/>
      <c r="BI164" s="350"/>
      <c r="BJ164" s="350"/>
      <c r="BK164" s="350"/>
      <c r="BL164" s="350"/>
      <c r="BM164" s="350"/>
      <c r="BN164" s="350"/>
      <c r="BO164" s="351"/>
    </row>
    <row r="165" spans="1:67" ht="34.5" customHeight="1">
      <c r="A165" s="98">
        <f t="shared" si="0"/>
        <v>153</v>
      </c>
      <c r="B165" s="416" t="s">
        <v>325</v>
      </c>
      <c r="C165" s="351"/>
      <c r="D165" s="724"/>
      <c r="E165" s="350"/>
      <c r="F165" s="350"/>
      <c r="G165" s="350"/>
      <c r="H165" s="351"/>
      <c r="I165" s="412"/>
      <c r="J165" s="350"/>
      <c r="K165" s="350"/>
      <c r="L165" s="350"/>
      <c r="M165" s="350"/>
      <c r="N165" s="350"/>
      <c r="O165" s="350"/>
      <c r="P165" s="351"/>
      <c r="Q165" s="412"/>
      <c r="R165" s="350"/>
      <c r="S165" s="350"/>
      <c r="T165" s="350"/>
      <c r="U165" s="350"/>
      <c r="V165" s="350"/>
      <c r="W165" s="350"/>
      <c r="X165" s="351"/>
      <c r="Y165" s="412"/>
      <c r="Z165" s="351"/>
      <c r="AA165" s="412"/>
      <c r="AB165" s="350"/>
      <c r="AC165" s="350"/>
      <c r="AD165" s="351"/>
      <c r="AE165" s="412"/>
      <c r="AF165" s="350"/>
      <c r="AG165" s="351"/>
      <c r="AH165" s="412"/>
      <c r="AI165" s="350"/>
      <c r="AJ165" s="351"/>
      <c r="AK165" s="412"/>
      <c r="AL165" s="350"/>
      <c r="AM165" s="350"/>
      <c r="AN165" s="351"/>
      <c r="AO165" s="412"/>
      <c r="AP165" s="350"/>
      <c r="AQ165" s="350"/>
      <c r="AR165" s="350"/>
      <c r="AS165" s="350"/>
      <c r="AT165" s="350"/>
      <c r="AU165" s="350"/>
      <c r="AV165" s="351"/>
      <c r="AW165" s="723"/>
      <c r="AX165" s="350"/>
      <c r="AY165" s="351"/>
      <c r="AZ165" s="412"/>
      <c r="BA165" s="350"/>
      <c r="BB165" s="350"/>
      <c r="BC165" s="350"/>
      <c r="BD165" s="350"/>
      <c r="BE165" s="350"/>
      <c r="BF165" s="350"/>
      <c r="BG165" s="350"/>
      <c r="BH165" s="350"/>
      <c r="BI165" s="350"/>
      <c r="BJ165" s="350"/>
      <c r="BK165" s="350"/>
      <c r="BL165" s="350"/>
      <c r="BM165" s="350"/>
      <c r="BN165" s="350"/>
      <c r="BO165" s="351"/>
    </row>
    <row r="166" spans="1:67" ht="34.5" customHeight="1">
      <c r="A166" s="98">
        <f t="shared" si="0"/>
        <v>154</v>
      </c>
      <c r="B166" s="416" t="s">
        <v>325</v>
      </c>
      <c r="C166" s="351"/>
      <c r="D166" s="594"/>
      <c r="E166" s="350"/>
      <c r="F166" s="350"/>
      <c r="G166" s="350"/>
      <c r="H166" s="351"/>
      <c r="I166" s="368"/>
      <c r="J166" s="350"/>
      <c r="K166" s="350"/>
      <c r="L166" s="350"/>
      <c r="M166" s="350"/>
      <c r="N166" s="350"/>
      <c r="O166" s="350"/>
      <c r="P166" s="351"/>
      <c r="Q166" s="511"/>
      <c r="R166" s="350"/>
      <c r="S166" s="350"/>
      <c r="T166" s="350"/>
      <c r="U166" s="350"/>
      <c r="V166" s="350"/>
      <c r="W166" s="350"/>
      <c r="X166" s="351"/>
      <c r="Y166" s="368"/>
      <c r="Z166" s="351"/>
      <c r="AA166" s="511"/>
      <c r="AB166" s="350"/>
      <c r="AC166" s="350"/>
      <c r="AD166" s="351"/>
      <c r="AE166" s="368"/>
      <c r="AF166" s="350"/>
      <c r="AG166" s="351"/>
      <c r="AH166" s="511"/>
      <c r="AI166" s="350"/>
      <c r="AJ166" s="351"/>
      <c r="AK166" s="368"/>
      <c r="AL166" s="350"/>
      <c r="AM166" s="350"/>
      <c r="AN166" s="351"/>
      <c r="AO166" s="511"/>
      <c r="AP166" s="350"/>
      <c r="AQ166" s="350"/>
      <c r="AR166" s="350"/>
      <c r="AS166" s="350"/>
      <c r="AT166" s="350"/>
      <c r="AU166" s="350"/>
      <c r="AV166" s="351"/>
      <c r="AW166" s="725"/>
      <c r="AX166" s="350"/>
      <c r="AY166" s="351"/>
      <c r="AZ166" s="511"/>
      <c r="BA166" s="350"/>
      <c r="BB166" s="350"/>
      <c r="BC166" s="350"/>
      <c r="BD166" s="350"/>
      <c r="BE166" s="350"/>
      <c r="BF166" s="350"/>
      <c r="BG166" s="350"/>
      <c r="BH166" s="350"/>
      <c r="BI166" s="350"/>
      <c r="BJ166" s="350"/>
      <c r="BK166" s="350"/>
      <c r="BL166" s="350"/>
      <c r="BM166" s="350"/>
      <c r="BN166" s="350"/>
      <c r="BO166" s="351"/>
    </row>
    <row r="167" spans="1:67" ht="34.5" customHeight="1">
      <c r="A167" s="98">
        <f t="shared" si="0"/>
        <v>155</v>
      </c>
      <c r="B167" s="416" t="s">
        <v>325</v>
      </c>
      <c r="C167" s="351"/>
      <c r="D167" s="724"/>
      <c r="E167" s="350"/>
      <c r="F167" s="350"/>
      <c r="G167" s="350"/>
      <c r="H167" s="351"/>
      <c r="I167" s="412"/>
      <c r="J167" s="350"/>
      <c r="K167" s="350"/>
      <c r="L167" s="350"/>
      <c r="M167" s="350"/>
      <c r="N167" s="350"/>
      <c r="O167" s="350"/>
      <c r="P167" s="351"/>
      <c r="Q167" s="412"/>
      <c r="R167" s="350"/>
      <c r="S167" s="350"/>
      <c r="T167" s="350"/>
      <c r="U167" s="350"/>
      <c r="V167" s="350"/>
      <c r="W167" s="350"/>
      <c r="X167" s="351"/>
      <c r="Y167" s="412"/>
      <c r="Z167" s="351"/>
      <c r="AA167" s="412"/>
      <c r="AB167" s="350"/>
      <c r="AC167" s="350"/>
      <c r="AD167" s="351"/>
      <c r="AE167" s="412"/>
      <c r="AF167" s="350"/>
      <c r="AG167" s="351"/>
      <c r="AH167" s="412"/>
      <c r="AI167" s="350"/>
      <c r="AJ167" s="351"/>
      <c r="AK167" s="412"/>
      <c r="AL167" s="350"/>
      <c r="AM167" s="350"/>
      <c r="AN167" s="351"/>
      <c r="AO167" s="412"/>
      <c r="AP167" s="350"/>
      <c r="AQ167" s="350"/>
      <c r="AR167" s="350"/>
      <c r="AS167" s="350"/>
      <c r="AT167" s="350"/>
      <c r="AU167" s="350"/>
      <c r="AV167" s="351"/>
      <c r="AW167" s="723"/>
      <c r="AX167" s="350"/>
      <c r="AY167" s="351"/>
      <c r="AZ167" s="412"/>
      <c r="BA167" s="350"/>
      <c r="BB167" s="350"/>
      <c r="BC167" s="350"/>
      <c r="BD167" s="350"/>
      <c r="BE167" s="350"/>
      <c r="BF167" s="350"/>
      <c r="BG167" s="350"/>
      <c r="BH167" s="350"/>
      <c r="BI167" s="350"/>
      <c r="BJ167" s="350"/>
      <c r="BK167" s="350"/>
      <c r="BL167" s="350"/>
      <c r="BM167" s="350"/>
      <c r="BN167" s="350"/>
      <c r="BO167" s="351"/>
    </row>
    <row r="168" spans="1:67" ht="34.5" customHeight="1">
      <c r="A168" s="98">
        <f t="shared" si="0"/>
        <v>156</v>
      </c>
      <c r="B168" s="416" t="s">
        <v>325</v>
      </c>
      <c r="C168" s="351"/>
      <c r="D168" s="594"/>
      <c r="E168" s="350"/>
      <c r="F168" s="350"/>
      <c r="G168" s="350"/>
      <c r="H168" s="351"/>
      <c r="I168" s="368"/>
      <c r="J168" s="350"/>
      <c r="K168" s="350"/>
      <c r="L168" s="350"/>
      <c r="M168" s="350"/>
      <c r="N168" s="350"/>
      <c r="O168" s="350"/>
      <c r="P168" s="351"/>
      <c r="Q168" s="511"/>
      <c r="R168" s="350"/>
      <c r="S168" s="350"/>
      <c r="T168" s="350"/>
      <c r="U168" s="350"/>
      <c r="V168" s="350"/>
      <c r="W168" s="350"/>
      <c r="X168" s="351"/>
      <c r="Y168" s="368"/>
      <c r="Z168" s="351"/>
      <c r="AA168" s="511"/>
      <c r="AB168" s="350"/>
      <c r="AC168" s="350"/>
      <c r="AD168" s="351"/>
      <c r="AE168" s="368"/>
      <c r="AF168" s="350"/>
      <c r="AG168" s="351"/>
      <c r="AH168" s="511"/>
      <c r="AI168" s="350"/>
      <c r="AJ168" s="351"/>
      <c r="AK168" s="368"/>
      <c r="AL168" s="350"/>
      <c r="AM168" s="350"/>
      <c r="AN168" s="351"/>
      <c r="AO168" s="511"/>
      <c r="AP168" s="350"/>
      <c r="AQ168" s="350"/>
      <c r="AR168" s="350"/>
      <c r="AS168" s="350"/>
      <c r="AT168" s="350"/>
      <c r="AU168" s="350"/>
      <c r="AV168" s="351"/>
      <c r="AW168" s="725"/>
      <c r="AX168" s="350"/>
      <c r="AY168" s="351"/>
      <c r="AZ168" s="511"/>
      <c r="BA168" s="350"/>
      <c r="BB168" s="350"/>
      <c r="BC168" s="350"/>
      <c r="BD168" s="350"/>
      <c r="BE168" s="350"/>
      <c r="BF168" s="350"/>
      <c r="BG168" s="350"/>
      <c r="BH168" s="350"/>
      <c r="BI168" s="350"/>
      <c r="BJ168" s="350"/>
      <c r="BK168" s="350"/>
      <c r="BL168" s="350"/>
      <c r="BM168" s="350"/>
      <c r="BN168" s="350"/>
      <c r="BO168" s="351"/>
    </row>
    <row r="169" spans="1:67" ht="34.5" customHeight="1">
      <c r="A169" s="98">
        <f t="shared" si="0"/>
        <v>157</v>
      </c>
      <c r="B169" s="416" t="s">
        <v>325</v>
      </c>
      <c r="C169" s="351"/>
      <c r="D169" s="724"/>
      <c r="E169" s="350"/>
      <c r="F169" s="350"/>
      <c r="G169" s="350"/>
      <c r="H169" s="351"/>
      <c r="I169" s="412"/>
      <c r="J169" s="350"/>
      <c r="K169" s="350"/>
      <c r="L169" s="350"/>
      <c r="M169" s="350"/>
      <c r="N169" s="350"/>
      <c r="O169" s="350"/>
      <c r="P169" s="351"/>
      <c r="Q169" s="412"/>
      <c r="R169" s="350"/>
      <c r="S169" s="350"/>
      <c r="T169" s="350"/>
      <c r="U169" s="350"/>
      <c r="V169" s="350"/>
      <c r="W169" s="350"/>
      <c r="X169" s="351"/>
      <c r="Y169" s="412"/>
      <c r="Z169" s="351"/>
      <c r="AA169" s="412"/>
      <c r="AB169" s="350"/>
      <c r="AC169" s="350"/>
      <c r="AD169" s="351"/>
      <c r="AE169" s="412"/>
      <c r="AF169" s="350"/>
      <c r="AG169" s="351"/>
      <c r="AH169" s="412"/>
      <c r="AI169" s="350"/>
      <c r="AJ169" s="351"/>
      <c r="AK169" s="412"/>
      <c r="AL169" s="350"/>
      <c r="AM169" s="350"/>
      <c r="AN169" s="351"/>
      <c r="AO169" s="412"/>
      <c r="AP169" s="350"/>
      <c r="AQ169" s="350"/>
      <c r="AR169" s="350"/>
      <c r="AS169" s="350"/>
      <c r="AT169" s="350"/>
      <c r="AU169" s="350"/>
      <c r="AV169" s="351"/>
      <c r="AW169" s="723"/>
      <c r="AX169" s="350"/>
      <c r="AY169" s="351"/>
      <c r="AZ169" s="412"/>
      <c r="BA169" s="350"/>
      <c r="BB169" s="350"/>
      <c r="BC169" s="350"/>
      <c r="BD169" s="350"/>
      <c r="BE169" s="350"/>
      <c r="BF169" s="350"/>
      <c r="BG169" s="350"/>
      <c r="BH169" s="350"/>
      <c r="BI169" s="350"/>
      <c r="BJ169" s="350"/>
      <c r="BK169" s="350"/>
      <c r="BL169" s="350"/>
      <c r="BM169" s="350"/>
      <c r="BN169" s="350"/>
      <c r="BO169" s="351"/>
    </row>
    <row r="170" spans="1:67" ht="34.5" customHeight="1">
      <c r="A170" s="98">
        <f t="shared" si="0"/>
        <v>158</v>
      </c>
      <c r="B170" s="416" t="s">
        <v>325</v>
      </c>
      <c r="C170" s="351"/>
      <c r="D170" s="594"/>
      <c r="E170" s="350"/>
      <c r="F170" s="350"/>
      <c r="G170" s="350"/>
      <c r="H170" s="351"/>
      <c r="I170" s="368"/>
      <c r="J170" s="350"/>
      <c r="K170" s="350"/>
      <c r="L170" s="350"/>
      <c r="M170" s="350"/>
      <c r="N170" s="350"/>
      <c r="O170" s="350"/>
      <c r="P170" s="351"/>
      <c r="Q170" s="511"/>
      <c r="R170" s="350"/>
      <c r="S170" s="350"/>
      <c r="T170" s="350"/>
      <c r="U170" s="350"/>
      <c r="V170" s="350"/>
      <c r="W170" s="350"/>
      <c r="X170" s="351"/>
      <c r="Y170" s="368"/>
      <c r="Z170" s="351"/>
      <c r="AA170" s="511"/>
      <c r="AB170" s="350"/>
      <c r="AC170" s="350"/>
      <c r="AD170" s="351"/>
      <c r="AE170" s="368"/>
      <c r="AF170" s="350"/>
      <c r="AG170" s="351"/>
      <c r="AH170" s="511"/>
      <c r="AI170" s="350"/>
      <c r="AJ170" s="351"/>
      <c r="AK170" s="368"/>
      <c r="AL170" s="350"/>
      <c r="AM170" s="350"/>
      <c r="AN170" s="351"/>
      <c r="AO170" s="511"/>
      <c r="AP170" s="350"/>
      <c r="AQ170" s="350"/>
      <c r="AR170" s="350"/>
      <c r="AS170" s="350"/>
      <c r="AT170" s="350"/>
      <c r="AU170" s="350"/>
      <c r="AV170" s="351"/>
      <c r="AW170" s="725"/>
      <c r="AX170" s="350"/>
      <c r="AY170" s="351"/>
      <c r="AZ170" s="511"/>
      <c r="BA170" s="350"/>
      <c r="BB170" s="350"/>
      <c r="BC170" s="350"/>
      <c r="BD170" s="350"/>
      <c r="BE170" s="350"/>
      <c r="BF170" s="350"/>
      <c r="BG170" s="350"/>
      <c r="BH170" s="350"/>
      <c r="BI170" s="350"/>
      <c r="BJ170" s="350"/>
      <c r="BK170" s="350"/>
      <c r="BL170" s="350"/>
      <c r="BM170" s="350"/>
      <c r="BN170" s="350"/>
      <c r="BO170" s="351"/>
    </row>
    <row r="171" spans="1:67" ht="34.5" customHeight="1">
      <c r="A171" s="98">
        <f t="shared" si="0"/>
        <v>159</v>
      </c>
      <c r="B171" s="416" t="s">
        <v>325</v>
      </c>
      <c r="C171" s="351"/>
      <c r="D171" s="724"/>
      <c r="E171" s="350"/>
      <c r="F171" s="350"/>
      <c r="G171" s="350"/>
      <c r="H171" s="351"/>
      <c r="I171" s="412"/>
      <c r="J171" s="350"/>
      <c r="K171" s="350"/>
      <c r="L171" s="350"/>
      <c r="M171" s="350"/>
      <c r="N171" s="350"/>
      <c r="O171" s="350"/>
      <c r="P171" s="351"/>
      <c r="Q171" s="412"/>
      <c r="R171" s="350"/>
      <c r="S171" s="350"/>
      <c r="T171" s="350"/>
      <c r="U171" s="350"/>
      <c r="V171" s="350"/>
      <c r="W171" s="350"/>
      <c r="X171" s="351"/>
      <c r="Y171" s="412"/>
      <c r="Z171" s="351"/>
      <c r="AA171" s="412"/>
      <c r="AB171" s="350"/>
      <c r="AC171" s="350"/>
      <c r="AD171" s="351"/>
      <c r="AE171" s="412"/>
      <c r="AF171" s="350"/>
      <c r="AG171" s="351"/>
      <c r="AH171" s="412"/>
      <c r="AI171" s="350"/>
      <c r="AJ171" s="351"/>
      <c r="AK171" s="412"/>
      <c r="AL171" s="350"/>
      <c r="AM171" s="350"/>
      <c r="AN171" s="351"/>
      <c r="AO171" s="412"/>
      <c r="AP171" s="350"/>
      <c r="AQ171" s="350"/>
      <c r="AR171" s="350"/>
      <c r="AS171" s="350"/>
      <c r="AT171" s="350"/>
      <c r="AU171" s="350"/>
      <c r="AV171" s="351"/>
      <c r="AW171" s="723"/>
      <c r="AX171" s="350"/>
      <c r="AY171" s="351"/>
      <c r="AZ171" s="412"/>
      <c r="BA171" s="350"/>
      <c r="BB171" s="350"/>
      <c r="BC171" s="350"/>
      <c r="BD171" s="350"/>
      <c r="BE171" s="350"/>
      <c r="BF171" s="350"/>
      <c r="BG171" s="350"/>
      <c r="BH171" s="350"/>
      <c r="BI171" s="350"/>
      <c r="BJ171" s="350"/>
      <c r="BK171" s="350"/>
      <c r="BL171" s="350"/>
      <c r="BM171" s="350"/>
      <c r="BN171" s="350"/>
      <c r="BO171" s="351"/>
    </row>
    <row r="172" spans="1:67" ht="34.5" customHeight="1">
      <c r="A172" s="98">
        <f t="shared" si="0"/>
        <v>160</v>
      </c>
      <c r="B172" s="416" t="s">
        <v>325</v>
      </c>
      <c r="C172" s="351"/>
      <c r="D172" s="594"/>
      <c r="E172" s="350"/>
      <c r="F172" s="350"/>
      <c r="G172" s="350"/>
      <c r="H172" s="351"/>
      <c r="I172" s="368"/>
      <c r="J172" s="350"/>
      <c r="K172" s="350"/>
      <c r="L172" s="350"/>
      <c r="M172" s="350"/>
      <c r="N172" s="350"/>
      <c r="O172" s="350"/>
      <c r="P172" s="351"/>
      <c r="Q172" s="511"/>
      <c r="R172" s="350"/>
      <c r="S172" s="350"/>
      <c r="T172" s="350"/>
      <c r="U172" s="350"/>
      <c r="V172" s="350"/>
      <c r="W172" s="350"/>
      <c r="X172" s="351"/>
      <c r="Y172" s="368"/>
      <c r="Z172" s="351"/>
      <c r="AA172" s="511"/>
      <c r="AB172" s="350"/>
      <c r="AC172" s="350"/>
      <c r="AD172" s="351"/>
      <c r="AE172" s="368"/>
      <c r="AF172" s="350"/>
      <c r="AG172" s="351"/>
      <c r="AH172" s="511"/>
      <c r="AI172" s="350"/>
      <c r="AJ172" s="351"/>
      <c r="AK172" s="368"/>
      <c r="AL172" s="350"/>
      <c r="AM172" s="350"/>
      <c r="AN172" s="351"/>
      <c r="AO172" s="511"/>
      <c r="AP172" s="350"/>
      <c r="AQ172" s="350"/>
      <c r="AR172" s="350"/>
      <c r="AS172" s="350"/>
      <c r="AT172" s="350"/>
      <c r="AU172" s="350"/>
      <c r="AV172" s="351"/>
      <c r="AW172" s="725"/>
      <c r="AX172" s="350"/>
      <c r="AY172" s="351"/>
      <c r="AZ172" s="511"/>
      <c r="BA172" s="350"/>
      <c r="BB172" s="350"/>
      <c r="BC172" s="350"/>
      <c r="BD172" s="350"/>
      <c r="BE172" s="350"/>
      <c r="BF172" s="350"/>
      <c r="BG172" s="350"/>
      <c r="BH172" s="350"/>
      <c r="BI172" s="350"/>
      <c r="BJ172" s="350"/>
      <c r="BK172" s="350"/>
      <c r="BL172" s="350"/>
      <c r="BM172" s="350"/>
      <c r="BN172" s="350"/>
      <c r="BO172" s="351"/>
    </row>
    <row r="173" spans="1:67" ht="34.5" customHeight="1">
      <c r="A173" s="98">
        <f t="shared" si="0"/>
        <v>161</v>
      </c>
      <c r="B173" s="416" t="s">
        <v>325</v>
      </c>
      <c r="C173" s="351"/>
      <c r="D173" s="724"/>
      <c r="E173" s="350"/>
      <c r="F173" s="350"/>
      <c r="G173" s="350"/>
      <c r="H173" s="351"/>
      <c r="I173" s="412"/>
      <c r="J173" s="350"/>
      <c r="K173" s="350"/>
      <c r="L173" s="350"/>
      <c r="M173" s="350"/>
      <c r="N173" s="350"/>
      <c r="O173" s="350"/>
      <c r="P173" s="351"/>
      <c r="Q173" s="412"/>
      <c r="R173" s="350"/>
      <c r="S173" s="350"/>
      <c r="T173" s="350"/>
      <c r="U173" s="350"/>
      <c r="V173" s="350"/>
      <c r="W173" s="350"/>
      <c r="X173" s="351"/>
      <c r="Y173" s="412"/>
      <c r="Z173" s="351"/>
      <c r="AA173" s="412"/>
      <c r="AB173" s="350"/>
      <c r="AC173" s="350"/>
      <c r="AD173" s="351"/>
      <c r="AE173" s="412"/>
      <c r="AF173" s="350"/>
      <c r="AG173" s="351"/>
      <c r="AH173" s="412"/>
      <c r="AI173" s="350"/>
      <c r="AJ173" s="351"/>
      <c r="AK173" s="412"/>
      <c r="AL173" s="350"/>
      <c r="AM173" s="350"/>
      <c r="AN173" s="351"/>
      <c r="AO173" s="412"/>
      <c r="AP173" s="350"/>
      <c r="AQ173" s="350"/>
      <c r="AR173" s="350"/>
      <c r="AS173" s="350"/>
      <c r="AT173" s="350"/>
      <c r="AU173" s="350"/>
      <c r="AV173" s="351"/>
      <c r="AW173" s="723"/>
      <c r="AX173" s="350"/>
      <c r="AY173" s="351"/>
      <c r="AZ173" s="412"/>
      <c r="BA173" s="350"/>
      <c r="BB173" s="350"/>
      <c r="BC173" s="350"/>
      <c r="BD173" s="350"/>
      <c r="BE173" s="350"/>
      <c r="BF173" s="350"/>
      <c r="BG173" s="350"/>
      <c r="BH173" s="350"/>
      <c r="BI173" s="350"/>
      <c r="BJ173" s="350"/>
      <c r="BK173" s="350"/>
      <c r="BL173" s="350"/>
      <c r="BM173" s="350"/>
      <c r="BN173" s="350"/>
      <c r="BO173" s="351"/>
    </row>
    <row r="174" spans="1:67" ht="34.5" customHeight="1">
      <c r="A174" s="98">
        <f t="shared" si="0"/>
        <v>162</v>
      </c>
      <c r="B174" s="416" t="s">
        <v>325</v>
      </c>
      <c r="C174" s="351"/>
      <c r="D174" s="594"/>
      <c r="E174" s="350"/>
      <c r="F174" s="350"/>
      <c r="G174" s="350"/>
      <c r="H174" s="351"/>
      <c r="I174" s="368"/>
      <c r="J174" s="350"/>
      <c r="K174" s="350"/>
      <c r="L174" s="350"/>
      <c r="M174" s="350"/>
      <c r="N174" s="350"/>
      <c r="O174" s="350"/>
      <c r="P174" s="351"/>
      <c r="Q174" s="511"/>
      <c r="R174" s="350"/>
      <c r="S174" s="350"/>
      <c r="T174" s="350"/>
      <c r="U174" s="350"/>
      <c r="V174" s="350"/>
      <c r="W174" s="350"/>
      <c r="X174" s="351"/>
      <c r="Y174" s="368"/>
      <c r="Z174" s="351"/>
      <c r="AA174" s="511"/>
      <c r="AB174" s="350"/>
      <c r="AC174" s="350"/>
      <c r="AD174" s="351"/>
      <c r="AE174" s="368"/>
      <c r="AF174" s="350"/>
      <c r="AG174" s="351"/>
      <c r="AH174" s="511"/>
      <c r="AI174" s="350"/>
      <c r="AJ174" s="351"/>
      <c r="AK174" s="368"/>
      <c r="AL174" s="350"/>
      <c r="AM174" s="350"/>
      <c r="AN174" s="351"/>
      <c r="AO174" s="511"/>
      <c r="AP174" s="350"/>
      <c r="AQ174" s="350"/>
      <c r="AR174" s="350"/>
      <c r="AS174" s="350"/>
      <c r="AT174" s="350"/>
      <c r="AU174" s="350"/>
      <c r="AV174" s="351"/>
      <c r="AW174" s="725"/>
      <c r="AX174" s="350"/>
      <c r="AY174" s="351"/>
      <c r="AZ174" s="511"/>
      <c r="BA174" s="350"/>
      <c r="BB174" s="350"/>
      <c r="BC174" s="350"/>
      <c r="BD174" s="350"/>
      <c r="BE174" s="350"/>
      <c r="BF174" s="350"/>
      <c r="BG174" s="350"/>
      <c r="BH174" s="350"/>
      <c r="BI174" s="350"/>
      <c r="BJ174" s="350"/>
      <c r="BK174" s="350"/>
      <c r="BL174" s="350"/>
      <c r="BM174" s="350"/>
      <c r="BN174" s="350"/>
      <c r="BO174" s="351"/>
    </row>
    <row r="175" spans="1:67" ht="34.5" customHeight="1">
      <c r="A175" s="98">
        <f t="shared" si="0"/>
        <v>163</v>
      </c>
      <c r="B175" s="416" t="s">
        <v>325</v>
      </c>
      <c r="C175" s="351"/>
      <c r="D175" s="724"/>
      <c r="E175" s="350"/>
      <c r="F175" s="350"/>
      <c r="G175" s="350"/>
      <c r="H175" s="351"/>
      <c r="I175" s="412"/>
      <c r="J175" s="350"/>
      <c r="K175" s="350"/>
      <c r="L175" s="350"/>
      <c r="M175" s="350"/>
      <c r="N175" s="350"/>
      <c r="O175" s="350"/>
      <c r="P175" s="351"/>
      <c r="Q175" s="412"/>
      <c r="R175" s="350"/>
      <c r="S175" s="350"/>
      <c r="T175" s="350"/>
      <c r="U175" s="350"/>
      <c r="V175" s="350"/>
      <c r="W175" s="350"/>
      <c r="X175" s="351"/>
      <c r="Y175" s="412"/>
      <c r="Z175" s="351"/>
      <c r="AA175" s="412"/>
      <c r="AB175" s="350"/>
      <c r="AC175" s="350"/>
      <c r="AD175" s="351"/>
      <c r="AE175" s="412"/>
      <c r="AF175" s="350"/>
      <c r="AG175" s="351"/>
      <c r="AH175" s="412"/>
      <c r="AI175" s="350"/>
      <c r="AJ175" s="351"/>
      <c r="AK175" s="412"/>
      <c r="AL175" s="350"/>
      <c r="AM175" s="350"/>
      <c r="AN175" s="351"/>
      <c r="AO175" s="412"/>
      <c r="AP175" s="350"/>
      <c r="AQ175" s="350"/>
      <c r="AR175" s="350"/>
      <c r="AS175" s="350"/>
      <c r="AT175" s="350"/>
      <c r="AU175" s="350"/>
      <c r="AV175" s="351"/>
      <c r="AW175" s="723"/>
      <c r="AX175" s="350"/>
      <c r="AY175" s="351"/>
      <c r="AZ175" s="412"/>
      <c r="BA175" s="350"/>
      <c r="BB175" s="350"/>
      <c r="BC175" s="350"/>
      <c r="BD175" s="350"/>
      <c r="BE175" s="350"/>
      <c r="BF175" s="350"/>
      <c r="BG175" s="350"/>
      <c r="BH175" s="350"/>
      <c r="BI175" s="350"/>
      <c r="BJ175" s="350"/>
      <c r="BK175" s="350"/>
      <c r="BL175" s="350"/>
      <c r="BM175" s="350"/>
      <c r="BN175" s="350"/>
      <c r="BO175" s="351"/>
    </row>
    <row r="176" spans="1:67" ht="34.5" customHeight="1">
      <c r="A176" s="98">
        <f t="shared" si="0"/>
        <v>164</v>
      </c>
      <c r="B176" s="726" t="s">
        <v>325</v>
      </c>
      <c r="C176" s="351"/>
      <c r="D176" s="594"/>
      <c r="E176" s="350"/>
      <c r="F176" s="350"/>
      <c r="G176" s="350"/>
      <c r="H176" s="351"/>
      <c r="I176" s="368"/>
      <c r="J176" s="350"/>
      <c r="K176" s="350"/>
      <c r="L176" s="350"/>
      <c r="M176" s="350"/>
      <c r="N176" s="350"/>
      <c r="O176" s="350"/>
      <c r="P176" s="351"/>
      <c r="Q176" s="511"/>
      <c r="R176" s="350"/>
      <c r="S176" s="350"/>
      <c r="T176" s="350"/>
      <c r="U176" s="350"/>
      <c r="V176" s="350"/>
      <c r="W176" s="350"/>
      <c r="X176" s="351"/>
      <c r="Y176" s="368"/>
      <c r="Z176" s="351"/>
      <c r="AA176" s="511"/>
      <c r="AB176" s="350"/>
      <c r="AC176" s="350"/>
      <c r="AD176" s="351"/>
      <c r="AE176" s="368"/>
      <c r="AF176" s="350"/>
      <c r="AG176" s="351"/>
      <c r="AH176" s="511"/>
      <c r="AI176" s="350"/>
      <c r="AJ176" s="351"/>
      <c r="AK176" s="368"/>
      <c r="AL176" s="350"/>
      <c r="AM176" s="350"/>
      <c r="AN176" s="351"/>
      <c r="AO176" s="511"/>
      <c r="AP176" s="350"/>
      <c r="AQ176" s="350"/>
      <c r="AR176" s="350"/>
      <c r="AS176" s="350"/>
      <c r="AT176" s="350"/>
      <c r="AU176" s="350"/>
      <c r="AV176" s="351"/>
      <c r="AW176" s="725"/>
      <c r="AX176" s="350"/>
      <c r="AY176" s="351"/>
      <c r="AZ176" s="511"/>
      <c r="BA176" s="350"/>
      <c r="BB176" s="350"/>
      <c r="BC176" s="350"/>
      <c r="BD176" s="350"/>
      <c r="BE176" s="350"/>
      <c r="BF176" s="350"/>
      <c r="BG176" s="350"/>
      <c r="BH176" s="350"/>
      <c r="BI176" s="350"/>
      <c r="BJ176" s="350"/>
      <c r="BK176" s="350"/>
      <c r="BL176" s="350"/>
      <c r="BM176" s="350"/>
      <c r="BN176" s="350"/>
      <c r="BO176" s="351"/>
    </row>
    <row r="177" spans="1:67" ht="34.5" customHeight="1">
      <c r="A177" s="98">
        <f t="shared" si="0"/>
        <v>165</v>
      </c>
      <c r="B177" s="416" t="s">
        <v>325</v>
      </c>
      <c r="C177" s="351"/>
      <c r="D177" s="724"/>
      <c r="E177" s="350"/>
      <c r="F177" s="350"/>
      <c r="G177" s="350"/>
      <c r="H177" s="351"/>
      <c r="I177" s="412"/>
      <c r="J177" s="350"/>
      <c r="K177" s="350"/>
      <c r="L177" s="350"/>
      <c r="M177" s="350"/>
      <c r="N177" s="350"/>
      <c r="O177" s="350"/>
      <c r="P177" s="351"/>
      <c r="Q177" s="412"/>
      <c r="R177" s="350"/>
      <c r="S177" s="350"/>
      <c r="T177" s="350"/>
      <c r="U177" s="350"/>
      <c r="V177" s="350"/>
      <c r="W177" s="350"/>
      <c r="X177" s="351"/>
      <c r="Y177" s="412"/>
      <c r="Z177" s="351"/>
      <c r="AA177" s="412"/>
      <c r="AB177" s="350"/>
      <c r="AC177" s="350"/>
      <c r="AD177" s="351"/>
      <c r="AE177" s="412"/>
      <c r="AF177" s="350"/>
      <c r="AG177" s="351"/>
      <c r="AH177" s="412"/>
      <c r="AI177" s="350"/>
      <c r="AJ177" s="351"/>
      <c r="AK177" s="412"/>
      <c r="AL177" s="350"/>
      <c r="AM177" s="350"/>
      <c r="AN177" s="351"/>
      <c r="AO177" s="412"/>
      <c r="AP177" s="350"/>
      <c r="AQ177" s="350"/>
      <c r="AR177" s="350"/>
      <c r="AS177" s="350"/>
      <c r="AT177" s="350"/>
      <c r="AU177" s="350"/>
      <c r="AV177" s="351"/>
      <c r="AW177" s="723"/>
      <c r="AX177" s="350"/>
      <c r="AY177" s="351"/>
      <c r="AZ177" s="412"/>
      <c r="BA177" s="350"/>
      <c r="BB177" s="350"/>
      <c r="BC177" s="350"/>
      <c r="BD177" s="350"/>
      <c r="BE177" s="350"/>
      <c r="BF177" s="350"/>
      <c r="BG177" s="350"/>
      <c r="BH177" s="350"/>
      <c r="BI177" s="350"/>
      <c r="BJ177" s="350"/>
      <c r="BK177" s="350"/>
      <c r="BL177" s="350"/>
      <c r="BM177" s="350"/>
      <c r="BN177" s="350"/>
      <c r="BO177" s="351"/>
    </row>
    <row r="178" spans="1:67" ht="34.5" customHeight="1">
      <c r="A178" s="98">
        <f t="shared" si="0"/>
        <v>166</v>
      </c>
      <c r="B178" s="416" t="s">
        <v>325</v>
      </c>
      <c r="C178" s="351"/>
      <c r="D178" s="594"/>
      <c r="E178" s="350"/>
      <c r="F178" s="350"/>
      <c r="G178" s="350"/>
      <c r="H178" s="351"/>
      <c r="I178" s="368"/>
      <c r="J178" s="350"/>
      <c r="K178" s="350"/>
      <c r="L178" s="350"/>
      <c r="M178" s="350"/>
      <c r="N178" s="350"/>
      <c r="O178" s="350"/>
      <c r="P178" s="351"/>
      <c r="Q178" s="511"/>
      <c r="R178" s="350"/>
      <c r="S178" s="350"/>
      <c r="T178" s="350"/>
      <c r="U178" s="350"/>
      <c r="V178" s="350"/>
      <c r="W178" s="350"/>
      <c r="X178" s="351"/>
      <c r="Y178" s="368"/>
      <c r="Z178" s="351"/>
      <c r="AA178" s="511"/>
      <c r="AB178" s="350"/>
      <c r="AC178" s="350"/>
      <c r="AD178" s="351"/>
      <c r="AE178" s="368"/>
      <c r="AF178" s="350"/>
      <c r="AG178" s="351"/>
      <c r="AH178" s="511"/>
      <c r="AI178" s="350"/>
      <c r="AJ178" s="351"/>
      <c r="AK178" s="368"/>
      <c r="AL178" s="350"/>
      <c r="AM178" s="350"/>
      <c r="AN178" s="351"/>
      <c r="AO178" s="511"/>
      <c r="AP178" s="350"/>
      <c r="AQ178" s="350"/>
      <c r="AR178" s="350"/>
      <c r="AS178" s="350"/>
      <c r="AT178" s="350"/>
      <c r="AU178" s="350"/>
      <c r="AV178" s="351"/>
      <c r="AW178" s="725"/>
      <c r="AX178" s="350"/>
      <c r="AY178" s="351"/>
      <c r="AZ178" s="511"/>
      <c r="BA178" s="350"/>
      <c r="BB178" s="350"/>
      <c r="BC178" s="350"/>
      <c r="BD178" s="350"/>
      <c r="BE178" s="350"/>
      <c r="BF178" s="350"/>
      <c r="BG178" s="350"/>
      <c r="BH178" s="350"/>
      <c r="BI178" s="350"/>
      <c r="BJ178" s="350"/>
      <c r="BK178" s="350"/>
      <c r="BL178" s="350"/>
      <c r="BM178" s="350"/>
      <c r="BN178" s="350"/>
      <c r="BO178" s="351"/>
    </row>
    <row r="179" spans="1:67" ht="34.5" customHeight="1">
      <c r="A179" s="98">
        <f t="shared" si="0"/>
        <v>167</v>
      </c>
      <c r="B179" s="416" t="s">
        <v>325</v>
      </c>
      <c r="C179" s="351"/>
      <c r="D179" s="724"/>
      <c r="E179" s="350"/>
      <c r="F179" s="350"/>
      <c r="G179" s="350"/>
      <c r="H179" s="351"/>
      <c r="I179" s="412"/>
      <c r="J179" s="350"/>
      <c r="K179" s="350"/>
      <c r="L179" s="350"/>
      <c r="M179" s="350"/>
      <c r="N179" s="350"/>
      <c r="O179" s="350"/>
      <c r="P179" s="351"/>
      <c r="Q179" s="412"/>
      <c r="R179" s="350"/>
      <c r="S179" s="350"/>
      <c r="T179" s="350"/>
      <c r="U179" s="350"/>
      <c r="V179" s="350"/>
      <c r="W179" s="350"/>
      <c r="X179" s="351"/>
      <c r="Y179" s="412"/>
      <c r="Z179" s="351"/>
      <c r="AA179" s="412"/>
      <c r="AB179" s="350"/>
      <c r="AC179" s="350"/>
      <c r="AD179" s="351"/>
      <c r="AE179" s="412"/>
      <c r="AF179" s="350"/>
      <c r="AG179" s="351"/>
      <c r="AH179" s="412"/>
      <c r="AI179" s="350"/>
      <c r="AJ179" s="351"/>
      <c r="AK179" s="412"/>
      <c r="AL179" s="350"/>
      <c r="AM179" s="350"/>
      <c r="AN179" s="351"/>
      <c r="AO179" s="412"/>
      <c r="AP179" s="350"/>
      <c r="AQ179" s="350"/>
      <c r="AR179" s="350"/>
      <c r="AS179" s="350"/>
      <c r="AT179" s="350"/>
      <c r="AU179" s="350"/>
      <c r="AV179" s="351"/>
      <c r="AW179" s="723"/>
      <c r="AX179" s="350"/>
      <c r="AY179" s="351"/>
      <c r="AZ179" s="412"/>
      <c r="BA179" s="350"/>
      <c r="BB179" s="350"/>
      <c r="BC179" s="350"/>
      <c r="BD179" s="350"/>
      <c r="BE179" s="350"/>
      <c r="BF179" s="350"/>
      <c r="BG179" s="350"/>
      <c r="BH179" s="350"/>
      <c r="BI179" s="350"/>
      <c r="BJ179" s="350"/>
      <c r="BK179" s="350"/>
      <c r="BL179" s="350"/>
      <c r="BM179" s="350"/>
      <c r="BN179" s="350"/>
      <c r="BO179" s="351"/>
    </row>
    <row r="180" spans="1:67" ht="34.5" customHeight="1">
      <c r="A180" s="98">
        <f t="shared" si="0"/>
        <v>168</v>
      </c>
      <c r="B180" s="416" t="s">
        <v>325</v>
      </c>
      <c r="C180" s="351"/>
      <c r="D180" s="594"/>
      <c r="E180" s="350"/>
      <c r="F180" s="350"/>
      <c r="G180" s="350"/>
      <c r="H180" s="351"/>
      <c r="I180" s="368"/>
      <c r="J180" s="350"/>
      <c r="K180" s="350"/>
      <c r="L180" s="350"/>
      <c r="M180" s="350"/>
      <c r="N180" s="350"/>
      <c r="O180" s="350"/>
      <c r="P180" s="351"/>
      <c r="Q180" s="511"/>
      <c r="R180" s="350"/>
      <c r="S180" s="350"/>
      <c r="T180" s="350"/>
      <c r="U180" s="350"/>
      <c r="V180" s="350"/>
      <c r="W180" s="350"/>
      <c r="X180" s="351"/>
      <c r="Y180" s="368"/>
      <c r="Z180" s="351"/>
      <c r="AA180" s="511"/>
      <c r="AB180" s="350"/>
      <c r="AC180" s="350"/>
      <c r="AD180" s="351"/>
      <c r="AE180" s="368"/>
      <c r="AF180" s="350"/>
      <c r="AG180" s="351"/>
      <c r="AH180" s="511"/>
      <c r="AI180" s="350"/>
      <c r="AJ180" s="351"/>
      <c r="AK180" s="368"/>
      <c r="AL180" s="350"/>
      <c r="AM180" s="350"/>
      <c r="AN180" s="351"/>
      <c r="AO180" s="511"/>
      <c r="AP180" s="350"/>
      <c r="AQ180" s="350"/>
      <c r="AR180" s="350"/>
      <c r="AS180" s="350"/>
      <c r="AT180" s="350"/>
      <c r="AU180" s="350"/>
      <c r="AV180" s="351"/>
      <c r="AW180" s="725"/>
      <c r="AX180" s="350"/>
      <c r="AY180" s="351"/>
      <c r="AZ180" s="511"/>
      <c r="BA180" s="350"/>
      <c r="BB180" s="350"/>
      <c r="BC180" s="350"/>
      <c r="BD180" s="350"/>
      <c r="BE180" s="350"/>
      <c r="BF180" s="350"/>
      <c r="BG180" s="350"/>
      <c r="BH180" s="350"/>
      <c r="BI180" s="350"/>
      <c r="BJ180" s="350"/>
      <c r="BK180" s="350"/>
      <c r="BL180" s="350"/>
      <c r="BM180" s="350"/>
      <c r="BN180" s="350"/>
      <c r="BO180" s="351"/>
    </row>
    <row r="181" spans="1:67" ht="34.5" customHeight="1">
      <c r="A181" s="98">
        <f t="shared" si="0"/>
        <v>169</v>
      </c>
      <c r="B181" s="416" t="s">
        <v>325</v>
      </c>
      <c r="C181" s="351"/>
      <c r="D181" s="724"/>
      <c r="E181" s="350"/>
      <c r="F181" s="350"/>
      <c r="G181" s="350"/>
      <c r="H181" s="351"/>
      <c r="I181" s="412"/>
      <c r="J181" s="350"/>
      <c r="K181" s="350"/>
      <c r="L181" s="350"/>
      <c r="M181" s="350"/>
      <c r="N181" s="350"/>
      <c r="O181" s="350"/>
      <c r="P181" s="351"/>
      <c r="Q181" s="412"/>
      <c r="R181" s="350"/>
      <c r="S181" s="350"/>
      <c r="T181" s="350"/>
      <c r="U181" s="350"/>
      <c r="V181" s="350"/>
      <c r="W181" s="350"/>
      <c r="X181" s="351"/>
      <c r="Y181" s="412"/>
      <c r="Z181" s="351"/>
      <c r="AA181" s="412"/>
      <c r="AB181" s="350"/>
      <c r="AC181" s="350"/>
      <c r="AD181" s="351"/>
      <c r="AE181" s="412"/>
      <c r="AF181" s="350"/>
      <c r="AG181" s="351"/>
      <c r="AH181" s="412"/>
      <c r="AI181" s="350"/>
      <c r="AJ181" s="351"/>
      <c r="AK181" s="412"/>
      <c r="AL181" s="350"/>
      <c r="AM181" s="350"/>
      <c r="AN181" s="351"/>
      <c r="AO181" s="412"/>
      <c r="AP181" s="350"/>
      <c r="AQ181" s="350"/>
      <c r="AR181" s="350"/>
      <c r="AS181" s="350"/>
      <c r="AT181" s="350"/>
      <c r="AU181" s="350"/>
      <c r="AV181" s="351"/>
      <c r="AW181" s="723"/>
      <c r="AX181" s="350"/>
      <c r="AY181" s="351"/>
      <c r="AZ181" s="412"/>
      <c r="BA181" s="350"/>
      <c r="BB181" s="350"/>
      <c r="BC181" s="350"/>
      <c r="BD181" s="350"/>
      <c r="BE181" s="350"/>
      <c r="BF181" s="350"/>
      <c r="BG181" s="350"/>
      <c r="BH181" s="350"/>
      <c r="BI181" s="350"/>
      <c r="BJ181" s="350"/>
      <c r="BK181" s="350"/>
      <c r="BL181" s="350"/>
      <c r="BM181" s="350"/>
      <c r="BN181" s="350"/>
      <c r="BO181" s="351"/>
    </row>
    <row r="182" spans="1:67" ht="34.5" customHeight="1">
      <c r="A182" s="98">
        <f t="shared" si="0"/>
        <v>170</v>
      </c>
      <c r="B182" s="416" t="s">
        <v>325</v>
      </c>
      <c r="C182" s="351"/>
      <c r="D182" s="594"/>
      <c r="E182" s="350"/>
      <c r="F182" s="350"/>
      <c r="G182" s="350"/>
      <c r="H182" s="351"/>
      <c r="I182" s="368"/>
      <c r="J182" s="350"/>
      <c r="K182" s="350"/>
      <c r="L182" s="350"/>
      <c r="M182" s="350"/>
      <c r="N182" s="350"/>
      <c r="O182" s="350"/>
      <c r="P182" s="351"/>
      <c r="Q182" s="511"/>
      <c r="R182" s="350"/>
      <c r="S182" s="350"/>
      <c r="T182" s="350"/>
      <c r="U182" s="350"/>
      <c r="V182" s="350"/>
      <c r="W182" s="350"/>
      <c r="X182" s="351"/>
      <c r="Y182" s="368"/>
      <c r="Z182" s="351"/>
      <c r="AA182" s="511"/>
      <c r="AB182" s="350"/>
      <c r="AC182" s="350"/>
      <c r="AD182" s="351"/>
      <c r="AE182" s="368"/>
      <c r="AF182" s="350"/>
      <c r="AG182" s="351"/>
      <c r="AH182" s="511"/>
      <c r="AI182" s="350"/>
      <c r="AJ182" s="351"/>
      <c r="AK182" s="368"/>
      <c r="AL182" s="350"/>
      <c r="AM182" s="350"/>
      <c r="AN182" s="351"/>
      <c r="AO182" s="511"/>
      <c r="AP182" s="350"/>
      <c r="AQ182" s="350"/>
      <c r="AR182" s="350"/>
      <c r="AS182" s="350"/>
      <c r="AT182" s="350"/>
      <c r="AU182" s="350"/>
      <c r="AV182" s="351"/>
      <c r="AW182" s="725"/>
      <c r="AX182" s="350"/>
      <c r="AY182" s="351"/>
      <c r="AZ182" s="511"/>
      <c r="BA182" s="350"/>
      <c r="BB182" s="350"/>
      <c r="BC182" s="350"/>
      <c r="BD182" s="350"/>
      <c r="BE182" s="350"/>
      <c r="BF182" s="350"/>
      <c r="BG182" s="350"/>
      <c r="BH182" s="350"/>
      <c r="BI182" s="350"/>
      <c r="BJ182" s="350"/>
      <c r="BK182" s="350"/>
      <c r="BL182" s="350"/>
      <c r="BM182" s="350"/>
      <c r="BN182" s="350"/>
      <c r="BO182" s="351"/>
    </row>
    <row r="183" spans="1:67" ht="34.5" customHeight="1">
      <c r="A183" s="98">
        <f t="shared" si="0"/>
        <v>171</v>
      </c>
      <c r="B183" s="416" t="s">
        <v>325</v>
      </c>
      <c r="C183" s="351"/>
      <c r="D183" s="724"/>
      <c r="E183" s="350"/>
      <c r="F183" s="350"/>
      <c r="G183" s="350"/>
      <c r="H183" s="351"/>
      <c r="I183" s="412"/>
      <c r="J183" s="350"/>
      <c r="K183" s="350"/>
      <c r="L183" s="350"/>
      <c r="M183" s="350"/>
      <c r="N183" s="350"/>
      <c r="O183" s="350"/>
      <c r="P183" s="351"/>
      <c r="Q183" s="412"/>
      <c r="R183" s="350"/>
      <c r="S183" s="350"/>
      <c r="T183" s="350"/>
      <c r="U183" s="350"/>
      <c r="V183" s="350"/>
      <c r="W183" s="350"/>
      <c r="X183" s="351"/>
      <c r="Y183" s="412"/>
      <c r="Z183" s="351"/>
      <c r="AA183" s="412"/>
      <c r="AB183" s="350"/>
      <c r="AC183" s="350"/>
      <c r="AD183" s="351"/>
      <c r="AE183" s="412"/>
      <c r="AF183" s="350"/>
      <c r="AG183" s="351"/>
      <c r="AH183" s="412"/>
      <c r="AI183" s="350"/>
      <c r="AJ183" s="351"/>
      <c r="AK183" s="412"/>
      <c r="AL183" s="350"/>
      <c r="AM183" s="350"/>
      <c r="AN183" s="351"/>
      <c r="AO183" s="412"/>
      <c r="AP183" s="350"/>
      <c r="AQ183" s="350"/>
      <c r="AR183" s="350"/>
      <c r="AS183" s="350"/>
      <c r="AT183" s="350"/>
      <c r="AU183" s="350"/>
      <c r="AV183" s="351"/>
      <c r="AW183" s="723"/>
      <c r="AX183" s="350"/>
      <c r="AY183" s="351"/>
      <c r="AZ183" s="412"/>
      <c r="BA183" s="350"/>
      <c r="BB183" s="350"/>
      <c r="BC183" s="350"/>
      <c r="BD183" s="350"/>
      <c r="BE183" s="350"/>
      <c r="BF183" s="350"/>
      <c r="BG183" s="350"/>
      <c r="BH183" s="350"/>
      <c r="BI183" s="350"/>
      <c r="BJ183" s="350"/>
      <c r="BK183" s="350"/>
      <c r="BL183" s="350"/>
      <c r="BM183" s="350"/>
      <c r="BN183" s="350"/>
      <c r="BO183" s="351"/>
    </row>
    <row r="184" spans="1:67" ht="34.5" customHeight="1">
      <c r="A184" s="98">
        <f t="shared" si="0"/>
        <v>172</v>
      </c>
      <c r="B184" s="416" t="s">
        <v>325</v>
      </c>
      <c r="C184" s="351"/>
      <c r="D184" s="594"/>
      <c r="E184" s="350"/>
      <c r="F184" s="350"/>
      <c r="G184" s="350"/>
      <c r="H184" s="351"/>
      <c r="I184" s="368"/>
      <c r="J184" s="350"/>
      <c r="K184" s="350"/>
      <c r="L184" s="350"/>
      <c r="M184" s="350"/>
      <c r="N184" s="350"/>
      <c r="O184" s="350"/>
      <c r="P184" s="351"/>
      <c r="Q184" s="511"/>
      <c r="R184" s="350"/>
      <c r="S184" s="350"/>
      <c r="T184" s="350"/>
      <c r="U184" s="350"/>
      <c r="V184" s="350"/>
      <c r="W184" s="350"/>
      <c r="X184" s="351"/>
      <c r="Y184" s="368"/>
      <c r="Z184" s="351"/>
      <c r="AA184" s="511"/>
      <c r="AB184" s="350"/>
      <c r="AC184" s="350"/>
      <c r="AD184" s="351"/>
      <c r="AE184" s="368"/>
      <c r="AF184" s="350"/>
      <c r="AG184" s="351"/>
      <c r="AH184" s="511"/>
      <c r="AI184" s="350"/>
      <c r="AJ184" s="351"/>
      <c r="AK184" s="368"/>
      <c r="AL184" s="350"/>
      <c r="AM184" s="350"/>
      <c r="AN184" s="351"/>
      <c r="AO184" s="511"/>
      <c r="AP184" s="350"/>
      <c r="AQ184" s="350"/>
      <c r="AR184" s="350"/>
      <c r="AS184" s="350"/>
      <c r="AT184" s="350"/>
      <c r="AU184" s="350"/>
      <c r="AV184" s="351"/>
      <c r="AW184" s="725"/>
      <c r="AX184" s="350"/>
      <c r="AY184" s="351"/>
      <c r="AZ184" s="511"/>
      <c r="BA184" s="350"/>
      <c r="BB184" s="350"/>
      <c r="BC184" s="350"/>
      <c r="BD184" s="350"/>
      <c r="BE184" s="350"/>
      <c r="BF184" s="350"/>
      <c r="BG184" s="350"/>
      <c r="BH184" s="350"/>
      <c r="BI184" s="350"/>
      <c r="BJ184" s="350"/>
      <c r="BK184" s="350"/>
      <c r="BL184" s="350"/>
      <c r="BM184" s="350"/>
      <c r="BN184" s="350"/>
      <c r="BO184" s="351"/>
    </row>
    <row r="185" spans="1:67" ht="34.5" customHeight="1">
      <c r="A185" s="98">
        <f t="shared" si="0"/>
        <v>173</v>
      </c>
      <c r="B185" s="416" t="s">
        <v>325</v>
      </c>
      <c r="C185" s="351"/>
      <c r="D185" s="724"/>
      <c r="E185" s="350"/>
      <c r="F185" s="350"/>
      <c r="G185" s="350"/>
      <c r="H185" s="351"/>
      <c r="I185" s="412"/>
      <c r="J185" s="350"/>
      <c r="K185" s="350"/>
      <c r="L185" s="350"/>
      <c r="M185" s="350"/>
      <c r="N185" s="350"/>
      <c r="O185" s="350"/>
      <c r="P185" s="351"/>
      <c r="Q185" s="412"/>
      <c r="R185" s="350"/>
      <c r="S185" s="350"/>
      <c r="T185" s="350"/>
      <c r="U185" s="350"/>
      <c r="V185" s="350"/>
      <c r="W185" s="350"/>
      <c r="X185" s="351"/>
      <c r="Y185" s="412"/>
      <c r="Z185" s="351"/>
      <c r="AA185" s="412"/>
      <c r="AB185" s="350"/>
      <c r="AC185" s="350"/>
      <c r="AD185" s="351"/>
      <c r="AE185" s="412"/>
      <c r="AF185" s="350"/>
      <c r="AG185" s="351"/>
      <c r="AH185" s="412"/>
      <c r="AI185" s="350"/>
      <c r="AJ185" s="351"/>
      <c r="AK185" s="412"/>
      <c r="AL185" s="350"/>
      <c r="AM185" s="350"/>
      <c r="AN185" s="351"/>
      <c r="AO185" s="412"/>
      <c r="AP185" s="350"/>
      <c r="AQ185" s="350"/>
      <c r="AR185" s="350"/>
      <c r="AS185" s="350"/>
      <c r="AT185" s="350"/>
      <c r="AU185" s="350"/>
      <c r="AV185" s="351"/>
      <c r="AW185" s="723"/>
      <c r="AX185" s="350"/>
      <c r="AY185" s="351"/>
      <c r="AZ185" s="412"/>
      <c r="BA185" s="350"/>
      <c r="BB185" s="350"/>
      <c r="BC185" s="350"/>
      <c r="BD185" s="350"/>
      <c r="BE185" s="350"/>
      <c r="BF185" s="350"/>
      <c r="BG185" s="350"/>
      <c r="BH185" s="350"/>
      <c r="BI185" s="350"/>
      <c r="BJ185" s="350"/>
      <c r="BK185" s="350"/>
      <c r="BL185" s="350"/>
      <c r="BM185" s="350"/>
      <c r="BN185" s="350"/>
      <c r="BO185" s="351"/>
    </row>
    <row r="186" spans="1:67" ht="34.5" customHeight="1">
      <c r="A186" s="98">
        <f t="shared" si="0"/>
        <v>174</v>
      </c>
      <c r="B186" s="416" t="s">
        <v>325</v>
      </c>
      <c r="C186" s="351"/>
      <c r="D186" s="594"/>
      <c r="E186" s="350"/>
      <c r="F186" s="350"/>
      <c r="G186" s="350"/>
      <c r="H186" s="351"/>
      <c r="I186" s="368"/>
      <c r="J186" s="350"/>
      <c r="K186" s="350"/>
      <c r="L186" s="350"/>
      <c r="M186" s="350"/>
      <c r="N186" s="350"/>
      <c r="O186" s="350"/>
      <c r="P186" s="351"/>
      <c r="Q186" s="511"/>
      <c r="R186" s="350"/>
      <c r="S186" s="350"/>
      <c r="T186" s="350"/>
      <c r="U186" s="350"/>
      <c r="V186" s="350"/>
      <c r="W186" s="350"/>
      <c r="X186" s="351"/>
      <c r="Y186" s="368"/>
      <c r="Z186" s="351"/>
      <c r="AA186" s="511"/>
      <c r="AB186" s="350"/>
      <c r="AC186" s="350"/>
      <c r="AD186" s="351"/>
      <c r="AE186" s="368"/>
      <c r="AF186" s="350"/>
      <c r="AG186" s="351"/>
      <c r="AH186" s="511"/>
      <c r="AI186" s="350"/>
      <c r="AJ186" s="351"/>
      <c r="AK186" s="368"/>
      <c r="AL186" s="350"/>
      <c r="AM186" s="350"/>
      <c r="AN186" s="351"/>
      <c r="AO186" s="511"/>
      <c r="AP186" s="350"/>
      <c r="AQ186" s="350"/>
      <c r="AR186" s="350"/>
      <c r="AS186" s="350"/>
      <c r="AT186" s="350"/>
      <c r="AU186" s="350"/>
      <c r="AV186" s="351"/>
      <c r="AW186" s="725"/>
      <c r="AX186" s="350"/>
      <c r="AY186" s="351"/>
      <c r="AZ186" s="511"/>
      <c r="BA186" s="350"/>
      <c r="BB186" s="350"/>
      <c r="BC186" s="350"/>
      <c r="BD186" s="350"/>
      <c r="BE186" s="350"/>
      <c r="BF186" s="350"/>
      <c r="BG186" s="350"/>
      <c r="BH186" s="350"/>
      <c r="BI186" s="350"/>
      <c r="BJ186" s="350"/>
      <c r="BK186" s="350"/>
      <c r="BL186" s="350"/>
      <c r="BM186" s="350"/>
      <c r="BN186" s="350"/>
      <c r="BO186" s="351"/>
    </row>
    <row r="187" spans="1:67" ht="34.5" customHeight="1">
      <c r="A187" s="98">
        <f t="shared" si="0"/>
        <v>175</v>
      </c>
      <c r="B187" s="416" t="s">
        <v>325</v>
      </c>
      <c r="C187" s="351"/>
      <c r="D187" s="724"/>
      <c r="E187" s="350"/>
      <c r="F187" s="350"/>
      <c r="G187" s="350"/>
      <c r="H187" s="351"/>
      <c r="I187" s="412"/>
      <c r="J187" s="350"/>
      <c r="K187" s="350"/>
      <c r="L187" s="350"/>
      <c r="M187" s="350"/>
      <c r="N187" s="350"/>
      <c r="O187" s="350"/>
      <c r="P187" s="351"/>
      <c r="Q187" s="412"/>
      <c r="R187" s="350"/>
      <c r="S187" s="350"/>
      <c r="T187" s="350"/>
      <c r="U187" s="350"/>
      <c r="V187" s="350"/>
      <c r="W187" s="350"/>
      <c r="X187" s="351"/>
      <c r="Y187" s="412"/>
      <c r="Z187" s="351"/>
      <c r="AA187" s="412"/>
      <c r="AB187" s="350"/>
      <c r="AC187" s="350"/>
      <c r="AD187" s="351"/>
      <c r="AE187" s="412"/>
      <c r="AF187" s="350"/>
      <c r="AG187" s="351"/>
      <c r="AH187" s="412"/>
      <c r="AI187" s="350"/>
      <c r="AJ187" s="351"/>
      <c r="AK187" s="412"/>
      <c r="AL187" s="350"/>
      <c r="AM187" s="350"/>
      <c r="AN187" s="351"/>
      <c r="AO187" s="412"/>
      <c r="AP187" s="350"/>
      <c r="AQ187" s="350"/>
      <c r="AR187" s="350"/>
      <c r="AS187" s="350"/>
      <c r="AT187" s="350"/>
      <c r="AU187" s="350"/>
      <c r="AV187" s="351"/>
      <c r="AW187" s="723"/>
      <c r="AX187" s="350"/>
      <c r="AY187" s="351"/>
      <c r="AZ187" s="412"/>
      <c r="BA187" s="350"/>
      <c r="BB187" s="350"/>
      <c r="BC187" s="350"/>
      <c r="BD187" s="350"/>
      <c r="BE187" s="350"/>
      <c r="BF187" s="350"/>
      <c r="BG187" s="350"/>
      <c r="BH187" s="350"/>
      <c r="BI187" s="350"/>
      <c r="BJ187" s="350"/>
      <c r="BK187" s="350"/>
      <c r="BL187" s="350"/>
      <c r="BM187" s="350"/>
      <c r="BN187" s="350"/>
      <c r="BO187" s="351"/>
    </row>
    <row r="188" spans="1:67" ht="34.5" customHeight="1">
      <c r="A188" s="98">
        <f t="shared" si="0"/>
        <v>176</v>
      </c>
      <c r="B188" s="416" t="s">
        <v>325</v>
      </c>
      <c r="C188" s="351"/>
      <c r="D188" s="594"/>
      <c r="E188" s="350"/>
      <c r="F188" s="350"/>
      <c r="G188" s="350"/>
      <c r="H188" s="351"/>
      <c r="I188" s="368"/>
      <c r="J188" s="350"/>
      <c r="K188" s="350"/>
      <c r="L188" s="350"/>
      <c r="M188" s="350"/>
      <c r="N188" s="350"/>
      <c r="O188" s="350"/>
      <c r="P188" s="351"/>
      <c r="Q188" s="511"/>
      <c r="R188" s="350"/>
      <c r="S188" s="350"/>
      <c r="T188" s="350"/>
      <c r="U188" s="350"/>
      <c r="V188" s="350"/>
      <c r="W188" s="350"/>
      <c r="X188" s="351"/>
      <c r="Y188" s="368"/>
      <c r="Z188" s="351"/>
      <c r="AA188" s="511"/>
      <c r="AB188" s="350"/>
      <c r="AC188" s="350"/>
      <c r="AD188" s="351"/>
      <c r="AE188" s="368"/>
      <c r="AF188" s="350"/>
      <c r="AG188" s="351"/>
      <c r="AH188" s="511"/>
      <c r="AI188" s="350"/>
      <c r="AJ188" s="351"/>
      <c r="AK188" s="368"/>
      <c r="AL188" s="350"/>
      <c r="AM188" s="350"/>
      <c r="AN188" s="351"/>
      <c r="AO188" s="511"/>
      <c r="AP188" s="350"/>
      <c r="AQ188" s="350"/>
      <c r="AR188" s="350"/>
      <c r="AS188" s="350"/>
      <c r="AT188" s="350"/>
      <c r="AU188" s="350"/>
      <c r="AV188" s="351"/>
      <c r="AW188" s="725"/>
      <c r="AX188" s="350"/>
      <c r="AY188" s="351"/>
      <c r="AZ188" s="511"/>
      <c r="BA188" s="350"/>
      <c r="BB188" s="350"/>
      <c r="BC188" s="350"/>
      <c r="BD188" s="350"/>
      <c r="BE188" s="350"/>
      <c r="BF188" s="350"/>
      <c r="BG188" s="350"/>
      <c r="BH188" s="350"/>
      <c r="BI188" s="350"/>
      <c r="BJ188" s="350"/>
      <c r="BK188" s="350"/>
      <c r="BL188" s="350"/>
      <c r="BM188" s="350"/>
      <c r="BN188" s="350"/>
      <c r="BO188" s="351"/>
    </row>
    <row r="189" spans="1:67" ht="34.5" customHeight="1">
      <c r="A189" s="98">
        <f t="shared" si="0"/>
        <v>177</v>
      </c>
      <c r="B189" s="416" t="s">
        <v>325</v>
      </c>
      <c r="C189" s="351"/>
      <c r="D189" s="724"/>
      <c r="E189" s="350"/>
      <c r="F189" s="350"/>
      <c r="G189" s="350"/>
      <c r="H189" s="351"/>
      <c r="I189" s="412"/>
      <c r="J189" s="350"/>
      <c r="K189" s="350"/>
      <c r="L189" s="350"/>
      <c r="M189" s="350"/>
      <c r="N189" s="350"/>
      <c r="O189" s="350"/>
      <c r="P189" s="351"/>
      <c r="Q189" s="412"/>
      <c r="R189" s="350"/>
      <c r="S189" s="350"/>
      <c r="T189" s="350"/>
      <c r="U189" s="350"/>
      <c r="V189" s="350"/>
      <c r="W189" s="350"/>
      <c r="X189" s="351"/>
      <c r="Y189" s="412"/>
      <c r="Z189" s="351"/>
      <c r="AA189" s="412"/>
      <c r="AB189" s="350"/>
      <c r="AC189" s="350"/>
      <c r="AD189" s="351"/>
      <c r="AE189" s="412"/>
      <c r="AF189" s="350"/>
      <c r="AG189" s="351"/>
      <c r="AH189" s="412"/>
      <c r="AI189" s="350"/>
      <c r="AJ189" s="351"/>
      <c r="AK189" s="412"/>
      <c r="AL189" s="350"/>
      <c r="AM189" s="350"/>
      <c r="AN189" s="351"/>
      <c r="AO189" s="412"/>
      <c r="AP189" s="350"/>
      <c r="AQ189" s="350"/>
      <c r="AR189" s="350"/>
      <c r="AS189" s="350"/>
      <c r="AT189" s="350"/>
      <c r="AU189" s="350"/>
      <c r="AV189" s="351"/>
      <c r="AW189" s="723"/>
      <c r="AX189" s="350"/>
      <c r="AY189" s="351"/>
      <c r="AZ189" s="412"/>
      <c r="BA189" s="350"/>
      <c r="BB189" s="350"/>
      <c r="BC189" s="350"/>
      <c r="BD189" s="350"/>
      <c r="BE189" s="350"/>
      <c r="BF189" s="350"/>
      <c r="BG189" s="350"/>
      <c r="BH189" s="350"/>
      <c r="BI189" s="350"/>
      <c r="BJ189" s="350"/>
      <c r="BK189" s="350"/>
      <c r="BL189" s="350"/>
      <c r="BM189" s="350"/>
      <c r="BN189" s="350"/>
      <c r="BO189" s="351"/>
    </row>
    <row r="190" spans="1:67" ht="34.5" customHeight="1">
      <c r="A190" s="98">
        <f t="shared" si="0"/>
        <v>178</v>
      </c>
      <c r="B190" s="416" t="s">
        <v>325</v>
      </c>
      <c r="C190" s="351"/>
      <c r="D190" s="594"/>
      <c r="E190" s="350"/>
      <c r="F190" s="350"/>
      <c r="G190" s="350"/>
      <c r="H190" s="351"/>
      <c r="I190" s="368"/>
      <c r="J190" s="350"/>
      <c r="K190" s="350"/>
      <c r="L190" s="350"/>
      <c r="M190" s="350"/>
      <c r="N190" s="350"/>
      <c r="O190" s="350"/>
      <c r="P190" s="351"/>
      <c r="Q190" s="511"/>
      <c r="R190" s="350"/>
      <c r="S190" s="350"/>
      <c r="T190" s="350"/>
      <c r="U190" s="350"/>
      <c r="V190" s="350"/>
      <c r="W190" s="350"/>
      <c r="X190" s="351"/>
      <c r="Y190" s="368"/>
      <c r="Z190" s="351"/>
      <c r="AA190" s="511"/>
      <c r="AB190" s="350"/>
      <c r="AC190" s="350"/>
      <c r="AD190" s="351"/>
      <c r="AE190" s="368"/>
      <c r="AF190" s="350"/>
      <c r="AG190" s="351"/>
      <c r="AH190" s="511"/>
      <c r="AI190" s="350"/>
      <c r="AJ190" s="351"/>
      <c r="AK190" s="368"/>
      <c r="AL190" s="350"/>
      <c r="AM190" s="350"/>
      <c r="AN190" s="351"/>
      <c r="AO190" s="511"/>
      <c r="AP190" s="350"/>
      <c r="AQ190" s="350"/>
      <c r="AR190" s="350"/>
      <c r="AS190" s="350"/>
      <c r="AT190" s="350"/>
      <c r="AU190" s="350"/>
      <c r="AV190" s="351"/>
      <c r="AW190" s="725"/>
      <c r="AX190" s="350"/>
      <c r="AY190" s="351"/>
      <c r="AZ190" s="511"/>
      <c r="BA190" s="350"/>
      <c r="BB190" s="350"/>
      <c r="BC190" s="350"/>
      <c r="BD190" s="350"/>
      <c r="BE190" s="350"/>
      <c r="BF190" s="350"/>
      <c r="BG190" s="350"/>
      <c r="BH190" s="350"/>
      <c r="BI190" s="350"/>
      <c r="BJ190" s="350"/>
      <c r="BK190" s="350"/>
      <c r="BL190" s="350"/>
      <c r="BM190" s="350"/>
      <c r="BN190" s="350"/>
      <c r="BO190" s="351"/>
    </row>
    <row r="191" spans="1:67" ht="34.5" customHeight="1">
      <c r="A191" s="98">
        <f t="shared" si="0"/>
        <v>179</v>
      </c>
      <c r="B191" s="416" t="s">
        <v>325</v>
      </c>
      <c r="C191" s="351"/>
      <c r="D191" s="724"/>
      <c r="E191" s="350"/>
      <c r="F191" s="350"/>
      <c r="G191" s="350"/>
      <c r="H191" s="351"/>
      <c r="I191" s="412"/>
      <c r="J191" s="350"/>
      <c r="K191" s="350"/>
      <c r="L191" s="350"/>
      <c r="M191" s="350"/>
      <c r="N191" s="350"/>
      <c r="O191" s="350"/>
      <c r="P191" s="351"/>
      <c r="Q191" s="412"/>
      <c r="R191" s="350"/>
      <c r="S191" s="350"/>
      <c r="T191" s="350"/>
      <c r="U191" s="350"/>
      <c r="V191" s="350"/>
      <c r="W191" s="350"/>
      <c r="X191" s="351"/>
      <c r="Y191" s="412"/>
      <c r="Z191" s="351"/>
      <c r="AA191" s="412"/>
      <c r="AB191" s="350"/>
      <c r="AC191" s="350"/>
      <c r="AD191" s="351"/>
      <c r="AE191" s="412"/>
      <c r="AF191" s="350"/>
      <c r="AG191" s="351"/>
      <c r="AH191" s="412"/>
      <c r="AI191" s="350"/>
      <c r="AJ191" s="351"/>
      <c r="AK191" s="412"/>
      <c r="AL191" s="350"/>
      <c r="AM191" s="350"/>
      <c r="AN191" s="351"/>
      <c r="AO191" s="412"/>
      <c r="AP191" s="350"/>
      <c r="AQ191" s="350"/>
      <c r="AR191" s="350"/>
      <c r="AS191" s="350"/>
      <c r="AT191" s="350"/>
      <c r="AU191" s="350"/>
      <c r="AV191" s="351"/>
      <c r="AW191" s="723"/>
      <c r="AX191" s="350"/>
      <c r="AY191" s="351"/>
      <c r="AZ191" s="412"/>
      <c r="BA191" s="350"/>
      <c r="BB191" s="350"/>
      <c r="BC191" s="350"/>
      <c r="BD191" s="350"/>
      <c r="BE191" s="350"/>
      <c r="BF191" s="350"/>
      <c r="BG191" s="350"/>
      <c r="BH191" s="350"/>
      <c r="BI191" s="350"/>
      <c r="BJ191" s="350"/>
      <c r="BK191" s="350"/>
      <c r="BL191" s="350"/>
      <c r="BM191" s="350"/>
      <c r="BN191" s="350"/>
      <c r="BO191" s="351"/>
    </row>
    <row r="192" spans="1:67" ht="34.5" customHeight="1">
      <c r="A192" s="98">
        <f t="shared" si="0"/>
        <v>180</v>
      </c>
      <c r="B192" s="416" t="s">
        <v>325</v>
      </c>
      <c r="C192" s="351"/>
      <c r="D192" s="594"/>
      <c r="E192" s="350"/>
      <c r="F192" s="350"/>
      <c r="G192" s="350"/>
      <c r="H192" s="351"/>
      <c r="I192" s="368"/>
      <c r="J192" s="350"/>
      <c r="K192" s="350"/>
      <c r="L192" s="350"/>
      <c r="M192" s="350"/>
      <c r="N192" s="350"/>
      <c r="O192" s="350"/>
      <c r="P192" s="351"/>
      <c r="Q192" s="511"/>
      <c r="R192" s="350"/>
      <c r="S192" s="350"/>
      <c r="T192" s="350"/>
      <c r="U192" s="350"/>
      <c r="V192" s="350"/>
      <c r="W192" s="350"/>
      <c r="X192" s="351"/>
      <c r="Y192" s="368"/>
      <c r="Z192" s="351"/>
      <c r="AA192" s="511"/>
      <c r="AB192" s="350"/>
      <c r="AC192" s="350"/>
      <c r="AD192" s="351"/>
      <c r="AE192" s="368"/>
      <c r="AF192" s="350"/>
      <c r="AG192" s="351"/>
      <c r="AH192" s="511"/>
      <c r="AI192" s="350"/>
      <c r="AJ192" s="351"/>
      <c r="AK192" s="368"/>
      <c r="AL192" s="350"/>
      <c r="AM192" s="350"/>
      <c r="AN192" s="351"/>
      <c r="AO192" s="511"/>
      <c r="AP192" s="350"/>
      <c r="AQ192" s="350"/>
      <c r="AR192" s="350"/>
      <c r="AS192" s="350"/>
      <c r="AT192" s="350"/>
      <c r="AU192" s="350"/>
      <c r="AV192" s="351"/>
      <c r="AW192" s="725"/>
      <c r="AX192" s="350"/>
      <c r="AY192" s="351"/>
      <c r="AZ192" s="511"/>
      <c r="BA192" s="350"/>
      <c r="BB192" s="350"/>
      <c r="BC192" s="350"/>
      <c r="BD192" s="350"/>
      <c r="BE192" s="350"/>
      <c r="BF192" s="350"/>
      <c r="BG192" s="350"/>
      <c r="BH192" s="350"/>
      <c r="BI192" s="350"/>
      <c r="BJ192" s="350"/>
      <c r="BK192" s="350"/>
      <c r="BL192" s="350"/>
      <c r="BM192" s="350"/>
      <c r="BN192" s="350"/>
      <c r="BO192" s="351"/>
    </row>
    <row r="193" spans="1:67" ht="34.5" customHeight="1">
      <c r="A193" s="98">
        <f t="shared" si="0"/>
        <v>181</v>
      </c>
      <c r="B193" s="416" t="s">
        <v>325</v>
      </c>
      <c r="C193" s="351"/>
      <c r="D193" s="724"/>
      <c r="E193" s="350"/>
      <c r="F193" s="350"/>
      <c r="G193" s="350"/>
      <c r="H193" s="351"/>
      <c r="I193" s="412"/>
      <c r="J193" s="350"/>
      <c r="K193" s="350"/>
      <c r="L193" s="350"/>
      <c r="M193" s="350"/>
      <c r="N193" s="350"/>
      <c r="O193" s="350"/>
      <c r="P193" s="351"/>
      <c r="Q193" s="412"/>
      <c r="R193" s="350"/>
      <c r="S193" s="350"/>
      <c r="T193" s="350"/>
      <c r="U193" s="350"/>
      <c r="V193" s="350"/>
      <c r="W193" s="350"/>
      <c r="X193" s="351"/>
      <c r="Y193" s="412"/>
      <c r="Z193" s="351"/>
      <c r="AA193" s="412"/>
      <c r="AB193" s="350"/>
      <c r="AC193" s="350"/>
      <c r="AD193" s="351"/>
      <c r="AE193" s="412"/>
      <c r="AF193" s="350"/>
      <c r="AG193" s="351"/>
      <c r="AH193" s="412"/>
      <c r="AI193" s="350"/>
      <c r="AJ193" s="351"/>
      <c r="AK193" s="412"/>
      <c r="AL193" s="350"/>
      <c r="AM193" s="350"/>
      <c r="AN193" s="351"/>
      <c r="AO193" s="412"/>
      <c r="AP193" s="350"/>
      <c r="AQ193" s="350"/>
      <c r="AR193" s="350"/>
      <c r="AS193" s="350"/>
      <c r="AT193" s="350"/>
      <c r="AU193" s="350"/>
      <c r="AV193" s="351"/>
      <c r="AW193" s="723"/>
      <c r="AX193" s="350"/>
      <c r="AY193" s="351"/>
      <c r="AZ193" s="412"/>
      <c r="BA193" s="350"/>
      <c r="BB193" s="350"/>
      <c r="BC193" s="350"/>
      <c r="BD193" s="350"/>
      <c r="BE193" s="350"/>
      <c r="BF193" s="350"/>
      <c r="BG193" s="350"/>
      <c r="BH193" s="350"/>
      <c r="BI193" s="350"/>
      <c r="BJ193" s="350"/>
      <c r="BK193" s="350"/>
      <c r="BL193" s="350"/>
      <c r="BM193" s="350"/>
      <c r="BN193" s="350"/>
      <c r="BO193" s="351"/>
    </row>
    <row r="194" spans="1:67" ht="34.5" customHeight="1">
      <c r="A194" s="98">
        <f t="shared" si="0"/>
        <v>182</v>
      </c>
      <c r="B194" s="726" t="s">
        <v>325</v>
      </c>
      <c r="C194" s="351"/>
      <c r="D194" s="594"/>
      <c r="E194" s="350"/>
      <c r="F194" s="350"/>
      <c r="G194" s="350"/>
      <c r="H194" s="351"/>
      <c r="I194" s="368"/>
      <c r="J194" s="350"/>
      <c r="K194" s="350"/>
      <c r="L194" s="350"/>
      <c r="M194" s="350"/>
      <c r="N194" s="350"/>
      <c r="O194" s="350"/>
      <c r="P194" s="351"/>
      <c r="Q194" s="511"/>
      <c r="R194" s="350"/>
      <c r="S194" s="350"/>
      <c r="T194" s="350"/>
      <c r="U194" s="350"/>
      <c r="V194" s="350"/>
      <c r="W194" s="350"/>
      <c r="X194" s="351"/>
      <c r="Y194" s="368"/>
      <c r="Z194" s="351"/>
      <c r="AA194" s="511"/>
      <c r="AB194" s="350"/>
      <c r="AC194" s="350"/>
      <c r="AD194" s="351"/>
      <c r="AE194" s="368"/>
      <c r="AF194" s="350"/>
      <c r="AG194" s="351"/>
      <c r="AH194" s="511"/>
      <c r="AI194" s="350"/>
      <c r="AJ194" s="351"/>
      <c r="AK194" s="368"/>
      <c r="AL194" s="350"/>
      <c r="AM194" s="350"/>
      <c r="AN194" s="351"/>
      <c r="AO194" s="511"/>
      <c r="AP194" s="350"/>
      <c r="AQ194" s="350"/>
      <c r="AR194" s="350"/>
      <c r="AS194" s="350"/>
      <c r="AT194" s="350"/>
      <c r="AU194" s="350"/>
      <c r="AV194" s="351"/>
      <c r="AW194" s="725"/>
      <c r="AX194" s="350"/>
      <c r="AY194" s="351"/>
      <c r="AZ194" s="511"/>
      <c r="BA194" s="350"/>
      <c r="BB194" s="350"/>
      <c r="BC194" s="350"/>
      <c r="BD194" s="350"/>
      <c r="BE194" s="350"/>
      <c r="BF194" s="350"/>
      <c r="BG194" s="350"/>
      <c r="BH194" s="350"/>
      <c r="BI194" s="350"/>
      <c r="BJ194" s="350"/>
      <c r="BK194" s="350"/>
      <c r="BL194" s="350"/>
      <c r="BM194" s="350"/>
      <c r="BN194" s="350"/>
      <c r="BO194" s="351"/>
    </row>
    <row r="195" spans="1:67" ht="34.5" customHeight="1">
      <c r="A195" s="98">
        <f t="shared" si="0"/>
        <v>183</v>
      </c>
      <c r="B195" s="416" t="s">
        <v>325</v>
      </c>
      <c r="C195" s="351"/>
      <c r="D195" s="724"/>
      <c r="E195" s="350"/>
      <c r="F195" s="350"/>
      <c r="G195" s="350"/>
      <c r="H195" s="351"/>
      <c r="I195" s="412"/>
      <c r="J195" s="350"/>
      <c r="K195" s="350"/>
      <c r="L195" s="350"/>
      <c r="M195" s="350"/>
      <c r="N195" s="350"/>
      <c r="O195" s="350"/>
      <c r="P195" s="351"/>
      <c r="Q195" s="412"/>
      <c r="R195" s="350"/>
      <c r="S195" s="350"/>
      <c r="T195" s="350"/>
      <c r="U195" s="350"/>
      <c r="V195" s="350"/>
      <c r="W195" s="350"/>
      <c r="X195" s="351"/>
      <c r="Y195" s="412"/>
      <c r="Z195" s="351"/>
      <c r="AA195" s="412"/>
      <c r="AB195" s="350"/>
      <c r="AC195" s="350"/>
      <c r="AD195" s="351"/>
      <c r="AE195" s="412"/>
      <c r="AF195" s="350"/>
      <c r="AG195" s="351"/>
      <c r="AH195" s="412"/>
      <c r="AI195" s="350"/>
      <c r="AJ195" s="351"/>
      <c r="AK195" s="412"/>
      <c r="AL195" s="350"/>
      <c r="AM195" s="350"/>
      <c r="AN195" s="351"/>
      <c r="AO195" s="412"/>
      <c r="AP195" s="350"/>
      <c r="AQ195" s="350"/>
      <c r="AR195" s="350"/>
      <c r="AS195" s="350"/>
      <c r="AT195" s="350"/>
      <c r="AU195" s="350"/>
      <c r="AV195" s="351"/>
      <c r="AW195" s="723"/>
      <c r="AX195" s="350"/>
      <c r="AY195" s="351"/>
      <c r="AZ195" s="412"/>
      <c r="BA195" s="350"/>
      <c r="BB195" s="350"/>
      <c r="BC195" s="350"/>
      <c r="BD195" s="350"/>
      <c r="BE195" s="350"/>
      <c r="BF195" s="350"/>
      <c r="BG195" s="350"/>
      <c r="BH195" s="350"/>
      <c r="BI195" s="350"/>
      <c r="BJ195" s="350"/>
      <c r="BK195" s="350"/>
      <c r="BL195" s="350"/>
      <c r="BM195" s="350"/>
      <c r="BN195" s="350"/>
      <c r="BO195" s="351"/>
    </row>
    <row r="196" spans="1:67" ht="34.5" customHeight="1">
      <c r="A196" s="98">
        <f t="shared" si="0"/>
        <v>184</v>
      </c>
      <c r="B196" s="416" t="s">
        <v>325</v>
      </c>
      <c r="C196" s="351"/>
      <c r="D196" s="594"/>
      <c r="E196" s="350"/>
      <c r="F196" s="350"/>
      <c r="G196" s="350"/>
      <c r="H196" s="351"/>
      <c r="I196" s="368"/>
      <c r="J196" s="350"/>
      <c r="K196" s="350"/>
      <c r="L196" s="350"/>
      <c r="M196" s="350"/>
      <c r="N196" s="350"/>
      <c r="O196" s="350"/>
      <c r="P196" s="351"/>
      <c r="Q196" s="511"/>
      <c r="R196" s="350"/>
      <c r="S196" s="350"/>
      <c r="T196" s="350"/>
      <c r="U196" s="350"/>
      <c r="V196" s="350"/>
      <c r="W196" s="350"/>
      <c r="X196" s="351"/>
      <c r="Y196" s="368"/>
      <c r="Z196" s="351"/>
      <c r="AA196" s="511"/>
      <c r="AB196" s="350"/>
      <c r="AC196" s="350"/>
      <c r="AD196" s="351"/>
      <c r="AE196" s="368"/>
      <c r="AF196" s="350"/>
      <c r="AG196" s="351"/>
      <c r="AH196" s="511"/>
      <c r="AI196" s="350"/>
      <c r="AJ196" s="351"/>
      <c r="AK196" s="368"/>
      <c r="AL196" s="350"/>
      <c r="AM196" s="350"/>
      <c r="AN196" s="351"/>
      <c r="AO196" s="511"/>
      <c r="AP196" s="350"/>
      <c r="AQ196" s="350"/>
      <c r="AR196" s="350"/>
      <c r="AS196" s="350"/>
      <c r="AT196" s="350"/>
      <c r="AU196" s="350"/>
      <c r="AV196" s="351"/>
      <c r="AW196" s="725"/>
      <c r="AX196" s="350"/>
      <c r="AY196" s="351"/>
      <c r="AZ196" s="511"/>
      <c r="BA196" s="350"/>
      <c r="BB196" s="350"/>
      <c r="BC196" s="350"/>
      <c r="BD196" s="350"/>
      <c r="BE196" s="350"/>
      <c r="BF196" s="350"/>
      <c r="BG196" s="350"/>
      <c r="BH196" s="350"/>
      <c r="BI196" s="350"/>
      <c r="BJ196" s="350"/>
      <c r="BK196" s="350"/>
      <c r="BL196" s="350"/>
      <c r="BM196" s="350"/>
      <c r="BN196" s="350"/>
      <c r="BO196" s="351"/>
    </row>
    <row r="197" spans="1:67" ht="34.5" customHeight="1">
      <c r="A197" s="98">
        <f t="shared" si="0"/>
        <v>185</v>
      </c>
      <c r="B197" s="416" t="s">
        <v>325</v>
      </c>
      <c r="C197" s="351"/>
      <c r="D197" s="724"/>
      <c r="E197" s="350"/>
      <c r="F197" s="350"/>
      <c r="G197" s="350"/>
      <c r="H197" s="351"/>
      <c r="I197" s="412"/>
      <c r="J197" s="350"/>
      <c r="K197" s="350"/>
      <c r="L197" s="350"/>
      <c r="M197" s="350"/>
      <c r="N197" s="350"/>
      <c r="O197" s="350"/>
      <c r="P197" s="351"/>
      <c r="Q197" s="412"/>
      <c r="R197" s="350"/>
      <c r="S197" s="350"/>
      <c r="T197" s="350"/>
      <c r="U197" s="350"/>
      <c r="V197" s="350"/>
      <c r="W197" s="350"/>
      <c r="X197" s="351"/>
      <c r="Y197" s="412"/>
      <c r="Z197" s="351"/>
      <c r="AA197" s="412"/>
      <c r="AB197" s="350"/>
      <c r="AC197" s="350"/>
      <c r="AD197" s="351"/>
      <c r="AE197" s="412"/>
      <c r="AF197" s="350"/>
      <c r="AG197" s="351"/>
      <c r="AH197" s="412"/>
      <c r="AI197" s="350"/>
      <c r="AJ197" s="351"/>
      <c r="AK197" s="412"/>
      <c r="AL197" s="350"/>
      <c r="AM197" s="350"/>
      <c r="AN197" s="351"/>
      <c r="AO197" s="412"/>
      <c r="AP197" s="350"/>
      <c r="AQ197" s="350"/>
      <c r="AR197" s="350"/>
      <c r="AS197" s="350"/>
      <c r="AT197" s="350"/>
      <c r="AU197" s="350"/>
      <c r="AV197" s="351"/>
      <c r="AW197" s="723"/>
      <c r="AX197" s="350"/>
      <c r="AY197" s="351"/>
      <c r="AZ197" s="412"/>
      <c r="BA197" s="350"/>
      <c r="BB197" s="350"/>
      <c r="BC197" s="350"/>
      <c r="BD197" s="350"/>
      <c r="BE197" s="350"/>
      <c r="BF197" s="350"/>
      <c r="BG197" s="350"/>
      <c r="BH197" s="350"/>
      <c r="BI197" s="350"/>
      <c r="BJ197" s="350"/>
      <c r="BK197" s="350"/>
      <c r="BL197" s="350"/>
      <c r="BM197" s="350"/>
      <c r="BN197" s="350"/>
      <c r="BO197" s="351"/>
    </row>
    <row r="198" spans="1:67" ht="34.5" customHeight="1">
      <c r="A198" s="98">
        <f t="shared" si="0"/>
        <v>186</v>
      </c>
      <c r="B198" s="416" t="s">
        <v>325</v>
      </c>
      <c r="C198" s="351"/>
      <c r="D198" s="594"/>
      <c r="E198" s="350"/>
      <c r="F198" s="350"/>
      <c r="G198" s="350"/>
      <c r="H198" s="351"/>
      <c r="I198" s="368"/>
      <c r="J198" s="350"/>
      <c r="K198" s="350"/>
      <c r="L198" s="350"/>
      <c r="M198" s="350"/>
      <c r="N198" s="350"/>
      <c r="O198" s="350"/>
      <c r="P198" s="351"/>
      <c r="Q198" s="511"/>
      <c r="R198" s="350"/>
      <c r="S198" s="350"/>
      <c r="T198" s="350"/>
      <c r="U198" s="350"/>
      <c r="V198" s="350"/>
      <c r="W198" s="350"/>
      <c r="X198" s="351"/>
      <c r="Y198" s="368"/>
      <c r="Z198" s="351"/>
      <c r="AA198" s="511"/>
      <c r="AB198" s="350"/>
      <c r="AC198" s="350"/>
      <c r="AD198" s="351"/>
      <c r="AE198" s="368"/>
      <c r="AF198" s="350"/>
      <c r="AG198" s="351"/>
      <c r="AH198" s="511"/>
      <c r="AI198" s="350"/>
      <c r="AJ198" s="351"/>
      <c r="AK198" s="368"/>
      <c r="AL198" s="350"/>
      <c r="AM198" s="350"/>
      <c r="AN198" s="351"/>
      <c r="AO198" s="511"/>
      <c r="AP198" s="350"/>
      <c r="AQ198" s="350"/>
      <c r="AR198" s="350"/>
      <c r="AS198" s="350"/>
      <c r="AT198" s="350"/>
      <c r="AU198" s="350"/>
      <c r="AV198" s="351"/>
      <c r="AW198" s="725"/>
      <c r="AX198" s="350"/>
      <c r="AY198" s="351"/>
      <c r="AZ198" s="511"/>
      <c r="BA198" s="350"/>
      <c r="BB198" s="350"/>
      <c r="BC198" s="350"/>
      <c r="BD198" s="350"/>
      <c r="BE198" s="350"/>
      <c r="BF198" s="350"/>
      <c r="BG198" s="350"/>
      <c r="BH198" s="350"/>
      <c r="BI198" s="350"/>
      <c r="BJ198" s="350"/>
      <c r="BK198" s="350"/>
      <c r="BL198" s="350"/>
      <c r="BM198" s="350"/>
      <c r="BN198" s="350"/>
      <c r="BO198" s="351"/>
    </row>
    <row r="199" spans="1:67" ht="34.5" customHeight="1">
      <c r="A199" s="98">
        <f t="shared" si="0"/>
        <v>187</v>
      </c>
      <c r="B199" s="416" t="s">
        <v>325</v>
      </c>
      <c r="C199" s="351"/>
      <c r="D199" s="724"/>
      <c r="E199" s="350"/>
      <c r="F199" s="350"/>
      <c r="G199" s="350"/>
      <c r="H199" s="351"/>
      <c r="I199" s="412"/>
      <c r="J199" s="350"/>
      <c r="K199" s="350"/>
      <c r="L199" s="350"/>
      <c r="M199" s="350"/>
      <c r="N199" s="350"/>
      <c r="O199" s="350"/>
      <c r="P199" s="351"/>
      <c r="Q199" s="412"/>
      <c r="R199" s="350"/>
      <c r="S199" s="350"/>
      <c r="T199" s="350"/>
      <c r="U199" s="350"/>
      <c r="V199" s="350"/>
      <c r="W199" s="350"/>
      <c r="X199" s="351"/>
      <c r="Y199" s="412"/>
      <c r="Z199" s="351"/>
      <c r="AA199" s="412"/>
      <c r="AB199" s="350"/>
      <c r="AC199" s="350"/>
      <c r="AD199" s="351"/>
      <c r="AE199" s="412"/>
      <c r="AF199" s="350"/>
      <c r="AG199" s="351"/>
      <c r="AH199" s="412"/>
      <c r="AI199" s="350"/>
      <c r="AJ199" s="351"/>
      <c r="AK199" s="412"/>
      <c r="AL199" s="350"/>
      <c r="AM199" s="350"/>
      <c r="AN199" s="351"/>
      <c r="AO199" s="412"/>
      <c r="AP199" s="350"/>
      <c r="AQ199" s="350"/>
      <c r="AR199" s="350"/>
      <c r="AS199" s="350"/>
      <c r="AT199" s="350"/>
      <c r="AU199" s="350"/>
      <c r="AV199" s="351"/>
      <c r="AW199" s="723"/>
      <c r="AX199" s="350"/>
      <c r="AY199" s="351"/>
      <c r="AZ199" s="412"/>
      <c r="BA199" s="350"/>
      <c r="BB199" s="350"/>
      <c r="BC199" s="350"/>
      <c r="BD199" s="350"/>
      <c r="BE199" s="350"/>
      <c r="BF199" s="350"/>
      <c r="BG199" s="350"/>
      <c r="BH199" s="350"/>
      <c r="BI199" s="350"/>
      <c r="BJ199" s="350"/>
      <c r="BK199" s="350"/>
      <c r="BL199" s="350"/>
      <c r="BM199" s="350"/>
      <c r="BN199" s="350"/>
      <c r="BO199" s="351"/>
    </row>
    <row r="200" spans="1:67" ht="34.5" customHeight="1">
      <c r="A200" s="98">
        <f t="shared" si="0"/>
        <v>188</v>
      </c>
      <c r="B200" s="416" t="s">
        <v>325</v>
      </c>
      <c r="C200" s="351"/>
      <c r="D200" s="594"/>
      <c r="E200" s="350"/>
      <c r="F200" s="350"/>
      <c r="G200" s="350"/>
      <c r="H200" s="351"/>
      <c r="I200" s="368"/>
      <c r="J200" s="350"/>
      <c r="K200" s="350"/>
      <c r="L200" s="350"/>
      <c r="M200" s="350"/>
      <c r="N200" s="350"/>
      <c r="O200" s="350"/>
      <c r="P200" s="351"/>
      <c r="Q200" s="511"/>
      <c r="R200" s="350"/>
      <c r="S200" s="350"/>
      <c r="T200" s="350"/>
      <c r="U200" s="350"/>
      <c r="V200" s="350"/>
      <c r="W200" s="350"/>
      <c r="X200" s="351"/>
      <c r="Y200" s="368"/>
      <c r="Z200" s="351"/>
      <c r="AA200" s="511"/>
      <c r="AB200" s="350"/>
      <c r="AC200" s="350"/>
      <c r="AD200" s="351"/>
      <c r="AE200" s="368"/>
      <c r="AF200" s="350"/>
      <c r="AG200" s="351"/>
      <c r="AH200" s="511"/>
      <c r="AI200" s="350"/>
      <c r="AJ200" s="351"/>
      <c r="AK200" s="368"/>
      <c r="AL200" s="350"/>
      <c r="AM200" s="350"/>
      <c r="AN200" s="351"/>
      <c r="AO200" s="511"/>
      <c r="AP200" s="350"/>
      <c r="AQ200" s="350"/>
      <c r="AR200" s="350"/>
      <c r="AS200" s="350"/>
      <c r="AT200" s="350"/>
      <c r="AU200" s="350"/>
      <c r="AV200" s="351"/>
      <c r="AW200" s="725"/>
      <c r="AX200" s="350"/>
      <c r="AY200" s="351"/>
      <c r="AZ200" s="511"/>
      <c r="BA200" s="350"/>
      <c r="BB200" s="350"/>
      <c r="BC200" s="350"/>
      <c r="BD200" s="350"/>
      <c r="BE200" s="350"/>
      <c r="BF200" s="350"/>
      <c r="BG200" s="350"/>
      <c r="BH200" s="350"/>
      <c r="BI200" s="350"/>
      <c r="BJ200" s="350"/>
      <c r="BK200" s="350"/>
      <c r="BL200" s="350"/>
      <c r="BM200" s="350"/>
      <c r="BN200" s="350"/>
      <c r="BO200" s="351"/>
    </row>
    <row r="201" spans="1:67" ht="34.5" customHeight="1">
      <c r="A201" s="98">
        <f t="shared" si="0"/>
        <v>189</v>
      </c>
      <c r="B201" s="416" t="s">
        <v>325</v>
      </c>
      <c r="C201" s="351"/>
      <c r="D201" s="724"/>
      <c r="E201" s="350"/>
      <c r="F201" s="350"/>
      <c r="G201" s="350"/>
      <c r="H201" s="351"/>
      <c r="I201" s="412"/>
      <c r="J201" s="350"/>
      <c r="K201" s="350"/>
      <c r="L201" s="350"/>
      <c r="M201" s="350"/>
      <c r="N201" s="350"/>
      <c r="O201" s="350"/>
      <c r="P201" s="351"/>
      <c r="Q201" s="412"/>
      <c r="R201" s="350"/>
      <c r="S201" s="350"/>
      <c r="T201" s="350"/>
      <c r="U201" s="350"/>
      <c r="V201" s="350"/>
      <c r="W201" s="350"/>
      <c r="X201" s="351"/>
      <c r="Y201" s="412"/>
      <c r="Z201" s="351"/>
      <c r="AA201" s="412"/>
      <c r="AB201" s="350"/>
      <c r="AC201" s="350"/>
      <c r="AD201" s="351"/>
      <c r="AE201" s="412"/>
      <c r="AF201" s="350"/>
      <c r="AG201" s="351"/>
      <c r="AH201" s="412"/>
      <c r="AI201" s="350"/>
      <c r="AJ201" s="351"/>
      <c r="AK201" s="412"/>
      <c r="AL201" s="350"/>
      <c r="AM201" s="350"/>
      <c r="AN201" s="351"/>
      <c r="AO201" s="412"/>
      <c r="AP201" s="350"/>
      <c r="AQ201" s="350"/>
      <c r="AR201" s="350"/>
      <c r="AS201" s="350"/>
      <c r="AT201" s="350"/>
      <c r="AU201" s="350"/>
      <c r="AV201" s="351"/>
      <c r="AW201" s="723"/>
      <c r="AX201" s="350"/>
      <c r="AY201" s="351"/>
      <c r="AZ201" s="412"/>
      <c r="BA201" s="350"/>
      <c r="BB201" s="350"/>
      <c r="BC201" s="350"/>
      <c r="BD201" s="350"/>
      <c r="BE201" s="350"/>
      <c r="BF201" s="350"/>
      <c r="BG201" s="350"/>
      <c r="BH201" s="350"/>
      <c r="BI201" s="350"/>
      <c r="BJ201" s="350"/>
      <c r="BK201" s="350"/>
      <c r="BL201" s="350"/>
      <c r="BM201" s="350"/>
      <c r="BN201" s="350"/>
      <c r="BO201" s="351"/>
    </row>
    <row r="202" spans="1:67" ht="34.5" customHeight="1">
      <c r="A202" s="98">
        <f t="shared" si="0"/>
        <v>190</v>
      </c>
      <c r="B202" s="416" t="s">
        <v>325</v>
      </c>
      <c r="C202" s="351"/>
      <c r="D202" s="594"/>
      <c r="E202" s="350"/>
      <c r="F202" s="350"/>
      <c r="G202" s="350"/>
      <c r="H202" s="351"/>
      <c r="I202" s="368"/>
      <c r="J202" s="350"/>
      <c r="K202" s="350"/>
      <c r="L202" s="350"/>
      <c r="M202" s="350"/>
      <c r="N202" s="350"/>
      <c r="O202" s="350"/>
      <c r="P202" s="351"/>
      <c r="Q202" s="511"/>
      <c r="R202" s="350"/>
      <c r="S202" s="350"/>
      <c r="T202" s="350"/>
      <c r="U202" s="350"/>
      <c r="V202" s="350"/>
      <c r="W202" s="350"/>
      <c r="X202" s="351"/>
      <c r="Y202" s="368"/>
      <c r="Z202" s="351"/>
      <c r="AA202" s="511"/>
      <c r="AB202" s="350"/>
      <c r="AC202" s="350"/>
      <c r="AD202" s="351"/>
      <c r="AE202" s="368"/>
      <c r="AF202" s="350"/>
      <c r="AG202" s="351"/>
      <c r="AH202" s="511"/>
      <c r="AI202" s="350"/>
      <c r="AJ202" s="351"/>
      <c r="AK202" s="368"/>
      <c r="AL202" s="350"/>
      <c r="AM202" s="350"/>
      <c r="AN202" s="351"/>
      <c r="AO202" s="511"/>
      <c r="AP202" s="350"/>
      <c r="AQ202" s="350"/>
      <c r="AR202" s="350"/>
      <c r="AS202" s="350"/>
      <c r="AT202" s="350"/>
      <c r="AU202" s="350"/>
      <c r="AV202" s="351"/>
      <c r="AW202" s="725"/>
      <c r="AX202" s="350"/>
      <c r="AY202" s="351"/>
      <c r="AZ202" s="511"/>
      <c r="BA202" s="350"/>
      <c r="BB202" s="350"/>
      <c r="BC202" s="350"/>
      <c r="BD202" s="350"/>
      <c r="BE202" s="350"/>
      <c r="BF202" s="350"/>
      <c r="BG202" s="350"/>
      <c r="BH202" s="350"/>
      <c r="BI202" s="350"/>
      <c r="BJ202" s="350"/>
      <c r="BK202" s="350"/>
      <c r="BL202" s="350"/>
      <c r="BM202" s="350"/>
      <c r="BN202" s="350"/>
      <c r="BO202" s="351"/>
    </row>
    <row r="203" spans="1:67" ht="34.5" customHeight="1">
      <c r="A203" s="98">
        <f t="shared" si="0"/>
        <v>191</v>
      </c>
      <c r="B203" s="416" t="s">
        <v>325</v>
      </c>
      <c r="C203" s="351"/>
      <c r="D203" s="724"/>
      <c r="E203" s="350"/>
      <c r="F203" s="350"/>
      <c r="G203" s="350"/>
      <c r="H203" s="351"/>
      <c r="I203" s="412"/>
      <c r="J203" s="350"/>
      <c r="K203" s="350"/>
      <c r="L203" s="350"/>
      <c r="M203" s="350"/>
      <c r="N203" s="350"/>
      <c r="O203" s="350"/>
      <c r="P203" s="351"/>
      <c r="Q203" s="412"/>
      <c r="R203" s="350"/>
      <c r="S203" s="350"/>
      <c r="T203" s="350"/>
      <c r="U203" s="350"/>
      <c r="V203" s="350"/>
      <c r="W203" s="350"/>
      <c r="X203" s="351"/>
      <c r="Y203" s="412"/>
      <c r="Z203" s="351"/>
      <c r="AA203" s="412"/>
      <c r="AB203" s="350"/>
      <c r="AC203" s="350"/>
      <c r="AD203" s="351"/>
      <c r="AE203" s="412"/>
      <c r="AF203" s="350"/>
      <c r="AG203" s="351"/>
      <c r="AH203" s="412"/>
      <c r="AI203" s="350"/>
      <c r="AJ203" s="351"/>
      <c r="AK203" s="412"/>
      <c r="AL203" s="350"/>
      <c r="AM203" s="350"/>
      <c r="AN203" s="351"/>
      <c r="AO203" s="412"/>
      <c r="AP203" s="350"/>
      <c r="AQ203" s="350"/>
      <c r="AR203" s="350"/>
      <c r="AS203" s="350"/>
      <c r="AT203" s="350"/>
      <c r="AU203" s="350"/>
      <c r="AV203" s="351"/>
      <c r="AW203" s="723"/>
      <c r="AX203" s="350"/>
      <c r="AY203" s="351"/>
      <c r="AZ203" s="412"/>
      <c r="BA203" s="350"/>
      <c r="BB203" s="350"/>
      <c r="BC203" s="350"/>
      <c r="BD203" s="350"/>
      <c r="BE203" s="350"/>
      <c r="BF203" s="350"/>
      <c r="BG203" s="350"/>
      <c r="BH203" s="350"/>
      <c r="BI203" s="350"/>
      <c r="BJ203" s="350"/>
      <c r="BK203" s="350"/>
      <c r="BL203" s="350"/>
      <c r="BM203" s="350"/>
      <c r="BN203" s="350"/>
      <c r="BO203" s="351"/>
    </row>
    <row r="204" spans="1:67" ht="34.5" customHeight="1">
      <c r="A204" s="98">
        <f t="shared" si="0"/>
        <v>192</v>
      </c>
      <c r="B204" s="416" t="s">
        <v>325</v>
      </c>
      <c r="C204" s="351"/>
      <c r="D204" s="594"/>
      <c r="E204" s="350"/>
      <c r="F204" s="350"/>
      <c r="G204" s="350"/>
      <c r="H204" s="351"/>
      <c r="I204" s="368"/>
      <c r="J204" s="350"/>
      <c r="K204" s="350"/>
      <c r="L204" s="350"/>
      <c r="M204" s="350"/>
      <c r="N204" s="350"/>
      <c r="O204" s="350"/>
      <c r="P204" s="351"/>
      <c r="Q204" s="511"/>
      <c r="R204" s="350"/>
      <c r="S204" s="350"/>
      <c r="T204" s="350"/>
      <c r="U204" s="350"/>
      <c r="V204" s="350"/>
      <c r="W204" s="350"/>
      <c r="X204" s="351"/>
      <c r="Y204" s="368"/>
      <c r="Z204" s="351"/>
      <c r="AA204" s="511"/>
      <c r="AB204" s="350"/>
      <c r="AC204" s="350"/>
      <c r="AD204" s="351"/>
      <c r="AE204" s="368"/>
      <c r="AF204" s="350"/>
      <c r="AG204" s="351"/>
      <c r="AH204" s="511"/>
      <c r="AI204" s="350"/>
      <c r="AJ204" s="351"/>
      <c r="AK204" s="368"/>
      <c r="AL204" s="350"/>
      <c r="AM204" s="350"/>
      <c r="AN204" s="351"/>
      <c r="AO204" s="511"/>
      <c r="AP204" s="350"/>
      <c r="AQ204" s="350"/>
      <c r="AR204" s="350"/>
      <c r="AS204" s="350"/>
      <c r="AT204" s="350"/>
      <c r="AU204" s="350"/>
      <c r="AV204" s="351"/>
      <c r="AW204" s="725"/>
      <c r="AX204" s="350"/>
      <c r="AY204" s="351"/>
      <c r="AZ204" s="511"/>
      <c r="BA204" s="350"/>
      <c r="BB204" s="350"/>
      <c r="BC204" s="350"/>
      <c r="BD204" s="350"/>
      <c r="BE204" s="350"/>
      <c r="BF204" s="350"/>
      <c r="BG204" s="350"/>
      <c r="BH204" s="350"/>
      <c r="BI204" s="350"/>
      <c r="BJ204" s="350"/>
      <c r="BK204" s="350"/>
      <c r="BL204" s="350"/>
      <c r="BM204" s="350"/>
      <c r="BN204" s="350"/>
      <c r="BO204" s="351"/>
    </row>
    <row r="205" spans="1:67" ht="34.5" customHeight="1">
      <c r="A205" s="98">
        <f t="shared" si="0"/>
        <v>193</v>
      </c>
      <c r="B205" s="416" t="s">
        <v>325</v>
      </c>
      <c r="C205" s="351"/>
      <c r="D205" s="724"/>
      <c r="E205" s="350"/>
      <c r="F205" s="350"/>
      <c r="G205" s="350"/>
      <c r="H205" s="351"/>
      <c r="I205" s="412"/>
      <c r="J205" s="350"/>
      <c r="K205" s="350"/>
      <c r="L205" s="350"/>
      <c r="M205" s="350"/>
      <c r="N205" s="350"/>
      <c r="O205" s="350"/>
      <c r="P205" s="351"/>
      <c r="Q205" s="412"/>
      <c r="R205" s="350"/>
      <c r="S205" s="350"/>
      <c r="T205" s="350"/>
      <c r="U205" s="350"/>
      <c r="V205" s="350"/>
      <c r="W205" s="350"/>
      <c r="X205" s="351"/>
      <c r="Y205" s="412"/>
      <c r="Z205" s="351"/>
      <c r="AA205" s="412"/>
      <c r="AB205" s="350"/>
      <c r="AC205" s="350"/>
      <c r="AD205" s="351"/>
      <c r="AE205" s="412"/>
      <c r="AF205" s="350"/>
      <c r="AG205" s="351"/>
      <c r="AH205" s="412"/>
      <c r="AI205" s="350"/>
      <c r="AJ205" s="351"/>
      <c r="AK205" s="412"/>
      <c r="AL205" s="350"/>
      <c r="AM205" s="350"/>
      <c r="AN205" s="351"/>
      <c r="AO205" s="412"/>
      <c r="AP205" s="350"/>
      <c r="AQ205" s="350"/>
      <c r="AR205" s="350"/>
      <c r="AS205" s="350"/>
      <c r="AT205" s="350"/>
      <c r="AU205" s="350"/>
      <c r="AV205" s="351"/>
      <c r="AW205" s="723"/>
      <c r="AX205" s="350"/>
      <c r="AY205" s="351"/>
      <c r="AZ205" s="412"/>
      <c r="BA205" s="350"/>
      <c r="BB205" s="350"/>
      <c r="BC205" s="350"/>
      <c r="BD205" s="350"/>
      <c r="BE205" s="350"/>
      <c r="BF205" s="350"/>
      <c r="BG205" s="350"/>
      <c r="BH205" s="350"/>
      <c r="BI205" s="350"/>
      <c r="BJ205" s="350"/>
      <c r="BK205" s="350"/>
      <c r="BL205" s="350"/>
      <c r="BM205" s="350"/>
      <c r="BN205" s="350"/>
      <c r="BO205" s="351"/>
    </row>
    <row r="206" spans="1:67" ht="34.5" customHeight="1">
      <c r="A206" s="98">
        <f t="shared" si="0"/>
        <v>194</v>
      </c>
      <c r="B206" s="416" t="s">
        <v>325</v>
      </c>
      <c r="C206" s="351"/>
      <c r="D206" s="594"/>
      <c r="E206" s="350"/>
      <c r="F206" s="350"/>
      <c r="G206" s="350"/>
      <c r="H206" s="351"/>
      <c r="I206" s="368"/>
      <c r="J206" s="350"/>
      <c r="K206" s="350"/>
      <c r="L206" s="350"/>
      <c r="M206" s="350"/>
      <c r="N206" s="350"/>
      <c r="O206" s="350"/>
      <c r="P206" s="351"/>
      <c r="Q206" s="511"/>
      <c r="R206" s="350"/>
      <c r="S206" s="350"/>
      <c r="T206" s="350"/>
      <c r="U206" s="350"/>
      <c r="V206" s="350"/>
      <c r="W206" s="350"/>
      <c r="X206" s="351"/>
      <c r="Y206" s="368"/>
      <c r="Z206" s="351"/>
      <c r="AA206" s="511"/>
      <c r="AB206" s="350"/>
      <c r="AC206" s="350"/>
      <c r="AD206" s="351"/>
      <c r="AE206" s="368"/>
      <c r="AF206" s="350"/>
      <c r="AG206" s="351"/>
      <c r="AH206" s="511"/>
      <c r="AI206" s="350"/>
      <c r="AJ206" s="351"/>
      <c r="AK206" s="368"/>
      <c r="AL206" s="350"/>
      <c r="AM206" s="350"/>
      <c r="AN206" s="351"/>
      <c r="AO206" s="511"/>
      <c r="AP206" s="350"/>
      <c r="AQ206" s="350"/>
      <c r="AR206" s="350"/>
      <c r="AS206" s="350"/>
      <c r="AT206" s="350"/>
      <c r="AU206" s="350"/>
      <c r="AV206" s="351"/>
      <c r="AW206" s="725"/>
      <c r="AX206" s="350"/>
      <c r="AY206" s="351"/>
      <c r="AZ206" s="511"/>
      <c r="BA206" s="350"/>
      <c r="BB206" s="350"/>
      <c r="BC206" s="350"/>
      <c r="BD206" s="350"/>
      <c r="BE206" s="350"/>
      <c r="BF206" s="350"/>
      <c r="BG206" s="350"/>
      <c r="BH206" s="350"/>
      <c r="BI206" s="350"/>
      <c r="BJ206" s="350"/>
      <c r="BK206" s="350"/>
      <c r="BL206" s="350"/>
      <c r="BM206" s="350"/>
      <c r="BN206" s="350"/>
      <c r="BO206" s="351"/>
    </row>
    <row r="207" spans="1:67" ht="34.5" customHeight="1">
      <c r="A207" s="98">
        <f t="shared" si="0"/>
        <v>195</v>
      </c>
      <c r="B207" s="416" t="s">
        <v>325</v>
      </c>
      <c r="C207" s="351"/>
      <c r="D207" s="724"/>
      <c r="E207" s="350"/>
      <c r="F207" s="350"/>
      <c r="G207" s="350"/>
      <c r="H207" s="351"/>
      <c r="I207" s="412"/>
      <c r="J207" s="350"/>
      <c r="K207" s="350"/>
      <c r="L207" s="350"/>
      <c r="M207" s="350"/>
      <c r="N207" s="350"/>
      <c r="O207" s="350"/>
      <c r="P207" s="351"/>
      <c r="Q207" s="412"/>
      <c r="R207" s="350"/>
      <c r="S207" s="350"/>
      <c r="T207" s="350"/>
      <c r="U207" s="350"/>
      <c r="V207" s="350"/>
      <c r="W207" s="350"/>
      <c r="X207" s="351"/>
      <c r="Y207" s="412"/>
      <c r="Z207" s="351"/>
      <c r="AA207" s="412"/>
      <c r="AB207" s="350"/>
      <c r="AC207" s="350"/>
      <c r="AD207" s="351"/>
      <c r="AE207" s="412"/>
      <c r="AF207" s="350"/>
      <c r="AG207" s="351"/>
      <c r="AH207" s="412"/>
      <c r="AI207" s="350"/>
      <c r="AJ207" s="351"/>
      <c r="AK207" s="412"/>
      <c r="AL207" s="350"/>
      <c r="AM207" s="350"/>
      <c r="AN207" s="351"/>
      <c r="AO207" s="412"/>
      <c r="AP207" s="350"/>
      <c r="AQ207" s="350"/>
      <c r="AR207" s="350"/>
      <c r="AS207" s="350"/>
      <c r="AT207" s="350"/>
      <c r="AU207" s="350"/>
      <c r="AV207" s="351"/>
      <c r="AW207" s="723"/>
      <c r="AX207" s="350"/>
      <c r="AY207" s="351"/>
      <c r="AZ207" s="412"/>
      <c r="BA207" s="350"/>
      <c r="BB207" s="350"/>
      <c r="BC207" s="350"/>
      <c r="BD207" s="350"/>
      <c r="BE207" s="350"/>
      <c r="BF207" s="350"/>
      <c r="BG207" s="350"/>
      <c r="BH207" s="350"/>
      <c r="BI207" s="350"/>
      <c r="BJ207" s="350"/>
      <c r="BK207" s="350"/>
      <c r="BL207" s="350"/>
      <c r="BM207" s="350"/>
      <c r="BN207" s="350"/>
      <c r="BO207" s="351"/>
    </row>
    <row r="208" spans="1:67" ht="34.5" customHeight="1">
      <c r="A208" s="98">
        <f t="shared" si="0"/>
        <v>196</v>
      </c>
      <c r="B208" s="416" t="s">
        <v>325</v>
      </c>
      <c r="C208" s="351"/>
      <c r="D208" s="594"/>
      <c r="E208" s="350"/>
      <c r="F208" s="350"/>
      <c r="G208" s="350"/>
      <c r="H208" s="351"/>
      <c r="I208" s="368"/>
      <c r="J208" s="350"/>
      <c r="K208" s="350"/>
      <c r="L208" s="350"/>
      <c r="M208" s="350"/>
      <c r="N208" s="350"/>
      <c r="O208" s="350"/>
      <c r="P208" s="351"/>
      <c r="Q208" s="511"/>
      <c r="R208" s="350"/>
      <c r="S208" s="350"/>
      <c r="T208" s="350"/>
      <c r="U208" s="350"/>
      <c r="V208" s="350"/>
      <c r="W208" s="350"/>
      <c r="X208" s="351"/>
      <c r="Y208" s="368"/>
      <c r="Z208" s="351"/>
      <c r="AA208" s="511"/>
      <c r="AB208" s="350"/>
      <c r="AC208" s="350"/>
      <c r="AD208" s="351"/>
      <c r="AE208" s="368"/>
      <c r="AF208" s="350"/>
      <c r="AG208" s="351"/>
      <c r="AH208" s="511"/>
      <c r="AI208" s="350"/>
      <c r="AJ208" s="351"/>
      <c r="AK208" s="368"/>
      <c r="AL208" s="350"/>
      <c r="AM208" s="350"/>
      <c r="AN208" s="351"/>
      <c r="AO208" s="511"/>
      <c r="AP208" s="350"/>
      <c r="AQ208" s="350"/>
      <c r="AR208" s="350"/>
      <c r="AS208" s="350"/>
      <c r="AT208" s="350"/>
      <c r="AU208" s="350"/>
      <c r="AV208" s="351"/>
      <c r="AW208" s="725"/>
      <c r="AX208" s="350"/>
      <c r="AY208" s="351"/>
      <c r="AZ208" s="511"/>
      <c r="BA208" s="350"/>
      <c r="BB208" s="350"/>
      <c r="BC208" s="350"/>
      <c r="BD208" s="350"/>
      <c r="BE208" s="350"/>
      <c r="BF208" s="350"/>
      <c r="BG208" s="350"/>
      <c r="BH208" s="350"/>
      <c r="BI208" s="350"/>
      <c r="BJ208" s="350"/>
      <c r="BK208" s="350"/>
      <c r="BL208" s="350"/>
      <c r="BM208" s="350"/>
      <c r="BN208" s="350"/>
      <c r="BO208" s="351"/>
    </row>
    <row r="209" spans="1:67" ht="34.5" customHeight="1">
      <c r="A209" s="98">
        <f t="shared" si="0"/>
        <v>197</v>
      </c>
      <c r="B209" s="416" t="s">
        <v>325</v>
      </c>
      <c r="C209" s="351"/>
      <c r="D209" s="724"/>
      <c r="E209" s="350"/>
      <c r="F209" s="350"/>
      <c r="G209" s="350"/>
      <c r="H209" s="351"/>
      <c r="I209" s="412"/>
      <c r="J209" s="350"/>
      <c r="K209" s="350"/>
      <c r="L209" s="350"/>
      <c r="M209" s="350"/>
      <c r="N209" s="350"/>
      <c r="O209" s="350"/>
      <c r="P209" s="351"/>
      <c r="Q209" s="412"/>
      <c r="R209" s="350"/>
      <c r="S209" s="350"/>
      <c r="T209" s="350"/>
      <c r="U209" s="350"/>
      <c r="V209" s="350"/>
      <c r="W209" s="350"/>
      <c r="X209" s="351"/>
      <c r="Y209" s="412"/>
      <c r="Z209" s="351"/>
      <c r="AA209" s="412"/>
      <c r="AB209" s="350"/>
      <c r="AC209" s="350"/>
      <c r="AD209" s="351"/>
      <c r="AE209" s="412"/>
      <c r="AF209" s="350"/>
      <c r="AG209" s="351"/>
      <c r="AH209" s="412"/>
      <c r="AI209" s="350"/>
      <c r="AJ209" s="351"/>
      <c r="AK209" s="412"/>
      <c r="AL209" s="350"/>
      <c r="AM209" s="350"/>
      <c r="AN209" s="351"/>
      <c r="AO209" s="412"/>
      <c r="AP209" s="350"/>
      <c r="AQ209" s="350"/>
      <c r="AR209" s="350"/>
      <c r="AS209" s="350"/>
      <c r="AT209" s="350"/>
      <c r="AU209" s="350"/>
      <c r="AV209" s="351"/>
      <c r="AW209" s="723"/>
      <c r="AX209" s="350"/>
      <c r="AY209" s="351"/>
      <c r="AZ209" s="412"/>
      <c r="BA209" s="350"/>
      <c r="BB209" s="350"/>
      <c r="BC209" s="350"/>
      <c r="BD209" s="350"/>
      <c r="BE209" s="350"/>
      <c r="BF209" s="350"/>
      <c r="BG209" s="350"/>
      <c r="BH209" s="350"/>
      <c r="BI209" s="350"/>
      <c r="BJ209" s="350"/>
      <c r="BK209" s="350"/>
      <c r="BL209" s="350"/>
      <c r="BM209" s="350"/>
      <c r="BN209" s="350"/>
      <c r="BO209" s="351"/>
    </row>
    <row r="210" spans="1:67" ht="34.5" customHeight="1">
      <c r="A210" s="98">
        <f t="shared" si="0"/>
        <v>198</v>
      </c>
      <c r="B210" s="416" t="s">
        <v>325</v>
      </c>
      <c r="C210" s="351"/>
      <c r="D210" s="594"/>
      <c r="E210" s="350"/>
      <c r="F210" s="350"/>
      <c r="G210" s="350"/>
      <c r="H210" s="351"/>
      <c r="I210" s="368"/>
      <c r="J210" s="350"/>
      <c r="K210" s="350"/>
      <c r="L210" s="350"/>
      <c r="M210" s="350"/>
      <c r="N210" s="350"/>
      <c r="O210" s="350"/>
      <c r="P210" s="351"/>
      <c r="Q210" s="511"/>
      <c r="R210" s="350"/>
      <c r="S210" s="350"/>
      <c r="T210" s="350"/>
      <c r="U210" s="350"/>
      <c r="V210" s="350"/>
      <c r="W210" s="350"/>
      <c r="X210" s="351"/>
      <c r="Y210" s="368"/>
      <c r="Z210" s="351"/>
      <c r="AA210" s="511"/>
      <c r="AB210" s="350"/>
      <c r="AC210" s="350"/>
      <c r="AD210" s="351"/>
      <c r="AE210" s="368"/>
      <c r="AF210" s="350"/>
      <c r="AG210" s="351"/>
      <c r="AH210" s="511"/>
      <c r="AI210" s="350"/>
      <c r="AJ210" s="351"/>
      <c r="AK210" s="368"/>
      <c r="AL210" s="350"/>
      <c r="AM210" s="350"/>
      <c r="AN210" s="351"/>
      <c r="AO210" s="511"/>
      <c r="AP210" s="350"/>
      <c r="AQ210" s="350"/>
      <c r="AR210" s="350"/>
      <c r="AS210" s="350"/>
      <c r="AT210" s="350"/>
      <c r="AU210" s="350"/>
      <c r="AV210" s="351"/>
      <c r="AW210" s="725"/>
      <c r="AX210" s="350"/>
      <c r="AY210" s="351"/>
      <c r="AZ210" s="511"/>
      <c r="BA210" s="350"/>
      <c r="BB210" s="350"/>
      <c r="BC210" s="350"/>
      <c r="BD210" s="350"/>
      <c r="BE210" s="350"/>
      <c r="BF210" s="350"/>
      <c r="BG210" s="350"/>
      <c r="BH210" s="350"/>
      <c r="BI210" s="350"/>
      <c r="BJ210" s="350"/>
      <c r="BK210" s="350"/>
      <c r="BL210" s="350"/>
      <c r="BM210" s="350"/>
      <c r="BN210" s="350"/>
      <c r="BO210" s="351"/>
    </row>
    <row r="211" spans="1:67" ht="34.5" customHeight="1">
      <c r="A211" s="98">
        <f t="shared" si="0"/>
        <v>199</v>
      </c>
      <c r="B211" s="416" t="s">
        <v>325</v>
      </c>
      <c r="C211" s="351"/>
      <c r="D211" s="724"/>
      <c r="E211" s="350"/>
      <c r="F211" s="350"/>
      <c r="G211" s="350"/>
      <c r="H211" s="351"/>
      <c r="I211" s="412"/>
      <c r="J211" s="350"/>
      <c r="K211" s="350"/>
      <c r="L211" s="350"/>
      <c r="M211" s="350"/>
      <c r="N211" s="350"/>
      <c r="O211" s="350"/>
      <c r="P211" s="351"/>
      <c r="Q211" s="412"/>
      <c r="R211" s="350"/>
      <c r="S211" s="350"/>
      <c r="T211" s="350"/>
      <c r="U211" s="350"/>
      <c r="V211" s="350"/>
      <c r="W211" s="350"/>
      <c r="X211" s="351"/>
      <c r="Y211" s="412"/>
      <c r="Z211" s="351"/>
      <c r="AA211" s="412"/>
      <c r="AB211" s="350"/>
      <c r="AC211" s="350"/>
      <c r="AD211" s="351"/>
      <c r="AE211" s="412"/>
      <c r="AF211" s="350"/>
      <c r="AG211" s="351"/>
      <c r="AH211" s="412"/>
      <c r="AI211" s="350"/>
      <c r="AJ211" s="351"/>
      <c r="AK211" s="412"/>
      <c r="AL211" s="350"/>
      <c r="AM211" s="350"/>
      <c r="AN211" s="351"/>
      <c r="AO211" s="412"/>
      <c r="AP211" s="350"/>
      <c r="AQ211" s="350"/>
      <c r="AR211" s="350"/>
      <c r="AS211" s="350"/>
      <c r="AT211" s="350"/>
      <c r="AU211" s="350"/>
      <c r="AV211" s="351"/>
      <c r="AW211" s="723"/>
      <c r="AX211" s="350"/>
      <c r="AY211" s="351"/>
      <c r="AZ211" s="412"/>
      <c r="BA211" s="350"/>
      <c r="BB211" s="350"/>
      <c r="BC211" s="350"/>
      <c r="BD211" s="350"/>
      <c r="BE211" s="350"/>
      <c r="BF211" s="350"/>
      <c r="BG211" s="350"/>
      <c r="BH211" s="350"/>
      <c r="BI211" s="350"/>
      <c r="BJ211" s="350"/>
      <c r="BK211" s="350"/>
      <c r="BL211" s="350"/>
      <c r="BM211" s="350"/>
      <c r="BN211" s="350"/>
      <c r="BO211" s="351"/>
    </row>
    <row r="212" spans="1:67" ht="34.5" customHeight="1">
      <c r="A212" s="98">
        <f t="shared" si="0"/>
        <v>200</v>
      </c>
      <c r="B212" s="726" t="s">
        <v>325</v>
      </c>
      <c r="C212" s="351"/>
      <c r="D212" s="594"/>
      <c r="E212" s="350"/>
      <c r="F212" s="350"/>
      <c r="G212" s="350"/>
      <c r="H212" s="351"/>
      <c r="I212" s="368"/>
      <c r="J212" s="350"/>
      <c r="K212" s="350"/>
      <c r="L212" s="350"/>
      <c r="M212" s="350"/>
      <c r="N212" s="350"/>
      <c r="O212" s="350"/>
      <c r="P212" s="351"/>
      <c r="Q212" s="511"/>
      <c r="R212" s="350"/>
      <c r="S212" s="350"/>
      <c r="T212" s="350"/>
      <c r="U212" s="350"/>
      <c r="V212" s="350"/>
      <c r="W212" s="350"/>
      <c r="X212" s="351"/>
      <c r="Y212" s="368"/>
      <c r="Z212" s="351"/>
      <c r="AA212" s="511"/>
      <c r="AB212" s="350"/>
      <c r="AC212" s="350"/>
      <c r="AD212" s="351"/>
      <c r="AE212" s="368"/>
      <c r="AF212" s="350"/>
      <c r="AG212" s="351"/>
      <c r="AH212" s="511"/>
      <c r="AI212" s="350"/>
      <c r="AJ212" s="351"/>
      <c r="AK212" s="368"/>
      <c r="AL212" s="350"/>
      <c r="AM212" s="350"/>
      <c r="AN212" s="351"/>
      <c r="AO212" s="511"/>
      <c r="AP212" s="350"/>
      <c r="AQ212" s="350"/>
      <c r="AR212" s="350"/>
      <c r="AS212" s="350"/>
      <c r="AT212" s="350"/>
      <c r="AU212" s="350"/>
      <c r="AV212" s="351"/>
      <c r="AW212" s="725"/>
      <c r="AX212" s="350"/>
      <c r="AY212" s="351"/>
      <c r="AZ212" s="511"/>
      <c r="BA212" s="350"/>
      <c r="BB212" s="350"/>
      <c r="BC212" s="350"/>
      <c r="BD212" s="350"/>
      <c r="BE212" s="350"/>
      <c r="BF212" s="350"/>
      <c r="BG212" s="350"/>
      <c r="BH212" s="350"/>
      <c r="BI212" s="350"/>
      <c r="BJ212" s="350"/>
      <c r="BK212" s="350"/>
      <c r="BL212" s="350"/>
      <c r="BM212" s="350"/>
      <c r="BN212" s="350"/>
      <c r="BO212" s="351"/>
    </row>
    <row r="213" spans="1:67" ht="34.5" customHeight="1">
      <c r="A213" s="98">
        <f t="shared" si="0"/>
        <v>201</v>
      </c>
      <c r="B213" s="416" t="s">
        <v>325</v>
      </c>
      <c r="C213" s="351"/>
      <c r="D213" s="724"/>
      <c r="E213" s="350"/>
      <c r="F213" s="350"/>
      <c r="G213" s="350"/>
      <c r="H213" s="351"/>
      <c r="I213" s="412"/>
      <c r="J213" s="350"/>
      <c r="K213" s="350"/>
      <c r="L213" s="350"/>
      <c r="M213" s="350"/>
      <c r="N213" s="350"/>
      <c r="O213" s="350"/>
      <c r="P213" s="351"/>
      <c r="Q213" s="412"/>
      <c r="R213" s="350"/>
      <c r="S213" s="350"/>
      <c r="T213" s="350"/>
      <c r="U213" s="350"/>
      <c r="V213" s="350"/>
      <c r="W213" s="350"/>
      <c r="X213" s="351"/>
      <c r="Y213" s="412"/>
      <c r="Z213" s="351"/>
      <c r="AA213" s="412"/>
      <c r="AB213" s="350"/>
      <c r="AC213" s="350"/>
      <c r="AD213" s="351"/>
      <c r="AE213" s="412"/>
      <c r="AF213" s="350"/>
      <c r="AG213" s="351"/>
      <c r="AH213" s="412"/>
      <c r="AI213" s="350"/>
      <c r="AJ213" s="351"/>
      <c r="AK213" s="412"/>
      <c r="AL213" s="350"/>
      <c r="AM213" s="350"/>
      <c r="AN213" s="351"/>
      <c r="AO213" s="412"/>
      <c r="AP213" s="350"/>
      <c r="AQ213" s="350"/>
      <c r="AR213" s="350"/>
      <c r="AS213" s="350"/>
      <c r="AT213" s="350"/>
      <c r="AU213" s="350"/>
      <c r="AV213" s="351"/>
      <c r="AW213" s="723"/>
      <c r="AX213" s="350"/>
      <c r="AY213" s="351"/>
      <c r="AZ213" s="412"/>
      <c r="BA213" s="350"/>
      <c r="BB213" s="350"/>
      <c r="BC213" s="350"/>
      <c r="BD213" s="350"/>
      <c r="BE213" s="350"/>
      <c r="BF213" s="350"/>
      <c r="BG213" s="350"/>
      <c r="BH213" s="350"/>
      <c r="BI213" s="350"/>
      <c r="BJ213" s="350"/>
      <c r="BK213" s="350"/>
      <c r="BL213" s="350"/>
      <c r="BM213" s="350"/>
      <c r="BN213" s="350"/>
      <c r="BO213" s="351"/>
    </row>
    <row r="214" spans="1:67" ht="34.5" customHeight="1">
      <c r="A214" s="98">
        <f t="shared" si="0"/>
        <v>202</v>
      </c>
      <c r="B214" s="416" t="s">
        <v>325</v>
      </c>
      <c r="C214" s="351"/>
      <c r="D214" s="594"/>
      <c r="E214" s="350"/>
      <c r="F214" s="350"/>
      <c r="G214" s="350"/>
      <c r="H214" s="351"/>
      <c r="I214" s="368"/>
      <c r="J214" s="350"/>
      <c r="K214" s="350"/>
      <c r="L214" s="350"/>
      <c r="M214" s="350"/>
      <c r="N214" s="350"/>
      <c r="O214" s="350"/>
      <c r="P214" s="351"/>
      <c r="Q214" s="511"/>
      <c r="R214" s="350"/>
      <c r="S214" s="350"/>
      <c r="T214" s="350"/>
      <c r="U214" s="350"/>
      <c r="V214" s="350"/>
      <c r="W214" s="350"/>
      <c r="X214" s="351"/>
      <c r="Y214" s="368"/>
      <c r="Z214" s="351"/>
      <c r="AA214" s="511"/>
      <c r="AB214" s="350"/>
      <c r="AC214" s="350"/>
      <c r="AD214" s="351"/>
      <c r="AE214" s="368"/>
      <c r="AF214" s="350"/>
      <c r="AG214" s="351"/>
      <c r="AH214" s="511"/>
      <c r="AI214" s="350"/>
      <c r="AJ214" s="351"/>
      <c r="AK214" s="368"/>
      <c r="AL214" s="350"/>
      <c r="AM214" s="350"/>
      <c r="AN214" s="351"/>
      <c r="AO214" s="511"/>
      <c r="AP214" s="350"/>
      <c r="AQ214" s="350"/>
      <c r="AR214" s="350"/>
      <c r="AS214" s="350"/>
      <c r="AT214" s="350"/>
      <c r="AU214" s="350"/>
      <c r="AV214" s="351"/>
      <c r="AW214" s="725"/>
      <c r="AX214" s="350"/>
      <c r="AY214" s="351"/>
      <c r="AZ214" s="511"/>
      <c r="BA214" s="350"/>
      <c r="BB214" s="350"/>
      <c r="BC214" s="350"/>
      <c r="BD214" s="350"/>
      <c r="BE214" s="350"/>
      <c r="BF214" s="350"/>
      <c r="BG214" s="350"/>
      <c r="BH214" s="350"/>
      <c r="BI214" s="350"/>
      <c r="BJ214" s="350"/>
      <c r="BK214" s="350"/>
      <c r="BL214" s="350"/>
      <c r="BM214" s="350"/>
      <c r="BN214" s="350"/>
      <c r="BO214" s="351"/>
    </row>
    <row r="215" spans="1:67" ht="34.5" customHeight="1">
      <c r="A215" s="98">
        <f t="shared" si="0"/>
        <v>203</v>
      </c>
      <c r="B215" s="416" t="s">
        <v>325</v>
      </c>
      <c r="C215" s="351"/>
      <c r="D215" s="724"/>
      <c r="E215" s="350"/>
      <c r="F215" s="350"/>
      <c r="G215" s="350"/>
      <c r="H215" s="351"/>
      <c r="I215" s="412"/>
      <c r="J215" s="350"/>
      <c r="K215" s="350"/>
      <c r="L215" s="350"/>
      <c r="M215" s="350"/>
      <c r="N215" s="350"/>
      <c r="O215" s="350"/>
      <c r="P215" s="351"/>
      <c r="Q215" s="412"/>
      <c r="R215" s="350"/>
      <c r="S215" s="350"/>
      <c r="T215" s="350"/>
      <c r="U215" s="350"/>
      <c r="V215" s="350"/>
      <c r="W215" s="350"/>
      <c r="X215" s="351"/>
      <c r="Y215" s="412"/>
      <c r="Z215" s="351"/>
      <c r="AA215" s="412"/>
      <c r="AB215" s="350"/>
      <c r="AC215" s="350"/>
      <c r="AD215" s="351"/>
      <c r="AE215" s="412"/>
      <c r="AF215" s="350"/>
      <c r="AG215" s="351"/>
      <c r="AH215" s="412"/>
      <c r="AI215" s="350"/>
      <c r="AJ215" s="351"/>
      <c r="AK215" s="412"/>
      <c r="AL215" s="350"/>
      <c r="AM215" s="350"/>
      <c r="AN215" s="351"/>
      <c r="AO215" s="412"/>
      <c r="AP215" s="350"/>
      <c r="AQ215" s="350"/>
      <c r="AR215" s="350"/>
      <c r="AS215" s="350"/>
      <c r="AT215" s="350"/>
      <c r="AU215" s="350"/>
      <c r="AV215" s="351"/>
      <c r="AW215" s="723"/>
      <c r="AX215" s="350"/>
      <c r="AY215" s="351"/>
      <c r="AZ215" s="412"/>
      <c r="BA215" s="350"/>
      <c r="BB215" s="350"/>
      <c r="BC215" s="350"/>
      <c r="BD215" s="350"/>
      <c r="BE215" s="350"/>
      <c r="BF215" s="350"/>
      <c r="BG215" s="350"/>
      <c r="BH215" s="350"/>
      <c r="BI215" s="350"/>
      <c r="BJ215" s="350"/>
      <c r="BK215" s="350"/>
      <c r="BL215" s="350"/>
      <c r="BM215" s="350"/>
      <c r="BN215" s="350"/>
      <c r="BO215" s="351"/>
    </row>
    <row r="216" spans="1:67" ht="34.5" customHeight="1">
      <c r="A216" s="98">
        <f t="shared" si="0"/>
        <v>204</v>
      </c>
      <c r="B216" s="416" t="s">
        <v>325</v>
      </c>
      <c r="C216" s="351"/>
      <c r="D216" s="594"/>
      <c r="E216" s="350"/>
      <c r="F216" s="350"/>
      <c r="G216" s="350"/>
      <c r="H216" s="351"/>
      <c r="I216" s="368"/>
      <c r="J216" s="350"/>
      <c r="K216" s="350"/>
      <c r="L216" s="350"/>
      <c r="M216" s="350"/>
      <c r="N216" s="350"/>
      <c r="O216" s="350"/>
      <c r="P216" s="351"/>
      <c r="Q216" s="511"/>
      <c r="R216" s="350"/>
      <c r="S216" s="350"/>
      <c r="T216" s="350"/>
      <c r="U216" s="350"/>
      <c r="V216" s="350"/>
      <c r="W216" s="350"/>
      <c r="X216" s="351"/>
      <c r="Y216" s="368"/>
      <c r="Z216" s="351"/>
      <c r="AA216" s="511"/>
      <c r="AB216" s="350"/>
      <c r="AC216" s="350"/>
      <c r="AD216" s="351"/>
      <c r="AE216" s="368"/>
      <c r="AF216" s="350"/>
      <c r="AG216" s="351"/>
      <c r="AH216" s="511"/>
      <c r="AI216" s="350"/>
      <c r="AJ216" s="351"/>
      <c r="AK216" s="368"/>
      <c r="AL216" s="350"/>
      <c r="AM216" s="350"/>
      <c r="AN216" s="351"/>
      <c r="AO216" s="511"/>
      <c r="AP216" s="350"/>
      <c r="AQ216" s="350"/>
      <c r="AR216" s="350"/>
      <c r="AS216" s="350"/>
      <c r="AT216" s="350"/>
      <c r="AU216" s="350"/>
      <c r="AV216" s="351"/>
      <c r="AW216" s="725"/>
      <c r="AX216" s="350"/>
      <c r="AY216" s="351"/>
      <c r="AZ216" s="511"/>
      <c r="BA216" s="350"/>
      <c r="BB216" s="350"/>
      <c r="BC216" s="350"/>
      <c r="BD216" s="350"/>
      <c r="BE216" s="350"/>
      <c r="BF216" s="350"/>
      <c r="BG216" s="350"/>
      <c r="BH216" s="350"/>
      <c r="BI216" s="350"/>
      <c r="BJ216" s="350"/>
      <c r="BK216" s="350"/>
      <c r="BL216" s="350"/>
      <c r="BM216" s="350"/>
      <c r="BN216" s="350"/>
      <c r="BO216" s="351"/>
    </row>
    <row r="217" spans="1:67" ht="34.5" customHeight="1">
      <c r="A217" s="98">
        <f t="shared" si="0"/>
        <v>205</v>
      </c>
      <c r="B217" s="416" t="s">
        <v>325</v>
      </c>
      <c r="C217" s="351"/>
      <c r="D217" s="724"/>
      <c r="E217" s="350"/>
      <c r="F217" s="350"/>
      <c r="G217" s="350"/>
      <c r="H217" s="351"/>
      <c r="I217" s="412"/>
      <c r="J217" s="350"/>
      <c r="K217" s="350"/>
      <c r="L217" s="350"/>
      <c r="M217" s="350"/>
      <c r="N217" s="350"/>
      <c r="O217" s="350"/>
      <c r="P217" s="351"/>
      <c r="Q217" s="412"/>
      <c r="R217" s="350"/>
      <c r="S217" s="350"/>
      <c r="T217" s="350"/>
      <c r="U217" s="350"/>
      <c r="V217" s="350"/>
      <c r="W217" s="350"/>
      <c r="X217" s="351"/>
      <c r="Y217" s="412"/>
      <c r="Z217" s="351"/>
      <c r="AA217" s="412"/>
      <c r="AB217" s="350"/>
      <c r="AC217" s="350"/>
      <c r="AD217" s="351"/>
      <c r="AE217" s="412"/>
      <c r="AF217" s="350"/>
      <c r="AG217" s="351"/>
      <c r="AH217" s="412"/>
      <c r="AI217" s="350"/>
      <c r="AJ217" s="351"/>
      <c r="AK217" s="412"/>
      <c r="AL217" s="350"/>
      <c r="AM217" s="350"/>
      <c r="AN217" s="351"/>
      <c r="AO217" s="412"/>
      <c r="AP217" s="350"/>
      <c r="AQ217" s="350"/>
      <c r="AR217" s="350"/>
      <c r="AS217" s="350"/>
      <c r="AT217" s="350"/>
      <c r="AU217" s="350"/>
      <c r="AV217" s="351"/>
      <c r="AW217" s="723"/>
      <c r="AX217" s="350"/>
      <c r="AY217" s="351"/>
      <c r="AZ217" s="412"/>
      <c r="BA217" s="350"/>
      <c r="BB217" s="350"/>
      <c r="BC217" s="350"/>
      <c r="BD217" s="350"/>
      <c r="BE217" s="350"/>
      <c r="BF217" s="350"/>
      <c r="BG217" s="350"/>
      <c r="BH217" s="350"/>
      <c r="BI217" s="350"/>
      <c r="BJ217" s="350"/>
      <c r="BK217" s="350"/>
      <c r="BL217" s="350"/>
      <c r="BM217" s="350"/>
      <c r="BN217" s="350"/>
      <c r="BO217" s="351"/>
    </row>
    <row r="218" spans="1:67" ht="34.5" customHeight="1">
      <c r="A218" s="98">
        <f t="shared" si="0"/>
        <v>206</v>
      </c>
      <c r="B218" s="416" t="s">
        <v>325</v>
      </c>
      <c r="C218" s="351"/>
      <c r="D218" s="594"/>
      <c r="E218" s="350"/>
      <c r="F218" s="350"/>
      <c r="G218" s="350"/>
      <c r="H218" s="351"/>
      <c r="I218" s="368"/>
      <c r="J218" s="350"/>
      <c r="K218" s="350"/>
      <c r="L218" s="350"/>
      <c r="M218" s="350"/>
      <c r="N218" s="350"/>
      <c r="O218" s="350"/>
      <c r="P218" s="351"/>
      <c r="Q218" s="511"/>
      <c r="R218" s="350"/>
      <c r="S218" s="350"/>
      <c r="T218" s="350"/>
      <c r="U218" s="350"/>
      <c r="V218" s="350"/>
      <c r="W218" s="350"/>
      <c r="X218" s="351"/>
      <c r="Y218" s="368"/>
      <c r="Z218" s="351"/>
      <c r="AA218" s="511"/>
      <c r="AB218" s="350"/>
      <c r="AC218" s="350"/>
      <c r="AD218" s="351"/>
      <c r="AE218" s="368"/>
      <c r="AF218" s="350"/>
      <c r="AG218" s="351"/>
      <c r="AH218" s="511"/>
      <c r="AI218" s="350"/>
      <c r="AJ218" s="351"/>
      <c r="AK218" s="368"/>
      <c r="AL218" s="350"/>
      <c r="AM218" s="350"/>
      <c r="AN218" s="351"/>
      <c r="AO218" s="511"/>
      <c r="AP218" s="350"/>
      <c r="AQ218" s="350"/>
      <c r="AR218" s="350"/>
      <c r="AS218" s="350"/>
      <c r="AT218" s="350"/>
      <c r="AU218" s="350"/>
      <c r="AV218" s="351"/>
      <c r="AW218" s="725"/>
      <c r="AX218" s="350"/>
      <c r="AY218" s="351"/>
      <c r="AZ218" s="511"/>
      <c r="BA218" s="350"/>
      <c r="BB218" s="350"/>
      <c r="BC218" s="350"/>
      <c r="BD218" s="350"/>
      <c r="BE218" s="350"/>
      <c r="BF218" s="350"/>
      <c r="BG218" s="350"/>
      <c r="BH218" s="350"/>
      <c r="BI218" s="350"/>
      <c r="BJ218" s="350"/>
      <c r="BK218" s="350"/>
      <c r="BL218" s="350"/>
      <c r="BM218" s="350"/>
      <c r="BN218" s="350"/>
      <c r="BO218" s="351"/>
    </row>
    <row r="219" spans="1:67" ht="34.5" customHeight="1">
      <c r="A219" s="98">
        <f t="shared" si="0"/>
        <v>207</v>
      </c>
      <c r="B219" s="416" t="s">
        <v>325</v>
      </c>
      <c r="C219" s="351"/>
      <c r="D219" s="724"/>
      <c r="E219" s="350"/>
      <c r="F219" s="350"/>
      <c r="G219" s="350"/>
      <c r="H219" s="351"/>
      <c r="I219" s="412"/>
      <c r="J219" s="350"/>
      <c r="K219" s="350"/>
      <c r="L219" s="350"/>
      <c r="M219" s="350"/>
      <c r="N219" s="350"/>
      <c r="O219" s="350"/>
      <c r="P219" s="351"/>
      <c r="Q219" s="412"/>
      <c r="R219" s="350"/>
      <c r="S219" s="350"/>
      <c r="T219" s="350"/>
      <c r="U219" s="350"/>
      <c r="V219" s="350"/>
      <c r="W219" s="350"/>
      <c r="X219" s="351"/>
      <c r="Y219" s="412"/>
      <c r="Z219" s="351"/>
      <c r="AA219" s="412"/>
      <c r="AB219" s="350"/>
      <c r="AC219" s="350"/>
      <c r="AD219" s="351"/>
      <c r="AE219" s="412"/>
      <c r="AF219" s="350"/>
      <c r="AG219" s="351"/>
      <c r="AH219" s="412"/>
      <c r="AI219" s="350"/>
      <c r="AJ219" s="351"/>
      <c r="AK219" s="412"/>
      <c r="AL219" s="350"/>
      <c r="AM219" s="350"/>
      <c r="AN219" s="351"/>
      <c r="AO219" s="412"/>
      <c r="AP219" s="350"/>
      <c r="AQ219" s="350"/>
      <c r="AR219" s="350"/>
      <c r="AS219" s="350"/>
      <c r="AT219" s="350"/>
      <c r="AU219" s="350"/>
      <c r="AV219" s="351"/>
      <c r="AW219" s="723"/>
      <c r="AX219" s="350"/>
      <c r="AY219" s="351"/>
      <c r="AZ219" s="412"/>
      <c r="BA219" s="350"/>
      <c r="BB219" s="350"/>
      <c r="BC219" s="350"/>
      <c r="BD219" s="350"/>
      <c r="BE219" s="350"/>
      <c r="BF219" s="350"/>
      <c r="BG219" s="350"/>
      <c r="BH219" s="350"/>
      <c r="BI219" s="350"/>
      <c r="BJ219" s="350"/>
      <c r="BK219" s="350"/>
      <c r="BL219" s="350"/>
      <c r="BM219" s="350"/>
      <c r="BN219" s="350"/>
      <c r="BO219" s="351"/>
    </row>
    <row r="220" spans="1:67" ht="34.5" customHeight="1">
      <c r="A220" s="98">
        <f t="shared" si="0"/>
        <v>208</v>
      </c>
      <c r="B220" s="416" t="s">
        <v>325</v>
      </c>
      <c r="C220" s="351"/>
      <c r="D220" s="594"/>
      <c r="E220" s="350"/>
      <c r="F220" s="350"/>
      <c r="G220" s="350"/>
      <c r="H220" s="351"/>
      <c r="I220" s="368"/>
      <c r="J220" s="350"/>
      <c r="K220" s="350"/>
      <c r="L220" s="350"/>
      <c r="M220" s="350"/>
      <c r="N220" s="350"/>
      <c r="O220" s="350"/>
      <c r="P220" s="351"/>
      <c r="Q220" s="511"/>
      <c r="R220" s="350"/>
      <c r="S220" s="350"/>
      <c r="T220" s="350"/>
      <c r="U220" s="350"/>
      <c r="V220" s="350"/>
      <c r="W220" s="350"/>
      <c r="X220" s="351"/>
      <c r="Y220" s="368"/>
      <c r="Z220" s="351"/>
      <c r="AA220" s="511"/>
      <c r="AB220" s="350"/>
      <c r="AC220" s="350"/>
      <c r="AD220" s="351"/>
      <c r="AE220" s="368"/>
      <c r="AF220" s="350"/>
      <c r="AG220" s="351"/>
      <c r="AH220" s="511"/>
      <c r="AI220" s="350"/>
      <c r="AJ220" s="351"/>
      <c r="AK220" s="368"/>
      <c r="AL220" s="350"/>
      <c r="AM220" s="350"/>
      <c r="AN220" s="351"/>
      <c r="AO220" s="511"/>
      <c r="AP220" s="350"/>
      <c r="AQ220" s="350"/>
      <c r="AR220" s="350"/>
      <c r="AS220" s="350"/>
      <c r="AT220" s="350"/>
      <c r="AU220" s="350"/>
      <c r="AV220" s="351"/>
      <c r="AW220" s="725"/>
      <c r="AX220" s="350"/>
      <c r="AY220" s="351"/>
      <c r="AZ220" s="511"/>
      <c r="BA220" s="350"/>
      <c r="BB220" s="350"/>
      <c r="BC220" s="350"/>
      <c r="BD220" s="350"/>
      <c r="BE220" s="350"/>
      <c r="BF220" s="350"/>
      <c r="BG220" s="350"/>
      <c r="BH220" s="350"/>
      <c r="BI220" s="350"/>
      <c r="BJ220" s="350"/>
      <c r="BK220" s="350"/>
      <c r="BL220" s="350"/>
      <c r="BM220" s="350"/>
      <c r="BN220" s="350"/>
      <c r="BO220" s="351"/>
    </row>
    <row r="221" spans="1:67" ht="34.5" customHeight="1">
      <c r="A221" s="98">
        <f t="shared" si="0"/>
        <v>209</v>
      </c>
      <c r="B221" s="416" t="s">
        <v>325</v>
      </c>
      <c r="C221" s="351"/>
      <c r="D221" s="724"/>
      <c r="E221" s="350"/>
      <c r="F221" s="350"/>
      <c r="G221" s="350"/>
      <c r="H221" s="351"/>
      <c r="I221" s="412"/>
      <c r="J221" s="350"/>
      <c r="K221" s="350"/>
      <c r="L221" s="350"/>
      <c r="M221" s="350"/>
      <c r="N221" s="350"/>
      <c r="O221" s="350"/>
      <c r="P221" s="351"/>
      <c r="Q221" s="412"/>
      <c r="R221" s="350"/>
      <c r="S221" s="350"/>
      <c r="T221" s="350"/>
      <c r="U221" s="350"/>
      <c r="V221" s="350"/>
      <c r="W221" s="350"/>
      <c r="X221" s="351"/>
      <c r="Y221" s="412"/>
      <c r="Z221" s="351"/>
      <c r="AA221" s="412"/>
      <c r="AB221" s="350"/>
      <c r="AC221" s="350"/>
      <c r="AD221" s="351"/>
      <c r="AE221" s="412"/>
      <c r="AF221" s="350"/>
      <c r="AG221" s="351"/>
      <c r="AH221" s="412"/>
      <c r="AI221" s="350"/>
      <c r="AJ221" s="351"/>
      <c r="AK221" s="412"/>
      <c r="AL221" s="350"/>
      <c r="AM221" s="350"/>
      <c r="AN221" s="351"/>
      <c r="AO221" s="412"/>
      <c r="AP221" s="350"/>
      <c r="AQ221" s="350"/>
      <c r="AR221" s="350"/>
      <c r="AS221" s="350"/>
      <c r="AT221" s="350"/>
      <c r="AU221" s="350"/>
      <c r="AV221" s="351"/>
      <c r="AW221" s="723"/>
      <c r="AX221" s="350"/>
      <c r="AY221" s="351"/>
      <c r="AZ221" s="412"/>
      <c r="BA221" s="350"/>
      <c r="BB221" s="350"/>
      <c r="BC221" s="350"/>
      <c r="BD221" s="350"/>
      <c r="BE221" s="350"/>
      <c r="BF221" s="350"/>
      <c r="BG221" s="350"/>
      <c r="BH221" s="350"/>
      <c r="BI221" s="350"/>
      <c r="BJ221" s="350"/>
      <c r="BK221" s="350"/>
      <c r="BL221" s="350"/>
      <c r="BM221" s="350"/>
      <c r="BN221" s="350"/>
      <c r="BO221" s="351"/>
    </row>
    <row r="222" spans="1:67" ht="34.5" customHeight="1">
      <c r="A222" s="98">
        <f t="shared" si="0"/>
        <v>210</v>
      </c>
      <c r="B222" s="416" t="s">
        <v>325</v>
      </c>
      <c r="C222" s="351"/>
      <c r="D222" s="594"/>
      <c r="E222" s="350"/>
      <c r="F222" s="350"/>
      <c r="G222" s="350"/>
      <c r="H222" s="351"/>
      <c r="I222" s="368"/>
      <c r="J222" s="350"/>
      <c r="K222" s="350"/>
      <c r="L222" s="350"/>
      <c r="M222" s="350"/>
      <c r="N222" s="350"/>
      <c r="O222" s="350"/>
      <c r="P222" s="351"/>
      <c r="Q222" s="511"/>
      <c r="R222" s="350"/>
      <c r="S222" s="350"/>
      <c r="T222" s="350"/>
      <c r="U222" s="350"/>
      <c r="V222" s="350"/>
      <c r="W222" s="350"/>
      <c r="X222" s="351"/>
      <c r="Y222" s="368"/>
      <c r="Z222" s="351"/>
      <c r="AA222" s="511"/>
      <c r="AB222" s="350"/>
      <c r="AC222" s="350"/>
      <c r="AD222" s="351"/>
      <c r="AE222" s="368"/>
      <c r="AF222" s="350"/>
      <c r="AG222" s="351"/>
      <c r="AH222" s="511"/>
      <c r="AI222" s="350"/>
      <c r="AJ222" s="351"/>
      <c r="AK222" s="368"/>
      <c r="AL222" s="350"/>
      <c r="AM222" s="350"/>
      <c r="AN222" s="351"/>
      <c r="AO222" s="511"/>
      <c r="AP222" s="350"/>
      <c r="AQ222" s="350"/>
      <c r="AR222" s="350"/>
      <c r="AS222" s="350"/>
      <c r="AT222" s="350"/>
      <c r="AU222" s="350"/>
      <c r="AV222" s="351"/>
      <c r="AW222" s="725"/>
      <c r="AX222" s="350"/>
      <c r="AY222" s="351"/>
      <c r="AZ222" s="511"/>
      <c r="BA222" s="350"/>
      <c r="BB222" s="350"/>
      <c r="BC222" s="350"/>
      <c r="BD222" s="350"/>
      <c r="BE222" s="350"/>
      <c r="BF222" s="350"/>
      <c r="BG222" s="350"/>
      <c r="BH222" s="350"/>
      <c r="BI222" s="350"/>
      <c r="BJ222" s="350"/>
      <c r="BK222" s="350"/>
      <c r="BL222" s="350"/>
      <c r="BM222" s="350"/>
      <c r="BN222" s="350"/>
      <c r="BO222" s="351"/>
    </row>
    <row r="223" spans="1:67" ht="34.5" customHeight="1">
      <c r="A223" s="98">
        <f t="shared" si="0"/>
        <v>211</v>
      </c>
      <c r="B223" s="416" t="s">
        <v>325</v>
      </c>
      <c r="C223" s="351"/>
      <c r="D223" s="724"/>
      <c r="E223" s="350"/>
      <c r="F223" s="350"/>
      <c r="G223" s="350"/>
      <c r="H223" s="351"/>
      <c r="I223" s="412"/>
      <c r="J223" s="350"/>
      <c r="K223" s="350"/>
      <c r="L223" s="350"/>
      <c r="M223" s="350"/>
      <c r="N223" s="350"/>
      <c r="O223" s="350"/>
      <c r="P223" s="351"/>
      <c r="Q223" s="412"/>
      <c r="R223" s="350"/>
      <c r="S223" s="350"/>
      <c r="T223" s="350"/>
      <c r="U223" s="350"/>
      <c r="V223" s="350"/>
      <c r="W223" s="350"/>
      <c r="X223" s="351"/>
      <c r="Y223" s="412"/>
      <c r="Z223" s="351"/>
      <c r="AA223" s="412"/>
      <c r="AB223" s="350"/>
      <c r="AC223" s="350"/>
      <c r="AD223" s="351"/>
      <c r="AE223" s="412"/>
      <c r="AF223" s="350"/>
      <c r="AG223" s="351"/>
      <c r="AH223" s="412"/>
      <c r="AI223" s="350"/>
      <c r="AJ223" s="351"/>
      <c r="AK223" s="412"/>
      <c r="AL223" s="350"/>
      <c r="AM223" s="350"/>
      <c r="AN223" s="351"/>
      <c r="AO223" s="412"/>
      <c r="AP223" s="350"/>
      <c r="AQ223" s="350"/>
      <c r="AR223" s="350"/>
      <c r="AS223" s="350"/>
      <c r="AT223" s="350"/>
      <c r="AU223" s="350"/>
      <c r="AV223" s="351"/>
      <c r="AW223" s="723"/>
      <c r="AX223" s="350"/>
      <c r="AY223" s="351"/>
      <c r="AZ223" s="412"/>
      <c r="BA223" s="350"/>
      <c r="BB223" s="350"/>
      <c r="BC223" s="350"/>
      <c r="BD223" s="350"/>
      <c r="BE223" s="350"/>
      <c r="BF223" s="350"/>
      <c r="BG223" s="350"/>
      <c r="BH223" s="350"/>
      <c r="BI223" s="350"/>
      <c r="BJ223" s="350"/>
      <c r="BK223" s="350"/>
      <c r="BL223" s="350"/>
      <c r="BM223" s="350"/>
      <c r="BN223" s="350"/>
      <c r="BO223" s="351"/>
    </row>
    <row r="224" spans="1:67" ht="34.5" customHeight="1">
      <c r="A224" s="98">
        <f t="shared" si="0"/>
        <v>212</v>
      </c>
      <c r="B224" s="416" t="s">
        <v>325</v>
      </c>
      <c r="C224" s="351"/>
      <c r="D224" s="594"/>
      <c r="E224" s="350"/>
      <c r="F224" s="350"/>
      <c r="G224" s="350"/>
      <c r="H224" s="351"/>
      <c r="I224" s="368"/>
      <c r="J224" s="350"/>
      <c r="K224" s="350"/>
      <c r="L224" s="350"/>
      <c r="M224" s="350"/>
      <c r="N224" s="350"/>
      <c r="O224" s="350"/>
      <c r="P224" s="351"/>
      <c r="Q224" s="511"/>
      <c r="R224" s="350"/>
      <c r="S224" s="350"/>
      <c r="T224" s="350"/>
      <c r="U224" s="350"/>
      <c r="V224" s="350"/>
      <c r="W224" s="350"/>
      <c r="X224" s="351"/>
      <c r="Y224" s="368"/>
      <c r="Z224" s="351"/>
      <c r="AA224" s="511"/>
      <c r="AB224" s="350"/>
      <c r="AC224" s="350"/>
      <c r="AD224" s="351"/>
      <c r="AE224" s="368"/>
      <c r="AF224" s="350"/>
      <c r="AG224" s="351"/>
      <c r="AH224" s="511"/>
      <c r="AI224" s="350"/>
      <c r="AJ224" s="351"/>
      <c r="AK224" s="368"/>
      <c r="AL224" s="350"/>
      <c r="AM224" s="350"/>
      <c r="AN224" s="351"/>
      <c r="AO224" s="511"/>
      <c r="AP224" s="350"/>
      <c r="AQ224" s="350"/>
      <c r="AR224" s="350"/>
      <c r="AS224" s="350"/>
      <c r="AT224" s="350"/>
      <c r="AU224" s="350"/>
      <c r="AV224" s="351"/>
      <c r="AW224" s="725"/>
      <c r="AX224" s="350"/>
      <c r="AY224" s="351"/>
      <c r="AZ224" s="511"/>
      <c r="BA224" s="350"/>
      <c r="BB224" s="350"/>
      <c r="BC224" s="350"/>
      <c r="BD224" s="350"/>
      <c r="BE224" s="350"/>
      <c r="BF224" s="350"/>
      <c r="BG224" s="350"/>
      <c r="BH224" s="350"/>
      <c r="BI224" s="350"/>
      <c r="BJ224" s="350"/>
      <c r="BK224" s="350"/>
      <c r="BL224" s="350"/>
      <c r="BM224" s="350"/>
      <c r="BN224" s="350"/>
      <c r="BO224" s="351"/>
    </row>
    <row r="225" spans="1:67" ht="34.5" customHeight="1">
      <c r="A225" s="98">
        <f t="shared" si="0"/>
        <v>213</v>
      </c>
      <c r="B225" s="416" t="s">
        <v>325</v>
      </c>
      <c r="C225" s="351"/>
      <c r="D225" s="724"/>
      <c r="E225" s="350"/>
      <c r="F225" s="350"/>
      <c r="G225" s="350"/>
      <c r="H225" s="351"/>
      <c r="I225" s="412"/>
      <c r="J225" s="350"/>
      <c r="K225" s="350"/>
      <c r="L225" s="350"/>
      <c r="M225" s="350"/>
      <c r="N225" s="350"/>
      <c r="O225" s="350"/>
      <c r="P225" s="351"/>
      <c r="Q225" s="412"/>
      <c r="R225" s="350"/>
      <c r="S225" s="350"/>
      <c r="T225" s="350"/>
      <c r="U225" s="350"/>
      <c r="V225" s="350"/>
      <c r="W225" s="350"/>
      <c r="X225" s="351"/>
      <c r="Y225" s="412"/>
      <c r="Z225" s="351"/>
      <c r="AA225" s="412"/>
      <c r="AB225" s="350"/>
      <c r="AC225" s="350"/>
      <c r="AD225" s="351"/>
      <c r="AE225" s="412"/>
      <c r="AF225" s="350"/>
      <c r="AG225" s="351"/>
      <c r="AH225" s="412"/>
      <c r="AI225" s="350"/>
      <c r="AJ225" s="351"/>
      <c r="AK225" s="412"/>
      <c r="AL225" s="350"/>
      <c r="AM225" s="350"/>
      <c r="AN225" s="351"/>
      <c r="AO225" s="412"/>
      <c r="AP225" s="350"/>
      <c r="AQ225" s="350"/>
      <c r="AR225" s="350"/>
      <c r="AS225" s="350"/>
      <c r="AT225" s="350"/>
      <c r="AU225" s="350"/>
      <c r="AV225" s="351"/>
      <c r="AW225" s="723"/>
      <c r="AX225" s="350"/>
      <c r="AY225" s="351"/>
      <c r="AZ225" s="412"/>
      <c r="BA225" s="350"/>
      <c r="BB225" s="350"/>
      <c r="BC225" s="350"/>
      <c r="BD225" s="350"/>
      <c r="BE225" s="350"/>
      <c r="BF225" s="350"/>
      <c r="BG225" s="350"/>
      <c r="BH225" s="350"/>
      <c r="BI225" s="350"/>
      <c r="BJ225" s="350"/>
      <c r="BK225" s="350"/>
      <c r="BL225" s="350"/>
      <c r="BM225" s="350"/>
      <c r="BN225" s="350"/>
      <c r="BO225" s="351"/>
    </row>
    <row r="226" spans="1:67" ht="34.5" customHeight="1">
      <c r="A226" s="98">
        <f t="shared" si="0"/>
        <v>214</v>
      </c>
      <c r="B226" s="416" t="s">
        <v>325</v>
      </c>
      <c r="C226" s="351"/>
      <c r="D226" s="594"/>
      <c r="E226" s="350"/>
      <c r="F226" s="350"/>
      <c r="G226" s="350"/>
      <c r="H226" s="351"/>
      <c r="I226" s="368"/>
      <c r="J226" s="350"/>
      <c r="K226" s="350"/>
      <c r="L226" s="350"/>
      <c r="M226" s="350"/>
      <c r="N226" s="350"/>
      <c r="O226" s="350"/>
      <c r="P226" s="351"/>
      <c r="Q226" s="511"/>
      <c r="R226" s="350"/>
      <c r="S226" s="350"/>
      <c r="T226" s="350"/>
      <c r="U226" s="350"/>
      <c r="V226" s="350"/>
      <c r="W226" s="350"/>
      <c r="X226" s="351"/>
      <c r="Y226" s="368"/>
      <c r="Z226" s="351"/>
      <c r="AA226" s="511"/>
      <c r="AB226" s="350"/>
      <c r="AC226" s="350"/>
      <c r="AD226" s="351"/>
      <c r="AE226" s="368"/>
      <c r="AF226" s="350"/>
      <c r="AG226" s="351"/>
      <c r="AH226" s="511"/>
      <c r="AI226" s="350"/>
      <c r="AJ226" s="351"/>
      <c r="AK226" s="368"/>
      <c r="AL226" s="350"/>
      <c r="AM226" s="350"/>
      <c r="AN226" s="351"/>
      <c r="AO226" s="511"/>
      <c r="AP226" s="350"/>
      <c r="AQ226" s="350"/>
      <c r="AR226" s="350"/>
      <c r="AS226" s="350"/>
      <c r="AT226" s="350"/>
      <c r="AU226" s="350"/>
      <c r="AV226" s="351"/>
      <c r="AW226" s="725"/>
      <c r="AX226" s="350"/>
      <c r="AY226" s="351"/>
      <c r="AZ226" s="511"/>
      <c r="BA226" s="350"/>
      <c r="BB226" s="350"/>
      <c r="BC226" s="350"/>
      <c r="BD226" s="350"/>
      <c r="BE226" s="350"/>
      <c r="BF226" s="350"/>
      <c r="BG226" s="350"/>
      <c r="BH226" s="350"/>
      <c r="BI226" s="350"/>
      <c r="BJ226" s="350"/>
      <c r="BK226" s="350"/>
      <c r="BL226" s="350"/>
      <c r="BM226" s="350"/>
      <c r="BN226" s="350"/>
      <c r="BO226" s="351"/>
    </row>
    <row r="227" spans="1:67" ht="34.5" customHeight="1">
      <c r="A227" s="98">
        <f t="shared" si="0"/>
        <v>215</v>
      </c>
      <c r="B227" s="416" t="s">
        <v>325</v>
      </c>
      <c r="C227" s="351"/>
      <c r="D227" s="724"/>
      <c r="E227" s="350"/>
      <c r="F227" s="350"/>
      <c r="G227" s="350"/>
      <c r="H227" s="351"/>
      <c r="I227" s="412"/>
      <c r="J227" s="350"/>
      <c r="K227" s="350"/>
      <c r="L227" s="350"/>
      <c r="M227" s="350"/>
      <c r="N227" s="350"/>
      <c r="O227" s="350"/>
      <c r="P227" s="351"/>
      <c r="Q227" s="412"/>
      <c r="R227" s="350"/>
      <c r="S227" s="350"/>
      <c r="T227" s="350"/>
      <c r="U227" s="350"/>
      <c r="V227" s="350"/>
      <c r="W227" s="350"/>
      <c r="X227" s="351"/>
      <c r="Y227" s="412"/>
      <c r="Z227" s="351"/>
      <c r="AA227" s="412"/>
      <c r="AB227" s="350"/>
      <c r="AC227" s="350"/>
      <c r="AD227" s="351"/>
      <c r="AE227" s="412"/>
      <c r="AF227" s="350"/>
      <c r="AG227" s="351"/>
      <c r="AH227" s="412"/>
      <c r="AI227" s="350"/>
      <c r="AJ227" s="351"/>
      <c r="AK227" s="412"/>
      <c r="AL227" s="350"/>
      <c r="AM227" s="350"/>
      <c r="AN227" s="351"/>
      <c r="AO227" s="412"/>
      <c r="AP227" s="350"/>
      <c r="AQ227" s="350"/>
      <c r="AR227" s="350"/>
      <c r="AS227" s="350"/>
      <c r="AT227" s="350"/>
      <c r="AU227" s="350"/>
      <c r="AV227" s="351"/>
      <c r="AW227" s="723"/>
      <c r="AX227" s="350"/>
      <c r="AY227" s="351"/>
      <c r="AZ227" s="412"/>
      <c r="BA227" s="350"/>
      <c r="BB227" s="350"/>
      <c r="BC227" s="350"/>
      <c r="BD227" s="350"/>
      <c r="BE227" s="350"/>
      <c r="BF227" s="350"/>
      <c r="BG227" s="350"/>
      <c r="BH227" s="350"/>
      <c r="BI227" s="350"/>
      <c r="BJ227" s="350"/>
      <c r="BK227" s="350"/>
      <c r="BL227" s="350"/>
      <c r="BM227" s="350"/>
      <c r="BN227" s="350"/>
      <c r="BO227" s="351"/>
    </row>
    <row r="228" spans="1:67" ht="34.5" customHeight="1">
      <c r="A228" s="98">
        <f t="shared" si="0"/>
        <v>216</v>
      </c>
      <c r="B228" s="416" t="s">
        <v>325</v>
      </c>
      <c r="C228" s="351"/>
      <c r="D228" s="594"/>
      <c r="E228" s="350"/>
      <c r="F228" s="350"/>
      <c r="G228" s="350"/>
      <c r="H228" s="351"/>
      <c r="I228" s="368"/>
      <c r="J228" s="350"/>
      <c r="K228" s="350"/>
      <c r="L228" s="350"/>
      <c r="M228" s="350"/>
      <c r="N228" s="350"/>
      <c r="O228" s="350"/>
      <c r="P228" s="351"/>
      <c r="Q228" s="511"/>
      <c r="R228" s="350"/>
      <c r="S228" s="350"/>
      <c r="T228" s="350"/>
      <c r="U228" s="350"/>
      <c r="V228" s="350"/>
      <c r="W228" s="350"/>
      <c r="X228" s="351"/>
      <c r="Y228" s="368"/>
      <c r="Z228" s="351"/>
      <c r="AA228" s="511"/>
      <c r="AB228" s="350"/>
      <c r="AC228" s="350"/>
      <c r="AD228" s="351"/>
      <c r="AE228" s="368"/>
      <c r="AF228" s="350"/>
      <c r="AG228" s="351"/>
      <c r="AH228" s="511"/>
      <c r="AI228" s="350"/>
      <c r="AJ228" s="351"/>
      <c r="AK228" s="368"/>
      <c r="AL228" s="350"/>
      <c r="AM228" s="350"/>
      <c r="AN228" s="351"/>
      <c r="AO228" s="511"/>
      <c r="AP228" s="350"/>
      <c r="AQ228" s="350"/>
      <c r="AR228" s="350"/>
      <c r="AS228" s="350"/>
      <c r="AT228" s="350"/>
      <c r="AU228" s="350"/>
      <c r="AV228" s="351"/>
      <c r="AW228" s="725"/>
      <c r="AX228" s="350"/>
      <c r="AY228" s="351"/>
      <c r="AZ228" s="511"/>
      <c r="BA228" s="350"/>
      <c r="BB228" s="350"/>
      <c r="BC228" s="350"/>
      <c r="BD228" s="350"/>
      <c r="BE228" s="350"/>
      <c r="BF228" s="350"/>
      <c r="BG228" s="350"/>
      <c r="BH228" s="350"/>
      <c r="BI228" s="350"/>
      <c r="BJ228" s="350"/>
      <c r="BK228" s="350"/>
      <c r="BL228" s="350"/>
      <c r="BM228" s="350"/>
      <c r="BN228" s="350"/>
      <c r="BO228" s="351"/>
    </row>
    <row r="229" spans="1:67" ht="34.5" customHeight="1">
      <c r="A229" s="98">
        <f t="shared" si="0"/>
        <v>217</v>
      </c>
      <c r="B229" s="416" t="s">
        <v>325</v>
      </c>
      <c r="C229" s="351"/>
      <c r="D229" s="724"/>
      <c r="E229" s="350"/>
      <c r="F229" s="350"/>
      <c r="G229" s="350"/>
      <c r="H229" s="351"/>
      <c r="I229" s="412"/>
      <c r="J229" s="350"/>
      <c r="K229" s="350"/>
      <c r="L229" s="350"/>
      <c r="M229" s="350"/>
      <c r="N229" s="350"/>
      <c r="O229" s="350"/>
      <c r="P229" s="351"/>
      <c r="Q229" s="412"/>
      <c r="R229" s="350"/>
      <c r="S229" s="350"/>
      <c r="T229" s="350"/>
      <c r="U229" s="350"/>
      <c r="V229" s="350"/>
      <c r="W229" s="350"/>
      <c r="X229" s="351"/>
      <c r="Y229" s="412"/>
      <c r="Z229" s="351"/>
      <c r="AA229" s="412"/>
      <c r="AB229" s="350"/>
      <c r="AC229" s="350"/>
      <c r="AD229" s="351"/>
      <c r="AE229" s="412"/>
      <c r="AF229" s="350"/>
      <c r="AG229" s="351"/>
      <c r="AH229" s="412"/>
      <c r="AI229" s="350"/>
      <c r="AJ229" s="351"/>
      <c r="AK229" s="412"/>
      <c r="AL229" s="350"/>
      <c r="AM229" s="350"/>
      <c r="AN229" s="351"/>
      <c r="AO229" s="412"/>
      <c r="AP229" s="350"/>
      <c r="AQ229" s="350"/>
      <c r="AR229" s="350"/>
      <c r="AS229" s="350"/>
      <c r="AT229" s="350"/>
      <c r="AU229" s="350"/>
      <c r="AV229" s="351"/>
      <c r="AW229" s="723"/>
      <c r="AX229" s="350"/>
      <c r="AY229" s="351"/>
      <c r="AZ229" s="412"/>
      <c r="BA229" s="350"/>
      <c r="BB229" s="350"/>
      <c r="BC229" s="350"/>
      <c r="BD229" s="350"/>
      <c r="BE229" s="350"/>
      <c r="BF229" s="350"/>
      <c r="BG229" s="350"/>
      <c r="BH229" s="350"/>
      <c r="BI229" s="350"/>
      <c r="BJ229" s="350"/>
      <c r="BK229" s="350"/>
      <c r="BL229" s="350"/>
      <c r="BM229" s="350"/>
      <c r="BN229" s="350"/>
      <c r="BO229" s="351"/>
    </row>
    <row r="230" spans="1:67" ht="34.5" customHeight="1">
      <c r="A230" s="98">
        <f t="shared" si="0"/>
        <v>218</v>
      </c>
      <c r="B230" s="726" t="s">
        <v>325</v>
      </c>
      <c r="C230" s="351"/>
      <c r="D230" s="594"/>
      <c r="E230" s="350"/>
      <c r="F230" s="350"/>
      <c r="G230" s="350"/>
      <c r="H230" s="351"/>
      <c r="I230" s="368"/>
      <c r="J230" s="350"/>
      <c r="K230" s="350"/>
      <c r="L230" s="350"/>
      <c r="M230" s="350"/>
      <c r="N230" s="350"/>
      <c r="O230" s="350"/>
      <c r="P230" s="351"/>
      <c r="Q230" s="511"/>
      <c r="R230" s="350"/>
      <c r="S230" s="350"/>
      <c r="T230" s="350"/>
      <c r="U230" s="350"/>
      <c r="V230" s="350"/>
      <c r="W230" s="350"/>
      <c r="X230" s="351"/>
      <c r="Y230" s="368"/>
      <c r="Z230" s="351"/>
      <c r="AA230" s="511"/>
      <c r="AB230" s="350"/>
      <c r="AC230" s="350"/>
      <c r="AD230" s="351"/>
      <c r="AE230" s="368"/>
      <c r="AF230" s="350"/>
      <c r="AG230" s="351"/>
      <c r="AH230" s="511"/>
      <c r="AI230" s="350"/>
      <c r="AJ230" s="351"/>
      <c r="AK230" s="368"/>
      <c r="AL230" s="350"/>
      <c r="AM230" s="350"/>
      <c r="AN230" s="351"/>
      <c r="AO230" s="511"/>
      <c r="AP230" s="350"/>
      <c r="AQ230" s="350"/>
      <c r="AR230" s="350"/>
      <c r="AS230" s="350"/>
      <c r="AT230" s="350"/>
      <c r="AU230" s="350"/>
      <c r="AV230" s="351"/>
      <c r="AW230" s="725"/>
      <c r="AX230" s="350"/>
      <c r="AY230" s="351"/>
      <c r="AZ230" s="511"/>
      <c r="BA230" s="350"/>
      <c r="BB230" s="350"/>
      <c r="BC230" s="350"/>
      <c r="BD230" s="350"/>
      <c r="BE230" s="350"/>
      <c r="BF230" s="350"/>
      <c r="BG230" s="350"/>
      <c r="BH230" s="350"/>
      <c r="BI230" s="350"/>
      <c r="BJ230" s="350"/>
      <c r="BK230" s="350"/>
      <c r="BL230" s="350"/>
      <c r="BM230" s="350"/>
      <c r="BN230" s="350"/>
      <c r="BO230" s="351"/>
    </row>
    <row r="231" spans="1:67" ht="34.5" customHeight="1">
      <c r="A231" s="98">
        <f t="shared" si="0"/>
        <v>219</v>
      </c>
      <c r="B231" s="416" t="s">
        <v>325</v>
      </c>
      <c r="C231" s="351"/>
      <c r="D231" s="724"/>
      <c r="E231" s="350"/>
      <c r="F231" s="350"/>
      <c r="G231" s="350"/>
      <c r="H231" s="351"/>
      <c r="I231" s="412"/>
      <c r="J231" s="350"/>
      <c r="K231" s="350"/>
      <c r="L231" s="350"/>
      <c r="M231" s="350"/>
      <c r="N231" s="350"/>
      <c r="O231" s="350"/>
      <c r="P231" s="351"/>
      <c r="Q231" s="412"/>
      <c r="R231" s="350"/>
      <c r="S231" s="350"/>
      <c r="T231" s="350"/>
      <c r="U231" s="350"/>
      <c r="V231" s="350"/>
      <c r="W231" s="350"/>
      <c r="X231" s="351"/>
      <c r="Y231" s="412"/>
      <c r="Z231" s="351"/>
      <c r="AA231" s="412"/>
      <c r="AB231" s="350"/>
      <c r="AC231" s="350"/>
      <c r="AD231" s="351"/>
      <c r="AE231" s="412"/>
      <c r="AF231" s="350"/>
      <c r="AG231" s="351"/>
      <c r="AH231" s="412"/>
      <c r="AI231" s="350"/>
      <c r="AJ231" s="351"/>
      <c r="AK231" s="412"/>
      <c r="AL231" s="350"/>
      <c r="AM231" s="350"/>
      <c r="AN231" s="351"/>
      <c r="AO231" s="412"/>
      <c r="AP231" s="350"/>
      <c r="AQ231" s="350"/>
      <c r="AR231" s="350"/>
      <c r="AS231" s="350"/>
      <c r="AT231" s="350"/>
      <c r="AU231" s="350"/>
      <c r="AV231" s="351"/>
      <c r="AW231" s="723"/>
      <c r="AX231" s="350"/>
      <c r="AY231" s="351"/>
      <c r="AZ231" s="412"/>
      <c r="BA231" s="350"/>
      <c r="BB231" s="350"/>
      <c r="BC231" s="350"/>
      <c r="BD231" s="350"/>
      <c r="BE231" s="350"/>
      <c r="BF231" s="350"/>
      <c r="BG231" s="350"/>
      <c r="BH231" s="350"/>
      <c r="BI231" s="350"/>
      <c r="BJ231" s="350"/>
      <c r="BK231" s="350"/>
      <c r="BL231" s="350"/>
      <c r="BM231" s="350"/>
      <c r="BN231" s="350"/>
      <c r="BO231" s="351"/>
    </row>
    <row r="232" spans="1:67" ht="34.5" customHeight="1">
      <c r="A232" s="98">
        <f t="shared" si="0"/>
        <v>220</v>
      </c>
      <c r="B232" s="416" t="s">
        <v>325</v>
      </c>
      <c r="C232" s="351"/>
      <c r="D232" s="594"/>
      <c r="E232" s="350"/>
      <c r="F232" s="350"/>
      <c r="G232" s="350"/>
      <c r="H232" s="351"/>
      <c r="I232" s="368"/>
      <c r="J232" s="350"/>
      <c r="K232" s="350"/>
      <c r="L232" s="350"/>
      <c r="M232" s="350"/>
      <c r="N232" s="350"/>
      <c r="O232" s="350"/>
      <c r="P232" s="351"/>
      <c r="Q232" s="511"/>
      <c r="R232" s="350"/>
      <c r="S232" s="350"/>
      <c r="T232" s="350"/>
      <c r="U232" s="350"/>
      <c r="V232" s="350"/>
      <c r="W232" s="350"/>
      <c r="X232" s="351"/>
      <c r="Y232" s="368"/>
      <c r="Z232" s="351"/>
      <c r="AA232" s="511"/>
      <c r="AB232" s="350"/>
      <c r="AC232" s="350"/>
      <c r="AD232" s="351"/>
      <c r="AE232" s="368"/>
      <c r="AF232" s="350"/>
      <c r="AG232" s="351"/>
      <c r="AH232" s="511"/>
      <c r="AI232" s="350"/>
      <c r="AJ232" s="351"/>
      <c r="AK232" s="368"/>
      <c r="AL232" s="350"/>
      <c r="AM232" s="350"/>
      <c r="AN232" s="351"/>
      <c r="AO232" s="511"/>
      <c r="AP232" s="350"/>
      <c r="AQ232" s="350"/>
      <c r="AR232" s="350"/>
      <c r="AS232" s="350"/>
      <c r="AT232" s="350"/>
      <c r="AU232" s="350"/>
      <c r="AV232" s="351"/>
      <c r="AW232" s="725"/>
      <c r="AX232" s="350"/>
      <c r="AY232" s="351"/>
      <c r="AZ232" s="511"/>
      <c r="BA232" s="350"/>
      <c r="BB232" s="350"/>
      <c r="BC232" s="350"/>
      <c r="BD232" s="350"/>
      <c r="BE232" s="350"/>
      <c r="BF232" s="350"/>
      <c r="BG232" s="350"/>
      <c r="BH232" s="350"/>
      <c r="BI232" s="350"/>
      <c r="BJ232" s="350"/>
      <c r="BK232" s="350"/>
      <c r="BL232" s="350"/>
      <c r="BM232" s="350"/>
      <c r="BN232" s="350"/>
      <c r="BO232" s="351"/>
    </row>
    <row r="233" spans="1:67" ht="34.5" customHeight="1">
      <c r="A233" s="98">
        <f t="shared" si="0"/>
        <v>221</v>
      </c>
      <c r="B233" s="416" t="s">
        <v>325</v>
      </c>
      <c r="C233" s="351"/>
      <c r="D233" s="724"/>
      <c r="E233" s="350"/>
      <c r="F233" s="350"/>
      <c r="G233" s="350"/>
      <c r="H233" s="351"/>
      <c r="I233" s="412"/>
      <c r="J233" s="350"/>
      <c r="K233" s="350"/>
      <c r="L233" s="350"/>
      <c r="M233" s="350"/>
      <c r="N233" s="350"/>
      <c r="O233" s="350"/>
      <c r="P233" s="351"/>
      <c r="Q233" s="412"/>
      <c r="R233" s="350"/>
      <c r="S233" s="350"/>
      <c r="T233" s="350"/>
      <c r="U233" s="350"/>
      <c r="V233" s="350"/>
      <c r="W233" s="350"/>
      <c r="X233" s="351"/>
      <c r="Y233" s="412"/>
      <c r="Z233" s="351"/>
      <c r="AA233" s="412"/>
      <c r="AB233" s="350"/>
      <c r="AC233" s="350"/>
      <c r="AD233" s="351"/>
      <c r="AE233" s="412"/>
      <c r="AF233" s="350"/>
      <c r="AG233" s="351"/>
      <c r="AH233" s="412"/>
      <c r="AI233" s="350"/>
      <c r="AJ233" s="351"/>
      <c r="AK233" s="412"/>
      <c r="AL233" s="350"/>
      <c r="AM233" s="350"/>
      <c r="AN233" s="351"/>
      <c r="AO233" s="412"/>
      <c r="AP233" s="350"/>
      <c r="AQ233" s="350"/>
      <c r="AR233" s="350"/>
      <c r="AS233" s="350"/>
      <c r="AT233" s="350"/>
      <c r="AU233" s="350"/>
      <c r="AV233" s="351"/>
      <c r="AW233" s="723"/>
      <c r="AX233" s="350"/>
      <c r="AY233" s="351"/>
      <c r="AZ233" s="412"/>
      <c r="BA233" s="350"/>
      <c r="BB233" s="350"/>
      <c r="BC233" s="350"/>
      <c r="BD233" s="350"/>
      <c r="BE233" s="350"/>
      <c r="BF233" s="350"/>
      <c r="BG233" s="350"/>
      <c r="BH233" s="350"/>
      <c r="BI233" s="350"/>
      <c r="BJ233" s="350"/>
      <c r="BK233" s="350"/>
      <c r="BL233" s="350"/>
      <c r="BM233" s="350"/>
      <c r="BN233" s="350"/>
      <c r="BO233" s="351"/>
    </row>
    <row r="234" spans="1:67" ht="34.5" customHeight="1">
      <c r="A234" s="98">
        <f t="shared" si="0"/>
        <v>222</v>
      </c>
      <c r="B234" s="416" t="s">
        <v>325</v>
      </c>
      <c r="C234" s="351"/>
      <c r="D234" s="594"/>
      <c r="E234" s="350"/>
      <c r="F234" s="350"/>
      <c r="G234" s="350"/>
      <c r="H234" s="351"/>
      <c r="I234" s="368"/>
      <c r="J234" s="350"/>
      <c r="K234" s="350"/>
      <c r="L234" s="350"/>
      <c r="M234" s="350"/>
      <c r="N234" s="350"/>
      <c r="O234" s="350"/>
      <c r="P234" s="351"/>
      <c r="Q234" s="511"/>
      <c r="R234" s="350"/>
      <c r="S234" s="350"/>
      <c r="T234" s="350"/>
      <c r="U234" s="350"/>
      <c r="V234" s="350"/>
      <c r="W234" s="350"/>
      <c r="X234" s="351"/>
      <c r="Y234" s="368"/>
      <c r="Z234" s="351"/>
      <c r="AA234" s="511"/>
      <c r="AB234" s="350"/>
      <c r="AC234" s="350"/>
      <c r="AD234" s="351"/>
      <c r="AE234" s="368"/>
      <c r="AF234" s="350"/>
      <c r="AG234" s="351"/>
      <c r="AH234" s="511"/>
      <c r="AI234" s="350"/>
      <c r="AJ234" s="351"/>
      <c r="AK234" s="368"/>
      <c r="AL234" s="350"/>
      <c r="AM234" s="350"/>
      <c r="AN234" s="351"/>
      <c r="AO234" s="511"/>
      <c r="AP234" s="350"/>
      <c r="AQ234" s="350"/>
      <c r="AR234" s="350"/>
      <c r="AS234" s="350"/>
      <c r="AT234" s="350"/>
      <c r="AU234" s="350"/>
      <c r="AV234" s="351"/>
      <c r="AW234" s="725"/>
      <c r="AX234" s="350"/>
      <c r="AY234" s="351"/>
      <c r="AZ234" s="511"/>
      <c r="BA234" s="350"/>
      <c r="BB234" s="350"/>
      <c r="BC234" s="350"/>
      <c r="BD234" s="350"/>
      <c r="BE234" s="350"/>
      <c r="BF234" s="350"/>
      <c r="BG234" s="350"/>
      <c r="BH234" s="350"/>
      <c r="BI234" s="350"/>
      <c r="BJ234" s="350"/>
      <c r="BK234" s="350"/>
      <c r="BL234" s="350"/>
      <c r="BM234" s="350"/>
      <c r="BN234" s="350"/>
      <c r="BO234" s="351"/>
    </row>
    <row r="235" spans="1:67" ht="34.5" customHeight="1">
      <c r="A235" s="98">
        <f t="shared" si="0"/>
        <v>223</v>
      </c>
      <c r="B235" s="416" t="s">
        <v>325</v>
      </c>
      <c r="C235" s="351"/>
      <c r="D235" s="724"/>
      <c r="E235" s="350"/>
      <c r="F235" s="350"/>
      <c r="G235" s="350"/>
      <c r="H235" s="351"/>
      <c r="I235" s="412"/>
      <c r="J235" s="350"/>
      <c r="K235" s="350"/>
      <c r="L235" s="350"/>
      <c r="M235" s="350"/>
      <c r="N235" s="350"/>
      <c r="O235" s="350"/>
      <c r="P235" s="351"/>
      <c r="Q235" s="412"/>
      <c r="R235" s="350"/>
      <c r="S235" s="350"/>
      <c r="T235" s="350"/>
      <c r="U235" s="350"/>
      <c r="V235" s="350"/>
      <c r="W235" s="350"/>
      <c r="X235" s="351"/>
      <c r="Y235" s="412"/>
      <c r="Z235" s="351"/>
      <c r="AA235" s="412"/>
      <c r="AB235" s="350"/>
      <c r="AC235" s="350"/>
      <c r="AD235" s="351"/>
      <c r="AE235" s="412"/>
      <c r="AF235" s="350"/>
      <c r="AG235" s="351"/>
      <c r="AH235" s="412"/>
      <c r="AI235" s="350"/>
      <c r="AJ235" s="351"/>
      <c r="AK235" s="412"/>
      <c r="AL235" s="350"/>
      <c r="AM235" s="350"/>
      <c r="AN235" s="351"/>
      <c r="AO235" s="412"/>
      <c r="AP235" s="350"/>
      <c r="AQ235" s="350"/>
      <c r="AR235" s="350"/>
      <c r="AS235" s="350"/>
      <c r="AT235" s="350"/>
      <c r="AU235" s="350"/>
      <c r="AV235" s="351"/>
      <c r="AW235" s="723"/>
      <c r="AX235" s="350"/>
      <c r="AY235" s="351"/>
      <c r="AZ235" s="412"/>
      <c r="BA235" s="350"/>
      <c r="BB235" s="350"/>
      <c r="BC235" s="350"/>
      <c r="BD235" s="350"/>
      <c r="BE235" s="350"/>
      <c r="BF235" s="350"/>
      <c r="BG235" s="350"/>
      <c r="BH235" s="350"/>
      <c r="BI235" s="350"/>
      <c r="BJ235" s="350"/>
      <c r="BK235" s="350"/>
      <c r="BL235" s="350"/>
      <c r="BM235" s="350"/>
      <c r="BN235" s="350"/>
      <c r="BO235" s="351"/>
    </row>
    <row r="236" spans="1:67" ht="34.5" customHeight="1">
      <c r="A236" s="98">
        <f t="shared" si="0"/>
        <v>224</v>
      </c>
      <c r="B236" s="416" t="s">
        <v>325</v>
      </c>
      <c r="C236" s="351"/>
      <c r="D236" s="594"/>
      <c r="E236" s="350"/>
      <c r="F236" s="350"/>
      <c r="G236" s="350"/>
      <c r="H236" s="351"/>
      <c r="I236" s="368"/>
      <c r="J236" s="350"/>
      <c r="K236" s="350"/>
      <c r="L236" s="350"/>
      <c r="M236" s="350"/>
      <c r="N236" s="350"/>
      <c r="O236" s="350"/>
      <c r="P236" s="351"/>
      <c r="Q236" s="511"/>
      <c r="R236" s="350"/>
      <c r="S236" s="350"/>
      <c r="T236" s="350"/>
      <c r="U236" s="350"/>
      <c r="V236" s="350"/>
      <c r="W236" s="350"/>
      <c r="X236" s="351"/>
      <c r="Y236" s="368"/>
      <c r="Z236" s="351"/>
      <c r="AA236" s="511"/>
      <c r="AB236" s="350"/>
      <c r="AC236" s="350"/>
      <c r="AD236" s="351"/>
      <c r="AE236" s="368"/>
      <c r="AF236" s="350"/>
      <c r="AG236" s="351"/>
      <c r="AH236" s="511"/>
      <c r="AI236" s="350"/>
      <c r="AJ236" s="351"/>
      <c r="AK236" s="368"/>
      <c r="AL236" s="350"/>
      <c r="AM236" s="350"/>
      <c r="AN236" s="351"/>
      <c r="AO236" s="511"/>
      <c r="AP236" s="350"/>
      <c r="AQ236" s="350"/>
      <c r="AR236" s="350"/>
      <c r="AS236" s="350"/>
      <c r="AT236" s="350"/>
      <c r="AU236" s="350"/>
      <c r="AV236" s="351"/>
      <c r="AW236" s="725"/>
      <c r="AX236" s="350"/>
      <c r="AY236" s="351"/>
      <c r="AZ236" s="511"/>
      <c r="BA236" s="350"/>
      <c r="BB236" s="350"/>
      <c r="BC236" s="350"/>
      <c r="BD236" s="350"/>
      <c r="BE236" s="350"/>
      <c r="BF236" s="350"/>
      <c r="BG236" s="350"/>
      <c r="BH236" s="350"/>
      <c r="BI236" s="350"/>
      <c r="BJ236" s="350"/>
      <c r="BK236" s="350"/>
      <c r="BL236" s="350"/>
      <c r="BM236" s="350"/>
      <c r="BN236" s="350"/>
      <c r="BO236" s="351"/>
    </row>
    <row r="237" spans="1:67" ht="34.5" customHeight="1">
      <c r="A237" s="98">
        <f t="shared" si="0"/>
        <v>225</v>
      </c>
      <c r="B237" s="416" t="s">
        <v>325</v>
      </c>
      <c r="C237" s="351"/>
      <c r="D237" s="724"/>
      <c r="E237" s="350"/>
      <c r="F237" s="350"/>
      <c r="G237" s="350"/>
      <c r="H237" s="351"/>
      <c r="I237" s="412"/>
      <c r="J237" s="350"/>
      <c r="K237" s="350"/>
      <c r="L237" s="350"/>
      <c r="M237" s="350"/>
      <c r="N237" s="350"/>
      <c r="O237" s="350"/>
      <c r="P237" s="351"/>
      <c r="Q237" s="412"/>
      <c r="R237" s="350"/>
      <c r="S237" s="350"/>
      <c r="T237" s="350"/>
      <c r="U237" s="350"/>
      <c r="V237" s="350"/>
      <c r="W237" s="350"/>
      <c r="X237" s="351"/>
      <c r="Y237" s="412"/>
      <c r="Z237" s="351"/>
      <c r="AA237" s="412"/>
      <c r="AB237" s="350"/>
      <c r="AC237" s="350"/>
      <c r="AD237" s="351"/>
      <c r="AE237" s="412"/>
      <c r="AF237" s="350"/>
      <c r="AG237" s="351"/>
      <c r="AH237" s="412"/>
      <c r="AI237" s="350"/>
      <c r="AJ237" s="351"/>
      <c r="AK237" s="412"/>
      <c r="AL237" s="350"/>
      <c r="AM237" s="350"/>
      <c r="AN237" s="351"/>
      <c r="AO237" s="412"/>
      <c r="AP237" s="350"/>
      <c r="AQ237" s="350"/>
      <c r="AR237" s="350"/>
      <c r="AS237" s="350"/>
      <c r="AT237" s="350"/>
      <c r="AU237" s="350"/>
      <c r="AV237" s="351"/>
      <c r="AW237" s="723"/>
      <c r="AX237" s="350"/>
      <c r="AY237" s="351"/>
      <c r="AZ237" s="412"/>
      <c r="BA237" s="350"/>
      <c r="BB237" s="350"/>
      <c r="BC237" s="350"/>
      <c r="BD237" s="350"/>
      <c r="BE237" s="350"/>
      <c r="BF237" s="350"/>
      <c r="BG237" s="350"/>
      <c r="BH237" s="350"/>
      <c r="BI237" s="350"/>
      <c r="BJ237" s="350"/>
      <c r="BK237" s="350"/>
      <c r="BL237" s="350"/>
      <c r="BM237" s="350"/>
      <c r="BN237" s="350"/>
      <c r="BO237" s="351"/>
    </row>
    <row r="238" spans="1:67" ht="34.5" customHeight="1">
      <c r="A238" s="98">
        <f t="shared" si="0"/>
        <v>226</v>
      </c>
      <c r="B238" s="416" t="s">
        <v>325</v>
      </c>
      <c r="C238" s="351"/>
      <c r="D238" s="594"/>
      <c r="E238" s="350"/>
      <c r="F238" s="350"/>
      <c r="G238" s="350"/>
      <c r="H238" s="351"/>
      <c r="I238" s="368"/>
      <c r="J238" s="350"/>
      <c r="K238" s="350"/>
      <c r="L238" s="350"/>
      <c r="M238" s="350"/>
      <c r="N238" s="350"/>
      <c r="O238" s="350"/>
      <c r="P238" s="351"/>
      <c r="Q238" s="511"/>
      <c r="R238" s="350"/>
      <c r="S238" s="350"/>
      <c r="T238" s="350"/>
      <c r="U238" s="350"/>
      <c r="V238" s="350"/>
      <c r="W238" s="350"/>
      <c r="X238" s="351"/>
      <c r="Y238" s="368"/>
      <c r="Z238" s="351"/>
      <c r="AA238" s="511"/>
      <c r="AB238" s="350"/>
      <c r="AC238" s="350"/>
      <c r="AD238" s="351"/>
      <c r="AE238" s="368"/>
      <c r="AF238" s="350"/>
      <c r="AG238" s="351"/>
      <c r="AH238" s="511"/>
      <c r="AI238" s="350"/>
      <c r="AJ238" s="351"/>
      <c r="AK238" s="368"/>
      <c r="AL238" s="350"/>
      <c r="AM238" s="350"/>
      <c r="AN238" s="351"/>
      <c r="AO238" s="511"/>
      <c r="AP238" s="350"/>
      <c r="AQ238" s="350"/>
      <c r="AR238" s="350"/>
      <c r="AS238" s="350"/>
      <c r="AT238" s="350"/>
      <c r="AU238" s="350"/>
      <c r="AV238" s="351"/>
      <c r="AW238" s="725"/>
      <c r="AX238" s="350"/>
      <c r="AY238" s="351"/>
      <c r="AZ238" s="511"/>
      <c r="BA238" s="350"/>
      <c r="BB238" s="350"/>
      <c r="BC238" s="350"/>
      <c r="BD238" s="350"/>
      <c r="BE238" s="350"/>
      <c r="BF238" s="350"/>
      <c r="BG238" s="350"/>
      <c r="BH238" s="350"/>
      <c r="BI238" s="350"/>
      <c r="BJ238" s="350"/>
      <c r="BK238" s="350"/>
      <c r="BL238" s="350"/>
      <c r="BM238" s="350"/>
      <c r="BN238" s="350"/>
      <c r="BO238" s="351"/>
    </row>
    <row r="239" spans="1:67" ht="34.5" customHeight="1">
      <c r="A239" s="98">
        <f t="shared" si="0"/>
        <v>227</v>
      </c>
      <c r="B239" s="416" t="s">
        <v>325</v>
      </c>
      <c r="C239" s="351"/>
      <c r="D239" s="724"/>
      <c r="E239" s="350"/>
      <c r="F239" s="350"/>
      <c r="G239" s="350"/>
      <c r="H239" s="351"/>
      <c r="I239" s="412"/>
      <c r="J239" s="350"/>
      <c r="K239" s="350"/>
      <c r="L239" s="350"/>
      <c r="M239" s="350"/>
      <c r="N239" s="350"/>
      <c r="O239" s="350"/>
      <c r="P239" s="351"/>
      <c r="Q239" s="412"/>
      <c r="R239" s="350"/>
      <c r="S239" s="350"/>
      <c r="T239" s="350"/>
      <c r="U239" s="350"/>
      <c r="V239" s="350"/>
      <c r="W239" s="350"/>
      <c r="X239" s="351"/>
      <c r="Y239" s="412"/>
      <c r="Z239" s="351"/>
      <c r="AA239" s="412"/>
      <c r="AB239" s="350"/>
      <c r="AC239" s="350"/>
      <c r="AD239" s="351"/>
      <c r="AE239" s="412"/>
      <c r="AF239" s="350"/>
      <c r="AG239" s="351"/>
      <c r="AH239" s="412"/>
      <c r="AI239" s="350"/>
      <c r="AJ239" s="351"/>
      <c r="AK239" s="412"/>
      <c r="AL239" s="350"/>
      <c r="AM239" s="350"/>
      <c r="AN239" s="351"/>
      <c r="AO239" s="412"/>
      <c r="AP239" s="350"/>
      <c r="AQ239" s="350"/>
      <c r="AR239" s="350"/>
      <c r="AS239" s="350"/>
      <c r="AT239" s="350"/>
      <c r="AU239" s="350"/>
      <c r="AV239" s="351"/>
      <c r="AW239" s="723"/>
      <c r="AX239" s="350"/>
      <c r="AY239" s="351"/>
      <c r="AZ239" s="412"/>
      <c r="BA239" s="350"/>
      <c r="BB239" s="350"/>
      <c r="BC239" s="350"/>
      <c r="BD239" s="350"/>
      <c r="BE239" s="350"/>
      <c r="BF239" s="350"/>
      <c r="BG239" s="350"/>
      <c r="BH239" s="350"/>
      <c r="BI239" s="350"/>
      <c r="BJ239" s="350"/>
      <c r="BK239" s="350"/>
      <c r="BL239" s="350"/>
      <c r="BM239" s="350"/>
      <c r="BN239" s="350"/>
      <c r="BO239" s="351"/>
    </row>
    <row r="240" spans="1:67" ht="34.5" customHeight="1">
      <c r="A240" s="98">
        <f t="shared" si="0"/>
        <v>228</v>
      </c>
      <c r="B240" s="416" t="s">
        <v>325</v>
      </c>
      <c r="C240" s="351"/>
      <c r="D240" s="594"/>
      <c r="E240" s="350"/>
      <c r="F240" s="350"/>
      <c r="G240" s="350"/>
      <c r="H240" s="351"/>
      <c r="I240" s="368"/>
      <c r="J240" s="350"/>
      <c r="K240" s="350"/>
      <c r="L240" s="350"/>
      <c r="M240" s="350"/>
      <c r="N240" s="350"/>
      <c r="O240" s="350"/>
      <c r="P240" s="351"/>
      <c r="Q240" s="511"/>
      <c r="R240" s="350"/>
      <c r="S240" s="350"/>
      <c r="T240" s="350"/>
      <c r="U240" s="350"/>
      <c r="V240" s="350"/>
      <c r="W240" s="350"/>
      <c r="X240" s="351"/>
      <c r="Y240" s="368"/>
      <c r="Z240" s="351"/>
      <c r="AA240" s="511"/>
      <c r="AB240" s="350"/>
      <c r="AC240" s="350"/>
      <c r="AD240" s="351"/>
      <c r="AE240" s="368"/>
      <c r="AF240" s="350"/>
      <c r="AG240" s="351"/>
      <c r="AH240" s="511"/>
      <c r="AI240" s="350"/>
      <c r="AJ240" s="351"/>
      <c r="AK240" s="368"/>
      <c r="AL240" s="350"/>
      <c r="AM240" s="350"/>
      <c r="AN240" s="351"/>
      <c r="AO240" s="511"/>
      <c r="AP240" s="350"/>
      <c r="AQ240" s="350"/>
      <c r="AR240" s="350"/>
      <c r="AS240" s="350"/>
      <c r="AT240" s="350"/>
      <c r="AU240" s="350"/>
      <c r="AV240" s="351"/>
      <c r="AW240" s="725"/>
      <c r="AX240" s="350"/>
      <c r="AY240" s="351"/>
      <c r="AZ240" s="511"/>
      <c r="BA240" s="350"/>
      <c r="BB240" s="350"/>
      <c r="BC240" s="350"/>
      <c r="BD240" s="350"/>
      <c r="BE240" s="350"/>
      <c r="BF240" s="350"/>
      <c r="BG240" s="350"/>
      <c r="BH240" s="350"/>
      <c r="BI240" s="350"/>
      <c r="BJ240" s="350"/>
      <c r="BK240" s="350"/>
      <c r="BL240" s="350"/>
      <c r="BM240" s="350"/>
      <c r="BN240" s="350"/>
      <c r="BO240" s="351"/>
    </row>
    <row r="241" spans="1:67" ht="34.5" customHeight="1">
      <c r="A241" s="98">
        <f t="shared" si="0"/>
        <v>229</v>
      </c>
      <c r="B241" s="416" t="s">
        <v>325</v>
      </c>
      <c r="C241" s="351"/>
      <c r="D241" s="724"/>
      <c r="E241" s="350"/>
      <c r="F241" s="350"/>
      <c r="G241" s="350"/>
      <c r="H241" s="351"/>
      <c r="I241" s="412"/>
      <c r="J241" s="350"/>
      <c r="K241" s="350"/>
      <c r="L241" s="350"/>
      <c r="M241" s="350"/>
      <c r="N241" s="350"/>
      <c r="O241" s="350"/>
      <c r="P241" s="351"/>
      <c r="Q241" s="412"/>
      <c r="R241" s="350"/>
      <c r="S241" s="350"/>
      <c r="T241" s="350"/>
      <c r="U241" s="350"/>
      <c r="V241" s="350"/>
      <c r="W241" s="350"/>
      <c r="X241" s="351"/>
      <c r="Y241" s="412"/>
      <c r="Z241" s="351"/>
      <c r="AA241" s="412"/>
      <c r="AB241" s="350"/>
      <c r="AC241" s="350"/>
      <c r="AD241" s="351"/>
      <c r="AE241" s="412"/>
      <c r="AF241" s="350"/>
      <c r="AG241" s="351"/>
      <c r="AH241" s="412"/>
      <c r="AI241" s="350"/>
      <c r="AJ241" s="351"/>
      <c r="AK241" s="412"/>
      <c r="AL241" s="350"/>
      <c r="AM241" s="350"/>
      <c r="AN241" s="351"/>
      <c r="AO241" s="412"/>
      <c r="AP241" s="350"/>
      <c r="AQ241" s="350"/>
      <c r="AR241" s="350"/>
      <c r="AS241" s="350"/>
      <c r="AT241" s="350"/>
      <c r="AU241" s="350"/>
      <c r="AV241" s="351"/>
      <c r="AW241" s="723"/>
      <c r="AX241" s="350"/>
      <c r="AY241" s="351"/>
      <c r="AZ241" s="412"/>
      <c r="BA241" s="350"/>
      <c r="BB241" s="350"/>
      <c r="BC241" s="350"/>
      <c r="BD241" s="350"/>
      <c r="BE241" s="350"/>
      <c r="BF241" s="350"/>
      <c r="BG241" s="350"/>
      <c r="BH241" s="350"/>
      <c r="BI241" s="350"/>
      <c r="BJ241" s="350"/>
      <c r="BK241" s="350"/>
      <c r="BL241" s="350"/>
      <c r="BM241" s="350"/>
      <c r="BN241" s="350"/>
      <c r="BO241" s="351"/>
    </row>
    <row r="242" spans="1:67" ht="34.5" customHeight="1">
      <c r="A242" s="98">
        <f t="shared" si="0"/>
        <v>230</v>
      </c>
      <c r="B242" s="416" t="s">
        <v>325</v>
      </c>
      <c r="C242" s="351"/>
      <c r="D242" s="594"/>
      <c r="E242" s="350"/>
      <c r="F242" s="350"/>
      <c r="G242" s="350"/>
      <c r="H242" s="351"/>
      <c r="I242" s="368"/>
      <c r="J242" s="350"/>
      <c r="K242" s="350"/>
      <c r="L242" s="350"/>
      <c r="M242" s="350"/>
      <c r="N242" s="350"/>
      <c r="O242" s="350"/>
      <c r="P242" s="351"/>
      <c r="Q242" s="511"/>
      <c r="R242" s="350"/>
      <c r="S242" s="350"/>
      <c r="T242" s="350"/>
      <c r="U242" s="350"/>
      <c r="V242" s="350"/>
      <c r="W242" s="350"/>
      <c r="X242" s="351"/>
      <c r="Y242" s="368"/>
      <c r="Z242" s="351"/>
      <c r="AA242" s="511"/>
      <c r="AB242" s="350"/>
      <c r="AC242" s="350"/>
      <c r="AD242" s="351"/>
      <c r="AE242" s="368"/>
      <c r="AF242" s="350"/>
      <c r="AG242" s="351"/>
      <c r="AH242" s="511"/>
      <c r="AI242" s="350"/>
      <c r="AJ242" s="351"/>
      <c r="AK242" s="368"/>
      <c r="AL242" s="350"/>
      <c r="AM242" s="350"/>
      <c r="AN242" s="351"/>
      <c r="AO242" s="511"/>
      <c r="AP242" s="350"/>
      <c r="AQ242" s="350"/>
      <c r="AR242" s="350"/>
      <c r="AS242" s="350"/>
      <c r="AT242" s="350"/>
      <c r="AU242" s="350"/>
      <c r="AV242" s="351"/>
      <c r="AW242" s="725"/>
      <c r="AX242" s="350"/>
      <c r="AY242" s="351"/>
      <c r="AZ242" s="511"/>
      <c r="BA242" s="350"/>
      <c r="BB242" s="350"/>
      <c r="BC242" s="350"/>
      <c r="BD242" s="350"/>
      <c r="BE242" s="350"/>
      <c r="BF242" s="350"/>
      <c r="BG242" s="350"/>
      <c r="BH242" s="350"/>
      <c r="BI242" s="350"/>
      <c r="BJ242" s="350"/>
      <c r="BK242" s="350"/>
      <c r="BL242" s="350"/>
      <c r="BM242" s="350"/>
      <c r="BN242" s="350"/>
      <c r="BO242" s="351"/>
    </row>
    <row r="243" spans="1:67" ht="34.5" customHeight="1">
      <c r="A243" s="98">
        <f t="shared" si="0"/>
        <v>231</v>
      </c>
      <c r="B243" s="416" t="s">
        <v>325</v>
      </c>
      <c r="C243" s="351"/>
      <c r="D243" s="724"/>
      <c r="E243" s="350"/>
      <c r="F243" s="350"/>
      <c r="G243" s="350"/>
      <c r="H243" s="351"/>
      <c r="I243" s="412"/>
      <c r="J243" s="350"/>
      <c r="K243" s="350"/>
      <c r="L243" s="350"/>
      <c r="M243" s="350"/>
      <c r="N243" s="350"/>
      <c r="O243" s="350"/>
      <c r="P243" s="351"/>
      <c r="Q243" s="412"/>
      <c r="R243" s="350"/>
      <c r="S243" s="350"/>
      <c r="T243" s="350"/>
      <c r="U243" s="350"/>
      <c r="V243" s="350"/>
      <c r="W243" s="350"/>
      <c r="X243" s="351"/>
      <c r="Y243" s="412"/>
      <c r="Z243" s="351"/>
      <c r="AA243" s="412"/>
      <c r="AB243" s="350"/>
      <c r="AC243" s="350"/>
      <c r="AD243" s="351"/>
      <c r="AE243" s="412"/>
      <c r="AF243" s="350"/>
      <c r="AG243" s="351"/>
      <c r="AH243" s="412"/>
      <c r="AI243" s="350"/>
      <c r="AJ243" s="351"/>
      <c r="AK243" s="412"/>
      <c r="AL243" s="350"/>
      <c r="AM243" s="350"/>
      <c r="AN243" s="351"/>
      <c r="AO243" s="412"/>
      <c r="AP243" s="350"/>
      <c r="AQ243" s="350"/>
      <c r="AR243" s="350"/>
      <c r="AS243" s="350"/>
      <c r="AT243" s="350"/>
      <c r="AU243" s="350"/>
      <c r="AV243" s="351"/>
      <c r="AW243" s="723"/>
      <c r="AX243" s="350"/>
      <c r="AY243" s="351"/>
      <c r="AZ243" s="412"/>
      <c r="BA243" s="350"/>
      <c r="BB243" s="350"/>
      <c r="BC243" s="350"/>
      <c r="BD243" s="350"/>
      <c r="BE243" s="350"/>
      <c r="BF243" s="350"/>
      <c r="BG243" s="350"/>
      <c r="BH243" s="350"/>
      <c r="BI243" s="350"/>
      <c r="BJ243" s="350"/>
      <c r="BK243" s="350"/>
      <c r="BL243" s="350"/>
      <c r="BM243" s="350"/>
      <c r="BN243" s="350"/>
      <c r="BO243" s="351"/>
    </row>
    <row r="244" spans="1:67" ht="34.5" customHeight="1">
      <c r="A244" s="98">
        <f t="shared" si="0"/>
        <v>232</v>
      </c>
      <c r="B244" s="416" t="s">
        <v>325</v>
      </c>
      <c r="C244" s="351"/>
      <c r="D244" s="594"/>
      <c r="E244" s="350"/>
      <c r="F244" s="350"/>
      <c r="G244" s="350"/>
      <c r="H244" s="351"/>
      <c r="I244" s="368"/>
      <c r="J244" s="350"/>
      <c r="K244" s="350"/>
      <c r="L244" s="350"/>
      <c r="M244" s="350"/>
      <c r="N244" s="350"/>
      <c r="O244" s="350"/>
      <c r="P244" s="351"/>
      <c r="Q244" s="511"/>
      <c r="R244" s="350"/>
      <c r="S244" s="350"/>
      <c r="T244" s="350"/>
      <c r="U244" s="350"/>
      <c r="V244" s="350"/>
      <c r="W244" s="350"/>
      <c r="X244" s="351"/>
      <c r="Y244" s="368"/>
      <c r="Z244" s="351"/>
      <c r="AA244" s="511"/>
      <c r="AB244" s="350"/>
      <c r="AC244" s="350"/>
      <c r="AD244" s="351"/>
      <c r="AE244" s="368"/>
      <c r="AF244" s="350"/>
      <c r="AG244" s="351"/>
      <c r="AH244" s="511"/>
      <c r="AI244" s="350"/>
      <c r="AJ244" s="351"/>
      <c r="AK244" s="368"/>
      <c r="AL244" s="350"/>
      <c r="AM244" s="350"/>
      <c r="AN244" s="351"/>
      <c r="AO244" s="511"/>
      <c r="AP244" s="350"/>
      <c r="AQ244" s="350"/>
      <c r="AR244" s="350"/>
      <c r="AS244" s="350"/>
      <c r="AT244" s="350"/>
      <c r="AU244" s="350"/>
      <c r="AV244" s="351"/>
      <c r="AW244" s="725"/>
      <c r="AX244" s="350"/>
      <c r="AY244" s="351"/>
      <c r="AZ244" s="511"/>
      <c r="BA244" s="350"/>
      <c r="BB244" s="350"/>
      <c r="BC244" s="350"/>
      <c r="BD244" s="350"/>
      <c r="BE244" s="350"/>
      <c r="BF244" s="350"/>
      <c r="BG244" s="350"/>
      <c r="BH244" s="350"/>
      <c r="BI244" s="350"/>
      <c r="BJ244" s="350"/>
      <c r="BK244" s="350"/>
      <c r="BL244" s="350"/>
      <c r="BM244" s="350"/>
      <c r="BN244" s="350"/>
      <c r="BO244" s="351"/>
    </row>
    <row r="245" spans="1:67" ht="34.5" customHeight="1">
      <c r="A245" s="98">
        <f t="shared" si="0"/>
        <v>233</v>
      </c>
      <c r="B245" s="416" t="s">
        <v>325</v>
      </c>
      <c r="C245" s="351"/>
      <c r="D245" s="724"/>
      <c r="E245" s="350"/>
      <c r="F245" s="350"/>
      <c r="G245" s="350"/>
      <c r="H245" s="351"/>
      <c r="I245" s="412"/>
      <c r="J245" s="350"/>
      <c r="K245" s="350"/>
      <c r="L245" s="350"/>
      <c r="M245" s="350"/>
      <c r="N245" s="350"/>
      <c r="O245" s="350"/>
      <c r="P245" s="351"/>
      <c r="Q245" s="412"/>
      <c r="R245" s="350"/>
      <c r="S245" s="350"/>
      <c r="T245" s="350"/>
      <c r="U245" s="350"/>
      <c r="V245" s="350"/>
      <c r="W245" s="350"/>
      <c r="X245" s="351"/>
      <c r="Y245" s="412"/>
      <c r="Z245" s="351"/>
      <c r="AA245" s="412"/>
      <c r="AB245" s="350"/>
      <c r="AC245" s="350"/>
      <c r="AD245" s="351"/>
      <c r="AE245" s="412"/>
      <c r="AF245" s="350"/>
      <c r="AG245" s="351"/>
      <c r="AH245" s="412"/>
      <c r="AI245" s="350"/>
      <c r="AJ245" s="351"/>
      <c r="AK245" s="412"/>
      <c r="AL245" s="350"/>
      <c r="AM245" s="350"/>
      <c r="AN245" s="351"/>
      <c r="AO245" s="412"/>
      <c r="AP245" s="350"/>
      <c r="AQ245" s="350"/>
      <c r="AR245" s="350"/>
      <c r="AS245" s="350"/>
      <c r="AT245" s="350"/>
      <c r="AU245" s="350"/>
      <c r="AV245" s="351"/>
      <c r="AW245" s="723"/>
      <c r="AX245" s="350"/>
      <c r="AY245" s="351"/>
      <c r="AZ245" s="412"/>
      <c r="BA245" s="350"/>
      <c r="BB245" s="350"/>
      <c r="BC245" s="350"/>
      <c r="BD245" s="350"/>
      <c r="BE245" s="350"/>
      <c r="BF245" s="350"/>
      <c r="BG245" s="350"/>
      <c r="BH245" s="350"/>
      <c r="BI245" s="350"/>
      <c r="BJ245" s="350"/>
      <c r="BK245" s="350"/>
      <c r="BL245" s="350"/>
      <c r="BM245" s="350"/>
      <c r="BN245" s="350"/>
      <c r="BO245" s="351"/>
    </row>
    <row r="246" spans="1:67" ht="34.5" customHeight="1">
      <c r="A246" s="98">
        <f t="shared" si="0"/>
        <v>234</v>
      </c>
      <c r="B246" s="416" t="s">
        <v>325</v>
      </c>
      <c r="C246" s="351"/>
      <c r="D246" s="594"/>
      <c r="E246" s="350"/>
      <c r="F246" s="350"/>
      <c r="G246" s="350"/>
      <c r="H246" s="351"/>
      <c r="I246" s="368"/>
      <c r="J246" s="350"/>
      <c r="K246" s="350"/>
      <c r="L246" s="350"/>
      <c r="M246" s="350"/>
      <c r="N246" s="350"/>
      <c r="O246" s="350"/>
      <c r="P246" s="351"/>
      <c r="Q246" s="511"/>
      <c r="R246" s="350"/>
      <c r="S246" s="350"/>
      <c r="T246" s="350"/>
      <c r="U246" s="350"/>
      <c r="V246" s="350"/>
      <c r="W246" s="350"/>
      <c r="X246" s="351"/>
      <c r="Y246" s="368"/>
      <c r="Z246" s="351"/>
      <c r="AA246" s="511"/>
      <c r="AB246" s="350"/>
      <c r="AC246" s="350"/>
      <c r="AD246" s="351"/>
      <c r="AE246" s="368"/>
      <c r="AF246" s="350"/>
      <c r="AG246" s="351"/>
      <c r="AH246" s="511"/>
      <c r="AI246" s="350"/>
      <c r="AJ246" s="351"/>
      <c r="AK246" s="368"/>
      <c r="AL246" s="350"/>
      <c r="AM246" s="350"/>
      <c r="AN246" s="351"/>
      <c r="AO246" s="511"/>
      <c r="AP246" s="350"/>
      <c r="AQ246" s="350"/>
      <c r="AR246" s="350"/>
      <c r="AS246" s="350"/>
      <c r="AT246" s="350"/>
      <c r="AU246" s="350"/>
      <c r="AV246" s="351"/>
      <c r="AW246" s="725"/>
      <c r="AX246" s="350"/>
      <c r="AY246" s="351"/>
      <c r="AZ246" s="511"/>
      <c r="BA246" s="350"/>
      <c r="BB246" s="350"/>
      <c r="BC246" s="350"/>
      <c r="BD246" s="350"/>
      <c r="BE246" s="350"/>
      <c r="BF246" s="350"/>
      <c r="BG246" s="350"/>
      <c r="BH246" s="350"/>
      <c r="BI246" s="350"/>
      <c r="BJ246" s="350"/>
      <c r="BK246" s="350"/>
      <c r="BL246" s="350"/>
      <c r="BM246" s="350"/>
      <c r="BN246" s="350"/>
      <c r="BO246" s="351"/>
    </row>
    <row r="247" spans="1:67" ht="34.5" customHeight="1">
      <c r="A247" s="98">
        <f t="shared" si="0"/>
        <v>235</v>
      </c>
      <c r="B247" s="416" t="s">
        <v>325</v>
      </c>
      <c r="C247" s="351"/>
      <c r="D247" s="724"/>
      <c r="E247" s="350"/>
      <c r="F247" s="350"/>
      <c r="G247" s="350"/>
      <c r="H247" s="351"/>
      <c r="I247" s="412"/>
      <c r="J247" s="350"/>
      <c r="K247" s="350"/>
      <c r="L247" s="350"/>
      <c r="M247" s="350"/>
      <c r="N247" s="350"/>
      <c r="O247" s="350"/>
      <c r="P247" s="351"/>
      <c r="Q247" s="412"/>
      <c r="R247" s="350"/>
      <c r="S247" s="350"/>
      <c r="T247" s="350"/>
      <c r="U247" s="350"/>
      <c r="V247" s="350"/>
      <c r="W247" s="350"/>
      <c r="X247" s="351"/>
      <c r="Y247" s="412"/>
      <c r="Z247" s="351"/>
      <c r="AA247" s="412"/>
      <c r="AB247" s="350"/>
      <c r="AC247" s="350"/>
      <c r="AD247" s="351"/>
      <c r="AE247" s="412"/>
      <c r="AF247" s="350"/>
      <c r="AG247" s="351"/>
      <c r="AH247" s="412"/>
      <c r="AI247" s="350"/>
      <c r="AJ247" s="351"/>
      <c r="AK247" s="412"/>
      <c r="AL247" s="350"/>
      <c r="AM247" s="350"/>
      <c r="AN247" s="351"/>
      <c r="AO247" s="412"/>
      <c r="AP247" s="350"/>
      <c r="AQ247" s="350"/>
      <c r="AR247" s="350"/>
      <c r="AS247" s="350"/>
      <c r="AT247" s="350"/>
      <c r="AU247" s="350"/>
      <c r="AV247" s="351"/>
      <c r="AW247" s="723"/>
      <c r="AX247" s="350"/>
      <c r="AY247" s="351"/>
      <c r="AZ247" s="412"/>
      <c r="BA247" s="350"/>
      <c r="BB247" s="350"/>
      <c r="BC247" s="350"/>
      <c r="BD247" s="350"/>
      <c r="BE247" s="350"/>
      <c r="BF247" s="350"/>
      <c r="BG247" s="350"/>
      <c r="BH247" s="350"/>
      <c r="BI247" s="350"/>
      <c r="BJ247" s="350"/>
      <c r="BK247" s="350"/>
      <c r="BL247" s="350"/>
      <c r="BM247" s="350"/>
      <c r="BN247" s="350"/>
      <c r="BO247" s="351"/>
    </row>
    <row r="248" spans="1:67" ht="34.5" customHeight="1">
      <c r="A248" s="98">
        <f t="shared" si="0"/>
        <v>236</v>
      </c>
      <c r="B248" s="726" t="s">
        <v>325</v>
      </c>
      <c r="C248" s="351"/>
      <c r="D248" s="594"/>
      <c r="E248" s="350"/>
      <c r="F248" s="350"/>
      <c r="G248" s="350"/>
      <c r="H248" s="351"/>
      <c r="I248" s="368"/>
      <c r="J248" s="350"/>
      <c r="K248" s="350"/>
      <c r="L248" s="350"/>
      <c r="M248" s="350"/>
      <c r="N248" s="350"/>
      <c r="O248" s="350"/>
      <c r="P248" s="351"/>
      <c r="Q248" s="511"/>
      <c r="R248" s="350"/>
      <c r="S248" s="350"/>
      <c r="T248" s="350"/>
      <c r="U248" s="350"/>
      <c r="V248" s="350"/>
      <c r="W248" s="350"/>
      <c r="X248" s="351"/>
      <c r="Y248" s="368"/>
      <c r="Z248" s="351"/>
      <c r="AA248" s="511"/>
      <c r="AB248" s="350"/>
      <c r="AC248" s="350"/>
      <c r="AD248" s="351"/>
      <c r="AE248" s="368"/>
      <c r="AF248" s="350"/>
      <c r="AG248" s="351"/>
      <c r="AH248" s="511"/>
      <c r="AI248" s="350"/>
      <c r="AJ248" s="351"/>
      <c r="AK248" s="368"/>
      <c r="AL248" s="350"/>
      <c r="AM248" s="350"/>
      <c r="AN248" s="351"/>
      <c r="AO248" s="511"/>
      <c r="AP248" s="350"/>
      <c r="AQ248" s="350"/>
      <c r="AR248" s="350"/>
      <c r="AS248" s="350"/>
      <c r="AT248" s="350"/>
      <c r="AU248" s="350"/>
      <c r="AV248" s="351"/>
      <c r="AW248" s="725"/>
      <c r="AX248" s="350"/>
      <c r="AY248" s="351"/>
      <c r="AZ248" s="511"/>
      <c r="BA248" s="350"/>
      <c r="BB248" s="350"/>
      <c r="BC248" s="350"/>
      <c r="BD248" s="350"/>
      <c r="BE248" s="350"/>
      <c r="BF248" s="350"/>
      <c r="BG248" s="350"/>
      <c r="BH248" s="350"/>
      <c r="BI248" s="350"/>
      <c r="BJ248" s="350"/>
      <c r="BK248" s="350"/>
      <c r="BL248" s="350"/>
      <c r="BM248" s="350"/>
      <c r="BN248" s="350"/>
      <c r="BO248" s="351"/>
    </row>
    <row r="249" spans="1:67" ht="34.5" customHeight="1">
      <c r="A249" s="98">
        <f t="shared" si="0"/>
        <v>237</v>
      </c>
      <c r="B249" s="416" t="s">
        <v>325</v>
      </c>
      <c r="C249" s="351"/>
      <c r="D249" s="724"/>
      <c r="E249" s="350"/>
      <c r="F249" s="350"/>
      <c r="G249" s="350"/>
      <c r="H249" s="351"/>
      <c r="I249" s="412"/>
      <c r="J249" s="350"/>
      <c r="K249" s="350"/>
      <c r="L249" s="350"/>
      <c r="M249" s="350"/>
      <c r="N249" s="350"/>
      <c r="O249" s="350"/>
      <c r="P249" s="351"/>
      <c r="Q249" s="412"/>
      <c r="R249" s="350"/>
      <c r="S249" s="350"/>
      <c r="T249" s="350"/>
      <c r="U249" s="350"/>
      <c r="V249" s="350"/>
      <c r="W249" s="350"/>
      <c r="X249" s="351"/>
      <c r="Y249" s="412"/>
      <c r="Z249" s="351"/>
      <c r="AA249" s="412"/>
      <c r="AB249" s="350"/>
      <c r="AC249" s="350"/>
      <c r="AD249" s="351"/>
      <c r="AE249" s="412"/>
      <c r="AF249" s="350"/>
      <c r="AG249" s="351"/>
      <c r="AH249" s="412"/>
      <c r="AI249" s="350"/>
      <c r="AJ249" s="351"/>
      <c r="AK249" s="412"/>
      <c r="AL249" s="350"/>
      <c r="AM249" s="350"/>
      <c r="AN249" s="351"/>
      <c r="AO249" s="412"/>
      <c r="AP249" s="350"/>
      <c r="AQ249" s="350"/>
      <c r="AR249" s="350"/>
      <c r="AS249" s="350"/>
      <c r="AT249" s="350"/>
      <c r="AU249" s="350"/>
      <c r="AV249" s="351"/>
      <c r="AW249" s="723"/>
      <c r="AX249" s="350"/>
      <c r="AY249" s="351"/>
      <c r="AZ249" s="412"/>
      <c r="BA249" s="350"/>
      <c r="BB249" s="350"/>
      <c r="BC249" s="350"/>
      <c r="BD249" s="350"/>
      <c r="BE249" s="350"/>
      <c r="BF249" s="350"/>
      <c r="BG249" s="350"/>
      <c r="BH249" s="350"/>
      <c r="BI249" s="350"/>
      <c r="BJ249" s="350"/>
      <c r="BK249" s="350"/>
      <c r="BL249" s="350"/>
      <c r="BM249" s="350"/>
      <c r="BN249" s="350"/>
      <c r="BO249" s="351"/>
    </row>
    <row r="250" spans="1:67" ht="34.5" customHeight="1">
      <c r="A250" s="98">
        <f t="shared" si="0"/>
        <v>238</v>
      </c>
      <c r="B250" s="416" t="s">
        <v>325</v>
      </c>
      <c r="C250" s="351"/>
      <c r="D250" s="594"/>
      <c r="E250" s="350"/>
      <c r="F250" s="350"/>
      <c r="G250" s="350"/>
      <c r="H250" s="351"/>
      <c r="I250" s="368"/>
      <c r="J250" s="350"/>
      <c r="K250" s="350"/>
      <c r="L250" s="350"/>
      <c r="M250" s="350"/>
      <c r="N250" s="350"/>
      <c r="O250" s="350"/>
      <c r="P250" s="351"/>
      <c r="Q250" s="511"/>
      <c r="R250" s="350"/>
      <c r="S250" s="350"/>
      <c r="T250" s="350"/>
      <c r="U250" s="350"/>
      <c r="V250" s="350"/>
      <c r="W250" s="350"/>
      <c r="X250" s="351"/>
      <c r="Y250" s="368"/>
      <c r="Z250" s="351"/>
      <c r="AA250" s="511"/>
      <c r="AB250" s="350"/>
      <c r="AC250" s="350"/>
      <c r="AD250" s="351"/>
      <c r="AE250" s="368"/>
      <c r="AF250" s="350"/>
      <c r="AG250" s="351"/>
      <c r="AH250" s="511"/>
      <c r="AI250" s="350"/>
      <c r="AJ250" s="351"/>
      <c r="AK250" s="368"/>
      <c r="AL250" s="350"/>
      <c r="AM250" s="350"/>
      <c r="AN250" s="351"/>
      <c r="AO250" s="511"/>
      <c r="AP250" s="350"/>
      <c r="AQ250" s="350"/>
      <c r="AR250" s="350"/>
      <c r="AS250" s="350"/>
      <c r="AT250" s="350"/>
      <c r="AU250" s="350"/>
      <c r="AV250" s="351"/>
      <c r="AW250" s="725"/>
      <c r="AX250" s="350"/>
      <c r="AY250" s="351"/>
      <c r="AZ250" s="511"/>
      <c r="BA250" s="350"/>
      <c r="BB250" s="350"/>
      <c r="BC250" s="350"/>
      <c r="BD250" s="350"/>
      <c r="BE250" s="350"/>
      <c r="BF250" s="350"/>
      <c r="BG250" s="350"/>
      <c r="BH250" s="350"/>
      <c r="BI250" s="350"/>
      <c r="BJ250" s="350"/>
      <c r="BK250" s="350"/>
      <c r="BL250" s="350"/>
      <c r="BM250" s="350"/>
      <c r="BN250" s="350"/>
      <c r="BO250" s="351"/>
    </row>
    <row r="251" spans="1:67" ht="34.5" customHeight="1">
      <c r="A251" s="98">
        <f t="shared" si="0"/>
        <v>239</v>
      </c>
      <c r="B251" s="416" t="s">
        <v>325</v>
      </c>
      <c r="C251" s="351"/>
      <c r="D251" s="724"/>
      <c r="E251" s="350"/>
      <c r="F251" s="350"/>
      <c r="G251" s="350"/>
      <c r="H251" s="351"/>
      <c r="I251" s="412"/>
      <c r="J251" s="350"/>
      <c r="K251" s="350"/>
      <c r="L251" s="350"/>
      <c r="M251" s="350"/>
      <c r="N251" s="350"/>
      <c r="O251" s="350"/>
      <c r="P251" s="351"/>
      <c r="Q251" s="412"/>
      <c r="R251" s="350"/>
      <c r="S251" s="350"/>
      <c r="T251" s="350"/>
      <c r="U251" s="350"/>
      <c r="V251" s="350"/>
      <c r="W251" s="350"/>
      <c r="X251" s="351"/>
      <c r="Y251" s="412"/>
      <c r="Z251" s="351"/>
      <c r="AA251" s="412"/>
      <c r="AB251" s="350"/>
      <c r="AC251" s="350"/>
      <c r="AD251" s="351"/>
      <c r="AE251" s="412"/>
      <c r="AF251" s="350"/>
      <c r="AG251" s="351"/>
      <c r="AH251" s="412"/>
      <c r="AI251" s="350"/>
      <c r="AJ251" s="351"/>
      <c r="AK251" s="412"/>
      <c r="AL251" s="350"/>
      <c r="AM251" s="350"/>
      <c r="AN251" s="351"/>
      <c r="AO251" s="412"/>
      <c r="AP251" s="350"/>
      <c r="AQ251" s="350"/>
      <c r="AR251" s="350"/>
      <c r="AS251" s="350"/>
      <c r="AT251" s="350"/>
      <c r="AU251" s="350"/>
      <c r="AV251" s="351"/>
      <c r="AW251" s="723"/>
      <c r="AX251" s="350"/>
      <c r="AY251" s="351"/>
      <c r="AZ251" s="412"/>
      <c r="BA251" s="350"/>
      <c r="BB251" s="350"/>
      <c r="BC251" s="350"/>
      <c r="BD251" s="350"/>
      <c r="BE251" s="350"/>
      <c r="BF251" s="350"/>
      <c r="BG251" s="350"/>
      <c r="BH251" s="350"/>
      <c r="BI251" s="350"/>
      <c r="BJ251" s="350"/>
      <c r="BK251" s="350"/>
      <c r="BL251" s="350"/>
      <c r="BM251" s="350"/>
      <c r="BN251" s="350"/>
      <c r="BO251" s="351"/>
    </row>
    <row r="252" spans="1:67" ht="34.5" customHeight="1">
      <c r="A252" s="98">
        <f t="shared" si="0"/>
        <v>240</v>
      </c>
      <c r="B252" s="416" t="s">
        <v>325</v>
      </c>
      <c r="C252" s="351"/>
      <c r="D252" s="594"/>
      <c r="E252" s="350"/>
      <c r="F252" s="350"/>
      <c r="G252" s="350"/>
      <c r="H252" s="351"/>
      <c r="I252" s="368"/>
      <c r="J252" s="350"/>
      <c r="K252" s="350"/>
      <c r="L252" s="350"/>
      <c r="M252" s="350"/>
      <c r="N252" s="350"/>
      <c r="O252" s="350"/>
      <c r="P252" s="351"/>
      <c r="Q252" s="511"/>
      <c r="R252" s="350"/>
      <c r="S252" s="350"/>
      <c r="T252" s="350"/>
      <c r="U252" s="350"/>
      <c r="V252" s="350"/>
      <c r="W252" s="350"/>
      <c r="X252" s="351"/>
      <c r="Y252" s="368"/>
      <c r="Z252" s="351"/>
      <c r="AA252" s="511"/>
      <c r="AB252" s="350"/>
      <c r="AC252" s="350"/>
      <c r="AD252" s="351"/>
      <c r="AE252" s="368"/>
      <c r="AF252" s="350"/>
      <c r="AG252" s="351"/>
      <c r="AH252" s="511"/>
      <c r="AI252" s="350"/>
      <c r="AJ252" s="351"/>
      <c r="AK252" s="368"/>
      <c r="AL252" s="350"/>
      <c r="AM252" s="350"/>
      <c r="AN252" s="351"/>
      <c r="AO252" s="511"/>
      <c r="AP252" s="350"/>
      <c r="AQ252" s="350"/>
      <c r="AR252" s="350"/>
      <c r="AS252" s="350"/>
      <c r="AT252" s="350"/>
      <c r="AU252" s="350"/>
      <c r="AV252" s="351"/>
      <c r="AW252" s="725"/>
      <c r="AX252" s="350"/>
      <c r="AY252" s="351"/>
      <c r="AZ252" s="511"/>
      <c r="BA252" s="350"/>
      <c r="BB252" s="350"/>
      <c r="BC252" s="350"/>
      <c r="BD252" s="350"/>
      <c r="BE252" s="350"/>
      <c r="BF252" s="350"/>
      <c r="BG252" s="350"/>
      <c r="BH252" s="350"/>
      <c r="BI252" s="350"/>
      <c r="BJ252" s="350"/>
      <c r="BK252" s="350"/>
      <c r="BL252" s="350"/>
      <c r="BM252" s="350"/>
      <c r="BN252" s="350"/>
      <c r="BO252" s="351"/>
    </row>
    <row r="253" spans="1:67" ht="34.5" customHeight="1">
      <c r="A253" s="98">
        <f t="shared" si="0"/>
        <v>241</v>
      </c>
      <c r="B253" s="416" t="s">
        <v>325</v>
      </c>
      <c r="C253" s="351"/>
      <c r="D253" s="724"/>
      <c r="E253" s="350"/>
      <c r="F253" s="350"/>
      <c r="G253" s="350"/>
      <c r="H253" s="351"/>
      <c r="I253" s="412"/>
      <c r="J253" s="350"/>
      <c r="K253" s="350"/>
      <c r="L253" s="350"/>
      <c r="M253" s="350"/>
      <c r="N253" s="350"/>
      <c r="O253" s="350"/>
      <c r="P253" s="351"/>
      <c r="Q253" s="412"/>
      <c r="R253" s="350"/>
      <c r="S253" s="350"/>
      <c r="T253" s="350"/>
      <c r="U253" s="350"/>
      <c r="V253" s="350"/>
      <c r="W253" s="350"/>
      <c r="X253" s="351"/>
      <c r="Y253" s="412"/>
      <c r="Z253" s="351"/>
      <c r="AA253" s="412"/>
      <c r="AB253" s="350"/>
      <c r="AC253" s="350"/>
      <c r="AD253" s="351"/>
      <c r="AE253" s="412"/>
      <c r="AF253" s="350"/>
      <c r="AG253" s="351"/>
      <c r="AH253" s="412"/>
      <c r="AI253" s="350"/>
      <c r="AJ253" s="351"/>
      <c r="AK253" s="412"/>
      <c r="AL253" s="350"/>
      <c r="AM253" s="350"/>
      <c r="AN253" s="351"/>
      <c r="AO253" s="412"/>
      <c r="AP253" s="350"/>
      <c r="AQ253" s="350"/>
      <c r="AR253" s="350"/>
      <c r="AS253" s="350"/>
      <c r="AT253" s="350"/>
      <c r="AU253" s="350"/>
      <c r="AV253" s="351"/>
      <c r="AW253" s="723"/>
      <c r="AX253" s="350"/>
      <c r="AY253" s="351"/>
      <c r="AZ253" s="412"/>
      <c r="BA253" s="350"/>
      <c r="BB253" s="350"/>
      <c r="BC253" s="350"/>
      <c r="BD253" s="350"/>
      <c r="BE253" s="350"/>
      <c r="BF253" s="350"/>
      <c r="BG253" s="350"/>
      <c r="BH253" s="350"/>
      <c r="BI253" s="350"/>
      <c r="BJ253" s="350"/>
      <c r="BK253" s="350"/>
      <c r="BL253" s="350"/>
      <c r="BM253" s="350"/>
      <c r="BN253" s="350"/>
      <c r="BO253" s="351"/>
    </row>
    <row r="254" spans="1:67" ht="34.5" customHeight="1">
      <c r="A254" s="98">
        <f t="shared" si="0"/>
        <v>242</v>
      </c>
      <c r="B254" s="416" t="s">
        <v>325</v>
      </c>
      <c r="C254" s="351"/>
      <c r="D254" s="594"/>
      <c r="E254" s="350"/>
      <c r="F254" s="350"/>
      <c r="G254" s="350"/>
      <c r="H254" s="351"/>
      <c r="I254" s="368"/>
      <c r="J254" s="350"/>
      <c r="K254" s="350"/>
      <c r="L254" s="350"/>
      <c r="M254" s="350"/>
      <c r="N254" s="350"/>
      <c r="O254" s="350"/>
      <c r="P254" s="351"/>
      <c r="Q254" s="511"/>
      <c r="R254" s="350"/>
      <c r="S254" s="350"/>
      <c r="T254" s="350"/>
      <c r="U254" s="350"/>
      <c r="V254" s="350"/>
      <c r="W254" s="350"/>
      <c r="X254" s="351"/>
      <c r="Y254" s="368"/>
      <c r="Z254" s="351"/>
      <c r="AA254" s="511"/>
      <c r="AB254" s="350"/>
      <c r="AC254" s="350"/>
      <c r="AD254" s="351"/>
      <c r="AE254" s="368"/>
      <c r="AF254" s="350"/>
      <c r="AG254" s="351"/>
      <c r="AH254" s="511"/>
      <c r="AI254" s="350"/>
      <c r="AJ254" s="351"/>
      <c r="AK254" s="368"/>
      <c r="AL254" s="350"/>
      <c r="AM254" s="350"/>
      <c r="AN254" s="351"/>
      <c r="AO254" s="511"/>
      <c r="AP254" s="350"/>
      <c r="AQ254" s="350"/>
      <c r="AR254" s="350"/>
      <c r="AS254" s="350"/>
      <c r="AT254" s="350"/>
      <c r="AU254" s="350"/>
      <c r="AV254" s="351"/>
      <c r="AW254" s="725"/>
      <c r="AX254" s="350"/>
      <c r="AY254" s="351"/>
      <c r="AZ254" s="511"/>
      <c r="BA254" s="350"/>
      <c r="BB254" s="350"/>
      <c r="BC254" s="350"/>
      <c r="BD254" s="350"/>
      <c r="BE254" s="350"/>
      <c r="BF254" s="350"/>
      <c r="BG254" s="350"/>
      <c r="BH254" s="350"/>
      <c r="BI254" s="350"/>
      <c r="BJ254" s="350"/>
      <c r="BK254" s="350"/>
      <c r="BL254" s="350"/>
      <c r="BM254" s="350"/>
      <c r="BN254" s="350"/>
      <c r="BO254" s="351"/>
    </row>
    <row r="255" spans="1:67" ht="34.5" customHeight="1">
      <c r="A255" s="98">
        <f t="shared" si="0"/>
        <v>243</v>
      </c>
      <c r="B255" s="416" t="s">
        <v>325</v>
      </c>
      <c r="C255" s="351"/>
      <c r="D255" s="724"/>
      <c r="E255" s="350"/>
      <c r="F255" s="350"/>
      <c r="G255" s="350"/>
      <c r="H255" s="351"/>
      <c r="I255" s="412"/>
      <c r="J255" s="350"/>
      <c r="K255" s="350"/>
      <c r="L255" s="350"/>
      <c r="M255" s="350"/>
      <c r="N255" s="350"/>
      <c r="O255" s="350"/>
      <c r="P255" s="351"/>
      <c r="Q255" s="412"/>
      <c r="R255" s="350"/>
      <c r="S255" s="350"/>
      <c r="T255" s="350"/>
      <c r="U255" s="350"/>
      <c r="V255" s="350"/>
      <c r="W255" s="350"/>
      <c r="X255" s="351"/>
      <c r="Y255" s="412"/>
      <c r="Z255" s="351"/>
      <c r="AA255" s="412"/>
      <c r="AB255" s="350"/>
      <c r="AC255" s="350"/>
      <c r="AD255" s="351"/>
      <c r="AE255" s="412"/>
      <c r="AF255" s="350"/>
      <c r="AG255" s="351"/>
      <c r="AH255" s="412"/>
      <c r="AI255" s="350"/>
      <c r="AJ255" s="351"/>
      <c r="AK255" s="412"/>
      <c r="AL255" s="350"/>
      <c r="AM255" s="350"/>
      <c r="AN255" s="351"/>
      <c r="AO255" s="412"/>
      <c r="AP255" s="350"/>
      <c r="AQ255" s="350"/>
      <c r="AR255" s="350"/>
      <c r="AS255" s="350"/>
      <c r="AT255" s="350"/>
      <c r="AU255" s="350"/>
      <c r="AV255" s="351"/>
      <c r="AW255" s="723"/>
      <c r="AX255" s="350"/>
      <c r="AY255" s="351"/>
      <c r="AZ255" s="412"/>
      <c r="BA255" s="350"/>
      <c r="BB255" s="350"/>
      <c r="BC255" s="350"/>
      <c r="BD255" s="350"/>
      <c r="BE255" s="350"/>
      <c r="BF255" s="350"/>
      <c r="BG255" s="350"/>
      <c r="BH255" s="350"/>
      <c r="BI255" s="350"/>
      <c r="BJ255" s="350"/>
      <c r="BK255" s="350"/>
      <c r="BL255" s="350"/>
      <c r="BM255" s="350"/>
      <c r="BN255" s="350"/>
      <c r="BO255" s="351"/>
    </row>
    <row r="256" spans="1:67" ht="34.5" customHeight="1">
      <c r="A256" s="98">
        <f t="shared" si="0"/>
        <v>244</v>
      </c>
      <c r="B256" s="416" t="s">
        <v>325</v>
      </c>
      <c r="C256" s="351"/>
      <c r="D256" s="594"/>
      <c r="E256" s="350"/>
      <c r="F256" s="350"/>
      <c r="G256" s="350"/>
      <c r="H256" s="351"/>
      <c r="I256" s="368"/>
      <c r="J256" s="350"/>
      <c r="K256" s="350"/>
      <c r="L256" s="350"/>
      <c r="M256" s="350"/>
      <c r="N256" s="350"/>
      <c r="O256" s="350"/>
      <c r="P256" s="351"/>
      <c r="Q256" s="511"/>
      <c r="R256" s="350"/>
      <c r="S256" s="350"/>
      <c r="T256" s="350"/>
      <c r="U256" s="350"/>
      <c r="V256" s="350"/>
      <c r="W256" s="350"/>
      <c r="X256" s="351"/>
      <c r="Y256" s="368"/>
      <c r="Z256" s="351"/>
      <c r="AA256" s="511"/>
      <c r="AB256" s="350"/>
      <c r="AC256" s="350"/>
      <c r="AD256" s="351"/>
      <c r="AE256" s="368"/>
      <c r="AF256" s="350"/>
      <c r="AG256" s="351"/>
      <c r="AH256" s="511"/>
      <c r="AI256" s="350"/>
      <c r="AJ256" s="351"/>
      <c r="AK256" s="368"/>
      <c r="AL256" s="350"/>
      <c r="AM256" s="350"/>
      <c r="AN256" s="351"/>
      <c r="AO256" s="511"/>
      <c r="AP256" s="350"/>
      <c r="AQ256" s="350"/>
      <c r="AR256" s="350"/>
      <c r="AS256" s="350"/>
      <c r="AT256" s="350"/>
      <c r="AU256" s="350"/>
      <c r="AV256" s="351"/>
      <c r="AW256" s="725"/>
      <c r="AX256" s="350"/>
      <c r="AY256" s="351"/>
      <c r="AZ256" s="511"/>
      <c r="BA256" s="350"/>
      <c r="BB256" s="350"/>
      <c r="BC256" s="350"/>
      <c r="BD256" s="350"/>
      <c r="BE256" s="350"/>
      <c r="BF256" s="350"/>
      <c r="BG256" s="350"/>
      <c r="BH256" s="350"/>
      <c r="BI256" s="350"/>
      <c r="BJ256" s="350"/>
      <c r="BK256" s="350"/>
      <c r="BL256" s="350"/>
      <c r="BM256" s="350"/>
      <c r="BN256" s="350"/>
      <c r="BO256" s="351"/>
    </row>
    <row r="257" spans="1:67" ht="34.5" customHeight="1">
      <c r="A257" s="98">
        <f t="shared" si="0"/>
        <v>245</v>
      </c>
      <c r="B257" s="416" t="s">
        <v>325</v>
      </c>
      <c r="C257" s="351"/>
      <c r="D257" s="724"/>
      <c r="E257" s="350"/>
      <c r="F257" s="350"/>
      <c r="G257" s="350"/>
      <c r="H257" s="351"/>
      <c r="I257" s="412"/>
      <c r="J257" s="350"/>
      <c r="K257" s="350"/>
      <c r="L257" s="350"/>
      <c r="M257" s="350"/>
      <c r="N257" s="350"/>
      <c r="O257" s="350"/>
      <c r="P257" s="351"/>
      <c r="Q257" s="412"/>
      <c r="R257" s="350"/>
      <c r="S257" s="350"/>
      <c r="T257" s="350"/>
      <c r="U257" s="350"/>
      <c r="V257" s="350"/>
      <c r="W257" s="350"/>
      <c r="X257" s="351"/>
      <c r="Y257" s="412"/>
      <c r="Z257" s="351"/>
      <c r="AA257" s="412"/>
      <c r="AB257" s="350"/>
      <c r="AC257" s="350"/>
      <c r="AD257" s="351"/>
      <c r="AE257" s="412"/>
      <c r="AF257" s="350"/>
      <c r="AG257" s="351"/>
      <c r="AH257" s="412"/>
      <c r="AI257" s="350"/>
      <c r="AJ257" s="351"/>
      <c r="AK257" s="412"/>
      <c r="AL257" s="350"/>
      <c r="AM257" s="350"/>
      <c r="AN257" s="351"/>
      <c r="AO257" s="412"/>
      <c r="AP257" s="350"/>
      <c r="AQ257" s="350"/>
      <c r="AR257" s="350"/>
      <c r="AS257" s="350"/>
      <c r="AT257" s="350"/>
      <c r="AU257" s="350"/>
      <c r="AV257" s="351"/>
      <c r="AW257" s="723"/>
      <c r="AX257" s="350"/>
      <c r="AY257" s="351"/>
      <c r="AZ257" s="412"/>
      <c r="BA257" s="350"/>
      <c r="BB257" s="350"/>
      <c r="BC257" s="350"/>
      <c r="BD257" s="350"/>
      <c r="BE257" s="350"/>
      <c r="BF257" s="350"/>
      <c r="BG257" s="350"/>
      <c r="BH257" s="350"/>
      <c r="BI257" s="350"/>
      <c r="BJ257" s="350"/>
      <c r="BK257" s="350"/>
      <c r="BL257" s="350"/>
      <c r="BM257" s="350"/>
      <c r="BN257" s="350"/>
      <c r="BO257" s="351"/>
    </row>
    <row r="258" spans="1:67" ht="34.5" customHeight="1">
      <c r="A258" s="98">
        <f t="shared" si="0"/>
        <v>246</v>
      </c>
      <c r="B258" s="416" t="s">
        <v>325</v>
      </c>
      <c r="C258" s="351"/>
      <c r="D258" s="594"/>
      <c r="E258" s="350"/>
      <c r="F258" s="350"/>
      <c r="G258" s="350"/>
      <c r="H258" s="351"/>
      <c r="I258" s="368"/>
      <c r="J258" s="350"/>
      <c r="K258" s="350"/>
      <c r="L258" s="350"/>
      <c r="M258" s="350"/>
      <c r="N258" s="350"/>
      <c r="O258" s="350"/>
      <c r="P258" s="351"/>
      <c r="Q258" s="511"/>
      <c r="R258" s="350"/>
      <c r="S258" s="350"/>
      <c r="T258" s="350"/>
      <c r="U258" s="350"/>
      <c r="V258" s="350"/>
      <c r="W258" s="350"/>
      <c r="X258" s="351"/>
      <c r="Y258" s="368"/>
      <c r="Z258" s="351"/>
      <c r="AA258" s="511"/>
      <c r="AB258" s="350"/>
      <c r="AC258" s="350"/>
      <c r="AD258" s="351"/>
      <c r="AE258" s="368"/>
      <c r="AF258" s="350"/>
      <c r="AG258" s="351"/>
      <c r="AH258" s="511"/>
      <c r="AI258" s="350"/>
      <c r="AJ258" s="351"/>
      <c r="AK258" s="368"/>
      <c r="AL258" s="350"/>
      <c r="AM258" s="350"/>
      <c r="AN258" s="351"/>
      <c r="AO258" s="511"/>
      <c r="AP258" s="350"/>
      <c r="AQ258" s="350"/>
      <c r="AR258" s="350"/>
      <c r="AS258" s="350"/>
      <c r="AT258" s="350"/>
      <c r="AU258" s="350"/>
      <c r="AV258" s="351"/>
      <c r="AW258" s="725"/>
      <c r="AX258" s="350"/>
      <c r="AY258" s="351"/>
      <c r="AZ258" s="511"/>
      <c r="BA258" s="350"/>
      <c r="BB258" s="350"/>
      <c r="BC258" s="350"/>
      <c r="BD258" s="350"/>
      <c r="BE258" s="350"/>
      <c r="BF258" s="350"/>
      <c r="BG258" s="350"/>
      <c r="BH258" s="350"/>
      <c r="BI258" s="350"/>
      <c r="BJ258" s="350"/>
      <c r="BK258" s="350"/>
      <c r="BL258" s="350"/>
      <c r="BM258" s="350"/>
      <c r="BN258" s="350"/>
      <c r="BO258" s="351"/>
    </row>
    <row r="259" spans="1:67" ht="34.5" customHeight="1">
      <c r="A259" s="98">
        <f t="shared" si="0"/>
        <v>247</v>
      </c>
      <c r="B259" s="416" t="s">
        <v>325</v>
      </c>
      <c r="C259" s="351"/>
      <c r="D259" s="724"/>
      <c r="E259" s="350"/>
      <c r="F259" s="350"/>
      <c r="G259" s="350"/>
      <c r="H259" s="351"/>
      <c r="I259" s="412"/>
      <c r="J259" s="350"/>
      <c r="K259" s="350"/>
      <c r="L259" s="350"/>
      <c r="M259" s="350"/>
      <c r="N259" s="350"/>
      <c r="O259" s="350"/>
      <c r="P259" s="351"/>
      <c r="Q259" s="412"/>
      <c r="R259" s="350"/>
      <c r="S259" s="350"/>
      <c r="T259" s="350"/>
      <c r="U259" s="350"/>
      <c r="V259" s="350"/>
      <c r="W259" s="350"/>
      <c r="X259" s="351"/>
      <c r="Y259" s="412"/>
      <c r="Z259" s="351"/>
      <c r="AA259" s="412"/>
      <c r="AB259" s="350"/>
      <c r="AC259" s="350"/>
      <c r="AD259" s="351"/>
      <c r="AE259" s="412"/>
      <c r="AF259" s="350"/>
      <c r="AG259" s="351"/>
      <c r="AH259" s="412"/>
      <c r="AI259" s="350"/>
      <c r="AJ259" s="351"/>
      <c r="AK259" s="412"/>
      <c r="AL259" s="350"/>
      <c r="AM259" s="350"/>
      <c r="AN259" s="351"/>
      <c r="AO259" s="412"/>
      <c r="AP259" s="350"/>
      <c r="AQ259" s="350"/>
      <c r="AR259" s="350"/>
      <c r="AS259" s="350"/>
      <c r="AT259" s="350"/>
      <c r="AU259" s="350"/>
      <c r="AV259" s="351"/>
      <c r="AW259" s="723"/>
      <c r="AX259" s="350"/>
      <c r="AY259" s="351"/>
      <c r="AZ259" s="412"/>
      <c r="BA259" s="350"/>
      <c r="BB259" s="350"/>
      <c r="BC259" s="350"/>
      <c r="BD259" s="350"/>
      <c r="BE259" s="350"/>
      <c r="BF259" s="350"/>
      <c r="BG259" s="350"/>
      <c r="BH259" s="350"/>
      <c r="BI259" s="350"/>
      <c r="BJ259" s="350"/>
      <c r="BK259" s="350"/>
      <c r="BL259" s="350"/>
      <c r="BM259" s="350"/>
      <c r="BN259" s="350"/>
      <c r="BO259" s="351"/>
    </row>
    <row r="260" spans="1:67" ht="34.5" customHeight="1">
      <c r="A260" s="98">
        <f t="shared" si="0"/>
        <v>248</v>
      </c>
      <c r="B260" s="416" t="s">
        <v>325</v>
      </c>
      <c r="C260" s="351"/>
      <c r="D260" s="594"/>
      <c r="E260" s="350"/>
      <c r="F260" s="350"/>
      <c r="G260" s="350"/>
      <c r="H260" s="351"/>
      <c r="I260" s="368"/>
      <c r="J260" s="350"/>
      <c r="K260" s="350"/>
      <c r="L260" s="350"/>
      <c r="M260" s="350"/>
      <c r="N260" s="350"/>
      <c r="O260" s="350"/>
      <c r="P260" s="351"/>
      <c r="Q260" s="511"/>
      <c r="R260" s="350"/>
      <c r="S260" s="350"/>
      <c r="T260" s="350"/>
      <c r="U260" s="350"/>
      <c r="V260" s="350"/>
      <c r="W260" s="350"/>
      <c r="X260" s="351"/>
      <c r="Y260" s="368"/>
      <c r="Z260" s="351"/>
      <c r="AA260" s="511"/>
      <c r="AB260" s="350"/>
      <c r="AC260" s="350"/>
      <c r="AD260" s="351"/>
      <c r="AE260" s="368"/>
      <c r="AF260" s="350"/>
      <c r="AG260" s="351"/>
      <c r="AH260" s="511"/>
      <c r="AI260" s="350"/>
      <c r="AJ260" s="351"/>
      <c r="AK260" s="368"/>
      <c r="AL260" s="350"/>
      <c r="AM260" s="350"/>
      <c r="AN260" s="351"/>
      <c r="AO260" s="511"/>
      <c r="AP260" s="350"/>
      <c r="AQ260" s="350"/>
      <c r="AR260" s="350"/>
      <c r="AS260" s="350"/>
      <c r="AT260" s="350"/>
      <c r="AU260" s="350"/>
      <c r="AV260" s="351"/>
      <c r="AW260" s="725"/>
      <c r="AX260" s="350"/>
      <c r="AY260" s="351"/>
      <c r="AZ260" s="511"/>
      <c r="BA260" s="350"/>
      <c r="BB260" s="350"/>
      <c r="BC260" s="350"/>
      <c r="BD260" s="350"/>
      <c r="BE260" s="350"/>
      <c r="BF260" s="350"/>
      <c r="BG260" s="350"/>
      <c r="BH260" s="350"/>
      <c r="BI260" s="350"/>
      <c r="BJ260" s="350"/>
      <c r="BK260" s="350"/>
      <c r="BL260" s="350"/>
      <c r="BM260" s="350"/>
      <c r="BN260" s="350"/>
      <c r="BO260" s="351"/>
    </row>
    <row r="261" spans="1:67" ht="34.5" customHeight="1">
      <c r="A261" s="98">
        <f t="shared" si="0"/>
        <v>249</v>
      </c>
      <c r="B261" s="416" t="s">
        <v>325</v>
      </c>
      <c r="C261" s="351"/>
      <c r="D261" s="724"/>
      <c r="E261" s="350"/>
      <c r="F261" s="350"/>
      <c r="G261" s="350"/>
      <c r="H261" s="351"/>
      <c r="I261" s="412"/>
      <c r="J261" s="350"/>
      <c r="K261" s="350"/>
      <c r="L261" s="350"/>
      <c r="M261" s="350"/>
      <c r="N261" s="350"/>
      <c r="O261" s="350"/>
      <c r="P261" s="351"/>
      <c r="Q261" s="412"/>
      <c r="R261" s="350"/>
      <c r="S261" s="350"/>
      <c r="T261" s="350"/>
      <c r="U261" s="350"/>
      <c r="V261" s="350"/>
      <c r="W261" s="350"/>
      <c r="X261" s="351"/>
      <c r="Y261" s="412"/>
      <c r="Z261" s="351"/>
      <c r="AA261" s="412"/>
      <c r="AB261" s="350"/>
      <c r="AC261" s="350"/>
      <c r="AD261" s="351"/>
      <c r="AE261" s="412"/>
      <c r="AF261" s="350"/>
      <c r="AG261" s="351"/>
      <c r="AH261" s="412"/>
      <c r="AI261" s="350"/>
      <c r="AJ261" s="351"/>
      <c r="AK261" s="412"/>
      <c r="AL261" s="350"/>
      <c r="AM261" s="350"/>
      <c r="AN261" s="351"/>
      <c r="AO261" s="412"/>
      <c r="AP261" s="350"/>
      <c r="AQ261" s="350"/>
      <c r="AR261" s="350"/>
      <c r="AS261" s="350"/>
      <c r="AT261" s="350"/>
      <c r="AU261" s="350"/>
      <c r="AV261" s="351"/>
      <c r="AW261" s="723"/>
      <c r="AX261" s="350"/>
      <c r="AY261" s="351"/>
      <c r="AZ261" s="412"/>
      <c r="BA261" s="350"/>
      <c r="BB261" s="350"/>
      <c r="BC261" s="350"/>
      <c r="BD261" s="350"/>
      <c r="BE261" s="350"/>
      <c r="BF261" s="350"/>
      <c r="BG261" s="350"/>
      <c r="BH261" s="350"/>
      <c r="BI261" s="350"/>
      <c r="BJ261" s="350"/>
      <c r="BK261" s="350"/>
      <c r="BL261" s="350"/>
      <c r="BM261" s="350"/>
      <c r="BN261" s="350"/>
      <c r="BO261" s="351"/>
    </row>
    <row r="262" spans="1:67" ht="34.5" customHeight="1">
      <c r="A262" s="98">
        <f t="shared" si="0"/>
        <v>250</v>
      </c>
      <c r="B262" s="416" t="s">
        <v>325</v>
      </c>
      <c r="C262" s="351"/>
      <c r="D262" s="594"/>
      <c r="E262" s="350"/>
      <c r="F262" s="350"/>
      <c r="G262" s="350"/>
      <c r="H262" s="351"/>
      <c r="I262" s="368"/>
      <c r="J262" s="350"/>
      <c r="K262" s="350"/>
      <c r="L262" s="350"/>
      <c r="M262" s="350"/>
      <c r="N262" s="350"/>
      <c r="O262" s="350"/>
      <c r="P262" s="351"/>
      <c r="Q262" s="511"/>
      <c r="R262" s="350"/>
      <c r="S262" s="350"/>
      <c r="T262" s="350"/>
      <c r="U262" s="350"/>
      <c r="V262" s="350"/>
      <c r="W262" s="350"/>
      <c r="X262" s="351"/>
      <c r="Y262" s="368"/>
      <c r="Z262" s="351"/>
      <c r="AA262" s="511"/>
      <c r="AB262" s="350"/>
      <c r="AC262" s="350"/>
      <c r="AD262" s="351"/>
      <c r="AE262" s="368"/>
      <c r="AF262" s="350"/>
      <c r="AG262" s="351"/>
      <c r="AH262" s="511"/>
      <c r="AI262" s="350"/>
      <c r="AJ262" s="351"/>
      <c r="AK262" s="368"/>
      <c r="AL262" s="350"/>
      <c r="AM262" s="350"/>
      <c r="AN262" s="351"/>
      <c r="AO262" s="511"/>
      <c r="AP262" s="350"/>
      <c r="AQ262" s="350"/>
      <c r="AR262" s="350"/>
      <c r="AS262" s="350"/>
      <c r="AT262" s="350"/>
      <c r="AU262" s="350"/>
      <c r="AV262" s="351"/>
      <c r="AW262" s="725"/>
      <c r="AX262" s="350"/>
      <c r="AY262" s="351"/>
      <c r="AZ262" s="511"/>
      <c r="BA262" s="350"/>
      <c r="BB262" s="350"/>
      <c r="BC262" s="350"/>
      <c r="BD262" s="350"/>
      <c r="BE262" s="350"/>
      <c r="BF262" s="350"/>
      <c r="BG262" s="350"/>
      <c r="BH262" s="350"/>
      <c r="BI262" s="350"/>
      <c r="BJ262" s="350"/>
      <c r="BK262" s="350"/>
      <c r="BL262" s="350"/>
      <c r="BM262" s="350"/>
      <c r="BN262" s="350"/>
      <c r="BO262" s="351"/>
    </row>
    <row r="263" spans="1:67" ht="34.5" customHeight="1">
      <c r="A263" s="98">
        <f t="shared" si="0"/>
        <v>251</v>
      </c>
      <c r="B263" s="416" t="s">
        <v>325</v>
      </c>
      <c r="C263" s="351"/>
      <c r="D263" s="724"/>
      <c r="E263" s="350"/>
      <c r="F263" s="350"/>
      <c r="G263" s="350"/>
      <c r="H263" s="351"/>
      <c r="I263" s="412"/>
      <c r="J263" s="350"/>
      <c r="K263" s="350"/>
      <c r="L263" s="350"/>
      <c r="M263" s="350"/>
      <c r="N263" s="350"/>
      <c r="O263" s="350"/>
      <c r="P263" s="351"/>
      <c r="Q263" s="412"/>
      <c r="R263" s="350"/>
      <c r="S263" s="350"/>
      <c r="T263" s="350"/>
      <c r="U263" s="350"/>
      <c r="V263" s="350"/>
      <c r="W263" s="350"/>
      <c r="X263" s="351"/>
      <c r="Y263" s="412"/>
      <c r="Z263" s="351"/>
      <c r="AA263" s="412"/>
      <c r="AB263" s="350"/>
      <c r="AC263" s="350"/>
      <c r="AD263" s="351"/>
      <c r="AE263" s="412"/>
      <c r="AF263" s="350"/>
      <c r="AG263" s="351"/>
      <c r="AH263" s="412"/>
      <c r="AI263" s="350"/>
      <c r="AJ263" s="351"/>
      <c r="AK263" s="412"/>
      <c r="AL263" s="350"/>
      <c r="AM263" s="350"/>
      <c r="AN263" s="351"/>
      <c r="AO263" s="412"/>
      <c r="AP263" s="350"/>
      <c r="AQ263" s="350"/>
      <c r="AR263" s="350"/>
      <c r="AS263" s="350"/>
      <c r="AT263" s="350"/>
      <c r="AU263" s="350"/>
      <c r="AV263" s="351"/>
      <c r="AW263" s="723"/>
      <c r="AX263" s="350"/>
      <c r="AY263" s="351"/>
      <c r="AZ263" s="412"/>
      <c r="BA263" s="350"/>
      <c r="BB263" s="350"/>
      <c r="BC263" s="350"/>
      <c r="BD263" s="350"/>
      <c r="BE263" s="350"/>
      <c r="BF263" s="350"/>
      <c r="BG263" s="350"/>
      <c r="BH263" s="350"/>
      <c r="BI263" s="350"/>
      <c r="BJ263" s="350"/>
      <c r="BK263" s="350"/>
      <c r="BL263" s="350"/>
      <c r="BM263" s="350"/>
      <c r="BN263" s="350"/>
      <c r="BO263" s="351"/>
    </row>
    <row r="264" spans="1:67" ht="34.5" customHeight="1">
      <c r="A264" s="98">
        <f t="shared" si="0"/>
        <v>252</v>
      </c>
      <c r="B264" s="416" t="s">
        <v>325</v>
      </c>
      <c r="C264" s="351"/>
      <c r="D264" s="594"/>
      <c r="E264" s="350"/>
      <c r="F264" s="350"/>
      <c r="G264" s="350"/>
      <c r="H264" s="351"/>
      <c r="I264" s="368"/>
      <c r="J264" s="350"/>
      <c r="K264" s="350"/>
      <c r="L264" s="350"/>
      <c r="M264" s="350"/>
      <c r="N264" s="350"/>
      <c r="O264" s="350"/>
      <c r="P264" s="351"/>
      <c r="Q264" s="511"/>
      <c r="R264" s="350"/>
      <c r="S264" s="350"/>
      <c r="T264" s="350"/>
      <c r="U264" s="350"/>
      <c r="V264" s="350"/>
      <c r="W264" s="350"/>
      <c r="X264" s="351"/>
      <c r="Y264" s="368"/>
      <c r="Z264" s="351"/>
      <c r="AA264" s="511"/>
      <c r="AB264" s="350"/>
      <c r="AC264" s="350"/>
      <c r="AD264" s="351"/>
      <c r="AE264" s="368"/>
      <c r="AF264" s="350"/>
      <c r="AG264" s="351"/>
      <c r="AH264" s="511"/>
      <c r="AI264" s="350"/>
      <c r="AJ264" s="351"/>
      <c r="AK264" s="368"/>
      <c r="AL264" s="350"/>
      <c r="AM264" s="350"/>
      <c r="AN264" s="351"/>
      <c r="AO264" s="511"/>
      <c r="AP264" s="350"/>
      <c r="AQ264" s="350"/>
      <c r="AR264" s="350"/>
      <c r="AS264" s="350"/>
      <c r="AT264" s="350"/>
      <c r="AU264" s="350"/>
      <c r="AV264" s="351"/>
      <c r="AW264" s="725"/>
      <c r="AX264" s="350"/>
      <c r="AY264" s="351"/>
      <c r="AZ264" s="511"/>
      <c r="BA264" s="350"/>
      <c r="BB264" s="350"/>
      <c r="BC264" s="350"/>
      <c r="BD264" s="350"/>
      <c r="BE264" s="350"/>
      <c r="BF264" s="350"/>
      <c r="BG264" s="350"/>
      <c r="BH264" s="350"/>
      <c r="BI264" s="350"/>
      <c r="BJ264" s="350"/>
      <c r="BK264" s="350"/>
      <c r="BL264" s="350"/>
      <c r="BM264" s="350"/>
      <c r="BN264" s="350"/>
      <c r="BO264" s="351"/>
    </row>
    <row r="265" spans="1:67" ht="34.5" customHeight="1">
      <c r="A265" s="98">
        <f t="shared" si="0"/>
        <v>253</v>
      </c>
      <c r="B265" s="416" t="s">
        <v>325</v>
      </c>
      <c r="C265" s="351"/>
      <c r="D265" s="724"/>
      <c r="E265" s="350"/>
      <c r="F265" s="350"/>
      <c r="G265" s="350"/>
      <c r="H265" s="351"/>
      <c r="I265" s="412"/>
      <c r="J265" s="350"/>
      <c r="K265" s="350"/>
      <c r="L265" s="350"/>
      <c r="M265" s="350"/>
      <c r="N265" s="350"/>
      <c r="O265" s="350"/>
      <c r="P265" s="351"/>
      <c r="Q265" s="412"/>
      <c r="R265" s="350"/>
      <c r="S265" s="350"/>
      <c r="T265" s="350"/>
      <c r="U265" s="350"/>
      <c r="V265" s="350"/>
      <c r="W265" s="350"/>
      <c r="X265" s="351"/>
      <c r="Y265" s="412"/>
      <c r="Z265" s="351"/>
      <c r="AA265" s="412"/>
      <c r="AB265" s="350"/>
      <c r="AC265" s="350"/>
      <c r="AD265" s="351"/>
      <c r="AE265" s="412"/>
      <c r="AF265" s="350"/>
      <c r="AG265" s="351"/>
      <c r="AH265" s="412"/>
      <c r="AI265" s="350"/>
      <c r="AJ265" s="351"/>
      <c r="AK265" s="412"/>
      <c r="AL265" s="350"/>
      <c r="AM265" s="350"/>
      <c r="AN265" s="351"/>
      <c r="AO265" s="412"/>
      <c r="AP265" s="350"/>
      <c r="AQ265" s="350"/>
      <c r="AR265" s="350"/>
      <c r="AS265" s="350"/>
      <c r="AT265" s="350"/>
      <c r="AU265" s="350"/>
      <c r="AV265" s="351"/>
      <c r="AW265" s="723"/>
      <c r="AX265" s="350"/>
      <c r="AY265" s="351"/>
      <c r="AZ265" s="412"/>
      <c r="BA265" s="350"/>
      <c r="BB265" s="350"/>
      <c r="BC265" s="350"/>
      <c r="BD265" s="350"/>
      <c r="BE265" s="350"/>
      <c r="BF265" s="350"/>
      <c r="BG265" s="350"/>
      <c r="BH265" s="350"/>
      <c r="BI265" s="350"/>
      <c r="BJ265" s="350"/>
      <c r="BK265" s="350"/>
      <c r="BL265" s="350"/>
      <c r="BM265" s="350"/>
      <c r="BN265" s="350"/>
      <c r="BO265" s="351"/>
    </row>
    <row r="266" spans="1:67" ht="34.5" customHeight="1">
      <c r="A266" s="98">
        <f t="shared" si="0"/>
        <v>254</v>
      </c>
      <c r="B266" s="726" t="s">
        <v>325</v>
      </c>
      <c r="C266" s="351"/>
      <c r="D266" s="594"/>
      <c r="E266" s="350"/>
      <c r="F266" s="350"/>
      <c r="G266" s="350"/>
      <c r="H266" s="351"/>
      <c r="I266" s="368"/>
      <c r="J266" s="350"/>
      <c r="K266" s="350"/>
      <c r="L266" s="350"/>
      <c r="M266" s="350"/>
      <c r="N266" s="350"/>
      <c r="O266" s="350"/>
      <c r="P266" s="351"/>
      <c r="Q266" s="511"/>
      <c r="R266" s="350"/>
      <c r="S266" s="350"/>
      <c r="T266" s="350"/>
      <c r="U266" s="350"/>
      <c r="V266" s="350"/>
      <c r="W266" s="350"/>
      <c r="X266" s="351"/>
      <c r="Y266" s="368"/>
      <c r="Z266" s="351"/>
      <c r="AA266" s="511"/>
      <c r="AB266" s="350"/>
      <c r="AC266" s="350"/>
      <c r="AD266" s="351"/>
      <c r="AE266" s="368"/>
      <c r="AF266" s="350"/>
      <c r="AG266" s="351"/>
      <c r="AH266" s="511"/>
      <c r="AI266" s="350"/>
      <c r="AJ266" s="351"/>
      <c r="AK266" s="368"/>
      <c r="AL266" s="350"/>
      <c r="AM266" s="350"/>
      <c r="AN266" s="351"/>
      <c r="AO266" s="511"/>
      <c r="AP266" s="350"/>
      <c r="AQ266" s="350"/>
      <c r="AR266" s="350"/>
      <c r="AS266" s="350"/>
      <c r="AT266" s="350"/>
      <c r="AU266" s="350"/>
      <c r="AV266" s="351"/>
      <c r="AW266" s="725"/>
      <c r="AX266" s="350"/>
      <c r="AY266" s="351"/>
      <c r="AZ266" s="511"/>
      <c r="BA266" s="350"/>
      <c r="BB266" s="350"/>
      <c r="BC266" s="350"/>
      <c r="BD266" s="350"/>
      <c r="BE266" s="350"/>
      <c r="BF266" s="350"/>
      <c r="BG266" s="350"/>
      <c r="BH266" s="350"/>
      <c r="BI266" s="350"/>
      <c r="BJ266" s="350"/>
      <c r="BK266" s="350"/>
      <c r="BL266" s="350"/>
      <c r="BM266" s="350"/>
      <c r="BN266" s="350"/>
      <c r="BO266" s="351"/>
    </row>
    <row r="267" spans="1:67" ht="34.5" customHeight="1">
      <c r="A267" s="98">
        <f t="shared" si="0"/>
        <v>255</v>
      </c>
      <c r="B267" s="416" t="s">
        <v>325</v>
      </c>
      <c r="C267" s="351"/>
      <c r="D267" s="724"/>
      <c r="E267" s="350"/>
      <c r="F267" s="350"/>
      <c r="G267" s="350"/>
      <c r="H267" s="351"/>
      <c r="I267" s="412"/>
      <c r="J267" s="350"/>
      <c r="K267" s="350"/>
      <c r="L267" s="350"/>
      <c r="M267" s="350"/>
      <c r="N267" s="350"/>
      <c r="O267" s="350"/>
      <c r="P267" s="351"/>
      <c r="Q267" s="412"/>
      <c r="R267" s="350"/>
      <c r="S267" s="350"/>
      <c r="T267" s="350"/>
      <c r="U267" s="350"/>
      <c r="V267" s="350"/>
      <c r="W267" s="350"/>
      <c r="X267" s="351"/>
      <c r="Y267" s="412"/>
      <c r="Z267" s="351"/>
      <c r="AA267" s="412"/>
      <c r="AB267" s="350"/>
      <c r="AC267" s="350"/>
      <c r="AD267" s="351"/>
      <c r="AE267" s="412"/>
      <c r="AF267" s="350"/>
      <c r="AG267" s="351"/>
      <c r="AH267" s="412"/>
      <c r="AI267" s="350"/>
      <c r="AJ267" s="351"/>
      <c r="AK267" s="412"/>
      <c r="AL267" s="350"/>
      <c r="AM267" s="350"/>
      <c r="AN267" s="351"/>
      <c r="AO267" s="412"/>
      <c r="AP267" s="350"/>
      <c r="AQ267" s="350"/>
      <c r="AR267" s="350"/>
      <c r="AS267" s="350"/>
      <c r="AT267" s="350"/>
      <c r="AU267" s="350"/>
      <c r="AV267" s="351"/>
      <c r="AW267" s="723"/>
      <c r="AX267" s="350"/>
      <c r="AY267" s="351"/>
      <c r="AZ267" s="412"/>
      <c r="BA267" s="350"/>
      <c r="BB267" s="350"/>
      <c r="BC267" s="350"/>
      <c r="BD267" s="350"/>
      <c r="BE267" s="350"/>
      <c r="BF267" s="350"/>
      <c r="BG267" s="350"/>
      <c r="BH267" s="350"/>
      <c r="BI267" s="350"/>
      <c r="BJ267" s="350"/>
      <c r="BK267" s="350"/>
      <c r="BL267" s="350"/>
      <c r="BM267" s="350"/>
      <c r="BN267" s="350"/>
      <c r="BO267" s="351"/>
    </row>
    <row r="268" spans="1:67" ht="34.5" customHeight="1">
      <c r="A268" s="98">
        <f t="shared" ref="A268:A512" si="1">+ROW(A256)</f>
        <v>256</v>
      </c>
      <c r="B268" s="416" t="s">
        <v>325</v>
      </c>
      <c r="C268" s="351"/>
      <c r="D268" s="594"/>
      <c r="E268" s="350"/>
      <c r="F268" s="350"/>
      <c r="G268" s="350"/>
      <c r="H268" s="351"/>
      <c r="I268" s="368"/>
      <c r="J268" s="350"/>
      <c r="K268" s="350"/>
      <c r="L268" s="350"/>
      <c r="M268" s="350"/>
      <c r="N268" s="350"/>
      <c r="O268" s="350"/>
      <c r="P268" s="351"/>
      <c r="Q268" s="511"/>
      <c r="R268" s="350"/>
      <c r="S268" s="350"/>
      <c r="T268" s="350"/>
      <c r="U268" s="350"/>
      <c r="V268" s="350"/>
      <c r="W268" s="350"/>
      <c r="X268" s="351"/>
      <c r="Y268" s="368"/>
      <c r="Z268" s="351"/>
      <c r="AA268" s="511"/>
      <c r="AB268" s="350"/>
      <c r="AC268" s="350"/>
      <c r="AD268" s="351"/>
      <c r="AE268" s="368"/>
      <c r="AF268" s="350"/>
      <c r="AG268" s="351"/>
      <c r="AH268" s="511"/>
      <c r="AI268" s="350"/>
      <c r="AJ268" s="351"/>
      <c r="AK268" s="368"/>
      <c r="AL268" s="350"/>
      <c r="AM268" s="350"/>
      <c r="AN268" s="351"/>
      <c r="AO268" s="511"/>
      <c r="AP268" s="350"/>
      <c r="AQ268" s="350"/>
      <c r="AR268" s="350"/>
      <c r="AS268" s="350"/>
      <c r="AT268" s="350"/>
      <c r="AU268" s="350"/>
      <c r="AV268" s="351"/>
      <c r="AW268" s="725"/>
      <c r="AX268" s="350"/>
      <c r="AY268" s="351"/>
      <c r="AZ268" s="511"/>
      <c r="BA268" s="350"/>
      <c r="BB268" s="350"/>
      <c r="BC268" s="350"/>
      <c r="BD268" s="350"/>
      <c r="BE268" s="350"/>
      <c r="BF268" s="350"/>
      <c r="BG268" s="350"/>
      <c r="BH268" s="350"/>
      <c r="BI268" s="350"/>
      <c r="BJ268" s="350"/>
      <c r="BK268" s="350"/>
      <c r="BL268" s="350"/>
      <c r="BM268" s="350"/>
      <c r="BN268" s="350"/>
      <c r="BO268" s="351"/>
    </row>
    <row r="269" spans="1:67" ht="34.5" customHeight="1">
      <c r="A269" s="98">
        <f t="shared" si="1"/>
        <v>257</v>
      </c>
      <c r="B269" s="416" t="s">
        <v>325</v>
      </c>
      <c r="C269" s="351"/>
      <c r="D269" s="724"/>
      <c r="E269" s="350"/>
      <c r="F269" s="350"/>
      <c r="G269" s="350"/>
      <c r="H269" s="351"/>
      <c r="I269" s="412"/>
      <c r="J269" s="350"/>
      <c r="K269" s="350"/>
      <c r="L269" s="350"/>
      <c r="M269" s="350"/>
      <c r="N269" s="350"/>
      <c r="O269" s="350"/>
      <c r="P269" s="351"/>
      <c r="Q269" s="412"/>
      <c r="R269" s="350"/>
      <c r="S269" s="350"/>
      <c r="T269" s="350"/>
      <c r="U269" s="350"/>
      <c r="V269" s="350"/>
      <c r="W269" s="350"/>
      <c r="X269" s="351"/>
      <c r="Y269" s="412"/>
      <c r="Z269" s="351"/>
      <c r="AA269" s="412"/>
      <c r="AB269" s="350"/>
      <c r="AC269" s="350"/>
      <c r="AD269" s="351"/>
      <c r="AE269" s="412"/>
      <c r="AF269" s="350"/>
      <c r="AG269" s="351"/>
      <c r="AH269" s="412"/>
      <c r="AI269" s="350"/>
      <c r="AJ269" s="351"/>
      <c r="AK269" s="412"/>
      <c r="AL269" s="350"/>
      <c r="AM269" s="350"/>
      <c r="AN269" s="351"/>
      <c r="AO269" s="412"/>
      <c r="AP269" s="350"/>
      <c r="AQ269" s="350"/>
      <c r="AR269" s="350"/>
      <c r="AS269" s="350"/>
      <c r="AT269" s="350"/>
      <c r="AU269" s="350"/>
      <c r="AV269" s="351"/>
      <c r="AW269" s="723"/>
      <c r="AX269" s="350"/>
      <c r="AY269" s="351"/>
      <c r="AZ269" s="412"/>
      <c r="BA269" s="350"/>
      <c r="BB269" s="350"/>
      <c r="BC269" s="350"/>
      <c r="BD269" s="350"/>
      <c r="BE269" s="350"/>
      <c r="BF269" s="350"/>
      <c r="BG269" s="350"/>
      <c r="BH269" s="350"/>
      <c r="BI269" s="350"/>
      <c r="BJ269" s="350"/>
      <c r="BK269" s="350"/>
      <c r="BL269" s="350"/>
      <c r="BM269" s="350"/>
      <c r="BN269" s="350"/>
      <c r="BO269" s="351"/>
    </row>
    <row r="270" spans="1:67" ht="34.5" customHeight="1">
      <c r="A270" s="98">
        <f t="shared" si="1"/>
        <v>258</v>
      </c>
      <c r="B270" s="416" t="s">
        <v>325</v>
      </c>
      <c r="C270" s="351"/>
      <c r="D270" s="594"/>
      <c r="E270" s="350"/>
      <c r="F270" s="350"/>
      <c r="G270" s="350"/>
      <c r="H270" s="351"/>
      <c r="I270" s="368"/>
      <c r="J270" s="350"/>
      <c r="K270" s="350"/>
      <c r="L270" s="350"/>
      <c r="M270" s="350"/>
      <c r="N270" s="350"/>
      <c r="O270" s="350"/>
      <c r="P270" s="351"/>
      <c r="Q270" s="511"/>
      <c r="R270" s="350"/>
      <c r="S270" s="350"/>
      <c r="T270" s="350"/>
      <c r="U270" s="350"/>
      <c r="V270" s="350"/>
      <c r="W270" s="350"/>
      <c r="X270" s="351"/>
      <c r="Y270" s="368"/>
      <c r="Z270" s="351"/>
      <c r="AA270" s="511"/>
      <c r="AB270" s="350"/>
      <c r="AC270" s="350"/>
      <c r="AD270" s="351"/>
      <c r="AE270" s="368"/>
      <c r="AF270" s="350"/>
      <c r="AG270" s="351"/>
      <c r="AH270" s="511"/>
      <c r="AI270" s="350"/>
      <c r="AJ270" s="351"/>
      <c r="AK270" s="368"/>
      <c r="AL270" s="350"/>
      <c r="AM270" s="350"/>
      <c r="AN270" s="351"/>
      <c r="AO270" s="511"/>
      <c r="AP270" s="350"/>
      <c r="AQ270" s="350"/>
      <c r="AR270" s="350"/>
      <c r="AS270" s="350"/>
      <c r="AT270" s="350"/>
      <c r="AU270" s="350"/>
      <c r="AV270" s="351"/>
      <c r="AW270" s="725"/>
      <c r="AX270" s="350"/>
      <c r="AY270" s="351"/>
      <c r="AZ270" s="511"/>
      <c r="BA270" s="350"/>
      <c r="BB270" s="350"/>
      <c r="BC270" s="350"/>
      <c r="BD270" s="350"/>
      <c r="BE270" s="350"/>
      <c r="BF270" s="350"/>
      <c r="BG270" s="350"/>
      <c r="BH270" s="350"/>
      <c r="BI270" s="350"/>
      <c r="BJ270" s="350"/>
      <c r="BK270" s="350"/>
      <c r="BL270" s="350"/>
      <c r="BM270" s="350"/>
      <c r="BN270" s="350"/>
      <c r="BO270" s="351"/>
    </row>
    <row r="271" spans="1:67" ht="34.5" customHeight="1">
      <c r="A271" s="98">
        <f t="shared" si="1"/>
        <v>259</v>
      </c>
      <c r="B271" s="416" t="s">
        <v>325</v>
      </c>
      <c r="C271" s="351"/>
      <c r="D271" s="724"/>
      <c r="E271" s="350"/>
      <c r="F271" s="350"/>
      <c r="G271" s="350"/>
      <c r="H271" s="351"/>
      <c r="I271" s="412"/>
      <c r="J271" s="350"/>
      <c r="K271" s="350"/>
      <c r="L271" s="350"/>
      <c r="M271" s="350"/>
      <c r="N271" s="350"/>
      <c r="O271" s="350"/>
      <c r="P271" s="351"/>
      <c r="Q271" s="412"/>
      <c r="R271" s="350"/>
      <c r="S271" s="350"/>
      <c r="T271" s="350"/>
      <c r="U271" s="350"/>
      <c r="V271" s="350"/>
      <c r="W271" s="350"/>
      <c r="X271" s="351"/>
      <c r="Y271" s="412"/>
      <c r="Z271" s="351"/>
      <c r="AA271" s="412"/>
      <c r="AB271" s="350"/>
      <c r="AC271" s="350"/>
      <c r="AD271" s="351"/>
      <c r="AE271" s="412"/>
      <c r="AF271" s="350"/>
      <c r="AG271" s="351"/>
      <c r="AH271" s="412"/>
      <c r="AI271" s="350"/>
      <c r="AJ271" s="351"/>
      <c r="AK271" s="412"/>
      <c r="AL271" s="350"/>
      <c r="AM271" s="350"/>
      <c r="AN271" s="351"/>
      <c r="AO271" s="412"/>
      <c r="AP271" s="350"/>
      <c r="AQ271" s="350"/>
      <c r="AR271" s="350"/>
      <c r="AS271" s="350"/>
      <c r="AT271" s="350"/>
      <c r="AU271" s="350"/>
      <c r="AV271" s="351"/>
      <c r="AW271" s="723"/>
      <c r="AX271" s="350"/>
      <c r="AY271" s="351"/>
      <c r="AZ271" s="412"/>
      <c r="BA271" s="350"/>
      <c r="BB271" s="350"/>
      <c r="BC271" s="350"/>
      <c r="BD271" s="350"/>
      <c r="BE271" s="350"/>
      <c r="BF271" s="350"/>
      <c r="BG271" s="350"/>
      <c r="BH271" s="350"/>
      <c r="BI271" s="350"/>
      <c r="BJ271" s="350"/>
      <c r="BK271" s="350"/>
      <c r="BL271" s="350"/>
      <c r="BM271" s="350"/>
      <c r="BN271" s="350"/>
      <c r="BO271" s="351"/>
    </row>
    <row r="272" spans="1:67" ht="34.5" customHeight="1">
      <c r="A272" s="98">
        <f t="shared" si="1"/>
        <v>260</v>
      </c>
      <c r="B272" s="416" t="s">
        <v>325</v>
      </c>
      <c r="C272" s="351"/>
      <c r="D272" s="594"/>
      <c r="E272" s="350"/>
      <c r="F272" s="350"/>
      <c r="G272" s="350"/>
      <c r="H272" s="351"/>
      <c r="I272" s="368"/>
      <c r="J272" s="350"/>
      <c r="K272" s="350"/>
      <c r="L272" s="350"/>
      <c r="M272" s="350"/>
      <c r="N272" s="350"/>
      <c r="O272" s="350"/>
      <c r="P272" s="351"/>
      <c r="Q272" s="511"/>
      <c r="R272" s="350"/>
      <c r="S272" s="350"/>
      <c r="T272" s="350"/>
      <c r="U272" s="350"/>
      <c r="V272" s="350"/>
      <c r="W272" s="350"/>
      <c r="X272" s="351"/>
      <c r="Y272" s="368"/>
      <c r="Z272" s="351"/>
      <c r="AA272" s="511"/>
      <c r="AB272" s="350"/>
      <c r="AC272" s="350"/>
      <c r="AD272" s="351"/>
      <c r="AE272" s="368"/>
      <c r="AF272" s="350"/>
      <c r="AG272" s="351"/>
      <c r="AH272" s="511"/>
      <c r="AI272" s="350"/>
      <c r="AJ272" s="351"/>
      <c r="AK272" s="368"/>
      <c r="AL272" s="350"/>
      <c r="AM272" s="350"/>
      <c r="AN272" s="351"/>
      <c r="AO272" s="511"/>
      <c r="AP272" s="350"/>
      <c r="AQ272" s="350"/>
      <c r="AR272" s="350"/>
      <c r="AS272" s="350"/>
      <c r="AT272" s="350"/>
      <c r="AU272" s="350"/>
      <c r="AV272" s="351"/>
      <c r="AW272" s="725"/>
      <c r="AX272" s="350"/>
      <c r="AY272" s="351"/>
      <c r="AZ272" s="511"/>
      <c r="BA272" s="350"/>
      <c r="BB272" s="350"/>
      <c r="BC272" s="350"/>
      <c r="BD272" s="350"/>
      <c r="BE272" s="350"/>
      <c r="BF272" s="350"/>
      <c r="BG272" s="350"/>
      <c r="BH272" s="350"/>
      <c r="BI272" s="350"/>
      <c r="BJ272" s="350"/>
      <c r="BK272" s="350"/>
      <c r="BL272" s="350"/>
      <c r="BM272" s="350"/>
      <c r="BN272" s="350"/>
      <c r="BO272" s="351"/>
    </row>
    <row r="273" spans="1:67" ht="34.5" customHeight="1">
      <c r="A273" s="98">
        <f t="shared" si="1"/>
        <v>261</v>
      </c>
      <c r="B273" s="416" t="s">
        <v>325</v>
      </c>
      <c r="C273" s="351"/>
      <c r="D273" s="724"/>
      <c r="E273" s="350"/>
      <c r="F273" s="350"/>
      <c r="G273" s="350"/>
      <c r="H273" s="351"/>
      <c r="I273" s="412"/>
      <c r="J273" s="350"/>
      <c r="K273" s="350"/>
      <c r="L273" s="350"/>
      <c r="M273" s="350"/>
      <c r="N273" s="350"/>
      <c r="O273" s="350"/>
      <c r="P273" s="351"/>
      <c r="Q273" s="412"/>
      <c r="R273" s="350"/>
      <c r="S273" s="350"/>
      <c r="T273" s="350"/>
      <c r="U273" s="350"/>
      <c r="V273" s="350"/>
      <c r="W273" s="350"/>
      <c r="X273" s="351"/>
      <c r="Y273" s="412"/>
      <c r="Z273" s="351"/>
      <c r="AA273" s="412"/>
      <c r="AB273" s="350"/>
      <c r="AC273" s="350"/>
      <c r="AD273" s="351"/>
      <c r="AE273" s="412"/>
      <c r="AF273" s="350"/>
      <c r="AG273" s="351"/>
      <c r="AH273" s="412"/>
      <c r="AI273" s="350"/>
      <c r="AJ273" s="351"/>
      <c r="AK273" s="412"/>
      <c r="AL273" s="350"/>
      <c r="AM273" s="350"/>
      <c r="AN273" s="351"/>
      <c r="AO273" s="412"/>
      <c r="AP273" s="350"/>
      <c r="AQ273" s="350"/>
      <c r="AR273" s="350"/>
      <c r="AS273" s="350"/>
      <c r="AT273" s="350"/>
      <c r="AU273" s="350"/>
      <c r="AV273" s="351"/>
      <c r="AW273" s="723"/>
      <c r="AX273" s="350"/>
      <c r="AY273" s="351"/>
      <c r="AZ273" s="412"/>
      <c r="BA273" s="350"/>
      <c r="BB273" s="350"/>
      <c r="BC273" s="350"/>
      <c r="BD273" s="350"/>
      <c r="BE273" s="350"/>
      <c r="BF273" s="350"/>
      <c r="BG273" s="350"/>
      <c r="BH273" s="350"/>
      <c r="BI273" s="350"/>
      <c r="BJ273" s="350"/>
      <c r="BK273" s="350"/>
      <c r="BL273" s="350"/>
      <c r="BM273" s="350"/>
      <c r="BN273" s="350"/>
      <c r="BO273" s="351"/>
    </row>
    <row r="274" spans="1:67" ht="34.5" customHeight="1">
      <c r="A274" s="98">
        <f t="shared" si="1"/>
        <v>262</v>
      </c>
      <c r="B274" s="416" t="s">
        <v>325</v>
      </c>
      <c r="C274" s="351"/>
      <c r="D274" s="594"/>
      <c r="E274" s="350"/>
      <c r="F274" s="350"/>
      <c r="G274" s="350"/>
      <c r="H274" s="351"/>
      <c r="I274" s="368"/>
      <c r="J274" s="350"/>
      <c r="K274" s="350"/>
      <c r="L274" s="350"/>
      <c r="M274" s="350"/>
      <c r="N274" s="350"/>
      <c r="O274" s="350"/>
      <c r="P274" s="351"/>
      <c r="Q274" s="511"/>
      <c r="R274" s="350"/>
      <c r="S274" s="350"/>
      <c r="T274" s="350"/>
      <c r="U274" s="350"/>
      <c r="V274" s="350"/>
      <c r="W274" s="350"/>
      <c r="X274" s="351"/>
      <c r="Y274" s="368"/>
      <c r="Z274" s="351"/>
      <c r="AA274" s="511"/>
      <c r="AB274" s="350"/>
      <c r="AC274" s="350"/>
      <c r="AD274" s="351"/>
      <c r="AE274" s="368"/>
      <c r="AF274" s="350"/>
      <c r="AG274" s="351"/>
      <c r="AH274" s="511"/>
      <c r="AI274" s="350"/>
      <c r="AJ274" s="351"/>
      <c r="AK274" s="368"/>
      <c r="AL274" s="350"/>
      <c r="AM274" s="350"/>
      <c r="AN274" s="351"/>
      <c r="AO274" s="511"/>
      <c r="AP274" s="350"/>
      <c r="AQ274" s="350"/>
      <c r="AR274" s="350"/>
      <c r="AS274" s="350"/>
      <c r="AT274" s="350"/>
      <c r="AU274" s="350"/>
      <c r="AV274" s="351"/>
      <c r="AW274" s="725"/>
      <c r="AX274" s="350"/>
      <c r="AY274" s="351"/>
      <c r="AZ274" s="511"/>
      <c r="BA274" s="350"/>
      <c r="BB274" s="350"/>
      <c r="BC274" s="350"/>
      <c r="BD274" s="350"/>
      <c r="BE274" s="350"/>
      <c r="BF274" s="350"/>
      <c r="BG274" s="350"/>
      <c r="BH274" s="350"/>
      <c r="BI274" s="350"/>
      <c r="BJ274" s="350"/>
      <c r="BK274" s="350"/>
      <c r="BL274" s="350"/>
      <c r="BM274" s="350"/>
      <c r="BN274" s="350"/>
      <c r="BO274" s="351"/>
    </row>
    <row r="275" spans="1:67" ht="34.5" customHeight="1">
      <c r="A275" s="98">
        <f t="shared" si="1"/>
        <v>263</v>
      </c>
      <c r="B275" s="416" t="s">
        <v>325</v>
      </c>
      <c r="C275" s="351"/>
      <c r="D275" s="724"/>
      <c r="E275" s="350"/>
      <c r="F275" s="350"/>
      <c r="G275" s="350"/>
      <c r="H275" s="351"/>
      <c r="I275" s="412"/>
      <c r="J275" s="350"/>
      <c r="K275" s="350"/>
      <c r="L275" s="350"/>
      <c r="M275" s="350"/>
      <c r="N275" s="350"/>
      <c r="O275" s="350"/>
      <c r="P275" s="351"/>
      <c r="Q275" s="412"/>
      <c r="R275" s="350"/>
      <c r="S275" s="350"/>
      <c r="T275" s="350"/>
      <c r="U275" s="350"/>
      <c r="V275" s="350"/>
      <c r="W275" s="350"/>
      <c r="X275" s="351"/>
      <c r="Y275" s="412"/>
      <c r="Z275" s="351"/>
      <c r="AA275" s="412"/>
      <c r="AB275" s="350"/>
      <c r="AC275" s="350"/>
      <c r="AD275" s="351"/>
      <c r="AE275" s="412"/>
      <c r="AF275" s="350"/>
      <c r="AG275" s="351"/>
      <c r="AH275" s="412"/>
      <c r="AI275" s="350"/>
      <c r="AJ275" s="351"/>
      <c r="AK275" s="412"/>
      <c r="AL275" s="350"/>
      <c r="AM275" s="350"/>
      <c r="AN275" s="351"/>
      <c r="AO275" s="412"/>
      <c r="AP275" s="350"/>
      <c r="AQ275" s="350"/>
      <c r="AR275" s="350"/>
      <c r="AS275" s="350"/>
      <c r="AT275" s="350"/>
      <c r="AU275" s="350"/>
      <c r="AV275" s="351"/>
      <c r="AW275" s="723"/>
      <c r="AX275" s="350"/>
      <c r="AY275" s="351"/>
      <c r="AZ275" s="412"/>
      <c r="BA275" s="350"/>
      <c r="BB275" s="350"/>
      <c r="BC275" s="350"/>
      <c r="BD275" s="350"/>
      <c r="BE275" s="350"/>
      <c r="BF275" s="350"/>
      <c r="BG275" s="350"/>
      <c r="BH275" s="350"/>
      <c r="BI275" s="350"/>
      <c r="BJ275" s="350"/>
      <c r="BK275" s="350"/>
      <c r="BL275" s="350"/>
      <c r="BM275" s="350"/>
      <c r="BN275" s="350"/>
      <c r="BO275" s="351"/>
    </row>
    <row r="276" spans="1:67" ht="34.5" customHeight="1">
      <c r="A276" s="98">
        <f t="shared" si="1"/>
        <v>264</v>
      </c>
      <c r="B276" s="416" t="s">
        <v>325</v>
      </c>
      <c r="C276" s="351"/>
      <c r="D276" s="594"/>
      <c r="E276" s="350"/>
      <c r="F276" s="350"/>
      <c r="G276" s="350"/>
      <c r="H276" s="351"/>
      <c r="I276" s="368"/>
      <c r="J276" s="350"/>
      <c r="K276" s="350"/>
      <c r="L276" s="350"/>
      <c r="M276" s="350"/>
      <c r="N276" s="350"/>
      <c r="O276" s="350"/>
      <c r="P276" s="351"/>
      <c r="Q276" s="511"/>
      <c r="R276" s="350"/>
      <c r="S276" s="350"/>
      <c r="T276" s="350"/>
      <c r="U276" s="350"/>
      <c r="V276" s="350"/>
      <c r="W276" s="350"/>
      <c r="X276" s="351"/>
      <c r="Y276" s="368"/>
      <c r="Z276" s="351"/>
      <c r="AA276" s="511"/>
      <c r="AB276" s="350"/>
      <c r="AC276" s="350"/>
      <c r="AD276" s="351"/>
      <c r="AE276" s="368"/>
      <c r="AF276" s="350"/>
      <c r="AG276" s="351"/>
      <c r="AH276" s="511"/>
      <c r="AI276" s="350"/>
      <c r="AJ276" s="351"/>
      <c r="AK276" s="368"/>
      <c r="AL276" s="350"/>
      <c r="AM276" s="350"/>
      <c r="AN276" s="351"/>
      <c r="AO276" s="511"/>
      <c r="AP276" s="350"/>
      <c r="AQ276" s="350"/>
      <c r="AR276" s="350"/>
      <c r="AS276" s="350"/>
      <c r="AT276" s="350"/>
      <c r="AU276" s="350"/>
      <c r="AV276" s="351"/>
      <c r="AW276" s="725"/>
      <c r="AX276" s="350"/>
      <c r="AY276" s="351"/>
      <c r="AZ276" s="511"/>
      <c r="BA276" s="350"/>
      <c r="BB276" s="350"/>
      <c r="BC276" s="350"/>
      <c r="BD276" s="350"/>
      <c r="BE276" s="350"/>
      <c r="BF276" s="350"/>
      <c r="BG276" s="350"/>
      <c r="BH276" s="350"/>
      <c r="BI276" s="350"/>
      <c r="BJ276" s="350"/>
      <c r="BK276" s="350"/>
      <c r="BL276" s="350"/>
      <c r="BM276" s="350"/>
      <c r="BN276" s="350"/>
      <c r="BO276" s="351"/>
    </row>
    <row r="277" spans="1:67" ht="34.5" customHeight="1">
      <c r="A277" s="98">
        <f t="shared" si="1"/>
        <v>265</v>
      </c>
      <c r="B277" s="416" t="s">
        <v>325</v>
      </c>
      <c r="C277" s="351"/>
      <c r="D277" s="724"/>
      <c r="E277" s="350"/>
      <c r="F277" s="350"/>
      <c r="G277" s="350"/>
      <c r="H277" s="351"/>
      <c r="I277" s="412"/>
      <c r="J277" s="350"/>
      <c r="K277" s="350"/>
      <c r="L277" s="350"/>
      <c r="M277" s="350"/>
      <c r="N277" s="350"/>
      <c r="O277" s="350"/>
      <c r="P277" s="351"/>
      <c r="Q277" s="412"/>
      <c r="R277" s="350"/>
      <c r="S277" s="350"/>
      <c r="T277" s="350"/>
      <c r="U277" s="350"/>
      <c r="V277" s="350"/>
      <c r="W277" s="350"/>
      <c r="X277" s="351"/>
      <c r="Y277" s="412"/>
      <c r="Z277" s="351"/>
      <c r="AA277" s="412"/>
      <c r="AB277" s="350"/>
      <c r="AC277" s="350"/>
      <c r="AD277" s="351"/>
      <c r="AE277" s="412"/>
      <c r="AF277" s="350"/>
      <c r="AG277" s="351"/>
      <c r="AH277" s="412"/>
      <c r="AI277" s="350"/>
      <c r="AJ277" s="351"/>
      <c r="AK277" s="412"/>
      <c r="AL277" s="350"/>
      <c r="AM277" s="350"/>
      <c r="AN277" s="351"/>
      <c r="AO277" s="412"/>
      <c r="AP277" s="350"/>
      <c r="AQ277" s="350"/>
      <c r="AR277" s="350"/>
      <c r="AS277" s="350"/>
      <c r="AT277" s="350"/>
      <c r="AU277" s="350"/>
      <c r="AV277" s="351"/>
      <c r="AW277" s="723"/>
      <c r="AX277" s="350"/>
      <c r="AY277" s="351"/>
      <c r="AZ277" s="412"/>
      <c r="BA277" s="350"/>
      <c r="BB277" s="350"/>
      <c r="BC277" s="350"/>
      <c r="BD277" s="350"/>
      <c r="BE277" s="350"/>
      <c r="BF277" s="350"/>
      <c r="BG277" s="350"/>
      <c r="BH277" s="350"/>
      <c r="BI277" s="350"/>
      <c r="BJ277" s="350"/>
      <c r="BK277" s="350"/>
      <c r="BL277" s="350"/>
      <c r="BM277" s="350"/>
      <c r="BN277" s="350"/>
      <c r="BO277" s="351"/>
    </row>
    <row r="278" spans="1:67" ht="34.5" customHeight="1">
      <c r="A278" s="98">
        <f t="shared" si="1"/>
        <v>266</v>
      </c>
      <c r="B278" s="416" t="s">
        <v>325</v>
      </c>
      <c r="C278" s="351"/>
      <c r="D278" s="594"/>
      <c r="E278" s="350"/>
      <c r="F278" s="350"/>
      <c r="G278" s="350"/>
      <c r="H278" s="351"/>
      <c r="I278" s="368"/>
      <c r="J278" s="350"/>
      <c r="K278" s="350"/>
      <c r="L278" s="350"/>
      <c r="M278" s="350"/>
      <c r="N278" s="350"/>
      <c r="O278" s="350"/>
      <c r="P278" s="351"/>
      <c r="Q278" s="511"/>
      <c r="R278" s="350"/>
      <c r="S278" s="350"/>
      <c r="T278" s="350"/>
      <c r="U278" s="350"/>
      <c r="V278" s="350"/>
      <c r="W278" s="350"/>
      <c r="X278" s="351"/>
      <c r="Y278" s="368"/>
      <c r="Z278" s="351"/>
      <c r="AA278" s="511"/>
      <c r="AB278" s="350"/>
      <c r="AC278" s="350"/>
      <c r="AD278" s="351"/>
      <c r="AE278" s="368"/>
      <c r="AF278" s="350"/>
      <c r="AG278" s="351"/>
      <c r="AH278" s="511"/>
      <c r="AI278" s="350"/>
      <c r="AJ278" s="351"/>
      <c r="AK278" s="368"/>
      <c r="AL278" s="350"/>
      <c r="AM278" s="350"/>
      <c r="AN278" s="351"/>
      <c r="AO278" s="511"/>
      <c r="AP278" s="350"/>
      <c r="AQ278" s="350"/>
      <c r="AR278" s="350"/>
      <c r="AS278" s="350"/>
      <c r="AT278" s="350"/>
      <c r="AU278" s="350"/>
      <c r="AV278" s="351"/>
      <c r="AW278" s="725"/>
      <c r="AX278" s="350"/>
      <c r="AY278" s="351"/>
      <c r="AZ278" s="511"/>
      <c r="BA278" s="350"/>
      <c r="BB278" s="350"/>
      <c r="BC278" s="350"/>
      <c r="BD278" s="350"/>
      <c r="BE278" s="350"/>
      <c r="BF278" s="350"/>
      <c r="BG278" s="350"/>
      <c r="BH278" s="350"/>
      <c r="BI278" s="350"/>
      <c r="BJ278" s="350"/>
      <c r="BK278" s="350"/>
      <c r="BL278" s="350"/>
      <c r="BM278" s="350"/>
      <c r="BN278" s="350"/>
      <c r="BO278" s="351"/>
    </row>
    <row r="279" spans="1:67" ht="34.5" customHeight="1">
      <c r="A279" s="98">
        <f t="shared" si="1"/>
        <v>267</v>
      </c>
      <c r="B279" s="416" t="s">
        <v>325</v>
      </c>
      <c r="C279" s="351"/>
      <c r="D279" s="724"/>
      <c r="E279" s="350"/>
      <c r="F279" s="350"/>
      <c r="G279" s="350"/>
      <c r="H279" s="351"/>
      <c r="I279" s="412"/>
      <c r="J279" s="350"/>
      <c r="K279" s="350"/>
      <c r="L279" s="350"/>
      <c r="M279" s="350"/>
      <c r="N279" s="350"/>
      <c r="O279" s="350"/>
      <c r="P279" s="351"/>
      <c r="Q279" s="412"/>
      <c r="R279" s="350"/>
      <c r="S279" s="350"/>
      <c r="T279" s="350"/>
      <c r="U279" s="350"/>
      <c r="V279" s="350"/>
      <c r="W279" s="350"/>
      <c r="X279" s="351"/>
      <c r="Y279" s="412"/>
      <c r="Z279" s="351"/>
      <c r="AA279" s="412"/>
      <c r="AB279" s="350"/>
      <c r="AC279" s="350"/>
      <c r="AD279" s="351"/>
      <c r="AE279" s="412"/>
      <c r="AF279" s="350"/>
      <c r="AG279" s="351"/>
      <c r="AH279" s="412"/>
      <c r="AI279" s="350"/>
      <c r="AJ279" s="351"/>
      <c r="AK279" s="412"/>
      <c r="AL279" s="350"/>
      <c r="AM279" s="350"/>
      <c r="AN279" s="351"/>
      <c r="AO279" s="412"/>
      <c r="AP279" s="350"/>
      <c r="AQ279" s="350"/>
      <c r="AR279" s="350"/>
      <c r="AS279" s="350"/>
      <c r="AT279" s="350"/>
      <c r="AU279" s="350"/>
      <c r="AV279" s="351"/>
      <c r="AW279" s="723"/>
      <c r="AX279" s="350"/>
      <c r="AY279" s="351"/>
      <c r="AZ279" s="412"/>
      <c r="BA279" s="350"/>
      <c r="BB279" s="350"/>
      <c r="BC279" s="350"/>
      <c r="BD279" s="350"/>
      <c r="BE279" s="350"/>
      <c r="BF279" s="350"/>
      <c r="BG279" s="350"/>
      <c r="BH279" s="350"/>
      <c r="BI279" s="350"/>
      <c r="BJ279" s="350"/>
      <c r="BK279" s="350"/>
      <c r="BL279" s="350"/>
      <c r="BM279" s="350"/>
      <c r="BN279" s="350"/>
      <c r="BO279" s="351"/>
    </row>
    <row r="280" spans="1:67" ht="34.5" customHeight="1">
      <c r="A280" s="98">
        <f t="shared" si="1"/>
        <v>268</v>
      </c>
      <c r="B280" s="416" t="s">
        <v>325</v>
      </c>
      <c r="C280" s="351"/>
      <c r="D280" s="594"/>
      <c r="E280" s="350"/>
      <c r="F280" s="350"/>
      <c r="G280" s="350"/>
      <c r="H280" s="351"/>
      <c r="I280" s="368"/>
      <c r="J280" s="350"/>
      <c r="K280" s="350"/>
      <c r="L280" s="350"/>
      <c r="M280" s="350"/>
      <c r="N280" s="350"/>
      <c r="O280" s="350"/>
      <c r="P280" s="351"/>
      <c r="Q280" s="511"/>
      <c r="R280" s="350"/>
      <c r="S280" s="350"/>
      <c r="T280" s="350"/>
      <c r="U280" s="350"/>
      <c r="V280" s="350"/>
      <c r="W280" s="350"/>
      <c r="X280" s="351"/>
      <c r="Y280" s="368"/>
      <c r="Z280" s="351"/>
      <c r="AA280" s="511"/>
      <c r="AB280" s="350"/>
      <c r="AC280" s="350"/>
      <c r="AD280" s="351"/>
      <c r="AE280" s="368"/>
      <c r="AF280" s="350"/>
      <c r="AG280" s="351"/>
      <c r="AH280" s="511"/>
      <c r="AI280" s="350"/>
      <c r="AJ280" s="351"/>
      <c r="AK280" s="368"/>
      <c r="AL280" s="350"/>
      <c r="AM280" s="350"/>
      <c r="AN280" s="351"/>
      <c r="AO280" s="511"/>
      <c r="AP280" s="350"/>
      <c r="AQ280" s="350"/>
      <c r="AR280" s="350"/>
      <c r="AS280" s="350"/>
      <c r="AT280" s="350"/>
      <c r="AU280" s="350"/>
      <c r="AV280" s="351"/>
      <c r="AW280" s="725"/>
      <c r="AX280" s="350"/>
      <c r="AY280" s="351"/>
      <c r="AZ280" s="511"/>
      <c r="BA280" s="350"/>
      <c r="BB280" s="350"/>
      <c r="BC280" s="350"/>
      <c r="BD280" s="350"/>
      <c r="BE280" s="350"/>
      <c r="BF280" s="350"/>
      <c r="BG280" s="350"/>
      <c r="BH280" s="350"/>
      <c r="BI280" s="350"/>
      <c r="BJ280" s="350"/>
      <c r="BK280" s="350"/>
      <c r="BL280" s="350"/>
      <c r="BM280" s="350"/>
      <c r="BN280" s="350"/>
      <c r="BO280" s="351"/>
    </row>
    <row r="281" spans="1:67" ht="34.5" customHeight="1">
      <c r="A281" s="98">
        <f t="shared" si="1"/>
        <v>269</v>
      </c>
      <c r="B281" s="416" t="s">
        <v>325</v>
      </c>
      <c r="C281" s="351"/>
      <c r="D281" s="724"/>
      <c r="E281" s="350"/>
      <c r="F281" s="350"/>
      <c r="G281" s="350"/>
      <c r="H281" s="351"/>
      <c r="I281" s="412"/>
      <c r="J281" s="350"/>
      <c r="K281" s="350"/>
      <c r="L281" s="350"/>
      <c r="M281" s="350"/>
      <c r="N281" s="350"/>
      <c r="O281" s="350"/>
      <c r="P281" s="351"/>
      <c r="Q281" s="412"/>
      <c r="R281" s="350"/>
      <c r="S281" s="350"/>
      <c r="T281" s="350"/>
      <c r="U281" s="350"/>
      <c r="V281" s="350"/>
      <c r="W281" s="350"/>
      <c r="X281" s="351"/>
      <c r="Y281" s="412"/>
      <c r="Z281" s="351"/>
      <c r="AA281" s="412"/>
      <c r="AB281" s="350"/>
      <c r="AC281" s="350"/>
      <c r="AD281" s="351"/>
      <c r="AE281" s="412"/>
      <c r="AF281" s="350"/>
      <c r="AG281" s="351"/>
      <c r="AH281" s="412"/>
      <c r="AI281" s="350"/>
      <c r="AJ281" s="351"/>
      <c r="AK281" s="412"/>
      <c r="AL281" s="350"/>
      <c r="AM281" s="350"/>
      <c r="AN281" s="351"/>
      <c r="AO281" s="412"/>
      <c r="AP281" s="350"/>
      <c r="AQ281" s="350"/>
      <c r="AR281" s="350"/>
      <c r="AS281" s="350"/>
      <c r="AT281" s="350"/>
      <c r="AU281" s="350"/>
      <c r="AV281" s="351"/>
      <c r="AW281" s="723"/>
      <c r="AX281" s="350"/>
      <c r="AY281" s="351"/>
      <c r="AZ281" s="412"/>
      <c r="BA281" s="350"/>
      <c r="BB281" s="350"/>
      <c r="BC281" s="350"/>
      <c r="BD281" s="350"/>
      <c r="BE281" s="350"/>
      <c r="BF281" s="350"/>
      <c r="BG281" s="350"/>
      <c r="BH281" s="350"/>
      <c r="BI281" s="350"/>
      <c r="BJ281" s="350"/>
      <c r="BK281" s="350"/>
      <c r="BL281" s="350"/>
      <c r="BM281" s="350"/>
      <c r="BN281" s="350"/>
      <c r="BO281" s="351"/>
    </row>
    <row r="282" spans="1:67" ht="34.5" customHeight="1">
      <c r="A282" s="98">
        <f t="shared" si="1"/>
        <v>270</v>
      </c>
      <c r="B282" s="416" t="s">
        <v>325</v>
      </c>
      <c r="C282" s="351"/>
      <c r="D282" s="594"/>
      <c r="E282" s="350"/>
      <c r="F282" s="350"/>
      <c r="G282" s="350"/>
      <c r="H282" s="351"/>
      <c r="I282" s="368"/>
      <c r="J282" s="350"/>
      <c r="K282" s="350"/>
      <c r="L282" s="350"/>
      <c r="M282" s="350"/>
      <c r="N282" s="350"/>
      <c r="O282" s="350"/>
      <c r="P282" s="351"/>
      <c r="Q282" s="511"/>
      <c r="R282" s="350"/>
      <c r="S282" s="350"/>
      <c r="T282" s="350"/>
      <c r="U282" s="350"/>
      <c r="V282" s="350"/>
      <c r="W282" s="350"/>
      <c r="X282" s="351"/>
      <c r="Y282" s="368"/>
      <c r="Z282" s="351"/>
      <c r="AA282" s="511"/>
      <c r="AB282" s="350"/>
      <c r="AC282" s="350"/>
      <c r="AD282" s="351"/>
      <c r="AE282" s="368"/>
      <c r="AF282" s="350"/>
      <c r="AG282" s="351"/>
      <c r="AH282" s="511"/>
      <c r="AI282" s="350"/>
      <c r="AJ282" s="351"/>
      <c r="AK282" s="368"/>
      <c r="AL282" s="350"/>
      <c r="AM282" s="350"/>
      <c r="AN282" s="351"/>
      <c r="AO282" s="511"/>
      <c r="AP282" s="350"/>
      <c r="AQ282" s="350"/>
      <c r="AR282" s="350"/>
      <c r="AS282" s="350"/>
      <c r="AT282" s="350"/>
      <c r="AU282" s="350"/>
      <c r="AV282" s="351"/>
      <c r="AW282" s="725"/>
      <c r="AX282" s="350"/>
      <c r="AY282" s="351"/>
      <c r="AZ282" s="511"/>
      <c r="BA282" s="350"/>
      <c r="BB282" s="350"/>
      <c r="BC282" s="350"/>
      <c r="BD282" s="350"/>
      <c r="BE282" s="350"/>
      <c r="BF282" s="350"/>
      <c r="BG282" s="350"/>
      <c r="BH282" s="350"/>
      <c r="BI282" s="350"/>
      <c r="BJ282" s="350"/>
      <c r="BK282" s="350"/>
      <c r="BL282" s="350"/>
      <c r="BM282" s="350"/>
      <c r="BN282" s="350"/>
      <c r="BO282" s="351"/>
    </row>
    <row r="283" spans="1:67" ht="34.5" customHeight="1">
      <c r="A283" s="98">
        <f t="shared" si="1"/>
        <v>271</v>
      </c>
      <c r="B283" s="416" t="s">
        <v>325</v>
      </c>
      <c r="C283" s="351"/>
      <c r="D283" s="724"/>
      <c r="E283" s="350"/>
      <c r="F283" s="350"/>
      <c r="G283" s="350"/>
      <c r="H283" s="351"/>
      <c r="I283" s="412"/>
      <c r="J283" s="350"/>
      <c r="K283" s="350"/>
      <c r="L283" s="350"/>
      <c r="M283" s="350"/>
      <c r="N283" s="350"/>
      <c r="O283" s="350"/>
      <c r="P283" s="351"/>
      <c r="Q283" s="412"/>
      <c r="R283" s="350"/>
      <c r="S283" s="350"/>
      <c r="T283" s="350"/>
      <c r="U283" s="350"/>
      <c r="V283" s="350"/>
      <c r="W283" s="350"/>
      <c r="X283" s="351"/>
      <c r="Y283" s="412"/>
      <c r="Z283" s="351"/>
      <c r="AA283" s="412"/>
      <c r="AB283" s="350"/>
      <c r="AC283" s="350"/>
      <c r="AD283" s="351"/>
      <c r="AE283" s="412"/>
      <c r="AF283" s="350"/>
      <c r="AG283" s="351"/>
      <c r="AH283" s="412"/>
      <c r="AI283" s="350"/>
      <c r="AJ283" s="351"/>
      <c r="AK283" s="412"/>
      <c r="AL283" s="350"/>
      <c r="AM283" s="350"/>
      <c r="AN283" s="351"/>
      <c r="AO283" s="412"/>
      <c r="AP283" s="350"/>
      <c r="AQ283" s="350"/>
      <c r="AR283" s="350"/>
      <c r="AS283" s="350"/>
      <c r="AT283" s="350"/>
      <c r="AU283" s="350"/>
      <c r="AV283" s="351"/>
      <c r="AW283" s="723"/>
      <c r="AX283" s="350"/>
      <c r="AY283" s="351"/>
      <c r="AZ283" s="412"/>
      <c r="BA283" s="350"/>
      <c r="BB283" s="350"/>
      <c r="BC283" s="350"/>
      <c r="BD283" s="350"/>
      <c r="BE283" s="350"/>
      <c r="BF283" s="350"/>
      <c r="BG283" s="350"/>
      <c r="BH283" s="350"/>
      <c r="BI283" s="350"/>
      <c r="BJ283" s="350"/>
      <c r="BK283" s="350"/>
      <c r="BL283" s="350"/>
      <c r="BM283" s="350"/>
      <c r="BN283" s="350"/>
      <c r="BO283" s="351"/>
    </row>
    <row r="284" spans="1:67" ht="34.5" customHeight="1">
      <c r="A284" s="98">
        <f t="shared" si="1"/>
        <v>272</v>
      </c>
      <c r="B284" s="726" t="s">
        <v>325</v>
      </c>
      <c r="C284" s="351"/>
      <c r="D284" s="594"/>
      <c r="E284" s="350"/>
      <c r="F284" s="350"/>
      <c r="G284" s="350"/>
      <c r="H284" s="351"/>
      <c r="I284" s="368"/>
      <c r="J284" s="350"/>
      <c r="K284" s="350"/>
      <c r="L284" s="350"/>
      <c r="M284" s="350"/>
      <c r="N284" s="350"/>
      <c r="O284" s="350"/>
      <c r="P284" s="351"/>
      <c r="Q284" s="511"/>
      <c r="R284" s="350"/>
      <c r="S284" s="350"/>
      <c r="T284" s="350"/>
      <c r="U284" s="350"/>
      <c r="V284" s="350"/>
      <c r="W284" s="350"/>
      <c r="X284" s="351"/>
      <c r="Y284" s="368"/>
      <c r="Z284" s="351"/>
      <c r="AA284" s="511"/>
      <c r="AB284" s="350"/>
      <c r="AC284" s="350"/>
      <c r="AD284" s="351"/>
      <c r="AE284" s="368"/>
      <c r="AF284" s="350"/>
      <c r="AG284" s="351"/>
      <c r="AH284" s="511"/>
      <c r="AI284" s="350"/>
      <c r="AJ284" s="351"/>
      <c r="AK284" s="368"/>
      <c r="AL284" s="350"/>
      <c r="AM284" s="350"/>
      <c r="AN284" s="351"/>
      <c r="AO284" s="511"/>
      <c r="AP284" s="350"/>
      <c r="AQ284" s="350"/>
      <c r="AR284" s="350"/>
      <c r="AS284" s="350"/>
      <c r="AT284" s="350"/>
      <c r="AU284" s="350"/>
      <c r="AV284" s="351"/>
      <c r="AW284" s="725"/>
      <c r="AX284" s="350"/>
      <c r="AY284" s="351"/>
      <c r="AZ284" s="511"/>
      <c r="BA284" s="350"/>
      <c r="BB284" s="350"/>
      <c r="BC284" s="350"/>
      <c r="BD284" s="350"/>
      <c r="BE284" s="350"/>
      <c r="BF284" s="350"/>
      <c r="BG284" s="350"/>
      <c r="BH284" s="350"/>
      <c r="BI284" s="350"/>
      <c r="BJ284" s="350"/>
      <c r="BK284" s="350"/>
      <c r="BL284" s="350"/>
      <c r="BM284" s="350"/>
      <c r="BN284" s="350"/>
      <c r="BO284" s="351"/>
    </row>
    <row r="285" spans="1:67" ht="34.5" customHeight="1">
      <c r="A285" s="98">
        <f t="shared" si="1"/>
        <v>273</v>
      </c>
      <c r="B285" s="416" t="s">
        <v>325</v>
      </c>
      <c r="C285" s="351"/>
      <c r="D285" s="724"/>
      <c r="E285" s="350"/>
      <c r="F285" s="350"/>
      <c r="G285" s="350"/>
      <c r="H285" s="351"/>
      <c r="I285" s="412"/>
      <c r="J285" s="350"/>
      <c r="K285" s="350"/>
      <c r="L285" s="350"/>
      <c r="M285" s="350"/>
      <c r="N285" s="350"/>
      <c r="O285" s="350"/>
      <c r="P285" s="351"/>
      <c r="Q285" s="412"/>
      <c r="R285" s="350"/>
      <c r="S285" s="350"/>
      <c r="T285" s="350"/>
      <c r="U285" s="350"/>
      <c r="V285" s="350"/>
      <c r="W285" s="350"/>
      <c r="X285" s="351"/>
      <c r="Y285" s="412"/>
      <c r="Z285" s="351"/>
      <c r="AA285" s="412"/>
      <c r="AB285" s="350"/>
      <c r="AC285" s="350"/>
      <c r="AD285" s="351"/>
      <c r="AE285" s="412"/>
      <c r="AF285" s="350"/>
      <c r="AG285" s="351"/>
      <c r="AH285" s="412"/>
      <c r="AI285" s="350"/>
      <c r="AJ285" s="351"/>
      <c r="AK285" s="412"/>
      <c r="AL285" s="350"/>
      <c r="AM285" s="350"/>
      <c r="AN285" s="351"/>
      <c r="AO285" s="412"/>
      <c r="AP285" s="350"/>
      <c r="AQ285" s="350"/>
      <c r="AR285" s="350"/>
      <c r="AS285" s="350"/>
      <c r="AT285" s="350"/>
      <c r="AU285" s="350"/>
      <c r="AV285" s="351"/>
      <c r="AW285" s="723"/>
      <c r="AX285" s="350"/>
      <c r="AY285" s="351"/>
      <c r="AZ285" s="412"/>
      <c r="BA285" s="350"/>
      <c r="BB285" s="350"/>
      <c r="BC285" s="350"/>
      <c r="BD285" s="350"/>
      <c r="BE285" s="350"/>
      <c r="BF285" s="350"/>
      <c r="BG285" s="350"/>
      <c r="BH285" s="350"/>
      <c r="BI285" s="350"/>
      <c r="BJ285" s="350"/>
      <c r="BK285" s="350"/>
      <c r="BL285" s="350"/>
      <c r="BM285" s="350"/>
      <c r="BN285" s="350"/>
      <c r="BO285" s="351"/>
    </row>
    <row r="286" spans="1:67" ht="34.5" customHeight="1">
      <c r="A286" s="98">
        <f t="shared" si="1"/>
        <v>274</v>
      </c>
      <c r="B286" s="416" t="s">
        <v>325</v>
      </c>
      <c r="C286" s="351"/>
      <c r="D286" s="594"/>
      <c r="E286" s="350"/>
      <c r="F286" s="350"/>
      <c r="G286" s="350"/>
      <c r="H286" s="351"/>
      <c r="I286" s="368"/>
      <c r="J286" s="350"/>
      <c r="K286" s="350"/>
      <c r="L286" s="350"/>
      <c r="M286" s="350"/>
      <c r="N286" s="350"/>
      <c r="O286" s="350"/>
      <c r="P286" s="351"/>
      <c r="Q286" s="511"/>
      <c r="R286" s="350"/>
      <c r="S286" s="350"/>
      <c r="T286" s="350"/>
      <c r="U286" s="350"/>
      <c r="V286" s="350"/>
      <c r="W286" s="350"/>
      <c r="X286" s="351"/>
      <c r="Y286" s="368"/>
      <c r="Z286" s="351"/>
      <c r="AA286" s="511"/>
      <c r="AB286" s="350"/>
      <c r="AC286" s="350"/>
      <c r="AD286" s="351"/>
      <c r="AE286" s="368"/>
      <c r="AF286" s="350"/>
      <c r="AG286" s="351"/>
      <c r="AH286" s="511"/>
      <c r="AI286" s="350"/>
      <c r="AJ286" s="351"/>
      <c r="AK286" s="368"/>
      <c r="AL286" s="350"/>
      <c r="AM286" s="350"/>
      <c r="AN286" s="351"/>
      <c r="AO286" s="511"/>
      <c r="AP286" s="350"/>
      <c r="AQ286" s="350"/>
      <c r="AR286" s="350"/>
      <c r="AS286" s="350"/>
      <c r="AT286" s="350"/>
      <c r="AU286" s="350"/>
      <c r="AV286" s="351"/>
      <c r="AW286" s="725"/>
      <c r="AX286" s="350"/>
      <c r="AY286" s="351"/>
      <c r="AZ286" s="511"/>
      <c r="BA286" s="350"/>
      <c r="BB286" s="350"/>
      <c r="BC286" s="350"/>
      <c r="BD286" s="350"/>
      <c r="BE286" s="350"/>
      <c r="BF286" s="350"/>
      <c r="BG286" s="350"/>
      <c r="BH286" s="350"/>
      <c r="BI286" s="350"/>
      <c r="BJ286" s="350"/>
      <c r="BK286" s="350"/>
      <c r="BL286" s="350"/>
      <c r="BM286" s="350"/>
      <c r="BN286" s="350"/>
      <c r="BO286" s="351"/>
    </row>
    <row r="287" spans="1:67" ht="34.5" customHeight="1">
      <c r="A287" s="98">
        <f t="shared" si="1"/>
        <v>275</v>
      </c>
      <c r="B287" s="416" t="s">
        <v>325</v>
      </c>
      <c r="C287" s="351"/>
      <c r="D287" s="724"/>
      <c r="E287" s="350"/>
      <c r="F287" s="350"/>
      <c r="G287" s="350"/>
      <c r="H287" s="351"/>
      <c r="I287" s="412"/>
      <c r="J287" s="350"/>
      <c r="K287" s="350"/>
      <c r="L287" s="350"/>
      <c r="M287" s="350"/>
      <c r="N287" s="350"/>
      <c r="O287" s="350"/>
      <c r="P287" s="351"/>
      <c r="Q287" s="412"/>
      <c r="R287" s="350"/>
      <c r="S287" s="350"/>
      <c r="T287" s="350"/>
      <c r="U287" s="350"/>
      <c r="V287" s="350"/>
      <c r="W287" s="350"/>
      <c r="X287" s="351"/>
      <c r="Y287" s="412"/>
      <c r="Z287" s="351"/>
      <c r="AA287" s="412"/>
      <c r="AB287" s="350"/>
      <c r="AC287" s="350"/>
      <c r="AD287" s="351"/>
      <c r="AE287" s="412"/>
      <c r="AF287" s="350"/>
      <c r="AG287" s="351"/>
      <c r="AH287" s="412"/>
      <c r="AI287" s="350"/>
      <c r="AJ287" s="351"/>
      <c r="AK287" s="412"/>
      <c r="AL287" s="350"/>
      <c r="AM287" s="350"/>
      <c r="AN287" s="351"/>
      <c r="AO287" s="412"/>
      <c r="AP287" s="350"/>
      <c r="AQ287" s="350"/>
      <c r="AR287" s="350"/>
      <c r="AS287" s="350"/>
      <c r="AT287" s="350"/>
      <c r="AU287" s="350"/>
      <c r="AV287" s="351"/>
      <c r="AW287" s="723"/>
      <c r="AX287" s="350"/>
      <c r="AY287" s="351"/>
      <c r="AZ287" s="412"/>
      <c r="BA287" s="350"/>
      <c r="BB287" s="350"/>
      <c r="BC287" s="350"/>
      <c r="BD287" s="350"/>
      <c r="BE287" s="350"/>
      <c r="BF287" s="350"/>
      <c r="BG287" s="350"/>
      <c r="BH287" s="350"/>
      <c r="BI287" s="350"/>
      <c r="BJ287" s="350"/>
      <c r="BK287" s="350"/>
      <c r="BL287" s="350"/>
      <c r="BM287" s="350"/>
      <c r="BN287" s="350"/>
      <c r="BO287" s="351"/>
    </row>
    <row r="288" spans="1:67" ht="34.5" customHeight="1">
      <c r="A288" s="98">
        <f t="shared" si="1"/>
        <v>276</v>
      </c>
      <c r="B288" s="416" t="s">
        <v>325</v>
      </c>
      <c r="C288" s="351"/>
      <c r="D288" s="594"/>
      <c r="E288" s="350"/>
      <c r="F288" s="350"/>
      <c r="G288" s="350"/>
      <c r="H288" s="351"/>
      <c r="I288" s="368"/>
      <c r="J288" s="350"/>
      <c r="K288" s="350"/>
      <c r="L288" s="350"/>
      <c r="M288" s="350"/>
      <c r="N288" s="350"/>
      <c r="O288" s="350"/>
      <c r="P288" s="351"/>
      <c r="Q288" s="511"/>
      <c r="R288" s="350"/>
      <c r="S288" s="350"/>
      <c r="T288" s="350"/>
      <c r="U288" s="350"/>
      <c r="V288" s="350"/>
      <c r="W288" s="350"/>
      <c r="X288" s="351"/>
      <c r="Y288" s="368"/>
      <c r="Z288" s="351"/>
      <c r="AA288" s="511"/>
      <c r="AB288" s="350"/>
      <c r="AC288" s="350"/>
      <c r="AD288" s="351"/>
      <c r="AE288" s="368"/>
      <c r="AF288" s="350"/>
      <c r="AG288" s="351"/>
      <c r="AH288" s="511"/>
      <c r="AI288" s="350"/>
      <c r="AJ288" s="351"/>
      <c r="AK288" s="368"/>
      <c r="AL288" s="350"/>
      <c r="AM288" s="350"/>
      <c r="AN288" s="351"/>
      <c r="AO288" s="511"/>
      <c r="AP288" s="350"/>
      <c r="AQ288" s="350"/>
      <c r="AR288" s="350"/>
      <c r="AS288" s="350"/>
      <c r="AT288" s="350"/>
      <c r="AU288" s="350"/>
      <c r="AV288" s="351"/>
      <c r="AW288" s="725"/>
      <c r="AX288" s="350"/>
      <c r="AY288" s="351"/>
      <c r="AZ288" s="511"/>
      <c r="BA288" s="350"/>
      <c r="BB288" s="350"/>
      <c r="BC288" s="350"/>
      <c r="BD288" s="350"/>
      <c r="BE288" s="350"/>
      <c r="BF288" s="350"/>
      <c r="BG288" s="350"/>
      <c r="BH288" s="350"/>
      <c r="BI288" s="350"/>
      <c r="BJ288" s="350"/>
      <c r="BK288" s="350"/>
      <c r="BL288" s="350"/>
      <c r="BM288" s="350"/>
      <c r="BN288" s="350"/>
      <c r="BO288" s="351"/>
    </row>
    <row r="289" spans="1:67" ht="34.5" customHeight="1">
      <c r="A289" s="98">
        <f t="shared" si="1"/>
        <v>277</v>
      </c>
      <c r="B289" s="416" t="s">
        <v>325</v>
      </c>
      <c r="C289" s="351"/>
      <c r="D289" s="724"/>
      <c r="E289" s="350"/>
      <c r="F289" s="350"/>
      <c r="G289" s="350"/>
      <c r="H289" s="351"/>
      <c r="I289" s="412"/>
      <c r="J289" s="350"/>
      <c r="K289" s="350"/>
      <c r="L289" s="350"/>
      <c r="M289" s="350"/>
      <c r="N289" s="350"/>
      <c r="O289" s="350"/>
      <c r="P289" s="351"/>
      <c r="Q289" s="412"/>
      <c r="R289" s="350"/>
      <c r="S289" s="350"/>
      <c r="T289" s="350"/>
      <c r="U289" s="350"/>
      <c r="V289" s="350"/>
      <c r="W289" s="350"/>
      <c r="X289" s="351"/>
      <c r="Y289" s="412"/>
      <c r="Z289" s="351"/>
      <c r="AA289" s="412"/>
      <c r="AB289" s="350"/>
      <c r="AC289" s="350"/>
      <c r="AD289" s="351"/>
      <c r="AE289" s="412"/>
      <c r="AF289" s="350"/>
      <c r="AG289" s="351"/>
      <c r="AH289" s="412"/>
      <c r="AI289" s="350"/>
      <c r="AJ289" s="351"/>
      <c r="AK289" s="412"/>
      <c r="AL289" s="350"/>
      <c r="AM289" s="350"/>
      <c r="AN289" s="351"/>
      <c r="AO289" s="412"/>
      <c r="AP289" s="350"/>
      <c r="AQ289" s="350"/>
      <c r="AR289" s="350"/>
      <c r="AS289" s="350"/>
      <c r="AT289" s="350"/>
      <c r="AU289" s="350"/>
      <c r="AV289" s="351"/>
      <c r="AW289" s="723"/>
      <c r="AX289" s="350"/>
      <c r="AY289" s="351"/>
      <c r="AZ289" s="412"/>
      <c r="BA289" s="350"/>
      <c r="BB289" s="350"/>
      <c r="BC289" s="350"/>
      <c r="BD289" s="350"/>
      <c r="BE289" s="350"/>
      <c r="BF289" s="350"/>
      <c r="BG289" s="350"/>
      <c r="BH289" s="350"/>
      <c r="BI289" s="350"/>
      <c r="BJ289" s="350"/>
      <c r="BK289" s="350"/>
      <c r="BL289" s="350"/>
      <c r="BM289" s="350"/>
      <c r="BN289" s="350"/>
      <c r="BO289" s="351"/>
    </row>
    <row r="290" spans="1:67" ht="34.5" customHeight="1">
      <c r="A290" s="98">
        <f t="shared" si="1"/>
        <v>278</v>
      </c>
      <c r="B290" s="416" t="s">
        <v>325</v>
      </c>
      <c r="C290" s="351"/>
      <c r="D290" s="594"/>
      <c r="E290" s="350"/>
      <c r="F290" s="350"/>
      <c r="G290" s="350"/>
      <c r="H290" s="351"/>
      <c r="I290" s="368"/>
      <c r="J290" s="350"/>
      <c r="K290" s="350"/>
      <c r="L290" s="350"/>
      <c r="M290" s="350"/>
      <c r="N290" s="350"/>
      <c r="O290" s="350"/>
      <c r="P290" s="351"/>
      <c r="Q290" s="511"/>
      <c r="R290" s="350"/>
      <c r="S290" s="350"/>
      <c r="T290" s="350"/>
      <c r="U290" s="350"/>
      <c r="V290" s="350"/>
      <c r="W290" s="350"/>
      <c r="X290" s="351"/>
      <c r="Y290" s="368"/>
      <c r="Z290" s="351"/>
      <c r="AA290" s="511"/>
      <c r="AB290" s="350"/>
      <c r="AC290" s="350"/>
      <c r="AD290" s="351"/>
      <c r="AE290" s="368"/>
      <c r="AF290" s="350"/>
      <c r="AG290" s="351"/>
      <c r="AH290" s="511"/>
      <c r="AI290" s="350"/>
      <c r="AJ290" s="351"/>
      <c r="AK290" s="368"/>
      <c r="AL290" s="350"/>
      <c r="AM290" s="350"/>
      <c r="AN290" s="351"/>
      <c r="AO290" s="511"/>
      <c r="AP290" s="350"/>
      <c r="AQ290" s="350"/>
      <c r="AR290" s="350"/>
      <c r="AS290" s="350"/>
      <c r="AT290" s="350"/>
      <c r="AU290" s="350"/>
      <c r="AV290" s="351"/>
      <c r="AW290" s="725"/>
      <c r="AX290" s="350"/>
      <c r="AY290" s="351"/>
      <c r="AZ290" s="511"/>
      <c r="BA290" s="350"/>
      <c r="BB290" s="350"/>
      <c r="BC290" s="350"/>
      <c r="BD290" s="350"/>
      <c r="BE290" s="350"/>
      <c r="BF290" s="350"/>
      <c r="BG290" s="350"/>
      <c r="BH290" s="350"/>
      <c r="BI290" s="350"/>
      <c r="BJ290" s="350"/>
      <c r="BK290" s="350"/>
      <c r="BL290" s="350"/>
      <c r="BM290" s="350"/>
      <c r="BN290" s="350"/>
      <c r="BO290" s="351"/>
    </row>
    <row r="291" spans="1:67" ht="34.5" customHeight="1">
      <c r="A291" s="98">
        <f t="shared" si="1"/>
        <v>279</v>
      </c>
      <c r="B291" s="416" t="s">
        <v>325</v>
      </c>
      <c r="C291" s="351"/>
      <c r="D291" s="724"/>
      <c r="E291" s="350"/>
      <c r="F291" s="350"/>
      <c r="G291" s="350"/>
      <c r="H291" s="351"/>
      <c r="I291" s="412"/>
      <c r="J291" s="350"/>
      <c r="K291" s="350"/>
      <c r="L291" s="350"/>
      <c r="M291" s="350"/>
      <c r="N291" s="350"/>
      <c r="O291" s="350"/>
      <c r="P291" s="351"/>
      <c r="Q291" s="412"/>
      <c r="R291" s="350"/>
      <c r="S291" s="350"/>
      <c r="T291" s="350"/>
      <c r="U291" s="350"/>
      <c r="V291" s="350"/>
      <c r="W291" s="350"/>
      <c r="X291" s="351"/>
      <c r="Y291" s="412"/>
      <c r="Z291" s="351"/>
      <c r="AA291" s="412"/>
      <c r="AB291" s="350"/>
      <c r="AC291" s="350"/>
      <c r="AD291" s="351"/>
      <c r="AE291" s="412"/>
      <c r="AF291" s="350"/>
      <c r="AG291" s="351"/>
      <c r="AH291" s="412"/>
      <c r="AI291" s="350"/>
      <c r="AJ291" s="351"/>
      <c r="AK291" s="412"/>
      <c r="AL291" s="350"/>
      <c r="AM291" s="350"/>
      <c r="AN291" s="351"/>
      <c r="AO291" s="412"/>
      <c r="AP291" s="350"/>
      <c r="AQ291" s="350"/>
      <c r="AR291" s="350"/>
      <c r="AS291" s="350"/>
      <c r="AT291" s="350"/>
      <c r="AU291" s="350"/>
      <c r="AV291" s="351"/>
      <c r="AW291" s="723"/>
      <c r="AX291" s="350"/>
      <c r="AY291" s="351"/>
      <c r="AZ291" s="412"/>
      <c r="BA291" s="350"/>
      <c r="BB291" s="350"/>
      <c r="BC291" s="350"/>
      <c r="BD291" s="350"/>
      <c r="BE291" s="350"/>
      <c r="BF291" s="350"/>
      <c r="BG291" s="350"/>
      <c r="BH291" s="350"/>
      <c r="BI291" s="350"/>
      <c r="BJ291" s="350"/>
      <c r="BK291" s="350"/>
      <c r="BL291" s="350"/>
      <c r="BM291" s="350"/>
      <c r="BN291" s="350"/>
      <c r="BO291" s="351"/>
    </row>
    <row r="292" spans="1:67" ht="34.5" customHeight="1">
      <c r="A292" s="98">
        <f t="shared" si="1"/>
        <v>280</v>
      </c>
      <c r="B292" s="416" t="s">
        <v>325</v>
      </c>
      <c r="C292" s="351"/>
      <c r="D292" s="594"/>
      <c r="E292" s="350"/>
      <c r="F292" s="350"/>
      <c r="G292" s="350"/>
      <c r="H292" s="351"/>
      <c r="I292" s="368"/>
      <c r="J292" s="350"/>
      <c r="K292" s="350"/>
      <c r="L292" s="350"/>
      <c r="M292" s="350"/>
      <c r="N292" s="350"/>
      <c r="O292" s="350"/>
      <c r="P292" s="351"/>
      <c r="Q292" s="511"/>
      <c r="R292" s="350"/>
      <c r="S292" s="350"/>
      <c r="T292" s="350"/>
      <c r="U292" s="350"/>
      <c r="V292" s="350"/>
      <c r="W292" s="350"/>
      <c r="X292" s="351"/>
      <c r="Y292" s="368"/>
      <c r="Z292" s="351"/>
      <c r="AA292" s="511"/>
      <c r="AB292" s="350"/>
      <c r="AC292" s="350"/>
      <c r="AD292" s="351"/>
      <c r="AE292" s="368"/>
      <c r="AF292" s="350"/>
      <c r="AG292" s="351"/>
      <c r="AH292" s="511"/>
      <c r="AI292" s="350"/>
      <c r="AJ292" s="351"/>
      <c r="AK292" s="368"/>
      <c r="AL292" s="350"/>
      <c r="AM292" s="350"/>
      <c r="AN292" s="351"/>
      <c r="AO292" s="511"/>
      <c r="AP292" s="350"/>
      <c r="AQ292" s="350"/>
      <c r="AR292" s="350"/>
      <c r="AS292" s="350"/>
      <c r="AT292" s="350"/>
      <c r="AU292" s="350"/>
      <c r="AV292" s="351"/>
      <c r="AW292" s="725"/>
      <c r="AX292" s="350"/>
      <c r="AY292" s="351"/>
      <c r="AZ292" s="511"/>
      <c r="BA292" s="350"/>
      <c r="BB292" s="350"/>
      <c r="BC292" s="350"/>
      <c r="BD292" s="350"/>
      <c r="BE292" s="350"/>
      <c r="BF292" s="350"/>
      <c r="BG292" s="350"/>
      <c r="BH292" s="350"/>
      <c r="BI292" s="350"/>
      <c r="BJ292" s="350"/>
      <c r="BK292" s="350"/>
      <c r="BL292" s="350"/>
      <c r="BM292" s="350"/>
      <c r="BN292" s="350"/>
      <c r="BO292" s="351"/>
    </row>
    <row r="293" spans="1:67" ht="34.5" customHeight="1">
      <c r="A293" s="98">
        <f t="shared" si="1"/>
        <v>281</v>
      </c>
      <c r="B293" s="416" t="s">
        <v>325</v>
      </c>
      <c r="C293" s="351"/>
      <c r="D293" s="724"/>
      <c r="E293" s="350"/>
      <c r="F293" s="350"/>
      <c r="G293" s="350"/>
      <c r="H293" s="351"/>
      <c r="I293" s="412"/>
      <c r="J293" s="350"/>
      <c r="K293" s="350"/>
      <c r="L293" s="350"/>
      <c r="M293" s="350"/>
      <c r="N293" s="350"/>
      <c r="O293" s="350"/>
      <c r="P293" s="351"/>
      <c r="Q293" s="412"/>
      <c r="R293" s="350"/>
      <c r="S293" s="350"/>
      <c r="T293" s="350"/>
      <c r="U293" s="350"/>
      <c r="V293" s="350"/>
      <c r="W293" s="350"/>
      <c r="X293" s="351"/>
      <c r="Y293" s="412"/>
      <c r="Z293" s="351"/>
      <c r="AA293" s="412"/>
      <c r="AB293" s="350"/>
      <c r="AC293" s="350"/>
      <c r="AD293" s="351"/>
      <c r="AE293" s="412"/>
      <c r="AF293" s="350"/>
      <c r="AG293" s="351"/>
      <c r="AH293" s="412"/>
      <c r="AI293" s="350"/>
      <c r="AJ293" s="351"/>
      <c r="AK293" s="412"/>
      <c r="AL293" s="350"/>
      <c r="AM293" s="350"/>
      <c r="AN293" s="351"/>
      <c r="AO293" s="412"/>
      <c r="AP293" s="350"/>
      <c r="AQ293" s="350"/>
      <c r="AR293" s="350"/>
      <c r="AS293" s="350"/>
      <c r="AT293" s="350"/>
      <c r="AU293" s="350"/>
      <c r="AV293" s="351"/>
      <c r="AW293" s="723"/>
      <c r="AX293" s="350"/>
      <c r="AY293" s="351"/>
      <c r="AZ293" s="412"/>
      <c r="BA293" s="350"/>
      <c r="BB293" s="350"/>
      <c r="BC293" s="350"/>
      <c r="BD293" s="350"/>
      <c r="BE293" s="350"/>
      <c r="BF293" s="350"/>
      <c r="BG293" s="350"/>
      <c r="BH293" s="350"/>
      <c r="BI293" s="350"/>
      <c r="BJ293" s="350"/>
      <c r="BK293" s="350"/>
      <c r="BL293" s="350"/>
      <c r="BM293" s="350"/>
      <c r="BN293" s="350"/>
      <c r="BO293" s="351"/>
    </row>
    <row r="294" spans="1:67" ht="34.5" customHeight="1">
      <c r="A294" s="98">
        <f t="shared" si="1"/>
        <v>282</v>
      </c>
      <c r="B294" s="416" t="s">
        <v>325</v>
      </c>
      <c r="C294" s="351"/>
      <c r="D294" s="594"/>
      <c r="E294" s="350"/>
      <c r="F294" s="350"/>
      <c r="G294" s="350"/>
      <c r="H294" s="351"/>
      <c r="I294" s="368"/>
      <c r="J294" s="350"/>
      <c r="K294" s="350"/>
      <c r="L294" s="350"/>
      <c r="M294" s="350"/>
      <c r="N294" s="350"/>
      <c r="O294" s="350"/>
      <c r="P294" s="351"/>
      <c r="Q294" s="511"/>
      <c r="R294" s="350"/>
      <c r="S294" s="350"/>
      <c r="T294" s="350"/>
      <c r="U294" s="350"/>
      <c r="V294" s="350"/>
      <c r="W294" s="350"/>
      <c r="X294" s="351"/>
      <c r="Y294" s="368"/>
      <c r="Z294" s="351"/>
      <c r="AA294" s="511"/>
      <c r="AB294" s="350"/>
      <c r="AC294" s="350"/>
      <c r="AD294" s="351"/>
      <c r="AE294" s="368"/>
      <c r="AF294" s="350"/>
      <c r="AG294" s="351"/>
      <c r="AH294" s="511"/>
      <c r="AI294" s="350"/>
      <c r="AJ294" s="351"/>
      <c r="AK294" s="368"/>
      <c r="AL294" s="350"/>
      <c r="AM294" s="350"/>
      <c r="AN294" s="351"/>
      <c r="AO294" s="511"/>
      <c r="AP294" s="350"/>
      <c r="AQ294" s="350"/>
      <c r="AR294" s="350"/>
      <c r="AS294" s="350"/>
      <c r="AT294" s="350"/>
      <c r="AU294" s="350"/>
      <c r="AV294" s="351"/>
      <c r="AW294" s="725"/>
      <c r="AX294" s="350"/>
      <c r="AY294" s="351"/>
      <c r="AZ294" s="511"/>
      <c r="BA294" s="350"/>
      <c r="BB294" s="350"/>
      <c r="BC294" s="350"/>
      <c r="BD294" s="350"/>
      <c r="BE294" s="350"/>
      <c r="BF294" s="350"/>
      <c r="BG294" s="350"/>
      <c r="BH294" s="350"/>
      <c r="BI294" s="350"/>
      <c r="BJ294" s="350"/>
      <c r="BK294" s="350"/>
      <c r="BL294" s="350"/>
      <c r="BM294" s="350"/>
      <c r="BN294" s="350"/>
      <c r="BO294" s="351"/>
    </row>
    <row r="295" spans="1:67" ht="34.5" customHeight="1">
      <c r="A295" s="98">
        <f t="shared" si="1"/>
        <v>283</v>
      </c>
      <c r="B295" s="416" t="s">
        <v>325</v>
      </c>
      <c r="C295" s="351"/>
      <c r="D295" s="724"/>
      <c r="E295" s="350"/>
      <c r="F295" s="350"/>
      <c r="G295" s="350"/>
      <c r="H295" s="351"/>
      <c r="I295" s="412"/>
      <c r="J295" s="350"/>
      <c r="K295" s="350"/>
      <c r="L295" s="350"/>
      <c r="M295" s="350"/>
      <c r="N295" s="350"/>
      <c r="O295" s="350"/>
      <c r="P295" s="351"/>
      <c r="Q295" s="412"/>
      <c r="R295" s="350"/>
      <c r="S295" s="350"/>
      <c r="T295" s="350"/>
      <c r="U295" s="350"/>
      <c r="V295" s="350"/>
      <c r="W295" s="350"/>
      <c r="X295" s="351"/>
      <c r="Y295" s="412"/>
      <c r="Z295" s="351"/>
      <c r="AA295" s="412"/>
      <c r="AB295" s="350"/>
      <c r="AC295" s="350"/>
      <c r="AD295" s="351"/>
      <c r="AE295" s="412"/>
      <c r="AF295" s="350"/>
      <c r="AG295" s="351"/>
      <c r="AH295" s="412"/>
      <c r="AI295" s="350"/>
      <c r="AJ295" s="351"/>
      <c r="AK295" s="412"/>
      <c r="AL295" s="350"/>
      <c r="AM295" s="350"/>
      <c r="AN295" s="351"/>
      <c r="AO295" s="412"/>
      <c r="AP295" s="350"/>
      <c r="AQ295" s="350"/>
      <c r="AR295" s="350"/>
      <c r="AS295" s="350"/>
      <c r="AT295" s="350"/>
      <c r="AU295" s="350"/>
      <c r="AV295" s="351"/>
      <c r="AW295" s="723"/>
      <c r="AX295" s="350"/>
      <c r="AY295" s="351"/>
      <c r="AZ295" s="412"/>
      <c r="BA295" s="350"/>
      <c r="BB295" s="350"/>
      <c r="BC295" s="350"/>
      <c r="BD295" s="350"/>
      <c r="BE295" s="350"/>
      <c r="BF295" s="350"/>
      <c r="BG295" s="350"/>
      <c r="BH295" s="350"/>
      <c r="BI295" s="350"/>
      <c r="BJ295" s="350"/>
      <c r="BK295" s="350"/>
      <c r="BL295" s="350"/>
      <c r="BM295" s="350"/>
      <c r="BN295" s="350"/>
      <c r="BO295" s="351"/>
    </row>
    <row r="296" spans="1:67" ht="34.5" customHeight="1">
      <c r="A296" s="98">
        <f t="shared" si="1"/>
        <v>284</v>
      </c>
      <c r="B296" s="416" t="s">
        <v>325</v>
      </c>
      <c r="C296" s="351"/>
      <c r="D296" s="594"/>
      <c r="E296" s="350"/>
      <c r="F296" s="350"/>
      <c r="G296" s="350"/>
      <c r="H296" s="351"/>
      <c r="I296" s="368"/>
      <c r="J296" s="350"/>
      <c r="K296" s="350"/>
      <c r="L296" s="350"/>
      <c r="M296" s="350"/>
      <c r="N296" s="350"/>
      <c r="O296" s="350"/>
      <c r="P296" s="351"/>
      <c r="Q296" s="511"/>
      <c r="R296" s="350"/>
      <c r="S296" s="350"/>
      <c r="T296" s="350"/>
      <c r="U296" s="350"/>
      <c r="V296" s="350"/>
      <c r="W296" s="350"/>
      <c r="X296" s="351"/>
      <c r="Y296" s="368"/>
      <c r="Z296" s="351"/>
      <c r="AA296" s="511"/>
      <c r="AB296" s="350"/>
      <c r="AC296" s="350"/>
      <c r="AD296" s="351"/>
      <c r="AE296" s="368"/>
      <c r="AF296" s="350"/>
      <c r="AG296" s="351"/>
      <c r="AH296" s="511"/>
      <c r="AI296" s="350"/>
      <c r="AJ296" s="351"/>
      <c r="AK296" s="368"/>
      <c r="AL296" s="350"/>
      <c r="AM296" s="350"/>
      <c r="AN296" s="351"/>
      <c r="AO296" s="511"/>
      <c r="AP296" s="350"/>
      <c r="AQ296" s="350"/>
      <c r="AR296" s="350"/>
      <c r="AS296" s="350"/>
      <c r="AT296" s="350"/>
      <c r="AU296" s="350"/>
      <c r="AV296" s="351"/>
      <c r="AW296" s="725"/>
      <c r="AX296" s="350"/>
      <c r="AY296" s="351"/>
      <c r="AZ296" s="511"/>
      <c r="BA296" s="350"/>
      <c r="BB296" s="350"/>
      <c r="BC296" s="350"/>
      <c r="BD296" s="350"/>
      <c r="BE296" s="350"/>
      <c r="BF296" s="350"/>
      <c r="BG296" s="350"/>
      <c r="BH296" s="350"/>
      <c r="BI296" s="350"/>
      <c r="BJ296" s="350"/>
      <c r="BK296" s="350"/>
      <c r="BL296" s="350"/>
      <c r="BM296" s="350"/>
      <c r="BN296" s="350"/>
      <c r="BO296" s="351"/>
    </row>
    <row r="297" spans="1:67" ht="34.5" customHeight="1">
      <c r="A297" s="98">
        <f t="shared" si="1"/>
        <v>285</v>
      </c>
      <c r="B297" s="416" t="s">
        <v>325</v>
      </c>
      <c r="C297" s="351"/>
      <c r="D297" s="724"/>
      <c r="E297" s="350"/>
      <c r="F297" s="350"/>
      <c r="G297" s="350"/>
      <c r="H297" s="351"/>
      <c r="I297" s="412"/>
      <c r="J297" s="350"/>
      <c r="K297" s="350"/>
      <c r="L297" s="350"/>
      <c r="M297" s="350"/>
      <c r="N297" s="350"/>
      <c r="O297" s="350"/>
      <c r="P297" s="351"/>
      <c r="Q297" s="412"/>
      <c r="R297" s="350"/>
      <c r="S297" s="350"/>
      <c r="T297" s="350"/>
      <c r="U297" s="350"/>
      <c r="V297" s="350"/>
      <c r="W297" s="350"/>
      <c r="X297" s="351"/>
      <c r="Y297" s="412"/>
      <c r="Z297" s="351"/>
      <c r="AA297" s="412"/>
      <c r="AB297" s="350"/>
      <c r="AC297" s="350"/>
      <c r="AD297" s="351"/>
      <c r="AE297" s="412"/>
      <c r="AF297" s="350"/>
      <c r="AG297" s="351"/>
      <c r="AH297" s="412"/>
      <c r="AI297" s="350"/>
      <c r="AJ297" s="351"/>
      <c r="AK297" s="412"/>
      <c r="AL297" s="350"/>
      <c r="AM297" s="350"/>
      <c r="AN297" s="351"/>
      <c r="AO297" s="412"/>
      <c r="AP297" s="350"/>
      <c r="AQ297" s="350"/>
      <c r="AR297" s="350"/>
      <c r="AS297" s="350"/>
      <c r="AT297" s="350"/>
      <c r="AU297" s="350"/>
      <c r="AV297" s="351"/>
      <c r="AW297" s="723"/>
      <c r="AX297" s="350"/>
      <c r="AY297" s="351"/>
      <c r="AZ297" s="412"/>
      <c r="BA297" s="350"/>
      <c r="BB297" s="350"/>
      <c r="BC297" s="350"/>
      <c r="BD297" s="350"/>
      <c r="BE297" s="350"/>
      <c r="BF297" s="350"/>
      <c r="BG297" s="350"/>
      <c r="BH297" s="350"/>
      <c r="BI297" s="350"/>
      <c r="BJ297" s="350"/>
      <c r="BK297" s="350"/>
      <c r="BL297" s="350"/>
      <c r="BM297" s="350"/>
      <c r="BN297" s="350"/>
      <c r="BO297" s="351"/>
    </row>
    <row r="298" spans="1:67" ht="34.5" customHeight="1">
      <c r="A298" s="98">
        <f t="shared" si="1"/>
        <v>286</v>
      </c>
      <c r="B298" s="416" t="s">
        <v>325</v>
      </c>
      <c r="C298" s="351"/>
      <c r="D298" s="594"/>
      <c r="E298" s="350"/>
      <c r="F298" s="350"/>
      <c r="G298" s="350"/>
      <c r="H298" s="351"/>
      <c r="I298" s="368"/>
      <c r="J298" s="350"/>
      <c r="K298" s="350"/>
      <c r="L298" s="350"/>
      <c r="M298" s="350"/>
      <c r="N298" s="350"/>
      <c r="O298" s="350"/>
      <c r="P298" s="351"/>
      <c r="Q298" s="511"/>
      <c r="R298" s="350"/>
      <c r="S298" s="350"/>
      <c r="T298" s="350"/>
      <c r="U298" s="350"/>
      <c r="V298" s="350"/>
      <c r="W298" s="350"/>
      <c r="X298" s="351"/>
      <c r="Y298" s="368"/>
      <c r="Z298" s="351"/>
      <c r="AA298" s="511"/>
      <c r="AB298" s="350"/>
      <c r="AC298" s="350"/>
      <c r="AD298" s="351"/>
      <c r="AE298" s="368"/>
      <c r="AF298" s="350"/>
      <c r="AG298" s="351"/>
      <c r="AH298" s="511"/>
      <c r="AI298" s="350"/>
      <c r="AJ298" s="351"/>
      <c r="AK298" s="368"/>
      <c r="AL298" s="350"/>
      <c r="AM298" s="350"/>
      <c r="AN298" s="351"/>
      <c r="AO298" s="511"/>
      <c r="AP298" s="350"/>
      <c r="AQ298" s="350"/>
      <c r="AR298" s="350"/>
      <c r="AS298" s="350"/>
      <c r="AT298" s="350"/>
      <c r="AU298" s="350"/>
      <c r="AV298" s="351"/>
      <c r="AW298" s="725"/>
      <c r="AX298" s="350"/>
      <c r="AY298" s="351"/>
      <c r="AZ298" s="511"/>
      <c r="BA298" s="350"/>
      <c r="BB298" s="350"/>
      <c r="BC298" s="350"/>
      <c r="BD298" s="350"/>
      <c r="BE298" s="350"/>
      <c r="BF298" s="350"/>
      <c r="BG298" s="350"/>
      <c r="BH298" s="350"/>
      <c r="BI298" s="350"/>
      <c r="BJ298" s="350"/>
      <c r="BK298" s="350"/>
      <c r="BL298" s="350"/>
      <c r="BM298" s="350"/>
      <c r="BN298" s="350"/>
      <c r="BO298" s="351"/>
    </row>
    <row r="299" spans="1:67" ht="34.5" customHeight="1">
      <c r="A299" s="98">
        <f t="shared" si="1"/>
        <v>287</v>
      </c>
      <c r="B299" s="416" t="s">
        <v>325</v>
      </c>
      <c r="C299" s="351"/>
      <c r="D299" s="724"/>
      <c r="E299" s="350"/>
      <c r="F299" s="350"/>
      <c r="G299" s="350"/>
      <c r="H299" s="351"/>
      <c r="I299" s="412"/>
      <c r="J299" s="350"/>
      <c r="K299" s="350"/>
      <c r="L299" s="350"/>
      <c r="M299" s="350"/>
      <c r="N299" s="350"/>
      <c r="O299" s="350"/>
      <c r="P299" s="351"/>
      <c r="Q299" s="412"/>
      <c r="R299" s="350"/>
      <c r="S299" s="350"/>
      <c r="T299" s="350"/>
      <c r="U299" s="350"/>
      <c r="V299" s="350"/>
      <c r="W299" s="350"/>
      <c r="X299" s="351"/>
      <c r="Y299" s="412"/>
      <c r="Z299" s="351"/>
      <c r="AA299" s="412"/>
      <c r="AB299" s="350"/>
      <c r="AC299" s="350"/>
      <c r="AD299" s="351"/>
      <c r="AE299" s="412"/>
      <c r="AF299" s="350"/>
      <c r="AG299" s="351"/>
      <c r="AH299" s="412"/>
      <c r="AI299" s="350"/>
      <c r="AJ299" s="351"/>
      <c r="AK299" s="412"/>
      <c r="AL299" s="350"/>
      <c r="AM299" s="350"/>
      <c r="AN299" s="351"/>
      <c r="AO299" s="412"/>
      <c r="AP299" s="350"/>
      <c r="AQ299" s="350"/>
      <c r="AR299" s="350"/>
      <c r="AS299" s="350"/>
      <c r="AT299" s="350"/>
      <c r="AU299" s="350"/>
      <c r="AV299" s="351"/>
      <c r="AW299" s="723"/>
      <c r="AX299" s="350"/>
      <c r="AY299" s="351"/>
      <c r="AZ299" s="412"/>
      <c r="BA299" s="350"/>
      <c r="BB299" s="350"/>
      <c r="BC299" s="350"/>
      <c r="BD299" s="350"/>
      <c r="BE299" s="350"/>
      <c r="BF299" s="350"/>
      <c r="BG299" s="350"/>
      <c r="BH299" s="350"/>
      <c r="BI299" s="350"/>
      <c r="BJ299" s="350"/>
      <c r="BK299" s="350"/>
      <c r="BL299" s="350"/>
      <c r="BM299" s="350"/>
      <c r="BN299" s="350"/>
      <c r="BO299" s="351"/>
    </row>
    <row r="300" spans="1:67" ht="34.5" customHeight="1">
      <c r="A300" s="98">
        <f t="shared" si="1"/>
        <v>288</v>
      </c>
      <c r="B300" s="416" t="s">
        <v>325</v>
      </c>
      <c r="C300" s="351"/>
      <c r="D300" s="594"/>
      <c r="E300" s="350"/>
      <c r="F300" s="350"/>
      <c r="G300" s="350"/>
      <c r="H300" s="351"/>
      <c r="I300" s="368"/>
      <c r="J300" s="350"/>
      <c r="K300" s="350"/>
      <c r="L300" s="350"/>
      <c r="M300" s="350"/>
      <c r="N300" s="350"/>
      <c r="O300" s="350"/>
      <c r="P300" s="351"/>
      <c r="Q300" s="511"/>
      <c r="R300" s="350"/>
      <c r="S300" s="350"/>
      <c r="T300" s="350"/>
      <c r="U300" s="350"/>
      <c r="V300" s="350"/>
      <c r="W300" s="350"/>
      <c r="X300" s="351"/>
      <c r="Y300" s="368"/>
      <c r="Z300" s="351"/>
      <c r="AA300" s="511"/>
      <c r="AB300" s="350"/>
      <c r="AC300" s="350"/>
      <c r="AD300" s="351"/>
      <c r="AE300" s="368"/>
      <c r="AF300" s="350"/>
      <c r="AG300" s="351"/>
      <c r="AH300" s="511"/>
      <c r="AI300" s="350"/>
      <c r="AJ300" s="351"/>
      <c r="AK300" s="368"/>
      <c r="AL300" s="350"/>
      <c r="AM300" s="350"/>
      <c r="AN300" s="351"/>
      <c r="AO300" s="511"/>
      <c r="AP300" s="350"/>
      <c r="AQ300" s="350"/>
      <c r="AR300" s="350"/>
      <c r="AS300" s="350"/>
      <c r="AT300" s="350"/>
      <c r="AU300" s="350"/>
      <c r="AV300" s="351"/>
      <c r="AW300" s="725"/>
      <c r="AX300" s="350"/>
      <c r="AY300" s="351"/>
      <c r="AZ300" s="511"/>
      <c r="BA300" s="350"/>
      <c r="BB300" s="350"/>
      <c r="BC300" s="350"/>
      <c r="BD300" s="350"/>
      <c r="BE300" s="350"/>
      <c r="BF300" s="350"/>
      <c r="BG300" s="350"/>
      <c r="BH300" s="350"/>
      <c r="BI300" s="350"/>
      <c r="BJ300" s="350"/>
      <c r="BK300" s="350"/>
      <c r="BL300" s="350"/>
      <c r="BM300" s="350"/>
      <c r="BN300" s="350"/>
      <c r="BO300" s="351"/>
    </row>
    <row r="301" spans="1:67" ht="34.5" customHeight="1">
      <c r="A301" s="98">
        <f t="shared" si="1"/>
        <v>289</v>
      </c>
      <c r="B301" s="416" t="s">
        <v>325</v>
      </c>
      <c r="C301" s="351"/>
      <c r="D301" s="724"/>
      <c r="E301" s="350"/>
      <c r="F301" s="350"/>
      <c r="G301" s="350"/>
      <c r="H301" s="351"/>
      <c r="I301" s="412"/>
      <c r="J301" s="350"/>
      <c r="K301" s="350"/>
      <c r="L301" s="350"/>
      <c r="M301" s="350"/>
      <c r="N301" s="350"/>
      <c r="O301" s="350"/>
      <c r="P301" s="351"/>
      <c r="Q301" s="412"/>
      <c r="R301" s="350"/>
      <c r="S301" s="350"/>
      <c r="T301" s="350"/>
      <c r="U301" s="350"/>
      <c r="V301" s="350"/>
      <c r="W301" s="350"/>
      <c r="X301" s="351"/>
      <c r="Y301" s="412"/>
      <c r="Z301" s="351"/>
      <c r="AA301" s="412"/>
      <c r="AB301" s="350"/>
      <c r="AC301" s="350"/>
      <c r="AD301" s="351"/>
      <c r="AE301" s="412"/>
      <c r="AF301" s="350"/>
      <c r="AG301" s="351"/>
      <c r="AH301" s="412"/>
      <c r="AI301" s="350"/>
      <c r="AJ301" s="351"/>
      <c r="AK301" s="412"/>
      <c r="AL301" s="350"/>
      <c r="AM301" s="350"/>
      <c r="AN301" s="351"/>
      <c r="AO301" s="412"/>
      <c r="AP301" s="350"/>
      <c r="AQ301" s="350"/>
      <c r="AR301" s="350"/>
      <c r="AS301" s="350"/>
      <c r="AT301" s="350"/>
      <c r="AU301" s="350"/>
      <c r="AV301" s="351"/>
      <c r="AW301" s="723"/>
      <c r="AX301" s="350"/>
      <c r="AY301" s="351"/>
      <c r="AZ301" s="412"/>
      <c r="BA301" s="350"/>
      <c r="BB301" s="350"/>
      <c r="BC301" s="350"/>
      <c r="BD301" s="350"/>
      <c r="BE301" s="350"/>
      <c r="BF301" s="350"/>
      <c r="BG301" s="350"/>
      <c r="BH301" s="350"/>
      <c r="BI301" s="350"/>
      <c r="BJ301" s="350"/>
      <c r="BK301" s="350"/>
      <c r="BL301" s="350"/>
      <c r="BM301" s="350"/>
      <c r="BN301" s="350"/>
      <c r="BO301" s="351"/>
    </row>
    <row r="302" spans="1:67" ht="34.5" customHeight="1">
      <c r="A302" s="98">
        <f t="shared" si="1"/>
        <v>290</v>
      </c>
      <c r="B302" s="726" t="s">
        <v>325</v>
      </c>
      <c r="C302" s="351"/>
      <c r="D302" s="594"/>
      <c r="E302" s="350"/>
      <c r="F302" s="350"/>
      <c r="G302" s="350"/>
      <c r="H302" s="351"/>
      <c r="I302" s="368"/>
      <c r="J302" s="350"/>
      <c r="K302" s="350"/>
      <c r="L302" s="350"/>
      <c r="M302" s="350"/>
      <c r="N302" s="350"/>
      <c r="O302" s="350"/>
      <c r="P302" s="351"/>
      <c r="Q302" s="511"/>
      <c r="R302" s="350"/>
      <c r="S302" s="350"/>
      <c r="T302" s="350"/>
      <c r="U302" s="350"/>
      <c r="V302" s="350"/>
      <c r="W302" s="350"/>
      <c r="X302" s="351"/>
      <c r="Y302" s="368"/>
      <c r="Z302" s="351"/>
      <c r="AA302" s="511"/>
      <c r="AB302" s="350"/>
      <c r="AC302" s="350"/>
      <c r="AD302" s="351"/>
      <c r="AE302" s="368"/>
      <c r="AF302" s="350"/>
      <c r="AG302" s="351"/>
      <c r="AH302" s="511"/>
      <c r="AI302" s="350"/>
      <c r="AJ302" s="351"/>
      <c r="AK302" s="368"/>
      <c r="AL302" s="350"/>
      <c r="AM302" s="350"/>
      <c r="AN302" s="351"/>
      <c r="AO302" s="511"/>
      <c r="AP302" s="350"/>
      <c r="AQ302" s="350"/>
      <c r="AR302" s="350"/>
      <c r="AS302" s="350"/>
      <c r="AT302" s="350"/>
      <c r="AU302" s="350"/>
      <c r="AV302" s="351"/>
      <c r="AW302" s="725"/>
      <c r="AX302" s="350"/>
      <c r="AY302" s="351"/>
      <c r="AZ302" s="511"/>
      <c r="BA302" s="350"/>
      <c r="BB302" s="350"/>
      <c r="BC302" s="350"/>
      <c r="BD302" s="350"/>
      <c r="BE302" s="350"/>
      <c r="BF302" s="350"/>
      <c r="BG302" s="350"/>
      <c r="BH302" s="350"/>
      <c r="BI302" s="350"/>
      <c r="BJ302" s="350"/>
      <c r="BK302" s="350"/>
      <c r="BL302" s="350"/>
      <c r="BM302" s="350"/>
      <c r="BN302" s="350"/>
      <c r="BO302" s="351"/>
    </row>
    <row r="303" spans="1:67" ht="34.5" customHeight="1">
      <c r="A303" s="98">
        <f t="shared" si="1"/>
        <v>291</v>
      </c>
      <c r="B303" s="416" t="s">
        <v>325</v>
      </c>
      <c r="C303" s="351"/>
      <c r="D303" s="724"/>
      <c r="E303" s="350"/>
      <c r="F303" s="350"/>
      <c r="G303" s="350"/>
      <c r="H303" s="351"/>
      <c r="I303" s="412"/>
      <c r="J303" s="350"/>
      <c r="K303" s="350"/>
      <c r="L303" s="350"/>
      <c r="M303" s="350"/>
      <c r="N303" s="350"/>
      <c r="O303" s="350"/>
      <c r="P303" s="351"/>
      <c r="Q303" s="412"/>
      <c r="R303" s="350"/>
      <c r="S303" s="350"/>
      <c r="T303" s="350"/>
      <c r="U303" s="350"/>
      <c r="V303" s="350"/>
      <c r="W303" s="350"/>
      <c r="X303" s="351"/>
      <c r="Y303" s="412"/>
      <c r="Z303" s="351"/>
      <c r="AA303" s="412"/>
      <c r="AB303" s="350"/>
      <c r="AC303" s="350"/>
      <c r="AD303" s="351"/>
      <c r="AE303" s="412"/>
      <c r="AF303" s="350"/>
      <c r="AG303" s="351"/>
      <c r="AH303" s="412"/>
      <c r="AI303" s="350"/>
      <c r="AJ303" s="351"/>
      <c r="AK303" s="412"/>
      <c r="AL303" s="350"/>
      <c r="AM303" s="350"/>
      <c r="AN303" s="351"/>
      <c r="AO303" s="412"/>
      <c r="AP303" s="350"/>
      <c r="AQ303" s="350"/>
      <c r="AR303" s="350"/>
      <c r="AS303" s="350"/>
      <c r="AT303" s="350"/>
      <c r="AU303" s="350"/>
      <c r="AV303" s="351"/>
      <c r="AW303" s="723"/>
      <c r="AX303" s="350"/>
      <c r="AY303" s="351"/>
      <c r="AZ303" s="412"/>
      <c r="BA303" s="350"/>
      <c r="BB303" s="350"/>
      <c r="BC303" s="350"/>
      <c r="BD303" s="350"/>
      <c r="BE303" s="350"/>
      <c r="BF303" s="350"/>
      <c r="BG303" s="350"/>
      <c r="BH303" s="350"/>
      <c r="BI303" s="350"/>
      <c r="BJ303" s="350"/>
      <c r="BK303" s="350"/>
      <c r="BL303" s="350"/>
      <c r="BM303" s="350"/>
      <c r="BN303" s="350"/>
      <c r="BO303" s="351"/>
    </row>
    <row r="304" spans="1:67" ht="34.5" customHeight="1">
      <c r="A304" s="98">
        <f t="shared" si="1"/>
        <v>292</v>
      </c>
      <c r="B304" s="416" t="s">
        <v>325</v>
      </c>
      <c r="C304" s="351"/>
      <c r="D304" s="594"/>
      <c r="E304" s="350"/>
      <c r="F304" s="350"/>
      <c r="G304" s="350"/>
      <c r="H304" s="351"/>
      <c r="I304" s="368"/>
      <c r="J304" s="350"/>
      <c r="K304" s="350"/>
      <c r="L304" s="350"/>
      <c r="M304" s="350"/>
      <c r="N304" s="350"/>
      <c r="O304" s="350"/>
      <c r="P304" s="351"/>
      <c r="Q304" s="511"/>
      <c r="R304" s="350"/>
      <c r="S304" s="350"/>
      <c r="T304" s="350"/>
      <c r="U304" s="350"/>
      <c r="V304" s="350"/>
      <c r="W304" s="350"/>
      <c r="X304" s="351"/>
      <c r="Y304" s="368"/>
      <c r="Z304" s="351"/>
      <c r="AA304" s="511"/>
      <c r="AB304" s="350"/>
      <c r="AC304" s="350"/>
      <c r="AD304" s="351"/>
      <c r="AE304" s="368"/>
      <c r="AF304" s="350"/>
      <c r="AG304" s="351"/>
      <c r="AH304" s="511"/>
      <c r="AI304" s="350"/>
      <c r="AJ304" s="351"/>
      <c r="AK304" s="368"/>
      <c r="AL304" s="350"/>
      <c r="AM304" s="350"/>
      <c r="AN304" s="351"/>
      <c r="AO304" s="511"/>
      <c r="AP304" s="350"/>
      <c r="AQ304" s="350"/>
      <c r="AR304" s="350"/>
      <c r="AS304" s="350"/>
      <c r="AT304" s="350"/>
      <c r="AU304" s="350"/>
      <c r="AV304" s="351"/>
      <c r="AW304" s="725"/>
      <c r="AX304" s="350"/>
      <c r="AY304" s="351"/>
      <c r="AZ304" s="511"/>
      <c r="BA304" s="350"/>
      <c r="BB304" s="350"/>
      <c r="BC304" s="350"/>
      <c r="BD304" s="350"/>
      <c r="BE304" s="350"/>
      <c r="BF304" s="350"/>
      <c r="BG304" s="350"/>
      <c r="BH304" s="350"/>
      <c r="BI304" s="350"/>
      <c r="BJ304" s="350"/>
      <c r="BK304" s="350"/>
      <c r="BL304" s="350"/>
      <c r="BM304" s="350"/>
      <c r="BN304" s="350"/>
      <c r="BO304" s="351"/>
    </row>
    <row r="305" spans="1:67" ht="34.5" customHeight="1">
      <c r="A305" s="98">
        <f t="shared" si="1"/>
        <v>293</v>
      </c>
      <c r="B305" s="416" t="s">
        <v>325</v>
      </c>
      <c r="C305" s="351"/>
      <c r="D305" s="724"/>
      <c r="E305" s="350"/>
      <c r="F305" s="350"/>
      <c r="G305" s="350"/>
      <c r="H305" s="351"/>
      <c r="I305" s="412"/>
      <c r="J305" s="350"/>
      <c r="K305" s="350"/>
      <c r="L305" s="350"/>
      <c r="M305" s="350"/>
      <c r="N305" s="350"/>
      <c r="O305" s="350"/>
      <c r="P305" s="351"/>
      <c r="Q305" s="412"/>
      <c r="R305" s="350"/>
      <c r="S305" s="350"/>
      <c r="T305" s="350"/>
      <c r="U305" s="350"/>
      <c r="V305" s="350"/>
      <c r="W305" s="350"/>
      <c r="X305" s="351"/>
      <c r="Y305" s="412"/>
      <c r="Z305" s="351"/>
      <c r="AA305" s="412"/>
      <c r="AB305" s="350"/>
      <c r="AC305" s="350"/>
      <c r="AD305" s="351"/>
      <c r="AE305" s="412"/>
      <c r="AF305" s="350"/>
      <c r="AG305" s="351"/>
      <c r="AH305" s="412"/>
      <c r="AI305" s="350"/>
      <c r="AJ305" s="351"/>
      <c r="AK305" s="412"/>
      <c r="AL305" s="350"/>
      <c r="AM305" s="350"/>
      <c r="AN305" s="351"/>
      <c r="AO305" s="412"/>
      <c r="AP305" s="350"/>
      <c r="AQ305" s="350"/>
      <c r="AR305" s="350"/>
      <c r="AS305" s="350"/>
      <c r="AT305" s="350"/>
      <c r="AU305" s="350"/>
      <c r="AV305" s="351"/>
      <c r="AW305" s="723"/>
      <c r="AX305" s="350"/>
      <c r="AY305" s="351"/>
      <c r="AZ305" s="412"/>
      <c r="BA305" s="350"/>
      <c r="BB305" s="350"/>
      <c r="BC305" s="350"/>
      <c r="BD305" s="350"/>
      <c r="BE305" s="350"/>
      <c r="BF305" s="350"/>
      <c r="BG305" s="350"/>
      <c r="BH305" s="350"/>
      <c r="BI305" s="350"/>
      <c r="BJ305" s="350"/>
      <c r="BK305" s="350"/>
      <c r="BL305" s="350"/>
      <c r="BM305" s="350"/>
      <c r="BN305" s="350"/>
      <c r="BO305" s="351"/>
    </row>
    <row r="306" spans="1:67" ht="34.5" customHeight="1">
      <c r="A306" s="98">
        <f t="shared" si="1"/>
        <v>294</v>
      </c>
      <c r="B306" s="416" t="s">
        <v>325</v>
      </c>
      <c r="C306" s="351"/>
      <c r="D306" s="594"/>
      <c r="E306" s="350"/>
      <c r="F306" s="350"/>
      <c r="G306" s="350"/>
      <c r="H306" s="351"/>
      <c r="I306" s="368"/>
      <c r="J306" s="350"/>
      <c r="K306" s="350"/>
      <c r="L306" s="350"/>
      <c r="M306" s="350"/>
      <c r="N306" s="350"/>
      <c r="O306" s="350"/>
      <c r="P306" s="351"/>
      <c r="Q306" s="511"/>
      <c r="R306" s="350"/>
      <c r="S306" s="350"/>
      <c r="T306" s="350"/>
      <c r="U306" s="350"/>
      <c r="V306" s="350"/>
      <c r="W306" s="350"/>
      <c r="X306" s="351"/>
      <c r="Y306" s="368"/>
      <c r="Z306" s="351"/>
      <c r="AA306" s="511"/>
      <c r="AB306" s="350"/>
      <c r="AC306" s="350"/>
      <c r="AD306" s="351"/>
      <c r="AE306" s="368"/>
      <c r="AF306" s="350"/>
      <c r="AG306" s="351"/>
      <c r="AH306" s="511"/>
      <c r="AI306" s="350"/>
      <c r="AJ306" s="351"/>
      <c r="AK306" s="368"/>
      <c r="AL306" s="350"/>
      <c r="AM306" s="350"/>
      <c r="AN306" s="351"/>
      <c r="AO306" s="511"/>
      <c r="AP306" s="350"/>
      <c r="AQ306" s="350"/>
      <c r="AR306" s="350"/>
      <c r="AS306" s="350"/>
      <c r="AT306" s="350"/>
      <c r="AU306" s="350"/>
      <c r="AV306" s="351"/>
      <c r="AW306" s="725"/>
      <c r="AX306" s="350"/>
      <c r="AY306" s="351"/>
      <c r="AZ306" s="511"/>
      <c r="BA306" s="350"/>
      <c r="BB306" s="350"/>
      <c r="BC306" s="350"/>
      <c r="BD306" s="350"/>
      <c r="BE306" s="350"/>
      <c r="BF306" s="350"/>
      <c r="BG306" s="350"/>
      <c r="BH306" s="350"/>
      <c r="BI306" s="350"/>
      <c r="BJ306" s="350"/>
      <c r="BK306" s="350"/>
      <c r="BL306" s="350"/>
      <c r="BM306" s="350"/>
      <c r="BN306" s="350"/>
      <c r="BO306" s="351"/>
    </row>
    <row r="307" spans="1:67" ht="34.5" customHeight="1">
      <c r="A307" s="98">
        <f t="shared" si="1"/>
        <v>295</v>
      </c>
      <c r="B307" s="416" t="s">
        <v>325</v>
      </c>
      <c r="C307" s="351"/>
      <c r="D307" s="724"/>
      <c r="E307" s="350"/>
      <c r="F307" s="350"/>
      <c r="G307" s="350"/>
      <c r="H307" s="351"/>
      <c r="I307" s="412"/>
      <c r="J307" s="350"/>
      <c r="K307" s="350"/>
      <c r="L307" s="350"/>
      <c r="M307" s="350"/>
      <c r="N307" s="350"/>
      <c r="O307" s="350"/>
      <c r="P307" s="351"/>
      <c r="Q307" s="412"/>
      <c r="R307" s="350"/>
      <c r="S307" s="350"/>
      <c r="T307" s="350"/>
      <c r="U307" s="350"/>
      <c r="V307" s="350"/>
      <c r="W307" s="350"/>
      <c r="X307" s="351"/>
      <c r="Y307" s="412"/>
      <c r="Z307" s="351"/>
      <c r="AA307" s="412"/>
      <c r="AB307" s="350"/>
      <c r="AC307" s="350"/>
      <c r="AD307" s="351"/>
      <c r="AE307" s="412"/>
      <c r="AF307" s="350"/>
      <c r="AG307" s="351"/>
      <c r="AH307" s="412"/>
      <c r="AI307" s="350"/>
      <c r="AJ307" s="351"/>
      <c r="AK307" s="412"/>
      <c r="AL307" s="350"/>
      <c r="AM307" s="350"/>
      <c r="AN307" s="351"/>
      <c r="AO307" s="412"/>
      <c r="AP307" s="350"/>
      <c r="AQ307" s="350"/>
      <c r="AR307" s="350"/>
      <c r="AS307" s="350"/>
      <c r="AT307" s="350"/>
      <c r="AU307" s="350"/>
      <c r="AV307" s="351"/>
      <c r="AW307" s="723"/>
      <c r="AX307" s="350"/>
      <c r="AY307" s="351"/>
      <c r="AZ307" s="412"/>
      <c r="BA307" s="350"/>
      <c r="BB307" s="350"/>
      <c r="BC307" s="350"/>
      <c r="BD307" s="350"/>
      <c r="BE307" s="350"/>
      <c r="BF307" s="350"/>
      <c r="BG307" s="350"/>
      <c r="BH307" s="350"/>
      <c r="BI307" s="350"/>
      <c r="BJ307" s="350"/>
      <c r="BK307" s="350"/>
      <c r="BL307" s="350"/>
      <c r="BM307" s="350"/>
      <c r="BN307" s="350"/>
      <c r="BO307" s="351"/>
    </row>
    <row r="308" spans="1:67" ht="34.5" customHeight="1">
      <c r="A308" s="98">
        <f t="shared" si="1"/>
        <v>296</v>
      </c>
      <c r="B308" s="416" t="s">
        <v>325</v>
      </c>
      <c r="C308" s="351"/>
      <c r="D308" s="594"/>
      <c r="E308" s="350"/>
      <c r="F308" s="350"/>
      <c r="G308" s="350"/>
      <c r="H308" s="351"/>
      <c r="I308" s="368"/>
      <c r="J308" s="350"/>
      <c r="K308" s="350"/>
      <c r="L308" s="350"/>
      <c r="M308" s="350"/>
      <c r="N308" s="350"/>
      <c r="O308" s="350"/>
      <c r="P308" s="351"/>
      <c r="Q308" s="511"/>
      <c r="R308" s="350"/>
      <c r="S308" s="350"/>
      <c r="T308" s="350"/>
      <c r="U308" s="350"/>
      <c r="V308" s="350"/>
      <c r="W308" s="350"/>
      <c r="X308" s="351"/>
      <c r="Y308" s="368"/>
      <c r="Z308" s="351"/>
      <c r="AA308" s="511"/>
      <c r="AB308" s="350"/>
      <c r="AC308" s="350"/>
      <c r="AD308" s="351"/>
      <c r="AE308" s="368"/>
      <c r="AF308" s="350"/>
      <c r="AG308" s="351"/>
      <c r="AH308" s="511"/>
      <c r="AI308" s="350"/>
      <c r="AJ308" s="351"/>
      <c r="AK308" s="368"/>
      <c r="AL308" s="350"/>
      <c r="AM308" s="350"/>
      <c r="AN308" s="351"/>
      <c r="AO308" s="511"/>
      <c r="AP308" s="350"/>
      <c r="AQ308" s="350"/>
      <c r="AR308" s="350"/>
      <c r="AS308" s="350"/>
      <c r="AT308" s="350"/>
      <c r="AU308" s="350"/>
      <c r="AV308" s="351"/>
      <c r="AW308" s="725"/>
      <c r="AX308" s="350"/>
      <c r="AY308" s="351"/>
      <c r="AZ308" s="511"/>
      <c r="BA308" s="350"/>
      <c r="BB308" s="350"/>
      <c r="BC308" s="350"/>
      <c r="BD308" s="350"/>
      <c r="BE308" s="350"/>
      <c r="BF308" s="350"/>
      <c r="BG308" s="350"/>
      <c r="BH308" s="350"/>
      <c r="BI308" s="350"/>
      <c r="BJ308" s="350"/>
      <c r="BK308" s="350"/>
      <c r="BL308" s="350"/>
      <c r="BM308" s="350"/>
      <c r="BN308" s="350"/>
      <c r="BO308" s="351"/>
    </row>
    <row r="309" spans="1:67" ht="34.5" customHeight="1">
      <c r="A309" s="98">
        <f t="shared" si="1"/>
        <v>297</v>
      </c>
      <c r="B309" s="416" t="s">
        <v>325</v>
      </c>
      <c r="C309" s="351"/>
      <c r="D309" s="724"/>
      <c r="E309" s="350"/>
      <c r="F309" s="350"/>
      <c r="G309" s="350"/>
      <c r="H309" s="351"/>
      <c r="I309" s="412"/>
      <c r="J309" s="350"/>
      <c r="K309" s="350"/>
      <c r="L309" s="350"/>
      <c r="M309" s="350"/>
      <c r="N309" s="350"/>
      <c r="O309" s="350"/>
      <c r="P309" s="351"/>
      <c r="Q309" s="412"/>
      <c r="R309" s="350"/>
      <c r="S309" s="350"/>
      <c r="T309" s="350"/>
      <c r="U309" s="350"/>
      <c r="V309" s="350"/>
      <c r="W309" s="350"/>
      <c r="X309" s="351"/>
      <c r="Y309" s="412"/>
      <c r="Z309" s="351"/>
      <c r="AA309" s="412"/>
      <c r="AB309" s="350"/>
      <c r="AC309" s="350"/>
      <c r="AD309" s="351"/>
      <c r="AE309" s="412"/>
      <c r="AF309" s="350"/>
      <c r="AG309" s="351"/>
      <c r="AH309" s="412"/>
      <c r="AI309" s="350"/>
      <c r="AJ309" s="351"/>
      <c r="AK309" s="412"/>
      <c r="AL309" s="350"/>
      <c r="AM309" s="350"/>
      <c r="AN309" s="351"/>
      <c r="AO309" s="412"/>
      <c r="AP309" s="350"/>
      <c r="AQ309" s="350"/>
      <c r="AR309" s="350"/>
      <c r="AS309" s="350"/>
      <c r="AT309" s="350"/>
      <c r="AU309" s="350"/>
      <c r="AV309" s="351"/>
      <c r="AW309" s="723"/>
      <c r="AX309" s="350"/>
      <c r="AY309" s="351"/>
      <c r="AZ309" s="412"/>
      <c r="BA309" s="350"/>
      <c r="BB309" s="350"/>
      <c r="BC309" s="350"/>
      <c r="BD309" s="350"/>
      <c r="BE309" s="350"/>
      <c r="BF309" s="350"/>
      <c r="BG309" s="350"/>
      <c r="BH309" s="350"/>
      <c r="BI309" s="350"/>
      <c r="BJ309" s="350"/>
      <c r="BK309" s="350"/>
      <c r="BL309" s="350"/>
      <c r="BM309" s="350"/>
      <c r="BN309" s="350"/>
      <c r="BO309" s="351"/>
    </row>
    <row r="310" spans="1:67" ht="34.5" customHeight="1">
      <c r="A310" s="98">
        <f t="shared" si="1"/>
        <v>298</v>
      </c>
      <c r="B310" s="416" t="s">
        <v>325</v>
      </c>
      <c r="C310" s="351"/>
      <c r="D310" s="594"/>
      <c r="E310" s="350"/>
      <c r="F310" s="350"/>
      <c r="G310" s="350"/>
      <c r="H310" s="351"/>
      <c r="I310" s="368"/>
      <c r="J310" s="350"/>
      <c r="K310" s="350"/>
      <c r="L310" s="350"/>
      <c r="M310" s="350"/>
      <c r="N310" s="350"/>
      <c r="O310" s="350"/>
      <c r="P310" s="351"/>
      <c r="Q310" s="511"/>
      <c r="R310" s="350"/>
      <c r="S310" s="350"/>
      <c r="T310" s="350"/>
      <c r="U310" s="350"/>
      <c r="V310" s="350"/>
      <c r="W310" s="350"/>
      <c r="X310" s="351"/>
      <c r="Y310" s="368"/>
      <c r="Z310" s="351"/>
      <c r="AA310" s="511"/>
      <c r="AB310" s="350"/>
      <c r="AC310" s="350"/>
      <c r="AD310" s="351"/>
      <c r="AE310" s="368"/>
      <c r="AF310" s="350"/>
      <c r="AG310" s="351"/>
      <c r="AH310" s="511"/>
      <c r="AI310" s="350"/>
      <c r="AJ310" s="351"/>
      <c r="AK310" s="368"/>
      <c r="AL310" s="350"/>
      <c r="AM310" s="350"/>
      <c r="AN310" s="351"/>
      <c r="AO310" s="511"/>
      <c r="AP310" s="350"/>
      <c r="AQ310" s="350"/>
      <c r="AR310" s="350"/>
      <c r="AS310" s="350"/>
      <c r="AT310" s="350"/>
      <c r="AU310" s="350"/>
      <c r="AV310" s="351"/>
      <c r="AW310" s="725"/>
      <c r="AX310" s="350"/>
      <c r="AY310" s="351"/>
      <c r="AZ310" s="511"/>
      <c r="BA310" s="350"/>
      <c r="BB310" s="350"/>
      <c r="BC310" s="350"/>
      <c r="BD310" s="350"/>
      <c r="BE310" s="350"/>
      <c r="BF310" s="350"/>
      <c r="BG310" s="350"/>
      <c r="BH310" s="350"/>
      <c r="BI310" s="350"/>
      <c r="BJ310" s="350"/>
      <c r="BK310" s="350"/>
      <c r="BL310" s="350"/>
      <c r="BM310" s="350"/>
      <c r="BN310" s="350"/>
      <c r="BO310" s="351"/>
    </row>
    <row r="311" spans="1:67" ht="34.5" customHeight="1">
      <c r="A311" s="98">
        <f t="shared" si="1"/>
        <v>299</v>
      </c>
      <c r="B311" s="416" t="s">
        <v>325</v>
      </c>
      <c r="C311" s="351"/>
      <c r="D311" s="724"/>
      <c r="E311" s="350"/>
      <c r="F311" s="350"/>
      <c r="G311" s="350"/>
      <c r="H311" s="351"/>
      <c r="I311" s="412"/>
      <c r="J311" s="350"/>
      <c r="K311" s="350"/>
      <c r="L311" s="350"/>
      <c r="M311" s="350"/>
      <c r="N311" s="350"/>
      <c r="O311" s="350"/>
      <c r="P311" s="351"/>
      <c r="Q311" s="412"/>
      <c r="R311" s="350"/>
      <c r="S311" s="350"/>
      <c r="T311" s="350"/>
      <c r="U311" s="350"/>
      <c r="V311" s="350"/>
      <c r="W311" s="350"/>
      <c r="X311" s="351"/>
      <c r="Y311" s="412"/>
      <c r="Z311" s="351"/>
      <c r="AA311" s="412"/>
      <c r="AB311" s="350"/>
      <c r="AC311" s="350"/>
      <c r="AD311" s="351"/>
      <c r="AE311" s="412"/>
      <c r="AF311" s="350"/>
      <c r="AG311" s="351"/>
      <c r="AH311" s="412"/>
      <c r="AI311" s="350"/>
      <c r="AJ311" s="351"/>
      <c r="AK311" s="412"/>
      <c r="AL311" s="350"/>
      <c r="AM311" s="350"/>
      <c r="AN311" s="351"/>
      <c r="AO311" s="412"/>
      <c r="AP311" s="350"/>
      <c r="AQ311" s="350"/>
      <c r="AR311" s="350"/>
      <c r="AS311" s="350"/>
      <c r="AT311" s="350"/>
      <c r="AU311" s="350"/>
      <c r="AV311" s="351"/>
      <c r="AW311" s="723"/>
      <c r="AX311" s="350"/>
      <c r="AY311" s="351"/>
      <c r="AZ311" s="412"/>
      <c r="BA311" s="350"/>
      <c r="BB311" s="350"/>
      <c r="BC311" s="350"/>
      <c r="BD311" s="350"/>
      <c r="BE311" s="350"/>
      <c r="BF311" s="350"/>
      <c r="BG311" s="350"/>
      <c r="BH311" s="350"/>
      <c r="BI311" s="350"/>
      <c r="BJ311" s="350"/>
      <c r="BK311" s="350"/>
      <c r="BL311" s="350"/>
      <c r="BM311" s="350"/>
      <c r="BN311" s="350"/>
      <c r="BO311" s="351"/>
    </row>
    <row r="312" spans="1:67" ht="34.5" customHeight="1">
      <c r="A312" s="98">
        <f t="shared" si="1"/>
        <v>300</v>
      </c>
      <c r="B312" s="416" t="s">
        <v>325</v>
      </c>
      <c r="C312" s="351"/>
      <c r="D312" s="594"/>
      <c r="E312" s="350"/>
      <c r="F312" s="350"/>
      <c r="G312" s="350"/>
      <c r="H312" s="351"/>
      <c r="I312" s="368"/>
      <c r="J312" s="350"/>
      <c r="K312" s="350"/>
      <c r="L312" s="350"/>
      <c r="M312" s="350"/>
      <c r="N312" s="350"/>
      <c r="O312" s="350"/>
      <c r="P312" s="351"/>
      <c r="Q312" s="511"/>
      <c r="R312" s="350"/>
      <c r="S312" s="350"/>
      <c r="T312" s="350"/>
      <c r="U312" s="350"/>
      <c r="V312" s="350"/>
      <c r="W312" s="350"/>
      <c r="X312" s="351"/>
      <c r="Y312" s="368"/>
      <c r="Z312" s="351"/>
      <c r="AA312" s="511"/>
      <c r="AB312" s="350"/>
      <c r="AC312" s="350"/>
      <c r="AD312" s="351"/>
      <c r="AE312" s="368"/>
      <c r="AF312" s="350"/>
      <c r="AG312" s="351"/>
      <c r="AH312" s="511"/>
      <c r="AI312" s="350"/>
      <c r="AJ312" s="351"/>
      <c r="AK312" s="368"/>
      <c r="AL312" s="350"/>
      <c r="AM312" s="350"/>
      <c r="AN312" s="351"/>
      <c r="AO312" s="511"/>
      <c r="AP312" s="350"/>
      <c r="AQ312" s="350"/>
      <c r="AR312" s="350"/>
      <c r="AS312" s="350"/>
      <c r="AT312" s="350"/>
      <c r="AU312" s="350"/>
      <c r="AV312" s="351"/>
      <c r="AW312" s="725"/>
      <c r="AX312" s="350"/>
      <c r="AY312" s="351"/>
      <c r="AZ312" s="511"/>
      <c r="BA312" s="350"/>
      <c r="BB312" s="350"/>
      <c r="BC312" s="350"/>
      <c r="BD312" s="350"/>
      <c r="BE312" s="350"/>
      <c r="BF312" s="350"/>
      <c r="BG312" s="350"/>
      <c r="BH312" s="350"/>
      <c r="BI312" s="350"/>
      <c r="BJ312" s="350"/>
      <c r="BK312" s="350"/>
      <c r="BL312" s="350"/>
      <c r="BM312" s="350"/>
      <c r="BN312" s="350"/>
      <c r="BO312" s="351"/>
    </row>
    <row r="313" spans="1:67" ht="34.5" customHeight="1">
      <c r="A313" s="98">
        <f t="shared" si="1"/>
        <v>301</v>
      </c>
      <c r="B313" s="416" t="s">
        <v>325</v>
      </c>
      <c r="C313" s="351"/>
      <c r="D313" s="724"/>
      <c r="E313" s="350"/>
      <c r="F313" s="350"/>
      <c r="G313" s="350"/>
      <c r="H313" s="351"/>
      <c r="I313" s="412"/>
      <c r="J313" s="350"/>
      <c r="K313" s="350"/>
      <c r="L313" s="350"/>
      <c r="M313" s="350"/>
      <c r="N313" s="350"/>
      <c r="O313" s="350"/>
      <c r="P313" s="351"/>
      <c r="Q313" s="412"/>
      <c r="R313" s="350"/>
      <c r="S313" s="350"/>
      <c r="T313" s="350"/>
      <c r="U313" s="350"/>
      <c r="V313" s="350"/>
      <c r="W313" s="350"/>
      <c r="X313" s="351"/>
      <c r="Y313" s="412"/>
      <c r="Z313" s="351"/>
      <c r="AA313" s="412"/>
      <c r="AB313" s="350"/>
      <c r="AC313" s="350"/>
      <c r="AD313" s="351"/>
      <c r="AE313" s="412"/>
      <c r="AF313" s="350"/>
      <c r="AG313" s="351"/>
      <c r="AH313" s="412"/>
      <c r="AI313" s="350"/>
      <c r="AJ313" s="351"/>
      <c r="AK313" s="412"/>
      <c r="AL313" s="350"/>
      <c r="AM313" s="350"/>
      <c r="AN313" s="351"/>
      <c r="AO313" s="412"/>
      <c r="AP313" s="350"/>
      <c r="AQ313" s="350"/>
      <c r="AR313" s="350"/>
      <c r="AS313" s="350"/>
      <c r="AT313" s="350"/>
      <c r="AU313" s="350"/>
      <c r="AV313" s="351"/>
      <c r="AW313" s="723"/>
      <c r="AX313" s="350"/>
      <c r="AY313" s="351"/>
      <c r="AZ313" s="412"/>
      <c r="BA313" s="350"/>
      <c r="BB313" s="350"/>
      <c r="BC313" s="350"/>
      <c r="BD313" s="350"/>
      <c r="BE313" s="350"/>
      <c r="BF313" s="350"/>
      <c r="BG313" s="350"/>
      <c r="BH313" s="350"/>
      <c r="BI313" s="350"/>
      <c r="BJ313" s="350"/>
      <c r="BK313" s="350"/>
      <c r="BL313" s="350"/>
      <c r="BM313" s="350"/>
      <c r="BN313" s="350"/>
      <c r="BO313" s="351"/>
    </row>
    <row r="314" spans="1:67" ht="34.5" customHeight="1">
      <c r="A314" s="98">
        <f t="shared" si="1"/>
        <v>302</v>
      </c>
      <c r="B314" s="416" t="s">
        <v>325</v>
      </c>
      <c r="C314" s="351"/>
      <c r="D314" s="594"/>
      <c r="E314" s="350"/>
      <c r="F314" s="350"/>
      <c r="G314" s="350"/>
      <c r="H314" s="351"/>
      <c r="I314" s="368"/>
      <c r="J314" s="350"/>
      <c r="K314" s="350"/>
      <c r="L314" s="350"/>
      <c r="M314" s="350"/>
      <c r="N314" s="350"/>
      <c r="O314" s="350"/>
      <c r="P314" s="351"/>
      <c r="Q314" s="511"/>
      <c r="R314" s="350"/>
      <c r="S314" s="350"/>
      <c r="T314" s="350"/>
      <c r="U314" s="350"/>
      <c r="V314" s="350"/>
      <c r="W314" s="350"/>
      <c r="X314" s="351"/>
      <c r="Y314" s="368"/>
      <c r="Z314" s="351"/>
      <c r="AA314" s="511"/>
      <c r="AB314" s="350"/>
      <c r="AC314" s="350"/>
      <c r="AD314" s="351"/>
      <c r="AE314" s="368"/>
      <c r="AF314" s="350"/>
      <c r="AG314" s="351"/>
      <c r="AH314" s="511"/>
      <c r="AI314" s="350"/>
      <c r="AJ314" s="351"/>
      <c r="AK314" s="368"/>
      <c r="AL314" s="350"/>
      <c r="AM314" s="350"/>
      <c r="AN314" s="351"/>
      <c r="AO314" s="511"/>
      <c r="AP314" s="350"/>
      <c r="AQ314" s="350"/>
      <c r="AR314" s="350"/>
      <c r="AS314" s="350"/>
      <c r="AT314" s="350"/>
      <c r="AU314" s="350"/>
      <c r="AV314" s="351"/>
      <c r="AW314" s="725"/>
      <c r="AX314" s="350"/>
      <c r="AY314" s="351"/>
      <c r="AZ314" s="511"/>
      <c r="BA314" s="350"/>
      <c r="BB314" s="350"/>
      <c r="BC314" s="350"/>
      <c r="BD314" s="350"/>
      <c r="BE314" s="350"/>
      <c r="BF314" s="350"/>
      <c r="BG314" s="350"/>
      <c r="BH314" s="350"/>
      <c r="BI314" s="350"/>
      <c r="BJ314" s="350"/>
      <c r="BK314" s="350"/>
      <c r="BL314" s="350"/>
      <c r="BM314" s="350"/>
      <c r="BN314" s="350"/>
      <c r="BO314" s="351"/>
    </row>
    <row r="315" spans="1:67" ht="34.5" customHeight="1">
      <c r="A315" s="98">
        <f t="shared" si="1"/>
        <v>303</v>
      </c>
      <c r="B315" s="416" t="s">
        <v>325</v>
      </c>
      <c r="C315" s="351"/>
      <c r="D315" s="724"/>
      <c r="E315" s="350"/>
      <c r="F315" s="350"/>
      <c r="G315" s="350"/>
      <c r="H315" s="351"/>
      <c r="I315" s="412"/>
      <c r="J315" s="350"/>
      <c r="K315" s="350"/>
      <c r="L315" s="350"/>
      <c r="M315" s="350"/>
      <c r="N315" s="350"/>
      <c r="O315" s="350"/>
      <c r="P315" s="351"/>
      <c r="Q315" s="412"/>
      <c r="R315" s="350"/>
      <c r="S315" s="350"/>
      <c r="T315" s="350"/>
      <c r="U315" s="350"/>
      <c r="V315" s="350"/>
      <c r="W315" s="350"/>
      <c r="X315" s="351"/>
      <c r="Y315" s="412"/>
      <c r="Z315" s="351"/>
      <c r="AA315" s="412"/>
      <c r="AB315" s="350"/>
      <c r="AC315" s="350"/>
      <c r="AD315" s="351"/>
      <c r="AE315" s="412"/>
      <c r="AF315" s="350"/>
      <c r="AG315" s="351"/>
      <c r="AH315" s="412"/>
      <c r="AI315" s="350"/>
      <c r="AJ315" s="351"/>
      <c r="AK315" s="412"/>
      <c r="AL315" s="350"/>
      <c r="AM315" s="350"/>
      <c r="AN315" s="351"/>
      <c r="AO315" s="412"/>
      <c r="AP315" s="350"/>
      <c r="AQ315" s="350"/>
      <c r="AR315" s="350"/>
      <c r="AS315" s="350"/>
      <c r="AT315" s="350"/>
      <c r="AU315" s="350"/>
      <c r="AV315" s="351"/>
      <c r="AW315" s="723"/>
      <c r="AX315" s="350"/>
      <c r="AY315" s="351"/>
      <c r="AZ315" s="412"/>
      <c r="BA315" s="350"/>
      <c r="BB315" s="350"/>
      <c r="BC315" s="350"/>
      <c r="BD315" s="350"/>
      <c r="BE315" s="350"/>
      <c r="BF315" s="350"/>
      <c r="BG315" s="350"/>
      <c r="BH315" s="350"/>
      <c r="BI315" s="350"/>
      <c r="BJ315" s="350"/>
      <c r="BK315" s="350"/>
      <c r="BL315" s="350"/>
      <c r="BM315" s="350"/>
      <c r="BN315" s="350"/>
      <c r="BO315" s="351"/>
    </row>
    <row r="316" spans="1:67" ht="34.5" customHeight="1">
      <c r="A316" s="98">
        <f t="shared" si="1"/>
        <v>304</v>
      </c>
      <c r="B316" s="416" t="s">
        <v>325</v>
      </c>
      <c r="C316" s="351"/>
      <c r="D316" s="594"/>
      <c r="E316" s="350"/>
      <c r="F316" s="350"/>
      <c r="G316" s="350"/>
      <c r="H316" s="351"/>
      <c r="I316" s="368"/>
      <c r="J316" s="350"/>
      <c r="K316" s="350"/>
      <c r="L316" s="350"/>
      <c r="M316" s="350"/>
      <c r="N316" s="350"/>
      <c r="O316" s="350"/>
      <c r="P316" s="351"/>
      <c r="Q316" s="511"/>
      <c r="R316" s="350"/>
      <c r="S316" s="350"/>
      <c r="T316" s="350"/>
      <c r="U316" s="350"/>
      <c r="V316" s="350"/>
      <c r="W316" s="350"/>
      <c r="X316" s="351"/>
      <c r="Y316" s="368"/>
      <c r="Z316" s="351"/>
      <c r="AA316" s="511"/>
      <c r="AB316" s="350"/>
      <c r="AC316" s="350"/>
      <c r="AD316" s="351"/>
      <c r="AE316" s="368"/>
      <c r="AF316" s="350"/>
      <c r="AG316" s="351"/>
      <c r="AH316" s="511"/>
      <c r="AI316" s="350"/>
      <c r="AJ316" s="351"/>
      <c r="AK316" s="368"/>
      <c r="AL316" s="350"/>
      <c r="AM316" s="350"/>
      <c r="AN316" s="351"/>
      <c r="AO316" s="511"/>
      <c r="AP316" s="350"/>
      <c r="AQ316" s="350"/>
      <c r="AR316" s="350"/>
      <c r="AS316" s="350"/>
      <c r="AT316" s="350"/>
      <c r="AU316" s="350"/>
      <c r="AV316" s="351"/>
      <c r="AW316" s="725"/>
      <c r="AX316" s="350"/>
      <c r="AY316" s="351"/>
      <c r="AZ316" s="511"/>
      <c r="BA316" s="350"/>
      <c r="BB316" s="350"/>
      <c r="BC316" s="350"/>
      <c r="BD316" s="350"/>
      <c r="BE316" s="350"/>
      <c r="BF316" s="350"/>
      <c r="BG316" s="350"/>
      <c r="BH316" s="350"/>
      <c r="BI316" s="350"/>
      <c r="BJ316" s="350"/>
      <c r="BK316" s="350"/>
      <c r="BL316" s="350"/>
      <c r="BM316" s="350"/>
      <c r="BN316" s="350"/>
      <c r="BO316" s="351"/>
    </row>
    <row r="317" spans="1:67" ht="34.5" customHeight="1">
      <c r="A317" s="98">
        <f t="shared" si="1"/>
        <v>305</v>
      </c>
      <c r="B317" s="416" t="s">
        <v>325</v>
      </c>
      <c r="C317" s="351"/>
      <c r="D317" s="724"/>
      <c r="E317" s="350"/>
      <c r="F317" s="350"/>
      <c r="G317" s="350"/>
      <c r="H317" s="351"/>
      <c r="I317" s="412"/>
      <c r="J317" s="350"/>
      <c r="K317" s="350"/>
      <c r="L317" s="350"/>
      <c r="M317" s="350"/>
      <c r="N317" s="350"/>
      <c r="O317" s="350"/>
      <c r="P317" s="351"/>
      <c r="Q317" s="412"/>
      <c r="R317" s="350"/>
      <c r="S317" s="350"/>
      <c r="T317" s="350"/>
      <c r="U317" s="350"/>
      <c r="V317" s="350"/>
      <c r="W317" s="350"/>
      <c r="X317" s="351"/>
      <c r="Y317" s="412"/>
      <c r="Z317" s="351"/>
      <c r="AA317" s="412"/>
      <c r="AB317" s="350"/>
      <c r="AC317" s="350"/>
      <c r="AD317" s="351"/>
      <c r="AE317" s="412"/>
      <c r="AF317" s="350"/>
      <c r="AG317" s="351"/>
      <c r="AH317" s="412"/>
      <c r="AI317" s="350"/>
      <c r="AJ317" s="351"/>
      <c r="AK317" s="412"/>
      <c r="AL317" s="350"/>
      <c r="AM317" s="350"/>
      <c r="AN317" s="351"/>
      <c r="AO317" s="412"/>
      <c r="AP317" s="350"/>
      <c r="AQ317" s="350"/>
      <c r="AR317" s="350"/>
      <c r="AS317" s="350"/>
      <c r="AT317" s="350"/>
      <c r="AU317" s="350"/>
      <c r="AV317" s="351"/>
      <c r="AW317" s="723"/>
      <c r="AX317" s="350"/>
      <c r="AY317" s="351"/>
      <c r="AZ317" s="412"/>
      <c r="BA317" s="350"/>
      <c r="BB317" s="350"/>
      <c r="BC317" s="350"/>
      <c r="BD317" s="350"/>
      <c r="BE317" s="350"/>
      <c r="BF317" s="350"/>
      <c r="BG317" s="350"/>
      <c r="BH317" s="350"/>
      <c r="BI317" s="350"/>
      <c r="BJ317" s="350"/>
      <c r="BK317" s="350"/>
      <c r="BL317" s="350"/>
      <c r="BM317" s="350"/>
      <c r="BN317" s="350"/>
      <c r="BO317" s="351"/>
    </row>
    <row r="318" spans="1:67" ht="34.5" customHeight="1">
      <c r="A318" s="98">
        <f t="shared" si="1"/>
        <v>306</v>
      </c>
      <c r="B318" s="416" t="s">
        <v>325</v>
      </c>
      <c r="C318" s="351"/>
      <c r="D318" s="594"/>
      <c r="E318" s="350"/>
      <c r="F318" s="350"/>
      <c r="G318" s="350"/>
      <c r="H318" s="351"/>
      <c r="I318" s="368"/>
      <c r="J318" s="350"/>
      <c r="K318" s="350"/>
      <c r="L318" s="350"/>
      <c r="M318" s="350"/>
      <c r="N318" s="350"/>
      <c r="O318" s="350"/>
      <c r="P318" s="351"/>
      <c r="Q318" s="511"/>
      <c r="R318" s="350"/>
      <c r="S318" s="350"/>
      <c r="T318" s="350"/>
      <c r="U318" s="350"/>
      <c r="V318" s="350"/>
      <c r="W318" s="350"/>
      <c r="X318" s="351"/>
      <c r="Y318" s="368"/>
      <c r="Z318" s="351"/>
      <c r="AA318" s="511"/>
      <c r="AB318" s="350"/>
      <c r="AC318" s="350"/>
      <c r="AD318" s="351"/>
      <c r="AE318" s="368"/>
      <c r="AF318" s="350"/>
      <c r="AG318" s="351"/>
      <c r="AH318" s="511"/>
      <c r="AI318" s="350"/>
      <c r="AJ318" s="351"/>
      <c r="AK318" s="368"/>
      <c r="AL318" s="350"/>
      <c r="AM318" s="350"/>
      <c r="AN318" s="351"/>
      <c r="AO318" s="511"/>
      <c r="AP318" s="350"/>
      <c r="AQ318" s="350"/>
      <c r="AR318" s="350"/>
      <c r="AS318" s="350"/>
      <c r="AT318" s="350"/>
      <c r="AU318" s="350"/>
      <c r="AV318" s="351"/>
      <c r="AW318" s="725"/>
      <c r="AX318" s="350"/>
      <c r="AY318" s="351"/>
      <c r="AZ318" s="511"/>
      <c r="BA318" s="350"/>
      <c r="BB318" s="350"/>
      <c r="BC318" s="350"/>
      <c r="BD318" s="350"/>
      <c r="BE318" s="350"/>
      <c r="BF318" s="350"/>
      <c r="BG318" s="350"/>
      <c r="BH318" s="350"/>
      <c r="BI318" s="350"/>
      <c r="BJ318" s="350"/>
      <c r="BK318" s="350"/>
      <c r="BL318" s="350"/>
      <c r="BM318" s="350"/>
      <c r="BN318" s="350"/>
      <c r="BO318" s="351"/>
    </row>
    <row r="319" spans="1:67" ht="34.5" customHeight="1">
      <c r="A319" s="98">
        <f t="shared" si="1"/>
        <v>307</v>
      </c>
      <c r="B319" s="416" t="s">
        <v>325</v>
      </c>
      <c r="C319" s="351"/>
      <c r="D319" s="724"/>
      <c r="E319" s="350"/>
      <c r="F319" s="350"/>
      <c r="G319" s="350"/>
      <c r="H319" s="351"/>
      <c r="I319" s="412"/>
      <c r="J319" s="350"/>
      <c r="K319" s="350"/>
      <c r="L319" s="350"/>
      <c r="M319" s="350"/>
      <c r="N319" s="350"/>
      <c r="O319" s="350"/>
      <c r="P319" s="351"/>
      <c r="Q319" s="412"/>
      <c r="R319" s="350"/>
      <c r="S319" s="350"/>
      <c r="T319" s="350"/>
      <c r="U319" s="350"/>
      <c r="V319" s="350"/>
      <c r="W319" s="350"/>
      <c r="X319" s="351"/>
      <c r="Y319" s="412"/>
      <c r="Z319" s="351"/>
      <c r="AA319" s="412"/>
      <c r="AB319" s="350"/>
      <c r="AC319" s="350"/>
      <c r="AD319" s="351"/>
      <c r="AE319" s="412"/>
      <c r="AF319" s="350"/>
      <c r="AG319" s="351"/>
      <c r="AH319" s="412"/>
      <c r="AI319" s="350"/>
      <c r="AJ319" s="351"/>
      <c r="AK319" s="412"/>
      <c r="AL319" s="350"/>
      <c r="AM319" s="350"/>
      <c r="AN319" s="351"/>
      <c r="AO319" s="412"/>
      <c r="AP319" s="350"/>
      <c r="AQ319" s="350"/>
      <c r="AR319" s="350"/>
      <c r="AS319" s="350"/>
      <c r="AT319" s="350"/>
      <c r="AU319" s="350"/>
      <c r="AV319" s="351"/>
      <c r="AW319" s="723"/>
      <c r="AX319" s="350"/>
      <c r="AY319" s="351"/>
      <c r="AZ319" s="412"/>
      <c r="BA319" s="350"/>
      <c r="BB319" s="350"/>
      <c r="BC319" s="350"/>
      <c r="BD319" s="350"/>
      <c r="BE319" s="350"/>
      <c r="BF319" s="350"/>
      <c r="BG319" s="350"/>
      <c r="BH319" s="350"/>
      <c r="BI319" s="350"/>
      <c r="BJ319" s="350"/>
      <c r="BK319" s="350"/>
      <c r="BL319" s="350"/>
      <c r="BM319" s="350"/>
      <c r="BN319" s="350"/>
      <c r="BO319" s="351"/>
    </row>
    <row r="320" spans="1:67" ht="34.5" customHeight="1">
      <c r="A320" s="98">
        <f t="shared" si="1"/>
        <v>308</v>
      </c>
      <c r="B320" s="726" t="s">
        <v>325</v>
      </c>
      <c r="C320" s="351"/>
      <c r="D320" s="594"/>
      <c r="E320" s="350"/>
      <c r="F320" s="350"/>
      <c r="G320" s="350"/>
      <c r="H320" s="351"/>
      <c r="I320" s="368"/>
      <c r="J320" s="350"/>
      <c r="K320" s="350"/>
      <c r="L320" s="350"/>
      <c r="M320" s="350"/>
      <c r="N320" s="350"/>
      <c r="O320" s="350"/>
      <c r="P320" s="351"/>
      <c r="Q320" s="511"/>
      <c r="R320" s="350"/>
      <c r="S320" s="350"/>
      <c r="T320" s="350"/>
      <c r="U320" s="350"/>
      <c r="V320" s="350"/>
      <c r="W320" s="350"/>
      <c r="X320" s="351"/>
      <c r="Y320" s="368"/>
      <c r="Z320" s="351"/>
      <c r="AA320" s="511"/>
      <c r="AB320" s="350"/>
      <c r="AC320" s="350"/>
      <c r="AD320" s="351"/>
      <c r="AE320" s="368"/>
      <c r="AF320" s="350"/>
      <c r="AG320" s="351"/>
      <c r="AH320" s="511"/>
      <c r="AI320" s="350"/>
      <c r="AJ320" s="351"/>
      <c r="AK320" s="368"/>
      <c r="AL320" s="350"/>
      <c r="AM320" s="350"/>
      <c r="AN320" s="351"/>
      <c r="AO320" s="511"/>
      <c r="AP320" s="350"/>
      <c r="AQ320" s="350"/>
      <c r="AR320" s="350"/>
      <c r="AS320" s="350"/>
      <c r="AT320" s="350"/>
      <c r="AU320" s="350"/>
      <c r="AV320" s="351"/>
      <c r="AW320" s="725"/>
      <c r="AX320" s="350"/>
      <c r="AY320" s="351"/>
      <c r="AZ320" s="511"/>
      <c r="BA320" s="350"/>
      <c r="BB320" s="350"/>
      <c r="BC320" s="350"/>
      <c r="BD320" s="350"/>
      <c r="BE320" s="350"/>
      <c r="BF320" s="350"/>
      <c r="BG320" s="350"/>
      <c r="BH320" s="350"/>
      <c r="BI320" s="350"/>
      <c r="BJ320" s="350"/>
      <c r="BK320" s="350"/>
      <c r="BL320" s="350"/>
      <c r="BM320" s="350"/>
      <c r="BN320" s="350"/>
      <c r="BO320" s="351"/>
    </row>
    <row r="321" spans="1:67" ht="34.5" customHeight="1">
      <c r="A321" s="98">
        <f t="shared" si="1"/>
        <v>309</v>
      </c>
      <c r="B321" s="416" t="s">
        <v>325</v>
      </c>
      <c r="C321" s="351"/>
      <c r="D321" s="724"/>
      <c r="E321" s="350"/>
      <c r="F321" s="350"/>
      <c r="G321" s="350"/>
      <c r="H321" s="351"/>
      <c r="I321" s="412"/>
      <c r="J321" s="350"/>
      <c r="K321" s="350"/>
      <c r="L321" s="350"/>
      <c r="M321" s="350"/>
      <c r="N321" s="350"/>
      <c r="O321" s="350"/>
      <c r="P321" s="351"/>
      <c r="Q321" s="412"/>
      <c r="R321" s="350"/>
      <c r="S321" s="350"/>
      <c r="T321" s="350"/>
      <c r="U321" s="350"/>
      <c r="V321" s="350"/>
      <c r="W321" s="350"/>
      <c r="X321" s="351"/>
      <c r="Y321" s="412"/>
      <c r="Z321" s="351"/>
      <c r="AA321" s="412"/>
      <c r="AB321" s="350"/>
      <c r="AC321" s="350"/>
      <c r="AD321" s="351"/>
      <c r="AE321" s="412"/>
      <c r="AF321" s="350"/>
      <c r="AG321" s="351"/>
      <c r="AH321" s="412"/>
      <c r="AI321" s="350"/>
      <c r="AJ321" s="351"/>
      <c r="AK321" s="412"/>
      <c r="AL321" s="350"/>
      <c r="AM321" s="350"/>
      <c r="AN321" s="351"/>
      <c r="AO321" s="412"/>
      <c r="AP321" s="350"/>
      <c r="AQ321" s="350"/>
      <c r="AR321" s="350"/>
      <c r="AS321" s="350"/>
      <c r="AT321" s="350"/>
      <c r="AU321" s="350"/>
      <c r="AV321" s="351"/>
      <c r="AW321" s="723"/>
      <c r="AX321" s="350"/>
      <c r="AY321" s="351"/>
      <c r="AZ321" s="412"/>
      <c r="BA321" s="350"/>
      <c r="BB321" s="350"/>
      <c r="BC321" s="350"/>
      <c r="BD321" s="350"/>
      <c r="BE321" s="350"/>
      <c r="BF321" s="350"/>
      <c r="BG321" s="350"/>
      <c r="BH321" s="350"/>
      <c r="BI321" s="350"/>
      <c r="BJ321" s="350"/>
      <c r="BK321" s="350"/>
      <c r="BL321" s="350"/>
      <c r="BM321" s="350"/>
      <c r="BN321" s="350"/>
      <c r="BO321" s="351"/>
    </row>
    <row r="322" spans="1:67" ht="34.5" customHeight="1">
      <c r="A322" s="98">
        <f t="shared" si="1"/>
        <v>310</v>
      </c>
      <c r="B322" s="416" t="s">
        <v>325</v>
      </c>
      <c r="C322" s="351"/>
      <c r="D322" s="594"/>
      <c r="E322" s="350"/>
      <c r="F322" s="350"/>
      <c r="G322" s="350"/>
      <c r="H322" s="351"/>
      <c r="I322" s="368"/>
      <c r="J322" s="350"/>
      <c r="K322" s="350"/>
      <c r="L322" s="350"/>
      <c r="M322" s="350"/>
      <c r="N322" s="350"/>
      <c r="O322" s="350"/>
      <c r="P322" s="351"/>
      <c r="Q322" s="511"/>
      <c r="R322" s="350"/>
      <c r="S322" s="350"/>
      <c r="T322" s="350"/>
      <c r="U322" s="350"/>
      <c r="V322" s="350"/>
      <c r="W322" s="350"/>
      <c r="X322" s="351"/>
      <c r="Y322" s="368"/>
      <c r="Z322" s="351"/>
      <c r="AA322" s="511"/>
      <c r="AB322" s="350"/>
      <c r="AC322" s="350"/>
      <c r="AD322" s="351"/>
      <c r="AE322" s="368"/>
      <c r="AF322" s="350"/>
      <c r="AG322" s="351"/>
      <c r="AH322" s="511"/>
      <c r="AI322" s="350"/>
      <c r="AJ322" s="351"/>
      <c r="AK322" s="368"/>
      <c r="AL322" s="350"/>
      <c r="AM322" s="350"/>
      <c r="AN322" s="351"/>
      <c r="AO322" s="511"/>
      <c r="AP322" s="350"/>
      <c r="AQ322" s="350"/>
      <c r="AR322" s="350"/>
      <c r="AS322" s="350"/>
      <c r="AT322" s="350"/>
      <c r="AU322" s="350"/>
      <c r="AV322" s="351"/>
      <c r="AW322" s="725"/>
      <c r="AX322" s="350"/>
      <c r="AY322" s="351"/>
      <c r="AZ322" s="511"/>
      <c r="BA322" s="350"/>
      <c r="BB322" s="350"/>
      <c r="BC322" s="350"/>
      <c r="BD322" s="350"/>
      <c r="BE322" s="350"/>
      <c r="BF322" s="350"/>
      <c r="BG322" s="350"/>
      <c r="BH322" s="350"/>
      <c r="BI322" s="350"/>
      <c r="BJ322" s="350"/>
      <c r="BK322" s="350"/>
      <c r="BL322" s="350"/>
      <c r="BM322" s="350"/>
      <c r="BN322" s="350"/>
      <c r="BO322" s="351"/>
    </row>
    <row r="323" spans="1:67" ht="34.5" customHeight="1">
      <c r="A323" s="98">
        <f t="shared" si="1"/>
        <v>311</v>
      </c>
      <c r="B323" s="416" t="s">
        <v>325</v>
      </c>
      <c r="C323" s="351"/>
      <c r="D323" s="724"/>
      <c r="E323" s="350"/>
      <c r="F323" s="350"/>
      <c r="G323" s="350"/>
      <c r="H323" s="351"/>
      <c r="I323" s="412"/>
      <c r="J323" s="350"/>
      <c r="K323" s="350"/>
      <c r="L323" s="350"/>
      <c r="M323" s="350"/>
      <c r="N323" s="350"/>
      <c r="O323" s="350"/>
      <c r="P323" s="351"/>
      <c r="Q323" s="412"/>
      <c r="R323" s="350"/>
      <c r="S323" s="350"/>
      <c r="T323" s="350"/>
      <c r="U323" s="350"/>
      <c r="V323" s="350"/>
      <c r="W323" s="350"/>
      <c r="X323" s="351"/>
      <c r="Y323" s="412"/>
      <c r="Z323" s="351"/>
      <c r="AA323" s="412"/>
      <c r="AB323" s="350"/>
      <c r="AC323" s="350"/>
      <c r="AD323" s="351"/>
      <c r="AE323" s="412"/>
      <c r="AF323" s="350"/>
      <c r="AG323" s="351"/>
      <c r="AH323" s="412"/>
      <c r="AI323" s="350"/>
      <c r="AJ323" s="351"/>
      <c r="AK323" s="412"/>
      <c r="AL323" s="350"/>
      <c r="AM323" s="350"/>
      <c r="AN323" s="351"/>
      <c r="AO323" s="412"/>
      <c r="AP323" s="350"/>
      <c r="AQ323" s="350"/>
      <c r="AR323" s="350"/>
      <c r="AS323" s="350"/>
      <c r="AT323" s="350"/>
      <c r="AU323" s="350"/>
      <c r="AV323" s="351"/>
      <c r="AW323" s="723"/>
      <c r="AX323" s="350"/>
      <c r="AY323" s="351"/>
      <c r="AZ323" s="412"/>
      <c r="BA323" s="350"/>
      <c r="BB323" s="350"/>
      <c r="BC323" s="350"/>
      <c r="BD323" s="350"/>
      <c r="BE323" s="350"/>
      <c r="BF323" s="350"/>
      <c r="BG323" s="350"/>
      <c r="BH323" s="350"/>
      <c r="BI323" s="350"/>
      <c r="BJ323" s="350"/>
      <c r="BK323" s="350"/>
      <c r="BL323" s="350"/>
      <c r="BM323" s="350"/>
      <c r="BN323" s="350"/>
      <c r="BO323" s="351"/>
    </row>
    <row r="324" spans="1:67" ht="34.5" customHeight="1">
      <c r="A324" s="98">
        <f t="shared" si="1"/>
        <v>312</v>
      </c>
      <c r="B324" s="416" t="s">
        <v>325</v>
      </c>
      <c r="C324" s="351"/>
      <c r="D324" s="594"/>
      <c r="E324" s="350"/>
      <c r="F324" s="350"/>
      <c r="G324" s="350"/>
      <c r="H324" s="351"/>
      <c r="I324" s="368"/>
      <c r="J324" s="350"/>
      <c r="K324" s="350"/>
      <c r="L324" s="350"/>
      <c r="M324" s="350"/>
      <c r="N324" s="350"/>
      <c r="O324" s="350"/>
      <c r="P324" s="351"/>
      <c r="Q324" s="511"/>
      <c r="R324" s="350"/>
      <c r="S324" s="350"/>
      <c r="T324" s="350"/>
      <c r="U324" s="350"/>
      <c r="V324" s="350"/>
      <c r="W324" s="350"/>
      <c r="X324" s="351"/>
      <c r="Y324" s="368"/>
      <c r="Z324" s="351"/>
      <c r="AA324" s="511"/>
      <c r="AB324" s="350"/>
      <c r="AC324" s="350"/>
      <c r="AD324" s="351"/>
      <c r="AE324" s="368"/>
      <c r="AF324" s="350"/>
      <c r="AG324" s="351"/>
      <c r="AH324" s="511"/>
      <c r="AI324" s="350"/>
      <c r="AJ324" s="351"/>
      <c r="AK324" s="368"/>
      <c r="AL324" s="350"/>
      <c r="AM324" s="350"/>
      <c r="AN324" s="351"/>
      <c r="AO324" s="511"/>
      <c r="AP324" s="350"/>
      <c r="AQ324" s="350"/>
      <c r="AR324" s="350"/>
      <c r="AS324" s="350"/>
      <c r="AT324" s="350"/>
      <c r="AU324" s="350"/>
      <c r="AV324" s="351"/>
      <c r="AW324" s="725"/>
      <c r="AX324" s="350"/>
      <c r="AY324" s="351"/>
      <c r="AZ324" s="511"/>
      <c r="BA324" s="350"/>
      <c r="BB324" s="350"/>
      <c r="BC324" s="350"/>
      <c r="BD324" s="350"/>
      <c r="BE324" s="350"/>
      <c r="BF324" s="350"/>
      <c r="BG324" s="350"/>
      <c r="BH324" s="350"/>
      <c r="BI324" s="350"/>
      <c r="BJ324" s="350"/>
      <c r="BK324" s="350"/>
      <c r="BL324" s="350"/>
      <c r="BM324" s="350"/>
      <c r="BN324" s="350"/>
      <c r="BO324" s="351"/>
    </row>
    <row r="325" spans="1:67" ht="34.5" customHeight="1">
      <c r="A325" s="98">
        <f t="shared" si="1"/>
        <v>313</v>
      </c>
      <c r="B325" s="416" t="s">
        <v>325</v>
      </c>
      <c r="C325" s="351"/>
      <c r="D325" s="724"/>
      <c r="E325" s="350"/>
      <c r="F325" s="350"/>
      <c r="G325" s="350"/>
      <c r="H325" s="351"/>
      <c r="I325" s="412"/>
      <c r="J325" s="350"/>
      <c r="K325" s="350"/>
      <c r="L325" s="350"/>
      <c r="M325" s="350"/>
      <c r="N325" s="350"/>
      <c r="O325" s="350"/>
      <c r="P325" s="351"/>
      <c r="Q325" s="412"/>
      <c r="R325" s="350"/>
      <c r="S325" s="350"/>
      <c r="T325" s="350"/>
      <c r="U325" s="350"/>
      <c r="V325" s="350"/>
      <c r="W325" s="350"/>
      <c r="X325" s="351"/>
      <c r="Y325" s="412"/>
      <c r="Z325" s="351"/>
      <c r="AA325" s="412"/>
      <c r="AB325" s="350"/>
      <c r="AC325" s="350"/>
      <c r="AD325" s="351"/>
      <c r="AE325" s="412"/>
      <c r="AF325" s="350"/>
      <c r="AG325" s="351"/>
      <c r="AH325" s="412"/>
      <c r="AI325" s="350"/>
      <c r="AJ325" s="351"/>
      <c r="AK325" s="412"/>
      <c r="AL325" s="350"/>
      <c r="AM325" s="350"/>
      <c r="AN325" s="351"/>
      <c r="AO325" s="412"/>
      <c r="AP325" s="350"/>
      <c r="AQ325" s="350"/>
      <c r="AR325" s="350"/>
      <c r="AS325" s="350"/>
      <c r="AT325" s="350"/>
      <c r="AU325" s="350"/>
      <c r="AV325" s="351"/>
      <c r="AW325" s="723"/>
      <c r="AX325" s="350"/>
      <c r="AY325" s="351"/>
      <c r="AZ325" s="412"/>
      <c r="BA325" s="350"/>
      <c r="BB325" s="350"/>
      <c r="BC325" s="350"/>
      <c r="BD325" s="350"/>
      <c r="BE325" s="350"/>
      <c r="BF325" s="350"/>
      <c r="BG325" s="350"/>
      <c r="BH325" s="350"/>
      <c r="BI325" s="350"/>
      <c r="BJ325" s="350"/>
      <c r="BK325" s="350"/>
      <c r="BL325" s="350"/>
      <c r="BM325" s="350"/>
      <c r="BN325" s="350"/>
      <c r="BO325" s="351"/>
    </row>
    <row r="326" spans="1:67" ht="34.5" customHeight="1">
      <c r="A326" s="98">
        <f t="shared" si="1"/>
        <v>314</v>
      </c>
      <c r="B326" s="416" t="s">
        <v>325</v>
      </c>
      <c r="C326" s="351"/>
      <c r="D326" s="594"/>
      <c r="E326" s="350"/>
      <c r="F326" s="350"/>
      <c r="G326" s="350"/>
      <c r="H326" s="351"/>
      <c r="I326" s="368"/>
      <c r="J326" s="350"/>
      <c r="K326" s="350"/>
      <c r="L326" s="350"/>
      <c r="M326" s="350"/>
      <c r="N326" s="350"/>
      <c r="O326" s="350"/>
      <c r="P326" s="351"/>
      <c r="Q326" s="511"/>
      <c r="R326" s="350"/>
      <c r="S326" s="350"/>
      <c r="T326" s="350"/>
      <c r="U326" s="350"/>
      <c r="V326" s="350"/>
      <c r="W326" s="350"/>
      <c r="X326" s="351"/>
      <c r="Y326" s="368"/>
      <c r="Z326" s="351"/>
      <c r="AA326" s="511"/>
      <c r="AB326" s="350"/>
      <c r="AC326" s="350"/>
      <c r="AD326" s="351"/>
      <c r="AE326" s="368"/>
      <c r="AF326" s="350"/>
      <c r="AG326" s="351"/>
      <c r="AH326" s="511"/>
      <c r="AI326" s="350"/>
      <c r="AJ326" s="351"/>
      <c r="AK326" s="368"/>
      <c r="AL326" s="350"/>
      <c r="AM326" s="350"/>
      <c r="AN326" s="351"/>
      <c r="AO326" s="511"/>
      <c r="AP326" s="350"/>
      <c r="AQ326" s="350"/>
      <c r="AR326" s="350"/>
      <c r="AS326" s="350"/>
      <c r="AT326" s="350"/>
      <c r="AU326" s="350"/>
      <c r="AV326" s="351"/>
      <c r="AW326" s="725"/>
      <c r="AX326" s="350"/>
      <c r="AY326" s="351"/>
      <c r="AZ326" s="511"/>
      <c r="BA326" s="350"/>
      <c r="BB326" s="350"/>
      <c r="BC326" s="350"/>
      <c r="BD326" s="350"/>
      <c r="BE326" s="350"/>
      <c r="BF326" s="350"/>
      <c r="BG326" s="350"/>
      <c r="BH326" s="350"/>
      <c r="BI326" s="350"/>
      <c r="BJ326" s="350"/>
      <c r="BK326" s="350"/>
      <c r="BL326" s="350"/>
      <c r="BM326" s="350"/>
      <c r="BN326" s="350"/>
      <c r="BO326" s="351"/>
    </row>
    <row r="327" spans="1:67" ht="34.5" customHeight="1">
      <c r="A327" s="98">
        <f t="shared" si="1"/>
        <v>315</v>
      </c>
      <c r="B327" s="416" t="s">
        <v>325</v>
      </c>
      <c r="C327" s="351"/>
      <c r="D327" s="724"/>
      <c r="E327" s="350"/>
      <c r="F327" s="350"/>
      <c r="G327" s="350"/>
      <c r="H327" s="351"/>
      <c r="I327" s="412"/>
      <c r="J327" s="350"/>
      <c r="K327" s="350"/>
      <c r="L327" s="350"/>
      <c r="M327" s="350"/>
      <c r="N327" s="350"/>
      <c r="O327" s="350"/>
      <c r="P327" s="351"/>
      <c r="Q327" s="412"/>
      <c r="R327" s="350"/>
      <c r="S327" s="350"/>
      <c r="T327" s="350"/>
      <c r="U327" s="350"/>
      <c r="V327" s="350"/>
      <c r="W327" s="350"/>
      <c r="X327" s="351"/>
      <c r="Y327" s="412"/>
      <c r="Z327" s="351"/>
      <c r="AA327" s="412"/>
      <c r="AB327" s="350"/>
      <c r="AC327" s="350"/>
      <c r="AD327" s="351"/>
      <c r="AE327" s="412"/>
      <c r="AF327" s="350"/>
      <c r="AG327" s="351"/>
      <c r="AH327" s="412"/>
      <c r="AI327" s="350"/>
      <c r="AJ327" s="351"/>
      <c r="AK327" s="412"/>
      <c r="AL327" s="350"/>
      <c r="AM327" s="350"/>
      <c r="AN327" s="351"/>
      <c r="AO327" s="412"/>
      <c r="AP327" s="350"/>
      <c r="AQ327" s="350"/>
      <c r="AR327" s="350"/>
      <c r="AS327" s="350"/>
      <c r="AT327" s="350"/>
      <c r="AU327" s="350"/>
      <c r="AV327" s="351"/>
      <c r="AW327" s="723"/>
      <c r="AX327" s="350"/>
      <c r="AY327" s="351"/>
      <c r="AZ327" s="412"/>
      <c r="BA327" s="350"/>
      <c r="BB327" s="350"/>
      <c r="BC327" s="350"/>
      <c r="BD327" s="350"/>
      <c r="BE327" s="350"/>
      <c r="BF327" s="350"/>
      <c r="BG327" s="350"/>
      <c r="BH327" s="350"/>
      <c r="BI327" s="350"/>
      <c r="BJ327" s="350"/>
      <c r="BK327" s="350"/>
      <c r="BL327" s="350"/>
      <c r="BM327" s="350"/>
      <c r="BN327" s="350"/>
      <c r="BO327" s="351"/>
    </row>
    <row r="328" spans="1:67" ht="34.5" customHeight="1">
      <c r="A328" s="98">
        <f t="shared" si="1"/>
        <v>316</v>
      </c>
      <c r="B328" s="416" t="s">
        <v>325</v>
      </c>
      <c r="C328" s="351"/>
      <c r="D328" s="594"/>
      <c r="E328" s="350"/>
      <c r="F328" s="350"/>
      <c r="G328" s="350"/>
      <c r="H328" s="351"/>
      <c r="I328" s="368"/>
      <c r="J328" s="350"/>
      <c r="K328" s="350"/>
      <c r="L328" s="350"/>
      <c r="M328" s="350"/>
      <c r="N328" s="350"/>
      <c r="O328" s="350"/>
      <c r="P328" s="351"/>
      <c r="Q328" s="511"/>
      <c r="R328" s="350"/>
      <c r="S328" s="350"/>
      <c r="T328" s="350"/>
      <c r="U328" s="350"/>
      <c r="V328" s="350"/>
      <c r="W328" s="350"/>
      <c r="X328" s="351"/>
      <c r="Y328" s="368"/>
      <c r="Z328" s="351"/>
      <c r="AA328" s="511"/>
      <c r="AB328" s="350"/>
      <c r="AC328" s="350"/>
      <c r="AD328" s="351"/>
      <c r="AE328" s="368"/>
      <c r="AF328" s="350"/>
      <c r="AG328" s="351"/>
      <c r="AH328" s="511"/>
      <c r="AI328" s="350"/>
      <c r="AJ328" s="351"/>
      <c r="AK328" s="368"/>
      <c r="AL328" s="350"/>
      <c r="AM328" s="350"/>
      <c r="AN328" s="351"/>
      <c r="AO328" s="511"/>
      <c r="AP328" s="350"/>
      <c r="AQ328" s="350"/>
      <c r="AR328" s="350"/>
      <c r="AS328" s="350"/>
      <c r="AT328" s="350"/>
      <c r="AU328" s="350"/>
      <c r="AV328" s="351"/>
      <c r="AW328" s="725"/>
      <c r="AX328" s="350"/>
      <c r="AY328" s="351"/>
      <c r="AZ328" s="511"/>
      <c r="BA328" s="350"/>
      <c r="BB328" s="350"/>
      <c r="BC328" s="350"/>
      <c r="BD328" s="350"/>
      <c r="BE328" s="350"/>
      <c r="BF328" s="350"/>
      <c r="BG328" s="350"/>
      <c r="BH328" s="350"/>
      <c r="BI328" s="350"/>
      <c r="BJ328" s="350"/>
      <c r="BK328" s="350"/>
      <c r="BL328" s="350"/>
      <c r="BM328" s="350"/>
      <c r="BN328" s="350"/>
      <c r="BO328" s="351"/>
    </row>
    <row r="329" spans="1:67" ht="34.5" customHeight="1">
      <c r="A329" s="98">
        <f t="shared" si="1"/>
        <v>317</v>
      </c>
      <c r="B329" s="416" t="s">
        <v>325</v>
      </c>
      <c r="C329" s="351"/>
      <c r="D329" s="724"/>
      <c r="E329" s="350"/>
      <c r="F329" s="350"/>
      <c r="G329" s="350"/>
      <c r="H329" s="351"/>
      <c r="I329" s="412"/>
      <c r="J329" s="350"/>
      <c r="K329" s="350"/>
      <c r="L329" s="350"/>
      <c r="M329" s="350"/>
      <c r="N329" s="350"/>
      <c r="O329" s="350"/>
      <c r="P329" s="351"/>
      <c r="Q329" s="412"/>
      <c r="R329" s="350"/>
      <c r="S329" s="350"/>
      <c r="T329" s="350"/>
      <c r="U329" s="350"/>
      <c r="V329" s="350"/>
      <c r="W329" s="350"/>
      <c r="X329" s="351"/>
      <c r="Y329" s="412"/>
      <c r="Z329" s="351"/>
      <c r="AA329" s="412"/>
      <c r="AB329" s="350"/>
      <c r="AC329" s="350"/>
      <c r="AD329" s="351"/>
      <c r="AE329" s="412"/>
      <c r="AF329" s="350"/>
      <c r="AG329" s="351"/>
      <c r="AH329" s="412"/>
      <c r="AI329" s="350"/>
      <c r="AJ329" s="351"/>
      <c r="AK329" s="412"/>
      <c r="AL329" s="350"/>
      <c r="AM329" s="350"/>
      <c r="AN329" s="351"/>
      <c r="AO329" s="412"/>
      <c r="AP329" s="350"/>
      <c r="AQ329" s="350"/>
      <c r="AR329" s="350"/>
      <c r="AS329" s="350"/>
      <c r="AT329" s="350"/>
      <c r="AU329" s="350"/>
      <c r="AV329" s="351"/>
      <c r="AW329" s="723"/>
      <c r="AX329" s="350"/>
      <c r="AY329" s="351"/>
      <c r="AZ329" s="412"/>
      <c r="BA329" s="350"/>
      <c r="BB329" s="350"/>
      <c r="BC329" s="350"/>
      <c r="BD329" s="350"/>
      <c r="BE329" s="350"/>
      <c r="BF329" s="350"/>
      <c r="BG329" s="350"/>
      <c r="BH329" s="350"/>
      <c r="BI329" s="350"/>
      <c r="BJ329" s="350"/>
      <c r="BK329" s="350"/>
      <c r="BL329" s="350"/>
      <c r="BM329" s="350"/>
      <c r="BN329" s="350"/>
      <c r="BO329" s="351"/>
    </row>
    <row r="330" spans="1:67" ht="34.5" customHeight="1">
      <c r="A330" s="98">
        <f t="shared" si="1"/>
        <v>318</v>
      </c>
      <c r="B330" s="416" t="s">
        <v>325</v>
      </c>
      <c r="C330" s="351"/>
      <c r="D330" s="594"/>
      <c r="E330" s="350"/>
      <c r="F330" s="350"/>
      <c r="G330" s="350"/>
      <c r="H330" s="351"/>
      <c r="I330" s="368"/>
      <c r="J330" s="350"/>
      <c r="K330" s="350"/>
      <c r="L330" s="350"/>
      <c r="M330" s="350"/>
      <c r="N330" s="350"/>
      <c r="O330" s="350"/>
      <c r="P330" s="351"/>
      <c r="Q330" s="511"/>
      <c r="R330" s="350"/>
      <c r="S330" s="350"/>
      <c r="T330" s="350"/>
      <c r="U330" s="350"/>
      <c r="V330" s="350"/>
      <c r="W330" s="350"/>
      <c r="X330" s="351"/>
      <c r="Y330" s="368"/>
      <c r="Z330" s="351"/>
      <c r="AA330" s="511"/>
      <c r="AB330" s="350"/>
      <c r="AC330" s="350"/>
      <c r="AD330" s="351"/>
      <c r="AE330" s="368"/>
      <c r="AF330" s="350"/>
      <c r="AG330" s="351"/>
      <c r="AH330" s="511"/>
      <c r="AI330" s="350"/>
      <c r="AJ330" s="351"/>
      <c r="AK330" s="368"/>
      <c r="AL330" s="350"/>
      <c r="AM330" s="350"/>
      <c r="AN330" s="351"/>
      <c r="AO330" s="511"/>
      <c r="AP330" s="350"/>
      <c r="AQ330" s="350"/>
      <c r="AR330" s="350"/>
      <c r="AS330" s="350"/>
      <c r="AT330" s="350"/>
      <c r="AU330" s="350"/>
      <c r="AV330" s="351"/>
      <c r="AW330" s="725"/>
      <c r="AX330" s="350"/>
      <c r="AY330" s="351"/>
      <c r="AZ330" s="511"/>
      <c r="BA330" s="350"/>
      <c r="BB330" s="350"/>
      <c r="BC330" s="350"/>
      <c r="BD330" s="350"/>
      <c r="BE330" s="350"/>
      <c r="BF330" s="350"/>
      <c r="BG330" s="350"/>
      <c r="BH330" s="350"/>
      <c r="BI330" s="350"/>
      <c r="BJ330" s="350"/>
      <c r="BK330" s="350"/>
      <c r="BL330" s="350"/>
      <c r="BM330" s="350"/>
      <c r="BN330" s="350"/>
      <c r="BO330" s="351"/>
    </row>
    <row r="331" spans="1:67" ht="34.5" customHeight="1">
      <c r="A331" s="98">
        <f t="shared" si="1"/>
        <v>319</v>
      </c>
      <c r="B331" s="416" t="s">
        <v>325</v>
      </c>
      <c r="C331" s="351"/>
      <c r="D331" s="724"/>
      <c r="E331" s="350"/>
      <c r="F331" s="350"/>
      <c r="G331" s="350"/>
      <c r="H331" s="351"/>
      <c r="I331" s="412"/>
      <c r="J331" s="350"/>
      <c r="K331" s="350"/>
      <c r="L331" s="350"/>
      <c r="M331" s="350"/>
      <c r="N331" s="350"/>
      <c r="O331" s="350"/>
      <c r="P331" s="351"/>
      <c r="Q331" s="412"/>
      <c r="R331" s="350"/>
      <c r="S331" s="350"/>
      <c r="T331" s="350"/>
      <c r="U331" s="350"/>
      <c r="V331" s="350"/>
      <c r="W331" s="350"/>
      <c r="X331" s="351"/>
      <c r="Y331" s="412"/>
      <c r="Z331" s="351"/>
      <c r="AA331" s="412"/>
      <c r="AB331" s="350"/>
      <c r="AC331" s="350"/>
      <c r="AD331" s="351"/>
      <c r="AE331" s="412"/>
      <c r="AF331" s="350"/>
      <c r="AG331" s="351"/>
      <c r="AH331" s="412"/>
      <c r="AI331" s="350"/>
      <c r="AJ331" s="351"/>
      <c r="AK331" s="412"/>
      <c r="AL331" s="350"/>
      <c r="AM331" s="350"/>
      <c r="AN331" s="351"/>
      <c r="AO331" s="412"/>
      <c r="AP331" s="350"/>
      <c r="AQ331" s="350"/>
      <c r="AR331" s="350"/>
      <c r="AS331" s="350"/>
      <c r="AT331" s="350"/>
      <c r="AU331" s="350"/>
      <c r="AV331" s="351"/>
      <c r="AW331" s="723"/>
      <c r="AX331" s="350"/>
      <c r="AY331" s="351"/>
      <c r="AZ331" s="412"/>
      <c r="BA331" s="350"/>
      <c r="BB331" s="350"/>
      <c r="BC331" s="350"/>
      <c r="BD331" s="350"/>
      <c r="BE331" s="350"/>
      <c r="BF331" s="350"/>
      <c r="BG331" s="350"/>
      <c r="BH331" s="350"/>
      <c r="BI331" s="350"/>
      <c r="BJ331" s="350"/>
      <c r="BK331" s="350"/>
      <c r="BL331" s="350"/>
      <c r="BM331" s="350"/>
      <c r="BN331" s="350"/>
      <c r="BO331" s="351"/>
    </row>
    <row r="332" spans="1:67" ht="34.5" customHeight="1">
      <c r="A332" s="98">
        <f t="shared" si="1"/>
        <v>320</v>
      </c>
      <c r="B332" s="416" t="s">
        <v>325</v>
      </c>
      <c r="C332" s="351"/>
      <c r="D332" s="594"/>
      <c r="E332" s="350"/>
      <c r="F332" s="350"/>
      <c r="G332" s="350"/>
      <c r="H332" s="351"/>
      <c r="I332" s="368"/>
      <c r="J332" s="350"/>
      <c r="K332" s="350"/>
      <c r="L332" s="350"/>
      <c r="M332" s="350"/>
      <c r="N332" s="350"/>
      <c r="O332" s="350"/>
      <c r="P332" s="351"/>
      <c r="Q332" s="511"/>
      <c r="R332" s="350"/>
      <c r="S332" s="350"/>
      <c r="T332" s="350"/>
      <c r="U332" s="350"/>
      <c r="V332" s="350"/>
      <c r="W332" s="350"/>
      <c r="X332" s="351"/>
      <c r="Y332" s="368"/>
      <c r="Z332" s="351"/>
      <c r="AA332" s="511"/>
      <c r="AB332" s="350"/>
      <c r="AC332" s="350"/>
      <c r="AD332" s="351"/>
      <c r="AE332" s="368"/>
      <c r="AF332" s="350"/>
      <c r="AG332" s="351"/>
      <c r="AH332" s="511"/>
      <c r="AI332" s="350"/>
      <c r="AJ332" s="351"/>
      <c r="AK332" s="368"/>
      <c r="AL332" s="350"/>
      <c r="AM332" s="350"/>
      <c r="AN332" s="351"/>
      <c r="AO332" s="511"/>
      <c r="AP332" s="350"/>
      <c r="AQ332" s="350"/>
      <c r="AR332" s="350"/>
      <c r="AS332" s="350"/>
      <c r="AT332" s="350"/>
      <c r="AU332" s="350"/>
      <c r="AV332" s="351"/>
      <c r="AW332" s="725"/>
      <c r="AX332" s="350"/>
      <c r="AY332" s="351"/>
      <c r="AZ332" s="511"/>
      <c r="BA332" s="350"/>
      <c r="BB332" s="350"/>
      <c r="BC332" s="350"/>
      <c r="BD332" s="350"/>
      <c r="BE332" s="350"/>
      <c r="BF332" s="350"/>
      <c r="BG332" s="350"/>
      <c r="BH332" s="350"/>
      <c r="BI332" s="350"/>
      <c r="BJ332" s="350"/>
      <c r="BK332" s="350"/>
      <c r="BL332" s="350"/>
      <c r="BM332" s="350"/>
      <c r="BN332" s="350"/>
      <c r="BO332" s="351"/>
    </row>
    <row r="333" spans="1:67" ht="34.5" customHeight="1">
      <c r="A333" s="98">
        <f t="shared" si="1"/>
        <v>321</v>
      </c>
      <c r="B333" s="416" t="s">
        <v>325</v>
      </c>
      <c r="C333" s="351"/>
      <c r="D333" s="724"/>
      <c r="E333" s="350"/>
      <c r="F333" s="350"/>
      <c r="G333" s="350"/>
      <c r="H333" s="351"/>
      <c r="I333" s="412"/>
      <c r="J333" s="350"/>
      <c r="K333" s="350"/>
      <c r="L333" s="350"/>
      <c r="M333" s="350"/>
      <c r="N333" s="350"/>
      <c r="O333" s="350"/>
      <c r="P333" s="351"/>
      <c r="Q333" s="412"/>
      <c r="R333" s="350"/>
      <c r="S333" s="350"/>
      <c r="T333" s="350"/>
      <c r="U333" s="350"/>
      <c r="V333" s="350"/>
      <c r="W333" s="350"/>
      <c r="X333" s="351"/>
      <c r="Y333" s="412"/>
      <c r="Z333" s="351"/>
      <c r="AA333" s="412"/>
      <c r="AB333" s="350"/>
      <c r="AC333" s="350"/>
      <c r="AD333" s="351"/>
      <c r="AE333" s="412"/>
      <c r="AF333" s="350"/>
      <c r="AG333" s="351"/>
      <c r="AH333" s="412"/>
      <c r="AI333" s="350"/>
      <c r="AJ333" s="351"/>
      <c r="AK333" s="412"/>
      <c r="AL333" s="350"/>
      <c r="AM333" s="350"/>
      <c r="AN333" s="351"/>
      <c r="AO333" s="412"/>
      <c r="AP333" s="350"/>
      <c r="AQ333" s="350"/>
      <c r="AR333" s="350"/>
      <c r="AS333" s="350"/>
      <c r="AT333" s="350"/>
      <c r="AU333" s="350"/>
      <c r="AV333" s="351"/>
      <c r="AW333" s="723"/>
      <c r="AX333" s="350"/>
      <c r="AY333" s="351"/>
      <c r="AZ333" s="412"/>
      <c r="BA333" s="350"/>
      <c r="BB333" s="350"/>
      <c r="BC333" s="350"/>
      <c r="BD333" s="350"/>
      <c r="BE333" s="350"/>
      <c r="BF333" s="350"/>
      <c r="BG333" s="350"/>
      <c r="BH333" s="350"/>
      <c r="BI333" s="350"/>
      <c r="BJ333" s="350"/>
      <c r="BK333" s="350"/>
      <c r="BL333" s="350"/>
      <c r="BM333" s="350"/>
      <c r="BN333" s="350"/>
      <c r="BO333" s="351"/>
    </row>
    <row r="334" spans="1:67" ht="34.5" customHeight="1">
      <c r="A334" s="98">
        <f t="shared" si="1"/>
        <v>322</v>
      </c>
      <c r="B334" s="416" t="s">
        <v>325</v>
      </c>
      <c r="C334" s="351"/>
      <c r="D334" s="594"/>
      <c r="E334" s="350"/>
      <c r="F334" s="350"/>
      <c r="G334" s="350"/>
      <c r="H334" s="351"/>
      <c r="I334" s="368"/>
      <c r="J334" s="350"/>
      <c r="K334" s="350"/>
      <c r="L334" s="350"/>
      <c r="M334" s="350"/>
      <c r="N334" s="350"/>
      <c r="O334" s="350"/>
      <c r="P334" s="351"/>
      <c r="Q334" s="511"/>
      <c r="R334" s="350"/>
      <c r="S334" s="350"/>
      <c r="T334" s="350"/>
      <c r="U334" s="350"/>
      <c r="V334" s="350"/>
      <c r="W334" s="350"/>
      <c r="X334" s="351"/>
      <c r="Y334" s="368"/>
      <c r="Z334" s="351"/>
      <c r="AA334" s="511"/>
      <c r="AB334" s="350"/>
      <c r="AC334" s="350"/>
      <c r="AD334" s="351"/>
      <c r="AE334" s="368"/>
      <c r="AF334" s="350"/>
      <c r="AG334" s="351"/>
      <c r="AH334" s="511"/>
      <c r="AI334" s="350"/>
      <c r="AJ334" s="351"/>
      <c r="AK334" s="368"/>
      <c r="AL334" s="350"/>
      <c r="AM334" s="350"/>
      <c r="AN334" s="351"/>
      <c r="AO334" s="511"/>
      <c r="AP334" s="350"/>
      <c r="AQ334" s="350"/>
      <c r="AR334" s="350"/>
      <c r="AS334" s="350"/>
      <c r="AT334" s="350"/>
      <c r="AU334" s="350"/>
      <c r="AV334" s="351"/>
      <c r="AW334" s="725"/>
      <c r="AX334" s="350"/>
      <c r="AY334" s="351"/>
      <c r="AZ334" s="511"/>
      <c r="BA334" s="350"/>
      <c r="BB334" s="350"/>
      <c r="BC334" s="350"/>
      <c r="BD334" s="350"/>
      <c r="BE334" s="350"/>
      <c r="BF334" s="350"/>
      <c r="BG334" s="350"/>
      <c r="BH334" s="350"/>
      <c r="BI334" s="350"/>
      <c r="BJ334" s="350"/>
      <c r="BK334" s="350"/>
      <c r="BL334" s="350"/>
      <c r="BM334" s="350"/>
      <c r="BN334" s="350"/>
      <c r="BO334" s="351"/>
    </row>
    <row r="335" spans="1:67" ht="34.5" customHeight="1">
      <c r="A335" s="98">
        <f t="shared" si="1"/>
        <v>323</v>
      </c>
      <c r="B335" s="416" t="s">
        <v>325</v>
      </c>
      <c r="C335" s="351"/>
      <c r="D335" s="724"/>
      <c r="E335" s="350"/>
      <c r="F335" s="350"/>
      <c r="G335" s="350"/>
      <c r="H335" s="351"/>
      <c r="I335" s="412"/>
      <c r="J335" s="350"/>
      <c r="K335" s="350"/>
      <c r="L335" s="350"/>
      <c r="M335" s="350"/>
      <c r="N335" s="350"/>
      <c r="O335" s="350"/>
      <c r="P335" s="351"/>
      <c r="Q335" s="412"/>
      <c r="R335" s="350"/>
      <c r="S335" s="350"/>
      <c r="T335" s="350"/>
      <c r="U335" s="350"/>
      <c r="V335" s="350"/>
      <c r="W335" s="350"/>
      <c r="X335" s="351"/>
      <c r="Y335" s="412"/>
      <c r="Z335" s="351"/>
      <c r="AA335" s="412"/>
      <c r="AB335" s="350"/>
      <c r="AC335" s="350"/>
      <c r="AD335" s="351"/>
      <c r="AE335" s="412"/>
      <c r="AF335" s="350"/>
      <c r="AG335" s="351"/>
      <c r="AH335" s="412"/>
      <c r="AI335" s="350"/>
      <c r="AJ335" s="351"/>
      <c r="AK335" s="412"/>
      <c r="AL335" s="350"/>
      <c r="AM335" s="350"/>
      <c r="AN335" s="351"/>
      <c r="AO335" s="412"/>
      <c r="AP335" s="350"/>
      <c r="AQ335" s="350"/>
      <c r="AR335" s="350"/>
      <c r="AS335" s="350"/>
      <c r="AT335" s="350"/>
      <c r="AU335" s="350"/>
      <c r="AV335" s="351"/>
      <c r="AW335" s="723"/>
      <c r="AX335" s="350"/>
      <c r="AY335" s="351"/>
      <c r="AZ335" s="412"/>
      <c r="BA335" s="350"/>
      <c r="BB335" s="350"/>
      <c r="BC335" s="350"/>
      <c r="BD335" s="350"/>
      <c r="BE335" s="350"/>
      <c r="BF335" s="350"/>
      <c r="BG335" s="350"/>
      <c r="BH335" s="350"/>
      <c r="BI335" s="350"/>
      <c r="BJ335" s="350"/>
      <c r="BK335" s="350"/>
      <c r="BL335" s="350"/>
      <c r="BM335" s="350"/>
      <c r="BN335" s="350"/>
      <c r="BO335" s="351"/>
    </row>
    <row r="336" spans="1:67" ht="34.5" customHeight="1">
      <c r="A336" s="98">
        <f t="shared" si="1"/>
        <v>324</v>
      </c>
      <c r="B336" s="416" t="s">
        <v>325</v>
      </c>
      <c r="C336" s="351"/>
      <c r="D336" s="594"/>
      <c r="E336" s="350"/>
      <c r="F336" s="350"/>
      <c r="G336" s="350"/>
      <c r="H336" s="351"/>
      <c r="I336" s="368"/>
      <c r="J336" s="350"/>
      <c r="K336" s="350"/>
      <c r="L336" s="350"/>
      <c r="M336" s="350"/>
      <c r="N336" s="350"/>
      <c r="O336" s="350"/>
      <c r="P336" s="351"/>
      <c r="Q336" s="511"/>
      <c r="R336" s="350"/>
      <c r="S336" s="350"/>
      <c r="T336" s="350"/>
      <c r="U336" s="350"/>
      <c r="V336" s="350"/>
      <c r="W336" s="350"/>
      <c r="X336" s="351"/>
      <c r="Y336" s="368"/>
      <c r="Z336" s="351"/>
      <c r="AA336" s="511"/>
      <c r="AB336" s="350"/>
      <c r="AC336" s="350"/>
      <c r="AD336" s="351"/>
      <c r="AE336" s="368"/>
      <c r="AF336" s="350"/>
      <c r="AG336" s="351"/>
      <c r="AH336" s="511"/>
      <c r="AI336" s="350"/>
      <c r="AJ336" s="351"/>
      <c r="AK336" s="368"/>
      <c r="AL336" s="350"/>
      <c r="AM336" s="350"/>
      <c r="AN336" s="351"/>
      <c r="AO336" s="511"/>
      <c r="AP336" s="350"/>
      <c r="AQ336" s="350"/>
      <c r="AR336" s="350"/>
      <c r="AS336" s="350"/>
      <c r="AT336" s="350"/>
      <c r="AU336" s="350"/>
      <c r="AV336" s="351"/>
      <c r="AW336" s="725"/>
      <c r="AX336" s="350"/>
      <c r="AY336" s="351"/>
      <c r="AZ336" s="511"/>
      <c r="BA336" s="350"/>
      <c r="BB336" s="350"/>
      <c r="BC336" s="350"/>
      <c r="BD336" s="350"/>
      <c r="BE336" s="350"/>
      <c r="BF336" s="350"/>
      <c r="BG336" s="350"/>
      <c r="BH336" s="350"/>
      <c r="BI336" s="350"/>
      <c r="BJ336" s="350"/>
      <c r="BK336" s="350"/>
      <c r="BL336" s="350"/>
      <c r="BM336" s="350"/>
      <c r="BN336" s="350"/>
      <c r="BO336" s="351"/>
    </row>
    <row r="337" spans="1:67" ht="34.5" customHeight="1">
      <c r="A337" s="98">
        <f t="shared" si="1"/>
        <v>325</v>
      </c>
      <c r="B337" s="416" t="s">
        <v>325</v>
      </c>
      <c r="C337" s="351"/>
      <c r="D337" s="724"/>
      <c r="E337" s="350"/>
      <c r="F337" s="350"/>
      <c r="G337" s="350"/>
      <c r="H337" s="351"/>
      <c r="I337" s="412"/>
      <c r="J337" s="350"/>
      <c r="K337" s="350"/>
      <c r="L337" s="350"/>
      <c r="M337" s="350"/>
      <c r="N337" s="350"/>
      <c r="O337" s="350"/>
      <c r="P337" s="351"/>
      <c r="Q337" s="412"/>
      <c r="R337" s="350"/>
      <c r="S337" s="350"/>
      <c r="T337" s="350"/>
      <c r="U337" s="350"/>
      <c r="V337" s="350"/>
      <c r="W337" s="350"/>
      <c r="X337" s="351"/>
      <c r="Y337" s="412"/>
      <c r="Z337" s="351"/>
      <c r="AA337" s="412"/>
      <c r="AB337" s="350"/>
      <c r="AC337" s="350"/>
      <c r="AD337" s="351"/>
      <c r="AE337" s="412"/>
      <c r="AF337" s="350"/>
      <c r="AG337" s="351"/>
      <c r="AH337" s="412"/>
      <c r="AI337" s="350"/>
      <c r="AJ337" s="351"/>
      <c r="AK337" s="412"/>
      <c r="AL337" s="350"/>
      <c r="AM337" s="350"/>
      <c r="AN337" s="351"/>
      <c r="AO337" s="412"/>
      <c r="AP337" s="350"/>
      <c r="AQ337" s="350"/>
      <c r="AR337" s="350"/>
      <c r="AS337" s="350"/>
      <c r="AT337" s="350"/>
      <c r="AU337" s="350"/>
      <c r="AV337" s="351"/>
      <c r="AW337" s="723"/>
      <c r="AX337" s="350"/>
      <c r="AY337" s="351"/>
      <c r="AZ337" s="412"/>
      <c r="BA337" s="350"/>
      <c r="BB337" s="350"/>
      <c r="BC337" s="350"/>
      <c r="BD337" s="350"/>
      <c r="BE337" s="350"/>
      <c r="BF337" s="350"/>
      <c r="BG337" s="350"/>
      <c r="BH337" s="350"/>
      <c r="BI337" s="350"/>
      <c r="BJ337" s="350"/>
      <c r="BK337" s="350"/>
      <c r="BL337" s="350"/>
      <c r="BM337" s="350"/>
      <c r="BN337" s="350"/>
      <c r="BO337" s="351"/>
    </row>
    <row r="338" spans="1:67" ht="34.5" customHeight="1">
      <c r="A338" s="98">
        <f t="shared" si="1"/>
        <v>326</v>
      </c>
      <c r="B338" s="726" t="s">
        <v>325</v>
      </c>
      <c r="C338" s="351"/>
      <c r="D338" s="594"/>
      <c r="E338" s="350"/>
      <c r="F338" s="350"/>
      <c r="G338" s="350"/>
      <c r="H338" s="351"/>
      <c r="I338" s="368"/>
      <c r="J338" s="350"/>
      <c r="K338" s="350"/>
      <c r="L338" s="350"/>
      <c r="M338" s="350"/>
      <c r="N338" s="350"/>
      <c r="O338" s="350"/>
      <c r="P338" s="351"/>
      <c r="Q338" s="511"/>
      <c r="R338" s="350"/>
      <c r="S338" s="350"/>
      <c r="T338" s="350"/>
      <c r="U338" s="350"/>
      <c r="V338" s="350"/>
      <c r="W338" s="350"/>
      <c r="X338" s="351"/>
      <c r="Y338" s="368"/>
      <c r="Z338" s="351"/>
      <c r="AA338" s="511"/>
      <c r="AB338" s="350"/>
      <c r="AC338" s="350"/>
      <c r="AD338" s="351"/>
      <c r="AE338" s="368"/>
      <c r="AF338" s="350"/>
      <c r="AG338" s="351"/>
      <c r="AH338" s="511"/>
      <c r="AI338" s="350"/>
      <c r="AJ338" s="351"/>
      <c r="AK338" s="368"/>
      <c r="AL338" s="350"/>
      <c r="AM338" s="350"/>
      <c r="AN338" s="351"/>
      <c r="AO338" s="511"/>
      <c r="AP338" s="350"/>
      <c r="AQ338" s="350"/>
      <c r="AR338" s="350"/>
      <c r="AS338" s="350"/>
      <c r="AT338" s="350"/>
      <c r="AU338" s="350"/>
      <c r="AV338" s="351"/>
      <c r="AW338" s="725"/>
      <c r="AX338" s="350"/>
      <c r="AY338" s="351"/>
      <c r="AZ338" s="511"/>
      <c r="BA338" s="350"/>
      <c r="BB338" s="350"/>
      <c r="BC338" s="350"/>
      <c r="BD338" s="350"/>
      <c r="BE338" s="350"/>
      <c r="BF338" s="350"/>
      <c r="BG338" s="350"/>
      <c r="BH338" s="350"/>
      <c r="BI338" s="350"/>
      <c r="BJ338" s="350"/>
      <c r="BK338" s="350"/>
      <c r="BL338" s="350"/>
      <c r="BM338" s="350"/>
      <c r="BN338" s="350"/>
      <c r="BO338" s="351"/>
    </row>
    <row r="339" spans="1:67" ht="34.5" customHeight="1">
      <c r="A339" s="98">
        <f t="shared" si="1"/>
        <v>327</v>
      </c>
      <c r="B339" s="416" t="s">
        <v>325</v>
      </c>
      <c r="C339" s="351"/>
      <c r="D339" s="724"/>
      <c r="E339" s="350"/>
      <c r="F339" s="350"/>
      <c r="G339" s="350"/>
      <c r="H339" s="351"/>
      <c r="I339" s="412"/>
      <c r="J339" s="350"/>
      <c r="K339" s="350"/>
      <c r="L339" s="350"/>
      <c r="M339" s="350"/>
      <c r="N339" s="350"/>
      <c r="O339" s="350"/>
      <c r="P339" s="351"/>
      <c r="Q339" s="412"/>
      <c r="R339" s="350"/>
      <c r="S339" s="350"/>
      <c r="T339" s="350"/>
      <c r="U339" s="350"/>
      <c r="V339" s="350"/>
      <c r="W339" s="350"/>
      <c r="X339" s="351"/>
      <c r="Y339" s="412"/>
      <c r="Z339" s="351"/>
      <c r="AA339" s="412"/>
      <c r="AB339" s="350"/>
      <c r="AC339" s="350"/>
      <c r="AD339" s="351"/>
      <c r="AE339" s="412"/>
      <c r="AF339" s="350"/>
      <c r="AG339" s="351"/>
      <c r="AH339" s="412"/>
      <c r="AI339" s="350"/>
      <c r="AJ339" s="351"/>
      <c r="AK339" s="412"/>
      <c r="AL339" s="350"/>
      <c r="AM339" s="350"/>
      <c r="AN339" s="351"/>
      <c r="AO339" s="412"/>
      <c r="AP339" s="350"/>
      <c r="AQ339" s="350"/>
      <c r="AR339" s="350"/>
      <c r="AS339" s="350"/>
      <c r="AT339" s="350"/>
      <c r="AU339" s="350"/>
      <c r="AV339" s="351"/>
      <c r="AW339" s="723"/>
      <c r="AX339" s="350"/>
      <c r="AY339" s="351"/>
      <c r="AZ339" s="412"/>
      <c r="BA339" s="350"/>
      <c r="BB339" s="350"/>
      <c r="BC339" s="350"/>
      <c r="BD339" s="350"/>
      <c r="BE339" s="350"/>
      <c r="BF339" s="350"/>
      <c r="BG339" s="350"/>
      <c r="BH339" s="350"/>
      <c r="BI339" s="350"/>
      <c r="BJ339" s="350"/>
      <c r="BK339" s="350"/>
      <c r="BL339" s="350"/>
      <c r="BM339" s="350"/>
      <c r="BN339" s="350"/>
      <c r="BO339" s="351"/>
    </row>
    <row r="340" spans="1:67" ht="34.5" customHeight="1">
      <c r="A340" s="98">
        <f t="shared" si="1"/>
        <v>328</v>
      </c>
      <c r="B340" s="416" t="s">
        <v>325</v>
      </c>
      <c r="C340" s="351"/>
      <c r="D340" s="594"/>
      <c r="E340" s="350"/>
      <c r="F340" s="350"/>
      <c r="G340" s="350"/>
      <c r="H340" s="351"/>
      <c r="I340" s="368"/>
      <c r="J340" s="350"/>
      <c r="K340" s="350"/>
      <c r="L340" s="350"/>
      <c r="M340" s="350"/>
      <c r="N340" s="350"/>
      <c r="O340" s="350"/>
      <c r="P340" s="351"/>
      <c r="Q340" s="511"/>
      <c r="R340" s="350"/>
      <c r="S340" s="350"/>
      <c r="T340" s="350"/>
      <c r="U340" s="350"/>
      <c r="V340" s="350"/>
      <c r="W340" s="350"/>
      <c r="X340" s="351"/>
      <c r="Y340" s="368"/>
      <c r="Z340" s="351"/>
      <c r="AA340" s="511"/>
      <c r="AB340" s="350"/>
      <c r="AC340" s="350"/>
      <c r="AD340" s="351"/>
      <c r="AE340" s="368"/>
      <c r="AF340" s="350"/>
      <c r="AG340" s="351"/>
      <c r="AH340" s="511"/>
      <c r="AI340" s="350"/>
      <c r="AJ340" s="351"/>
      <c r="AK340" s="368"/>
      <c r="AL340" s="350"/>
      <c r="AM340" s="350"/>
      <c r="AN340" s="351"/>
      <c r="AO340" s="511"/>
      <c r="AP340" s="350"/>
      <c r="AQ340" s="350"/>
      <c r="AR340" s="350"/>
      <c r="AS340" s="350"/>
      <c r="AT340" s="350"/>
      <c r="AU340" s="350"/>
      <c r="AV340" s="351"/>
      <c r="AW340" s="725"/>
      <c r="AX340" s="350"/>
      <c r="AY340" s="351"/>
      <c r="AZ340" s="511"/>
      <c r="BA340" s="350"/>
      <c r="BB340" s="350"/>
      <c r="BC340" s="350"/>
      <c r="BD340" s="350"/>
      <c r="BE340" s="350"/>
      <c r="BF340" s="350"/>
      <c r="BG340" s="350"/>
      <c r="BH340" s="350"/>
      <c r="BI340" s="350"/>
      <c r="BJ340" s="350"/>
      <c r="BK340" s="350"/>
      <c r="BL340" s="350"/>
      <c r="BM340" s="350"/>
      <c r="BN340" s="350"/>
      <c r="BO340" s="351"/>
    </row>
    <row r="341" spans="1:67" ht="34.5" customHeight="1">
      <c r="A341" s="98">
        <f t="shared" si="1"/>
        <v>329</v>
      </c>
      <c r="B341" s="416" t="s">
        <v>325</v>
      </c>
      <c r="C341" s="351"/>
      <c r="D341" s="724"/>
      <c r="E341" s="350"/>
      <c r="F341" s="350"/>
      <c r="G341" s="350"/>
      <c r="H341" s="351"/>
      <c r="I341" s="412"/>
      <c r="J341" s="350"/>
      <c r="K341" s="350"/>
      <c r="L341" s="350"/>
      <c r="M341" s="350"/>
      <c r="N341" s="350"/>
      <c r="O341" s="350"/>
      <c r="P341" s="351"/>
      <c r="Q341" s="412"/>
      <c r="R341" s="350"/>
      <c r="S341" s="350"/>
      <c r="T341" s="350"/>
      <c r="U341" s="350"/>
      <c r="V341" s="350"/>
      <c r="W341" s="350"/>
      <c r="X341" s="351"/>
      <c r="Y341" s="412"/>
      <c r="Z341" s="351"/>
      <c r="AA341" s="412"/>
      <c r="AB341" s="350"/>
      <c r="AC341" s="350"/>
      <c r="AD341" s="351"/>
      <c r="AE341" s="412"/>
      <c r="AF341" s="350"/>
      <c r="AG341" s="351"/>
      <c r="AH341" s="412"/>
      <c r="AI341" s="350"/>
      <c r="AJ341" s="351"/>
      <c r="AK341" s="412"/>
      <c r="AL341" s="350"/>
      <c r="AM341" s="350"/>
      <c r="AN341" s="351"/>
      <c r="AO341" s="412"/>
      <c r="AP341" s="350"/>
      <c r="AQ341" s="350"/>
      <c r="AR341" s="350"/>
      <c r="AS341" s="350"/>
      <c r="AT341" s="350"/>
      <c r="AU341" s="350"/>
      <c r="AV341" s="351"/>
      <c r="AW341" s="723"/>
      <c r="AX341" s="350"/>
      <c r="AY341" s="351"/>
      <c r="AZ341" s="412"/>
      <c r="BA341" s="350"/>
      <c r="BB341" s="350"/>
      <c r="BC341" s="350"/>
      <c r="BD341" s="350"/>
      <c r="BE341" s="350"/>
      <c r="BF341" s="350"/>
      <c r="BG341" s="350"/>
      <c r="BH341" s="350"/>
      <c r="BI341" s="350"/>
      <c r="BJ341" s="350"/>
      <c r="BK341" s="350"/>
      <c r="BL341" s="350"/>
      <c r="BM341" s="350"/>
      <c r="BN341" s="350"/>
      <c r="BO341" s="351"/>
    </row>
    <row r="342" spans="1:67" ht="34.5" customHeight="1">
      <c r="A342" s="98">
        <f t="shared" si="1"/>
        <v>330</v>
      </c>
      <c r="B342" s="416" t="s">
        <v>325</v>
      </c>
      <c r="C342" s="351"/>
      <c r="D342" s="594"/>
      <c r="E342" s="350"/>
      <c r="F342" s="350"/>
      <c r="G342" s="350"/>
      <c r="H342" s="351"/>
      <c r="I342" s="368"/>
      <c r="J342" s="350"/>
      <c r="K342" s="350"/>
      <c r="L342" s="350"/>
      <c r="M342" s="350"/>
      <c r="N342" s="350"/>
      <c r="O342" s="350"/>
      <c r="P342" s="351"/>
      <c r="Q342" s="511"/>
      <c r="R342" s="350"/>
      <c r="S342" s="350"/>
      <c r="T342" s="350"/>
      <c r="U342" s="350"/>
      <c r="V342" s="350"/>
      <c r="W342" s="350"/>
      <c r="X342" s="351"/>
      <c r="Y342" s="368"/>
      <c r="Z342" s="351"/>
      <c r="AA342" s="511"/>
      <c r="AB342" s="350"/>
      <c r="AC342" s="350"/>
      <c r="AD342" s="351"/>
      <c r="AE342" s="368"/>
      <c r="AF342" s="350"/>
      <c r="AG342" s="351"/>
      <c r="AH342" s="511"/>
      <c r="AI342" s="350"/>
      <c r="AJ342" s="351"/>
      <c r="AK342" s="368"/>
      <c r="AL342" s="350"/>
      <c r="AM342" s="350"/>
      <c r="AN342" s="351"/>
      <c r="AO342" s="511"/>
      <c r="AP342" s="350"/>
      <c r="AQ342" s="350"/>
      <c r="AR342" s="350"/>
      <c r="AS342" s="350"/>
      <c r="AT342" s="350"/>
      <c r="AU342" s="350"/>
      <c r="AV342" s="351"/>
      <c r="AW342" s="725"/>
      <c r="AX342" s="350"/>
      <c r="AY342" s="351"/>
      <c r="AZ342" s="511"/>
      <c r="BA342" s="350"/>
      <c r="BB342" s="350"/>
      <c r="BC342" s="350"/>
      <c r="BD342" s="350"/>
      <c r="BE342" s="350"/>
      <c r="BF342" s="350"/>
      <c r="BG342" s="350"/>
      <c r="BH342" s="350"/>
      <c r="BI342" s="350"/>
      <c r="BJ342" s="350"/>
      <c r="BK342" s="350"/>
      <c r="BL342" s="350"/>
      <c r="BM342" s="350"/>
      <c r="BN342" s="350"/>
      <c r="BO342" s="351"/>
    </row>
    <row r="343" spans="1:67" ht="34.5" customHeight="1">
      <c r="A343" s="98">
        <f t="shared" si="1"/>
        <v>331</v>
      </c>
      <c r="B343" s="416" t="s">
        <v>325</v>
      </c>
      <c r="C343" s="351"/>
      <c r="D343" s="724"/>
      <c r="E343" s="350"/>
      <c r="F343" s="350"/>
      <c r="G343" s="350"/>
      <c r="H343" s="351"/>
      <c r="I343" s="412"/>
      <c r="J343" s="350"/>
      <c r="K343" s="350"/>
      <c r="L343" s="350"/>
      <c r="M343" s="350"/>
      <c r="N343" s="350"/>
      <c r="O343" s="350"/>
      <c r="P343" s="351"/>
      <c r="Q343" s="412"/>
      <c r="R343" s="350"/>
      <c r="S343" s="350"/>
      <c r="T343" s="350"/>
      <c r="U343" s="350"/>
      <c r="V343" s="350"/>
      <c r="W343" s="350"/>
      <c r="X343" s="351"/>
      <c r="Y343" s="412"/>
      <c r="Z343" s="351"/>
      <c r="AA343" s="412"/>
      <c r="AB343" s="350"/>
      <c r="AC343" s="350"/>
      <c r="AD343" s="351"/>
      <c r="AE343" s="412"/>
      <c r="AF343" s="350"/>
      <c r="AG343" s="351"/>
      <c r="AH343" s="412"/>
      <c r="AI343" s="350"/>
      <c r="AJ343" s="351"/>
      <c r="AK343" s="412"/>
      <c r="AL343" s="350"/>
      <c r="AM343" s="350"/>
      <c r="AN343" s="351"/>
      <c r="AO343" s="412"/>
      <c r="AP343" s="350"/>
      <c r="AQ343" s="350"/>
      <c r="AR343" s="350"/>
      <c r="AS343" s="350"/>
      <c r="AT343" s="350"/>
      <c r="AU343" s="350"/>
      <c r="AV343" s="351"/>
      <c r="AW343" s="723"/>
      <c r="AX343" s="350"/>
      <c r="AY343" s="351"/>
      <c r="AZ343" s="412"/>
      <c r="BA343" s="350"/>
      <c r="BB343" s="350"/>
      <c r="BC343" s="350"/>
      <c r="BD343" s="350"/>
      <c r="BE343" s="350"/>
      <c r="BF343" s="350"/>
      <c r="BG343" s="350"/>
      <c r="BH343" s="350"/>
      <c r="BI343" s="350"/>
      <c r="BJ343" s="350"/>
      <c r="BK343" s="350"/>
      <c r="BL343" s="350"/>
      <c r="BM343" s="350"/>
      <c r="BN343" s="350"/>
      <c r="BO343" s="351"/>
    </row>
    <row r="344" spans="1:67" ht="34.5" customHeight="1">
      <c r="A344" s="98">
        <f t="shared" si="1"/>
        <v>332</v>
      </c>
      <c r="B344" s="416" t="s">
        <v>325</v>
      </c>
      <c r="C344" s="351"/>
      <c r="D344" s="594"/>
      <c r="E344" s="350"/>
      <c r="F344" s="350"/>
      <c r="G344" s="350"/>
      <c r="H344" s="351"/>
      <c r="I344" s="368"/>
      <c r="J344" s="350"/>
      <c r="K344" s="350"/>
      <c r="L344" s="350"/>
      <c r="M344" s="350"/>
      <c r="N344" s="350"/>
      <c r="O344" s="350"/>
      <c r="P344" s="351"/>
      <c r="Q344" s="511"/>
      <c r="R344" s="350"/>
      <c r="S344" s="350"/>
      <c r="T344" s="350"/>
      <c r="U344" s="350"/>
      <c r="V344" s="350"/>
      <c r="W344" s="350"/>
      <c r="X344" s="351"/>
      <c r="Y344" s="368"/>
      <c r="Z344" s="351"/>
      <c r="AA344" s="511"/>
      <c r="AB344" s="350"/>
      <c r="AC344" s="350"/>
      <c r="AD344" s="351"/>
      <c r="AE344" s="368"/>
      <c r="AF344" s="350"/>
      <c r="AG344" s="351"/>
      <c r="AH344" s="511"/>
      <c r="AI344" s="350"/>
      <c r="AJ344" s="351"/>
      <c r="AK344" s="368"/>
      <c r="AL344" s="350"/>
      <c r="AM344" s="350"/>
      <c r="AN344" s="351"/>
      <c r="AO344" s="511"/>
      <c r="AP344" s="350"/>
      <c r="AQ344" s="350"/>
      <c r="AR344" s="350"/>
      <c r="AS344" s="350"/>
      <c r="AT344" s="350"/>
      <c r="AU344" s="350"/>
      <c r="AV344" s="351"/>
      <c r="AW344" s="725"/>
      <c r="AX344" s="350"/>
      <c r="AY344" s="351"/>
      <c r="AZ344" s="511"/>
      <c r="BA344" s="350"/>
      <c r="BB344" s="350"/>
      <c r="BC344" s="350"/>
      <c r="BD344" s="350"/>
      <c r="BE344" s="350"/>
      <c r="BF344" s="350"/>
      <c r="BG344" s="350"/>
      <c r="BH344" s="350"/>
      <c r="BI344" s="350"/>
      <c r="BJ344" s="350"/>
      <c r="BK344" s="350"/>
      <c r="BL344" s="350"/>
      <c r="BM344" s="350"/>
      <c r="BN344" s="350"/>
      <c r="BO344" s="351"/>
    </row>
    <row r="345" spans="1:67" ht="34.5" customHeight="1">
      <c r="A345" s="98">
        <f t="shared" si="1"/>
        <v>333</v>
      </c>
      <c r="B345" s="416" t="s">
        <v>325</v>
      </c>
      <c r="C345" s="351"/>
      <c r="D345" s="724"/>
      <c r="E345" s="350"/>
      <c r="F345" s="350"/>
      <c r="G345" s="350"/>
      <c r="H345" s="351"/>
      <c r="I345" s="412"/>
      <c r="J345" s="350"/>
      <c r="K345" s="350"/>
      <c r="L345" s="350"/>
      <c r="M345" s="350"/>
      <c r="N345" s="350"/>
      <c r="O345" s="350"/>
      <c r="P345" s="351"/>
      <c r="Q345" s="412"/>
      <c r="R345" s="350"/>
      <c r="S345" s="350"/>
      <c r="T345" s="350"/>
      <c r="U345" s="350"/>
      <c r="V345" s="350"/>
      <c r="W345" s="350"/>
      <c r="X345" s="351"/>
      <c r="Y345" s="412"/>
      <c r="Z345" s="351"/>
      <c r="AA345" s="412"/>
      <c r="AB345" s="350"/>
      <c r="AC345" s="350"/>
      <c r="AD345" s="351"/>
      <c r="AE345" s="412"/>
      <c r="AF345" s="350"/>
      <c r="AG345" s="351"/>
      <c r="AH345" s="412"/>
      <c r="AI345" s="350"/>
      <c r="AJ345" s="351"/>
      <c r="AK345" s="412"/>
      <c r="AL345" s="350"/>
      <c r="AM345" s="350"/>
      <c r="AN345" s="351"/>
      <c r="AO345" s="412"/>
      <c r="AP345" s="350"/>
      <c r="AQ345" s="350"/>
      <c r="AR345" s="350"/>
      <c r="AS345" s="350"/>
      <c r="AT345" s="350"/>
      <c r="AU345" s="350"/>
      <c r="AV345" s="351"/>
      <c r="AW345" s="723"/>
      <c r="AX345" s="350"/>
      <c r="AY345" s="351"/>
      <c r="AZ345" s="412"/>
      <c r="BA345" s="350"/>
      <c r="BB345" s="350"/>
      <c r="BC345" s="350"/>
      <c r="BD345" s="350"/>
      <c r="BE345" s="350"/>
      <c r="BF345" s="350"/>
      <c r="BG345" s="350"/>
      <c r="BH345" s="350"/>
      <c r="BI345" s="350"/>
      <c r="BJ345" s="350"/>
      <c r="BK345" s="350"/>
      <c r="BL345" s="350"/>
      <c r="BM345" s="350"/>
      <c r="BN345" s="350"/>
      <c r="BO345" s="351"/>
    </row>
    <row r="346" spans="1:67" ht="34.5" customHeight="1">
      <c r="A346" s="98">
        <f t="shared" si="1"/>
        <v>334</v>
      </c>
      <c r="B346" s="416" t="s">
        <v>325</v>
      </c>
      <c r="C346" s="351"/>
      <c r="D346" s="594"/>
      <c r="E346" s="350"/>
      <c r="F346" s="350"/>
      <c r="G346" s="350"/>
      <c r="H346" s="351"/>
      <c r="I346" s="368"/>
      <c r="J346" s="350"/>
      <c r="K346" s="350"/>
      <c r="L346" s="350"/>
      <c r="M346" s="350"/>
      <c r="N346" s="350"/>
      <c r="O346" s="350"/>
      <c r="P346" s="351"/>
      <c r="Q346" s="511"/>
      <c r="R346" s="350"/>
      <c r="S346" s="350"/>
      <c r="T346" s="350"/>
      <c r="U346" s="350"/>
      <c r="V346" s="350"/>
      <c r="W346" s="350"/>
      <c r="X346" s="351"/>
      <c r="Y346" s="368"/>
      <c r="Z346" s="351"/>
      <c r="AA346" s="511"/>
      <c r="AB346" s="350"/>
      <c r="AC346" s="350"/>
      <c r="AD346" s="351"/>
      <c r="AE346" s="368"/>
      <c r="AF346" s="350"/>
      <c r="AG346" s="351"/>
      <c r="AH346" s="511"/>
      <c r="AI346" s="350"/>
      <c r="AJ346" s="351"/>
      <c r="AK346" s="368"/>
      <c r="AL346" s="350"/>
      <c r="AM346" s="350"/>
      <c r="AN346" s="351"/>
      <c r="AO346" s="511"/>
      <c r="AP346" s="350"/>
      <c r="AQ346" s="350"/>
      <c r="AR346" s="350"/>
      <c r="AS346" s="350"/>
      <c r="AT346" s="350"/>
      <c r="AU346" s="350"/>
      <c r="AV346" s="351"/>
      <c r="AW346" s="725"/>
      <c r="AX346" s="350"/>
      <c r="AY346" s="351"/>
      <c r="AZ346" s="511"/>
      <c r="BA346" s="350"/>
      <c r="BB346" s="350"/>
      <c r="BC346" s="350"/>
      <c r="BD346" s="350"/>
      <c r="BE346" s="350"/>
      <c r="BF346" s="350"/>
      <c r="BG346" s="350"/>
      <c r="BH346" s="350"/>
      <c r="BI346" s="350"/>
      <c r="BJ346" s="350"/>
      <c r="BK346" s="350"/>
      <c r="BL346" s="350"/>
      <c r="BM346" s="350"/>
      <c r="BN346" s="350"/>
      <c r="BO346" s="351"/>
    </row>
    <row r="347" spans="1:67" ht="34.5" customHeight="1">
      <c r="A347" s="98">
        <f t="shared" si="1"/>
        <v>335</v>
      </c>
      <c r="B347" s="416" t="s">
        <v>325</v>
      </c>
      <c r="C347" s="351"/>
      <c r="D347" s="724"/>
      <c r="E347" s="350"/>
      <c r="F347" s="350"/>
      <c r="G347" s="350"/>
      <c r="H347" s="351"/>
      <c r="I347" s="412"/>
      <c r="J347" s="350"/>
      <c r="K347" s="350"/>
      <c r="L347" s="350"/>
      <c r="M347" s="350"/>
      <c r="N347" s="350"/>
      <c r="O347" s="350"/>
      <c r="P347" s="351"/>
      <c r="Q347" s="412"/>
      <c r="R347" s="350"/>
      <c r="S347" s="350"/>
      <c r="T347" s="350"/>
      <c r="U347" s="350"/>
      <c r="V347" s="350"/>
      <c r="W347" s="350"/>
      <c r="X347" s="351"/>
      <c r="Y347" s="412"/>
      <c r="Z347" s="351"/>
      <c r="AA347" s="412"/>
      <c r="AB347" s="350"/>
      <c r="AC347" s="350"/>
      <c r="AD347" s="351"/>
      <c r="AE347" s="412"/>
      <c r="AF347" s="350"/>
      <c r="AG347" s="351"/>
      <c r="AH347" s="412"/>
      <c r="AI347" s="350"/>
      <c r="AJ347" s="351"/>
      <c r="AK347" s="412"/>
      <c r="AL347" s="350"/>
      <c r="AM347" s="350"/>
      <c r="AN347" s="351"/>
      <c r="AO347" s="412"/>
      <c r="AP347" s="350"/>
      <c r="AQ347" s="350"/>
      <c r="AR347" s="350"/>
      <c r="AS347" s="350"/>
      <c r="AT347" s="350"/>
      <c r="AU347" s="350"/>
      <c r="AV347" s="351"/>
      <c r="AW347" s="723"/>
      <c r="AX347" s="350"/>
      <c r="AY347" s="351"/>
      <c r="AZ347" s="412"/>
      <c r="BA347" s="350"/>
      <c r="BB347" s="350"/>
      <c r="BC347" s="350"/>
      <c r="BD347" s="350"/>
      <c r="BE347" s="350"/>
      <c r="BF347" s="350"/>
      <c r="BG347" s="350"/>
      <c r="BH347" s="350"/>
      <c r="BI347" s="350"/>
      <c r="BJ347" s="350"/>
      <c r="BK347" s="350"/>
      <c r="BL347" s="350"/>
      <c r="BM347" s="350"/>
      <c r="BN347" s="350"/>
      <c r="BO347" s="351"/>
    </row>
    <row r="348" spans="1:67" ht="34.5" customHeight="1">
      <c r="A348" s="98">
        <f t="shared" si="1"/>
        <v>336</v>
      </c>
      <c r="B348" s="416" t="s">
        <v>325</v>
      </c>
      <c r="C348" s="351"/>
      <c r="D348" s="594"/>
      <c r="E348" s="350"/>
      <c r="F348" s="350"/>
      <c r="G348" s="350"/>
      <c r="H348" s="351"/>
      <c r="I348" s="368"/>
      <c r="J348" s="350"/>
      <c r="K348" s="350"/>
      <c r="L348" s="350"/>
      <c r="M348" s="350"/>
      <c r="N348" s="350"/>
      <c r="O348" s="350"/>
      <c r="P348" s="351"/>
      <c r="Q348" s="511"/>
      <c r="R348" s="350"/>
      <c r="S348" s="350"/>
      <c r="T348" s="350"/>
      <c r="U348" s="350"/>
      <c r="V348" s="350"/>
      <c r="W348" s="350"/>
      <c r="X348" s="351"/>
      <c r="Y348" s="368"/>
      <c r="Z348" s="351"/>
      <c r="AA348" s="511"/>
      <c r="AB348" s="350"/>
      <c r="AC348" s="350"/>
      <c r="AD348" s="351"/>
      <c r="AE348" s="368"/>
      <c r="AF348" s="350"/>
      <c r="AG348" s="351"/>
      <c r="AH348" s="511"/>
      <c r="AI348" s="350"/>
      <c r="AJ348" s="351"/>
      <c r="AK348" s="368"/>
      <c r="AL348" s="350"/>
      <c r="AM348" s="350"/>
      <c r="AN348" s="351"/>
      <c r="AO348" s="511"/>
      <c r="AP348" s="350"/>
      <c r="AQ348" s="350"/>
      <c r="AR348" s="350"/>
      <c r="AS348" s="350"/>
      <c r="AT348" s="350"/>
      <c r="AU348" s="350"/>
      <c r="AV348" s="351"/>
      <c r="AW348" s="725"/>
      <c r="AX348" s="350"/>
      <c r="AY348" s="351"/>
      <c r="AZ348" s="511"/>
      <c r="BA348" s="350"/>
      <c r="BB348" s="350"/>
      <c r="BC348" s="350"/>
      <c r="BD348" s="350"/>
      <c r="BE348" s="350"/>
      <c r="BF348" s="350"/>
      <c r="BG348" s="350"/>
      <c r="BH348" s="350"/>
      <c r="BI348" s="350"/>
      <c r="BJ348" s="350"/>
      <c r="BK348" s="350"/>
      <c r="BL348" s="350"/>
      <c r="BM348" s="350"/>
      <c r="BN348" s="350"/>
      <c r="BO348" s="351"/>
    </row>
    <row r="349" spans="1:67" ht="34.5" customHeight="1">
      <c r="A349" s="98">
        <f t="shared" si="1"/>
        <v>337</v>
      </c>
      <c r="B349" s="416" t="s">
        <v>325</v>
      </c>
      <c r="C349" s="351"/>
      <c r="D349" s="724"/>
      <c r="E349" s="350"/>
      <c r="F349" s="350"/>
      <c r="G349" s="350"/>
      <c r="H349" s="351"/>
      <c r="I349" s="412"/>
      <c r="J349" s="350"/>
      <c r="K349" s="350"/>
      <c r="L349" s="350"/>
      <c r="M349" s="350"/>
      <c r="N349" s="350"/>
      <c r="O349" s="350"/>
      <c r="P349" s="351"/>
      <c r="Q349" s="412"/>
      <c r="R349" s="350"/>
      <c r="S349" s="350"/>
      <c r="T349" s="350"/>
      <c r="U349" s="350"/>
      <c r="V349" s="350"/>
      <c r="W349" s="350"/>
      <c r="X349" s="351"/>
      <c r="Y349" s="412"/>
      <c r="Z349" s="351"/>
      <c r="AA349" s="412"/>
      <c r="AB349" s="350"/>
      <c r="AC349" s="350"/>
      <c r="AD349" s="351"/>
      <c r="AE349" s="412"/>
      <c r="AF349" s="350"/>
      <c r="AG349" s="351"/>
      <c r="AH349" s="412"/>
      <c r="AI349" s="350"/>
      <c r="AJ349" s="351"/>
      <c r="AK349" s="412"/>
      <c r="AL349" s="350"/>
      <c r="AM349" s="350"/>
      <c r="AN349" s="351"/>
      <c r="AO349" s="412"/>
      <c r="AP349" s="350"/>
      <c r="AQ349" s="350"/>
      <c r="AR349" s="350"/>
      <c r="AS349" s="350"/>
      <c r="AT349" s="350"/>
      <c r="AU349" s="350"/>
      <c r="AV349" s="351"/>
      <c r="AW349" s="723"/>
      <c r="AX349" s="350"/>
      <c r="AY349" s="351"/>
      <c r="AZ349" s="412"/>
      <c r="BA349" s="350"/>
      <c r="BB349" s="350"/>
      <c r="BC349" s="350"/>
      <c r="BD349" s="350"/>
      <c r="BE349" s="350"/>
      <c r="BF349" s="350"/>
      <c r="BG349" s="350"/>
      <c r="BH349" s="350"/>
      <c r="BI349" s="350"/>
      <c r="BJ349" s="350"/>
      <c r="BK349" s="350"/>
      <c r="BL349" s="350"/>
      <c r="BM349" s="350"/>
      <c r="BN349" s="350"/>
      <c r="BO349" s="351"/>
    </row>
    <row r="350" spans="1:67" ht="34.5" customHeight="1">
      <c r="A350" s="98">
        <f t="shared" si="1"/>
        <v>338</v>
      </c>
      <c r="B350" s="416" t="s">
        <v>325</v>
      </c>
      <c r="C350" s="351"/>
      <c r="D350" s="594"/>
      <c r="E350" s="350"/>
      <c r="F350" s="350"/>
      <c r="G350" s="350"/>
      <c r="H350" s="351"/>
      <c r="I350" s="368"/>
      <c r="J350" s="350"/>
      <c r="K350" s="350"/>
      <c r="L350" s="350"/>
      <c r="M350" s="350"/>
      <c r="N350" s="350"/>
      <c r="O350" s="350"/>
      <c r="P350" s="351"/>
      <c r="Q350" s="511"/>
      <c r="R350" s="350"/>
      <c r="S350" s="350"/>
      <c r="T350" s="350"/>
      <c r="U350" s="350"/>
      <c r="V350" s="350"/>
      <c r="W350" s="350"/>
      <c r="X350" s="351"/>
      <c r="Y350" s="368"/>
      <c r="Z350" s="351"/>
      <c r="AA350" s="511"/>
      <c r="AB350" s="350"/>
      <c r="AC350" s="350"/>
      <c r="AD350" s="351"/>
      <c r="AE350" s="368"/>
      <c r="AF350" s="350"/>
      <c r="AG350" s="351"/>
      <c r="AH350" s="511"/>
      <c r="AI350" s="350"/>
      <c r="AJ350" s="351"/>
      <c r="AK350" s="368"/>
      <c r="AL350" s="350"/>
      <c r="AM350" s="350"/>
      <c r="AN350" s="351"/>
      <c r="AO350" s="511"/>
      <c r="AP350" s="350"/>
      <c r="AQ350" s="350"/>
      <c r="AR350" s="350"/>
      <c r="AS350" s="350"/>
      <c r="AT350" s="350"/>
      <c r="AU350" s="350"/>
      <c r="AV350" s="351"/>
      <c r="AW350" s="725"/>
      <c r="AX350" s="350"/>
      <c r="AY350" s="351"/>
      <c r="AZ350" s="511"/>
      <c r="BA350" s="350"/>
      <c r="BB350" s="350"/>
      <c r="BC350" s="350"/>
      <c r="BD350" s="350"/>
      <c r="BE350" s="350"/>
      <c r="BF350" s="350"/>
      <c r="BG350" s="350"/>
      <c r="BH350" s="350"/>
      <c r="BI350" s="350"/>
      <c r="BJ350" s="350"/>
      <c r="BK350" s="350"/>
      <c r="BL350" s="350"/>
      <c r="BM350" s="350"/>
      <c r="BN350" s="350"/>
      <c r="BO350" s="351"/>
    </row>
    <row r="351" spans="1:67" ht="34.5" customHeight="1">
      <c r="A351" s="98">
        <f t="shared" si="1"/>
        <v>339</v>
      </c>
      <c r="B351" s="416" t="s">
        <v>325</v>
      </c>
      <c r="C351" s="351"/>
      <c r="D351" s="724"/>
      <c r="E351" s="350"/>
      <c r="F351" s="350"/>
      <c r="G351" s="350"/>
      <c r="H351" s="351"/>
      <c r="I351" s="412"/>
      <c r="J351" s="350"/>
      <c r="K351" s="350"/>
      <c r="L351" s="350"/>
      <c r="M351" s="350"/>
      <c r="N351" s="350"/>
      <c r="O351" s="350"/>
      <c r="P351" s="351"/>
      <c r="Q351" s="412"/>
      <c r="R351" s="350"/>
      <c r="S351" s="350"/>
      <c r="T351" s="350"/>
      <c r="U351" s="350"/>
      <c r="V351" s="350"/>
      <c r="W351" s="350"/>
      <c r="X351" s="351"/>
      <c r="Y351" s="412"/>
      <c r="Z351" s="351"/>
      <c r="AA351" s="412"/>
      <c r="AB351" s="350"/>
      <c r="AC351" s="350"/>
      <c r="AD351" s="351"/>
      <c r="AE351" s="412"/>
      <c r="AF351" s="350"/>
      <c r="AG351" s="351"/>
      <c r="AH351" s="412"/>
      <c r="AI351" s="350"/>
      <c r="AJ351" s="351"/>
      <c r="AK351" s="412"/>
      <c r="AL351" s="350"/>
      <c r="AM351" s="350"/>
      <c r="AN351" s="351"/>
      <c r="AO351" s="412"/>
      <c r="AP351" s="350"/>
      <c r="AQ351" s="350"/>
      <c r="AR351" s="350"/>
      <c r="AS351" s="350"/>
      <c r="AT351" s="350"/>
      <c r="AU351" s="350"/>
      <c r="AV351" s="351"/>
      <c r="AW351" s="723"/>
      <c r="AX351" s="350"/>
      <c r="AY351" s="351"/>
      <c r="AZ351" s="412"/>
      <c r="BA351" s="350"/>
      <c r="BB351" s="350"/>
      <c r="BC351" s="350"/>
      <c r="BD351" s="350"/>
      <c r="BE351" s="350"/>
      <c r="BF351" s="350"/>
      <c r="BG351" s="350"/>
      <c r="BH351" s="350"/>
      <c r="BI351" s="350"/>
      <c r="BJ351" s="350"/>
      <c r="BK351" s="350"/>
      <c r="BL351" s="350"/>
      <c r="BM351" s="350"/>
      <c r="BN351" s="350"/>
      <c r="BO351" s="351"/>
    </row>
    <row r="352" spans="1:67" ht="34.5" customHeight="1">
      <c r="A352" s="98">
        <f t="shared" si="1"/>
        <v>340</v>
      </c>
      <c r="B352" s="416" t="s">
        <v>325</v>
      </c>
      <c r="C352" s="351"/>
      <c r="D352" s="594"/>
      <c r="E352" s="350"/>
      <c r="F352" s="350"/>
      <c r="G352" s="350"/>
      <c r="H352" s="351"/>
      <c r="I352" s="368"/>
      <c r="J352" s="350"/>
      <c r="K352" s="350"/>
      <c r="L352" s="350"/>
      <c r="M352" s="350"/>
      <c r="N352" s="350"/>
      <c r="O352" s="350"/>
      <c r="P352" s="351"/>
      <c r="Q352" s="511"/>
      <c r="R352" s="350"/>
      <c r="S352" s="350"/>
      <c r="T352" s="350"/>
      <c r="U352" s="350"/>
      <c r="V352" s="350"/>
      <c r="W352" s="350"/>
      <c r="X352" s="351"/>
      <c r="Y352" s="368"/>
      <c r="Z352" s="351"/>
      <c r="AA352" s="511"/>
      <c r="AB352" s="350"/>
      <c r="AC352" s="350"/>
      <c r="AD352" s="351"/>
      <c r="AE352" s="368"/>
      <c r="AF352" s="350"/>
      <c r="AG352" s="351"/>
      <c r="AH352" s="511"/>
      <c r="AI352" s="350"/>
      <c r="AJ352" s="351"/>
      <c r="AK352" s="368"/>
      <c r="AL352" s="350"/>
      <c r="AM352" s="350"/>
      <c r="AN352" s="351"/>
      <c r="AO352" s="511"/>
      <c r="AP352" s="350"/>
      <c r="AQ352" s="350"/>
      <c r="AR352" s="350"/>
      <c r="AS352" s="350"/>
      <c r="AT352" s="350"/>
      <c r="AU352" s="350"/>
      <c r="AV352" s="351"/>
      <c r="AW352" s="725"/>
      <c r="AX352" s="350"/>
      <c r="AY352" s="351"/>
      <c r="AZ352" s="511"/>
      <c r="BA352" s="350"/>
      <c r="BB352" s="350"/>
      <c r="BC352" s="350"/>
      <c r="BD352" s="350"/>
      <c r="BE352" s="350"/>
      <c r="BF352" s="350"/>
      <c r="BG352" s="350"/>
      <c r="BH352" s="350"/>
      <c r="BI352" s="350"/>
      <c r="BJ352" s="350"/>
      <c r="BK352" s="350"/>
      <c r="BL352" s="350"/>
      <c r="BM352" s="350"/>
      <c r="BN352" s="350"/>
      <c r="BO352" s="351"/>
    </row>
    <row r="353" spans="1:67" ht="34.5" customHeight="1">
      <c r="A353" s="98">
        <f t="shared" si="1"/>
        <v>341</v>
      </c>
      <c r="B353" s="416" t="s">
        <v>325</v>
      </c>
      <c r="C353" s="351"/>
      <c r="D353" s="724"/>
      <c r="E353" s="350"/>
      <c r="F353" s="350"/>
      <c r="G353" s="350"/>
      <c r="H353" s="351"/>
      <c r="I353" s="412"/>
      <c r="J353" s="350"/>
      <c r="K353" s="350"/>
      <c r="L353" s="350"/>
      <c r="M353" s="350"/>
      <c r="N353" s="350"/>
      <c r="O353" s="350"/>
      <c r="P353" s="351"/>
      <c r="Q353" s="412"/>
      <c r="R353" s="350"/>
      <c r="S353" s="350"/>
      <c r="T353" s="350"/>
      <c r="U353" s="350"/>
      <c r="V353" s="350"/>
      <c r="W353" s="350"/>
      <c r="X353" s="351"/>
      <c r="Y353" s="412"/>
      <c r="Z353" s="351"/>
      <c r="AA353" s="412"/>
      <c r="AB353" s="350"/>
      <c r="AC353" s="350"/>
      <c r="AD353" s="351"/>
      <c r="AE353" s="412"/>
      <c r="AF353" s="350"/>
      <c r="AG353" s="351"/>
      <c r="AH353" s="412"/>
      <c r="AI353" s="350"/>
      <c r="AJ353" s="351"/>
      <c r="AK353" s="412"/>
      <c r="AL353" s="350"/>
      <c r="AM353" s="350"/>
      <c r="AN353" s="351"/>
      <c r="AO353" s="412"/>
      <c r="AP353" s="350"/>
      <c r="AQ353" s="350"/>
      <c r="AR353" s="350"/>
      <c r="AS353" s="350"/>
      <c r="AT353" s="350"/>
      <c r="AU353" s="350"/>
      <c r="AV353" s="351"/>
      <c r="AW353" s="723"/>
      <c r="AX353" s="350"/>
      <c r="AY353" s="351"/>
      <c r="AZ353" s="412"/>
      <c r="BA353" s="350"/>
      <c r="BB353" s="350"/>
      <c r="BC353" s="350"/>
      <c r="BD353" s="350"/>
      <c r="BE353" s="350"/>
      <c r="BF353" s="350"/>
      <c r="BG353" s="350"/>
      <c r="BH353" s="350"/>
      <c r="BI353" s="350"/>
      <c r="BJ353" s="350"/>
      <c r="BK353" s="350"/>
      <c r="BL353" s="350"/>
      <c r="BM353" s="350"/>
      <c r="BN353" s="350"/>
      <c r="BO353" s="351"/>
    </row>
    <row r="354" spans="1:67" ht="34.5" customHeight="1">
      <c r="A354" s="98">
        <f t="shared" si="1"/>
        <v>342</v>
      </c>
      <c r="B354" s="416" t="s">
        <v>325</v>
      </c>
      <c r="C354" s="351"/>
      <c r="D354" s="594"/>
      <c r="E354" s="350"/>
      <c r="F354" s="350"/>
      <c r="G354" s="350"/>
      <c r="H354" s="351"/>
      <c r="I354" s="368"/>
      <c r="J354" s="350"/>
      <c r="K354" s="350"/>
      <c r="L354" s="350"/>
      <c r="M354" s="350"/>
      <c r="N354" s="350"/>
      <c r="O354" s="350"/>
      <c r="P354" s="351"/>
      <c r="Q354" s="511"/>
      <c r="R354" s="350"/>
      <c r="S354" s="350"/>
      <c r="T354" s="350"/>
      <c r="U354" s="350"/>
      <c r="V354" s="350"/>
      <c r="W354" s="350"/>
      <c r="X354" s="351"/>
      <c r="Y354" s="368"/>
      <c r="Z354" s="351"/>
      <c r="AA354" s="511"/>
      <c r="AB354" s="350"/>
      <c r="AC354" s="350"/>
      <c r="AD354" s="351"/>
      <c r="AE354" s="368"/>
      <c r="AF354" s="350"/>
      <c r="AG354" s="351"/>
      <c r="AH354" s="511"/>
      <c r="AI354" s="350"/>
      <c r="AJ354" s="351"/>
      <c r="AK354" s="368"/>
      <c r="AL354" s="350"/>
      <c r="AM354" s="350"/>
      <c r="AN354" s="351"/>
      <c r="AO354" s="511"/>
      <c r="AP354" s="350"/>
      <c r="AQ354" s="350"/>
      <c r="AR354" s="350"/>
      <c r="AS354" s="350"/>
      <c r="AT354" s="350"/>
      <c r="AU354" s="350"/>
      <c r="AV354" s="351"/>
      <c r="AW354" s="725"/>
      <c r="AX354" s="350"/>
      <c r="AY354" s="351"/>
      <c r="AZ354" s="511"/>
      <c r="BA354" s="350"/>
      <c r="BB354" s="350"/>
      <c r="BC354" s="350"/>
      <c r="BD354" s="350"/>
      <c r="BE354" s="350"/>
      <c r="BF354" s="350"/>
      <c r="BG354" s="350"/>
      <c r="BH354" s="350"/>
      <c r="BI354" s="350"/>
      <c r="BJ354" s="350"/>
      <c r="BK354" s="350"/>
      <c r="BL354" s="350"/>
      <c r="BM354" s="350"/>
      <c r="BN354" s="350"/>
      <c r="BO354" s="351"/>
    </row>
    <row r="355" spans="1:67" ht="34.5" customHeight="1">
      <c r="A355" s="98">
        <f t="shared" si="1"/>
        <v>343</v>
      </c>
      <c r="B355" s="416" t="s">
        <v>325</v>
      </c>
      <c r="C355" s="351"/>
      <c r="D355" s="724"/>
      <c r="E355" s="350"/>
      <c r="F355" s="350"/>
      <c r="G355" s="350"/>
      <c r="H355" s="351"/>
      <c r="I355" s="412"/>
      <c r="J355" s="350"/>
      <c r="K355" s="350"/>
      <c r="L355" s="350"/>
      <c r="M355" s="350"/>
      <c r="N355" s="350"/>
      <c r="O355" s="350"/>
      <c r="P355" s="351"/>
      <c r="Q355" s="412"/>
      <c r="R355" s="350"/>
      <c r="S355" s="350"/>
      <c r="T355" s="350"/>
      <c r="U355" s="350"/>
      <c r="V355" s="350"/>
      <c r="W355" s="350"/>
      <c r="X355" s="351"/>
      <c r="Y355" s="412"/>
      <c r="Z355" s="351"/>
      <c r="AA355" s="412"/>
      <c r="AB355" s="350"/>
      <c r="AC355" s="350"/>
      <c r="AD355" s="351"/>
      <c r="AE355" s="412"/>
      <c r="AF355" s="350"/>
      <c r="AG355" s="351"/>
      <c r="AH355" s="412"/>
      <c r="AI355" s="350"/>
      <c r="AJ355" s="351"/>
      <c r="AK355" s="412"/>
      <c r="AL355" s="350"/>
      <c r="AM355" s="350"/>
      <c r="AN355" s="351"/>
      <c r="AO355" s="412"/>
      <c r="AP355" s="350"/>
      <c r="AQ355" s="350"/>
      <c r="AR355" s="350"/>
      <c r="AS355" s="350"/>
      <c r="AT355" s="350"/>
      <c r="AU355" s="350"/>
      <c r="AV355" s="351"/>
      <c r="AW355" s="723"/>
      <c r="AX355" s="350"/>
      <c r="AY355" s="351"/>
      <c r="AZ355" s="412"/>
      <c r="BA355" s="350"/>
      <c r="BB355" s="350"/>
      <c r="BC355" s="350"/>
      <c r="BD355" s="350"/>
      <c r="BE355" s="350"/>
      <c r="BF355" s="350"/>
      <c r="BG355" s="350"/>
      <c r="BH355" s="350"/>
      <c r="BI355" s="350"/>
      <c r="BJ355" s="350"/>
      <c r="BK355" s="350"/>
      <c r="BL355" s="350"/>
      <c r="BM355" s="350"/>
      <c r="BN355" s="350"/>
      <c r="BO355" s="351"/>
    </row>
    <row r="356" spans="1:67" ht="34.5" customHeight="1">
      <c r="A356" s="98">
        <f t="shared" si="1"/>
        <v>344</v>
      </c>
      <c r="B356" s="726" t="s">
        <v>325</v>
      </c>
      <c r="C356" s="351"/>
      <c r="D356" s="594"/>
      <c r="E356" s="350"/>
      <c r="F356" s="350"/>
      <c r="G356" s="350"/>
      <c r="H356" s="351"/>
      <c r="I356" s="368"/>
      <c r="J356" s="350"/>
      <c r="K356" s="350"/>
      <c r="L356" s="350"/>
      <c r="M356" s="350"/>
      <c r="N356" s="350"/>
      <c r="O356" s="350"/>
      <c r="P356" s="351"/>
      <c r="Q356" s="511"/>
      <c r="R356" s="350"/>
      <c r="S356" s="350"/>
      <c r="T356" s="350"/>
      <c r="U356" s="350"/>
      <c r="V356" s="350"/>
      <c r="W356" s="350"/>
      <c r="X356" s="351"/>
      <c r="Y356" s="368"/>
      <c r="Z356" s="351"/>
      <c r="AA356" s="511"/>
      <c r="AB356" s="350"/>
      <c r="AC356" s="350"/>
      <c r="AD356" s="351"/>
      <c r="AE356" s="368"/>
      <c r="AF356" s="350"/>
      <c r="AG356" s="351"/>
      <c r="AH356" s="511"/>
      <c r="AI356" s="350"/>
      <c r="AJ356" s="351"/>
      <c r="AK356" s="368"/>
      <c r="AL356" s="350"/>
      <c r="AM356" s="350"/>
      <c r="AN356" s="351"/>
      <c r="AO356" s="511"/>
      <c r="AP356" s="350"/>
      <c r="AQ356" s="350"/>
      <c r="AR356" s="350"/>
      <c r="AS356" s="350"/>
      <c r="AT356" s="350"/>
      <c r="AU356" s="350"/>
      <c r="AV356" s="351"/>
      <c r="AW356" s="725"/>
      <c r="AX356" s="350"/>
      <c r="AY356" s="351"/>
      <c r="AZ356" s="511"/>
      <c r="BA356" s="350"/>
      <c r="BB356" s="350"/>
      <c r="BC356" s="350"/>
      <c r="BD356" s="350"/>
      <c r="BE356" s="350"/>
      <c r="BF356" s="350"/>
      <c r="BG356" s="350"/>
      <c r="BH356" s="350"/>
      <c r="BI356" s="350"/>
      <c r="BJ356" s="350"/>
      <c r="BK356" s="350"/>
      <c r="BL356" s="350"/>
      <c r="BM356" s="350"/>
      <c r="BN356" s="350"/>
      <c r="BO356" s="351"/>
    </row>
    <row r="357" spans="1:67" ht="34.5" customHeight="1">
      <c r="A357" s="98">
        <f t="shared" si="1"/>
        <v>345</v>
      </c>
      <c r="B357" s="416" t="s">
        <v>325</v>
      </c>
      <c r="C357" s="351"/>
      <c r="D357" s="724"/>
      <c r="E357" s="350"/>
      <c r="F357" s="350"/>
      <c r="G357" s="350"/>
      <c r="H357" s="351"/>
      <c r="I357" s="412"/>
      <c r="J357" s="350"/>
      <c r="K357" s="350"/>
      <c r="L357" s="350"/>
      <c r="M357" s="350"/>
      <c r="N357" s="350"/>
      <c r="O357" s="350"/>
      <c r="P357" s="351"/>
      <c r="Q357" s="412"/>
      <c r="R357" s="350"/>
      <c r="S357" s="350"/>
      <c r="T357" s="350"/>
      <c r="U357" s="350"/>
      <c r="V357" s="350"/>
      <c r="W357" s="350"/>
      <c r="X357" s="351"/>
      <c r="Y357" s="412"/>
      <c r="Z357" s="351"/>
      <c r="AA357" s="412"/>
      <c r="AB357" s="350"/>
      <c r="AC357" s="350"/>
      <c r="AD357" s="351"/>
      <c r="AE357" s="412"/>
      <c r="AF357" s="350"/>
      <c r="AG357" s="351"/>
      <c r="AH357" s="412"/>
      <c r="AI357" s="350"/>
      <c r="AJ357" s="351"/>
      <c r="AK357" s="412"/>
      <c r="AL357" s="350"/>
      <c r="AM357" s="350"/>
      <c r="AN357" s="351"/>
      <c r="AO357" s="412"/>
      <c r="AP357" s="350"/>
      <c r="AQ357" s="350"/>
      <c r="AR357" s="350"/>
      <c r="AS357" s="350"/>
      <c r="AT357" s="350"/>
      <c r="AU357" s="350"/>
      <c r="AV357" s="351"/>
      <c r="AW357" s="723"/>
      <c r="AX357" s="350"/>
      <c r="AY357" s="351"/>
      <c r="AZ357" s="412"/>
      <c r="BA357" s="350"/>
      <c r="BB357" s="350"/>
      <c r="BC357" s="350"/>
      <c r="BD357" s="350"/>
      <c r="BE357" s="350"/>
      <c r="BF357" s="350"/>
      <c r="BG357" s="350"/>
      <c r="BH357" s="350"/>
      <c r="BI357" s="350"/>
      <c r="BJ357" s="350"/>
      <c r="BK357" s="350"/>
      <c r="BL357" s="350"/>
      <c r="BM357" s="350"/>
      <c r="BN357" s="350"/>
      <c r="BO357" s="351"/>
    </row>
    <row r="358" spans="1:67" ht="34.5" customHeight="1">
      <c r="A358" s="98">
        <f t="shared" si="1"/>
        <v>346</v>
      </c>
      <c r="B358" s="416" t="s">
        <v>325</v>
      </c>
      <c r="C358" s="351"/>
      <c r="D358" s="594"/>
      <c r="E358" s="350"/>
      <c r="F358" s="350"/>
      <c r="G358" s="350"/>
      <c r="H358" s="351"/>
      <c r="I358" s="368"/>
      <c r="J358" s="350"/>
      <c r="K358" s="350"/>
      <c r="L358" s="350"/>
      <c r="M358" s="350"/>
      <c r="N358" s="350"/>
      <c r="O358" s="350"/>
      <c r="P358" s="351"/>
      <c r="Q358" s="511"/>
      <c r="R358" s="350"/>
      <c r="S358" s="350"/>
      <c r="T358" s="350"/>
      <c r="U358" s="350"/>
      <c r="V358" s="350"/>
      <c r="W358" s="350"/>
      <c r="X358" s="351"/>
      <c r="Y358" s="368"/>
      <c r="Z358" s="351"/>
      <c r="AA358" s="511"/>
      <c r="AB358" s="350"/>
      <c r="AC358" s="350"/>
      <c r="AD358" s="351"/>
      <c r="AE358" s="368"/>
      <c r="AF358" s="350"/>
      <c r="AG358" s="351"/>
      <c r="AH358" s="511"/>
      <c r="AI358" s="350"/>
      <c r="AJ358" s="351"/>
      <c r="AK358" s="368"/>
      <c r="AL358" s="350"/>
      <c r="AM358" s="350"/>
      <c r="AN358" s="351"/>
      <c r="AO358" s="511"/>
      <c r="AP358" s="350"/>
      <c r="AQ358" s="350"/>
      <c r="AR358" s="350"/>
      <c r="AS358" s="350"/>
      <c r="AT358" s="350"/>
      <c r="AU358" s="350"/>
      <c r="AV358" s="351"/>
      <c r="AW358" s="725"/>
      <c r="AX358" s="350"/>
      <c r="AY358" s="351"/>
      <c r="AZ358" s="511"/>
      <c r="BA358" s="350"/>
      <c r="BB358" s="350"/>
      <c r="BC358" s="350"/>
      <c r="BD358" s="350"/>
      <c r="BE358" s="350"/>
      <c r="BF358" s="350"/>
      <c r="BG358" s="350"/>
      <c r="BH358" s="350"/>
      <c r="BI358" s="350"/>
      <c r="BJ358" s="350"/>
      <c r="BK358" s="350"/>
      <c r="BL358" s="350"/>
      <c r="BM358" s="350"/>
      <c r="BN358" s="350"/>
      <c r="BO358" s="351"/>
    </row>
    <row r="359" spans="1:67" ht="34.5" customHeight="1">
      <c r="A359" s="98">
        <f t="shared" si="1"/>
        <v>347</v>
      </c>
      <c r="B359" s="416" t="s">
        <v>325</v>
      </c>
      <c r="C359" s="351"/>
      <c r="D359" s="724"/>
      <c r="E359" s="350"/>
      <c r="F359" s="350"/>
      <c r="G359" s="350"/>
      <c r="H359" s="351"/>
      <c r="I359" s="412"/>
      <c r="J359" s="350"/>
      <c r="K359" s="350"/>
      <c r="L359" s="350"/>
      <c r="M359" s="350"/>
      <c r="N359" s="350"/>
      <c r="O359" s="350"/>
      <c r="P359" s="351"/>
      <c r="Q359" s="412"/>
      <c r="R359" s="350"/>
      <c r="S359" s="350"/>
      <c r="T359" s="350"/>
      <c r="U359" s="350"/>
      <c r="V359" s="350"/>
      <c r="W359" s="350"/>
      <c r="X359" s="351"/>
      <c r="Y359" s="412"/>
      <c r="Z359" s="351"/>
      <c r="AA359" s="412"/>
      <c r="AB359" s="350"/>
      <c r="AC359" s="350"/>
      <c r="AD359" s="351"/>
      <c r="AE359" s="412"/>
      <c r="AF359" s="350"/>
      <c r="AG359" s="351"/>
      <c r="AH359" s="412"/>
      <c r="AI359" s="350"/>
      <c r="AJ359" s="351"/>
      <c r="AK359" s="412"/>
      <c r="AL359" s="350"/>
      <c r="AM359" s="350"/>
      <c r="AN359" s="351"/>
      <c r="AO359" s="412"/>
      <c r="AP359" s="350"/>
      <c r="AQ359" s="350"/>
      <c r="AR359" s="350"/>
      <c r="AS359" s="350"/>
      <c r="AT359" s="350"/>
      <c r="AU359" s="350"/>
      <c r="AV359" s="351"/>
      <c r="AW359" s="723"/>
      <c r="AX359" s="350"/>
      <c r="AY359" s="351"/>
      <c r="AZ359" s="412"/>
      <c r="BA359" s="350"/>
      <c r="BB359" s="350"/>
      <c r="BC359" s="350"/>
      <c r="BD359" s="350"/>
      <c r="BE359" s="350"/>
      <c r="BF359" s="350"/>
      <c r="BG359" s="350"/>
      <c r="BH359" s="350"/>
      <c r="BI359" s="350"/>
      <c r="BJ359" s="350"/>
      <c r="BK359" s="350"/>
      <c r="BL359" s="350"/>
      <c r="BM359" s="350"/>
      <c r="BN359" s="350"/>
      <c r="BO359" s="351"/>
    </row>
    <row r="360" spans="1:67" ht="34.5" customHeight="1">
      <c r="A360" s="98">
        <f t="shared" si="1"/>
        <v>348</v>
      </c>
      <c r="B360" s="416" t="s">
        <v>325</v>
      </c>
      <c r="C360" s="351"/>
      <c r="D360" s="594"/>
      <c r="E360" s="350"/>
      <c r="F360" s="350"/>
      <c r="G360" s="350"/>
      <c r="H360" s="351"/>
      <c r="I360" s="368"/>
      <c r="J360" s="350"/>
      <c r="K360" s="350"/>
      <c r="L360" s="350"/>
      <c r="M360" s="350"/>
      <c r="N360" s="350"/>
      <c r="O360" s="350"/>
      <c r="P360" s="351"/>
      <c r="Q360" s="511"/>
      <c r="R360" s="350"/>
      <c r="S360" s="350"/>
      <c r="T360" s="350"/>
      <c r="U360" s="350"/>
      <c r="V360" s="350"/>
      <c r="W360" s="350"/>
      <c r="X360" s="351"/>
      <c r="Y360" s="368"/>
      <c r="Z360" s="351"/>
      <c r="AA360" s="511"/>
      <c r="AB360" s="350"/>
      <c r="AC360" s="350"/>
      <c r="AD360" s="351"/>
      <c r="AE360" s="368"/>
      <c r="AF360" s="350"/>
      <c r="AG360" s="351"/>
      <c r="AH360" s="511"/>
      <c r="AI360" s="350"/>
      <c r="AJ360" s="351"/>
      <c r="AK360" s="368"/>
      <c r="AL360" s="350"/>
      <c r="AM360" s="350"/>
      <c r="AN360" s="351"/>
      <c r="AO360" s="511"/>
      <c r="AP360" s="350"/>
      <c r="AQ360" s="350"/>
      <c r="AR360" s="350"/>
      <c r="AS360" s="350"/>
      <c r="AT360" s="350"/>
      <c r="AU360" s="350"/>
      <c r="AV360" s="351"/>
      <c r="AW360" s="725"/>
      <c r="AX360" s="350"/>
      <c r="AY360" s="351"/>
      <c r="AZ360" s="511"/>
      <c r="BA360" s="350"/>
      <c r="BB360" s="350"/>
      <c r="BC360" s="350"/>
      <c r="BD360" s="350"/>
      <c r="BE360" s="350"/>
      <c r="BF360" s="350"/>
      <c r="BG360" s="350"/>
      <c r="BH360" s="350"/>
      <c r="BI360" s="350"/>
      <c r="BJ360" s="350"/>
      <c r="BK360" s="350"/>
      <c r="BL360" s="350"/>
      <c r="BM360" s="350"/>
      <c r="BN360" s="350"/>
      <c r="BO360" s="351"/>
    </row>
    <row r="361" spans="1:67" ht="34.5" customHeight="1">
      <c r="A361" s="98">
        <f t="shared" si="1"/>
        <v>349</v>
      </c>
      <c r="B361" s="416" t="s">
        <v>325</v>
      </c>
      <c r="C361" s="351"/>
      <c r="D361" s="724"/>
      <c r="E361" s="350"/>
      <c r="F361" s="350"/>
      <c r="G361" s="350"/>
      <c r="H361" s="351"/>
      <c r="I361" s="412"/>
      <c r="J361" s="350"/>
      <c r="K361" s="350"/>
      <c r="L361" s="350"/>
      <c r="M361" s="350"/>
      <c r="N361" s="350"/>
      <c r="O361" s="350"/>
      <c r="P361" s="351"/>
      <c r="Q361" s="412"/>
      <c r="R361" s="350"/>
      <c r="S361" s="350"/>
      <c r="T361" s="350"/>
      <c r="U361" s="350"/>
      <c r="V361" s="350"/>
      <c r="W361" s="350"/>
      <c r="X361" s="351"/>
      <c r="Y361" s="412"/>
      <c r="Z361" s="351"/>
      <c r="AA361" s="412"/>
      <c r="AB361" s="350"/>
      <c r="AC361" s="350"/>
      <c r="AD361" s="351"/>
      <c r="AE361" s="412"/>
      <c r="AF361" s="350"/>
      <c r="AG361" s="351"/>
      <c r="AH361" s="412"/>
      <c r="AI361" s="350"/>
      <c r="AJ361" s="351"/>
      <c r="AK361" s="412"/>
      <c r="AL361" s="350"/>
      <c r="AM361" s="350"/>
      <c r="AN361" s="351"/>
      <c r="AO361" s="412"/>
      <c r="AP361" s="350"/>
      <c r="AQ361" s="350"/>
      <c r="AR361" s="350"/>
      <c r="AS361" s="350"/>
      <c r="AT361" s="350"/>
      <c r="AU361" s="350"/>
      <c r="AV361" s="351"/>
      <c r="AW361" s="723"/>
      <c r="AX361" s="350"/>
      <c r="AY361" s="351"/>
      <c r="AZ361" s="412"/>
      <c r="BA361" s="350"/>
      <c r="BB361" s="350"/>
      <c r="BC361" s="350"/>
      <c r="BD361" s="350"/>
      <c r="BE361" s="350"/>
      <c r="BF361" s="350"/>
      <c r="BG361" s="350"/>
      <c r="BH361" s="350"/>
      <c r="BI361" s="350"/>
      <c r="BJ361" s="350"/>
      <c r="BK361" s="350"/>
      <c r="BL361" s="350"/>
      <c r="BM361" s="350"/>
      <c r="BN361" s="350"/>
      <c r="BO361" s="351"/>
    </row>
    <row r="362" spans="1:67" ht="34.5" customHeight="1">
      <c r="A362" s="98">
        <f t="shared" si="1"/>
        <v>350</v>
      </c>
      <c r="B362" s="416" t="s">
        <v>325</v>
      </c>
      <c r="C362" s="351"/>
      <c r="D362" s="594"/>
      <c r="E362" s="350"/>
      <c r="F362" s="350"/>
      <c r="G362" s="350"/>
      <c r="H362" s="351"/>
      <c r="I362" s="368"/>
      <c r="J362" s="350"/>
      <c r="K362" s="350"/>
      <c r="L362" s="350"/>
      <c r="M362" s="350"/>
      <c r="N362" s="350"/>
      <c r="O362" s="350"/>
      <c r="P362" s="351"/>
      <c r="Q362" s="511"/>
      <c r="R362" s="350"/>
      <c r="S362" s="350"/>
      <c r="T362" s="350"/>
      <c r="U362" s="350"/>
      <c r="V362" s="350"/>
      <c r="W362" s="350"/>
      <c r="X362" s="351"/>
      <c r="Y362" s="368"/>
      <c r="Z362" s="351"/>
      <c r="AA362" s="511"/>
      <c r="AB362" s="350"/>
      <c r="AC362" s="350"/>
      <c r="AD362" s="351"/>
      <c r="AE362" s="368"/>
      <c r="AF362" s="350"/>
      <c r="AG362" s="351"/>
      <c r="AH362" s="511"/>
      <c r="AI362" s="350"/>
      <c r="AJ362" s="351"/>
      <c r="AK362" s="368"/>
      <c r="AL362" s="350"/>
      <c r="AM362" s="350"/>
      <c r="AN362" s="351"/>
      <c r="AO362" s="511"/>
      <c r="AP362" s="350"/>
      <c r="AQ362" s="350"/>
      <c r="AR362" s="350"/>
      <c r="AS362" s="350"/>
      <c r="AT362" s="350"/>
      <c r="AU362" s="350"/>
      <c r="AV362" s="351"/>
      <c r="AW362" s="725"/>
      <c r="AX362" s="350"/>
      <c r="AY362" s="351"/>
      <c r="AZ362" s="511"/>
      <c r="BA362" s="350"/>
      <c r="BB362" s="350"/>
      <c r="BC362" s="350"/>
      <c r="BD362" s="350"/>
      <c r="BE362" s="350"/>
      <c r="BF362" s="350"/>
      <c r="BG362" s="350"/>
      <c r="BH362" s="350"/>
      <c r="BI362" s="350"/>
      <c r="BJ362" s="350"/>
      <c r="BK362" s="350"/>
      <c r="BL362" s="350"/>
      <c r="BM362" s="350"/>
      <c r="BN362" s="350"/>
      <c r="BO362" s="351"/>
    </row>
    <row r="363" spans="1:67" ht="34.5" customHeight="1">
      <c r="A363" s="98">
        <f t="shared" si="1"/>
        <v>351</v>
      </c>
      <c r="B363" s="416" t="s">
        <v>325</v>
      </c>
      <c r="C363" s="351"/>
      <c r="D363" s="724"/>
      <c r="E363" s="350"/>
      <c r="F363" s="350"/>
      <c r="G363" s="350"/>
      <c r="H363" s="351"/>
      <c r="I363" s="412"/>
      <c r="J363" s="350"/>
      <c r="K363" s="350"/>
      <c r="L363" s="350"/>
      <c r="M363" s="350"/>
      <c r="N363" s="350"/>
      <c r="O363" s="350"/>
      <c r="P363" s="351"/>
      <c r="Q363" s="412"/>
      <c r="R363" s="350"/>
      <c r="S363" s="350"/>
      <c r="T363" s="350"/>
      <c r="U363" s="350"/>
      <c r="V363" s="350"/>
      <c r="W363" s="350"/>
      <c r="X363" s="351"/>
      <c r="Y363" s="412"/>
      <c r="Z363" s="351"/>
      <c r="AA363" s="412"/>
      <c r="AB363" s="350"/>
      <c r="AC363" s="350"/>
      <c r="AD363" s="351"/>
      <c r="AE363" s="412"/>
      <c r="AF363" s="350"/>
      <c r="AG363" s="351"/>
      <c r="AH363" s="412"/>
      <c r="AI363" s="350"/>
      <c r="AJ363" s="351"/>
      <c r="AK363" s="412"/>
      <c r="AL363" s="350"/>
      <c r="AM363" s="350"/>
      <c r="AN363" s="351"/>
      <c r="AO363" s="412"/>
      <c r="AP363" s="350"/>
      <c r="AQ363" s="350"/>
      <c r="AR363" s="350"/>
      <c r="AS363" s="350"/>
      <c r="AT363" s="350"/>
      <c r="AU363" s="350"/>
      <c r="AV363" s="351"/>
      <c r="AW363" s="723"/>
      <c r="AX363" s="350"/>
      <c r="AY363" s="351"/>
      <c r="AZ363" s="412"/>
      <c r="BA363" s="350"/>
      <c r="BB363" s="350"/>
      <c r="BC363" s="350"/>
      <c r="BD363" s="350"/>
      <c r="BE363" s="350"/>
      <c r="BF363" s="350"/>
      <c r="BG363" s="350"/>
      <c r="BH363" s="350"/>
      <c r="BI363" s="350"/>
      <c r="BJ363" s="350"/>
      <c r="BK363" s="350"/>
      <c r="BL363" s="350"/>
      <c r="BM363" s="350"/>
      <c r="BN363" s="350"/>
      <c r="BO363" s="351"/>
    </row>
    <row r="364" spans="1:67" ht="34.5" customHeight="1">
      <c r="A364" s="98">
        <f t="shared" si="1"/>
        <v>352</v>
      </c>
      <c r="B364" s="416" t="s">
        <v>325</v>
      </c>
      <c r="C364" s="351"/>
      <c r="D364" s="594"/>
      <c r="E364" s="350"/>
      <c r="F364" s="350"/>
      <c r="G364" s="350"/>
      <c r="H364" s="351"/>
      <c r="I364" s="368"/>
      <c r="J364" s="350"/>
      <c r="K364" s="350"/>
      <c r="L364" s="350"/>
      <c r="M364" s="350"/>
      <c r="N364" s="350"/>
      <c r="O364" s="350"/>
      <c r="P364" s="351"/>
      <c r="Q364" s="511"/>
      <c r="R364" s="350"/>
      <c r="S364" s="350"/>
      <c r="T364" s="350"/>
      <c r="U364" s="350"/>
      <c r="V364" s="350"/>
      <c r="W364" s="350"/>
      <c r="X364" s="351"/>
      <c r="Y364" s="368"/>
      <c r="Z364" s="351"/>
      <c r="AA364" s="511"/>
      <c r="AB364" s="350"/>
      <c r="AC364" s="350"/>
      <c r="AD364" s="351"/>
      <c r="AE364" s="368"/>
      <c r="AF364" s="350"/>
      <c r="AG364" s="351"/>
      <c r="AH364" s="511"/>
      <c r="AI364" s="350"/>
      <c r="AJ364" s="351"/>
      <c r="AK364" s="368"/>
      <c r="AL364" s="350"/>
      <c r="AM364" s="350"/>
      <c r="AN364" s="351"/>
      <c r="AO364" s="511"/>
      <c r="AP364" s="350"/>
      <c r="AQ364" s="350"/>
      <c r="AR364" s="350"/>
      <c r="AS364" s="350"/>
      <c r="AT364" s="350"/>
      <c r="AU364" s="350"/>
      <c r="AV364" s="351"/>
      <c r="AW364" s="725"/>
      <c r="AX364" s="350"/>
      <c r="AY364" s="351"/>
      <c r="AZ364" s="511"/>
      <c r="BA364" s="350"/>
      <c r="BB364" s="350"/>
      <c r="BC364" s="350"/>
      <c r="BD364" s="350"/>
      <c r="BE364" s="350"/>
      <c r="BF364" s="350"/>
      <c r="BG364" s="350"/>
      <c r="BH364" s="350"/>
      <c r="BI364" s="350"/>
      <c r="BJ364" s="350"/>
      <c r="BK364" s="350"/>
      <c r="BL364" s="350"/>
      <c r="BM364" s="350"/>
      <c r="BN364" s="350"/>
      <c r="BO364" s="351"/>
    </row>
    <row r="365" spans="1:67" ht="34.5" customHeight="1">
      <c r="A365" s="98">
        <f t="shared" si="1"/>
        <v>353</v>
      </c>
      <c r="B365" s="416" t="s">
        <v>325</v>
      </c>
      <c r="C365" s="351"/>
      <c r="D365" s="724"/>
      <c r="E365" s="350"/>
      <c r="F365" s="350"/>
      <c r="G365" s="350"/>
      <c r="H365" s="351"/>
      <c r="I365" s="412"/>
      <c r="J365" s="350"/>
      <c r="K365" s="350"/>
      <c r="L365" s="350"/>
      <c r="M365" s="350"/>
      <c r="N365" s="350"/>
      <c r="O365" s="350"/>
      <c r="P365" s="351"/>
      <c r="Q365" s="412"/>
      <c r="R365" s="350"/>
      <c r="S365" s="350"/>
      <c r="T365" s="350"/>
      <c r="U365" s="350"/>
      <c r="V365" s="350"/>
      <c r="W365" s="350"/>
      <c r="X365" s="351"/>
      <c r="Y365" s="412"/>
      <c r="Z365" s="351"/>
      <c r="AA365" s="412"/>
      <c r="AB365" s="350"/>
      <c r="AC365" s="350"/>
      <c r="AD365" s="351"/>
      <c r="AE365" s="412"/>
      <c r="AF365" s="350"/>
      <c r="AG365" s="351"/>
      <c r="AH365" s="412"/>
      <c r="AI365" s="350"/>
      <c r="AJ365" s="351"/>
      <c r="AK365" s="412"/>
      <c r="AL365" s="350"/>
      <c r="AM365" s="350"/>
      <c r="AN365" s="351"/>
      <c r="AO365" s="412"/>
      <c r="AP365" s="350"/>
      <c r="AQ365" s="350"/>
      <c r="AR365" s="350"/>
      <c r="AS365" s="350"/>
      <c r="AT365" s="350"/>
      <c r="AU365" s="350"/>
      <c r="AV365" s="351"/>
      <c r="AW365" s="723"/>
      <c r="AX365" s="350"/>
      <c r="AY365" s="351"/>
      <c r="AZ365" s="412"/>
      <c r="BA365" s="350"/>
      <c r="BB365" s="350"/>
      <c r="BC365" s="350"/>
      <c r="BD365" s="350"/>
      <c r="BE365" s="350"/>
      <c r="BF365" s="350"/>
      <c r="BG365" s="350"/>
      <c r="BH365" s="350"/>
      <c r="BI365" s="350"/>
      <c r="BJ365" s="350"/>
      <c r="BK365" s="350"/>
      <c r="BL365" s="350"/>
      <c r="BM365" s="350"/>
      <c r="BN365" s="350"/>
      <c r="BO365" s="351"/>
    </row>
    <row r="366" spans="1:67" ht="34.5" customHeight="1">
      <c r="A366" s="98">
        <f t="shared" si="1"/>
        <v>354</v>
      </c>
      <c r="B366" s="416" t="s">
        <v>325</v>
      </c>
      <c r="C366" s="351"/>
      <c r="D366" s="594"/>
      <c r="E366" s="350"/>
      <c r="F366" s="350"/>
      <c r="G366" s="350"/>
      <c r="H366" s="351"/>
      <c r="I366" s="368"/>
      <c r="J366" s="350"/>
      <c r="K366" s="350"/>
      <c r="L366" s="350"/>
      <c r="M366" s="350"/>
      <c r="N366" s="350"/>
      <c r="O366" s="350"/>
      <c r="P366" s="351"/>
      <c r="Q366" s="511"/>
      <c r="R366" s="350"/>
      <c r="S366" s="350"/>
      <c r="T366" s="350"/>
      <c r="U366" s="350"/>
      <c r="V366" s="350"/>
      <c r="W366" s="350"/>
      <c r="X366" s="351"/>
      <c r="Y366" s="368"/>
      <c r="Z366" s="351"/>
      <c r="AA366" s="511"/>
      <c r="AB366" s="350"/>
      <c r="AC366" s="350"/>
      <c r="AD366" s="351"/>
      <c r="AE366" s="368"/>
      <c r="AF366" s="350"/>
      <c r="AG366" s="351"/>
      <c r="AH366" s="511"/>
      <c r="AI366" s="350"/>
      <c r="AJ366" s="351"/>
      <c r="AK366" s="368"/>
      <c r="AL366" s="350"/>
      <c r="AM366" s="350"/>
      <c r="AN366" s="351"/>
      <c r="AO366" s="511"/>
      <c r="AP366" s="350"/>
      <c r="AQ366" s="350"/>
      <c r="AR366" s="350"/>
      <c r="AS366" s="350"/>
      <c r="AT366" s="350"/>
      <c r="AU366" s="350"/>
      <c r="AV366" s="351"/>
      <c r="AW366" s="725"/>
      <c r="AX366" s="350"/>
      <c r="AY366" s="351"/>
      <c r="AZ366" s="511"/>
      <c r="BA366" s="350"/>
      <c r="BB366" s="350"/>
      <c r="BC366" s="350"/>
      <c r="BD366" s="350"/>
      <c r="BE366" s="350"/>
      <c r="BF366" s="350"/>
      <c r="BG366" s="350"/>
      <c r="BH366" s="350"/>
      <c r="BI366" s="350"/>
      <c r="BJ366" s="350"/>
      <c r="BK366" s="350"/>
      <c r="BL366" s="350"/>
      <c r="BM366" s="350"/>
      <c r="BN366" s="350"/>
      <c r="BO366" s="351"/>
    </row>
    <row r="367" spans="1:67" ht="34.5" customHeight="1">
      <c r="A367" s="98">
        <f t="shared" si="1"/>
        <v>355</v>
      </c>
      <c r="B367" s="416" t="s">
        <v>325</v>
      </c>
      <c r="C367" s="351"/>
      <c r="D367" s="724"/>
      <c r="E367" s="350"/>
      <c r="F367" s="350"/>
      <c r="G367" s="350"/>
      <c r="H367" s="351"/>
      <c r="I367" s="412"/>
      <c r="J367" s="350"/>
      <c r="K367" s="350"/>
      <c r="L367" s="350"/>
      <c r="M367" s="350"/>
      <c r="N367" s="350"/>
      <c r="O367" s="350"/>
      <c r="P367" s="351"/>
      <c r="Q367" s="412"/>
      <c r="R367" s="350"/>
      <c r="S367" s="350"/>
      <c r="T367" s="350"/>
      <c r="U367" s="350"/>
      <c r="V367" s="350"/>
      <c r="W367" s="350"/>
      <c r="X367" s="351"/>
      <c r="Y367" s="412"/>
      <c r="Z367" s="351"/>
      <c r="AA367" s="412"/>
      <c r="AB367" s="350"/>
      <c r="AC367" s="350"/>
      <c r="AD367" s="351"/>
      <c r="AE367" s="412"/>
      <c r="AF367" s="350"/>
      <c r="AG367" s="351"/>
      <c r="AH367" s="412"/>
      <c r="AI367" s="350"/>
      <c r="AJ367" s="351"/>
      <c r="AK367" s="412"/>
      <c r="AL367" s="350"/>
      <c r="AM367" s="350"/>
      <c r="AN367" s="351"/>
      <c r="AO367" s="412"/>
      <c r="AP367" s="350"/>
      <c r="AQ367" s="350"/>
      <c r="AR367" s="350"/>
      <c r="AS367" s="350"/>
      <c r="AT367" s="350"/>
      <c r="AU367" s="350"/>
      <c r="AV367" s="351"/>
      <c r="AW367" s="723"/>
      <c r="AX367" s="350"/>
      <c r="AY367" s="351"/>
      <c r="AZ367" s="412"/>
      <c r="BA367" s="350"/>
      <c r="BB367" s="350"/>
      <c r="BC367" s="350"/>
      <c r="BD367" s="350"/>
      <c r="BE367" s="350"/>
      <c r="BF367" s="350"/>
      <c r="BG367" s="350"/>
      <c r="BH367" s="350"/>
      <c r="BI367" s="350"/>
      <c r="BJ367" s="350"/>
      <c r="BK367" s="350"/>
      <c r="BL367" s="350"/>
      <c r="BM367" s="350"/>
      <c r="BN367" s="350"/>
      <c r="BO367" s="351"/>
    </row>
    <row r="368" spans="1:67" ht="34.5" customHeight="1">
      <c r="A368" s="98">
        <f t="shared" si="1"/>
        <v>356</v>
      </c>
      <c r="B368" s="416" t="s">
        <v>325</v>
      </c>
      <c r="C368" s="351"/>
      <c r="D368" s="594"/>
      <c r="E368" s="350"/>
      <c r="F368" s="350"/>
      <c r="G368" s="350"/>
      <c r="H368" s="351"/>
      <c r="I368" s="368"/>
      <c r="J368" s="350"/>
      <c r="K368" s="350"/>
      <c r="L368" s="350"/>
      <c r="M368" s="350"/>
      <c r="N368" s="350"/>
      <c r="O368" s="350"/>
      <c r="P368" s="351"/>
      <c r="Q368" s="511"/>
      <c r="R368" s="350"/>
      <c r="S368" s="350"/>
      <c r="T368" s="350"/>
      <c r="U368" s="350"/>
      <c r="V368" s="350"/>
      <c r="W368" s="350"/>
      <c r="X368" s="351"/>
      <c r="Y368" s="368"/>
      <c r="Z368" s="351"/>
      <c r="AA368" s="511"/>
      <c r="AB368" s="350"/>
      <c r="AC368" s="350"/>
      <c r="AD368" s="351"/>
      <c r="AE368" s="368"/>
      <c r="AF368" s="350"/>
      <c r="AG368" s="351"/>
      <c r="AH368" s="511"/>
      <c r="AI368" s="350"/>
      <c r="AJ368" s="351"/>
      <c r="AK368" s="368"/>
      <c r="AL368" s="350"/>
      <c r="AM368" s="350"/>
      <c r="AN368" s="351"/>
      <c r="AO368" s="511"/>
      <c r="AP368" s="350"/>
      <c r="AQ368" s="350"/>
      <c r="AR368" s="350"/>
      <c r="AS368" s="350"/>
      <c r="AT368" s="350"/>
      <c r="AU368" s="350"/>
      <c r="AV368" s="351"/>
      <c r="AW368" s="725"/>
      <c r="AX368" s="350"/>
      <c r="AY368" s="351"/>
      <c r="AZ368" s="511"/>
      <c r="BA368" s="350"/>
      <c r="BB368" s="350"/>
      <c r="BC368" s="350"/>
      <c r="BD368" s="350"/>
      <c r="BE368" s="350"/>
      <c r="BF368" s="350"/>
      <c r="BG368" s="350"/>
      <c r="BH368" s="350"/>
      <c r="BI368" s="350"/>
      <c r="BJ368" s="350"/>
      <c r="BK368" s="350"/>
      <c r="BL368" s="350"/>
      <c r="BM368" s="350"/>
      <c r="BN368" s="350"/>
      <c r="BO368" s="351"/>
    </row>
    <row r="369" spans="1:67" ht="34.5" customHeight="1">
      <c r="A369" s="98">
        <f t="shared" si="1"/>
        <v>357</v>
      </c>
      <c r="B369" s="416" t="s">
        <v>325</v>
      </c>
      <c r="C369" s="351"/>
      <c r="D369" s="724"/>
      <c r="E369" s="350"/>
      <c r="F369" s="350"/>
      <c r="G369" s="350"/>
      <c r="H369" s="351"/>
      <c r="I369" s="412"/>
      <c r="J369" s="350"/>
      <c r="K369" s="350"/>
      <c r="L369" s="350"/>
      <c r="M369" s="350"/>
      <c r="N369" s="350"/>
      <c r="O369" s="350"/>
      <c r="P369" s="351"/>
      <c r="Q369" s="412"/>
      <c r="R369" s="350"/>
      <c r="S369" s="350"/>
      <c r="T369" s="350"/>
      <c r="U369" s="350"/>
      <c r="V369" s="350"/>
      <c r="W369" s="350"/>
      <c r="X369" s="351"/>
      <c r="Y369" s="412"/>
      <c r="Z369" s="351"/>
      <c r="AA369" s="412"/>
      <c r="AB369" s="350"/>
      <c r="AC369" s="350"/>
      <c r="AD369" s="351"/>
      <c r="AE369" s="412"/>
      <c r="AF369" s="350"/>
      <c r="AG369" s="351"/>
      <c r="AH369" s="412"/>
      <c r="AI369" s="350"/>
      <c r="AJ369" s="351"/>
      <c r="AK369" s="412"/>
      <c r="AL369" s="350"/>
      <c r="AM369" s="350"/>
      <c r="AN369" s="351"/>
      <c r="AO369" s="412"/>
      <c r="AP369" s="350"/>
      <c r="AQ369" s="350"/>
      <c r="AR369" s="350"/>
      <c r="AS369" s="350"/>
      <c r="AT369" s="350"/>
      <c r="AU369" s="350"/>
      <c r="AV369" s="351"/>
      <c r="AW369" s="723"/>
      <c r="AX369" s="350"/>
      <c r="AY369" s="351"/>
      <c r="AZ369" s="412"/>
      <c r="BA369" s="350"/>
      <c r="BB369" s="350"/>
      <c r="BC369" s="350"/>
      <c r="BD369" s="350"/>
      <c r="BE369" s="350"/>
      <c r="BF369" s="350"/>
      <c r="BG369" s="350"/>
      <c r="BH369" s="350"/>
      <c r="BI369" s="350"/>
      <c r="BJ369" s="350"/>
      <c r="BK369" s="350"/>
      <c r="BL369" s="350"/>
      <c r="BM369" s="350"/>
      <c r="BN369" s="350"/>
      <c r="BO369" s="351"/>
    </row>
    <row r="370" spans="1:67" ht="34.5" customHeight="1">
      <c r="A370" s="98">
        <f t="shared" si="1"/>
        <v>358</v>
      </c>
      <c r="B370" s="416" t="s">
        <v>325</v>
      </c>
      <c r="C370" s="351"/>
      <c r="D370" s="594"/>
      <c r="E370" s="350"/>
      <c r="F370" s="350"/>
      <c r="G370" s="350"/>
      <c r="H370" s="351"/>
      <c r="I370" s="368"/>
      <c r="J370" s="350"/>
      <c r="K370" s="350"/>
      <c r="L370" s="350"/>
      <c r="M370" s="350"/>
      <c r="N370" s="350"/>
      <c r="O370" s="350"/>
      <c r="P370" s="351"/>
      <c r="Q370" s="511"/>
      <c r="R370" s="350"/>
      <c r="S370" s="350"/>
      <c r="T370" s="350"/>
      <c r="U370" s="350"/>
      <c r="V370" s="350"/>
      <c r="W370" s="350"/>
      <c r="X370" s="351"/>
      <c r="Y370" s="368"/>
      <c r="Z370" s="351"/>
      <c r="AA370" s="511"/>
      <c r="AB370" s="350"/>
      <c r="AC370" s="350"/>
      <c r="AD370" s="351"/>
      <c r="AE370" s="368"/>
      <c r="AF370" s="350"/>
      <c r="AG370" s="351"/>
      <c r="AH370" s="511"/>
      <c r="AI370" s="350"/>
      <c r="AJ370" s="351"/>
      <c r="AK370" s="368"/>
      <c r="AL370" s="350"/>
      <c r="AM370" s="350"/>
      <c r="AN370" s="351"/>
      <c r="AO370" s="511"/>
      <c r="AP370" s="350"/>
      <c r="AQ370" s="350"/>
      <c r="AR370" s="350"/>
      <c r="AS370" s="350"/>
      <c r="AT370" s="350"/>
      <c r="AU370" s="350"/>
      <c r="AV370" s="351"/>
      <c r="AW370" s="725"/>
      <c r="AX370" s="350"/>
      <c r="AY370" s="351"/>
      <c r="AZ370" s="511"/>
      <c r="BA370" s="350"/>
      <c r="BB370" s="350"/>
      <c r="BC370" s="350"/>
      <c r="BD370" s="350"/>
      <c r="BE370" s="350"/>
      <c r="BF370" s="350"/>
      <c r="BG370" s="350"/>
      <c r="BH370" s="350"/>
      <c r="BI370" s="350"/>
      <c r="BJ370" s="350"/>
      <c r="BK370" s="350"/>
      <c r="BL370" s="350"/>
      <c r="BM370" s="350"/>
      <c r="BN370" s="350"/>
      <c r="BO370" s="351"/>
    </row>
    <row r="371" spans="1:67" ht="34.5" customHeight="1">
      <c r="A371" s="98">
        <f t="shared" si="1"/>
        <v>359</v>
      </c>
      <c r="B371" s="416" t="s">
        <v>325</v>
      </c>
      <c r="C371" s="351"/>
      <c r="D371" s="724"/>
      <c r="E371" s="350"/>
      <c r="F371" s="350"/>
      <c r="G371" s="350"/>
      <c r="H371" s="351"/>
      <c r="I371" s="412"/>
      <c r="J371" s="350"/>
      <c r="K371" s="350"/>
      <c r="L371" s="350"/>
      <c r="M371" s="350"/>
      <c r="N371" s="350"/>
      <c r="O371" s="350"/>
      <c r="P371" s="351"/>
      <c r="Q371" s="412"/>
      <c r="R371" s="350"/>
      <c r="S371" s="350"/>
      <c r="T371" s="350"/>
      <c r="U371" s="350"/>
      <c r="V371" s="350"/>
      <c r="W371" s="350"/>
      <c r="X371" s="351"/>
      <c r="Y371" s="412"/>
      <c r="Z371" s="351"/>
      <c r="AA371" s="412"/>
      <c r="AB371" s="350"/>
      <c r="AC371" s="350"/>
      <c r="AD371" s="351"/>
      <c r="AE371" s="412"/>
      <c r="AF371" s="350"/>
      <c r="AG371" s="351"/>
      <c r="AH371" s="412"/>
      <c r="AI371" s="350"/>
      <c r="AJ371" s="351"/>
      <c r="AK371" s="412"/>
      <c r="AL371" s="350"/>
      <c r="AM371" s="350"/>
      <c r="AN371" s="351"/>
      <c r="AO371" s="412"/>
      <c r="AP371" s="350"/>
      <c r="AQ371" s="350"/>
      <c r="AR371" s="350"/>
      <c r="AS371" s="350"/>
      <c r="AT371" s="350"/>
      <c r="AU371" s="350"/>
      <c r="AV371" s="351"/>
      <c r="AW371" s="723"/>
      <c r="AX371" s="350"/>
      <c r="AY371" s="351"/>
      <c r="AZ371" s="412"/>
      <c r="BA371" s="350"/>
      <c r="BB371" s="350"/>
      <c r="BC371" s="350"/>
      <c r="BD371" s="350"/>
      <c r="BE371" s="350"/>
      <c r="BF371" s="350"/>
      <c r="BG371" s="350"/>
      <c r="BH371" s="350"/>
      <c r="BI371" s="350"/>
      <c r="BJ371" s="350"/>
      <c r="BK371" s="350"/>
      <c r="BL371" s="350"/>
      <c r="BM371" s="350"/>
      <c r="BN371" s="350"/>
      <c r="BO371" s="351"/>
    </row>
    <row r="372" spans="1:67" ht="34.5" customHeight="1">
      <c r="A372" s="98">
        <f t="shared" si="1"/>
        <v>360</v>
      </c>
      <c r="B372" s="416" t="s">
        <v>325</v>
      </c>
      <c r="C372" s="351"/>
      <c r="D372" s="594"/>
      <c r="E372" s="350"/>
      <c r="F372" s="350"/>
      <c r="G372" s="350"/>
      <c r="H372" s="351"/>
      <c r="I372" s="368"/>
      <c r="J372" s="350"/>
      <c r="K372" s="350"/>
      <c r="L372" s="350"/>
      <c r="M372" s="350"/>
      <c r="N372" s="350"/>
      <c r="O372" s="350"/>
      <c r="P372" s="351"/>
      <c r="Q372" s="511"/>
      <c r="R372" s="350"/>
      <c r="S372" s="350"/>
      <c r="T372" s="350"/>
      <c r="U372" s="350"/>
      <c r="V372" s="350"/>
      <c r="W372" s="350"/>
      <c r="X372" s="351"/>
      <c r="Y372" s="368"/>
      <c r="Z372" s="351"/>
      <c r="AA372" s="511"/>
      <c r="AB372" s="350"/>
      <c r="AC372" s="350"/>
      <c r="AD372" s="351"/>
      <c r="AE372" s="368"/>
      <c r="AF372" s="350"/>
      <c r="AG372" s="351"/>
      <c r="AH372" s="511"/>
      <c r="AI372" s="350"/>
      <c r="AJ372" s="351"/>
      <c r="AK372" s="368"/>
      <c r="AL372" s="350"/>
      <c r="AM372" s="350"/>
      <c r="AN372" s="351"/>
      <c r="AO372" s="511"/>
      <c r="AP372" s="350"/>
      <c r="AQ372" s="350"/>
      <c r="AR372" s="350"/>
      <c r="AS372" s="350"/>
      <c r="AT372" s="350"/>
      <c r="AU372" s="350"/>
      <c r="AV372" s="351"/>
      <c r="AW372" s="725"/>
      <c r="AX372" s="350"/>
      <c r="AY372" s="351"/>
      <c r="AZ372" s="511"/>
      <c r="BA372" s="350"/>
      <c r="BB372" s="350"/>
      <c r="BC372" s="350"/>
      <c r="BD372" s="350"/>
      <c r="BE372" s="350"/>
      <c r="BF372" s="350"/>
      <c r="BG372" s="350"/>
      <c r="BH372" s="350"/>
      <c r="BI372" s="350"/>
      <c r="BJ372" s="350"/>
      <c r="BK372" s="350"/>
      <c r="BL372" s="350"/>
      <c r="BM372" s="350"/>
      <c r="BN372" s="350"/>
      <c r="BO372" s="351"/>
    </row>
    <row r="373" spans="1:67" ht="34.5" customHeight="1">
      <c r="A373" s="98">
        <f t="shared" si="1"/>
        <v>361</v>
      </c>
      <c r="B373" s="416" t="s">
        <v>325</v>
      </c>
      <c r="C373" s="351"/>
      <c r="D373" s="724"/>
      <c r="E373" s="350"/>
      <c r="F373" s="350"/>
      <c r="G373" s="350"/>
      <c r="H373" s="351"/>
      <c r="I373" s="412"/>
      <c r="J373" s="350"/>
      <c r="K373" s="350"/>
      <c r="L373" s="350"/>
      <c r="M373" s="350"/>
      <c r="N373" s="350"/>
      <c r="O373" s="350"/>
      <c r="P373" s="351"/>
      <c r="Q373" s="412"/>
      <c r="R373" s="350"/>
      <c r="S373" s="350"/>
      <c r="T373" s="350"/>
      <c r="U373" s="350"/>
      <c r="V373" s="350"/>
      <c r="W373" s="350"/>
      <c r="X373" s="351"/>
      <c r="Y373" s="412"/>
      <c r="Z373" s="351"/>
      <c r="AA373" s="412"/>
      <c r="AB373" s="350"/>
      <c r="AC373" s="350"/>
      <c r="AD373" s="351"/>
      <c r="AE373" s="412"/>
      <c r="AF373" s="350"/>
      <c r="AG373" s="351"/>
      <c r="AH373" s="412"/>
      <c r="AI373" s="350"/>
      <c r="AJ373" s="351"/>
      <c r="AK373" s="412"/>
      <c r="AL373" s="350"/>
      <c r="AM373" s="350"/>
      <c r="AN373" s="351"/>
      <c r="AO373" s="412"/>
      <c r="AP373" s="350"/>
      <c r="AQ373" s="350"/>
      <c r="AR373" s="350"/>
      <c r="AS373" s="350"/>
      <c r="AT373" s="350"/>
      <c r="AU373" s="350"/>
      <c r="AV373" s="351"/>
      <c r="AW373" s="723"/>
      <c r="AX373" s="350"/>
      <c r="AY373" s="351"/>
      <c r="AZ373" s="412"/>
      <c r="BA373" s="350"/>
      <c r="BB373" s="350"/>
      <c r="BC373" s="350"/>
      <c r="BD373" s="350"/>
      <c r="BE373" s="350"/>
      <c r="BF373" s="350"/>
      <c r="BG373" s="350"/>
      <c r="BH373" s="350"/>
      <c r="BI373" s="350"/>
      <c r="BJ373" s="350"/>
      <c r="BK373" s="350"/>
      <c r="BL373" s="350"/>
      <c r="BM373" s="350"/>
      <c r="BN373" s="350"/>
      <c r="BO373" s="351"/>
    </row>
    <row r="374" spans="1:67" ht="34.5" customHeight="1">
      <c r="A374" s="98">
        <f t="shared" si="1"/>
        <v>362</v>
      </c>
      <c r="B374" s="726" t="s">
        <v>325</v>
      </c>
      <c r="C374" s="351"/>
      <c r="D374" s="594"/>
      <c r="E374" s="350"/>
      <c r="F374" s="350"/>
      <c r="G374" s="350"/>
      <c r="H374" s="351"/>
      <c r="I374" s="368"/>
      <c r="J374" s="350"/>
      <c r="K374" s="350"/>
      <c r="L374" s="350"/>
      <c r="M374" s="350"/>
      <c r="N374" s="350"/>
      <c r="O374" s="350"/>
      <c r="P374" s="351"/>
      <c r="Q374" s="511"/>
      <c r="R374" s="350"/>
      <c r="S374" s="350"/>
      <c r="T374" s="350"/>
      <c r="U374" s="350"/>
      <c r="V374" s="350"/>
      <c r="W374" s="350"/>
      <c r="X374" s="351"/>
      <c r="Y374" s="368"/>
      <c r="Z374" s="351"/>
      <c r="AA374" s="511"/>
      <c r="AB374" s="350"/>
      <c r="AC374" s="350"/>
      <c r="AD374" s="351"/>
      <c r="AE374" s="368"/>
      <c r="AF374" s="350"/>
      <c r="AG374" s="351"/>
      <c r="AH374" s="511"/>
      <c r="AI374" s="350"/>
      <c r="AJ374" s="351"/>
      <c r="AK374" s="368"/>
      <c r="AL374" s="350"/>
      <c r="AM374" s="350"/>
      <c r="AN374" s="351"/>
      <c r="AO374" s="511"/>
      <c r="AP374" s="350"/>
      <c r="AQ374" s="350"/>
      <c r="AR374" s="350"/>
      <c r="AS374" s="350"/>
      <c r="AT374" s="350"/>
      <c r="AU374" s="350"/>
      <c r="AV374" s="351"/>
      <c r="AW374" s="725"/>
      <c r="AX374" s="350"/>
      <c r="AY374" s="351"/>
      <c r="AZ374" s="511"/>
      <c r="BA374" s="350"/>
      <c r="BB374" s="350"/>
      <c r="BC374" s="350"/>
      <c r="BD374" s="350"/>
      <c r="BE374" s="350"/>
      <c r="BF374" s="350"/>
      <c r="BG374" s="350"/>
      <c r="BH374" s="350"/>
      <c r="BI374" s="350"/>
      <c r="BJ374" s="350"/>
      <c r="BK374" s="350"/>
      <c r="BL374" s="350"/>
      <c r="BM374" s="350"/>
      <c r="BN374" s="350"/>
      <c r="BO374" s="351"/>
    </row>
    <row r="375" spans="1:67" ht="34.5" customHeight="1">
      <c r="A375" s="98">
        <f t="shared" si="1"/>
        <v>363</v>
      </c>
      <c r="B375" s="416" t="s">
        <v>325</v>
      </c>
      <c r="C375" s="351"/>
      <c r="D375" s="724"/>
      <c r="E375" s="350"/>
      <c r="F375" s="350"/>
      <c r="G375" s="350"/>
      <c r="H375" s="351"/>
      <c r="I375" s="412"/>
      <c r="J375" s="350"/>
      <c r="K375" s="350"/>
      <c r="L375" s="350"/>
      <c r="M375" s="350"/>
      <c r="N375" s="350"/>
      <c r="O375" s="350"/>
      <c r="P375" s="351"/>
      <c r="Q375" s="412"/>
      <c r="R375" s="350"/>
      <c r="S375" s="350"/>
      <c r="T375" s="350"/>
      <c r="U375" s="350"/>
      <c r="V375" s="350"/>
      <c r="W375" s="350"/>
      <c r="X375" s="351"/>
      <c r="Y375" s="412"/>
      <c r="Z375" s="351"/>
      <c r="AA375" s="412"/>
      <c r="AB375" s="350"/>
      <c r="AC375" s="350"/>
      <c r="AD375" s="351"/>
      <c r="AE375" s="412"/>
      <c r="AF375" s="350"/>
      <c r="AG375" s="351"/>
      <c r="AH375" s="412"/>
      <c r="AI375" s="350"/>
      <c r="AJ375" s="351"/>
      <c r="AK375" s="412"/>
      <c r="AL375" s="350"/>
      <c r="AM375" s="350"/>
      <c r="AN375" s="351"/>
      <c r="AO375" s="412"/>
      <c r="AP375" s="350"/>
      <c r="AQ375" s="350"/>
      <c r="AR375" s="350"/>
      <c r="AS375" s="350"/>
      <c r="AT375" s="350"/>
      <c r="AU375" s="350"/>
      <c r="AV375" s="351"/>
      <c r="AW375" s="723"/>
      <c r="AX375" s="350"/>
      <c r="AY375" s="351"/>
      <c r="AZ375" s="412"/>
      <c r="BA375" s="350"/>
      <c r="BB375" s="350"/>
      <c r="BC375" s="350"/>
      <c r="BD375" s="350"/>
      <c r="BE375" s="350"/>
      <c r="BF375" s="350"/>
      <c r="BG375" s="350"/>
      <c r="BH375" s="350"/>
      <c r="BI375" s="350"/>
      <c r="BJ375" s="350"/>
      <c r="BK375" s="350"/>
      <c r="BL375" s="350"/>
      <c r="BM375" s="350"/>
      <c r="BN375" s="350"/>
      <c r="BO375" s="351"/>
    </row>
    <row r="376" spans="1:67" ht="34.5" customHeight="1">
      <c r="A376" s="98">
        <f t="shared" si="1"/>
        <v>364</v>
      </c>
      <c r="B376" s="416" t="s">
        <v>325</v>
      </c>
      <c r="C376" s="351"/>
      <c r="D376" s="594"/>
      <c r="E376" s="350"/>
      <c r="F376" s="350"/>
      <c r="G376" s="350"/>
      <c r="H376" s="351"/>
      <c r="I376" s="368"/>
      <c r="J376" s="350"/>
      <c r="K376" s="350"/>
      <c r="L376" s="350"/>
      <c r="M376" s="350"/>
      <c r="N376" s="350"/>
      <c r="O376" s="350"/>
      <c r="P376" s="351"/>
      <c r="Q376" s="511"/>
      <c r="R376" s="350"/>
      <c r="S376" s="350"/>
      <c r="T376" s="350"/>
      <c r="U376" s="350"/>
      <c r="V376" s="350"/>
      <c r="W376" s="350"/>
      <c r="X376" s="351"/>
      <c r="Y376" s="368"/>
      <c r="Z376" s="351"/>
      <c r="AA376" s="511"/>
      <c r="AB376" s="350"/>
      <c r="AC376" s="350"/>
      <c r="AD376" s="351"/>
      <c r="AE376" s="368"/>
      <c r="AF376" s="350"/>
      <c r="AG376" s="351"/>
      <c r="AH376" s="511"/>
      <c r="AI376" s="350"/>
      <c r="AJ376" s="351"/>
      <c r="AK376" s="368"/>
      <c r="AL376" s="350"/>
      <c r="AM376" s="350"/>
      <c r="AN376" s="351"/>
      <c r="AO376" s="511"/>
      <c r="AP376" s="350"/>
      <c r="AQ376" s="350"/>
      <c r="AR376" s="350"/>
      <c r="AS376" s="350"/>
      <c r="AT376" s="350"/>
      <c r="AU376" s="350"/>
      <c r="AV376" s="351"/>
      <c r="AW376" s="725"/>
      <c r="AX376" s="350"/>
      <c r="AY376" s="351"/>
      <c r="AZ376" s="511"/>
      <c r="BA376" s="350"/>
      <c r="BB376" s="350"/>
      <c r="BC376" s="350"/>
      <c r="BD376" s="350"/>
      <c r="BE376" s="350"/>
      <c r="BF376" s="350"/>
      <c r="BG376" s="350"/>
      <c r="BH376" s="350"/>
      <c r="BI376" s="350"/>
      <c r="BJ376" s="350"/>
      <c r="BK376" s="350"/>
      <c r="BL376" s="350"/>
      <c r="BM376" s="350"/>
      <c r="BN376" s="350"/>
      <c r="BO376" s="351"/>
    </row>
    <row r="377" spans="1:67" ht="34.5" customHeight="1">
      <c r="A377" s="98">
        <f t="shared" si="1"/>
        <v>365</v>
      </c>
      <c r="B377" s="416" t="s">
        <v>325</v>
      </c>
      <c r="C377" s="351"/>
      <c r="D377" s="724"/>
      <c r="E377" s="350"/>
      <c r="F377" s="350"/>
      <c r="G377" s="350"/>
      <c r="H377" s="351"/>
      <c r="I377" s="412"/>
      <c r="J377" s="350"/>
      <c r="K377" s="350"/>
      <c r="L377" s="350"/>
      <c r="M377" s="350"/>
      <c r="N377" s="350"/>
      <c r="O377" s="350"/>
      <c r="P377" s="351"/>
      <c r="Q377" s="412"/>
      <c r="R377" s="350"/>
      <c r="S377" s="350"/>
      <c r="T377" s="350"/>
      <c r="U377" s="350"/>
      <c r="V377" s="350"/>
      <c r="W377" s="350"/>
      <c r="X377" s="351"/>
      <c r="Y377" s="412"/>
      <c r="Z377" s="351"/>
      <c r="AA377" s="412"/>
      <c r="AB377" s="350"/>
      <c r="AC377" s="350"/>
      <c r="AD377" s="351"/>
      <c r="AE377" s="412"/>
      <c r="AF377" s="350"/>
      <c r="AG377" s="351"/>
      <c r="AH377" s="412"/>
      <c r="AI377" s="350"/>
      <c r="AJ377" s="351"/>
      <c r="AK377" s="412"/>
      <c r="AL377" s="350"/>
      <c r="AM377" s="350"/>
      <c r="AN377" s="351"/>
      <c r="AO377" s="412"/>
      <c r="AP377" s="350"/>
      <c r="AQ377" s="350"/>
      <c r="AR377" s="350"/>
      <c r="AS377" s="350"/>
      <c r="AT377" s="350"/>
      <c r="AU377" s="350"/>
      <c r="AV377" s="351"/>
      <c r="AW377" s="723"/>
      <c r="AX377" s="350"/>
      <c r="AY377" s="351"/>
      <c r="AZ377" s="412"/>
      <c r="BA377" s="350"/>
      <c r="BB377" s="350"/>
      <c r="BC377" s="350"/>
      <c r="BD377" s="350"/>
      <c r="BE377" s="350"/>
      <c r="BF377" s="350"/>
      <c r="BG377" s="350"/>
      <c r="BH377" s="350"/>
      <c r="BI377" s="350"/>
      <c r="BJ377" s="350"/>
      <c r="BK377" s="350"/>
      <c r="BL377" s="350"/>
      <c r="BM377" s="350"/>
      <c r="BN377" s="350"/>
      <c r="BO377" s="351"/>
    </row>
    <row r="378" spans="1:67" ht="34.5" customHeight="1">
      <c r="A378" s="98">
        <f t="shared" si="1"/>
        <v>366</v>
      </c>
      <c r="B378" s="416" t="s">
        <v>325</v>
      </c>
      <c r="C378" s="351"/>
      <c r="D378" s="594"/>
      <c r="E378" s="350"/>
      <c r="F378" s="350"/>
      <c r="G378" s="350"/>
      <c r="H378" s="351"/>
      <c r="I378" s="368"/>
      <c r="J378" s="350"/>
      <c r="K378" s="350"/>
      <c r="L378" s="350"/>
      <c r="M378" s="350"/>
      <c r="N378" s="350"/>
      <c r="O378" s="350"/>
      <c r="P378" s="351"/>
      <c r="Q378" s="511"/>
      <c r="R378" s="350"/>
      <c r="S378" s="350"/>
      <c r="T378" s="350"/>
      <c r="U378" s="350"/>
      <c r="V378" s="350"/>
      <c r="W378" s="350"/>
      <c r="X378" s="351"/>
      <c r="Y378" s="368"/>
      <c r="Z378" s="351"/>
      <c r="AA378" s="511"/>
      <c r="AB378" s="350"/>
      <c r="AC378" s="350"/>
      <c r="AD378" s="351"/>
      <c r="AE378" s="368"/>
      <c r="AF378" s="350"/>
      <c r="AG378" s="351"/>
      <c r="AH378" s="511"/>
      <c r="AI378" s="350"/>
      <c r="AJ378" s="351"/>
      <c r="AK378" s="368"/>
      <c r="AL378" s="350"/>
      <c r="AM378" s="350"/>
      <c r="AN378" s="351"/>
      <c r="AO378" s="511"/>
      <c r="AP378" s="350"/>
      <c r="AQ378" s="350"/>
      <c r="AR378" s="350"/>
      <c r="AS378" s="350"/>
      <c r="AT378" s="350"/>
      <c r="AU378" s="350"/>
      <c r="AV378" s="351"/>
      <c r="AW378" s="725"/>
      <c r="AX378" s="350"/>
      <c r="AY378" s="351"/>
      <c r="AZ378" s="511"/>
      <c r="BA378" s="350"/>
      <c r="BB378" s="350"/>
      <c r="BC378" s="350"/>
      <c r="BD378" s="350"/>
      <c r="BE378" s="350"/>
      <c r="BF378" s="350"/>
      <c r="BG378" s="350"/>
      <c r="BH378" s="350"/>
      <c r="BI378" s="350"/>
      <c r="BJ378" s="350"/>
      <c r="BK378" s="350"/>
      <c r="BL378" s="350"/>
      <c r="BM378" s="350"/>
      <c r="BN378" s="350"/>
      <c r="BO378" s="351"/>
    </row>
    <row r="379" spans="1:67" ht="34.5" customHeight="1">
      <c r="A379" s="98">
        <f t="shared" si="1"/>
        <v>367</v>
      </c>
      <c r="B379" s="416" t="s">
        <v>325</v>
      </c>
      <c r="C379" s="351"/>
      <c r="D379" s="724"/>
      <c r="E379" s="350"/>
      <c r="F379" s="350"/>
      <c r="G379" s="350"/>
      <c r="H379" s="351"/>
      <c r="I379" s="412"/>
      <c r="J379" s="350"/>
      <c r="K379" s="350"/>
      <c r="L379" s="350"/>
      <c r="M379" s="350"/>
      <c r="N379" s="350"/>
      <c r="O379" s="350"/>
      <c r="P379" s="351"/>
      <c r="Q379" s="412"/>
      <c r="R379" s="350"/>
      <c r="S379" s="350"/>
      <c r="T379" s="350"/>
      <c r="U379" s="350"/>
      <c r="V379" s="350"/>
      <c r="W379" s="350"/>
      <c r="X379" s="351"/>
      <c r="Y379" s="412"/>
      <c r="Z379" s="351"/>
      <c r="AA379" s="412"/>
      <c r="AB379" s="350"/>
      <c r="AC379" s="350"/>
      <c r="AD379" s="351"/>
      <c r="AE379" s="412"/>
      <c r="AF379" s="350"/>
      <c r="AG379" s="351"/>
      <c r="AH379" s="412"/>
      <c r="AI379" s="350"/>
      <c r="AJ379" s="351"/>
      <c r="AK379" s="412"/>
      <c r="AL379" s="350"/>
      <c r="AM379" s="350"/>
      <c r="AN379" s="351"/>
      <c r="AO379" s="412"/>
      <c r="AP379" s="350"/>
      <c r="AQ379" s="350"/>
      <c r="AR379" s="350"/>
      <c r="AS379" s="350"/>
      <c r="AT379" s="350"/>
      <c r="AU379" s="350"/>
      <c r="AV379" s="351"/>
      <c r="AW379" s="723"/>
      <c r="AX379" s="350"/>
      <c r="AY379" s="351"/>
      <c r="AZ379" s="412"/>
      <c r="BA379" s="350"/>
      <c r="BB379" s="350"/>
      <c r="BC379" s="350"/>
      <c r="BD379" s="350"/>
      <c r="BE379" s="350"/>
      <c r="BF379" s="350"/>
      <c r="BG379" s="350"/>
      <c r="BH379" s="350"/>
      <c r="BI379" s="350"/>
      <c r="BJ379" s="350"/>
      <c r="BK379" s="350"/>
      <c r="BL379" s="350"/>
      <c r="BM379" s="350"/>
      <c r="BN379" s="350"/>
      <c r="BO379" s="351"/>
    </row>
    <row r="380" spans="1:67" ht="34.5" customHeight="1">
      <c r="A380" s="98">
        <f t="shared" si="1"/>
        <v>368</v>
      </c>
      <c r="B380" s="416" t="s">
        <v>325</v>
      </c>
      <c r="C380" s="351"/>
      <c r="D380" s="594"/>
      <c r="E380" s="350"/>
      <c r="F380" s="350"/>
      <c r="G380" s="350"/>
      <c r="H380" s="351"/>
      <c r="I380" s="368"/>
      <c r="J380" s="350"/>
      <c r="K380" s="350"/>
      <c r="L380" s="350"/>
      <c r="M380" s="350"/>
      <c r="N380" s="350"/>
      <c r="O380" s="350"/>
      <c r="P380" s="351"/>
      <c r="Q380" s="511"/>
      <c r="R380" s="350"/>
      <c r="S380" s="350"/>
      <c r="T380" s="350"/>
      <c r="U380" s="350"/>
      <c r="V380" s="350"/>
      <c r="W380" s="350"/>
      <c r="X380" s="351"/>
      <c r="Y380" s="368"/>
      <c r="Z380" s="351"/>
      <c r="AA380" s="511"/>
      <c r="AB380" s="350"/>
      <c r="AC380" s="350"/>
      <c r="AD380" s="351"/>
      <c r="AE380" s="368"/>
      <c r="AF380" s="350"/>
      <c r="AG380" s="351"/>
      <c r="AH380" s="511"/>
      <c r="AI380" s="350"/>
      <c r="AJ380" s="351"/>
      <c r="AK380" s="368"/>
      <c r="AL380" s="350"/>
      <c r="AM380" s="350"/>
      <c r="AN380" s="351"/>
      <c r="AO380" s="511"/>
      <c r="AP380" s="350"/>
      <c r="AQ380" s="350"/>
      <c r="AR380" s="350"/>
      <c r="AS380" s="350"/>
      <c r="AT380" s="350"/>
      <c r="AU380" s="350"/>
      <c r="AV380" s="351"/>
      <c r="AW380" s="725"/>
      <c r="AX380" s="350"/>
      <c r="AY380" s="351"/>
      <c r="AZ380" s="511"/>
      <c r="BA380" s="350"/>
      <c r="BB380" s="350"/>
      <c r="BC380" s="350"/>
      <c r="BD380" s="350"/>
      <c r="BE380" s="350"/>
      <c r="BF380" s="350"/>
      <c r="BG380" s="350"/>
      <c r="BH380" s="350"/>
      <c r="BI380" s="350"/>
      <c r="BJ380" s="350"/>
      <c r="BK380" s="350"/>
      <c r="BL380" s="350"/>
      <c r="BM380" s="350"/>
      <c r="BN380" s="350"/>
      <c r="BO380" s="351"/>
    </row>
    <row r="381" spans="1:67" ht="34.5" customHeight="1">
      <c r="A381" s="98">
        <f t="shared" si="1"/>
        <v>369</v>
      </c>
      <c r="B381" s="416" t="s">
        <v>325</v>
      </c>
      <c r="C381" s="351"/>
      <c r="D381" s="724"/>
      <c r="E381" s="350"/>
      <c r="F381" s="350"/>
      <c r="G381" s="350"/>
      <c r="H381" s="351"/>
      <c r="I381" s="412"/>
      <c r="J381" s="350"/>
      <c r="K381" s="350"/>
      <c r="L381" s="350"/>
      <c r="M381" s="350"/>
      <c r="N381" s="350"/>
      <c r="O381" s="350"/>
      <c r="P381" s="351"/>
      <c r="Q381" s="412"/>
      <c r="R381" s="350"/>
      <c r="S381" s="350"/>
      <c r="T381" s="350"/>
      <c r="U381" s="350"/>
      <c r="V381" s="350"/>
      <c r="W381" s="350"/>
      <c r="X381" s="351"/>
      <c r="Y381" s="412"/>
      <c r="Z381" s="351"/>
      <c r="AA381" s="412"/>
      <c r="AB381" s="350"/>
      <c r="AC381" s="350"/>
      <c r="AD381" s="351"/>
      <c r="AE381" s="412"/>
      <c r="AF381" s="350"/>
      <c r="AG381" s="351"/>
      <c r="AH381" s="412"/>
      <c r="AI381" s="350"/>
      <c r="AJ381" s="351"/>
      <c r="AK381" s="412"/>
      <c r="AL381" s="350"/>
      <c r="AM381" s="350"/>
      <c r="AN381" s="351"/>
      <c r="AO381" s="412"/>
      <c r="AP381" s="350"/>
      <c r="AQ381" s="350"/>
      <c r="AR381" s="350"/>
      <c r="AS381" s="350"/>
      <c r="AT381" s="350"/>
      <c r="AU381" s="350"/>
      <c r="AV381" s="351"/>
      <c r="AW381" s="723"/>
      <c r="AX381" s="350"/>
      <c r="AY381" s="351"/>
      <c r="AZ381" s="412"/>
      <c r="BA381" s="350"/>
      <c r="BB381" s="350"/>
      <c r="BC381" s="350"/>
      <c r="BD381" s="350"/>
      <c r="BE381" s="350"/>
      <c r="BF381" s="350"/>
      <c r="BG381" s="350"/>
      <c r="BH381" s="350"/>
      <c r="BI381" s="350"/>
      <c r="BJ381" s="350"/>
      <c r="BK381" s="350"/>
      <c r="BL381" s="350"/>
      <c r="BM381" s="350"/>
      <c r="BN381" s="350"/>
      <c r="BO381" s="351"/>
    </row>
    <row r="382" spans="1:67" ht="34.5" customHeight="1">
      <c r="A382" s="98">
        <f t="shared" si="1"/>
        <v>370</v>
      </c>
      <c r="B382" s="416" t="s">
        <v>325</v>
      </c>
      <c r="C382" s="351"/>
      <c r="D382" s="594"/>
      <c r="E382" s="350"/>
      <c r="F382" s="350"/>
      <c r="G382" s="350"/>
      <c r="H382" s="351"/>
      <c r="I382" s="368"/>
      <c r="J382" s="350"/>
      <c r="K382" s="350"/>
      <c r="L382" s="350"/>
      <c r="M382" s="350"/>
      <c r="N382" s="350"/>
      <c r="O382" s="350"/>
      <c r="P382" s="351"/>
      <c r="Q382" s="511"/>
      <c r="R382" s="350"/>
      <c r="S382" s="350"/>
      <c r="T382" s="350"/>
      <c r="U382" s="350"/>
      <c r="V382" s="350"/>
      <c r="W382" s="350"/>
      <c r="X382" s="351"/>
      <c r="Y382" s="368"/>
      <c r="Z382" s="351"/>
      <c r="AA382" s="511"/>
      <c r="AB382" s="350"/>
      <c r="AC382" s="350"/>
      <c r="AD382" s="351"/>
      <c r="AE382" s="368"/>
      <c r="AF382" s="350"/>
      <c r="AG382" s="351"/>
      <c r="AH382" s="511"/>
      <c r="AI382" s="350"/>
      <c r="AJ382" s="351"/>
      <c r="AK382" s="368"/>
      <c r="AL382" s="350"/>
      <c r="AM382" s="350"/>
      <c r="AN382" s="351"/>
      <c r="AO382" s="511"/>
      <c r="AP382" s="350"/>
      <c r="AQ382" s="350"/>
      <c r="AR382" s="350"/>
      <c r="AS382" s="350"/>
      <c r="AT382" s="350"/>
      <c r="AU382" s="350"/>
      <c r="AV382" s="351"/>
      <c r="AW382" s="725"/>
      <c r="AX382" s="350"/>
      <c r="AY382" s="351"/>
      <c r="AZ382" s="511"/>
      <c r="BA382" s="350"/>
      <c r="BB382" s="350"/>
      <c r="BC382" s="350"/>
      <c r="BD382" s="350"/>
      <c r="BE382" s="350"/>
      <c r="BF382" s="350"/>
      <c r="BG382" s="350"/>
      <c r="BH382" s="350"/>
      <c r="BI382" s="350"/>
      <c r="BJ382" s="350"/>
      <c r="BK382" s="350"/>
      <c r="BL382" s="350"/>
      <c r="BM382" s="350"/>
      <c r="BN382" s="350"/>
      <c r="BO382" s="351"/>
    </row>
    <row r="383" spans="1:67" ht="34.5" customHeight="1">
      <c r="A383" s="98">
        <f t="shared" si="1"/>
        <v>371</v>
      </c>
      <c r="B383" s="416" t="s">
        <v>325</v>
      </c>
      <c r="C383" s="351"/>
      <c r="D383" s="724"/>
      <c r="E383" s="350"/>
      <c r="F383" s="350"/>
      <c r="G383" s="350"/>
      <c r="H383" s="351"/>
      <c r="I383" s="412"/>
      <c r="J383" s="350"/>
      <c r="K383" s="350"/>
      <c r="L383" s="350"/>
      <c r="M383" s="350"/>
      <c r="N383" s="350"/>
      <c r="O383" s="350"/>
      <c r="P383" s="351"/>
      <c r="Q383" s="412"/>
      <c r="R383" s="350"/>
      <c r="S383" s="350"/>
      <c r="T383" s="350"/>
      <c r="U383" s="350"/>
      <c r="V383" s="350"/>
      <c r="W383" s="350"/>
      <c r="X383" s="351"/>
      <c r="Y383" s="412"/>
      <c r="Z383" s="351"/>
      <c r="AA383" s="412"/>
      <c r="AB383" s="350"/>
      <c r="AC383" s="350"/>
      <c r="AD383" s="351"/>
      <c r="AE383" s="412"/>
      <c r="AF383" s="350"/>
      <c r="AG383" s="351"/>
      <c r="AH383" s="412"/>
      <c r="AI383" s="350"/>
      <c r="AJ383" s="351"/>
      <c r="AK383" s="412"/>
      <c r="AL383" s="350"/>
      <c r="AM383" s="350"/>
      <c r="AN383" s="351"/>
      <c r="AO383" s="412"/>
      <c r="AP383" s="350"/>
      <c r="AQ383" s="350"/>
      <c r="AR383" s="350"/>
      <c r="AS383" s="350"/>
      <c r="AT383" s="350"/>
      <c r="AU383" s="350"/>
      <c r="AV383" s="351"/>
      <c r="AW383" s="723"/>
      <c r="AX383" s="350"/>
      <c r="AY383" s="351"/>
      <c r="AZ383" s="412"/>
      <c r="BA383" s="350"/>
      <c r="BB383" s="350"/>
      <c r="BC383" s="350"/>
      <c r="BD383" s="350"/>
      <c r="BE383" s="350"/>
      <c r="BF383" s="350"/>
      <c r="BG383" s="350"/>
      <c r="BH383" s="350"/>
      <c r="BI383" s="350"/>
      <c r="BJ383" s="350"/>
      <c r="BK383" s="350"/>
      <c r="BL383" s="350"/>
      <c r="BM383" s="350"/>
      <c r="BN383" s="350"/>
      <c r="BO383" s="351"/>
    </row>
    <row r="384" spans="1:67" ht="34.5" customHeight="1">
      <c r="A384" s="98">
        <f t="shared" si="1"/>
        <v>372</v>
      </c>
      <c r="B384" s="416" t="s">
        <v>325</v>
      </c>
      <c r="C384" s="351"/>
      <c r="D384" s="594"/>
      <c r="E384" s="350"/>
      <c r="F384" s="350"/>
      <c r="G384" s="350"/>
      <c r="H384" s="351"/>
      <c r="I384" s="368"/>
      <c r="J384" s="350"/>
      <c r="K384" s="350"/>
      <c r="L384" s="350"/>
      <c r="M384" s="350"/>
      <c r="N384" s="350"/>
      <c r="O384" s="350"/>
      <c r="P384" s="351"/>
      <c r="Q384" s="511"/>
      <c r="R384" s="350"/>
      <c r="S384" s="350"/>
      <c r="T384" s="350"/>
      <c r="U384" s="350"/>
      <c r="V384" s="350"/>
      <c r="W384" s="350"/>
      <c r="X384" s="351"/>
      <c r="Y384" s="368"/>
      <c r="Z384" s="351"/>
      <c r="AA384" s="511"/>
      <c r="AB384" s="350"/>
      <c r="AC384" s="350"/>
      <c r="AD384" s="351"/>
      <c r="AE384" s="368"/>
      <c r="AF384" s="350"/>
      <c r="AG384" s="351"/>
      <c r="AH384" s="511"/>
      <c r="AI384" s="350"/>
      <c r="AJ384" s="351"/>
      <c r="AK384" s="368"/>
      <c r="AL384" s="350"/>
      <c r="AM384" s="350"/>
      <c r="AN384" s="351"/>
      <c r="AO384" s="511"/>
      <c r="AP384" s="350"/>
      <c r="AQ384" s="350"/>
      <c r="AR384" s="350"/>
      <c r="AS384" s="350"/>
      <c r="AT384" s="350"/>
      <c r="AU384" s="350"/>
      <c r="AV384" s="351"/>
      <c r="AW384" s="725"/>
      <c r="AX384" s="350"/>
      <c r="AY384" s="351"/>
      <c r="AZ384" s="511"/>
      <c r="BA384" s="350"/>
      <c r="BB384" s="350"/>
      <c r="BC384" s="350"/>
      <c r="BD384" s="350"/>
      <c r="BE384" s="350"/>
      <c r="BF384" s="350"/>
      <c r="BG384" s="350"/>
      <c r="BH384" s="350"/>
      <c r="BI384" s="350"/>
      <c r="BJ384" s="350"/>
      <c r="BK384" s="350"/>
      <c r="BL384" s="350"/>
      <c r="BM384" s="350"/>
      <c r="BN384" s="350"/>
      <c r="BO384" s="351"/>
    </row>
    <row r="385" spans="1:67" ht="34.5" customHeight="1">
      <c r="A385" s="98">
        <f t="shared" si="1"/>
        <v>373</v>
      </c>
      <c r="B385" s="416" t="s">
        <v>325</v>
      </c>
      <c r="C385" s="351"/>
      <c r="D385" s="724"/>
      <c r="E385" s="350"/>
      <c r="F385" s="350"/>
      <c r="G385" s="350"/>
      <c r="H385" s="351"/>
      <c r="I385" s="412"/>
      <c r="J385" s="350"/>
      <c r="K385" s="350"/>
      <c r="L385" s="350"/>
      <c r="M385" s="350"/>
      <c r="N385" s="350"/>
      <c r="O385" s="350"/>
      <c r="P385" s="351"/>
      <c r="Q385" s="412"/>
      <c r="R385" s="350"/>
      <c r="S385" s="350"/>
      <c r="T385" s="350"/>
      <c r="U385" s="350"/>
      <c r="V385" s="350"/>
      <c r="W385" s="350"/>
      <c r="X385" s="351"/>
      <c r="Y385" s="412"/>
      <c r="Z385" s="351"/>
      <c r="AA385" s="412"/>
      <c r="AB385" s="350"/>
      <c r="AC385" s="350"/>
      <c r="AD385" s="351"/>
      <c r="AE385" s="412"/>
      <c r="AF385" s="350"/>
      <c r="AG385" s="351"/>
      <c r="AH385" s="412"/>
      <c r="AI385" s="350"/>
      <c r="AJ385" s="351"/>
      <c r="AK385" s="412"/>
      <c r="AL385" s="350"/>
      <c r="AM385" s="350"/>
      <c r="AN385" s="351"/>
      <c r="AO385" s="412"/>
      <c r="AP385" s="350"/>
      <c r="AQ385" s="350"/>
      <c r="AR385" s="350"/>
      <c r="AS385" s="350"/>
      <c r="AT385" s="350"/>
      <c r="AU385" s="350"/>
      <c r="AV385" s="351"/>
      <c r="AW385" s="723"/>
      <c r="AX385" s="350"/>
      <c r="AY385" s="351"/>
      <c r="AZ385" s="412"/>
      <c r="BA385" s="350"/>
      <c r="BB385" s="350"/>
      <c r="BC385" s="350"/>
      <c r="BD385" s="350"/>
      <c r="BE385" s="350"/>
      <c r="BF385" s="350"/>
      <c r="BG385" s="350"/>
      <c r="BH385" s="350"/>
      <c r="BI385" s="350"/>
      <c r="BJ385" s="350"/>
      <c r="BK385" s="350"/>
      <c r="BL385" s="350"/>
      <c r="BM385" s="350"/>
      <c r="BN385" s="350"/>
      <c r="BO385" s="351"/>
    </row>
    <row r="386" spans="1:67" ht="34.5" customHeight="1">
      <c r="A386" s="98">
        <f t="shared" si="1"/>
        <v>374</v>
      </c>
      <c r="B386" s="416" t="s">
        <v>325</v>
      </c>
      <c r="C386" s="351"/>
      <c r="D386" s="594"/>
      <c r="E386" s="350"/>
      <c r="F386" s="350"/>
      <c r="G386" s="350"/>
      <c r="H386" s="351"/>
      <c r="I386" s="368"/>
      <c r="J386" s="350"/>
      <c r="K386" s="350"/>
      <c r="L386" s="350"/>
      <c r="M386" s="350"/>
      <c r="N386" s="350"/>
      <c r="O386" s="350"/>
      <c r="P386" s="351"/>
      <c r="Q386" s="511"/>
      <c r="R386" s="350"/>
      <c r="S386" s="350"/>
      <c r="T386" s="350"/>
      <c r="U386" s="350"/>
      <c r="V386" s="350"/>
      <c r="W386" s="350"/>
      <c r="X386" s="351"/>
      <c r="Y386" s="368"/>
      <c r="Z386" s="351"/>
      <c r="AA386" s="511"/>
      <c r="AB386" s="350"/>
      <c r="AC386" s="350"/>
      <c r="AD386" s="351"/>
      <c r="AE386" s="368"/>
      <c r="AF386" s="350"/>
      <c r="AG386" s="351"/>
      <c r="AH386" s="511"/>
      <c r="AI386" s="350"/>
      <c r="AJ386" s="351"/>
      <c r="AK386" s="368"/>
      <c r="AL386" s="350"/>
      <c r="AM386" s="350"/>
      <c r="AN386" s="351"/>
      <c r="AO386" s="511"/>
      <c r="AP386" s="350"/>
      <c r="AQ386" s="350"/>
      <c r="AR386" s="350"/>
      <c r="AS386" s="350"/>
      <c r="AT386" s="350"/>
      <c r="AU386" s="350"/>
      <c r="AV386" s="351"/>
      <c r="AW386" s="725"/>
      <c r="AX386" s="350"/>
      <c r="AY386" s="351"/>
      <c r="AZ386" s="511"/>
      <c r="BA386" s="350"/>
      <c r="BB386" s="350"/>
      <c r="BC386" s="350"/>
      <c r="BD386" s="350"/>
      <c r="BE386" s="350"/>
      <c r="BF386" s="350"/>
      <c r="BG386" s="350"/>
      <c r="BH386" s="350"/>
      <c r="BI386" s="350"/>
      <c r="BJ386" s="350"/>
      <c r="BK386" s="350"/>
      <c r="BL386" s="350"/>
      <c r="BM386" s="350"/>
      <c r="BN386" s="350"/>
      <c r="BO386" s="351"/>
    </row>
    <row r="387" spans="1:67" ht="34.5" customHeight="1">
      <c r="A387" s="98">
        <f t="shared" si="1"/>
        <v>375</v>
      </c>
      <c r="B387" s="416" t="s">
        <v>325</v>
      </c>
      <c r="C387" s="351"/>
      <c r="D387" s="724"/>
      <c r="E387" s="350"/>
      <c r="F387" s="350"/>
      <c r="G387" s="350"/>
      <c r="H387" s="351"/>
      <c r="I387" s="412"/>
      <c r="J387" s="350"/>
      <c r="K387" s="350"/>
      <c r="L387" s="350"/>
      <c r="M387" s="350"/>
      <c r="N387" s="350"/>
      <c r="O387" s="350"/>
      <c r="P387" s="351"/>
      <c r="Q387" s="412"/>
      <c r="R387" s="350"/>
      <c r="S387" s="350"/>
      <c r="T387" s="350"/>
      <c r="U387" s="350"/>
      <c r="V387" s="350"/>
      <c r="W387" s="350"/>
      <c r="X387" s="351"/>
      <c r="Y387" s="412"/>
      <c r="Z387" s="351"/>
      <c r="AA387" s="412"/>
      <c r="AB387" s="350"/>
      <c r="AC387" s="350"/>
      <c r="AD387" s="351"/>
      <c r="AE387" s="412"/>
      <c r="AF387" s="350"/>
      <c r="AG387" s="351"/>
      <c r="AH387" s="412"/>
      <c r="AI387" s="350"/>
      <c r="AJ387" s="351"/>
      <c r="AK387" s="412"/>
      <c r="AL387" s="350"/>
      <c r="AM387" s="350"/>
      <c r="AN387" s="351"/>
      <c r="AO387" s="412"/>
      <c r="AP387" s="350"/>
      <c r="AQ387" s="350"/>
      <c r="AR387" s="350"/>
      <c r="AS387" s="350"/>
      <c r="AT387" s="350"/>
      <c r="AU387" s="350"/>
      <c r="AV387" s="351"/>
      <c r="AW387" s="723"/>
      <c r="AX387" s="350"/>
      <c r="AY387" s="351"/>
      <c r="AZ387" s="412"/>
      <c r="BA387" s="350"/>
      <c r="BB387" s="350"/>
      <c r="BC387" s="350"/>
      <c r="BD387" s="350"/>
      <c r="BE387" s="350"/>
      <c r="BF387" s="350"/>
      <c r="BG387" s="350"/>
      <c r="BH387" s="350"/>
      <c r="BI387" s="350"/>
      <c r="BJ387" s="350"/>
      <c r="BK387" s="350"/>
      <c r="BL387" s="350"/>
      <c r="BM387" s="350"/>
      <c r="BN387" s="350"/>
      <c r="BO387" s="351"/>
    </row>
    <row r="388" spans="1:67" ht="34.5" customHeight="1">
      <c r="A388" s="98">
        <f t="shared" si="1"/>
        <v>376</v>
      </c>
      <c r="B388" s="416" t="s">
        <v>325</v>
      </c>
      <c r="C388" s="351"/>
      <c r="D388" s="594"/>
      <c r="E388" s="350"/>
      <c r="F388" s="350"/>
      <c r="G388" s="350"/>
      <c r="H388" s="351"/>
      <c r="I388" s="368"/>
      <c r="J388" s="350"/>
      <c r="K388" s="350"/>
      <c r="L388" s="350"/>
      <c r="M388" s="350"/>
      <c r="N388" s="350"/>
      <c r="O388" s="350"/>
      <c r="P388" s="351"/>
      <c r="Q388" s="511"/>
      <c r="R388" s="350"/>
      <c r="S388" s="350"/>
      <c r="T388" s="350"/>
      <c r="U388" s="350"/>
      <c r="V388" s="350"/>
      <c r="W388" s="350"/>
      <c r="X388" s="351"/>
      <c r="Y388" s="368"/>
      <c r="Z388" s="351"/>
      <c r="AA388" s="511"/>
      <c r="AB388" s="350"/>
      <c r="AC388" s="350"/>
      <c r="AD388" s="351"/>
      <c r="AE388" s="368"/>
      <c r="AF388" s="350"/>
      <c r="AG388" s="351"/>
      <c r="AH388" s="511"/>
      <c r="AI388" s="350"/>
      <c r="AJ388" s="351"/>
      <c r="AK388" s="368"/>
      <c r="AL388" s="350"/>
      <c r="AM388" s="350"/>
      <c r="AN388" s="351"/>
      <c r="AO388" s="511"/>
      <c r="AP388" s="350"/>
      <c r="AQ388" s="350"/>
      <c r="AR388" s="350"/>
      <c r="AS388" s="350"/>
      <c r="AT388" s="350"/>
      <c r="AU388" s="350"/>
      <c r="AV388" s="351"/>
      <c r="AW388" s="725"/>
      <c r="AX388" s="350"/>
      <c r="AY388" s="351"/>
      <c r="AZ388" s="511"/>
      <c r="BA388" s="350"/>
      <c r="BB388" s="350"/>
      <c r="BC388" s="350"/>
      <c r="BD388" s="350"/>
      <c r="BE388" s="350"/>
      <c r="BF388" s="350"/>
      <c r="BG388" s="350"/>
      <c r="BH388" s="350"/>
      <c r="BI388" s="350"/>
      <c r="BJ388" s="350"/>
      <c r="BK388" s="350"/>
      <c r="BL388" s="350"/>
      <c r="BM388" s="350"/>
      <c r="BN388" s="350"/>
      <c r="BO388" s="351"/>
    </row>
    <row r="389" spans="1:67" ht="34.5" customHeight="1">
      <c r="A389" s="98">
        <f t="shared" si="1"/>
        <v>377</v>
      </c>
      <c r="B389" s="416" t="s">
        <v>325</v>
      </c>
      <c r="C389" s="351"/>
      <c r="D389" s="724"/>
      <c r="E389" s="350"/>
      <c r="F389" s="350"/>
      <c r="G389" s="350"/>
      <c r="H389" s="351"/>
      <c r="I389" s="412"/>
      <c r="J389" s="350"/>
      <c r="K389" s="350"/>
      <c r="L389" s="350"/>
      <c r="M389" s="350"/>
      <c r="N389" s="350"/>
      <c r="O389" s="350"/>
      <c r="P389" s="351"/>
      <c r="Q389" s="412"/>
      <c r="R389" s="350"/>
      <c r="S389" s="350"/>
      <c r="T389" s="350"/>
      <c r="U389" s="350"/>
      <c r="V389" s="350"/>
      <c r="W389" s="350"/>
      <c r="X389" s="351"/>
      <c r="Y389" s="412"/>
      <c r="Z389" s="351"/>
      <c r="AA389" s="412"/>
      <c r="AB389" s="350"/>
      <c r="AC389" s="350"/>
      <c r="AD389" s="351"/>
      <c r="AE389" s="412"/>
      <c r="AF389" s="350"/>
      <c r="AG389" s="351"/>
      <c r="AH389" s="412"/>
      <c r="AI389" s="350"/>
      <c r="AJ389" s="351"/>
      <c r="AK389" s="412"/>
      <c r="AL389" s="350"/>
      <c r="AM389" s="350"/>
      <c r="AN389" s="351"/>
      <c r="AO389" s="412"/>
      <c r="AP389" s="350"/>
      <c r="AQ389" s="350"/>
      <c r="AR389" s="350"/>
      <c r="AS389" s="350"/>
      <c r="AT389" s="350"/>
      <c r="AU389" s="350"/>
      <c r="AV389" s="351"/>
      <c r="AW389" s="723"/>
      <c r="AX389" s="350"/>
      <c r="AY389" s="351"/>
      <c r="AZ389" s="412"/>
      <c r="BA389" s="350"/>
      <c r="BB389" s="350"/>
      <c r="BC389" s="350"/>
      <c r="BD389" s="350"/>
      <c r="BE389" s="350"/>
      <c r="BF389" s="350"/>
      <c r="BG389" s="350"/>
      <c r="BH389" s="350"/>
      <c r="BI389" s="350"/>
      <c r="BJ389" s="350"/>
      <c r="BK389" s="350"/>
      <c r="BL389" s="350"/>
      <c r="BM389" s="350"/>
      <c r="BN389" s="350"/>
      <c r="BO389" s="351"/>
    </row>
    <row r="390" spans="1:67" ht="34.5" customHeight="1">
      <c r="A390" s="98">
        <f t="shared" si="1"/>
        <v>378</v>
      </c>
      <c r="B390" s="416" t="s">
        <v>325</v>
      </c>
      <c r="C390" s="351"/>
      <c r="D390" s="594"/>
      <c r="E390" s="350"/>
      <c r="F390" s="350"/>
      <c r="G390" s="350"/>
      <c r="H390" s="351"/>
      <c r="I390" s="368"/>
      <c r="J390" s="350"/>
      <c r="K390" s="350"/>
      <c r="L390" s="350"/>
      <c r="M390" s="350"/>
      <c r="N390" s="350"/>
      <c r="O390" s="350"/>
      <c r="P390" s="351"/>
      <c r="Q390" s="511"/>
      <c r="R390" s="350"/>
      <c r="S390" s="350"/>
      <c r="T390" s="350"/>
      <c r="U390" s="350"/>
      <c r="V390" s="350"/>
      <c r="W390" s="350"/>
      <c r="X390" s="351"/>
      <c r="Y390" s="368"/>
      <c r="Z390" s="351"/>
      <c r="AA390" s="511"/>
      <c r="AB390" s="350"/>
      <c r="AC390" s="350"/>
      <c r="AD390" s="351"/>
      <c r="AE390" s="368"/>
      <c r="AF390" s="350"/>
      <c r="AG390" s="351"/>
      <c r="AH390" s="511"/>
      <c r="AI390" s="350"/>
      <c r="AJ390" s="351"/>
      <c r="AK390" s="368"/>
      <c r="AL390" s="350"/>
      <c r="AM390" s="350"/>
      <c r="AN390" s="351"/>
      <c r="AO390" s="511"/>
      <c r="AP390" s="350"/>
      <c r="AQ390" s="350"/>
      <c r="AR390" s="350"/>
      <c r="AS390" s="350"/>
      <c r="AT390" s="350"/>
      <c r="AU390" s="350"/>
      <c r="AV390" s="351"/>
      <c r="AW390" s="725"/>
      <c r="AX390" s="350"/>
      <c r="AY390" s="351"/>
      <c r="AZ390" s="511"/>
      <c r="BA390" s="350"/>
      <c r="BB390" s="350"/>
      <c r="BC390" s="350"/>
      <c r="BD390" s="350"/>
      <c r="BE390" s="350"/>
      <c r="BF390" s="350"/>
      <c r="BG390" s="350"/>
      <c r="BH390" s="350"/>
      <c r="BI390" s="350"/>
      <c r="BJ390" s="350"/>
      <c r="BK390" s="350"/>
      <c r="BL390" s="350"/>
      <c r="BM390" s="350"/>
      <c r="BN390" s="350"/>
      <c r="BO390" s="351"/>
    </row>
    <row r="391" spans="1:67" ht="34.5" customHeight="1">
      <c r="A391" s="98">
        <f t="shared" si="1"/>
        <v>379</v>
      </c>
      <c r="B391" s="416" t="s">
        <v>325</v>
      </c>
      <c r="C391" s="351"/>
      <c r="D391" s="724"/>
      <c r="E391" s="350"/>
      <c r="F391" s="350"/>
      <c r="G391" s="350"/>
      <c r="H391" s="351"/>
      <c r="I391" s="412"/>
      <c r="J391" s="350"/>
      <c r="K391" s="350"/>
      <c r="L391" s="350"/>
      <c r="M391" s="350"/>
      <c r="N391" s="350"/>
      <c r="O391" s="350"/>
      <c r="P391" s="351"/>
      <c r="Q391" s="412"/>
      <c r="R391" s="350"/>
      <c r="S391" s="350"/>
      <c r="T391" s="350"/>
      <c r="U391" s="350"/>
      <c r="V391" s="350"/>
      <c r="W391" s="350"/>
      <c r="X391" s="351"/>
      <c r="Y391" s="412"/>
      <c r="Z391" s="351"/>
      <c r="AA391" s="412"/>
      <c r="AB391" s="350"/>
      <c r="AC391" s="350"/>
      <c r="AD391" s="351"/>
      <c r="AE391" s="412"/>
      <c r="AF391" s="350"/>
      <c r="AG391" s="351"/>
      <c r="AH391" s="412"/>
      <c r="AI391" s="350"/>
      <c r="AJ391" s="351"/>
      <c r="AK391" s="412"/>
      <c r="AL391" s="350"/>
      <c r="AM391" s="350"/>
      <c r="AN391" s="351"/>
      <c r="AO391" s="412"/>
      <c r="AP391" s="350"/>
      <c r="AQ391" s="350"/>
      <c r="AR391" s="350"/>
      <c r="AS391" s="350"/>
      <c r="AT391" s="350"/>
      <c r="AU391" s="350"/>
      <c r="AV391" s="351"/>
      <c r="AW391" s="723"/>
      <c r="AX391" s="350"/>
      <c r="AY391" s="351"/>
      <c r="AZ391" s="412"/>
      <c r="BA391" s="350"/>
      <c r="BB391" s="350"/>
      <c r="BC391" s="350"/>
      <c r="BD391" s="350"/>
      <c r="BE391" s="350"/>
      <c r="BF391" s="350"/>
      <c r="BG391" s="350"/>
      <c r="BH391" s="350"/>
      <c r="BI391" s="350"/>
      <c r="BJ391" s="350"/>
      <c r="BK391" s="350"/>
      <c r="BL391" s="350"/>
      <c r="BM391" s="350"/>
      <c r="BN391" s="350"/>
      <c r="BO391" s="351"/>
    </row>
    <row r="392" spans="1:67" ht="34.5" customHeight="1">
      <c r="A392" s="98">
        <f t="shared" si="1"/>
        <v>380</v>
      </c>
      <c r="B392" s="726" t="s">
        <v>325</v>
      </c>
      <c r="C392" s="351"/>
      <c r="D392" s="594"/>
      <c r="E392" s="350"/>
      <c r="F392" s="350"/>
      <c r="G392" s="350"/>
      <c r="H392" s="351"/>
      <c r="I392" s="368"/>
      <c r="J392" s="350"/>
      <c r="K392" s="350"/>
      <c r="L392" s="350"/>
      <c r="M392" s="350"/>
      <c r="N392" s="350"/>
      <c r="O392" s="350"/>
      <c r="P392" s="351"/>
      <c r="Q392" s="511"/>
      <c r="R392" s="350"/>
      <c r="S392" s="350"/>
      <c r="T392" s="350"/>
      <c r="U392" s="350"/>
      <c r="V392" s="350"/>
      <c r="W392" s="350"/>
      <c r="X392" s="351"/>
      <c r="Y392" s="368"/>
      <c r="Z392" s="351"/>
      <c r="AA392" s="511"/>
      <c r="AB392" s="350"/>
      <c r="AC392" s="350"/>
      <c r="AD392" s="351"/>
      <c r="AE392" s="368"/>
      <c r="AF392" s="350"/>
      <c r="AG392" s="351"/>
      <c r="AH392" s="511"/>
      <c r="AI392" s="350"/>
      <c r="AJ392" s="351"/>
      <c r="AK392" s="368"/>
      <c r="AL392" s="350"/>
      <c r="AM392" s="350"/>
      <c r="AN392" s="351"/>
      <c r="AO392" s="511"/>
      <c r="AP392" s="350"/>
      <c r="AQ392" s="350"/>
      <c r="AR392" s="350"/>
      <c r="AS392" s="350"/>
      <c r="AT392" s="350"/>
      <c r="AU392" s="350"/>
      <c r="AV392" s="351"/>
      <c r="AW392" s="725"/>
      <c r="AX392" s="350"/>
      <c r="AY392" s="351"/>
      <c r="AZ392" s="511"/>
      <c r="BA392" s="350"/>
      <c r="BB392" s="350"/>
      <c r="BC392" s="350"/>
      <c r="BD392" s="350"/>
      <c r="BE392" s="350"/>
      <c r="BF392" s="350"/>
      <c r="BG392" s="350"/>
      <c r="BH392" s="350"/>
      <c r="BI392" s="350"/>
      <c r="BJ392" s="350"/>
      <c r="BK392" s="350"/>
      <c r="BL392" s="350"/>
      <c r="BM392" s="350"/>
      <c r="BN392" s="350"/>
      <c r="BO392" s="351"/>
    </row>
    <row r="393" spans="1:67" ht="34.5" customHeight="1">
      <c r="A393" s="98">
        <f t="shared" si="1"/>
        <v>381</v>
      </c>
      <c r="B393" s="416" t="s">
        <v>325</v>
      </c>
      <c r="C393" s="351"/>
      <c r="D393" s="724"/>
      <c r="E393" s="350"/>
      <c r="F393" s="350"/>
      <c r="G393" s="350"/>
      <c r="H393" s="351"/>
      <c r="I393" s="412"/>
      <c r="J393" s="350"/>
      <c r="K393" s="350"/>
      <c r="L393" s="350"/>
      <c r="M393" s="350"/>
      <c r="N393" s="350"/>
      <c r="O393" s="350"/>
      <c r="P393" s="351"/>
      <c r="Q393" s="412"/>
      <c r="R393" s="350"/>
      <c r="S393" s="350"/>
      <c r="T393" s="350"/>
      <c r="U393" s="350"/>
      <c r="V393" s="350"/>
      <c r="W393" s="350"/>
      <c r="X393" s="351"/>
      <c r="Y393" s="412"/>
      <c r="Z393" s="351"/>
      <c r="AA393" s="412"/>
      <c r="AB393" s="350"/>
      <c r="AC393" s="350"/>
      <c r="AD393" s="351"/>
      <c r="AE393" s="412"/>
      <c r="AF393" s="350"/>
      <c r="AG393" s="351"/>
      <c r="AH393" s="412"/>
      <c r="AI393" s="350"/>
      <c r="AJ393" s="351"/>
      <c r="AK393" s="412"/>
      <c r="AL393" s="350"/>
      <c r="AM393" s="350"/>
      <c r="AN393" s="351"/>
      <c r="AO393" s="412"/>
      <c r="AP393" s="350"/>
      <c r="AQ393" s="350"/>
      <c r="AR393" s="350"/>
      <c r="AS393" s="350"/>
      <c r="AT393" s="350"/>
      <c r="AU393" s="350"/>
      <c r="AV393" s="351"/>
      <c r="AW393" s="723"/>
      <c r="AX393" s="350"/>
      <c r="AY393" s="351"/>
      <c r="AZ393" s="412"/>
      <c r="BA393" s="350"/>
      <c r="BB393" s="350"/>
      <c r="BC393" s="350"/>
      <c r="BD393" s="350"/>
      <c r="BE393" s="350"/>
      <c r="BF393" s="350"/>
      <c r="BG393" s="350"/>
      <c r="BH393" s="350"/>
      <c r="BI393" s="350"/>
      <c r="BJ393" s="350"/>
      <c r="BK393" s="350"/>
      <c r="BL393" s="350"/>
      <c r="BM393" s="350"/>
      <c r="BN393" s="350"/>
      <c r="BO393" s="351"/>
    </row>
    <row r="394" spans="1:67" ht="34.5" customHeight="1">
      <c r="A394" s="98">
        <f t="shared" si="1"/>
        <v>382</v>
      </c>
      <c r="B394" s="416" t="s">
        <v>325</v>
      </c>
      <c r="C394" s="351"/>
      <c r="D394" s="594"/>
      <c r="E394" s="350"/>
      <c r="F394" s="350"/>
      <c r="G394" s="350"/>
      <c r="H394" s="351"/>
      <c r="I394" s="368"/>
      <c r="J394" s="350"/>
      <c r="K394" s="350"/>
      <c r="L394" s="350"/>
      <c r="M394" s="350"/>
      <c r="N394" s="350"/>
      <c r="O394" s="350"/>
      <c r="P394" s="351"/>
      <c r="Q394" s="511"/>
      <c r="R394" s="350"/>
      <c r="S394" s="350"/>
      <c r="T394" s="350"/>
      <c r="U394" s="350"/>
      <c r="V394" s="350"/>
      <c r="W394" s="350"/>
      <c r="X394" s="351"/>
      <c r="Y394" s="368"/>
      <c r="Z394" s="351"/>
      <c r="AA394" s="511"/>
      <c r="AB394" s="350"/>
      <c r="AC394" s="350"/>
      <c r="AD394" s="351"/>
      <c r="AE394" s="368"/>
      <c r="AF394" s="350"/>
      <c r="AG394" s="351"/>
      <c r="AH394" s="511"/>
      <c r="AI394" s="350"/>
      <c r="AJ394" s="351"/>
      <c r="AK394" s="368"/>
      <c r="AL394" s="350"/>
      <c r="AM394" s="350"/>
      <c r="AN394" s="351"/>
      <c r="AO394" s="511"/>
      <c r="AP394" s="350"/>
      <c r="AQ394" s="350"/>
      <c r="AR394" s="350"/>
      <c r="AS394" s="350"/>
      <c r="AT394" s="350"/>
      <c r="AU394" s="350"/>
      <c r="AV394" s="351"/>
      <c r="AW394" s="725"/>
      <c r="AX394" s="350"/>
      <c r="AY394" s="351"/>
      <c r="AZ394" s="511"/>
      <c r="BA394" s="350"/>
      <c r="BB394" s="350"/>
      <c r="BC394" s="350"/>
      <c r="BD394" s="350"/>
      <c r="BE394" s="350"/>
      <c r="BF394" s="350"/>
      <c r="BG394" s="350"/>
      <c r="BH394" s="350"/>
      <c r="BI394" s="350"/>
      <c r="BJ394" s="350"/>
      <c r="BK394" s="350"/>
      <c r="BL394" s="350"/>
      <c r="BM394" s="350"/>
      <c r="BN394" s="350"/>
      <c r="BO394" s="351"/>
    </row>
    <row r="395" spans="1:67" ht="34.5" customHeight="1">
      <c r="A395" s="98">
        <f t="shared" si="1"/>
        <v>383</v>
      </c>
      <c r="B395" s="416" t="s">
        <v>325</v>
      </c>
      <c r="C395" s="351"/>
      <c r="D395" s="724"/>
      <c r="E395" s="350"/>
      <c r="F395" s="350"/>
      <c r="G395" s="350"/>
      <c r="H395" s="351"/>
      <c r="I395" s="412"/>
      <c r="J395" s="350"/>
      <c r="K395" s="350"/>
      <c r="L395" s="350"/>
      <c r="M395" s="350"/>
      <c r="N395" s="350"/>
      <c r="O395" s="350"/>
      <c r="P395" s="351"/>
      <c r="Q395" s="412"/>
      <c r="R395" s="350"/>
      <c r="S395" s="350"/>
      <c r="T395" s="350"/>
      <c r="U395" s="350"/>
      <c r="V395" s="350"/>
      <c r="W395" s="350"/>
      <c r="X395" s="351"/>
      <c r="Y395" s="412"/>
      <c r="Z395" s="351"/>
      <c r="AA395" s="412"/>
      <c r="AB395" s="350"/>
      <c r="AC395" s="350"/>
      <c r="AD395" s="351"/>
      <c r="AE395" s="412"/>
      <c r="AF395" s="350"/>
      <c r="AG395" s="351"/>
      <c r="AH395" s="412"/>
      <c r="AI395" s="350"/>
      <c r="AJ395" s="351"/>
      <c r="AK395" s="412"/>
      <c r="AL395" s="350"/>
      <c r="AM395" s="350"/>
      <c r="AN395" s="351"/>
      <c r="AO395" s="412"/>
      <c r="AP395" s="350"/>
      <c r="AQ395" s="350"/>
      <c r="AR395" s="350"/>
      <c r="AS395" s="350"/>
      <c r="AT395" s="350"/>
      <c r="AU395" s="350"/>
      <c r="AV395" s="351"/>
      <c r="AW395" s="723"/>
      <c r="AX395" s="350"/>
      <c r="AY395" s="351"/>
      <c r="AZ395" s="412"/>
      <c r="BA395" s="350"/>
      <c r="BB395" s="350"/>
      <c r="BC395" s="350"/>
      <c r="BD395" s="350"/>
      <c r="BE395" s="350"/>
      <c r="BF395" s="350"/>
      <c r="BG395" s="350"/>
      <c r="BH395" s="350"/>
      <c r="BI395" s="350"/>
      <c r="BJ395" s="350"/>
      <c r="BK395" s="350"/>
      <c r="BL395" s="350"/>
      <c r="BM395" s="350"/>
      <c r="BN395" s="350"/>
      <c r="BO395" s="351"/>
    </row>
    <row r="396" spans="1:67" ht="34.5" customHeight="1">
      <c r="A396" s="98">
        <f t="shared" si="1"/>
        <v>384</v>
      </c>
      <c r="B396" s="416" t="s">
        <v>325</v>
      </c>
      <c r="C396" s="351"/>
      <c r="D396" s="594"/>
      <c r="E396" s="350"/>
      <c r="F396" s="350"/>
      <c r="G396" s="350"/>
      <c r="H396" s="351"/>
      <c r="I396" s="368"/>
      <c r="J396" s="350"/>
      <c r="K396" s="350"/>
      <c r="L396" s="350"/>
      <c r="M396" s="350"/>
      <c r="N396" s="350"/>
      <c r="O396" s="350"/>
      <c r="P396" s="351"/>
      <c r="Q396" s="511"/>
      <c r="R396" s="350"/>
      <c r="S396" s="350"/>
      <c r="T396" s="350"/>
      <c r="U396" s="350"/>
      <c r="V396" s="350"/>
      <c r="W396" s="350"/>
      <c r="X396" s="351"/>
      <c r="Y396" s="368"/>
      <c r="Z396" s="351"/>
      <c r="AA396" s="511"/>
      <c r="AB396" s="350"/>
      <c r="AC396" s="350"/>
      <c r="AD396" s="351"/>
      <c r="AE396" s="368"/>
      <c r="AF396" s="350"/>
      <c r="AG396" s="351"/>
      <c r="AH396" s="511"/>
      <c r="AI396" s="350"/>
      <c r="AJ396" s="351"/>
      <c r="AK396" s="368"/>
      <c r="AL396" s="350"/>
      <c r="AM396" s="350"/>
      <c r="AN396" s="351"/>
      <c r="AO396" s="511"/>
      <c r="AP396" s="350"/>
      <c r="AQ396" s="350"/>
      <c r="AR396" s="350"/>
      <c r="AS396" s="350"/>
      <c r="AT396" s="350"/>
      <c r="AU396" s="350"/>
      <c r="AV396" s="351"/>
      <c r="AW396" s="725"/>
      <c r="AX396" s="350"/>
      <c r="AY396" s="351"/>
      <c r="AZ396" s="511"/>
      <c r="BA396" s="350"/>
      <c r="BB396" s="350"/>
      <c r="BC396" s="350"/>
      <c r="BD396" s="350"/>
      <c r="BE396" s="350"/>
      <c r="BF396" s="350"/>
      <c r="BG396" s="350"/>
      <c r="BH396" s="350"/>
      <c r="BI396" s="350"/>
      <c r="BJ396" s="350"/>
      <c r="BK396" s="350"/>
      <c r="BL396" s="350"/>
      <c r="BM396" s="350"/>
      <c r="BN396" s="350"/>
      <c r="BO396" s="351"/>
    </row>
    <row r="397" spans="1:67" ht="34.5" customHeight="1">
      <c r="A397" s="98">
        <f t="shared" si="1"/>
        <v>385</v>
      </c>
      <c r="B397" s="416" t="s">
        <v>325</v>
      </c>
      <c r="C397" s="351"/>
      <c r="D397" s="724"/>
      <c r="E397" s="350"/>
      <c r="F397" s="350"/>
      <c r="G397" s="350"/>
      <c r="H397" s="351"/>
      <c r="I397" s="412"/>
      <c r="J397" s="350"/>
      <c r="K397" s="350"/>
      <c r="L397" s="350"/>
      <c r="M397" s="350"/>
      <c r="N397" s="350"/>
      <c r="O397" s="350"/>
      <c r="P397" s="351"/>
      <c r="Q397" s="412"/>
      <c r="R397" s="350"/>
      <c r="S397" s="350"/>
      <c r="T397" s="350"/>
      <c r="U397" s="350"/>
      <c r="V397" s="350"/>
      <c r="W397" s="350"/>
      <c r="X397" s="351"/>
      <c r="Y397" s="412"/>
      <c r="Z397" s="351"/>
      <c r="AA397" s="412"/>
      <c r="AB397" s="350"/>
      <c r="AC397" s="350"/>
      <c r="AD397" s="351"/>
      <c r="AE397" s="412"/>
      <c r="AF397" s="350"/>
      <c r="AG397" s="351"/>
      <c r="AH397" s="412"/>
      <c r="AI397" s="350"/>
      <c r="AJ397" s="351"/>
      <c r="AK397" s="412"/>
      <c r="AL397" s="350"/>
      <c r="AM397" s="350"/>
      <c r="AN397" s="351"/>
      <c r="AO397" s="412"/>
      <c r="AP397" s="350"/>
      <c r="AQ397" s="350"/>
      <c r="AR397" s="350"/>
      <c r="AS397" s="350"/>
      <c r="AT397" s="350"/>
      <c r="AU397" s="350"/>
      <c r="AV397" s="351"/>
      <c r="AW397" s="723"/>
      <c r="AX397" s="350"/>
      <c r="AY397" s="351"/>
      <c r="AZ397" s="412"/>
      <c r="BA397" s="350"/>
      <c r="BB397" s="350"/>
      <c r="BC397" s="350"/>
      <c r="BD397" s="350"/>
      <c r="BE397" s="350"/>
      <c r="BF397" s="350"/>
      <c r="BG397" s="350"/>
      <c r="BH397" s="350"/>
      <c r="BI397" s="350"/>
      <c r="BJ397" s="350"/>
      <c r="BK397" s="350"/>
      <c r="BL397" s="350"/>
      <c r="BM397" s="350"/>
      <c r="BN397" s="350"/>
      <c r="BO397" s="351"/>
    </row>
    <row r="398" spans="1:67" ht="34.5" customHeight="1">
      <c r="A398" s="98">
        <f t="shared" si="1"/>
        <v>386</v>
      </c>
      <c r="B398" s="416" t="s">
        <v>325</v>
      </c>
      <c r="C398" s="351"/>
      <c r="D398" s="594"/>
      <c r="E398" s="350"/>
      <c r="F398" s="350"/>
      <c r="G398" s="350"/>
      <c r="H398" s="351"/>
      <c r="I398" s="368"/>
      <c r="J398" s="350"/>
      <c r="K398" s="350"/>
      <c r="L398" s="350"/>
      <c r="M398" s="350"/>
      <c r="N398" s="350"/>
      <c r="O398" s="350"/>
      <c r="P398" s="351"/>
      <c r="Q398" s="511"/>
      <c r="R398" s="350"/>
      <c r="S398" s="350"/>
      <c r="T398" s="350"/>
      <c r="U398" s="350"/>
      <c r="V398" s="350"/>
      <c r="W398" s="350"/>
      <c r="X398" s="351"/>
      <c r="Y398" s="368"/>
      <c r="Z398" s="351"/>
      <c r="AA398" s="511"/>
      <c r="AB398" s="350"/>
      <c r="AC398" s="350"/>
      <c r="AD398" s="351"/>
      <c r="AE398" s="368"/>
      <c r="AF398" s="350"/>
      <c r="AG398" s="351"/>
      <c r="AH398" s="511"/>
      <c r="AI398" s="350"/>
      <c r="AJ398" s="351"/>
      <c r="AK398" s="368"/>
      <c r="AL398" s="350"/>
      <c r="AM398" s="350"/>
      <c r="AN398" s="351"/>
      <c r="AO398" s="511"/>
      <c r="AP398" s="350"/>
      <c r="AQ398" s="350"/>
      <c r="AR398" s="350"/>
      <c r="AS398" s="350"/>
      <c r="AT398" s="350"/>
      <c r="AU398" s="350"/>
      <c r="AV398" s="351"/>
      <c r="AW398" s="725"/>
      <c r="AX398" s="350"/>
      <c r="AY398" s="351"/>
      <c r="AZ398" s="511"/>
      <c r="BA398" s="350"/>
      <c r="BB398" s="350"/>
      <c r="BC398" s="350"/>
      <c r="BD398" s="350"/>
      <c r="BE398" s="350"/>
      <c r="BF398" s="350"/>
      <c r="BG398" s="350"/>
      <c r="BH398" s="350"/>
      <c r="BI398" s="350"/>
      <c r="BJ398" s="350"/>
      <c r="BK398" s="350"/>
      <c r="BL398" s="350"/>
      <c r="BM398" s="350"/>
      <c r="BN398" s="350"/>
      <c r="BO398" s="351"/>
    </row>
    <row r="399" spans="1:67" ht="34.5" customHeight="1">
      <c r="A399" s="98">
        <f t="shared" si="1"/>
        <v>387</v>
      </c>
      <c r="B399" s="416" t="s">
        <v>325</v>
      </c>
      <c r="C399" s="351"/>
      <c r="D399" s="724"/>
      <c r="E399" s="350"/>
      <c r="F399" s="350"/>
      <c r="G399" s="350"/>
      <c r="H399" s="351"/>
      <c r="I399" s="412"/>
      <c r="J399" s="350"/>
      <c r="K399" s="350"/>
      <c r="L399" s="350"/>
      <c r="M399" s="350"/>
      <c r="N399" s="350"/>
      <c r="O399" s="350"/>
      <c r="P399" s="351"/>
      <c r="Q399" s="412"/>
      <c r="R399" s="350"/>
      <c r="S399" s="350"/>
      <c r="T399" s="350"/>
      <c r="U399" s="350"/>
      <c r="V399" s="350"/>
      <c r="W399" s="350"/>
      <c r="X399" s="351"/>
      <c r="Y399" s="412"/>
      <c r="Z399" s="351"/>
      <c r="AA399" s="412"/>
      <c r="AB399" s="350"/>
      <c r="AC399" s="350"/>
      <c r="AD399" s="351"/>
      <c r="AE399" s="412"/>
      <c r="AF399" s="350"/>
      <c r="AG399" s="351"/>
      <c r="AH399" s="412"/>
      <c r="AI399" s="350"/>
      <c r="AJ399" s="351"/>
      <c r="AK399" s="412"/>
      <c r="AL399" s="350"/>
      <c r="AM399" s="350"/>
      <c r="AN399" s="351"/>
      <c r="AO399" s="412"/>
      <c r="AP399" s="350"/>
      <c r="AQ399" s="350"/>
      <c r="AR399" s="350"/>
      <c r="AS399" s="350"/>
      <c r="AT399" s="350"/>
      <c r="AU399" s="350"/>
      <c r="AV399" s="351"/>
      <c r="AW399" s="723"/>
      <c r="AX399" s="350"/>
      <c r="AY399" s="351"/>
      <c r="AZ399" s="412"/>
      <c r="BA399" s="350"/>
      <c r="BB399" s="350"/>
      <c r="BC399" s="350"/>
      <c r="BD399" s="350"/>
      <c r="BE399" s="350"/>
      <c r="BF399" s="350"/>
      <c r="BG399" s="350"/>
      <c r="BH399" s="350"/>
      <c r="BI399" s="350"/>
      <c r="BJ399" s="350"/>
      <c r="BK399" s="350"/>
      <c r="BL399" s="350"/>
      <c r="BM399" s="350"/>
      <c r="BN399" s="350"/>
      <c r="BO399" s="351"/>
    </row>
    <row r="400" spans="1:67" ht="34.5" customHeight="1">
      <c r="A400" s="98">
        <f t="shared" si="1"/>
        <v>388</v>
      </c>
      <c r="B400" s="416" t="s">
        <v>325</v>
      </c>
      <c r="C400" s="351"/>
      <c r="D400" s="594"/>
      <c r="E400" s="350"/>
      <c r="F400" s="350"/>
      <c r="G400" s="350"/>
      <c r="H400" s="351"/>
      <c r="I400" s="368"/>
      <c r="J400" s="350"/>
      <c r="K400" s="350"/>
      <c r="L400" s="350"/>
      <c r="M400" s="350"/>
      <c r="N400" s="350"/>
      <c r="O400" s="350"/>
      <c r="P400" s="351"/>
      <c r="Q400" s="511"/>
      <c r="R400" s="350"/>
      <c r="S400" s="350"/>
      <c r="T400" s="350"/>
      <c r="U400" s="350"/>
      <c r="V400" s="350"/>
      <c r="W400" s="350"/>
      <c r="X400" s="351"/>
      <c r="Y400" s="368"/>
      <c r="Z400" s="351"/>
      <c r="AA400" s="511"/>
      <c r="AB400" s="350"/>
      <c r="AC400" s="350"/>
      <c r="AD400" s="351"/>
      <c r="AE400" s="368"/>
      <c r="AF400" s="350"/>
      <c r="AG400" s="351"/>
      <c r="AH400" s="511"/>
      <c r="AI400" s="350"/>
      <c r="AJ400" s="351"/>
      <c r="AK400" s="368"/>
      <c r="AL400" s="350"/>
      <c r="AM400" s="350"/>
      <c r="AN400" s="351"/>
      <c r="AO400" s="511"/>
      <c r="AP400" s="350"/>
      <c r="AQ400" s="350"/>
      <c r="AR400" s="350"/>
      <c r="AS400" s="350"/>
      <c r="AT400" s="350"/>
      <c r="AU400" s="350"/>
      <c r="AV400" s="351"/>
      <c r="AW400" s="725"/>
      <c r="AX400" s="350"/>
      <c r="AY400" s="351"/>
      <c r="AZ400" s="511"/>
      <c r="BA400" s="350"/>
      <c r="BB400" s="350"/>
      <c r="BC400" s="350"/>
      <c r="BD400" s="350"/>
      <c r="BE400" s="350"/>
      <c r="BF400" s="350"/>
      <c r="BG400" s="350"/>
      <c r="BH400" s="350"/>
      <c r="BI400" s="350"/>
      <c r="BJ400" s="350"/>
      <c r="BK400" s="350"/>
      <c r="BL400" s="350"/>
      <c r="BM400" s="350"/>
      <c r="BN400" s="350"/>
      <c r="BO400" s="351"/>
    </row>
    <row r="401" spans="1:67" ht="34.5" customHeight="1">
      <c r="A401" s="98">
        <f t="shared" si="1"/>
        <v>389</v>
      </c>
      <c r="B401" s="416" t="s">
        <v>325</v>
      </c>
      <c r="C401" s="351"/>
      <c r="D401" s="724"/>
      <c r="E401" s="350"/>
      <c r="F401" s="350"/>
      <c r="G401" s="350"/>
      <c r="H401" s="351"/>
      <c r="I401" s="412"/>
      <c r="J401" s="350"/>
      <c r="K401" s="350"/>
      <c r="L401" s="350"/>
      <c r="M401" s="350"/>
      <c r="N401" s="350"/>
      <c r="O401" s="350"/>
      <c r="P401" s="351"/>
      <c r="Q401" s="412"/>
      <c r="R401" s="350"/>
      <c r="S401" s="350"/>
      <c r="T401" s="350"/>
      <c r="U401" s="350"/>
      <c r="V401" s="350"/>
      <c r="W401" s="350"/>
      <c r="X401" s="351"/>
      <c r="Y401" s="412"/>
      <c r="Z401" s="351"/>
      <c r="AA401" s="412"/>
      <c r="AB401" s="350"/>
      <c r="AC401" s="350"/>
      <c r="AD401" s="351"/>
      <c r="AE401" s="412"/>
      <c r="AF401" s="350"/>
      <c r="AG401" s="351"/>
      <c r="AH401" s="412"/>
      <c r="AI401" s="350"/>
      <c r="AJ401" s="351"/>
      <c r="AK401" s="412"/>
      <c r="AL401" s="350"/>
      <c r="AM401" s="350"/>
      <c r="AN401" s="351"/>
      <c r="AO401" s="412"/>
      <c r="AP401" s="350"/>
      <c r="AQ401" s="350"/>
      <c r="AR401" s="350"/>
      <c r="AS401" s="350"/>
      <c r="AT401" s="350"/>
      <c r="AU401" s="350"/>
      <c r="AV401" s="351"/>
      <c r="AW401" s="723"/>
      <c r="AX401" s="350"/>
      <c r="AY401" s="351"/>
      <c r="AZ401" s="412"/>
      <c r="BA401" s="350"/>
      <c r="BB401" s="350"/>
      <c r="BC401" s="350"/>
      <c r="BD401" s="350"/>
      <c r="BE401" s="350"/>
      <c r="BF401" s="350"/>
      <c r="BG401" s="350"/>
      <c r="BH401" s="350"/>
      <c r="BI401" s="350"/>
      <c r="BJ401" s="350"/>
      <c r="BK401" s="350"/>
      <c r="BL401" s="350"/>
      <c r="BM401" s="350"/>
      <c r="BN401" s="350"/>
      <c r="BO401" s="351"/>
    </row>
    <row r="402" spans="1:67" ht="34.5" customHeight="1">
      <c r="A402" s="98">
        <f t="shared" si="1"/>
        <v>390</v>
      </c>
      <c r="B402" s="416" t="s">
        <v>325</v>
      </c>
      <c r="C402" s="351"/>
      <c r="D402" s="594"/>
      <c r="E402" s="350"/>
      <c r="F402" s="350"/>
      <c r="G402" s="350"/>
      <c r="H402" s="351"/>
      <c r="I402" s="368"/>
      <c r="J402" s="350"/>
      <c r="K402" s="350"/>
      <c r="L402" s="350"/>
      <c r="M402" s="350"/>
      <c r="N402" s="350"/>
      <c r="O402" s="350"/>
      <c r="P402" s="351"/>
      <c r="Q402" s="511"/>
      <c r="R402" s="350"/>
      <c r="S402" s="350"/>
      <c r="T402" s="350"/>
      <c r="U402" s="350"/>
      <c r="V402" s="350"/>
      <c r="W402" s="350"/>
      <c r="X402" s="351"/>
      <c r="Y402" s="368"/>
      <c r="Z402" s="351"/>
      <c r="AA402" s="511"/>
      <c r="AB402" s="350"/>
      <c r="AC402" s="350"/>
      <c r="AD402" s="351"/>
      <c r="AE402" s="368"/>
      <c r="AF402" s="350"/>
      <c r="AG402" s="351"/>
      <c r="AH402" s="511"/>
      <c r="AI402" s="350"/>
      <c r="AJ402" s="351"/>
      <c r="AK402" s="368"/>
      <c r="AL402" s="350"/>
      <c r="AM402" s="350"/>
      <c r="AN402" s="351"/>
      <c r="AO402" s="511"/>
      <c r="AP402" s="350"/>
      <c r="AQ402" s="350"/>
      <c r="AR402" s="350"/>
      <c r="AS402" s="350"/>
      <c r="AT402" s="350"/>
      <c r="AU402" s="350"/>
      <c r="AV402" s="351"/>
      <c r="AW402" s="725"/>
      <c r="AX402" s="350"/>
      <c r="AY402" s="351"/>
      <c r="AZ402" s="511"/>
      <c r="BA402" s="350"/>
      <c r="BB402" s="350"/>
      <c r="BC402" s="350"/>
      <c r="BD402" s="350"/>
      <c r="BE402" s="350"/>
      <c r="BF402" s="350"/>
      <c r="BG402" s="350"/>
      <c r="BH402" s="350"/>
      <c r="BI402" s="350"/>
      <c r="BJ402" s="350"/>
      <c r="BK402" s="350"/>
      <c r="BL402" s="350"/>
      <c r="BM402" s="350"/>
      <c r="BN402" s="350"/>
      <c r="BO402" s="351"/>
    </row>
    <row r="403" spans="1:67" ht="34.5" customHeight="1">
      <c r="A403" s="98">
        <f t="shared" si="1"/>
        <v>391</v>
      </c>
      <c r="B403" s="416" t="s">
        <v>325</v>
      </c>
      <c r="C403" s="351"/>
      <c r="D403" s="724"/>
      <c r="E403" s="350"/>
      <c r="F403" s="350"/>
      <c r="G403" s="350"/>
      <c r="H403" s="351"/>
      <c r="I403" s="412"/>
      <c r="J403" s="350"/>
      <c r="K403" s="350"/>
      <c r="L403" s="350"/>
      <c r="M403" s="350"/>
      <c r="N403" s="350"/>
      <c r="O403" s="350"/>
      <c r="P403" s="351"/>
      <c r="Q403" s="412"/>
      <c r="R403" s="350"/>
      <c r="S403" s="350"/>
      <c r="T403" s="350"/>
      <c r="U403" s="350"/>
      <c r="V403" s="350"/>
      <c r="W403" s="350"/>
      <c r="X403" s="351"/>
      <c r="Y403" s="412"/>
      <c r="Z403" s="351"/>
      <c r="AA403" s="412"/>
      <c r="AB403" s="350"/>
      <c r="AC403" s="350"/>
      <c r="AD403" s="351"/>
      <c r="AE403" s="412"/>
      <c r="AF403" s="350"/>
      <c r="AG403" s="351"/>
      <c r="AH403" s="412"/>
      <c r="AI403" s="350"/>
      <c r="AJ403" s="351"/>
      <c r="AK403" s="412"/>
      <c r="AL403" s="350"/>
      <c r="AM403" s="350"/>
      <c r="AN403" s="351"/>
      <c r="AO403" s="412"/>
      <c r="AP403" s="350"/>
      <c r="AQ403" s="350"/>
      <c r="AR403" s="350"/>
      <c r="AS403" s="350"/>
      <c r="AT403" s="350"/>
      <c r="AU403" s="350"/>
      <c r="AV403" s="351"/>
      <c r="AW403" s="723"/>
      <c r="AX403" s="350"/>
      <c r="AY403" s="351"/>
      <c r="AZ403" s="412"/>
      <c r="BA403" s="350"/>
      <c r="BB403" s="350"/>
      <c r="BC403" s="350"/>
      <c r="BD403" s="350"/>
      <c r="BE403" s="350"/>
      <c r="BF403" s="350"/>
      <c r="BG403" s="350"/>
      <c r="BH403" s="350"/>
      <c r="BI403" s="350"/>
      <c r="BJ403" s="350"/>
      <c r="BK403" s="350"/>
      <c r="BL403" s="350"/>
      <c r="BM403" s="350"/>
      <c r="BN403" s="350"/>
      <c r="BO403" s="351"/>
    </row>
    <row r="404" spans="1:67" ht="34.5" customHeight="1">
      <c r="A404" s="98">
        <f t="shared" si="1"/>
        <v>392</v>
      </c>
      <c r="B404" s="416" t="s">
        <v>325</v>
      </c>
      <c r="C404" s="351"/>
      <c r="D404" s="594"/>
      <c r="E404" s="350"/>
      <c r="F404" s="350"/>
      <c r="G404" s="350"/>
      <c r="H404" s="351"/>
      <c r="I404" s="368"/>
      <c r="J404" s="350"/>
      <c r="K404" s="350"/>
      <c r="L404" s="350"/>
      <c r="M404" s="350"/>
      <c r="N404" s="350"/>
      <c r="O404" s="350"/>
      <c r="P404" s="351"/>
      <c r="Q404" s="511"/>
      <c r="R404" s="350"/>
      <c r="S404" s="350"/>
      <c r="T404" s="350"/>
      <c r="U404" s="350"/>
      <c r="V404" s="350"/>
      <c r="W404" s="350"/>
      <c r="X404" s="351"/>
      <c r="Y404" s="368"/>
      <c r="Z404" s="351"/>
      <c r="AA404" s="511"/>
      <c r="AB404" s="350"/>
      <c r="AC404" s="350"/>
      <c r="AD404" s="351"/>
      <c r="AE404" s="368"/>
      <c r="AF404" s="350"/>
      <c r="AG404" s="351"/>
      <c r="AH404" s="511"/>
      <c r="AI404" s="350"/>
      <c r="AJ404" s="351"/>
      <c r="AK404" s="368"/>
      <c r="AL404" s="350"/>
      <c r="AM404" s="350"/>
      <c r="AN404" s="351"/>
      <c r="AO404" s="511"/>
      <c r="AP404" s="350"/>
      <c r="AQ404" s="350"/>
      <c r="AR404" s="350"/>
      <c r="AS404" s="350"/>
      <c r="AT404" s="350"/>
      <c r="AU404" s="350"/>
      <c r="AV404" s="351"/>
      <c r="AW404" s="725"/>
      <c r="AX404" s="350"/>
      <c r="AY404" s="351"/>
      <c r="AZ404" s="511"/>
      <c r="BA404" s="350"/>
      <c r="BB404" s="350"/>
      <c r="BC404" s="350"/>
      <c r="BD404" s="350"/>
      <c r="BE404" s="350"/>
      <c r="BF404" s="350"/>
      <c r="BG404" s="350"/>
      <c r="BH404" s="350"/>
      <c r="BI404" s="350"/>
      <c r="BJ404" s="350"/>
      <c r="BK404" s="350"/>
      <c r="BL404" s="350"/>
      <c r="BM404" s="350"/>
      <c r="BN404" s="350"/>
      <c r="BO404" s="351"/>
    </row>
    <row r="405" spans="1:67" ht="34.5" customHeight="1">
      <c r="A405" s="98">
        <f t="shared" si="1"/>
        <v>393</v>
      </c>
      <c r="B405" s="416" t="s">
        <v>325</v>
      </c>
      <c r="C405" s="351"/>
      <c r="D405" s="724"/>
      <c r="E405" s="350"/>
      <c r="F405" s="350"/>
      <c r="G405" s="350"/>
      <c r="H405" s="351"/>
      <c r="I405" s="412"/>
      <c r="J405" s="350"/>
      <c r="K405" s="350"/>
      <c r="L405" s="350"/>
      <c r="M405" s="350"/>
      <c r="N405" s="350"/>
      <c r="O405" s="350"/>
      <c r="P405" s="351"/>
      <c r="Q405" s="412"/>
      <c r="R405" s="350"/>
      <c r="S405" s="350"/>
      <c r="T405" s="350"/>
      <c r="U405" s="350"/>
      <c r="V405" s="350"/>
      <c r="W405" s="350"/>
      <c r="X405" s="351"/>
      <c r="Y405" s="412"/>
      <c r="Z405" s="351"/>
      <c r="AA405" s="412"/>
      <c r="AB405" s="350"/>
      <c r="AC405" s="350"/>
      <c r="AD405" s="351"/>
      <c r="AE405" s="412"/>
      <c r="AF405" s="350"/>
      <c r="AG405" s="351"/>
      <c r="AH405" s="412"/>
      <c r="AI405" s="350"/>
      <c r="AJ405" s="351"/>
      <c r="AK405" s="412"/>
      <c r="AL405" s="350"/>
      <c r="AM405" s="350"/>
      <c r="AN405" s="351"/>
      <c r="AO405" s="412"/>
      <c r="AP405" s="350"/>
      <c r="AQ405" s="350"/>
      <c r="AR405" s="350"/>
      <c r="AS405" s="350"/>
      <c r="AT405" s="350"/>
      <c r="AU405" s="350"/>
      <c r="AV405" s="351"/>
      <c r="AW405" s="723"/>
      <c r="AX405" s="350"/>
      <c r="AY405" s="351"/>
      <c r="AZ405" s="412"/>
      <c r="BA405" s="350"/>
      <c r="BB405" s="350"/>
      <c r="BC405" s="350"/>
      <c r="BD405" s="350"/>
      <c r="BE405" s="350"/>
      <c r="BF405" s="350"/>
      <c r="BG405" s="350"/>
      <c r="BH405" s="350"/>
      <c r="BI405" s="350"/>
      <c r="BJ405" s="350"/>
      <c r="BK405" s="350"/>
      <c r="BL405" s="350"/>
      <c r="BM405" s="350"/>
      <c r="BN405" s="350"/>
      <c r="BO405" s="351"/>
    </row>
    <row r="406" spans="1:67" ht="34.5" customHeight="1">
      <c r="A406" s="98">
        <f t="shared" si="1"/>
        <v>394</v>
      </c>
      <c r="B406" s="416" t="s">
        <v>325</v>
      </c>
      <c r="C406" s="351"/>
      <c r="D406" s="594"/>
      <c r="E406" s="350"/>
      <c r="F406" s="350"/>
      <c r="G406" s="350"/>
      <c r="H406" s="351"/>
      <c r="I406" s="368"/>
      <c r="J406" s="350"/>
      <c r="K406" s="350"/>
      <c r="L406" s="350"/>
      <c r="M406" s="350"/>
      <c r="N406" s="350"/>
      <c r="O406" s="350"/>
      <c r="P406" s="351"/>
      <c r="Q406" s="511"/>
      <c r="R406" s="350"/>
      <c r="S406" s="350"/>
      <c r="T406" s="350"/>
      <c r="U406" s="350"/>
      <c r="V406" s="350"/>
      <c r="W406" s="350"/>
      <c r="X406" s="351"/>
      <c r="Y406" s="368"/>
      <c r="Z406" s="351"/>
      <c r="AA406" s="511"/>
      <c r="AB406" s="350"/>
      <c r="AC406" s="350"/>
      <c r="AD406" s="351"/>
      <c r="AE406" s="368"/>
      <c r="AF406" s="350"/>
      <c r="AG406" s="351"/>
      <c r="AH406" s="511"/>
      <c r="AI406" s="350"/>
      <c r="AJ406" s="351"/>
      <c r="AK406" s="368"/>
      <c r="AL406" s="350"/>
      <c r="AM406" s="350"/>
      <c r="AN406" s="351"/>
      <c r="AO406" s="511"/>
      <c r="AP406" s="350"/>
      <c r="AQ406" s="350"/>
      <c r="AR406" s="350"/>
      <c r="AS406" s="350"/>
      <c r="AT406" s="350"/>
      <c r="AU406" s="350"/>
      <c r="AV406" s="351"/>
      <c r="AW406" s="725"/>
      <c r="AX406" s="350"/>
      <c r="AY406" s="351"/>
      <c r="AZ406" s="511"/>
      <c r="BA406" s="350"/>
      <c r="BB406" s="350"/>
      <c r="BC406" s="350"/>
      <c r="BD406" s="350"/>
      <c r="BE406" s="350"/>
      <c r="BF406" s="350"/>
      <c r="BG406" s="350"/>
      <c r="BH406" s="350"/>
      <c r="BI406" s="350"/>
      <c r="BJ406" s="350"/>
      <c r="BK406" s="350"/>
      <c r="BL406" s="350"/>
      <c r="BM406" s="350"/>
      <c r="BN406" s="350"/>
      <c r="BO406" s="351"/>
    </row>
    <row r="407" spans="1:67" ht="34.5" customHeight="1">
      <c r="A407" s="98">
        <f t="shared" si="1"/>
        <v>395</v>
      </c>
      <c r="B407" s="416" t="s">
        <v>325</v>
      </c>
      <c r="C407" s="351"/>
      <c r="D407" s="724"/>
      <c r="E407" s="350"/>
      <c r="F407" s="350"/>
      <c r="G407" s="350"/>
      <c r="H407" s="351"/>
      <c r="I407" s="412"/>
      <c r="J407" s="350"/>
      <c r="K407" s="350"/>
      <c r="L407" s="350"/>
      <c r="M407" s="350"/>
      <c r="N407" s="350"/>
      <c r="O407" s="350"/>
      <c r="P407" s="351"/>
      <c r="Q407" s="412"/>
      <c r="R407" s="350"/>
      <c r="S407" s="350"/>
      <c r="T407" s="350"/>
      <c r="U407" s="350"/>
      <c r="V407" s="350"/>
      <c r="W407" s="350"/>
      <c r="X407" s="351"/>
      <c r="Y407" s="412"/>
      <c r="Z407" s="351"/>
      <c r="AA407" s="412"/>
      <c r="AB407" s="350"/>
      <c r="AC407" s="350"/>
      <c r="AD407" s="351"/>
      <c r="AE407" s="412"/>
      <c r="AF407" s="350"/>
      <c r="AG407" s="351"/>
      <c r="AH407" s="412"/>
      <c r="AI407" s="350"/>
      <c r="AJ407" s="351"/>
      <c r="AK407" s="412"/>
      <c r="AL407" s="350"/>
      <c r="AM407" s="350"/>
      <c r="AN407" s="351"/>
      <c r="AO407" s="412"/>
      <c r="AP407" s="350"/>
      <c r="AQ407" s="350"/>
      <c r="AR407" s="350"/>
      <c r="AS407" s="350"/>
      <c r="AT407" s="350"/>
      <c r="AU407" s="350"/>
      <c r="AV407" s="351"/>
      <c r="AW407" s="723"/>
      <c r="AX407" s="350"/>
      <c r="AY407" s="351"/>
      <c r="AZ407" s="412"/>
      <c r="BA407" s="350"/>
      <c r="BB407" s="350"/>
      <c r="BC407" s="350"/>
      <c r="BD407" s="350"/>
      <c r="BE407" s="350"/>
      <c r="BF407" s="350"/>
      <c r="BG407" s="350"/>
      <c r="BH407" s="350"/>
      <c r="BI407" s="350"/>
      <c r="BJ407" s="350"/>
      <c r="BK407" s="350"/>
      <c r="BL407" s="350"/>
      <c r="BM407" s="350"/>
      <c r="BN407" s="350"/>
      <c r="BO407" s="351"/>
    </row>
    <row r="408" spans="1:67" ht="34.5" customHeight="1">
      <c r="A408" s="98">
        <f t="shared" si="1"/>
        <v>396</v>
      </c>
      <c r="B408" s="416" t="s">
        <v>325</v>
      </c>
      <c r="C408" s="351"/>
      <c r="D408" s="594"/>
      <c r="E408" s="350"/>
      <c r="F408" s="350"/>
      <c r="G408" s="350"/>
      <c r="H408" s="351"/>
      <c r="I408" s="368"/>
      <c r="J408" s="350"/>
      <c r="K408" s="350"/>
      <c r="L408" s="350"/>
      <c r="M408" s="350"/>
      <c r="N408" s="350"/>
      <c r="O408" s="350"/>
      <c r="P408" s="351"/>
      <c r="Q408" s="511"/>
      <c r="R408" s="350"/>
      <c r="S408" s="350"/>
      <c r="T408" s="350"/>
      <c r="U408" s="350"/>
      <c r="V408" s="350"/>
      <c r="W408" s="350"/>
      <c r="X408" s="351"/>
      <c r="Y408" s="368"/>
      <c r="Z408" s="351"/>
      <c r="AA408" s="511"/>
      <c r="AB408" s="350"/>
      <c r="AC408" s="350"/>
      <c r="AD408" s="351"/>
      <c r="AE408" s="368"/>
      <c r="AF408" s="350"/>
      <c r="AG408" s="351"/>
      <c r="AH408" s="511"/>
      <c r="AI408" s="350"/>
      <c r="AJ408" s="351"/>
      <c r="AK408" s="368"/>
      <c r="AL408" s="350"/>
      <c r="AM408" s="350"/>
      <c r="AN408" s="351"/>
      <c r="AO408" s="511"/>
      <c r="AP408" s="350"/>
      <c r="AQ408" s="350"/>
      <c r="AR408" s="350"/>
      <c r="AS408" s="350"/>
      <c r="AT408" s="350"/>
      <c r="AU408" s="350"/>
      <c r="AV408" s="351"/>
      <c r="AW408" s="725"/>
      <c r="AX408" s="350"/>
      <c r="AY408" s="351"/>
      <c r="AZ408" s="511"/>
      <c r="BA408" s="350"/>
      <c r="BB408" s="350"/>
      <c r="BC408" s="350"/>
      <c r="BD408" s="350"/>
      <c r="BE408" s="350"/>
      <c r="BF408" s="350"/>
      <c r="BG408" s="350"/>
      <c r="BH408" s="350"/>
      <c r="BI408" s="350"/>
      <c r="BJ408" s="350"/>
      <c r="BK408" s="350"/>
      <c r="BL408" s="350"/>
      <c r="BM408" s="350"/>
      <c r="BN408" s="350"/>
      <c r="BO408" s="351"/>
    </row>
    <row r="409" spans="1:67" ht="34.5" customHeight="1">
      <c r="A409" s="98">
        <f t="shared" si="1"/>
        <v>397</v>
      </c>
      <c r="B409" s="416" t="s">
        <v>325</v>
      </c>
      <c r="C409" s="351"/>
      <c r="D409" s="724"/>
      <c r="E409" s="350"/>
      <c r="F409" s="350"/>
      <c r="G409" s="350"/>
      <c r="H409" s="351"/>
      <c r="I409" s="412"/>
      <c r="J409" s="350"/>
      <c r="K409" s="350"/>
      <c r="L409" s="350"/>
      <c r="M409" s="350"/>
      <c r="N409" s="350"/>
      <c r="O409" s="350"/>
      <c r="P409" s="351"/>
      <c r="Q409" s="412"/>
      <c r="R409" s="350"/>
      <c r="S409" s="350"/>
      <c r="T409" s="350"/>
      <c r="U409" s="350"/>
      <c r="V409" s="350"/>
      <c r="W409" s="350"/>
      <c r="X409" s="351"/>
      <c r="Y409" s="412"/>
      <c r="Z409" s="351"/>
      <c r="AA409" s="412"/>
      <c r="AB409" s="350"/>
      <c r="AC409" s="350"/>
      <c r="AD409" s="351"/>
      <c r="AE409" s="412"/>
      <c r="AF409" s="350"/>
      <c r="AG409" s="351"/>
      <c r="AH409" s="412"/>
      <c r="AI409" s="350"/>
      <c r="AJ409" s="351"/>
      <c r="AK409" s="412"/>
      <c r="AL409" s="350"/>
      <c r="AM409" s="350"/>
      <c r="AN409" s="351"/>
      <c r="AO409" s="412"/>
      <c r="AP409" s="350"/>
      <c r="AQ409" s="350"/>
      <c r="AR409" s="350"/>
      <c r="AS409" s="350"/>
      <c r="AT409" s="350"/>
      <c r="AU409" s="350"/>
      <c r="AV409" s="351"/>
      <c r="AW409" s="723"/>
      <c r="AX409" s="350"/>
      <c r="AY409" s="351"/>
      <c r="AZ409" s="412"/>
      <c r="BA409" s="350"/>
      <c r="BB409" s="350"/>
      <c r="BC409" s="350"/>
      <c r="BD409" s="350"/>
      <c r="BE409" s="350"/>
      <c r="BF409" s="350"/>
      <c r="BG409" s="350"/>
      <c r="BH409" s="350"/>
      <c r="BI409" s="350"/>
      <c r="BJ409" s="350"/>
      <c r="BK409" s="350"/>
      <c r="BL409" s="350"/>
      <c r="BM409" s="350"/>
      <c r="BN409" s="350"/>
      <c r="BO409" s="351"/>
    </row>
    <row r="410" spans="1:67" ht="34.5" customHeight="1">
      <c r="A410" s="98">
        <f t="shared" si="1"/>
        <v>398</v>
      </c>
      <c r="B410" s="726" t="s">
        <v>325</v>
      </c>
      <c r="C410" s="351"/>
      <c r="D410" s="594"/>
      <c r="E410" s="350"/>
      <c r="F410" s="350"/>
      <c r="G410" s="350"/>
      <c r="H410" s="351"/>
      <c r="I410" s="368"/>
      <c r="J410" s="350"/>
      <c r="K410" s="350"/>
      <c r="L410" s="350"/>
      <c r="M410" s="350"/>
      <c r="N410" s="350"/>
      <c r="O410" s="350"/>
      <c r="P410" s="351"/>
      <c r="Q410" s="511"/>
      <c r="R410" s="350"/>
      <c r="S410" s="350"/>
      <c r="T410" s="350"/>
      <c r="U410" s="350"/>
      <c r="V410" s="350"/>
      <c r="W410" s="350"/>
      <c r="X410" s="351"/>
      <c r="Y410" s="368"/>
      <c r="Z410" s="351"/>
      <c r="AA410" s="511"/>
      <c r="AB410" s="350"/>
      <c r="AC410" s="350"/>
      <c r="AD410" s="351"/>
      <c r="AE410" s="368"/>
      <c r="AF410" s="350"/>
      <c r="AG410" s="351"/>
      <c r="AH410" s="511"/>
      <c r="AI410" s="350"/>
      <c r="AJ410" s="351"/>
      <c r="AK410" s="368"/>
      <c r="AL410" s="350"/>
      <c r="AM410" s="350"/>
      <c r="AN410" s="351"/>
      <c r="AO410" s="511"/>
      <c r="AP410" s="350"/>
      <c r="AQ410" s="350"/>
      <c r="AR410" s="350"/>
      <c r="AS410" s="350"/>
      <c r="AT410" s="350"/>
      <c r="AU410" s="350"/>
      <c r="AV410" s="351"/>
      <c r="AW410" s="725"/>
      <c r="AX410" s="350"/>
      <c r="AY410" s="351"/>
      <c r="AZ410" s="511"/>
      <c r="BA410" s="350"/>
      <c r="BB410" s="350"/>
      <c r="BC410" s="350"/>
      <c r="BD410" s="350"/>
      <c r="BE410" s="350"/>
      <c r="BF410" s="350"/>
      <c r="BG410" s="350"/>
      <c r="BH410" s="350"/>
      <c r="BI410" s="350"/>
      <c r="BJ410" s="350"/>
      <c r="BK410" s="350"/>
      <c r="BL410" s="350"/>
      <c r="BM410" s="350"/>
      <c r="BN410" s="350"/>
      <c r="BO410" s="351"/>
    </row>
    <row r="411" spans="1:67" ht="34.5" customHeight="1">
      <c r="A411" s="98">
        <f t="shared" si="1"/>
        <v>399</v>
      </c>
      <c r="B411" s="416" t="s">
        <v>325</v>
      </c>
      <c r="C411" s="351"/>
      <c r="D411" s="724"/>
      <c r="E411" s="350"/>
      <c r="F411" s="350"/>
      <c r="G411" s="350"/>
      <c r="H411" s="351"/>
      <c r="I411" s="412"/>
      <c r="J411" s="350"/>
      <c r="K411" s="350"/>
      <c r="L411" s="350"/>
      <c r="M411" s="350"/>
      <c r="N411" s="350"/>
      <c r="O411" s="350"/>
      <c r="P411" s="351"/>
      <c r="Q411" s="412"/>
      <c r="R411" s="350"/>
      <c r="S411" s="350"/>
      <c r="T411" s="350"/>
      <c r="U411" s="350"/>
      <c r="V411" s="350"/>
      <c r="W411" s="350"/>
      <c r="X411" s="351"/>
      <c r="Y411" s="412"/>
      <c r="Z411" s="351"/>
      <c r="AA411" s="412"/>
      <c r="AB411" s="350"/>
      <c r="AC411" s="350"/>
      <c r="AD411" s="351"/>
      <c r="AE411" s="412"/>
      <c r="AF411" s="350"/>
      <c r="AG411" s="351"/>
      <c r="AH411" s="412"/>
      <c r="AI411" s="350"/>
      <c r="AJ411" s="351"/>
      <c r="AK411" s="412"/>
      <c r="AL411" s="350"/>
      <c r="AM411" s="350"/>
      <c r="AN411" s="351"/>
      <c r="AO411" s="412"/>
      <c r="AP411" s="350"/>
      <c r="AQ411" s="350"/>
      <c r="AR411" s="350"/>
      <c r="AS411" s="350"/>
      <c r="AT411" s="350"/>
      <c r="AU411" s="350"/>
      <c r="AV411" s="351"/>
      <c r="AW411" s="723"/>
      <c r="AX411" s="350"/>
      <c r="AY411" s="351"/>
      <c r="AZ411" s="412"/>
      <c r="BA411" s="350"/>
      <c r="BB411" s="350"/>
      <c r="BC411" s="350"/>
      <c r="BD411" s="350"/>
      <c r="BE411" s="350"/>
      <c r="BF411" s="350"/>
      <c r="BG411" s="350"/>
      <c r="BH411" s="350"/>
      <c r="BI411" s="350"/>
      <c r="BJ411" s="350"/>
      <c r="BK411" s="350"/>
      <c r="BL411" s="350"/>
      <c r="BM411" s="350"/>
      <c r="BN411" s="350"/>
      <c r="BO411" s="351"/>
    </row>
    <row r="412" spans="1:67" ht="34.5" customHeight="1">
      <c r="A412" s="98">
        <f t="shared" si="1"/>
        <v>400</v>
      </c>
      <c r="B412" s="416" t="s">
        <v>325</v>
      </c>
      <c r="C412" s="351"/>
      <c r="D412" s="594"/>
      <c r="E412" s="350"/>
      <c r="F412" s="350"/>
      <c r="G412" s="350"/>
      <c r="H412" s="351"/>
      <c r="I412" s="368"/>
      <c r="J412" s="350"/>
      <c r="K412" s="350"/>
      <c r="L412" s="350"/>
      <c r="M412" s="350"/>
      <c r="N412" s="350"/>
      <c r="O412" s="350"/>
      <c r="P412" s="351"/>
      <c r="Q412" s="511"/>
      <c r="R412" s="350"/>
      <c r="S412" s="350"/>
      <c r="T412" s="350"/>
      <c r="U412" s="350"/>
      <c r="V412" s="350"/>
      <c r="W412" s="350"/>
      <c r="X412" s="351"/>
      <c r="Y412" s="368"/>
      <c r="Z412" s="351"/>
      <c r="AA412" s="511"/>
      <c r="AB412" s="350"/>
      <c r="AC412" s="350"/>
      <c r="AD412" s="351"/>
      <c r="AE412" s="368"/>
      <c r="AF412" s="350"/>
      <c r="AG412" s="351"/>
      <c r="AH412" s="511"/>
      <c r="AI412" s="350"/>
      <c r="AJ412" s="351"/>
      <c r="AK412" s="368"/>
      <c r="AL412" s="350"/>
      <c r="AM412" s="350"/>
      <c r="AN412" s="351"/>
      <c r="AO412" s="511"/>
      <c r="AP412" s="350"/>
      <c r="AQ412" s="350"/>
      <c r="AR412" s="350"/>
      <c r="AS412" s="350"/>
      <c r="AT412" s="350"/>
      <c r="AU412" s="350"/>
      <c r="AV412" s="351"/>
      <c r="AW412" s="725"/>
      <c r="AX412" s="350"/>
      <c r="AY412" s="351"/>
      <c r="AZ412" s="511"/>
      <c r="BA412" s="350"/>
      <c r="BB412" s="350"/>
      <c r="BC412" s="350"/>
      <c r="BD412" s="350"/>
      <c r="BE412" s="350"/>
      <c r="BF412" s="350"/>
      <c r="BG412" s="350"/>
      <c r="BH412" s="350"/>
      <c r="BI412" s="350"/>
      <c r="BJ412" s="350"/>
      <c r="BK412" s="350"/>
      <c r="BL412" s="350"/>
      <c r="BM412" s="350"/>
      <c r="BN412" s="350"/>
      <c r="BO412" s="351"/>
    </row>
    <row r="413" spans="1:67" ht="34.5" customHeight="1">
      <c r="A413" s="98">
        <f t="shared" si="1"/>
        <v>401</v>
      </c>
      <c r="B413" s="416" t="s">
        <v>325</v>
      </c>
      <c r="C413" s="351"/>
      <c r="D413" s="724"/>
      <c r="E413" s="350"/>
      <c r="F413" s="350"/>
      <c r="G413" s="350"/>
      <c r="H413" s="351"/>
      <c r="I413" s="412"/>
      <c r="J413" s="350"/>
      <c r="K413" s="350"/>
      <c r="L413" s="350"/>
      <c r="M413" s="350"/>
      <c r="N413" s="350"/>
      <c r="O413" s="350"/>
      <c r="P413" s="351"/>
      <c r="Q413" s="412"/>
      <c r="R413" s="350"/>
      <c r="S413" s="350"/>
      <c r="T413" s="350"/>
      <c r="U413" s="350"/>
      <c r="V413" s="350"/>
      <c r="W413" s="350"/>
      <c r="X413" s="351"/>
      <c r="Y413" s="412"/>
      <c r="Z413" s="351"/>
      <c r="AA413" s="412"/>
      <c r="AB413" s="350"/>
      <c r="AC413" s="350"/>
      <c r="AD413" s="351"/>
      <c r="AE413" s="412"/>
      <c r="AF413" s="350"/>
      <c r="AG413" s="351"/>
      <c r="AH413" s="412"/>
      <c r="AI413" s="350"/>
      <c r="AJ413" s="351"/>
      <c r="AK413" s="412"/>
      <c r="AL413" s="350"/>
      <c r="AM413" s="350"/>
      <c r="AN413" s="351"/>
      <c r="AO413" s="412"/>
      <c r="AP413" s="350"/>
      <c r="AQ413" s="350"/>
      <c r="AR413" s="350"/>
      <c r="AS413" s="350"/>
      <c r="AT413" s="350"/>
      <c r="AU413" s="350"/>
      <c r="AV413" s="351"/>
      <c r="AW413" s="723"/>
      <c r="AX413" s="350"/>
      <c r="AY413" s="351"/>
      <c r="AZ413" s="412"/>
      <c r="BA413" s="350"/>
      <c r="BB413" s="350"/>
      <c r="BC413" s="350"/>
      <c r="BD413" s="350"/>
      <c r="BE413" s="350"/>
      <c r="BF413" s="350"/>
      <c r="BG413" s="350"/>
      <c r="BH413" s="350"/>
      <c r="BI413" s="350"/>
      <c r="BJ413" s="350"/>
      <c r="BK413" s="350"/>
      <c r="BL413" s="350"/>
      <c r="BM413" s="350"/>
      <c r="BN413" s="350"/>
      <c r="BO413" s="351"/>
    </row>
    <row r="414" spans="1:67" ht="34.5" customHeight="1">
      <c r="A414" s="98">
        <f t="shared" si="1"/>
        <v>402</v>
      </c>
      <c r="B414" s="416" t="s">
        <v>325</v>
      </c>
      <c r="C414" s="351"/>
      <c r="D414" s="594"/>
      <c r="E414" s="350"/>
      <c r="F414" s="350"/>
      <c r="G414" s="350"/>
      <c r="H414" s="351"/>
      <c r="I414" s="368"/>
      <c r="J414" s="350"/>
      <c r="K414" s="350"/>
      <c r="L414" s="350"/>
      <c r="M414" s="350"/>
      <c r="N414" s="350"/>
      <c r="O414" s="350"/>
      <c r="P414" s="351"/>
      <c r="Q414" s="511"/>
      <c r="R414" s="350"/>
      <c r="S414" s="350"/>
      <c r="T414" s="350"/>
      <c r="U414" s="350"/>
      <c r="V414" s="350"/>
      <c r="W414" s="350"/>
      <c r="X414" s="351"/>
      <c r="Y414" s="368"/>
      <c r="Z414" s="351"/>
      <c r="AA414" s="511"/>
      <c r="AB414" s="350"/>
      <c r="AC414" s="350"/>
      <c r="AD414" s="351"/>
      <c r="AE414" s="368"/>
      <c r="AF414" s="350"/>
      <c r="AG414" s="351"/>
      <c r="AH414" s="511"/>
      <c r="AI414" s="350"/>
      <c r="AJ414" s="351"/>
      <c r="AK414" s="368"/>
      <c r="AL414" s="350"/>
      <c r="AM414" s="350"/>
      <c r="AN414" s="351"/>
      <c r="AO414" s="511"/>
      <c r="AP414" s="350"/>
      <c r="AQ414" s="350"/>
      <c r="AR414" s="350"/>
      <c r="AS414" s="350"/>
      <c r="AT414" s="350"/>
      <c r="AU414" s="350"/>
      <c r="AV414" s="351"/>
      <c r="AW414" s="725"/>
      <c r="AX414" s="350"/>
      <c r="AY414" s="351"/>
      <c r="AZ414" s="511"/>
      <c r="BA414" s="350"/>
      <c r="BB414" s="350"/>
      <c r="BC414" s="350"/>
      <c r="BD414" s="350"/>
      <c r="BE414" s="350"/>
      <c r="BF414" s="350"/>
      <c r="BG414" s="350"/>
      <c r="BH414" s="350"/>
      <c r="BI414" s="350"/>
      <c r="BJ414" s="350"/>
      <c r="BK414" s="350"/>
      <c r="BL414" s="350"/>
      <c r="BM414" s="350"/>
      <c r="BN414" s="350"/>
      <c r="BO414" s="351"/>
    </row>
    <row r="415" spans="1:67" ht="34.5" customHeight="1">
      <c r="A415" s="98">
        <f t="shared" si="1"/>
        <v>403</v>
      </c>
      <c r="B415" s="416" t="s">
        <v>325</v>
      </c>
      <c r="C415" s="351"/>
      <c r="D415" s="724"/>
      <c r="E415" s="350"/>
      <c r="F415" s="350"/>
      <c r="G415" s="350"/>
      <c r="H415" s="351"/>
      <c r="I415" s="412"/>
      <c r="J415" s="350"/>
      <c r="K415" s="350"/>
      <c r="L415" s="350"/>
      <c r="M415" s="350"/>
      <c r="N415" s="350"/>
      <c r="O415" s="350"/>
      <c r="P415" s="351"/>
      <c r="Q415" s="412"/>
      <c r="R415" s="350"/>
      <c r="S415" s="350"/>
      <c r="T415" s="350"/>
      <c r="U415" s="350"/>
      <c r="V415" s="350"/>
      <c r="W415" s="350"/>
      <c r="X415" s="351"/>
      <c r="Y415" s="412"/>
      <c r="Z415" s="351"/>
      <c r="AA415" s="412"/>
      <c r="AB415" s="350"/>
      <c r="AC415" s="350"/>
      <c r="AD415" s="351"/>
      <c r="AE415" s="412"/>
      <c r="AF415" s="350"/>
      <c r="AG415" s="351"/>
      <c r="AH415" s="412"/>
      <c r="AI415" s="350"/>
      <c r="AJ415" s="351"/>
      <c r="AK415" s="412"/>
      <c r="AL415" s="350"/>
      <c r="AM415" s="350"/>
      <c r="AN415" s="351"/>
      <c r="AO415" s="412"/>
      <c r="AP415" s="350"/>
      <c r="AQ415" s="350"/>
      <c r="AR415" s="350"/>
      <c r="AS415" s="350"/>
      <c r="AT415" s="350"/>
      <c r="AU415" s="350"/>
      <c r="AV415" s="351"/>
      <c r="AW415" s="723"/>
      <c r="AX415" s="350"/>
      <c r="AY415" s="351"/>
      <c r="AZ415" s="412"/>
      <c r="BA415" s="350"/>
      <c r="BB415" s="350"/>
      <c r="BC415" s="350"/>
      <c r="BD415" s="350"/>
      <c r="BE415" s="350"/>
      <c r="BF415" s="350"/>
      <c r="BG415" s="350"/>
      <c r="BH415" s="350"/>
      <c r="BI415" s="350"/>
      <c r="BJ415" s="350"/>
      <c r="BK415" s="350"/>
      <c r="BL415" s="350"/>
      <c r="BM415" s="350"/>
      <c r="BN415" s="350"/>
      <c r="BO415" s="351"/>
    </row>
    <row r="416" spans="1:67" ht="34.5" customHeight="1">
      <c r="A416" s="98">
        <f t="shared" si="1"/>
        <v>404</v>
      </c>
      <c r="B416" s="416" t="s">
        <v>325</v>
      </c>
      <c r="C416" s="351"/>
      <c r="D416" s="594"/>
      <c r="E416" s="350"/>
      <c r="F416" s="350"/>
      <c r="G416" s="350"/>
      <c r="H416" s="351"/>
      <c r="I416" s="368"/>
      <c r="J416" s="350"/>
      <c r="K416" s="350"/>
      <c r="L416" s="350"/>
      <c r="M416" s="350"/>
      <c r="N416" s="350"/>
      <c r="O416" s="350"/>
      <c r="P416" s="351"/>
      <c r="Q416" s="511"/>
      <c r="R416" s="350"/>
      <c r="S416" s="350"/>
      <c r="T416" s="350"/>
      <c r="U416" s="350"/>
      <c r="V416" s="350"/>
      <c r="W416" s="350"/>
      <c r="X416" s="351"/>
      <c r="Y416" s="368"/>
      <c r="Z416" s="351"/>
      <c r="AA416" s="511"/>
      <c r="AB416" s="350"/>
      <c r="AC416" s="350"/>
      <c r="AD416" s="351"/>
      <c r="AE416" s="368"/>
      <c r="AF416" s="350"/>
      <c r="AG416" s="351"/>
      <c r="AH416" s="511"/>
      <c r="AI416" s="350"/>
      <c r="AJ416" s="351"/>
      <c r="AK416" s="368"/>
      <c r="AL416" s="350"/>
      <c r="AM416" s="350"/>
      <c r="AN416" s="351"/>
      <c r="AO416" s="511"/>
      <c r="AP416" s="350"/>
      <c r="AQ416" s="350"/>
      <c r="AR416" s="350"/>
      <c r="AS416" s="350"/>
      <c r="AT416" s="350"/>
      <c r="AU416" s="350"/>
      <c r="AV416" s="351"/>
      <c r="AW416" s="725"/>
      <c r="AX416" s="350"/>
      <c r="AY416" s="351"/>
      <c r="AZ416" s="511"/>
      <c r="BA416" s="350"/>
      <c r="BB416" s="350"/>
      <c r="BC416" s="350"/>
      <c r="BD416" s="350"/>
      <c r="BE416" s="350"/>
      <c r="BF416" s="350"/>
      <c r="BG416" s="350"/>
      <c r="BH416" s="350"/>
      <c r="BI416" s="350"/>
      <c r="BJ416" s="350"/>
      <c r="BK416" s="350"/>
      <c r="BL416" s="350"/>
      <c r="BM416" s="350"/>
      <c r="BN416" s="350"/>
      <c r="BO416" s="351"/>
    </row>
    <row r="417" spans="1:67" ht="34.5" customHeight="1">
      <c r="A417" s="98">
        <f t="shared" si="1"/>
        <v>405</v>
      </c>
      <c r="B417" s="416" t="s">
        <v>325</v>
      </c>
      <c r="C417" s="351"/>
      <c r="D417" s="724"/>
      <c r="E417" s="350"/>
      <c r="F417" s="350"/>
      <c r="G417" s="350"/>
      <c r="H417" s="351"/>
      <c r="I417" s="412"/>
      <c r="J417" s="350"/>
      <c r="K417" s="350"/>
      <c r="L417" s="350"/>
      <c r="M417" s="350"/>
      <c r="N417" s="350"/>
      <c r="O417" s="350"/>
      <c r="P417" s="351"/>
      <c r="Q417" s="412"/>
      <c r="R417" s="350"/>
      <c r="S417" s="350"/>
      <c r="T417" s="350"/>
      <c r="U417" s="350"/>
      <c r="V417" s="350"/>
      <c r="W417" s="350"/>
      <c r="X417" s="351"/>
      <c r="Y417" s="412"/>
      <c r="Z417" s="351"/>
      <c r="AA417" s="412"/>
      <c r="AB417" s="350"/>
      <c r="AC417" s="350"/>
      <c r="AD417" s="351"/>
      <c r="AE417" s="412"/>
      <c r="AF417" s="350"/>
      <c r="AG417" s="351"/>
      <c r="AH417" s="412"/>
      <c r="AI417" s="350"/>
      <c r="AJ417" s="351"/>
      <c r="AK417" s="412"/>
      <c r="AL417" s="350"/>
      <c r="AM417" s="350"/>
      <c r="AN417" s="351"/>
      <c r="AO417" s="412"/>
      <c r="AP417" s="350"/>
      <c r="AQ417" s="350"/>
      <c r="AR417" s="350"/>
      <c r="AS417" s="350"/>
      <c r="AT417" s="350"/>
      <c r="AU417" s="350"/>
      <c r="AV417" s="351"/>
      <c r="AW417" s="723"/>
      <c r="AX417" s="350"/>
      <c r="AY417" s="351"/>
      <c r="AZ417" s="412"/>
      <c r="BA417" s="350"/>
      <c r="BB417" s="350"/>
      <c r="BC417" s="350"/>
      <c r="BD417" s="350"/>
      <c r="BE417" s="350"/>
      <c r="BF417" s="350"/>
      <c r="BG417" s="350"/>
      <c r="BH417" s="350"/>
      <c r="BI417" s="350"/>
      <c r="BJ417" s="350"/>
      <c r="BK417" s="350"/>
      <c r="BL417" s="350"/>
      <c r="BM417" s="350"/>
      <c r="BN417" s="350"/>
      <c r="BO417" s="351"/>
    </row>
    <row r="418" spans="1:67" ht="34.5" customHeight="1">
      <c r="A418" s="98">
        <f t="shared" si="1"/>
        <v>406</v>
      </c>
      <c r="B418" s="416" t="s">
        <v>325</v>
      </c>
      <c r="C418" s="351"/>
      <c r="D418" s="594"/>
      <c r="E418" s="350"/>
      <c r="F418" s="350"/>
      <c r="G418" s="350"/>
      <c r="H418" s="351"/>
      <c r="I418" s="368"/>
      <c r="J418" s="350"/>
      <c r="K418" s="350"/>
      <c r="L418" s="350"/>
      <c r="M418" s="350"/>
      <c r="N418" s="350"/>
      <c r="O418" s="350"/>
      <c r="P418" s="351"/>
      <c r="Q418" s="511"/>
      <c r="R418" s="350"/>
      <c r="S418" s="350"/>
      <c r="T418" s="350"/>
      <c r="U418" s="350"/>
      <c r="V418" s="350"/>
      <c r="W418" s="350"/>
      <c r="X418" s="351"/>
      <c r="Y418" s="368"/>
      <c r="Z418" s="351"/>
      <c r="AA418" s="511"/>
      <c r="AB418" s="350"/>
      <c r="AC418" s="350"/>
      <c r="AD418" s="351"/>
      <c r="AE418" s="368"/>
      <c r="AF418" s="350"/>
      <c r="AG418" s="351"/>
      <c r="AH418" s="511"/>
      <c r="AI418" s="350"/>
      <c r="AJ418" s="351"/>
      <c r="AK418" s="368"/>
      <c r="AL418" s="350"/>
      <c r="AM418" s="350"/>
      <c r="AN418" s="351"/>
      <c r="AO418" s="511"/>
      <c r="AP418" s="350"/>
      <c r="AQ418" s="350"/>
      <c r="AR418" s="350"/>
      <c r="AS418" s="350"/>
      <c r="AT418" s="350"/>
      <c r="AU418" s="350"/>
      <c r="AV418" s="351"/>
      <c r="AW418" s="725"/>
      <c r="AX418" s="350"/>
      <c r="AY418" s="351"/>
      <c r="AZ418" s="511"/>
      <c r="BA418" s="350"/>
      <c r="BB418" s="350"/>
      <c r="BC418" s="350"/>
      <c r="BD418" s="350"/>
      <c r="BE418" s="350"/>
      <c r="BF418" s="350"/>
      <c r="BG418" s="350"/>
      <c r="BH418" s="350"/>
      <c r="BI418" s="350"/>
      <c r="BJ418" s="350"/>
      <c r="BK418" s="350"/>
      <c r="BL418" s="350"/>
      <c r="BM418" s="350"/>
      <c r="BN418" s="350"/>
      <c r="BO418" s="351"/>
    </row>
    <row r="419" spans="1:67" ht="34.5" customHeight="1">
      <c r="A419" s="98">
        <f t="shared" si="1"/>
        <v>407</v>
      </c>
      <c r="B419" s="416" t="s">
        <v>325</v>
      </c>
      <c r="C419" s="351"/>
      <c r="D419" s="724"/>
      <c r="E419" s="350"/>
      <c r="F419" s="350"/>
      <c r="G419" s="350"/>
      <c r="H419" s="351"/>
      <c r="I419" s="412"/>
      <c r="J419" s="350"/>
      <c r="K419" s="350"/>
      <c r="L419" s="350"/>
      <c r="M419" s="350"/>
      <c r="N419" s="350"/>
      <c r="O419" s="350"/>
      <c r="P419" s="351"/>
      <c r="Q419" s="412"/>
      <c r="R419" s="350"/>
      <c r="S419" s="350"/>
      <c r="T419" s="350"/>
      <c r="U419" s="350"/>
      <c r="V419" s="350"/>
      <c r="W419" s="350"/>
      <c r="X419" s="351"/>
      <c r="Y419" s="412"/>
      <c r="Z419" s="351"/>
      <c r="AA419" s="412"/>
      <c r="AB419" s="350"/>
      <c r="AC419" s="350"/>
      <c r="AD419" s="351"/>
      <c r="AE419" s="412"/>
      <c r="AF419" s="350"/>
      <c r="AG419" s="351"/>
      <c r="AH419" s="412"/>
      <c r="AI419" s="350"/>
      <c r="AJ419" s="351"/>
      <c r="AK419" s="412"/>
      <c r="AL419" s="350"/>
      <c r="AM419" s="350"/>
      <c r="AN419" s="351"/>
      <c r="AO419" s="412"/>
      <c r="AP419" s="350"/>
      <c r="AQ419" s="350"/>
      <c r="AR419" s="350"/>
      <c r="AS419" s="350"/>
      <c r="AT419" s="350"/>
      <c r="AU419" s="350"/>
      <c r="AV419" s="351"/>
      <c r="AW419" s="723"/>
      <c r="AX419" s="350"/>
      <c r="AY419" s="351"/>
      <c r="AZ419" s="412"/>
      <c r="BA419" s="350"/>
      <c r="BB419" s="350"/>
      <c r="BC419" s="350"/>
      <c r="BD419" s="350"/>
      <c r="BE419" s="350"/>
      <c r="BF419" s="350"/>
      <c r="BG419" s="350"/>
      <c r="BH419" s="350"/>
      <c r="BI419" s="350"/>
      <c r="BJ419" s="350"/>
      <c r="BK419" s="350"/>
      <c r="BL419" s="350"/>
      <c r="BM419" s="350"/>
      <c r="BN419" s="350"/>
      <c r="BO419" s="351"/>
    </row>
    <row r="420" spans="1:67" ht="34.5" customHeight="1">
      <c r="A420" s="98">
        <f t="shared" si="1"/>
        <v>408</v>
      </c>
      <c r="B420" s="416" t="s">
        <v>325</v>
      </c>
      <c r="C420" s="351"/>
      <c r="D420" s="594"/>
      <c r="E420" s="350"/>
      <c r="F420" s="350"/>
      <c r="G420" s="350"/>
      <c r="H420" s="351"/>
      <c r="I420" s="368"/>
      <c r="J420" s="350"/>
      <c r="K420" s="350"/>
      <c r="L420" s="350"/>
      <c r="M420" s="350"/>
      <c r="N420" s="350"/>
      <c r="O420" s="350"/>
      <c r="P420" s="351"/>
      <c r="Q420" s="511"/>
      <c r="R420" s="350"/>
      <c r="S420" s="350"/>
      <c r="T420" s="350"/>
      <c r="U420" s="350"/>
      <c r="V420" s="350"/>
      <c r="W420" s="350"/>
      <c r="X420" s="351"/>
      <c r="Y420" s="368"/>
      <c r="Z420" s="351"/>
      <c r="AA420" s="511"/>
      <c r="AB420" s="350"/>
      <c r="AC420" s="350"/>
      <c r="AD420" s="351"/>
      <c r="AE420" s="368"/>
      <c r="AF420" s="350"/>
      <c r="AG420" s="351"/>
      <c r="AH420" s="511"/>
      <c r="AI420" s="350"/>
      <c r="AJ420" s="351"/>
      <c r="AK420" s="368"/>
      <c r="AL420" s="350"/>
      <c r="AM420" s="350"/>
      <c r="AN420" s="351"/>
      <c r="AO420" s="511"/>
      <c r="AP420" s="350"/>
      <c r="AQ420" s="350"/>
      <c r="AR420" s="350"/>
      <c r="AS420" s="350"/>
      <c r="AT420" s="350"/>
      <c r="AU420" s="350"/>
      <c r="AV420" s="351"/>
      <c r="AW420" s="725"/>
      <c r="AX420" s="350"/>
      <c r="AY420" s="351"/>
      <c r="AZ420" s="511"/>
      <c r="BA420" s="350"/>
      <c r="BB420" s="350"/>
      <c r="BC420" s="350"/>
      <c r="BD420" s="350"/>
      <c r="BE420" s="350"/>
      <c r="BF420" s="350"/>
      <c r="BG420" s="350"/>
      <c r="BH420" s="350"/>
      <c r="BI420" s="350"/>
      <c r="BJ420" s="350"/>
      <c r="BK420" s="350"/>
      <c r="BL420" s="350"/>
      <c r="BM420" s="350"/>
      <c r="BN420" s="350"/>
      <c r="BO420" s="351"/>
    </row>
    <row r="421" spans="1:67" ht="34.5" customHeight="1">
      <c r="A421" s="98">
        <f t="shared" si="1"/>
        <v>409</v>
      </c>
      <c r="B421" s="416" t="s">
        <v>325</v>
      </c>
      <c r="C421" s="351"/>
      <c r="D421" s="724"/>
      <c r="E421" s="350"/>
      <c r="F421" s="350"/>
      <c r="G421" s="350"/>
      <c r="H421" s="351"/>
      <c r="I421" s="412"/>
      <c r="J421" s="350"/>
      <c r="K421" s="350"/>
      <c r="L421" s="350"/>
      <c r="M421" s="350"/>
      <c r="N421" s="350"/>
      <c r="O421" s="350"/>
      <c r="P421" s="351"/>
      <c r="Q421" s="412"/>
      <c r="R421" s="350"/>
      <c r="S421" s="350"/>
      <c r="T421" s="350"/>
      <c r="U421" s="350"/>
      <c r="V421" s="350"/>
      <c r="W421" s="350"/>
      <c r="X421" s="351"/>
      <c r="Y421" s="412"/>
      <c r="Z421" s="351"/>
      <c r="AA421" s="412"/>
      <c r="AB421" s="350"/>
      <c r="AC421" s="350"/>
      <c r="AD421" s="351"/>
      <c r="AE421" s="412"/>
      <c r="AF421" s="350"/>
      <c r="AG421" s="351"/>
      <c r="AH421" s="412"/>
      <c r="AI421" s="350"/>
      <c r="AJ421" s="351"/>
      <c r="AK421" s="412"/>
      <c r="AL421" s="350"/>
      <c r="AM421" s="350"/>
      <c r="AN421" s="351"/>
      <c r="AO421" s="412"/>
      <c r="AP421" s="350"/>
      <c r="AQ421" s="350"/>
      <c r="AR421" s="350"/>
      <c r="AS421" s="350"/>
      <c r="AT421" s="350"/>
      <c r="AU421" s="350"/>
      <c r="AV421" s="351"/>
      <c r="AW421" s="723"/>
      <c r="AX421" s="350"/>
      <c r="AY421" s="351"/>
      <c r="AZ421" s="412"/>
      <c r="BA421" s="350"/>
      <c r="BB421" s="350"/>
      <c r="BC421" s="350"/>
      <c r="BD421" s="350"/>
      <c r="BE421" s="350"/>
      <c r="BF421" s="350"/>
      <c r="BG421" s="350"/>
      <c r="BH421" s="350"/>
      <c r="BI421" s="350"/>
      <c r="BJ421" s="350"/>
      <c r="BK421" s="350"/>
      <c r="BL421" s="350"/>
      <c r="BM421" s="350"/>
      <c r="BN421" s="350"/>
      <c r="BO421" s="351"/>
    </row>
    <row r="422" spans="1:67" ht="34.5" customHeight="1">
      <c r="A422" s="98">
        <f t="shared" si="1"/>
        <v>410</v>
      </c>
      <c r="B422" s="416" t="s">
        <v>325</v>
      </c>
      <c r="C422" s="351"/>
      <c r="D422" s="594"/>
      <c r="E422" s="350"/>
      <c r="F422" s="350"/>
      <c r="G422" s="350"/>
      <c r="H422" s="351"/>
      <c r="I422" s="368"/>
      <c r="J422" s="350"/>
      <c r="K422" s="350"/>
      <c r="L422" s="350"/>
      <c r="M422" s="350"/>
      <c r="N422" s="350"/>
      <c r="O422" s="350"/>
      <c r="P422" s="351"/>
      <c r="Q422" s="511"/>
      <c r="R422" s="350"/>
      <c r="S422" s="350"/>
      <c r="T422" s="350"/>
      <c r="U422" s="350"/>
      <c r="V422" s="350"/>
      <c r="W422" s="350"/>
      <c r="X422" s="351"/>
      <c r="Y422" s="368"/>
      <c r="Z422" s="351"/>
      <c r="AA422" s="511"/>
      <c r="AB422" s="350"/>
      <c r="AC422" s="350"/>
      <c r="AD422" s="351"/>
      <c r="AE422" s="368"/>
      <c r="AF422" s="350"/>
      <c r="AG422" s="351"/>
      <c r="AH422" s="511"/>
      <c r="AI422" s="350"/>
      <c r="AJ422" s="351"/>
      <c r="AK422" s="368"/>
      <c r="AL422" s="350"/>
      <c r="AM422" s="350"/>
      <c r="AN422" s="351"/>
      <c r="AO422" s="511"/>
      <c r="AP422" s="350"/>
      <c r="AQ422" s="350"/>
      <c r="AR422" s="350"/>
      <c r="AS422" s="350"/>
      <c r="AT422" s="350"/>
      <c r="AU422" s="350"/>
      <c r="AV422" s="351"/>
      <c r="AW422" s="725"/>
      <c r="AX422" s="350"/>
      <c r="AY422" s="351"/>
      <c r="AZ422" s="511"/>
      <c r="BA422" s="350"/>
      <c r="BB422" s="350"/>
      <c r="BC422" s="350"/>
      <c r="BD422" s="350"/>
      <c r="BE422" s="350"/>
      <c r="BF422" s="350"/>
      <c r="BG422" s="350"/>
      <c r="BH422" s="350"/>
      <c r="BI422" s="350"/>
      <c r="BJ422" s="350"/>
      <c r="BK422" s="350"/>
      <c r="BL422" s="350"/>
      <c r="BM422" s="350"/>
      <c r="BN422" s="350"/>
      <c r="BO422" s="351"/>
    </row>
    <row r="423" spans="1:67" ht="34.5" customHeight="1">
      <c r="A423" s="98">
        <f t="shared" si="1"/>
        <v>411</v>
      </c>
      <c r="B423" s="416" t="s">
        <v>325</v>
      </c>
      <c r="C423" s="351"/>
      <c r="D423" s="724"/>
      <c r="E423" s="350"/>
      <c r="F423" s="350"/>
      <c r="G423" s="350"/>
      <c r="H423" s="351"/>
      <c r="I423" s="412"/>
      <c r="J423" s="350"/>
      <c r="K423" s="350"/>
      <c r="L423" s="350"/>
      <c r="M423" s="350"/>
      <c r="N423" s="350"/>
      <c r="O423" s="350"/>
      <c r="P423" s="351"/>
      <c r="Q423" s="412"/>
      <c r="R423" s="350"/>
      <c r="S423" s="350"/>
      <c r="T423" s="350"/>
      <c r="U423" s="350"/>
      <c r="V423" s="350"/>
      <c r="W423" s="350"/>
      <c r="X423" s="351"/>
      <c r="Y423" s="412"/>
      <c r="Z423" s="351"/>
      <c r="AA423" s="412"/>
      <c r="AB423" s="350"/>
      <c r="AC423" s="350"/>
      <c r="AD423" s="351"/>
      <c r="AE423" s="412"/>
      <c r="AF423" s="350"/>
      <c r="AG423" s="351"/>
      <c r="AH423" s="412"/>
      <c r="AI423" s="350"/>
      <c r="AJ423" s="351"/>
      <c r="AK423" s="412"/>
      <c r="AL423" s="350"/>
      <c r="AM423" s="350"/>
      <c r="AN423" s="351"/>
      <c r="AO423" s="412"/>
      <c r="AP423" s="350"/>
      <c r="AQ423" s="350"/>
      <c r="AR423" s="350"/>
      <c r="AS423" s="350"/>
      <c r="AT423" s="350"/>
      <c r="AU423" s="350"/>
      <c r="AV423" s="351"/>
      <c r="AW423" s="723"/>
      <c r="AX423" s="350"/>
      <c r="AY423" s="351"/>
      <c r="AZ423" s="412"/>
      <c r="BA423" s="350"/>
      <c r="BB423" s="350"/>
      <c r="BC423" s="350"/>
      <c r="BD423" s="350"/>
      <c r="BE423" s="350"/>
      <c r="BF423" s="350"/>
      <c r="BG423" s="350"/>
      <c r="BH423" s="350"/>
      <c r="BI423" s="350"/>
      <c r="BJ423" s="350"/>
      <c r="BK423" s="350"/>
      <c r="BL423" s="350"/>
      <c r="BM423" s="350"/>
      <c r="BN423" s="350"/>
      <c r="BO423" s="351"/>
    </row>
    <row r="424" spans="1:67" ht="34.5" customHeight="1">
      <c r="A424" s="98">
        <f t="shared" si="1"/>
        <v>412</v>
      </c>
      <c r="B424" s="416" t="s">
        <v>325</v>
      </c>
      <c r="C424" s="351"/>
      <c r="D424" s="594"/>
      <c r="E424" s="350"/>
      <c r="F424" s="350"/>
      <c r="G424" s="350"/>
      <c r="H424" s="351"/>
      <c r="I424" s="368"/>
      <c r="J424" s="350"/>
      <c r="K424" s="350"/>
      <c r="L424" s="350"/>
      <c r="M424" s="350"/>
      <c r="N424" s="350"/>
      <c r="O424" s="350"/>
      <c r="P424" s="351"/>
      <c r="Q424" s="511"/>
      <c r="R424" s="350"/>
      <c r="S424" s="350"/>
      <c r="T424" s="350"/>
      <c r="U424" s="350"/>
      <c r="V424" s="350"/>
      <c r="W424" s="350"/>
      <c r="X424" s="351"/>
      <c r="Y424" s="368"/>
      <c r="Z424" s="351"/>
      <c r="AA424" s="511"/>
      <c r="AB424" s="350"/>
      <c r="AC424" s="350"/>
      <c r="AD424" s="351"/>
      <c r="AE424" s="368"/>
      <c r="AF424" s="350"/>
      <c r="AG424" s="351"/>
      <c r="AH424" s="511"/>
      <c r="AI424" s="350"/>
      <c r="AJ424" s="351"/>
      <c r="AK424" s="368"/>
      <c r="AL424" s="350"/>
      <c r="AM424" s="350"/>
      <c r="AN424" s="351"/>
      <c r="AO424" s="511"/>
      <c r="AP424" s="350"/>
      <c r="AQ424" s="350"/>
      <c r="AR424" s="350"/>
      <c r="AS424" s="350"/>
      <c r="AT424" s="350"/>
      <c r="AU424" s="350"/>
      <c r="AV424" s="351"/>
      <c r="AW424" s="725"/>
      <c r="AX424" s="350"/>
      <c r="AY424" s="351"/>
      <c r="AZ424" s="511"/>
      <c r="BA424" s="350"/>
      <c r="BB424" s="350"/>
      <c r="BC424" s="350"/>
      <c r="BD424" s="350"/>
      <c r="BE424" s="350"/>
      <c r="BF424" s="350"/>
      <c r="BG424" s="350"/>
      <c r="BH424" s="350"/>
      <c r="BI424" s="350"/>
      <c r="BJ424" s="350"/>
      <c r="BK424" s="350"/>
      <c r="BL424" s="350"/>
      <c r="BM424" s="350"/>
      <c r="BN424" s="350"/>
      <c r="BO424" s="351"/>
    </row>
    <row r="425" spans="1:67" ht="34.5" customHeight="1">
      <c r="A425" s="98">
        <f t="shared" si="1"/>
        <v>413</v>
      </c>
      <c r="B425" s="416" t="s">
        <v>325</v>
      </c>
      <c r="C425" s="351"/>
      <c r="D425" s="724"/>
      <c r="E425" s="350"/>
      <c r="F425" s="350"/>
      <c r="G425" s="350"/>
      <c r="H425" s="351"/>
      <c r="I425" s="412"/>
      <c r="J425" s="350"/>
      <c r="K425" s="350"/>
      <c r="L425" s="350"/>
      <c r="M425" s="350"/>
      <c r="N425" s="350"/>
      <c r="O425" s="350"/>
      <c r="P425" s="351"/>
      <c r="Q425" s="412"/>
      <c r="R425" s="350"/>
      <c r="S425" s="350"/>
      <c r="T425" s="350"/>
      <c r="U425" s="350"/>
      <c r="V425" s="350"/>
      <c r="W425" s="350"/>
      <c r="X425" s="351"/>
      <c r="Y425" s="412"/>
      <c r="Z425" s="351"/>
      <c r="AA425" s="412"/>
      <c r="AB425" s="350"/>
      <c r="AC425" s="350"/>
      <c r="AD425" s="351"/>
      <c r="AE425" s="412"/>
      <c r="AF425" s="350"/>
      <c r="AG425" s="351"/>
      <c r="AH425" s="412"/>
      <c r="AI425" s="350"/>
      <c r="AJ425" s="351"/>
      <c r="AK425" s="412"/>
      <c r="AL425" s="350"/>
      <c r="AM425" s="350"/>
      <c r="AN425" s="351"/>
      <c r="AO425" s="412"/>
      <c r="AP425" s="350"/>
      <c r="AQ425" s="350"/>
      <c r="AR425" s="350"/>
      <c r="AS425" s="350"/>
      <c r="AT425" s="350"/>
      <c r="AU425" s="350"/>
      <c r="AV425" s="351"/>
      <c r="AW425" s="723"/>
      <c r="AX425" s="350"/>
      <c r="AY425" s="351"/>
      <c r="AZ425" s="412"/>
      <c r="BA425" s="350"/>
      <c r="BB425" s="350"/>
      <c r="BC425" s="350"/>
      <c r="BD425" s="350"/>
      <c r="BE425" s="350"/>
      <c r="BF425" s="350"/>
      <c r="BG425" s="350"/>
      <c r="BH425" s="350"/>
      <c r="BI425" s="350"/>
      <c r="BJ425" s="350"/>
      <c r="BK425" s="350"/>
      <c r="BL425" s="350"/>
      <c r="BM425" s="350"/>
      <c r="BN425" s="350"/>
      <c r="BO425" s="351"/>
    </row>
    <row r="426" spans="1:67" ht="34.5" customHeight="1">
      <c r="A426" s="98">
        <f t="shared" si="1"/>
        <v>414</v>
      </c>
      <c r="B426" s="416" t="s">
        <v>325</v>
      </c>
      <c r="C426" s="351"/>
      <c r="D426" s="594"/>
      <c r="E426" s="350"/>
      <c r="F426" s="350"/>
      <c r="G426" s="350"/>
      <c r="H426" s="351"/>
      <c r="I426" s="368"/>
      <c r="J426" s="350"/>
      <c r="K426" s="350"/>
      <c r="L426" s="350"/>
      <c r="M426" s="350"/>
      <c r="N426" s="350"/>
      <c r="O426" s="350"/>
      <c r="P426" s="351"/>
      <c r="Q426" s="511"/>
      <c r="R426" s="350"/>
      <c r="S426" s="350"/>
      <c r="T426" s="350"/>
      <c r="U426" s="350"/>
      <c r="V426" s="350"/>
      <c r="W426" s="350"/>
      <c r="X426" s="351"/>
      <c r="Y426" s="368"/>
      <c r="Z426" s="351"/>
      <c r="AA426" s="511"/>
      <c r="AB426" s="350"/>
      <c r="AC426" s="350"/>
      <c r="AD426" s="351"/>
      <c r="AE426" s="368"/>
      <c r="AF426" s="350"/>
      <c r="AG426" s="351"/>
      <c r="AH426" s="511"/>
      <c r="AI426" s="350"/>
      <c r="AJ426" s="351"/>
      <c r="AK426" s="368"/>
      <c r="AL426" s="350"/>
      <c r="AM426" s="350"/>
      <c r="AN426" s="351"/>
      <c r="AO426" s="511"/>
      <c r="AP426" s="350"/>
      <c r="AQ426" s="350"/>
      <c r="AR426" s="350"/>
      <c r="AS426" s="350"/>
      <c r="AT426" s="350"/>
      <c r="AU426" s="350"/>
      <c r="AV426" s="351"/>
      <c r="AW426" s="725"/>
      <c r="AX426" s="350"/>
      <c r="AY426" s="351"/>
      <c r="AZ426" s="511"/>
      <c r="BA426" s="350"/>
      <c r="BB426" s="350"/>
      <c r="BC426" s="350"/>
      <c r="BD426" s="350"/>
      <c r="BE426" s="350"/>
      <c r="BF426" s="350"/>
      <c r="BG426" s="350"/>
      <c r="BH426" s="350"/>
      <c r="BI426" s="350"/>
      <c r="BJ426" s="350"/>
      <c r="BK426" s="350"/>
      <c r="BL426" s="350"/>
      <c r="BM426" s="350"/>
      <c r="BN426" s="350"/>
      <c r="BO426" s="351"/>
    </row>
    <row r="427" spans="1:67" ht="34.5" customHeight="1">
      <c r="A427" s="98">
        <f t="shared" si="1"/>
        <v>415</v>
      </c>
      <c r="B427" s="416" t="s">
        <v>325</v>
      </c>
      <c r="C427" s="351"/>
      <c r="D427" s="724"/>
      <c r="E427" s="350"/>
      <c r="F427" s="350"/>
      <c r="G427" s="350"/>
      <c r="H427" s="351"/>
      <c r="I427" s="412"/>
      <c r="J427" s="350"/>
      <c r="K427" s="350"/>
      <c r="L427" s="350"/>
      <c r="M427" s="350"/>
      <c r="N427" s="350"/>
      <c r="O427" s="350"/>
      <c r="P427" s="351"/>
      <c r="Q427" s="412"/>
      <c r="R427" s="350"/>
      <c r="S427" s="350"/>
      <c r="T427" s="350"/>
      <c r="U427" s="350"/>
      <c r="V427" s="350"/>
      <c r="W427" s="350"/>
      <c r="X427" s="351"/>
      <c r="Y427" s="412"/>
      <c r="Z427" s="351"/>
      <c r="AA427" s="412"/>
      <c r="AB427" s="350"/>
      <c r="AC427" s="350"/>
      <c r="AD427" s="351"/>
      <c r="AE427" s="412"/>
      <c r="AF427" s="350"/>
      <c r="AG427" s="351"/>
      <c r="AH427" s="412"/>
      <c r="AI427" s="350"/>
      <c r="AJ427" s="351"/>
      <c r="AK427" s="412"/>
      <c r="AL427" s="350"/>
      <c r="AM427" s="350"/>
      <c r="AN427" s="351"/>
      <c r="AO427" s="412"/>
      <c r="AP427" s="350"/>
      <c r="AQ427" s="350"/>
      <c r="AR427" s="350"/>
      <c r="AS427" s="350"/>
      <c r="AT427" s="350"/>
      <c r="AU427" s="350"/>
      <c r="AV427" s="351"/>
      <c r="AW427" s="723"/>
      <c r="AX427" s="350"/>
      <c r="AY427" s="351"/>
      <c r="AZ427" s="412"/>
      <c r="BA427" s="350"/>
      <c r="BB427" s="350"/>
      <c r="BC427" s="350"/>
      <c r="BD427" s="350"/>
      <c r="BE427" s="350"/>
      <c r="BF427" s="350"/>
      <c r="BG427" s="350"/>
      <c r="BH427" s="350"/>
      <c r="BI427" s="350"/>
      <c r="BJ427" s="350"/>
      <c r="BK427" s="350"/>
      <c r="BL427" s="350"/>
      <c r="BM427" s="350"/>
      <c r="BN427" s="350"/>
      <c r="BO427" s="351"/>
    </row>
    <row r="428" spans="1:67" ht="34.5" customHeight="1">
      <c r="A428" s="98">
        <f t="shared" si="1"/>
        <v>416</v>
      </c>
      <c r="B428" s="726" t="s">
        <v>325</v>
      </c>
      <c r="C428" s="351"/>
      <c r="D428" s="594"/>
      <c r="E428" s="350"/>
      <c r="F428" s="350"/>
      <c r="G428" s="350"/>
      <c r="H428" s="351"/>
      <c r="I428" s="368"/>
      <c r="J428" s="350"/>
      <c r="K428" s="350"/>
      <c r="L428" s="350"/>
      <c r="M428" s="350"/>
      <c r="N428" s="350"/>
      <c r="O428" s="350"/>
      <c r="P428" s="351"/>
      <c r="Q428" s="511"/>
      <c r="R428" s="350"/>
      <c r="S428" s="350"/>
      <c r="T428" s="350"/>
      <c r="U428" s="350"/>
      <c r="V428" s="350"/>
      <c r="W428" s="350"/>
      <c r="X428" s="351"/>
      <c r="Y428" s="368"/>
      <c r="Z428" s="351"/>
      <c r="AA428" s="511"/>
      <c r="AB428" s="350"/>
      <c r="AC428" s="350"/>
      <c r="AD428" s="351"/>
      <c r="AE428" s="368"/>
      <c r="AF428" s="350"/>
      <c r="AG428" s="351"/>
      <c r="AH428" s="511"/>
      <c r="AI428" s="350"/>
      <c r="AJ428" s="351"/>
      <c r="AK428" s="368"/>
      <c r="AL428" s="350"/>
      <c r="AM428" s="350"/>
      <c r="AN428" s="351"/>
      <c r="AO428" s="511"/>
      <c r="AP428" s="350"/>
      <c r="AQ428" s="350"/>
      <c r="AR428" s="350"/>
      <c r="AS428" s="350"/>
      <c r="AT428" s="350"/>
      <c r="AU428" s="350"/>
      <c r="AV428" s="351"/>
      <c r="AW428" s="725"/>
      <c r="AX428" s="350"/>
      <c r="AY428" s="351"/>
      <c r="AZ428" s="511"/>
      <c r="BA428" s="350"/>
      <c r="BB428" s="350"/>
      <c r="BC428" s="350"/>
      <c r="BD428" s="350"/>
      <c r="BE428" s="350"/>
      <c r="BF428" s="350"/>
      <c r="BG428" s="350"/>
      <c r="BH428" s="350"/>
      <c r="BI428" s="350"/>
      <c r="BJ428" s="350"/>
      <c r="BK428" s="350"/>
      <c r="BL428" s="350"/>
      <c r="BM428" s="350"/>
      <c r="BN428" s="350"/>
      <c r="BO428" s="351"/>
    </row>
    <row r="429" spans="1:67" ht="34.5" customHeight="1">
      <c r="A429" s="98">
        <f t="shared" si="1"/>
        <v>417</v>
      </c>
      <c r="B429" s="416" t="s">
        <v>325</v>
      </c>
      <c r="C429" s="351"/>
      <c r="D429" s="724"/>
      <c r="E429" s="350"/>
      <c r="F429" s="350"/>
      <c r="G429" s="350"/>
      <c r="H429" s="351"/>
      <c r="I429" s="412"/>
      <c r="J429" s="350"/>
      <c r="K429" s="350"/>
      <c r="L429" s="350"/>
      <c r="M429" s="350"/>
      <c r="N429" s="350"/>
      <c r="O429" s="350"/>
      <c r="P429" s="351"/>
      <c r="Q429" s="412"/>
      <c r="R429" s="350"/>
      <c r="S429" s="350"/>
      <c r="T429" s="350"/>
      <c r="U429" s="350"/>
      <c r="V429" s="350"/>
      <c r="W429" s="350"/>
      <c r="X429" s="351"/>
      <c r="Y429" s="412"/>
      <c r="Z429" s="351"/>
      <c r="AA429" s="412"/>
      <c r="AB429" s="350"/>
      <c r="AC429" s="350"/>
      <c r="AD429" s="351"/>
      <c r="AE429" s="412"/>
      <c r="AF429" s="350"/>
      <c r="AG429" s="351"/>
      <c r="AH429" s="412"/>
      <c r="AI429" s="350"/>
      <c r="AJ429" s="351"/>
      <c r="AK429" s="412"/>
      <c r="AL429" s="350"/>
      <c r="AM429" s="350"/>
      <c r="AN429" s="351"/>
      <c r="AO429" s="412"/>
      <c r="AP429" s="350"/>
      <c r="AQ429" s="350"/>
      <c r="AR429" s="350"/>
      <c r="AS429" s="350"/>
      <c r="AT429" s="350"/>
      <c r="AU429" s="350"/>
      <c r="AV429" s="351"/>
      <c r="AW429" s="723"/>
      <c r="AX429" s="350"/>
      <c r="AY429" s="351"/>
      <c r="AZ429" s="412"/>
      <c r="BA429" s="350"/>
      <c r="BB429" s="350"/>
      <c r="BC429" s="350"/>
      <c r="BD429" s="350"/>
      <c r="BE429" s="350"/>
      <c r="BF429" s="350"/>
      <c r="BG429" s="350"/>
      <c r="BH429" s="350"/>
      <c r="BI429" s="350"/>
      <c r="BJ429" s="350"/>
      <c r="BK429" s="350"/>
      <c r="BL429" s="350"/>
      <c r="BM429" s="350"/>
      <c r="BN429" s="350"/>
      <c r="BO429" s="351"/>
    </row>
    <row r="430" spans="1:67" ht="34.5" customHeight="1">
      <c r="A430" s="98">
        <f t="shared" si="1"/>
        <v>418</v>
      </c>
      <c r="B430" s="416" t="s">
        <v>325</v>
      </c>
      <c r="C430" s="351"/>
      <c r="D430" s="594"/>
      <c r="E430" s="350"/>
      <c r="F430" s="350"/>
      <c r="G430" s="350"/>
      <c r="H430" s="351"/>
      <c r="I430" s="368"/>
      <c r="J430" s="350"/>
      <c r="K430" s="350"/>
      <c r="L430" s="350"/>
      <c r="M430" s="350"/>
      <c r="N430" s="350"/>
      <c r="O430" s="350"/>
      <c r="P430" s="351"/>
      <c r="Q430" s="511"/>
      <c r="R430" s="350"/>
      <c r="S430" s="350"/>
      <c r="T430" s="350"/>
      <c r="U430" s="350"/>
      <c r="V430" s="350"/>
      <c r="W430" s="350"/>
      <c r="X430" s="351"/>
      <c r="Y430" s="368"/>
      <c r="Z430" s="351"/>
      <c r="AA430" s="511"/>
      <c r="AB430" s="350"/>
      <c r="AC430" s="350"/>
      <c r="AD430" s="351"/>
      <c r="AE430" s="368"/>
      <c r="AF430" s="350"/>
      <c r="AG430" s="351"/>
      <c r="AH430" s="511"/>
      <c r="AI430" s="350"/>
      <c r="AJ430" s="351"/>
      <c r="AK430" s="368"/>
      <c r="AL430" s="350"/>
      <c r="AM430" s="350"/>
      <c r="AN430" s="351"/>
      <c r="AO430" s="511"/>
      <c r="AP430" s="350"/>
      <c r="AQ430" s="350"/>
      <c r="AR430" s="350"/>
      <c r="AS430" s="350"/>
      <c r="AT430" s="350"/>
      <c r="AU430" s="350"/>
      <c r="AV430" s="351"/>
      <c r="AW430" s="725"/>
      <c r="AX430" s="350"/>
      <c r="AY430" s="351"/>
      <c r="AZ430" s="511"/>
      <c r="BA430" s="350"/>
      <c r="BB430" s="350"/>
      <c r="BC430" s="350"/>
      <c r="BD430" s="350"/>
      <c r="BE430" s="350"/>
      <c r="BF430" s="350"/>
      <c r="BG430" s="350"/>
      <c r="BH430" s="350"/>
      <c r="BI430" s="350"/>
      <c r="BJ430" s="350"/>
      <c r="BK430" s="350"/>
      <c r="BL430" s="350"/>
      <c r="BM430" s="350"/>
      <c r="BN430" s="350"/>
      <c r="BO430" s="351"/>
    </row>
    <row r="431" spans="1:67" ht="34.5" customHeight="1">
      <c r="A431" s="98">
        <f t="shared" si="1"/>
        <v>419</v>
      </c>
      <c r="B431" s="416" t="s">
        <v>325</v>
      </c>
      <c r="C431" s="351"/>
      <c r="D431" s="724"/>
      <c r="E431" s="350"/>
      <c r="F431" s="350"/>
      <c r="G431" s="350"/>
      <c r="H431" s="351"/>
      <c r="I431" s="412"/>
      <c r="J431" s="350"/>
      <c r="K431" s="350"/>
      <c r="L431" s="350"/>
      <c r="M431" s="350"/>
      <c r="N431" s="350"/>
      <c r="O431" s="350"/>
      <c r="P431" s="351"/>
      <c r="Q431" s="412"/>
      <c r="R431" s="350"/>
      <c r="S431" s="350"/>
      <c r="T431" s="350"/>
      <c r="U431" s="350"/>
      <c r="V431" s="350"/>
      <c r="W431" s="350"/>
      <c r="X431" s="351"/>
      <c r="Y431" s="412"/>
      <c r="Z431" s="351"/>
      <c r="AA431" s="412"/>
      <c r="AB431" s="350"/>
      <c r="AC431" s="350"/>
      <c r="AD431" s="351"/>
      <c r="AE431" s="412"/>
      <c r="AF431" s="350"/>
      <c r="AG431" s="351"/>
      <c r="AH431" s="412"/>
      <c r="AI431" s="350"/>
      <c r="AJ431" s="351"/>
      <c r="AK431" s="412"/>
      <c r="AL431" s="350"/>
      <c r="AM431" s="350"/>
      <c r="AN431" s="351"/>
      <c r="AO431" s="412"/>
      <c r="AP431" s="350"/>
      <c r="AQ431" s="350"/>
      <c r="AR431" s="350"/>
      <c r="AS431" s="350"/>
      <c r="AT431" s="350"/>
      <c r="AU431" s="350"/>
      <c r="AV431" s="351"/>
      <c r="AW431" s="723"/>
      <c r="AX431" s="350"/>
      <c r="AY431" s="351"/>
      <c r="AZ431" s="412"/>
      <c r="BA431" s="350"/>
      <c r="BB431" s="350"/>
      <c r="BC431" s="350"/>
      <c r="BD431" s="350"/>
      <c r="BE431" s="350"/>
      <c r="BF431" s="350"/>
      <c r="BG431" s="350"/>
      <c r="BH431" s="350"/>
      <c r="BI431" s="350"/>
      <c r="BJ431" s="350"/>
      <c r="BK431" s="350"/>
      <c r="BL431" s="350"/>
      <c r="BM431" s="350"/>
      <c r="BN431" s="350"/>
      <c r="BO431" s="351"/>
    </row>
    <row r="432" spans="1:67" ht="34.5" customHeight="1">
      <c r="A432" s="98">
        <f t="shared" si="1"/>
        <v>420</v>
      </c>
      <c r="B432" s="416" t="s">
        <v>325</v>
      </c>
      <c r="C432" s="351"/>
      <c r="D432" s="594"/>
      <c r="E432" s="350"/>
      <c r="F432" s="350"/>
      <c r="G432" s="350"/>
      <c r="H432" s="351"/>
      <c r="I432" s="368"/>
      <c r="J432" s="350"/>
      <c r="K432" s="350"/>
      <c r="L432" s="350"/>
      <c r="M432" s="350"/>
      <c r="N432" s="350"/>
      <c r="O432" s="350"/>
      <c r="P432" s="351"/>
      <c r="Q432" s="511"/>
      <c r="R432" s="350"/>
      <c r="S432" s="350"/>
      <c r="T432" s="350"/>
      <c r="U432" s="350"/>
      <c r="V432" s="350"/>
      <c r="W432" s="350"/>
      <c r="X432" s="351"/>
      <c r="Y432" s="368"/>
      <c r="Z432" s="351"/>
      <c r="AA432" s="511"/>
      <c r="AB432" s="350"/>
      <c r="AC432" s="350"/>
      <c r="AD432" s="351"/>
      <c r="AE432" s="368"/>
      <c r="AF432" s="350"/>
      <c r="AG432" s="351"/>
      <c r="AH432" s="511"/>
      <c r="AI432" s="350"/>
      <c r="AJ432" s="351"/>
      <c r="AK432" s="368"/>
      <c r="AL432" s="350"/>
      <c r="AM432" s="350"/>
      <c r="AN432" s="351"/>
      <c r="AO432" s="511"/>
      <c r="AP432" s="350"/>
      <c r="AQ432" s="350"/>
      <c r="AR432" s="350"/>
      <c r="AS432" s="350"/>
      <c r="AT432" s="350"/>
      <c r="AU432" s="350"/>
      <c r="AV432" s="351"/>
      <c r="AW432" s="725"/>
      <c r="AX432" s="350"/>
      <c r="AY432" s="351"/>
      <c r="AZ432" s="511"/>
      <c r="BA432" s="350"/>
      <c r="BB432" s="350"/>
      <c r="BC432" s="350"/>
      <c r="BD432" s="350"/>
      <c r="BE432" s="350"/>
      <c r="BF432" s="350"/>
      <c r="BG432" s="350"/>
      <c r="BH432" s="350"/>
      <c r="BI432" s="350"/>
      <c r="BJ432" s="350"/>
      <c r="BK432" s="350"/>
      <c r="BL432" s="350"/>
      <c r="BM432" s="350"/>
      <c r="BN432" s="350"/>
      <c r="BO432" s="351"/>
    </row>
    <row r="433" spans="1:67" ht="34.5" customHeight="1">
      <c r="A433" s="98">
        <f t="shared" si="1"/>
        <v>421</v>
      </c>
      <c r="B433" s="416" t="s">
        <v>325</v>
      </c>
      <c r="C433" s="351"/>
      <c r="D433" s="724"/>
      <c r="E433" s="350"/>
      <c r="F433" s="350"/>
      <c r="G433" s="350"/>
      <c r="H433" s="351"/>
      <c r="I433" s="412"/>
      <c r="J433" s="350"/>
      <c r="K433" s="350"/>
      <c r="L433" s="350"/>
      <c r="M433" s="350"/>
      <c r="N433" s="350"/>
      <c r="O433" s="350"/>
      <c r="P433" s="351"/>
      <c r="Q433" s="412"/>
      <c r="R433" s="350"/>
      <c r="S433" s="350"/>
      <c r="T433" s="350"/>
      <c r="U433" s="350"/>
      <c r="V433" s="350"/>
      <c r="W433" s="350"/>
      <c r="X433" s="351"/>
      <c r="Y433" s="412"/>
      <c r="Z433" s="351"/>
      <c r="AA433" s="412"/>
      <c r="AB433" s="350"/>
      <c r="AC433" s="350"/>
      <c r="AD433" s="351"/>
      <c r="AE433" s="412"/>
      <c r="AF433" s="350"/>
      <c r="AG433" s="351"/>
      <c r="AH433" s="412"/>
      <c r="AI433" s="350"/>
      <c r="AJ433" s="351"/>
      <c r="AK433" s="412"/>
      <c r="AL433" s="350"/>
      <c r="AM433" s="350"/>
      <c r="AN433" s="351"/>
      <c r="AO433" s="412"/>
      <c r="AP433" s="350"/>
      <c r="AQ433" s="350"/>
      <c r="AR433" s="350"/>
      <c r="AS433" s="350"/>
      <c r="AT433" s="350"/>
      <c r="AU433" s="350"/>
      <c r="AV433" s="351"/>
      <c r="AW433" s="723"/>
      <c r="AX433" s="350"/>
      <c r="AY433" s="351"/>
      <c r="AZ433" s="412"/>
      <c r="BA433" s="350"/>
      <c r="BB433" s="350"/>
      <c r="BC433" s="350"/>
      <c r="BD433" s="350"/>
      <c r="BE433" s="350"/>
      <c r="BF433" s="350"/>
      <c r="BG433" s="350"/>
      <c r="BH433" s="350"/>
      <c r="BI433" s="350"/>
      <c r="BJ433" s="350"/>
      <c r="BK433" s="350"/>
      <c r="BL433" s="350"/>
      <c r="BM433" s="350"/>
      <c r="BN433" s="350"/>
      <c r="BO433" s="351"/>
    </row>
    <row r="434" spans="1:67" ht="34.5" customHeight="1">
      <c r="A434" s="98">
        <f t="shared" si="1"/>
        <v>422</v>
      </c>
      <c r="B434" s="416" t="s">
        <v>325</v>
      </c>
      <c r="C434" s="351"/>
      <c r="D434" s="594"/>
      <c r="E434" s="350"/>
      <c r="F434" s="350"/>
      <c r="G434" s="350"/>
      <c r="H434" s="351"/>
      <c r="I434" s="368"/>
      <c r="J434" s="350"/>
      <c r="K434" s="350"/>
      <c r="L434" s="350"/>
      <c r="M434" s="350"/>
      <c r="N434" s="350"/>
      <c r="O434" s="350"/>
      <c r="P434" s="351"/>
      <c r="Q434" s="511"/>
      <c r="R434" s="350"/>
      <c r="S434" s="350"/>
      <c r="T434" s="350"/>
      <c r="U434" s="350"/>
      <c r="V434" s="350"/>
      <c r="W434" s="350"/>
      <c r="X434" s="351"/>
      <c r="Y434" s="368"/>
      <c r="Z434" s="351"/>
      <c r="AA434" s="511"/>
      <c r="AB434" s="350"/>
      <c r="AC434" s="350"/>
      <c r="AD434" s="351"/>
      <c r="AE434" s="368"/>
      <c r="AF434" s="350"/>
      <c r="AG434" s="351"/>
      <c r="AH434" s="511"/>
      <c r="AI434" s="350"/>
      <c r="AJ434" s="351"/>
      <c r="AK434" s="368"/>
      <c r="AL434" s="350"/>
      <c r="AM434" s="350"/>
      <c r="AN434" s="351"/>
      <c r="AO434" s="511"/>
      <c r="AP434" s="350"/>
      <c r="AQ434" s="350"/>
      <c r="AR434" s="350"/>
      <c r="AS434" s="350"/>
      <c r="AT434" s="350"/>
      <c r="AU434" s="350"/>
      <c r="AV434" s="351"/>
      <c r="AW434" s="725"/>
      <c r="AX434" s="350"/>
      <c r="AY434" s="351"/>
      <c r="AZ434" s="511"/>
      <c r="BA434" s="350"/>
      <c r="BB434" s="350"/>
      <c r="BC434" s="350"/>
      <c r="BD434" s="350"/>
      <c r="BE434" s="350"/>
      <c r="BF434" s="350"/>
      <c r="BG434" s="350"/>
      <c r="BH434" s="350"/>
      <c r="BI434" s="350"/>
      <c r="BJ434" s="350"/>
      <c r="BK434" s="350"/>
      <c r="BL434" s="350"/>
      <c r="BM434" s="350"/>
      <c r="BN434" s="350"/>
      <c r="BO434" s="351"/>
    </row>
    <row r="435" spans="1:67" ht="34.5" customHeight="1">
      <c r="A435" s="98">
        <f t="shared" si="1"/>
        <v>423</v>
      </c>
      <c r="B435" s="416" t="s">
        <v>325</v>
      </c>
      <c r="C435" s="351"/>
      <c r="D435" s="724"/>
      <c r="E435" s="350"/>
      <c r="F435" s="350"/>
      <c r="G435" s="350"/>
      <c r="H435" s="351"/>
      <c r="I435" s="412"/>
      <c r="J435" s="350"/>
      <c r="K435" s="350"/>
      <c r="L435" s="350"/>
      <c r="M435" s="350"/>
      <c r="N435" s="350"/>
      <c r="O435" s="350"/>
      <c r="P435" s="351"/>
      <c r="Q435" s="412"/>
      <c r="R435" s="350"/>
      <c r="S435" s="350"/>
      <c r="T435" s="350"/>
      <c r="U435" s="350"/>
      <c r="V435" s="350"/>
      <c r="W435" s="350"/>
      <c r="X435" s="351"/>
      <c r="Y435" s="412"/>
      <c r="Z435" s="351"/>
      <c r="AA435" s="412"/>
      <c r="AB435" s="350"/>
      <c r="AC435" s="350"/>
      <c r="AD435" s="351"/>
      <c r="AE435" s="412"/>
      <c r="AF435" s="350"/>
      <c r="AG435" s="351"/>
      <c r="AH435" s="412"/>
      <c r="AI435" s="350"/>
      <c r="AJ435" s="351"/>
      <c r="AK435" s="412"/>
      <c r="AL435" s="350"/>
      <c r="AM435" s="350"/>
      <c r="AN435" s="351"/>
      <c r="AO435" s="412"/>
      <c r="AP435" s="350"/>
      <c r="AQ435" s="350"/>
      <c r="AR435" s="350"/>
      <c r="AS435" s="350"/>
      <c r="AT435" s="350"/>
      <c r="AU435" s="350"/>
      <c r="AV435" s="351"/>
      <c r="AW435" s="723"/>
      <c r="AX435" s="350"/>
      <c r="AY435" s="351"/>
      <c r="AZ435" s="412"/>
      <c r="BA435" s="350"/>
      <c r="BB435" s="350"/>
      <c r="BC435" s="350"/>
      <c r="BD435" s="350"/>
      <c r="BE435" s="350"/>
      <c r="BF435" s="350"/>
      <c r="BG435" s="350"/>
      <c r="BH435" s="350"/>
      <c r="BI435" s="350"/>
      <c r="BJ435" s="350"/>
      <c r="BK435" s="350"/>
      <c r="BL435" s="350"/>
      <c r="BM435" s="350"/>
      <c r="BN435" s="350"/>
      <c r="BO435" s="351"/>
    </row>
    <row r="436" spans="1:67" ht="34.5" customHeight="1">
      <c r="A436" s="98">
        <f t="shared" si="1"/>
        <v>424</v>
      </c>
      <c r="B436" s="416" t="s">
        <v>325</v>
      </c>
      <c r="C436" s="351"/>
      <c r="D436" s="594"/>
      <c r="E436" s="350"/>
      <c r="F436" s="350"/>
      <c r="G436" s="350"/>
      <c r="H436" s="351"/>
      <c r="I436" s="368"/>
      <c r="J436" s="350"/>
      <c r="K436" s="350"/>
      <c r="L436" s="350"/>
      <c r="M436" s="350"/>
      <c r="N436" s="350"/>
      <c r="O436" s="350"/>
      <c r="P436" s="351"/>
      <c r="Q436" s="511"/>
      <c r="R436" s="350"/>
      <c r="S436" s="350"/>
      <c r="T436" s="350"/>
      <c r="U436" s="350"/>
      <c r="V436" s="350"/>
      <c r="W436" s="350"/>
      <c r="X436" s="351"/>
      <c r="Y436" s="368"/>
      <c r="Z436" s="351"/>
      <c r="AA436" s="511"/>
      <c r="AB436" s="350"/>
      <c r="AC436" s="350"/>
      <c r="AD436" s="351"/>
      <c r="AE436" s="368"/>
      <c r="AF436" s="350"/>
      <c r="AG436" s="351"/>
      <c r="AH436" s="511"/>
      <c r="AI436" s="350"/>
      <c r="AJ436" s="351"/>
      <c r="AK436" s="368"/>
      <c r="AL436" s="350"/>
      <c r="AM436" s="350"/>
      <c r="AN436" s="351"/>
      <c r="AO436" s="511"/>
      <c r="AP436" s="350"/>
      <c r="AQ436" s="350"/>
      <c r="AR436" s="350"/>
      <c r="AS436" s="350"/>
      <c r="AT436" s="350"/>
      <c r="AU436" s="350"/>
      <c r="AV436" s="351"/>
      <c r="AW436" s="725"/>
      <c r="AX436" s="350"/>
      <c r="AY436" s="351"/>
      <c r="AZ436" s="511"/>
      <c r="BA436" s="350"/>
      <c r="BB436" s="350"/>
      <c r="BC436" s="350"/>
      <c r="BD436" s="350"/>
      <c r="BE436" s="350"/>
      <c r="BF436" s="350"/>
      <c r="BG436" s="350"/>
      <c r="BH436" s="350"/>
      <c r="BI436" s="350"/>
      <c r="BJ436" s="350"/>
      <c r="BK436" s="350"/>
      <c r="BL436" s="350"/>
      <c r="BM436" s="350"/>
      <c r="BN436" s="350"/>
      <c r="BO436" s="351"/>
    </row>
    <row r="437" spans="1:67" ht="34.5" customHeight="1">
      <c r="A437" s="98">
        <f t="shared" si="1"/>
        <v>425</v>
      </c>
      <c r="B437" s="416" t="s">
        <v>325</v>
      </c>
      <c r="C437" s="351"/>
      <c r="D437" s="724"/>
      <c r="E437" s="350"/>
      <c r="F437" s="350"/>
      <c r="G437" s="350"/>
      <c r="H437" s="351"/>
      <c r="I437" s="412"/>
      <c r="J437" s="350"/>
      <c r="K437" s="350"/>
      <c r="L437" s="350"/>
      <c r="M437" s="350"/>
      <c r="N437" s="350"/>
      <c r="O437" s="350"/>
      <c r="P437" s="351"/>
      <c r="Q437" s="412"/>
      <c r="R437" s="350"/>
      <c r="S437" s="350"/>
      <c r="T437" s="350"/>
      <c r="U437" s="350"/>
      <c r="V437" s="350"/>
      <c r="W437" s="350"/>
      <c r="X437" s="351"/>
      <c r="Y437" s="412"/>
      <c r="Z437" s="351"/>
      <c r="AA437" s="412"/>
      <c r="AB437" s="350"/>
      <c r="AC437" s="350"/>
      <c r="AD437" s="351"/>
      <c r="AE437" s="412"/>
      <c r="AF437" s="350"/>
      <c r="AG437" s="351"/>
      <c r="AH437" s="412"/>
      <c r="AI437" s="350"/>
      <c r="AJ437" s="351"/>
      <c r="AK437" s="412"/>
      <c r="AL437" s="350"/>
      <c r="AM437" s="350"/>
      <c r="AN437" s="351"/>
      <c r="AO437" s="412"/>
      <c r="AP437" s="350"/>
      <c r="AQ437" s="350"/>
      <c r="AR437" s="350"/>
      <c r="AS437" s="350"/>
      <c r="AT437" s="350"/>
      <c r="AU437" s="350"/>
      <c r="AV437" s="351"/>
      <c r="AW437" s="723"/>
      <c r="AX437" s="350"/>
      <c r="AY437" s="351"/>
      <c r="AZ437" s="412"/>
      <c r="BA437" s="350"/>
      <c r="BB437" s="350"/>
      <c r="BC437" s="350"/>
      <c r="BD437" s="350"/>
      <c r="BE437" s="350"/>
      <c r="BF437" s="350"/>
      <c r="BG437" s="350"/>
      <c r="BH437" s="350"/>
      <c r="BI437" s="350"/>
      <c r="BJ437" s="350"/>
      <c r="BK437" s="350"/>
      <c r="BL437" s="350"/>
      <c r="BM437" s="350"/>
      <c r="BN437" s="350"/>
      <c r="BO437" s="351"/>
    </row>
    <row r="438" spans="1:67" ht="34.5" customHeight="1">
      <c r="A438" s="98">
        <f t="shared" si="1"/>
        <v>426</v>
      </c>
      <c r="B438" s="416" t="s">
        <v>325</v>
      </c>
      <c r="C438" s="351"/>
      <c r="D438" s="594"/>
      <c r="E438" s="350"/>
      <c r="F438" s="350"/>
      <c r="G438" s="350"/>
      <c r="H438" s="351"/>
      <c r="I438" s="368"/>
      <c r="J438" s="350"/>
      <c r="K438" s="350"/>
      <c r="L438" s="350"/>
      <c r="M438" s="350"/>
      <c r="N438" s="350"/>
      <c r="O438" s="350"/>
      <c r="P438" s="351"/>
      <c r="Q438" s="511"/>
      <c r="R438" s="350"/>
      <c r="S438" s="350"/>
      <c r="T438" s="350"/>
      <c r="U438" s="350"/>
      <c r="V438" s="350"/>
      <c r="W438" s="350"/>
      <c r="X438" s="351"/>
      <c r="Y438" s="368"/>
      <c r="Z438" s="351"/>
      <c r="AA438" s="511"/>
      <c r="AB438" s="350"/>
      <c r="AC438" s="350"/>
      <c r="AD438" s="351"/>
      <c r="AE438" s="368"/>
      <c r="AF438" s="350"/>
      <c r="AG438" s="351"/>
      <c r="AH438" s="511"/>
      <c r="AI438" s="350"/>
      <c r="AJ438" s="351"/>
      <c r="AK438" s="368"/>
      <c r="AL438" s="350"/>
      <c r="AM438" s="350"/>
      <c r="AN438" s="351"/>
      <c r="AO438" s="511"/>
      <c r="AP438" s="350"/>
      <c r="AQ438" s="350"/>
      <c r="AR438" s="350"/>
      <c r="AS438" s="350"/>
      <c r="AT438" s="350"/>
      <c r="AU438" s="350"/>
      <c r="AV438" s="351"/>
      <c r="AW438" s="725"/>
      <c r="AX438" s="350"/>
      <c r="AY438" s="351"/>
      <c r="AZ438" s="511"/>
      <c r="BA438" s="350"/>
      <c r="BB438" s="350"/>
      <c r="BC438" s="350"/>
      <c r="BD438" s="350"/>
      <c r="BE438" s="350"/>
      <c r="BF438" s="350"/>
      <c r="BG438" s="350"/>
      <c r="BH438" s="350"/>
      <c r="BI438" s="350"/>
      <c r="BJ438" s="350"/>
      <c r="BK438" s="350"/>
      <c r="BL438" s="350"/>
      <c r="BM438" s="350"/>
      <c r="BN438" s="350"/>
      <c r="BO438" s="351"/>
    </row>
    <row r="439" spans="1:67" ht="34.5" customHeight="1">
      <c r="A439" s="98">
        <f t="shared" si="1"/>
        <v>427</v>
      </c>
      <c r="B439" s="416" t="s">
        <v>325</v>
      </c>
      <c r="C439" s="351"/>
      <c r="D439" s="724"/>
      <c r="E439" s="350"/>
      <c r="F439" s="350"/>
      <c r="G439" s="350"/>
      <c r="H439" s="351"/>
      <c r="I439" s="412"/>
      <c r="J439" s="350"/>
      <c r="K439" s="350"/>
      <c r="L439" s="350"/>
      <c r="M439" s="350"/>
      <c r="N439" s="350"/>
      <c r="O439" s="350"/>
      <c r="P439" s="351"/>
      <c r="Q439" s="412"/>
      <c r="R439" s="350"/>
      <c r="S439" s="350"/>
      <c r="T439" s="350"/>
      <c r="U439" s="350"/>
      <c r="V439" s="350"/>
      <c r="W439" s="350"/>
      <c r="X439" s="351"/>
      <c r="Y439" s="412"/>
      <c r="Z439" s="351"/>
      <c r="AA439" s="412"/>
      <c r="AB439" s="350"/>
      <c r="AC439" s="350"/>
      <c r="AD439" s="351"/>
      <c r="AE439" s="412"/>
      <c r="AF439" s="350"/>
      <c r="AG439" s="351"/>
      <c r="AH439" s="412"/>
      <c r="AI439" s="350"/>
      <c r="AJ439" s="351"/>
      <c r="AK439" s="412"/>
      <c r="AL439" s="350"/>
      <c r="AM439" s="350"/>
      <c r="AN439" s="351"/>
      <c r="AO439" s="412"/>
      <c r="AP439" s="350"/>
      <c r="AQ439" s="350"/>
      <c r="AR439" s="350"/>
      <c r="AS439" s="350"/>
      <c r="AT439" s="350"/>
      <c r="AU439" s="350"/>
      <c r="AV439" s="351"/>
      <c r="AW439" s="723"/>
      <c r="AX439" s="350"/>
      <c r="AY439" s="351"/>
      <c r="AZ439" s="412"/>
      <c r="BA439" s="350"/>
      <c r="BB439" s="350"/>
      <c r="BC439" s="350"/>
      <c r="BD439" s="350"/>
      <c r="BE439" s="350"/>
      <c r="BF439" s="350"/>
      <c r="BG439" s="350"/>
      <c r="BH439" s="350"/>
      <c r="BI439" s="350"/>
      <c r="BJ439" s="350"/>
      <c r="BK439" s="350"/>
      <c r="BL439" s="350"/>
      <c r="BM439" s="350"/>
      <c r="BN439" s="350"/>
      <c r="BO439" s="351"/>
    </row>
    <row r="440" spans="1:67" ht="34.5" customHeight="1">
      <c r="A440" s="98">
        <f t="shared" si="1"/>
        <v>428</v>
      </c>
      <c r="B440" s="416" t="s">
        <v>325</v>
      </c>
      <c r="C440" s="351"/>
      <c r="D440" s="594"/>
      <c r="E440" s="350"/>
      <c r="F440" s="350"/>
      <c r="G440" s="350"/>
      <c r="H440" s="351"/>
      <c r="I440" s="368"/>
      <c r="J440" s="350"/>
      <c r="K440" s="350"/>
      <c r="L440" s="350"/>
      <c r="M440" s="350"/>
      <c r="N440" s="350"/>
      <c r="O440" s="350"/>
      <c r="P440" s="351"/>
      <c r="Q440" s="511"/>
      <c r="R440" s="350"/>
      <c r="S440" s="350"/>
      <c r="T440" s="350"/>
      <c r="U440" s="350"/>
      <c r="V440" s="350"/>
      <c r="W440" s="350"/>
      <c r="X440" s="351"/>
      <c r="Y440" s="368"/>
      <c r="Z440" s="351"/>
      <c r="AA440" s="511"/>
      <c r="AB440" s="350"/>
      <c r="AC440" s="350"/>
      <c r="AD440" s="351"/>
      <c r="AE440" s="368"/>
      <c r="AF440" s="350"/>
      <c r="AG440" s="351"/>
      <c r="AH440" s="511"/>
      <c r="AI440" s="350"/>
      <c r="AJ440" s="351"/>
      <c r="AK440" s="368"/>
      <c r="AL440" s="350"/>
      <c r="AM440" s="350"/>
      <c r="AN440" s="351"/>
      <c r="AO440" s="511"/>
      <c r="AP440" s="350"/>
      <c r="AQ440" s="350"/>
      <c r="AR440" s="350"/>
      <c r="AS440" s="350"/>
      <c r="AT440" s="350"/>
      <c r="AU440" s="350"/>
      <c r="AV440" s="351"/>
      <c r="AW440" s="725"/>
      <c r="AX440" s="350"/>
      <c r="AY440" s="351"/>
      <c r="AZ440" s="511"/>
      <c r="BA440" s="350"/>
      <c r="BB440" s="350"/>
      <c r="BC440" s="350"/>
      <c r="BD440" s="350"/>
      <c r="BE440" s="350"/>
      <c r="BF440" s="350"/>
      <c r="BG440" s="350"/>
      <c r="BH440" s="350"/>
      <c r="BI440" s="350"/>
      <c r="BJ440" s="350"/>
      <c r="BK440" s="350"/>
      <c r="BL440" s="350"/>
      <c r="BM440" s="350"/>
      <c r="BN440" s="350"/>
      <c r="BO440" s="351"/>
    </row>
    <row r="441" spans="1:67" ht="34.5" customHeight="1">
      <c r="A441" s="98">
        <f t="shared" si="1"/>
        <v>429</v>
      </c>
      <c r="B441" s="416" t="s">
        <v>325</v>
      </c>
      <c r="C441" s="351"/>
      <c r="D441" s="724"/>
      <c r="E441" s="350"/>
      <c r="F441" s="350"/>
      <c r="G441" s="350"/>
      <c r="H441" s="351"/>
      <c r="I441" s="412"/>
      <c r="J441" s="350"/>
      <c r="K441" s="350"/>
      <c r="L441" s="350"/>
      <c r="M441" s="350"/>
      <c r="N441" s="350"/>
      <c r="O441" s="350"/>
      <c r="P441" s="351"/>
      <c r="Q441" s="412"/>
      <c r="R441" s="350"/>
      <c r="S441" s="350"/>
      <c r="T441" s="350"/>
      <c r="U441" s="350"/>
      <c r="V441" s="350"/>
      <c r="W441" s="350"/>
      <c r="X441" s="351"/>
      <c r="Y441" s="412"/>
      <c r="Z441" s="351"/>
      <c r="AA441" s="412"/>
      <c r="AB441" s="350"/>
      <c r="AC441" s="350"/>
      <c r="AD441" s="351"/>
      <c r="AE441" s="412"/>
      <c r="AF441" s="350"/>
      <c r="AG441" s="351"/>
      <c r="AH441" s="412"/>
      <c r="AI441" s="350"/>
      <c r="AJ441" s="351"/>
      <c r="AK441" s="412"/>
      <c r="AL441" s="350"/>
      <c r="AM441" s="350"/>
      <c r="AN441" s="351"/>
      <c r="AO441" s="412"/>
      <c r="AP441" s="350"/>
      <c r="AQ441" s="350"/>
      <c r="AR441" s="350"/>
      <c r="AS441" s="350"/>
      <c r="AT441" s="350"/>
      <c r="AU441" s="350"/>
      <c r="AV441" s="351"/>
      <c r="AW441" s="723"/>
      <c r="AX441" s="350"/>
      <c r="AY441" s="351"/>
      <c r="AZ441" s="412"/>
      <c r="BA441" s="350"/>
      <c r="BB441" s="350"/>
      <c r="BC441" s="350"/>
      <c r="BD441" s="350"/>
      <c r="BE441" s="350"/>
      <c r="BF441" s="350"/>
      <c r="BG441" s="350"/>
      <c r="BH441" s="350"/>
      <c r="BI441" s="350"/>
      <c r="BJ441" s="350"/>
      <c r="BK441" s="350"/>
      <c r="BL441" s="350"/>
      <c r="BM441" s="350"/>
      <c r="BN441" s="350"/>
      <c r="BO441" s="351"/>
    </row>
    <row r="442" spans="1:67" ht="34.5" customHeight="1">
      <c r="A442" s="98">
        <f t="shared" si="1"/>
        <v>430</v>
      </c>
      <c r="B442" s="416" t="s">
        <v>325</v>
      </c>
      <c r="C442" s="351"/>
      <c r="D442" s="594"/>
      <c r="E442" s="350"/>
      <c r="F442" s="350"/>
      <c r="G442" s="350"/>
      <c r="H442" s="351"/>
      <c r="I442" s="368"/>
      <c r="J442" s="350"/>
      <c r="K442" s="350"/>
      <c r="L442" s="350"/>
      <c r="M442" s="350"/>
      <c r="N442" s="350"/>
      <c r="O442" s="350"/>
      <c r="P442" s="351"/>
      <c r="Q442" s="511"/>
      <c r="R442" s="350"/>
      <c r="S442" s="350"/>
      <c r="T442" s="350"/>
      <c r="U442" s="350"/>
      <c r="V442" s="350"/>
      <c r="W442" s="350"/>
      <c r="X442" s="351"/>
      <c r="Y442" s="368"/>
      <c r="Z442" s="351"/>
      <c r="AA442" s="511"/>
      <c r="AB442" s="350"/>
      <c r="AC442" s="350"/>
      <c r="AD442" s="351"/>
      <c r="AE442" s="368"/>
      <c r="AF442" s="350"/>
      <c r="AG442" s="351"/>
      <c r="AH442" s="511"/>
      <c r="AI442" s="350"/>
      <c r="AJ442" s="351"/>
      <c r="AK442" s="368"/>
      <c r="AL442" s="350"/>
      <c r="AM442" s="350"/>
      <c r="AN442" s="351"/>
      <c r="AO442" s="511"/>
      <c r="AP442" s="350"/>
      <c r="AQ442" s="350"/>
      <c r="AR442" s="350"/>
      <c r="AS442" s="350"/>
      <c r="AT442" s="350"/>
      <c r="AU442" s="350"/>
      <c r="AV442" s="351"/>
      <c r="AW442" s="725"/>
      <c r="AX442" s="350"/>
      <c r="AY442" s="351"/>
      <c r="AZ442" s="511"/>
      <c r="BA442" s="350"/>
      <c r="BB442" s="350"/>
      <c r="BC442" s="350"/>
      <c r="BD442" s="350"/>
      <c r="BE442" s="350"/>
      <c r="BF442" s="350"/>
      <c r="BG442" s="350"/>
      <c r="BH442" s="350"/>
      <c r="BI442" s="350"/>
      <c r="BJ442" s="350"/>
      <c r="BK442" s="350"/>
      <c r="BL442" s="350"/>
      <c r="BM442" s="350"/>
      <c r="BN442" s="350"/>
      <c r="BO442" s="351"/>
    </row>
    <row r="443" spans="1:67" ht="34.5" customHeight="1">
      <c r="A443" s="98">
        <f t="shared" si="1"/>
        <v>431</v>
      </c>
      <c r="B443" s="416" t="s">
        <v>325</v>
      </c>
      <c r="C443" s="351"/>
      <c r="D443" s="724"/>
      <c r="E443" s="350"/>
      <c r="F443" s="350"/>
      <c r="G443" s="350"/>
      <c r="H443" s="351"/>
      <c r="I443" s="412"/>
      <c r="J443" s="350"/>
      <c r="K443" s="350"/>
      <c r="L443" s="350"/>
      <c r="M443" s="350"/>
      <c r="N443" s="350"/>
      <c r="O443" s="350"/>
      <c r="P443" s="351"/>
      <c r="Q443" s="412"/>
      <c r="R443" s="350"/>
      <c r="S443" s="350"/>
      <c r="T443" s="350"/>
      <c r="U443" s="350"/>
      <c r="V443" s="350"/>
      <c r="W443" s="350"/>
      <c r="X443" s="351"/>
      <c r="Y443" s="412"/>
      <c r="Z443" s="351"/>
      <c r="AA443" s="412"/>
      <c r="AB443" s="350"/>
      <c r="AC443" s="350"/>
      <c r="AD443" s="351"/>
      <c r="AE443" s="412"/>
      <c r="AF443" s="350"/>
      <c r="AG443" s="351"/>
      <c r="AH443" s="412"/>
      <c r="AI443" s="350"/>
      <c r="AJ443" s="351"/>
      <c r="AK443" s="412"/>
      <c r="AL443" s="350"/>
      <c r="AM443" s="350"/>
      <c r="AN443" s="351"/>
      <c r="AO443" s="412"/>
      <c r="AP443" s="350"/>
      <c r="AQ443" s="350"/>
      <c r="AR443" s="350"/>
      <c r="AS443" s="350"/>
      <c r="AT443" s="350"/>
      <c r="AU443" s="350"/>
      <c r="AV443" s="351"/>
      <c r="AW443" s="723"/>
      <c r="AX443" s="350"/>
      <c r="AY443" s="351"/>
      <c r="AZ443" s="412"/>
      <c r="BA443" s="350"/>
      <c r="BB443" s="350"/>
      <c r="BC443" s="350"/>
      <c r="BD443" s="350"/>
      <c r="BE443" s="350"/>
      <c r="BF443" s="350"/>
      <c r="BG443" s="350"/>
      <c r="BH443" s="350"/>
      <c r="BI443" s="350"/>
      <c r="BJ443" s="350"/>
      <c r="BK443" s="350"/>
      <c r="BL443" s="350"/>
      <c r="BM443" s="350"/>
      <c r="BN443" s="350"/>
      <c r="BO443" s="351"/>
    </row>
    <row r="444" spans="1:67" ht="34.5" customHeight="1">
      <c r="A444" s="98">
        <f t="shared" si="1"/>
        <v>432</v>
      </c>
      <c r="B444" s="416" t="s">
        <v>325</v>
      </c>
      <c r="C444" s="351"/>
      <c r="D444" s="594"/>
      <c r="E444" s="350"/>
      <c r="F444" s="350"/>
      <c r="G444" s="350"/>
      <c r="H444" s="351"/>
      <c r="I444" s="368"/>
      <c r="J444" s="350"/>
      <c r="K444" s="350"/>
      <c r="L444" s="350"/>
      <c r="M444" s="350"/>
      <c r="N444" s="350"/>
      <c r="O444" s="350"/>
      <c r="P444" s="351"/>
      <c r="Q444" s="511"/>
      <c r="R444" s="350"/>
      <c r="S444" s="350"/>
      <c r="T444" s="350"/>
      <c r="U444" s="350"/>
      <c r="V444" s="350"/>
      <c r="W444" s="350"/>
      <c r="X444" s="351"/>
      <c r="Y444" s="368"/>
      <c r="Z444" s="351"/>
      <c r="AA444" s="511"/>
      <c r="AB444" s="350"/>
      <c r="AC444" s="350"/>
      <c r="AD444" s="351"/>
      <c r="AE444" s="368"/>
      <c r="AF444" s="350"/>
      <c r="AG444" s="351"/>
      <c r="AH444" s="511"/>
      <c r="AI444" s="350"/>
      <c r="AJ444" s="351"/>
      <c r="AK444" s="368"/>
      <c r="AL444" s="350"/>
      <c r="AM444" s="350"/>
      <c r="AN444" s="351"/>
      <c r="AO444" s="511"/>
      <c r="AP444" s="350"/>
      <c r="AQ444" s="350"/>
      <c r="AR444" s="350"/>
      <c r="AS444" s="350"/>
      <c r="AT444" s="350"/>
      <c r="AU444" s="350"/>
      <c r="AV444" s="351"/>
      <c r="AW444" s="725"/>
      <c r="AX444" s="350"/>
      <c r="AY444" s="351"/>
      <c r="AZ444" s="511"/>
      <c r="BA444" s="350"/>
      <c r="BB444" s="350"/>
      <c r="BC444" s="350"/>
      <c r="BD444" s="350"/>
      <c r="BE444" s="350"/>
      <c r="BF444" s="350"/>
      <c r="BG444" s="350"/>
      <c r="BH444" s="350"/>
      <c r="BI444" s="350"/>
      <c r="BJ444" s="350"/>
      <c r="BK444" s="350"/>
      <c r="BL444" s="350"/>
      <c r="BM444" s="350"/>
      <c r="BN444" s="350"/>
      <c r="BO444" s="351"/>
    </row>
    <row r="445" spans="1:67" ht="34.5" customHeight="1">
      <c r="A445" s="98">
        <f t="shared" si="1"/>
        <v>433</v>
      </c>
      <c r="B445" s="416" t="s">
        <v>325</v>
      </c>
      <c r="C445" s="351"/>
      <c r="D445" s="724"/>
      <c r="E445" s="350"/>
      <c r="F445" s="350"/>
      <c r="G445" s="350"/>
      <c r="H445" s="351"/>
      <c r="I445" s="412"/>
      <c r="J445" s="350"/>
      <c r="K445" s="350"/>
      <c r="L445" s="350"/>
      <c r="M445" s="350"/>
      <c r="N445" s="350"/>
      <c r="O445" s="350"/>
      <c r="P445" s="351"/>
      <c r="Q445" s="412"/>
      <c r="R445" s="350"/>
      <c r="S445" s="350"/>
      <c r="T445" s="350"/>
      <c r="U445" s="350"/>
      <c r="V445" s="350"/>
      <c r="W445" s="350"/>
      <c r="X445" s="351"/>
      <c r="Y445" s="412"/>
      <c r="Z445" s="351"/>
      <c r="AA445" s="412"/>
      <c r="AB445" s="350"/>
      <c r="AC445" s="350"/>
      <c r="AD445" s="351"/>
      <c r="AE445" s="412"/>
      <c r="AF445" s="350"/>
      <c r="AG445" s="351"/>
      <c r="AH445" s="412"/>
      <c r="AI445" s="350"/>
      <c r="AJ445" s="351"/>
      <c r="AK445" s="412"/>
      <c r="AL445" s="350"/>
      <c r="AM445" s="350"/>
      <c r="AN445" s="351"/>
      <c r="AO445" s="412"/>
      <c r="AP445" s="350"/>
      <c r="AQ445" s="350"/>
      <c r="AR445" s="350"/>
      <c r="AS445" s="350"/>
      <c r="AT445" s="350"/>
      <c r="AU445" s="350"/>
      <c r="AV445" s="351"/>
      <c r="AW445" s="723"/>
      <c r="AX445" s="350"/>
      <c r="AY445" s="351"/>
      <c r="AZ445" s="412"/>
      <c r="BA445" s="350"/>
      <c r="BB445" s="350"/>
      <c r="BC445" s="350"/>
      <c r="BD445" s="350"/>
      <c r="BE445" s="350"/>
      <c r="BF445" s="350"/>
      <c r="BG445" s="350"/>
      <c r="BH445" s="350"/>
      <c r="BI445" s="350"/>
      <c r="BJ445" s="350"/>
      <c r="BK445" s="350"/>
      <c r="BL445" s="350"/>
      <c r="BM445" s="350"/>
      <c r="BN445" s="350"/>
      <c r="BO445" s="351"/>
    </row>
    <row r="446" spans="1:67" ht="34.5" customHeight="1">
      <c r="A446" s="98">
        <f t="shared" si="1"/>
        <v>434</v>
      </c>
      <c r="B446" s="726" t="s">
        <v>325</v>
      </c>
      <c r="C446" s="351"/>
      <c r="D446" s="594"/>
      <c r="E446" s="350"/>
      <c r="F446" s="350"/>
      <c r="G446" s="350"/>
      <c r="H446" s="351"/>
      <c r="I446" s="368"/>
      <c r="J446" s="350"/>
      <c r="K446" s="350"/>
      <c r="L446" s="350"/>
      <c r="M446" s="350"/>
      <c r="N446" s="350"/>
      <c r="O446" s="350"/>
      <c r="P446" s="351"/>
      <c r="Q446" s="511"/>
      <c r="R446" s="350"/>
      <c r="S446" s="350"/>
      <c r="T446" s="350"/>
      <c r="U446" s="350"/>
      <c r="V446" s="350"/>
      <c r="W446" s="350"/>
      <c r="X446" s="351"/>
      <c r="Y446" s="368"/>
      <c r="Z446" s="351"/>
      <c r="AA446" s="511"/>
      <c r="AB446" s="350"/>
      <c r="AC446" s="350"/>
      <c r="AD446" s="351"/>
      <c r="AE446" s="368"/>
      <c r="AF446" s="350"/>
      <c r="AG446" s="351"/>
      <c r="AH446" s="511"/>
      <c r="AI446" s="350"/>
      <c r="AJ446" s="351"/>
      <c r="AK446" s="368"/>
      <c r="AL446" s="350"/>
      <c r="AM446" s="350"/>
      <c r="AN446" s="351"/>
      <c r="AO446" s="511"/>
      <c r="AP446" s="350"/>
      <c r="AQ446" s="350"/>
      <c r="AR446" s="350"/>
      <c r="AS446" s="350"/>
      <c r="AT446" s="350"/>
      <c r="AU446" s="350"/>
      <c r="AV446" s="351"/>
      <c r="AW446" s="725"/>
      <c r="AX446" s="350"/>
      <c r="AY446" s="351"/>
      <c r="AZ446" s="511"/>
      <c r="BA446" s="350"/>
      <c r="BB446" s="350"/>
      <c r="BC446" s="350"/>
      <c r="BD446" s="350"/>
      <c r="BE446" s="350"/>
      <c r="BF446" s="350"/>
      <c r="BG446" s="350"/>
      <c r="BH446" s="350"/>
      <c r="BI446" s="350"/>
      <c r="BJ446" s="350"/>
      <c r="BK446" s="350"/>
      <c r="BL446" s="350"/>
      <c r="BM446" s="350"/>
      <c r="BN446" s="350"/>
      <c r="BO446" s="351"/>
    </row>
    <row r="447" spans="1:67" ht="34.5" customHeight="1">
      <c r="A447" s="98">
        <f t="shared" si="1"/>
        <v>435</v>
      </c>
      <c r="B447" s="416" t="s">
        <v>325</v>
      </c>
      <c r="C447" s="351"/>
      <c r="D447" s="724"/>
      <c r="E447" s="350"/>
      <c r="F447" s="350"/>
      <c r="G447" s="350"/>
      <c r="H447" s="351"/>
      <c r="I447" s="412"/>
      <c r="J447" s="350"/>
      <c r="K447" s="350"/>
      <c r="L447" s="350"/>
      <c r="M447" s="350"/>
      <c r="N447" s="350"/>
      <c r="O447" s="350"/>
      <c r="P447" s="351"/>
      <c r="Q447" s="412"/>
      <c r="R447" s="350"/>
      <c r="S447" s="350"/>
      <c r="T447" s="350"/>
      <c r="U447" s="350"/>
      <c r="V447" s="350"/>
      <c r="W447" s="350"/>
      <c r="X447" s="351"/>
      <c r="Y447" s="412"/>
      <c r="Z447" s="351"/>
      <c r="AA447" s="412"/>
      <c r="AB447" s="350"/>
      <c r="AC447" s="350"/>
      <c r="AD447" s="351"/>
      <c r="AE447" s="412"/>
      <c r="AF447" s="350"/>
      <c r="AG447" s="351"/>
      <c r="AH447" s="412"/>
      <c r="AI447" s="350"/>
      <c r="AJ447" s="351"/>
      <c r="AK447" s="412"/>
      <c r="AL447" s="350"/>
      <c r="AM447" s="350"/>
      <c r="AN447" s="351"/>
      <c r="AO447" s="412"/>
      <c r="AP447" s="350"/>
      <c r="AQ447" s="350"/>
      <c r="AR447" s="350"/>
      <c r="AS447" s="350"/>
      <c r="AT447" s="350"/>
      <c r="AU447" s="350"/>
      <c r="AV447" s="351"/>
      <c r="AW447" s="723"/>
      <c r="AX447" s="350"/>
      <c r="AY447" s="351"/>
      <c r="AZ447" s="412"/>
      <c r="BA447" s="350"/>
      <c r="BB447" s="350"/>
      <c r="BC447" s="350"/>
      <c r="BD447" s="350"/>
      <c r="BE447" s="350"/>
      <c r="BF447" s="350"/>
      <c r="BG447" s="350"/>
      <c r="BH447" s="350"/>
      <c r="BI447" s="350"/>
      <c r="BJ447" s="350"/>
      <c r="BK447" s="350"/>
      <c r="BL447" s="350"/>
      <c r="BM447" s="350"/>
      <c r="BN447" s="350"/>
      <c r="BO447" s="351"/>
    </row>
    <row r="448" spans="1:67" ht="34.5" customHeight="1">
      <c r="A448" s="98">
        <f t="shared" si="1"/>
        <v>436</v>
      </c>
      <c r="B448" s="416" t="s">
        <v>325</v>
      </c>
      <c r="C448" s="351"/>
      <c r="D448" s="594"/>
      <c r="E448" s="350"/>
      <c r="F448" s="350"/>
      <c r="G448" s="350"/>
      <c r="H448" s="351"/>
      <c r="I448" s="368"/>
      <c r="J448" s="350"/>
      <c r="K448" s="350"/>
      <c r="L448" s="350"/>
      <c r="M448" s="350"/>
      <c r="N448" s="350"/>
      <c r="O448" s="350"/>
      <c r="P448" s="351"/>
      <c r="Q448" s="511"/>
      <c r="R448" s="350"/>
      <c r="S448" s="350"/>
      <c r="T448" s="350"/>
      <c r="U448" s="350"/>
      <c r="V448" s="350"/>
      <c r="W448" s="350"/>
      <c r="X448" s="351"/>
      <c r="Y448" s="368"/>
      <c r="Z448" s="351"/>
      <c r="AA448" s="511"/>
      <c r="AB448" s="350"/>
      <c r="AC448" s="350"/>
      <c r="AD448" s="351"/>
      <c r="AE448" s="368"/>
      <c r="AF448" s="350"/>
      <c r="AG448" s="351"/>
      <c r="AH448" s="511"/>
      <c r="AI448" s="350"/>
      <c r="AJ448" s="351"/>
      <c r="AK448" s="368"/>
      <c r="AL448" s="350"/>
      <c r="AM448" s="350"/>
      <c r="AN448" s="351"/>
      <c r="AO448" s="511"/>
      <c r="AP448" s="350"/>
      <c r="AQ448" s="350"/>
      <c r="AR448" s="350"/>
      <c r="AS448" s="350"/>
      <c r="AT448" s="350"/>
      <c r="AU448" s="350"/>
      <c r="AV448" s="351"/>
      <c r="AW448" s="725"/>
      <c r="AX448" s="350"/>
      <c r="AY448" s="351"/>
      <c r="AZ448" s="511"/>
      <c r="BA448" s="350"/>
      <c r="BB448" s="350"/>
      <c r="BC448" s="350"/>
      <c r="BD448" s="350"/>
      <c r="BE448" s="350"/>
      <c r="BF448" s="350"/>
      <c r="BG448" s="350"/>
      <c r="BH448" s="350"/>
      <c r="BI448" s="350"/>
      <c r="BJ448" s="350"/>
      <c r="BK448" s="350"/>
      <c r="BL448" s="350"/>
      <c r="BM448" s="350"/>
      <c r="BN448" s="350"/>
      <c r="BO448" s="351"/>
    </row>
    <row r="449" spans="1:67" ht="34.5" customHeight="1">
      <c r="A449" s="98">
        <f t="shared" si="1"/>
        <v>437</v>
      </c>
      <c r="B449" s="416" t="s">
        <v>325</v>
      </c>
      <c r="C449" s="351"/>
      <c r="D449" s="724"/>
      <c r="E449" s="350"/>
      <c r="F449" s="350"/>
      <c r="G449" s="350"/>
      <c r="H449" s="351"/>
      <c r="I449" s="412"/>
      <c r="J449" s="350"/>
      <c r="K449" s="350"/>
      <c r="L449" s="350"/>
      <c r="M449" s="350"/>
      <c r="N449" s="350"/>
      <c r="O449" s="350"/>
      <c r="P449" s="351"/>
      <c r="Q449" s="412"/>
      <c r="R449" s="350"/>
      <c r="S449" s="350"/>
      <c r="T449" s="350"/>
      <c r="U449" s="350"/>
      <c r="V449" s="350"/>
      <c r="W449" s="350"/>
      <c r="X449" s="351"/>
      <c r="Y449" s="412"/>
      <c r="Z449" s="351"/>
      <c r="AA449" s="412"/>
      <c r="AB449" s="350"/>
      <c r="AC449" s="350"/>
      <c r="AD449" s="351"/>
      <c r="AE449" s="412"/>
      <c r="AF449" s="350"/>
      <c r="AG449" s="351"/>
      <c r="AH449" s="412"/>
      <c r="AI449" s="350"/>
      <c r="AJ449" s="351"/>
      <c r="AK449" s="412"/>
      <c r="AL449" s="350"/>
      <c r="AM449" s="350"/>
      <c r="AN449" s="351"/>
      <c r="AO449" s="412"/>
      <c r="AP449" s="350"/>
      <c r="AQ449" s="350"/>
      <c r="AR449" s="350"/>
      <c r="AS449" s="350"/>
      <c r="AT449" s="350"/>
      <c r="AU449" s="350"/>
      <c r="AV449" s="351"/>
      <c r="AW449" s="723"/>
      <c r="AX449" s="350"/>
      <c r="AY449" s="351"/>
      <c r="AZ449" s="412"/>
      <c r="BA449" s="350"/>
      <c r="BB449" s="350"/>
      <c r="BC449" s="350"/>
      <c r="BD449" s="350"/>
      <c r="BE449" s="350"/>
      <c r="BF449" s="350"/>
      <c r="BG449" s="350"/>
      <c r="BH449" s="350"/>
      <c r="BI449" s="350"/>
      <c r="BJ449" s="350"/>
      <c r="BK449" s="350"/>
      <c r="BL449" s="350"/>
      <c r="BM449" s="350"/>
      <c r="BN449" s="350"/>
      <c r="BO449" s="351"/>
    </row>
    <row r="450" spans="1:67" ht="34.5" customHeight="1">
      <c r="A450" s="98">
        <f t="shared" si="1"/>
        <v>438</v>
      </c>
      <c r="B450" s="416" t="s">
        <v>325</v>
      </c>
      <c r="C450" s="351"/>
      <c r="D450" s="594"/>
      <c r="E450" s="350"/>
      <c r="F450" s="350"/>
      <c r="G450" s="350"/>
      <c r="H450" s="351"/>
      <c r="I450" s="368"/>
      <c r="J450" s="350"/>
      <c r="K450" s="350"/>
      <c r="L450" s="350"/>
      <c r="M450" s="350"/>
      <c r="N450" s="350"/>
      <c r="O450" s="350"/>
      <c r="P450" s="351"/>
      <c r="Q450" s="511"/>
      <c r="R450" s="350"/>
      <c r="S450" s="350"/>
      <c r="T450" s="350"/>
      <c r="U450" s="350"/>
      <c r="V450" s="350"/>
      <c r="W450" s="350"/>
      <c r="X450" s="351"/>
      <c r="Y450" s="368"/>
      <c r="Z450" s="351"/>
      <c r="AA450" s="511"/>
      <c r="AB450" s="350"/>
      <c r="AC450" s="350"/>
      <c r="AD450" s="351"/>
      <c r="AE450" s="368"/>
      <c r="AF450" s="350"/>
      <c r="AG450" s="351"/>
      <c r="AH450" s="511"/>
      <c r="AI450" s="350"/>
      <c r="AJ450" s="351"/>
      <c r="AK450" s="368"/>
      <c r="AL450" s="350"/>
      <c r="AM450" s="350"/>
      <c r="AN450" s="351"/>
      <c r="AO450" s="511"/>
      <c r="AP450" s="350"/>
      <c r="AQ450" s="350"/>
      <c r="AR450" s="350"/>
      <c r="AS450" s="350"/>
      <c r="AT450" s="350"/>
      <c r="AU450" s="350"/>
      <c r="AV450" s="351"/>
      <c r="AW450" s="725"/>
      <c r="AX450" s="350"/>
      <c r="AY450" s="351"/>
      <c r="AZ450" s="511"/>
      <c r="BA450" s="350"/>
      <c r="BB450" s="350"/>
      <c r="BC450" s="350"/>
      <c r="BD450" s="350"/>
      <c r="BE450" s="350"/>
      <c r="BF450" s="350"/>
      <c r="BG450" s="350"/>
      <c r="BH450" s="350"/>
      <c r="BI450" s="350"/>
      <c r="BJ450" s="350"/>
      <c r="BK450" s="350"/>
      <c r="BL450" s="350"/>
      <c r="BM450" s="350"/>
      <c r="BN450" s="350"/>
      <c r="BO450" s="351"/>
    </row>
    <row r="451" spans="1:67" ht="34.5" customHeight="1">
      <c r="A451" s="98">
        <f t="shared" si="1"/>
        <v>439</v>
      </c>
      <c r="B451" s="416" t="s">
        <v>325</v>
      </c>
      <c r="C451" s="351"/>
      <c r="D451" s="724"/>
      <c r="E451" s="350"/>
      <c r="F451" s="350"/>
      <c r="G451" s="350"/>
      <c r="H451" s="351"/>
      <c r="I451" s="412"/>
      <c r="J451" s="350"/>
      <c r="K451" s="350"/>
      <c r="L451" s="350"/>
      <c r="M451" s="350"/>
      <c r="N451" s="350"/>
      <c r="O451" s="350"/>
      <c r="P451" s="351"/>
      <c r="Q451" s="412"/>
      <c r="R451" s="350"/>
      <c r="S451" s="350"/>
      <c r="T451" s="350"/>
      <c r="U451" s="350"/>
      <c r="V451" s="350"/>
      <c r="W451" s="350"/>
      <c r="X451" s="351"/>
      <c r="Y451" s="412"/>
      <c r="Z451" s="351"/>
      <c r="AA451" s="412"/>
      <c r="AB451" s="350"/>
      <c r="AC451" s="350"/>
      <c r="AD451" s="351"/>
      <c r="AE451" s="412"/>
      <c r="AF451" s="350"/>
      <c r="AG451" s="351"/>
      <c r="AH451" s="412"/>
      <c r="AI451" s="350"/>
      <c r="AJ451" s="351"/>
      <c r="AK451" s="412"/>
      <c r="AL451" s="350"/>
      <c r="AM451" s="350"/>
      <c r="AN451" s="351"/>
      <c r="AO451" s="412"/>
      <c r="AP451" s="350"/>
      <c r="AQ451" s="350"/>
      <c r="AR451" s="350"/>
      <c r="AS451" s="350"/>
      <c r="AT451" s="350"/>
      <c r="AU451" s="350"/>
      <c r="AV451" s="351"/>
      <c r="AW451" s="723"/>
      <c r="AX451" s="350"/>
      <c r="AY451" s="351"/>
      <c r="AZ451" s="412"/>
      <c r="BA451" s="350"/>
      <c r="BB451" s="350"/>
      <c r="BC451" s="350"/>
      <c r="BD451" s="350"/>
      <c r="BE451" s="350"/>
      <c r="BF451" s="350"/>
      <c r="BG451" s="350"/>
      <c r="BH451" s="350"/>
      <c r="BI451" s="350"/>
      <c r="BJ451" s="350"/>
      <c r="BK451" s="350"/>
      <c r="BL451" s="350"/>
      <c r="BM451" s="350"/>
      <c r="BN451" s="350"/>
      <c r="BO451" s="351"/>
    </row>
    <row r="452" spans="1:67" ht="34.5" customHeight="1">
      <c r="A452" s="98">
        <f t="shared" si="1"/>
        <v>440</v>
      </c>
      <c r="B452" s="416" t="s">
        <v>325</v>
      </c>
      <c r="C452" s="351"/>
      <c r="D452" s="594"/>
      <c r="E452" s="350"/>
      <c r="F452" s="350"/>
      <c r="G452" s="350"/>
      <c r="H452" s="351"/>
      <c r="I452" s="368"/>
      <c r="J452" s="350"/>
      <c r="K452" s="350"/>
      <c r="L452" s="350"/>
      <c r="M452" s="350"/>
      <c r="N452" s="350"/>
      <c r="O452" s="350"/>
      <c r="P452" s="351"/>
      <c r="Q452" s="511"/>
      <c r="R452" s="350"/>
      <c r="S452" s="350"/>
      <c r="T452" s="350"/>
      <c r="U452" s="350"/>
      <c r="V452" s="350"/>
      <c r="W452" s="350"/>
      <c r="X452" s="351"/>
      <c r="Y452" s="368"/>
      <c r="Z452" s="351"/>
      <c r="AA452" s="511"/>
      <c r="AB452" s="350"/>
      <c r="AC452" s="350"/>
      <c r="AD452" s="351"/>
      <c r="AE452" s="368"/>
      <c r="AF452" s="350"/>
      <c r="AG452" s="351"/>
      <c r="AH452" s="511"/>
      <c r="AI452" s="350"/>
      <c r="AJ452" s="351"/>
      <c r="AK452" s="368"/>
      <c r="AL452" s="350"/>
      <c r="AM452" s="350"/>
      <c r="AN452" s="351"/>
      <c r="AO452" s="511"/>
      <c r="AP452" s="350"/>
      <c r="AQ452" s="350"/>
      <c r="AR452" s="350"/>
      <c r="AS452" s="350"/>
      <c r="AT452" s="350"/>
      <c r="AU452" s="350"/>
      <c r="AV452" s="351"/>
      <c r="AW452" s="725"/>
      <c r="AX452" s="350"/>
      <c r="AY452" s="351"/>
      <c r="AZ452" s="511"/>
      <c r="BA452" s="350"/>
      <c r="BB452" s="350"/>
      <c r="BC452" s="350"/>
      <c r="BD452" s="350"/>
      <c r="BE452" s="350"/>
      <c r="BF452" s="350"/>
      <c r="BG452" s="350"/>
      <c r="BH452" s="350"/>
      <c r="BI452" s="350"/>
      <c r="BJ452" s="350"/>
      <c r="BK452" s="350"/>
      <c r="BL452" s="350"/>
      <c r="BM452" s="350"/>
      <c r="BN452" s="350"/>
      <c r="BO452" s="351"/>
    </row>
    <row r="453" spans="1:67" ht="34.5" customHeight="1">
      <c r="A453" s="98">
        <f t="shared" si="1"/>
        <v>441</v>
      </c>
      <c r="B453" s="416" t="s">
        <v>325</v>
      </c>
      <c r="C453" s="351"/>
      <c r="D453" s="724"/>
      <c r="E453" s="350"/>
      <c r="F453" s="350"/>
      <c r="G453" s="350"/>
      <c r="H453" s="351"/>
      <c r="I453" s="412"/>
      <c r="J453" s="350"/>
      <c r="K453" s="350"/>
      <c r="L453" s="350"/>
      <c r="M453" s="350"/>
      <c r="N453" s="350"/>
      <c r="O453" s="350"/>
      <c r="P453" s="351"/>
      <c r="Q453" s="412"/>
      <c r="R453" s="350"/>
      <c r="S453" s="350"/>
      <c r="T453" s="350"/>
      <c r="U453" s="350"/>
      <c r="V453" s="350"/>
      <c r="W453" s="350"/>
      <c r="X453" s="351"/>
      <c r="Y453" s="412"/>
      <c r="Z453" s="351"/>
      <c r="AA453" s="412"/>
      <c r="AB453" s="350"/>
      <c r="AC453" s="350"/>
      <c r="AD453" s="351"/>
      <c r="AE453" s="412"/>
      <c r="AF453" s="350"/>
      <c r="AG453" s="351"/>
      <c r="AH453" s="412"/>
      <c r="AI453" s="350"/>
      <c r="AJ453" s="351"/>
      <c r="AK453" s="412"/>
      <c r="AL453" s="350"/>
      <c r="AM453" s="350"/>
      <c r="AN453" s="351"/>
      <c r="AO453" s="412"/>
      <c r="AP453" s="350"/>
      <c r="AQ453" s="350"/>
      <c r="AR453" s="350"/>
      <c r="AS453" s="350"/>
      <c r="AT453" s="350"/>
      <c r="AU453" s="350"/>
      <c r="AV453" s="351"/>
      <c r="AW453" s="723"/>
      <c r="AX453" s="350"/>
      <c r="AY453" s="351"/>
      <c r="AZ453" s="412"/>
      <c r="BA453" s="350"/>
      <c r="BB453" s="350"/>
      <c r="BC453" s="350"/>
      <c r="BD453" s="350"/>
      <c r="BE453" s="350"/>
      <c r="BF453" s="350"/>
      <c r="BG453" s="350"/>
      <c r="BH453" s="350"/>
      <c r="BI453" s="350"/>
      <c r="BJ453" s="350"/>
      <c r="BK453" s="350"/>
      <c r="BL453" s="350"/>
      <c r="BM453" s="350"/>
      <c r="BN453" s="350"/>
      <c r="BO453" s="351"/>
    </row>
    <row r="454" spans="1:67" ht="34.5" customHeight="1">
      <c r="A454" s="98">
        <f t="shared" si="1"/>
        <v>442</v>
      </c>
      <c r="B454" s="416" t="s">
        <v>325</v>
      </c>
      <c r="C454" s="351"/>
      <c r="D454" s="594"/>
      <c r="E454" s="350"/>
      <c r="F454" s="350"/>
      <c r="G454" s="350"/>
      <c r="H454" s="351"/>
      <c r="I454" s="368"/>
      <c r="J454" s="350"/>
      <c r="K454" s="350"/>
      <c r="L454" s="350"/>
      <c r="M454" s="350"/>
      <c r="N454" s="350"/>
      <c r="O454" s="350"/>
      <c r="P454" s="351"/>
      <c r="Q454" s="511"/>
      <c r="R454" s="350"/>
      <c r="S454" s="350"/>
      <c r="T454" s="350"/>
      <c r="U454" s="350"/>
      <c r="V454" s="350"/>
      <c r="W454" s="350"/>
      <c r="X454" s="351"/>
      <c r="Y454" s="368"/>
      <c r="Z454" s="351"/>
      <c r="AA454" s="511"/>
      <c r="AB454" s="350"/>
      <c r="AC454" s="350"/>
      <c r="AD454" s="351"/>
      <c r="AE454" s="368"/>
      <c r="AF454" s="350"/>
      <c r="AG454" s="351"/>
      <c r="AH454" s="511"/>
      <c r="AI454" s="350"/>
      <c r="AJ454" s="351"/>
      <c r="AK454" s="368"/>
      <c r="AL454" s="350"/>
      <c r="AM454" s="350"/>
      <c r="AN454" s="351"/>
      <c r="AO454" s="511"/>
      <c r="AP454" s="350"/>
      <c r="AQ454" s="350"/>
      <c r="AR454" s="350"/>
      <c r="AS454" s="350"/>
      <c r="AT454" s="350"/>
      <c r="AU454" s="350"/>
      <c r="AV454" s="351"/>
      <c r="AW454" s="725"/>
      <c r="AX454" s="350"/>
      <c r="AY454" s="351"/>
      <c r="AZ454" s="511"/>
      <c r="BA454" s="350"/>
      <c r="BB454" s="350"/>
      <c r="BC454" s="350"/>
      <c r="BD454" s="350"/>
      <c r="BE454" s="350"/>
      <c r="BF454" s="350"/>
      <c r="BG454" s="350"/>
      <c r="BH454" s="350"/>
      <c r="BI454" s="350"/>
      <c r="BJ454" s="350"/>
      <c r="BK454" s="350"/>
      <c r="BL454" s="350"/>
      <c r="BM454" s="350"/>
      <c r="BN454" s="350"/>
      <c r="BO454" s="351"/>
    </row>
    <row r="455" spans="1:67" ht="34.5" customHeight="1">
      <c r="A455" s="98">
        <f t="shared" si="1"/>
        <v>443</v>
      </c>
      <c r="B455" s="416" t="s">
        <v>325</v>
      </c>
      <c r="C455" s="351"/>
      <c r="D455" s="724"/>
      <c r="E455" s="350"/>
      <c r="F455" s="350"/>
      <c r="G455" s="350"/>
      <c r="H455" s="351"/>
      <c r="I455" s="412"/>
      <c r="J455" s="350"/>
      <c r="K455" s="350"/>
      <c r="L455" s="350"/>
      <c r="M455" s="350"/>
      <c r="N455" s="350"/>
      <c r="O455" s="350"/>
      <c r="P455" s="351"/>
      <c r="Q455" s="412"/>
      <c r="R455" s="350"/>
      <c r="S455" s="350"/>
      <c r="T455" s="350"/>
      <c r="U455" s="350"/>
      <c r="V455" s="350"/>
      <c r="W455" s="350"/>
      <c r="X455" s="351"/>
      <c r="Y455" s="412"/>
      <c r="Z455" s="351"/>
      <c r="AA455" s="412"/>
      <c r="AB455" s="350"/>
      <c r="AC455" s="350"/>
      <c r="AD455" s="351"/>
      <c r="AE455" s="412"/>
      <c r="AF455" s="350"/>
      <c r="AG455" s="351"/>
      <c r="AH455" s="412"/>
      <c r="AI455" s="350"/>
      <c r="AJ455" s="351"/>
      <c r="AK455" s="412"/>
      <c r="AL455" s="350"/>
      <c r="AM455" s="350"/>
      <c r="AN455" s="351"/>
      <c r="AO455" s="412"/>
      <c r="AP455" s="350"/>
      <c r="AQ455" s="350"/>
      <c r="AR455" s="350"/>
      <c r="AS455" s="350"/>
      <c r="AT455" s="350"/>
      <c r="AU455" s="350"/>
      <c r="AV455" s="351"/>
      <c r="AW455" s="723"/>
      <c r="AX455" s="350"/>
      <c r="AY455" s="351"/>
      <c r="AZ455" s="412"/>
      <c r="BA455" s="350"/>
      <c r="BB455" s="350"/>
      <c r="BC455" s="350"/>
      <c r="BD455" s="350"/>
      <c r="BE455" s="350"/>
      <c r="BF455" s="350"/>
      <c r="BG455" s="350"/>
      <c r="BH455" s="350"/>
      <c r="BI455" s="350"/>
      <c r="BJ455" s="350"/>
      <c r="BK455" s="350"/>
      <c r="BL455" s="350"/>
      <c r="BM455" s="350"/>
      <c r="BN455" s="350"/>
      <c r="BO455" s="351"/>
    </row>
    <row r="456" spans="1:67" ht="34.5" customHeight="1">
      <c r="A456" s="98">
        <f t="shared" si="1"/>
        <v>444</v>
      </c>
      <c r="B456" s="416" t="s">
        <v>325</v>
      </c>
      <c r="C456" s="351"/>
      <c r="D456" s="594"/>
      <c r="E456" s="350"/>
      <c r="F456" s="350"/>
      <c r="G456" s="350"/>
      <c r="H456" s="351"/>
      <c r="I456" s="368"/>
      <c r="J456" s="350"/>
      <c r="K456" s="350"/>
      <c r="L456" s="350"/>
      <c r="M456" s="350"/>
      <c r="N456" s="350"/>
      <c r="O456" s="350"/>
      <c r="P456" s="351"/>
      <c r="Q456" s="511"/>
      <c r="R456" s="350"/>
      <c r="S456" s="350"/>
      <c r="T456" s="350"/>
      <c r="U456" s="350"/>
      <c r="V456" s="350"/>
      <c r="W456" s="350"/>
      <c r="X456" s="351"/>
      <c r="Y456" s="368"/>
      <c r="Z456" s="351"/>
      <c r="AA456" s="511"/>
      <c r="AB456" s="350"/>
      <c r="AC456" s="350"/>
      <c r="AD456" s="351"/>
      <c r="AE456" s="368"/>
      <c r="AF456" s="350"/>
      <c r="AG456" s="351"/>
      <c r="AH456" s="511"/>
      <c r="AI456" s="350"/>
      <c r="AJ456" s="351"/>
      <c r="AK456" s="368"/>
      <c r="AL456" s="350"/>
      <c r="AM456" s="350"/>
      <c r="AN456" s="351"/>
      <c r="AO456" s="511"/>
      <c r="AP456" s="350"/>
      <c r="AQ456" s="350"/>
      <c r="AR456" s="350"/>
      <c r="AS456" s="350"/>
      <c r="AT456" s="350"/>
      <c r="AU456" s="350"/>
      <c r="AV456" s="351"/>
      <c r="AW456" s="725"/>
      <c r="AX456" s="350"/>
      <c r="AY456" s="351"/>
      <c r="AZ456" s="511"/>
      <c r="BA456" s="350"/>
      <c r="BB456" s="350"/>
      <c r="BC456" s="350"/>
      <c r="BD456" s="350"/>
      <c r="BE456" s="350"/>
      <c r="BF456" s="350"/>
      <c r="BG456" s="350"/>
      <c r="BH456" s="350"/>
      <c r="BI456" s="350"/>
      <c r="BJ456" s="350"/>
      <c r="BK456" s="350"/>
      <c r="BL456" s="350"/>
      <c r="BM456" s="350"/>
      <c r="BN456" s="350"/>
      <c r="BO456" s="351"/>
    </row>
    <row r="457" spans="1:67" ht="34.5" customHeight="1">
      <c r="A457" s="98">
        <f t="shared" si="1"/>
        <v>445</v>
      </c>
      <c r="B457" s="416" t="s">
        <v>325</v>
      </c>
      <c r="C457" s="351"/>
      <c r="D457" s="724"/>
      <c r="E457" s="350"/>
      <c r="F457" s="350"/>
      <c r="G457" s="350"/>
      <c r="H457" s="351"/>
      <c r="I457" s="412"/>
      <c r="J457" s="350"/>
      <c r="K457" s="350"/>
      <c r="L457" s="350"/>
      <c r="M457" s="350"/>
      <c r="N457" s="350"/>
      <c r="O457" s="350"/>
      <c r="P457" s="351"/>
      <c r="Q457" s="412"/>
      <c r="R457" s="350"/>
      <c r="S457" s="350"/>
      <c r="T457" s="350"/>
      <c r="U457" s="350"/>
      <c r="V457" s="350"/>
      <c r="W457" s="350"/>
      <c r="X457" s="351"/>
      <c r="Y457" s="412"/>
      <c r="Z457" s="351"/>
      <c r="AA457" s="412"/>
      <c r="AB457" s="350"/>
      <c r="AC457" s="350"/>
      <c r="AD457" s="351"/>
      <c r="AE457" s="412"/>
      <c r="AF457" s="350"/>
      <c r="AG457" s="351"/>
      <c r="AH457" s="412"/>
      <c r="AI457" s="350"/>
      <c r="AJ457" s="351"/>
      <c r="AK457" s="412"/>
      <c r="AL457" s="350"/>
      <c r="AM457" s="350"/>
      <c r="AN457" s="351"/>
      <c r="AO457" s="412"/>
      <c r="AP457" s="350"/>
      <c r="AQ457" s="350"/>
      <c r="AR457" s="350"/>
      <c r="AS457" s="350"/>
      <c r="AT457" s="350"/>
      <c r="AU457" s="350"/>
      <c r="AV457" s="351"/>
      <c r="AW457" s="723"/>
      <c r="AX457" s="350"/>
      <c r="AY457" s="351"/>
      <c r="AZ457" s="412"/>
      <c r="BA457" s="350"/>
      <c r="BB457" s="350"/>
      <c r="BC457" s="350"/>
      <c r="BD457" s="350"/>
      <c r="BE457" s="350"/>
      <c r="BF457" s="350"/>
      <c r="BG457" s="350"/>
      <c r="BH457" s="350"/>
      <c r="BI457" s="350"/>
      <c r="BJ457" s="350"/>
      <c r="BK457" s="350"/>
      <c r="BL457" s="350"/>
      <c r="BM457" s="350"/>
      <c r="BN457" s="350"/>
      <c r="BO457" s="351"/>
    </row>
    <row r="458" spans="1:67" ht="34.5" customHeight="1">
      <c r="A458" s="98">
        <f t="shared" si="1"/>
        <v>446</v>
      </c>
      <c r="B458" s="416" t="s">
        <v>325</v>
      </c>
      <c r="C458" s="351"/>
      <c r="D458" s="594"/>
      <c r="E458" s="350"/>
      <c r="F458" s="350"/>
      <c r="G458" s="350"/>
      <c r="H458" s="351"/>
      <c r="I458" s="368"/>
      <c r="J458" s="350"/>
      <c r="K458" s="350"/>
      <c r="L458" s="350"/>
      <c r="M458" s="350"/>
      <c r="N458" s="350"/>
      <c r="O458" s="350"/>
      <c r="P458" s="351"/>
      <c r="Q458" s="511"/>
      <c r="R458" s="350"/>
      <c r="S458" s="350"/>
      <c r="T458" s="350"/>
      <c r="U458" s="350"/>
      <c r="V458" s="350"/>
      <c r="W458" s="350"/>
      <c r="X458" s="351"/>
      <c r="Y458" s="368"/>
      <c r="Z458" s="351"/>
      <c r="AA458" s="511"/>
      <c r="AB458" s="350"/>
      <c r="AC458" s="350"/>
      <c r="AD458" s="351"/>
      <c r="AE458" s="368"/>
      <c r="AF458" s="350"/>
      <c r="AG458" s="351"/>
      <c r="AH458" s="511"/>
      <c r="AI458" s="350"/>
      <c r="AJ458" s="351"/>
      <c r="AK458" s="368"/>
      <c r="AL458" s="350"/>
      <c r="AM458" s="350"/>
      <c r="AN458" s="351"/>
      <c r="AO458" s="511"/>
      <c r="AP458" s="350"/>
      <c r="AQ458" s="350"/>
      <c r="AR458" s="350"/>
      <c r="AS458" s="350"/>
      <c r="AT458" s="350"/>
      <c r="AU458" s="350"/>
      <c r="AV458" s="351"/>
      <c r="AW458" s="725"/>
      <c r="AX458" s="350"/>
      <c r="AY458" s="351"/>
      <c r="AZ458" s="511"/>
      <c r="BA458" s="350"/>
      <c r="BB458" s="350"/>
      <c r="BC458" s="350"/>
      <c r="BD458" s="350"/>
      <c r="BE458" s="350"/>
      <c r="BF458" s="350"/>
      <c r="BG458" s="350"/>
      <c r="BH458" s="350"/>
      <c r="BI458" s="350"/>
      <c r="BJ458" s="350"/>
      <c r="BK458" s="350"/>
      <c r="BL458" s="350"/>
      <c r="BM458" s="350"/>
      <c r="BN458" s="350"/>
      <c r="BO458" s="351"/>
    </row>
    <row r="459" spans="1:67" ht="34.5" customHeight="1">
      <c r="A459" s="98">
        <f t="shared" si="1"/>
        <v>447</v>
      </c>
      <c r="B459" s="416" t="s">
        <v>325</v>
      </c>
      <c r="C459" s="351"/>
      <c r="D459" s="724"/>
      <c r="E459" s="350"/>
      <c r="F459" s="350"/>
      <c r="G459" s="350"/>
      <c r="H459" s="351"/>
      <c r="I459" s="412"/>
      <c r="J459" s="350"/>
      <c r="K459" s="350"/>
      <c r="L459" s="350"/>
      <c r="M459" s="350"/>
      <c r="N459" s="350"/>
      <c r="O459" s="350"/>
      <c r="P459" s="351"/>
      <c r="Q459" s="412"/>
      <c r="R459" s="350"/>
      <c r="S459" s="350"/>
      <c r="T459" s="350"/>
      <c r="U459" s="350"/>
      <c r="V459" s="350"/>
      <c r="W459" s="350"/>
      <c r="X459" s="351"/>
      <c r="Y459" s="412"/>
      <c r="Z459" s="351"/>
      <c r="AA459" s="412"/>
      <c r="AB459" s="350"/>
      <c r="AC459" s="350"/>
      <c r="AD459" s="351"/>
      <c r="AE459" s="412"/>
      <c r="AF459" s="350"/>
      <c r="AG459" s="351"/>
      <c r="AH459" s="412"/>
      <c r="AI459" s="350"/>
      <c r="AJ459" s="351"/>
      <c r="AK459" s="412"/>
      <c r="AL459" s="350"/>
      <c r="AM459" s="350"/>
      <c r="AN459" s="351"/>
      <c r="AO459" s="412"/>
      <c r="AP459" s="350"/>
      <c r="AQ459" s="350"/>
      <c r="AR459" s="350"/>
      <c r="AS459" s="350"/>
      <c r="AT459" s="350"/>
      <c r="AU459" s="350"/>
      <c r="AV459" s="351"/>
      <c r="AW459" s="723"/>
      <c r="AX459" s="350"/>
      <c r="AY459" s="351"/>
      <c r="AZ459" s="412"/>
      <c r="BA459" s="350"/>
      <c r="BB459" s="350"/>
      <c r="BC459" s="350"/>
      <c r="BD459" s="350"/>
      <c r="BE459" s="350"/>
      <c r="BF459" s="350"/>
      <c r="BG459" s="350"/>
      <c r="BH459" s="350"/>
      <c r="BI459" s="350"/>
      <c r="BJ459" s="350"/>
      <c r="BK459" s="350"/>
      <c r="BL459" s="350"/>
      <c r="BM459" s="350"/>
      <c r="BN459" s="350"/>
      <c r="BO459" s="351"/>
    </row>
    <row r="460" spans="1:67" ht="34.5" customHeight="1">
      <c r="A460" s="98">
        <f t="shared" si="1"/>
        <v>448</v>
      </c>
      <c r="B460" s="416" t="s">
        <v>325</v>
      </c>
      <c r="C460" s="351"/>
      <c r="D460" s="594"/>
      <c r="E460" s="350"/>
      <c r="F460" s="350"/>
      <c r="G460" s="350"/>
      <c r="H460" s="351"/>
      <c r="I460" s="368"/>
      <c r="J460" s="350"/>
      <c r="K460" s="350"/>
      <c r="L460" s="350"/>
      <c r="M460" s="350"/>
      <c r="N460" s="350"/>
      <c r="O460" s="350"/>
      <c r="P460" s="351"/>
      <c r="Q460" s="511"/>
      <c r="R460" s="350"/>
      <c r="S460" s="350"/>
      <c r="T460" s="350"/>
      <c r="U460" s="350"/>
      <c r="V460" s="350"/>
      <c r="W460" s="350"/>
      <c r="X460" s="351"/>
      <c r="Y460" s="368"/>
      <c r="Z460" s="351"/>
      <c r="AA460" s="511"/>
      <c r="AB460" s="350"/>
      <c r="AC460" s="350"/>
      <c r="AD460" s="351"/>
      <c r="AE460" s="368"/>
      <c r="AF460" s="350"/>
      <c r="AG460" s="351"/>
      <c r="AH460" s="511"/>
      <c r="AI460" s="350"/>
      <c r="AJ460" s="351"/>
      <c r="AK460" s="368"/>
      <c r="AL460" s="350"/>
      <c r="AM460" s="350"/>
      <c r="AN460" s="351"/>
      <c r="AO460" s="511"/>
      <c r="AP460" s="350"/>
      <c r="AQ460" s="350"/>
      <c r="AR460" s="350"/>
      <c r="AS460" s="350"/>
      <c r="AT460" s="350"/>
      <c r="AU460" s="350"/>
      <c r="AV460" s="351"/>
      <c r="AW460" s="725"/>
      <c r="AX460" s="350"/>
      <c r="AY460" s="351"/>
      <c r="AZ460" s="511"/>
      <c r="BA460" s="350"/>
      <c r="BB460" s="350"/>
      <c r="BC460" s="350"/>
      <c r="BD460" s="350"/>
      <c r="BE460" s="350"/>
      <c r="BF460" s="350"/>
      <c r="BG460" s="350"/>
      <c r="BH460" s="350"/>
      <c r="BI460" s="350"/>
      <c r="BJ460" s="350"/>
      <c r="BK460" s="350"/>
      <c r="BL460" s="350"/>
      <c r="BM460" s="350"/>
      <c r="BN460" s="350"/>
      <c r="BO460" s="351"/>
    </row>
    <row r="461" spans="1:67" ht="34.5" customHeight="1">
      <c r="A461" s="98">
        <f t="shared" si="1"/>
        <v>449</v>
      </c>
      <c r="B461" s="416" t="s">
        <v>325</v>
      </c>
      <c r="C461" s="351"/>
      <c r="D461" s="724"/>
      <c r="E461" s="350"/>
      <c r="F461" s="350"/>
      <c r="G461" s="350"/>
      <c r="H461" s="351"/>
      <c r="I461" s="412"/>
      <c r="J461" s="350"/>
      <c r="K461" s="350"/>
      <c r="L461" s="350"/>
      <c r="M461" s="350"/>
      <c r="N461" s="350"/>
      <c r="O461" s="350"/>
      <c r="P461" s="351"/>
      <c r="Q461" s="412"/>
      <c r="R461" s="350"/>
      <c r="S461" s="350"/>
      <c r="T461" s="350"/>
      <c r="U461" s="350"/>
      <c r="V461" s="350"/>
      <c r="W461" s="350"/>
      <c r="X461" s="351"/>
      <c r="Y461" s="412"/>
      <c r="Z461" s="351"/>
      <c r="AA461" s="412"/>
      <c r="AB461" s="350"/>
      <c r="AC461" s="350"/>
      <c r="AD461" s="351"/>
      <c r="AE461" s="412"/>
      <c r="AF461" s="350"/>
      <c r="AG461" s="351"/>
      <c r="AH461" s="412"/>
      <c r="AI461" s="350"/>
      <c r="AJ461" s="351"/>
      <c r="AK461" s="412"/>
      <c r="AL461" s="350"/>
      <c r="AM461" s="350"/>
      <c r="AN461" s="351"/>
      <c r="AO461" s="412"/>
      <c r="AP461" s="350"/>
      <c r="AQ461" s="350"/>
      <c r="AR461" s="350"/>
      <c r="AS461" s="350"/>
      <c r="AT461" s="350"/>
      <c r="AU461" s="350"/>
      <c r="AV461" s="351"/>
      <c r="AW461" s="723"/>
      <c r="AX461" s="350"/>
      <c r="AY461" s="351"/>
      <c r="AZ461" s="412"/>
      <c r="BA461" s="350"/>
      <c r="BB461" s="350"/>
      <c r="BC461" s="350"/>
      <c r="BD461" s="350"/>
      <c r="BE461" s="350"/>
      <c r="BF461" s="350"/>
      <c r="BG461" s="350"/>
      <c r="BH461" s="350"/>
      <c r="BI461" s="350"/>
      <c r="BJ461" s="350"/>
      <c r="BK461" s="350"/>
      <c r="BL461" s="350"/>
      <c r="BM461" s="350"/>
      <c r="BN461" s="350"/>
      <c r="BO461" s="351"/>
    </row>
    <row r="462" spans="1:67" ht="34.5" customHeight="1">
      <c r="A462" s="98">
        <f t="shared" si="1"/>
        <v>450</v>
      </c>
      <c r="B462" s="416" t="s">
        <v>325</v>
      </c>
      <c r="C462" s="351"/>
      <c r="D462" s="594"/>
      <c r="E462" s="350"/>
      <c r="F462" s="350"/>
      <c r="G462" s="350"/>
      <c r="H462" s="351"/>
      <c r="I462" s="368"/>
      <c r="J462" s="350"/>
      <c r="K462" s="350"/>
      <c r="L462" s="350"/>
      <c r="M462" s="350"/>
      <c r="N462" s="350"/>
      <c r="O462" s="350"/>
      <c r="P462" s="351"/>
      <c r="Q462" s="511"/>
      <c r="R462" s="350"/>
      <c r="S462" s="350"/>
      <c r="T462" s="350"/>
      <c r="U462" s="350"/>
      <c r="V462" s="350"/>
      <c r="W462" s="350"/>
      <c r="X462" s="351"/>
      <c r="Y462" s="368"/>
      <c r="Z462" s="351"/>
      <c r="AA462" s="511"/>
      <c r="AB462" s="350"/>
      <c r="AC462" s="350"/>
      <c r="AD462" s="351"/>
      <c r="AE462" s="368"/>
      <c r="AF462" s="350"/>
      <c r="AG462" s="351"/>
      <c r="AH462" s="511"/>
      <c r="AI462" s="350"/>
      <c r="AJ462" s="351"/>
      <c r="AK462" s="368"/>
      <c r="AL462" s="350"/>
      <c r="AM462" s="350"/>
      <c r="AN462" s="351"/>
      <c r="AO462" s="511"/>
      <c r="AP462" s="350"/>
      <c r="AQ462" s="350"/>
      <c r="AR462" s="350"/>
      <c r="AS462" s="350"/>
      <c r="AT462" s="350"/>
      <c r="AU462" s="350"/>
      <c r="AV462" s="351"/>
      <c r="AW462" s="725"/>
      <c r="AX462" s="350"/>
      <c r="AY462" s="351"/>
      <c r="AZ462" s="511"/>
      <c r="BA462" s="350"/>
      <c r="BB462" s="350"/>
      <c r="BC462" s="350"/>
      <c r="BD462" s="350"/>
      <c r="BE462" s="350"/>
      <c r="BF462" s="350"/>
      <c r="BG462" s="350"/>
      <c r="BH462" s="350"/>
      <c r="BI462" s="350"/>
      <c r="BJ462" s="350"/>
      <c r="BK462" s="350"/>
      <c r="BL462" s="350"/>
      <c r="BM462" s="350"/>
      <c r="BN462" s="350"/>
      <c r="BO462" s="351"/>
    </row>
    <row r="463" spans="1:67" ht="34.5" customHeight="1">
      <c r="A463" s="98">
        <f t="shared" si="1"/>
        <v>451</v>
      </c>
      <c r="B463" s="416" t="s">
        <v>325</v>
      </c>
      <c r="C463" s="351"/>
      <c r="D463" s="724"/>
      <c r="E463" s="350"/>
      <c r="F463" s="350"/>
      <c r="G463" s="350"/>
      <c r="H463" s="351"/>
      <c r="I463" s="412"/>
      <c r="J463" s="350"/>
      <c r="K463" s="350"/>
      <c r="L463" s="350"/>
      <c r="M463" s="350"/>
      <c r="N463" s="350"/>
      <c r="O463" s="350"/>
      <c r="P463" s="351"/>
      <c r="Q463" s="412"/>
      <c r="R463" s="350"/>
      <c r="S463" s="350"/>
      <c r="T463" s="350"/>
      <c r="U463" s="350"/>
      <c r="V463" s="350"/>
      <c r="W463" s="350"/>
      <c r="X463" s="351"/>
      <c r="Y463" s="412"/>
      <c r="Z463" s="351"/>
      <c r="AA463" s="412"/>
      <c r="AB463" s="350"/>
      <c r="AC463" s="350"/>
      <c r="AD463" s="351"/>
      <c r="AE463" s="412"/>
      <c r="AF463" s="350"/>
      <c r="AG463" s="351"/>
      <c r="AH463" s="412"/>
      <c r="AI463" s="350"/>
      <c r="AJ463" s="351"/>
      <c r="AK463" s="412"/>
      <c r="AL463" s="350"/>
      <c r="AM463" s="350"/>
      <c r="AN463" s="351"/>
      <c r="AO463" s="412"/>
      <c r="AP463" s="350"/>
      <c r="AQ463" s="350"/>
      <c r="AR463" s="350"/>
      <c r="AS463" s="350"/>
      <c r="AT463" s="350"/>
      <c r="AU463" s="350"/>
      <c r="AV463" s="351"/>
      <c r="AW463" s="723"/>
      <c r="AX463" s="350"/>
      <c r="AY463" s="351"/>
      <c r="AZ463" s="412"/>
      <c r="BA463" s="350"/>
      <c r="BB463" s="350"/>
      <c r="BC463" s="350"/>
      <c r="BD463" s="350"/>
      <c r="BE463" s="350"/>
      <c r="BF463" s="350"/>
      <c r="BG463" s="350"/>
      <c r="BH463" s="350"/>
      <c r="BI463" s="350"/>
      <c r="BJ463" s="350"/>
      <c r="BK463" s="350"/>
      <c r="BL463" s="350"/>
      <c r="BM463" s="350"/>
      <c r="BN463" s="350"/>
      <c r="BO463" s="351"/>
    </row>
    <row r="464" spans="1:67" ht="34.5" customHeight="1">
      <c r="A464" s="98">
        <f t="shared" si="1"/>
        <v>452</v>
      </c>
      <c r="B464" s="726" t="s">
        <v>325</v>
      </c>
      <c r="C464" s="351"/>
      <c r="D464" s="594"/>
      <c r="E464" s="350"/>
      <c r="F464" s="350"/>
      <c r="G464" s="350"/>
      <c r="H464" s="351"/>
      <c r="I464" s="368"/>
      <c r="J464" s="350"/>
      <c r="K464" s="350"/>
      <c r="L464" s="350"/>
      <c r="M464" s="350"/>
      <c r="N464" s="350"/>
      <c r="O464" s="350"/>
      <c r="P464" s="351"/>
      <c r="Q464" s="511"/>
      <c r="R464" s="350"/>
      <c r="S464" s="350"/>
      <c r="T464" s="350"/>
      <c r="U464" s="350"/>
      <c r="V464" s="350"/>
      <c r="W464" s="350"/>
      <c r="X464" s="351"/>
      <c r="Y464" s="368"/>
      <c r="Z464" s="351"/>
      <c r="AA464" s="511"/>
      <c r="AB464" s="350"/>
      <c r="AC464" s="350"/>
      <c r="AD464" s="351"/>
      <c r="AE464" s="368"/>
      <c r="AF464" s="350"/>
      <c r="AG464" s="351"/>
      <c r="AH464" s="511"/>
      <c r="AI464" s="350"/>
      <c r="AJ464" s="351"/>
      <c r="AK464" s="368"/>
      <c r="AL464" s="350"/>
      <c r="AM464" s="350"/>
      <c r="AN464" s="351"/>
      <c r="AO464" s="511"/>
      <c r="AP464" s="350"/>
      <c r="AQ464" s="350"/>
      <c r="AR464" s="350"/>
      <c r="AS464" s="350"/>
      <c r="AT464" s="350"/>
      <c r="AU464" s="350"/>
      <c r="AV464" s="351"/>
      <c r="AW464" s="725"/>
      <c r="AX464" s="350"/>
      <c r="AY464" s="351"/>
      <c r="AZ464" s="511"/>
      <c r="BA464" s="350"/>
      <c r="BB464" s="350"/>
      <c r="BC464" s="350"/>
      <c r="BD464" s="350"/>
      <c r="BE464" s="350"/>
      <c r="BF464" s="350"/>
      <c r="BG464" s="350"/>
      <c r="BH464" s="350"/>
      <c r="BI464" s="350"/>
      <c r="BJ464" s="350"/>
      <c r="BK464" s="350"/>
      <c r="BL464" s="350"/>
      <c r="BM464" s="350"/>
      <c r="BN464" s="350"/>
      <c r="BO464" s="351"/>
    </row>
    <row r="465" spans="1:67" ht="34.5" customHeight="1">
      <c r="A465" s="98">
        <f t="shared" si="1"/>
        <v>453</v>
      </c>
      <c r="B465" s="416" t="s">
        <v>325</v>
      </c>
      <c r="C465" s="351"/>
      <c r="D465" s="724"/>
      <c r="E465" s="350"/>
      <c r="F465" s="350"/>
      <c r="G465" s="350"/>
      <c r="H465" s="351"/>
      <c r="I465" s="412"/>
      <c r="J465" s="350"/>
      <c r="K465" s="350"/>
      <c r="L465" s="350"/>
      <c r="M465" s="350"/>
      <c r="N465" s="350"/>
      <c r="O465" s="350"/>
      <c r="P465" s="351"/>
      <c r="Q465" s="412"/>
      <c r="R465" s="350"/>
      <c r="S465" s="350"/>
      <c r="T465" s="350"/>
      <c r="U465" s="350"/>
      <c r="V465" s="350"/>
      <c r="W465" s="350"/>
      <c r="X465" s="351"/>
      <c r="Y465" s="412"/>
      <c r="Z465" s="351"/>
      <c r="AA465" s="412"/>
      <c r="AB465" s="350"/>
      <c r="AC465" s="350"/>
      <c r="AD465" s="351"/>
      <c r="AE465" s="412"/>
      <c r="AF465" s="350"/>
      <c r="AG465" s="351"/>
      <c r="AH465" s="412"/>
      <c r="AI465" s="350"/>
      <c r="AJ465" s="351"/>
      <c r="AK465" s="412"/>
      <c r="AL465" s="350"/>
      <c r="AM465" s="350"/>
      <c r="AN465" s="351"/>
      <c r="AO465" s="412"/>
      <c r="AP465" s="350"/>
      <c r="AQ465" s="350"/>
      <c r="AR465" s="350"/>
      <c r="AS465" s="350"/>
      <c r="AT465" s="350"/>
      <c r="AU465" s="350"/>
      <c r="AV465" s="351"/>
      <c r="AW465" s="723"/>
      <c r="AX465" s="350"/>
      <c r="AY465" s="351"/>
      <c r="AZ465" s="412"/>
      <c r="BA465" s="350"/>
      <c r="BB465" s="350"/>
      <c r="BC465" s="350"/>
      <c r="BD465" s="350"/>
      <c r="BE465" s="350"/>
      <c r="BF465" s="350"/>
      <c r="BG465" s="350"/>
      <c r="BH465" s="350"/>
      <c r="BI465" s="350"/>
      <c r="BJ465" s="350"/>
      <c r="BK465" s="350"/>
      <c r="BL465" s="350"/>
      <c r="BM465" s="350"/>
      <c r="BN465" s="350"/>
      <c r="BO465" s="351"/>
    </row>
    <row r="466" spans="1:67" ht="34.5" customHeight="1">
      <c r="A466" s="98">
        <f t="shared" si="1"/>
        <v>454</v>
      </c>
      <c r="B466" s="416" t="s">
        <v>325</v>
      </c>
      <c r="C466" s="351"/>
      <c r="D466" s="594"/>
      <c r="E466" s="350"/>
      <c r="F466" s="350"/>
      <c r="G466" s="350"/>
      <c r="H466" s="351"/>
      <c r="I466" s="368"/>
      <c r="J466" s="350"/>
      <c r="K466" s="350"/>
      <c r="L466" s="350"/>
      <c r="M466" s="350"/>
      <c r="N466" s="350"/>
      <c r="O466" s="350"/>
      <c r="P466" s="351"/>
      <c r="Q466" s="511"/>
      <c r="R466" s="350"/>
      <c r="S466" s="350"/>
      <c r="T466" s="350"/>
      <c r="U466" s="350"/>
      <c r="V466" s="350"/>
      <c r="W466" s="350"/>
      <c r="X466" s="351"/>
      <c r="Y466" s="368"/>
      <c r="Z466" s="351"/>
      <c r="AA466" s="511"/>
      <c r="AB466" s="350"/>
      <c r="AC466" s="350"/>
      <c r="AD466" s="351"/>
      <c r="AE466" s="368"/>
      <c r="AF466" s="350"/>
      <c r="AG466" s="351"/>
      <c r="AH466" s="511"/>
      <c r="AI466" s="350"/>
      <c r="AJ466" s="351"/>
      <c r="AK466" s="368"/>
      <c r="AL466" s="350"/>
      <c r="AM466" s="350"/>
      <c r="AN466" s="351"/>
      <c r="AO466" s="511"/>
      <c r="AP466" s="350"/>
      <c r="AQ466" s="350"/>
      <c r="AR466" s="350"/>
      <c r="AS466" s="350"/>
      <c r="AT466" s="350"/>
      <c r="AU466" s="350"/>
      <c r="AV466" s="351"/>
      <c r="AW466" s="725"/>
      <c r="AX466" s="350"/>
      <c r="AY466" s="351"/>
      <c r="AZ466" s="511"/>
      <c r="BA466" s="350"/>
      <c r="BB466" s="350"/>
      <c r="BC466" s="350"/>
      <c r="BD466" s="350"/>
      <c r="BE466" s="350"/>
      <c r="BF466" s="350"/>
      <c r="BG466" s="350"/>
      <c r="BH466" s="350"/>
      <c r="BI466" s="350"/>
      <c r="BJ466" s="350"/>
      <c r="BK466" s="350"/>
      <c r="BL466" s="350"/>
      <c r="BM466" s="350"/>
      <c r="BN466" s="350"/>
      <c r="BO466" s="351"/>
    </row>
    <row r="467" spans="1:67" ht="34.5" customHeight="1">
      <c r="A467" s="98">
        <f t="shared" si="1"/>
        <v>455</v>
      </c>
      <c r="B467" s="416" t="s">
        <v>325</v>
      </c>
      <c r="C467" s="351"/>
      <c r="D467" s="724"/>
      <c r="E467" s="350"/>
      <c r="F467" s="350"/>
      <c r="G467" s="350"/>
      <c r="H467" s="351"/>
      <c r="I467" s="412"/>
      <c r="J467" s="350"/>
      <c r="K467" s="350"/>
      <c r="L467" s="350"/>
      <c r="M467" s="350"/>
      <c r="N467" s="350"/>
      <c r="O467" s="350"/>
      <c r="P467" s="351"/>
      <c r="Q467" s="412"/>
      <c r="R467" s="350"/>
      <c r="S467" s="350"/>
      <c r="T467" s="350"/>
      <c r="U467" s="350"/>
      <c r="V467" s="350"/>
      <c r="W467" s="350"/>
      <c r="X467" s="351"/>
      <c r="Y467" s="412"/>
      <c r="Z467" s="351"/>
      <c r="AA467" s="412"/>
      <c r="AB467" s="350"/>
      <c r="AC467" s="350"/>
      <c r="AD467" s="351"/>
      <c r="AE467" s="412"/>
      <c r="AF467" s="350"/>
      <c r="AG467" s="351"/>
      <c r="AH467" s="412"/>
      <c r="AI467" s="350"/>
      <c r="AJ467" s="351"/>
      <c r="AK467" s="412"/>
      <c r="AL467" s="350"/>
      <c r="AM467" s="350"/>
      <c r="AN467" s="351"/>
      <c r="AO467" s="412"/>
      <c r="AP467" s="350"/>
      <c r="AQ467" s="350"/>
      <c r="AR467" s="350"/>
      <c r="AS467" s="350"/>
      <c r="AT467" s="350"/>
      <c r="AU467" s="350"/>
      <c r="AV467" s="351"/>
      <c r="AW467" s="723"/>
      <c r="AX467" s="350"/>
      <c r="AY467" s="351"/>
      <c r="AZ467" s="412"/>
      <c r="BA467" s="350"/>
      <c r="BB467" s="350"/>
      <c r="BC467" s="350"/>
      <c r="BD467" s="350"/>
      <c r="BE467" s="350"/>
      <c r="BF467" s="350"/>
      <c r="BG467" s="350"/>
      <c r="BH467" s="350"/>
      <c r="BI467" s="350"/>
      <c r="BJ467" s="350"/>
      <c r="BK467" s="350"/>
      <c r="BL467" s="350"/>
      <c r="BM467" s="350"/>
      <c r="BN467" s="350"/>
      <c r="BO467" s="351"/>
    </row>
    <row r="468" spans="1:67" ht="34.5" customHeight="1">
      <c r="A468" s="98">
        <f t="shared" si="1"/>
        <v>456</v>
      </c>
      <c r="B468" s="416" t="s">
        <v>325</v>
      </c>
      <c r="C468" s="351"/>
      <c r="D468" s="594"/>
      <c r="E468" s="350"/>
      <c r="F468" s="350"/>
      <c r="G468" s="350"/>
      <c r="H468" s="351"/>
      <c r="I468" s="368"/>
      <c r="J468" s="350"/>
      <c r="K468" s="350"/>
      <c r="L468" s="350"/>
      <c r="M468" s="350"/>
      <c r="N468" s="350"/>
      <c r="O468" s="350"/>
      <c r="P468" s="351"/>
      <c r="Q468" s="511"/>
      <c r="R468" s="350"/>
      <c r="S468" s="350"/>
      <c r="T468" s="350"/>
      <c r="U468" s="350"/>
      <c r="V468" s="350"/>
      <c r="W468" s="350"/>
      <c r="X468" s="351"/>
      <c r="Y468" s="368"/>
      <c r="Z468" s="351"/>
      <c r="AA468" s="511"/>
      <c r="AB468" s="350"/>
      <c r="AC468" s="350"/>
      <c r="AD468" s="351"/>
      <c r="AE468" s="368"/>
      <c r="AF468" s="350"/>
      <c r="AG468" s="351"/>
      <c r="AH468" s="511"/>
      <c r="AI468" s="350"/>
      <c r="AJ468" s="351"/>
      <c r="AK468" s="368"/>
      <c r="AL468" s="350"/>
      <c r="AM468" s="350"/>
      <c r="AN468" s="351"/>
      <c r="AO468" s="511"/>
      <c r="AP468" s="350"/>
      <c r="AQ468" s="350"/>
      <c r="AR468" s="350"/>
      <c r="AS468" s="350"/>
      <c r="AT468" s="350"/>
      <c r="AU468" s="350"/>
      <c r="AV468" s="351"/>
      <c r="AW468" s="725"/>
      <c r="AX468" s="350"/>
      <c r="AY468" s="351"/>
      <c r="AZ468" s="511"/>
      <c r="BA468" s="350"/>
      <c r="BB468" s="350"/>
      <c r="BC468" s="350"/>
      <c r="BD468" s="350"/>
      <c r="BE468" s="350"/>
      <c r="BF468" s="350"/>
      <c r="BG468" s="350"/>
      <c r="BH468" s="350"/>
      <c r="BI468" s="350"/>
      <c r="BJ468" s="350"/>
      <c r="BK468" s="350"/>
      <c r="BL468" s="350"/>
      <c r="BM468" s="350"/>
      <c r="BN468" s="350"/>
      <c r="BO468" s="351"/>
    </row>
    <row r="469" spans="1:67" ht="34.5" customHeight="1">
      <c r="A469" s="98">
        <f t="shared" si="1"/>
        <v>457</v>
      </c>
      <c r="B469" s="416" t="s">
        <v>325</v>
      </c>
      <c r="C469" s="351"/>
      <c r="D469" s="724"/>
      <c r="E469" s="350"/>
      <c r="F469" s="350"/>
      <c r="G469" s="350"/>
      <c r="H469" s="351"/>
      <c r="I469" s="412"/>
      <c r="J469" s="350"/>
      <c r="K469" s="350"/>
      <c r="L469" s="350"/>
      <c r="M469" s="350"/>
      <c r="N469" s="350"/>
      <c r="O469" s="350"/>
      <c r="P469" s="351"/>
      <c r="Q469" s="412"/>
      <c r="R469" s="350"/>
      <c r="S469" s="350"/>
      <c r="T469" s="350"/>
      <c r="U469" s="350"/>
      <c r="V469" s="350"/>
      <c r="W469" s="350"/>
      <c r="X469" s="351"/>
      <c r="Y469" s="412"/>
      <c r="Z469" s="351"/>
      <c r="AA469" s="412"/>
      <c r="AB469" s="350"/>
      <c r="AC469" s="350"/>
      <c r="AD469" s="351"/>
      <c r="AE469" s="412"/>
      <c r="AF469" s="350"/>
      <c r="AG469" s="351"/>
      <c r="AH469" s="412"/>
      <c r="AI469" s="350"/>
      <c r="AJ469" s="351"/>
      <c r="AK469" s="412"/>
      <c r="AL469" s="350"/>
      <c r="AM469" s="350"/>
      <c r="AN469" s="351"/>
      <c r="AO469" s="412"/>
      <c r="AP469" s="350"/>
      <c r="AQ469" s="350"/>
      <c r="AR469" s="350"/>
      <c r="AS469" s="350"/>
      <c r="AT469" s="350"/>
      <c r="AU469" s="350"/>
      <c r="AV469" s="351"/>
      <c r="AW469" s="723"/>
      <c r="AX469" s="350"/>
      <c r="AY469" s="351"/>
      <c r="AZ469" s="412"/>
      <c r="BA469" s="350"/>
      <c r="BB469" s="350"/>
      <c r="BC469" s="350"/>
      <c r="BD469" s="350"/>
      <c r="BE469" s="350"/>
      <c r="BF469" s="350"/>
      <c r="BG469" s="350"/>
      <c r="BH469" s="350"/>
      <c r="BI469" s="350"/>
      <c r="BJ469" s="350"/>
      <c r="BK469" s="350"/>
      <c r="BL469" s="350"/>
      <c r="BM469" s="350"/>
      <c r="BN469" s="350"/>
      <c r="BO469" s="351"/>
    </row>
    <row r="470" spans="1:67" ht="34.5" customHeight="1">
      <c r="A470" s="98">
        <f t="shared" si="1"/>
        <v>458</v>
      </c>
      <c r="B470" s="416" t="s">
        <v>325</v>
      </c>
      <c r="C470" s="351"/>
      <c r="D470" s="594"/>
      <c r="E470" s="350"/>
      <c r="F470" s="350"/>
      <c r="G470" s="350"/>
      <c r="H470" s="351"/>
      <c r="I470" s="368"/>
      <c r="J470" s="350"/>
      <c r="K470" s="350"/>
      <c r="L470" s="350"/>
      <c r="M470" s="350"/>
      <c r="N470" s="350"/>
      <c r="O470" s="350"/>
      <c r="P470" s="351"/>
      <c r="Q470" s="511"/>
      <c r="R470" s="350"/>
      <c r="S470" s="350"/>
      <c r="T470" s="350"/>
      <c r="U470" s="350"/>
      <c r="V470" s="350"/>
      <c r="W470" s="350"/>
      <c r="X470" s="351"/>
      <c r="Y470" s="368"/>
      <c r="Z470" s="351"/>
      <c r="AA470" s="511"/>
      <c r="AB470" s="350"/>
      <c r="AC470" s="350"/>
      <c r="AD470" s="351"/>
      <c r="AE470" s="368"/>
      <c r="AF470" s="350"/>
      <c r="AG470" s="351"/>
      <c r="AH470" s="511"/>
      <c r="AI470" s="350"/>
      <c r="AJ470" s="351"/>
      <c r="AK470" s="368"/>
      <c r="AL470" s="350"/>
      <c r="AM470" s="350"/>
      <c r="AN470" s="351"/>
      <c r="AO470" s="511"/>
      <c r="AP470" s="350"/>
      <c r="AQ470" s="350"/>
      <c r="AR470" s="350"/>
      <c r="AS470" s="350"/>
      <c r="AT470" s="350"/>
      <c r="AU470" s="350"/>
      <c r="AV470" s="351"/>
      <c r="AW470" s="725"/>
      <c r="AX470" s="350"/>
      <c r="AY470" s="351"/>
      <c r="AZ470" s="511"/>
      <c r="BA470" s="350"/>
      <c r="BB470" s="350"/>
      <c r="BC470" s="350"/>
      <c r="BD470" s="350"/>
      <c r="BE470" s="350"/>
      <c r="BF470" s="350"/>
      <c r="BG470" s="350"/>
      <c r="BH470" s="350"/>
      <c r="BI470" s="350"/>
      <c r="BJ470" s="350"/>
      <c r="BK470" s="350"/>
      <c r="BL470" s="350"/>
      <c r="BM470" s="350"/>
      <c r="BN470" s="350"/>
      <c r="BO470" s="351"/>
    </row>
    <row r="471" spans="1:67" ht="34.5" customHeight="1">
      <c r="A471" s="98">
        <f t="shared" si="1"/>
        <v>459</v>
      </c>
      <c r="B471" s="416" t="s">
        <v>325</v>
      </c>
      <c r="C471" s="351"/>
      <c r="D471" s="724"/>
      <c r="E471" s="350"/>
      <c r="F471" s="350"/>
      <c r="G471" s="350"/>
      <c r="H471" s="351"/>
      <c r="I471" s="412"/>
      <c r="J471" s="350"/>
      <c r="K471" s="350"/>
      <c r="L471" s="350"/>
      <c r="M471" s="350"/>
      <c r="N471" s="350"/>
      <c r="O471" s="350"/>
      <c r="P471" s="351"/>
      <c r="Q471" s="412"/>
      <c r="R471" s="350"/>
      <c r="S471" s="350"/>
      <c r="T471" s="350"/>
      <c r="U471" s="350"/>
      <c r="V471" s="350"/>
      <c r="W471" s="350"/>
      <c r="X471" s="351"/>
      <c r="Y471" s="412"/>
      <c r="Z471" s="351"/>
      <c r="AA471" s="412"/>
      <c r="AB471" s="350"/>
      <c r="AC471" s="350"/>
      <c r="AD471" s="351"/>
      <c r="AE471" s="412"/>
      <c r="AF471" s="350"/>
      <c r="AG471" s="351"/>
      <c r="AH471" s="412"/>
      <c r="AI471" s="350"/>
      <c r="AJ471" s="351"/>
      <c r="AK471" s="412"/>
      <c r="AL471" s="350"/>
      <c r="AM471" s="350"/>
      <c r="AN471" s="351"/>
      <c r="AO471" s="412"/>
      <c r="AP471" s="350"/>
      <c r="AQ471" s="350"/>
      <c r="AR471" s="350"/>
      <c r="AS471" s="350"/>
      <c r="AT471" s="350"/>
      <c r="AU471" s="350"/>
      <c r="AV471" s="351"/>
      <c r="AW471" s="723"/>
      <c r="AX471" s="350"/>
      <c r="AY471" s="351"/>
      <c r="AZ471" s="412"/>
      <c r="BA471" s="350"/>
      <c r="BB471" s="350"/>
      <c r="BC471" s="350"/>
      <c r="BD471" s="350"/>
      <c r="BE471" s="350"/>
      <c r="BF471" s="350"/>
      <c r="BG471" s="350"/>
      <c r="BH471" s="350"/>
      <c r="BI471" s="350"/>
      <c r="BJ471" s="350"/>
      <c r="BK471" s="350"/>
      <c r="BL471" s="350"/>
      <c r="BM471" s="350"/>
      <c r="BN471" s="350"/>
      <c r="BO471" s="351"/>
    </row>
    <row r="472" spans="1:67" ht="34.5" customHeight="1">
      <c r="A472" s="98">
        <f t="shared" si="1"/>
        <v>460</v>
      </c>
      <c r="B472" s="416" t="s">
        <v>325</v>
      </c>
      <c r="C472" s="351"/>
      <c r="D472" s="594"/>
      <c r="E472" s="350"/>
      <c r="F472" s="350"/>
      <c r="G472" s="350"/>
      <c r="H472" s="351"/>
      <c r="I472" s="368"/>
      <c r="J472" s="350"/>
      <c r="K472" s="350"/>
      <c r="L472" s="350"/>
      <c r="M472" s="350"/>
      <c r="N472" s="350"/>
      <c r="O472" s="350"/>
      <c r="P472" s="351"/>
      <c r="Q472" s="511"/>
      <c r="R472" s="350"/>
      <c r="S472" s="350"/>
      <c r="T472" s="350"/>
      <c r="U472" s="350"/>
      <c r="V472" s="350"/>
      <c r="W472" s="350"/>
      <c r="X472" s="351"/>
      <c r="Y472" s="368"/>
      <c r="Z472" s="351"/>
      <c r="AA472" s="511"/>
      <c r="AB472" s="350"/>
      <c r="AC472" s="350"/>
      <c r="AD472" s="351"/>
      <c r="AE472" s="368"/>
      <c r="AF472" s="350"/>
      <c r="AG472" s="351"/>
      <c r="AH472" s="511"/>
      <c r="AI472" s="350"/>
      <c r="AJ472" s="351"/>
      <c r="AK472" s="368"/>
      <c r="AL472" s="350"/>
      <c r="AM472" s="350"/>
      <c r="AN472" s="351"/>
      <c r="AO472" s="511"/>
      <c r="AP472" s="350"/>
      <c r="AQ472" s="350"/>
      <c r="AR472" s="350"/>
      <c r="AS472" s="350"/>
      <c r="AT472" s="350"/>
      <c r="AU472" s="350"/>
      <c r="AV472" s="351"/>
      <c r="AW472" s="725"/>
      <c r="AX472" s="350"/>
      <c r="AY472" s="351"/>
      <c r="AZ472" s="511"/>
      <c r="BA472" s="350"/>
      <c r="BB472" s="350"/>
      <c r="BC472" s="350"/>
      <c r="BD472" s="350"/>
      <c r="BE472" s="350"/>
      <c r="BF472" s="350"/>
      <c r="BG472" s="350"/>
      <c r="BH472" s="350"/>
      <c r="BI472" s="350"/>
      <c r="BJ472" s="350"/>
      <c r="BK472" s="350"/>
      <c r="BL472" s="350"/>
      <c r="BM472" s="350"/>
      <c r="BN472" s="350"/>
      <c r="BO472" s="351"/>
    </row>
    <row r="473" spans="1:67" ht="34.5" customHeight="1">
      <c r="A473" s="98">
        <f t="shared" si="1"/>
        <v>461</v>
      </c>
      <c r="B473" s="416" t="s">
        <v>325</v>
      </c>
      <c r="C473" s="351"/>
      <c r="D473" s="724"/>
      <c r="E473" s="350"/>
      <c r="F473" s="350"/>
      <c r="G473" s="350"/>
      <c r="H473" s="351"/>
      <c r="I473" s="412"/>
      <c r="J473" s="350"/>
      <c r="K473" s="350"/>
      <c r="L473" s="350"/>
      <c r="M473" s="350"/>
      <c r="N473" s="350"/>
      <c r="O473" s="350"/>
      <c r="P473" s="351"/>
      <c r="Q473" s="412"/>
      <c r="R473" s="350"/>
      <c r="S473" s="350"/>
      <c r="T473" s="350"/>
      <c r="U473" s="350"/>
      <c r="V473" s="350"/>
      <c r="W473" s="350"/>
      <c r="X473" s="351"/>
      <c r="Y473" s="412"/>
      <c r="Z473" s="351"/>
      <c r="AA473" s="412"/>
      <c r="AB473" s="350"/>
      <c r="AC473" s="350"/>
      <c r="AD473" s="351"/>
      <c r="AE473" s="412"/>
      <c r="AF473" s="350"/>
      <c r="AG473" s="351"/>
      <c r="AH473" s="412"/>
      <c r="AI473" s="350"/>
      <c r="AJ473" s="351"/>
      <c r="AK473" s="412"/>
      <c r="AL473" s="350"/>
      <c r="AM473" s="350"/>
      <c r="AN473" s="351"/>
      <c r="AO473" s="412"/>
      <c r="AP473" s="350"/>
      <c r="AQ473" s="350"/>
      <c r="AR473" s="350"/>
      <c r="AS473" s="350"/>
      <c r="AT473" s="350"/>
      <c r="AU473" s="350"/>
      <c r="AV473" s="351"/>
      <c r="AW473" s="723"/>
      <c r="AX473" s="350"/>
      <c r="AY473" s="351"/>
      <c r="AZ473" s="412"/>
      <c r="BA473" s="350"/>
      <c r="BB473" s="350"/>
      <c r="BC473" s="350"/>
      <c r="BD473" s="350"/>
      <c r="BE473" s="350"/>
      <c r="BF473" s="350"/>
      <c r="BG473" s="350"/>
      <c r="BH473" s="350"/>
      <c r="BI473" s="350"/>
      <c r="BJ473" s="350"/>
      <c r="BK473" s="350"/>
      <c r="BL473" s="350"/>
      <c r="BM473" s="350"/>
      <c r="BN473" s="350"/>
      <c r="BO473" s="351"/>
    </row>
    <row r="474" spans="1:67" ht="34.5" customHeight="1">
      <c r="A474" s="98">
        <f t="shared" si="1"/>
        <v>462</v>
      </c>
      <c r="B474" s="416" t="s">
        <v>325</v>
      </c>
      <c r="C474" s="351"/>
      <c r="D474" s="594"/>
      <c r="E474" s="350"/>
      <c r="F474" s="350"/>
      <c r="G474" s="350"/>
      <c r="H474" s="351"/>
      <c r="I474" s="368"/>
      <c r="J474" s="350"/>
      <c r="K474" s="350"/>
      <c r="L474" s="350"/>
      <c r="M474" s="350"/>
      <c r="N474" s="350"/>
      <c r="O474" s="350"/>
      <c r="P474" s="351"/>
      <c r="Q474" s="511"/>
      <c r="R474" s="350"/>
      <c r="S474" s="350"/>
      <c r="T474" s="350"/>
      <c r="U474" s="350"/>
      <c r="V474" s="350"/>
      <c r="W474" s="350"/>
      <c r="X474" s="351"/>
      <c r="Y474" s="368"/>
      <c r="Z474" s="351"/>
      <c r="AA474" s="511"/>
      <c r="AB474" s="350"/>
      <c r="AC474" s="350"/>
      <c r="AD474" s="351"/>
      <c r="AE474" s="368"/>
      <c r="AF474" s="350"/>
      <c r="AG474" s="351"/>
      <c r="AH474" s="511"/>
      <c r="AI474" s="350"/>
      <c r="AJ474" s="351"/>
      <c r="AK474" s="368"/>
      <c r="AL474" s="350"/>
      <c r="AM474" s="350"/>
      <c r="AN474" s="351"/>
      <c r="AO474" s="511"/>
      <c r="AP474" s="350"/>
      <c r="AQ474" s="350"/>
      <c r="AR474" s="350"/>
      <c r="AS474" s="350"/>
      <c r="AT474" s="350"/>
      <c r="AU474" s="350"/>
      <c r="AV474" s="351"/>
      <c r="AW474" s="725"/>
      <c r="AX474" s="350"/>
      <c r="AY474" s="351"/>
      <c r="AZ474" s="511"/>
      <c r="BA474" s="350"/>
      <c r="BB474" s="350"/>
      <c r="BC474" s="350"/>
      <c r="BD474" s="350"/>
      <c r="BE474" s="350"/>
      <c r="BF474" s="350"/>
      <c r="BG474" s="350"/>
      <c r="BH474" s="350"/>
      <c r="BI474" s="350"/>
      <c r="BJ474" s="350"/>
      <c r="BK474" s="350"/>
      <c r="BL474" s="350"/>
      <c r="BM474" s="350"/>
      <c r="BN474" s="350"/>
      <c r="BO474" s="351"/>
    </row>
    <row r="475" spans="1:67" ht="34.5" customHeight="1">
      <c r="A475" s="98">
        <f t="shared" si="1"/>
        <v>463</v>
      </c>
      <c r="B475" s="416" t="s">
        <v>325</v>
      </c>
      <c r="C475" s="351"/>
      <c r="D475" s="724"/>
      <c r="E475" s="350"/>
      <c r="F475" s="350"/>
      <c r="G475" s="350"/>
      <c r="H475" s="351"/>
      <c r="I475" s="412"/>
      <c r="J475" s="350"/>
      <c r="K475" s="350"/>
      <c r="L475" s="350"/>
      <c r="M475" s="350"/>
      <c r="N475" s="350"/>
      <c r="O475" s="350"/>
      <c r="P475" s="351"/>
      <c r="Q475" s="412"/>
      <c r="R475" s="350"/>
      <c r="S475" s="350"/>
      <c r="T475" s="350"/>
      <c r="U475" s="350"/>
      <c r="V475" s="350"/>
      <c r="W475" s="350"/>
      <c r="X475" s="351"/>
      <c r="Y475" s="412"/>
      <c r="Z475" s="351"/>
      <c r="AA475" s="412"/>
      <c r="AB475" s="350"/>
      <c r="AC475" s="350"/>
      <c r="AD475" s="351"/>
      <c r="AE475" s="412"/>
      <c r="AF475" s="350"/>
      <c r="AG475" s="351"/>
      <c r="AH475" s="412"/>
      <c r="AI475" s="350"/>
      <c r="AJ475" s="351"/>
      <c r="AK475" s="412"/>
      <c r="AL475" s="350"/>
      <c r="AM475" s="350"/>
      <c r="AN475" s="351"/>
      <c r="AO475" s="412"/>
      <c r="AP475" s="350"/>
      <c r="AQ475" s="350"/>
      <c r="AR475" s="350"/>
      <c r="AS475" s="350"/>
      <c r="AT475" s="350"/>
      <c r="AU475" s="350"/>
      <c r="AV475" s="351"/>
      <c r="AW475" s="723"/>
      <c r="AX475" s="350"/>
      <c r="AY475" s="351"/>
      <c r="AZ475" s="412"/>
      <c r="BA475" s="350"/>
      <c r="BB475" s="350"/>
      <c r="BC475" s="350"/>
      <c r="BD475" s="350"/>
      <c r="BE475" s="350"/>
      <c r="BF475" s="350"/>
      <c r="BG475" s="350"/>
      <c r="BH475" s="350"/>
      <c r="BI475" s="350"/>
      <c r="BJ475" s="350"/>
      <c r="BK475" s="350"/>
      <c r="BL475" s="350"/>
      <c r="BM475" s="350"/>
      <c r="BN475" s="350"/>
      <c r="BO475" s="351"/>
    </row>
    <row r="476" spans="1:67" ht="34.5" customHeight="1">
      <c r="A476" s="98">
        <f t="shared" si="1"/>
        <v>464</v>
      </c>
      <c r="B476" s="416" t="s">
        <v>325</v>
      </c>
      <c r="C476" s="351"/>
      <c r="D476" s="594"/>
      <c r="E476" s="350"/>
      <c r="F476" s="350"/>
      <c r="G476" s="350"/>
      <c r="H476" s="351"/>
      <c r="I476" s="368"/>
      <c r="J476" s="350"/>
      <c r="K476" s="350"/>
      <c r="L476" s="350"/>
      <c r="M476" s="350"/>
      <c r="N476" s="350"/>
      <c r="O476" s="350"/>
      <c r="P476" s="351"/>
      <c r="Q476" s="511"/>
      <c r="R476" s="350"/>
      <c r="S476" s="350"/>
      <c r="T476" s="350"/>
      <c r="U476" s="350"/>
      <c r="V476" s="350"/>
      <c r="W476" s="350"/>
      <c r="X476" s="351"/>
      <c r="Y476" s="368"/>
      <c r="Z476" s="351"/>
      <c r="AA476" s="511"/>
      <c r="AB476" s="350"/>
      <c r="AC476" s="350"/>
      <c r="AD476" s="351"/>
      <c r="AE476" s="368"/>
      <c r="AF476" s="350"/>
      <c r="AG476" s="351"/>
      <c r="AH476" s="511"/>
      <c r="AI476" s="350"/>
      <c r="AJ476" s="351"/>
      <c r="AK476" s="368"/>
      <c r="AL476" s="350"/>
      <c r="AM476" s="350"/>
      <c r="AN476" s="351"/>
      <c r="AO476" s="511"/>
      <c r="AP476" s="350"/>
      <c r="AQ476" s="350"/>
      <c r="AR476" s="350"/>
      <c r="AS476" s="350"/>
      <c r="AT476" s="350"/>
      <c r="AU476" s="350"/>
      <c r="AV476" s="351"/>
      <c r="AW476" s="725"/>
      <c r="AX476" s="350"/>
      <c r="AY476" s="351"/>
      <c r="AZ476" s="511"/>
      <c r="BA476" s="350"/>
      <c r="BB476" s="350"/>
      <c r="BC476" s="350"/>
      <c r="BD476" s="350"/>
      <c r="BE476" s="350"/>
      <c r="BF476" s="350"/>
      <c r="BG476" s="350"/>
      <c r="BH476" s="350"/>
      <c r="BI476" s="350"/>
      <c r="BJ476" s="350"/>
      <c r="BK476" s="350"/>
      <c r="BL476" s="350"/>
      <c r="BM476" s="350"/>
      <c r="BN476" s="350"/>
      <c r="BO476" s="351"/>
    </row>
    <row r="477" spans="1:67" ht="34.5" customHeight="1">
      <c r="A477" s="98">
        <f t="shared" si="1"/>
        <v>465</v>
      </c>
      <c r="B477" s="416" t="s">
        <v>325</v>
      </c>
      <c r="C477" s="351"/>
      <c r="D477" s="724"/>
      <c r="E477" s="350"/>
      <c r="F477" s="350"/>
      <c r="G477" s="350"/>
      <c r="H477" s="351"/>
      <c r="I477" s="412"/>
      <c r="J477" s="350"/>
      <c r="K477" s="350"/>
      <c r="L477" s="350"/>
      <c r="M477" s="350"/>
      <c r="N477" s="350"/>
      <c r="O477" s="350"/>
      <c r="P477" s="351"/>
      <c r="Q477" s="412"/>
      <c r="R477" s="350"/>
      <c r="S477" s="350"/>
      <c r="T477" s="350"/>
      <c r="U477" s="350"/>
      <c r="V477" s="350"/>
      <c r="W477" s="350"/>
      <c r="X477" s="351"/>
      <c r="Y477" s="412"/>
      <c r="Z477" s="351"/>
      <c r="AA477" s="412"/>
      <c r="AB477" s="350"/>
      <c r="AC477" s="350"/>
      <c r="AD477" s="351"/>
      <c r="AE477" s="412"/>
      <c r="AF477" s="350"/>
      <c r="AG477" s="351"/>
      <c r="AH477" s="412"/>
      <c r="AI477" s="350"/>
      <c r="AJ477" s="351"/>
      <c r="AK477" s="412"/>
      <c r="AL477" s="350"/>
      <c r="AM477" s="350"/>
      <c r="AN477" s="351"/>
      <c r="AO477" s="412"/>
      <c r="AP477" s="350"/>
      <c r="AQ477" s="350"/>
      <c r="AR477" s="350"/>
      <c r="AS477" s="350"/>
      <c r="AT477" s="350"/>
      <c r="AU477" s="350"/>
      <c r="AV477" s="351"/>
      <c r="AW477" s="723"/>
      <c r="AX477" s="350"/>
      <c r="AY477" s="351"/>
      <c r="AZ477" s="412"/>
      <c r="BA477" s="350"/>
      <c r="BB477" s="350"/>
      <c r="BC477" s="350"/>
      <c r="BD477" s="350"/>
      <c r="BE477" s="350"/>
      <c r="BF477" s="350"/>
      <c r="BG477" s="350"/>
      <c r="BH477" s="350"/>
      <c r="BI477" s="350"/>
      <c r="BJ477" s="350"/>
      <c r="BK477" s="350"/>
      <c r="BL477" s="350"/>
      <c r="BM477" s="350"/>
      <c r="BN477" s="350"/>
      <c r="BO477" s="351"/>
    </row>
    <row r="478" spans="1:67" ht="34.5" customHeight="1">
      <c r="A478" s="98">
        <f t="shared" si="1"/>
        <v>466</v>
      </c>
      <c r="B478" s="416" t="s">
        <v>325</v>
      </c>
      <c r="C478" s="351"/>
      <c r="D478" s="594"/>
      <c r="E478" s="350"/>
      <c r="F478" s="350"/>
      <c r="G478" s="350"/>
      <c r="H478" s="351"/>
      <c r="I478" s="368"/>
      <c r="J478" s="350"/>
      <c r="K478" s="350"/>
      <c r="L478" s="350"/>
      <c r="M478" s="350"/>
      <c r="N478" s="350"/>
      <c r="O478" s="350"/>
      <c r="P478" s="351"/>
      <c r="Q478" s="511"/>
      <c r="R478" s="350"/>
      <c r="S478" s="350"/>
      <c r="T478" s="350"/>
      <c r="U478" s="350"/>
      <c r="V478" s="350"/>
      <c r="W478" s="350"/>
      <c r="X478" s="351"/>
      <c r="Y478" s="368"/>
      <c r="Z478" s="351"/>
      <c r="AA478" s="511"/>
      <c r="AB478" s="350"/>
      <c r="AC478" s="350"/>
      <c r="AD478" s="351"/>
      <c r="AE478" s="368"/>
      <c r="AF478" s="350"/>
      <c r="AG478" s="351"/>
      <c r="AH478" s="511"/>
      <c r="AI478" s="350"/>
      <c r="AJ478" s="351"/>
      <c r="AK478" s="368"/>
      <c r="AL478" s="350"/>
      <c r="AM478" s="350"/>
      <c r="AN478" s="351"/>
      <c r="AO478" s="511"/>
      <c r="AP478" s="350"/>
      <c r="AQ478" s="350"/>
      <c r="AR478" s="350"/>
      <c r="AS478" s="350"/>
      <c r="AT478" s="350"/>
      <c r="AU478" s="350"/>
      <c r="AV478" s="351"/>
      <c r="AW478" s="725"/>
      <c r="AX478" s="350"/>
      <c r="AY478" s="351"/>
      <c r="AZ478" s="511"/>
      <c r="BA478" s="350"/>
      <c r="BB478" s="350"/>
      <c r="BC478" s="350"/>
      <c r="BD478" s="350"/>
      <c r="BE478" s="350"/>
      <c r="BF478" s="350"/>
      <c r="BG478" s="350"/>
      <c r="BH478" s="350"/>
      <c r="BI478" s="350"/>
      <c r="BJ478" s="350"/>
      <c r="BK478" s="350"/>
      <c r="BL478" s="350"/>
      <c r="BM478" s="350"/>
      <c r="BN478" s="350"/>
      <c r="BO478" s="351"/>
    </row>
    <row r="479" spans="1:67" ht="34.5" customHeight="1">
      <c r="A479" s="98">
        <f t="shared" si="1"/>
        <v>467</v>
      </c>
      <c r="B479" s="416" t="s">
        <v>325</v>
      </c>
      <c r="C479" s="351"/>
      <c r="D479" s="724"/>
      <c r="E479" s="350"/>
      <c r="F479" s="350"/>
      <c r="G479" s="350"/>
      <c r="H479" s="351"/>
      <c r="I479" s="412"/>
      <c r="J479" s="350"/>
      <c r="K479" s="350"/>
      <c r="L479" s="350"/>
      <c r="M479" s="350"/>
      <c r="N479" s="350"/>
      <c r="O479" s="350"/>
      <c r="P479" s="351"/>
      <c r="Q479" s="412"/>
      <c r="R479" s="350"/>
      <c r="S479" s="350"/>
      <c r="T479" s="350"/>
      <c r="U479" s="350"/>
      <c r="V479" s="350"/>
      <c r="W479" s="350"/>
      <c r="X479" s="351"/>
      <c r="Y479" s="412"/>
      <c r="Z479" s="351"/>
      <c r="AA479" s="412"/>
      <c r="AB479" s="350"/>
      <c r="AC479" s="350"/>
      <c r="AD479" s="351"/>
      <c r="AE479" s="412"/>
      <c r="AF479" s="350"/>
      <c r="AG479" s="351"/>
      <c r="AH479" s="412"/>
      <c r="AI479" s="350"/>
      <c r="AJ479" s="351"/>
      <c r="AK479" s="412"/>
      <c r="AL479" s="350"/>
      <c r="AM479" s="350"/>
      <c r="AN479" s="351"/>
      <c r="AO479" s="412"/>
      <c r="AP479" s="350"/>
      <c r="AQ479" s="350"/>
      <c r="AR479" s="350"/>
      <c r="AS479" s="350"/>
      <c r="AT479" s="350"/>
      <c r="AU479" s="350"/>
      <c r="AV479" s="351"/>
      <c r="AW479" s="723"/>
      <c r="AX479" s="350"/>
      <c r="AY479" s="351"/>
      <c r="AZ479" s="412"/>
      <c r="BA479" s="350"/>
      <c r="BB479" s="350"/>
      <c r="BC479" s="350"/>
      <c r="BD479" s="350"/>
      <c r="BE479" s="350"/>
      <c r="BF479" s="350"/>
      <c r="BG479" s="350"/>
      <c r="BH479" s="350"/>
      <c r="BI479" s="350"/>
      <c r="BJ479" s="350"/>
      <c r="BK479" s="350"/>
      <c r="BL479" s="350"/>
      <c r="BM479" s="350"/>
      <c r="BN479" s="350"/>
      <c r="BO479" s="351"/>
    </row>
    <row r="480" spans="1:67" ht="34.5" customHeight="1">
      <c r="A480" s="98">
        <f t="shared" si="1"/>
        <v>468</v>
      </c>
      <c r="B480" s="416" t="s">
        <v>325</v>
      </c>
      <c r="C480" s="351"/>
      <c r="D480" s="594"/>
      <c r="E480" s="350"/>
      <c r="F480" s="350"/>
      <c r="G480" s="350"/>
      <c r="H480" s="351"/>
      <c r="I480" s="368"/>
      <c r="J480" s="350"/>
      <c r="K480" s="350"/>
      <c r="L480" s="350"/>
      <c r="M480" s="350"/>
      <c r="N480" s="350"/>
      <c r="O480" s="350"/>
      <c r="P480" s="351"/>
      <c r="Q480" s="511"/>
      <c r="R480" s="350"/>
      <c r="S480" s="350"/>
      <c r="T480" s="350"/>
      <c r="U480" s="350"/>
      <c r="V480" s="350"/>
      <c r="W480" s="350"/>
      <c r="X480" s="351"/>
      <c r="Y480" s="368"/>
      <c r="Z480" s="351"/>
      <c r="AA480" s="511"/>
      <c r="AB480" s="350"/>
      <c r="AC480" s="350"/>
      <c r="AD480" s="351"/>
      <c r="AE480" s="368"/>
      <c r="AF480" s="350"/>
      <c r="AG480" s="351"/>
      <c r="AH480" s="511"/>
      <c r="AI480" s="350"/>
      <c r="AJ480" s="351"/>
      <c r="AK480" s="368"/>
      <c r="AL480" s="350"/>
      <c r="AM480" s="350"/>
      <c r="AN480" s="351"/>
      <c r="AO480" s="511"/>
      <c r="AP480" s="350"/>
      <c r="AQ480" s="350"/>
      <c r="AR480" s="350"/>
      <c r="AS480" s="350"/>
      <c r="AT480" s="350"/>
      <c r="AU480" s="350"/>
      <c r="AV480" s="351"/>
      <c r="AW480" s="725"/>
      <c r="AX480" s="350"/>
      <c r="AY480" s="351"/>
      <c r="AZ480" s="511"/>
      <c r="BA480" s="350"/>
      <c r="BB480" s="350"/>
      <c r="BC480" s="350"/>
      <c r="BD480" s="350"/>
      <c r="BE480" s="350"/>
      <c r="BF480" s="350"/>
      <c r="BG480" s="350"/>
      <c r="BH480" s="350"/>
      <c r="BI480" s="350"/>
      <c r="BJ480" s="350"/>
      <c r="BK480" s="350"/>
      <c r="BL480" s="350"/>
      <c r="BM480" s="350"/>
      <c r="BN480" s="350"/>
      <c r="BO480" s="351"/>
    </row>
    <row r="481" spans="1:67" ht="34.5" customHeight="1">
      <c r="A481" s="98">
        <f t="shared" si="1"/>
        <v>469</v>
      </c>
      <c r="B481" s="416" t="s">
        <v>325</v>
      </c>
      <c r="C481" s="351"/>
      <c r="D481" s="724"/>
      <c r="E481" s="350"/>
      <c r="F481" s="350"/>
      <c r="G481" s="350"/>
      <c r="H481" s="351"/>
      <c r="I481" s="412"/>
      <c r="J481" s="350"/>
      <c r="K481" s="350"/>
      <c r="L481" s="350"/>
      <c r="M481" s="350"/>
      <c r="N481" s="350"/>
      <c r="O481" s="350"/>
      <c r="P481" s="351"/>
      <c r="Q481" s="412"/>
      <c r="R481" s="350"/>
      <c r="S481" s="350"/>
      <c r="T481" s="350"/>
      <c r="U481" s="350"/>
      <c r="V481" s="350"/>
      <c r="W481" s="350"/>
      <c r="X481" s="351"/>
      <c r="Y481" s="412"/>
      <c r="Z481" s="351"/>
      <c r="AA481" s="412"/>
      <c r="AB481" s="350"/>
      <c r="AC481" s="350"/>
      <c r="AD481" s="351"/>
      <c r="AE481" s="412"/>
      <c r="AF481" s="350"/>
      <c r="AG481" s="351"/>
      <c r="AH481" s="412"/>
      <c r="AI481" s="350"/>
      <c r="AJ481" s="351"/>
      <c r="AK481" s="412"/>
      <c r="AL481" s="350"/>
      <c r="AM481" s="350"/>
      <c r="AN481" s="351"/>
      <c r="AO481" s="412"/>
      <c r="AP481" s="350"/>
      <c r="AQ481" s="350"/>
      <c r="AR481" s="350"/>
      <c r="AS481" s="350"/>
      <c r="AT481" s="350"/>
      <c r="AU481" s="350"/>
      <c r="AV481" s="351"/>
      <c r="AW481" s="723"/>
      <c r="AX481" s="350"/>
      <c r="AY481" s="351"/>
      <c r="AZ481" s="412"/>
      <c r="BA481" s="350"/>
      <c r="BB481" s="350"/>
      <c r="BC481" s="350"/>
      <c r="BD481" s="350"/>
      <c r="BE481" s="350"/>
      <c r="BF481" s="350"/>
      <c r="BG481" s="350"/>
      <c r="BH481" s="350"/>
      <c r="BI481" s="350"/>
      <c r="BJ481" s="350"/>
      <c r="BK481" s="350"/>
      <c r="BL481" s="350"/>
      <c r="BM481" s="350"/>
      <c r="BN481" s="350"/>
      <c r="BO481" s="351"/>
    </row>
    <row r="482" spans="1:67" ht="34.5" customHeight="1">
      <c r="A482" s="98">
        <f t="shared" si="1"/>
        <v>470</v>
      </c>
      <c r="B482" s="726" t="s">
        <v>325</v>
      </c>
      <c r="C482" s="351"/>
      <c r="D482" s="594"/>
      <c r="E482" s="350"/>
      <c r="F482" s="350"/>
      <c r="G482" s="350"/>
      <c r="H482" s="351"/>
      <c r="I482" s="368"/>
      <c r="J482" s="350"/>
      <c r="K482" s="350"/>
      <c r="L482" s="350"/>
      <c r="M482" s="350"/>
      <c r="N482" s="350"/>
      <c r="O482" s="350"/>
      <c r="P482" s="351"/>
      <c r="Q482" s="511"/>
      <c r="R482" s="350"/>
      <c r="S482" s="350"/>
      <c r="T482" s="350"/>
      <c r="U482" s="350"/>
      <c r="V482" s="350"/>
      <c r="W482" s="350"/>
      <c r="X482" s="351"/>
      <c r="Y482" s="368"/>
      <c r="Z482" s="351"/>
      <c r="AA482" s="511"/>
      <c r="AB482" s="350"/>
      <c r="AC482" s="350"/>
      <c r="AD482" s="351"/>
      <c r="AE482" s="368"/>
      <c r="AF482" s="350"/>
      <c r="AG482" s="351"/>
      <c r="AH482" s="511"/>
      <c r="AI482" s="350"/>
      <c r="AJ482" s="351"/>
      <c r="AK482" s="368"/>
      <c r="AL482" s="350"/>
      <c r="AM482" s="350"/>
      <c r="AN482" s="351"/>
      <c r="AO482" s="511"/>
      <c r="AP482" s="350"/>
      <c r="AQ482" s="350"/>
      <c r="AR482" s="350"/>
      <c r="AS482" s="350"/>
      <c r="AT482" s="350"/>
      <c r="AU482" s="350"/>
      <c r="AV482" s="351"/>
      <c r="AW482" s="725"/>
      <c r="AX482" s="350"/>
      <c r="AY482" s="351"/>
      <c r="AZ482" s="511"/>
      <c r="BA482" s="350"/>
      <c r="BB482" s="350"/>
      <c r="BC482" s="350"/>
      <c r="BD482" s="350"/>
      <c r="BE482" s="350"/>
      <c r="BF482" s="350"/>
      <c r="BG482" s="350"/>
      <c r="BH482" s="350"/>
      <c r="BI482" s="350"/>
      <c r="BJ482" s="350"/>
      <c r="BK482" s="350"/>
      <c r="BL482" s="350"/>
      <c r="BM482" s="350"/>
      <c r="BN482" s="350"/>
      <c r="BO482" s="351"/>
    </row>
    <row r="483" spans="1:67" ht="34.5" customHeight="1">
      <c r="A483" s="98">
        <f t="shared" si="1"/>
        <v>471</v>
      </c>
      <c r="B483" s="416" t="s">
        <v>325</v>
      </c>
      <c r="C483" s="351"/>
      <c r="D483" s="724"/>
      <c r="E483" s="350"/>
      <c r="F483" s="350"/>
      <c r="G483" s="350"/>
      <c r="H483" s="351"/>
      <c r="I483" s="412"/>
      <c r="J483" s="350"/>
      <c r="K483" s="350"/>
      <c r="L483" s="350"/>
      <c r="M483" s="350"/>
      <c r="N483" s="350"/>
      <c r="O483" s="350"/>
      <c r="P483" s="351"/>
      <c r="Q483" s="412"/>
      <c r="R483" s="350"/>
      <c r="S483" s="350"/>
      <c r="T483" s="350"/>
      <c r="U483" s="350"/>
      <c r="V483" s="350"/>
      <c r="W483" s="350"/>
      <c r="X483" s="351"/>
      <c r="Y483" s="412"/>
      <c r="Z483" s="351"/>
      <c r="AA483" s="412"/>
      <c r="AB483" s="350"/>
      <c r="AC483" s="350"/>
      <c r="AD483" s="351"/>
      <c r="AE483" s="412"/>
      <c r="AF483" s="350"/>
      <c r="AG483" s="351"/>
      <c r="AH483" s="412"/>
      <c r="AI483" s="350"/>
      <c r="AJ483" s="351"/>
      <c r="AK483" s="412"/>
      <c r="AL483" s="350"/>
      <c r="AM483" s="350"/>
      <c r="AN483" s="351"/>
      <c r="AO483" s="412"/>
      <c r="AP483" s="350"/>
      <c r="AQ483" s="350"/>
      <c r="AR483" s="350"/>
      <c r="AS483" s="350"/>
      <c r="AT483" s="350"/>
      <c r="AU483" s="350"/>
      <c r="AV483" s="351"/>
      <c r="AW483" s="723"/>
      <c r="AX483" s="350"/>
      <c r="AY483" s="351"/>
      <c r="AZ483" s="412"/>
      <c r="BA483" s="350"/>
      <c r="BB483" s="350"/>
      <c r="BC483" s="350"/>
      <c r="BD483" s="350"/>
      <c r="BE483" s="350"/>
      <c r="BF483" s="350"/>
      <c r="BG483" s="350"/>
      <c r="BH483" s="350"/>
      <c r="BI483" s="350"/>
      <c r="BJ483" s="350"/>
      <c r="BK483" s="350"/>
      <c r="BL483" s="350"/>
      <c r="BM483" s="350"/>
      <c r="BN483" s="350"/>
      <c r="BO483" s="351"/>
    </row>
    <row r="484" spans="1:67" ht="34.5" customHeight="1">
      <c r="A484" s="98">
        <f t="shared" si="1"/>
        <v>472</v>
      </c>
      <c r="B484" s="416" t="s">
        <v>325</v>
      </c>
      <c r="C484" s="351"/>
      <c r="D484" s="594"/>
      <c r="E484" s="350"/>
      <c r="F484" s="350"/>
      <c r="G484" s="350"/>
      <c r="H484" s="351"/>
      <c r="I484" s="368"/>
      <c r="J484" s="350"/>
      <c r="K484" s="350"/>
      <c r="L484" s="350"/>
      <c r="M484" s="350"/>
      <c r="N484" s="350"/>
      <c r="O484" s="350"/>
      <c r="P484" s="351"/>
      <c r="Q484" s="511"/>
      <c r="R484" s="350"/>
      <c r="S484" s="350"/>
      <c r="T484" s="350"/>
      <c r="U484" s="350"/>
      <c r="V484" s="350"/>
      <c r="W484" s="350"/>
      <c r="X484" s="351"/>
      <c r="Y484" s="368"/>
      <c r="Z484" s="351"/>
      <c r="AA484" s="511"/>
      <c r="AB484" s="350"/>
      <c r="AC484" s="350"/>
      <c r="AD484" s="351"/>
      <c r="AE484" s="368"/>
      <c r="AF484" s="350"/>
      <c r="AG484" s="351"/>
      <c r="AH484" s="511"/>
      <c r="AI484" s="350"/>
      <c r="AJ484" s="351"/>
      <c r="AK484" s="368"/>
      <c r="AL484" s="350"/>
      <c r="AM484" s="350"/>
      <c r="AN484" s="351"/>
      <c r="AO484" s="511"/>
      <c r="AP484" s="350"/>
      <c r="AQ484" s="350"/>
      <c r="AR484" s="350"/>
      <c r="AS484" s="350"/>
      <c r="AT484" s="350"/>
      <c r="AU484" s="350"/>
      <c r="AV484" s="351"/>
      <c r="AW484" s="725"/>
      <c r="AX484" s="350"/>
      <c r="AY484" s="351"/>
      <c r="AZ484" s="511"/>
      <c r="BA484" s="350"/>
      <c r="BB484" s="350"/>
      <c r="BC484" s="350"/>
      <c r="BD484" s="350"/>
      <c r="BE484" s="350"/>
      <c r="BF484" s="350"/>
      <c r="BG484" s="350"/>
      <c r="BH484" s="350"/>
      <c r="BI484" s="350"/>
      <c r="BJ484" s="350"/>
      <c r="BK484" s="350"/>
      <c r="BL484" s="350"/>
      <c r="BM484" s="350"/>
      <c r="BN484" s="350"/>
      <c r="BO484" s="351"/>
    </row>
    <row r="485" spans="1:67" ht="34.5" customHeight="1">
      <c r="A485" s="98">
        <f t="shared" si="1"/>
        <v>473</v>
      </c>
      <c r="B485" s="416" t="s">
        <v>325</v>
      </c>
      <c r="C485" s="351"/>
      <c r="D485" s="724"/>
      <c r="E485" s="350"/>
      <c r="F485" s="350"/>
      <c r="G485" s="350"/>
      <c r="H485" s="351"/>
      <c r="I485" s="412"/>
      <c r="J485" s="350"/>
      <c r="K485" s="350"/>
      <c r="L485" s="350"/>
      <c r="M485" s="350"/>
      <c r="N485" s="350"/>
      <c r="O485" s="350"/>
      <c r="P485" s="351"/>
      <c r="Q485" s="412"/>
      <c r="R485" s="350"/>
      <c r="S485" s="350"/>
      <c r="T485" s="350"/>
      <c r="U485" s="350"/>
      <c r="V485" s="350"/>
      <c r="W485" s="350"/>
      <c r="X485" s="351"/>
      <c r="Y485" s="412"/>
      <c r="Z485" s="351"/>
      <c r="AA485" s="412"/>
      <c r="AB485" s="350"/>
      <c r="AC485" s="350"/>
      <c r="AD485" s="351"/>
      <c r="AE485" s="412"/>
      <c r="AF485" s="350"/>
      <c r="AG485" s="351"/>
      <c r="AH485" s="412"/>
      <c r="AI485" s="350"/>
      <c r="AJ485" s="351"/>
      <c r="AK485" s="412"/>
      <c r="AL485" s="350"/>
      <c r="AM485" s="350"/>
      <c r="AN485" s="351"/>
      <c r="AO485" s="412"/>
      <c r="AP485" s="350"/>
      <c r="AQ485" s="350"/>
      <c r="AR485" s="350"/>
      <c r="AS485" s="350"/>
      <c r="AT485" s="350"/>
      <c r="AU485" s="350"/>
      <c r="AV485" s="351"/>
      <c r="AW485" s="723"/>
      <c r="AX485" s="350"/>
      <c r="AY485" s="351"/>
      <c r="AZ485" s="412"/>
      <c r="BA485" s="350"/>
      <c r="BB485" s="350"/>
      <c r="BC485" s="350"/>
      <c r="BD485" s="350"/>
      <c r="BE485" s="350"/>
      <c r="BF485" s="350"/>
      <c r="BG485" s="350"/>
      <c r="BH485" s="350"/>
      <c r="BI485" s="350"/>
      <c r="BJ485" s="350"/>
      <c r="BK485" s="350"/>
      <c r="BL485" s="350"/>
      <c r="BM485" s="350"/>
      <c r="BN485" s="350"/>
      <c r="BO485" s="351"/>
    </row>
    <row r="486" spans="1:67" ht="34.5" customHeight="1">
      <c r="A486" s="98">
        <f t="shared" si="1"/>
        <v>474</v>
      </c>
      <c r="B486" s="416" t="s">
        <v>325</v>
      </c>
      <c r="C486" s="351"/>
      <c r="D486" s="594"/>
      <c r="E486" s="350"/>
      <c r="F486" s="350"/>
      <c r="G486" s="350"/>
      <c r="H486" s="351"/>
      <c r="I486" s="368"/>
      <c r="J486" s="350"/>
      <c r="K486" s="350"/>
      <c r="L486" s="350"/>
      <c r="M486" s="350"/>
      <c r="N486" s="350"/>
      <c r="O486" s="350"/>
      <c r="P486" s="351"/>
      <c r="Q486" s="511"/>
      <c r="R486" s="350"/>
      <c r="S486" s="350"/>
      <c r="T486" s="350"/>
      <c r="U486" s="350"/>
      <c r="V486" s="350"/>
      <c r="W486" s="350"/>
      <c r="X486" s="351"/>
      <c r="Y486" s="368"/>
      <c r="Z486" s="351"/>
      <c r="AA486" s="511"/>
      <c r="AB486" s="350"/>
      <c r="AC486" s="350"/>
      <c r="AD486" s="351"/>
      <c r="AE486" s="368"/>
      <c r="AF486" s="350"/>
      <c r="AG486" s="351"/>
      <c r="AH486" s="511"/>
      <c r="AI486" s="350"/>
      <c r="AJ486" s="351"/>
      <c r="AK486" s="368"/>
      <c r="AL486" s="350"/>
      <c r="AM486" s="350"/>
      <c r="AN486" s="351"/>
      <c r="AO486" s="511"/>
      <c r="AP486" s="350"/>
      <c r="AQ486" s="350"/>
      <c r="AR486" s="350"/>
      <c r="AS486" s="350"/>
      <c r="AT486" s="350"/>
      <c r="AU486" s="350"/>
      <c r="AV486" s="351"/>
      <c r="AW486" s="725"/>
      <c r="AX486" s="350"/>
      <c r="AY486" s="351"/>
      <c r="AZ486" s="511"/>
      <c r="BA486" s="350"/>
      <c r="BB486" s="350"/>
      <c r="BC486" s="350"/>
      <c r="BD486" s="350"/>
      <c r="BE486" s="350"/>
      <c r="BF486" s="350"/>
      <c r="BG486" s="350"/>
      <c r="BH486" s="350"/>
      <c r="BI486" s="350"/>
      <c r="BJ486" s="350"/>
      <c r="BK486" s="350"/>
      <c r="BL486" s="350"/>
      <c r="BM486" s="350"/>
      <c r="BN486" s="350"/>
      <c r="BO486" s="351"/>
    </row>
    <row r="487" spans="1:67" ht="34.5" customHeight="1">
      <c r="A487" s="98">
        <f t="shared" si="1"/>
        <v>475</v>
      </c>
      <c r="B487" s="416" t="s">
        <v>325</v>
      </c>
      <c r="C487" s="351"/>
      <c r="D487" s="724"/>
      <c r="E487" s="350"/>
      <c r="F487" s="350"/>
      <c r="G487" s="350"/>
      <c r="H487" s="351"/>
      <c r="I487" s="412"/>
      <c r="J487" s="350"/>
      <c r="K487" s="350"/>
      <c r="L487" s="350"/>
      <c r="M487" s="350"/>
      <c r="N487" s="350"/>
      <c r="O487" s="350"/>
      <c r="P487" s="351"/>
      <c r="Q487" s="412"/>
      <c r="R487" s="350"/>
      <c r="S487" s="350"/>
      <c r="T487" s="350"/>
      <c r="U487" s="350"/>
      <c r="V487" s="350"/>
      <c r="W487" s="350"/>
      <c r="X487" s="351"/>
      <c r="Y487" s="412"/>
      <c r="Z487" s="351"/>
      <c r="AA487" s="412"/>
      <c r="AB487" s="350"/>
      <c r="AC487" s="350"/>
      <c r="AD487" s="351"/>
      <c r="AE487" s="412"/>
      <c r="AF487" s="350"/>
      <c r="AG487" s="351"/>
      <c r="AH487" s="412"/>
      <c r="AI487" s="350"/>
      <c r="AJ487" s="351"/>
      <c r="AK487" s="412"/>
      <c r="AL487" s="350"/>
      <c r="AM487" s="350"/>
      <c r="AN487" s="351"/>
      <c r="AO487" s="412"/>
      <c r="AP487" s="350"/>
      <c r="AQ487" s="350"/>
      <c r="AR487" s="350"/>
      <c r="AS487" s="350"/>
      <c r="AT487" s="350"/>
      <c r="AU487" s="350"/>
      <c r="AV487" s="351"/>
      <c r="AW487" s="723"/>
      <c r="AX487" s="350"/>
      <c r="AY487" s="351"/>
      <c r="AZ487" s="412"/>
      <c r="BA487" s="350"/>
      <c r="BB487" s="350"/>
      <c r="BC487" s="350"/>
      <c r="BD487" s="350"/>
      <c r="BE487" s="350"/>
      <c r="BF487" s="350"/>
      <c r="BG487" s="350"/>
      <c r="BH487" s="350"/>
      <c r="BI487" s="350"/>
      <c r="BJ487" s="350"/>
      <c r="BK487" s="350"/>
      <c r="BL487" s="350"/>
      <c r="BM487" s="350"/>
      <c r="BN487" s="350"/>
      <c r="BO487" s="351"/>
    </row>
    <row r="488" spans="1:67" ht="34.5" customHeight="1">
      <c r="A488" s="98">
        <f t="shared" si="1"/>
        <v>476</v>
      </c>
      <c r="B488" s="416" t="s">
        <v>325</v>
      </c>
      <c r="C488" s="351"/>
      <c r="D488" s="594"/>
      <c r="E488" s="350"/>
      <c r="F488" s="350"/>
      <c r="G488" s="350"/>
      <c r="H488" s="351"/>
      <c r="I488" s="368"/>
      <c r="J488" s="350"/>
      <c r="K488" s="350"/>
      <c r="L488" s="350"/>
      <c r="M488" s="350"/>
      <c r="N488" s="350"/>
      <c r="O488" s="350"/>
      <c r="P488" s="351"/>
      <c r="Q488" s="511"/>
      <c r="R488" s="350"/>
      <c r="S488" s="350"/>
      <c r="T488" s="350"/>
      <c r="U488" s="350"/>
      <c r="V488" s="350"/>
      <c r="W488" s="350"/>
      <c r="X488" s="351"/>
      <c r="Y488" s="368"/>
      <c r="Z488" s="351"/>
      <c r="AA488" s="511"/>
      <c r="AB488" s="350"/>
      <c r="AC488" s="350"/>
      <c r="AD488" s="351"/>
      <c r="AE488" s="368"/>
      <c r="AF488" s="350"/>
      <c r="AG488" s="351"/>
      <c r="AH488" s="511"/>
      <c r="AI488" s="350"/>
      <c r="AJ488" s="351"/>
      <c r="AK488" s="368"/>
      <c r="AL488" s="350"/>
      <c r="AM488" s="350"/>
      <c r="AN488" s="351"/>
      <c r="AO488" s="511"/>
      <c r="AP488" s="350"/>
      <c r="AQ488" s="350"/>
      <c r="AR488" s="350"/>
      <c r="AS488" s="350"/>
      <c r="AT488" s="350"/>
      <c r="AU488" s="350"/>
      <c r="AV488" s="351"/>
      <c r="AW488" s="725"/>
      <c r="AX488" s="350"/>
      <c r="AY488" s="351"/>
      <c r="AZ488" s="511"/>
      <c r="BA488" s="350"/>
      <c r="BB488" s="350"/>
      <c r="BC488" s="350"/>
      <c r="BD488" s="350"/>
      <c r="BE488" s="350"/>
      <c r="BF488" s="350"/>
      <c r="BG488" s="350"/>
      <c r="BH488" s="350"/>
      <c r="BI488" s="350"/>
      <c r="BJ488" s="350"/>
      <c r="BK488" s="350"/>
      <c r="BL488" s="350"/>
      <c r="BM488" s="350"/>
      <c r="BN488" s="350"/>
      <c r="BO488" s="351"/>
    </row>
    <row r="489" spans="1:67" ht="34.5" customHeight="1">
      <c r="A489" s="98">
        <f t="shared" si="1"/>
        <v>477</v>
      </c>
      <c r="B489" s="416" t="s">
        <v>325</v>
      </c>
      <c r="C489" s="351"/>
      <c r="D489" s="724"/>
      <c r="E489" s="350"/>
      <c r="F489" s="350"/>
      <c r="G489" s="350"/>
      <c r="H489" s="351"/>
      <c r="I489" s="412"/>
      <c r="J489" s="350"/>
      <c r="K489" s="350"/>
      <c r="L489" s="350"/>
      <c r="M489" s="350"/>
      <c r="N489" s="350"/>
      <c r="O489" s="350"/>
      <c r="P489" s="351"/>
      <c r="Q489" s="412"/>
      <c r="R489" s="350"/>
      <c r="S489" s="350"/>
      <c r="T489" s="350"/>
      <c r="U489" s="350"/>
      <c r="V489" s="350"/>
      <c r="W489" s="350"/>
      <c r="X489" s="351"/>
      <c r="Y489" s="412"/>
      <c r="Z489" s="351"/>
      <c r="AA489" s="412"/>
      <c r="AB489" s="350"/>
      <c r="AC489" s="350"/>
      <c r="AD489" s="351"/>
      <c r="AE489" s="412"/>
      <c r="AF489" s="350"/>
      <c r="AG489" s="351"/>
      <c r="AH489" s="412"/>
      <c r="AI489" s="350"/>
      <c r="AJ489" s="351"/>
      <c r="AK489" s="412"/>
      <c r="AL489" s="350"/>
      <c r="AM489" s="350"/>
      <c r="AN489" s="351"/>
      <c r="AO489" s="412"/>
      <c r="AP489" s="350"/>
      <c r="AQ489" s="350"/>
      <c r="AR489" s="350"/>
      <c r="AS489" s="350"/>
      <c r="AT489" s="350"/>
      <c r="AU489" s="350"/>
      <c r="AV489" s="351"/>
      <c r="AW489" s="723"/>
      <c r="AX489" s="350"/>
      <c r="AY489" s="351"/>
      <c r="AZ489" s="412"/>
      <c r="BA489" s="350"/>
      <c r="BB489" s="350"/>
      <c r="BC489" s="350"/>
      <c r="BD489" s="350"/>
      <c r="BE489" s="350"/>
      <c r="BF489" s="350"/>
      <c r="BG489" s="350"/>
      <c r="BH489" s="350"/>
      <c r="BI489" s="350"/>
      <c r="BJ489" s="350"/>
      <c r="BK489" s="350"/>
      <c r="BL489" s="350"/>
      <c r="BM489" s="350"/>
      <c r="BN489" s="350"/>
      <c r="BO489" s="351"/>
    </row>
    <row r="490" spans="1:67" ht="34.5" customHeight="1">
      <c r="A490" s="98">
        <f t="shared" si="1"/>
        <v>478</v>
      </c>
      <c r="B490" s="416" t="s">
        <v>325</v>
      </c>
      <c r="C490" s="351"/>
      <c r="D490" s="594"/>
      <c r="E490" s="350"/>
      <c r="F490" s="350"/>
      <c r="G490" s="350"/>
      <c r="H490" s="351"/>
      <c r="I490" s="368"/>
      <c r="J490" s="350"/>
      <c r="K490" s="350"/>
      <c r="L490" s="350"/>
      <c r="M490" s="350"/>
      <c r="N490" s="350"/>
      <c r="O490" s="350"/>
      <c r="P490" s="351"/>
      <c r="Q490" s="511"/>
      <c r="R490" s="350"/>
      <c r="S490" s="350"/>
      <c r="T490" s="350"/>
      <c r="U490" s="350"/>
      <c r="V490" s="350"/>
      <c r="W490" s="350"/>
      <c r="X490" s="351"/>
      <c r="Y490" s="368"/>
      <c r="Z490" s="351"/>
      <c r="AA490" s="511"/>
      <c r="AB490" s="350"/>
      <c r="AC490" s="350"/>
      <c r="AD490" s="351"/>
      <c r="AE490" s="368"/>
      <c r="AF490" s="350"/>
      <c r="AG490" s="351"/>
      <c r="AH490" s="511"/>
      <c r="AI490" s="350"/>
      <c r="AJ490" s="351"/>
      <c r="AK490" s="368"/>
      <c r="AL490" s="350"/>
      <c r="AM490" s="350"/>
      <c r="AN490" s="351"/>
      <c r="AO490" s="511"/>
      <c r="AP490" s="350"/>
      <c r="AQ490" s="350"/>
      <c r="AR490" s="350"/>
      <c r="AS490" s="350"/>
      <c r="AT490" s="350"/>
      <c r="AU490" s="350"/>
      <c r="AV490" s="351"/>
      <c r="AW490" s="725"/>
      <c r="AX490" s="350"/>
      <c r="AY490" s="351"/>
      <c r="AZ490" s="511"/>
      <c r="BA490" s="350"/>
      <c r="BB490" s="350"/>
      <c r="BC490" s="350"/>
      <c r="BD490" s="350"/>
      <c r="BE490" s="350"/>
      <c r="BF490" s="350"/>
      <c r="BG490" s="350"/>
      <c r="BH490" s="350"/>
      <c r="BI490" s="350"/>
      <c r="BJ490" s="350"/>
      <c r="BK490" s="350"/>
      <c r="BL490" s="350"/>
      <c r="BM490" s="350"/>
      <c r="BN490" s="350"/>
      <c r="BO490" s="351"/>
    </row>
    <row r="491" spans="1:67" ht="34.5" customHeight="1">
      <c r="A491" s="98">
        <f t="shared" si="1"/>
        <v>479</v>
      </c>
      <c r="B491" s="416" t="s">
        <v>325</v>
      </c>
      <c r="C491" s="351"/>
      <c r="D491" s="724"/>
      <c r="E491" s="350"/>
      <c r="F491" s="350"/>
      <c r="G491" s="350"/>
      <c r="H491" s="351"/>
      <c r="I491" s="412"/>
      <c r="J491" s="350"/>
      <c r="K491" s="350"/>
      <c r="L491" s="350"/>
      <c r="M491" s="350"/>
      <c r="N491" s="350"/>
      <c r="O491" s="350"/>
      <c r="P491" s="351"/>
      <c r="Q491" s="412"/>
      <c r="R491" s="350"/>
      <c r="S491" s="350"/>
      <c r="T491" s="350"/>
      <c r="U491" s="350"/>
      <c r="V491" s="350"/>
      <c r="W491" s="350"/>
      <c r="X491" s="351"/>
      <c r="Y491" s="412"/>
      <c r="Z491" s="351"/>
      <c r="AA491" s="412"/>
      <c r="AB491" s="350"/>
      <c r="AC491" s="350"/>
      <c r="AD491" s="351"/>
      <c r="AE491" s="412"/>
      <c r="AF491" s="350"/>
      <c r="AG491" s="351"/>
      <c r="AH491" s="412"/>
      <c r="AI491" s="350"/>
      <c r="AJ491" s="351"/>
      <c r="AK491" s="412"/>
      <c r="AL491" s="350"/>
      <c r="AM491" s="350"/>
      <c r="AN491" s="351"/>
      <c r="AO491" s="412"/>
      <c r="AP491" s="350"/>
      <c r="AQ491" s="350"/>
      <c r="AR491" s="350"/>
      <c r="AS491" s="350"/>
      <c r="AT491" s="350"/>
      <c r="AU491" s="350"/>
      <c r="AV491" s="351"/>
      <c r="AW491" s="723"/>
      <c r="AX491" s="350"/>
      <c r="AY491" s="351"/>
      <c r="AZ491" s="412"/>
      <c r="BA491" s="350"/>
      <c r="BB491" s="350"/>
      <c r="BC491" s="350"/>
      <c r="BD491" s="350"/>
      <c r="BE491" s="350"/>
      <c r="BF491" s="350"/>
      <c r="BG491" s="350"/>
      <c r="BH491" s="350"/>
      <c r="BI491" s="350"/>
      <c r="BJ491" s="350"/>
      <c r="BK491" s="350"/>
      <c r="BL491" s="350"/>
      <c r="BM491" s="350"/>
      <c r="BN491" s="350"/>
      <c r="BO491" s="351"/>
    </row>
    <row r="492" spans="1:67" ht="34.5" customHeight="1">
      <c r="A492" s="98">
        <f t="shared" si="1"/>
        <v>480</v>
      </c>
      <c r="B492" s="416" t="s">
        <v>325</v>
      </c>
      <c r="C492" s="351"/>
      <c r="D492" s="594"/>
      <c r="E492" s="350"/>
      <c r="F492" s="350"/>
      <c r="G492" s="350"/>
      <c r="H492" s="351"/>
      <c r="I492" s="368"/>
      <c r="J492" s="350"/>
      <c r="K492" s="350"/>
      <c r="L492" s="350"/>
      <c r="M492" s="350"/>
      <c r="N492" s="350"/>
      <c r="O492" s="350"/>
      <c r="P492" s="351"/>
      <c r="Q492" s="511"/>
      <c r="R492" s="350"/>
      <c r="S492" s="350"/>
      <c r="T492" s="350"/>
      <c r="U492" s="350"/>
      <c r="V492" s="350"/>
      <c r="W492" s="350"/>
      <c r="X492" s="351"/>
      <c r="Y492" s="368"/>
      <c r="Z492" s="351"/>
      <c r="AA492" s="511"/>
      <c r="AB492" s="350"/>
      <c r="AC492" s="350"/>
      <c r="AD492" s="351"/>
      <c r="AE492" s="368"/>
      <c r="AF492" s="350"/>
      <c r="AG492" s="351"/>
      <c r="AH492" s="511"/>
      <c r="AI492" s="350"/>
      <c r="AJ492" s="351"/>
      <c r="AK492" s="368"/>
      <c r="AL492" s="350"/>
      <c r="AM492" s="350"/>
      <c r="AN492" s="351"/>
      <c r="AO492" s="511"/>
      <c r="AP492" s="350"/>
      <c r="AQ492" s="350"/>
      <c r="AR492" s="350"/>
      <c r="AS492" s="350"/>
      <c r="AT492" s="350"/>
      <c r="AU492" s="350"/>
      <c r="AV492" s="351"/>
      <c r="AW492" s="725"/>
      <c r="AX492" s="350"/>
      <c r="AY492" s="351"/>
      <c r="AZ492" s="511"/>
      <c r="BA492" s="350"/>
      <c r="BB492" s="350"/>
      <c r="BC492" s="350"/>
      <c r="BD492" s="350"/>
      <c r="BE492" s="350"/>
      <c r="BF492" s="350"/>
      <c r="BG492" s="350"/>
      <c r="BH492" s="350"/>
      <c r="BI492" s="350"/>
      <c r="BJ492" s="350"/>
      <c r="BK492" s="350"/>
      <c r="BL492" s="350"/>
      <c r="BM492" s="350"/>
      <c r="BN492" s="350"/>
      <c r="BO492" s="351"/>
    </row>
    <row r="493" spans="1:67" ht="34.5" customHeight="1">
      <c r="A493" s="98">
        <f t="shared" si="1"/>
        <v>481</v>
      </c>
      <c r="B493" s="416" t="s">
        <v>325</v>
      </c>
      <c r="C493" s="351"/>
      <c r="D493" s="724"/>
      <c r="E493" s="350"/>
      <c r="F493" s="350"/>
      <c r="G493" s="350"/>
      <c r="H493" s="351"/>
      <c r="I493" s="412"/>
      <c r="J493" s="350"/>
      <c r="K493" s="350"/>
      <c r="L493" s="350"/>
      <c r="M493" s="350"/>
      <c r="N493" s="350"/>
      <c r="O493" s="350"/>
      <c r="P493" s="351"/>
      <c r="Q493" s="412"/>
      <c r="R493" s="350"/>
      <c r="S493" s="350"/>
      <c r="T493" s="350"/>
      <c r="U493" s="350"/>
      <c r="V493" s="350"/>
      <c r="W493" s="350"/>
      <c r="X493" s="351"/>
      <c r="Y493" s="412"/>
      <c r="Z493" s="351"/>
      <c r="AA493" s="412"/>
      <c r="AB493" s="350"/>
      <c r="AC493" s="350"/>
      <c r="AD493" s="351"/>
      <c r="AE493" s="412"/>
      <c r="AF493" s="350"/>
      <c r="AG493" s="351"/>
      <c r="AH493" s="412"/>
      <c r="AI493" s="350"/>
      <c r="AJ493" s="351"/>
      <c r="AK493" s="412"/>
      <c r="AL493" s="350"/>
      <c r="AM493" s="350"/>
      <c r="AN493" s="351"/>
      <c r="AO493" s="412"/>
      <c r="AP493" s="350"/>
      <c r="AQ493" s="350"/>
      <c r="AR493" s="350"/>
      <c r="AS493" s="350"/>
      <c r="AT493" s="350"/>
      <c r="AU493" s="350"/>
      <c r="AV493" s="351"/>
      <c r="AW493" s="723"/>
      <c r="AX493" s="350"/>
      <c r="AY493" s="351"/>
      <c r="AZ493" s="412"/>
      <c r="BA493" s="350"/>
      <c r="BB493" s="350"/>
      <c r="BC493" s="350"/>
      <c r="BD493" s="350"/>
      <c r="BE493" s="350"/>
      <c r="BF493" s="350"/>
      <c r="BG493" s="350"/>
      <c r="BH493" s="350"/>
      <c r="BI493" s="350"/>
      <c r="BJ493" s="350"/>
      <c r="BK493" s="350"/>
      <c r="BL493" s="350"/>
      <c r="BM493" s="350"/>
      <c r="BN493" s="350"/>
      <c r="BO493" s="351"/>
    </row>
    <row r="494" spans="1:67" ht="34.5" customHeight="1">
      <c r="A494" s="98">
        <f t="shared" si="1"/>
        <v>482</v>
      </c>
      <c r="B494" s="416" t="s">
        <v>325</v>
      </c>
      <c r="C494" s="351"/>
      <c r="D494" s="594"/>
      <c r="E494" s="350"/>
      <c r="F494" s="350"/>
      <c r="G494" s="350"/>
      <c r="H494" s="351"/>
      <c r="I494" s="368"/>
      <c r="J494" s="350"/>
      <c r="K494" s="350"/>
      <c r="L494" s="350"/>
      <c r="M494" s="350"/>
      <c r="N494" s="350"/>
      <c r="O494" s="350"/>
      <c r="P494" s="351"/>
      <c r="Q494" s="511"/>
      <c r="R494" s="350"/>
      <c r="S494" s="350"/>
      <c r="T494" s="350"/>
      <c r="U494" s="350"/>
      <c r="V494" s="350"/>
      <c r="W494" s="350"/>
      <c r="X494" s="351"/>
      <c r="Y494" s="368"/>
      <c r="Z494" s="351"/>
      <c r="AA494" s="511"/>
      <c r="AB494" s="350"/>
      <c r="AC494" s="350"/>
      <c r="AD494" s="351"/>
      <c r="AE494" s="368"/>
      <c r="AF494" s="350"/>
      <c r="AG494" s="351"/>
      <c r="AH494" s="511"/>
      <c r="AI494" s="350"/>
      <c r="AJ494" s="351"/>
      <c r="AK494" s="368"/>
      <c r="AL494" s="350"/>
      <c r="AM494" s="350"/>
      <c r="AN494" s="351"/>
      <c r="AO494" s="511"/>
      <c r="AP494" s="350"/>
      <c r="AQ494" s="350"/>
      <c r="AR494" s="350"/>
      <c r="AS494" s="350"/>
      <c r="AT494" s="350"/>
      <c r="AU494" s="350"/>
      <c r="AV494" s="351"/>
      <c r="AW494" s="725"/>
      <c r="AX494" s="350"/>
      <c r="AY494" s="351"/>
      <c r="AZ494" s="511"/>
      <c r="BA494" s="350"/>
      <c r="BB494" s="350"/>
      <c r="BC494" s="350"/>
      <c r="BD494" s="350"/>
      <c r="BE494" s="350"/>
      <c r="BF494" s="350"/>
      <c r="BG494" s="350"/>
      <c r="BH494" s="350"/>
      <c r="BI494" s="350"/>
      <c r="BJ494" s="350"/>
      <c r="BK494" s="350"/>
      <c r="BL494" s="350"/>
      <c r="BM494" s="350"/>
      <c r="BN494" s="350"/>
      <c r="BO494" s="351"/>
    </row>
    <row r="495" spans="1:67" ht="34.5" customHeight="1">
      <c r="A495" s="98">
        <f t="shared" si="1"/>
        <v>483</v>
      </c>
      <c r="B495" s="416" t="s">
        <v>325</v>
      </c>
      <c r="C495" s="351"/>
      <c r="D495" s="724"/>
      <c r="E495" s="350"/>
      <c r="F495" s="350"/>
      <c r="G495" s="350"/>
      <c r="H495" s="351"/>
      <c r="I495" s="412"/>
      <c r="J495" s="350"/>
      <c r="K495" s="350"/>
      <c r="L495" s="350"/>
      <c r="M495" s="350"/>
      <c r="N495" s="350"/>
      <c r="O495" s="350"/>
      <c r="P495" s="351"/>
      <c r="Q495" s="412"/>
      <c r="R495" s="350"/>
      <c r="S495" s="350"/>
      <c r="T495" s="350"/>
      <c r="U495" s="350"/>
      <c r="V495" s="350"/>
      <c r="W495" s="350"/>
      <c r="X495" s="351"/>
      <c r="Y495" s="412"/>
      <c r="Z495" s="351"/>
      <c r="AA495" s="412"/>
      <c r="AB495" s="350"/>
      <c r="AC495" s="350"/>
      <c r="AD495" s="351"/>
      <c r="AE495" s="412"/>
      <c r="AF495" s="350"/>
      <c r="AG495" s="351"/>
      <c r="AH495" s="412"/>
      <c r="AI495" s="350"/>
      <c r="AJ495" s="351"/>
      <c r="AK495" s="412"/>
      <c r="AL495" s="350"/>
      <c r="AM495" s="350"/>
      <c r="AN495" s="351"/>
      <c r="AO495" s="412"/>
      <c r="AP495" s="350"/>
      <c r="AQ495" s="350"/>
      <c r="AR495" s="350"/>
      <c r="AS495" s="350"/>
      <c r="AT495" s="350"/>
      <c r="AU495" s="350"/>
      <c r="AV495" s="351"/>
      <c r="AW495" s="723"/>
      <c r="AX495" s="350"/>
      <c r="AY495" s="351"/>
      <c r="AZ495" s="412"/>
      <c r="BA495" s="350"/>
      <c r="BB495" s="350"/>
      <c r="BC495" s="350"/>
      <c r="BD495" s="350"/>
      <c r="BE495" s="350"/>
      <c r="BF495" s="350"/>
      <c r="BG495" s="350"/>
      <c r="BH495" s="350"/>
      <c r="BI495" s="350"/>
      <c r="BJ495" s="350"/>
      <c r="BK495" s="350"/>
      <c r="BL495" s="350"/>
      <c r="BM495" s="350"/>
      <c r="BN495" s="350"/>
      <c r="BO495" s="351"/>
    </row>
    <row r="496" spans="1:67" ht="34.5" customHeight="1">
      <c r="A496" s="98">
        <f t="shared" si="1"/>
        <v>484</v>
      </c>
      <c r="B496" s="416" t="s">
        <v>325</v>
      </c>
      <c r="C496" s="351"/>
      <c r="D496" s="594"/>
      <c r="E496" s="350"/>
      <c r="F496" s="350"/>
      <c r="G496" s="350"/>
      <c r="H496" s="351"/>
      <c r="I496" s="368"/>
      <c r="J496" s="350"/>
      <c r="K496" s="350"/>
      <c r="L496" s="350"/>
      <c r="M496" s="350"/>
      <c r="N496" s="350"/>
      <c r="O496" s="350"/>
      <c r="P496" s="351"/>
      <c r="Q496" s="511"/>
      <c r="R496" s="350"/>
      <c r="S496" s="350"/>
      <c r="T496" s="350"/>
      <c r="U496" s="350"/>
      <c r="V496" s="350"/>
      <c r="W496" s="350"/>
      <c r="X496" s="351"/>
      <c r="Y496" s="368"/>
      <c r="Z496" s="351"/>
      <c r="AA496" s="511"/>
      <c r="AB496" s="350"/>
      <c r="AC496" s="350"/>
      <c r="AD496" s="351"/>
      <c r="AE496" s="368"/>
      <c r="AF496" s="350"/>
      <c r="AG496" s="351"/>
      <c r="AH496" s="511"/>
      <c r="AI496" s="350"/>
      <c r="AJ496" s="351"/>
      <c r="AK496" s="368"/>
      <c r="AL496" s="350"/>
      <c r="AM496" s="350"/>
      <c r="AN496" s="351"/>
      <c r="AO496" s="511"/>
      <c r="AP496" s="350"/>
      <c r="AQ496" s="350"/>
      <c r="AR496" s="350"/>
      <c r="AS496" s="350"/>
      <c r="AT496" s="350"/>
      <c r="AU496" s="350"/>
      <c r="AV496" s="351"/>
      <c r="AW496" s="725"/>
      <c r="AX496" s="350"/>
      <c r="AY496" s="351"/>
      <c r="AZ496" s="511"/>
      <c r="BA496" s="350"/>
      <c r="BB496" s="350"/>
      <c r="BC496" s="350"/>
      <c r="BD496" s="350"/>
      <c r="BE496" s="350"/>
      <c r="BF496" s="350"/>
      <c r="BG496" s="350"/>
      <c r="BH496" s="350"/>
      <c r="BI496" s="350"/>
      <c r="BJ496" s="350"/>
      <c r="BK496" s="350"/>
      <c r="BL496" s="350"/>
      <c r="BM496" s="350"/>
      <c r="BN496" s="350"/>
      <c r="BO496" s="351"/>
    </row>
    <row r="497" spans="1:67" ht="34.5" customHeight="1">
      <c r="A497" s="98">
        <f t="shared" si="1"/>
        <v>485</v>
      </c>
      <c r="B497" s="416" t="s">
        <v>325</v>
      </c>
      <c r="C497" s="351"/>
      <c r="D497" s="724"/>
      <c r="E497" s="350"/>
      <c r="F497" s="350"/>
      <c r="G497" s="350"/>
      <c r="H497" s="351"/>
      <c r="I497" s="412"/>
      <c r="J497" s="350"/>
      <c r="K497" s="350"/>
      <c r="L497" s="350"/>
      <c r="M497" s="350"/>
      <c r="N497" s="350"/>
      <c r="O497" s="350"/>
      <c r="P497" s="351"/>
      <c r="Q497" s="412"/>
      <c r="R497" s="350"/>
      <c r="S497" s="350"/>
      <c r="T497" s="350"/>
      <c r="U497" s="350"/>
      <c r="V497" s="350"/>
      <c r="W497" s="350"/>
      <c r="X497" s="351"/>
      <c r="Y497" s="412"/>
      <c r="Z497" s="351"/>
      <c r="AA497" s="412"/>
      <c r="AB497" s="350"/>
      <c r="AC497" s="350"/>
      <c r="AD497" s="351"/>
      <c r="AE497" s="412"/>
      <c r="AF497" s="350"/>
      <c r="AG497" s="351"/>
      <c r="AH497" s="412"/>
      <c r="AI497" s="350"/>
      <c r="AJ497" s="351"/>
      <c r="AK497" s="412"/>
      <c r="AL497" s="350"/>
      <c r="AM497" s="350"/>
      <c r="AN497" s="351"/>
      <c r="AO497" s="412"/>
      <c r="AP497" s="350"/>
      <c r="AQ497" s="350"/>
      <c r="AR497" s="350"/>
      <c r="AS497" s="350"/>
      <c r="AT497" s="350"/>
      <c r="AU497" s="350"/>
      <c r="AV497" s="351"/>
      <c r="AW497" s="723"/>
      <c r="AX497" s="350"/>
      <c r="AY497" s="351"/>
      <c r="AZ497" s="412"/>
      <c r="BA497" s="350"/>
      <c r="BB497" s="350"/>
      <c r="BC497" s="350"/>
      <c r="BD497" s="350"/>
      <c r="BE497" s="350"/>
      <c r="BF497" s="350"/>
      <c r="BG497" s="350"/>
      <c r="BH497" s="350"/>
      <c r="BI497" s="350"/>
      <c r="BJ497" s="350"/>
      <c r="BK497" s="350"/>
      <c r="BL497" s="350"/>
      <c r="BM497" s="350"/>
      <c r="BN497" s="350"/>
      <c r="BO497" s="351"/>
    </row>
    <row r="498" spans="1:67" ht="34.5" customHeight="1">
      <c r="A498" s="98">
        <f t="shared" si="1"/>
        <v>486</v>
      </c>
      <c r="B498" s="416" t="s">
        <v>325</v>
      </c>
      <c r="C498" s="351"/>
      <c r="D498" s="594"/>
      <c r="E498" s="350"/>
      <c r="F498" s="350"/>
      <c r="G498" s="350"/>
      <c r="H498" s="351"/>
      <c r="I498" s="368"/>
      <c r="J498" s="350"/>
      <c r="K498" s="350"/>
      <c r="L498" s="350"/>
      <c r="M498" s="350"/>
      <c r="N498" s="350"/>
      <c r="O498" s="350"/>
      <c r="P498" s="351"/>
      <c r="Q498" s="511"/>
      <c r="R498" s="350"/>
      <c r="S498" s="350"/>
      <c r="T498" s="350"/>
      <c r="U498" s="350"/>
      <c r="V498" s="350"/>
      <c r="W498" s="350"/>
      <c r="X498" s="351"/>
      <c r="Y498" s="368"/>
      <c r="Z498" s="351"/>
      <c r="AA498" s="511"/>
      <c r="AB498" s="350"/>
      <c r="AC498" s="350"/>
      <c r="AD498" s="351"/>
      <c r="AE498" s="368"/>
      <c r="AF498" s="350"/>
      <c r="AG498" s="351"/>
      <c r="AH498" s="511"/>
      <c r="AI498" s="350"/>
      <c r="AJ498" s="351"/>
      <c r="AK498" s="368"/>
      <c r="AL498" s="350"/>
      <c r="AM498" s="350"/>
      <c r="AN498" s="351"/>
      <c r="AO498" s="511"/>
      <c r="AP498" s="350"/>
      <c r="AQ498" s="350"/>
      <c r="AR498" s="350"/>
      <c r="AS498" s="350"/>
      <c r="AT498" s="350"/>
      <c r="AU498" s="350"/>
      <c r="AV498" s="351"/>
      <c r="AW498" s="725"/>
      <c r="AX498" s="350"/>
      <c r="AY498" s="351"/>
      <c r="AZ498" s="511"/>
      <c r="BA498" s="350"/>
      <c r="BB498" s="350"/>
      <c r="BC498" s="350"/>
      <c r="BD498" s="350"/>
      <c r="BE498" s="350"/>
      <c r="BF498" s="350"/>
      <c r="BG498" s="350"/>
      <c r="BH498" s="350"/>
      <c r="BI498" s="350"/>
      <c r="BJ498" s="350"/>
      <c r="BK498" s="350"/>
      <c r="BL498" s="350"/>
      <c r="BM498" s="350"/>
      <c r="BN498" s="350"/>
      <c r="BO498" s="351"/>
    </row>
    <row r="499" spans="1:67" ht="34.5" customHeight="1">
      <c r="A499" s="98">
        <f t="shared" si="1"/>
        <v>487</v>
      </c>
      <c r="B499" s="416" t="s">
        <v>325</v>
      </c>
      <c r="C499" s="351"/>
      <c r="D499" s="724"/>
      <c r="E499" s="350"/>
      <c r="F499" s="350"/>
      <c r="G499" s="350"/>
      <c r="H499" s="351"/>
      <c r="I499" s="412"/>
      <c r="J499" s="350"/>
      <c r="K499" s="350"/>
      <c r="L499" s="350"/>
      <c r="M499" s="350"/>
      <c r="N499" s="350"/>
      <c r="O499" s="350"/>
      <c r="P499" s="351"/>
      <c r="Q499" s="412"/>
      <c r="R499" s="350"/>
      <c r="S499" s="350"/>
      <c r="T499" s="350"/>
      <c r="U499" s="350"/>
      <c r="V499" s="350"/>
      <c r="W499" s="350"/>
      <c r="X499" s="351"/>
      <c r="Y499" s="412"/>
      <c r="Z499" s="351"/>
      <c r="AA499" s="412"/>
      <c r="AB499" s="350"/>
      <c r="AC499" s="350"/>
      <c r="AD499" s="351"/>
      <c r="AE499" s="412"/>
      <c r="AF499" s="350"/>
      <c r="AG499" s="351"/>
      <c r="AH499" s="412"/>
      <c r="AI499" s="350"/>
      <c r="AJ499" s="351"/>
      <c r="AK499" s="412"/>
      <c r="AL499" s="350"/>
      <c r="AM499" s="350"/>
      <c r="AN499" s="351"/>
      <c r="AO499" s="412"/>
      <c r="AP499" s="350"/>
      <c r="AQ499" s="350"/>
      <c r="AR499" s="350"/>
      <c r="AS499" s="350"/>
      <c r="AT499" s="350"/>
      <c r="AU499" s="350"/>
      <c r="AV499" s="351"/>
      <c r="AW499" s="723"/>
      <c r="AX499" s="350"/>
      <c r="AY499" s="351"/>
      <c r="AZ499" s="412"/>
      <c r="BA499" s="350"/>
      <c r="BB499" s="350"/>
      <c r="BC499" s="350"/>
      <c r="BD499" s="350"/>
      <c r="BE499" s="350"/>
      <c r="BF499" s="350"/>
      <c r="BG499" s="350"/>
      <c r="BH499" s="350"/>
      <c r="BI499" s="350"/>
      <c r="BJ499" s="350"/>
      <c r="BK499" s="350"/>
      <c r="BL499" s="350"/>
      <c r="BM499" s="350"/>
      <c r="BN499" s="350"/>
      <c r="BO499" s="351"/>
    </row>
    <row r="500" spans="1:67" ht="34.5" customHeight="1">
      <c r="A500" s="98">
        <f t="shared" si="1"/>
        <v>488</v>
      </c>
      <c r="B500" s="726" t="s">
        <v>325</v>
      </c>
      <c r="C500" s="351"/>
      <c r="D500" s="594"/>
      <c r="E500" s="350"/>
      <c r="F500" s="350"/>
      <c r="G500" s="350"/>
      <c r="H500" s="351"/>
      <c r="I500" s="368"/>
      <c r="J500" s="350"/>
      <c r="K500" s="350"/>
      <c r="L500" s="350"/>
      <c r="M500" s="350"/>
      <c r="N500" s="350"/>
      <c r="O500" s="350"/>
      <c r="P500" s="351"/>
      <c r="Q500" s="511"/>
      <c r="R500" s="350"/>
      <c r="S500" s="350"/>
      <c r="T500" s="350"/>
      <c r="U500" s="350"/>
      <c r="V500" s="350"/>
      <c r="W500" s="350"/>
      <c r="X500" s="351"/>
      <c r="Y500" s="368"/>
      <c r="Z500" s="351"/>
      <c r="AA500" s="511"/>
      <c r="AB500" s="350"/>
      <c r="AC500" s="350"/>
      <c r="AD500" s="351"/>
      <c r="AE500" s="368"/>
      <c r="AF500" s="350"/>
      <c r="AG500" s="351"/>
      <c r="AH500" s="511"/>
      <c r="AI500" s="350"/>
      <c r="AJ500" s="351"/>
      <c r="AK500" s="368"/>
      <c r="AL500" s="350"/>
      <c r="AM500" s="350"/>
      <c r="AN500" s="351"/>
      <c r="AO500" s="511"/>
      <c r="AP500" s="350"/>
      <c r="AQ500" s="350"/>
      <c r="AR500" s="350"/>
      <c r="AS500" s="350"/>
      <c r="AT500" s="350"/>
      <c r="AU500" s="350"/>
      <c r="AV500" s="351"/>
      <c r="AW500" s="725"/>
      <c r="AX500" s="350"/>
      <c r="AY500" s="351"/>
      <c r="AZ500" s="511"/>
      <c r="BA500" s="350"/>
      <c r="BB500" s="350"/>
      <c r="BC500" s="350"/>
      <c r="BD500" s="350"/>
      <c r="BE500" s="350"/>
      <c r="BF500" s="350"/>
      <c r="BG500" s="350"/>
      <c r="BH500" s="350"/>
      <c r="BI500" s="350"/>
      <c r="BJ500" s="350"/>
      <c r="BK500" s="350"/>
      <c r="BL500" s="350"/>
      <c r="BM500" s="350"/>
      <c r="BN500" s="350"/>
      <c r="BO500" s="351"/>
    </row>
    <row r="501" spans="1:67" ht="34.5" customHeight="1">
      <c r="A501" s="98">
        <f t="shared" si="1"/>
        <v>489</v>
      </c>
      <c r="B501" s="416" t="s">
        <v>325</v>
      </c>
      <c r="C501" s="351"/>
      <c r="D501" s="724"/>
      <c r="E501" s="350"/>
      <c r="F501" s="350"/>
      <c r="G501" s="350"/>
      <c r="H501" s="351"/>
      <c r="I501" s="412"/>
      <c r="J501" s="350"/>
      <c r="K501" s="350"/>
      <c r="L501" s="350"/>
      <c r="M501" s="350"/>
      <c r="N501" s="350"/>
      <c r="O501" s="350"/>
      <c r="P501" s="351"/>
      <c r="Q501" s="412"/>
      <c r="R501" s="350"/>
      <c r="S501" s="350"/>
      <c r="T501" s="350"/>
      <c r="U501" s="350"/>
      <c r="V501" s="350"/>
      <c r="W501" s="350"/>
      <c r="X501" s="351"/>
      <c r="Y501" s="412"/>
      <c r="Z501" s="351"/>
      <c r="AA501" s="412"/>
      <c r="AB501" s="350"/>
      <c r="AC501" s="350"/>
      <c r="AD501" s="351"/>
      <c r="AE501" s="412"/>
      <c r="AF501" s="350"/>
      <c r="AG501" s="351"/>
      <c r="AH501" s="412"/>
      <c r="AI501" s="350"/>
      <c r="AJ501" s="351"/>
      <c r="AK501" s="412"/>
      <c r="AL501" s="350"/>
      <c r="AM501" s="350"/>
      <c r="AN501" s="351"/>
      <c r="AO501" s="412"/>
      <c r="AP501" s="350"/>
      <c r="AQ501" s="350"/>
      <c r="AR501" s="350"/>
      <c r="AS501" s="350"/>
      <c r="AT501" s="350"/>
      <c r="AU501" s="350"/>
      <c r="AV501" s="351"/>
      <c r="AW501" s="723"/>
      <c r="AX501" s="350"/>
      <c r="AY501" s="351"/>
      <c r="AZ501" s="412"/>
      <c r="BA501" s="350"/>
      <c r="BB501" s="350"/>
      <c r="BC501" s="350"/>
      <c r="BD501" s="350"/>
      <c r="BE501" s="350"/>
      <c r="BF501" s="350"/>
      <c r="BG501" s="350"/>
      <c r="BH501" s="350"/>
      <c r="BI501" s="350"/>
      <c r="BJ501" s="350"/>
      <c r="BK501" s="350"/>
      <c r="BL501" s="350"/>
      <c r="BM501" s="350"/>
      <c r="BN501" s="350"/>
      <c r="BO501" s="351"/>
    </row>
    <row r="502" spans="1:67" ht="34.5" customHeight="1">
      <c r="A502" s="98">
        <f t="shared" si="1"/>
        <v>490</v>
      </c>
      <c r="B502" s="416" t="s">
        <v>325</v>
      </c>
      <c r="C502" s="351"/>
      <c r="D502" s="594"/>
      <c r="E502" s="350"/>
      <c r="F502" s="350"/>
      <c r="G502" s="350"/>
      <c r="H502" s="351"/>
      <c r="I502" s="368"/>
      <c r="J502" s="350"/>
      <c r="K502" s="350"/>
      <c r="L502" s="350"/>
      <c r="M502" s="350"/>
      <c r="N502" s="350"/>
      <c r="O502" s="350"/>
      <c r="P502" s="351"/>
      <c r="Q502" s="511"/>
      <c r="R502" s="350"/>
      <c r="S502" s="350"/>
      <c r="T502" s="350"/>
      <c r="U502" s="350"/>
      <c r="V502" s="350"/>
      <c r="W502" s="350"/>
      <c r="X502" s="351"/>
      <c r="Y502" s="368"/>
      <c r="Z502" s="351"/>
      <c r="AA502" s="511"/>
      <c r="AB502" s="350"/>
      <c r="AC502" s="350"/>
      <c r="AD502" s="351"/>
      <c r="AE502" s="368"/>
      <c r="AF502" s="350"/>
      <c r="AG502" s="351"/>
      <c r="AH502" s="511"/>
      <c r="AI502" s="350"/>
      <c r="AJ502" s="351"/>
      <c r="AK502" s="368"/>
      <c r="AL502" s="350"/>
      <c r="AM502" s="350"/>
      <c r="AN502" s="351"/>
      <c r="AO502" s="511"/>
      <c r="AP502" s="350"/>
      <c r="AQ502" s="350"/>
      <c r="AR502" s="350"/>
      <c r="AS502" s="350"/>
      <c r="AT502" s="350"/>
      <c r="AU502" s="350"/>
      <c r="AV502" s="351"/>
      <c r="AW502" s="725"/>
      <c r="AX502" s="350"/>
      <c r="AY502" s="351"/>
      <c r="AZ502" s="511"/>
      <c r="BA502" s="350"/>
      <c r="BB502" s="350"/>
      <c r="BC502" s="350"/>
      <c r="BD502" s="350"/>
      <c r="BE502" s="350"/>
      <c r="BF502" s="350"/>
      <c r="BG502" s="350"/>
      <c r="BH502" s="350"/>
      <c r="BI502" s="350"/>
      <c r="BJ502" s="350"/>
      <c r="BK502" s="350"/>
      <c r="BL502" s="350"/>
      <c r="BM502" s="350"/>
      <c r="BN502" s="350"/>
      <c r="BO502" s="351"/>
    </row>
    <row r="503" spans="1:67" ht="34.5" customHeight="1">
      <c r="A503" s="98">
        <f t="shared" si="1"/>
        <v>491</v>
      </c>
      <c r="B503" s="416" t="s">
        <v>325</v>
      </c>
      <c r="C503" s="351"/>
      <c r="D503" s="724"/>
      <c r="E503" s="350"/>
      <c r="F503" s="350"/>
      <c r="G503" s="350"/>
      <c r="H503" s="351"/>
      <c r="I503" s="412"/>
      <c r="J503" s="350"/>
      <c r="K503" s="350"/>
      <c r="L503" s="350"/>
      <c r="M503" s="350"/>
      <c r="N503" s="350"/>
      <c r="O503" s="350"/>
      <c r="P503" s="351"/>
      <c r="Q503" s="412"/>
      <c r="R503" s="350"/>
      <c r="S503" s="350"/>
      <c r="T503" s="350"/>
      <c r="U503" s="350"/>
      <c r="V503" s="350"/>
      <c r="W503" s="350"/>
      <c r="X503" s="351"/>
      <c r="Y503" s="412"/>
      <c r="Z503" s="351"/>
      <c r="AA503" s="412"/>
      <c r="AB503" s="350"/>
      <c r="AC503" s="350"/>
      <c r="AD503" s="351"/>
      <c r="AE503" s="412"/>
      <c r="AF503" s="350"/>
      <c r="AG503" s="351"/>
      <c r="AH503" s="412"/>
      <c r="AI503" s="350"/>
      <c r="AJ503" s="351"/>
      <c r="AK503" s="412"/>
      <c r="AL503" s="350"/>
      <c r="AM503" s="350"/>
      <c r="AN503" s="351"/>
      <c r="AO503" s="412"/>
      <c r="AP503" s="350"/>
      <c r="AQ503" s="350"/>
      <c r="AR503" s="350"/>
      <c r="AS503" s="350"/>
      <c r="AT503" s="350"/>
      <c r="AU503" s="350"/>
      <c r="AV503" s="351"/>
      <c r="AW503" s="723"/>
      <c r="AX503" s="350"/>
      <c r="AY503" s="351"/>
      <c r="AZ503" s="412"/>
      <c r="BA503" s="350"/>
      <c r="BB503" s="350"/>
      <c r="BC503" s="350"/>
      <c r="BD503" s="350"/>
      <c r="BE503" s="350"/>
      <c r="BF503" s="350"/>
      <c r="BG503" s="350"/>
      <c r="BH503" s="350"/>
      <c r="BI503" s="350"/>
      <c r="BJ503" s="350"/>
      <c r="BK503" s="350"/>
      <c r="BL503" s="350"/>
      <c r="BM503" s="350"/>
      <c r="BN503" s="350"/>
      <c r="BO503" s="351"/>
    </row>
    <row r="504" spans="1:67" ht="34.5" customHeight="1">
      <c r="A504" s="98">
        <f t="shared" si="1"/>
        <v>492</v>
      </c>
      <c r="B504" s="416" t="s">
        <v>325</v>
      </c>
      <c r="C504" s="351"/>
      <c r="D504" s="594"/>
      <c r="E504" s="350"/>
      <c r="F504" s="350"/>
      <c r="G504" s="350"/>
      <c r="H504" s="351"/>
      <c r="I504" s="368"/>
      <c r="J504" s="350"/>
      <c r="K504" s="350"/>
      <c r="L504" s="350"/>
      <c r="M504" s="350"/>
      <c r="N504" s="350"/>
      <c r="O504" s="350"/>
      <c r="P504" s="351"/>
      <c r="Q504" s="511"/>
      <c r="R504" s="350"/>
      <c r="S504" s="350"/>
      <c r="T504" s="350"/>
      <c r="U504" s="350"/>
      <c r="V504" s="350"/>
      <c r="W504" s="350"/>
      <c r="X504" s="351"/>
      <c r="Y504" s="368"/>
      <c r="Z504" s="351"/>
      <c r="AA504" s="511"/>
      <c r="AB504" s="350"/>
      <c r="AC504" s="350"/>
      <c r="AD504" s="351"/>
      <c r="AE504" s="368"/>
      <c r="AF504" s="350"/>
      <c r="AG504" s="351"/>
      <c r="AH504" s="511"/>
      <c r="AI504" s="350"/>
      <c r="AJ504" s="351"/>
      <c r="AK504" s="368"/>
      <c r="AL504" s="350"/>
      <c r="AM504" s="350"/>
      <c r="AN504" s="351"/>
      <c r="AO504" s="511"/>
      <c r="AP504" s="350"/>
      <c r="AQ504" s="350"/>
      <c r="AR504" s="350"/>
      <c r="AS504" s="350"/>
      <c r="AT504" s="350"/>
      <c r="AU504" s="350"/>
      <c r="AV504" s="351"/>
      <c r="AW504" s="725"/>
      <c r="AX504" s="350"/>
      <c r="AY504" s="351"/>
      <c r="AZ504" s="511"/>
      <c r="BA504" s="350"/>
      <c r="BB504" s="350"/>
      <c r="BC504" s="350"/>
      <c r="BD504" s="350"/>
      <c r="BE504" s="350"/>
      <c r="BF504" s="350"/>
      <c r="BG504" s="350"/>
      <c r="BH504" s="350"/>
      <c r="BI504" s="350"/>
      <c r="BJ504" s="350"/>
      <c r="BK504" s="350"/>
      <c r="BL504" s="350"/>
      <c r="BM504" s="350"/>
      <c r="BN504" s="350"/>
      <c r="BO504" s="351"/>
    </row>
    <row r="505" spans="1:67" ht="34.5" customHeight="1">
      <c r="A505" s="98">
        <f t="shared" si="1"/>
        <v>493</v>
      </c>
      <c r="B505" s="416" t="s">
        <v>325</v>
      </c>
      <c r="C505" s="351"/>
      <c r="D505" s="724"/>
      <c r="E505" s="350"/>
      <c r="F505" s="350"/>
      <c r="G505" s="350"/>
      <c r="H505" s="351"/>
      <c r="I505" s="412"/>
      <c r="J505" s="350"/>
      <c r="K505" s="350"/>
      <c r="L505" s="350"/>
      <c r="M505" s="350"/>
      <c r="N505" s="350"/>
      <c r="O505" s="350"/>
      <c r="P505" s="351"/>
      <c r="Q505" s="412"/>
      <c r="R505" s="350"/>
      <c r="S505" s="350"/>
      <c r="T505" s="350"/>
      <c r="U505" s="350"/>
      <c r="V505" s="350"/>
      <c r="W505" s="350"/>
      <c r="X505" s="351"/>
      <c r="Y505" s="412"/>
      <c r="Z505" s="351"/>
      <c r="AA505" s="412"/>
      <c r="AB505" s="350"/>
      <c r="AC505" s="350"/>
      <c r="AD505" s="351"/>
      <c r="AE505" s="412"/>
      <c r="AF505" s="350"/>
      <c r="AG505" s="351"/>
      <c r="AH505" s="412"/>
      <c r="AI505" s="350"/>
      <c r="AJ505" s="351"/>
      <c r="AK505" s="412"/>
      <c r="AL505" s="350"/>
      <c r="AM505" s="350"/>
      <c r="AN505" s="351"/>
      <c r="AO505" s="412"/>
      <c r="AP505" s="350"/>
      <c r="AQ505" s="350"/>
      <c r="AR505" s="350"/>
      <c r="AS505" s="350"/>
      <c r="AT505" s="350"/>
      <c r="AU505" s="350"/>
      <c r="AV505" s="351"/>
      <c r="AW505" s="723"/>
      <c r="AX505" s="350"/>
      <c r="AY505" s="351"/>
      <c r="AZ505" s="412"/>
      <c r="BA505" s="350"/>
      <c r="BB505" s="350"/>
      <c r="BC505" s="350"/>
      <c r="BD505" s="350"/>
      <c r="BE505" s="350"/>
      <c r="BF505" s="350"/>
      <c r="BG505" s="350"/>
      <c r="BH505" s="350"/>
      <c r="BI505" s="350"/>
      <c r="BJ505" s="350"/>
      <c r="BK505" s="350"/>
      <c r="BL505" s="350"/>
      <c r="BM505" s="350"/>
      <c r="BN505" s="350"/>
      <c r="BO505" s="351"/>
    </row>
    <row r="506" spans="1:67" ht="34.5" customHeight="1">
      <c r="A506" s="98">
        <f t="shared" si="1"/>
        <v>494</v>
      </c>
      <c r="B506" s="416" t="s">
        <v>325</v>
      </c>
      <c r="C506" s="351"/>
      <c r="D506" s="594"/>
      <c r="E506" s="350"/>
      <c r="F506" s="350"/>
      <c r="G506" s="350"/>
      <c r="H506" s="351"/>
      <c r="I506" s="368"/>
      <c r="J506" s="350"/>
      <c r="K506" s="350"/>
      <c r="L506" s="350"/>
      <c r="M506" s="350"/>
      <c r="N506" s="350"/>
      <c r="O506" s="350"/>
      <c r="P506" s="351"/>
      <c r="Q506" s="511"/>
      <c r="R506" s="350"/>
      <c r="S506" s="350"/>
      <c r="T506" s="350"/>
      <c r="U506" s="350"/>
      <c r="V506" s="350"/>
      <c r="W506" s="350"/>
      <c r="X506" s="351"/>
      <c r="Y506" s="368"/>
      <c r="Z506" s="351"/>
      <c r="AA506" s="511"/>
      <c r="AB506" s="350"/>
      <c r="AC506" s="350"/>
      <c r="AD506" s="351"/>
      <c r="AE506" s="368"/>
      <c r="AF506" s="350"/>
      <c r="AG506" s="351"/>
      <c r="AH506" s="511"/>
      <c r="AI506" s="350"/>
      <c r="AJ506" s="351"/>
      <c r="AK506" s="368"/>
      <c r="AL506" s="350"/>
      <c r="AM506" s="350"/>
      <c r="AN506" s="351"/>
      <c r="AO506" s="511"/>
      <c r="AP506" s="350"/>
      <c r="AQ506" s="350"/>
      <c r="AR506" s="350"/>
      <c r="AS506" s="350"/>
      <c r="AT506" s="350"/>
      <c r="AU506" s="350"/>
      <c r="AV506" s="351"/>
      <c r="AW506" s="725"/>
      <c r="AX506" s="350"/>
      <c r="AY506" s="351"/>
      <c r="AZ506" s="511"/>
      <c r="BA506" s="350"/>
      <c r="BB506" s="350"/>
      <c r="BC506" s="350"/>
      <c r="BD506" s="350"/>
      <c r="BE506" s="350"/>
      <c r="BF506" s="350"/>
      <c r="BG506" s="350"/>
      <c r="BH506" s="350"/>
      <c r="BI506" s="350"/>
      <c r="BJ506" s="350"/>
      <c r="BK506" s="350"/>
      <c r="BL506" s="350"/>
      <c r="BM506" s="350"/>
      <c r="BN506" s="350"/>
      <c r="BO506" s="351"/>
    </row>
    <row r="507" spans="1:67" ht="34.5" customHeight="1">
      <c r="A507" s="98">
        <f t="shared" si="1"/>
        <v>495</v>
      </c>
      <c r="B507" s="416" t="s">
        <v>325</v>
      </c>
      <c r="C507" s="351"/>
      <c r="D507" s="724"/>
      <c r="E507" s="350"/>
      <c r="F507" s="350"/>
      <c r="G507" s="350"/>
      <c r="H507" s="351"/>
      <c r="I507" s="412"/>
      <c r="J507" s="350"/>
      <c r="K507" s="350"/>
      <c r="L507" s="350"/>
      <c r="M507" s="350"/>
      <c r="N507" s="350"/>
      <c r="O507" s="350"/>
      <c r="P507" s="351"/>
      <c r="Q507" s="412"/>
      <c r="R507" s="350"/>
      <c r="S507" s="350"/>
      <c r="T507" s="350"/>
      <c r="U507" s="350"/>
      <c r="V507" s="350"/>
      <c r="W507" s="350"/>
      <c r="X507" s="351"/>
      <c r="Y507" s="412"/>
      <c r="Z507" s="351"/>
      <c r="AA507" s="412"/>
      <c r="AB507" s="350"/>
      <c r="AC507" s="350"/>
      <c r="AD507" s="351"/>
      <c r="AE507" s="412"/>
      <c r="AF507" s="350"/>
      <c r="AG507" s="351"/>
      <c r="AH507" s="412"/>
      <c r="AI507" s="350"/>
      <c r="AJ507" s="351"/>
      <c r="AK507" s="412"/>
      <c r="AL507" s="350"/>
      <c r="AM507" s="350"/>
      <c r="AN507" s="351"/>
      <c r="AO507" s="412"/>
      <c r="AP507" s="350"/>
      <c r="AQ507" s="350"/>
      <c r="AR507" s="350"/>
      <c r="AS507" s="350"/>
      <c r="AT507" s="350"/>
      <c r="AU507" s="350"/>
      <c r="AV507" s="351"/>
      <c r="AW507" s="723"/>
      <c r="AX507" s="350"/>
      <c r="AY507" s="351"/>
      <c r="AZ507" s="412"/>
      <c r="BA507" s="350"/>
      <c r="BB507" s="350"/>
      <c r="BC507" s="350"/>
      <c r="BD507" s="350"/>
      <c r="BE507" s="350"/>
      <c r="BF507" s="350"/>
      <c r="BG507" s="350"/>
      <c r="BH507" s="350"/>
      <c r="BI507" s="350"/>
      <c r="BJ507" s="350"/>
      <c r="BK507" s="350"/>
      <c r="BL507" s="350"/>
      <c r="BM507" s="350"/>
      <c r="BN507" s="350"/>
      <c r="BO507" s="351"/>
    </row>
    <row r="508" spans="1:67" ht="34.5" customHeight="1">
      <c r="A508" s="98">
        <f t="shared" si="1"/>
        <v>496</v>
      </c>
      <c r="B508" s="416" t="s">
        <v>325</v>
      </c>
      <c r="C508" s="351"/>
      <c r="D508" s="594"/>
      <c r="E508" s="350"/>
      <c r="F508" s="350"/>
      <c r="G508" s="350"/>
      <c r="H508" s="351"/>
      <c r="I508" s="368"/>
      <c r="J508" s="350"/>
      <c r="K508" s="350"/>
      <c r="L508" s="350"/>
      <c r="M508" s="350"/>
      <c r="N508" s="350"/>
      <c r="O508" s="350"/>
      <c r="P508" s="351"/>
      <c r="Q508" s="511"/>
      <c r="R508" s="350"/>
      <c r="S508" s="350"/>
      <c r="T508" s="350"/>
      <c r="U508" s="350"/>
      <c r="V508" s="350"/>
      <c r="W508" s="350"/>
      <c r="X508" s="351"/>
      <c r="Y508" s="368"/>
      <c r="Z508" s="351"/>
      <c r="AA508" s="511"/>
      <c r="AB508" s="350"/>
      <c r="AC508" s="350"/>
      <c r="AD508" s="351"/>
      <c r="AE508" s="368"/>
      <c r="AF508" s="350"/>
      <c r="AG508" s="351"/>
      <c r="AH508" s="511"/>
      <c r="AI508" s="350"/>
      <c r="AJ508" s="351"/>
      <c r="AK508" s="368"/>
      <c r="AL508" s="350"/>
      <c r="AM508" s="350"/>
      <c r="AN508" s="351"/>
      <c r="AO508" s="511"/>
      <c r="AP508" s="350"/>
      <c r="AQ508" s="350"/>
      <c r="AR508" s="350"/>
      <c r="AS508" s="350"/>
      <c r="AT508" s="350"/>
      <c r="AU508" s="350"/>
      <c r="AV508" s="351"/>
      <c r="AW508" s="725"/>
      <c r="AX508" s="350"/>
      <c r="AY508" s="351"/>
      <c r="AZ508" s="511"/>
      <c r="BA508" s="350"/>
      <c r="BB508" s="350"/>
      <c r="BC508" s="350"/>
      <c r="BD508" s="350"/>
      <c r="BE508" s="350"/>
      <c r="BF508" s="350"/>
      <c r="BG508" s="350"/>
      <c r="BH508" s="350"/>
      <c r="BI508" s="350"/>
      <c r="BJ508" s="350"/>
      <c r="BK508" s="350"/>
      <c r="BL508" s="350"/>
      <c r="BM508" s="350"/>
      <c r="BN508" s="350"/>
      <c r="BO508" s="351"/>
    </row>
    <row r="509" spans="1:67" ht="34.5" customHeight="1">
      <c r="A509" s="98">
        <f t="shared" si="1"/>
        <v>497</v>
      </c>
      <c r="B509" s="416" t="s">
        <v>325</v>
      </c>
      <c r="C509" s="351"/>
      <c r="D509" s="724"/>
      <c r="E509" s="350"/>
      <c r="F509" s="350"/>
      <c r="G509" s="350"/>
      <c r="H509" s="351"/>
      <c r="I509" s="412"/>
      <c r="J509" s="350"/>
      <c r="K509" s="350"/>
      <c r="L509" s="350"/>
      <c r="M509" s="350"/>
      <c r="N509" s="350"/>
      <c r="O509" s="350"/>
      <c r="P509" s="351"/>
      <c r="Q509" s="412"/>
      <c r="R509" s="350"/>
      <c r="S509" s="350"/>
      <c r="T509" s="350"/>
      <c r="U509" s="350"/>
      <c r="V509" s="350"/>
      <c r="W509" s="350"/>
      <c r="X509" s="351"/>
      <c r="Y509" s="412"/>
      <c r="Z509" s="351"/>
      <c r="AA509" s="412"/>
      <c r="AB509" s="350"/>
      <c r="AC509" s="350"/>
      <c r="AD509" s="351"/>
      <c r="AE509" s="412"/>
      <c r="AF509" s="350"/>
      <c r="AG509" s="351"/>
      <c r="AH509" s="412"/>
      <c r="AI509" s="350"/>
      <c r="AJ509" s="351"/>
      <c r="AK509" s="412"/>
      <c r="AL509" s="350"/>
      <c r="AM509" s="350"/>
      <c r="AN509" s="351"/>
      <c r="AO509" s="412"/>
      <c r="AP509" s="350"/>
      <c r="AQ509" s="350"/>
      <c r="AR509" s="350"/>
      <c r="AS509" s="350"/>
      <c r="AT509" s="350"/>
      <c r="AU509" s="350"/>
      <c r="AV509" s="351"/>
      <c r="AW509" s="723"/>
      <c r="AX509" s="350"/>
      <c r="AY509" s="351"/>
      <c r="AZ509" s="412"/>
      <c r="BA509" s="350"/>
      <c r="BB509" s="350"/>
      <c r="BC509" s="350"/>
      <c r="BD509" s="350"/>
      <c r="BE509" s="350"/>
      <c r="BF509" s="350"/>
      <c r="BG509" s="350"/>
      <c r="BH509" s="350"/>
      <c r="BI509" s="350"/>
      <c r="BJ509" s="350"/>
      <c r="BK509" s="350"/>
      <c r="BL509" s="350"/>
      <c r="BM509" s="350"/>
      <c r="BN509" s="350"/>
      <c r="BO509" s="351"/>
    </row>
    <row r="510" spans="1:67" ht="34.5" customHeight="1">
      <c r="A510" s="98">
        <f t="shared" si="1"/>
        <v>498</v>
      </c>
      <c r="B510" s="416" t="s">
        <v>325</v>
      </c>
      <c r="C510" s="351"/>
      <c r="D510" s="594"/>
      <c r="E510" s="350"/>
      <c r="F510" s="350"/>
      <c r="G510" s="350"/>
      <c r="H510" s="351"/>
      <c r="I510" s="368"/>
      <c r="J510" s="350"/>
      <c r="K510" s="350"/>
      <c r="L510" s="350"/>
      <c r="M510" s="350"/>
      <c r="N510" s="350"/>
      <c r="O510" s="350"/>
      <c r="P510" s="351"/>
      <c r="Q510" s="511"/>
      <c r="R510" s="350"/>
      <c r="S510" s="350"/>
      <c r="T510" s="350"/>
      <c r="U510" s="350"/>
      <c r="V510" s="350"/>
      <c r="W510" s="350"/>
      <c r="X510" s="351"/>
      <c r="Y510" s="368"/>
      <c r="Z510" s="351"/>
      <c r="AA510" s="511"/>
      <c r="AB510" s="350"/>
      <c r="AC510" s="350"/>
      <c r="AD510" s="351"/>
      <c r="AE510" s="368"/>
      <c r="AF510" s="350"/>
      <c r="AG510" s="351"/>
      <c r="AH510" s="511"/>
      <c r="AI510" s="350"/>
      <c r="AJ510" s="351"/>
      <c r="AK510" s="368"/>
      <c r="AL510" s="350"/>
      <c r="AM510" s="350"/>
      <c r="AN510" s="351"/>
      <c r="AO510" s="511"/>
      <c r="AP510" s="350"/>
      <c r="AQ510" s="350"/>
      <c r="AR510" s="350"/>
      <c r="AS510" s="350"/>
      <c r="AT510" s="350"/>
      <c r="AU510" s="350"/>
      <c r="AV510" s="351"/>
      <c r="AW510" s="725"/>
      <c r="AX510" s="350"/>
      <c r="AY510" s="351"/>
      <c r="AZ510" s="511"/>
      <c r="BA510" s="350"/>
      <c r="BB510" s="350"/>
      <c r="BC510" s="350"/>
      <c r="BD510" s="350"/>
      <c r="BE510" s="350"/>
      <c r="BF510" s="350"/>
      <c r="BG510" s="350"/>
      <c r="BH510" s="350"/>
      <c r="BI510" s="350"/>
      <c r="BJ510" s="350"/>
      <c r="BK510" s="350"/>
      <c r="BL510" s="350"/>
      <c r="BM510" s="350"/>
      <c r="BN510" s="350"/>
      <c r="BO510" s="351"/>
    </row>
    <row r="511" spans="1:67" ht="34.5" customHeight="1">
      <c r="A511" s="98">
        <f t="shared" si="1"/>
        <v>499</v>
      </c>
      <c r="B511" s="416" t="s">
        <v>325</v>
      </c>
      <c r="C511" s="351"/>
      <c r="D511" s="724"/>
      <c r="E511" s="350"/>
      <c r="F511" s="350"/>
      <c r="G511" s="350"/>
      <c r="H511" s="351"/>
      <c r="I511" s="412"/>
      <c r="J511" s="350"/>
      <c r="K511" s="350"/>
      <c r="L511" s="350"/>
      <c r="M511" s="350"/>
      <c r="N511" s="350"/>
      <c r="O511" s="350"/>
      <c r="P511" s="351"/>
      <c r="Q511" s="412"/>
      <c r="R511" s="350"/>
      <c r="S511" s="350"/>
      <c r="T511" s="350"/>
      <c r="U511" s="350"/>
      <c r="V511" s="350"/>
      <c r="W511" s="350"/>
      <c r="X511" s="351"/>
      <c r="Y511" s="412"/>
      <c r="Z511" s="351"/>
      <c r="AA511" s="412"/>
      <c r="AB511" s="350"/>
      <c r="AC511" s="350"/>
      <c r="AD511" s="351"/>
      <c r="AE511" s="412"/>
      <c r="AF511" s="350"/>
      <c r="AG511" s="351"/>
      <c r="AH511" s="412"/>
      <c r="AI511" s="350"/>
      <c r="AJ511" s="351"/>
      <c r="AK511" s="412"/>
      <c r="AL511" s="350"/>
      <c r="AM511" s="350"/>
      <c r="AN511" s="351"/>
      <c r="AO511" s="412"/>
      <c r="AP511" s="350"/>
      <c r="AQ511" s="350"/>
      <c r="AR511" s="350"/>
      <c r="AS511" s="350"/>
      <c r="AT511" s="350"/>
      <c r="AU511" s="350"/>
      <c r="AV511" s="351"/>
      <c r="AW511" s="723"/>
      <c r="AX511" s="350"/>
      <c r="AY511" s="351"/>
      <c r="AZ511" s="412"/>
      <c r="BA511" s="350"/>
      <c r="BB511" s="350"/>
      <c r="BC511" s="350"/>
      <c r="BD511" s="350"/>
      <c r="BE511" s="350"/>
      <c r="BF511" s="350"/>
      <c r="BG511" s="350"/>
      <c r="BH511" s="350"/>
      <c r="BI511" s="350"/>
      <c r="BJ511" s="350"/>
      <c r="BK511" s="350"/>
      <c r="BL511" s="350"/>
      <c r="BM511" s="350"/>
      <c r="BN511" s="350"/>
      <c r="BO511" s="351"/>
    </row>
    <row r="512" spans="1:67" ht="34.5" customHeight="1">
      <c r="A512" s="98">
        <f t="shared" si="1"/>
        <v>500</v>
      </c>
      <c r="B512" s="416" t="s">
        <v>325</v>
      </c>
      <c r="C512" s="351"/>
      <c r="D512" s="594"/>
      <c r="E512" s="350"/>
      <c r="F512" s="350"/>
      <c r="G512" s="350"/>
      <c r="H512" s="351"/>
      <c r="I512" s="368"/>
      <c r="J512" s="350"/>
      <c r="K512" s="350"/>
      <c r="L512" s="350"/>
      <c r="M512" s="350"/>
      <c r="N512" s="350"/>
      <c r="O512" s="350"/>
      <c r="P512" s="351"/>
      <c r="Q512" s="511"/>
      <c r="R512" s="350"/>
      <c r="S512" s="350"/>
      <c r="T512" s="350"/>
      <c r="U512" s="350"/>
      <c r="V512" s="350"/>
      <c r="W512" s="350"/>
      <c r="X512" s="351"/>
      <c r="Y512" s="368"/>
      <c r="Z512" s="351"/>
      <c r="AA512" s="511"/>
      <c r="AB512" s="350"/>
      <c r="AC512" s="350"/>
      <c r="AD512" s="351"/>
      <c r="AE512" s="368"/>
      <c r="AF512" s="350"/>
      <c r="AG512" s="351"/>
      <c r="AH512" s="511"/>
      <c r="AI512" s="350"/>
      <c r="AJ512" s="351"/>
      <c r="AK512" s="368"/>
      <c r="AL512" s="350"/>
      <c r="AM512" s="350"/>
      <c r="AN512" s="351"/>
      <c r="AO512" s="511"/>
      <c r="AP512" s="350"/>
      <c r="AQ512" s="350"/>
      <c r="AR512" s="350"/>
      <c r="AS512" s="350"/>
      <c r="AT512" s="350"/>
      <c r="AU512" s="350"/>
      <c r="AV512" s="351"/>
      <c r="AW512" s="725"/>
      <c r="AX512" s="350"/>
      <c r="AY512" s="351"/>
      <c r="AZ512" s="511"/>
      <c r="BA512" s="350"/>
      <c r="BB512" s="350"/>
      <c r="BC512" s="350"/>
      <c r="BD512" s="350"/>
      <c r="BE512" s="350"/>
      <c r="BF512" s="350"/>
      <c r="BG512" s="350"/>
      <c r="BH512" s="350"/>
      <c r="BI512" s="350"/>
      <c r="BJ512" s="350"/>
      <c r="BK512" s="350"/>
      <c r="BL512" s="350"/>
      <c r="BM512" s="350"/>
      <c r="BN512" s="350"/>
      <c r="BO512" s="351"/>
    </row>
  </sheetData>
  <mergeCells count="6048">
    <mergeCell ref="AH358:AJ358"/>
    <mergeCell ref="AK358:AN358"/>
    <mergeCell ref="AO358:AV358"/>
    <mergeCell ref="AW358:AY358"/>
    <mergeCell ref="AZ358:BO358"/>
    <mergeCell ref="B358:C358"/>
    <mergeCell ref="D358:H358"/>
    <mergeCell ref="I358:P358"/>
    <mergeCell ref="Q358:X358"/>
    <mergeCell ref="Y358:Z358"/>
    <mergeCell ref="AA358:AD358"/>
    <mergeCell ref="AE358:AG358"/>
    <mergeCell ref="AH359:AJ359"/>
    <mergeCell ref="AK359:AN359"/>
    <mergeCell ref="AO359:AV359"/>
    <mergeCell ref="AW359:AY359"/>
    <mergeCell ref="AZ359:BO359"/>
    <mergeCell ref="B359:C359"/>
    <mergeCell ref="D359:H359"/>
    <mergeCell ref="I359:P359"/>
    <mergeCell ref="Q359:X359"/>
    <mergeCell ref="Y359:Z359"/>
    <mergeCell ref="AA359:AD359"/>
    <mergeCell ref="AE359:AG359"/>
    <mergeCell ref="AH360:AJ360"/>
    <mergeCell ref="AK360:AN360"/>
    <mergeCell ref="AO360:AV360"/>
    <mergeCell ref="AW360:AY360"/>
    <mergeCell ref="AZ360:BO360"/>
    <mergeCell ref="B360:C360"/>
    <mergeCell ref="D360:H360"/>
    <mergeCell ref="I360:P360"/>
    <mergeCell ref="Q360:X360"/>
    <mergeCell ref="Y360:Z360"/>
    <mergeCell ref="AA360:AD360"/>
    <mergeCell ref="AE360:AG360"/>
    <mergeCell ref="AH361:AJ361"/>
    <mergeCell ref="AK361:AN361"/>
    <mergeCell ref="AO361:AV361"/>
    <mergeCell ref="AW361:AY361"/>
    <mergeCell ref="AZ361:BO361"/>
    <mergeCell ref="B361:C361"/>
    <mergeCell ref="D361:H361"/>
    <mergeCell ref="I361:P361"/>
    <mergeCell ref="Q361:X361"/>
    <mergeCell ref="Y361:Z361"/>
    <mergeCell ref="AA361:AD361"/>
    <mergeCell ref="AE361:AG361"/>
    <mergeCell ref="AH362:AJ362"/>
    <mergeCell ref="AK362:AN362"/>
    <mergeCell ref="AO362:AV362"/>
    <mergeCell ref="AW362:AY362"/>
    <mergeCell ref="AZ362:BO362"/>
    <mergeCell ref="B362:C362"/>
    <mergeCell ref="D362:H362"/>
    <mergeCell ref="I362:P362"/>
    <mergeCell ref="Q362:X362"/>
    <mergeCell ref="Y362:Z362"/>
    <mergeCell ref="AA362:AD362"/>
    <mergeCell ref="AE362:AG362"/>
    <mergeCell ref="AH363:AJ363"/>
    <mergeCell ref="AK363:AN363"/>
    <mergeCell ref="AO363:AV363"/>
    <mergeCell ref="AW363:AY363"/>
    <mergeCell ref="AZ363:BO363"/>
    <mergeCell ref="B363:C363"/>
    <mergeCell ref="D363:H363"/>
    <mergeCell ref="I363:P363"/>
    <mergeCell ref="Q363:X363"/>
    <mergeCell ref="Y363:Z363"/>
    <mergeCell ref="AA363:AD363"/>
    <mergeCell ref="AE363:AG363"/>
    <mergeCell ref="AH364:AJ364"/>
    <mergeCell ref="AK364:AN364"/>
    <mergeCell ref="AO364:AV364"/>
    <mergeCell ref="AW364:AY364"/>
    <mergeCell ref="AZ364:BO364"/>
    <mergeCell ref="B364:C364"/>
    <mergeCell ref="D364:H364"/>
    <mergeCell ref="I364:P364"/>
    <mergeCell ref="Q364:X364"/>
    <mergeCell ref="Y364:Z364"/>
    <mergeCell ref="AA364:AD364"/>
    <mergeCell ref="AE364:AG364"/>
    <mergeCell ref="AH365:AJ365"/>
    <mergeCell ref="AK365:AN365"/>
    <mergeCell ref="AO365:AV365"/>
    <mergeCell ref="AW365:AY365"/>
    <mergeCell ref="AZ365:BO365"/>
    <mergeCell ref="B365:C365"/>
    <mergeCell ref="D365:H365"/>
    <mergeCell ref="I365:P365"/>
    <mergeCell ref="Q365:X365"/>
    <mergeCell ref="Y365:Z365"/>
    <mergeCell ref="AA365:AD365"/>
    <mergeCell ref="AE365:AG365"/>
    <mergeCell ref="AH366:AJ366"/>
    <mergeCell ref="AK366:AN366"/>
    <mergeCell ref="AO366:AV366"/>
    <mergeCell ref="AW366:AY366"/>
    <mergeCell ref="AZ366:BO366"/>
    <mergeCell ref="B366:C366"/>
    <mergeCell ref="D366:H366"/>
    <mergeCell ref="I366:P366"/>
    <mergeCell ref="Q366:X366"/>
    <mergeCell ref="Y366:Z366"/>
    <mergeCell ref="AA366:AD366"/>
    <mergeCell ref="AE366:AG366"/>
    <mergeCell ref="AH367:AJ367"/>
    <mergeCell ref="AK367:AN367"/>
    <mergeCell ref="AO367:AV367"/>
    <mergeCell ref="AW367:AY367"/>
    <mergeCell ref="AZ367:BO367"/>
    <mergeCell ref="B367:C367"/>
    <mergeCell ref="D367:H367"/>
    <mergeCell ref="I367:P367"/>
    <mergeCell ref="Q367:X367"/>
    <mergeCell ref="Y367:Z367"/>
    <mergeCell ref="AA367:AD367"/>
    <mergeCell ref="AE367:AG367"/>
    <mergeCell ref="AH368:AJ368"/>
    <mergeCell ref="AK368:AN368"/>
    <mergeCell ref="AO368:AV368"/>
    <mergeCell ref="AW368:AY368"/>
    <mergeCell ref="AZ368:BO368"/>
    <mergeCell ref="B368:C368"/>
    <mergeCell ref="D368:H368"/>
    <mergeCell ref="I368:P368"/>
    <mergeCell ref="Q368:X368"/>
    <mergeCell ref="Y368:Z368"/>
    <mergeCell ref="AA368:AD368"/>
    <mergeCell ref="AE368:AG368"/>
    <mergeCell ref="AH369:AJ369"/>
    <mergeCell ref="AK369:AN369"/>
    <mergeCell ref="AO369:AV369"/>
    <mergeCell ref="AW369:AY369"/>
    <mergeCell ref="AZ369:BO369"/>
    <mergeCell ref="B369:C369"/>
    <mergeCell ref="D369:H369"/>
    <mergeCell ref="I369:P369"/>
    <mergeCell ref="Q369:X369"/>
    <mergeCell ref="Y369:Z369"/>
    <mergeCell ref="AA369:AD369"/>
    <mergeCell ref="AE369:AG369"/>
    <mergeCell ref="AH370:AJ370"/>
    <mergeCell ref="AK370:AN370"/>
    <mergeCell ref="AO370:AV370"/>
    <mergeCell ref="AW370:AY370"/>
    <mergeCell ref="AZ370:BO370"/>
    <mergeCell ref="B370:C370"/>
    <mergeCell ref="D370:H370"/>
    <mergeCell ref="I370:P370"/>
    <mergeCell ref="Q370:X370"/>
    <mergeCell ref="Y370:Z370"/>
    <mergeCell ref="AA370:AD370"/>
    <mergeCell ref="AE370:AG370"/>
    <mergeCell ref="AH371:AJ371"/>
    <mergeCell ref="AK371:AN371"/>
    <mergeCell ref="AO371:AV371"/>
    <mergeCell ref="AW371:AY371"/>
    <mergeCell ref="AZ371:BO371"/>
    <mergeCell ref="B371:C371"/>
    <mergeCell ref="D371:H371"/>
    <mergeCell ref="I371:P371"/>
    <mergeCell ref="Q371:X371"/>
    <mergeCell ref="Y371:Z371"/>
    <mergeCell ref="AA371:AD371"/>
    <mergeCell ref="AE371:AG371"/>
    <mergeCell ref="AH372:AJ372"/>
    <mergeCell ref="AK372:AN372"/>
    <mergeCell ref="AO372:AV372"/>
    <mergeCell ref="AW372:AY372"/>
    <mergeCell ref="AZ372:BO372"/>
    <mergeCell ref="B372:C372"/>
    <mergeCell ref="D372:H372"/>
    <mergeCell ref="I372:P372"/>
    <mergeCell ref="Q372:X372"/>
    <mergeCell ref="Y372:Z372"/>
    <mergeCell ref="AA372:AD372"/>
    <mergeCell ref="AE372:AG372"/>
    <mergeCell ref="AH373:AJ373"/>
    <mergeCell ref="AK373:AN373"/>
    <mergeCell ref="AO373:AV373"/>
    <mergeCell ref="AW373:AY373"/>
    <mergeCell ref="AZ373:BO373"/>
    <mergeCell ref="B373:C373"/>
    <mergeCell ref="D373:H373"/>
    <mergeCell ref="I373:P373"/>
    <mergeCell ref="Q373:X373"/>
    <mergeCell ref="Y373:Z373"/>
    <mergeCell ref="AA373:AD373"/>
    <mergeCell ref="AE373:AG373"/>
    <mergeCell ref="AH374:AJ374"/>
    <mergeCell ref="AK374:AN374"/>
    <mergeCell ref="AO374:AV374"/>
    <mergeCell ref="AW374:AY374"/>
    <mergeCell ref="AZ374:BO374"/>
    <mergeCell ref="B374:C374"/>
    <mergeCell ref="D374:H374"/>
    <mergeCell ref="I374:P374"/>
    <mergeCell ref="Q374:X374"/>
    <mergeCell ref="Y374:Z374"/>
    <mergeCell ref="AA374:AD374"/>
    <mergeCell ref="AE374:AG374"/>
    <mergeCell ref="AH375:AJ375"/>
    <mergeCell ref="AK375:AN375"/>
    <mergeCell ref="AO375:AV375"/>
    <mergeCell ref="AW375:AY375"/>
    <mergeCell ref="AZ375:BO375"/>
    <mergeCell ref="B375:C375"/>
    <mergeCell ref="D375:H375"/>
    <mergeCell ref="I375:P375"/>
    <mergeCell ref="Q375:X375"/>
    <mergeCell ref="Y375:Z375"/>
    <mergeCell ref="AA375:AD375"/>
    <mergeCell ref="AE375:AG375"/>
    <mergeCell ref="AH376:AJ376"/>
    <mergeCell ref="AK376:AN376"/>
    <mergeCell ref="AO376:AV376"/>
    <mergeCell ref="AW376:AY376"/>
    <mergeCell ref="AZ376:BO376"/>
    <mergeCell ref="B376:C376"/>
    <mergeCell ref="D376:H376"/>
    <mergeCell ref="I376:P376"/>
    <mergeCell ref="Q376:X376"/>
    <mergeCell ref="Y376:Z376"/>
    <mergeCell ref="AA376:AD376"/>
    <mergeCell ref="AE376:AG376"/>
    <mergeCell ref="AH377:AJ377"/>
    <mergeCell ref="AK377:AN377"/>
    <mergeCell ref="AO377:AV377"/>
    <mergeCell ref="AW377:AY377"/>
    <mergeCell ref="AZ377:BO377"/>
    <mergeCell ref="B377:C377"/>
    <mergeCell ref="D377:H377"/>
    <mergeCell ref="I377:P377"/>
    <mergeCell ref="Q377:X377"/>
    <mergeCell ref="Y377:Z377"/>
    <mergeCell ref="AA377:AD377"/>
    <mergeCell ref="AE377:AG377"/>
    <mergeCell ref="AH378:AJ378"/>
    <mergeCell ref="AK378:AN378"/>
    <mergeCell ref="AO378:AV378"/>
    <mergeCell ref="AW378:AY378"/>
    <mergeCell ref="AZ378:BO378"/>
    <mergeCell ref="B378:C378"/>
    <mergeCell ref="D378:H378"/>
    <mergeCell ref="I378:P378"/>
    <mergeCell ref="Q378:X378"/>
    <mergeCell ref="Y378:Z378"/>
    <mergeCell ref="AA378:AD378"/>
    <mergeCell ref="AE378:AG378"/>
    <mergeCell ref="AH379:AJ379"/>
    <mergeCell ref="AK379:AN379"/>
    <mergeCell ref="AO379:AV379"/>
    <mergeCell ref="AW379:AY379"/>
    <mergeCell ref="AZ379:BO379"/>
    <mergeCell ref="B379:C379"/>
    <mergeCell ref="D379:H379"/>
    <mergeCell ref="I379:P379"/>
    <mergeCell ref="Q379:X379"/>
    <mergeCell ref="Y379:Z379"/>
    <mergeCell ref="AA379:AD379"/>
    <mergeCell ref="AE379:AG379"/>
    <mergeCell ref="AH380:AJ380"/>
    <mergeCell ref="AK380:AN380"/>
    <mergeCell ref="AO380:AV380"/>
    <mergeCell ref="AW380:AY380"/>
    <mergeCell ref="AZ380:BO380"/>
    <mergeCell ref="B380:C380"/>
    <mergeCell ref="D380:H380"/>
    <mergeCell ref="I380:P380"/>
    <mergeCell ref="Q380:X380"/>
    <mergeCell ref="Y380:Z380"/>
    <mergeCell ref="AA380:AD380"/>
    <mergeCell ref="AE380:AG380"/>
    <mergeCell ref="AH381:AJ381"/>
    <mergeCell ref="AK381:AN381"/>
    <mergeCell ref="AO381:AV381"/>
    <mergeCell ref="AW381:AY381"/>
    <mergeCell ref="AZ381:BO381"/>
    <mergeCell ref="B381:C381"/>
    <mergeCell ref="D381:H381"/>
    <mergeCell ref="I381:P381"/>
    <mergeCell ref="Q381:X381"/>
    <mergeCell ref="Y381:Z381"/>
    <mergeCell ref="AA381:AD381"/>
    <mergeCell ref="AE381:AG381"/>
    <mergeCell ref="AH382:AJ382"/>
    <mergeCell ref="AK382:AN382"/>
    <mergeCell ref="AO382:AV382"/>
    <mergeCell ref="AW382:AY382"/>
    <mergeCell ref="AZ382:BO382"/>
    <mergeCell ref="B382:C382"/>
    <mergeCell ref="D382:H382"/>
    <mergeCell ref="I382:P382"/>
    <mergeCell ref="Q382:X382"/>
    <mergeCell ref="Y382:Z382"/>
    <mergeCell ref="AA382:AD382"/>
    <mergeCell ref="AE382:AG382"/>
    <mergeCell ref="AH383:AJ383"/>
    <mergeCell ref="AK383:AN383"/>
    <mergeCell ref="AO383:AV383"/>
    <mergeCell ref="AW383:AY383"/>
    <mergeCell ref="AZ383:BO383"/>
    <mergeCell ref="B383:C383"/>
    <mergeCell ref="D383:H383"/>
    <mergeCell ref="I383:P383"/>
    <mergeCell ref="Q383:X383"/>
    <mergeCell ref="Y383:Z383"/>
    <mergeCell ref="AA383:AD383"/>
    <mergeCell ref="AE383:AG383"/>
    <mergeCell ref="AH384:AJ384"/>
    <mergeCell ref="AK384:AN384"/>
    <mergeCell ref="AO384:AV384"/>
    <mergeCell ref="AW384:AY384"/>
    <mergeCell ref="AZ384:BO384"/>
    <mergeCell ref="B384:C384"/>
    <mergeCell ref="D384:H384"/>
    <mergeCell ref="I384:P384"/>
    <mergeCell ref="Q384:X384"/>
    <mergeCell ref="Y384:Z384"/>
    <mergeCell ref="AA384:AD384"/>
    <mergeCell ref="AE384:AG384"/>
    <mergeCell ref="AH385:AJ385"/>
    <mergeCell ref="AK385:AN385"/>
    <mergeCell ref="AO385:AV385"/>
    <mergeCell ref="AW385:AY385"/>
    <mergeCell ref="AZ385:BO385"/>
    <mergeCell ref="B385:C385"/>
    <mergeCell ref="D385:H385"/>
    <mergeCell ref="I385:P385"/>
    <mergeCell ref="Q385:X385"/>
    <mergeCell ref="Y385:Z385"/>
    <mergeCell ref="AA385:AD385"/>
    <mergeCell ref="AE385:AG385"/>
    <mergeCell ref="AH386:AJ386"/>
    <mergeCell ref="AK386:AN386"/>
    <mergeCell ref="AO386:AV386"/>
    <mergeCell ref="AW386:AY386"/>
    <mergeCell ref="AZ386:BO386"/>
    <mergeCell ref="B386:C386"/>
    <mergeCell ref="D386:H386"/>
    <mergeCell ref="I386:P386"/>
    <mergeCell ref="Q386:X386"/>
    <mergeCell ref="Y386:Z386"/>
    <mergeCell ref="AA386:AD386"/>
    <mergeCell ref="AE386:AG386"/>
    <mergeCell ref="AH387:AJ387"/>
    <mergeCell ref="AK387:AN387"/>
    <mergeCell ref="AO387:AV387"/>
    <mergeCell ref="AW387:AY387"/>
    <mergeCell ref="AZ387:BO387"/>
    <mergeCell ref="B387:C387"/>
    <mergeCell ref="D387:H387"/>
    <mergeCell ref="I387:P387"/>
    <mergeCell ref="Q387:X387"/>
    <mergeCell ref="Y387:Z387"/>
    <mergeCell ref="AA387:AD387"/>
    <mergeCell ref="AE387:AG387"/>
    <mergeCell ref="AH388:AJ388"/>
    <mergeCell ref="AK388:AN388"/>
    <mergeCell ref="AO388:AV388"/>
    <mergeCell ref="AW388:AY388"/>
    <mergeCell ref="AZ388:BO388"/>
    <mergeCell ref="B388:C388"/>
    <mergeCell ref="D388:H388"/>
    <mergeCell ref="I388:P388"/>
    <mergeCell ref="Q388:X388"/>
    <mergeCell ref="Y388:Z388"/>
    <mergeCell ref="AA388:AD388"/>
    <mergeCell ref="AE388:AG388"/>
    <mergeCell ref="AH389:AJ389"/>
    <mergeCell ref="AK389:AN389"/>
    <mergeCell ref="AO389:AV389"/>
    <mergeCell ref="AW389:AY389"/>
    <mergeCell ref="AZ389:BO389"/>
    <mergeCell ref="B389:C389"/>
    <mergeCell ref="D389:H389"/>
    <mergeCell ref="I389:P389"/>
    <mergeCell ref="Q389:X389"/>
    <mergeCell ref="Y389:Z389"/>
    <mergeCell ref="AA389:AD389"/>
    <mergeCell ref="AE389:AG389"/>
    <mergeCell ref="AH390:AJ390"/>
    <mergeCell ref="AK390:AN390"/>
    <mergeCell ref="AO390:AV390"/>
    <mergeCell ref="AW390:AY390"/>
    <mergeCell ref="AZ390:BO390"/>
    <mergeCell ref="B390:C390"/>
    <mergeCell ref="D390:H390"/>
    <mergeCell ref="I390:P390"/>
    <mergeCell ref="Q390:X390"/>
    <mergeCell ref="Y390:Z390"/>
    <mergeCell ref="AA390:AD390"/>
    <mergeCell ref="AE390:AG390"/>
    <mergeCell ref="AH391:AJ391"/>
    <mergeCell ref="AK391:AN391"/>
    <mergeCell ref="AO391:AV391"/>
    <mergeCell ref="AW391:AY391"/>
    <mergeCell ref="AZ391:BO391"/>
    <mergeCell ref="B391:C391"/>
    <mergeCell ref="D391:H391"/>
    <mergeCell ref="I391:P391"/>
    <mergeCell ref="Q391:X391"/>
    <mergeCell ref="Y391:Z391"/>
    <mergeCell ref="AA391:AD391"/>
    <mergeCell ref="AE391:AG391"/>
    <mergeCell ref="AH392:AJ392"/>
    <mergeCell ref="AK392:AN392"/>
    <mergeCell ref="AO392:AV392"/>
    <mergeCell ref="AW392:AY392"/>
    <mergeCell ref="AZ392:BO392"/>
    <mergeCell ref="B392:C392"/>
    <mergeCell ref="D392:H392"/>
    <mergeCell ref="I392:P392"/>
    <mergeCell ref="Q392:X392"/>
    <mergeCell ref="Y392:Z392"/>
    <mergeCell ref="AA392:AD392"/>
    <mergeCell ref="AE392:AG392"/>
    <mergeCell ref="AH393:AJ393"/>
    <mergeCell ref="AK393:AN393"/>
    <mergeCell ref="AO393:AV393"/>
    <mergeCell ref="AW393:AY393"/>
    <mergeCell ref="AZ393:BO393"/>
    <mergeCell ref="B393:C393"/>
    <mergeCell ref="D393:H393"/>
    <mergeCell ref="I393:P393"/>
    <mergeCell ref="Q393:X393"/>
    <mergeCell ref="Y393:Z393"/>
    <mergeCell ref="AA393:AD393"/>
    <mergeCell ref="AE393:AG393"/>
    <mergeCell ref="AH394:AJ394"/>
    <mergeCell ref="AK394:AN394"/>
    <mergeCell ref="AO394:AV394"/>
    <mergeCell ref="AW394:AY394"/>
    <mergeCell ref="AZ394:BO394"/>
    <mergeCell ref="B394:C394"/>
    <mergeCell ref="D394:H394"/>
    <mergeCell ref="I394:P394"/>
    <mergeCell ref="Q394:X394"/>
    <mergeCell ref="Y394:Z394"/>
    <mergeCell ref="AA394:AD394"/>
    <mergeCell ref="AE394:AG394"/>
    <mergeCell ref="AH395:AJ395"/>
    <mergeCell ref="AK395:AN395"/>
    <mergeCell ref="AO395:AV395"/>
    <mergeCell ref="AW395:AY395"/>
    <mergeCell ref="AZ395:BO395"/>
    <mergeCell ref="B395:C395"/>
    <mergeCell ref="D395:H395"/>
    <mergeCell ref="I395:P395"/>
    <mergeCell ref="Q395:X395"/>
    <mergeCell ref="Y395:Z395"/>
    <mergeCell ref="AA395:AD395"/>
    <mergeCell ref="AE395:AG395"/>
    <mergeCell ref="AH396:AJ396"/>
    <mergeCell ref="AK396:AN396"/>
    <mergeCell ref="AO396:AV396"/>
    <mergeCell ref="AW396:AY396"/>
    <mergeCell ref="AZ396:BO396"/>
    <mergeCell ref="B396:C396"/>
    <mergeCell ref="D396:H396"/>
    <mergeCell ref="I396:P396"/>
    <mergeCell ref="Q396:X396"/>
    <mergeCell ref="Y396:Z396"/>
    <mergeCell ref="AA396:AD396"/>
    <mergeCell ref="AE396:AG396"/>
    <mergeCell ref="AH397:AJ397"/>
    <mergeCell ref="AK397:AN397"/>
    <mergeCell ref="AO397:AV397"/>
    <mergeCell ref="AW397:AY397"/>
    <mergeCell ref="AZ397:BO397"/>
    <mergeCell ref="B397:C397"/>
    <mergeCell ref="D397:H397"/>
    <mergeCell ref="I397:P397"/>
    <mergeCell ref="Q397:X397"/>
    <mergeCell ref="Y397:Z397"/>
    <mergeCell ref="AA397:AD397"/>
    <mergeCell ref="AE397:AG397"/>
    <mergeCell ref="AH398:AJ398"/>
    <mergeCell ref="AK398:AN398"/>
    <mergeCell ref="AO398:AV398"/>
    <mergeCell ref="AW398:AY398"/>
    <mergeCell ref="AZ398:BO398"/>
    <mergeCell ref="B398:C398"/>
    <mergeCell ref="D398:H398"/>
    <mergeCell ref="I398:P398"/>
    <mergeCell ref="Q398:X398"/>
    <mergeCell ref="Y398:Z398"/>
    <mergeCell ref="AA398:AD398"/>
    <mergeCell ref="AE398:AG398"/>
    <mergeCell ref="AH399:AJ399"/>
    <mergeCell ref="AK399:AN399"/>
    <mergeCell ref="AO399:AV399"/>
    <mergeCell ref="AW399:AY399"/>
    <mergeCell ref="AZ399:BO399"/>
    <mergeCell ref="B399:C399"/>
    <mergeCell ref="D399:H399"/>
    <mergeCell ref="I399:P399"/>
    <mergeCell ref="Q399:X399"/>
    <mergeCell ref="Y399:Z399"/>
    <mergeCell ref="AA399:AD399"/>
    <mergeCell ref="AE399:AG399"/>
    <mergeCell ref="AH400:AJ400"/>
    <mergeCell ref="AK400:AN400"/>
    <mergeCell ref="AO400:AV400"/>
    <mergeCell ref="AW400:AY400"/>
    <mergeCell ref="AZ400:BO400"/>
    <mergeCell ref="B400:C400"/>
    <mergeCell ref="D400:H400"/>
    <mergeCell ref="I400:P400"/>
    <mergeCell ref="Q400:X400"/>
    <mergeCell ref="Y400:Z400"/>
    <mergeCell ref="AA400:AD400"/>
    <mergeCell ref="AE400:AG400"/>
    <mergeCell ref="AH401:AJ401"/>
    <mergeCell ref="AK401:AN401"/>
    <mergeCell ref="AO401:AV401"/>
    <mergeCell ref="AW401:AY401"/>
    <mergeCell ref="AZ401:BO401"/>
    <mergeCell ref="B401:C401"/>
    <mergeCell ref="D401:H401"/>
    <mergeCell ref="I401:P401"/>
    <mergeCell ref="Q401:X401"/>
    <mergeCell ref="Y401:Z401"/>
    <mergeCell ref="AA401:AD401"/>
    <mergeCell ref="AE401:AG401"/>
    <mergeCell ref="AH402:AJ402"/>
    <mergeCell ref="AK402:AN402"/>
    <mergeCell ref="AO402:AV402"/>
    <mergeCell ref="AW402:AY402"/>
    <mergeCell ref="AZ402:BO402"/>
    <mergeCell ref="B402:C402"/>
    <mergeCell ref="D402:H402"/>
    <mergeCell ref="I402:P402"/>
    <mergeCell ref="Q402:X402"/>
    <mergeCell ref="Y402:Z402"/>
    <mergeCell ref="AA402:AD402"/>
    <mergeCell ref="AE402:AG402"/>
    <mergeCell ref="AH403:AJ403"/>
    <mergeCell ref="AK403:AN403"/>
    <mergeCell ref="AO403:AV403"/>
    <mergeCell ref="AW403:AY403"/>
    <mergeCell ref="AZ403:BO403"/>
    <mergeCell ref="B403:C403"/>
    <mergeCell ref="D403:H403"/>
    <mergeCell ref="I403:P403"/>
    <mergeCell ref="Q403:X403"/>
    <mergeCell ref="Y403:Z403"/>
    <mergeCell ref="AA403:AD403"/>
    <mergeCell ref="AE403:AG403"/>
    <mergeCell ref="AH404:AJ404"/>
    <mergeCell ref="AK404:AN404"/>
    <mergeCell ref="AO404:AV404"/>
    <mergeCell ref="AW404:AY404"/>
    <mergeCell ref="AZ404:BO404"/>
    <mergeCell ref="B404:C404"/>
    <mergeCell ref="D404:H404"/>
    <mergeCell ref="I404:P404"/>
    <mergeCell ref="Q404:X404"/>
    <mergeCell ref="Y404:Z404"/>
    <mergeCell ref="AA404:AD404"/>
    <mergeCell ref="AE404:AG404"/>
    <mergeCell ref="AH405:AJ405"/>
    <mergeCell ref="AK405:AN405"/>
    <mergeCell ref="AO405:AV405"/>
    <mergeCell ref="AW405:AY405"/>
    <mergeCell ref="AZ405:BO405"/>
    <mergeCell ref="B405:C405"/>
    <mergeCell ref="D405:H405"/>
    <mergeCell ref="I405:P405"/>
    <mergeCell ref="Q405:X405"/>
    <mergeCell ref="Y405:Z405"/>
    <mergeCell ref="AA405:AD405"/>
    <mergeCell ref="AE405:AG405"/>
    <mergeCell ref="AH406:AJ406"/>
    <mergeCell ref="AK406:AN406"/>
    <mergeCell ref="AO406:AV406"/>
    <mergeCell ref="AW406:AY406"/>
    <mergeCell ref="AZ406:BO406"/>
    <mergeCell ref="B406:C406"/>
    <mergeCell ref="D406:H406"/>
    <mergeCell ref="I406:P406"/>
    <mergeCell ref="Q406:X406"/>
    <mergeCell ref="Y406:Z406"/>
    <mergeCell ref="AA406:AD406"/>
    <mergeCell ref="AE406:AG406"/>
    <mergeCell ref="AH407:AJ407"/>
    <mergeCell ref="AK407:AN407"/>
    <mergeCell ref="AO407:AV407"/>
    <mergeCell ref="AW407:AY407"/>
    <mergeCell ref="AZ407:BO407"/>
    <mergeCell ref="B407:C407"/>
    <mergeCell ref="D407:H407"/>
    <mergeCell ref="I407:P407"/>
    <mergeCell ref="Q407:X407"/>
    <mergeCell ref="Y407:Z407"/>
    <mergeCell ref="AA407:AD407"/>
    <mergeCell ref="AE407:AG407"/>
    <mergeCell ref="AH408:AJ408"/>
    <mergeCell ref="AK408:AN408"/>
    <mergeCell ref="AO408:AV408"/>
    <mergeCell ref="AW408:AY408"/>
    <mergeCell ref="AZ408:BO408"/>
    <mergeCell ref="B408:C408"/>
    <mergeCell ref="D408:H408"/>
    <mergeCell ref="I408:P408"/>
    <mergeCell ref="Q408:X408"/>
    <mergeCell ref="Y408:Z408"/>
    <mergeCell ref="AA408:AD408"/>
    <mergeCell ref="AE408:AG408"/>
    <mergeCell ref="AH409:AJ409"/>
    <mergeCell ref="AK409:AN409"/>
    <mergeCell ref="AO409:AV409"/>
    <mergeCell ref="AW409:AY409"/>
    <mergeCell ref="AZ409:BO409"/>
    <mergeCell ref="B409:C409"/>
    <mergeCell ref="D409:H409"/>
    <mergeCell ref="I409:P409"/>
    <mergeCell ref="Q409:X409"/>
    <mergeCell ref="Y409:Z409"/>
    <mergeCell ref="AA409:AD409"/>
    <mergeCell ref="AE409:AG409"/>
    <mergeCell ref="AH410:AJ410"/>
    <mergeCell ref="AK410:AN410"/>
    <mergeCell ref="AO410:AV410"/>
    <mergeCell ref="AW410:AY410"/>
    <mergeCell ref="AZ410:BO410"/>
    <mergeCell ref="B410:C410"/>
    <mergeCell ref="D410:H410"/>
    <mergeCell ref="I410:P410"/>
    <mergeCell ref="Q410:X410"/>
    <mergeCell ref="Y410:Z410"/>
    <mergeCell ref="AA410:AD410"/>
    <mergeCell ref="AE410:AG410"/>
    <mergeCell ref="AH411:AJ411"/>
    <mergeCell ref="AK411:AN411"/>
    <mergeCell ref="AO411:AV411"/>
    <mergeCell ref="AW411:AY411"/>
    <mergeCell ref="AZ411:BO411"/>
    <mergeCell ref="B411:C411"/>
    <mergeCell ref="D411:H411"/>
    <mergeCell ref="I411:P411"/>
    <mergeCell ref="Q411:X411"/>
    <mergeCell ref="Y411:Z411"/>
    <mergeCell ref="AA411:AD411"/>
    <mergeCell ref="AE411:AG411"/>
    <mergeCell ref="AH412:AJ412"/>
    <mergeCell ref="AK412:AN412"/>
    <mergeCell ref="AO412:AV412"/>
    <mergeCell ref="AW412:AY412"/>
    <mergeCell ref="AZ412:BO412"/>
    <mergeCell ref="B412:C412"/>
    <mergeCell ref="D412:H412"/>
    <mergeCell ref="I412:P412"/>
    <mergeCell ref="Q412:X412"/>
    <mergeCell ref="Y412:Z412"/>
    <mergeCell ref="AA412:AD412"/>
    <mergeCell ref="AE412:AG412"/>
    <mergeCell ref="AH413:AJ413"/>
    <mergeCell ref="AK413:AN413"/>
    <mergeCell ref="AO413:AV413"/>
    <mergeCell ref="AW413:AY413"/>
    <mergeCell ref="AZ413:BO413"/>
    <mergeCell ref="B413:C413"/>
    <mergeCell ref="D413:H413"/>
    <mergeCell ref="I413:P413"/>
    <mergeCell ref="Q413:X413"/>
    <mergeCell ref="Y413:Z413"/>
    <mergeCell ref="AA413:AD413"/>
    <mergeCell ref="AE413:AG413"/>
    <mergeCell ref="AH414:AJ414"/>
    <mergeCell ref="AK414:AN414"/>
    <mergeCell ref="AO414:AV414"/>
    <mergeCell ref="AW414:AY414"/>
    <mergeCell ref="AZ414:BO414"/>
    <mergeCell ref="B414:C414"/>
    <mergeCell ref="D414:H414"/>
    <mergeCell ref="I414:P414"/>
    <mergeCell ref="Q414:X414"/>
    <mergeCell ref="Y414:Z414"/>
    <mergeCell ref="AA414:AD414"/>
    <mergeCell ref="AE414:AG414"/>
    <mergeCell ref="AH415:AJ415"/>
    <mergeCell ref="AK415:AN415"/>
    <mergeCell ref="AO415:AV415"/>
    <mergeCell ref="AW415:AY415"/>
    <mergeCell ref="AZ415:BO415"/>
    <mergeCell ref="B415:C415"/>
    <mergeCell ref="D415:H415"/>
    <mergeCell ref="I415:P415"/>
    <mergeCell ref="Q415:X415"/>
    <mergeCell ref="Y415:Z415"/>
    <mergeCell ref="AA415:AD415"/>
    <mergeCell ref="AE415:AG415"/>
    <mergeCell ref="AH416:AJ416"/>
    <mergeCell ref="AK416:AN416"/>
    <mergeCell ref="AO416:AV416"/>
    <mergeCell ref="AW416:AY416"/>
    <mergeCell ref="AZ416:BO416"/>
    <mergeCell ref="B416:C416"/>
    <mergeCell ref="D416:H416"/>
    <mergeCell ref="I416:P416"/>
    <mergeCell ref="Q416:X416"/>
    <mergeCell ref="Y416:Z416"/>
    <mergeCell ref="AA416:AD416"/>
    <mergeCell ref="AE416:AG416"/>
    <mergeCell ref="AH417:AJ417"/>
    <mergeCell ref="AK417:AN417"/>
    <mergeCell ref="AO417:AV417"/>
    <mergeCell ref="AW417:AY417"/>
    <mergeCell ref="AZ417:BO417"/>
    <mergeCell ref="B417:C417"/>
    <mergeCell ref="D417:H417"/>
    <mergeCell ref="I417:P417"/>
    <mergeCell ref="Q417:X417"/>
    <mergeCell ref="Y417:Z417"/>
    <mergeCell ref="AA417:AD417"/>
    <mergeCell ref="AE417:AG417"/>
    <mergeCell ref="AH418:AJ418"/>
    <mergeCell ref="AK418:AN418"/>
    <mergeCell ref="AO418:AV418"/>
    <mergeCell ref="AW418:AY418"/>
    <mergeCell ref="AZ418:BO418"/>
    <mergeCell ref="B418:C418"/>
    <mergeCell ref="D418:H418"/>
    <mergeCell ref="I418:P418"/>
    <mergeCell ref="Q418:X418"/>
    <mergeCell ref="Y418:Z418"/>
    <mergeCell ref="AA418:AD418"/>
    <mergeCell ref="AE418:AG418"/>
    <mergeCell ref="AH419:AJ419"/>
    <mergeCell ref="AK419:AN419"/>
    <mergeCell ref="AO419:AV419"/>
    <mergeCell ref="AW419:AY419"/>
    <mergeCell ref="AZ419:BO419"/>
    <mergeCell ref="B419:C419"/>
    <mergeCell ref="D419:H419"/>
    <mergeCell ref="I419:P419"/>
    <mergeCell ref="Q419:X419"/>
    <mergeCell ref="Y419:Z419"/>
    <mergeCell ref="AA419:AD419"/>
    <mergeCell ref="AE419:AG419"/>
    <mergeCell ref="AH420:AJ420"/>
    <mergeCell ref="AK420:AN420"/>
    <mergeCell ref="AO420:AV420"/>
    <mergeCell ref="AW420:AY420"/>
    <mergeCell ref="AZ420:BO420"/>
    <mergeCell ref="B420:C420"/>
    <mergeCell ref="D420:H420"/>
    <mergeCell ref="I420:P420"/>
    <mergeCell ref="Q420:X420"/>
    <mergeCell ref="Y420:Z420"/>
    <mergeCell ref="AA420:AD420"/>
    <mergeCell ref="AE420:AG420"/>
    <mergeCell ref="AH421:AJ421"/>
    <mergeCell ref="AK421:AN421"/>
    <mergeCell ref="AO421:AV421"/>
    <mergeCell ref="AW421:AY421"/>
    <mergeCell ref="AZ421:BO421"/>
    <mergeCell ref="B421:C421"/>
    <mergeCell ref="D421:H421"/>
    <mergeCell ref="I421:P421"/>
    <mergeCell ref="Q421:X421"/>
    <mergeCell ref="Y421:Z421"/>
    <mergeCell ref="AA421:AD421"/>
    <mergeCell ref="AE421:AG421"/>
    <mergeCell ref="AH422:AJ422"/>
    <mergeCell ref="AK422:AN422"/>
    <mergeCell ref="AO422:AV422"/>
    <mergeCell ref="AW422:AY422"/>
    <mergeCell ref="AZ422:BO422"/>
    <mergeCell ref="B422:C422"/>
    <mergeCell ref="D422:H422"/>
    <mergeCell ref="I422:P422"/>
    <mergeCell ref="Q422:X422"/>
    <mergeCell ref="Y422:Z422"/>
    <mergeCell ref="AA422:AD422"/>
    <mergeCell ref="AE422:AG422"/>
    <mergeCell ref="AH423:AJ423"/>
    <mergeCell ref="AK423:AN423"/>
    <mergeCell ref="AO423:AV423"/>
    <mergeCell ref="AW423:AY423"/>
    <mergeCell ref="AZ423:BO423"/>
    <mergeCell ref="B423:C423"/>
    <mergeCell ref="D423:H423"/>
    <mergeCell ref="I423:P423"/>
    <mergeCell ref="Q423:X423"/>
    <mergeCell ref="Y423:Z423"/>
    <mergeCell ref="AA423:AD423"/>
    <mergeCell ref="AE423:AG423"/>
    <mergeCell ref="AH424:AJ424"/>
    <mergeCell ref="AK424:AN424"/>
    <mergeCell ref="AO424:AV424"/>
    <mergeCell ref="AW424:AY424"/>
    <mergeCell ref="AZ424:BO424"/>
    <mergeCell ref="B424:C424"/>
    <mergeCell ref="D424:H424"/>
    <mergeCell ref="I424:P424"/>
    <mergeCell ref="Q424:X424"/>
    <mergeCell ref="Y424:Z424"/>
    <mergeCell ref="AA424:AD424"/>
    <mergeCell ref="AE424:AG424"/>
    <mergeCell ref="AH425:AJ425"/>
    <mergeCell ref="AK425:AN425"/>
    <mergeCell ref="AO425:AV425"/>
    <mergeCell ref="AW425:AY425"/>
    <mergeCell ref="AZ425:BO425"/>
    <mergeCell ref="B425:C425"/>
    <mergeCell ref="D425:H425"/>
    <mergeCell ref="I425:P425"/>
    <mergeCell ref="Q425:X425"/>
    <mergeCell ref="Y425:Z425"/>
    <mergeCell ref="AA425:AD425"/>
    <mergeCell ref="AE425:AG425"/>
    <mergeCell ref="AH426:AJ426"/>
    <mergeCell ref="AK426:AN426"/>
    <mergeCell ref="AO426:AV426"/>
    <mergeCell ref="AW426:AY426"/>
    <mergeCell ref="AZ426:BO426"/>
    <mergeCell ref="B426:C426"/>
    <mergeCell ref="D426:H426"/>
    <mergeCell ref="I426:P426"/>
    <mergeCell ref="Q426:X426"/>
    <mergeCell ref="Y426:Z426"/>
    <mergeCell ref="AA426:AD426"/>
    <mergeCell ref="AE426:AG426"/>
    <mergeCell ref="AH427:AJ427"/>
    <mergeCell ref="AK427:AN427"/>
    <mergeCell ref="AO427:AV427"/>
    <mergeCell ref="AW427:AY427"/>
    <mergeCell ref="AZ427:BO427"/>
    <mergeCell ref="B427:C427"/>
    <mergeCell ref="D427:H427"/>
    <mergeCell ref="I427:P427"/>
    <mergeCell ref="Q427:X427"/>
    <mergeCell ref="Y427:Z427"/>
    <mergeCell ref="AA427:AD427"/>
    <mergeCell ref="AE427:AG427"/>
    <mergeCell ref="AH428:AJ428"/>
    <mergeCell ref="AK428:AN428"/>
    <mergeCell ref="AO428:AV428"/>
    <mergeCell ref="AW428:AY428"/>
    <mergeCell ref="AZ428:BO428"/>
    <mergeCell ref="B428:C428"/>
    <mergeCell ref="D428:H428"/>
    <mergeCell ref="I428:P428"/>
    <mergeCell ref="Q428:X428"/>
    <mergeCell ref="Y428:Z428"/>
    <mergeCell ref="AA428:AD428"/>
    <mergeCell ref="AE428:AG428"/>
    <mergeCell ref="AH429:AJ429"/>
    <mergeCell ref="AK429:AN429"/>
    <mergeCell ref="AO429:AV429"/>
    <mergeCell ref="AW429:AY429"/>
    <mergeCell ref="AZ429:BO429"/>
    <mergeCell ref="B429:C429"/>
    <mergeCell ref="D429:H429"/>
    <mergeCell ref="I429:P429"/>
    <mergeCell ref="Q429:X429"/>
    <mergeCell ref="Y429:Z429"/>
    <mergeCell ref="AA429:AD429"/>
    <mergeCell ref="AE429:AG429"/>
    <mergeCell ref="AH430:AJ430"/>
    <mergeCell ref="AK430:AN430"/>
    <mergeCell ref="AO430:AV430"/>
    <mergeCell ref="AW430:AY430"/>
    <mergeCell ref="AZ430:BO430"/>
    <mergeCell ref="B430:C430"/>
    <mergeCell ref="D430:H430"/>
    <mergeCell ref="I430:P430"/>
    <mergeCell ref="Q430:X430"/>
    <mergeCell ref="Y430:Z430"/>
    <mergeCell ref="AA430:AD430"/>
    <mergeCell ref="AE430:AG430"/>
    <mergeCell ref="AH431:AJ431"/>
    <mergeCell ref="AK431:AN431"/>
    <mergeCell ref="AO431:AV431"/>
    <mergeCell ref="AW431:AY431"/>
    <mergeCell ref="AZ431:BO431"/>
    <mergeCell ref="B431:C431"/>
    <mergeCell ref="D431:H431"/>
    <mergeCell ref="I431:P431"/>
    <mergeCell ref="Q431:X431"/>
    <mergeCell ref="Y431:Z431"/>
    <mergeCell ref="AA431:AD431"/>
    <mergeCell ref="AE431:AG431"/>
    <mergeCell ref="AH432:AJ432"/>
    <mergeCell ref="AK432:AN432"/>
    <mergeCell ref="AO432:AV432"/>
    <mergeCell ref="AW432:AY432"/>
    <mergeCell ref="AZ432:BO432"/>
    <mergeCell ref="B432:C432"/>
    <mergeCell ref="D432:H432"/>
    <mergeCell ref="I432:P432"/>
    <mergeCell ref="Q432:X432"/>
    <mergeCell ref="Y432:Z432"/>
    <mergeCell ref="AA432:AD432"/>
    <mergeCell ref="AE432:AG432"/>
    <mergeCell ref="AH433:AJ433"/>
    <mergeCell ref="AK433:AN433"/>
    <mergeCell ref="AO433:AV433"/>
    <mergeCell ref="AW433:AY433"/>
    <mergeCell ref="AZ433:BO433"/>
    <mergeCell ref="B433:C433"/>
    <mergeCell ref="D433:H433"/>
    <mergeCell ref="I433:P433"/>
    <mergeCell ref="Q433:X433"/>
    <mergeCell ref="Y433:Z433"/>
    <mergeCell ref="AA433:AD433"/>
    <mergeCell ref="AE433:AG433"/>
    <mergeCell ref="AH434:AJ434"/>
    <mergeCell ref="AK434:AN434"/>
    <mergeCell ref="AO434:AV434"/>
    <mergeCell ref="AW434:AY434"/>
    <mergeCell ref="AZ434:BO434"/>
    <mergeCell ref="B434:C434"/>
    <mergeCell ref="D434:H434"/>
    <mergeCell ref="I434:P434"/>
    <mergeCell ref="Q434:X434"/>
    <mergeCell ref="Y434:Z434"/>
    <mergeCell ref="AA434:AD434"/>
    <mergeCell ref="AE434:AG434"/>
    <mergeCell ref="AH435:AJ435"/>
    <mergeCell ref="AK435:AN435"/>
    <mergeCell ref="AO435:AV435"/>
    <mergeCell ref="AW435:AY435"/>
    <mergeCell ref="AZ435:BO435"/>
    <mergeCell ref="B435:C435"/>
    <mergeCell ref="D435:H435"/>
    <mergeCell ref="I435:P435"/>
    <mergeCell ref="Q435:X435"/>
    <mergeCell ref="Y435:Z435"/>
    <mergeCell ref="AA435:AD435"/>
    <mergeCell ref="AE435:AG435"/>
    <mergeCell ref="AH436:AJ436"/>
    <mergeCell ref="AK436:AN436"/>
    <mergeCell ref="AO436:AV436"/>
    <mergeCell ref="AW436:AY436"/>
    <mergeCell ref="AZ436:BO436"/>
    <mergeCell ref="B436:C436"/>
    <mergeCell ref="D436:H436"/>
    <mergeCell ref="I436:P436"/>
    <mergeCell ref="Q436:X436"/>
    <mergeCell ref="Y436:Z436"/>
    <mergeCell ref="AA436:AD436"/>
    <mergeCell ref="AE436:AG436"/>
    <mergeCell ref="AH437:AJ437"/>
    <mergeCell ref="AK437:AN437"/>
    <mergeCell ref="AO437:AV437"/>
    <mergeCell ref="AW437:AY437"/>
    <mergeCell ref="AZ437:BO437"/>
    <mergeCell ref="B437:C437"/>
    <mergeCell ref="D437:H437"/>
    <mergeCell ref="I437:P437"/>
    <mergeCell ref="Q437:X437"/>
    <mergeCell ref="Y437:Z437"/>
    <mergeCell ref="AA437:AD437"/>
    <mergeCell ref="AE437:AG437"/>
    <mergeCell ref="AH438:AJ438"/>
    <mergeCell ref="AK438:AN438"/>
    <mergeCell ref="AO438:AV438"/>
    <mergeCell ref="AW438:AY438"/>
    <mergeCell ref="AZ438:BO438"/>
    <mergeCell ref="B438:C438"/>
    <mergeCell ref="D438:H438"/>
    <mergeCell ref="I438:P438"/>
    <mergeCell ref="Q438:X438"/>
    <mergeCell ref="Y438:Z438"/>
    <mergeCell ref="AA438:AD438"/>
    <mergeCell ref="AE438:AG438"/>
    <mergeCell ref="AH439:AJ439"/>
    <mergeCell ref="AK439:AN439"/>
    <mergeCell ref="AO439:AV439"/>
    <mergeCell ref="AW439:AY439"/>
    <mergeCell ref="AZ439:BO439"/>
    <mergeCell ref="B439:C439"/>
    <mergeCell ref="D439:H439"/>
    <mergeCell ref="I439:P439"/>
    <mergeCell ref="Q439:X439"/>
    <mergeCell ref="Y439:Z439"/>
    <mergeCell ref="AA439:AD439"/>
    <mergeCell ref="AE439:AG439"/>
    <mergeCell ref="AH440:AJ440"/>
    <mergeCell ref="AK440:AN440"/>
    <mergeCell ref="AO440:AV440"/>
    <mergeCell ref="AW440:AY440"/>
    <mergeCell ref="AZ440:BO440"/>
    <mergeCell ref="B440:C440"/>
    <mergeCell ref="D440:H440"/>
    <mergeCell ref="I440:P440"/>
    <mergeCell ref="Q440:X440"/>
    <mergeCell ref="Y440:Z440"/>
    <mergeCell ref="AA440:AD440"/>
    <mergeCell ref="AE440:AG440"/>
    <mergeCell ref="AH441:AJ441"/>
    <mergeCell ref="AK441:AN441"/>
    <mergeCell ref="AO441:AV441"/>
    <mergeCell ref="AW441:AY441"/>
    <mergeCell ref="AZ441:BO441"/>
    <mergeCell ref="B441:C441"/>
    <mergeCell ref="D441:H441"/>
    <mergeCell ref="I441:P441"/>
    <mergeCell ref="Q441:X441"/>
    <mergeCell ref="Y441:Z441"/>
    <mergeCell ref="AA441:AD441"/>
    <mergeCell ref="AE441:AG441"/>
    <mergeCell ref="AH442:AJ442"/>
    <mergeCell ref="AK442:AN442"/>
    <mergeCell ref="AO442:AV442"/>
    <mergeCell ref="AW442:AY442"/>
    <mergeCell ref="AZ442:BO442"/>
    <mergeCell ref="B442:C442"/>
    <mergeCell ref="D442:H442"/>
    <mergeCell ref="I442:P442"/>
    <mergeCell ref="Q442:X442"/>
    <mergeCell ref="Y442:Z442"/>
    <mergeCell ref="AA442:AD442"/>
    <mergeCell ref="AE442:AG442"/>
    <mergeCell ref="AH443:AJ443"/>
    <mergeCell ref="AK443:AN443"/>
    <mergeCell ref="AO443:AV443"/>
    <mergeCell ref="AW443:AY443"/>
    <mergeCell ref="AZ443:BO443"/>
    <mergeCell ref="B443:C443"/>
    <mergeCell ref="D443:H443"/>
    <mergeCell ref="I443:P443"/>
    <mergeCell ref="Q443:X443"/>
    <mergeCell ref="Y443:Z443"/>
    <mergeCell ref="AA443:AD443"/>
    <mergeCell ref="AE443:AG443"/>
    <mergeCell ref="AH444:AJ444"/>
    <mergeCell ref="AK444:AN444"/>
    <mergeCell ref="AO444:AV444"/>
    <mergeCell ref="AW444:AY444"/>
    <mergeCell ref="AZ444:BO444"/>
    <mergeCell ref="B444:C444"/>
    <mergeCell ref="D444:H444"/>
    <mergeCell ref="I444:P444"/>
    <mergeCell ref="Q444:X444"/>
    <mergeCell ref="Y444:Z444"/>
    <mergeCell ref="AA444:AD444"/>
    <mergeCell ref="AE444:AG444"/>
    <mergeCell ref="AH445:AJ445"/>
    <mergeCell ref="AK445:AN445"/>
    <mergeCell ref="AO445:AV445"/>
    <mergeCell ref="AW445:AY445"/>
    <mergeCell ref="AZ445:BO445"/>
    <mergeCell ref="B445:C445"/>
    <mergeCell ref="D445:H445"/>
    <mergeCell ref="I445:P445"/>
    <mergeCell ref="Q445:X445"/>
    <mergeCell ref="Y445:Z445"/>
    <mergeCell ref="AA445:AD445"/>
    <mergeCell ref="AE445:AG445"/>
    <mergeCell ref="AH446:AJ446"/>
    <mergeCell ref="AK446:AN446"/>
    <mergeCell ref="AO446:AV446"/>
    <mergeCell ref="AW446:AY446"/>
    <mergeCell ref="AZ446:BO446"/>
    <mergeCell ref="B446:C446"/>
    <mergeCell ref="D446:H446"/>
    <mergeCell ref="I446:P446"/>
    <mergeCell ref="Q446:X446"/>
    <mergeCell ref="Y446:Z446"/>
    <mergeCell ref="AA446:AD446"/>
    <mergeCell ref="AE446:AG446"/>
    <mergeCell ref="AH447:AJ447"/>
    <mergeCell ref="AK447:AN447"/>
    <mergeCell ref="AO447:AV447"/>
    <mergeCell ref="AW447:AY447"/>
    <mergeCell ref="AZ447:BO447"/>
    <mergeCell ref="B447:C447"/>
    <mergeCell ref="D447:H447"/>
    <mergeCell ref="I447:P447"/>
    <mergeCell ref="Q447:X447"/>
    <mergeCell ref="Y447:Z447"/>
    <mergeCell ref="AA447:AD447"/>
    <mergeCell ref="AE447:AG447"/>
    <mergeCell ref="AH448:AJ448"/>
    <mergeCell ref="AK448:AN448"/>
    <mergeCell ref="AO448:AV448"/>
    <mergeCell ref="AW448:AY448"/>
    <mergeCell ref="AZ448:BO448"/>
    <mergeCell ref="B448:C448"/>
    <mergeCell ref="D448:H448"/>
    <mergeCell ref="I448:P448"/>
    <mergeCell ref="Q448:X448"/>
    <mergeCell ref="Y448:Z448"/>
    <mergeCell ref="AA448:AD448"/>
    <mergeCell ref="AE448:AG448"/>
    <mergeCell ref="AH449:AJ449"/>
    <mergeCell ref="AK449:AN449"/>
    <mergeCell ref="AO449:AV449"/>
    <mergeCell ref="AW449:AY449"/>
    <mergeCell ref="AZ449:BO449"/>
    <mergeCell ref="B449:C449"/>
    <mergeCell ref="D449:H449"/>
    <mergeCell ref="I449:P449"/>
    <mergeCell ref="Q449:X449"/>
    <mergeCell ref="Y449:Z449"/>
    <mergeCell ref="AA449:AD449"/>
    <mergeCell ref="AE449:AG449"/>
    <mergeCell ref="AH450:AJ450"/>
    <mergeCell ref="AK450:AN450"/>
    <mergeCell ref="AO450:AV450"/>
    <mergeCell ref="AW450:AY450"/>
    <mergeCell ref="AZ450:BO450"/>
    <mergeCell ref="B450:C450"/>
    <mergeCell ref="D450:H450"/>
    <mergeCell ref="I450:P450"/>
    <mergeCell ref="Q450:X450"/>
    <mergeCell ref="Y450:Z450"/>
    <mergeCell ref="AA450:AD450"/>
    <mergeCell ref="AE450:AG450"/>
    <mergeCell ref="AH451:AJ451"/>
    <mergeCell ref="AK451:AN451"/>
    <mergeCell ref="AO451:AV451"/>
    <mergeCell ref="AW451:AY451"/>
    <mergeCell ref="AZ451:BO451"/>
    <mergeCell ref="B451:C451"/>
    <mergeCell ref="D451:H451"/>
    <mergeCell ref="I451:P451"/>
    <mergeCell ref="Q451:X451"/>
    <mergeCell ref="Y451:Z451"/>
    <mergeCell ref="AA451:AD451"/>
    <mergeCell ref="AE451:AG451"/>
    <mergeCell ref="AH452:AJ452"/>
    <mergeCell ref="AK452:AN452"/>
    <mergeCell ref="AO452:AV452"/>
    <mergeCell ref="AW452:AY452"/>
    <mergeCell ref="AZ452:BO452"/>
    <mergeCell ref="B452:C452"/>
    <mergeCell ref="D452:H452"/>
    <mergeCell ref="I452:P452"/>
    <mergeCell ref="Q452:X452"/>
    <mergeCell ref="Y452:Z452"/>
    <mergeCell ref="AA452:AD452"/>
    <mergeCell ref="AE452:AG452"/>
    <mergeCell ref="AH453:AJ453"/>
    <mergeCell ref="AK453:AN453"/>
    <mergeCell ref="AO453:AV453"/>
    <mergeCell ref="AW453:AY453"/>
    <mergeCell ref="AZ453:BO453"/>
    <mergeCell ref="B453:C453"/>
    <mergeCell ref="D453:H453"/>
    <mergeCell ref="I453:P453"/>
    <mergeCell ref="Q453:X453"/>
    <mergeCell ref="Y453:Z453"/>
    <mergeCell ref="AA453:AD453"/>
    <mergeCell ref="AE453:AG453"/>
    <mergeCell ref="AH454:AJ454"/>
    <mergeCell ref="AK454:AN454"/>
    <mergeCell ref="AO454:AV454"/>
    <mergeCell ref="AW454:AY454"/>
    <mergeCell ref="AZ454:BO454"/>
    <mergeCell ref="B454:C454"/>
    <mergeCell ref="D454:H454"/>
    <mergeCell ref="I454:P454"/>
    <mergeCell ref="Q454:X454"/>
    <mergeCell ref="Y454:Z454"/>
    <mergeCell ref="AA454:AD454"/>
    <mergeCell ref="AE454:AG454"/>
    <mergeCell ref="AH455:AJ455"/>
    <mergeCell ref="AK455:AN455"/>
    <mergeCell ref="AO455:AV455"/>
    <mergeCell ref="AW455:AY455"/>
    <mergeCell ref="AZ455:BO455"/>
    <mergeCell ref="B455:C455"/>
    <mergeCell ref="D455:H455"/>
    <mergeCell ref="I455:P455"/>
    <mergeCell ref="Q455:X455"/>
    <mergeCell ref="Y455:Z455"/>
    <mergeCell ref="AA455:AD455"/>
    <mergeCell ref="AE455:AG455"/>
    <mergeCell ref="AH1:AJ1"/>
    <mergeCell ref="AK1:AN1"/>
    <mergeCell ref="AO1:AV1"/>
    <mergeCell ref="AW1:AY1"/>
    <mergeCell ref="AZ1:BO1"/>
    <mergeCell ref="B1:C1"/>
    <mergeCell ref="D1:H1"/>
    <mergeCell ref="I1:P1"/>
    <mergeCell ref="Q1:X1"/>
    <mergeCell ref="Y1:Z1"/>
    <mergeCell ref="AA1:AD1"/>
    <mergeCell ref="AE1:AG1"/>
    <mergeCell ref="A2:BB2"/>
    <mergeCell ref="A3:BB3"/>
    <mergeCell ref="A4:BB4"/>
    <mergeCell ref="A5:G5"/>
    <mergeCell ref="H5:S5"/>
    <mergeCell ref="U5:Y5"/>
    <mergeCell ref="Z5:AI5"/>
    <mergeCell ref="U7:Y7"/>
    <mergeCell ref="U8:Y8"/>
    <mergeCell ref="U9:Y9"/>
    <mergeCell ref="Z9:AI9"/>
    <mergeCell ref="A7:G8"/>
    <mergeCell ref="A9:G9"/>
    <mergeCell ref="H9:O9"/>
    <mergeCell ref="P9:S9"/>
    <mergeCell ref="A6:G6"/>
    <mergeCell ref="H6:S6"/>
    <mergeCell ref="U6:Y6"/>
    <mergeCell ref="Z6:AI6"/>
    <mergeCell ref="H7:S8"/>
    <mergeCell ref="Z7:AI7"/>
    <mergeCell ref="Z8:AI8"/>
    <mergeCell ref="AH12:AJ12"/>
    <mergeCell ref="AK12:AN12"/>
    <mergeCell ref="AO12:AV12"/>
    <mergeCell ref="AW12:AY12"/>
    <mergeCell ref="AZ12:BO12"/>
    <mergeCell ref="AA12:AD12"/>
    <mergeCell ref="AE12:AG12"/>
    <mergeCell ref="A10:AM10"/>
    <mergeCell ref="A11:AM11"/>
    <mergeCell ref="B12:C12"/>
    <mergeCell ref="D12:H12"/>
    <mergeCell ref="I12:P12"/>
    <mergeCell ref="Q12:X12"/>
    <mergeCell ref="Y12:Z12"/>
    <mergeCell ref="AH13:AJ13"/>
    <mergeCell ref="AK13:AN13"/>
    <mergeCell ref="AO13:AV13"/>
    <mergeCell ref="AW13:AY13"/>
    <mergeCell ref="AZ13:BO13"/>
    <mergeCell ref="B13:C13"/>
    <mergeCell ref="D13:H13"/>
    <mergeCell ref="I13:P13"/>
    <mergeCell ref="Q13:X13"/>
    <mergeCell ref="Y13:Z13"/>
    <mergeCell ref="AA13:AD13"/>
    <mergeCell ref="AE13:AG13"/>
    <mergeCell ref="AH14:AJ14"/>
    <mergeCell ref="AK14:AN14"/>
    <mergeCell ref="AO14:AV14"/>
    <mergeCell ref="AW14:AY14"/>
    <mergeCell ref="AZ14:BO14"/>
    <mergeCell ref="B14:C14"/>
    <mergeCell ref="D14:H14"/>
    <mergeCell ref="I14:P14"/>
    <mergeCell ref="Q14:X14"/>
    <mergeCell ref="Y14:Z14"/>
    <mergeCell ref="AA14:AD14"/>
    <mergeCell ref="AE14:AG14"/>
    <mergeCell ref="AH512:AJ512"/>
    <mergeCell ref="AK512:AN512"/>
    <mergeCell ref="AO512:AV512"/>
    <mergeCell ref="AW512:AY512"/>
    <mergeCell ref="AZ512:BO512"/>
    <mergeCell ref="B512:C512"/>
    <mergeCell ref="D512:H512"/>
    <mergeCell ref="I512:P512"/>
    <mergeCell ref="Q512:X512"/>
    <mergeCell ref="Y512:Z512"/>
    <mergeCell ref="AA512:AD512"/>
    <mergeCell ref="AE512:AG512"/>
    <mergeCell ref="AH505:AJ505"/>
    <mergeCell ref="AK505:AN505"/>
    <mergeCell ref="AO505:AV505"/>
    <mergeCell ref="AW505:AY505"/>
    <mergeCell ref="AZ505:BO505"/>
    <mergeCell ref="B505:C505"/>
    <mergeCell ref="D505:H505"/>
    <mergeCell ref="I505:P505"/>
    <mergeCell ref="Q505:X505"/>
    <mergeCell ref="Y505:Z505"/>
    <mergeCell ref="AA505:AD505"/>
    <mergeCell ref="AE505:AG505"/>
    <mergeCell ref="AH506:AJ506"/>
    <mergeCell ref="AK506:AN506"/>
    <mergeCell ref="AO506:AV506"/>
    <mergeCell ref="AW506:AY506"/>
    <mergeCell ref="AZ506:BO506"/>
    <mergeCell ref="B506:C506"/>
    <mergeCell ref="D506:H506"/>
    <mergeCell ref="I506:P506"/>
    <mergeCell ref="Q506:X506"/>
    <mergeCell ref="Y506:Z506"/>
    <mergeCell ref="AA506:AD506"/>
    <mergeCell ref="AE506:AG506"/>
    <mergeCell ref="AH507:AJ507"/>
    <mergeCell ref="AK507:AN507"/>
    <mergeCell ref="AO507:AV507"/>
    <mergeCell ref="AW507:AY507"/>
    <mergeCell ref="AZ507:BO507"/>
    <mergeCell ref="B507:C507"/>
    <mergeCell ref="D507:H507"/>
    <mergeCell ref="I507:P507"/>
    <mergeCell ref="Q507:X507"/>
    <mergeCell ref="Y507:Z507"/>
    <mergeCell ref="AA507:AD507"/>
    <mergeCell ref="AE507:AG507"/>
    <mergeCell ref="AH508:AJ508"/>
    <mergeCell ref="AK508:AN508"/>
    <mergeCell ref="AO508:AV508"/>
    <mergeCell ref="AW508:AY508"/>
    <mergeCell ref="AZ508:BO508"/>
    <mergeCell ref="B508:C508"/>
    <mergeCell ref="D508:H508"/>
    <mergeCell ref="I508:P508"/>
    <mergeCell ref="Q508:X508"/>
    <mergeCell ref="Y508:Z508"/>
    <mergeCell ref="AA508:AD508"/>
    <mergeCell ref="AE508:AG508"/>
    <mergeCell ref="AH509:AJ509"/>
    <mergeCell ref="AK509:AN509"/>
    <mergeCell ref="AO509:AV509"/>
    <mergeCell ref="AW509:AY509"/>
    <mergeCell ref="AZ509:BO509"/>
    <mergeCell ref="B509:C509"/>
    <mergeCell ref="D509:H509"/>
    <mergeCell ref="I509:P509"/>
    <mergeCell ref="Q509:X509"/>
    <mergeCell ref="Y509:Z509"/>
    <mergeCell ref="AA509:AD509"/>
    <mergeCell ref="AE509:AG509"/>
    <mergeCell ref="AH510:AJ510"/>
    <mergeCell ref="AK510:AN510"/>
    <mergeCell ref="AO510:AV510"/>
    <mergeCell ref="AW510:AY510"/>
    <mergeCell ref="AZ510:BO510"/>
    <mergeCell ref="B510:C510"/>
    <mergeCell ref="D510:H510"/>
    <mergeCell ref="I510:P510"/>
    <mergeCell ref="Q510:X510"/>
    <mergeCell ref="Y510:Z510"/>
    <mergeCell ref="AA510:AD510"/>
    <mergeCell ref="AE510:AG510"/>
    <mergeCell ref="AH511:AJ511"/>
    <mergeCell ref="AK511:AN511"/>
    <mergeCell ref="AO511:AV511"/>
    <mergeCell ref="AW511:AY511"/>
    <mergeCell ref="AZ511:BO511"/>
    <mergeCell ref="B511:C511"/>
    <mergeCell ref="D511:H511"/>
    <mergeCell ref="I511:P511"/>
    <mergeCell ref="Q511:X511"/>
    <mergeCell ref="Y511:Z511"/>
    <mergeCell ref="AA511:AD511"/>
    <mergeCell ref="AE511:AG511"/>
    <mergeCell ref="AH456:AJ456"/>
    <mergeCell ref="AK456:AN456"/>
    <mergeCell ref="AO456:AV456"/>
    <mergeCell ref="AW456:AY456"/>
    <mergeCell ref="AZ456:BO456"/>
    <mergeCell ref="B456:C456"/>
    <mergeCell ref="D456:H456"/>
    <mergeCell ref="I456:P456"/>
    <mergeCell ref="Q456:X456"/>
    <mergeCell ref="Y456:Z456"/>
    <mergeCell ref="AA456:AD456"/>
    <mergeCell ref="AE456:AG456"/>
    <mergeCell ref="AH457:AJ457"/>
    <mergeCell ref="AK457:AN457"/>
    <mergeCell ref="AO457:AV457"/>
    <mergeCell ref="AW457:AY457"/>
    <mergeCell ref="AZ457:BO457"/>
    <mergeCell ref="B457:C457"/>
    <mergeCell ref="D457:H457"/>
    <mergeCell ref="I457:P457"/>
    <mergeCell ref="Q457:X457"/>
    <mergeCell ref="Y457:Z457"/>
    <mergeCell ref="AA457:AD457"/>
    <mergeCell ref="AE457:AG457"/>
    <mergeCell ref="AH458:AJ458"/>
    <mergeCell ref="AK458:AN458"/>
    <mergeCell ref="AO458:AV458"/>
    <mergeCell ref="AW458:AY458"/>
    <mergeCell ref="AZ458:BO458"/>
    <mergeCell ref="B458:C458"/>
    <mergeCell ref="D458:H458"/>
    <mergeCell ref="I458:P458"/>
    <mergeCell ref="Q458:X458"/>
    <mergeCell ref="Y458:Z458"/>
    <mergeCell ref="AA458:AD458"/>
    <mergeCell ref="AE458:AG458"/>
    <mergeCell ref="AH459:AJ459"/>
    <mergeCell ref="AK459:AN459"/>
    <mergeCell ref="AO459:AV459"/>
    <mergeCell ref="AW459:AY459"/>
    <mergeCell ref="AZ459:BO459"/>
    <mergeCell ref="B459:C459"/>
    <mergeCell ref="D459:H459"/>
    <mergeCell ref="I459:P459"/>
    <mergeCell ref="Q459:X459"/>
    <mergeCell ref="Y459:Z459"/>
    <mergeCell ref="AA459:AD459"/>
    <mergeCell ref="AE459:AG459"/>
    <mergeCell ref="AH460:AJ460"/>
    <mergeCell ref="AK460:AN460"/>
    <mergeCell ref="AO460:AV460"/>
    <mergeCell ref="AW460:AY460"/>
    <mergeCell ref="AZ460:BO460"/>
    <mergeCell ref="B460:C460"/>
    <mergeCell ref="D460:H460"/>
    <mergeCell ref="I460:P460"/>
    <mergeCell ref="Q460:X460"/>
    <mergeCell ref="Y460:Z460"/>
    <mergeCell ref="AA460:AD460"/>
    <mergeCell ref="AE460:AG460"/>
    <mergeCell ref="AH461:AJ461"/>
    <mergeCell ref="AK461:AN461"/>
    <mergeCell ref="AO461:AV461"/>
    <mergeCell ref="AW461:AY461"/>
    <mergeCell ref="AZ461:BO461"/>
    <mergeCell ref="B461:C461"/>
    <mergeCell ref="D461:H461"/>
    <mergeCell ref="I461:P461"/>
    <mergeCell ref="Q461:X461"/>
    <mergeCell ref="Y461:Z461"/>
    <mergeCell ref="AA461:AD461"/>
    <mergeCell ref="AE461:AG461"/>
    <mergeCell ref="AH462:AJ462"/>
    <mergeCell ref="AK462:AN462"/>
    <mergeCell ref="AO462:AV462"/>
    <mergeCell ref="AW462:AY462"/>
    <mergeCell ref="AZ462:BO462"/>
    <mergeCell ref="B462:C462"/>
    <mergeCell ref="D462:H462"/>
    <mergeCell ref="I462:P462"/>
    <mergeCell ref="Q462:X462"/>
    <mergeCell ref="Y462:Z462"/>
    <mergeCell ref="AA462:AD462"/>
    <mergeCell ref="AE462:AG462"/>
    <mergeCell ref="AH463:AJ463"/>
    <mergeCell ref="AK463:AN463"/>
    <mergeCell ref="AO463:AV463"/>
    <mergeCell ref="AW463:AY463"/>
    <mergeCell ref="AZ463:BO463"/>
    <mergeCell ref="B463:C463"/>
    <mergeCell ref="D463:H463"/>
    <mergeCell ref="I463:P463"/>
    <mergeCell ref="Q463:X463"/>
    <mergeCell ref="Y463:Z463"/>
    <mergeCell ref="AA463:AD463"/>
    <mergeCell ref="AE463:AG463"/>
    <mergeCell ref="AH464:AJ464"/>
    <mergeCell ref="AK464:AN464"/>
    <mergeCell ref="AO464:AV464"/>
    <mergeCell ref="AW464:AY464"/>
    <mergeCell ref="AZ464:BO464"/>
    <mergeCell ref="B464:C464"/>
    <mergeCell ref="D464:H464"/>
    <mergeCell ref="I464:P464"/>
    <mergeCell ref="Q464:X464"/>
    <mergeCell ref="Y464:Z464"/>
    <mergeCell ref="AA464:AD464"/>
    <mergeCell ref="AE464:AG464"/>
    <mergeCell ref="AH465:AJ465"/>
    <mergeCell ref="AK465:AN465"/>
    <mergeCell ref="AO465:AV465"/>
    <mergeCell ref="AW465:AY465"/>
    <mergeCell ref="AZ465:BO465"/>
    <mergeCell ref="B465:C465"/>
    <mergeCell ref="D465:H465"/>
    <mergeCell ref="I465:P465"/>
    <mergeCell ref="Q465:X465"/>
    <mergeCell ref="Y465:Z465"/>
    <mergeCell ref="AA465:AD465"/>
    <mergeCell ref="AE465:AG465"/>
    <mergeCell ref="AH466:AJ466"/>
    <mergeCell ref="AK466:AN466"/>
    <mergeCell ref="AO466:AV466"/>
    <mergeCell ref="AW466:AY466"/>
    <mergeCell ref="AZ466:BO466"/>
    <mergeCell ref="B466:C466"/>
    <mergeCell ref="D466:H466"/>
    <mergeCell ref="I466:P466"/>
    <mergeCell ref="Q466:X466"/>
    <mergeCell ref="Y466:Z466"/>
    <mergeCell ref="AA466:AD466"/>
    <mergeCell ref="AE466:AG466"/>
    <mergeCell ref="AH467:AJ467"/>
    <mergeCell ref="AK467:AN467"/>
    <mergeCell ref="AO467:AV467"/>
    <mergeCell ref="AW467:AY467"/>
    <mergeCell ref="AZ467:BO467"/>
    <mergeCell ref="B467:C467"/>
    <mergeCell ref="D467:H467"/>
    <mergeCell ref="I467:P467"/>
    <mergeCell ref="Q467:X467"/>
    <mergeCell ref="Y467:Z467"/>
    <mergeCell ref="AA467:AD467"/>
    <mergeCell ref="AE467:AG467"/>
    <mergeCell ref="AH468:AJ468"/>
    <mergeCell ref="AK468:AN468"/>
    <mergeCell ref="AO468:AV468"/>
    <mergeCell ref="AW468:AY468"/>
    <mergeCell ref="AZ468:BO468"/>
    <mergeCell ref="B468:C468"/>
    <mergeCell ref="D468:H468"/>
    <mergeCell ref="I468:P468"/>
    <mergeCell ref="Q468:X468"/>
    <mergeCell ref="Y468:Z468"/>
    <mergeCell ref="AA468:AD468"/>
    <mergeCell ref="AE468:AG468"/>
    <mergeCell ref="AH469:AJ469"/>
    <mergeCell ref="AK469:AN469"/>
    <mergeCell ref="AO469:AV469"/>
    <mergeCell ref="AW469:AY469"/>
    <mergeCell ref="AZ469:BO469"/>
    <mergeCell ref="B469:C469"/>
    <mergeCell ref="D469:H469"/>
    <mergeCell ref="I469:P469"/>
    <mergeCell ref="Q469:X469"/>
    <mergeCell ref="Y469:Z469"/>
    <mergeCell ref="AA469:AD469"/>
    <mergeCell ref="AE469:AG469"/>
    <mergeCell ref="AH470:AJ470"/>
    <mergeCell ref="AK470:AN470"/>
    <mergeCell ref="AO470:AV470"/>
    <mergeCell ref="AW470:AY470"/>
    <mergeCell ref="AZ470:BO470"/>
    <mergeCell ref="B470:C470"/>
    <mergeCell ref="D470:H470"/>
    <mergeCell ref="I470:P470"/>
    <mergeCell ref="Q470:X470"/>
    <mergeCell ref="Y470:Z470"/>
    <mergeCell ref="AA470:AD470"/>
    <mergeCell ref="AE470:AG470"/>
    <mergeCell ref="AH471:AJ471"/>
    <mergeCell ref="AK471:AN471"/>
    <mergeCell ref="AO471:AV471"/>
    <mergeCell ref="AW471:AY471"/>
    <mergeCell ref="AZ471:BO471"/>
    <mergeCell ref="B471:C471"/>
    <mergeCell ref="D471:H471"/>
    <mergeCell ref="I471:P471"/>
    <mergeCell ref="Q471:X471"/>
    <mergeCell ref="Y471:Z471"/>
    <mergeCell ref="AA471:AD471"/>
    <mergeCell ref="AE471:AG471"/>
    <mergeCell ref="AH472:AJ472"/>
    <mergeCell ref="AK472:AN472"/>
    <mergeCell ref="AO472:AV472"/>
    <mergeCell ref="AW472:AY472"/>
    <mergeCell ref="AZ472:BO472"/>
    <mergeCell ref="B472:C472"/>
    <mergeCell ref="D472:H472"/>
    <mergeCell ref="I472:P472"/>
    <mergeCell ref="Q472:X472"/>
    <mergeCell ref="Y472:Z472"/>
    <mergeCell ref="AA472:AD472"/>
    <mergeCell ref="AE472:AG472"/>
    <mergeCell ref="AH473:AJ473"/>
    <mergeCell ref="AK473:AN473"/>
    <mergeCell ref="AO473:AV473"/>
    <mergeCell ref="AW473:AY473"/>
    <mergeCell ref="AZ473:BO473"/>
    <mergeCell ref="B473:C473"/>
    <mergeCell ref="D473:H473"/>
    <mergeCell ref="I473:P473"/>
    <mergeCell ref="Q473:X473"/>
    <mergeCell ref="Y473:Z473"/>
    <mergeCell ref="AA473:AD473"/>
    <mergeCell ref="AE473:AG473"/>
    <mergeCell ref="AH474:AJ474"/>
    <mergeCell ref="AK474:AN474"/>
    <mergeCell ref="AO474:AV474"/>
    <mergeCell ref="AW474:AY474"/>
    <mergeCell ref="AZ474:BO474"/>
    <mergeCell ref="B474:C474"/>
    <mergeCell ref="D474:H474"/>
    <mergeCell ref="I474:P474"/>
    <mergeCell ref="Q474:X474"/>
    <mergeCell ref="Y474:Z474"/>
    <mergeCell ref="AA474:AD474"/>
    <mergeCell ref="AE474:AG474"/>
    <mergeCell ref="AH475:AJ475"/>
    <mergeCell ref="AK475:AN475"/>
    <mergeCell ref="AO475:AV475"/>
    <mergeCell ref="AW475:AY475"/>
    <mergeCell ref="AZ475:BO475"/>
    <mergeCell ref="B475:C475"/>
    <mergeCell ref="D475:H475"/>
    <mergeCell ref="I475:P475"/>
    <mergeCell ref="Q475:X475"/>
    <mergeCell ref="Y475:Z475"/>
    <mergeCell ref="AA475:AD475"/>
    <mergeCell ref="AE475:AG475"/>
    <mergeCell ref="AH476:AJ476"/>
    <mergeCell ref="AK476:AN476"/>
    <mergeCell ref="AO476:AV476"/>
    <mergeCell ref="AW476:AY476"/>
    <mergeCell ref="AZ476:BO476"/>
    <mergeCell ref="B476:C476"/>
    <mergeCell ref="D476:H476"/>
    <mergeCell ref="I476:P476"/>
    <mergeCell ref="Q476:X476"/>
    <mergeCell ref="Y476:Z476"/>
    <mergeCell ref="AA476:AD476"/>
    <mergeCell ref="AE476:AG476"/>
    <mergeCell ref="AH477:AJ477"/>
    <mergeCell ref="AK477:AN477"/>
    <mergeCell ref="AO477:AV477"/>
    <mergeCell ref="AW477:AY477"/>
    <mergeCell ref="AZ477:BO477"/>
    <mergeCell ref="B477:C477"/>
    <mergeCell ref="D477:H477"/>
    <mergeCell ref="I477:P477"/>
    <mergeCell ref="Q477:X477"/>
    <mergeCell ref="Y477:Z477"/>
    <mergeCell ref="AA477:AD477"/>
    <mergeCell ref="AE477:AG477"/>
    <mergeCell ref="AH478:AJ478"/>
    <mergeCell ref="AK478:AN478"/>
    <mergeCell ref="AO478:AV478"/>
    <mergeCell ref="AW478:AY478"/>
    <mergeCell ref="AZ478:BO478"/>
    <mergeCell ref="B478:C478"/>
    <mergeCell ref="D478:H478"/>
    <mergeCell ref="I478:P478"/>
    <mergeCell ref="Q478:X478"/>
    <mergeCell ref="Y478:Z478"/>
    <mergeCell ref="AA478:AD478"/>
    <mergeCell ref="AE478:AG478"/>
    <mergeCell ref="AH479:AJ479"/>
    <mergeCell ref="AK479:AN479"/>
    <mergeCell ref="AO479:AV479"/>
    <mergeCell ref="AW479:AY479"/>
    <mergeCell ref="AZ479:BO479"/>
    <mergeCell ref="B479:C479"/>
    <mergeCell ref="D479:H479"/>
    <mergeCell ref="I479:P479"/>
    <mergeCell ref="Q479:X479"/>
    <mergeCell ref="Y479:Z479"/>
    <mergeCell ref="AA479:AD479"/>
    <mergeCell ref="AE479:AG479"/>
    <mergeCell ref="AH480:AJ480"/>
    <mergeCell ref="AK480:AN480"/>
    <mergeCell ref="AO480:AV480"/>
    <mergeCell ref="AW480:AY480"/>
    <mergeCell ref="AZ480:BO480"/>
    <mergeCell ref="B480:C480"/>
    <mergeCell ref="D480:H480"/>
    <mergeCell ref="I480:P480"/>
    <mergeCell ref="Q480:X480"/>
    <mergeCell ref="Y480:Z480"/>
    <mergeCell ref="AA480:AD480"/>
    <mergeCell ref="AE480:AG480"/>
    <mergeCell ref="AH481:AJ481"/>
    <mergeCell ref="AK481:AN481"/>
    <mergeCell ref="AO481:AV481"/>
    <mergeCell ref="AW481:AY481"/>
    <mergeCell ref="AZ481:BO481"/>
    <mergeCell ref="B481:C481"/>
    <mergeCell ref="D481:H481"/>
    <mergeCell ref="I481:P481"/>
    <mergeCell ref="Q481:X481"/>
    <mergeCell ref="Y481:Z481"/>
    <mergeCell ref="AA481:AD481"/>
    <mergeCell ref="AE481:AG481"/>
    <mergeCell ref="AH482:AJ482"/>
    <mergeCell ref="AK482:AN482"/>
    <mergeCell ref="AO482:AV482"/>
    <mergeCell ref="AW482:AY482"/>
    <mergeCell ref="AZ482:BO482"/>
    <mergeCell ref="B482:C482"/>
    <mergeCell ref="D482:H482"/>
    <mergeCell ref="I482:P482"/>
    <mergeCell ref="Q482:X482"/>
    <mergeCell ref="Y482:Z482"/>
    <mergeCell ref="AA482:AD482"/>
    <mergeCell ref="AE482:AG482"/>
    <mergeCell ref="AH483:AJ483"/>
    <mergeCell ref="AK483:AN483"/>
    <mergeCell ref="AO483:AV483"/>
    <mergeCell ref="AW483:AY483"/>
    <mergeCell ref="AZ483:BO483"/>
    <mergeCell ref="B483:C483"/>
    <mergeCell ref="D483:H483"/>
    <mergeCell ref="I483:P483"/>
    <mergeCell ref="Q483:X483"/>
    <mergeCell ref="Y483:Z483"/>
    <mergeCell ref="AA483:AD483"/>
    <mergeCell ref="AE483:AG483"/>
    <mergeCell ref="AH484:AJ484"/>
    <mergeCell ref="AK484:AN484"/>
    <mergeCell ref="AO484:AV484"/>
    <mergeCell ref="AW484:AY484"/>
    <mergeCell ref="AZ484:BO484"/>
    <mergeCell ref="B484:C484"/>
    <mergeCell ref="D484:H484"/>
    <mergeCell ref="I484:P484"/>
    <mergeCell ref="Q484:X484"/>
    <mergeCell ref="Y484:Z484"/>
    <mergeCell ref="AA484:AD484"/>
    <mergeCell ref="AE484:AG484"/>
    <mergeCell ref="AH485:AJ485"/>
    <mergeCell ref="AK485:AN485"/>
    <mergeCell ref="AO485:AV485"/>
    <mergeCell ref="AW485:AY485"/>
    <mergeCell ref="AZ485:BO485"/>
    <mergeCell ref="B485:C485"/>
    <mergeCell ref="D485:H485"/>
    <mergeCell ref="I485:P485"/>
    <mergeCell ref="Q485:X485"/>
    <mergeCell ref="Y485:Z485"/>
    <mergeCell ref="AA485:AD485"/>
    <mergeCell ref="AE485:AG485"/>
    <mergeCell ref="AH486:AJ486"/>
    <mergeCell ref="AK486:AN486"/>
    <mergeCell ref="AO486:AV486"/>
    <mergeCell ref="AW486:AY486"/>
    <mergeCell ref="AZ486:BO486"/>
    <mergeCell ref="B486:C486"/>
    <mergeCell ref="D486:H486"/>
    <mergeCell ref="I486:P486"/>
    <mergeCell ref="Q486:X486"/>
    <mergeCell ref="Y486:Z486"/>
    <mergeCell ref="AA486:AD486"/>
    <mergeCell ref="AE486:AG486"/>
    <mergeCell ref="AH487:AJ487"/>
    <mergeCell ref="AK487:AN487"/>
    <mergeCell ref="AO487:AV487"/>
    <mergeCell ref="AW487:AY487"/>
    <mergeCell ref="AZ487:BO487"/>
    <mergeCell ref="B487:C487"/>
    <mergeCell ref="D487:H487"/>
    <mergeCell ref="I487:P487"/>
    <mergeCell ref="Q487:X487"/>
    <mergeCell ref="Y487:Z487"/>
    <mergeCell ref="AA487:AD487"/>
    <mergeCell ref="AE487:AG487"/>
    <mergeCell ref="AH488:AJ488"/>
    <mergeCell ref="AK488:AN488"/>
    <mergeCell ref="AO488:AV488"/>
    <mergeCell ref="AW488:AY488"/>
    <mergeCell ref="AZ488:BO488"/>
    <mergeCell ref="B488:C488"/>
    <mergeCell ref="D488:H488"/>
    <mergeCell ref="I488:P488"/>
    <mergeCell ref="Q488:X488"/>
    <mergeCell ref="Y488:Z488"/>
    <mergeCell ref="AA488:AD488"/>
    <mergeCell ref="AE488:AG488"/>
    <mergeCell ref="AH489:AJ489"/>
    <mergeCell ref="AK489:AN489"/>
    <mergeCell ref="AO489:AV489"/>
    <mergeCell ref="AW489:AY489"/>
    <mergeCell ref="AZ489:BO489"/>
    <mergeCell ref="B489:C489"/>
    <mergeCell ref="D489:H489"/>
    <mergeCell ref="I489:P489"/>
    <mergeCell ref="Q489:X489"/>
    <mergeCell ref="Y489:Z489"/>
    <mergeCell ref="AA489:AD489"/>
    <mergeCell ref="AE489:AG489"/>
    <mergeCell ref="AH490:AJ490"/>
    <mergeCell ref="AK490:AN490"/>
    <mergeCell ref="AO490:AV490"/>
    <mergeCell ref="AW490:AY490"/>
    <mergeCell ref="AZ490:BO490"/>
    <mergeCell ref="B490:C490"/>
    <mergeCell ref="D490:H490"/>
    <mergeCell ref="I490:P490"/>
    <mergeCell ref="Q490:X490"/>
    <mergeCell ref="Y490:Z490"/>
    <mergeCell ref="AA490:AD490"/>
    <mergeCell ref="AE490:AG490"/>
    <mergeCell ref="AH491:AJ491"/>
    <mergeCell ref="AK491:AN491"/>
    <mergeCell ref="AO491:AV491"/>
    <mergeCell ref="AW491:AY491"/>
    <mergeCell ref="AZ491:BO491"/>
    <mergeCell ref="B491:C491"/>
    <mergeCell ref="D491:H491"/>
    <mergeCell ref="I491:P491"/>
    <mergeCell ref="Q491:X491"/>
    <mergeCell ref="Y491:Z491"/>
    <mergeCell ref="AA491:AD491"/>
    <mergeCell ref="AE491:AG491"/>
    <mergeCell ref="AH492:AJ492"/>
    <mergeCell ref="AK492:AN492"/>
    <mergeCell ref="AO492:AV492"/>
    <mergeCell ref="AW492:AY492"/>
    <mergeCell ref="AZ492:BO492"/>
    <mergeCell ref="B492:C492"/>
    <mergeCell ref="D492:H492"/>
    <mergeCell ref="I492:P492"/>
    <mergeCell ref="Q492:X492"/>
    <mergeCell ref="Y492:Z492"/>
    <mergeCell ref="AA492:AD492"/>
    <mergeCell ref="AE492:AG492"/>
    <mergeCell ref="AH493:AJ493"/>
    <mergeCell ref="AK493:AN493"/>
    <mergeCell ref="AO493:AV493"/>
    <mergeCell ref="AW493:AY493"/>
    <mergeCell ref="AZ493:BO493"/>
    <mergeCell ref="B493:C493"/>
    <mergeCell ref="D493:H493"/>
    <mergeCell ref="I493:P493"/>
    <mergeCell ref="Q493:X493"/>
    <mergeCell ref="Y493:Z493"/>
    <mergeCell ref="AA493:AD493"/>
    <mergeCell ref="AE493:AG493"/>
    <mergeCell ref="AH494:AJ494"/>
    <mergeCell ref="AK494:AN494"/>
    <mergeCell ref="AO494:AV494"/>
    <mergeCell ref="AW494:AY494"/>
    <mergeCell ref="AZ494:BO494"/>
    <mergeCell ref="B494:C494"/>
    <mergeCell ref="D494:H494"/>
    <mergeCell ref="I494:P494"/>
    <mergeCell ref="Q494:X494"/>
    <mergeCell ref="Y494:Z494"/>
    <mergeCell ref="AA494:AD494"/>
    <mergeCell ref="AE494:AG494"/>
    <mergeCell ref="AH495:AJ495"/>
    <mergeCell ref="AK495:AN495"/>
    <mergeCell ref="AO495:AV495"/>
    <mergeCell ref="AW495:AY495"/>
    <mergeCell ref="AZ495:BO495"/>
    <mergeCell ref="B495:C495"/>
    <mergeCell ref="D495:H495"/>
    <mergeCell ref="I495:P495"/>
    <mergeCell ref="Q495:X495"/>
    <mergeCell ref="Y495:Z495"/>
    <mergeCell ref="AA495:AD495"/>
    <mergeCell ref="AE495:AG495"/>
    <mergeCell ref="AH496:AJ496"/>
    <mergeCell ref="AK496:AN496"/>
    <mergeCell ref="AO496:AV496"/>
    <mergeCell ref="AW496:AY496"/>
    <mergeCell ref="AZ496:BO496"/>
    <mergeCell ref="B496:C496"/>
    <mergeCell ref="D496:H496"/>
    <mergeCell ref="I496:P496"/>
    <mergeCell ref="Q496:X496"/>
    <mergeCell ref="Y496:Z496"/>
    <mergeCell ref="AA496:AD496"/>
    <mergeCell ref="AE496:AG496"/>
    <mergeCell ref="AH497:AJ497"/>
    <mergeCell ref="AK497:AN497"/>
    <mergeCell ref="AO497:AV497"/>
    <mergeCell ref="AW497:AY497"/>
    <mergeCell ref="AZ497:BO497"/>
    <mergeCell ref="B497:C497"/>
    <mergeCell ref="D497:H497"/>
    <mergeCell ref="I497:P497"/>
    <mergeCell ref="Q497:X497"/>
    <mergeCell ref="Y497:Z497"/>
    <mergeCell ref="AA497:AD497"/>
    <mergeCell ref="AE497:AG497"/>
    <mergeCell ref="AH498:AJ498"/>
    <mergeCell ref="AK498:AN498"/>
    <mergeCell ref="AO498:AV498"/>
    <mergeCell ref="AW498:AY498"/>
    <mergeCell ref="AZ498:BO498"/>
    <mergeCell ref="B498:C498"/>
    <mergeCell ref="D498:H498"/>
    <mergeCell ref="I498:P498"/>
    <mergeCell ref="Q498:X498"/>
    <mergeCell ref="Y498:Z498"/>
    <mergeCell ref="AA498:AD498"/>
    <mergeCell ref="AE498:AG498"/>
    <mergeCell ref="AH499:AJ499"/>
    <mergeCell ref="AK499:AN499"/>
    <mergeCell ref="AO499:AV499"/>
    <mergeCell ref="AW499:AY499"/>
    <mergeCell ref="AZ499:BO499"/>
    <mergeCell ref="B499:C499"/>
    <mergeCell ref="D499:H499"/>
    <mergeCell ref="I499:P499"/>
    <mergeCell ref="Q499:X499"/>
    <mergeCell ref="Y499:Z499"/>
    <mergeCell ref="AA499:AD499"/>
    <mergeCell ref="AE499:AG499"/>
    <mergeCell ref="AH500:AJ500"/>
    <mergeCell ref="AK500:AN500"/>
    <mergeCell ref="AO500:AV500"/>
    <mergeCell ref="AW500:AY500"/>
    <mergeCell ref="AZ500:BO500"/>
    <mergeCell ref="B500:C500"/>
    <mergeCell ref="D500:H500"/>
    <mergeCell ref="I500:P500"/>
    <mergeCell ref="Q500:X500"/>
    <mergeCell ref="Y500:Z500"/>
    <mergeCell ref="AA500:AD500"/>
    <mergeCell ref="AE500:AG500"/>
    <mergeCell ref="AH501:AJ501"/>
    <mergeCell ref="AK501:AN501"/>
    <mergeCell ref="AO501:AV501"/>
    <mergeCell ref="AW501:AY501"/>
    <mergeCell ref="AZ501:BO501"/>
    <mergeCell ref="B501:C501"/>
    <mergeCell ref="D501:H501"/>
    <mergeCell ref="I501:P501"/>
    <mergeCell ref="Q501:X501"/>
    <mergeCell ref="Y501:Z501"/>
    <mergeCell ref="AA501:AD501"/>
    <mergeCell ref="AE501:AG501"/>
    <mergeCell ref="AH502:AJ502"/>
    <mergeCell ref="AK502:AN502"/>
    <mergeCell ref="AO502:AV502"/>
    <mergeCell ref="AW502:AY502"/>
    <mergeCell ref="AZ502:BO502"/>
    <mergeCell ref="B502:C502"/>
    <mergeCell ref="D502:H502"/>
    <mergeCell ref="I502:P502"/>
    <mergeCell ref="Q502:X502"/>
    <mergeCell ref="Y502:Z502"/>
    <mergeCell ref="AA502:AD502"/>
    <mergeCell ref="AE502:AG502"/>
    <mergeCell ref="AH503:AJ503"/>
    <mergeCell ref="AK503:AN503"/>
    <mergeCell ref="AO503:AV503"/>
    <mergeCell ref="AW503:AY503"/>
    <mergeCell ref="AZ503:BO503"/>
    <mergeCell ref="B503:C503"/>
    <mergeCell ref="D503:H503"/>
    <mergeCell ref="I503:P503"/>
    <mergeCell ref="Q503:X503"/>
    <mergeCell ref="Y503:Z503"/>
    <mergeCell ref="AA503:AD503"/>
    <mergeCell ref="AE503:AG503"/>
    <mergeCell ref="AH504:AJ504"/>
    <mergeCell ref="AK504:AN504"/>
    <mergeCell ref="AO504:AV504"/>
    <mergeCell ref="AW504:AY504"/>
    <mergeCell ref="AZ504:BO504"/>
    <mergeCell ref="B504:C504"/>
    <mergeCell ref="D504:H504"/>
    <mergeCell ref="I504:P504"/>
    <mergeCell ref="Q504:X504"/>
    <mergeCell ref="Y504:Z504"/>
    <mergeCell ref="AA504:AD504"/>
    <mergeCell ref="AE504:AG504"/>
    <mergeCell ref="AH15:AJ15"/>
    <mergeCell ref="AK15:AN15"/>
    <mergeCell ref="AO15:AV15"/>
    <mergeCell ref="AW15:AY15"/>
    <mergeCell ref="AZ15:BO15"/>
    <mergeCell ref="B15:C15"/>
    <mergeCell ref="D15:H15"/>
    <mergeCell ref="I15:P15"/>
    <mergeCell ref="Q15:X15"/>
    <mergeCell ref="Y15:Z15"/>
    <mergeCell ref="AA15:AD15"/>
    <mergeCell ref="AE15:AG15"/>
    <mergeCell ref="AH16:AJ16"/>
    <mergeCell ref="AK16:AN16"/>
    <mergeCell ref="AO16:AV16"/>
    <mergeCell ref="AW16:AY16"/>
    <mergeCell ref="AZ16:BO16"/>
    <mergeCell ref="B16:C16"/>
    <mergeCell ref="D16:H16"/>
    <mergeCell ref="I16:P16"/>
    <mergeCell ref="Q16:X16"/>
    <mergeCell ref="Y16:Z16"/>
    <mergeCell ref="AA16:AD16"/>
    <mergeCell ref="AE16:AG16"/>
    <mergeCell ref="AH17:AJ17"/>
    <mergeCell ref="AK17:AN17"/>
    <mergeCell ref="AO17:AV17"/>
    <mergeCell ref="AW17:AY17"/>
    <mergeCell ref="AZ17:BO17"/>
    <mergeCell ref="B17:C17"/>
    <mergeCell ref="D17:H17"/>
    <mergeCell ref="I17:P17"/>
    <mergeCell ref="Q17:X17"/>
    <mergeCell ref="Y17:Z17"/>
    <mergeCell ref="AA17:AD17"/>
    <mergeCell ref="AE17:AG17"/>
    <mergeCell ref="AH18:AJ18"/>
    <mergeCell ref="AK18:AN18"/>
    <mergeCell ref="AO18:AV18"/>
    <mergeCell ref="AW18:AY18"/>
    <mergeCell ref="AZ18:BO18"/>
    <mergeCell ref="B18:C18"/>
    <mergeCell ref="D18:H18"/>
    <mergeCell ref="I18:P18"/>
    <mergeCell ref="Q18:X18"/>
    <mergeCell ref="Y18:Z18"/>
    <mergeCell ref="AA18:AD18"/>
    <mergeCell ref="AE18:AG18"/>
    <mergeCell ref="AH19:AJ19"/>
    <mergeCell ref="AK19:AN19"/>
    <mergeCell ref="AO19:AV19"/>
    <mergeCell ref="AW19:AY19"/>
    <mergeCell ref="AZ19:BO19"/>
    <mergeCell ref="B19:C19"/>
    <mergeCell ref="D19:H19"/>
    <mergeCell ref="I19:P19"/>
    <mergeCell ref="Q19:X19"/>
    <mergeCell ref="Y19:Z19"/>
    <mergeCell ref="AA19:AD19"/>
    <mergeCell ref="AE19:AG19"/>
    <mergeCell ref="AH20:AJ20"/>
    <mergeCell ref="AK20:AN20"/>
    <mergeCell ref="AO20:AV20"/>
    <mergeCell ref="AW20:AY20"/>
    <mergeCell ref="AZ20:BO20"/>
    <mergeCell ref="B20:C20"/>
    <mergeCell ref="D20:H20"/>
    <mergeCell ref="I20:P20"/>
    <mergeCell ref="Q20:X20"/>
    <mergeCell ref="Y20:Z20"/>
    <mergeCell ref="AA20:AD20"/>
    <mergeCell ref="AE20:AG20"/>
    <mergeCell ref="AH21:AJ21"/>
    <mergeCell ref="AK21:AN21"/>
    <mergeCell ref="AO21:AV21"/>
    <mergeCell ref="AW21:AY21"/>
    <mergeCell ref="AZ21:BO21"/>
    <mergeCell ref="B21:C21"/>
    <mergeCell ref="D21:H21"/>
    <mergeCell ref="I21:P21"/>
    <mergeCell ref="Q21:X21"/>
    <mergeCell ref="Y21:Z21"/>
    <mergeCell ref="AA21:AD21"/>
    <mergeCell ref="AE21:AG21"/>
    <mergeCell ref="AH22:AJ22"/>
    <mergeCell ref="AK22:AN22"/>
    <mergeCell ref="AO22:AV22"/>
    <mergeCell ref="AW22:AY22"/>
    <mergeCell ref="AZ22:BO22"/>
    <mergeCell ref="B22:C22"/>
    <mergeCell ref="D22:H22"/>
    <mergeCell ref="I22:P22"/>
    <mergeCell ref="Q22:X22"/>
    <mergeCell ref="Y22:Z22"/>
    <mergeCell ref="AA22:AD22"/>
    <mergeCell ref="AE22:AG22"/>
    <mergeCell ref="AH23:AJ23"/>
    <mergeCell ref="AK23:AN23"/>
    <mergeCell ref="AO23:AV23"/>
    <mergeCell ref="AW23:AY23"/>
    <mergeCell ref="AZ23:BO23"/>
    <mergeCell ref="B23:C23"/>
    <mergeCell ref="D23:H23"/>
    <mergeCell ref="I23:P23"/>
    <mergeCell ref="Q23:X23"/>
    <mergeCell ref="Y23:Z23"/>
    <mergeCell ref="AA23:AD23"/>
    <mergeCell ref="AE23:AG23"/>
    <mergeCell ref="AH24:AJ24"/>
    <mergeCell ref="AK24:AN24"/>
    <mergeCell ref="AO24:AV24"/>
    <mergeCell ref="AW24:AY24"/>
    <mergeCell ref="AZ24:BO24"/>
    <mergeCell ref="B24:C24"/>
    <mergeCell ref="D24:H24"/>
    <mergeCell ref="I24:P24"/>
    <mergeCell ref="Q24:X24"/>
    <mergeCell ref="Y24:Z24"/>
    <mergeCell ref="AA24:AD24"/>
    <mergeCell ref="AE24:AG24"/>
    <mergeCell ref="AH25:AJ25"/>
    <mergeCell ref="AK25:AN25"/>
    <mergeCell ref="AO25:AV25"/>
    <mergeCell ref="AW25:AY25"/>
    <mergeCell ref="AZ25:BO25"/>
    <mergeCell ref="B25:C25"/>
    <mergeCell ref="D25:H25"/>
    <mergeCell ref="I25:P25"/>
    <mergeCell ref="Q25:X25"/>
    <mergeCell ref="Y25:Z25"/>
    <mergeCell ref="AA25:AD25"/>
    <mergeCell ref="AE25:AG25"/>
    <mergeCell ref="AH26:AJ26"/>
    <mergeCell ref="AK26:AN26"/>
    <mergeCell ref="AO26:AV26"/>
    <mergeCell ref="AW26:AY26"/>
    <mergeCell ref="AZ26:BO26"/>
    <mergeCell ref="B26:C26"/>
    <mergeCell ref="D26:H26"/>
    <mergeCell ref="I26:P26"/>
    <mergeCell ref="Q26:X26"/>
    <mergeCell ref="Y26:Z26"/>
    <mergeCell ref="AA26:AD26"/>
    <mergeCell ref="AE26:AG26"/>
    <mergeCell ref="AH27:AJ27"/>
    <mergeCell ref="AK27:AN27"/>
    <mergeCell ref="AO27:AV27"/>
    <mergeCell ref="AW27:AY27"/>
    <mergeCell ref="AZ27:BO27"/>
    <mergeCell ref="B27:C27"/>
    <mergeCell ref="D27:H27"/>
    <mergeCell ref="I27:P27"/>
    <mergeCell ref="Q27:X27"/>
    <mergeCell ref="Y27:Z27"/>
    <mergeCell ref="AA27:AD27"/>
    <mergeCell ref="AE27:AG27"/>
    <mergeCell ref="AH28:AJ28"/>
    <mergeCell ref="AK28:AN28"/>
    <mergeCell ref="AO28:AV28"/>
    <mergeCell ref="AW28:AY28"/>
    <mergeCell ref="AZ28:BO28"/>
    <mergeCell ref="B28:C28"/>
    <mergeCell ref="D28:H28"/>
    <mergeCell ref="I28:P28"/>
    <mergeCell ref="Q28:X28"/>
    <mergeCell ref="Y28:Z28"/>
    <mergeCell ref="AA28:AD28"/>
    <mergeCell ref="AE28:AG28"/>
    <mergeCell ref="AH29:AJ29"/>
    <mergeCell ref="AK29:AN29"/>
    <mergeCell ref="AO29:AV29"/>
    <mergeCell ref="AW29:AY29"/>
    <mergeCell ref="AZ29:BO29"/>
    <mergeCell ref="B29:C29"/>
    <mergeCell ref="D29:H29"/>
    <mergeCell ref="I29:P29"/>
    <mergeCell ref="Q29:X29"/>
    <mergeCell ref="Y29:Z29"/>
    <mergeCell ref="AA29:AD29"/>
    <mergeCell ref="AE29:AG29"/>
    <mergeCell ref="AH30:AJ30"/>
    <mergeCell ref="AK30:AN30"/>
    <mergeCell ref="AO30:AV30"/>
    <mergeCell ref="AW30:AY30"/>
    <mergeCell ref="AZ30:BO30"/>
    <mergeCell ref="B30:C30"/>
    <mergeCell ref="D30:H30"/>
    <mergeCell ref="I30:P30"/>
    <mergeCell ref="Q30:X30"/>
    <mergeCell ref="Y30:Z30"/>
    <mergeCell ref="AA30:AD30"/>
    <mergeCell ref="AE30:AG30"/>
    <mergeCell ref="AH31:AJ31"/>
    <mergeCell ref="AK31:AN31"/>
    <mergeCell ref="AO31:AV31"/>
    <mergeCell ref="AW31:AY31"/>
    <mergeCell ref="AZ31:BO31"/>
    <mergeCell ref="B31:C31"/>
    <mergeCell ref="D31:H31"/>
    <mergeCell ref="I31:P31"/>
    <mergeCell ref="Q31:X31"/>
    <mergeCell ref="Y31:Z31"/>
    <mergeCell ref="AA31:AD31"/>
    <mergeCell ref="AE31:AG31"/>
    <mergeCell ref="AH32:AJ32"/>
    <mergeCell ref="AK32:AN32"/>
    <mergeCell ref="AO32:AV32"/>
    <mergeCell ref="AW32:AY32"/>
    <mergeCell ref="AZ32:BO32"/>
    <mergeCell ref="B32:C32"/>
    <mergeCell ref="D32:H32"/>
    <mergeCell ref="I32:P32"/>
    <mergeCell ref="Q32:X32"/>
    <mergeCell ref="Y32:Z32"/>
    <mergeCell ref="AA32:AD32"/>
    <mergeCell ref="AE32:AG32"/>
    <mergeCell ref="AH33:AJ33"/>
    <mergeCell ref="AK33:AN33"/>
    <mergeCell ref="AO33:AV33"/>
    <mergeCell ref="AW33:AY33"/>
    <mergeCell ref="AZ33:BO33"/>
    <mergeCell ref="B33:C33"/>
    <mergeCell ref="D33:H33"/>
    <mergeCell ref="I33:P33"/>
    <mergeCell ref="Q33:X33"/>
    <mergeCell ref="Y33:Z33"/>
    <mergeCell ref="AA33:AD33"/>
    <mergeCell ref="AE33:AG33"/>
    <mergeCell ref="AH34:AJ34"/>
    <mergeCell ref="AK34:AN34"/>
    <mergeCell ref="AO34:AV34"/>
    <mergeCell ref="AW34:AY34"/>
    <mergeCell ref="AZ34:BO34"/>
    <mergeCell ref="B34:C34"/>
    <mergeCell ref="D34:H34"/>
    <mergeCell ref="I34:P34"/>
    <mergeCell ref="Q34:X34"/>
    <mergeCell ref="Y34:Z34"/>
    <mergeCell ref="AA34:AD34"/>
    <mergeCell ref="AE34:AG34"/>
    <mergeCell ref="AH35:AJ35"/>
    <mergeCell ref="AK35:AN35"/>
    <mergeCell ref="AO35:AV35"/>
    <mergeCell ref="AW35:AY35"/>
    <mergeCell ref="AZ35:BO35"/>
    <mergeCell ref="B35:C35"/>
    <mergeCell ref="D35:H35"/>
    <mergeCell ref="I35:P35"/>
    <mergeCell ref="Q35:X35"/>
    <mergeCell ref="Y35:Z35"/>
    <mergeCell ref="AA35:AD35"/>
    <mergeCell ref="AE35:AG35"/>
    <mergeCell ref="AH36:AJ36"/>
    <mergeCell ref="AK36:AN36"/>
    <mergeCell ref="AO36:AV36"/>
    <mergeCell ref="AW36:AY36"/>
    <mergeCell ref="AZ36:BO36"/>
    <mergeCell ref="B36:C36"/>
    <mergeCell ref="D36:H36"/>
    <mergeCell ref="I36:P36"/>
    <mergeCell ref="Q36:X36"/>
    <mergeCell ref="Y36:Z36"/>
    <mergeCell ref="AA36:AD36"/>
    <mergeCell ref="AE36:AG36"/>
    <mergeCell ref="AH37:AJ37"/>
    <mergeCell ref="AK37:AN37"/>
    <mergeCell ref="AO37:AV37"/>
    <mergeCell ref="AW37:AY37"/>
    <mergeCell ref="AZ37:BO37"/>
    <mergeCell ref="B37:C37"/>
    <mergeCell ref="D37:H37"/>
    <mergeCell ref="I37:P37"/>
    <mergeCell ref="Q37:X37"/>
    <mergeCell ref="Y37:Z37"/>
    <mergeCell ref="AA37:AD37"/>
    <mergeCell ref="AE37:AG37"/>
    <mergeCell ref="AH38:AJ38"/>
    <mergeCell ref="AK38:AN38"/>
    <mergeCell ref="AO38:AV38"/>
    <mergeCell ref="AW38:AY38"/>
    <mergeCell ref="AZ38:BO38"/>
    <mergeCell ref="B38:C38"/>
    <mergeCell ref="D38:H38"/>
    <mergeCell ref="I38:P38"/>
    <mergeCell ref="Q38:X38"/>
    <mergeCell ref="Y38:Z38"/>
    <mergeCell ref="AA38:AD38"/>
    <mergeCell ref="AE38:AG38"/>
    <mergeCell ref="AH39:AJ39"/>
    <mergeCell ref="AK39:AN39"/>
    <mergeCell ref="AO39:AV39"/>
    <mergeCell ref="AW39:AY39"/>
    <mergeCell ref="AZ39:BO39"/>
    <mergeCell ref="B39:C39"/>
    <mergeCell ref="D39:H39"/>
    <mergeCell ref="I39:P39"/>
    <mergeCell ref="Q39:X39"/>
    <mergeCell ref="Y39:Z39"/>
    <mergeCell ref="AA39:AD39"/>
    <mergeCell ref="AE39:AG39"/>
    <mergeCell ref="AH40:AJ40"/>
    <mergeCell ref="AK40:AN40"/>
    <mergeCell ref="AO40:AV40"/>
    <mergeCell ref="AW40:AY40"/>
    <mergeCell ref="AZ40:BO40"/>
    <mergeCell ref="B40:C40"/>
    <mergeCell ref="D40:H40"/>
    <mergeCell ref="I40:P40"/>
    <mergeCell ref="Q40:X40"/>
    <mergeCell ref="Y40:Z40"/>
    <mergeCell ref="AA40:AD40"/>
    <mergeCell ref="AE40:AG40"/>
    <mergeCell ref="AH41:AJ41"/>
    <mergeCell ref="AK41:AN41"/>
    <mergeCell ref="AO41:AV41"/>
    <mergeCell ref="AW41:AY41"/>
    <mergeCell ref="AZ41:BO41"/>
    <mergeCell ref="B41:C41"/>
    <mergeCell ref="D41:H41"/>
    <mergeCell ref="I41:P41"/>
    <mergeCell ref="Q41:X41"/>
    <mergeCell ref="Y41:Z41"/>
    <mergeCell ref="AA41:AD41"/>
    <mergeCell ref="AE41:AG41"/>
    <mergeCell ref="AH42:AJ42"/>
    <mergeCell ref="AK42:AN42"/>
    <mergeCell ref="AO42:AV42"/>
    <mergeCell ref="AW42:AY42"/>
    <mergeCell ref="AZ42:BO42"/>
    <mergeCell ref="B42:C42"/>
    <mergeCell ref="D42:H42"/>
    <mergeCell ref="I42:P42"/>
    <mergeCell ref="Q42:X42"/>
    <mergeCell ref="Y42:Z42"/>
    <mergeCell ref="AA42:AD42"/>
    <mergeCell ref="AE42:AG42"/>
    <mergeCell ref="AH43:AJ43"/>
    <mergeCell ref="AK43:AN43"/>
    <mergeCell ref="AO43:AV43"/>
    <mergeCell ref="AW43:AY43"/>
    <mergeCell ref="AZ43:BO43"/>
    <mergeCell ref="B43:C43"/>
    <mergeCell ref="D43:H43"/>
    <mergeCell ref="I43:P43"/>
    <mergeCell ref="Q43:X43"/>
    <mergeCell ref="Y43:Z43"/>
    <mergeCell ref="AA43:AD43"/>
    <mergeCell ref="AE43:AG43"/>
    <mergeCell ref="AH44:AJ44"/>
    <mergeCell ref="AK44:AN44"/>
    <mergeCell ref="AO44:AV44"/>
    <mergeCell ref="AW44:AY44"/>
    <mergeCell ref="AZ44:BO44"/>
    <mergeCell ref="B44:C44"/>
    <mergeCell ref="D44:H44"/>
    <mergeCell ref="I44:P44"/>
    <mergeCell ref="Q44:X44"/>
    <mergeCell ref="Y44:Z44"/>
    <mergeCell ref="AA44:AD44"/>
    <mergeCell ref="AE44:AG44"/>
    <mergeCell ref="AH45:AJ45"/>
    <mergeCell ref="AK45:AN45"/>
    <mergeCell ref="AO45:AV45"/>
    <mergeCell ref="AW45:AY45"/>
    <mergeCell ref="AZ45:BO45"/>
    <mergeCell ref="B45:C45"/>
    <mergeCell ref="D45:H45"/>
    <mergeCell ref="I45:P45"/>
    <mergeCell ref="Q45:X45"/>
    <mergeCell ref="Y45:Z45"/>
    <mergeCell ref="AA45:AD45"/>
    <mergeCell ref="AE45:AG45"/>
    <mergeCell ref="AH46:AJ46"/>
    <mergeCell ref="AK46:AN46"/>
    <mergeCell ref="AO46:AV46"/>
    <mergeCell ref="AW46:AY46"/>
    <mergeCell ref="AZ46:BO46"/>
    <mergeCell ref="B46:C46"/>
    <mergeCell ref="D46:H46"/>
    <mergeCell ref="I46:P46"/>
    <mergeCell ref="Q46:X46"/>
    <mergeCell ref="Y46:Z46"/>
    <mergeCell ref="AA46:AD46"/>
    <mergeCell ref="AE46:AG46"/>
    <mergeCell ref="AH47:AJ47"/>
    <mergeCell ref="AK47:AN47"/>
    <mergeCell ref="AO47:AV47"/>
    <mergeCell ref="AW47:AY47"/>
    <mergeCell ref="AZ47:BO47"/>
    <mergeCell ref="B47:C47"/>
    <mergeCell ref="D47:H47"/>
    <mergeCell ref="I47:P47"/>
    <mergeCell ref="Q47:X47"/>
    <mergeCell ref="Y47:Z47"/>
    <mergeCell ref="AA47:AD47"/>
    <mergeCell ref="AE47:AG47"/>
    <mergeCell ref="AH48:AJ48"/>
    <mergeCell ref="AK48:AN48"/>
    <mergeCell ref="AO48:AV48"/>
    <mergeCell ref="AW48:AY48"/>
    <mergeCell ref="AZ48:BO48"/>
    <mergeCell ref="B48:C48"/>
    <mergeCell ref="D48:H48"/>
    <mergeCell ref="I48:P48"/>
    <mergeCell ref="Q48:X48"/>
    <mergeCell ref="Y48:Z48"/>
    <mergeCell ref="AA48:AD48"/>
    <mergeCell ref="AE48:AG48"/>
    <mergeCell ref="AH49:AJ49"/>
    <mergeCell ref="AK49:AN49"/>
    <mergeCell ref="AO49:AV49"/>
    <mergeCell ref="AW49:AY49"/>
    <mergeCell ref="AZ49:BO49"/>
    <mergeCell ref="B49:C49"/>
    <mergeCell ref="D49:H49"/>
    <mergeCell ref="I49:P49"/>
    <mergeCell ref="Q49:X49"/>
    <mergeCell ref="Y49:Z49"/>
    <mergeCell ref="AA49:AD49"/>
    <mergeCell ref="AE49:AG49"/>
    <mergeCell ref="AH50:AJ50"/>
    <mergeCell ref="AK50:AN50"/>
    <mergeCell ref="AO50:AV50"/>
    <mergeCell ref="AW50:AY50"/>
    <mergeCell ref="AZ50:BO50"/>
    <mergeCell ref="B50:C50"/>
    <mergeCell ref="D50:H50"/>
    <mergeCell ref="I50:P50"/>
    <mergeCell ref="Q50:X50"/>
    <mergeCell ref="Y50:Z50"/>
    <mergeCell ref="AA50:AD50"/>
    <mergeCell ref="AE50:AG50"/>
    <mergeCell ref="AH51:AJ51"/>
    <mergeCell ref="AK51:AN51"/>
    <mergeCell ref="AO51:AV51"/>
    <mergeCell ref="AW51:AY51"/>
    <mergeCell ref="AZ51:BO51"/>
    <mergeCell ref="B51:C51"/>
    <mergeCell ref="D51:H51"/>
    <mergeCell ref="I51:P51"/>
    <mergeCell ref="Q51:X51"/>
    <mergeCell ref="Y51:Z51"/>
    <mergeCell ref="AA51:AD51"/>
    <mergeCell ref="AE51:AG51"/>
    <mergeCell ref="AH52:AJ52"/>
    <mergeCell ref="AK52:AN52"/>
    <mergeCell ref="AO52:AV52"/>
    <mergeCell ref="AW52:AY52"/>
    <mergeCell ref="AZ52:BO52"/>
    <mergeCell ref="B52:C52"/>
    <mergeCell ref="D52:H52"/>
    <mergeCell ref="I52:P52"/>
    <mergeCell ref="Q52:X52"/>
    <mergeCell ref="Y52:Z52"/>
    <mergeCell ref="AA52:AD52"/>
    <mergeCell ref="AE52:AG52"/>
    <mergeCell ref="AH53:AJ53"/>
    <mergeCell ref="AK53:AN53"/>
    <mergeCell ref="AO53:AV53"/>
    <mergeCell ref="AW53:AY53"/>
    <mergeCell ref="AZ53:BO53"/>
    <mergeCell ref="B53:C53"/>
    <mergeCell ref="D53:H53"/>
    <mergeCell ref="I53:P53"/>
    <mergeCell ref="Q53:X53"/>
    <mergeCell ref="Y53:Z53"/>
    <mergeCell ref="AA53:AD53"/>
    <mergeCell ref="AE53:AG53"/>
    <mergeCell ref="AH54:AJ54"/>
    <mergeCell ref="AK54:AN54"/>
    <mergeCell ref="AO54:AV54"/>
    <mergeCell ref="AW54:AY54"/>
    <mergeCell ref="AZ54:BO54"/>
    <mergeCell ref="B54:C54"/>
    <mergeCell ref="D54:H54"/>
    <mergeCell ref="I54:P54"/>
    <mergeCell ref="Q54:X54"/>
    <mergeCell ref="Y54:Z54"/>
    <mergeCell ref="AA54:AD54"/>
    <mergeCell ref="AE54:AG54"/>
    <mergeCell ref="AH55:AJ55"/>
    <mergeCell ref="AK55:AN55"/>
    <mergeCell ref="AO55:AV55"/>
    <mergeCell ref="AW55:AY55"/>
    <mergeCell ref="AZ55:BO55"/>
    <mergeCell ref="B55:C55"/>
    <mergeCell ref="D55:H55"/>
    <mergeCell ref="I55:P55"/>
    <mergeCell ref="Q55:X55"/>
    <mergeCell ref="Y55:Z55"/>
    <mergeCell ref="AA55:AD55"/>
    <mergeCell ref="AE55:AG55"/>
    <mergeCell ref="AH56:AJ56"/>
    <mergeCell ref="AK56:AN56"/>
    <mergeCell ref="AO56:AV56"/>
    <mergeCell ref="AW56:AY56"/>
    <mergeCell ref="AZ56:BO56"/>
    <mergeCell ref="B56:C56"/>
    <mergeCell ref="D56:H56"/>
    <mergeCell ref="I56:P56"/>
    <mergeCell ref="Q56:X56"/>
    <mergeCell ref="Y56:Z56"/>
    <mergeCell ref="AA56:AD56"/>
    <mergeCell ref="AE56:AG56"/>
    <mergeCell ref="AH57:AJ57"/>
    <mergeCell ref="AK57:AN57"/>
    <mergeCell ref="AO57:AV57"/>
    <mergeCell ref="AW57:AY57"/>
    <mergeCell ref="AZ57:BO57"/>
    <mergeCell ref="B57:C57"/>
    <mergeCell ref="D57:H57"/>
    <mergeCell ref="I57:P57"/>
    <mergeCell ref="Q57:X57"/>
    <mergeCell ref="Y57:Z57"/>
    <mergeCell ref="AA57:AD57"/>
    <mergeCell ref="AE57:AG57"/>
    <mergeCell ref="AH58:AJ58"/>
    <mergeCell ref="AK58:AN58"/>
    <mergeCell ref="AO58:AV58"/>
    <mergeCell ref="AW58:AY58"/>
    <mergeCell ref="AZ58:BO58"/>
    <mergeCell ref="B58:C58"/>
    <mergeCell ref="D58:H58"/>
    <mergeCell ref="I58:P58"/>
    <mergeCell ref="Q58:X58"/>
    <mergeCell ref="Y58:Z58"/>
    <mergeCell ref="AA58:AD58"/>
    <mergeCell ref="AE58:AG58"/>
    <mergeCell ref="AH59:AJ59"/>
    <mergeCell ref="AK59:AN59"/>
    <mergeCell ref="AO59:AV59"/>
    <mergeCell ref="AW59:AY59"/>
    <mergeCell ref="AZ59:BO59"/>
    <mergeCell ref="B59:C59"/>
    <mergeCell ref="D59:H59"/>
    <mergeCell ref="I59:P59"/>
    <mergeCell ref="Q59:X59"/>
    <mergeCell ref="Y59:Z59"/>
    <mergeCell ref="AA59:AD59"/>
    <mergeCell ref="AE59:AG59"/>
    <mergeCell ref="AH60:AJ60"/>
    <mergeCell ref="AK60:AN60"/>
    <mergeCell ref="AO60:AV60"/>
    <mergeCell ref="AW60:AY60"/>
    <mergeCell ref="AZ60:BO60"/>
    <mergeCell ref="B60:C60"/>
    <mergeCell ref="D60:H60"/>
    <mergeCell ref="I60:P60"/>
    <mergeCell ref="Q60:X60"/>
    <mergeCell ref="Y60:Z60"/>
    <mergeCell ref="AA60:AD60"/>
    <mergeCell ref="AE60:AG60"/>
    <mergeCell ref="AH61:AJ61"/>
    <mergeCell ref="AK61:AN61"/>
    <mergeCell ref="AO61:AV61"/>
    <mergeCell ref="AW61:AY61"/>
    <mergeCell ref="AZ61:BO61"/>
    <mergeCell ref="B61:C61"/>
    <mergeCell ref="D61:H61"/>
    <mergeCell ref="I61:P61"/>
    <mergeCell ref="Q61:X61"/>
    <mergeCell ref="Y61:Z61"/>
    <mergeCell ref="AA61:AD61"/>
    <mergeCell ref="AE61:AG61"/>
    <mergeCell ref="AH62:AJ62"/>
    <mergeCell ref="AK62:AN62"/>
    <mergeCell ref="AO62:AV62"/>
    <mergeCell ref="AW62:AY62"/>
    <mergeCell ref="AZ62:BO62"/>
    <mergeCell ref="B62:C62"/>
    <mergeCell ref="D62:H62"/>
    <mergeCell ref="I62:P62"/>
    <mergeCell ref="Q62:X62"/>
    <mergeCell ref="Y62:Z62"/>
    <mergeCell ref="AA62:AD62"/>
    <mergeCell ref="AE62:AG62"/>
    <mergeCell ref="AH63:AJ63"/>
    <mergeCell ref="AK63:AN63"/>
    <mergeCell ref="AO63:AV63"/>
    <mergeCell ref="AW63:AY63"/>
    <mergeCell ref="AZ63:BO63"/>
    <mergeCell ref="B63:C63"/>
    <mergeCell ref="D63:H63"/>
    <mergeCell ref="I63:P63"/>
    <mergeCell ref="Q63:X63"/>
    <mergeCell ref="Y63:Z63"/>
    <mergeCell ref="AA63:AD63"/>
    <mergeCell ref="AE63:AG63"/>
    <mergeCell ref="AH64:AJ64"/>
    <mergeCell ref="AK64:AN64"/>
    <mergeCell ref="AO64:AV64"/>
    <mergeCell ref="AW64:AY64"/>
    <mergeCell ref="AZ64:BO64"/>
    <mergeCell ref="B64:C64"/>
    <mergeCell ref="D64:H64"/>
    <mergeCell ref="I64:P64"/>
    <mergeCell ref="Q64:X64"/>
    <mergeCell ref="Y64:Z64"/>
    <mergeCell ref="AA64:AD64"/>
    <mergeCell ref="AE64:AG64"/>
    <mergeCell ref="AH65:AJ65"/>
    <mergeCell ref="AK65:AN65"/>
    <mergeCell ref="AO65:AV65"/>
    <mergeCell ref="AW65:AY65"/>
    <mergeCell ref="AZ65:BO65"/>
    <mergeCell ref="B65:C65"/>
    <mergeCell ref="D65:H65"/>
    <mergeCell ref="I65:P65"/>
    <mergeCell ref="Q65:X65"/>
    <mergeCell ref="Y65:Z65"/>
    <mergeCell ref="AA65:AD65"/>
    <mergeCell ref="AE65:AG65"/>
    <mergeCell ref="AH66:AJ66"/>
    <mergeCell ref="AK66:AN66"/>
    <mergeCell ref="AO66:AV66"/>
    <mergeCell ref="AW66:AY66"/>
    <mergeCell ref="AZ66:BO66"/>
    <mergeCell ref="B66:C66"/>
    <mergeCell ref="D66:H66"/>
    <mergeCell ref="I66:P66"/>
    <mergeCell ref="Q66:X66"/>
    <mergeCell ref="Y66:Z66"/>
    <mergeCell ref="AA66:AD66"/>
    <mergeCell ref="AE66:AG66"/>
    <mergeCell ref="AH67:AJ67"/>
    <mergeCell ref="AK67:AN67"/>
    <mergeCell ref="AO67:AV67"/>
    <mergeCell ref="AW67:AY67"/>
    <mergeCell ref="AZ67:BO67"/>
    <mergeCell ref="B67:C67"/>
    <mergeCell ref="D67:H67"/>
    <mergeCell ref="I67:P67"/>
    <mergeCell ref="Q67:X67"/>
    <mergeCell ref="Y67:Z67"/>
    <mergeCell ref="AA67:AD67"/>
    <mergeCell ref="AE67:AG67"/>
    <mergeCell ref="AH68:AJ68"/>
    <mergeCell ref="AK68:AN68"/>
    <mergeCell ref="AO68:AV68"/>
    <mergeCell ref="AW68:AY68"/>
    <mergeCell ref="AZ68:BO68"/>
    <mergeCell ref="B68:C68"/>
    <mergeCell ref="D68:H68"/>
    <mergeCell ref="I68:P68"/>
    <mergeCell ref="Q68:X68"/>
    <mergeCell ref="Y68:Z68"/>
    <mergeCell ref="AA68:AD68"/>
    <mergeCell ref="AE68:AG68"/>
    <mergeCell ref="AH69:AJ69"/>
    <mergeCell ref="AK69:AN69"/>
    <mergeCell ref="AO69:AV69"/>
    <mergeCell ref="AW69:AY69"/>
    <mergeCell ref="AZ69:BO69"/>
    <mergeCell ref="B69:C69"/>
    <mergeCell ref="D69:H69"/>
    <mergeCell ref="I69:P69"/>
    <mergeCell ref="Q69:X69"/>
    <mergeCell ref="Y69:Z69"/>
    <mergeCell ref="AA69:AD69"/>
    <mergeCell ref="AE69:AG69"/>
    <mergeCell ref="AH70:AJ70"/>
    <mergeCell ref="AK70:AN70"/>
    <mergeCell ref="AO70:AV70"/>
    <mergeCell ref="AW70:AY70"/>
    <mergeCell ref="AZ70:BO70"/>
    <mergeCell ref="B70:C70"/>
    <mergeCell ref="D70:H70"/>
    <mergeCell ref="I70:P70"/>
    <mergeCell ref="Q70:X70"/>
    <mergeCell ref="Y70:Z70"/>
    <mergeCell ref="AA70:AD70"/>
    <mergeCell ref="AE70:AG70"/>
    <mergeCell ref="AH71:AJ71"/>
    <mergeCell ref="AK71:AN71"/>
    <mergeCell ref="AO71:AV71"/>
    <mergeCell ref="AW71:AY71"/>
    <mergeCell ref="AZ71:BO71"/>
    <mergeCell ref="B71:C71"/>
    <mergeCell ref="D71:H71"/>
    <mergeCell ref="I71:P71"/>
    <mergeCell ref="Q71:X71"/>
    <mergeCell ref="Y71:Z71"/>
    <mergeCell ref="AA71:AD71"/>
    <mergeCell ref="AE71:AG71"/>
    <mergeCell ref="AH72:AJ72"/>
    <mergeCell ref="AK72:AN72"/>
    <mergeCell ref="AO72:AV72"/>
    <mergeCell ref="AW72:AY72"/>
    <mergeCell ref="AZ72:BO72"/>
    <mergeCell ref="B72:C72"/>
    <mergeCell ref="D72:H72"/>
    <mergeCell ref="I72:P72"/>
    <mergeCell ref="Q72:X72"/>
    <mergeCell ref="Y72:Z72"/>
    <mergeCell ref="AA72:AD72"/>
    <mergeCell ref="AE72:AG72"/>
    <mergeCell ref="AH73:AJ73"/>
    <mergeCell ref="AK73:AN73"/>
    <mergeCell ref="AO73:AV73"/>
    <mergeCell ref="AW73:AY73"/>
    <mergeCell ref="AZ73:BO73"/>
    <mergeCell ref="B73:C73"/>
    <mergeCell ref="D73:H73"/>
    <mergeCell ref="I73:P73"/>
    <mergeCell ref="Q73:X73"/>
    <mergeCell ref="Y73:Z73"/>
    <mergeCell ref="AA73:AD73"/>
    <mergeCell ref="AE73:AG73"/>
    <mergeCell ref="AH74:AJ74"/>
    <mergeCell ref="AK74:AN74"/>
    <mergeCell ref="AO74:AV74"/>
    <mergeCell ref="AW74:AY74"/>
    <mergeCell ref="AZ74:BO74"/>
    <mergeCell ref="B74:C74"/>
    <mergeCell ref="D74:H74"/>
    <mergeCell ref="I74:P74"/>
    <mergeCell ref="Q74:X74"/>
    <mergeCell ref="Y74:Z74"/>
    <mergeCell ref="AA74:AD74"/>
    <mergeCell ref="AE74:AG74"/>
    <mergeCell ref="AH75:AJ75"/>
    <mergeCell ref="AK75:AN75"/>
    <mergeCell ref="AO75:AV75"/>
    <mergeCell ref="AW75:AY75"/>
    <mergeCell ref="AZ75:BO75"/>
    <mergeCell ref="B75:C75"/>
    <mergeCell ref="D75:H75"/>
    <mergeCell ref="I75:P75"/>
    <mergeCell ref="Q75:X75"/>
    <mergeCell ref="Y75:Z75"/>
    <mergeCell ref="AA75:AD75"/>
    <mergeCell ref="AE75:AG75"/>
    <mergeCell ref="AH76:AJ76"/>
    <mergeCell ref="AK76:AN76"/>
    <mergeCell ref="AO76:AV76"/>
    <mergeCell ref="AW76:AY76"/>
    <mergeCell ref="AZ76:BO76"/>
    <mergeCell ref="B76:C76"/>
    <mergeCell ref="D76:H76"/>
    <mergeCell ref="I76:P76"/>
    <mergeCell ref="Q76:X76"/>
    <mergeCell ref="Y76:Z76"/>
    <mergeCell ref="AA76:AD76"/>
    <mergeCell ref="AE76:AG76"/>
    <mergeCell ref="AH77:AJ77"/>
    <mergeCell ref="AK77:AN77"/>
    <mergeCell ref="AO77:AV77"/>
    <mergeCell ref="AW77:AY77"/>
    <mergeCell ref="AZ77:BO77"/>
    <mergeCell ref="B77:C77"/>
    <mergeCell ref="D77:H77"/>
    <mergeCell ref="I77:P77"/>
    <mergeCell ref="Q77:X77"/>
    <mergeCell ref="Y77:Z77"/>
    <mergeCell ref="AA77:AD77"/>
    <mergeCell ref="AE77:AG77"/>
    <mergeCell ref="AH78:AJ78"/>
    <mergeCell ref="AK78:AN78"/>
    <mergeCell ref="AO78:AV78"/>
    <mergeCell ref="AW78:AY78"/>
    <mergeCell ref="AZ78:BO78"/>
    <mergeCell ref="B78:C78"/>
    <mergeCell ref="D78:H78"/>
    <mergeCell ref="I78:P78"/>
    <mergeCell ref="Q78:X78"/>
    <mergeCell ref="Y78:Z78"/>
    <mergeCell ref="AA78:AD78"/>
    <mergeCell ref="AE78:AG78"/>
    <mergeCell ref="AH79:AJ79"/>
    <mergeCell ref="AK79:AN79"/>
    <mergeCell ref="AO79:AV79"/>
    <mergeCell ref="AW79:AY79"/>
    <mergeCell ref="AZ79:BO79"/>
    <mergeCell ref="B79:C79"/>
    <mergeCell ref="D79:H79"/>
    <mergeCell ref="I79:P79"/>
    <mergeCell ref="Q79:X79"/>
    <mergeCell ref="Y79:Z79"/>
    <mergeCell ref="AA79:AD79"/>
    <mergeCell ref="AE79:AG79"/>
    <mergeCell ref="AH80:AJ80"/>
    <mergeCell ref="AK80:AN80"/>
    <mergeCell ref="AO80:AV80"/>
    <mergeCell ref="AW80:AY80"/>
    <mergeCell ref="AZ80:BO80"/>
    <mergeCell ref="B80:C80"/>
    <mergeCell ref="D80:H80"/>
    <mergeCell ref="I80:P80"/>
    <mergeCell ref="Q80:X80"/>
    <mergeCell ref="Y80:Z80"/>
    <mergeCell ref="AA80:AD80"/>
    <mergeCell ref="AE80:AG80"/>
    <mergeCell ref="AH81:AJ81"/>
    <mergeCell ref="AK81:AN81"/>
    <mergeCell ref="AO81:AV81"/>
    <mergeCell ref="AW81:AY81"/>
    <mergeCell ref="AZ81:BO81"/>
    <mergeCell ref="B81:C81"/>
    <mergeCell ref="D81:H81"/>
    <mergeCell ref="I81:P81"/>
    <mergeCell ref="Q81:X81"/>
    <mergeCell ref="Y81:Z81"/>
    <mergeCell ref="AA81:AD81"/>
    <mergeCell ref="AE81:AG81"/>
    <mergeCell ref="AH82:AJ82"/>
    <mergeCell ref="AK82:AN82"/>
    <mergeCell ref="AO82:AV82"/>
    <mergeCell ref="AW82:AY82"/>
    <mergeCell ref="AZ82:BO82"/>
    <mergeCell ref="B82:C82"/>
    <mergeCell ref="D82:H82"/>
    <mergeCell ref="I82:P82"/>
    <mergeCell ref="Q82:X82"/>
    <mergeCell ref="Y82:Z82"/>
    <mergeCell ref="AA82:AD82"/>
    <mergeCell ref="AE82:AG82"/>
    <mergeCell ref="AH83:AJ83"/>
    <mergeCell ref="AK83:AN83"/>
    <mergeCell ref="AO83:AV83"/>
    <mergeCell ref="AW83:AY83"/>
    <mergeCell ref="AZ83:BO83"/>
    <mergeCell ref="B83:C83"/>
    <mergeCell ref="D83:H83"/>
    <mergeCell ref="I83:P83"/>
    <mergeCell ref="Q83:X83"/>
    <mergeCell ref="Y83:Z83"/>
    <mergeCell ref="AA83:AD83"/>
    <mergeCell ref="AE83:AG83"/>
    <mergeCell ref="AH84:AJ84"/>
    <mergeCell ref="AK84:AN84"/>
    <mergeCell ref="AO84:AV84"/>
    <mergeCell ref="AW84:AY84"/>
    <mergeCell ref="AZ84:BO84"/>
    <mergeCell ref="B84:C84"/>
    <mergeCell ref="D84:H84"/>
    <mergeCell ref="I84:P84"/>
    <mergeCell ref="Q84:X84"/>
    <mergeCell ref="Y84:Z84"/>
    <mergeCell ref="AA84:AD84"/>
    <mergeCell ref="AE84:AG84"/>
    <mergeCell ref="AH85:AJ85"/>
    <mergeCell ref="AK85:AN85"/>
    <mergeCell ref="AO85:AV85"/>
    <mergeCell ref="AW85:AY85"/>
    <mergeCell ref="AZ85:BO85"/>
    <mergeCell ref="B85:C85"/>
    <mergeCell ref="D85:H85"/>
    <mergeCell ref="I85:P85"/>
    <mergeCell ref="Q85:X85"/>
    <mergeCell ref="Y85:Z85"/>
    <mergeCell ref="AA85:AD85"/>
    <mergeCell ref="AE85:AG85"/>
    <mergeCell ref="AH86:AJ86"/>
    <mergeCell ref="AK86:AN86"/>
    <mergeCell ref="AO86:AV86"/>
    <mergeCell ref="AW86:AY86"/>
    <mergeCell ref="AZ86:BO86"/>
    <mergeCell ref="B86:C86"/>
    <mergeCell ref="D86:H86"/>
    <mergeCell ref="I86:P86"/>
    <mergeCell ref="Q86:X86"/>
    <mergeCell ref="Y86:Z86"/>
    <mergeCell ref="AA86:AD86"/>
    <mergeCell ref="AE86:AG86"/>
    <mergeCell ref="AH87:AJ87"/>
    <mergeCell ref="AK87:AN87"/>
    <mergeCell ref="AO87:AV87"/>
    <mergeCell ref="AW87:AY87"/>
    <mergeCell ref="AZ87:BO87"/>
    <mergeCell ref="B87:C87"/>
    <mergeCell ref="D87:H87"/>
    <mergeCell ref="I87:P87"/>
    <mergeCell ref="Q87:X87"/>
    <mergeCell ref="Y87:Z87"/>
    <mergeCell ref="AA87:AD87"/>
    <mergeCell ref="AE87:AG87"/>
    <mergeCell ref="AH88:AJ88"/>
    <mergeCell ref="AK88:AN88"/>
    <mergeCell ref="AO88:AV88"/>
    <mergeCell ref="AW88:AY88"/>
    <mergeCell ref="AZ88:BO88"/>
    <mergeCell ref="B88:C88"/>
    <mergeCell ref="D88:H88"/>
    <mergeCell ref="I88:P88"/>
    <mergeCell ref="Q88:X88"/>
    <mergeCell ref="Y88:Z88"/>
    <mergeCell ref="AA88:AD88"/>
    <mergeCell ref="AE88:AG88"/>
    <mergeCell ref="AH89:AJ89"/>
    <mergeCell ref="AK89:AN89"/>
    <mergeCell ref="AO89:AV89"/>
    <mergeCell ref="AW89:AY89"/>
    <mergeCell ref="AZ89:BO89"/>
    <mergeCell ref="B89:C89"/>
    <mergeCell ref="D89:H89"/>
    <mergeCell ref="I89:P89"/>
    <mergeCell ref="Q89:X89"/>
    <mergeCell ref="Y89:Z89"/>
    <mergeCell ref="AA89:AD89"/>
    <mergeCell ref="AE89:AG89"/>
    <mergeCell ref="AH90:AJ90"/>
    <mergeCell ref="AK90:AN90"/>
    <mergeCell ref="AO90:AV90"/>
    <mergeCell ref="AW90:AY90"/>
    <mergeCell ref="AZ90:BO90"/>
    <mergeCell ref="B90:C90"/>
    <mergeCell ref="D90:H90"/>
    <mergeCell ref="I90:P90"/>
    <mergeCell ref="Q90:X90"/>
    <mergeCell ref="Y90:Z90"/>
    <mergeCell ref="AA90:AD90"/>
    <mergeCell ref="AE90:AG90"/>
    <mergeCell ref="AH91:AJ91"/>
    <mergeCell ref="AK91:AN91"/>
    <mergeCell ref="AO91:AV91"/>
    <mergeCell ref="AW91:AY91"/>
    <mergeCell ref="AZ91:BO91"/>
    <mergeCell ref="B91:C91"/>
    <mergeCell ref="D91:H91"/>
    <mergeCell ref="I91:P91"/>
    <mergeCell ref="Q91:X91"/>
    <mergeCell ref="Y91:Z91"/>
    <mergeCell ref="AA91:AD91"/>
    <mergeCell ref="AE91:AG91"/>
    <mergeCell ref="AH92:AJ92"/>
    <mergeCell ref="AK92:AN92"/>
    <mergeCell ref="AO92:AV92"/>
    <mergeCell ref="AW92:AY92"/>
    <mergeCell ref="AZ92:BO92"/>
    <mergeCell ref="B92:C92"/>
    <mergeCell ref="D92:H92"/>
    <mergeCell ref="I92:P92"/>
    <mergeCell ref="Q92:X92"/>
    <mergeCell ref="Y92:Z92"/>
    <mergeCell ref="AA92:AD92"/>
    <mergeCell ref="AE92:AG92"/>
    <mergeCell ref="AH93:AJ93"/>
    <mergeCell ref="AK93:AN93"/>
    <mergeCell ref="AO93:AV93"/>
    <mergeCell ref="AW93:AY93"/>
    <mergeCell ref="AZ93:BO93"/>
    <mergeCell ref="B93:C93"/>
    <mergeCell ref="D93:H93"/>
    <mergeCell ref="I93:P93"/>
    <mergeCell ref="Q93:X93"/>
    <mergeCell ref="Y93:Z93"/>
    <mergeCell ref="AA93:AD93"/>
    <mergeCell ref="AE93:AG93"/>
    <mergeCell ref="AH94:AJ94"/>
    <mergeCell ref="AK94:AN94"/>
    <mergeCell ref="AO94:AV94"/>
    <mergeCell ref="AW94:AY94"/>
    <mergeCell ref="AZ94:BO94"/>
    <mergeCell ref="B94:C94"/>
    <mergeCell ref="D94:H94"/>
    <mergeCell ref="I94:P94"/>
    <mergeCell ref="Q94:X94"/>
    <mergeCell ref="Y94:Z94"/>
    <mergeCell ref="AA94:AD94"/>
    <mergeCell ref="AE94:AG94"/>
    <mergeCell ref="AH95:AJ95"/>
    <mergeCell ref="AK95:AN95"/>
    <mergeCell ref="AO95:AV95"/>
    <mergeCell ref="AW95:AY95"/>
    <mergeCell ref="AZ95:BO95"/>
    <mergeCell ref="B95:C95"/>
    <mergeCell ref="D95:H95"/>
    <mergeCell ref="I95:P95"/>
    <mergeCell ref="Q95:X95"/>
    <mergeCell ref="Y95:Z95"/>
    <mergeCell ref="AA95:AD95"/>
    <mergeCell ref="AE95:AG95"/>
    <mergeCell ref="AH96:AJ96"/>
    <mergeCell ref="AK96:AN96"/>
    <mergeCell ref="AO96:AV96"/>
    <mergeCell ref="AW96:AY96"/>
    <mergeCell ref="AZ96:BO96"/>
    <mergeCell ref="B96:C96"/>
    <mergeCell ref="D96:H96"/>
    <mergeCell ref="I96:P96"/>
    <mergeCell ref="Q96:X96"/>
    <mergeCell ref="Y96:Z96"/>
    <mergeCell ref="AA96:AD96"/>
    <mergeCell ref="AE96:AG96"/>
    <mergeCell ref="AH97:AJ97"/>
    <mergeCell ref="AK97:AN97"/>
    <mergeCell ref="AO97:AV97"/>
    <mergeCell ref="AW97:AY97"/>
    <mergeCell ref="AZ97:BO97"/>
    <mergeCell ref="B97:C97"/>
    <mergeCell ref="D97:H97"/>
    <mergeCell ref="I97:P97"/>
    <mergeCell ref="Q97:X97"/>
    <mergeCell ref="Y97:Z97"/>
    <mergeCell ref="AA97:AD97"/>
    <mergeCell ref="AE97:AG97"/>
    <mergeCell ref="AH98:AJ98"/>
    <mergeCell ref="AK98:AN98"/>
    <mergeCell ref="AO98:AV98"/>
    <mergeCell ref="AW98:AY98"/>
    <mergeCell ref="AZ98:BO98"/>
    <mergeCell ref="B98:C98"/>
    <mergeCell ref="D98:H98"/>
    <mergeCell ref="I98:P98"/>
    <mergeCell ref="Q98:X98"/>
    <mergeCell ref="Y98:Z98"/>
    <mergeCell ref="AA98:AD98"/>
    <mergeCell ref="AE98:AG98"/>
    <mergeCell ref="AH99:AJ99"/>
    <mergeCell ref="AK99:AN99"/>
    <mergeCell ref="AO99:AV99"/>
    <mergeCell ref="AW99:AY99"/>
    <mergeCell ref="AZ99:BO99"/>
    <mergeCell ref="B99:C99"/>
    <mergeCell ref="D99:H99"/>
    <mergeCell ref="I99:P99"/>
    <mergeCell ref="Q99:X99"/>
    <mergeCell ref="Y99:Z99"/>
    <mergeCell ref="AA99:AD99"/>
    <mergeCell ref="AE99:AG99"/>
    <mergeCell ref="AH100:AJ100"/>
    <mergeCell ref="AK100:AN100"/>
    <mergeCell ref="AO100:AV100"/>
    <mergeCell ref="AW100:AY100"/>
    <mergeCell ref="AZ100:BO100"/>
    <mergeCell ref="B100:C100"/>
    <mergeCell ref="D100:H100"/>
    <mergeCell ref="I100:P100"/>
    <mergeCell ref="Q100:X100"/>
    <mergeCell ref="Y100:Z100"/>
    <mergeCell ref="AA100:AD100"/>
    <mergeCell ref="AE100:AG100"/>
    <mergeCell ref="AH101:AJ101"/>
    <mergeCell ref="AK101:AN101"/>
    <mergeCell ref="AO101:AV101"/>
    <mergeCell ref="AW101:AY101"/>
    <mergeCell ref="AZ101:BO101"/>
    <mergeCell ref="B101:C101"/>
    <mergeCell ref="D101:H101"/>
    <mergeCell ref="I101:P101"/>
    <mergeCell ref="Q101:X101"/>
    <mergeCell ref="Y101:Z101"/>
    <mergeCell ref="AA101:AD101"/>
    <mergeCell ref="AE101:AG101"/>
    <mergeCell ref="AH102:AJ102"/>
    <mergeCell ref="AK102:AN102"/>
    <mergeCell ref="AO102:AV102"/>
    <mergeCell ref="AW102:AY102"/>
    <mergeCell ref="AZ102:BO102"/>
    <mergeCell ref="B102:C102"/>
    <mergeCell ref="D102:H102"/>
    <mergeCell ref="I102:P102"/>
    <mergeCell ref="Q102:X102"/>
    <mergeCell ref="Y102:Z102"/>
    <mergeCell ref="AA102:AD102"/>
    <mergeCell ref="AE102:AG102"/>
    <mergeCell ref="AH103:AJ103"/>
    <mergeCell ref="AK103:AN103"/>
    <mergeCell ref="AO103:AV103"/>
    <mergeCell ref="AW103:AY103"/>
    <mergeCell ref="AZ103:BO103"/>
    <mergeCell ref="B103:C103"/>
    <mergeCell ref="D103:H103"/>
    <mergeCell ref="I103:P103"/>
    <mergeCell ref="Q103:X103"/>
    <mergeCell ref="Y103:Z103"/>
    <mergeCell ref="AA103:AD103"/>
    <mergeCell ref="AE103:AG103"/>
    <mergeCell ref="AH104:AJ104"/>
    <mergeCell ref="AK104:AN104"/>
    <mergeCell ref="AO104:AV104"/>
    <mergeCell ref="AW104:AY104"/>
    <mergeCell ref="AZ104:BO104"/>
    <mergeCell ref="B104:C104"/>
    <mergeCell ref="D104:H104"/>
    <mergeCell ref="I104:P104"/>
    <mergeCell ref="Q104:X104"/>
    <mergeCell ref="Y104:Z104"/>
    <mergeCell ref="AA104:AD104"/>
    <mergeCell ref="AE104:AG104"/>
    <mergeCell ref="AH105:AJ105"/>
    <mergeCell ref="AK105:AN105"/>
    <mergeCell ref="AO105:AV105"/>
    <mergeCell ref="AW105:AY105"/>
    <mergeCell ref="AZ105:BO105"/>
    <mergeCell ref="B105:C105"/>
    <mergeCell ref="D105:H105"/>
    <mergeCell ref="I105:P105"/>
    <mergeCell ref="Q105:X105"/>
    <mergeCell ref="Y105:Z105"/>
    <mergeCell ref="AA105:AD105"/>
    <mergeCell ref="AE105:AG105"/>
    <mergeCell ref="AH106:AJ106"/>
    <mergeCell ref="AK106:AN106"/>
    <mergeCell ref="AO106:AV106"/>
    <mergeCell ref="AW106:AY106"/>
    <mergeCell ref="AZ106:BO106"/>
    <mergeCell ref="B106:C106"/>
    <mergeCell ref="D106:H106"/>
    <mergeCell ref="I106:P106"/>
    <mergeCell ref="Q106:X106"/>
    <mergeCell ref="Y106:Z106"/>
    <mergeCell ref="AA106:AD106"/>
    <mergeCell ref="AE106:AG106"/>
    <mergeCell ref="AH107:AJ107"/>
    <mergeCell ref="AK107:AN107"/>
    <mergeCell ref="AO107:AV107"/>
    <mergeCell ref="AW107:AY107"/>
    <mergeCell ref="AZ107:BO107"/>
    <mergeCell ref="B107:C107"/>
    <mergeCell ref="D107:H107"/>
    <mergeCell ref="I107:P107"/>
    <mergeCell ref="Q107:X107"/>
    <mergeCell ref="Y107:Z107"/>
    <mergeCell ref="AA107:AD107"/>
    <mergeCell ref="AE107:AG107"/>
    <mergeCell ref="AH108:AJ108"/>
    <mergeCell ref="AK108:AN108"/>
    <mergeCell ref="AO108:AV108"/>
    <mergeCell ref="AW108:AY108"/>
    <mergeCell ref="AZ108:BO108"/>
    <mergeCell ref="B108:C108"/>
    <mergeCell ref="D108:H108"/>
    <mergeCell ref="I108:P108"/>
    <mergeCell ref="Q108:X108"/>
    <mergeCell ref="Y108:Z108"/>
    <mergeCell ref="AA108:AD108"/>
    <mergeCell ref="AE108:AG108"/>
    <mergeCell ref="AH109:AJ109"/>
    <mergeCell ref="AK109:AN109"/>
    <mergeCell ref="AO109:AV109"/>
    <mergeCell ref="AW109:AY109"/>
    <mergeCell ref="AZ109:BO109"/>
    <mergeCell ref="B109:C109"/>
    <mergeCell ref="D109:H109"/>
    <mergeCell ref="I109:P109"/>
    <mergeCell ref="Q109:X109"/>
    <mergeCell ref="Y109:Z109"/>
    <mergeCell ref="AA109:AD109"/>
    <mergeCell ref="AE109:AG109"/>
    <mergeCell ref="AH110:AJ110"/>
    <mergeCell ref="AK110:AN110"/>
    <mergeCell ref="AO110:AV110"/>
    <mergeCell ref="AW110:AY110"/>
    <mergeCell ref="AZ110:BO110"/>
    <mergeCell ref="B110:C110"/>
    <mergeCell ref="D110:H110"/>
    <mergeCell ref="I110:P110"/>
    <mergeCell ref="Q110:X110"/>
    <mergeCell ref="Y110:Z110"/>
    <mergeCell ref="AA110:AD110"/>
    <mergeCell ref="AE110:AG110"/>
    <mergeCell ref="AH111:AJ111"/>
    <mergeCell ref="AK111:AN111"/>
    <mergeCell ref="AO111:AV111"/>
    <mergeCell ref="AW111:AY111"/>
    <mergeCell ref="AZ111:BO111"/>
    <mergeCell ref="B111:C111"/>
    <mergeCell ref="D111:H111"/>
    <mergeCell ref="I111:P111"/>
    <mergeCell ref="Q111:X111"/>
    <mergeCell ref="Y111:Z111"/>
    <mergeCell ref="AA111:AD111"/>
    <mergeCell ref="AE111:AG111"/>
    <mergeCell ref="AH112:AJ112"/>
    <mergeCell ref="AK112:AN112"/>
    <mergeCell ref="AO112:AV112"/>
    <mergeCell ref="AW112:AY112"/>
    <mergeCell ref="AZ112:BO112"/>
    <mergeCell ref="B112:C112"/>
    <mergeCell ref="D112:H112"/>
    <mergeCell ref="I112:P112"/>
    <mergeCell ref="Q112:X112"/>
    <mergeCell ref="Y112:Z112"/>
    <mergeCell ref="AA112:AD112"/>
    <mergeCell ref="AE112:AG112"/>
    <mergeCell ref="AH113:AJ113"/>
    <mergeCell ref="AK113:AN113"/>
    <mergeCell ref="AO113:AV113"/>
    <mergeCell ref="AW113:AY113"/>
    <mergeCell ref="AZ113:BO113"/>
    <mergeCell ref="B113:C113"/>
    <mergeCell ref="D113:H113"/>
    <mergeCell ref="I113:P113"/>
    <mergeCell ref="Q113:X113"/>
    <mergeCell ref="Y113:Z113"/>
    <mergeCell ref="AA113:AD113"/>
    <mergeCell ref="AE113:AG113"/>
    <mergeCell ref="AH114:AJ114"/>
    <mergeCell ref="AK114:AN114"/>
    <mergeCell ref="AO114:AV114"/>
    <mergeCell ref="AW114:AY114"/>
    <mergeCell ref="AZ114:BO114"/>
    <mergeCell ref="B114:C114"/>
    <mergeCell ref="D114:H114"/>
    <mergeCell ref="I114:P114"/>
    <mergeCell ref="Q114:X114"/>
    <mergeCell ref="Y114:Z114"/>
    <mergeCell ref="AA114:AD114"/>
    <mergeCell ref="AE114:AG114"/>
    <mergeCell ref="AH115:AJ115"/>
    <mergeCell ref="AK115:AN115"/>
    <mergeCell ref="AO115:AV115"/>
    <mergeCell ref="AW115:AY115"/>
    <mergeCell ref="AZ115:BO115"/>
    <mergeCell ref="B115:C115"/>
    <mergeCell ref="D115:H115"/>
    <mergeCell ref="I115:P115"/>
    <mergeCell ref="Q115:X115"/>
    <mergeCell ref="Y115:Z115"/>
    <mergeCell ref="AA115:AD115"/>
    <mergeCell ref="AE115:AG115"/>
    <mergeCell ref="AH116:AJ116"/>
    <mergeCell ref="AK116:AN116"/>
    <mergeCell ref="AO116:AV116"/>
    <mergeCell ref="AW116:AY116"/>
    <mergeCell ref="AZ116:BO116"/>
    <mergeCell ref="B116:C116"/>
    <mergeCell ref="D116:H116"/>
    <mergeCell ref="I116:P116"/>
    <mergeCell ref="Q116:X116"/>
    <mergeCell ref="Y116:Z116"/>
    <mergeCell ref="AA116:AD116"/>
    <mergeCell ref="AE116:AG116"/>
    <mergeCell ref="AH117:AJ117"/>
    <mergeCell ref="AK117:AN117"/>
    <mergeCell ref="AO117:AV117"/>
    <mergeCell ref="AW117:AY117"/>
    <mergeCell ref="AZ117:BO117"/>
    <mergeCell ref="B117:C117"/>
    <mergeCell ref="D117:H117"/>
    <mergeCell ref="I117:P117"/>
    <mergeCell ref="Q117:X117"/>
    <mergeCell ref="Y117:Z117"/>
    <mergeCell ref="AA117:AD117"/>
    <mergeCell ref="AE117:AG117"/>
    <mergeCell ref="AH118:AJ118"/>
    <mergeCell ref="AK118:AN118"/>
    <mergeCell ref="AO118:AV118"/>
    <mergeCell ref="AW118:AY118"/>
    <mergeCell ref="AZ118:BO118"/>
    <mergeCell ref="B118:C118"/>
    <mergeCell ref="D118:H118"/>
    <mergeCell ref="I118:P118"/>
    <mergeCell ref="Q118:X118"/>
    <mergeCell ref="Y118:Z118"/>
    <mergeCell ref="AA118:AD118"/>
    <mergeCell ref="AE118:AG118"/>
    <mergeCell ref="AH119:AJ119"/>
    <mergeCell ref="AK119:AN119"/>
    <mergeCell ref="AO119:AV119"/>
    <mergeCell ref="AW119:AY119"/>
    <mergeCell ref="AZ119:BO119"/>
    <mergeCell ref="B119:C119"/>
    <mergeCell ref="D119:H119"/>
    <mergeCell ref="I119:P119"/>
    <mergeCell ref="Q119:X119"/>
    <mergeCell ref="Y119:Z119"/>
    <mergeCell ref="AA119:AD119"/>
    <mergeCell ref="AE119:AG119"/>
    <mergeCell ref="AH120:AJ120"/>
    <mergeCell ref="AK120:AN120"/>
    <mergeCell ref="AO120:AV120"/>
    <mergeCell ref="AW120:AY120"/>
    <mergeCell ref="AZ120:BO120"/>
    <mergeCell ref="B120:C120"/>
    <mergeCell ref="D120:H120"/>
    <mergeCell ref="I120:P120"/>
    <mergeCell ref="Q120:X120"/>
    <mergeCell ref="Y120:Z120"/>
    <mergeCell ref="AA120:AD120"/>
    <mergeCell ref="AE120:AG120"/>
    <mergeCell ref="AH121:AJ121"/>
    <mergeCell ref="AK121:AN121"/>
    <mergeCell ref="AO121:AV121"/>
    <mergeCell ref="AW121:AY121"/>
    <mergeCell ref="AZ121:BO121"/>
    <mergeCell ref="B121:C121"/>
    <mergeCell ref="D121:H121"/>
    <mergeCell ref="I121:P121"/>
    <mergeCell ref="Q121:X121"/>
    <mergeCell ref="Y121:Z121"/>
    <mergeCell ref="AA121:AD121"/>
    <mergeCell ref="AE121:AG121"/>
    <mergeCell ref="AH122:AJ122"/>
    <mergeCell ref="AK122:AN122"/>
    <mergeCell ref="AO122:AV122"/>
    <mergeCell ref="AW122:AY122"/>
    <mergeCell ref="AZ122:BO122"/>
    <mergeCell ref="B122:C122"/>
    <mergeCell ref="D122:H122"/>
    <mergeCell ref="I122:P122"/>
    <mergeCell ref="Q122:X122"/>
    <mergeCell ref="Y122:Z122"/>
    <mergeCell ref="AA122:AD122"/>
    <mergeCell ref="AE122:AG122"/>
    <mergeCell ref="AH123:AJ123"/>
    <mergeCell ref="AK123:AN123"/>
    <mergeCell ref="AO123:AV123"/>
    <mergeCell ref="AW123:AY123"/>
    <mergeCell ref="AZ123:BO123"/>
    <mergeCell ref="B123:C123"/>
    <mergeCell ref="D123:H123"/>
    <mergeCell ref="I123:P123"/>
    <mergeCell ref="Q123:X123"/>
    <mergeCell ref="Y123:Z123"/>
    <mergeCell ref="AA123:AD123"/>
    <mergeCell ref="AE123:AG123"/>
    <mergeCell ref="AH124:AJ124"/>
    <mergeCell ref="AK124:AN124"/>
    <mergeCell ref="AO124:AV124"/>
    <mergeCell ref="AW124:AY124"/>
    <mergeCell ref="AZ124:BO124"/>
    <mergeCell ref="B124:C124"/>
    <mergeCell ref="D124:H124"/>
    <mergeCell ref="I124:P124"/>
    <mergeCell ref="Q124:X124"/>
    <mergeCell ref="Y124:Z124"/>
    <mergeCell ref="AA124:AD124"/>
    <mergeCell ref="AE124:AG124"/>
    <mergeCell ref="AH125:AJ125"/>
    <mergeCell ref="AK125:AN125"/>
    <mergeCell ref="AO125:AV125"/>
    <mergeCell ref="AW125:AY125"/>
    <mergeCell ref="AZ125:BO125"/>
    <mergeCell ref="B125:C125"/>
    <mergeCell ref="D125:H125"/>
    <mergeCell ref="I125:P125"/>
    <mergeCell ref="Q125:X125"/>
    <mergeCell ref="Y125:Z125"/>
    <mergeCell ref="AA125:AD125"/>
    <mergeCell ref="AE125:AG125"/>
    <mergeCell ref="AH126:AJ126"/>
    <mergeCell ref="AK126:AN126"/>
    <mergeCell ref="AO126:AV126"/>
    <mergeCell ref="AW126:AY126"/>
    <mergeCell ref="AZ126:BO126"/>
    <mergeCell ref="B126:C126"/>
    <mergeCell ref="D126:H126"/>
    <mergeCell ref="I126:P126"/>
    <mergeCell ref="Q126:X126"/>
    <mergeCell ref="Y126:Z126"/>
    <mergeCell ref="AA126:AD126"/>
    <mergeCell ref="AE126:AG126"/>
    <mergeCell ref="AH127:AJ127"/>
    <mergeCell ref="AK127:AN127"/>
    <mergeCell ref="AO127:AV127"/>
    <mergeCell ref="AW127:AY127"/>
    <mergeCell ref="AZ127:BO127"/>
    <mergeCell ref="B127:C127"/>
    <mergeCell ref="D127:H127"/>
    <mergeCell ref="I127:P127"/>
    <mergeCell ref="Q127:X127"/>
    <mergeCell ref="Y127:Z127"/>
    <mergeCell ref="AA127:AD127"/>
    <mergeCell ref="AE127:AG127"/>
    <mergeCell ref="AH128:AJ128"/>
    <mergeCell ref="AK128:AN128"/>
    <mergeCell ref="AO128:AV128"/>
    <mergeCell ref="AW128:AY128"/>
    <mergeCell ref="AZ128:BO128"/>
    <mergeCell ref="B128:C128"/>
    <mergeCell ref="D128:H128"/>
    <mergeCell ref="I128:P128"/>
    <mergeCell ref="Q128:X128"/>
    <mergeCell ref="Y128:Z128"/>
    <mergeCell ref="AA128:AD128"/>
    <mergeCell ref="AE128:AG128"/>
    <mergeCell ref="AH129:AJ129"/>
    <mergeCell ref="AK129:AN129"/>
    <mergeCell ref="AO129:AV129"/>
    <mergeCell ref="AW129:AY129"/>
    <mergeCell ref="AZ129:BO129"/>
    <mergeCell ref="B129:C129"/>
    <mergeCell ref="D129:H129"/>
    <mergeCell ref="I129:P129"/>
    <mergeCell ref="Q129:X129"/>
    <mergeCell ref="Y129:Z129"/>
    <mergeCell ref="AA129:AD129"/>
    <mergeCell ref="AE129:AG129"/>
    <mergeCell ref="AH130:AJ130"/>
    <mergeCell ref="AK130:AN130"/>
    <mergeCell ref="AO130:AV130"/>
    <mergeCell ref="AW130:AY130"/>
    <mergeCell ref="AZ130:BO130"/>
    <mergeCell ref="B130:C130"/>
    <mergeCell ref="D130:H130"/>
    <mergeCell ref="I130:P130"/>
    <mergeCell ref="Q130:X130"/>
    <mergeCell ref="Y130:Z130"/>
    <mergeCell ref="AA130:AD130"/>
    <mergeCell ref="AE130:AG130"/>
    <mergeCell ref="AH131:AJ131"/>
    <mergeCell ref="AK131:AN131"/>
    <mergeCell ref="AO131:AV131"/>
    <mergeCell ref="AW131:AY131"/>
    <mergeCell ref="AZ131:BO131"/>
    <mergeCell ref="B131:C131"/>
    <mergeCell ref="D131:H131"/>
    <mergeCell ref="I131:P131"/>
    <mergeCell ref="Q131:X131"/>
    <mergeCell ref="Y131:Z131"/>
    <mergeCell ref="AA131:AD131"/>
    <mergeCell ref="AE131:AG131"/>
    <mergeCell ref="AH132:AJ132"/>
    <mergeCell ref="AK132:AN132"/>
    <mergeCell ref="AO132:AV132"/>
    <mergeCell ref="AW132:AY132"/>
    <mergeCell ref="AZ132:BO132"/>
    <mergeCell ref="B132:C132"/>
    <mergeCell ref="D132:H132"/>
    <mergeCell ref="I132:P132"/>
    <mergeCell ref="Q132:X132"/>
    <mergeCell ref="Y132:Z132"/>
    <mergeCell ref="AA132:AD132"/>
    <mergeCell ref="AE132:AG132"/>
    <mergeCell ref="AH133:AJ133"/>
    <mergeCell ref="AK133:AN133"/>
    <mergeCell ref="AO133:AV133"/>
    <mergeCell ref="AW133:AY133"/>
    <mergeCell ref="AZ133:BO133"/>
    <mergeCell ref="B133:C133"/>
    <mergeCell ref="D133:H133"/>
    <mergeCell ref="I133:P133"/>
    <mergeCell ref="Q133:X133"/>
    <mergeCell ref="Y133:Z133"/>
    <mergeCell ref="AA133:AD133"/>
    <mergeCell ref="AE133:AG133"/>
    <mergeCell ref="AH134:AJ134"/>
    <mergeCell ref="AK134:AN134"/>
    <mergeCell ref="AO134:AV134"/>
    <mergeCell ref="AW134:AY134"/>
    <mergeCell ref="AZ134:BO134"/>
    <mergeCell ref="B134:C134"/>
    <mergeCell ref="D134:H134"/>
    <mergeCell ref="I134:P134"/>
    <mergeCell ref="Q134:X134"/>
    <mergeCell ref="Y134:Z134"/>
    <mergeCell ref="AA134:AD134"/>
    <mergeCell ref="AE134:AG134"/>
    <mergeCell ref="AH135:AJ135"/>
    <mergeCell ref="AK135:AN135"/>
    <mergeCell ref="AO135:AV135"/>
    <mergeCell ref="AW135:AY135"/>
    <mergeCell ref="AZ135:BO135"/>
    <mergeCell ref="B135:C135"/>
    <mergeCell ref="D135:H135"/>
    <mergeCell ref="I135:P135"/>
    <mergeCell ref="Q135:X135"/>
    <mergeCell ref="Y135:Z135"/>
    <mergeCell ref="AA135:AD135"/>
    <mergeCell ref="AE135:AG135"/>
    <mergeCell ref="AH136:AJ136"/>
    <mergeCell ref="AK136:AN136"/>
    <mergeCell ref="AO136:AV136"/>
    <mergeCell ref="AW136:AY136"/>
    <mergeCell ref="AZ136:BO136"/>
    <mergeCell ref="B136:C136"/>
    <mergeCell ref="D136:H136"/>
    <mergeCell ref="I136:P136"/>
    <mergeCell ref="Q136:X136"/>
    <mergeCell ref="Y136:Z136"/>
    <mergeCell ref="AA136:AD136"/>
    <mergeCell ref="AE136:AG136"/>
    <mergeCell ref="AH137:AJ137"/>
    <mergeCell ref="AK137:AN137"/>
    <mergeCell ref="AO137:AV137"/>
    <mergeCell ref="AW137:AY137"/>
    <mergeCell ref="AZ137:BO137"/>
    <mergeCell ref="B137:C137"/>
    <mergeCell ref="D137:H137"/>
    <mergeCell ref="I137:P137"/>
    <mergeCell ref="Q137:X137"/>
    <mergeCell ref="Y137:Z137"/>
    <mergeCell ref="AA137:AD137"/>
    <mergeCell ref="AE137:AG137"/>
    <mergeCell ref="AH138:AJ138"/>
    <mergeCell ref="AK138:AN138"/>
    <mergeCell ref="AO138:AV138"/>
    <mergeCell ref="AW138:AY138"/>
    <mergeCell ref="AZ138:BO138"/>
    <mergeCell ref="B138:C138"/>
    <mergeCell ref="D138:H138"/>
    <mergeCell ref="I138:P138"/>
    <mergeCell ref="Q138:X138"/>
    <mergeCell ref="Y138:Z138"/>
    <mergeCell ref="AA138:AD138"/>
    <mergeCell ref="AE138:AG138"/>
    <mergeCell ref="AH139:AJ139"/>
    <mergeCell ref="AK139:AN139"/>
    <mergeCell ref="AO139:AV139"/>
    <mergeCell ref="AW139:AY139"/>
    <mergeCell ref="AZ139:BO139"/>
    <mergeCell ref="B139:C139"/>
    <mergeCell ref="D139:H139"/>
    <mergeCell ref="I139:P139"/>
    <mergeCell ref="Q139:X139"/>
    <mergeCell ref="Y139:Z139"/>
    <mergeCell ref="AA139:AD139"/>
    <mergeCell ref="AE139:AG139"/>
    <mergeCell ref="AH140:AJ140"/>
    <mergeCell ref="AK140:AN140"/>
    <mergeCell ref="AO140:AV140"/>
    <mergeCell ref="AW140:AY140"/>
    <mergeCell ref="AZ140:BO140"/>
    <mergeCell ref="B140:C140"/>
    <mergeCell ref="D140:H140"/>
    <mergeCell ref="I140:P140"/>
    <mergeCell ref="Q140:X140"/>
    <mergeCell ref="Y140:Z140"/>
    <mergeCell ref="AA140:AD140"/>
    <mergeCell ref="AE140:AG140"/>
    <mergeCell ref="AH141:AJ141"/>
    <mergeCell ref="AK141:AN141"/>
    <mergeCell ref="AO141:AV141"/>
    <mergeCell ref="AW141:AY141"/>
    <mergeCell ref="AZ141:BO141"/>
    <mergeCell ref="B141:C141"/>
    <mergeCell ref="D141:H141"/>
    <mergeCell ref="I141:P141"/>
    <mergeCell ref="Q141:X141"/>
    <mergeCell ref="Y141:Z141"/>
    <mergeCell ref="AA141:AD141"/>
    <mergeCell ref="AE141:AG141"/>
    <mergeCell ref="AH142:AJ142"/>
    <mergeCell ref="AK142:AN142"/>
    <mergeCell ref="AO142:AV142"/>
    <mergeCell ref="AW142:AY142"/>
    <mergeCell ref="AZ142:BO142"/>
    <mergeCell ref="B142:C142"/>
    <mergeCell ref="D142:H142"/>
    <mergeCell ref="I142:P142"/>
    <mergeCell ref="Q142:X142"/>
    <mergeCell ref="Y142:Z142"/>
    <mergeCell ref="AA142:AD142"/>
    <mergeCell ref="AE142:AG142"/>
    <mergeCell ref="AH143:AJ143"/>
    <mergeCell ref="AK143:AN143"/>
    <mergeCell ref="AO143:AV143"/>
    <mergeCell ref="AW143:AY143"/>
    <mergeCell ref="AZ143:BO143"/>
    <mergeCell ref="B143:C143"/>
    <mergeCell ref="D143:H143"/>
    <mergeCell ref="I143:P143"/>
    <mergeCell ref="Q143:X143"/>
    <mergeCell ref="Y143:Z143"/>
    <mergeCell ref="AA143:AD143"/>
    <mergeCell ref="AE143:AG143"/>
    <mergeCell ref="AH144:AJ144"/>
    <mergeCell ref="AK144:AN144"/>
    <mergeCell ref="AO144:AV144"/>
    <mergeCell ref="AW144:AY144"/>
    <mergeCell ref="AZ144:BO144"/>
    <mergeCell ref="B144:C144"/>
    <mergeCell ref="D144:H144"/>
    <mergeCell ref="I144:P144"/>
    <mergeCell ref="Q144:X144"/>
    <mergeCell ref="Y144:Z144"/>
    <mergeCell ref="AA144:AD144"/>
    <mergeCell ref="AE144:AG144"/>
    <mergeCell ref="AH145:AJ145"/>
    <mergeCell ref="AK145:AN145"/>
    <mergeCell ref="AO145:AV145"/>
    <mergeCell ref="AW145:AY145"/>
    <mergeCell ref="AZ145:BO145"/>
    <mergeCell ref="B145:C145"/>
    <mergeCell ref="D145:H145"/>
    <mergeCell ref="I145:P145"/>
    <mergeCell ref="Q145:X145"/>
    <mergeCell ref="Y145:Z145"/>
    <mergeCell ref="AA145:AD145"/>
    <mergeCell ref="AE145:AG145"/>
    <mergeCell ref="AH146:AJ146"/>
    <mergeCell ref="AK146:AN146"/>
    <mergeCell ref="AO146:AV146"/>
    <mergeCell ref="AW146:AY146"/>
    <mergeCell ref="AZ146:BO146"/>
    <mergeCell ref="B146:C146"/>
    <mergeCell ref="D146:H146"/>
    <mergeCell ref="I146:P146"/>
    <mergeCell ref="Q146:X146"/>
    <mergeCell ref="Y146:Z146"/>
    <mergeCell ref="AA146:AD146"/>
    <mergeCell ref="AE146:AG146"/>
    <mergeCell ref="AH147:AJ147"/>
    <mergeCell ref="AK147:AN147"/>
    <mergeCell ref="AO147:AV147"/>
    <mergeCell ref="AW147:AY147"/>
    <mergeCell ref="AZ147:BO147"/>
    <mergeCell ref="B147:C147"/>
    <mergeCell ref="D147:H147"/>
    <mergeCell ref="I147:P147"/>
    <mergeCell ref="Q147:X147"/>
    <mergeCell ref="Y147:Z147"/>
    <mergeCell ref="AA147:AD147"/>
    <mergeCell ref="AE147:AG147"/>
    <mergeCell ref="AH148:AJ148"/>
    <mergeCell ref="AK148:AN148"/>
    <mergeCell ref="AO148:AV148"/>
    <mergeCell ref="AW148:AY148"/>
    <mergeCell ref="AZ148:BO148"/>
    <mergeCell ref="B148:C148"/>
    <mergeCell ref="D148:H148"/>
    <mergeCell ref="I148:P148"/>
    <mergeCell ref="Q148:X148"/>
    <mergeCell ref="Y148:Z148"/>
    <mergeCell ref="AA148:AD148"/>
    <mergeCell ref="AE148:AG148"/>
    <mergeCell ref="AH149:AJ149"/>
    <mergeCell ref="AK149:AN149"/>
    <mergeCell ref="AO149:AV149"/>
    <mergeCell ref="AW149:AY149"/>
    <mergeCell ref="AZ149:BO149"/>
    <mergeCell ref="B149:C149"/>
    <mergeCell ref="D149:H149"/>
    <mergeCell ref="I149:P149"/>
    <mergeCell ref="Q149:X149"/>
    <mergeCell ref="Y149:Z149"/>
    <mergeCell ref="AA149:AD149"/>
    <mergeCell ref="AE149:AG149"/>
    <mergeCell ref="AH150:AJ150"/>
    <mergeCell ref="AK150:AN150"/>
    <mergeCell ref="AO150:AV150"/>
    <mergeCell ref="AW150:AY150"/>
    <mergeCell ref="AZ150:BO150"/>
    <mergeCell ref="B150:C150"/>
    <mergeCell ref="D150:H150"/>
    <mergeCell ref="I150:P150"/>
    <mergeCell ref="Q150:X150"/>
    <mergeCell ref="Y150:Z150"/>
    <mergeCell ref="AA150:AD150"/>
    <mergeCell ref="AE150:AG150"/>
    <mergeCell ref="AH151:AJ151"/>
    <mergeCell ref="AK151:AN151"/>
    <mergeCell ref="AO151:AV151"/>
    <mergeCell ref="AW151:AY151"/>
    <mergeCell ref="AZ151:BO151"/>
    <mergeCell ref="B151:C151"/>
    <mergeCell ref="D151:H151"/>
    <mergeCell ref="I151:P151"/>
    <mergeCell ref="Q151:X151"/>
    <mergeCell ref="Y151:Z151"/>
    <mergeCell ref="AA151:AD151"/>
    <mergeCell ref="AE151:AG151"/>
    <mergeCell ref="AH152:AJ152"/>
    <mergeCell ref="AK152:AN152"/>
    <mergeCell ref="AO152:AV152"/>
    <mergeCell ref="AW152:AY152"/>
    <mergeCell ref="AZ152:BO152"/>
    <mergeCell ref="B152:C152"/>
    <mergeCell ref="D152:H152"/>
    <mergeCell ref="I152:P152"/>
    <mergeCell ref="Q152:X152"/>
    <mergeCell ref="Y152:Z152"/>
    <mergeCell ref="AA152:AD152"/>
    <mergeCell ref="AE152:AG152"/>
    <mergeCell ref="AH153:AJ153"/>
    <mergeCell ref="AK153:AN153"/>
    <mergeCell ref="AO153:AV153"/>
    <mergeCell ref="AW153:AY153"/>
    <mergeCell ref="AZ153:BO153"/>
    <mergeCell ref="B153:C153"/>
    <mergeCell ref="D153:H153"/>
    <mergeCell ref="I153:P153"/>
    <mergeCell ref="Q153:X153"/>
    <mergeCell ref="Y153:Z153"/>
    <mergeCell ref="AA153:AD153"/>
    <mergeCell ref="AE153:AG153"/>
    <mergeCell ref="AH154:AJ154"/>
    <mergeCell ref="AK154:AN154"/>
    <mergeCell ref="AO154:AV154"/>
    <mergeCell ref="AW154:AY154"/>
    <mergeCell ref="AZ154:BO154"/>
    <mergeCell ref="B154:C154"/>
    <mergeCell ref="D154:H154"/>
    <mergeCell ref="I154:P154"/>
    <mergeCell ref="Q154:X154"/>
    <mergeCell ref="Y154:Z154"/>
    <mergeCell ref="AA154:AD154"/>
    <mergeCell ref="AE154:AG154"/>
    <mergeCell ref="AH155:AJ155"/>
    <mergeCell ref="AK155:AN155"/>
    <mergeCell ref="AO155:AV155"/>
    <mergeCell ref="AW155:AY155"/>
    <mergeCell ref="AZ155:BO155"/>
    <mergeCell ref="B155:C155"/>
    <mergeCell ref="D155:H155"/>
    <mergeCell ref="I155:P155"/>
    <mergeCell ref="Q155:X155"/>
    <mergeCell ref="Y155:Z155"/>
    <mergeCell ref="AA155:AD155"/>
    <mergeCell ref="AE155:AG155"/>
    <mergeCell ref="AH156:AJ156"/>
    <mergeCell ref="AK156:AN156"/>
    <mergeCell ref="AO156:AV156"/>
    <mergeCell ref="AW156:AY156"/>
    <mergeCell ref="AZ156:BO156"/>
    <mergeCell ref="B156:C156"/>
    <mergeCell ref="D156:H156"/>
    <mergeCell ref="I156:P156"/>
    <mergeCell ref="Q156:X156"/>
    <mergeCell ref="Y156:Z156"/>
    <mergeCell ref="AA156:AD156"/>
    <mergeCell ref="AE156:AG156"/>
    <mergeCell ref="AH157:AJ157"/>
    <mergeCell ref="AK157:AN157"/>
    <mergeCell ref="AO157:AV157"/>
    <mergeCell ref="AW157:AY157"/>
    <mergeCell ref="AZ157:BO157"/>
    <mergeCell ref="B157:C157"/>
    <mergeCell ref="D157:H157"/>
    <mergeCell ref="I157:P157"/>
    <mergeCell ref="Q157:X157"/>
    <mergeCell ref="Y157:Z157"/>
    <mergeCell ref="AA157:AD157"/>
    <mergeCell ref="AE157:AG157"/>
    <mergeCell ref="AH158:AJ158"/>
    <mergeCell ref="AK158:AN158"/>
    <mergeCell ref="AO158:AV158"/>
    <mergeCell ref="AW158:AY158"/>
    <mergeCell ref="AZ158:BO158"/>
    <mergeCell ref="B158:C158"/>
    <mergeCell ref="D158:H158"/>
    <mergeCell ref="I158:P158"/>
    <mergeCell ref="Q158:X158"/>
    <mergeCell ref="Y158:Z158"/>
    <mergeCell ref="AA158:AD158"/>
    <mergeCell ref="AE158:AG158"/>
    <mergeCell ref="AH159:AJ159"/>
    <mergeCell ref="AK159:AN159"/>
    <mergeCell ref="AO159:AV159"/>
    <mergeCell ref="AW159:AY159"/>
    <mergeCell ref="AZ159:BO159"/>
    <mergeCell ref="B159:C159"/>
    <mergeCell ref="D159:H159"/>
    <mergeCell ref="I159:P159"/>
    <mergeCell ref="Q159:X159"/>
    <mergeCell ref="Y159:Z159"/>
    <mergeCell ref="AA159:AD159"/>
    <mergeCell ref="AE159:AG159"/>
    <mergeCell ref="AH160:AJ160"/>
    <mergeCell ref="AK160:AN160"/>
    <mergeCell ref="AO160:AV160"/>
    <mergeCell ref="AW160:AY160"/>
    <mergeCell ref="AZ160:BO160"/>
    <mergeCell ref="B160:C160"/>
    <mergeCell ref="D160:H160"/>
    <mergeCell ref="I160:P160"/>
    <mergeCell ref="Q160:X160"/>
    <mergeCell ref="Y160:Z160"/>
    <mergeCell ref="AA160:AD160"/>
    <mergeCell ref="AE160:AG160"/>
    <mergeCell ref="AH161:AJ161"/>
    <mergeCell ref="AK161:AN161"/>
    <mergeCell ref="AO161:AV161"/>
    <mergeCell ref="AW161:AY161"/>
    <mergeCell ref="AZ161:BO161"/>
    <mergeCell ref="B161:C161"/>
    <mergeCell ref="D161:H161"/>
    <mergeCell ref="I161:P161"/>
    <mergeCell ref="Q161:X161"/>
    <mergeCell ref="Y161:Z161"/>
    <mergeCell ref="AA161:AD161"/>
    <mergeCell ref="AE161:AG161"/>
    <mergeCell ref="AH162:AJ162"/>
    <mergeCell ref="AK162:AN162"/>
    <mergeCell ref="AO162:AV162"/>
    <mergeCell ref="AW162:AY162"/>
    <mergeCell ref="AZ162:BO162"/>
    <mergeCell ref="B162:C162"/>
    <mergeCell ref="D162:H162"/>
    <mergeCell ref="I162:P162"/>
    <mergeCell ref="Q162:X162"/>
    <mergeCell ref="Y162:Z162"/>
    <mergeCell ref="AA162:AD162"/>
    <mergeCell ref="AE162:AG162"/>
    <mergeCell ref="AH163:AJ163"/>
    <mergeCell ref="AK163:AN163"/>
    <mergeCell ref="AO163:AV163"/>
    <mergeCell ref="AW163:AY163"/>
    <mergeCell ref="AZ163:BO163"/>
    <mergeCell ref="B163:C163"/>
    <mergeCell ref="D163:H163"/>
    <mergeCell ref="I163:P163"/>
    <mergeCell ref="Q163:X163"/>
    <mergeCell ref="Y163:Z163"/>
    <mergeCell ref="AA163:AD163"/>
    <mergeCell ref="AE163:AG163"/>
    <mergeCell ref="AH164:AJ164"/>
    <mergeCell ref="AK164:AN164"/>
    <mergeCell ref="AO164:AV164"/>
    <mergeCell ref="AW164:AY164"/>
    <mergeCell ref="AZ164:BO164"/>
    <mergeCell ref="B164:C164"/>
    <mergeCell ref="D164:H164"/>
    <mergeCell ref="I164:P164"/>
    <mergeCell ref="Q164:X164"/>
    <mergeCell ref="Y164:Z164"/>
    <mergeCell ref="AA164:AD164"/>
    <mergeCell ref="AE164:AG164"/>
    <mergeCell ref="AH165:AJ165"/>
    <mergeCell ref="AK165:AN165"/>
    <mergeCell ref="AO165:AV165"/>
    <mergeCell ref="AW165:AY165"/>
    <mergeCell ref="AZ165:BO165"/>
    <mergeCell ref="B165:C165"/>
    <mergeCell ref="D165:H165"/>
    <mergeCell ref="I165:P165"/>
    <mergeCell ref="Q165:X165"/>
    <mergeCell ref="Y165:Z165"/>
    <mergeCell ref="AA165:AD165"/>
    <mergeCell ref="AE165:AG165"/>
    <mergeCell ref="AH166:AJ166"/>
    <mergeCell ref="AK166:AN166"/>
    <mergeCell ref="AO166:AV166"/>
    <mergeCell ref="AW166:AY166"/>
    <mergeCell ref="AZ166:BO166"/>
    <mergeCell ref="B166:C166"/>
    <mergeCell ref="D166:H166"/>
    <mergeCell ref="I166:P166"/>
    <mergeCell ref="Q166:X166"/>
    <mergeCell ref="Y166:Z166"/>
    <mergeCell ref="AA166:AD166"/>
    <mergeCell ref="AE166:AG166"/>
    <mergeCell ref="AH167:AJ167"/>
    <mergeCell ref="AK167:AN167"/>
    <mergeCell ref="AO167:AV167"/>
    <mergeCell ref="AW167:AY167"/>
    <mergeCell ref="AZ167:BO167"/>
    <mergeCell ref="B167:C167"/>
    <mergeCell ref="D167:H167"/>
    <mergeCell ref="I167:P167"/>
    <mergeCell ref="Q167:X167"/>
    <mergeCell ref="Y167:Z167"/>
    <mergeCell ref="AA167:AD167"/>
    <mergeCell ref="AE167:AG167"/>
    <mergeCell ref="AH168:AJ168"/>
    <mergeCell ref="AK168:AN168"/>
    <mergeCell ref="AO168:AV168"/>
    <mergeCell ref="AW168:AY168"/>
    <mergeCell ref="AZ168:BO168"/>
    <mergeCell ref="B168:C168"/>
    <mergeCell ref="D168:H168"/>
    <mergeCell ref="I168:P168"/>
    <mergeCell ref="Q168:X168"/>
    <mergeCell ref="Y168:Z168"/>
    <mergeCell ref="AA168:AD168"/>
    <mergeCell ref="AE168:AG168"/>
    <mergeCell ref="AH169:AJ169"/>
    <mergeCell ref="AK169:AN169"/>
    <mergeCell ref="AO169:AV169"/>
    <mergeCell ref="AW169:AY169"/>
    <mergeCell ref="AZ169:BO169"/>
    <mergeCell ref="B169:C169"/>
    <mergeCell ref="D169:H169"/>
    <mergeCell ref="I169:P169"/>
    <mergeCell ref="Q169:X169"/>
    <mergeCell ref="Y169:Z169"/>
    <mergeCell ref="AA169:AD169"/>
    <mergeCell ref="AE169:AG169"/>
    <mergeCell ref="AH170:AJ170"/>
    <mergeCell ref="AK170:AN170"/>
    <mergeCell ref="AO170:AV170"/>
    <mergeCell ref="AW170:AY170"/>
    <mergeCell ref="AZ170:BO170"/>
    <mergeCell ref="B170:C170"/>
    <mergeCell ref="D170:H170"/>
    <mergeCell ref="I170:P170"/>
    <mergeCell ref="Q170:X170"/>
    <mergeCell ref="Y170:Z170"/>
    <mergeCell ref="AA170:AD170"/>
    <mergeCell ref="AE170:AG170"/>
    <mergeCell ref="AH171:AJ171"/>
    <mergeCell ref="AK171:AN171"/>
    <mergeCell ref="AO171:AV171"/>
    <mergeCell ref="AW171:AY171"/>
    <mergeCell ref="AZ171:BO171"/>
    <mergeCell ref="B171:C171"/>
    <mergeCell ref="D171:H171"/>
    <mergeCell ref="I171:P171"/>
    <mergeCell ref="Q171:X171"/>
    <mergeCell ref="Y171:Z171"/>
    <mergeCell ref="AA171:AD171"/>
    <mergeCell ref="AE171:AG171"/>
    <mergeCell ref="AH172:AJ172"/>
    <mergeCell ref="AK172:AN172"/>
    <mergeCell ref="AO172:AV172"/>
    <mergeCell ref="AW172:AY172"/>
    <mergeCell ref="AZ172:BO172"/>
    <mergeCell ref="B172:C172"/>
    <mergeCell ref="D172:H172"/>
    <mergeCell ref="I172:P172"/>
    <mergeCell ref="Q172:X172"/>
    <mergeCell ref="Y172:Z172"/>
    <mergeCell ref="AA172:AD172"/>
    <mergeCell ref="AE172:AG172"/>
    <mergeCell ref="AH173:AJ173"/>
    <mergeCell ref="AK173:AN173"/>
    <mergeCell ref="AO173:AV173"/>
    <mergeCell ref="AW173:AY173"/>
    <mergeCell ref="AZ173:BO173"/>
    <mergeCell ref="B173:C173"/>
    <mergeCell ref="D173:H173"/>
    <mergeCell ref="I173:P173"/>
    <mergeCell ref="Q173:X173"/>
    <mergeCell ref="Y173:Z173"/>
    <mergeCell ref="AA173:AD173"/>
    <mergeCell ref="AE173:AG173"/>
    <mergeCell ref="AH174:AJ174"/>
    <mergeCell ref="AK174:AN174"/>
    <mergeCell ref="AO174:AV174"/>
    <mergeCell ref="AW174:AY174"/>
    <mergeCell ref="AZ174:BO174"/>
    <mergeCell ref="B174:C174"/>
    <mergeCell ref="D174:H174"/>
    <mergeCell ref="I174:P174"/>
    <mergeCell ref="Q174:X174"/>
    <mergeCell ref="Y174:Z174"/>
    <mergeCell ref="AA174:AD174"/>
    <mergeCell ref="AE174:AG174"/>
    <mergeCell ref="AH175:AJ175"/>
    <mergeCell ref="AK175:AN175"/>
    <mergeCell ref="AO175:AV175"/>
    <mergeCell ref="AW175:AY175"/>
    <mergeCell ref="AZ175:BO175"/>
    <mergeCell ref="B175:C175"/>
    <mergeCell ref="D175:H175"/>
    <mergeCell ref="I175:P175"/>
    <mergeCell ref="Q175:X175"/>
    <mergeCell ref="Y175:Z175"/>
    <mergeCell ref="AA175:AD175"/>
    <mergeCell ref="AE175:AG175"/>
    <mergeCell ref="AH176:AJ176"/>
    <mergeCell ref="AK176:AN176"/>
    <mergeCell ref="AO176:AV176"/>
    <mergeCell ref="AW176:AY176"/>
    <mergeCell ref="AZ176:BO176"/>
    <mergeCell ref="B176:C176"/>
    <mergeCell ref="D176:H176"/>
    <mergeCell ref="I176:P176"/>
    <mergeCell ref="Q176:X176"/>
    <mergeCell ref="Y176:Z176"/>
    <mergeCell ref="AA176:AD176"/>
    <mergeCell ref="AE176:AG176"/>
    <mergeCell ref="AH177:AJ177"/>
    <mergeCell ref="AK177:AN177"/>
    <mergeCell ref="AO177:AV177"/>
    <mergeCell ref="AW177:AY177"/>
    <mergeCell ref="AZ177:BO177"/>
    <mergeCell ref="B177:C177"/>
    <mergeCell ref="D177:H177"/>
    <mergeCell ref="I177:P177"/>
    <mergeCell ref="Q177:X177"/>
    <mergeCell ref="Y177:Z177"/>
    <mergeCell ref="AA177:AD177"/>
    <mergeCell ref="AE177:AG177"/>
    <mergeCell ref="AH178:AJ178"/>
    <mergeCell ref="AK178:AN178"/>
    <mergeCell ref="AO178:AV178"/>
    <mergeCell ref="AW178:AY178"/>
    <mergeCell ref="AZ178:BO178"/>
    <mergeCell ref="B178:C178"/>
    <mergeCell ref="D178:H178"/>
    <mergeCell ref="I178:P178"/>
    <mergeCell ref="Q178:X178"/>
    <mergeCell ref="Y178:Z178"/>
    <mergeCell ref="AA178:AD178"/>
    <mergeCell ref="AE178:AG178"/>
    <mergeCell ref="AH179:AJ179"/>
    <mergeCell ref="AK179:AN179"/>
    <mergeCell ref="AO179:AV179"/>
    <mergeCell ref="AW179:AY179"/>
    <mergeCell ref="AZ179:BO179"/>
    <mergeCell ref="B179:C179"/>
    <mergeCell ref="D179:H179"/>
    <mergeCell ref="I179:P179"/>
    <mergeCell ref="Q179:X179"/>
    <mergeCell ref="Y179:Z179"/>
    <mergeCell ref="AA179:AD179"/>
    <mergeCell ref="AE179:AG179"/>
    <mergeCell ref="AH180:AJ180"/>
    <mergeCell ref="AK180:AN180"/>
    <mergeCell ref="AO180:AV180"/>
    <mergeCell ref="AW180:AY180"/>
    <mergeCell ref="AZ180:BO180"/>
    <mergeCell ref="B180:C180"/>
    <mergeCell ref="D180:H180"/>
    <mergeCell ref="I180:P180"/>
    <mergeCell ref="Q180:X180"/>
    <mergeCell ref="Y180:Z180"/>
    <mergeCell ref="AA180:AD180"/>
    <mergeCell ref="AE180:AG180"/>
    <mergeCell ref="AH181:AJ181"/>
    <mergeCell ref="AK181:AN181"/>
    <mergeCell ref="AO181:AV181"/>
    <mergeCell ref="AW181:AY181"/>
    <mergeCell ref="AZ181:BO181"/>
    <mergeCell ref="B181:C181"/>
    <mergeCell ref="D181:H181"/>
    <mergeCell ref="I181:P181"/>
    <mergeCell ref="Q181:X181"/>
    <mergeCell ref="Y181:Z181"/>
    <mergeCell ref="AA181:AD181"/>
    <mergeCell ref="AE181:AG181"/>
    <mergeCell ref="AH182:AJ182"/>
    <mergeCell ref="AK182:AN182"/>
    <mergeCell ref="AO182:AV182"/>
    <mergeCell ref="AW182:AY182"/>
    <mergeCell ref="AZ182:BO182"/>
    <mergeCell ref="B182:C182"/>
    <mergeCell ref="D182:H182"/>
    <mergeCell ref="I182:P182"/>
    <mergeCell ref="Q182:X182"/>
    <mergeCell ref="Y182:Z182"/>
    <mergeCell ref="AA182:AD182"/>
    <mergeCell ref="AE182:AG182"/>
    <mergeCell ref="AH183:AJ183"/>
    <mergeCell ref="AK183:AN183"/>
    <mergeCell ref="AO183:AV183"/>
    <mergeCell ref="AW183:AY183"/>
    <mergeCell ref="AZ183:BO183"/>
    <mergeCell ref="B183:C183"/>
    <mergeCell ref="D183:H183"/>
    <mergeCell ref="I183:P183"/>
    <mergeCell ref="Q183:X183"/>
    <mergeCell ref="Y183:Z183"/>
    <mergeCell ref="AA183:AD183"/>
    <mergeCell ref="AE183:AG183"/>
    <mergeCell ref="AH184:AJ184"/>
    <mergeCell ref="AK184:AN184"/>
    <mergeCell ref="AO184:AV184"/>
    <mergeCell ref="AW184:AY184"/>
    <mergeCell ref="AZ184:BO184"/>
    <mergeCell ref="B184:C184"/>
    <mergeCell ref="D184:H184"/>
    <mergeCell ref="I184:P184"/>
    <mergeCell ref="Q184:X184"/>
    <mergeCell ref="Y184:Z184"/>
    <mergeCell ref="AA184:AD184"/>
    <mergeCell ref="AE184:AG184"/>
    <mergeCell ref="AH185:AJ185"/>
    <mergeCell ref="AK185:AN185"/>
    <mergeCell ref="AO185:AV185"/>
    <mergeCell ref="AW185:AY185"/>
    <mergeCell ref="AZ185:BO185"/>
    <mergeCell ref="B185:C185"/>
    <mergeCell ref="D185:H185"/>
    <mergeCell ref="I185:P185"/>
    <mergeCell ref="Q185:X185"/>
    <mergeCell ref="Y185:Z185"/>
    <mergeCell ref="AA185:AD185"/>
    <mergeCell ref="AE185:AG185"/>
    <mergeCell ref="AH186:AJ186"/>
    <mergeCell ref="AK186:AN186"/>
    <mergeCell ref="AO186:AV186"/>
    <mergeCell ref="AW186:AY186"/>
    <mergeCell ref="AZ186:BO186"/>
    <mergeCell ref="B186:C186"/>
    <mergeCell ref="D186:H186"/>
    <mergeCell ref="I186:P186"/>
    <mergeCell ref="Q186:X186"/>
    <mergeCell ref="Y186:Z186"/>
    <mergeCell ref="AA186:AD186"/>
    <mergeCell ref="AE186:AG186"/>
    <mergeCell ref="AH187:AJ187"/>
    <mergeCell ref="AK187:AN187"/>
    <mergeCell ref="AO187:AV187"/>
    <mergeCell ref="AW187:AY187"/>
    <mergeCell ref="AZ187:BO187"/>
    <mergeCell ref="B187:C187"/>
    <mergeCell ref="D187:H187"/>
    <mergeCell ref="I187:P187"/>
    <mergeCell ref="Q187:X187"/>
    <mergeCell ref="Y187:Z187"/>
    <mergeCell ref="AA187:AD187"/>
    <mergeCell ref="AE187:AG187"/>
    <mergeCell ref="AH188:AJ188"/>
    <mergeCell ref="AK188:AN188"/>
    <mergeCell ref="AO188:AV188"/>
    <mergeCell ref="AW188:AY188"/>
    <mergeCell ref="AZ188:BO188"/>
    <mergeCell ref="B188:C188"/>
    <mergeCell ref="D188:H188"/>
    <mergeCell ref="I188:P188"/>
    <mergeCell ref="Q188:X188"/>
    <mergeCell ref="Y188:Z188"/>
    <mergeCell ref="AA188:AD188"/>
    <mergeCell ref="AE188:AG188"/>
    <mergeCell ref="AH189:AJ189"/>
    <mergeCell ref="AK189:AN189"/>
    <mergeCell ref="AO189:AV189"/>
    <mergeCell ref="AW189:AY189"/>
    <mergeCell ref="AZ189:BO189"/>
    <mergeCell ref="B189:C189"/>
    <mergeCell ref="D189:H189"/>
    <mergeCell ref="I189:P189"/>
    <mergeCell ref="Q189:X189"/>
    <mergeCell ref="Y189:Z189"/>
    <mergeCell ref="AA189:AD189"/>
    <mergeCell ref="AE189:AG189"/>
    <mergeCell ref="AH190:AJ190"/>
    <mergeCell ref="AK190:AN190"/>
    <mergeCell ref="AO190:AV190"/>
    <mergeCell ref="AW190:AY190"/>
    <mergeCell ref="AZ190:BO190"/>
    <mergeCell ref="B190:C190"/>
    <mergeCell ref="D190:H190"/>
    <mergeCell ref="I190:P190"/>
    <mergeCell ref="Q190:X190"/>
    <mergeCell ref="Y190:Z190"/>
    <mergeCell ref="AA190:AD190"/>
    <mergeCell ref="AE190:AG190"/>
    <mergeCell ref="AH191:AJ191"/>
    <mergeCell ref="AK191:AN191"/>
    <mergeCell ref="AO191:AV191"/>
    <mergeCell ref="AW191:AY191"/>
    <mergeCell ref="AZ191:BO191"/>
    <mergeCell ref="B191:C191"/>
    <mergeCell ref="D191:H191"/>
    <mergeCell ref="I191:P191"/>
    <mergeCell ref="Q191:X191"/>
    <mergeCell ref="Y191:Z191"/>
    <mergeCell ref="AA191:AD191"/>
    <mergeCell ref="AE191:AG191"/>
    <mergeCell ref="AH192:AJ192"/>
    <mergeCell ref="AK192:AN192"/>
    <mergeCell ref="AO192:AV192"/>
    <mergeCell ref="AW192:AY192"/>
    <mergeCell ref="AZ192:BO192"/>
    <mergeCell ref="B192:C192"/>
    <mergeCell ref="D192:H192"/>
    <mergeCell ref="I192:P192"/>
    <mergeCell ref="Q192:X192"/>
    <mergeCell ref="Y192:Z192"/>
    <mergeCell ref="AA192:AD192"/>
    <mergeCell ref="AE192:AG192"/>
    <mergeCell ref="AH193:AJ193"/>
    <mergeCell ref="AK193:AN193"/>
    <mergeCell ref="AO193:AV193"/>
    <mergeCell ref="AW193:AY193"/>
    <mergeCell ref="AZ193:BO193"/>
    <mergeCell ref="B193:C193"/>
    <mergeCell ref="D193:H193"/>
    <mergeCell ref="I193:P193"/>
    <mergeCell ref="Q193:X193"/>
    <mergeCell ref="Y193:Z193"/>
    <mergeCell ref="AA193:AD193"/>
    <mergeCell ref="AE193:AG193"/>
    <mergeCell ref="AH194:AJ194"/>
    <mergeCell ref="AK194:AN194"/>
    <mergeCell ref="AO194:AV194"/>
    <mergeCell ref="AW194:AY194"/>
    <mergeCell ref="AZ194:BO194"/>
    <mergeCell ref="B194:C194"/>
    <mergeCell ref="D194:H194"/>
    <mergeCell ref="I194:P194"/>
    <mergeCell ref="Q194:X194"/>
    <mergeCell ref="Y194:Z194"/>
    <mergeCell ref="AA194:AD194"/>
    <mergeCell ref="AE194:AG194"/>
    <mergeCell ref="AH195:AJ195"/>
    <mergeCell ref="AK195:AN195"/>
    <mergeCell ref="AO195:AV195"/>
    <mergeCell ref="AW195:AY195"/>
    <mergeCell ref="AZ195:BO195"/>
    <mergeCell ref="B195:C195"/>
    <mergeCell ref="D195:H195"/>
    <mergeCell ref="I195:P195"/>
    <mergeCell ref="Q195:X195"/>
    <mergeCell ref="Y195:Z195"/>
    <mergeCell ref="AA195:AD195"/>
    <mergeCell ref="AE195:AG195"/>
    <mergeCell ref="AH196:AJ196"/>
    <mergeCell ref="AK196:AN196"/>
    <mergeCell ref="AO196:AV196"/>
    <mergeCell ref="AW196:AY196"/>
    <mergeCell ref="AZ196:BO196"/>
    <mergeCell ref="B196:C196"/>
    <mergeCell ref="D196:H196"/>
    <mergeCell ref="I196:P196"/>
    <mergeCell ref="Q196:X196"/>
    <mergeCell ref="Y196:Z196"/>
    <mergeCell ref="AA196:AD196"/>
    <mergeCell ref="AE196:AG196"/>
    <mergeCell ref="AH197:AJ197"/>
    <mergeCell ref="AK197:AN197"/>
    <mergeCell ref="AO197:AV197"/>
    <mergeCell ref="AW197:AY197"/>
    <mergeCell ref="AZ197:BO197"/>
    <mergeCell ref="B197:C197"/>
    <mergeCell ref="D197:H197"/>
    <mergeCell ref="I197:P197"/>
    <mergeCell ref="Q197:X197"/>
    <mergeCell ref="Y197:Z197"/>
    <mergeCell ref="AA197:AD197"/>
    <mergeCell ref="AE197:AG197"/>
    <mergeCell ref="AH198:AJ198"/>
    <mergeCell ref="AK198:AN198"/>
    <mergeCell ref="AO198:AV198"/>
    <mergeCell ref="AW198:AY198"/>
    <mergeCell ref="AZ198:BO198"/>
    <mergeCell ref="B198:C198"/>
    <mergeCell ref="D198:H198"/>
    <mergeCell ref="I198:P198"/>
    <mergeCell ref="Q198:X198"/>
    <mergeCell ref="Y198:Z198"/>
    <mergeCell ref="AA198:AD198"/>
    <mergeCell ref="AE198:AG198"/>
    <mergeCell ref="AH199:AJ199"/>
    <mergeCell ref="AK199:AN199"/>
    <mergeCell ref="AO199:AV199"/>
    <mergeCell ref="AW199:AY199"/>
    <mergeCell ref="AZ199:BO199"/>
    <mergeCell ref="B199:C199"/>
    <mergeCell ref="D199:H199"/>
    <mergeCell ref="I199:P199"/>
    <mergeCell ref="Q199:X199"/>
    <mergeCell ref="Y199:Z199"/>
    <mergeCell ref="AA199:AD199"/>
    <mergeCell ref="AE199:AG199"/>
    <mergeCell ref="AH200:AJ200"/>
    <mergeCell ref="AK200:AN200"/>
    <mergeCell ref="AO200:AV200"/>
    <mergeCell ref="AW200:AY200"/>
    <mergeCell ref="AZ200:BO200"/>
    <mergeCell ref="B200:C200"/>
    <mergeCell ref="D200:H200"/>
    <mergeCell ref="I200:P200"/>
    <mergeCell ref="Q200:X200"/>
    <mergeCell ref="Y200:Z200"/>
    <mergeCell ref="AA200:AD200"/>
    <mergeCell ref="AE200:AG200"/>
    <mergeCell ref="AH201:AJ201"/>
    <mergeCell ref="AK201:AN201"/>
    <mergeCell ref="AO201:AV201"/>
    <mergeCell ref="AW201:AY201"/>
    <mergeCell ref="AZ201:BO201"/>
    <mergeCell ref="B201:C201"/>
    <mergeCell ref="D201:H201"/>
    <mergeCell ref="I201:P201"/>
    <mergeCell ref="Q201:X201"/>
    <mergeCell ref="Y201:Z201"/>
    <mergeCell ref="AA201:AD201"/>
    <mergeCell ref="AE201:AG201"/>
    <mergeCell ref="AH202:AJ202"/>
    <mergeCell ref="AK202:AN202"/>
    <mergeCell ref="AO202:AV202"/>
    <mergeCell ref="AW202:AY202"/>
    <mergeCell ref="AZ202:BO202"/>
    <mergeCell ref="B202:C202"/>
    <mergeCell ref="D202:H202"/>
    <mergeCell ref="I202:P202"/>
    <mergeCell ref="Q202:X202"/>
    <mergeCell ref="Y202:Z202"/>
    <mergeCell ref="AA202:AD202"/>
    <mergeCell ref="AE202:AG202"/>
    <mergeCell ref="AH203:AJ203"/>
    <mergeCell ref="AK203:AN203"/>
    <mergeCell ref="AO203:AV203"/>
    <mergeCell ref="AW203:AY203"/>
    <mergeCell ref="AZ203:BO203"/>
    <mergeCell ref="B203:C203"/>
    <mergeCell ref="D203:H203"/>
    <mergeCell ref="I203:P203"/>
    <mergeCell ref="Q203:X203"/>
    <mergeCell ref="Y203:Z203"/>
    <mergeCell ref="AA203:AD203"/>
    <mergeCell ref="AE203:AG203"/>
    <mergeCell ref="AH204:AJ204"/>
    <mergeCell ref="AK204:AN204"/>
    <mergeCell ref="AO204:AV204"/>
    <mergeCell ref="AW204:AY204"/>
    <mergeCell ref="AZ204:BO204"/>
    <mergeCell ref="B204:C204"/>
    <mergeCell ref="D204:H204"/>
    <mergeCell ref="I204:P204"/>
    <mergeCell ref="Q204:X204"/>
    <mergeCell ref="Y204:Z204"/>
    <mergeCell ref="AA204:AD204"/>
    <mergeCell ref="AE204:AG204"/>
    <mergeCell ref="AH205:AJ205"/>
    <mergeCell ref="AK205:AN205"/>
    <mergeCell ref="AO205:AV205"/>
    <mergeCell ref="AW205:AY205"/>
    <mergeCell ref="AZ205:BO205"/>
    <mergeCell ref="B205:C205"/>
    <mergeCell ref="D205:H205"/>
    <mergeCell ref="I205:P205"/>
    <mergeCell ref="Q205:X205"/>
    <mergeCell ref="Y205:Z205"/>
    <mergeCell ref="AA205:AD205"/>
    <mergeCell ref="AE205:AG205"/>
    <mergeCell ref="AH206:AJ206"/>
    <mergeCell ref="AK206:AN206"/>
    <mergeCell ref="AO206:AV206"/>
    <mergeCell ref="AW206:AY206"/>
    <mergeCell ref="AZ206:BO206"/>
    <mergeCell ref="B206:C206"/>
    <mergeCell ref="D206:H206"/>
    <mergeCell ref="I206:P206"/>
    <mergeCell ref="Q206:X206"/>
    <mergeCell ref="Y206:Z206"/>
    <mergeCell ref="AA206:AD206"/>
    <mergeCell ref="AE206:AG206"/>
    <mergeCell ref="AH207:AJ207"/>
    <mergeCell ref="AK207:AN207"/>
    <mergeCell ref="AO207:AV207"/>
    <mergeCell ref="AW207:AY207"/>
    <mergeCell ref="AZ207:BO207"/>
    <mergeCell ref="B207:C207"/>
    <mergeCell ref="D207:H207"/>
    <mergeCell ref="I207:P207"/>
    <mergeCell ref="Q207:X207"/>
    <mergeCell ref="Y207:Z207"/>
    <mergeCell ref="AA207:AD207"/>
    <mergeCell ref="AE207:AG207"/>
    <mergeCell ref="AH208:AJ208"/>
    <mergeCell ref="AK208:AN208"/>
    <mergeCell ref="AO208:AV208"/>
    <mergeCell ref="AW208:AY208"/>
    <mergeCell ref="AZ208:BO208"/>
    <mergeCell ref="B208:C208"/>
    <mergeCell ref="D208:H208"/>
    <mergeCell ref="I208:P208"/>
    <mergeCell ref="Q208:X208"/>
    <mergeCell ref="Y208:Z208"/>
    <mergeCell ref="AA208:AD208"/>
    <mergeCell ref="AE208:AG208"/>
    <mergeCell ref="AH209:AJ209"/>
    <mergeCell ref="AK209:AN209"/>
    <mergeCell ref="AO209:AV209"/>
    <mergeCell ref="AW209:AY209"/>
    <mergeCell ref="AZ209:BO209"/>
    <mergeCell ref="B209:C209"/>
    <mergeCell ref="D209:H209"/>
    <mergeCell ref="I209:P209"/>
    <mergeCell ref="Q209:X209"/>
    <mergeCell ref="Y209:Z209"/>
    <mergeCell ref="AA209:AD209"/>
    <mergeCell ref="AE209:AG209"/>
    <mergeCell ref="AH210:AJ210"/>
    <mergeCell ref="AK210:AN210"/>
    <mergeCell ref="AO210:AV210"/>
    <mergeCell ref="AW210:AY210"/>
    <mergeCell ref="AZ210:BO210"/>
    <mergeCell ref="B210:C210"/>
    <mergeCell ref="D210:H210"/>
    <mergeCell ref="I210:P210"/>
    <mergeCell ref="Q210:X210"/>
    <mergeCell ref="Y210:Z210"/>
    <mergeCell ref="AA210:AD210"/>
    <mergeCell ref="AE210:AG210"/>
    <mergeCell ref="AH211:AJ211"/>
    <mergeCell ref="AK211:AN211"/>
    <mergeCell ref="AO211:AV211"/>
    <mergeCell ref="AW211:AY211"/>
    <mergeCell ref="AZ211:BO211"/>
    <mergeCell ref="B211:C211"/>
    <mergeCell ref="D211:H211"/>
    <mergeCell ref="I211:P211"/>
    <mergeCell ref="Q211:X211"/>
    <mergeCell ref="Y211:Z211"/>
    <mergeCell ref="AA211:AD211"/>
    <mergeCell ref="AE211:AG211"/>
    <mergeCell ref="AH212:AJ212"/>
    <mergeCell ref="AK212:AN212"/>
    <mergeCell ref="AO212:AV212"/>
    <mergeCell ref="AW212:AY212"/>
    <mergeCell ref="AZ212:BO212"/>
    <mergeCell ref="B212:C212"/>
    <mergeCell ref="D212:H212"/>
    <mergeCell ref="I212:P212"/>
    <mergeCell ref="Q212:X212"/>
    <mergeCell ref="Y212:Z212"/>
    <mergeCell ref="AA212:AD212"/>
    <mergeCell ref="AE212:AG212"/>
    <mergeCell ref="AH213:AJ213"/>
    <mergeCell ref="AK213:AN213"/>
    <mergeCell ref="AO213:AV213"/>
    <mergeCell ref="AW213:AY213"/>
    <mergeCell ref="AZ213:BO213"/>
    <mergeCell ref="B213:C213"/>
    <mergeCell ref="D213:H213"/>
    <mergeCell ref="I213:P213"/>
    <mergeCell ref="Q213:X213"/>
    <mergeCell ref="Y213:Z213"/>
    <mergeCell ref="AA213:AD213"/>
    <mergeCell ref="AE213:AG213"/>
    <mergeCell ref="AH214:AJ214"/>
    <mergeCell ref="AK214:AN214"/>
    <mergeCell ref="AO214:AV214"/>
    <mergeCell ref="AW214:AY214"/>
    <mergeCell ref="AZ214:BO214"/>
    <mergeCell ref="B214:C214"/>
    <mergeCell ref="D214:H214"/>
    <mergeCell ref="I214:P214"/>
    <mergeCell ref="Q214:X214"/>
    <mergeCell ref="Y214:Z214"/>
    <mergeCell ref="AA214:AD214"/>
    <mergeCell ref="AE214:AG214"/>
    <mergeCell ref="AH215:AJ215"/>
    <mergeCell ref="AK215:AN215"/>
    <mergeCell ref="AO215:AV215"/>
    <mergeCell ref="AW215:AY215"/>
    <mergeCell ref="AZ215:BO215"/>
    <mergeCell ref="B215:C215"/>
    <mergeCell ref="D215:H215"/>
    <mergeCell ref="I215:P215"/>
    <mergeCell ref="Q215:X215"/>
    <mergeCell ref="Y215:Z215"/>
    <mergeCell ref="AA215:AD215"/>
    <mergeCell ref="AE215:AG215"/>
    <mergeCell ref="AH216:AJ216"/>
    <mergeCell ref="AK216:AN216"/>
    <mergeCell ref="AO216:AV216"/>
    <mergeCell ref="AW216:AY216"/>
    <mergeCell ref="AZ216:BO216"/>
    <mergeCell ref="B216:C216"/>
    <mergeCell ref="D216:H216"/>
    <mergeCell ref="I216:P216"/>
    <mergeCell ref="Q216:X216"/>
    <mergeCell ref="Y216:Z216"/>
    <mergeCell ref="AA216:AD216"/>
    <mergeCell ref="AE216:AG216"/>
    <mergeCell ref="AH217:AJ217"/>
    <mergeCell ref="AK217:AN217"/>
    <mergeCell ref="AO217:AV217"/>
    <mergeCell ref="AW217:AY217"/>
    <mergeCell ref="AZ217:BO217"/>
    <mergeCell ref="B217:C217"/>
    <mergeCell ref="D217:H217"/>
    <mergeCell ref="I217:P217"/>
    <mergeCell ref="Q217:X217"/>
    <mergeCell ref="Y217:Z217"/>
    <mergeCell ref="AA217:AD217"/>
    <mergeCell ref="AE217:AG217"/>
    <mergeCell ref="AH218:AJ218"/>
    <mergeCell ref="AK218:AN218"/>
    <mergeCell ref="AO218:AV218"/>
    <mergeCell ref="AW218:AY218"/>
    <mergeCell ref="AZ218:BO218"/>
    <mergeCell ref="B218:C218"/>
    <mergeCell ref="D218:H218"/>
    <mergeCell ref="I218:P218"/>
    <mergeCell ref="Q218:X218"/>
    <mergeCell ref="Y218:Z218"/>
    <mergeCell ref="AA218:AD218"/>
    <mergeCell ref="AE218:AG218"/>
    <mergeCell ref="AH219:AJ219"/>
    <mergeCell ref="AK219:AN219"/>
    <mergeCell ref="AO219:AV219"/>
    <mergeCell ref="AW219:AY219"/>
    <mergeCell ref="AZ219:BO219"/>
    <mergeCell ref="B219:C219"/>
    <mergeCell ref="D219:H219"/>
    <mergeCell ref="I219:P219"/>
    <mergeCell ref="Q219:X219"/>
    <mergeCell ref="Y219:Z219"/>
    <mergeCell ref="AA219:AD219"/>
    <mergeCell ref="AE219:AG219"/>
    <mergeCell ref="AH220:AJ220"/>
    <mergeCell ref="AK220:AN220"/>
    <mergeCell ref="AO220:AV220"/>
    <mergeCell ref="AW220:AY220"/>
    <mergeCell ref="AZ220:BO220"/>
    <mergeCell ref="B220:C220"/>
    <mergeCell ref="D220:H220"/>
    <mergeCell ref="I220:P220"/>
    <mergeCell ref="Q220:X220"/>
    <mergeCell ref="Y220:Z220"/>
    <mergeCell ref="AA220:AD220"/>
    <mergeCell ref="AE220:AG220"/>
    <mergeCell ref="AH221:AJ221"/>
    <mergeCell ref="AK221:AN221"/>
    <mergeCell ref="AO221:AV221"/>
    <mergeCell ref="AW221:AY221"/>
    <mergeCell ref="AZ221:BO221"/>
    <mergeCell ref="B221:C221"/>
    <mergeCell ref="D221:H221"/>
    <mergeCell ref="I221:P221"/>
    <mergeCell ref="Q221:X221"/>
    <mergeCell ref="Y221:Z221"/>
    <mergeCell ref="AA221:AD221"/>
    <mergeCell ref="AE221:AG221"/>
    <mergeCell ref="AH222:AJ222"/>
    <mergeCell ref="AK222:AN222"/>
    <mergeCell ref="AO222:AV222"/>
    <mergeCell ref="AW222:AY222"/>
    <mergeCell ref="AZ222:BO222"/>
    <mergeCell ref="B222:C222"/>
    <mergeCell ref="D222:H222"/>
    <mergeCell ref="I222:P222"/>
    <mergeCell ref="Q222:X222"/>
    <mergeCell ref="Y222:Z222"/>
    <mergeCell ref="AA222:AD222"/>
    <mergeCell ref="AE222:AG222"/>
    <mergeCell ref="AH223:AJ223"/>
    <mergeCell ref="AK223:AN223"/>
    <mergeCell ref="AO223:AV223"/>
    <mergeCell ref="AW223:AY223"/>
    <mergeCell ref="AZ223:BO223"/>
    <mergeCell ref="B223:C223"/>
    <mergeCell ref="D223:H223"/>
    <mergeCell ref="I223:P223"/>
    <mergeCell ref="Q223:X223"/>
    <mergeCell ref="Y223:Z223"/>
    <mergeCell ref="AA223:AD223"/>
    <mergeCell ref="AE223:AG223"/>
    <mergeCell ref="AH224:AJ224"/>
    <mergeCell ref="AK224:AN224"/>
    <mergeCell ref="AO224:AV224"/>
    <mergeCell ref="AW224:AY224"/>
    <mergeCell ref="AZ224:BO224"/>
    <mergeCell ref="B224:C224"/>
    <mergeCell ref="D224:H224"/>
    <mergeCell ref="I224:P224"/>
    <mergeCell ref="Q224:X224"/>
    <mergeCell ref="Y224:Z224"/>
    <mergeCell ref="AA224:AD224"/>
    <mergeCell ref="AE224:AG224"/>
    <mergeCell ref="AH225:AJ225"/>
    <mergeCell ref="AK225:AN225"/>
    <mergeCell ref="AO225:AV225"/>
    <mergeCell ref="AW225:AY225"/>
    <mergeCell ref="AZ225:BO225"/>
    <mergeCell ref="B225:C225"/>
    <mergeCell ref="D225:H225"/>
    <mergeCell ref="I225:P225"/>
    <mergeCell ref="Q225:X225"/>
    <mergeCell ref="Y225:Z225"/>
    <mergeCell ref="AA225:AD225"/>
    <mergeCell ref="AE225:AG225"/>
    <mergeCell ref="AH226:AJ226"/>
    <mergeCell ref="AK226:AN226"/>
    <mergeCell ref="AO226:AV226"/>
    <mergeCell ref="AW226:AY226"/>
    <mergeCell ref="AZ226:BO226"/>
    <mergeCell ref="B226:C226"/>
    <mergeCell ref="D226:H226"/>
    <mergeCell ref="I226:P226"/>
    <mergeCell ref="Q226:X226"/>
    <mergeCell ref="Y226:Z226"/>
    <mergeCell ref="AA226:AD226"/>
    <mergeCell ref="AE226:AG226"/>
    <mergeCell ref="AH227:AJ227"/>
    <mergeCell ref="AK227:AN227"/>
    <mergeCell ref="AO227:AV227"/>
    <mergeCell ref="AW227:AY227"/>
    <mergeCell ref="AZ227:BO227"/>
    <mergeCell ref="B227:C227"/>
    <mergeCell ref="D227:H227"/>
    <mergeCell ref="I227:P227"/>
    <mergeCell ref="Q227:X227"/>
    <mergeCell ref="Y227:Z227"/>
    <mergeCell ref="AA227:AD227"/>
    <mergeCell ref="AE227:AG227"/>
    <mergeCell ref="AH228:AJ228"/>
    <mergeCell ref="AK228:AN228"/>
    <mergeCell ref="AO228:AV228"/>
    <mergeCell ref="AW228:AY228"/>
    <mergeCell ref="AZ228:BO228"/>
    <mergeCell ref="B228:C228"/>
    <mergeCell ref="D228:H228"/>
    <mergeCell ref="I228:P228"/>
    <mergeCell ref="Q228:X228"/>
    <mergeCell ref="Y228:Z228"/>
    <mergeCell ref="AA228:AD228"/>
    <mergeCell ref="AE228:AG228"/>
    <mergeCell ref="AH229:AJ229"/>
    <mergeCell ref="AK229:AN229"/>
    <mergeCell ref="AO229:AV229"/>
    <mergeCell ref="AW229:AY229"/>
    <mergeCell ref="AZ229:BO229"/>
    <mergeCell ref="B229:C229"/>
    <mergeCell ref="D229:H229"/>
    <mergeCell ref="I229:P229"/>
    <mergeCell ref="Q229:X229"/>
    <mergeCell ref="Y229:Z229"/>
    <mergeCell ref="AA229:AD229"/>
    <mergeCell ref="AE229:AG229"/>
    <mergeCell ref="AH230:AJ230"/>
    <mergeCell ref="AK230:AN230"/>
    <mergeCell ref="AO230:AV230"/>
    <mergeCell ref="AW230:AY230"/>
    <mergeCell ref="AZ230:BO230"/>
    <mergeCell ref="B230:C230"/>
    <mergeCell ref="D230:H230"/>
    <mergeCell ref="I230:P230"/>
    <mergeCell ref="Q230:X230"/>
    <mergeCell ref="Y230:Z230"/>
    <mergeCell ref="AA230:AD230"/>
    <mergeCell ref="AE230:AG230"/>
    <mergeCell ref="AH231:AJ231"/>
    <mergeCell ref="AK231:AN231"/>
    <mergeCell ref="AO231:AV231"/>
    <mergeCell ref="AW231:AY231"/>
    <mergeCell ref="AZ231:BO231"/>
    <mergeCell ref="B231:C231"/>
    <mergeCell ref="D231:H231"/>
    <mergeCell ref="I231:P231"/>
    <mergeCell ref="Q231:X231"/>
    <mergeCell ref="Y231:Z231"/>
    <mergeCell ref="AA231:AD231"/>
    <mergeCell ref="AE231:AG231"/>
    <mergeCell ref="AH232:AJ232"/>
    <mergeCell ref="AK232:AN232"/>
    <mergeCell ref="AO232:AV232"/>
    <mergeCell ref="AW232:AY232"/>
    <mergeCell ref="AZ232:BO232"/>
    <mergeCell ref="B232:C232"/>
    <mergeCell ref="D232:H232"/>
    <mergeCell ref="I232:P232"/>
    <mergeCell ref="Q232:X232"/>
    <mergeCell ref="Y232:Z232"/>
    <mergeCell ref="AA232:AD232"/>
    <mergeCell ref="AE232:AG232"/>
    <mergeCell ref="AH233:AJ233"/>
    <mergeCell ref="AK233:AN233"/>
    <mergeCell ref="AO233:AV233"/>
    <mergeCell ref="AW233:AY233"/>
    <mergeCell ref="AZ233:BO233"/>
    <mergeCell ref="B233:C233"/>
    <mergeCell ref="D233:H233"/>
    <mergeCell ref="I233:P233"/>
    <mergeCell ref="Q233:X233"/>
    <mergeCell ref="Y233:Z233"/>
    <mergeCell ref="AA233:AD233"/>
    <mergeCell ref="AE233:AG233"/>
    <mergeCell ref="AH234:AJ234"/>
    <mergeCell ref="AK234:AN234"/>
    <mergeCell ref="AO234:AV234"/>
    <mergeCell ref="AW234:AY234"/>
    <mergeCell ref="AZ234:BO234"/>
    <mergeCell ref="B234:C234"/>
    <mergeCell ref="D234:H234"/>
    <mergeCell ref="I234:P234"/>
    <mergeCell ref="Q234:X234"/>
    <mergeCell ref="Y234:Z234"/>
    <mergeCell ref="AA234:AD234"/>
    <mergeCell ref="AE234:AG234"/>
    <mergeCell ref="AH235:AJ235"/>
    <mergeCell ref="AK235:AN235"/>
    <mergeCell ref="AO235:AV235"/>
    <mergeCell ref="AW235:AY235"/>
    <mergeCell ref="AZ235:BO235"/>
    <mergeCell ref="B235:C235"/>
    <mergeCell ref="D235:H235"/>
    <mergeCell ref="I235:P235"/>
    <mergeCell ref="Q235:X235"/>
    <mergeCell ref="Y235:Z235"/>
    <mergeCell ref="AA235:AD235"/>
    <mergeCell ref="AE235:AG235"/>
    <mergeCell ref="AH236:AJ236"/>
    <mergeCell ref="AK236:AN236"/>
    <mergeCell ref="AO236:AV236"/>
    <mergeCell ref="AW236:AY236"/>
    <mergeCell ref="AZ236:BO236"/>
    <mergeCell ref="B236:C236"/>
    <mergeCell ref="D236:H236"/>
    <mergeCell ref="I236:P236"/>
    <mergeCell ref="Q236:X236"/>
    <mergeCell ref="Y236:Z236"/>
    <mergeCell ref="AA236:AD236"/>
    <mergeCell ref="AE236:AG236"/>
    <mergeCell ref="AH237:AJ237"/>
    <mergeCell ref="AK237:AN237"/>
    <mergeCell ref="AO237:AV237"/>
    <mergeCell ref="AW237:AY237"/>
    <mergeCell ref="AZ237:BO237"/>
    <mergeCell ref="B237:C237"/>
    <mergeCell ref="D237:H237"/>
    <mergeCell ref="I237:P237"/>
    <mergeCell ref="Q237:X237"/>
    <mergeCell ref="Y237:Z237"/>
    <mergeCell ref="AA237:AD237"/>
    <mergeCell ref="AE237:AG237"/>
    <mergeCell ref="AH238:AJ238"/>
    <mergeCell ref="AK238:AN238"/>
    <mergeCell ref="AO238:AV238"/>
    <mergeCell ref="AW238:AY238"/>
    <mergeCell ref="AZ238:BO238"/>
    <mergeCell ref="B238:C238"/>
    <mergeCell ref="D238:H238"/>
    <mergeCell ref="I238:P238"/>
    <mergeCell ref="Q238:X238"/>
    <mergeCell ref="Y238:Z238"/>
    <mergeCell ref="AA238:AD238"/>
    <mergeCell ref="AE238:AG238"/>
    <mergeCell ref="AH239:AJ239"/>
    <mergeCell ref="AK239:AN239"/>
    <mergeCell ref="AO239:AV239"/>
    <mergeCell ref="AW239:AY239"/>
    <mergeCell ref="AZ239:BO239"/>
    <mergeCell ref="B239:C239"/>
    <mergeCell ref="D239:H239"/>
    <mergeCell ref="I239:P239"/>
    <mergeCell ref="Q239:X239"/>
    <mergeCell ref="Y239:Z239"/>
    <mergeCell ref="AA239:AD239"/>
    <mergeCell ref="AE239:AG239"/>
    <mergeCell ref="AH240:AJ240"/>
    <mergeCell ref="AK240:AN240"/>
    <mergeCell ref="AO240:AV240"/>
    <mergeCell ref="AW240:AY240"/>
    <mergeCell ref="AZ240:BO240"/>
    <mergeCell ref="B240:C240"/>
    <mergeCell ref="D240:H240"/>
    <mergeCell ref="I240:P240"/>
    <mergeCell ref="Q240:X240"/>
    <mergeCell ref="Y240:Z240"/>
    <mergeCell ref="AA240:AD240"/>
    <mergeCell ref="AE240:AG240"/>
    <mergeCell ref="AH241:AJ241"/>
    <mergeCell ref="AK241:AN241"/>
    <mergeCell ref="AO241:AV241"/>
    <mergeCell ref="AW241:AY241"/>
    <mergeCell ref="AZ241:BO241"/>
    <mergeCell ref="B241:C241"/>
    <mergeCell ref="D241:H241"/>
    <mergeCell ref="I241:P241"/>
    <mergeCell ref="Q241:X241"/>
    <mergeCell ref="Y241:Z241"/>
    <mergeCell ref="AA241:AD241"/>
    <mergeCell ref="AE241:AG241"/>
    <mergeCell ref="AH242:AJ242"/>
    <mergeCell ref="AK242:AN242"/>
    <mergeCell ref="AO242:AV242"/>
    <mergeCell ref="AW242:AY242"/>
    <mergeCell ref="AZ242:BO242"/>
    <mergeCell ref="B242:C242"/>
    <mergeCell ref="D242:H242"/>
    <mergeCell ref="I242:P242"/>
    <mergeCell ref="Q242:X242"/>
    <mergeCell ref="Y242:Z242"/>
    <mergeCell ref="AA242:AD242"/>
    <mergeCell ref="AE242:AG242"/>
    <mergeCell ref="AH243:AJ243"/>
    <mergeCell ref="AK243:AN243"/>
    <mergeCell ref="AO243:AV243"/>
    <mergeCell ref="AW243:AY243"/>
    <mergeCell ref="AZ243:BO243"/>
    <mergeCell ref="B243:C243"/>
    <mergeCell ref="D243:H243"/>
    <mergeCell ref="I243:P243"/>
    <mergeCell ref="Q243:X243"/>
    <mergeCell ref="Y243:Z243"/>
    <mergeCell ref="AA243:AD243"/>
    <mergeCell ref="AE243:AG243"/>
    <mergeCell ref="AH244:AJ244"/>
    <mergeCell ref="AK244:AN244"/>
    <mergeCell ref="AO244:AV244"/>
    <mergeCell ref="AW244:AY244"/>
    <mergeCell ref="AZ244:BO244"/>
    <mergeCell ref="B244:C244"/>
    <mergeCell ref="D244:H244"/>
    <mergeCell ref="I244:P244"/>
    <mergeCell ref="Q244:X244"/>
    <mergeCell ref="Y244:Z244"/>
    <mergeCell ref="AA244:AD244"/>
    <mergeCell ref="AE244:AG244"/>
    <mergeCell ref="AH245:AJ245"/>
    <mergeCell ref="AK245:AN245"/>
    <mergeCell ref="AO245:AV245"/>
    <mergeCell ref="AW245:AY245"/>
    <mergeCell ref="AZ245:BO245"/>
    <mergeCell ref="B245:C245"/>
    <mergeCell ref="D245:H245"/>
    <mergeCell ref="I245:P245"/>
    <mergeCell ref="Q245:X245"/>
    <mergeCell ref="Y245:Z245"/>
    <mergeCell ref="AA245:AD245"/>
    <mergeCell ref="AE245:AG245"/>
    <mergeCell ref="AH246:AJ246"/>
    <mergeCell ref="AK246:AN246"/>
    <mergeCell ref="AO246:AV246"/>
    <mergeCell ref="AW246:AY246"/>
    <mergeCell ref="AZ246:BO246"/>
    <mergeCell ref="B246:C246"/>
    <mergeCell ref="D246:H246"/>
    <mergeCell ref="I246:P246"/>
    <mergeCell ref="Q246:X246"/>
    <mergeCell ref="Y246:Z246"/>
    <mergeCell ref="AA246:AD246"/>
    <mergeCell ref="AE246:AG246"/>
    <mergeCell ref="AH247:AJ247"/>
    <mergeCell ref="AK247:AN247"/>
    <mergeCell ref="AO247:AV247"/>
    <mergeCell ref="AW247:AY247"/>
    <mergeCell ref="AZ247:BO247"/>
    <mergeCell ref="B247:C247"/>
    <mergeCell ref="D247:H247"/>
    <mergeCell ref="I247:P247"/>
    <mergeCell ref="Q247:X247"/>
    <mergeCell ref="Y247:Z247"/>
    <mergeCell ref="AA247:AD247"/>
    <mergeCell ref="AE247:AG247"/>
    <mergeCell ref="AH248:AJ248"/>
    <mergeCell ref="AK248:AN248"/>
    <mergeCell ref="AO248:AV248"/>
    <mergeCell ref="AW248:AY248"/>
    <mergeCell ref="AZ248:BO248"/>
    <mergeCell ref="B248:C248"/>
    <mergeCell ref="D248:H248"/>
    <mergeCell ref="I248:P248"/>
    <mergeCell ref="Q248:X248"/>
    <mergeCell ref="Y248:Z248"/>
    <mergeCell ref="AA248:AD248"/>
    <mergeCell ref="AE248:AG248"/>
    <mergeCell ref="AH249:AJ249"/>
    <mergeCell ref="AK249:AN249"/>
    <mergeCell ref="AO249:AV249"/>
    <mergeCell ref="AW249:AY249"/>
    <mergeCell ref="AZ249:BO249"/>
    <mergeCell ref="B249:C249"/>
    <mergeCell ref="D249:H249"/>
    <mergeCell ref="I249:P249"/>
    <mergeCell ref="Q249:X249"/>
    <mergeCell ref="Y249:Z249"/>
    <mergeCell ref="AA249:AD249"/>
    <mergeCell ref="AE249:AG249"/>
    <mergeCell ref="AH250:AJ250"/>
    <mergeCell ref="AK250:AN250"/>
    <mergeCell ref="AO250:AV250"/>
    <mergeCell ref="AW250:AY250"/>
    <mergeCell ref="AZ250:BO250"/>
    <mergeCell ref="B250:C250"/>
    <mergeCell ref="D250:H250"/>
    <mergeCell ref="I250:P250"/>
    <mergeCell ref="Q250:X250"/>
    <mergeCell ref="Y250:Z250"/>
    <mergeCell ref="AA250:AD250"/>
    <mergeCell ref="AE250:AG250"/>
    <mergeCell ref="AH251:AJ251"/>
    <mergeCell ref="AK251:AN251"/>
    <mergeCell ref="AO251:AV251"/>
    <mergeCell ref="AW251:AY251"/>
    <mergeCell ref="AZ251:BO251"/>
    <mergeCell ref="B251:C251"/>
    <mergeCell ref="D251:H251"/>
    <mergeCell ref="I251:P251"/>
    <mergeCell ref="Q251:X251"/>
    <mergeCell ref="Y251:Z251"/>
    <mergeCell ref="AA251:AD251"/>
    <mergeCell ref="AE251:AG251"/>
    <mergeCell ref="AH252:AJ252"/>
    <mergeCell ref="AK252:AN252"/>
    <mergeCell ref="AO252:AV252"/>
    <mergeCell ref="AW252:AY252"/>
    <mergeCell ref="AZ252:BO252"/>
    <mergeCell ref="B252:C252"/>
    <mergeCell ref="D252:H252"/>
    <mergeCell ref="I252:P252"/>
    <mergeCell ref="Q252:X252"/>
    <mergeCell ref="Y252:Z252"/>
    <mergeCell ref="AA252:AD252"/>
    <mergeCell ref="AE252:AG252"/>
    <mergeCell ref="AH253:AJ253"/>
    <mergeCell ref="AK253:AN253"/>
    <mergeCell ref="AO253:AV253"/>
    <mergeCell ref="AW253:AY253"/>
    <mergeCell ref="AZ253:BO253"/>
    <mergeCell ref="B253:C253"/>
    <mergeCell ref="D253:H253"/>
    <mergeCell ref="I253:P253"/>
    <mergeCell ref="Q253:X253"/>
    <mergeCell ref="Y253:Z253"/>
    <mergeCell ref="AA253:AD253"/>
    <mergeCell ref="AE253:AG253"/>
    <mergeCell ref="AH254:AJ254"/>
    <mergeCell ref="AK254:AN254"/>
    <mergeCell ref="AO254:AV254"/>
    <mergeCell ref="AW254:AY254"/>
    <mergeCell ref="AZ254:BO254"/>
    <mergeCell ref="B254:C254"/>
    <mergeCell ref="D254:H254"/>
    <mergeCell ref="I254:P254"/>
    <mergeCell ref="Q254:X254"/>
    <mergeCell ref="Y254:Z254"/>
    <mergeCell ref="AA254:AD254"/>
    <mergeCell ref="AE254:AG254"/>
    <mergeCell ref="AH255:AJ255"/>
    <mergeCell ref="AK255:AN255"/>
    <mergeCell ref="AO255:AV255"/>
    <mergeCell ref="AW255:AY255"/>
    <mergeCell ref="AZ255:BO255"/>
    <mergeCell ref="B255:C255"/>
    <mergeCell ref="D255:H255"/>
    <mergeCell ref="I255:P255"/>
    <mergeCell ref="Q255:X255"/>
    <mergeCell ref="Y255:Z255"/>
    <mergeCell ref="AA255:AD255"/>
    <mergeCell ref="AE255:AG255"/>
    <mergeCell ref="AH256:AJ256"/>
    <mergeCell ref="AK256:AN256"/>
    <mergeCell ref="AO256:AV256"/>
    <mergeCell ref="AW256:AY256"/>
    <mergeCell ref="AZ256:BO256"/>
    <mergeCell ref="B256:C256"/>
    <mergeCell ref="D256:H256"/>
    <mergeCell ref="I256:P256"/>
    <mergeCell ref="Q256:X256"/>
    <mergeCell ref="Y256:Z256"/>
    <mergeCell ref="AA256:AD256"/>
    <mergeCell ref="AE256:AG256"/>
    <mergeCell ref="AH257:AJ257"/>
    <mergeCell ref="AK257:AN257"/>
    <mergeCell ref="AO257:AV257"/>
    <mergeCell ref="AW257:AY257"/>
    <mergeCell ref="AZ257:BO257"/>
    <mergeCell ref="B257:C257"/>
    <mergeCell ref="D257:H257"/>
    <mergeCell ref="I257:P257"/>
    <mergeCell ref="Q257:X257"/>
    <mergeCell ref="Y257:Z257"/>
    <mergeCell ref="AA257:AD257"/>
    <mergeCell ref="AE257:AG257"/>
    <mergeCell ref="AH258:AJ258"/>
    <mergeCell ref="AK258:AN258"/>
    <mergeCell ref="AO258:AV258"/>
    <mergeCell ref="AW258:AY258"/>
    <mergeCell ref="AZ258:BO258"/>
    <mergeCell ref="B258:C258"/>
    <mergeCell ref="D258:H258"/>
    <mergeCell ref="I258:P258"/>
    <mergeCell ref="Q258:X258"/>
    <mergeCell ref="Y258:Z258"/>
    <mergeCell ref="AA258:AD258"/>
    <mergeCell ref="AE258:AG258"/>
    <mergeCell ref="AH259:AJ259"/>
    <mergeCell ref="AK259:AN259"/>
    <mergeCell ref="AO259:AV259"/>
    <mergeCell ref="AW259:AY259"/>
    <mergeCell ref="AZ259:BO259"/>
    <mergeCell ref="B259:C259"/>
    <mergeCell ref="D259:H259"/>
    <mergeCell ref="I259:P259"/>
    <mergeCell ref="Q259:X259"/>
    <mergeCell ref="Y259:Z259"/>
    <mergeCell ref="AA259:AD259"/>
    <mergeCell ref="AE259:AG259"/>
    <mergeCell ref="AH260:AJ260"/>
    <mergeCell ref="AK260:AN260"/>
    <mergeCell ref="AO260:AV260"/>
    <mergeCell ref="AW260:AY260"/>
    <mergeCell ref="AZ260:BO260"/>
    <mergeCell ref="B260:C260"/>
    <mergeCell ref="D260:H260"/>
    <mergeCell ref="I260:P260"/>
    <mergeCell ref="Q260:X260"/>
    <mergeCell ref="Y260:Z260"/>
    <mergeCell ref="AA260:AD260"/>
    <mergeCell ref="AE260:AG260"/>
    <mergeCell ref="AH261:AJ261"/>
    <mergeCell ref="AK261:AN261"/>
    <mergeCell ref="AO261:AV261"/>
    <mergeCell ref="AW261:AY261"/>
    <mergeCell ref="AZ261:BO261"/>
    <mergeCell ref="B261:C261"/>
    <mergeCell ref="D261:H261"/>
    <mergeCell ref="I261:P261"/>
    <mergeCell ref="Q261:X261"/>
    <mergeCell ref="Y261:Z261"/>
    <mergeCell ref="AA261:AD261"/>
    <mergeCell ref="AE261:AG261"/>
    <mergeCell ref="AH262:AJ262"/>
    <mergeCell ref="AK262:AN262"/>
    <mergeCell ref="AO262:AV262"/>
    <mergeCell ref="AW262:AY262"/>
    <mergeCell ref="AZ262:BO262"/>
    <mergeCell ref="B262:C262"/>
    <mergeCell ref="D262:H262"/>
    <mergeCell ref="I262:P262"/>
    <mergeCell ref="Q262:X262"/>
    <mergeCell ref="Y262:Z262"/>
    <mergeCell ref="AA262:AD262"/>
    <mergeCell ref="AE262:AG262"/>
    <mergeCell ref="AH263:AJ263"/>
    <mergeCell ref="AK263:AN263"/>
    <mergeCell ref="AO263:AV263"/>
    <mergeCell ref="AW263:AY263"/>
    <mergeCell ref="AZ263:BO263"/>
    <mergeCell ref="B263:C263"/>
    <mergeCell ref="D263:H263"/>
    <mergeCell ref="I263:P263"/>
    <mergeCell ref="Q263:X263"/>
    <mergeCell ref="Y263:Z263"/>
    <mergeCell ref="AA263:AD263"/>
    <mergeCell ref="AE263:AG263"/>
    <mergeCell ref="AH264:AJ264"/>
    <mergeCell ref="AK264:AN264"/>
    <mergeCell ref="AO264:AV264"/>
    <mergeCell ref="AW264:AY264"/>
    <mergeCell ref="AZ264:BO264"/>
    <mergeCell ref="B264:C264"/>
    <mergeCell ref="D264:H264"/>
    <mergeCell ref="I264:P264"/>
    <mergeCell ref="Q264:X264"/>
    <mergeCell ref="Y264:Z264"/>
    <mergeCell ref="AA264:AD264"/>
    <mergeCell ref="AE264:AG264"/>
    <mergeCell ref="AH265:AJ265"/>
    <mergeCell ref="AK265:AN265"/>
    <mergeCell ref="AO265:AV265"/>
    <mergeCell ref="AW265:AY265"/>
    <mergeCell ref="AZ265:BO265"/>
    <mergeCell ref="B265:C265"/>
    <mergeCell ref="D265:H265"/>
    <mergeCell ref="I265:P265"/>
    <mergeCell ref="Q265:X265"/>
    <mergeCell ref="Y265:Z265"/>
    <mergeCell ref="AA265:AD265"/>
    <mergeCell ref="AE265:AG265"/>
    <mergeCell ref="AH266:AJ266"/>
    <mergeCell ref="AK266:AN266"/>
    <mergeCell ref="AO266:AV266"/>
    <mergeCell ref="AW266:AY266"/>
    <mergeCell ref="AZ266:BO266"/>
    <mergeCell ref="B266:C266"/>
    <mergeCell ref="D266:H266"/>
    <mergeCell ref="I266:P266"/>
    <mergeCell ref="Q266:X266"/>
    <mergeCell ref="Y266:Z266"/>
    <mergeCell ref="AA266:AD266"/>
    <mergeCell ref="AE266:AG266"/>
    <mergeCell ref="AH267:AJ267"/>
    <mergeCell ref="AK267:AN267"/>
    <mergeCell ref="AO267:AV267"/>
    <mergeCell ref="AW267:AY267"/>
    <mergeCell ref="AZ267:BO267"/>
    <mergeCell ref="B267:C267"/>
    <mergeCell ref="D267:H267"/>
    <mergeCell ref="I267:P267"/>
    <mergeCell ref="Q267:X267"/>
    <mergeCell ref="Y267:Z267"/>
    <mergeCell ref="AA267:AD267"/>
    <mergeCell ref="AE267:AG267"/>
    <mergeCell ref="AH268:AJ268"/>
    <mergeCell ref="AK268:AN268"/>
    <mergeCell ref="AO268:AV268"/>
    <mergeCell ref="AW268:AY268"/>
    <mergeCell ref="AZ268:BO268"/>
    <mergeCell ref="B268:C268"/>
    <mergeCell ref="D268:H268"/>
    <mergeCell ref="I268:P268"/>
    <mergeCell ref="Q268:X268"/>
    <mergeCell ref="Y268:Z268"/>
    <mergeCell ref="AA268:AD268"/>
    <mergeCell ref="AE268:AG268"/>
    <mergeCell ref="AH269:AJ269"/>
    <mergeCell ref="AK269:AN269"/>
    <mergeCell ref="AO269:AV269"/>
    <mergeCell ref="AW269:AY269"/>
    <mergeCell ref="AZ269:BO269"/>
    <mergeCell ref="B269:C269"/>
    <mergeCell ref="D269:H269"/>
    <mergeCell ref="I269:P269"/>
    <mergeCell ref="Q269:X269"/>
    <mergeCell ref="Y269:Z269"/>
    <mergeCell ref="AA269:AD269"/>
    <mergeCell ref="AE269:AG269"/>
    <mergeCell ref="AH270:AJ270"/>
    <mergeCell ref="AK270:AN270"/>
    <mergeCell ref="AO270:AV270"/>
    <mergeCell ref="AW270:AY270"/>
    <mergeCell ref="AZ270:BO270"/>
    <mergeCell ref="B270:C270"/>
    <mergeCell ref="D270:H270"/>
    <mergeCell ref="I270:P270"/>
    <mergeCell ref="Q270:X270"/>
    <mergeCell ref="Y270:Z270"/>
    <mergeCell ref="AA270:AD270"/>
    <mergeCell ref="AE270:AG270"/>
    <mergeCell ref="AH271:AJ271"/>
    <mergeCell ref="AK271:AN271"/>
    <mergeCell ref="AO271:AV271"/>
    <mergeCell ref="AW271:AY271"/>
    <mergeCell ref="AZ271:BO271"/>
    <mergeCell ref="B271:C271"/>
    <mergeCell ref="D271:H271"/>
    <mergeCell ref="I271:P271"/>
    <mergeCell ref="Q271:X271"/>
    <mergeCell ref="Y271:Z271"/>
    <mergeCell ref="AA271:AD271"/>
    <mergeCell ref="AE271:AG271"/>
    <mergeCell ref="AH272:AJ272"/>
    <mergeCell ref="AK272:AN272"/>
    <mergeCell ref="AO272:AV272"/>
    <mergeCell ref="AW272:AY272"/>
    <mergeCell ref="AZ272:BO272"/>
    <mergeCell ref="B272:C272"/>
    <mergeCell ref="D272:H272"/>
    <mergeCell ref="I272:P272"/>
    <mergeCell ref="Q272:X272"/>
    <mergeCell ref="Y272:Z272"/>
    <mergeCell ref="AA272:AD272"/>
    <mergeCell ref="AE272:AG272"/>
    <mergeCell ref="AH273:AJ273"/>
    <mergeCell ref="AK273:AN273"/>
    <mergeCell ref="AO273:AV273"/>
    <mergeCell ref="AW273:AY273"/>
    <mergeCell ref="AZ273:BO273"/>
    <mergeCell ref="B273:C273"/>
    <mergeCell ref="D273:H273"/>
    <mergeCell ref="I273:P273"/>
    <mergeCell ref="Q273:X273"/>
    <mergeCell ref="Y273:Z273"/>
    <mergeCell ref="AA273:AD273"/>
    <mergeCell ref="AE273:AG273"/>
    <mergeCell ref="AH274:AJ274"/>
    <mergeCell ref="AK274:AN274"/>
    <mergeCell ref="AO274:AV274"/>
    <mergeCell ref="AW274:AY274"/>
    <mergeCell ref="AZ274:BO274"/>
    <mergeCell ref="B274:C274"/>
    <mergeCell ref="D274:H274"/>
    <mergeCell ref="I274:P274"/>
    <mergeCell ref="Q274:X274"/>
    <mergeCell ref="Y274:Z274"/>
    <mergeCell ref="AA274:AD274"/>
    <mergeCell ref="AE274:AG274"/>
    <mergeCell ref="AH275:AJ275"/>
    <mergeCell ref="AK275:AN275"/>
    <mergeCell ref="AO275:AV275"/>
    <mergeCell ref="AW275:AY275"/>
    <mergeCell ref="AZ275:BO275"/>
    <mergeCell ref="B275:C275"/>
    <mergeCell ref="D275:H275"/>
    <mergeCell ref="I275:P275"/>
    <mergeCell ref="Q275:X275"/>
    <mergeCell ref="Y275:Z275"/>
    <mergeCell ref="AA275:AD275"/>
    <mergeCell ref="AE275:AG275"/>
    <mergeCell ref="AH276:AJ276"/>
    <mergeCell ref="AK276:AN276"/>
    <mergeCell ref="AO276:AV276"/>
    <mergeCell ref="AW276:AY276"/>
    <mergeCell ref="AZ276:BO276"/>
    <mergeCell ref="B276:C276"/>
    <mergeCell ref="D276:H276"/>
    <mergeCell ref="I276:P276"/>
    <mergeCell ref="Q276:X276"/>
    <mergeCell ref="Y276:Z276"/>
    <mergeCell ref="AA276:AD276"/>
    <mergeCell ref="AE276:AG276"/>
    <mergeCell ref="AH277:AJ277"/>
    <mergeCell ref="AK277:AN277"/>
    <mergeCell ref="AO277:AV277"/>
    <mergeCell ref="AW277:AY277"/>
    <mergeCell ref="AZ277:BO277"/>
    <mergeCell ref="B277:C277"/>
    <mergeCell ref="D277:H277"/>
    <mergeCell ref="I277:P277"/>
    <mergeCell ref="Q277:X277"/>
    <mergeCell ref="Y277:Z277"/>
    <mergeCell ref="AA277:AD277"/>
    <mergeCell ref="AE277:AG277"/>
    <mergeCell ref="AH278:AJ278"/>
    <mergeCell ref="AK278:AN278"/>
    <mergeCell ref="AO278:AV278"/>
    <mergeCell ref="AW278:AY278"/>
    <mergeCell ref="AZ278:BO278"/>
    <mergeCell ref="B278:C278"/>
    <mergeCell ref="D278:H278"/>
    <mergeCell ref="I278:P278"/>
    <mergeCell ref="Q278:X278"/>
    <mergeCell ref="Y278:Z278"/>
    <mergeCell ref="AA278:AD278"/>
    <mergeCell ref="AE278:AG278"/>
    <mergeCell ref="AH279:AJ279"/>
    <mergeCell ref="AK279:AN279"/>
    <mergeCell ref="AO279:AV279"/>
    <mergeCell ref="AW279:AY279"/>
    <mergeCell ref="AZ279:BO279"/>
    <mergeCell ref="B279:C279"/>
    <mergeCell ref="D279:H279"/>
    <mergeCell ref="I279:P279"/>
    <mergeCell ref="Q279:X279"/>
    <mergeCell ref="Y279:Z279"/>
    <mergeCell ref="AA279:AD279"/>
    <mergeCell ref="AE279:AG279"/>
    <mergeCell ref="AH280:AJ280"/>
    <mergeCell ref="AK280:AN280"/>
    <mergeCell ref="AO280:AV280"/>
    <mergeCell ref="AW280:AY280"/>
    <mergeCell ref="AZ280:BO280"/>
    <mergeCell ref="B280:C280"/>
    <mergeCell ref="D280:H280"/>
    <mergeCell ref="I280:P280"/>
    <mergeCell ref="Q280:X280"/>
    <mergeCell ref="Y280:Z280"/>
    <mergeCell ref="AA280:AD280"/>
    <mergeCell ref="AE280:AG280"/>
    <mergeCell ref="AH281:AJ281"/>
    <mergeCell ref="AK281:AN281"/>
    <mergeCell ref="AO281:AV281"/>
    <mergeCell ref="AW281:AY281"/>
    <mergeCell ref="AZ281:BO281"/>
    <mergeCell ref="B281:C281"/>
    <mergeCell ref="D281:H281"/>
    <mergeCell ref="I281:P281"/>
    <mergeCell ref="Q281:X281"/>
    <mergeCell ref="Y281:Z281"/>
    <mergeCell ref="AA281:AD281"/>
    <mergeCell ref="AE281:AG281"/>
    <mergeCell ref="AH282:AJ282"/>
    <mergeCell ref="AK282:AN282"/>
    <mergeCell ref="AO282:AV282"/>
    <mergeCell ref="AW282:AY282"/>
    <mergeCell ref="AZ282:BO282"/>
    <mergeCell ref="B282:C282"/>
    <mergeCell ref="D282:H282"/>
    <mergeCell ref="I282:P282"/>
    <mergeCell ref="Q282:X282"/>
    <mergeCell ref="Y282:Z282"/>
    <mergeCell ref="AA282:AD282"/>
    <mergeCell ref="AE282:AG282"/>
    <mergeCell ref="AH283:AJ283"/>
    <mergeCell ref="AK283:AN283"/>
    <mergeCell ref="AO283:AV283"/>
    <mergeCell ref="AW283:AY283"/>
    <mergeCell ref="AZ283:BO283"/>
    <mergeCell ref="B283:C283"/>
    <mergeCell ref="D283:H283"/>
    <mergeCell ref="I283:P283"/>
    <mergeCell ref="Q283:X283"/>
    <mergeCell ref="Y283:Z283"/>
    <mergeCell ref="AA283:AD283"/>
    <mergeCell ref="AE283:AG283"/>
    <mergeCell ref="AH284:AJ284"/>
    <mergeCell ref="AK284:AN284"/>
    <mergeCell ref="AO284:AV284"/>
    <mergeCell ref="AW284:AY284"/>
    <mergeCell ref="AZ284:BO284"/>
    <mergeCell ref="B284:C284"/>
    <mergeCell ref="D284:H284"/>
    <mergeCell ref="I284:P284"/>
    <mergeCell ref="Q284:X284"/>
    <mergeCell ref="Y284:Z284"/>
    <mergeCell ref="AA284:AD284"/>
    <mergeCell ref="AE284:AG284"/>
    <mergeCell ref="AH285:AJ285"/>
    <mergeCell ref="AK285:AN285"/>
    <mergeCell ref="AO285:AV285"/>
    <mergeCell ref="AW285:AY285"/>
    <mergeCell ref="AZ285:BO285"/>
    <mergeCell ref="B285:C285"/>
    <mergeCell ref="D285:H285"/>
    <mergeCell ref="I285:P285"/>
    <mergeCell ref="Q285:X285"/>
    <mergeCell ref="Y285:Z285"/>
    <mergeCell ref="AA285:AD285"/>
    <mergeCell ref="AE285:AG285"/>
    <mergeCell ref="AH286:AJ286"/>
    <mergeCell ref="AK286:AN286"/>
    <mergeCell ref="AO286:AV286"/>
    <mergeCell ref="AW286:AY286"/>
    <mergeCell ref="AZ286:BO286"/>
    <mergeCell ref="B286:C286"/>
    <mergeCell ref="D286:H286"/>
    <mergeCell ref="I286:P286"/>
    <mergeCell ref="Q286:X286"/>
    <mergeCell ref="Y286:Z286"/>
    <mergeCell ref="AA286:AD286"/>
    <mergeCell ref="AE286:AG286"/>
    <mergeCell ref="AH287:AJ287"/>
    <mergeCell ref="AK287:AN287"/>
    <mergeCell ref="AO287:AV287"/>
    <mergeCell ref="AW287:AY287"/>
    <mergeCell ref="AZ287:BO287"/>
    <mergeCell ref="B287:C287"/>
    <mergeCell ref="D287:H287"/>
    <mergeCell ref="I287:P287"/>
    <mergeCell ref="Q287:X287"/>
    <mergeCell ref="Y287:Z287"/>
    <mergeCell ref="AA287:AD287"/>
    <mergeCell ref="AE287:AG287"/>
    <mergeCell ref="AH288:AJ288"/>
    <mergeCell ref="AK288:AN288"/>
    <mergeCell ref="AO288:AV288"/>
    <mergeCell ref="AW288:AY288"/>
    <mergeCell ref="AZ288:BO288"/>
    <mergeCell ref="B288:C288"/>
    <mergeCell ref="D288:H288"/>
    <mergeCell ref="I288:P288"/>
    <mergeCell ref="Q288:X288"/>
    <mergeCell ref="Y288:Z288"/>
    <mergeCell ref="AA288:AD288"/>
    <mergeCell ref="AE288:AG288"/>
    <mergeCell ref="AH289:AJ289"/>
    <mergeCell ref="AK289:AN289"/>
    <mergeCell ref="AO289:AV289"/>
    <mergeCell ref="AW289:AY289"/>
    <mergeCell ref="AZ289:BO289"/>
    <mergeCell ref="B289:C289"/>
    <mergeCell ref="D289:H289"/>
    <mergeCell ref="I289:P289"/>
    <mergeCell ref="Q289:X289"/>
    <mergeCell ref="Y289:Z289"/>
    <mergeCell ref="AA289:AD289"/>
    <mergeCell ref="AE289:AG289"/>
    <mergeCell ref="AH290:AJ290"/>
    <mergeCell ref="AK290:AN290"/>
    <mergeCell ref="AO290:AV290"/>
    <mergeCell ref="AW290:AY290"/>
    <mergeCell ref="AZ290:BO290"/>
    <mergeCell ref="B290:C290"/>
    <mergeCell ref="D290:H290"/>
    <mergeCell ref="I290:P290"/>
    <mergeCell ref="Q290:X290"/>
    <mergeCell ref="Y290:Z290"/>
    <mergeCell ref="AA290:AD290"/>
    <mergeCell ref="AE290:AG290"/>
    <mergeCell ref="AH291:AJ291"/>
    <mergeCell ref="AK291:AN291"/>
    <mergeCell ref="AO291:AV291"/>
    <mergeCell ref="AW291:AY291"/>
    <mergeCell ref="AZ291:BO291"/>
    <mergeCell ref="B291:C291"/>
    <mergeCell ref="D291:H291"/>
    <mergeCell ref="I291:P291"/>
    <mergeCell ref="Q291:X291"/>
    <mergeCell ref="Y291:Z291"/>
    <mergeCell ref="AA291:AD291"/>
    <mergeCell ref="AE291:AG291"/>
    <mergeCell ref="AH292:AJ292"/>
    <mergeCell ref="AK292:AN292"/>
    <mergeCell ref="AO292:AV292"/>
    <mergeCell ref="AW292:AY292"/>
    <mergeCell ref="AZ292:BO292"/>
    <mergeCell ref="B292:C292"/>
    <mergeCell ref="D292:H292"/>
    <mergeCell ref="I292:P292"/>
    <mergeCell ref="Q292:X292"/>
    <mergeCell ref="Y292:Z292"/>
    <mergeCell ref="AA292:AD292"/>
    <mergeCell ref="AE292:AG292"/>
    <mergeCell ref="AH293:AJ293"/>
    <mergeCell ref="AK293:AN293"/>
    <mergeCell ref="AO293:AV293"/>
    <mergeCell ref="AW293:AY293"/>
    <mergeCell ref="AZ293:BO293"/>
    <mergeCell ref="B293:C293"/>
    <mergeCell ref="D293:H293"/>
    <mergeCell ref="I293:P293"/>
    <mergeCell ref="Q293:X293"/>
    <mergeCell ref="Y293:Z293"/>
    <mergeCell ref="AA293:AD293"/>
    <mergeCell ref="AE293:AG293"/>
    <mergeCell ref="AH294:AJ294"/>
    <mergeCell ref="AK294:AN294"/>
    <mergeCell ref="AO294:AV294"/>
    <mergeCell ref="AW294:AY294"/>
    <mergeCell ref="AZ294:BO294"/>
    <mergeCell ref="B294:C294"/>
    <mergeCell ref="D294:H294"/>
    <mergeCell ref="I294:P294"/>
    <mergeCell ref="Q294:X294"/>
    <mergeCell ref="Y294:Z294"/>
    <mergeCell ref="AA294:AD294"/>
    <mergeCell ref="AE294:AG294"/>
    <mergeCell ref="AH295:AJ295"/>
    <mergeCell ref="AK295:AN295"/>
    <mergeCell ref="AO295:AV295"/>
    <mergeCell ref="AW295:AY295"/>
    <mergeCell ref="AZ295:BO295"/>
    <mergeCell ref="B295:C295"/>
    <mergeCell ref="D295:H295"/>
    <mergeCell ref="I295:P295"/>
    <mergeCell ref="Q295:X295"/>
    <mergeCell ref="Y295:Z295"/>
    <mergeCell ref="AA295:AD295"/>
    <mergeCell ref="AE295:AG295"/>
    <mergeCell ref="AH296:AJ296"/>
    <mergeCell ref="AK296:AN296"/>
    <mergeCell ref="AO296:AV296"/>
    <mergeCell ref="AW296:AY296"/>
    <mergeCell ref="AZ296:BO296"/>
    <mergeCell ref="B296:C296"/>
    <mergeCell ref="D296:H296"/>
    <mergeCell ref="I296:P296"/>
    <mergeCell ref="Q296:X296"/>
    <mergeCell ref="Y296:Z296"/>
    <mergeCell ref="AA296:AD296"/>
    <mergeCell ref="AE296:AG296"/>
    <mergeCell ref="AH297:AJ297"/>
    <mergeCell ref="AK297:AN297"/>
    <mergeCell ref="AO297:AV297"/>
    <mergeCell ref="AW297:AY297"/>
    <mergeCell ref="AZ297:BO297"/>
    <mergeCell ref="B297:C297"/>
    <mergeCell ref="D297:H297"/>
    <mergeCell ref="I297:P297"/>
    <mergeCell ref="Q297:X297"/>
    <mergeCell ref="Y297:Z297"/>
    <mergeCell ref="AA297:AD297"/>
    <mergeCell ref="AE297:AG297"/>
    <mergeCell ref="AH298:AJ298"/>
    <mergeCell ref="AK298:AN298"/>
    <mergeCell ref="AO298:AV298"/>
    <mergeCell ref="AW298:AY298"/>
    <mergeCell ref="AZ298:BO298"/>
    <mergeCell ref="B298:C298"/>
    <mergeCell ref="D298:H298"/>
    <mergeCell ref="I298:P298"/>
    <mergeCell ref="Q298:X298"/>
    <mergeCell ref="Y298:Z298"/>
    <mergeCell ref="AA298:AD298"/>
    <mergeCell ref="AE298:AG298"/>
    <mergeCell ref="AH299:AJ299"/>
    <mergeCell ref="AK299:AN299"/>
    <mergeCell ref="AO299:AV299"/>
    <mergeCell ref="AW299:AY299"/>
    <mergeCell ref="AZ299:BO299"/>
    <mergeCell ref="B299:C299"/>
    <mergeCell ref="D299:H299"/>
    <mergeCell ref="I299:P299"/>
    <mergeCell ref="Q299:X299"/>
    <mergeCell ref="Y299:Z299"/>
    <mergeCell ref="AA299:AD299"/>
    <mergeCell ref="AE299:AG299"/>
    <mergeCell ref="AH300:AJ300"/>
    <mergeCell ref="AK300:AN300"/>
    <mergeCell ref="AO300:AV300"/>
    <mergeCell ref="AW300:AY300"/>
    <mergeCell ref="AZ300:BO300"/>
    <mergeCell ref="B300:C300"/>
    <mergeCell ref="D300:H300"/>
    <mergeCell ref="I300:P300"/>
    <mergeCell ref="Q300:X300"/>
    <mergeCell ref="Y300:Z300"/>
    <mergeCell ref="AA300:AD300"/>
    <mergeCell ref="AE300:AG300"/>
    <mergeCell ref="AH301:AJ301"/>
    <mergeCell ref="AK301:AN301"/>
    <mergeCell ref="AO301:AV301"/>
    <mergeCell ref="AW301:AY301"/>
    <mergeCell ref="AZ301:BO301"/>
    <mergeCell ref="B301:C301"/>
    <mergeCell ref="D301:H301"/>
    <mergeCell ref="I301:P301"/>
    <mergeCell ref="Q301:X301"/>
    <mergeCell ref="Y301:Z301"/>
    <mergeCell ref="AA301:AD301"/>
    <mergeCell ref="AE301:AG301"/>
    <mergeCell ref="AH302:AJ302"/>
    <mergeCell ref="AK302:AN302"/>
    <mergeCell ref="AO302:AV302"/>
    <mergeCell ref="AW302:AY302"/>
    <mergeCell ref="AZ302:BO302"/>
    <mergeCell ref="B302:C302"/>
    <mergeCell ref="D302:H302"/>
    <mergeCell ref="I302:P302"/>
    <mergeCell ref="Q302:X302"/>
    <mergeCell ref="Y302:Z302"/>
    <mergeCell ref="AA302:AD302"/>
    <mergeCell ref="AE302:AG302"/>
    <mergeCell ref="AH303:AJ303"/>
    <mergeCell ref="AK303:AN303"/>
    <mergeCell ref="AO303:AV303"/>
    <mergeCell ref="AW303:AY303"/>
    <mergeCell ref="AZ303:BO303"/>
    <mergeCell ref="B303:C303"/>
    <mergeCell ref="D303:H303"/>
    <mergeCell ref="I303:P303"/>
    <mergeCell ref="Q303:X303"/>
    <mergeCell ref="Y303:Z303"/>
    <mergeCell ref="AA303:AD303"/>
    <mergeCell ref="AE303:AG303"/>
    <mergeCell ref="AH304:AJ304"/>
    <mergeCell ref="AK304:AN304"/>
    <mergeCell ref="AO304:AV304"/>
    <mergeCell ref="AW304:AY304"/>
    <mergeCell ref="AZ304:BO304"/>
    <mergeCell ref="B304:C304"/>
    <mergeCell ref="D304:H304"/>
    <mergeCell ref="I304:P304"/>
    <mergeCell ref="Q304:X304"/>
    <mergeCell ref="Y304:Z304"/>
    <mergeCell ref="AA304:AD304"/>
    <mergeCell ref="AE304:AG304"/>
    <mergeCell ref="AH305:AJ305"/>
    <mergeCell ref="AK305:AN305"/>
    <mergeCell ref="AO305:AV305"/>
    <mergeCell ref="AW305:AY305"/>
    <mergeCell ref="AZ305:BO305"/>
    <mergeCell ref="B305:C305"/>
    <mergeCell ref="D305:H305"/>
    <mergeCell ref="I305:P305"/>
    <mergeCell ref="Q305:X305"/>
    <mergeCell ref="Y305:Z305"/>
    <mergeCell ref="AA305:AD305"/>
    <mergeCell ref="AE305:AG305"/>
    <mergeCell ref="AH306:AJ306"/>
    <mergeCell ref="AK306:AN306"/>
    <mergeCell ref="AO306:AV306"/>
    <mergeCell ref="AW306:AY306"/>
    <mergeCell ref="AZ306:BO306"/>
    <mergeCell ref="B306:C306"/>
    <mergeCell ref="D306:H306"/>
    <mergeCell ref="I306:P306"/>
    <mergeCell ref="Q306:X306"/>
    <mergeCell ref="Y306:Z306"/>
    <mergeCell ref="AA306:AD306"/>
    <mergeCell ref="AE306:AG306"/>
    <mergeCell ref="AH307:AJ307"/>
    <mergeCell ref="AK307:AN307"/>
    <mergeCell ref="AO307:AV307"/>
    <mergeCell ref="AW307:AY307"/>
    <mergeCell ref="AZ307:BO307"/>
    <mergeCell ref="B307:C307"/>
    <mergeCell ref="D307:H307"/>
    <mergeCell ref="I307:P307"/>
    <mergeCell ref="Q307:X307"/>
    <mergeCell ref="Y307:Z307"/>
    <mergeCell ref="AA307:AD307"/>
    <mergeCell ref="AE307:AG307"/>
    <mergeCell ref="AH308:AJ308"/>
    <mergeCell ref="AK308:AN308"/>
    <mergeCell ref="AO308:AV308"/>
    <mergeCell ref="AW308:AY308"/>
    <mergeCell ref="AZ308:BO308"/>
    <mergeCell ref="B308:C308"/>
    <mergeCell ref="D308:H308"/>
    <mergeCell ref="I308:P308"/>
    <mergeCell ref="Q308:X308"/>
    <mergeCell ref="Y308:Z308"/>
    <mergeCell ref="AA308:AD308"/>
    <mergeCell ref="AE308:AG308"/>
    <mergeCell ref="AH309:AJ309"/>
    <mergeCell ref="AK309:AN309"/>
    <mergeCell ref="AO309:AV309"/>
    <mergeCell ref="AW309:AY309"/>
    <mergeCell ref="AZ309:BO309"/>
    <mergeCell ref="B309:C309"/>
    <mergeCell ref="D309:H309"/>
    <mergeCell ref="I309:P309"/>
    <mergeCell ref="Q309:X309"/>
    <mergeCell ref="Y309:Z309"/>
    <mergeCell ref="AA309:AD309"/>
    <mergeCell ref="AE309:AG309"/>
    <mergeCell ref="AH310:AJ310"/>
    <mergeCell ref="AK310:AN310"/>
    <mergeCell ref="AO310:AV310"/>
    <mergeCell ref="AW310:AY310"/>
    <mergeCell ref="AZ310:BO310"/>
    <mergeCell ref="B310:C310"/>
    <mergeCell ref="D310:H310"/>
    <mergeCell ref="I310:P310"/>
    <mergeCell ref="Q310:X310"/>
    <mergeCell ref="Y310:Z310"/>
    <mergeCell ref="AA310:AD310"/>
    <mergeCell ref="AE310:AG310"/>
    <mergeCell ref="AH311:AJ311"/>
    <mergeCell ref="AK311:AN311"/>
    <mergeCell ref="AO311:AV311"/>
    <mergeCell ref="AW311:AY311"/>
    <mergeCell ref="AZ311:BO311"/>
    <mergeCell ref="B311:C311"/>
    <mergeCell ref="D311:H311"/>
    <mergeCell ref="I311:P311"/>
    <mergeCell ref="Q311:X311"/>
    <mergeCell ref="Y311:Z311"/>
    <mergeCell ref="AA311:AD311"/>
    <mergeCell ref="AE311:AG311"/>
    <mergeCell ref="AH312:AJ312"/>
    <mergeCell ref="AK312:AN312"/>
    <mergeCell ref="AO312:AV312"/>
    <mergeCell ref="AW312:AY312"/>
    <mergeCell ref="AZ312:BO312"/>
    <mergeCell ref="B312:C312"/>
    <mergeCell ref="D312:H312"/>
    <mergeCell ref="I312:P312"/>
    <mergeCell ref="Q312:X312"/>
    <mergeCell ref="Y312:Z312"/>
    <mergeCell ref="AA312:AD312"/>
    <mergeCell ref="AE312:AG312"/>
    <mergeCell ref="AH313:AJ313"/>
    <mergeCell ref="AK313:AN313"/>
    <mergeCell ref="AO313:AV313"/>
    <mergeCell ref="AW313:AY313"/>
    <mergeCell ref="AZ313:BO313"/>
    <mergeCell ref="B313:C313"/>
    <mergeCell ref="D313:H313"/>
    <mergeCell ref="I313:P313"/>
    <mergeCell ref="Q313:X313"/>
    <mergeCell ref="Y313:Z313"/>
    <mergeCell ref="AA313:AD313"/>
    <mergeCell ref="AE313:AG313"/>
    <mergeCell ref="AH314:AJ314"/>
    <mergeCell ref="AK314:AN314"/>
    <mergeCell ref="AO314:AV314"/>
    <mergeCell ref="AW314:AY314"/>
    <mergeCell ref="AZ314:BO314"/>
    <mergeCell ref="B314:C314"/>
    <mergeCell ref="D314:H314"/>
    <mergeCell ref="I314:P314"/>
    <mergeCell ref="Q314:X314"/>
    <mergeCell ref="Y314:Z314"/>
    <mergeCell ref="AA314:AD314"/>
    <mergeCell ref="AE314:AG314"/>
    <mergeCell ref="AH315:AJ315"/>
    <mergeCell ref="AK315:AN315"/>
    <mergeCell ref="AO315:AV315"/>
    <mergeCell ref="AW315:AY315"/>
    <mergeCell ref="AZ315:BO315"/>
    <mergeCell ref="B315:C315"/>
    <mergeCell ref="D315:H315"/>
    <mergeCell ref="I315:P315"/>
    <mergeCell ref="Q315:X315"/>
    <mergeCell ref="Y315:Z315"/>
    <mergeCell ref="AA315:AD315"/>
    <mergeCell ref="AE315:AG315"/>
    <mergeCell ref="AH316:AJ316"/>
    <mergeCell ref="AK316:AN316"/>
    <mergeCell ref="AO316:AV316"/>
    <mergeCell ref="AW316:AY316"/>
    <mergeCell ref="AZ316:BO316"/>
    <mergeCell ref="B316:C316"/>
    <mergeCell ref="D316:H316"/>
    <mergeCell ref="I316:P316"/>
    <mergeCell ref="Q316:X316"/>
    <mergeCell ref="Y316:Z316"/>
    <mergeCell ref="AA316:AD316"/>
    <mergeCell ref="AE316:AG316"/>
    <mergeCell ref="AH317:AJ317"/>
    <mergeCell ref="AK317:AN317"/>
    <mergeCell ref="AO317:AV317"/>
    <mergeCell ref="AW317:AY317"/>
    <mergeCell ref="AZ317:BO317"/>
    <mergeCell ref="B317:C317"/>
    <mergeCell ref="D317:H317"/>
    <mergeCell ref="I317:P317"/>
    <mergeCell ref="Q317:X317"/>
    <mergeCell ref="Y317:Z317"/>
    <mergeCell ref="AA317:AD317"/>
    <mergeCell ref="AE317:AG317"/>
    <mergeCell ref="AH318:AJ318"/>
    <mergeCell ref="AK318:AN318"/>
    <mergeCell ref="AO318:AV318"/>
    <mergeCell ref="AW318:AY318"/>
    <mergeCell ref="AZ318:BO318"/>
    <mergeCell ref="B318:C318"/>
    <mergeCell ref="D318:H318"/>
    <mergeCell ref="I318:P318"/>
    <mergeCell ref="Q318:X318"/>
    <mergeCell ref="Y318:Z318"/>
    <mergeCell ref="AA318:AD318"/>
    <mergeCell ref="AE318:AG318"/>
    <mergeCell ref="AH319:AJ319"/>
    <mergeCell ref="AK319:AN319"/>
    <mergeCell ref="AO319:AV319"/>
    <mergeCell ref="AW319:AY319"/>
    <mergeCell ref="AZ319:BO319"/>
    <mergeCell ref="B319:C319"/>
    <mergeCell ref="D319:H319"/>
    <mergeCell ref="I319:P319"/>
    <mergeCell ref="Q319:X319"/>
    <mergeCell ref="Y319:Z319"/>
    <mergeCell ref="AA319:AD319"/>
    <mergeCell ref="AE319:AG319"/>
    <mergeCell ref="AH320:AJ320"/>
    <mergeCell ref="AK320:AN320"/>
    <mergeCell ref="AO320:AV320"/>
    <mergeCell ref="AW320:AY320"/>
    <mergeCell ref="AZ320:BO320"/>
    <mergeCell ref="B320:C320"/>
    <mergeCell ref="D320:H320"/>
    <mergeCell ref="I320:P320"/>
    <mergeCell ref="Q320:X320"/>
    <mergeCell ref="Y320:Z320"/>
    <mergeCell ref="AA320:AD320"/>
    <mergeCell ref="AE320:AG320"/>
    <mergeCell ref="AH321:AJ321"/>
    <mergeCell ref="AK321:AN321"/>
    <mergeCell ref="AO321:AV321"/>
    <mergeCell ref="AW321:AY321"/>
    <mergeCell ref="AZ321:BO321"/>
    <mergeCell ref="B321:C321"/>
    <mergeCell ref="D321:H321"/>
    <mergeCell ref="I321:P321"/>
    <mergeCell ref="Q321:X321"/>
    <mergeCell ref="Y321:Z321"/>
    <mergeCell ref="AA321:AD321"/>
    <mergeCell ref="AE321:AG321"/>
    <mergeCell ref="AH322:AJ322"/>
    <mergeCell ref="AK322:AN322"/>
    <mergeCell ref="AO322:AV322"/>
    <mergeCell ref="AW322:AY322"/>
    <mergeCell ref="AZ322:BO322"/>
    <mergeCell ref="B322:C322"/>
    <mergeCell ref="D322:H322"/>
    <mergeCell ref="I322:P322"/>
    <mergeCell ref="Q322:X322"/>
    <mergeCell ref="Y322:Z322"/>
    <mergeCell ref="AA322:AD322"/>
    <mergeCell ref="AE322:AG322"/>
    <mergeCell ref="AH323:AJ323"/>
    <mergeCell ref="AK323:AN323"/>
    <mergeCell ref="AO323:AV323"/>
    <mergeCell ref="AW323:AY323"/>
    <mergeCell ref="AZ323:BO323"/>
    <mergeCell ref="B323:C323"/>
    <mergeCell ref="D323:H323"/>
    <mergeCell ref="I323:P323"/>
    <mergeCell ref="Q323:X323"/>
    <mergeCell ref="Y323:Z323"/>
    <mergeCell ref="AA323:AD323"/>
    <mergeCell ref="AE323:AG323"/>
    <mergeCell ref="AH324:AJ324"/>
    <mergeCell ref="AK324:AN324"/>
    <mergeCell ref="AO324:AV324"/>
    <mergeCell ref="AW324:AY324"/>
    <mergeCell ref="AZ324:BO324"/>
    <mergeCell ref="B324:C324"/>
    <mergeCell ref="D324:H324"/>
    <mergeCell ref="I324:P324"/>
    <mergeCell ref="Q324:X324"/>
    <mergeCell ref="Y324:Z324"/>
    <mergeCell ref="AA324:AD324"/>
    <mergeCell ref="AE324:AG324"/>
    <mergeCell ref="AH325:AJ325"/>
    <mergeCell ref="AK325:AN325"/>
    <mergeCell ref="AO325:AV325"/>
    <mergeCell ref="AW325:AY325"/>
    <mergeCell ref="AZ325:BO325"/>
    <mergeCell ref="B325:C325"/>
    <mergeCell ref="D325:H325"/>
    <mergeCell ref="I325:P325"/>
    <mergeCell ref="Q325:X325"/>
    <mergeCell ref="Y325:Z325"/>
    <mergeCell ref="AA325:AD325"/>
    <mergeCell ref="AE325:AG325"/>
    <mergeCell ref="AH326:AJ326"/>
    <mergeCell ref="AK326:AN326"/>
    <mergeCell ref="AO326:AV326"/>
    <mergeCell ref="AW326:AY326"/>
    <mergeCell ref="AZ326:BO326"/>
    <mergeCell ref="B326:C326"/>
    <mergeCell ref="D326:H326"/>
    <mergeCell ref="I326:P326"/>
    <mergeCell ref="Q326:X326"/>
    <mergeCell ref="Y326:Z326"/>
    <mergeCell ref="AA326:AD326"/>
    <mergeCell ref="AE326:AG326"/>
    <mergeCell ref="AH327:AJ327"/>
    <mergeCell ref="AK327:AN327"/>
    <mergeCell ref="AO327:AV327"/>
    <mergeCell ref="AW327:AY327"/>
    <mergeCell ref="AZ327:BO327"/>
    <mergeCell ref="B327:C327"/>
    <mergeCell ref="D327:H327"/>
    <mergeCell ref="I327:P327"/>
    <mergeCell ref="Q327:X327"/>
    <mergeCell ref="Y327:Z327"/>
    <mergeCell ref="AA327:AD327"/>
    <mergeCell ref="AE327:AG327"/>
    <mergeCell ref="AH328:AJ328"/>
    <mergeCell ref="AK328:AN328"/>
    <mergeCell ref="AO328:AV328"/>
    <mergeCell ref="AW328:AY328"/>
    <mergeCell ref="AZ328:BO328"/>
    <mergeCell ref="B328:C328"/>
    <mergeCell ref="D328:H328"/>
    <mergeCell ref="I328:P328"/>
    <mergeCell ref="Q328:X328"/>
    <mergeCell ref="Y328:Z328"/>
    <mergeCell ref="AA328:AD328"/>
    <mergeCell ref="AE328:AG328"/>
    <mergeCell ref="AH329:AJ329"/>
    <mergeCell ref="AK329:AN329"/>
    <mergeCell ref="AO329:AV329"/>
    <mergeCell ref="AW329:AY329"/>
    <mergeCell ref="AZ329:BO329"/>
    <mergeCell ref="B329:C329"/>
    <mergeCell ref="D329:H329"/>
    <mergeCell ref="I329:P329"/>
    <mergeCell ref="Q329:X329"/>
    <mergeCell ref="Y329:Z329"/>
    <mergeCell ref="AA329:AD329"/>
    <mergeCell ref="AE329:AG329"/>
    <mergeCell ref="AH330:AJ330"/>
    <mergeCell ref="AK330:AN330"/>
    <mergeCell ref="AO330:AV330"/>
    <mergeCell ref="AW330:AY330"/>
    <mergeCell ref="AZ330:BO330"/>
    <mergeCell ref="B330:C330"/>
    <mergeCell ref="D330:H330"/>
    <mergeCell ref="I330:P330"/>
    <mergeCell ref="Q330:X330"/>
    <mergeCell ref="Y330:Z330"/>
    <mergeCell ref="AA330:AD330"/>
    <mergeCell ref="AE330:AG330"/>
    <mergeCell ref="AH331:AJ331"/>
    <mergeCell ref="AK331:AN331"/>
    <mergeCell ref="AO331:AV331"/>
    <mergeCell ref="AW331:AY331"/>
    <mergeCell ref="AZ331:BO331"/>
    <mergeCell ref="B331:C331"/>
    <mergeCell ref="D331:H331"/>
    <mergeCell ref="I331:P331"/>
    <mergeCell ref="Q331:X331"/>
    <mergeCell ref="Y331:Z331"/>
    <mergeCell ref="AA331:AD331"/>
    <mergeCell ref="AE331:AG331"/>
    <mergeCell ref="AH332:AJ332"/>
    <mergeCell ref="AK332:AN332"/>
    <mergeCell ref="AO332:AV332"/>
    <mergeCell ref="AW332:AY332"/>
    <mergeCell ref="AZ332:BO332"/>
    <mergeCell ref="B332:C332"/>
    <mergeCell ref="D332:H332"/>
    <mergeCell ref="I332:P332"/>
    <mergeCell ref="Q332:X332"/>
    <mergeCell ref="Y332:Z332"/>
    <mergeCell ref="AA332:AD332"/>
    <mergeCell ref="AE332:AG332"/>
    <mergeCell ref="AH333:AJ333"/>
    <mergeCell ref="AK333:AN333"/>
    <mergeCell ref="AO333:AV333"/>
    <mergeCell ref="AW333:AY333"/>
    <mergeCell ref="AZ333:BO333"/>
    <mergeCell ref="B333:C333"/>
    <mergeCell ref="D333:H333"/>
    <mergeCell ref="I333:P333"/>
    <mergeCell ref="Q333:X333"/>
    <mergeCell ref="Y333:Z333"/>
    <mergeCell ref="AA333:AD333"/>
    <mergeCell ref="AE333:AG333"/>
    <mergeCell ref="AH334:AJ334"/>
    <mergeCell ref="AK334:AN334"/>
    <mergeCell ref="AO334:AV334"/>
    <mergeCell ref="AW334:AY334"/>
    <mergeCell ref="AZ334:BO334"/>
    <mergeCell ref="B334:C334"/>
    <mergeCell ref="D334:H334"/>
    <mergeCell ref="I334:P334"/>
    <mergeCell ref="Q334:X334"/>
    <mergeCell ref="Y334:Z334"/>
    <mergeCell ref="AA334:AD334"/>
    <mergeCell ref="AE334:AG334"/>
    <mergeCell ref="AH335:AJ335"/>
    <mergeCell ref="AK335:AN335"/>
    <mergeCell ref="AO335:AV335"/>
    <mergeCell ref="AW335:AY335"/>
    <mergeCell ref="AZ335:BO335"/>
    <mergeCell ref="B335:C335"/>
    <mergeCell ref="D335:H335"/>
    <mergeCell ref="I335:P335"/>
    <mergeCell ref="Q335:X335"/>
    <mergeCell ref="Y335:Z335"/>
    <mergeCell ref="AA335:AD335"/>
    <mergeCell ref="AE335:AG335"/>
    <mergeCell ref="AH336:AJ336"/>
    <mergeCell ref="AK336:AN336"/>
    <mergeCell ref="AO336:AV336"/>
    <mergeCell ref="AW336:AY336"/>
    <mergeCell ref="AZ336:BO336"/>
    <mergeCell ref="B336:C336"/>
    <mergeCell ref="D336:H336"/>
    <mergeCell ref="I336:P336"/>
    <mergeCell ref="Q336:X336"/>
    <mergeCell ref="Y336:Z336"/>
    <mergeCell ref="AA336:AD336"/>
    <mergeCell ref="AE336:AG336"/>
    <mergeCell ref="AH337:AJ337"/>
    <mergeCell ref="AK337:AN337"/>
    <mergeCell ref="AO337:AV337"/>
    <mergeCell ref="AW337:AY337"/>
    <mergeCell ref="AZ337:BO337"/>
    <mergeCell ref="B337:C337"/>
    <mergeCell ref="D337:H337"/>
    <mergeCell ref="I337:P337"/>
    <mergeCell ref="Q337:X337"/>
    <mergeCell ref="Y337:Z337"/>
    <mergeCell ref="AA337:AD337"/>
    <mergeCell ref="AE337:AG337"/>
    <mergeCell ref="AH338:AJ338"/>
    <mergeCell ref="AK338:AN338"/>
    <mergeCell ref="AO338:AV338"/>
    <mergeCell ref="AW338:AY338"/>
    <mergeCell ref="AZ338:BO338"/>
    <mergeCell ref="B338:C338"/>
    <mergeCell ref="D338:H338"/>
    <mergeCell ref="I338:P338"/>
    <mergeCell ref="Q338:X338"/>
    <mergeCell ref="Y338:Z338"/>
    <mergeCell ref="AA338:AD338"/>
    <mergeCell ref="AE338:AG338"/>
    <mergeCell ref="AH339:AJ339"/>
    <mergeCell ref="AK339:AN339"/>
    <mergeCell ref="AO339:AV339"/>
    <mergeCell ref="AW339:AY339"/>
    <mergeCell ref="AZ339:BO339"/>
    <mergeCell ref="B339:C339"/>
    <mergeCell ref="D339:H339"/>
    <mergeCell ref="I339:P339"/>
    <mergeCell ref="Q339:X339"/>
    <mergeCell ref="Y339:Z339"/>
    <mergeCell ref="AA339:AD339"/>
    <mergeCell ref="AE339:AG339"/>
    <mergeCell ref="AH340:AJ340"/>
    <mergeCell ref="AK340:AN340"/>
    <mergeCell ref="AO340:AV340"/>
    <mergeCell ref="AW340:AY340"/>
    <mergeCell ref="AZ340:BO340"/>
    <mergeCell ref="B340:C340"/>
    <mergeCell ref="D340:H340"/>
    <mergeCell ref="I340:P340"/>
    <mergeCell ref="Q340:X340"/>
    <mergeCell ref="Y340:Z340"/>
    <mergeCell ref="AA340:AD340"/>
    <mergeCell ref="AE340:AG340"/>
    <mergeCell ref="AH341:AJ341"/>
    <mergeCell ref="AK341:AN341"/>
    <mergeCell ref="AO341:AV341"/>
    <mergeCell ref="AW341:AY341"/>
    <mergeCell ref="AZ341:BO341"/>
    <mergeCell ref="B341:C341"/>
    <mergeCell ref="D341:H341"/>
    <mergeCell ref="I341:P341"/>
    <mergeCell ref="Q341:X341"/>
    <mergeCell ref="Y341:Z341"/>
    <mergeCell ref="AA341:AD341"/>
    <mergeCell ref="AE341:AG341"/>
    <mergeCell ref="AH342:AJ342"/>
    <mergeCell ref="AK342:AN342"/>
    <mergeCell ref="AO342:AV342"/>
    <mergeCell ref="AW342:AY342"/>
    <mergeCell ref="AZ342:BO342"/>
    <mergeCell ref="B342:C342"/>
    <mergeCell ref="D342:H342"/>
    <mergeCell ref="I342:P342"/>
    <mergeCell ref="Q342:X342"/>
    <mergeCell ref="Y342:Z342"/>
    <mergeCell ref="AA342:AD342"/>
    <mergeCell ref="AE342:AG342"/>
    <mergeCell ref="AH343:AJ343"/>
    <mergeCell ref="AK343:AN343"/>
    <mergeCell ref="AO343:AV343"/>
    <mergeCell ref="AW343:AY343"/>
    <mergeCell ref="AZ343:BO343"/>
    <mergeCell ref="B343:C343"/>
    <mergeCell ref="D343:H343"/>
    <mergeCell ref="I343:P343"/>
    <mergeCell ref="Q343:X343"/>
    <mergeCell ref="Y343:Z343"/>
    <mergeCell ref="AA343:AD343"/>
    <mergeCell ref="AE343:AG343"/>
    <mergeCell ref="AH344:AJ344"/>
    <mergeCell ref="AK344:AN344"/>
    <mergeCell ref="AO344:AV344"/>
    <mergeCell ref="AW344:AY344"/>
    <mergeCell ref="AZ344:BO344"/>
    <mergeCell ref="B344:C344"/>
    <mergeCell ref="D344:H344"/>
    <mergeCell ref="I344:P344"/>
    <mergeCell ref="Q344:X344"/>
    <mergeCell ref="Y344:Z344"/>
    <mergeCell ref="AA344:AD344"/>
    <mergeCell ref="AE344:AG344"/>
    <mergeCell ref="AH345:AJ345"/>
    <mergeCell ref="AK345:AN345"/>
    <mergeCell ref="AO345:AV345"/>
    <mergeCell ref="AW345:AY345"/>
    <mergeCell ref="AZ345:BO345"/>
    <mergeCell ref="B345:C345"/>
    <mergeCell ref="D345:H345"/>
    <mergeCell ref="I345:P345"/>
    <mergeCell ref="Q345:X345"/>
    <mergeCell ref="Y345:Z345"/>
    <mergeCell ref="AA345:AD345"/>
    <mergeCell ref="AE345:AG345"/>
    <mergeCell ref="AH346:AJ346"/>
    <mergeCell ref="AK346:AN346"/>
    <mergeCell ref="AO346:AV346"/>
    <mergeCell ref="AW346:AY346"/>
    <mergeCell ref="AZ346:BO346"/>
    <mergeCell ref="B346:C346"/>
    <mergeCell ref="D346:H346"/>
    <mergeCell ref="I346:P346"/>
    <mergeCell ref="Q346:X346"/>
    <mergeCell ref="Y346:Z346"/>
    <mergeCell ref="AA346:AD346"/>
    <mergeCell ref="AE346:AG346"/>
    <mergeCell ref="AH347:AJ347"/>
    <mergeCell ref="AK347:AN347"/>
    <mergeCell ref="AO347:AV347"/>
    <mergeCell ref="AW347:AY347"/>
    <mergeCell ref="AZ347:BO347"/>
    <mergeCell ref="B347:C347"/>
    <mergeCell ref="D347:H347"/>
    <mergeCell ref="I347:P347"/>
    <mergeCell ref="Q347:X347"/>
    <mergeCell ref="Y347:Z347"/>
    <mergeCell ref="AA347:AD347"/>
    <mergeCell ref="AE347:AG347"/>
    <mergeCell ref="AH348:AJ348"/>
    <mergeCell ref="AK348:AN348"/>
    <mergeCell ref="AO348:AV348"/>
    <mergeCell ref="AW348:AY348"/>
    <mergeCell ref="AZ348:BO348"/>
    <mergeCell ref="B348:C348"/>
    <mergeCell ref="D348:H348"/>
    <mergeCell ref="I348:P348"/>
    <mergeCell ref="Q348:X348"/>
    <mergeCell ref="Y348:Z348"/>
    <mergeCell ref="AA348:AD348"/>
    <mergeCell ref="AE348:AG348"/>
    <mergeCell ref="AH349:AJ349"/>
    <mergeCell ref="AK349:AN349"/>
    <mergeCell ref="AO349:AV349"/>
    <mergeCell ref="AW349:AY349"/>
    <mergeCell ref="AZ349:BO349"/>
    <mergeCell ref="B349:C349"/>
    <mergeCell ref="D349:H349"/>
    <mergeCell ref="I349:P349"/>
    <mergeCell ref="Q349:X349"/>
    <mergeCell ref="Y349:Z349"/>
    <mergeCell ref="AA349:AD349"/>
    <mergeCell ref="AE349:AG349"/>
    <mergeCell ref="AH350:AJ350"/>
    <mergeCell ref="AK350:AN350"/>
    <mergeCell ref="AO350:AV350"/>
    <mergeCell ref="AW350:AY350"/>
    <mergeCell ref="AZ350:BO350"/>
    <mergeCell ref="B350:C350"/>
    <mergeCell ref="D350:H350"/>
    <mergeCell ref="I350:P350"/>
    <mergeCell ref="Q350:X350"/>
    <mergeCell ref="Y350:Z350"/>
    <mergeCell ref="AA350:AD350"/>
    <mergeCell ref="AE350:AG350"/>
    <mergeCell ref="AH351:AJ351"/>
    <mergeCell ref="AK351:AN351"/>
    <mergeCell ref="AO351:AV351"/>
    <mergeCell ref="AW351:AY351"/>
    <mergeCell ref="AZ351:BO351"/>
    <mergeCell ref="B351:C351"/>
    <mergeCell ref="D351:H351"/>
    <mergeCell ref="I351:P351"/>
    <mergeCell ref="Q351:X351"/>
    <mergeCell ref="Y351:Z351"/>
    <mergeCell ref="AA351:AD351"/>
    <mergeCell ref="AE351:AG351"/>
    <mergeCell ref="AH352:AJ352"/>
    <mergeCell ref="AK352:AN352"/>
    <mergeCell ref="AO352:AV352"/>
    <mergeCell ref="AW352:AY352"/>
    <mergeCell ref="AZ352:BO352"/>
    <mergeCell ref="B352:C352"/>
    <mergeCell ref="D352:H352"/>
    <mergeCell ref="I352:P352"/>
    <mergeCell ref="Q352:X352"/>
    <mergeCell ref="Y352:Z352"/>
    <mergeCell ref="AA352:AD352"/>
    <mergeCell ref="AE352:AG352"/>
    <mergeCell ref="Q356:X356"/>
    <mergeCell ref="Y356:Z356"/>
    <mergeCell ref="AA356:AD356"/>
    <mergeCell ref="AE356:AG356"/>
    <mergeCell ref="AH353:AJ353"/>
    <mergeCell ref="AK353:AN353"/>
    <mergeCell ref="AO353:AV353"/>
    <mergeCell ref="AW353:AY353"/>
    <mergeCell ref="AZ353:BO353"/>
    <mergeCell ref="B353:C353"/>
    <mergeCell ref="D353:H353"/>
    <mergeCell ref="I353:P353"/>
    <mergeCell ref="Q353:X353"/>
    <mergeCell ref="Y353:Z353"/>
    <mergeCell ref="AA353:AD353"/>
    <mergeCell ref="AE353:AG353"/>
    <mergeCell ref="AH354:AJ354"/>
    <mergeCell ref="AK354:AN354"/>
    <mergeCell ref="AO354:AV354"/>
    <mergeCell ref="AW354:AY354"/>
    <mergeCell ref="AZ354:BO354"/>
    <mergeCell ref="B354:C354"/>
    <mergeCell ref="D354:H354"/>
    <mergeCell ref="I354:P354"/>
    <mergeCell ref="Q354:X354"/>
    <mergeCell ref="Y354:Z354"/>
    <mergeCell ref="AA354:AD354"/>
    <mergeCell ref="AE354:AG354"/>
    <mergeCell ref="AH357:AJ357"/>
    <mergeCell ref="AK357:AN357"/>
    <mergeCell ref="AO357:AV357"/>
    <mergeCell ref="AW357:AY357"/>
    <mergeCell ref="AZ357:BO357"/>
    <mergeCell ref="B357:C357"/>
    <mergeCell ref="D357:H357"/>
    <mergeCell ref="I357:P357"/>
    <mergeCell ref="Q357:X357"/>
    <mergeCell ref="Y357:Z357"/>
    <mergeCell ref="AA357:AD357"/>
    <mergeCell ref="AE357:AG357"/>
    <mergeCell ref="AH355:AJ355"/>
    <mergeCell ref="AK355:AN355"/>
    <mergeCell ref="AO355:AV355"/>
    <mergeCell ref="AW355:AY355"/>
    <mergeCell ref="AZ355:BO355"/>
    <mergeCell ref="B355:C355"/>
    <mergeCell ref="D355:H355"/>
    <mergeCell ref="I355:P355"/>
    <mergeCell ref="Q355:X355"/>
    <mergeCell ref="Y355:Z355"/>
    <mergeCell ref="AA355:AD355"/>
    <mergeCell ref="AE355:AG355"/>
    <mergeCell ref="AH356:AJ356"/>
    <mergeCell ref="AK356:AN356"/>
    <mergeCell ref="AO356:AV356"/>
    <mergeCell ref="AW356:AY356"/>
    <mergeCell ref="AZ356:BO356"/>
    <mergeCell ref="B356:C356"/>
    <mergeCell ref="D356:H356"/>
    <mergeCell ref="I356:P356"/>
  </mergeCells>
  <pageMargins left="0.25" right="0.25" top="0.75" bottom="0.75" header="0" footer="0"/>
  <pageSetup paperSize="5"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'Drop-Down Boxes '!$D$94:$D$102</xm:f>
          </x14:formula1>
          <xm:sqref>D13:D512</xm:sqref>
        </x14:dataValidation>
        <x14:dataValidation type="list" allowBlank="1" showErrorMessage="1" xr:uid="{00000000-0002-0000-0700-000001000000}">
          <x14:formula1>
            <xm:f>'Drop-Down Boxes '!$H$3:$H$11</xm:f>
          </x14:formula1>
          <xm:sqref>P9</xm:sqref>
        </x14:dataValidation>
        <x14:dataValidation type="list" allowBlank="1" showErrorMessage="1" xr:uid="{00000000-0002-0000-0700-000002000000}">
          <x14:formula1>
            <xm:f>'Drop-Down Boxes '!$D$3:$D$14</xm:f>
          </x14:formula1>
          <xm:sqref>H9</xm:sqref>
        </x14:dataValidation>
        <x14:dataValidation type="list" allowBlank="1" showErrorMessage="1" xr:uid="{00000000-0002-0000-0700-000003000000}">
          <x14:formula1>
            <xm:f>'Drop-Down Boxes '!$H$89:$H$90</xm:f>
          </x14:formula1>
          <xm:sqref>AW13:AW512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74806"/>
  </sheetPr>
  <dimension ref="A1:AU1000"/>
  <sheetViews>
    <sheetView workbookViewId="0">
      <pane ySplit="1" topLeftCell="A9" activePane="bottomLeft" state="frozen"/>
      <selection pane="bottomLeft" activeCell="F9" sqref="F9:M9"/>
    </sheetView>
  </sheetViews>
  <sheetFormatPr defaultColWidth="14.42578125" defaultRowHeight="15" customHeight="1"/>
  <cols>
    <col min="1" max="1" width="5.7109375" customWidth="1"/>
    <col min="2" max="2" width="7.42578125" customWidth="1"/>
    <col min="3" max="35" width="5.7109375" customWidth="1"/>
    <col min="36" max="47" width="8.85546875" customWidth="1"/>
  </cols>
  <sheetData>
    <row r="1" spans="1:47" ht="49.5" customHeight="1">
      <c r="A1" s="99" t="s">
        <v>287</v>
      </c>
      <c r="B1" s="743" t="s">
        <v>523</v>
      </c>
      <c r="C1" s="350"/>
      <c r="D1" s="351"/>
      <c r="E1" s="744" t="s">
        <v>524</v>
      </c>
      <c r="F1" s="350"/>
      <c r="G1" s="351"/>
      <c r="H1" s="745" t="s">
        <v>1070</v>
      </c>
      <c r="I1" s="350"/>
      <c r="J1" s="350"/>
      <c r="K1" s="351"/>
      <c r="L1" s="746" t="s">
        <v>525</v>
      </c>
      <c r="M1" s="350"/>
      <c r="N1" s="350"/>
      <c r="O1" s="350"/>
      <c r="P1" s="351"/>
      <c r="Q1" s="746" t="s">
        <v>526</v>
      </c>
      <c r="R1" s="350"/>
      <c r="S1" s="350"/>
      <c r="T1" s="350"/>
      <c r="U1" s="350"/>
      <c r="V1" s="350"/>
      <c r="W1" s="350"/>
      <c r="X1" s="350"/>
      <c r="Y1" s="350"/>
      <c r="Z1" s="351"/>
      <c r="AA1" s="747" t="s">
        <v>315</v>
      </c>
      <c r="AB1" s="350"/>
      <c r="AC1" s="350"/>
      <c r="AD1" s="350"/>
      <c r="AE1" s="350"/>
      <c r="AF1" s="350"/>
      <c r="AG1" s="350"/>
      <c r="AH1" s="350"/>
      <c r="AI1" s="350"/>
      <c r="AJ1" s="350"/>
      <c r="AK1" s="350"/>
      <c r="AL1" s="350"/>
      <c r="AM1" s="350"/>
      <c r="AN1" s="350"/>
      <c r="AO1" s="350"/>
      <c r="AP1" s="350"/>
      <c r="AQ1" s="351"/>
    </row>
    <row r="2" spans="1:47" ht="18.75">
      <c r="A2" s="748" t="str">
        <f>'GRANTEE SET UP INFO &amp; DATE '!A1</f>
        <v>WV Bureau for Behavioral Health  - Peer Recovery Support Services  V 20200110</v>
      </c>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8"/>
    </row>
    <row r="3" spans="1:47">
      <c r="A3" s="638" t="str">
        <f>'GRANTEE SET UP INFO &amp; DATE '!A2</f>
        <v xml:space="preserve">Program reports need to be submitted electronically, via e-mail to DHHRBBHReporting@wv.gov  within 25 calendar days of the end of each month </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1"/>
    </row>
    <row r="4" spans="1:47" ht="15.75" customHeight="1">
      <c r="A4" s="514" t="s">
        <v>527</v>
      </c>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428"/>
      <c r="AR4" s="100"/>
      <c r="AS4" s="100"/>
      <c r="AT4" s="100"/>
      <c r="AU4" s="100"/>
    </row>
    <row r="5" spans="1:47" ht="24.75" customHeight="1">
      <c r="A5" s="371" t="s">
        <v>528</v>
      </c>
      <c r="B5" s="350"/>
      <c r="C5" s="350"/>
      <c r="D5" s="350"/>
      <c r="E5" s="351"/>
      <c r="F5" s="412" t="str">
        <f>'GRANTEE SET UP INFO &amp; DATE '!H4</f>
        <v>Recovery Community Organization (RCO)</v>
      </c>
      <c r="G5" s="350"/>
      <c r="H5" s="350"/>
      <c r="I5" s="350"/>
      <c r="J5" s="350"/>
      <c r="K5" s="350"/>
      <c r="L5" s="350"/>
      <c r="M5" s="350"/>
      <c r="N5" s="350"/>
      <c r="O5" s="350"/>
      <c r="P5" s="351"/>
      <c r="Q5" s="9"/>
      <c r="R5" s="368" t="s">
        <v>529</v>
      </c>
      <c r="S5" s="350"/>
      <c r="T5" s="350"/>
      <c r="U5" s="350"/>
      <c r="V5" s="350"/>
      <c r="W5" s="351"/>
      <c r="X5" s="412">
        <f>'GRANTEE SET UP INFO &amp; DATE '!Z4</f>
        <v>0</v>
      </c>
      <c r="Y5" s="350"/>
      <c r="Z5" s="350"/>
      <c r="AA5" s="350"/>
      <c r="AB5" s="350"/>
      <c r="AC5" s="350"/>
      <c r="AD5" s="350"/>
      <c r="AE5" s="350"/>
      <c r="AF5" s="351"/>
    </row>
    <row r="6" spans="1:47" ht="30" customHeight="1">
      <c r="A6" s="371" t="s">
        <v>530</v>
      </c>
      <c r="B6" s="350"/>
      <c r="C6" s="350"/>
      <c r="D6" s="350"/>
      <c r="E6" s="351"/>
      <c r="F6" s="749">
        <f>'GRANTEE SET UP INFO &amp; DATE '!H5</f>
        <v>0</v>
      </c>
      <c r="G6" s="350"/>
      <c r="H6" s="350"/>
      <c r="I6" s="350"/>
      <c r="J6" s="350"/>
      <c r="K6" s="350"/>
      <c r="L6" s="350"/>
      <c r="M6" s="350"/>
      <c r="N6" s="350"/>
      <c r="O6" s="350"/>
      <c r="P6" s="351"/>
      <c r="Q6" s="9"/>
      <c r="R6" s="750" t="s">
        <v>36</v>
      </c>
      <c r="S6" s="350"/>
      <c r="T6" s="350"/>
      <c r="U6" s="350"/>
      <c r="V6" s="350"/>
      <c r="W6" s="351"/>
      <c r="X6" s="413" t="str">
        <f>'GRANTEE SET UP INFO &amp; DATE '!Z5</f>
        <v xml:space="preserve">Names of Contact(s): </v>
      </c>
      <c r="Y6" s="350"/>
      <c r="Z6" s="350"/>
      <c r="AA6" s="350"/>
      <c r="AB6" s="350"/>
      <c r="AC6" s="350"/>
      <c r="AD6" s="350"/>
      <c r="AE6" s="350"/>
      <c r="AF6" s="351"/>
    </row>
    <row r="7" spans="1:47" ht="14.25" customHeight="1">
      <c r="A7" s="738" t="s">
        <v>38</v>
      </c>
      <c r="B7" s="355"/>
      <c r="C7" s="355"/>
      <c r="D7" s="355"/>
      <c r="E7" s="356"/>
      <c r="F7" s="420">
        <f>'GRANTEE SET UP INFO &amp; DATE '!H6</f>
        <v>0</v>
      </c>
      <c r="G7" s="355"/>
      <c r="H7" s="355"/>
      <c r="I7" s="355"/>
      <c r="J7" s="355"/>
      <c r="K7" s="355"/>
      <c r="L7" s="355"/>
      <c r="M7" s="355"/>
      <c r="N7" s="355"/>
      <c r="O7" s="355"/>
      <c r="P7" s="356"/>
      <c r="Q7" s="9"/>
      <c r="R7" s="368" t="s">
        <v>531</v>
      </c>
      <c r="S7" s="350"/>
      <c r="T7" s="350"/>
      <c r="U7" s="350"/>
      <c r="V7" s="350"/>
      <c r="W7" s="351"/>
      <c r="X7" s="412">
        <f>'GRANTEE SET UP INFO &amp; DATE '!Z6</f>
        <v>0</v>
      </c>
      <c r="Y7" s="350"/>
      <c r="Z7" s="350"/>
      <c r="AA7" s="350"/>
      <c r="AB7" s="350"/>
      <c r="AC7" s="350"/>
      <c r="AD7" s="350"/>
      <c r="AE7" s="350"/>
      <c r="AF7" s="351"/>
    </row>
    <row r="8" spans="1:47">
      <c r="A8" s="360"/>
      <c r="B8" s="361"/>
      <c r="C8" s="361"/>
      <c r="D8" s="361"/>
      <c r="E8" s="362"/>
      <c r="F8" s="360"/>
      <c r="G8" s="361"/>
      <c r="H8" s="361"/>
      <c r="I8" s="361"/>
      <c r="J8" s="361"/>
      <c r="K8" s="361"/>
      <c r="L8" s="361"/>
      <c r="M8" s="361"/>
      <c r="N8" s="361"/>
      <c r="O8" s="361"/>
      <c r="P8" s="362"/>
      <c r="Q8" s="9"/>
      <c r="R8" s="368" t="s">
        <v>42</v>
      </c>
      <c r="S8" s="350"/>
      <c r="T8" s="350"/>
      <c r="U8" s="350"/>
      <c r="V8" s="350"/>
      <c r="W8" s="351"/>
      <c r="X8" s="412">
        <f>'GRANTEE SET UP INFO &amp; DATE '!Z7</f>
        <v>0</v>
      </c>
      <c r="Y8" s="350"/>
      <c r="Z8" s="350"/>
      <c r="AA8" s="350"/>
      <c r="AB8" s="350"/>
      <c r="AC8" s="350"/>
      <c r="AD8" s="350"/>
      <c r="AE8" s="350"/>
      <c r="AF8" s="351"/>
    </row>
    <row r="9" spans="1:47" ht="30" customHeight="1">
      <c r="A9" s="739" t="s">
        <v>532</v>
      </c>
      <c r="B9" s="350"/>
      <c r="C9" s="350"/>
      <c r="D9" s="350"/>
      <c r="E9" s="351"/>
      <c r="F9" s="740" t="str">
        <f>'GRANTEE SET UP INFO &amp; DATE '!H8</f>
        <v>June 1 - 30</v>
      </c>
      <c r="G9" s="350"/>
      <c r="H9" s="350"/>
      <c r="I9" s="350"/>
      <c r="J9" s="350"/>
      <c r="K9" s="350"/>
      <c r="L9" s="350"/>
      <c r="M9" s="351"/>
      <c r="N9" s="740">
        <f>'GRANTEE SET UP INFO &amp; DATE '!P8</f>
        <v>2022</v>
      </c>
      <c r="O9" s="350"/>
      <c r="P9" s="351"/>
      <c r="Q9" s="9"/>
      <c r="R9" s="368" t="s">
        <v>533</v>
      </c>
      <c r="S9" s="350"/>
      <c r="T9" s="350"/>
      <c r="U9" s="350"/>
      <c r="V9" s="350"/>
      <c r="W9" s="351"/>
      <c r="X9" s="513">
        <f>'GRANTEE SET UP INFO &amp; DATE '!Z8</f>
        <v>0</v>
      </c>
      <c r="Y9" s="350"/>
      <c r="Z9" s="350"/>
      <c r="AA9" s="350"/>
      <c r="AB9" s="350"/>
      <c r="AC9" s="350"/>
      <c r="AD9" s="350"/>
      <c r="AE9" s="350"/>
      <c r="AF9" s="351"/>
    </row>
    <row r="10" spans="1:47" ht="24.75" customHeight="1">
      <c r="A10" s="741" t="s">
        <v>534</v>
      </c>
      <c r="B10" s="378"/>
      <c r="C10" s="378"/>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495"/>
    </row>
    <row r="11" spans="1:47" ht="21">
      <c r="A11" s="101" t="s">
        <v>535</v>
      </c>
      <c r="B11" s="101"/>
      <c r="C11" s="101"/>
      <c r="D11" s="101"/>
      <c r="E11" s="101"/>
      <c r="F11" s="101"/>
      <c r="G11" s="101"/>
      <c r="H11" s="101"/>
      <c r="I11" s="101"/>
      <c r="J11" s="101"/>
      <c r="K11" s="101"/>
      <c r="L11" s="102"/>
      <c r="M11" s="101"/>
      <c r="N11" s="101"/>
      <c r="O11" s="101"/>
      <c r="P11" s="101"/>
      <c r="Q11" s="101"/>
      <c r="R11" s="101"/>
      <c r="S11" s="101"/>
      <c r="T11" s="101"/>
      <c r="U11" s="101"/>
      <c r="V11" s="101"/>
      <c r="W11" s="101"/>
      <c r="X11" s="101"/>
      <c r="Y11" s="101"/>
      <c r="Z11" s="101"/>
      <c r="AA11" s="101"/>
      <c r="AB11" s="101"/>
      <c r="AC11" s="101"/>
    </row>
    <row r="12" spans="1:47" ht="60" customHeight="1">
      <c r="A12" s="98" t="s">
        <v>287</v>
      </c>
      <c r="B12" s="742" t="s">
        <v>523</v>
      </c>
      <c r="C12" s="350"/>
      <c r="D12" s="351"/>
      <c r="E12" s="740" t="s">
        <v>524</v>
      </c>
      <c r="F12" s="350"/>
      <c r="G12" s="351"/>
      <c r="H12" s="434" t="s">
        <v>1069</v>
      </c>
      <c r="I12" s="350"/>
      <c r="J12" s="350"/>
      <c r="K12" s="351"/>
      <c r="L12" s="434" t="s">
        <v>525</v>
      </c>
      <c r="M12" s="350"/>
      <c r="N12" s="350"/>
      <c r="O12" s="350"/>
      <c r="P12" s="351"/>
      <c r="Q12" s="434" t="s">
        <v>526</v>
      </c>
      <c r="R12" s="350"/>
      <c r="S12" s="350"/>
      <c r="T12" s="350"/>
      <c r="U12" s="350"/>
      <c r="V12" s="350"/>
      <c r="W12" s="350"/>
      <c r="X12" s="350"/>
      <c r="Y12" s="350"/>
      <c r="Z12" s="351"/>
      <c r="AA12" s="737" t="s">
        <v>315</v>
      </c>
      <c r="AB12" s="350"/>
      <c r="AC12" s="350"/>
      <c r="AD12" s="350"/>
      <c r="AE12" s="350"/>
      <c r="AF12" s="350"/>
      <c r="AG12" s="350"/>
      <c r="AH12" s="350"/>
      <c r="AI12" s="350"/>
      <c r="AJ12" s="350"/>
      <c r="AK12" s="350"/>
      <c r="AL12" s="350"/>
      <c r="AM12" s="350"/>
      <c r="AN12" s="350"/>
      <c r="AO12" s="350"/>
      <c r="AP12" s="350"/>
      <c r="AQ12" s="351"/>
    </row>
    <row r="13" spans="1:47" ht="30" customHeight="1">
      <c r="A13" s="98">
        <f t="shared" ref="A13:A267" si="0">ROW(A1)</f>
        <v>1</v>
      </c>
      <c r="B13" s="368" t="s">
        <v>325</v>
      </c>
      <c r="C13" s="350"/>
      <c r="D13" s="351"/>
      <c r="E13" s="736"/>
      <c r="F13" s="350"/>
      <c r="G13" s="351"/>
      <c r="H13" s="368"/>
      <c r="I13" s="350"/>
      <c r="J13" s="350"/>
      <c r="K13" s="351"/>
      <c r="L13" s="368"/>
      <c r="M13" s="350"/>
      <c r="N13" s="350"/>
      <c r="O13" s="350"/>
      <c r="P13" s="351"/>
      <c r="Q13" s="368"/>
      <c r="R13" s="350"/>
      <c r="S13" s="350"/>
      <c r="T13" s="350"/>
      <c r="U13" s="350"/>
      <c r="V13" s="350"/>
      <c r="W13" s="350"/>
      <c r="X13" s="350"/>
      <c r="Y13" s="350"/>
      <c r="Z13" s="351"/>
      <c r="AA13" s="368"/>
      <c r="AB13" s="350"/>
      <c r="AC13" s="350"/>
      <c r="AD13" s="350"/>
      <c r="AE13" s="350"/>
      <c r="AF13" s="350"/>
      <c r="AG13" s="350"/>
      <c r="AH13" s="350"/>
      <c r="AI13" s="350"/>
      <c r="AJ13" s="350"/>
      <c r="AK13" s="350"/>
      <c r="AL13" s="350"/>
      <c r="AM13" s="350"/>
      <c r="AN13" s="350"/>
      <c r="AO13" s="350"/>
      <c r="AP13" s="350"/>
      <c r="AQ13" s="351"/>
    </row>
    <row r="14" spans="1:47" ht="30" customHeight="1">
      <c r="A14" s="98">
        <f t="shared" si="0"/>
        <v>2</v>
      </c>
      <c r="B14" s="412" t="s">
        <v>325</v>
      </c>
      <c r="C14" s="350"/>
      <c r="D14" s="351"/>
      <c r="E14" s="735"/>
      <c r="F14" s="350"/>
      <c r="G14" s="351"/>
      <c r="H14" s="412"/>
      <c r="I14" s="350"/>
      <c r="J14" s="350"/>
      <c r="K14" s="351"/>
      <c r="L14" s="412"/>
      <c r="M14" s="350"/>
      <c r="N14" s="350"/>
      <c r="O14" s="350"/>
      <c r="P14" s="351"/>
      <c r="Q14" s="412"/>
      <c r="R14" s="350"/>
      <c r="S14" s="350"/>
      <c r="T14" s="350"/>
      <c r="U14" s="350"/>
      <c r="V14" s="350"/>
      <c r="W14" s="350"/>
      <c r="X14" s="350"/>
      <c r="Y14" s="350"/>
      <c r="Z14" s="351"/>
      <c r="AA14" s="412"/>
      <c r="AB14" s="350"/>
      <c r="AC14" s="350"/>
      <c r="AD14" s="350"/>
      <c r="AE14" s="350"/>
      <c r="AF14" s="350"/>
      <c r="AG14" s="350"/>
      <c r="AH14" s="350"/>
      <c r="AI14" s="350"/>
      <c r="AJ14" s="350"/>
      <c r="AK14" s="350"/>
      <c r="AL14" s="350"/>
      <c r="AM14" s="350"/>
      <c r="AN14" s="350"/>
      <c r="AO14" s="350"/>
      <c r="AP14" s="350"/>
      <c r="AQ14" s="351"/>
    </row>
    <row r="15" spans="1:47" ht="30" customHeight="1">
      <c r="A15" s="98">
        <f t="shared" si="0"/>
        <v>3</v>
      </c>
      <c r="B15" s="368" t="s">
        <v>325</v>
      </c>
      <c r="C15" s="350"/>
      <c r="D15" s="351"/>
      <c r="E15" s="736"/>
      <c r="F15" s="350"/>
      <c r="G15" s="351"/>
      <c r="H15" s="368"/>
      <c r="I15" s="350"/>
      <c r="J15" s="350"/>
      <c r="K15" s="351"/>
      <c r="L15" s="368"/>
      <c r="M15" s="350"/>
      <c r="N15" s="350"/>
      <c r="O15" s="350"/>
      <c r="P15" s="351"/>
      <c r="Q15" s="368"/>
      <c r="R15" s="350"/>
      <c r="S15" s="350"/>
      <c r="T15" s="350"/>
      <c r="U15" s="350"/>
      <c r="V15" s="350"/>
      <c r="W15" s="350"/>
      <c r="X15" s="350"/>
      <c r="Y15" s="350"/>
      <c r="Z15" s="351"/>
      <c r="AA15" s="368"/>
      <c r="AB15" s="350"/>
      <c r="AC15" s="350"/>
      <c r="AD15" s="350"/>
      <c r="AE15" s="350"/>
      <c r="AF15" s="350"/>
      <c r="AG15" s="350"/>
      <c r="AH15" s="350"/>
      <c r="AI15" s="350"/>
      <c r="AJ15" s="350"/>
      <c r="AK15" s="350"/>
      <c r="AL15" s="350"/>
      <c r="AM15" s="350"/>
      <c r="AN15" s="350"/>
      <c r="AO15" s="350"/>
      <c r="AP15" s="350"/>
      <c r="AQ15" s="351"/>
    </row>
    <row r="16" spans="1:47" ht="30" customHeight="1">
      <c r="A16" s="98">
        <f t="shared" si="0"/>
        <v>4</v>
      </c>
      <c r="B16" s="412" t="s">
        <v>325</v>
      </c>
      <c r="C16" s="350"/>
      <c r="D16" s="351"/>
      <c r="E16" s="735"/>
      <c r="F16" s="350"/>
      <c r="G16" s="351"/>
      <c r="H16" s="412"/>
      <c r="I16" s="350"/>
      <c r="J16" s="350"/>
      <c r="K16" s="351"/>
      <c r="L16" s="412"/>
      <c r="M16" s="350"/>
      <c r="N16" s="350"/>
      <c r="O16" s="350"/>
      <c r="P16" s="351"/>
      <c r="Q16" s="412"/>
      <c r="R16" s="350"/>
      <c r="S16" s="350"/>
      <c r="T16" s="350"/>
      <c r="U16" s="350"/>
      <c r="V16" s="350"/>
      <c r="W16" s="350"/>
      <c r="X16" s="350"/>
      <c r="Y16" s="350"/>
      <c r="Z16" s="351"/>
      <c r="AA16" s="412"/>
      <c r="AB16" s="350"/>
      <c r="AC16" s="350"/>
      <c r="AD16" s="350"/>
      <c r="AE16" s="350"/>
      <c r="AF16" s="350"/>
      <c r="AG16" s="350"/>
      <c r="AH16" s="350"/>
      <c r="AI16" s="350"/>
      <c r="AJ16" s="350"/>
      <c r="AK16" s="350"/>
      <c r="AL16" s="350"/>
      <c r="AM16" s="350"/>
      <c r="AN16" s="350"/>
      <c r="AO16" s="350"/>
      <c r="AP16" s="350"/>
      <c r="AQ16" s="351"/>
    </row>
    <row r="17" spans="1:43" ht="30" customHeight="1">
      <c r="A17" s="98">
        <f t="shared" si="0"/>
        <v>5</v>
      </c>
      <c r="B17" s="368" t="s">
        <v>325</v>
      </c>
      <c r="C17" s="350"/>
      <c r="D17" s="351"/>
      <c r="E17" s="736"/>
      <c r="F17" s="350"/>
      <c r="G17" s="351"/>
      <c r="H17" s="368"/>
      <c r="I17" s="350"/>
      <c r="J17" s="350"/>
      <c r="K17" s="351"/>
      <c r="L17" s="368"/>
      <c r="M17" s="350"/>
      <c r="N17" s="350"/>
      <c r="O17" s="350"/>
      <c r="P17" s="351"/>
      <c r="Q17" s="368"/>
      <c r="R17" s="350"/>
      <c r="S17" s="350"/>
      <c r="T17" s="350"/>
      <c r="U17" s="350"/>
      <c r="V17" s="350"/>
      <c r="W17" s="350"/>
      <c r="X17" s="350"/>
      <c r="Y17" s="350"/>
      <c r="Z17" s="351"/>
      <c r="AA17" s="368"/>
      <c r="AB17" s="350"/>
      <c r="AC17" s="350"/>
      <c r="AD17" s="350"/>
      <c r="AE17" s="350"/>
      <c r="AF17" s="350"/>
      <c r="AG17" s="350"/>
      <c r="AH17" s="350"/>
      <c r="AI17" s="350"/>
      <c r="AJ17" s="350"/>
      <c r="AK17" s="350"/>
      <c r="AL17" s="350"/>
      <c r="AM17" s="350"/>
      <c r="AN17" s="350"/>
      <c r="AO17" s="350"/>
      <c r="AP17" s="350"/>
      <c r="AQ17" s="351"/>
    </row>
    <row r="18" spans="1:43" ht="30" customHeight="1">
      <c r="A18" s="98">
        <f t="shared" si="0"/>
        <v>6</v>
      </c>
      <c r="B18" s="412" t="s">
        <v>325</v>
      </c>
      <c r="C18" s="350"/>
      <c r="D18" s="351"/>
      <c r="E18" s="735"/>
      <c r="F18" s="350"/>
      <c r="G18" s="351"/>
      <c r="H18" s="412"/>
      <c r="I18" s="350"/>
      <c r="J18" s="350"/>
      <c r="K18" s="351"/>
      <c r="L18" s="412"/>
      <c r="M18" s="350"/>
      <c r="N18" s="350"/>
      <c r="O18" s="350"/>
      <c r="P18" s="351"/>
      <c r="Q18" s="412"/>
      <c r="R18" s="350"/>
      <c r="S18" s="350"/>
      <c r="T18" s="350"/>
      <c r="U18" s="350"/>
      <c r="V18" s="350"/>
      <c r="W18" s="350"/>
      <c r="X18" s="350"/>
      <c r="Y18" s="350"/>
      <c r="Z18" s="351"/>
      <c r="AA18" s="412"/>
      <c r="AB18" s="350"/>
      <c r="AC18" s="350"/>
      <c r="AD18" s="350"/>
      <c r="AE18" s="350"/>
      <c r="AF18" s="350"/>
      <c r="AG18" s="350"/>
      <c r="AH18" s="350"/>
      <c r="AI18" s="350"/>
      <c r="AJ18" s="350"/>
      <c r="AK18" s="350"/>
      <c r="AL18" s="350"/>
      <c r="AM18" s="350"/>
      <c r="AN18" s="350"/>
      <c r="AO18" s="350"/>
      <c r="AP18" s="350"/>
      <c r="AQ18" s="351"/>
    </row>
    <row r="19" spans="1:43" ht="30" customHeight="1">
      <c r="A19" s="98">
        <f t="shared" si="0"/>
        <v>7</v>
      </c>
      <c r="B19" s="368" t="s">
        <v>325</v>
      </c>
      <c r="C19" s="350"/>
      <c r="D19" s="351"/>
      <c r="E19" s="736"/>
      <c r="F19" s="350"/>
      <c r="G19" s="351"/>
      <c r="H19" s="368"/>
      <c r="I19" s="350"/>
      <c r="J19" s="350"/>
      <c r="K19" s="351"/>
      <c r="L19" s="368"/>
      <c r="M19" s="350"/>
      <c r="N19" s="350"/>
      <c r="O19" s="350"/>
      <c r="P19" s="351"/>
      <c r="Q19" s="368"/>
      <c r="R19" s="350"/>
      <c r="S19" s="350"/>
      <c r="T19" s="350"/>
      <c r="U19" s="350"/>
      <c r="V19" s="350"/>
      <c r="W19" s="350"/>
      <c r="X19" s="350"/>
      <c r="Y19" s="350"/>
      <c r="Z19" s="351"/>
      <c r="AA19" s="368"/>
      <c r="AB19" s="350"/>
      <c r="AC19" s="350"/>
      <c r="AD19" s="350"/>
      <c r="AE19" s="350"/>
      <c r="AF19" s="350"/>
      <c r="AG19" s="350"/>
      <c r="AH19" s="350"/>
      <c r="AI19" s="350"/>
      <c r="AJ19" s="350"/>
      <c r="AK19" s="350"/>
      <c r="AL19" s="350"/>
      <c r="AM19" s="350"/>
      <c r="AN19" s="350"/>
      <c r="AO19" s="350"/>
      <c r="AP19" s="350"/>
      <c r="AQ19" s="351"/>
    </row>
    <row r="20" spans="1:43" ht="30" customHeight="1">
      <c r="A20" s="98">
        <f t="shared" si="0"/>
        <v>8</v>
      </c>
      <c r="B20" s="412" t="s">
        <v>325</v>
      </c>
      <c r="C20" s="350"/>
      <c r="D20" s="351"/>
      <c r="E20" s="735"/>
      <c r="F20" s="350"/>
      <c r="G20" s="351"/>
      <c r="H20" s="412"/>
      <c r="I20" s="350"/>
      <c r="J20" s="350"/>
      <c r="K20" s="351"/>
      <c r="L20" s="412"/>
      <c r="M20" s="350"/>
      <c r="N20" s="350"/>
      <c r="O20" s="350"/>
      <c r="P20" s="351"/>
      <c r="Q20" s="412"/>
      <c r="R20" s="350"/>
      <c r="S20" s="350"/>
      <c r="T20" s="350"/>
      <c r="U20" s="350"/>
      <c r="V20" s="350"/>
      <c r="W20" s="350"/>
      <c r="X20" s="350"/>
      <c r="Y20" s="350"/>
      <c r="Z20" s="351"/>
      <c r="AA20" s="412"/>
      <c r="AB20" s="350"/>
      <c r="AC20" s="350"/>
      <c r="AD20" s="350"/>
      <c r="AE20" s="350"/>
      <c r="AF20" s="350"/>
      <c r="AG20" s="350"/>
      <c r="AH20" s="350"/>
      <c r="AI20" s="350"/>
      <c r="AJ20" s="350"/>
      <c r="AK20" s="350"/>
      <c r="AL20" s="350"/>
      <c r="AM20" s="350"/>
      <c r="AN20" s="350"/>
      <c r="AO20" s="350"/>
      <c r="AP20" s="350"/>
      <c r="AQ20" s="351"/>
    </row>
    <row r="21" spans="1:43" ht="30" customHeight="1">
      <c r="A21" s="98">
        <f t="shared" si="0"/>
        <v>9</v>
      </c>
      <c r="B21" s="368" t="s">
        <v>325</v>
      </c>
      <c r="C21" s="350"/>
      <c r="D21" s="351"/>
      <c r="E21" s="736"/>
      <c r="F21" s="350"/>
      <c r="G21" s="351"/>
      <c r="H21" s="368"/>
      <c r="I21" s="350"/>
      <c r="J21" s="350"/>
      <c r="K21" s="351"/>
      <c r="L21" s="368"/>
      <c r="M21" s="350"/>
      <c r="N21" s="350"/>
      <c r="O21" s="350"/>
      <c r="P21" s="351"/>
      <c r="Q21" s="368"/>
      <c r="R21" s="350"/>
      <c r="S21" s="350"/>
      <c r="T21" s="350"/>
      <c r="U21" s="350"/>
      <c r="V21" s="350"/>
      <c r="W21" s="350"/>
      <c r="X21" s="350"/>
      <c r="Y21" s="350"/>
      <c r="Z21" s="351"/>
      <c r="AA21" s="368"/>
      <c r="AB21" s="350"/>
      <c r="AC21" s="350"/>
      <c r="AD21" s="350"/>
      <c r="AE21" s="350"/>
      <c r="AF21" s="350"/>
      <c r="AG21" s="350"/>
      <c r="AH21" s="350"/>
      <c r="AI21" s="350"/>
      <c r="AJ21" s="350"/>
      <c r="AK21" s="350"/>
      <c r="AL21" s="350"/>
      <c r="AM21" s="350"/>
      <c r="AN21" s="350"/>
      <c r="AO21" s="350"/>
      <c r="AP21" s="350"/>
      <c r="AQ21" s="351"/>
    </row>
    <row r="22" spans="1:43" ht="30" customHeight="1">
      <c r="A22" s="98">
        <f t="shared" si="0"/>
        <v>10</v>
      </c>
      <c r="B22" s="412" t="s">
        <v>325</v>
      </c>
      <c r="C22" s="350"/>
      <c r="D22" s="351"/>
      <c r="E22" s="735"/>
      <c r="F22" s="350"/>
      <c r="G22" s="351"/>
      <c r="H22" s="412"/>
      <c r="I22" s="350"/>
      <c r="J22" s="350"/>
      <c r="K22" s="351"/>
      <c r="L22" s="412"/>
      <c r="M22" s="350"/>
      <c r="N22" s="350"/>
      <c r="O22" s="350"/>
      <c r="P22" s="351"/>
      <c r="Q22" s="412"/>
      <c r="R22" s="350"/>
      <c r="S22" s="350"/>
      <c r="T22" s="350"/>
      <c r="U22" s="350"/>
      <c r="V22" s="350"/>
      <c r="W22" s="350"/>
      <c r="X22" s="350"/>
      <c r="Y22" s="350"/>
      <c r="Z22" s="351"/>
      <c r="AA22" s="412"/>
      <c r="AB22" s="350"/>
      <c r="AC22" s="350"/>
      <c r="AD22" s="350"/>
      <c r="AE22" s="350"/>
      <c r="AF22" s="350"/>
      <c r="AG22" s="350"/>
      <c r="AH22" s="350"/>
      <c r="AI22" s="350"/>
      <c r="AJ22" s="350"/>
      <c r="AK22" s="350"/>
      <c r="AL22" s="350"/>
      <c r="AM22" s="350"/>
      <c r="AN22" s="350"/>
      <c r="AO22" s="350"/>
      <c r="AP22" s="350"/>
      <c r="AQ22" s="351"/>
    </row>
    <row r="23" spans="1:43" ht="30" customHeight="1">
      <c r="A23" s="98">
        <f t="shared" si="0"/>
        <v>11</v>
      </c>
      <c r="B23" s="368" t="s">
        <v>325</v>
      </c>
      <c r="C23" s="350"/>
      <c r="D23" s="351"/>
      <c r="E23" s="736"/>
      <c r="F23" s="350"/>
      <c r="G23" s="351"/>
      <c r="H23" s="368"/>
      <c r="I23" s="350"/>
      <c r="J23" s="350"/>
      <c r="K23" s="351"/>
      <c r="L23" s="368"/>
      <c r="M23" s="350"/>
      <c r="N23" s="350"/>
      <c r="O23" s="350"/>
      <c r="P23" s="351"/>
      <c r="Q23" s="368"/>
      <c r="R23" s="350"/>
      <c r="S23" s="350"/>
      <c r="T23" s="350"/>
      <c r="U23" s="350"/>
      <c r="V23" s="350"/>
      <c r="W23" s="350"/>
      <c r="X23" s="350"/>
      <c r="Y23" s="350"/>
      <c r="Z23" s="351"/>
      <c r="AA23" s="368"/>
      <c r="AB23" s="350"/>
      <c r="AC23" s="350"/>
      <c r="AD23" s="350"/>
      <c r="AE23" s="350"/>
      <c r="AF23" s="350"/>
      <c r="AG23" s="350"/>
      <c r="AH23" s="350"/>
      <c r="AI23" s="350"/>
      <c r="AJ23" s="350"/>
      <c r="AK23" s="350"/>
      <c r="AL23" s="350"/>
      <c r="AM23" s="350"/>
      <c r="AN23" s="350"/>
      <c r="AO23" s="350"/>
      <c r="AP23" s="350"/>
      <c r="AQ23" s="351"/>
    </row>
    <row r="24" spans="1:43" ht="30" customHeight="1">
      <c r="A24" s="98">
        <f t="shared" si="0"/>
        <v>12</v>
      </c>
      <c r="B24" s="412" t="s">
        <v>325</v>
      </c>
      <c r="C24" s="350"/>
      <c r="D24" s="351"/>
      <c r="E24" s="735"/>
      <c r="F24" s="350"/>
      <c r="G24" s="351"/>
      <c r="H24" s="412"/>
      <c r="I24" s="350"/>
      <c r="J24" s="350"/>
      <c r="K24" s="351"/>
      <c r="L24" s="412"/>
      <c r="M24" s="350"/>
      <c r="N24" s="350"/>
      <c r="O24" s="350"/>
      <c r="P24" s="351"/>
      <c r="Q24" s="412"/>
      <c r="R24" s="350"/>
      <c r="S24" s="350"/>
      <c r="T24" s="350"/>
      <c r="U24" s="350"/>
      <c r="V24" s="350"/>
      <c r="W24" s="350"/>
      <c r="X24" s="350"/>
      <c r="Y24" s="350"/>
      <c r="Z24" s="351"/>
      <c r="AA24" s="412"/>
      <c r="AB24" s="350"/>
      <c r="AC24" s="350"/>
      <c r="AD24" s="350"/>
      <c r="AE24" s="350"/>
      <c r="AF24" s="350"/>
      <c r="AG24" s="350"/>
      <c r="AH24" s="350"/>
      <c r="AI24" s="350"/>
      <c r="AJ24" s="350"/>
      <c r="AK24" s="350"/>
      <c r="AL24" s="350"/>
      <c r="AM24" s="350"/>
      <c r="AN24" s="350"/>
      <c r="AO24" s="350"/>
      <c r="AP24" s="350"/>
      <c r="AQ24" s="351"/>
    </row>
    <row r="25" spans="1:43" ht="30" customHeight="1">
      <c r="A25" s="98">
        <f t="shared" si="0"/>
        <v>13</v>
      </c>
      <c r="B25" s="368" t="s">
        <v>325</v>
      </c>
      <c r="C25" s="350"/>
      <c r="D25" s="351"/>
      <c r="E25" s="736"/>
      <c r="F25" s="350"/>
      <c r="G25" s="351"/>
      <c r="H25" s="368"/>
      <c r="I25" s="350"/>
      <c r="J25" s="350"/>
      <c r="K25" s="351"/>
      <c r="L25" s="368"/>
      <c r="M25" s="350"/>
      <c r="N25" s="350"/>
      <c r="O25" s="350"/>
      <c r="P25" s="351"/>
      <c r="Q25" s="368"/>
      <c r="R25" s="350"/>
      <c r="S25" s="350"/>
      <c r="T25" s="350"/>
      <c r="U25" s="350"/>
      <c r="V25" s="350"/>
      <c r="W25" s="350"/>
      <c r="X25" s="350"/>
      <c r="Y25" s="350"/>
      <c r="Z25" s="351"/>
      <c r="AA25" s="368"/>
      <c r="AB25" s="350"/>
      <c r="AC25" s="350"/>
      <c r="AD25" s="350"/>
      <c r="AE25" s="350"/>
      <c r="AF25" s="350"/>
      <c r="AG25" s="350"/>
      <c r="AH25" s="350"/>
      <c r="AI25" s="350"/>
      <c r="AJ25" s="350"/>
      <c r="AK25" s="350"/>
      <c r="AL25" s="350"/>
      <c r="AM25" s="350"/>
      <c r="AN25" s="350"/>
      <c r="AO25" s="350"/>
      <c r="AP25" s="350"/>
      <c r="AQ25" s="351"/>
    </row>
    <row r="26" spans="1:43" ht="30" customHeight="1">
      <c r="A26" s="98">
        <f t="shared" si="0"/>
        <v>14</v>
      </c>
      <c r="B26" s="412" t="s">
        <v>325</v>
      </c>
      <c r="C26" s="350"/>
      <c r="D26" s="351"/>
      <c r="E26" s="735"/>
      <c r="F26" s="350"/>
      <c r="G26" s="351"/>
      <c r="H26" s="412"/>
      <c r="I26" s="350"/>
      <c r="J26" s="350"/>
      <c r="K26" s="351"/>
      <c r="L26" s="412"/>
      <c r="M26" s="350"/>
      <c r="N26" s="350"/>
      <c r="O26" s="350"/>
      <c r="P26" s="351"/>
      <c r="Q26" s="412"/>
      <c r="R26" s="350"/>
      <c r="S26" s="350"/>
      <c r="T26" s="350"/>
      <c r="U26" s="350"/>
      <c r="V26" s="350"/>
      <c r="W26" s="350"/>
      <c r="X26" s="350"/>
      <c r="Y26" s="350"/>
      <c r="Z26" s="351"/>
      <c r="AA26" s="412"/>
      <c r="AB26" s="350"/>
      <c r="AC26" s="350"/>
      <c r="AD26" s="350"/>
      <c r="AE26" s="350"/>
      <c r="AF26" s="350"/>
      <c r="AG26" s="350"/>
      <c r="AH26" s="350"/>
      <c r="AI26" s="350"/>
      <c r="AJ26" s="350"/>
      <c r="AK26" s="350"/>
      <c r="AL26" s="350"/>
      <c r="AM26" s="350"/>
      <c r="AN26" s="350"/>
      <c r="AO26" s="350"/>
      <c r="AP26" s="350"/>
      <c r="AQ26" s="351"/>
    </row>
    <row r="27" spans="1:43" ht="30" customHeight="1">
      <c r="A27" s="98">
        <f t="shared" si="0"/>
        <v>15</v>
      </c>
      <c r="B27" s="368" t="s">
        <v>325</v>
      </c>
      <c r="C27" s="350"/>
      <c r="D27" s="351"/>
      <c r="E27" s="736"/>
      <c r="F27" s="350"/>
      <c r="G27" s="351"/>
      <c r="H27" s="368"/>
      <c r="I27" s="350"/>
      <c r="J27" s="350"/>
      <c r="K27" s="351"/>
      <c r="L27" s="368"/>
      <c r="M27" s="350"/>
      <c r="N27" s="350"/>
      <c r="O27" s="350"/>
      <c r="P27" s="351"/>
      <c r="Q27" s="368"/>
      <c r="R27" s="350"/>
      <c r="S27" s="350"/>
      <c r="T27" s="350"/>
      <c r="U27" s="350"/>
      <c r="V27" s="350"/>
      <c r="W27" s="350"/>
      <c r="X27" s="350"/>
      <c r="Y27" s="350"/>
      <c r="Z27" s="351"/>
      <c r="AA27" s="368"/>
      <c r="AB27" s="350"/>
      <c r="AC27" s="350"/>
      <c r="AD27" s="350"/>
      <c r="AE27" s="350"/>
      <c r="AF27" s="350"/>
      <c r="AG27" s="350"/>
      <c r="AH27" s="350"/>
      <c r="AI27" s="350"/>
      <c r="AJ27" s="350"/>
      <c r="AK27" s="350"/>
      <c r="AL27" s="350"/>
      <c r="AM27" s="350"/>
      <c r="AN27" s="350"/>
      <c r="AO27" s="350"/>
      <c r="AP27" s="350"/>
      <c r="AQ27" s="351"/>
    </row>
    <row r="28" spans="1:43" ht="30" customHeight="1">
      <c r="A28" s="98">
        <f t="shared" si="0"/>
        <v>16</v>
      </c>
      <c r="B28" s="412" t="s">
        <v>325</v>
      </c>
      <c r="C28" s="350"/>
      <c r="D28" s="351"/>
      <c r="E28" s="735"/>
      <c r="F28" s="350"/>
      <c r="G28" s="351"/>
      <c r="H28" s="412"/>
      <c r="I28" s="350"/>
      <c r="J28" s="350"/>
      <c r="K28" s="351"/>
      <c r="L28" s="412"/>
      <c r="M28" s="350"/>
      <c r="N28" s="350"/>
      <c r="O28" s="350"/>
      <c r="P28" s="351"/>
      <c r="Q28" s="412"/>
      <c r="R28" s="350"/>
      <c r="S28" s="350"/>
      <c r="T28" s="350"/>
      <c r="U28" s="350"/>
      <c r="V28" s="350"/>
      <c r="W28" s="350"/>
      <c r="X28" s="350"/>
      <c r="Y28" s="350"/>
      <c r="Z28" s="351"/>
      <c r="AA28" s="412"/>
      <c r="AB28" s="350"/>
      <c r="AC28" s="350"/>
      <c r="AD28" s="350"/>
      <c r="AE28" s="350"/>
      <c r="AF28" s="350"/>
      <c r="AG28" s="350"/>
      <c r="AH28" s="350"/>
      <c r="AI28" s="350"/>
      <c r="AJ28" s="350"/>
      <c r="AK28" s="350"/>
      <c r="AL28" s="350"/>
      <c r="AM28" s="350"/>
      <c r="AN28" s="350"/>
      <c r="AO28" s="350"/>
      <c r="AP28" s="350"/>
      <c r="AQ28" s="351"/>
    </row>
    <row r="29" spans="1:43" ht="30" customHeight="1">
      <c r="A29" s="98">
        <f t="shared" si="0"/>
        <v>17</v>
      </c>
      <c r="B29" s="368" t="s">
        <v>325</v>
      </c>
      <c r="C29" s="350"/>
      <c r="D29" s="351"/>
      <c r="E29" s="736"/>
      <c r="F29" s="350"/>
      <c r="G29" s="351"/>
      <c r="H29" s="368"/>
      <c r="I29" s="350"/>
      <c r="J29" s="350"/>
      <c r="K29" s="351"/>
      <c r="L29" s="368"/>
      <c r="M29" s="350"/>
      <c r="N29" s="350"/>
      <c r="O29" s="350"/>
      <c r="P29" s="351"/>
      <c r="Q29" s="368"/>
      <c r="R29" s="350"/>
      <c r="S29" s="350"/>
      <c r="T29" s="350"/>
      <c r="U29" s="350"/>
      <c r="V29" s="350"/>
      <c r="W29" s="350"/>
      <c r="X29" s="350"/>
      <c r="Y29" s="350"/>
      <c r="Z29" s="351"/>
      <c r="AA29" s="368"/>
      <c r="AB29" s="350"/>
      <c r="AC29" s="350"/>
      <c r="AD29" s="350"/>
      <c r="AE29" s="350"/>
      <c r="AF29" s="350"/>
      <c r="AG29" s="350"/>
      <c r="AH29" s="350"/>
      <c r="AI29" s="350"/>
      <c r="AJ29" s="350"/>
      <c r="AK29" s="350"/>
      <c r="AL29" s="350"/>
      <c r="AM29" s="350"/>
      <c r="AN29" s="350"/>
      <c r="AO29" s="350"/>
      <c r="AP29" s="350"/>
      <c r="AQ29" s="351"/>
    </row>
    <row r="30" spans="1:43" ht="30" customHeight="1">
      <c r="A30" s="98">
        <f t="shared" si="0"/>
        <v>18</v>
      </c>
      <c r="B30" s="412" t="s">
        <v>325</v>
      </c>
      <c r="C30" s="350"/>
      <c r="D30" s="351"/>
      <c r="E30" s="735"/>
      <c r="F30" s="350"/>
      <c r="G30" s="351"/>
      <c r="H30" s="412"/>
      <c r="I30" s="350"/>
      <c r="J30" s="350"/>
      <c r="K30" s="351"/>
      <c r="L30" s="412"/>
      <c r="M30" s="350"/>
      <c r="N30" s="350"/>
      <c r="O30" s="350"/>
      <c r="P30" s="351"/>
      <c r="Q30" s="412"/>
      <c r="R30" s="350"/>
      <c r="S30" s="350"/>
      <c r="T30" s="350"/>
      <c r="U30" s="350"/>
      <c r="V30" s="350"/>
      <c r="W30" s="350"/>
      <c r="X30" s="350"/>
      <c r="Y30" s="350"/>
      <c r="Z30" s="351"/>
      <c r="AA30" s="412"/>
      <c r="AB30" s="350"/>
      <c r="AC30" s="350"/>
      <c r="AD30" s="350"/>
      <c r="AE30" s="350"/>
      <c r="AF30" s="350"/>
      <c r="AG30" s="350"/>
      <c r="AH30" s="350"/>
      <c r="AI30" s="350"/>
      <c r="AJ30" s="350"/>
      <c r="AK30" s="350"/>
      <c r="AL30" s="350"/>
      <c r="AM30" s="350"/>
      <c r="AN30" s="350"/>
      <c r="AO30" s="350"/>
      <c r="AP30" s="350"/>
      <c r="AQ30" s="351"/>
    </row>
    <row r="31" spans="1:43" ht="30" customHeight="1">
      <c r="A31" s="98">
        <f t="shared" si="0"/>
        <v>19</v>
      </c>
      <c r="B31" s="368" t="s">
        <v>325</v>
      </c>
      <c r="C31" s="350"/>
      <c r="D31" s="351"/>
      <c r="E31" s="736"/>
      <c r="F31" s="350"/>
      <c r="G31" s="351"/>
      <c r="H31" s="368"/>
      <c r="I31" s="350"/>
      <c r="J31" s="350"/>
      <c r="K31" s="351"/>
      <c r="L31" s="368"/>
      <c r="M31" s="350"/>
      <c r="N31" s="350"/>
      <c r="O31" s="350"/>
      <c r="P31" s="351"/>
      <c r="Q31" s="368"/>
      <c r="R31" s="350"/>
      <c r="S31" s="350"/>
      <c r="T31" s="350"/>
      <c r="U31" s="350"/>
      <c r="V31" s="350"/>
      <c r="W31" s="350"/>
      <c r="X31" s="350"/>
      <c r="Y31" s="350"/>
      <c r="Z31" s="351"/>
      <c r="AA31" s="368"/>
      <c r="AB31" s="350"/>
      <c r="AC31" s="350"/>
      <c r="AD31" s="350"/>
      <c r="AE31" s="350"/>
      <c r="AF31" s="350"/>
      <c r="AG31" s="350"/>
      <c r="AH31" s="350"/>
      <c r="AI31" s="350"/>
      <c r="AJ31" s="350"/>
      <c r="AK31" s="350"/>
      <c r="AL31" s="350"/>
      <c r="AM31" s="350"/>
      <c r="AN31" s="350"/>
      <c r="AO31" s="350"/>
      <c r="AP31" s="350"/>
      <c r="AQ31" s="351"/>
    </row>
    <row r="32" spans="1:43" ht="30" customHeight="1">
      <c r="A32" s="98">
        <f t="shared" si="0"/>
        <v>20</v>
      </c>
      <c r="B32" s="412" t="s">
        <v>325</v>
      </c>
      <c r="C32" s="350"/>
      <c r="D32" s="351"/>
      <c r="E32" s="735"/>
      <c r="F32" s="350"/>
      <c r="G32" s="351"/>
      <c r="H32" s="412"/>
      <c r="I32" s="350"/>
      <c r="J32" s="350"/>
      <c r="K32" s="351"/>
      <c r="L32" s="412"/>
      <c r="M32" s="350"/>
      <c r="N32" s="350"/>
      <c r="O32" s="350"/>
      <c r="P32" s="351"/>
      <c r="Q32" s="412"/>
      <c r="R32" s="350"/>
      <c r="S32" s="350"/>
      <c r="T32" s="350"/>
      <c r="U32" s="350"/>
      <c r="V32" s="350"/>
      <c r="W32" s="350"/>
      <c r="X32" s="350"/>
      <c r="Y32" s="350"/>
      <c r="Z32" s="351"/>
      <c r="AA32" s="412"/>
      <c r="AB32" s="350"/>
      <c r="AC32" s="350"/>
      <c r="AD32" s="350"/>
      <c r="AE32" s="350"/>
      <c r="AF32" s="350"/>
      <c r="AG32" s="350"/>
      <c r="AH32" s="350"/>
      <c r="AI32" s="350"/>
      <c r="AJ32" s="350"/>
      <c r="AK32" s="350"/>
      <c r="AL32" s="350"/>
      <c r="AM32" s="350"/>
      <c r="AN32" s="350"/>
      <c r="AO32" s="350"/>
      <c r="AP32" s="350"/>
      <c r="AQ32" s="351"/>
    </row>
    <row r="33" spans="1:43" ht="30" customHeight="1">
      <c r="A33" s="98">
        <f t="shared" si="0"/>
        <v>21</v>
      </c>
      <c r="B33" s="368" t="s">
        <v>325</v>
      </c>
      <c r="C33" s="350"/>
      <c r="D33" s="351"/>
      <c r="E33" s="736"/>
      <c r="F33" s="350"/>
      <c r="G33" s="351"/>
      <c r="H33" s="368"/>
      <c r="I33" s="350"/>
      <c r="J33" s="350"/>
      <c r="K33" s="351"/>
      <c r="L33" s="368"/>
      <c r="M33" s="350"/>
      <c r="N33" s="350"/>
      <c r="O33" s="350"/>
      <c r="P33" s="351"/>
      <c r="Q33" s="368"/>
      <c r="R33" s="350"/>
      <c r="S33" s="350"/>
      <c r="T33" s="350"/>
      <c r="U33" s="350"/>
      <c r="V33" s="350"/>
      <c r="W33" s="350"/>
      <c r="X33" s="350"/>
      <c r="Y33" s="350"/>
      <c r="Z33" s="351"/>
      <c r="AA33" s="368"/>
      <c r="AB33" s="350"/>
      <c r="AC33" s="350"/>
      <c r="AD33" s="350"/>
      <c r="AE33" s="350"/>
      <c r="AF33" s="350"/>
      <c r="AG33" s="350"/>
      <c r="AH33" s="350"/>
      <c r="AI33" s="350"/>
      <c r="AJ33" s="350"/>
      <c r="AK33" s="350"/>
      <c r="AL33" s="350"/>
      <c r="AM33" s="350"/>
      <c r="AN33" s="350"/>
      <c r="AO33" s="350"/>
      <c r="AP33" s="350"/>
      <c r="AQ33" s="351"/>
    </row>
    <row r="34" spans="1:43" ht="30" customHeight="1">
      <c r="A34" s="98">
        <f t="shared" si="0"/>
        <v>22</v>
      </c>
      <c r="B34" s="412" t="s">
        <v>325</v>
      </c>
      <c r="C34" s="350"/>
      <c r="D34" s="351"/>
      <c r="E34" s="735"/>
      <c r="F34" s="350"/>
      <c r="G34" s="351"/>
      <c r="H34" s="412"/>
      <c r="I34" s="350"/>
      <c r="J34" s="350"/>
      <c r="K34" s="351"/>
      <c r="L34" s="412"/>
      <c r="M34" s="350"/>
      <c r="N34" s="350"/>
      <c r="O34" s="350"/>
      <c r="P34" s="351"/>
      <c r="Q34" s="412"/>
      <c r="R34" s="350"/>
      <c r="S34" s="350"/>
      <c r="T34" s="350"/>
      <c r="U34" s="350"/>
      <c r="V34" s="350"/>
      <c r="W34" s="350"/>
      <c r="X34" s="350"/>
      <c r="Y34" s="350"/>
      <c r="Z34" s="351"/>
      <c r="AA34" s="412"/>
      <c r="AB34" s="350"/>
      <c r="AC34" s="350"/>
      <c r="AD34" s="350"/>
      <c r="AE34" s="350"/>
      <c r="AF34" s="350"/>
      <c r="AG34" s="350"/>
      <c r="AH34" s="350"/>
      <c r="AI34" s="350"/>
      <c r="AJ34" s="350"/>
      <c r="AK34" s="350"/>
      <c r="AL34" s="350"/>
      <c r="AM34" s="350"/>
      <c r="AN34" s="350"/>
      <c r="AO34" s="350"/>
      <c r="AP34" s="350"/>
      <c r="AQ34" s="351"/>
    </row>
    <row r="35" spans="1:43" ht="30" customHeight="1">
      <c r="A35" s="98">
        <f t="shared" si="0"/>
        <v>23</v>
      </c>
      <c r="B35" s="368" t="s">
        <v>325</v>
      </c>
      <c r="C35" s="350"/>
      <c r="D35" s="351"/>
      <c r="E35" s="736"/>
      <c r="F35" s="350"/>
      <c r="G35" s="351"/>
      <c r="H35" s="368"/>
      <c r="I35" s="350"/>
      <c r="J35" s="350"/>
      <c r="K35" s="351"/>
      <c r="L35" s="368"/>
      <c r="M35" s="350"/>
      <c r="N35" s="350"/>
      <c r="O35" s="350"/>
      <c r="P35" s="351"/>
      <c r="Q35" s="368"/>
      <c r="R35" s="350"/>
      <c r="S35" s="350"/>
      <c r="T35" s="350"/>
      <c r="U35" s="350"/>
      <c r="V35" s="350"/>
      <c r="W35" s="350"/>
      <c r="X35" s="350"/>
      <c r="Y35" s="350"/>
      <c r="Z35" s="351"/>
      <c r="AA35" s="368"/>
      <c r="AB35" s="350"/>
      <c r="AC35" s="350"/>
      <c r="AD35" s="350"/>
      <c r="AE35" s="350"/>
      <c r="AF35" s="350"/>
      <c r="AG35" s="350"/>
      <c r="AH35" s="350"/>
      <c r="AI35" s="350"/>
      <c r="AJ35" s="350"/>
      <c r="AK35" s="350"/>
      <c r="AL35" s="350"/>
      <c r="AM35" s="350"/>
      <c r="AN35" s="350"/>
      <c r="AO35" s="350"/>
      <c r="AP35" s="350"/>
      <c r="AQ35" s="351"/>
    </row>
    <row r="36" spans="1:43" ht="30" customHeight="1">
      <c r="A36" s="98">
        <f t="shared" si="0"/>
        <v>24</v>
      </c>
      <c r="B36" s="412" t="s">
        <v>325</v>
      </c>
      <c r="C36" s="350"/>
      <c r="D36" s="351"/>
      <c r="E36" s="735"/>
      <c r="F36" s="350"/>
      <c r="G36" s="351"/>
      <c r="H36" s="412"/>
      <c r="I36" s="350"/>
      <c r="J36" s="350"/>
      <c r="K36" s="351"/>
      <c r="L36" s="412"/>
      <c r="M36" s="350"/>
      <c r="N36" s="350"/>
      <c r="O36" s="350"/>
      <c r="P36" s="351"/>
      <c r="Q36" s="412"/>
      <c r="R36" s="350"/>
      <c r="S36" s="350"/>
      <c r="T36" s="350"/>
      <c r="U36" s="350"/>
      <c r="V36" s="350"/>
      <c r="W36" s="350"/>
      <c r="X36" s="350"/>
      <c r="Y36" s="350"/>
      <c r="Z36" s="351"/>
      <c r="AA36" s="412"/>
      <c r="AB36" s="350"/>
      <c r="AC36" s="350"/>
      <c r="AD36" s="350"/>
      <c r="AE36" s="350"/>
      <c r="AF36" s="350"/>
      <c r="AG36" s="350"/>
      <c r="AH36" s="350"/>
      <c r="AI36" s="350"/>
      <c r="AJ36" s="350"/>
      <c r="AK36" s="350"/>
      <c r="AL36" s="350"/>
      <c r="AM36" s="350"/>
      <c r="AN36" s="350"/>
      <c r="AO36" s="350"/>
      <c r="AP36" s="350"/>
      <c r="AQ36" s="351"/>
    </row>
    <row r="37" spans="1:43" ht="30" customHeight="1">
      <c r="A37" s="98">
        <f t="shared" si="0"/>
        <v>25</v>
      </c>
      <c r="B37" s="368" t="s">
        <v>325</v>
      </c>
      <c r="C37" s="350"/>
      <c r="D37" s="351"/>
      <c r="E37" s="736"/>
      <c r="F37" s="350"/>
      <c r="G37" s="351"/>
      <c r="H37" s="368"/>
      <c r="I37" s="350"/>
      <c r="J37" s="350"/>
      <c r="K37" s="351"/>
      <c r="L37" s="368"/>
      <c r="M37" s="350"/>
      <c r="N37" s="350"/>
      <c r="O37" s="350"/>
      <c r="P37" s="351"/>
      <c r="Q37" s="368"/>
      <c r="R37" s="350"/>
      <c r="S37" s="350"/>
      <c r="T37" s="350"/>
      <c r="U37" s="350"/>
      <c r="V37" s="350"/>
      <c r="W37" s="350"/>
      <c r="X37" s="350"/>
      <c r="Y37" s="350"/>
      <c r="Z37" s="351"/>
      <c r="AA37" s="368"/>
      <c r="AB37" s="350"/>
      <c r="AC37" s="350"/>
      <c r="AD37" s="350"/>
      <c r="AE37" s="350"/>
      <c r="AF37" s="350"/>
      <c r="AG37" s="350"/>
      <c r="AH37" s="350"/>
      <c r="AI37" s="350"/>
      <c r="AJ37" s="350"/>
      <c r="AK37" s="350"/>
      <c r="AL37" s="350"/>
      <c r="AM37" s="350"/>
      <c r="AN37" s="350"/>
      <c r="AO37" s="350"/>
      <c r="AP37" s="350"/>
      <c r="AQ37" s="351"/>
    </row>
    <row r="38" spans="1:43" ht="30" customHeight="1">
      <c r="A38" s="98">
        <f t="shared" si="0"/>
        <v>26</v>
      </c>
      <c r="B38" s="412" t="s">
        <v>325</v>
      </c>
      <c r="C38" s="350"/>
      <c r="D38" s="351"/>
      <c r="E38" s="735"/>
      <c r="F38" s="350"/>
      <c r="G38" s="351"/>
      <c r="H38" s="412"/>
      <c r="I38" s="350"/>
      <c r="J38" s="350"/>
      <c r="K38" s="351"/>
      <c r="L38" s="412"/>
      <c r="M38" s="350"/>
      <c r="N38" s="350"/>
      <c r="O38" s="350"/>
      <c r="P38" s="351"/>
      <c r="Q38" s="412"/>
      <c r="R38" s="350"/>
      <c r="S38" s="350"/>
      <c r="T38" s="350"/>
      <c r="U38" s="350"/>
      <c r="V38" s="350"/>
      <c r="W38" s="350"/>
      <c r="X38" s="350"/>
      <c r="Y38" s="350"/>
      <c r="Z38" s="351"/>
      <c r="AA38" s="412"/>
      <c r="AB38" s="350"/>
      <c r="AC38" s="350"/>
      <c r="AD38" s="350"/>
      <c r="AE38" s="350"/>
      <c r="AF38" s="350"/>
      <c r="AG38" s="350"/>
      <c r="AH38" s="350"/>
      <c r="AI38" s="350"/>
      <c r="AJ38" s="350"/>
      <c r="AK38" s="350"/>
      <c r="AL38" s="350"/>
      <c r="AM38" s="350"/>
      <c r="AN38" s="350"/>
      <c r="AO38" s="350"/>
      <c r="AP38" s="350"/>
      <c r="AQ38" s="351"/>
    </row>
    <row r="39" spans="1:43" ht="30" customHeight="1">
      <c r="A39" s="98">
        <f t="shared" si="0"/>
        <v>27</v>
      </c>
      <c r="B39" s="368" t="s">
        <v>325</v>
      </c>
      <c r="C39" s="350"/>
      <c r="D39" s="351"/>
      <c r="E39" s="736"/>
      <c r="F39" s="350"/>
      <c r="G39" s="351"/>
      <c r="H39" s="368"/>
      <c r="I39" s="350"/>
      <c r="J39" s="350"/>
      <c r="K39" s="351"/>
      <c r="L39" s="368"/>
      <c r="M39" s="350"/>
      <c r="N39" s="350"/>
      <c r="O39" s="350"/>
      <c r="P39" s="351"/>
      <c r="Q39" s="368"/>
      <c r="R39" s="350"/>
      <c r="S39" s="350"/>
      <c r="T39" s="350"/>
      <c r="U39" s="350"/>
      <c r="V39" s="350"/>
      <c r="W39" s="350"/>
      <c r="X39" s="350"/>
      <c r="Y39" s="350"/>
      <c r="Z39" s="351"/>
      <c r="AA39" s="368"/>
      <c r="AB39" s="350"/>
      <c r="AC39" s="350"/>
      <c r="AD39" s="350"/>
      <c r="AE39" s="350"/>
      <c r="AF39" s="350"/>
      <c r="AG39" s="350"/>
      <c r="AH39" s="350"/>
      <c r="AI39" s="350"/>
      <c r="AJ39" s="350"/>
      <c r="AK39" s="350"/>
      <c r="AL39" s="350"/>
      <c r="AM39" s="350"/>
      <c r="AN39" s="350"/>
      <c r="AO39" s="350"/>
      <c r="AP39" s="350"/>
      <c r="AQ39" s="351"/>
    </row>
    <row r="40" spans="1:43" ht="30" customHeight="1">
      <c r="A40" s="98">
        <f t="shared" si="0"/>
        <v>28</v>
      </c>
      <c r="B40" s="412" t="s">
        <v>325</v>
      </c>
      <c r="C40" s="350"/>
      <c r="D40" s="351"/>
      <c r="E40" s="735"/>
      <c r="F40" s="350"/>
      <c r="G40" s="351"/>
      <c r="H40" s="412"/>
      <c r="I40" s="350"/>
      <c r="J40" s="350"/>
      <c r="K40" s="351"/>
      <c r="L40" s="412"/>
      <c r="M40" s="350"/>
      <c r="N40" s="350"/>
      <c r="O40" s="350"/>
      <c r="P40" s="351"/>
      <c r="Q40" s="412"/>
      <c r="R40" s="350"/>
      <c r="S40" s="350"/>
      <c r="T40" s="350"/>
      <c r="U40" s="350"/>
      <c r="V40" s="350"/>
      <c r="W40" s="350"/>
      <c r="X40" s="350"/>
      <c r="Y40" s="350"/>
      <c r="Z40" s="351"/>
      <c r="AA40" s="412"/>
      <c r="AB40" s="350"/>
      <c r="AC40" s="350"/>
      <c r="AD40" s="350"/>
      <c r="AE40" s="350"/>
      <c r="AF40" s="350"/>
      <c r="AG40" s="350"/>
      <c r="AH40" s="350"/>
      <c r="AI40" s="350"/>
      <c r="AJ40" s="350"/>
      <c r="AK40" s="350"/>
      <c r="AL40" s="350"/>
      <c r="AM40" s="350"/>
      <c r="AN40" s="350"/>
      <c r="AO40" s="350"/>
      <c r="AP40" s="350"/>
      <c r="AQ40" s="351"/>
    </row>
    <row r="41" spans="1:43" ht="30" customHeight="1">
      <c r="A41" s="98">
        <f t="shared" si="0"/>
        <v>29</v>
      </c>
      <c r="B41" s="368" t="s">
        <v>325</v>
      </c>
      <c r="C41" s="350"/>
      <c r="D41" s="351"/>
      <c r="E41" s="736"/>
      <c r="F41" s="350"/>
      <c r="G41" s="351"/>
      <c r="H41" s="368"/>
      <c r="I41" s="350"/>
      <c r="J41" s="350"/>
      <c r="K41" s="351"/>
      <c r="L41" s="368"/>
      <c r="M41" s="350"/>
      <c r="N41" s="350"/>
      <c r="O41" s="350"/>
      <c r="P41" s="351"/>
      <c r="Q41" s="368"/>
      <c r="R41" s="350"/>
      <c r="S41" s="350"/>
      <c r="T41" s="350"/>
      <c r="U41" s="350"/>
      <c r="V41" s="350"/>
      <c r="W41" s="350"/>
      <c r="X41" s="350"/>
      <c r="Y41" s="350"/>
      <c r="Z41" s="351"/>
      <c r="AA41" s="368"/>
      <c r="AB41" s="350"/>
      <c r="AC41" s="350"/>
      <c r="AD41" s="350"/>
      <c r="AE41" s="350"/>
      <c r="AF41" s="350"/>
      <c r="AG41" s="350"/>
      <c r="AH41" s="350"/>
      <c r="AI41" s="350"/>
      <c r="AJ41" s="350"/>
      <c r="AK41" s="350"/>
      <c r="AL41" s="350"/>
      <c r="AM41" s="350"/>
      <c r="AN41" s="350"/>
      <c r="AO41" s="350"/>
      <c r="AP41" s="350"/>
      <c r="AQ41" s="351"/>
    </row>
    <row r="42" spans="1:43" ht="30" customHeight="1">
      <c r="A42" s="98">
        <f t="shared" si="0"/>
        <v>30</v>
      </c>
      <c r="B42" s="412" t="s">
        <v>325</v>
      </c>
      <c r="C42" s="350"/>
      <c r="D42" s="351"/>
      <c r="E42" s="735"/>
      <c r="F42" s="350"/>
      <c r="G42" s="351"/>
      <c r="H42" s="412"/>
      <c r="I42" s="350"/>
      <c r="J42" s="350"/>
      <c r="K42" s="351"/>
      <c r="L42" s="412"/>
      <c r="M42" s="350"/>
      <c r="N42" s="350"/>
      <c r="O42" s="350"/>
      <c r="P42" s="351"/>
      <c r="Q42" s="412"/>
      <c r="R42" s="350"/>
      <c r="S42" s="350"/>
      <c r="T42" s="350"/>
      <c r="U42" s="350"/>
      <c r="V42" s="350"/>
      <c r="W42" s="350"/>
      <c r="X42" s="350"/>
      <c r="Y42" s="350"/>
      <c r="Z42" s="351"/>
      <c r="AA42" s="412"/>
      <c r="AB42" s="350"/>
      <c r="AC42" s="350"/>
      <c r="AD42" s="350"/>
      <c r="AE42" s="350"/>
      <c r="AF42" s="350"/>
      <c r="AG42" s="350"/>
      <c r="AH42" s="350"/>
      <c r="AI42" s="350"/>
      <c r="AJ42" s="350"/>
      <c r="AK42" s="350"/>
      <c r="AL42" s="350"/>
      <c r="AM42" s="350"/>
      <c r="AN42" s="350"/>
      <c r="AO42" s="350"/>
      <c r="AP42" s="350"/>
      <c r="AQ42" s="351"/>
    </row>
    <row r="43" spans="1:43" ht="30" customHeight="1">
      <c r="A43" s="98">
        <f t="shared" si="0"/>
        <v>31</v>
      </c>
      <c r="B43" s="368" t="s">
        <v>325</v>
      </c>
      <c r="C43" s="350"/>
      <c r="D43" s="351"/>
      <c r="E43" s="736"/>
      <c r="F43" s="350"/>
      <c r="G43" s="351"/>
      <c r="H43" s="368"/>
      <c r="I43" s="350"/>
      <c r="J43" s="350"/>
      <c r="K43" s="351"/>
      <c r="L43" s="368"/>
      <c r="M43" s="350"/>
      <c r="N43" s="350"/>
      <c r="O43" s="350"/>
      <c r="P43" s="351"/>
      <c r="Q43" s="368"/>
      <c r="R43" s="350"/>
      <c r="S43" s="350"/>
      <c r="T43" s="350"/>
      <c r="U43" s="350"/>
      <c r="V43" s="350"/>
      <c r="W43" s="350"/>
      <c r="X43" s="350"/>
      <c r="Y43" s="350"/>
      <c r="Z43" s="351"/>
      <c r="AA43" s="368"/>
      <c r="AB43" s="350"/>
      <c r="AC43" s="350"/>
      <c r="AD43" s="350"/>
      <c r="AE43" s="350"/>
      <c r="AF43" s="350"/>
      <c r="AG43" s="350"/>
      <c r="AH43" s="350"/>
      <c r="AI43" s="350"/>
      <c r="AJ43" s="350"/>
      <c r="AK43" s="350"/>
      <c r="AL43" s="350"/>
      <c r="AM43" s="350"/>
      <c r="AN43" s="350"/>
      <c r="AO43" s="350"/>
      <c r="AP43" s="350"/>
      <c r="AQ43" s="351"/>
    </row>
    <row r="44" spans="1:43" ht="30" customHeight="1">
      <c r="A44" s="98">
        <f t="shared" si="0"/>
        <v>32</v>
      </c>
      <c r="B44" s="412" t="s">
        <v>325</v>
      </c>
      <c r="C44" s="350"/>
      <c r="D44" s="351"/>
      <c r="E44" s="735"/>
      <c r="F44" s="350"/>
      <c r="G44" s="351"/>
      <c r="H44" s="412"/>
      <c r="I44" s="350"/>
      <c r="J44" s="350"/>
      <c r="K44" s="351"/>
      <c r="L44" s="412"/>
      <c r="M44" s="350"/>
      <c r="N44" s="350"/>
      <c r="O44" s="350"/>
      <c r="P44" s="351"/>
      <c r="Q44" s="412"/>
      <c r="R44" s="350"/>
      <c r="S44" s="350"/>
      <c r="T44" s="350"/>
      <c r="U44" s="350"/>
      <c r="V44" s="350"/>
      <c r="W44" s="350"/>
      <c r="X44" s="350"/>
      <c r="Y44" s="350"/>
      <c r="Z44" s="351"/>
      <c r="AA44" s="412"/>
      <c r="AB44" s="350"/>
      <c r="AC44" s="350"/>
      <c r="AD44" s="350"/>
      <c r="AE44" s="350"/>
      <c r="AF44" s="350"/>
      <c r="AG44" s="350"/>
      <c r="AH44" s="350"/>
      <c r="AI44" s="350"/>
      <c r="AJ44" s="350"/>
      <c r="AK44" s="350"/>
      <c r="AL44" s="350"/>
      <c r="AM44" s="350"/>
      <c r="AN44" s="350"/>
      <c r="AO44" s="350"/>
      <c r="AP44" s="350"/>
      <c r="AQ44" s="351"/>
    </row>
    <row r="45" spans="1:43" ht="30" customHeight="1">
      <c r="A45" s="98">
        <f t="shared" si="0"/>
        <v>33</v>
      </c>
      <c r="B45" s="368" t="s">
        <v>325</v>
      </c>
      <c r="C45" s="350"/>
      <c r="D45" s="351"/>
      <c r="E45" s="736"/>
      <c r="F45" s="350"/>
      <c r="G45" s="351"/>
      <c r="H45" s="368"/>
      <c r="I45" s="350"/>
      <c r="J45" s="350"/>
      <c r="K45" s="351"/>
      <c r="L45" s="368"/>
      <c r="M45" s="350"/>
      <c r="N45" s="350"/>
      <c r="O45" s="350"/>
      <c r="P45" s="351"/>
      <c r="Q45" s="368"/>
      <c r="R45" s="350"/>
      <c r="S45" s="350"/>
      <c r="T45" s="350"/>
      <c r="U45" s="350"/>
      <c r="V45" s="350"/>
      <c r="W45" s="350"/>
      <c r="X45" s="350"/>
      <c r="Y45" s="350"/>
      <c r="Z45" s="351"/>
      <c r="AA45" s="368"/>
      <c r="AB45" s="350"/>
      <c r="AC45" s="350"/>
      <c r="AD45" s="350"/>
      <c r="AE45" s="350"/>
      <c r="AF45" s="350"/>
      <c r="AG45" s="350"/>
      <c r="AH45" s="350"/>
      <c r="AI45" s="350"/>
      <c r="AJ45" s="350"/>
      <c r="AK45" s="350"/>
      <c r="AL45" s="350"/>
      <c r="AM45" s="350"/>
      <c r="AN45" s="350"/>
      <c r="AO45" s="350"/>
      <c r="AP45" s="350"/>
      <c r="AQ45" s="351"/>
    </row>
    <row r="46" spans="1:43" ht="30" customHeight="1">
      <c r="A46" s="98">
        <f t="shared" si="0"/>
        <v>34</v>
      </c>
      <c r="B46" s="412" t="s">
        <v>325</v>
      </c>
      <c r="C46" s="350"/>
      <c r="D46" s="351"/>
      <c r="E46" s="735"/>
      <c r="F46" s="350"/>
      <c r="G46" s="351"/>
      <c r="H46" s="412"/>
      <c r="I46" s="350"/>
      <c r="J46" s="350"/>
      <c r="K46" s="351"/>
      <c r="L46" s="412"/>
      <c r="M46" s="350"/>
      <c r="N46" s="350"/>
      <c r="O46" s="350"/>
      <c r="P46" s="351"/>
      <c r="Q46" s="412"/>
      <c r="R46" s="350"/>
      <c r="S46" s="350"/>
      <c r="T46" s="350"/>
      <c r="U46" s="350"/>
      <c r="V46" s="350"/>
      <c r="W46" s="350"/>
      <c r="X46" s="350"/>
      <c r="Y46" s="350"/>
      <c r="Z46" s="351"/>
      <c r="AA46" s="412"/>
      <c r="AB46" s="350"/>
      <c r="AC46" s="350"/>
      <c r="AD46" s="350"/>
      <c r="AE46" s="350"/>
      <c r="AF46" s="350"/>
      <c r="AG46" s="350"/>
      <c r="AH46" s="350"/>
      <c r="AI46" s="350"/>
      <c r="AJ46" s="350"/>
      <c r="AK46" s="350"/>
      <c r="AL46" s="350"/>
      <c r="AM46" s="350"/>
      <c r="AN46" s="350"/>
      <c r="AO46" s="350"/>
      <c r="AP46" s="350"/>
      <c r="AQ46" s="351"/>
    </row>
    <row r="47" spans="1:43" ht="30" customHeight="1">
      <c r="A47" s="98">
        <f t="shared" si="0"/>
        <v>35</v>
      </c>
      <c r="B47" s="368" t="s">
        <v>325</v>
      </c>
      <c r="C47" s="350"/>
      <c r="D47" s="351"/>
      <c r="E47" s="736"/>
      <c r="F47" s="350"/>
      <c r="G47" s="351"/>
      <c r="H47" s="368"/>
      <c r="I47" s="350"/>
      <c r="J47" s="350"/>
      <c r="K47" s="351"/>
      <c r="L47" s="368"/>
      <c r="M47" s="350"/>
      <c r="N47" s="350"/>
      <c r="O47" s="350"/>
      <c r="P47" s="351"/>
      <c r="Q47" s="368"/>
      <c r="R47" s="350"/>
      <c r="S47" s="350"/>
      <c r="T47" s="350"/>
      <c r="U47" s="350"/>
      <c r="V47" s="350"/>
      <c r="W47" s="350"/>
      <c r="X47" s="350"/>
      <c r="Y47" s="350"/>
      <c r="Z47" s="351"/>
      <c r="AA47" s="368"/>
      <c r="AB47" s="350"/>
      <c r="AC47" s="350"/>
      <c r="AD47" s="350"/>
      <c r="AE47" s="350"/>
      <c r="AF47" s="350"/>
      <c r="AG47" s="350"/>
      <c r="AH47" s="350"/>
      <c r="AI47" s="350"/>
      <c r="AJ47" s="350"/>
      <c r="AK47" s="350"/>
      <c r="AL47" s="350"/>
      <c r="AM47" s="350"/>
      <c r="AN47" s="350"/>
      <c r="AO47" s="350"/>
      <c r="AP47" s="350"/>
      <c r="AQ47" s="351"/>
    </row>
    <row r="48" spans="1:43" ht="30" customHeight="1">
      <c r="A48" s="98">
        <f t="shared" si="0"/>
        <v>36</v>
      </c>
      <c r="B48" s="412" t="s">
        <v>325</v>
      </c>
      <c r="C48" s="350"/>
      <c r="D48" s="351"/>
      <c r="E48" s="735"/>
      <c r="F48" s="350"/>
      <c r="G48" s="351"/>
      <c r="H48" s="412"/>
      <c r="I48" s="350"/>
      <c r="J48" s="350"/>
      <c r="K48" s="351"/>
      <c r="L48" s="412"/>
      <c r="M48" s="350"/>
      <c r="N48" s="350"/>
      <c r="O48" s="350"/>
      <c r="P48" s="351"/>
      <c r="Q48" s="412"/>
      <c r="R48" s="350"/>
      <c r="S48" s="350"/>
      <c r="T48" s="350"/>
      <c r="U48" s="350"/>
      <c r="V48" s="350"/>
      <c r="W48" s="350"/>
      <c r="X48" s="350"/>
      <c r="Y48" s="350"/>
      <c r="Z48" s="351"/>
      <c r="AA48" s="412"/>
      <c r="AB48" s="350"/>
      <c r="AC48" s="350"/>
      <c r="AD48" s="350"/>
      <c r="AE48" s="350"/>
      <c r="AF48" s="350"/>
      <c r="AG48" s="350"/>
      <c r="AH48" s="350"/>
      <c r="AI48" s="350"/>
      <c r="AJ48" s="350"/>
      <c r="AK48" s="350"/>
      <c r="AL48" s="350"/>
      <c r="AM48" s="350"/>
      <c r="AN48" s="350"/>
      <c r="AO48" s="350"/>
      <c r="AP48" s="350"/>
      <c r="AQ48" s="351"/>
    </row>
    <row r="49" spans="1:43" ht="30" customHeight="1">
      <c r="A49" s="98">
        <f t="shared" si="0"/>
        <v>37</v>
      </c>
      <c r="B49" s="368" t="s">
        <v>325</v>
      </c>
      <c r="C49" s="350"/>
      <c r="D49" s="351"/>
      <c r="E49" s="736"/>
      <c r="F49" s="350"/>
      <c r="G49" s="351"/>
      <c r="H49" s="368"/>
      <c r="I49" s="350"/>
      <c r="J49" s="350"/>
      <c r="K49" s="351"/>
      <c r="L49" s="368"/>
      <c r="M49" s="350"/>
      <c r="N49" s="350"/>
      <c r="O49" s="350"/>
      <c r="P49" s="351"/>
      <c r="Q49" s="368"/>
      <c r="R49" s="350"/>
      <c r="S49" s="350"/>
      <c r="T49" s="350"/>
      <c r="U49" s="350"/>
      <c r="V49" s="350"/>
      <c r="W49" s="350"/>
      <c r="X49" s="350"/>
      <c r="Y49" s="350"/>
      <c r="Z49" s="351"/>
      <c r="AA49" s="368"/>
      <c r="AB49" s="350"/>
      <c r="AC49" s="350"/>
      <c r="AD49" s="350"/>
      <c r="AE49" s="350"/>
      <c r="AF49" s="350"/>
      <c r="AG49" s="350"/>
      <c r="AH49" s="350"/>
      <c r="AI49" s="350"/>
      <c r="AJ49" s="350"/>
      <c r="AK49" s="350"/>
      <c r="AL49" s="350"/>
      <c r="AM49" s="350"/>
      <c r="AN49" s="350"/>
      <c r="AO49" s="350"/>
      <c r="AP49" s="350"/>
      <c r="AQ49" s="351"/>
    </row>
    <row r="50" spans="1:43" ht="30" customHeight="1">
      <c r="A50" s="98">
        <f t="shared" si="0"/>
        <v>38</v>
      </c>
      <c r="B50" s="412" t="s">
        <v>325</v>
      </c>
      <c r="C50" s="350"/>
      <c r="D50" s="351"/>
      <c r="E50" s="735"/>
      <c r="F50" s="350"/>
      <c r="G50" s="351"/>
      <c r="H50" s="412"/>
      <c r="I50" s="350"/>
      <c r="J50" s="350"/>
      <c r="K50" s="351"/>
      <c r="L50" s="412"/>
      <c r="M50" s="350"/>
      <c r="N50" s="350"/>
      <c r="O50" s="350"/>
      <c r="P50" s="351"/>
      <c r="Q50" s="412"/>
      <c r="R50" s="350"/>
      <c r="S50" s="350"/>
      <c r="T50" s="350"/>
      <c r="U50" s="350"/>
      <c r="V50" s="350"/>
      <c r="W50" s="350"/>
      <c r="X50" s="350"/>
      <c r="Y50" s="350"/>
      <c r="Z50" s="351"/>
      <c r="AA50" s="412"/>
      <c r="AB50" s="350"/>
      <c r="AC50" s="350"/>
      <c r="AD50" s="350"/>
      <c r="AE50" s="350"/>
      <c r="AF50" s="350"/>
      <c r="AG50" s="350"/>
      <c r="AH50" s="350"/>
      <c r="AI50" s="350"/>
      <c r="AJ50" s="350"/>
      <c r="AK50" s="350"/>
      <c r="AL50" s="350"/>
      <c r="AM50" s="350"/>
      <c r="AN50" s="350"/>
      <c r="AO50" s="350"/>
      <c r="AP50" s="350"/>
      <c r="AQ50" s="351"/>
    </row>
    <row r="51" spans="1:43" ht="30" customHeight="1">
      <c r="A51" s="98">
        <f t="shared" si="0"/>
        <v>39</v>
      </c>
      <c r="B51" s="368" t="s">
        <v>325</v>
      </c>
      <c r="C51" s="350"/>
      <c r="D51" s="351"/>
      <c r="E51" s="736"/>
      <c r="F51" s="350"/>
      <c r="G51" s="351"/>
      <c r="H51" s="368"/>
      <c r="I51" s="350"/>
      <c r="J51" s="350"/>
      <c r="K51" s="351"/>
      <c r="L51" s="368"/>
      <c r="M51" s="350"/>
      <c r="N51" s="350"/>
      <c r="O51" s="350"/>
      <c r="P51" s="351"/>
      <c r="Q51" s="368"/>
      <c r="R51" s="350"/>
      <c r="S51" s="350"/>
      <c r="T51" s="350"/>
      <c r="U51" s="350"/>
      <c r="V51" s="350"/>
      <c r="W51" s="350"/>
      <c r="X51" s="350"/>
      <c r="Y51" s="350"/>
      <c r="Z51" s="351"/>
      <c r="AA51" s="368"/>
      <c r="AB51" s="350"/>
      <c r="AC51" s="350"/>
      <c r="AD51" s="350"/>
      <c r="AE51" s="350"/>
      <c r="AF51" s="350"/>
      <c r="AG51" s="350"/>
      <c r="AH51" s="350"/>
      <c r="AI51" s="350"/>
      <c r="AJ51" s="350"/>
      <c r="AK51" s="350"/>
      <c r="AL51" s="350"/>
      <c r="AM51" s="350"/>
      <c r="AN51" s="350"/>
      <c r="AO51" s="350"/>
      <c r="AP51" s="350"/>
      <c r="AQ51" s="351"/>
    </row>
    <row r="52" spans="1:43" ht="30" customHeight="1">
      <c r="A52" s="98">
        <f t="shared" si="0"/>
        <v>40</v>
      </c>
      <c r="B52" s="412" t="s">
        <v>325</v>
      </c>
      <c r="C52" s="350"/>
      <c r="D52" s="351"/>
      <c r="E52" s="735"/>
      <c r="F52" s="350"/>
      <c r="G52" s="351"/>
      <c r="H52" s="412"/>
      <c r="I52" s="350"/>
      <c r="J52" s="350"/>
      <c r="K52" s="351"/>
      <c r="L52" s="412"/>
      <c r="M52" s="350"/>
      <c r="N52" s="350"/>
      <c r="O52" s="350"/>
      <c r="P52" s="351"/>
      <c r="Q52" s="412"/>
      <c r="R52" s="350"/>
      <c r="S52" s="350"/>
      <c r="T52" s="350"/>
      <c r="U52" s="350"/>
      <c r="V52" s="350"/>
      <c r="W52" s="350"/>
      <c r="X52" s="350"/>
      <c r="Y52" s="350"/>
      <c r="Z52" s="351"/>
      <c r="AA52" s="412"/>
      <c r="AB52" s="350"/>
      <c r="AC52" s="350"/>
      <c r="AD52" s="350"/>
      <c r="AE52" s="350"/>
      <c r="AF52" s="350"/>
      <c r="AG52" s="350"/>
      <c r="AH52" s="350"/>
      <c r="AI52" s="350"/>
      <c r="AJ52" s="350"/>
      <c r="AK52" s="350"/>
      <c r="AL52" s="350"/>
      <c r="AM52" s="350"/>
      <c r="AN52" s="350"/>
      <c r="AO52" s="350"/>
      <c r="AP52" s="350"/>
      <c r="AQ52" s="351"/>
    </row>
    <row r="53" spans="1:43" ht="30" customHeight="1">
      <c r="A53" s="98">
        <f t="shared" si="0"/>
        <v>41</v>
      </c>
      <c r="B53" s="368" t="s">
        <v>325</v>
      </c>
      <c r="C53" s="350"/>
      <c r="D53" s="351"/>
      <c r="E53" s="736"/>
      <c r="F53" s="350"/>
      <c r="G53" s="351"/>
      <c r="H53" s="368"/>
      <c r="I53" s="350"/>
      <c r="J53" s="350"/>
      <c r="K53" s="351"/>
      <c r="L53" s="368"/>
      <c r="M53" s="350"/>
      <c r="N53" s="350"/>
      <c r="O53" s="350"/>
      <c r="P53" s="351"/>
      <c r="Q53" s="368"/>
      <c r="R53" s="350"/>
      <c r="S53" s="350"/>
      <c r="T53" s="350"/>
      <c r="U53" s="350"/>
      <c r="V53" s="350"/>
      <c r="W53" s="350"/>
      <c r="X53" s="350"/>
      <c r="Y53" s="350"/>
      <c r="Z53" s="351"/>
      <c r="AA53" s="368"/>
      <c r="AB53" s="350"/>
      <c r="AC53" s="350"/>
      <c r="AD53" s="350"/>
      <c r="AE53" s="350"/>
      <c r="AF53" s="350"/>
      <c r="AG53" s="350"/>
      <c r="AH53" s="350"/>
      <c r="AI53" s="350"/>
      <c r="AJ53" s="350"/>
      <c r="AK53" s="350"/>
      <c r="AL53" s="350"/>
      <c r="AM53" s="350"/>
      <c r="AN53" s="350"/>
      <c r="AO53" s="350"/>
      <c r="AP53" s="350"/>
      <c r="AQ53" s="351"/>
    </row>
    <row r="54" spans="1:43" ht="30" customHeight="1">
      <c r="A54" s="98">
        <f t="shared" si="0"/>
        <v>42</v>
      </c>
      <c r="B54" s="412" t="s">
        <v>325</v>
      </c>
      <c r="C54" s="350"/>
      <c r="D54" s="351"/>
      <c r="E54" s="735"/>
      <c r="F54" s="350"/>
      <c r="G54" s="351"/>
      <c r="H54" s="412"/>
      <c r="I54" s="350"/>
      <c r="J54" s="350"/>
      <c r="K54" s="351"/>
      <c r="L54" s="412"/>
      <c r="M54" s="350"/>
      <c r="N54" s="350"/>
      <c r="O54" s="350"/>
      <c r="P54" s="351"/>
      <c r="Q54" s="412"/>
      <c r="R54" s="350"/>
      <c r="S54" s="350"/>
      <c r="T54" s="350"/>
      <c r="U54" s="350"/>
      <c r="V54" s="350"/>
      <c r="W54" s="350"/>
      <c r="X54" s="350"/>
      <c r="Y54" s="350"/>
      <c r="Z54" s="351"/>
      <c r="AA54" s="412"/>
      <c r="AB54" s="350"/>
      <c r="AC54" s="350"/>
      <c r="AD54" s="350"/>
      <c r="AE54" s="350"/>
      <c r="AF54" s="350"/>
      <c r="AG54" s="350"/>
      <c r="AH54" s="350"/>
      <c r="AI54" s="350"/>
      <c r="AJ54" s="350"/>
      <c r="AK54" s="350"/>
      <c r="AL54" s="350"/>
      <c r="AM54" s="350"/>
      <c r="AN54" s="350"/>
      <c r="AO54" s="350"/>
      <c r="AP54" s="350"/>
      <c r="AQ54" s="351"/>
    </row>
    <row r="55" spans="1:43" ht="30" customHeight="1">
      <c r="A55" s="98">
        <f t="shared" si="0"/>
        <v>43</v>
      </c>
      <c r="B55" s="368" t="s">
        <v>325</v>
      </c>
      <c r="C55" s="350"/>
      <c r="D55" s="351"/>
      <c r="E55" s="736"/>
      <c r="F55" s="350"/>
      <c r="G55" s="351"/>
      <c r="H55" s="368"/>
      <c r="I55" s="350"/>
      <c r="J55" s="350"/>
      <c r="K55" s="351"/>
      <c r="L55" s="368"/>
      <c r="M55" s="350"/>
      <c r="N55" s="350"/>
      <c r="O55" s="350"/>
      <c r="P55" s="351"/>
      <c r="Q55" s="368"/>
      <c r="R55" s="350"/>
      <c r="S55" s="350"/>
      <c r="T55" s="350"/>
      <c r="U55" s="350"/>
      <c r="V55" s="350"/>
      <c r="W55" s="350"/>
      <c r="X55" s="350"/>
      <c r="Y55" s="350"/>
      <c r="Z55" s="351"/>
      <c r="AA55" s="368"/>
      <c r="AB55" s="350"/>
      <c r="AC55" s="350"/>
      <c r="AD55" s="350"/>
      <c r="AE55" s="350"/>
      <c r="AF55" s="350"/>
      <c r="AG55" s="350"/>
      <c r="AH55" s="350"/>
      <c r="AI55" s="350"/>
      <c r="AJ55" s="350"/>
      <c r="AK55" s="350"/>
      <c r="AL55" s="350"/>
      <c r="AM55" s="350"/>
      <c r="AN55" s="350"/>
      <c r="AO55" s="350"/>
      <c r="AP55" s="350"/>
      <c r="AQ55" s="351"/>
    </row>
    <row r="56" spans="1:43" ht="30" customHeight="1">
      <c r="A56" s="98">
        <f t="shared" si="0"/>
        <v>44</v>
      </c>
      <c r="B56" s="412" t="s">
        <v>325</v>
      </c>
      <c r="C56" s="350"/>
      <c r="D56" s="351"/>
      <c r="E56" s="735"/>
      <c r="F56" s="350"/>
      <c r="G56" s="351"/>
      <c r="H56" s="412"/>
      <c r="I56" s="350"/>
      <c r="J56" s="350"/>
      <c r="K56" s="351"/>
      <c r="L56" s="412"/>
      <c r="M56" s="350"/>
      <c r="N56" s="350"/>
      <c r="O56" s="350"/>
      <c r="P56" s="351"/>
      <c r="Q56" s="412"/>
      <c r="R56" s="350"/>
      <c r="S56" s="350"/>
      <c r="T56" s="350"/>
      <c r="U56" s="350"/>
      <c r="V56" s="350"/>
      <c r="W56" s="350"/>
      <c r="X56" s="350"/>
      <c r="Y56" s="350"/>
      <c r="Z56" s="351"/>
      <c r="AA56" s="412"/>
      <c r="AB56" s="350"/>
      <c r="AC56" s="350"/>
      <c r="AD56" s="350"/>
      <c r="AE56" s="350"/>
      <c r="AF56" s="350"/>
      <c r="AG56" s="350"/>
      <c r="AH56" s="350"/>
      <c r="AI56" s="350"/>
      <c r="AJ56" s="350"/>
      <c r="AK56" s="350"/>
      <c r="AL56" s="350"/>
      <c r="AM56" s="350"/>
      <c r="AN56" s="350"/>
      <c r="AO56" s="350"/>
      <c r="AP56" s="350"/>
      <c r="AQ56" s="351"/>
    </row>
    <row r="57" spans="1:43" ht="30" customHeight="1">
      <c r="A57" s="98">
        <f t="shared" si="0"/>
        <v>45</v>
      </c>
      <c r="B57" s="368" t="s">
        <v>325</v>
      </c>
      <c r="C57" s="350"/>
      <c r="D57" s="351"/>
      <c r="E57" s="736"/>
      <c r="F57" s="350"/>
      <c r="G57" s="351"/>
      <c r="H57" s="368"/>
      <c r="I57" s="350"/>
      <c r="J57" s="350"/>
      <c r="K57" s="351"/>
      <c r="L57" s="368"/>
      <c r="M57" s="350"/>
      <c r="N57" s="350"/>
      <c r="O57" s="350"/>
      <c r="P57" s="351"/>
      <c r="Q57" s="368"/>
      <c r="R57" s="350"/>
      <c r="S57" s="350"/>
      <c r="T57" s="350"/>
      <c r="U57" s="350"/>
      <c r="V57" s="350"/>
      <c r="W57" s="350"/>
      <c r="X57" s="350"/>
      <c r="Y57" s="350"/>
      <c r="Z57" s="351"/>
      <c r="AA57" s="368"/>
      <c r="AB57" s="350"/>
      <c r="AC57" s="350"/>
      <c r="AD57" s="350"/>
      <c r="AE57" s="350"/>
      <c r="AF57" s="350"/>
      <c r="AG57" s="350"/>
      <c r="AH57" s="350"/>
      <c r="AI57" s="350"/>
      <c r="AJ57" s="350"/>
      <c r="AK57" s="350"/>
      <c r="AL57" s="350"/>
      <c r="AM57" s="350"/>
      <c r="AN57" s="350"/>
      <c r="AO57" s="350"/>
      <c r="AP57" s="350"/>
      <c r="AQ57" s="351"/>
    </row>
    <row r="58" spans="1:43" ht="30" customHeight="1">
      <c r="A58" s="98">
        <f t="shared" si="0"/>
        <v>46</v>
      </c>
      <c r="B58" s="412" t="s">
        <v>325</v>
      </c>
      <c r="C58" s="350"/>
      <c r="D58" s="351"/>
      <c r="E58" s="735"/>
      <c r="F58" s="350"/>
      <c r="G58" s="351"/>
      <c r="H58" s="412"/>
      <c r="I58" s="350"/>
      <c r="J58" s="350"/>
      <c r="K58" s="351"/>
      <c r="L58" s="412"/>
      <c r="M58" s="350"/>
      <c r="N58" s="350"/>
      <c r="O58" s="350"/>
      <c r="P58" s="351"/>
      <c r="Q58" s="412"/>
      <c r="R58" s="350"/>
      <c r="S58" s="350"/>
      <c r="T58" s="350"/>
      <c r="U58" s="350"/>
      <c r="V58" s="350"/>
      <c r="W58" s="350"/>
      <c r="X58" s="350"/>
      <c r="Y58" s="350"/>
      <c r="Z58" s="351"/>
      <c r="AA58" s="412"/>
      <c r="AB58" s="350"/>
      <c r="AC58" s="350"/>
      <c r="AD58" s="350"/>
      <c r="AE58" s="350"/>
      <c r="AF58" s="350"/>
      <c r="AG58" s="350"/>
      <c r="AH58" s="350"/>
      <c r="AI58" s="350"/>
      <c r="AJ58" s="350"/>
      <c r="AK58" s="350"/>
      <c r="AL58" s="350"/>
      <c r="AM58" s="350"/>
      <c r="AN58" s="350"/>
      <c r="AO58" s="350"/>
      <c r="AP58" s="350"/>
      <c r="AQ58" s="351"/>
    </row>
    <row r="59" spans="1:43" ht="30" customHeight="1">
      <c r="A59" s="98">
        <f t="shared" si="0"/>
        <v>47</v>
      </c>
      <c r="B59" s="368" t="s">
        <v>325</v>
      </c>
      <c r="C59" s="350"/>
      <c r="D59" s="351"/>
      <c r="E59" s="736"/>
      <c r="F59" s="350"/>
      <c r="G59" s="351"/>
      <c r="H59" s="368"/>
      <c r="I59" s="350"/>
      <c r="J59" s="350"/>
      <c r="K59" s="351"/>
      <c r="L59" s="368"/>
      <c r="M59" s="350"/>
      <c r="N59" s="350"/>
      <c r="O59" s="350"/>
      <c r="P59" s="351"/>
      <c r="Q59" s="368"/>
      <c r="R59" s="350"/>
      <c r="S59" s="350"/>
      <c r="T59" s="350"/>
      <c r="U59" s="350"/>
      <c r="V59" s="350"/>
      <c r="W59" s="350"/>
      <c r="X59" s="350"/>
      <c r="Y59" s="350"/>
      <c r="Z59" s="351"/>
      <c r="AA59" s="368"/>
      <c r="AB59" s="350"/>
      <c r="AC59" s="350"/>
      <c r="AD59" s="350"/>
      <c r="AE59" s="350"/>
      <c r="AF59" s="350"/>
      <c r="AG59" s="350"/>
      <c r="AH59" s="350"/>
      <c r="AI59" s="350"/>
      <c r="AJ59" s="350"/>
      <c r="AK59" s="350"/>
      <c r="AL59" s="350"/>
      <c r="AM59" s="350"/>
      <c r="AN59" s="350"/>
      <c r="AO59" s="350"/>
      <c r="AP59" s="350"/>
      <c r="AQ59" s="351"/>
    </row>
    <row r="60" spans="1:43" ht="30" customHeight="1">
      <c r="A60" s="98">
        <f t="shared" si="0"/>
        <v>48</v>
      </c>
      <c r="B60" s="412" t="s">
        <v>325</v>
      </c>
      <c r="C60" s="350"/>
      <c r="D60" s="351"/>
      <c r="E60" s="735"/>
      <c r="F60" s="350"/>
      <c r="G60" s="351"/>
      <c r="H60" s="412"/>
      <c r="I60" s="350"/>
      <c r="J60" s="350"/>
      <c r="K60" s="351"/>
      <c r="L60" s="412"/>
      <c r="M60" s="350"/>
      <c r="N60" s="350"/>
      <c r="O60" s="350"/>
      <c r="P60" s="351"/>
      <c r="Q60" s="412"/>
      <c r="R60" s="350"/>
      <c r="S60" s="350"/>
      <c r="T60" s="350"/>
      <c r="U60" s="350"/>
      <c r="V60" s="350"/>
      <c r="W60" s="350"/>
      <c r="X60" s="350"/>
      <c r="Y60" s="350"/>
      <c r="Z60" s="351"/>
      <c r="AA60" s="412"/>
      <c r="AB60" s="350"/>
      <c r="AC60" s="350"/>
      <c r="AD60" s="350"/>
      <c r="AE60" s="350"/>
      <c r="AF60" s="350"/>
      <c r="AG60" s="350"/>
      <c r="AH60" s="350"/>
      <c r="AI60" s="350"/>
      <c r="AJ60" s="350"/>
      <c r="AK60" s="350"/>
      <c r="AL60" s="350"/>
      <c r="AM60" s="350"/>
      <c r="AN60" s="350"/>
      <c r="AO60" s="350"/>
      <c r="AP60" s="350"/>
      <c r="AQ60" s="351"/>
    </row>
    <row r="61" spans="1:43" ht="30" customHeight="1">
      <c r="A61" s="98">
        <f t="shared" si="0"/>
        <v>49</v>
      </c>
      <c r="B61" s="368" t="s">
        <v>325</v>
      </c>
      <c r="C61" s="350"/>
      <c r="D61" s="351"/>
      <c r="E61" s="736"/>
      <c r="F61" s="350"/>
      <c r="G61" s="351"/>
      <c r="H61" s="368"/>
      <c r="I61" s="350"/>
      <c r="J61" s="350"/>
      <c r="K61" s="351"/>
      <c r="L61" s="368"/>
      <c r="M61" s="350"/>
      <c r="N61" s="350"/>
      <c r="O61" s="350"/>
      <c r="P61" s="351"/>
      <c r="Q61" s="368"/>
      <c r="R61" s="350"/>
      <c r="S61" s="350"/>
      <c r="T61" s="350"/>
      <c r="U61" s="350"/>
      <c r="V61" s="350"/>
      <c r="W61" s="350"/>
      <c r="X61" s="350"/>
      <c r="Y61" s="350"/>
      <c r="Z61" s="351"/>
      <c r="AA61" s="368"/>
      <c r="AB61" s="350"/>
      <c r="AC61" s="350"/>
      <c r="AD61" s="350"/>
      <c r="AE61" s="350"/>
      <c r="AF61" s="350"/>
      <c r="AG61" s="350"/>
      <c r="AH61" s="350"/>
      <c r="AI61" s="350"/>
      <c r="AJ61" s="350"/>
      <c r="AK61" s="350"/>
      <c r="AL61" s="350"/>
      <c r="AM61" s="350"/>
      <c r="AN61" s="350"/>
      <c r="AO61" s="350"/>
      <c r="AP61" s="350"/>
      <c r="AQ61" s="351"/>
    </row>
    <row r="62" spans="1:43" ht="30" customHeight="1">
      <c r="A62" s="98">
        <f t="shared" si="0"/>
        <v>50</v>
      </c>
      <c r="B62" s="412" t="s">
        <v>325</v>
      </c>
      <c r="C62" s="350"/>
      <c r="D62" s="351"/>
      <c r="E62" s="735"/>
      <c r="F62" s="350"/>
      <c r="G62" s="351"/>
      <c r="H62" s="412"/>
      <c r="I62" s="350"/>
      <c r="J62" s="350"/>
      <c r="K62" s="351"/>
      <c r="L62" s="412"/>
      <c r="M62" s="350"/>
      <c r="N62" s="350"/>
      <c r="O62" s="350"/>
      <c r="P62" s="351"/>
      <c r="Q62" s="412"/>
      <c r="R62" s="350"/>
      <c r="S62" s="350"/>
      <c r="T62" s="350"/>
      <c r="U62" s="350"/>
      <c r="V62" s="350"/>
      <c r="W62" s="350"/>
      <c r="X62" s="350"/>
      <c r="Y62" s="350"/>
      <c r="Z62" s="351"/>
      <c r="AA62" s="412"/>
      <c r="AB62" s="350"/>
      <c r="AC62" s="350"/>
      <c r="AD62" s="350"/>
      <c r="AE62" s="350"/>
      <c r="AF62" s="350"/>
      <c r="AG62" s="350"/>
      <c r="AH62" s="350"/>
      <c r="AI62" s="350"/>
      <c r="AJ62" s="350"/>
      <c r="AK62" s="350"/>
      <c r="AL62" s="350"/>
      <c r="AM62" s="350"/>
      <c r="AN62" s="350"/>
      <c r="AO62" s="350"/>
      <c r="AP62" s="350"/>
      <c r="AQ62" s="351"/>
    </row>
    <row r="63" spans="1:43" ht="30" customHeight="1">
      <c r="A63" s="98">
        <f t="shared" si="0"/>
        <v>51</v>
      </c>
      <c r="B63" s="368" t="s">
        <v>325</v>
      </c>
      <c r="C63" s="350"/>
      <c r="D63" s="351"/>
      <c r="E63" s="736"/>
      <c r="F63" s="350"/>
      <c r="G63" s="351"/>
      <c r="H63" s="368"/>
      <c r="I63" s="350"/>
      <c r="J63" s="350"/>
      <c r="K63" s="351"/>
      <c r="L63" s="368"/>
      <c r="M63" s="350"/>
      <c r="N63" s="350"/>
      <c r="O63" s="350"/>
      <c r="P63" s="351"/>
      <c r="Q63" s="368"/>
      <c r="R63" s="350"/>
      <c r="S63" s="350"/>
      <c r="T63" s="350"/>
      <c r="U63" s="350"/>
      <c r="V63" s="350"/>
      <c r="W63" s="350"/>
      <c r="X63" s="350"/>
      <c r="Y63" s="350"/>
      <c r="Z63" s="351"/>
      <c r="AA63" s="368"/>
      <c r="AB63" s="350"/>
      <c r="AC63" s="350"/>
      <c r="AD63" s="350"/>
      <c r="AE63" s="350"/>
      <c r="AF63" s="350"/>
      <c r="AG63" s="350"/>
      <c r="AH63" s="350"/>
      <c r="AI63" s="350"/>
      <c r="AJ63" s="350"/>
      <c r="AK63" s="350"/>
      <c r="AL63" s="350"/>
      <c r="AM63" s="350"/>
      <c r="AN63" s="350"/>
      <c r="AO63" s="350"/>
      <c r="AP63" s="350"/>
      <c r="AQ63" s="351"/>
    </row>
    <row r="64" spans="1:43" ht="30" customHeight="1">
      <c r="A64" s="98">
        <f t="shared" si="0"/>
        <v>52</v>
      </c>
      <c r="B64" s="412" t="s">
        <v>325</v>
      </c>
      <c r="C64" s="350"/>
      <c r="D64" s="351"/>
      <c r="E64" s="735"/>
      <c r="F64" s="350"/>
      <c r="G64" s="351"/>
      <c r="H64" s="412"/>
      <c r="I64" s="350"/>
      <c r="J64" s="350"/>
      <c r="K64" s="351"/>
      <c r="L64" s="412"/>
      <c r="M64" s="350"/>
      <c r="N64" s="350"/>
      <c r="O64" s="350"/>
      <c r="P64" s="351"/>
      <c r="Q64" s="412"/>
      <c r="R64" s="350"/>
      <c r="S64" s="350"/>
      <c r="T64" s="350"/>
      <c r="U64" s="350"/>
      <c r="V64" s="350"/>
      <c r="W64" s="350"/>
      <c r="X64" s="350"/>
      <c r="Y64" s="350"/>
      <c r="Z64" s="351"/>
      <c r="AA64" s="412"/>
      <c r="AB64" s="350"/>
      <c r="AC64" s="350"/>
      <c r="AD64" s="350"/>
      <c r="AE64" s="350"/>
      <c r="AF64" s="350"/>
      <c r="AG64" s="350"/>
      <c r="AH64" s="350"/>
      <c r="AI64" s="350"/>
      <c r="AJ64" s="350"/>
      <c r="AK64" s="350"/>
      <c r="AL64" s="350"/>
      <c r="AM64" s="350"/>
      <c r="AN64" s="350"/>
      <c r="AO64" s="350"/>
      <c r="AP64" s="350"/>
      <c r="AQ64" s="351"/>
    </row>
    <row r="65" spans="1:43" ht="30" customHeight="1">
      <c r="A65" s="98">
        <f t="shared" si="0"/>
        <v>53</v>
      </c>
      <c r="B65" s="368" t="s">
        <v>325</v>
      </c>
      <c r="C65" s="350"/>
      <c r="D65" s="351"/>
      <c r="E65" s="736"/>
      <c r="F65" s="350"/>
      <c r="G65" s="351"/>
      <c r="H65" s="368"/>
      <c r="I65" s="350"/>
      <c r="J65" s="350"/>
      <c r="K65" s="351"/>
      <c r="L65" s="368"/>
      <c r="M65" s="350"/>
      <c r="N65" s="350"/>
      <c r="O65" s="350"/>
      <c r="P65" s="351"/>
      <c r="Q65" s="368"/>
      <c r="R65" s="350"/>
      <c r="S65" s="350"/>
      <c r="T65" s="350"/>
      <c r="U65" s="350"/>
      <c r="V65" s="350"/>
      <c r="W65" s="350"/>
      <c r="X65" s="350"/>
      <c r="Y65" s="350"/>
      <c r="Z65" s="351"/>
      <c r="AA65" s="368"/>
      <c r="AB65" s="350"/>
      <c r="AC65" s="350"/>
      <c r="AD65" s="350"/>
      <c r="AE65" s="350"/>
      <c r="AF65" s="350"/>
      <c r="AG65" s="350"/>
      <c r="AH65" s="350"/>
      <c r="AI65" s="350"/>
      <c r="AJ65" s="350"/>
      <c r="AK65" s="350"/>
      <c r="AL65" s="350"/>
      <c r="AM65" s="350"/>
      <c r="AN65" s="350"/>
      <c r="AO65" s="350"/>
      <c r="AP65" s="350"/>
      <c r="AQ65" s="351"/>
    </row>
    <row r="66" spans="1:43" ht="30" customHeight="1">
      <c r="A66" s="98">
        <f t="shared" si="0"/>
        <v>54</v>
      </c>
      <c r="B66" s="412" t="s">
        <v>325</v>
      </c>
      <c r="C66" s="350"/>
      <c r="D66" s="351"/>
      <c r="E66" s="735"/>
      <c r="F66" s="350"/>
      <c r="G66" s="351"/>
      <c r="H66" s="412"/>
      <c r="I66" s="350"/>
      <c r="J66" s="350"/>
      <c r="K66" s="351"/>
      <c r="L66" s="412"/>
      <c r="M66" s="350"/>
      <c r="N66" s="350"/>
      <c r="O66" s="350"/>
      <c r="P66" s="351"/>
      <c r="Q66" s="412"/>
      <c r="R66" s="350"/>
      <c r="S66" s="350"/>
      <c r="T66" s="350"/>
      <c r="U66" s="350"/>
      <c r="V66" s="350"/>
      <c r="W66" s="350"/>
      <c r="X66" s="350"/>
      <c r="Y66" s="350"/>
      <c r="Z66" s="351"/>
      <c r="AA66" s="412"/>
      <c r="AB66" s="350"/>
      <c r="AC66" s="350"/>
      <c r="AD66" s="350"/>
      <c r="AE66" s="350"/>
      <c r="AF66" s="350"/>
      <c r="AG66" s="350"/>
      <c r="AH66" s="350"/>
      <c r="AI66" s="350"/>
      <c r="AJ66" s="350"/>
      <c r="AK66" s="350"/>
      <c r="AL66" s="350"/>
      <c r="AM66" s="350"/>
      <c r="AN66" s="350"/>
      <c r="AO66" s="350"/>
      <c r="AP66" s="350"/>
      <c r="AQ66" s="351"/>
    </row>
    <row r="67" spans="1:43" ht="30" customHeight="1">
      <c r="A67" s="98">
        <f t="shared" si="0"/>
        <v>55</v>
      </c>
      <c r="B67" s="368" t="s">
        <v>325</v>
      </c>
      <c r="C67" s="350"/>
      <c r="D67" s="351"/>
      <c r="E67" s="736"/>
      <c r="F67" s="350"/>
      <c r="G67" s="351"/>
      <c r="H67" s="368"/>
      <c r="I67" s="350"/>
      <c r="J67" s="350"/>
      <c r="K67" s="351"/>
      <c r="L67" s="368"/>
      <c r="M67" s="350"/>
      <c r="N67" s="350"/>
      <c r="O67" s="350"/>
      <c r="P67" s="351"/>
      <c r="Q67" s="368"/>
      <c r="R67" s="350"/>
      <c r="S67" s="350"/>
      <c r="T67" s="350"/>
      <c r="U67" s="350"/>
      <c r="V67" s="350"/>
      <c r="W67" s="350"/>
      <c r="X67" s="350"/>
      <c r="Y67" s="350"/>
      <c r="Z67" s="351"/>
      <c r="AA67" s="368"/>
      <c r="AB67" s="350"/>
      <c r="AC67" s="350"/>
      <c r="AD67" s="350"/>
      <c r="AE67" s="350"/>
      <c r="AF67" s="350"/>
      <c r="AG67" s="350"/>
      <c r="AH67" s="350"/>
      <c r="AI67" s="350"/>
      <c r="AJ67" s="350"/>
      <c r="AK67" s="350"/>
      <c r="AL67" s="350"/>
      <c r="AM67" s="350"/>
      <c r="AN67" s="350"/>
      <c r="AO67" s="350"/>
      <c r="AP67" s="350"/>
      <c r="AQ67" s="351"/>
    </row>
    <row r="68" spans="1:43" ht="30" customHeight="1">
      <c r="A68" s="98">
        <f t="shared" si="0"/>
        <v>56</v>
      </c>
      <c r="B68" s="412" t="s">
        <v>325</v>
      </c>
      <c r="C68" s="350"/>
      <c r="D68" s="351"/>
      <c r="E68" s="735"/>
      <c r="F68" s="350"/>
      <c r="G68" s="351"/>
      <c r="H68" s="412"/>
      <c r="I68" s="350"/>
      <c r="J68" s="350"/>
      <c r="K68" s="351"/>
      <c r="L68" s="412"/>
      <c r="M68" s="350"/>
      <c r="N68" s="350"/>
      <c r="O68" s="350"/>
      <c r="P68" s="351"/>
      <c r="Q68" s="412"/>
      <c r="R68" s="350"/>
      <c r="S68" s="350"/>
      <c r="T68" s="350"/>
      <c r="U68" s="350"/>
      <c r="V68" s="350"/>
      <c r="W68" s="350"/>
      <c r="X68" s="350"/>
      <c r="Y68" s="350"/>
      <c r="Z68" s="351"/>
      <c r="AA68" s="412"/>
      <c r="AB68" s="350"/>
      <c r="AC68" s="350"/>
      <c r="AD68" s="350"/>
      <c r="AE68" s="350"/>
      <c r="AF68" s="350"/>
      <c r="AG68" s="350"/>
      <c r="AH68" s="350"/>
      <c r="AI68" s="350"/>
      <c r="AJ68" s="350"/>
      <c r="AK68" s="350"/>
      <c r="AL68" s="350"/>
      <c r="AM68" s="350"/>
      <c r="AN68" s="350"/>
      <c r="AO68" s="350"/>
      <c r="AP68" s="350"/>
      <c r="AQ68" s="351"/>
    </row>
    <row r="69" spans="1:43" ht="30" customHeight="1">
      <c r="A69" s="98">
        <f t="shared" si="0"/>
        <v>57</v>
      </c>
      <c r="B69" s="368" t="s">
        <v>325</v>
      </c>
      <c r="C69" s="350"/>
      <c r="D69" s="351"/>
      <c r="E69" s="736"/>
      <c r="F69" s="350"/>
      <c r="G69" s="351"/>
      <c r="H69" s="368"/>
      <c r="I69" s="350"/>
      <c r="J69" s="350"/>
      <c r="K69" s="351"/>
      <c r="L69" s="368"/>
      <c r="M69" s="350"/>
      <c r="N69" s="350"/>
      <c r="O69" s="350"/>
      <c r="P69" s="351"/>
      <c r="Q69" s="368"/>
      <c r="R69" s="350"/>
      <c r="S69" s="350"/>
      <c r="T69" s="350"/>
      <c r="U69" s="350"/>
      <c r="V69" s="350"/>
      <c r="W69" s="350"/>
      <c r="X69" s="350"/>
      <c r="Y69" s="350"/>
      <c r="Z69" s="351"/>
      <c r="AA69" s="368"/>
      <c r="AB69" s="350"/>
      <c r="AC69" s="350"/>
      <c r="AD69" s="350"/>
      <c r="AE69" s="350"/>
      <c r="AF69" s="350"/>
      <c r="AG69" s="350"/>
      <c r="AH69" s="350"/>
      <c r="AI69" s="350"/>
      <c r="AJ69" s="350"/>
      <c r="AK69" s="350"/>
      <c r="AL69" s="350"/>
      <c r="AM69" s="350"/>
      <c r="AN69" s="350"/>
      <c r="AO69" s="350"/>
      <c r="AP69" s="350"/>
      <c r="AQ69" s="351"/>
    </row>
    <row r="70" spans="1:43" ht="30" customHeight="1">
      <c r="A70" s="98">
        <f t="shared" si="0"/>
        <v>58</v>
      </c>
      <c r="B70" s="412" t="s">
        <v>325</v>
      </c>
      <c r="C70" s="350"/>
      <c r="D70" s="351"/>
      <c r="E70" s="735"/>
      <c r="F70" s="350"/>
      <c r="G70" s="351"/>
      <c r="H70" s="412"/>
      <c r="I70" s="350"/>
      <c r="J70" s="350"/>
      <c r="K70" s="351"/>
      <c r="L70" s="412"/>
      <c r="M70" s="350"/>
      <c r="N70" s="350"/>
      <c r="O70" s="350"/>
      <c r="P70" s="351"/>
      <c r="Q70" s="412"/>
      <c r="R70" s="350"/>
      <c r="S70" s="350"/>
      <c r="T70" s="350"/>
      <c r="U70" s="350"/>
      <c r="V70" s="350"/>
      <c r="W70" s="350"/>
      <c r="X70" s="350"/>
      <c r="Y70" s="350"/>
      <c r="Z70" s="351"/>
      <c r="AA70" s="412"/>
      <c r="AB70" s="350"/>
      <c r="AC70" s="350"/>
      <c r="AD70" s="350"/>
      <c r="AE70" s="350"/>
      <c r="AF70" s="350"/>
      <c r="AG70" s="350"/>
      <c r="AH70" s="350"/>
      <c r="AI70" s="350"/>
      <c r="AJ70" s="350"/>
      <c r="AK70" s="350"/>
      <c r="AL70" s="350"/>
      <c r="AM70" s="350"/>
      <c r="AN70" s="350"/>
      <c r="AO70" s="350"/>
      <c r="AP70" s="350"/>
      <c r="AQ70" s="351"/>
    </row>
    <row r="71" spans="1:43" ht="30" customHeight="1">
      <c r="A71" s="98">
        <f t="shared" si="0"/>
        <v>59</v>
      </c>
      <c r="B71" s="368" t="s">
        <v>325</v>
      </c>
      <c r="C71" s="350"/>
      <c r="D71" s="351"/>
      <c r="E71" s="736"/>
      <c r="F71" s="350"/>
      <c r="G71" s="351"/>
      <c r="H71" s="368"/>
      <c r="I71" s="350"/>
      <c r="J71" s="350"/>
      <c r="K71" s="351"/>
      <c r="L71" s="368"/>
      <c r="M71" s="350"/>
      <c r="N71" s="350"/>
      <c r="O71" s="350"/>
      <c r="P71" s="351"/>
      <c r="Q71" s="368"/>
      <c r="R71" s="350"/>
      <c r="S71" s="350"/>
      <c r="T71" s="350"/>
      <c r="U71" s="350"/>
      <c r="V71" s="350"/>
      <c r="W71" s="350"/>
      <c r="X71" s="350"/>
      <c r="Y71" s="350"/>
      <c r="Z71" s="351"/>
      <c r="AA71" s="368"/>
      <c r="AB71" s="350"/>
      <c r="AC71" s="350"/>
      <c r="AD71" s="350"/>
      <c r="AE71" s="350"/>
      <c r="AF71" s="350"/>
      <c r="AG71" s="350"/>
      <c r="AH71" s="350"/>
      <c r="AI71" s="350"/>
      <c r="AJ71" s="350"/>
      <c r="AK71" s="350"/>
      <c r="AL71" s="350"/>
      <c r="AM71" s="350"/>
      <c r="AN71" s="350"/>
      <c r="AO71" s="350"/>
      <c r="AP71" s="350"/>
      <c r="AQ71" s="351"/>
    </row>
    <row r="72" spans="1:43" ht="30" customHeight="1">
      <c r="A72" s="98">
        <f t="shared" si="0"/>
        <v>60</v>
      </c>
      <c r="B72" s="412" t="s">
        <v>325</v>
      </c>
      <c r="C72" s="350"/>
      <c r="D72" s="351"/>
      <c r="E72" s="735"/>
      <c r="F72" s="350"/>
      <c r="G72" s="351"/>
      <c r="H72" s="412"/>
      <c r="I72" s="350"/>
      <c r="J72" s="350"/>
      <c r="K72" s="351"/>
      <c r="L72" s="412"/>
      <c r="M72" s="350"/>
      <c r="N72" s="350"/>
      <c r="O72" s="350"/>
      <c r="P72" s="351"/>
      <c r="Q72" s="412"/>
      <c r="R72" s="350"/>
      <c r="S72" s="350"/>
      <c r="T72" s="350"/>
      <c r="U72" s="350"/>
      <c r="V72" s="350"/>
      <c r="W72" s="350"/>
      <c r="X72" s="350"/>
      <c r="Y72" s="350"/>
      <c r="Z72" s="351"/>
      <c r="AA72" s="412"/>
      <c r="AB72" s="350"/>
      <c r="AC72" s="350"/>
      <c r="AD72" s="350"/>
      <c r="AE72" s="350"/>
      <c r="AF72" s="350"/>
      <c r="AG72" s="350"/>
      <c r="AH72" s="350"/>
      <c r="AI72" s="350"/>
      <c r="AJ72" s="350"/>
      <c r="AK72" s="350"/>
      <c r="AL72" s="350"/>
      <c r="AM72" s="350"/>
      <c r="AN72" s="350"/>
      <c r="AO72" s="350"/>
      <c r="AP72" s="350"/>
      <c r="AQ72" s="351"/>
    </row>
    <row r="73" spans="1:43" ht="30" customHeight="1">
      <c r="A73" s="98">
        <f t="shared" si="0"/>
        <v>61</v>
      </c>
      <c r="B73" s="368" t="s">
        <v>325</v>
      </c>
      <c r="C73" s="350"/>
      <c r="D73" s="351"/>
      <c r="E73" s="736"/>
      <c r="F73" s="350"/>
      <c r="G73" s="351"/>
      <c r="H73" s="368"/>
      <c r="I73" s="350"/>
      <c r="J73" s="350"/>
      <c r="K73" s="351"/>
      <c r="L73" s="368"/>
      <c r="M73" s="350"/>
      <c r="N73" s="350"/>
      <c r="O73" s="350"/>
      <c r="P73" s="351"/>
      <c r="Q73" s="368"/>
      <c r="R73" s="350"/>
      <c r="S73" s="350"/>
      <c r="T73" s="350"/>
      <c r="U73" s="350"/>
      <c r="V73" s="350"/>
      <c r="W73" s="350"/>
      <c r="X73" s="350"/>
      <c r="Y73" s="350"/>
      <c r="Z73" s="351"/>
      <c r="AA73" s="368"/>
      <c r="AB73" s="350"/>
      <c r="AC73" s="350"/>
      <c r="AD73" s="350"/>
      <c r="AE73" s="350"/>
      <c r="AF73" s="350"/>
      <c r="AG73" s="350"/>
      <c r="AH73" s="350"/>
      <c r="AI73" s="350"/>
      <c r="AJ73" s="350"/>
      <c r="AK73" s="350"/>
      <c r="AL73" s="350"/>
      <c r="AM73" s="350"/>
      <c r="AN73" s="350"/>
      <c r="AO73" s="350"/>
      <c r="AP73" s="350"/>
      <c r="AQ73" s="351"/>
    </row>
    <row r="74" spans="1:43" ht="30" customHeight="1">
      <c r="A74" s="98">
        <f t="shared" si="0"/>
        <v>62</v>
      </c>
      <c r="B74" s="412" t="s">
        <v>325</v>
      </c>
      <c r="C74" s="350"/>
      <c r="D74" s="351"/>
      <c r="E74" s="735"/>
      <c r="F74" s="350"/>
      <c r="G74" s="351"/>
      <c r="H74" s="412"/>
      <c r="I74" s="350"/>
      <c r="J74" s="350"/>
      <c r="K74" s="351"/>
      <c r="L74" s="412"/>
      <c r="M74" s="350"/>
      <c r="N74" s="350"/>
      <c r="O74" s="350"/>
      <c r="P74" s="351"/>
      <c r="Q74" s="412"/>
      <c r="R74" s="350"/>
      <c r="S74" s="350"/>
      <c r="T74" s="350"/>
      <c r="U74" s="350"/>
      <c r="V74" s="350"/>
      <c r="W74" s="350"/>
      <c r="X74" s="350"/>
      <c r="Y74" s="350"/>
      <c r="Z74" s="351"/>
      <c r="AA74" s="412"/>
      <c r="AB74" s="350"/>
      <c r="AC74" s="350"/>
      <c r="AD74" s="350"/>
      <c r="AE74" s="350"/>
      <c r="AF74" s="350"/>
      <c r="AG74" s="350"/>
      <c r="AH74" s="350"/>
      <c r="AI74" s="350"/>
      <c r="AJ74" s="350"/>
      <c r="AK74" s="350"/>
      <c r="AL74" s="350"/>
      <c r="AM74" s="350"/>
      <c r="AN74" s="350"/>
      <c r="AO74" s="350"/>
      <c r="AP74" s="350"/>
      <c r="AQ74" s="351"/>
    </row>
    <row r="75" spans="1:43" ht="30" customHeight="1">
      <c r="A75" s="98">
        <f t="shared" si="0"/>
        <v>63</v>
      </c>
      <c r="B75" s="368" t="s">
        <v>325</v>
      </c>
      <c r="C75" s="350"/>
      <c r="D75" s="351"/>
      <c r="E75" s="736"/>
      <c r="F75" s="350"/>
      <c r="G75" s="351"/>
      <c r="H75" s="368"/>
      <c r="I75" s="350"/>
      <c r="J75" s="350"/>
      <c r="K75" s="351"/>
      <c r="L75" s="368"/>
      <c r="M75" s="350"/>
      <c r="N75" s="350"/>
      <c r="O75" s="350"/>
      <c r="P75" s="351"/>
      <c r="Q75" s="368"/>
      <c r="R75" s="350"/>
      <c r="S75" s="350"/>
      <c r="T75" s="350"/>
      <c r="U75" s="350"/>
      <c r="V75" s="350"/>
      <c r="W75" s="350"/>
      <c r="X75" s="350"/>
      <c r="Y75" s="350"/>
      <c r="Z75" s="351"/>
      <c r="AA75" s="368"/>
      <c r="AB75" s="350"/>
      <c r="AC75" s="350"/>
      <c r="AD75" s="350"/>
      <c r="AE75" s="350"/>
      <c r="AF75" s="350"/>
      <c r="AG75" s="350"/>
      <c r="AH75" s="350"/>
      <c r="AI75" s="350"/>
      <c r="AJ75" s="350"/>
      <c r="AK75" s="350"/>
      <c r="AL75" s="350"/>
      <c r="AM75" s="350"/>
      <c r="AN75" s="350"/>
      <c r="AO75" s="350"/>
      <c r="AP75" s="350"/>
      <c r="AQ75" s="351"/>
    </row>
    <row r="76" spans="1:43" ht="30" customHeight="1">
      <c r="A76" s="98">
        <f t="shared" si="0"/>
        <v>64</v>
      </c>
      <c r="B76" s="412" t="s">
        <v>325</v>
      </c>
      <c r="C76" s="350"/>
      <c r="D76" s="351"/>
      <c r="E76" s="735"/>
      <c r="F76" s="350"/>
      <c r="G76" s="351"/>
      <c r="H76" s="412"/>
      <c r="I76" s="350"/>
      <c r="J76" s="350"/>
      <c r="K76" s="351"/>
      <c r="L76" s="412"/>
      <c r="M76" s="350"/>
      <c r="N76" s="350"/>
      <c r="O76" s="350"/>
      <c r="P76" s="351"/>
      <c r="Q76" s="412"/>
      <c r="R76" s="350"/>
      <c r="S76" s="350"/>
      <c r="T76" s="350"/>
      <c r="U76" s="350"/>
      <c r="V76" s="350"/>
      <c r="W76" s="350"/>
      <c r="X76" s="350"/>
      <c r="Y76" s="350"/>
      <c r="Z76" s="351"/>
      <c r="AA76" s="412"/>
      <c r="AB76" s="350"/>
      <c r="AC76" s="350"/>
      <c r="AD76" s="350"/>
      <c r="AE76" s="350"/>
      <c r="AF76" s="350"/>
      <c r="AG76" s="350"/>
      <c r="AH76" s="350"/>
      <c r="AI76" s="350"/>
      <c r="AJ76" s="350"/>
      <c r="AK76" s="350"/>
      <c r="AL76" s="350"/>
      <c r="AM76" s="350"/>
      <c r="AN76" s="350"/>
      <c r="AO76" s="350"/>
      <c r="AP76" s="350"/>
      <c r="AQ76" s="351"/>
    </row>
    <row r="77" spans="1:43" ht="30" customHeight="1">
      <c r="A77" s="98">
        <f t="shared" si="0"/>
        <v>65</v>
      </c>
      <c r="B77" s="368" t="s">
        <v>325</v>
      </c>
      <c r="C77" s="350"/>
      <c r="D77" s="351"/>
      <c r="E77" s="736"/>
      <c r="F77" s="350"/>
      <c r="G77" s="351"/>
      <c r="H77" s="368"/>
      <c r="I77" s="350"/>
      <c r="J77" s="350"/>
      <c r="K77" s="351"/>
      <c r="L77" s="368"/>
      <c r="M77" s="350"/>
      <c r="N77" s="350"/>
      <c r="O77" s="350"/>
      <c r="P77" s="351"/>
      <c r="Q77" s="368"/>
      <c r="R77" s="350"/>
      <c r="S77" s="350"/>
      <c r="T77" s="350"/>
      <c r="U77" s="350"/>
      <c r="V77" s="350"/>
      <c r="W77" s="350"/>
      <c r="X77" s="350"/>
      <c r="Y77" s="350"/>
      <c r="Z77" s="351"/>
      <c r="AA77" s="368"/>
      <c r="AB77" s="350"/>
      <c r="AC77" s="350"/>
      <c r="AD77" s="350"/>
      <c r="AE77" s="350"/>
      <c r="AF77" s="350"/>
      <c r="AG77" s="350"/>
      <c r="AH77" s="350"/>
      <c r="AI77" s="350"/>
      <c r="AJ77" s="350"/>
      <c r="AK77" s="350"/>
      <c r="AL77" s="350"/>
      <c r="AM77" s="350"/>
      <c r="AN77" s="350"/>
      <c r="AO77" s="350"/>
      <c r="AP77" s="350"/>
      <c r="AQ77" s="351"/>
    </row>
    <row r="78" spans="1:43" ht="30" customHeight="1">
      <c r="A78" s="98">
        <f t="shared" si="0"/>
        <v>66</v>
      </c>
      <c r="B78" s="412" t="s">
        <v>325</v>
      </c>
      <c r="C78" s="350"/>
      <c r="D78" s="351"/>
      <c r="E78" s="735"/>
      <c r="F78" s="350"/>
      <c r="G78" s="351"/>
      <c r="H78" s="412"/>
      <c r="I78" s="350"/>
      <c r="J78" s="350"/>
      <c r="K78" s="351"/>
      <c r="L78" s="412"/>
      <c r="M78" s="350"/>
      <c r="N78" s="350"/>
      <c r="O78" s="350"/>
      <c r="P78" s="351"/>
      <c r="Q78" s="412"/>
      <c r="R78" s="350"/>
      <c r="S78" s="350"/>
      <c r="T78" s="350"/>
      <c r="U78" s="350"/>
      <c r="V78" s="350"/>
      <c r="W78" s="350"/>
      <c r="X78" s="350"/>
      <c r="Y78" s="350"/>
      <c r="Z78" s="351"/>
      <c r="AA78" s="412"/>
      <c r="AB78" s="350"/>
      <c r="AC78" s="350"/>
      <c r="AD78" s="350"/>
      <c r="AE78" s="350"/>
      <c r="AF78" s="350"/>
      <c r="AG78" s="350"/>
      <c r="AH78" s="350"/>
      <c r="AI78" s="350"/>
      <c r="AJ78" s="350"/>
      <c r="AK78" s="350"/>
      <c r="AL78" s="350"/>
      <c r="AM78" s="350"/>
      <c r="AN78" s="350"/>
      <c r="AO78" s="350"/>
      <c r="AP78" s="350"/>
      <c r="AQ78" s="351"/>
    </row>
    <row r="79" spans="1:43" ht="30" customHeight="1">
      <c r="A79" s="98">
        <f t="shared" si="0"/>
        <v>67</v>
      </c>
      <c r="B79" s="368" t="s">
        <v>325</v>
      </c>
      <c r="C79" s="350"/>
      <c r="D79" s="351"/>
      <c r="E79" s="736"/>
      <c r="F79" s="350"/>
      <c r="G79" s="351"/>
      <c r="H79" s="368"/>
      <c r="I79" s="350"/>
      <c r="J79" s="350"/>
      <c r="K79" s="351"/>
      <c r="L79" s="368"/>
      <c r="M79" s="350"/>
      <c r="N79" s="350"/>
      <c r="O79" s="350"/>
      <c r="P79" s="351"/>
      <c r="Q79" s="368"/>
      <c r="R79" s="350"/>
      <c r="S79" s="350"/>
      <c r="T79" s="350"/>
      <c r="U79" s="350"/>
      <c r="V79" s="350"/>
      <c r="W79" s="350"/>
      <c r="X79" s="350"/>
      <c r="Y79" s="350"/>
      <c r="Z79" s="351"/>
      <c r="AA79" s="368"/>
      <c r="AB79" s="350"/>
      <c r="AC79" s="350"/>
      <c r="AD79" s="350"/>
      <c r="AE79" s="350"/>
      <c r="AF79" s="350"/>
      <c r="AG79" s="350"/>
      <c r="AH79" s="350"/>
      <c r="AI79" s="350"/>
      <c r="AJ79" s="350"/>
      <c r="AK79" s="350"/>
      <c r="AL79" s="350"/>
      <c r="AM79" s="350"/>
      <c r="AN79" s="350"/>
      <c r="AO79" s="350"/>
      <c r="AP79" s="350"/>
      <c r="AQ79" s="351"/>
    </row>
    <row r="80" spans="1:43" ht="30" customHeight="1">
      <c r="A80" s="98">
        <f t="shared" si="0"/>
        <v>68</v>
      </c>
      <c r="B80" s="412" t="s">
        <v>325</v>
      </c>
      <c r="C80" s="350"/>
      <c r="D80" s="351"/>
      <c r="E80" s="735"/>
      <c r="F80" s="350"/>
      <c r="G80" s="351"/>
      <c r="H80" s="412"/>
      <c r="I80" s="350"/>
      <c r="J80" s="350"/>
      <c r="K80" s="351"/>
      <c r="L80" s="412"/>
      <c r="M80" s="350"/>
      <c r="N80" s="350"/>
      <c r="O80" s="350"/>
      <c r="P80" s="351"/>
      <c r="Q80" s="412"/>
      <c r="R80" s="350"/>
      <c r="S80" s="350"/>
      <c r="T80" s="350"/>
      <c r="U80" s="350"/>
      <c r="V80" s="350"/>
      <c r="W80" s="350"/>
      <c r="X80" s="350"/>
      <c r="Y80" s="350"/>
      <c r="Z80" s="351"/>
      <c r="AA80" s="412"/>
      <c r="AB80" s="350"/>
      <c r="AC80" s="350"/>
      <c r="AD80" s="350"/>
      <c r="AE80" s="350"/>
      <c r="AF80" s="350"/>
      <c r="AG80" s="350"/>
      <c r="AH80" s="350"/>
      <c r="AI80" s="350"/>
      <c r="AJ80" s="350"/>
      <c r="AK80" s="350"/>
      <c r="AL80" s="350"/>
      <c r="AM80" s="350"/>
      <c r="AN80" s="350"/>
      <c r="AO80" s="350"/>
      <c r="AP80" s="350"/>
      <c r="AQ80" s="351"/>
    </row>
    <row r="81" spans="1:43" ht="30" customHeight="1">
      <c r="A81" s="98">
        <f t="shared" si="0"/>
        <v>69</v>
      </c>
      <c r="B81" s="368" t="s">
        <v>325</v>
      </c>
      <c r="C81" s="350"/>
      <c r="D81" s="351"/>
      <c r="E81" s="736"/>
      <c r="F81" s="350"/>
      <c r="G81" s="351"/>
      <c r="H81" s="368"/>
      <c r="I81" s="350"/>
      <c r="J81" s="350"/>
      <c r="K81" s="351"/>
      <c r="L81" s="368"/>
      <c r="M81" s="350"/>
      <c r="N81" s="350"/>
      <c r="O81" s="350"/>
      <c r="P81" s="351"/>
      <c r="Q81" s="368"/>
      <c r="R81" s="350"/>
      <c r="S81" s="350"/>
      <c r="T81" s="350"/>
      <c r="U81" s="350"/>
      <c r="V81" s="350"/>
      <c r="W81" s="350"/>
      <c r="X81" s="350"/>
      <c r="Y81" s="350"/>
      <c r="Z81" s="351"/>
      <c r="AA81" s="368"/>
      <c r="AB81" s="350"/>
      <c r="AC81" s="350"/>
      <c r="AD81" s="350"/>
      <c r="AE81" s="350"/>
      <c r="AF81" s="350"/>
      <c r="AG81" s="350"/>
      <c r="AH81" s="350"/>
      <c r="AI81" s="350"/>
      <c r="AJ81" s="350"/>
      <c r="AK81" s="350"/>
      <c r="AL81" s="350"/>
      <c r="AM81" s="350"/>
      <c r="AN81" s="350"/>
      <c r="AO81" s="350"/>
      <c r="AP81" s="350"/>
      <c r="AQ81" s="351"/>
    </row>
    <row r="82" spans="1:43" ht="30" customHeight="1">
      <c r="A82" s="98">
        <f t="shared" si="0"/>
        <v>70</v>
      </c>
      <c r="B82" s="412" t="s">
        <v>325</v>
      </c>
      <c r="C82" s="350"/>
      <c r="D82" s="351"/>
      <c r="E82" s="735"/>
      <c r="F82" s="350"/>
      <c r="G82" s="351"/>
      <c r="H82" s="412"/>
      <c r="I82" s="350"/>
      <c r="J82" s="350"/>
      <c r="K82" s="351"/>
      <c r="L82" s="412"/>
      <c r="M82" s="350"/>
      <c r="N82" s="350"/>
      <c r="O82" s="350"/>
      <c r="P82" s="351"/>
      <c r="Q82" s="412"/>
      <c r="R82" s="350"/>
      <c r="S82" s="350"/>
      <c r="T82" s="350"/>
      <c r="U82" s="350"/>
      <c r="V82" s="350"/>
      <c r="W82" s="350"/>
      <c r="X82" s="350"/>
      <c r="Y82" s="350"/>
      <c r="Z82" s="351"/>
      <c r="AA82" s="412"/>
      <c r="AB82" s="350"/>
      <c r="AC82" s="350"/>
      <c r="AD82" s="350"/>
      <c r="AE82" s="350"/>
      <c r="AF82" s="350"/>
      <c r="AG82" s="350"/>
      <c r="AH82" s="350"/>
      <c r="AI82" s="350"/>
      <c r="AJ82" s="350"/>
      <c r="AK82" s="350"/>
      <c r="AL82" s="350"/>
      <c r="AM82" s="350"/>
      <c r="AN82" s="350"/>
      <c r="AO82" s="350"/>
      <c r="AP82" s="350"/>
      <c r="AQ82" s="351"/>
    </row>
    <row r="83" spans="1:43" ht="30" customHeight="1">
      <c r="A83" s="98">
        <f t="shared" si="0"/>
        <v>71</v>
      </c>
      <c r="B83" s="368" t="s">
        <v>325</v>
      </c>
      <c r="C83" s="350"/>
      <c r="D83" s="351"/>
      <c r="E83" s="736"/>
      <c r="F83" s="350"/>
      <c r="G83" s="351"/>
      <c r="H83" s="368"/>
      <c r="I83" s="350"/>
      <c r="J83" s="350"/>
      <c r="K83" s="351"/>
      <c r="L83" s="368"/>
      <c r="M83" s="350"/>
      <c r="N83" s="350"/>
      <c r="O83" s="350"/>
      <c r="P83" s="351"/>
      <c r="Q83" s="368"/>
      <c r="R83" s="350"/>
      <c r="S83" s="350"/>
      <c r="T83" s="350"/>
      <c r="U83" s="350"/>
      <c r="V83" s="350"/>
      <c r="W83" s="350"/>
      <c r="X83" s="350"/>
      <c r="Y83" s="350"/>
      <c r="Z83" s="351"/>
      <c r="AA83" s="368"/>
      <c r="AB83" s="350"/>
      <c r="AC83" s="350"/>
      <c r="AD83" s="350"/>
      <c r="AE83" s="350"/>
      <c r="AF83" s="350"/>
      <c r="AG83" s="350"/>
      <c r="AH83" s="350"/>
      <c r="AI83" s="350"/>
      <c r="AJ83" s="350"/>
      <c r="AK83" s="350"/>
      <c r="AL83" s="350"/>
      <c r="AM83" s="350"/>
      <c r="AN83" s="350"/>
      <c r="AO83" s="350"/>
      <c r="AP83" s="350"/>
      <c r="AQ83" s="351"/>
    </row>
    <row r="84" spans="1:43" ht="30" customHeight="1">
      <c r="A84" s="98">
        <f t="shared" si="0"/>
        <v>72</v>
      </c>
      <c r="B84" s="412" t="s">
        <v>325</v>
      </c>
      <c r="C84" s="350"/>
      <c r="D84" s="351"/>
      <c r="E84" s="735"/>
      <c r="F84" s="350"/>
      <c r="G84" s="351"/>
      <c r="H84" s="412"/>
      <c r="I84" s="350"/>
      <c r="J84" s="350"/>
      <c r="K84" s="351"/>
      <c r="L84" s="412"/>
      <c r="M84" s="350"/>
      <c r="N84" s="350"/>
      <c r="O84" s="350"/>
      <c r="P84" s="351"/>
      <c r="Q84" s="412"/>
      <c r="R84" s="350"/>
      <c r="S84" s="350"/>
      <c r="T84" s="350"/>
      <c r="U84" s="350"/>
      <c r="V84" s="350"/>
      <c r="W84" s="350"/>
      <c r="X84" s="350"/>
      <c r="Y84" s="350"/>
      <c r="Z84" s="351"/>
      <c r="AA84" s="412"/>
      <c r="AB84" s="350"/>
      <c r="AC84" s="350"/>
      <c r="AD84" s="350"/>
      <c r="AE84" s="350"/>
      <c r="AF84" s="350"/>
      <c r="AG84" s="350"/>
      <c r="AH84" s="350"/>
      <c r="AI84" s="350"/>
      <c r="AJ84" s="350"/>
      <c r="AK84" s="350"/>
      <c r="AL84" s="350"/>
      <c r="AM84" s="350"/>
      <c r="AN84" s="350"/>
      <c r="AO84" s="350"/>
      <c r="AP84" s="350"/>
      <c r="AQ84" s="351"/>
    </row>
    <row r="85" spans="1:43" ht="30" customHeight="1">
      <c r="A85" s="98">
        <f t="shared" si="0"/>
        <v>73</v>
      </c>
      <c r="B85" s="368" t="s">
        <v>325</v>
      </c>
      <c r="C85" s="350"/>
      <c r="D85" s="351"/>
      <c r="E85" s="736"/>
      <c r="F85" s="350"/>
      <c r="G85" s="351"/>
      <c r="H85" s="368"/>
      <c r="I85" s="350"/>
      <c r="J85" s="350"/>
      <c r="K85" s="351"/>
      <c r="L85" s="368"/>
      <c r="M85" s="350"/>
      <c r="N85" s="350"/>
      <c r="O85" s="350"/>
      <c r="P85" s="351"/>
      <c r="Q85" s="368"/>
      <c r="R85" s="350"/>
      <c r="S85" s="350"/>
      <c r="T85" s="350"/>
      <c r="U85" s="350"/>
      <c r="V85" s="350"/>
      <c r="W85" s="350"/>
      <c r="X85" s="350"/>
      <c r="Y85" s="350"/>
      <c r="Z85" s="351"/>
      <c r="AA85" s="368"/>
      <c r="AB85" s="350"/>
      <c r="AC85" s="350"/>
      <c r="AD85" s="350"/>
      <c r="AE85" s="350"/>
      <c r="AF85" s="350"/>
      <c r="AG85" s="350"/>
      <c r="AH85" s="350"/>
      <c r="AI85" s="350"/>
      <c r="AJ85" s="350"/>
      <c r="AK85" s="350"/>
      <c r="AL85" s="350"/>
      <c r="AM85" s="350"/>
      <c r="AN85" s="350"/>
      <c r="AO85" s="350"/>
      <c r="AP85" s="350"/>
      <c r="AQ85" s="351"/>
    </row>
    <row r="86" spans="1:43" ht="30" customHeight="1">
      <c r="A86" s="98">
        <f t="shared" si="0"/>
        <v>74</v>
      </c>
      <c r="B86" s="412" t="s">
        <v>325</v>
      </c>
      <c r="C86" s="350"/>
      <c r="D86" s="351"/>
      <c r="E86" s="735"/>
      <c r="F86" s="350"/>
      <c r="G86" s="351"/>
      <c r="H86" s="412"/>
      <c r="I86" s="350"/>
      <c r="J86" s="350"/>
      <c r="K86" s="351"/>
      <c r="L86" s="412"/>
      <c r="M86" s="350"/>
      <c r="N86" s="350"/>
      <c r="O86" s="350"/>
      <c r="P86" s="351"/>
      <c r="Q86" s="412"/>
      <c r="R86" s="350"/>
      <c r="S86" s="350"/>
      <c r="T86" s="350"/>
      <c r="U86" s="350"/>
      <c r="V86" s="350"/>
      <c r="W86" s="350"/>
      <c r="X86" s="350"/>
      <c r="Y86" s="350"/>
      <c r="Z86" s="351"/>
      <c r="AA86" s="412"/>
      <c r="AB86" s="350"/>
      <c r="AC86" s="350"/>
      <c r="AD86" s="350"/>
      <c r="AE86" s="350"/>
      <c r="AF86" s="350"/>
      <c r="AG86" s="350"/>
      <c r="AH86" s="350"/>
      <c r="AI86" s="350"/>
      <c r="AJ86" s="350"/>
      <c r="AK86" s="350"/>
      <c r="AL86" s="350"/>
      <c r="AM86" s="350"/>
      <c r="AN86" s="350"/>
      <c r="AO86" s="350"/>
      <c r="AP86" s="350"/>
      <c r="AQ86" s="351"/>
    </row>
    <row r="87" spans="1:43" ht="30" customHeight="1">
      <c r="A87" s="98">
        <f t="shared" si="0"/>
        <v>75</v>
      </c>
      <c r="B87" s="368" t="s">
        <v>325</v>
      </c>
      <c r="C87" s="350"/>
      <c r="D87" s="351"/>
      <c r="E87" s="736"/>
      <c r="F87" s="350"/>
      <c r="G87" s="351"/>
      <c r="H87" s="368"/>
      <c r="I87" s="350"/>
      <c r="J87" s="350"/>
      <c r="K87" s="351"/>
      <c r="L87" s="368"/>
      <c r="M87" s="350"/>
      <c r="N87" s="350"/>
      <c r="O87" s="350"/>
      <c r="P87" s="351"/>
      <c r="Q87" s="368"/>
      <c r="R87" s="350"/>
      <c r="S87" s="350"/>
      <c r="T87" s="350"/>
      <c r="U87" s="350"/>
      <c r="V87" s="350"/>
      <c r="W87" s="350"/>
      <c r="X87" s="350"/>
      <c r="Y87" s="350"/>
      <c r="Z87" s="351"/>
      <c r="AA87" s="368"/>
      <c r="AB87" s="350"/>
      <c r="AC87" s="350"/>
      <c r="AD87" s="350"/>
      <c r="AE87" s="350"/>
      <c r="AF87" s="350"/>
      <c r="AG87" s="350"/>
      <c r="AH87" s="350"/>
      <c r="AI87" s="350"/>
      <c r="AJ87" s="350"/>
      <c r="AK87" s="350"/>
      <c r="AL87" s="350"/>
      <c r="AM87" s="350"/>
      <c r="AN87" s="350"/>
      <c r="AO87" s="350"/>
      <c r="AP87" s="350"/>
      <c r="AQ87" s="351"/>
    </row>
    <row r="88" spans="1:43" ht="30" customHeight="1">
      <c r="A88" s="98">
        <f t="shared" si="0"/>
        <v>76</v>
      </c>
      <c r="B88" s="412" t="s">
        <v>325</v>
      </c>
      <c r="C88" s="350"/>
      <c r="D88" s="351"/>
      <c r="E88" s="735"/>
      <c r="F88" s="350"/>
      <c r="G88" s="351"/>
      <c r="H88" s="412"/>
      <c r="I88" s="350"/>
      <c r="J88" s="350"/>
      <c r="K88" s="351"/>
      <c r="L88" s="412"/>
      <c r="M88" s="350"/>
      <c r="N88" s="350"/>
      <c r="O88" s="350"/>
      <c r="P88" s="351"/>
      <c r="Q88" s="412"/>
      <c r="R88" s="350"/>
      <c r="S88" s="350"/>
      <c r="T88" s="350"/>
      <c r="U88" s="350"/>
      <c r="V88" s="350"/>
      <c r="W88" s="350"/>
      <c r="X88" s="350"/>
      <c r="Y88" s="350"/>
      <c r="Z88" s="351"/>
      <c r="AA88" s="412"/>
      <c r="AB88" s="350"/>
      <c r="AC88" s="350"/>
      <c r="AD88" s="350"/>
      <c r="AE88" s="350"/>
      <c r="AF88" s="350"/>
      <c r="AG88" s="350"/>
      <c r="AH88" s="350"/>
      <c r="AI88" s="350"/>
      <c r="AJ88" s="350"/>
      <c r="AK88" s="350"/>
      <c r="AL88" s="350"/>
      <c r="AM88" s="350"/>
      <c r="AN88" s="350"/>
      <c r="AO88" s="350"/>
      <c r="AP88" s="350"/>
      <c r="AQ88" s="351"/>
    </row>
    <row r="89" spans="1:43" ht="30" customHeight="1">
      <c r="A89" s="98">
        <f t="shared" si="0"/>
        <v>77</v>
      </c>
      <c r="B89" s="368" t="s">
        <v>325</v>
      </c>
      <c r="C89" s="350"/>
      <c r="D89" s="351"/>
      <c r="E89" s="736"/>
      <c r="F89" s="350"/>
      <c r="G89" s="351"/>
      <c r="H89" s="368"/>
      <c r="I89" s="350"/>
      <c r="J89" s="350"/>
      <c r="K89" s="351"/>
      <c r="L89" s="368"/>
      <c r="M89" s="350"/>
      <c r="N89" s="350"/>
      <c r="O89" s="350"/>
      <c r="P89" s="351"/>
      <c r="Q89" s="368"/>
      <c r="R89" s="350"/>
      <c r="S89" s="350"/>
      <c r="T89" s="350"/>
      <c r="U89" s="350"/>
      <c r="V89" s="350"/>
      <c r="W89" s="350"/>
      <c r="X89" s="350"/>
      <c r="Y89" s="350"/>
      <c r="Z89" s="351"/>
      <c r="AA89" s="368"/>
      <c r="AB89" s="350"/>
      <c r="AC89" s="350"/>
      <c r="AD89" s="350"/>
      <c r="AE89" s="350"/>
      <c r="AF89" s="350"/>
      <c r="AG89" s="350"/>
      <c r="AH89" s="350"/>
      <c r="AI89" s="350"/>
      <c r="AJ89" s="350"/>
      <c r="AK89" s="350"/>
      <c r="AL89" s="350"/>
      <c r="AM89" s="350"/>
      <c r="AN89" s="350"/>
      <c r="AO89" s="350"/>
      <c r="AP89" s="350"/>
      <c r="AQ89" s="351"/>
    </row>
    <row r="90" spans="1:43" ht="30" customHeight="1">
      <c r="A90" s="98">
        <f t="shared" si="0"/>
        <v>78</v>
      </c>
      <c r="B90" s="412" t="s">
        <v>325</v>
      </c>
      <c r="C90" s="350"/>
      <c r="D90" s="351"/>
      <c r="E90" s="735"/>
      <c r="F90" s="350"/>
      <c r="G90" s="351"/>
      <c r="H90" s="412"/>
      <c r="I90" s="350"/>
      <c r="J90" s="350"/>
      <c r="K90" s="351"/>
      <c r="L90" s="412"/>
      <c r="M90" s="350"/>
      <c r="N90" s="350"/>
      <c r="O90" s="350"/>
      <c r="P90" s="351"/>
      <c r="Q90" s="412"/>
      <c r="R90" s="350"/>
      <c r="S90" s="350"/>
      <c r="T90" s="350"/>
      <c r="U90" s="350"/>
      <c r="V90" s="350"/>
      <c r="W90" s="350"/>
      <c r="X90" s="350"/>
      <c r="Y90" s="350"/>
      <c r="Z90" s="351"/>
      <c r="AA90" s="412"/>
      <c r="AB90" s="350"/>
      <c r="AC90" s="350"/>
      <c r="AD90" s="350"/>
      <c r="AE90" s="350"/>
      <c r="AF90" s="350"/>
      <c r="AG90" s="350"/>
      <c r="AH90" s="350"/>
      <c r="AI90" s="350"/>
      <c r="AJ90" s="350"/>
      <c r="AK90" s="350"/>
      <c r="AL90" s="350"/>
      <c r="AM90" s="350"/>
      <c r="AN90" s="350"/>
      <c r="AO90" s="350"/>
      <c r="AP90" s="350"/>
      <c r="AQ90" s="351"/>
    </row>
    <row r="91" spans="1:43" ht="30" customHeight="1">
      <c r="A91" s="98">
        <f t="shared" si="0"/>
        <v>79</v>
      </c>
      <c r="B91" s="368" t="s">
        <v>325</v>
      </c>
      <c r="C91" s="350"/>
      <c r="D91" s="351"/>
      <c r="E91" s="736"/>
      <c r="F91" s="350"/>
      <c r="G91" s="351"/>
      <c r="H91" s="368"/>
      <c r="I91" s="350"/>
      <c r="J91" s="350"/>
      <c r="K91" s="351"/>
      <c r="L91" s="368"/>
      <c r="M91" s="350"/>
      <c r="N91" s="350"/>
      <c r="O91" s="350"/>
      <c r="P91" s="351"/>
      <c r="Q91" s="368"/>
      <c r="R91" s="350"/>
      <c r="S91" s="350"/>
      <c r="T91" s="350"/>
      <c r="U91" s="350"/>
      <c r="V91" s="350"/>
      <c r="W91" s="350"/>
      <c r="X91" s="350"/>
      <c r="Y91" s="350"/>
      <c r="Z91" s="351"/>
      <c r="AA91" s="368"/>
      <c r="AB91" s="350"/>
      <c r="AC91" s="350"/>
      <c r="AD91" s="350"/>
      <c r="AE91" s="350"/>
      <c r="AF91" s="350"/>
      <c r="AG91" s="350"/>
      <c r="AH91" s="350"/>
      <c r="AI91" s="350"/>
      <c r="AJ91" s="350"/>
      <c r="AK91" s="350"/>
      <c r="AL91" s="350"/>
      <c r="AM91" s="350"/>
      <c r="AN91" s="350"/>
      <c r="AO91" s="350"/>
      <c r="AP91" s="350"/>
      <c r="AQ91" s="351"/>
    </row>
    <row r="92" spans="1:43" ht="30" customHeight="1">
      <c r="A92" s="98">
        <f t="shared" si="0"/>
        <v>80</v>
      </c>
      <c r="B92" s="412" t="s">
        <v>325</v>
      </c>
      <c r="C92" s="350"/>
      <c r="D92" s="351"/>
      <c r="E92" s="735"/>
      <c r="F92" s="350"/>
      <c r="G92" s="351"/>
      <c r="H92" s="412"/>
      <c r="I92" s="350"/>
      <c r="J92" s="350"/>
      <c r="K92" s="351"/>
      <c r="L92" s="412"/>
      <c r="M92" s="350"/>
      <c r="N92" s="350"/>
      <c r="O92" s="350"/>
      <c r="P92" s="351"/>
      <c r="Q92" s="412"/>
      <c r="R92" s="350"/>
      <c r="S92" s="350"/>
      <c r="T92" s="350"/>
      <c r="U92" s="350"/>
      <c r="V92" s="350"/>
      <c r="W92" s="350"/>
      <c r="X92" s="350"/>
      <c r="Y92" s="350"/>
      <c r="Z92" s="351"/>
      <c r="AA92" s="412"/>
      <c r="AB92" s="350"/>
      <c r="AC92" s="350"/>
      <c r="AD92" s="350"/>
      <c r="AE92" s="350"/>
      <c r="AF92" s="350"/>
      <c r="AG92" s="350"/>
      <c r="AH92" s="350"/>
      <c r="AI92" s="350"/>
      <c r="AJ92" s="350"/>
      <c r="AK92" s="350"/>
      <c r="AL92" s="350"/>
      <c r="AM92" s="350"/>
      <c r="AN92" s="350"/>
      <c r="AO92" s="350"/>
      <c r="AP92" s="350"/>
      <c r="AQ92" s="351"/>
    </row>
    <row r="93" spans="1:43" ht="30" customHeight="1">
      <c r="A93" s="98">
        <f t="shared" si="0"/>
        <v>81</v>
      </c>
      <c r="B93" s="368" t="s">
        <v>325</v>
      </c>
      <c r="C93" s="350"/>
      <c r="D93" s="351"/>
      <c r="E93" s="736"/>
      <c r="F93" s="350"/>
      <c r="G93" s="351"/>
      <c r="H93" s="368"/>
      <c r="I93" s="350"/>
      <c r="J93" s="350"/>
      <c r="K93" s="351"/>
      <c r="L93" s="368"/>
      <c r="M93" s="350"/>
      <c r="N93" s="350"/>
      <c r="O93" s="350"/>
      <c r="P93" s="351"/>
      <c r="Q93" s="368"/>
      <c r="R93" s="350"/>
      <c r="S93" s="350"/>
      <c r="T93" s="350"/>
      <c r="U93" s="350"/>
      <c r="V93" s="350"/>
      <c r="W93" s="350"/>
      <c r="X93" s="350"/>
      <c r="Y93" s="350"/>
      <c r="Z93" s="351"/>
      <c r="AA93" s="368"/>
      <c r="AB93" s="350"/>
      <c r="AC93" s="350"/>
      <c r="AD93" s="350"/>
      <c r="AE93" s="350"/>
      <c r="AF93" s="350"/>
      <c r="AG93" s="350"/>
      <c r="AH93" s="350"/>
      <c r="AI93" s="350"/>
      <c r="AJ93" s="350"/>
      <c r="AK93" s="350"/>
      <c r="AL93" s="350"/>
      <c r="AM93" s="350"/>
      <c r="AN93" s="350"/>
      <c r="AO93" s="350"/>
      <c r="AP93" s="350"/>
      <c r="AQ93" s="351"/>
    </row>
    <row r="94" spans="1:43" ht="30" customHeight="1">
      <c r="A94" s="98">
        <f t="shared" si="0"/>
        <v>82</v>
      </c>
      <c r="B94" s="412" t="s">
        <v>325</v>
      </c>
      <c r="C94" s="350"/>
      <c r="D94" s="351"/>
      <c r="E94" s="735"/>
      <c r="F94" s="350"/>
      <c r="G94" s="351"/>
      <c r="H94" s="412"/>
      <c r="I94" s="350"/>
      <c r="J94" s="350"/>
      <c r="K94" s="351"/>
      <c r="L94" s="412"/>
      <c r="M94" s="350"/>
      <c r="N94" s="350"/>
      <c r="O94" s="350"/>
      <c r="P94" s="351"/>
      <c r="Q94" s="412"/>
      <c r="R94" s="350"/>
      <c r="S94" s="350"/>
      <c r="T94" s="350"/>
      <c r="U94" s="350"/>
      <c r="V94" s="350"/>
      <c r="W94" s="350"/>
      <c r="X94" s="350"/>
      <c r="Y94" s="350"/>
      <c r="Z94" s="351"/>
      <c r="AA94" s="412"/>
      <c r="AB94" s="350"/>
      <c r="AC94" s="350"/>
      <c r="AD94" s="350"/>
      <c r="AE94" s="350"/>
      <c r="AF94" s="350"/>
      <c r="AG94" s="350"/>
      <c r="AH94" s="350"/>
      <c r="AI94" s="350"/>
      <c r="AJ94" s="350"/>
      <c r="AK94" s="350"/>
      <c r="AL94" s="350"/>
      <c r="AM94" s="350"/>
      <c r="AN94" s="350"/>
      <c r="AO94" s="350"/>
      <c r="AP94" s="350"/>
      <c r="AQ94" s="351"/>
    </row>
    <row r="95" spans="1:43" ht="30" customHeight="1">
      <c r="A95" s="98">
        <f t="shared" si="0"/>
        <v>83</v>
      </c>
      <c r="B95" s="368" t="s">
        <v>325</v>
      </c>
      <c r="C95" s="350"/>
      <c r="D95" s="351"/>
      <c r="E95" s="736"/>
      <c r="F95" s="350"/>
      <c r="G95" s="351"/>
      <c r="H95" s="368"/>
      <c r="I95" s="350"/>
      <c r="J95" s="350"/>
      <c r="K95" s="351"/>
      <c r="L95" s="368"/>
      <c r="M95" s="350"/>
      <c r="N95" s="350"/>
      <c r="O95" s="350"/>
      <c r="P95" s="351"/>
      <c r="Q95" s="368"/>
      <c r="R95" s="350"/>
      <c r="S95" s="350"/>
      <c r="T95" s="350"/>
      <c r="U95" s="350"/>
      <c r="V95" s="350"/>
      <c r="W95" s="350"/>
      <c r="X95" s="350"/>
      <c r="Y95" s="350"/>
      <c r="Z95" s="351"/>
      <c r="AA95" s="368"/>
      <c r="AB95" s="350"/>
      <c r="AC95" s="350"/>
      <c r="AD95" s="350"/>
      <c r="AE95" s="350"/>
      <c r="AF95" s="350"/>
      <c r="AG95" s="350"/>
      <c r="AH95" s="350"/>
      <c r="AI95" s="350"/>
      <c r="AJ95" s="350"/>
      <c r="AK95" s="350"/>
      <c r="AL95" s="350"/>
      <c r="AM95" s="350"/>
      <c r="AN95" s="350"/>
      <c r="AO95" s="350"/>
      <c r="AP95" s="350"/>
      <c r="AQ95" s="351"/>
    </row>
    <row r="96" spans="1:43" ht="30" customHeight="1">
      <c r="A96" s="98">
        <f t="shared" si="0"/>
        <v>84</v>
      </c>
      <c r="B96" s="412" t="s">
        <v>325</v>
      </c>
      <c r="C96" s="350"/>
      <c r="D96" s="351"/>
      <c r="E96" s="735"/>
      <c r="F96" s="350"/>
      <c r="G96" s="351"/>
      <c r="H96" s="412"/>
      <c r="I96" s="350"/>
      <c r="J96" s="350"/>
      <c r="K96" s="351"/>
      <c r="L96" s="412"/>
      <c r="M96" s="350"/>
      <c r="N96" s="350"/>
      <c r="O96" s="350"/>
      <c r="P96" s="351"/>
      <c r="Q96" s="412"/>
      <c r="R96" s="350"/>
      <c r="S96" s="350"/>
      <c r="T96" s="350"/>
      <c r="U96" s="350"/>
      <c r="V96" s="350"/>
      <c r="W96" s="350"/>
      <c r="X96" s="350"/>
      <c r="Y96" s="350"/>
      <c r="Z96" s="351"/>
      <c r="AA96" s="412"/>
      <c r="AB96" s="350"/>
      <c r="AC96" s="350"/>
      <c r="AD96" s="350"/>
      <c r="AE96" s="350"/>
      <c r="AF96" s="350"/>
      <c r="AG96" s="350"/>
      <c r="AH96" s="350"/>
      <c r="AI96" s="350"/>
      <c r="AJ96" s="350"/>
      <c r="AK96" s="350"/>
      <c r="AL96" s="350"/>
      <c r="AM96" s="350"/>
      <c r="AN96" s="350"/>
      <c r="AO96" s="350"/>
      <c r="AP96" s="350"/>
      <c r="AQ96" s="351"/>
    </row>
    <row r="97" spans="1:43" ht="30" customHeight="1">
      <c r="A97" s="98">
        <f t="shared" si="0"/>
        <v>85</v>
      </c>
      <c r="B97" s="368" t="s">
        <v>325</v>
      </c>
      <c r="C97" s="350"/>
      <c r="D97" s="351"/>
      <c r="E97" s="736"/>
      <c r="F97" s="350"/>
      <c r="G97" s="351"/>
      <c r="H97" s="368"/>
      <c r="I97" s="350"/>
      <c r="J97" s="350"/>
      <c r="K97" s="351"/>
      <c r="L97" s="368"/>
      <c r="M97" s="350"/>
      <c r="N97" s="350"/>
      <c r="O97" s="350"/>
      <c r="P97" s="351"/>
      <c r="Q97" s="368"/>
      <c r="R97" s="350"/>
      <c r="S97" s="350"/>
      <c r="T97" s="350"/>
      <c r="U97" s="350"/>
      <c r="V97" s="350"/>
      <c r="W97" s="350"/>
      <c r="X97" s="350"/>
      <c r="Y97" s="350"/>
      <c r="Z97" s="351"/>
      <c r="AA97" s="368"/>
      <c r="AB97" s="350"/>
      <c r="AC97" s="350"/>
      <c r="AD97" s="350"/>
      <c r="AE97" s="350"/>
      <c r="AF97" s="350"/>
      <c r="AG97" s="350"/>
      <c r="AH97" s="350"/>
      <c r="AI97" s="350"/>
      <c r="AJ97" s="350"/>
      <c r="AK97" s="350"/>
      <c r="AL97" s="350"/>
      <c r="AM97" s="350"/>
      <c r="AN97" s="350"/>
      <c r="AO97" s="350"/>
      <c r="AP97" s="350"/>
      <c r="AQ97" s="351"/>
    </row>
    <row r="98" spans="1:43" ht="30" customHeight="1">
      <c r="A98" s="98">
        <f t="shared" si="0"/>
        <v>86</v>
      </c>
      <c r="B98" s="412" t="s">
        <v>325</v>
      </c>
      <c r="C98" s="350"/>
      <c r="D98" s="351"/>
      <c r="E98" s="735"/>
      <c r="F98" s="350"/>
      <c r="G98" s="351"/>
      <c r="H98" s="412"/>
      <c r="I98" s="350"/>
      <c r="J98" s="350"/>
      <c r="K98" s="351"/>
      <c r="L98" s="412"/>
      <c r="M98" s="350"/>
      <c r="N98" s="350"/>
      <c r="O98" s="350"/>
      <c r="P98" s="351"/>
      <c r="Q98" s="412"/>
      <c r="R98" s="350"/>
      <c r="S98" s="350"/>
      <c r="T98" s="350"/>
      <c r="U98" s="350"/>
      <c r="V98" s="350"/>
      <c r="W98" s="350"/>
      <c r="X98" s="350"/>
      <c r="Y98" s="350"/>
      <c r="Z98" s="351"/>
      <c r="AA98" s="412"/>
      <c r="AB98" s="350"/>
      <c r="AC98" s="350"/>
      <c r="AD98" s="350"/>
      <c r="AE98" s="350"/>
      <c r="AF98" s="350"/>
      <c r="AG98" s="350"/>
      <c r="AH98" s="350"/>
      <c r="AI98" s="350"/>
      <c r="AJ98" s="350"/>
      <c r="AK98" s="350"/>
      <c r="AL98" s="350"/>
      <c r="AM98" s="350"/>
      <c r="AN98" s="350"/>
      <c r="AO98" s="350"/>
      <c r="AP98" s="350"/>
      <c r="AQ98" s="351"/>
    </row>
    <row r="99" spans="1:43" ht="30" customHeight="1">
      <c r="A99" s="98">
        <f t="shared" si="0"/>
        <v>87</v>
      </c>
      <c r="B99" s="368" t="s">
        <v>325</v>
      </c>
      <c r="C99" s="350"/>
      <c r="D99" s="351"/>
      <c r="E99" s="736"/>
      <c r="F99" s="350"/>
      <c r="G99" s="351"/>
      <c r="H99" s="368"/>
      <c r="I99" s="350"/>
      <c r="J99" s="350"/>
      <c r="K99" s="351"/>
      <c r="L99" s="368"/>
      <c r="M99" s="350"/>
      <c r="N99" s="350"/>
      <c r="O99" s="350"/>
      <c r="P99" s="351"/>
      <c r="Q99" s="368"/>
      <c r="R99" s="350"/>
      <c r="S99" s="350"/>
      <c r="T99" s="350"/>
      <c r="U99" s="350"/>
      <c r="V99" s="350"/>
      <c r="W99" s="350"/>
      <c r="X99" s="350"/>
      <c r="Y99" s="350"/>
      <c r="Z99" s="351"/>
      <c r="AA99" s="368"/>
      <c r="AB99" s="350"/>
      <c r="AC99" s="350"/>
      <c r="AD99" s="350"/>
      <c r="AE99" s="350"/>
      <c r="AF99" s="350"/>
      <c r="AG99" s="350"/>
      <c r="AH99" s="350"/>
      <c r="AI99" s="350"/>
      <c r="AJ99" s="350"/>
      <c r="AK99" s="350"/>
      <c r="AL99" s="350"/>
      <c r="AM99" s="350"/>
      <c r="AN99" s="350"/>
      <c r="AO99" s="350"/>
      <c r="AP99" s="350"/>
      <c r="AQ99" s="351"/>
    </row>
    <row r="100" spans="1:43" ht="30" customHeight="1">
      <c r="A100" s="98">
        <f t="shared" si="0"/>
        <v>88</v>
      </c>
      <c r="B100" s="412" t="s">
        <v>325</v>
      </c>
      <c r="C100" s="350"/>
      <c r="D100" s="351"/>
      <c r="E100" s="735"/>
      <c r="F100" s="350"/>
      <c r="G100" s="351"/>
      <c r="H100" s="412"/>
      <c r="I100" s="350"/>
      <c r="J100" s="350"/>
      <c r="K100" s="351"/>
      <c r="L100" s="412"/>
      <c r="M100" s="350"/>
      <c r="N100" s="350"/>
      <c r="O100" s="350"/>
      <c r="P100" s="351"/>
      <c r="Q100" s="412"/>
      <c r="R100" s="350"/>
      <c r="S100" s="350"/>
      <c r="T100" s="350"/>
      <c r="U100" s="350"/>
      <c r="V100" s="350"/>
      <c r="W100" s="350"/>
      <c r="X100" s="350"/>
      <c r="Y100" s="350"/>
      <c r="Z100" s="351"/>
      <c r="AA100" s="412"/>
      <c r="AB100" s="350"/>
      <c r="AC100" s="350"/>
      <c r="AD100" s="350"/>
      <c r="AE100" s="350"/>
      <c r="AF100" s="350"/>
      <c r="AG100" s="350"/>
      <c r="AH100" s="350"/>
      <c r="AI100" s="350"/>
      <c r="AJ100" s="350"/>
      <c r="AK100" s="350"/>
      <c r="AL100" s="350"/>
      <c r="AM100" s="350"/>
      <c r="AN100" s="350"/>
      <c r="AO100" s="350"/>
      <c r="AP100" s="350"/>
      <c r="AQ100" s="351"/>
    </row>
    <row r="101" spans="1:43" ht="30" customHeight="1">
      <c r="A101" s="98">
        <f t="shared" si="0"/>
        <v>89</v>
      </c>
      <c r="B101" s="368" t="s">
        <v>325</v>
      </c>
      <c r="C101" s="350"/>
      <c r="D101" s="351"/>
      <c r="E101" s="736"/>
      <c r="F101" s="350"/>
      <c r="G101" s="351"/>
      <c r="H101" s="368"/>
      <c r="I101" s="350"/>
      <c r="J101" s="350"/>
      <c r="K101" s="351"/>
      <c r="L101" s="368"/>
      <c r="M101" s="350"/>
      <c r="N101" s="350"/>
      <c r="O101" s="350"/>
      <c r="P101" s="351"/>
      <c r="Q101" s="368"/>
      <c r="R101" s="350"/>
      <c r="S101" s="350"/>
      <c r="T101" s="350"/>
      <c r="U101" s="350"/>
      <c r="V101" s="350"/>
      <c r="W101" s="350"/>
      <c r="X101" s="350"/>
      <c r="Y101" s="350"/>
      <c r="Z101" s="351"/>
      <c r="AA101" s="368"/>
      <c r="AB101" s="350"/>
      <c r="AC101" s="350"/>
      <c r="AD101" s="350"/>
      <c r="AE101" s="350"/>
      <c r="AF101" s="350"/>
      <c r="AG101" s="350"/>
      <c r="AH101" s="350"/>
      <c r="AI101" s="350"/>
      <c r="AJ101" s="350"/>
      <c r="AK101" s="350"/>
      <c r="AL101" s="350"/>
      <c r="AM101" s="350"/>
      <c r="AN101" s="350"/>
      <c r="AO101" s="350"/>
      <c r="AP101" s="350"/>
      <c r="AQ101" s="351"/>
    </row>
    <row r="102" spans="1:43" ht="30" customHeight="1">
      <c r="A102" s="98">
        <f t="shared" si="0"/>
        <v>90</v>
      </c>
      <c r="B102" s="412" t="s">
        <v>325</v>
      </c>
      <c r="C102" s="350"/>
      <c r="D102" s="351"/>
      <c r="E102" s="735"/>
      <c r="F102" s="350"/>
      <c r="G102" s="351"/>
      <c r="H102" s="412"/>
      <c r="I102" s="350"/>
      <c r="J102" s="350"/>
      <c r="K102" s="351"/>
      <c r="L102" s="412"/>
      <c r="M102" s="350"/>
      <c r="N102" s="350"/>
      <c r="O102" s="350"/>
      <c r="P102" s="351"/>
      <c r="Q102" s="412"/>
      <c r="R102" s="350"/>
      <c r="S102" s="350"/>
      <c r="T102" s="350"/>
      <c r="U102" s="350"/>
      <c r="V102" s="350"/>
      <c r="W102" s="350"/>
      <c r="X102" s="350"/>
      <c r="Y102" s="350"/>
      <c r="Z102" s="351"/>
      <c r="AA102" s="412"/>
      <c r="AB102" s="350"/>
      <c r="AC102" s="350"/>
      <c r="AD102" s="350"/>
      <c r="AE102" s="350"/>
      <c r="AF102" s="350"/>
      <c r="AG102" s="350"/>
      <c r="AH102" s="350"/>
      <c r="AI102" s="350"/>
      <c r="AJ102" s="350"/>
      <c r="AK102" s="350"/>
      <c r="AL102" s="350"/>
      <c r="AM102" s="350"/>
      <c r="AN102" s="350"/>
      <c r="AO102" s="350"/>
      <c r="AP102" s="350"/>
      <c r="AQ102" s="351"/>
    </row>
    <row r="103" spans="1:43" ht="30" customHeight="1">
      <c r="A103" s="98">
        <f t="shared" si="0"/>
        <v>91</v>
      </c>
      <c r="B103" s="368" t="s">
        <v>325</v>
      </c>
      <c r="C103" s="350"/>
      <c r="D103" s="351"/>
      <c r="E103" s="736"/>
      <c r="F103" s="350"/>
      <c r="G103" s="351"/>
      <c r="H103" s="368"/>
      <c r="I103" s="350"/>
      <c r="J103" s="350"/>
      <c r="K103" s="351"/>
      <c r="L103" s="368"/>
      <c r="M103" s="350"/>
      <c r="N103" s="350"/>
      <c r="O103" s="350"/>
      <c r="P103" s="351"/>
      <c r="Q103" s="368"/>
      <c r="R103" s="350"/>
      <c r="S103" s="350"/>
      <c r="T103" s="350"/>
      <c r="U103" s="350"/>
      <c r="V103" s="350"/>
      <c r="W103" s="350"/>
      <c r="X103" s="350"/>
      <c r="Y103" s="350"/>
      <c r="Z103" s="351"/>
      <c r="AA103" s="368"/>
      <c r="AB103" s="350"/>
      <c r="AC103" s="350"/>
      <c r="AD103" s="350"/>
      <c r="AE103" s="350"/>
      <c r="AF103" s="350"/>
      <c r="AG103" s="350"/>
      <c r="AH103" s="350"/>
      <c r="AI103" s="350"/>
      <c r="AJ103" s="350"/>
      <c r="AK103" s="350"/>
      <c r="AL103" s="350"/>
      <c r="AM103" s="350"/>
      <c r="AN103" s="350"/>
      <c r="AO103" s="350"/>
      <c r="AP103" s="350"/>
      <c r="AQ103" s="351"/>
    </row>
    <row r="104" spans="1:43" ht="30" customHeight="1">
      <c r="A104" s="98">
        <f t="shared" si="0"/>
        <v>92</v>
      </c>
      <c r="B104" s="412" t="s">
        <v>325</v>
      </c>
      <c r="C104" s="350"/>
      <c r="D104" s="351"/>
      <c r="E104" s="735"/>
      <c r="F104" s="350"/>
      <c r="G104" s="351"/>
      <c r="H104" s="412"/>
      <c r="I104" s="350"/>
      <c r="J104" s="350"/>
      <c r="K104" s="351"/>
      <c r="L104" s="412"/>
      <c r="M104" s="350"/>
      <c r="N104" s="350"/>
      <c r="O104" s="350"/>
      <c r="P104" s="351"/>
      <c r="Q104" s="412"/>
      <c r="R104" s="350"/>
      <c r="S104" s="350"/>
      <c r="T104" s="350"/>
      <c r="U104" s="350"/>
      <c r="V104" s="350"/>
      <c r="W104" s="350"/>
      <c r="X104" s="350"/>
      <c r="Y104" s="350"/>
      <c r="Z104" s="351"/>
      <c r="AA104" s="412"/>
      <c r="AB104" s="350"/>
      <c r="AC104" s="350"/>
      <c r="AD104" s="350"/>
      <c r="AE104" s="350"/>
      <c r="AF104" s="350"/>
      <c r="AG104" s="350"/>
      <c r="AH104" s="350"/>
      <c r="AI104" s="350"/>
      <c r="AJ104" s="350"/>
      <c r="AK104" s="350"/>
      <c r="AL104" s="350"/>
      <c r="AM104" s="350"/>
      <c r="AN104" s="350"/>
      <c r="AO104" s="350"/>
      <c r="AP104" s="350"/>
      <c r="AQ104" s="351"/>
    </row>
    <row r="105" spans="1:43" ht="30" customHeight="1">
      <c r="A105" s="98">
        <f t="shared" si="0"/>
        <v>93</v>
      </c>
      <c r="B105" s="368" t="s">
        <v>325</v>
      </c>
      <c r="C105" s="350"/>
      <c r="D105" s="351"/>
      <c r="E105" s="736"/>
      <c r="F105" s="350"/>
      <c r="G105" s="351"/>
      <c r="H105" s="368"/>
      <c r="I105" s="350"/>
      <c r="J105" s="350"/>
      <c r="K105" s="351"/>
      <c r="L105" s="368"/>
      <c r="M105" s="350"/>
      <c r="N105" s="350"/>
      <c r="O105" s="350"/>
      <c r="P105" s="351"/>
      <c r="Q105" s="368"/>
      <c r="R105" s="350"/>
      <c r="S105" s="350"/>
      <c r="T105" s="350"/>
      <c r="U105" s="350"/>
      <c r="V105" s="350"/>
      <c r="W105" s="350"/>
      <c r="X105" s="350"/>
      <c r="Y105" s="350"/>
      <c r="Z105" s="351"/>
      <c r="AA105" s="368"/>
      <c r="AB105" s="350"/>
      <c r="AC105" s="350"/>
      <c r="AD105" s="350"/>
      <c r="AE105" s="350"/>
      <c r="AF105" s="350"/>
      <c r="AG105" s="350"/>
      <c r="AH105" s="350"/>
      <c r="AI105" s="350"/>
      <c r="AJ105" s="350"/>
      <c r="AK105" s="350"/>
      <c r="AL105" s="350"/>
      <c r="AM105" s="350"/>
      <c r="AN105" s="350"/>
      <c r="AO105" s="350"/>
      <c r="AP105" s="350"/>
      <c r="AQ105" s="351"/>
    </row>
    <row r="106" spans="1:43" ht="30" customHeight="1">
      <c r="A106" s="98">
        <f t="shared" si="0"/>
        <v>94</v>
      </c>
      <c r="B106" s="412" t="s">
        <v>325</v>
      </c>
      <c r="C106" s="350"/>
      <c r="D106" s="351"/>
      <c r="E106" s="735"/>
      <c r="F106" s="350"/>
      <c r="G106" s="351"/>
      <c r="H106" s="412"/>
      <c r="I106" s="350"/>
      <c r="J106" s="350"/>
      <c r="K106" s="351"/>
      <c r="L106" s="412"/>
      <c r="M106" s="350"/>
      <c r="N106" s="350"/>
      <c r="O106" s="350"/>
      <c r="P106" s="351"/>
      <c r="Q106" s="412"/>
      <c r="R106" s="350"/>
      <c r="S106" s="350"/>
      <c r="T106" s="350"/>
      <c r="U106" s="350"/>
      <c r="V106" s="350"/>
      <c r="W106" s="350"/>
      <c r="X106" s="350"/>
      <c r="Y106" s="350"/>
      <c r="Z106" s="351"/>
      <c r="AA106" s="412"/>
      <c r="AB106" s="350"/>
      <c r="AC106" s="350"/>
      <c r="AD106" s="350"/>
      <c r="AE106" s="350"/>
      <c r="AF106" s="350"/>
      <c r="AG106" s="350"/>
      <c r="AH106" s="350"/>
      <c r="AI106" s="350"/>
      <c r="AJ106" s="350"/>
      <c r="AK106" s="350"/>
      <c r="AL106" s="350"/>
      <c r="AM106" s="350"/>
      <c r="AN106" s="350"/>
      <c r="AO106" s="350"/>
      <c r="AP106" s="350"/>
      <c r="AQ106" s="351"/>
    </row>
    <row r="107" spans="1:43" ht="30" customHeight="1">
      <c r="A107" s="98">
        <f t="shared" si="0"/>
        <v>95</v>
      </c>
      <c r="B107" s="368" t="s">
        <v>325</v>
      </c>
      <c r="C107" s="350"/>
      <c r="D107" s="351"/>
      <c r="E107" s="736"/>
      <c r="F107" s="350"/>
      <c r="G107" s="351"/>
      <c r="H107" s="368"/>
      <c r="I107" s="350"/>
      <c r="J107" s="350"/>
      <c r="K107" s="351"/>
      <c r="L107" s="368"/>
      <c r="M107" s="350"/>
      <c r="N107" s="350"/>
      <c r="O107" s="350"/>
      <c r="P107" s="351"/>
      <c r="Q107" s="368"/>
      <c r="R107" s="350"/>
      <c r="S107" s="350"/>
      <c r="T107" s="350"/>
      <c r="U107" s="350"/>
      <c r="V107" s="350"/>
      <c r="W107" s="350"/>
      <c r="X107" s="350"/>
      <c r="Y107" s="350"/>
      <c r="Z107" s="351"/>
      <c r="AA107" s="368"/>
      <c r="AB107" s="350"/>
      <c r="AC107" s="350"/>
      <c r="AD107" s="350"/>
      <c r="AE107" s="350"/>
      <c r="AF107" s="350"/>
      <c r="AG107" s="350"/>
      <c r="AH107" s="350"/>
      <c r="AI107" s="350"/>
      <c r="AJ107" s="350"/>
      <c r="AK107" s="350"/>
      <c r="AL107" s="350"/>
      <c r="AM107" s="350"/>
      <c r="AN107" s="350"/>
      <c r="AO107" s="350"/>
      <c r="AP107" s="350"/>
      <c r="AQ107" s="351"/>
    </row>
    <row r="108" spans="1:43" ht="30" customHeight="1">
      <c r="A108" s="98">
        <f t="shared" si="0"/>
        <v>96</v>
      </c>
      <c r="B108" s="412" t="s">
        <v>325</v>
      </c>
      <c r="C108" s="350"/>
      <c r="D108" s="351"/>
      <c r="E108" s="735"/>
      <c r="F108" s="350"/>
      <c r="G108" s="351"/>
      <c r="H108" s="412"/>
      <c r="I108" s="350"/>
      <c r="J108" s="350"/>
      <c r="K108" s="351"/>
      <c r="L108" s="412"/>
      <c r="M108" s="350"/>
      <c r="N108" s="350"/>
      <c r="O108" s="350"/>
      <c r="P108" s="351"/>
      <c r="Q108" s="412"/>
      <c r="R108" s="350"/>
      <c r="S108" s="350"/>
      <c r="T108" s="350"/>
      <c r="U108" s="350"/>
      <c r="V108" s="350"/>
      <c r="W108" s="350"/>
      <c r="X108" s="350"/>
      <c r="Y108" s="350"/>
      <c r="Z108" s="351"/>
      <c r="AA108" s="412"/>
      <c r="AB108" s="350"/>
      <c r="AC108" s="350"/>
      <c r="AD108" s="350"/>
      <c r="AE108" s="350"/>
      <c r="AF108" s="350"/>
      <c r="AG108" s="350"/>
      <c r="AH108" s="350"/>
      <c r="AI108" s="350"/>
      <c r="AJ108" s="350"/>
      <c r="AK108" s="350"/>
      <c r="AL108" s="350"/>
      <c r="AM108" s="350"/>
      <c r="AN108" s="350"/>
      <c r="AO108" s="350"/>
      <c r="AP108" s="350"/>
      <c r="AQ108" s="351"/>
    </row>
    <row r="109" spans="1:43" ht="30" customHeight="1">
      <c r="A109" s="98">
        <f t="shared" si="0"/>
        <v>97</v>
      </c>
      <c r="B109" s="368" t="s">
        <v>325</v>
      </c>
      <c r="C109" s="350"/>
      <c r="D109" s="351"/>
      <c r="E109" s="736"/>
      <c r="F109" s="350"/>
      <c r="G109" s="351"/>
      <c r="H109" s="368"/>
      <c r="I109" s="350"/>
      <c r="J109" s="350"/>
      <c r="K109" s="351"/>
      <c r="L109" s="368"/>
      <c r="M109" s="350"/>
      <c r="N109" s="350"/>
      <c r="O109" s="350"/>
      <c r="P109" s="351"/>
      <c r="Q109" s="368"/>
      <c r="R109" s="350"/>
      <c r="S109" s="350"/>
      <c r="T109" s="350"/>
      <c r="U109" s="350"/>
      <c r="V109" s="350"/>
      <c r="W109" s="350"/>
      <c r="X109" s="350"/>
      <c r="Y109" s="350"/>
      <c r="Z109" s="351"/>
      <c r="AA109" s="368"/>
      <c r="AB109" s="350"/>
      <c r="AC109" s="350"/>
      <c r="AD109" s="350"/>
      <c r="AE109" s="350"/>
      <c r="AF109" s="350"/>
      <c r="AG109" s="350"/>
      <c r="AH109" s="350"/>
      <c r="AI109" s="350"/>
      <c r="AJ109" s="350"/>
      <c r="AK109" s="350"/>
      <c r="AL109" s="350"/>
      <c r="AM109" s="350"/>
      <c r="AN109" s="350"/>
      <c r="AO109" s="350"/>
      <c r="AP109" s="350"/>
      <c r="AQ109" s="351"/>
    </row>
    <row r="110" spans="1:43" ht="30" customHeight="1">
      <c r="A110" s="98">
        <f t="shared" si="0"/>
        <v>98</v>
      </c>
      <c r="B110" s="412" t="s">
        <v>325</v>
      </c>
      <c r="C110" s="350"/>
      <c r="D110" s="351"/>
      <c r="E110" s="735"/>
      <c r="F110" s="350"/>
      <c r="G110" s="351"/>
      <c r="H110" s="412"/>
      <c r="I110" s="350"/>
      <c r="J110" s="350"/>
      <c r="K110" s="351"/>
      <c r="L110" s="412"/>
      <c r="M110" s="350"/>
      <c r="N110" s="350"/>
      <c r="O110" s="350"/>
      <c r="P110" s="351"/>
      <c r="Q110" s="412"/>
      <c r="R110" s="350"/>
      <c r="S110" s="350"/>
      <c r="T110" s="350"/>
      <c r="U110" s="350"/>
      <c r="V110" s="350"/>
      <c r="W110" s="350"/>
      <c r="X110" s="350"/>
      <c r="Y110" s="350"/>
      <c r="Z110" s="351"/>
      <c r="AA110" s="412"/>
      <c r="AB110" s="350"/>
      <c r="AC110" s="350"/>
      <c r="AD110" s="350"/>
      <c r="AE110" s="350"/>
      <c r="AF110" s="350"/>
      <c r="AG110" s="350"/>
      <c r="AH110" s="350"/>
      <c r="AI110" s="350"/>
      <c r="AJ110" s="350"/>
      <c r="AK110" s="350"/>
      <c r="AL110" s="350"/>
      <c r="AM110" s="350"/>
      <c r="AN110" s="350"/>
      <c r="AO110" s="350"/>
      <c r="AP110" s="350"/>
      <c r="AQ110" s="351"/>
    </row>
    <row r="111" spans="1:43" ht="30" customHeight="1">
      <c r="A111" s="98">
        <f t="shared" si="0"/>
        <v>99</v>
      </c>
      <c r="B111" s="368" t="s">
        <v>325</v>
      </c>
      <c r="C111" s="350"/>
      <c r="D111" s="351"/>
      <c r="E111" s="736"/>
      <c r="F111" s="350"/>
      <c r="G111" s="351"/>
      <c r="H111" s="368"/>
      <c r="I111" s="350"/>
      <c r="J111" s="350"/>
      <c r="K111" s="351"/>
      <c r="L111" s="368"/>
      <c r="M111" s="350"/>
      <c r="N111" s="350"/>
      <c r="O111" s="350"/>
      <c r="P111" s="351"/>
      <c r="Q111" s="368"/>
      <c r="R111" s="350"/>
      <c r="S111" s="350"/>
      <c r="T111" s="350"/>
      <c r="U111" s="350"/>
      <c r="V111" s="350"/>
      <c r="W111" s="350"/>
      <c r="X111" s="350"/>
      <c r="Y111" s="350"/>
      <c r="Z111" s="351"/>
      <c r="AA111" s="368"/>
      <c r="AB111" s="350"/>
      <c r="AC111" s="350"/>
      <c r="AD111" s="350"/>
      <c r="AE111" s="350"/>
      <c r="AF111" s="350"/>
      <c r="AG111" s="350"/>
      <c r="AH111" s="350"/>
      <c r="AI111" s="350"/>
      <c r="AJ111" s="350"/>
      <c r="AK111" s="350"/>
      <c r="AL111" s="350"/>
      <c r="AM111" s="350"/>
      <c r="AN111" s="350"/>
      <c r="AO111" s="350"/>
      <c r="AP111" s="350"/>
      <c r="AQ111" s="351"/>
    </row>
    <row r="112" spans="1:43" ht="30" customHeight="1">
      <c r="A112" s="98">
        <f t="shared" si="0"/>
        <v>100</v>
      </c>
      <c r="B112" s="412" t="s">
        <v>325</v>
      </c>
      <c r="C112" s="350"/>
      <c r="D112" s="351"/>
      <c r="E112" s="735"/>
      <c r="F112" s="350"/>
      <c r="G112" s="351"/>
      <c r="H112" s="412"/>
      <c r="I112" s="350"/>
      <c r="J112" s="350"/>
      <c r="K112" s="351"/>
      <c r="L112" s="412"/>
      <c r="M112" s="350"/>
      <c r="N112" s="350"/>
      <c r="O112" s="350"/>
      <c r="P112" s="351"/>
      <c r="Q112" s="412"/>
      <c r="R112" s="350"/>
      <c r="S112" s="350"/>
      <c r="T112" s="350"/>
      <c r="U112" s="350"/>
      <c r="V112" s="350"/>
      <c r="W112" s="350"/>
      <c r="X112" s="350"/>
      <c r="Y112" s="350"/>
      <c r="Z112" s="351"/>
      <c r="AA112" s="412"/>
      <c r="AB112" s="350"/>
      <c r="AC112" s="350"/>
      <c r="AD112" s="350"/>
      <c r="AE112" s="350"/>
      <c r="AF112" s="350"/>
      <c r="AG112" s="350"/>
      <c r="AH112" s="350"/>
      <c r="AI112" s="350"/>
      <c r="AJ112" s="350"/>
      <c r="AK112" s="350"/>
      <c r="AL112" s="350"/>
      <c r="AM112" s="350"/>
      <c r="AN112" s="350"/>
      <c r="AO112" s="350"/>
      <c r="AP112" s="350"/>
      <c r="AQ112" s="351"/>
    </row>
    <row r="113" spans="1:43" ht="30" customHeight="1">
      <c r="A113" s="98">
        <f t="shared" si="0"/>
        <v>101</v>
      </c>
      <c r="B113" s="368" t="s">
        <v>325</v>
      </c>
      <c r="C113" s="350"/>
      <c r="D113" s="351"/>
      <c r="E113" s="736"/>
      <c r="F113" s="350"/>
      <c r="G113" s="351"/>
      <c r="H113" s="368"/>
      <c r="I113" s="350"/>
      <c r="J113" s="350"/>
      <c r="K113" s="351"/>
      <c r="L113" s="368"/>
      <c r="M113" s="350"/>
      <c r="N113" s="350"/>
      <c r="O113" s="350"/>
      <c r="P113" s="351"/>
      <c r="Q113" s="368"/>
      <c r="R113" s="350"/>
      <c r="S113" s="350"/>
      <c r="T113" s="350"/>
      <c r="U113" s="350"/>
      <c r="V113" s="350"/>
      <c r="W113" s="350"/>
      <c r="X113" s="350"/>
      <c r="Y113" s="350"/>
      <c r="Z113" s="351"/>
      <c r="AA113" s="368"/>
      <c r="AB113" s="350"/>
      <c r="AC113" s="350"/>
      <c r="AD113" s="350"/>
      <c r="AE113" s="350"/>
      <c r="AF113" s="350"/>
      <c r="AG113" s="350"/>
      <c r="AH113" s="350"/>
      <c r="AI113" s="350"/>
      <c r="AJ113" s="350"/>
      <c r="AK113" s="350"/>
      <c r="AL113" s="350"/>
      <c r="AM113" s="350"/>
      <c r="AN113" s="350"/>
      <c r="AO113" s="350"/>
      <c r="AP113" s="350"/>
      <c r="AQ113" s="351"/>
    </row>
    <row r="114" spans="1:43" ht="30" customHeight="1">
      <c r="A114" s="98">
        <f t="shared" si="0"/>
        <v>102</v>
      </c>
      <c r="B114" s="412" t="s">
        <v>325</v>
      </c>
      <c r="C114" s="350"/>
      <c r="D114" s="351"/>
      <c r="E114" s="735"/>
      <c r="F114" s="350"/>
      <c r="G114" s="351"/>
      <c r="H114" s="412"/>
      <c r="I114" s="350"/>
      <c r="J114" s="350"/>
      <c r="K114" s="351"/>
      <c r="L114" s="412"/>
      <c r="M114" s="350"/>
      <c r="N114" s="350"/>
      <c r="O114" s="350"/>
      <c r="P114" s="351"/>
      <c r="Q114" s="412"/>
      <c r="R114" s="350"/>
      <c r="S114" s="350"/>
      <c r="T114" s="350"/>
      <c r="U114" s="350"/>
      <c r="V114" s="350"/>
      <c r="W114" s="350"/>
      <c r="X114" s="350"/>
      <c r="Y114" s="350"/>
      <c r="Z114" s="351"/>
      <c r="AA114" s="412"/>
      <c r="AB114" s="350"/>
      <c r="AC114" s="350"/>
      <c r="AD114" s="350"/>
      <c r="AE114" s="350"/>
      <c r="AF114" s="350"/>
      <c r="AG114" s="350"/>
      <c r="AH114" s="350"/>
      <c r="AI114" s="350"/>
      <c r="AJ114" s="350"/>
      <c r="AK114" s="350"/>
      <c r="AL114" s="350"/>
      <c r="AM114" s="350"/>
      <c r="AN114" s="350"/>
      <c r="AO114" s="350"/>
      <c r="AP114" s="350"/>
      <c r="AQ114" s="351"/>
    </row>
    <row r="115" spans="1:43" ht="30" customHeight="1">
      <c r="A115" s="98">
        <f t="shared" si="0"/>
        <v>103</v>
      </c>
      <c r="B115" s="368" t="s">
        <v>325</v>
      </c>
      <c r="C115" s="350"/>
      <c r="D115" s="351"/>
      <c r="E115" s="736"/>
      <c r="F115" s="350"/>
      <c r="G115" s="351"/>
      <c r="H115" s="368"/>
      <c r="I115" s="350"/>
      <c r="J115" s="350"/>
      <c r="K115" s="351"/>
      <c r="L115" s="368"/>
      <c r="M115" s="350"/>
      <c r="N115" s="350"/>
      <c r="O115" s="350"/>
      <c r="P115" s="351"/>
      <c r="Q115" s="368"/>
      <c r="R115" s="350"/>
      <c r="S115" s="350"/>
      <c r="T115" s="350"/>
      <c r="U115" s="350"/>
      <c r="V115" s="350"/>
      <c r="W115" s="350"/>
      <c r="X115" s="350"/>
      <c r="Y115" s="350"/>
      <c r="Z115" s="351"/>
      <c r="AA115" s="368"/>
      <c r="AB115" s="350"/>
      <c r="AC115" s="350"/>
      <c r="AD115" s="350"/>
      <c r="AE115" s="350"/>
      <c r="AF115" s="350"/>
      <c r="AG115" s="350"/>
      <c r="AH115" s="350"/>
      <c r="AI115" s="350"/>
      <c r="AJ115" s="350"/>
      <c r="AK115" s="350"/>
      <c r="AL115" s="350"/>
      <c r="AM115" s="350"/>
      <c r="AN115" s="350"/>
      <c r="AO115" s="350"/>
      <c r="AP115" s="350"/>
      <c r="AQ115" s="351"/>
    </row>
    <row r="116" spans="1:43" ht="30" customHeight="1">
      <c r="A116" s="98">
        <f t="shared" si="0"/>
        <v>104</v>
      </c>
      <c r="B116" s="412" t="s">
        <v>325</v>
      </c>
      <c r="C116" s="350"/>
      <c r="D116" s="351"/>
      <c r="E116" s="735"/>
      <c r="F116" s="350"/>
      <c r="G116" s="351"/>
      <c r="H116" s="412"/>
      <c r="I116" s="350"/>
      <c r="J116" s="350"/>
      <c r="K116" s="351"/>
      <c r="L116" s="412"/>
      <c r="M116" s="350"/>
      <c r="N116" s="350"/>
      <c r="O116" s="350"/>
      <c r="P116" s="351"/>
      <c r="Q116" s="412"/>
      <c r="R116" s="350"/>
      <c r="S116" s="350"/>
      <c r="T116" s="350"/>
      <c r="U116" s="350"/>
      <c r="V116" s="350"/>
      <c r="W116" s="350"/>
      <c r="X116" s="350"/>
      <c r="Y116" s="350"/>
      <c r="Z116" s="351"/>
      <c r="AA116" s="412"/>
      <c r="AB116" s="350"/>
      <c r="AC116" s="350"/>
      <c r="AD116" s="350"/>
      <c r="AE116" s="350"/>
      <c r="AF116" s="350"/>
      <c r="AG116" s="350"/>
      <c r="AH116" s="350"/>
      <c r="AI116" s="350"/>
      <c r="AJ116" s="350"/>
      <c r="AK116" s="350"/>
      <c r="AL116" s="350"/>
      <c r="AM116" s="350"/>
      <c r="AN116" s="350"/>
      <c r="AO116" s="350"/>
      <c r="AP116" s="350"/>
      <c r="AQ116" s="351"/>
    </row>
    <row r="117" spans="1:43" ht="30" customHeight="1">
      <c r="A117" s="98">
        <f t="shared" si="0"/>
        <v>105</v>
      </c>
      <c r="B117" s="368" t="s">
        <v>325</v>
      </c>
      <c r="C117" s="350"/>
      <c r="D117" s="351"/>
      <c r="E117" s="736"/>
      <c r="F117" s="350"/>
      <c r="G117" s="351"/>
      <c r="H117" s="368"/>
      <c r="I117" s="350"/>
      <c r="J117" s="350"/>
      <c r="K117" s="351"/>
      <c r="L117" s="368"/>
      <c r="M117" s="350"/>
      <c r="N117" s="350"/>
      <c r="O117" s="350"/>
      <c r="P117" s="351"/>
      <c r="Q117" s="368"/>
      <c r="R117" s="350"/>
      <c r="S117" s="350"/>
      <c r="T117" s="350"/>
      <c r="U117" s="350"/>
      <c r="V117" s="350"/>
      <c r="W117" s="350"/>
      <c r="X117" s="350"/>
      <c r="Y117" s="350"/>
      <c r="Z117" s="351"/>
      <c r="AA117" s="368"/>
      <c r="AB117" s="350"/>
      <c r="AC117" s="350"/>
      <c r="AD117" s="350"/>
      <c r="AE117" s="350"/>
      <c r="AF117" s="350"/>
      <c r="AG117" s="350"/>
      <c r="AH117" s="350"/>
      <c r="AI117" s="350"/>
      <c r="AJ117" s="350"/>
      <c r="AK117" s="350"/>
      <c r="AL117" s="350"/>
      <c r="AM117" s="350"/>
      <c r="AN117" s="350"/>
      <c r="AO117" s="350"/>
      <c r="AP117" s="350"/>
      <c r="AQ117" s="351"/>
    </row>
    <row r="118" spans="1:43" ht="30" customHeight="1">
      <c r="A118" s="98">
        <f t="shared" si="0"/>
        <v>106</v>
      </c>
      <c r="B118" s="412" t="s">
        <v>325</v>
      </c>
      <c r="C118" s="350"/>
      <c r="D118" s="351"/>
      <c r="E118" s="735"/>
      <c r="F118" s="350"/>
      <c r="G118" s="351"/>
      <c r="H118" s="412"/>
      <c r="I118" s="350"/>
      <c r="J118" s="350"/>
      <c r="K118" s="351"/>
      <c r="L118" s="412"/>
      <c r="M118" s="350"/>
      <c r="N118" s="350"/>
      <c r="O118" s="350"/>
      <c r="P118" s="351"/>
      <c r="Q118" s="412"/>
      <c r="R118" s="350"/>
      <c r="S118" s="350"/>
      <c r="T118" s="350"/>
      <c r="U118" s="350"/>
      <c r="V118" s="350"/>
      <c r="W118" s="350"/>
      <c r="X118" s="350"/>
      <c r="Y118" s="350"/>
      <c r="Z118" s="351"/>
      <c r="AA118" s="412"/>
      <c r="AB118" s="350"/>
      <c r="AC118" s="350"/>
      <c r="AD118" s="350"/>
      <c r="AE118" s="350"/>
      <c r="AF118" s="350"/>
      <c r="AG118" s="350"/>
      <c r="AH118" s="350"/>
      <c r="AI118" s="350"/>
      <c r="AJ118" s="350"/>
      <c r="AK118" s="350"/>
      <c r="AL118" s="350"/>
      <c r="AM118" s="350"/>
      <c r="AN118" s="350"/>
      <c r="AO118" s="350"/>
      <c r="AP118" s="350"/>
      <c r="AQ118" s="351"/>
    </row>
    <row r="119" spans="1:43" ht="30" customHeight="1">
      <c r="A119" s="98">
        <f t="shared" si="0"/>
        <v>107</v>
      </c>
      <c r="B119" s="368" t="s">
        <v>325</v>
      </c>
      <c r="C119" s="350"/>
      <c r="D119" s="351"/>
      <c r="E119" s="736"/>
      <c r="F119" s="350"/>
      <c r="G119" s="351"/>
      <c r="H119" s="368"/>
      <c r="I119" s="350"/>
      <c r="J119" s="350"/>
      <c r="K119" s="351"/>
      <c r="L119" s="368"/>
      <c r="M119" s="350"/>
      <c r="N119" s="350"/>
      <c r="O119" s="350"/>
      <c r="P119" s="351"/>
      <c r="Q119" s="368"/>
      <c r="R119" s="350"/>
      <c r="S119" s="350"/>
      <c r="T119" s="350"/>
      <c r="U119" s="350"/>
      <c r="V119" s="350"/>
      <c r="W119" s="350"/>
      <c r="X119" s="350"/>
      <c r="Y119" s="350"/>
      <c r="Z119" s="351"/>
      <c r="AA119" s="368"/>
      <c r="AB119" s="350"/>
      <c r="AC119" s="350"/>
      <c r="AD119" s="350"/>
      <c r="AE119" s="350"/>
      <c r="AF119" s="350"/>
      <c r="AG119" s="350"/>
      <c r="AH119" s="350"/>
      <c r="AI119" s="350"/>
      <c r="AJ119" s="350"/>
      <c r="AK119" s="350"/>
      <c r="AL119" s="350"/>
      <c r="AM119" s="350"/>
      <c r="AN119" s="350"/>
      <c r="AO119" s="350"/>
      <c r="AP119" s="350"/>
      <c r="AQ119" s="351"/>
    </row>
    <row r="120" spans="1:43" ht="30" customHeight="1">
      <c r="A120" s="98">
        <f t="shared" si="0"/>
        <v>108</v>
      </c>
      <c r="B120" s="412" t="s">
        <v>325</v>
      </c>
      <c r="C120" s="350"/>
      <c r="D120" s="351"/>
      <c r="E120" s="735"/>
      <c r="F120" s="350"/>
      <c r="G120" s="351"/>
      <c r="H120" s="412"/>
      <c r="I120" s="350"/>
      <c r="J120" s="350"/>
      <c r="K120" s="351"/>
      <c r="L120" s="412"/>
      <c r="M120" s="350"/>
      <c r="N120" s="350"/>
      <c r="O120" s="350"/>
      <c r="P120" s="351"/>
      <c r="Q120" s="412"/>
      <c r="R120" s="350"/>
      <c r="S120" s="350"/>
      <c r="T120" s="350"/>
      <c r="U120" s="350"/>
      <c r="V120" s="350"/>
      <c r="W120" s="350"/>
      <c r="X120" s="350"/>
      <c r="Y120" s="350"/>
      <c r="Z120" s="351"/>
      <c r="AA120" s="412"/>
      <c r="AB120" s="350"/>
      <c r="AC120" s="350"/>
      <c r="AD120" s="350"/>
      <c r="AE120" s="350"/>
      <c r="AF120" s="350"/>
      <c r="AG120" s="350"/>
      <c r="AH120" s="350"/>
      <c r="AI120" s="350"/>
      <c r="AJ120" s="350"/>
      <c r="AK120" s="350"/>
      <c r="AL120" s="350"/>
      <c r="AM120" s="350"/>
      <c r="AN120" s="350"/>
      <c r="AO120" s="350"/>
      <c r="AP120" s="350"/>
      <c r="AQ120" s="351"/>
    </row>
    <row r="121" spans="1:43" ht="30" customHeight="1">
      <c r="A121" s="98">
        <f t="shared" si="0"/>
        <v>109</v>
      </c>
      <c r="B121" s="368" t="s">
        <v>325</v>
      </c>
      <c r="C121" s="350"/>
      <c r="D121" s="351"/>
      <c r="E121" s="736"/>
      <c r="F121" s="350"/>
      <c r="G121" s="351"/>
      <c r="H121" s="368"/>
      <c r="I121" s="350"/>
      <c r="J121" s="350"/>
      <c r="K121" s="351"/>
      <c r="L121" s="368"/>
      <c r="M121" s="350"/>
      <c r="N121" s="350"/>
      <c r="O121" s="350"/>
      <c r="P121" s="351"/>
      <c r="Q121" s="368"/>
      <c r="R121" s="350"/>
      <c r="S121" s="350"/>
      <c r="T121" s="350"/>
      <c r="U121" s="350"/>
      <c r="V121" s="350"/>
      <c r="W121" s="350"/>
      <c r="X121" s="350"/>
      <c r="Y121" s="350"/>
      <c r="Z121" s="351"/>
      <c r="AA121" s="368"/>
      <c r="AB121" s="350"/>
      <c r="AC121" s="350"/>
      <c r="AD121" s="350"/>
      <c r="AE121" s="350"/>
      <c r="AF121" s="350"/>
      <c r="AG121" s="350"/>
      <c r="AH121" s="350"/>
      <c r="AI121" s="350"/>
      <c r="AJ121" s="350"/>
      <c r="AK121" s="350"/>
      <c r="AL121" s="350"/>
      <c r="AM121" s="350"/>
      <c r="AN121" s="350"/>
      <c r="AO121" s="350"/>
      <c r="AP121" s="350"/>
      <c r="AQ121" s="351"/>
    </row>
    <row r="122" spans="1:43" ht="30" customHeight="1">
      <c r="A122" s="98">
        <f t="shared" si="0"/>
        <v>110</v>
      </c>
      <c r="B122" s="412" t="s">
        <v>325</v>
      </c>
      <c r="C122" s="350"/>
      <c r="D122" s="351"/>
      <c r="E122" s="735"/>
      <c r="F122" s="350"/>
      <c r="G122" s="351"/>
      <c r="H122" s="412"/>
      <c r="I122" s="350"/>
      <c r="J122" s="350"/>
      <c r="K122" s="351"/>
      <c r="L122" s="412"/>
      <c r="M122" s="350"/>
      <c r="N122" s="350"/>
      <c r="O122" s="350"/>
      <c r="P122" s="351"/>
      <c r="Q122" s="412"/>
      <c r="R122" s="350"/>
      <c r="S122" s="350"/>
      <c r="T122" s="350"/>
      <c r="U122" s="350"/>
      <c r="V122" s="350"/>
      <c r="W122" s="350"/>
      <c r="X122" s="350"/>
      <c r="Y122" s="350"/>
      <c r="Z122" s="351"/>
      <c r="AA122" s="412"/>
      <c r="AB122" s="350"/>
      <c r="AC122" s="350"/>
      <c r="AD122" s="350"/>
      <c r="AE122" s="350"/>
      <c r="AF122" s="350"/>
      <c r="AG122" s="350"/>
      <c r="AH122" s="350"/>
      <c r="AI122" s="350"/>
      <c r="AJ122" s="350"/>
      <c r="AK122" s="350"/>
      <c r="AL122" s="350"/>
      <c r="AM122" s="350"/>
      <c r="AN122" s="350"/>
      <c r="AO122" s="350"/>
      <c r="AP122" s="350"/>
      <c r="AQ122" s="351"/>
    </row>
    <row r="123" spans="1:43" ht="30" customHeight="1">
      <c r="A123" s="98">
        <f t="shared" si="0"/>
        <v>111</v>
      </c>
      <c r="B123" s="368" t="s">
        <v>325</v>
      </c>
      <c r="C123" s="350"/>
      <c r="D123" s="351"/>
      <c r="E123" s="736"/>
      <c r="F123" s="350"/>
      <c r="G123" s="351"/>
      <c r="H123" s="368"/>
      <c r="I123" s="350"/>
      <c r="J123" s="350"/>
      <c r="K123" s="351"/>
      <c r="L123" s="368"/>
      <c r="M123" s="350"/>
      <c r="N123" s="350"/>
      <c r="O123" s="350"/>
      <c r="P123" s="351"/>
      <c r="Q123" s="368"/>
      <c r="R123" s="350"/>
      <c r="S123" s="350"/>
      <c r="T123" s="350"/>
      <c r="U123" s="350"/>
      <c r="V123" s="350"/>
      <c r="W123" s="350"/>
      <c r="X123" s="350"/>
      <c r="Y123" s="350"/>
      <c r="Z123" s="351"/>
      <c r="AA123" s="368"/>
      <c r="AB123" s="350"/>
      <c r="AC123" s="350"/>
      <c r="AD123" s="350"/>
      <c r="AE123" s="350"/>
      <c r="AF123" s="350"/>
      <c r="AG123" s="350"/>
      <c r="AH123" s="350"/>
      <c r="AI123" s="350"/>
      <c r="AJ123" s="350"/>
      <c r="AK123" s="350"/>
      <c r="AL123" s="350"/>
      <c r="AM123" s="350"/>
      <c r="AN123" s="350"/>
      <c r="AO123" s="350"/>
      <c r="AP123" s="350"/>
      <c r="AQ123" s="351"/>
    </row>
    <row r="124" spans="1:43" ht="30" customHeight="1">
      <c r="A124" s="98">
        <f t="shared" si="0"/>
        <v>112</v>
      </c>
      <c r="B124" s="412" t="s">
        <v>325</v>
      </c>
      <c r="C124" s="350"/>
      <c r="D124" s="351"/>
      <c r="E124" s="735"/>
      <c r="F124" s="350"/>
      <c r="G124" s="351"/>
      <c r="H124" s="412"/>
      <c r="I124" s="350"/>
      <c r="J124" s="350"/>
      <c r="K124" s="351"/>
      <c r="L124" s="412"/>
      <c r="M124" s="350"/>
      <c r="N124" s="350"/>
      <c r="O124" s="350"/>
      <c r="P124" s="351"/>
      <c r="Q124" s="412"/>
      <c r="R124" s="350"/>
      <c r="S124" s="350"/>
      <c r="T124" s="350"/>
      <c r="U124" s="350"/>
      <c r="V124" s="350"/>
      <c r="W124" s="350"/>
      <c r="X124" s="350"/>
      <c r="Y124" s="350"/>
      <c r="Z124" s="351"/>
      <c r="AA124" s="412"/>
      <c r="AB124" s="350"/>
      <c r="AC124" s="350"/>
      <c r="AD124" s="350"/>
      <c r="AE124" s="350"/>
      <c r="AF124" s="350"/>
      <c r="AG124" s="350"/>
      <c r="AH124" s="350"/>
      <c r="AI124" s="350"/>
      <c r="AJ124" s="350"/>
      <c r="AK124" s="350"/>
      <c r="AL124" s="350"/>
      <c r="AM124" s="350"/>
      <c r="AN124" s="350"/>
      <c r="AO124" s="350"/>
      <c r="AP124" s="350"/>
      <c r="AQ124" s="351"/>
    </row>
    <row r="125" spans="1:43" ht="30" customHeight="1">
      <c r="A125" s="98">
        <f t="shared" si="0"/>
        <v>113</v>
      </c>
      <c r="B125" s="368" t="s">
        <v>325</v>
      </c>
      <c r="C125" s="350"/>
      <c r="D125" s="351"/>
      <c r="E125" s="736"/>
      <c r="F125" s="350"/>
      <c r="G125" s="351"/>
      <c r="H125" s="368"/>
      <c r="I125" s="350"/>
      <c r="J125" s="350"/>
      <c r="K125" s="351"/>
      <c r="L125" s="368"/>
      <c r="M125" s="350"/>
      <c r="N125" s="350"/>
      <c r="O125" s="350"/>
      <c r="P125" s="351"/>
      <c r="Q125" s="368"/>
      <c r="R125" s="350"/>
      <c r="S125" s="350"/>
      <c r="T125" s="350"/>
      <c r="U125" s="350"/>
      <c r="V125" s="350"/>
      <c r="W125" s="350"/>
      <c r="X125" s="350"/>
      <c r="Y125" s="350"/>
      <c r="Z125" s="351"/>
      <c r="AA125" s="368"/>
      <c r="AB125" s="350"/>
      <c r="AC125" s="350"/>
      <c r="AD125" s="350"/>
      <c r="AE125" s="350"/>
      <c r="AF125" s="350"/>
      <c r="AG125" s="350"/>
      <c r="AH125" s="350"/>
      <c r="AI125" s="350"/>
      <c r="AJ125" s="350"/>
      <c r="AK125" s="350"/>
      <c r="AL125" s="350"/>
      <c r="AM125" s="350"/>
      <c r="AN125" s="350"/>
      <c r="AO125" s="350"/>
      <c r="AP125" s="350"/>
      <c r="AQ125" s="351"/>
    </row>
    <row r="126" spans="1:43" ht="30" customHeight="1">
      <c r="A126" s="98">
        <f t="shared" si="0"/>
        <v>114</v>
      </c>
      <c r="B126" s="412" t="s">
        <v>325</v>
      </c>
      <c r="C126" s="350"/>
      <c r="D126" s="351"/>
      <c r="E126" s="735"/>
      <c r="F126" s="350"/>
      <c r="G126" s="351"/>
      <c r="H126" s="412"/>
      <c r="I126" s="350"/>
      <c r="J126" s="350"/>
      <c r="K126" s="351"/>
      <c r="L126" s="412"/>
      <c r="M126" s="350"/>
      <c r="N126" s="350"/>
      <c r="O126" s="350"/>
      <c r="P126" s="351"/>
      <c r="Q126" s="412"/>
      <c r="R126" s="350"/>
      <c r="S126" s="350"/>
      <c r="T126" s="350"/>
      <c r="U126" s="350"/>
      <c r="V126" s="350"/>
      <c r="W126" s="350"/>
      <c r="X126" s="350"/>
      <c r="Y126" s="350"/>
      <c r="Z126" s="351"/>
      <c r="AA126" s="412"/>
      <c r="AB126" s="350"/>
      <c r="AC126" s="350"/>
      <c r="AD126" s="350"/>
      <c r="AE126" s="350"/>
      <c r="AF126" s="350"/>
      <c r="AG126" s="350"/>
      <c r="AH126" s="350"/>
      <c r="AI126" s="350"/>
      <c r="AJ126" s="350"/>
      <c r="AK126" s="350"/>
      <c r="AL126" s="350"/>
      <c r="AM126" s="350"/>
      <c r="AN126" s="350"/>
      <c r="AO126" s="350"/>
      <c r="AP126" s="350"/>
      <c r="AQ126" s="351"/>
    </row>
    <row r="127" spans="1:43" ht="30" customHeight="1">
      <c r="A127" s="98">
        <f t="shared" si="0"/>
        <v>115</v>
      </c>
      <c r="B127" s="368" t="s">
        <v>325</v>
      </c>
      <c r="C127" s="350"/>
      <c r="D127" s="351"/>
      <c r="E127" s="736"/>
      <c r="F127" s="350"/>
      <c r="G127" s="351"/>
      <c r="H127" s="368"/>
      <c r="I127" s="350"/>
      <c r="J127" s="350"/>
      <c r="K127" s="351"/>
      <c r="L127" s="368"/>
      <c r="M127" s="350"/>
      <c r="N127" s="350"/>
      <c r="O127" s="350"/>
      <c r="P127" s="351"/>
      <c r="Q127" s="368"/>
      <c r="R127" s="350"/>
      <c r="S127" s="350"/>
      <c r="T127" s="350"/>
      <c r="U127" s="350"/>
      <c r="V127" s="350"/>
      <c r="W127" s="350"/>
      <c r="X127" s="350"/>
      <c r="Y127" s="350"/>
      <c r="Z127" s="351"/>
      <c r="AA127" s="368"/>
      <c r="AB127" s="350"/>
      <c r="AC127" s="350"/>
      <c r="AD127" s="350"/>
      <c r="AE127" s="350"/>
      <c r="AF127" s="350"/>
      <c r="AG127" s="350"/>
      <c r="AH127" s="350"/>
      <c r="AI127" s="350"/>
      <c r="AJ127" s="350"/>
      <c r="AK127" s="350"/>
      <c r="AL127" s="350"/>
      <c r="AM127" s="350"/>
      <c r="AN127" s="350"/>
      <c r="AO127" s="350"/>
      <c r="AP127" s="350"/>
      <c r="AQ127" s="351"/>
    </row>
    <row r="128" spans="1:43" ht="30" customHeight="1">
      <c r="A128" s="98">
        <f t="shared" si="0"/>
        <v>116</v>
      </c>
      <c r="B128" s="412" t="s">
        <v>325</v>
      </c>
      <c r="C128" s="350"/>
      <c r="D128" s="351"/>
      <c r="E128" s="735"/>
      <c r="F128" s="350"/>
      <c r="G128" s="351"/>
      <c r="H128" s="412"/>
      <c r="I128" s="350"/>
      <c r="J128" s="350"/>
      <c r="K128" s="351"/>
      <c r="L128" s="412"/>
      <c r="M128" s="350"/>
      <c r="N128" s="350"/>
      <c r="O128" s="350"/>
      <c r="P128" s="351"/>
      <c r="Q128" s="412"/>
      <c r="R128" s="350"/>
      <c r="S128" s="350"/>
      <c r="T128" s="350"/>
      <c r="U128" s="350"/>
      <c r="V128" s="350"/>
      <c r="W128" s="350"/>
      <c r="X128" s="350"/>
      <c r="Y128" s="350"/>
      <c r="Z128" s="351"/>
      <c r="AA128" s="412"/>
      <c r="AB128" s="350"/>
      <c r="AC128" s="350"/>
      <c r="AD128" s="350"/>
      <c r="AE128" s="350"/>
      <c r="AF128" s="350"/>
      <c r="AG128" s="350"/>
      <c r="AH128" s="350"/>
      <c r="AI128" s="350"/>
      <c r="AJ128" s="350"/>
      <c r="AK128" s="350"/>
      <c r="AL128" s="350"/>
      <c r="AM128" s="350"/>
      <c r="AN128" s="350"/>
      <c r="AO128" s="350"/>
      <c r="AP128" s="350"/>
      <c r="AQ128" s="351"/>
    </row>
    <row r="129" spans="1:43" ht="30" customHeight="1">
      <c r="A129" s="98">
        <f t="shared" si="0"/>
        <v>117</v>
      </c>
      <c r="B129" s="368" t="s">
        <v>325</v>
      </c>
      <c r="C129" s="350"/>
      <c r="D129" s="351"/>
      <c r="E129" s="736"/>
      <c r="F129" s="350"/>
      <c r="G129" s="351"/>
      <c r="H129" s="368"/>
      <c r="I129" s="350"/>
      <c r="J129" s="350"/>
      <c r="K129" s="351"/>
      <c r="L129" s="368"/>
      <c r="M129" s="350"/>
      <c r="N129" s="350"/>
      <c r="O129" s="350"/>
      <c r="P129" s="351"/>
      <c r="Q129" s="368"/>
      <c r="R129" s="350"/>
      <c r="S129" s="350"/>
      <c r="T129" s="350"/>
      <c r="U129" s="350"/>
      <c r="V129" s="350"/>
      <c r="W129" s="350"/>
      <c r="X129" s="350"/>
      <c r="Y129" s="350"/>
      <c r="Z129" s="351"/>
      <c r="AA129" s="368"/>
      <c r="AB129" s="350"/>
      <c r="AC129" s="350"/>
      <c r="AD129" s="350"/>
      <c r="AE129" s="350"/>
      <c r="AF129" s="350"/>
      <c r="AG129" s="350"/>
      <c r="AH129" s="350"/>
      <c r="AI129" s="350"/>
      <c r="AJ129" s="350"/>
      <c r="AK129" s="350"/>
      <c r="AL129" s="350"/>
      <c r="AM129" s="350"/>
      <c r="AN129" s="350"/>
      <c r="AO129" s="350"/>
      <c r="AP129" s="350"/>
      <c r="AQ129" s="351"/>
    </row>
    <row r="130" spans="1:43" ht="30" customHeight="1">
      <c r="A130" s="98">
        <f t="shared" si="0"/>
        <v>118</v>
      </c>
      <c r="B130" s="412" t="s">
        <v>325</v>
      </c>
      <c r="C130" s="350"/>
      <c r="D130" s="351"/>
      <c r="E130" s="735"/>
      <c r="F130" s="350"/>
      <c r="G130" s="351"/>
      <c r="H130" s="412"/>
      <c r="I130" s="350"/>
      <c r="J130" s="350"/>
      <c r="K130" s="351"/>
      <c r="L130" s="412"/>
      <c r="M130" s="350"/>
      <c r="N130" s="350"/>
      <c r="O130" s="350"/>
      <c r="P130" s="351"/>
      <c r="Q130" s="412"/>
      <c r="R130" s="350"/>
      <c r="S130" s="350"/>
      <c r="T130" s="350"/>
      <c r="U130" s="350"/>
      <c r="V130" s="350"/>
      <c r="W130" s="350"/>
      <c r="X130" s="350"/>
      <c r="Y130" s="350"/>
      <c r="Z130" s="351"/>
      <c r="AA130" s="412"/>
      <c r="AB130" s="350"/>
      <c r="AC130" s="350"/>
      <c r="AD130" s="350"/>
      <c r="AE130" s="350"/>
      <c r="AF130" s="350"/>
      <c r="AG130" s="350"/>
      <c r="AH130" s="350"/>
      <c r="AI130" s="350"/>
      <c r="AJ130" s="350"/>
      <c r="AK130" s="350"/>
      <c r="AL130" s="350"/>
      <c r="AM130" s="350"/>
      <c r="AN130" s="350"/>
      <c r="AO130" s="350"/>
      <c r="AP130" s="350"/>
      <c r="AQ130" s="351"/>
    </row>
    <row r="131" spans="1:43" ht="30" customHeight="1">
      <c r="A131" s="98">
        <f t="shared" si="0"/>
        <v>119</v>
      </c>
      <c r="B131" s="368" t="s">
        <v>325</v>
      </c>
      <c r="C131" s="350"/>
      <c r="D131" s="351"/>
      <c r="E131" s="736"/>
      <c r="F131" s="350"/>
      <c r="G131" s="351"/>
      <c r="H131" s="368"/>
      <c r="I131" s="350"/>
      <c r="J131" s="350"/>
      <c r="K131" s="351"/>
      <c r="L131" s="368"/>
      <c r="M131" s="350"/>
      <c r="N131" s="350"/>
      <c r="O131" s="350"/>
      <c r="P131" s="351"/>
      <c r="Q131" s="368"/>
      <c r="R131" s="350"/>
      <c r="S131" s="350"/>
      <c r="T131" s="350"/>
      <c r="U131" s="350"/>
      <c r="V131" s="350"/>
      <c r="W131" s="350"/>
      <c r="X131" s="350"/>
      <c r="Y131" s="350"/>
      <c r="Z131" s="351"/>
      <c r="AA131" s="368"/>
      <c r="AB131" s="350"/>
      <c r="AC131" s="350"/>
      <c r="AD131" s="350"/>
      <c r="AE131" s="350"/>
      <c r="AF131" s="350"/>
      <c r="AG131" s="350"/>
      <c r="AH131" s="350"/>
      <c r="AI131" s="350"/>
      <c r="AJ131" s="350"/>
      <c r="AK131" s="350"/>
      <c r="AL131" s="350"/>
      <c r="AM131" s="350"/>
      <c r="AN131" s="350"/>
      <c r="AO131" s="350"/>
      <c r="AP131" s="350"/>
      <c r="AQ131" s="351"/>
    </row>
    <row r="132" spans="1:43" ht="30" customHeight="1">
      <c r="A132" s="98">
        <f t="shared" si="0"/>
        <v>120</v>
      </c>
      <c r="B132" s="412" t="s">
        <v>325</v>
      </c>
      <c r="C132" s="350"/>
      <c r="D132" s="351"/>
      <c r="E132" s="735"/>
      <c r="F132" s="350"/>
      <c r="G132" s="351"/>
      <c r="H132" s="412"/>
      <c r="I132" s="350"/>
      <c r="J132" s="350"/>
      <c r="K132" s="351"/>
      <c r="L132" s="412"/>
      <c r="M132" s="350"/>
      <c r="N132" s="350"/>
      <c r="O132" s="350"/>
      <c r="P132" s="351"/>
      <c r="Q132" s="412"/>
      <c r="R132" s="350"/>
      <c r="S132" s="350"/>
      <c r="T132" s="350"/>
      <c r="U132" s="350"/>
      <c r="V132" s="350"/>
      <c r="W132" s="350"/>
      <c r="X132" s="350"/>
      <c r="Y132" s="350"/>
      <c r="Z132" s="351"/>
      <c r="AA132" s="412"/>
      <c r="AB132" s="350"/>
      <c r="AC132" s="350"/>
      <c r="AD132" s="350"/>
      <c r="AE132" s="350"/>
      <c r="AF132" s="350"/>
      <c r="AG132" s="350"/>
      <c r="AH132" s="350"/>
      <c r="AI132" s="350"/>
      <c r="AJ132" s="350"/>
      <c r="AK132" s="350"/>
      <c r="AL132" s="350"/>
      <c r="AM132" s="350"/>
      <c r="AN132" s="350"/>
      <c r="AO132" s="350"/>
      <c r="AP132" s="350"/>
      <c r="AQ132" s="351"/>
    </row>
    <row r="133" spans="1:43" ht="30" customHeight="1">
      <c r="A133" s="98">
        <f t="shared" si="0"/>
        <v>121</v>
      </c>
      <c r="B133" s="368" t="s">
        <v>325</v>
      </c>
      <c r="C133" s="350"/>
      <c r="D133" s="351"/>
      <c r="E133" s="736"/>
      <c r="F133" s="350"/>
      <c r="G133" s="351"/>
      <c r="H133" s="368"/>
      <c r="I133" s="350"/>
      <c r="J133" s="350"/>
      <c r="K133" s="351"/>
      <c r="L133" s="368"/>
      <c r="M133" s="350"/>
      <c r="N133" s="350"/>
      <c r="O133" s="350"/>
      <c r="P133" s="351"/>
      <c r="Q133" s="368"/>
      <c r="R133" s="350"/>
      <c r="S133" s="350"/>
      <c r="T133" s="350"/>
      <c r="U133" s="350"/>
      <c r="V133" s="350"/>
      <c r="W133" s="350"/>
      <c r="X133" s="350"/>
      <c r="Y133" s="350"/>
      <c r="Z133" s="351"/>
      <c r="AA133" s="368"/>
      <c r="AB133" s="350"/>
      <c r="AC133" s="350"/>
      <c r="AD133" s="350"/>
      <c r="AE133" s="350"/>
      <c r="AF133" s="350"/>
      <c r="AG133" s="350"/>
      <c r="AH133" s="350"/>
      <c r="AI133" s="350"/>
      <c r="AJ133" s="350"/>
      <c r="AK133" s="350"/>
      <c r="AL133" s="350"/>
      <c r="AM133" s="350"/>
      <c r="AN133" s="350"/>
      <c r="AO133" s="350"/>
      <c r="AP133" s="350"/>
      <c r="AQ133" s="351"/>
    </row>
    <row r="134" spans="1:43" ht="30" customHeight="1">
      <c r="A134" s="98">
        <f t="shared" si="0"/>
        <v>122</v>
      </c>
      <c r="B134" s="412" t="s">
        <v>325</v>
      </c>
      <c r="C134" s="350"/>
      <c r="D134" s="351"/>
      <c r="E134" s="735"/>
      <c r="F134" s="350"/>
      <c r="G134" s="351"/>
      <c r="H134" s="412"/>
      <c r="I134" s="350"/>
      <c r="J134" s="350"/>
      <c r="K134" s="351"/>
      <c r="L134" s="412"/>
      <c r="M134" s="350"/>
      <c r="N134" s="350"/>
      <c r="O134" s="350"/>
      <c r="P134" s="351"/>
      <c r="Q134" s="412"/>
      <c r="R134" s="350"/>
      <c r="S134" s="350"/>
      <c r="T134" s="350"/>
      <c r="U134" s="350"/>
      <c r="V134" s="350"/>
      <c r="W134" s="350"/>
      <c r="X134" s="350"/>
      <c r="Y134" s="350"/>
      <c r="Z134" s="351"/>
      <c r="AA134" s="412"/>
      <c r="AB134" s="350"/>
      <c r="AC134" s="350"/>
      <c r="AD134" s="350"/>
      <c r="AE134" s="350"/>
      <c r="AF134" s="350"/>
      <c r="AG134" s="350"/>
      <c r="AH134" s="350"/>
      <c r="AI134" s="350"/>
      <c r="AJ134" s="350"/>
      <c r="AK134" s="350"/>
      <c r="AL134" s="350"/>
      <c r="AM134" s="350"/>
      <c r="AN134" s="350"/>
      <c r="AO134" s="350"/>
      <c r="AP134" s="350"/>
      <c r="AQ134" s="351"/>
    </row>
    <row r="135" spans="1:43" ht="30" customHeight="1">
      <c r="A135" s="98">
        <f t="shared" si="0"/>
        <v>123</v>
      </c>
      <c r="B135" s="368" t="s">
        <v>325</v>
      </c>
      <c r="C135" s="350"/>
      <c r="D135" s="351"/>
      <c r="E135" s="736"/>
      <c r="F135" s="350"/>
      <c r="G135" s="351"/>
      <c r="H135" s="368"/>
      <c r="I135" s="350"/>
      <c r="J135" s="350"/>
      <c r="K135" s="351"/>
      <c r="L135" s="368"/>
      <c r="M135" s="350"/>
      <c r="N135" s="350"/>
      <c r="O135" s="350"/>
      <c r="P135" s="351"/>
      <c r="Q135" s="368"/>
      <c r="R135" s="350"/>
      <c r="S135" s="350"/>
      <c r="T135" s="350"/>
      <c r="U135" s="350"/>
      <c r="V135" s="350"/>
      <c r="W135" s="350"/>
      <c r="X135" s="350"/>
      <c r="Y135" s="350"/>
      <c r="Z135" s="351"/>
      <c r="AA135" s="368"/>
      <c r="AB135" s="350"/>
      <c r="AC135" s="350"/>
      <c r="AD135" s="350"/>
      <c r="AE135" s="350"/>
      <c r="AF135" s="350"/>
      <c r="AG135" s="350"/>
      <c r="AH135" s="350"/>
      <c r="AI135" s="350"/>
      <c r="AJ135" s="350"/>
      <c r="AK135" s="350"/>
      <c r="AL135" s="350"/>
      <c r="AM135" s="350"/>
      <c r="AN135" s="350"/>
      <c r="AO135" s="350"/>
      <c r="AP135" s="350"/>
      <c r="AQ135" s="351"/>
    </row>
    <row r="136" spans="1:43" ht="30" customHeight="1">
      <c r="A136" s="98">
        <f t="shared" si="0"/>
        <v>124</v>
      </c>
      <c r="B136" s="412" t="s">
        <v>325</v>
      </c>
      <c r="C136" s="350"/>
      <c r="D136" s="351"/>
      <c r="E136" s="735"/>
      <c r="F136" s="350"/>
      <c r="G136" s="351"/>
      <c r="H136" s="412"/>
      <c r="I136" s="350"/>
      <c r="J136" s="350"/>
      <c r="K136" s="351"/>
      <c r="L136" s="412"/>
      <c r="M136" s="350"/>
      <c r="N136" s="350"/>
      <c r="O136" s="350"/>
      <c r="P136" s="351"/>
      <c r="Q136" s="412"/>
      <c r="R136" s="350"/>
      <c r="S136" s="350"/>
      <c r="T136" s="350"/>
      <c r="U136" s="350"/>
      <c r="V136" s="350"/>
      <c r="W136" s="350"/>
      <c r="X136" s="350"/>
      <c r="Y136" s="350"/>
      <c r="Z136" s="351"/>
      <c r="AA136" s="412"/>
      <c r="AB136" s="350"/>
      <c r="AC136" s="350"/>
      <c r="AD136" s="350"/>
      <c r="AE136" s="350"/>
      <c r="AF136" s="350"/>
      <c r="AG136" s="350"/>
      <c r="AH136" s="350"/>
      <c r="AI136" s="350"/>
      <c r="AJ136" s="350"/>
      <c r="AK136" s="350"/>
      <c r="AL136" s="350"/>
      <c r="AM136" s="350"/>
      <c r="AN136" s="350"/>
      <c r="AO136" s="350"/>
      <c r="AP136" s="350"/>
      <c r="AQ136" s="351"/>
    </row>
    <row r="137" spans="1:43" ht="30" customHeight="1">
      <c r="A137" s="98">
        <f t="shared" si="0"/>
        <v>125</v>
      </c>
      <c r="B137" s="368" t="s">
        <v>325</v>
      </c>
      <c r="C137" s="350"/>
      <c r="D137" s="351"/>
      <c r="E137" s="736"/>
      <c r="F137" s="350"/>
      <c r="G137" s="351"/>
      <c r="H137" s="368"/>
      <c r="I137" s="350"/>
      <c r="J137" s="350"/>
      <c r="K137" s="351"/>
      <c r="L137" s="368"/>
      <c r="M137" s="350"/>
      <c r="N137" s="350"/>
      <c r="O137" s="350"/>
      <c r="P137" s="351"/>
      <c r="Q137" s="368"/>
      <c r="R137" s="350"/>
      <c r="S137" s="350"/>
      <c r="T137" s="350"/>
      <c r="U137" s="350"/>
      <c r="V137" s="350"/>
      <c r="W137" s="350"/>
      <c r="X137" s="350"/>
      <c r="Y137" s="350"/>
      <c r="Z137" s="351"/>
      <c r="AA137" s="368"/>
      <c r="AB137" s="350"/>
      <c r="AC137" s="350"/>
      <c r="AD137" s="350"/>
      <c r="AE137" s="350"/>
      <c r="AF137" s="350"/>
      <c r="AG137" s="350"/>
      <c r="AH137" s="350"/>
      <c r="AI137" s="350"/>
      <c r="AJ137" s="350"/>
      <c r="AK137" s="350"/>
      <c r="AL137" s="350"/>
      <c r="AM137" s="350"/>
      <c r="AN137" s="350"/>
      <c r="AO137" s="350"/>
      <c r="AP137" s="350"/>
      <c r="AQ137" s="351"/>
    </row>
    <row r="138" spans="1:43" ht="30" customHeight="1">
      <c r="A138" s="98">
        <f t="shared" si="0"/>
        <v>126</v>
      </c>
      <c r="B138" s="412" t="s">
        <v>325</v>
      </c>
      <c r="C138" s="350"/>
      <c r="D138" s="351"/>
      <c r="E138" s="735"/>
      <c r="F138" s="350"/>
      <c r="G138" s="351"/>
      <c r="H138" s="412"/>
      <c r="I138" s="350"/>
      <c r="J138" s="350"/>
      <c r="K138" s="351"/>
      <c r="L138" s="412"/>
      <c r="M138" s="350"/>
      <c r="N138" s="350"/>
      <c r="O138" s="350"/>
      <c r="P138" s="351"/>
      <c r="Q138" s="412"/>
      <c r="R138" s="350"/>
      <c r="S138" s="350"/>
      <c r="T138" s="350"/>
      <c r="U138" s="350"/>
      <c r="V138" s="350"/>
      <c r="W138" s="350"/>
      <c r="X138" s="350"/>
      <c r="Y138" s="350"/>
      <c r="Z138" s="351"/>
      <c r="AA138" s="412"/>
      <c r="AB138" s="350"/>
      <c r="AC138" s="350"/>
      <c r="AD138" s="350"/>
      <c r="AE138" s="350"/>
      <c r="AF138" s="350"/>
      <c r="AG138" s="350"/>
      <c r="AH138" s="350"/>
      <c r="AI138" s="350"/>
      <c r="AJ138" s="350"/>
      <c r="AK138" s="350"/>
      <c r="AL138" s="350"/>
      <c r="AM138" s="350"/>
      <c r="AN138" s="350"/>
      <c r="AO138" s="350"/>
      <c r="AP138" s="350"/>
      <c r="AQ138" s="351"/>
    </row>
    <row r="139" spans="1:43" ht="30" customHeight="1">
      <c r="A139" s="98">
        <f t="shared" si="0"/>
        <v>127</v>
      </c>
      <c r="B139" s="368" t="s">
        <v>325</v>
      </c>
      <c r="C139" s="350"/>
      <c r="D139" s="351"/>
      <c r="E139" s="736"/>
      <c r="F139" s="350"/>
      <c r="G139" s="351"/>
      <c r="H139" s="368"/>
      <c r="I139" s="350"/>
      <c r="J139" s="350"/>
      <c r="K139" s="351"/>
      <c r="L139" s="368"/>
      <c r="M139" s="350"/>
      <c r="N139" s="350"/>
      <c r="O139" s="350"/>
      <c r="P139" s="351"/>
      <c r="Q139" s="368"/>
      <c r="R139" s="350"/>
      <c r="S139" s="350"/>
      <c r="T139" s="350"/>
      <c r="U139" s="350"/>
      <c r="V139" s="350"/>
      <c r="W139" s="350"/>
      <c r="X139" s="350"/>
      <c r="Y139" s="350"/>
      <c r="Z139" s="351"/>
      <c r="AA139" s="368"/>
      <c r="AB139" s="350"/>
      <c r="AC139" s="350"/>
      <c r="AD139" s="350"/>
      <c r="AE139" s="350"/>
      <c r="AF139" s="350"/>
      <c r="AG139" s="350"/>
      <c r="AH139" s="350"/>
      <c r="AI139" s="350"/>
      <c r="AJ139" s="350"/>
      <c r="AK139" s="350"/>
      <c r="AL139" s="350"/>
      <c r="AM139" s="350"/>
      <c r="AN139" s="350"/>
      <c r="AO139" s="350"/>
      <c r="AP139" s="350"/>
      <c r="AQ139" s="351"/>
    </row>
    <row r="140" spans="1:43" ht="30" customHeight="1">
      <c r="A140" s="98">
        <f t="shared" si="0"/>
        <v>128</v>
      </c>
      <c r="B140" s="412" t="s">
        <v>325</v>
      </c>
      <c r="C140" s="350"/>
      <c r="D140" s="351"/>
      <c r="E140" s="735"/>
      <c r="F140" s="350"/>
      <c r="G140" s="351"/>
      <c r="H140" s="412"/>
      <c r="I140" s="350"/>
      <c r="J140" s="350"/>
      <c r="K140" s="351"/>
      <c r="L140" s="412"/>
      <c r="M140" s="350"/>
      <c r="N140" s="350"/>
      <c r="O140" s="350"/>
      <c r="P140" s="351"/>
      <c r="Q140" s="412"/>
      <c r="R140" s="350"/>
      <c r="S140" s="350"/>
      <c r="T140" s="350"/>
      <c r="U140" s="350"/>
      <c r="V140" s="350"/>
      <c r="W140" s="350"/>
      <c r="X140" s="350"/>
      <c r="Y140" s="350"/>
      <c r="Z140" s="351"/>
      <c r="AA140" s="412"/>
      <c r="AB140" s="350"/>
      <c r="AC140" s="350"/>
      <c r="AD140" s="350"/>
      <c r="AE140" s="350"/>
      <c r="AF140" s="350"/>
      <c r="AG140" s="350"/>
      <c r="AH140" s="350"/>
      <c r="AI140" s="350"/>
      <c r="AJ140" s="350"/>
      <c r="AK140" s="350"/>
      <c r="AL140" s="350"/>
      <c r="AM140" s="350"/>
      <c r="AN140" s="350"/>
      <c r="AO140" s="350"/>
      <c r="AP140" s="350"/>
      <c r="AQ140" s="351"/>
    </row>
    <row r="141" spans="1:43" ht="30" customHeight="1">
      <c r="A141" s="98">
        <f t="shared" si="0"/>
        <v>129</v>
      </c>
      <c r="B141" s="368" t="s">
        <v>325</v>
      </c>
      <c r="C141" s="350"/>
      <c r="D141" s="351"/>
      <c r="E141" s="736"/>
      <c r="F141" s="350"/>
      <c r="G141" s="351"/>
      <c r="H141" s="368"/>
      <c r="I141" s="350"/>
      <c r="J141" s="350"/>
      <c r="K141" s="351"/>
      <c r="L141" s="368"/>
      <c r="M141" s="350"/>
      <c r="N141" s="350"/>
      <c r="O141" s="350"/>
      <c r="P141" s="351"/>
      <c r="Q141" s="368"/>
      <c r="R141" s="350"/>
      <c r="S141" s="350"/>
      <c r="T141" s="350"/>
      <c r="U141" s="350"/>
      <c r="V141" s="350"/>
      <c r="W141" s="350"/>
      <c r="X141" s="350"/>
      <c r="Y141" s="350"/>
      <c r="Z141" s="351"/>
      <c r="AA141" s="368"/>
      <c r="AB141" s="350"/>
      <c r="AC141" s="350"/>
      <c r="AD141" s="350"/>
      <c r="AE141" s="350"/>
      <c r="AF141" s="350"/>
      <c r="AG141" s="350"/>
      <c r="AH141" s="350"/>
      <c r="AI141" s="350"/>
      <c r="AJ141" s="350"/>
      <c r="AK141" s="350"/>
      <c r="AL141" s="350"/>
      <c r="AM141" s="350"/>
      <c r="AN141" s="350"/>
      <c r="AO141" s="350"/>
      <c r="AP141" s="350"/>
      <c r="AQ141" s="351"/>
    </row>
    <row r="142" spans="1:43" ht="30" customHeight="1">
      <c r="A142" s="98">
        <f t="shared" si="0"/>
        <v>130</v>
      </c>
      <c r="B142" s="412" t="s">
        <v>325</v>
      </c>
      <c r="C142" s="350"/>
      <c r="D142" s="351"/>
      <c r="E142" s="735"/>
      <c r="F142" s="350"/>
      <c r="G142" s="351"/>
      <c r="H142" s="412"/>
      <c r="I142" s="350"/>
      <c r="J142" s="350"/>
      <c r="K142" s="351"/>
      <c r="L142" s="412"/>
      <c r="M142" s="350"/>
      <c r="N142" s="350"/>
      <c r="O142" s="350"/>
      <c r="P142" s="351"/>
      <c r="Q142" s="412"/>
      <c r="R142" s="350"/>
      <c r="S142" s="350"/>
      <c r="T142" s="350"/>
      <c r="U142" s="350"/>
      <c r="V142" s="350"/>
      <c r="W142" s="350"/>
      <c r="X142" s="350"/>
      <c r="Y142" s="350"/>
      <c r="Z142" s="351"/>
      <c r="AA142" s="412"/>
      <c r="AB142" s="350"/>
      <c r="AC142" s="350"/>
      <c r="AD142" s="350"/>
      <c r="AE142" s="350"/>
      <c r="AF142" s="350"/>
      <c r="AG142" s="350"/>
      <c r="AH142" s="350"/>
      <c r="AI142" s="350"/>
      <c r="AJ142" s="350"/>
      <c r="AK142" s="350"/>
      <c r="AL142" s="350"/>
      <c r="AM142" s="350"/>
      <c r="AN142" s="350"/>
      <c r="AO142" s="350"/>
      <c r="AP142" s="350"/>
      <c r="AQ142" s="351"/>
    </row>
    <row r="143" spans="1:43" ht="30" customHeight="1">
      <c r="A143" s="98">
        <f t="shared" si="0"/>
        <v>131</v>
      </c>
      <c r="B143" s="368" t="s">
        <v>325</v>
      </c>
      <c r="C143" s="350"/>
      <c r="D143" s="351"/>
      <c r="E143" s="736"/>
      <c r="F143" s="350"/>
      <c r="G143" s="351"/>
      <c r="H143" s="368"/>
      <c r="I143" s="350"/>
      <c r="J143" s="350"/>
      <c r="K143" s="351"/>
      <c r="L143" s="368"/>
      <c r="M143" s="350"/>
      <c r="N143" s="350"/>
      <c r="O143" s="350"/>
      <c r="P143" s="351"/>
      <c r="Q143" s="368"/>
      <c r="R143" s="350"/>
      <c r="S143" s="350"/>
      <c r="T143" s="350"/>
      <c r="U143" s="350"/>
      <c r="V143" s="350"/>
      <c r="W143" s="350"/>
      <c r="X143" s="350"/>
      <c r="Y143" s="350"/>
      <c r="Z143" s="351"/>
      <c r="AA143" s="368"/>
      <c r="AB143" s="350"/>
      <c r="AC143" s="350"/>
      <c r="AD143" s="350"/>
      <c r="AE143" s="350"/>
      <c r="AF143" s="350"/>
      <c r="AG143" s="350"/>
      <c r="AH143" s="350"/>
      <c r="AI143" s="350"/>
      <c r="AJ143" s="350"/>
      <c r="AK143" s="350"/>
      <c r="AL143" s="350"/>
      <c r="AM143" s="350"/>
      <c r="AN143" s="350"/>
      <c r="AO143" s="350"/>
      <c r="AP143" s="350"/>
      <c r="AQ143" s="351"/>
    </row>
    <row r="144" spans="1:43" ht="30" customHeight="1">
      <c r="A144" s="98">
        <f t="shared" si="0"/>
        <v>132</v>
      </c>
      <c r="B144" s="412" t="s">
        <v>325</v>
      </c>
      <c r="C144" s="350"/>
      <c r="D144" s="351"/>
      <c r="E144" s="735"/>
      <c r="F144" s="350"/>
      <c r="G144" s="351"/>
      <c r="H144" s="412"/>
      <c r="I144" s="350"/>
      <c r="J144" s="350"/>
      <c r="K144" s="351"/>
      <c r="L144" s="412"/>
      <c r="M144" s="350"/>
      <c r="N144" s="350"/>
      <c r="O144" s="350"/>
      <c r="P144" s="351"/>
      <c r="Q144" s="412"/>
      <c r="R144" s="350"/>
      <c r="S144" s="350"/>
      <c r="T144" s="350"/>
      <c r="U144" s="350"/>
      <c r="V144" s="350"/>
      <c r="W144" s="350"/>
      <c r="X144" s="350"/>
      <c r="Y144" s="350"/>
      <c r="Z144" s="351"/>
      <c r="AA144" s="412"/>
      <c r="AB144" s="350"/>
      <c r="AC144" s="350"/>
      <c r="AD144" s="350"/>
      <c r="AE144" s="350"/>
      <c r="AF144" s="350"/>
      <c r="AG144" s="350"/>
      <c r="AH144" s="350"/>
      <c r="AI144" s="350"/>
      <c r="AJ144" s="350"/>
      <c r="AK144" s="350"/>
      <c r="AL144" s="350"/>
      <c r="AM144" s="350"/>
      <c r="AN144" s="350"/>
      <c r="AO144" s="350"/>
      <c r="AP144" s="350"/>
      <c r="AQ144" s="351"/>
    </row>
    <row r="145" spans="1:43" ht="30" customHeight="1">
      <c r="A145" s="98">
        <f t="shared" si="0"/>
        <v>133</v>
      </c>
      <c r="B145" s="368" t="s">
        <v>325</v>
      </c>
      <c r="C145" s="350"/>
      <c r="D145" s="351"/>
      <c r="E145" s="736"/>
      <c r="F145" s="350"/>
      <c r="G145" s="351"/>
      <c r="H145" s="368"/>
      <c r="I145" s="350"/>
      <c r="J145" s="350"/>
      <c r="K145" s="351"/>
      <c r="L145" s="368"/>
      <c r="M145" s="350"/>
      <c r="N145" s="350"/>
      <c r="O145" s="350"/>
      <c r="P145" s="351"/>
      <c r="Q145" s="368"/>
      <c r="R145" s="350"/>
      <c r="S145" s="350"/>
      <c r="T145" s="350"/>
      <c r="U145" s="350"/>
      <c r="V145" s="350"/>
      <c r="W145" s="350"/>
      <c r="X145" s="350"/>
      <c r="Y145" s="350"/>
      <c r="Z145" s="351"/>
      <c r="AA145" s="368"/>
      <c r="AB145" s="350"/>
      <c r="AC145" s="350"/>
      <c r="AD145" s="350"/>
      <c r="AE145" s="350"/>
      <c r="AF145" s="350"/>
      <c r="AG145" s="350"/>
      <c r="AH145" s="350"/>
      <c r="AI145" s="350"/>
      <c r="AJ145" s="350"/>
      <c r="AK145" s="350"/>
      <c r="AL145" s="350"/>
      <c r="AM145" s="350"/>
      <c r="AN145" s="350"/>
      <c r="AO145" s="350"/>
      <c r="AP145" s="350"/>
      <c r="AQ145" s="351"/>
    </row>
    <row r="146" spans="1:43" ht="30" customHeight="1">
      <c r="A146" s="98">
        <f t="shared" si="0"/>
        <v>134</v>
      </c>
      <c r="B146" s="412" t="s">
        <v>325</v>
      </c>
      <c r="C146" s="350"/>
      <c r="D146" s="351"/>
      <c r="E146" s="735"/>
      <c r="F146" s="350"/>
      <c r="G146" s="351"/>
      <c r="H146" s="412"/>
      <c r="I146" s="350"/>
      <c r="J146" s="350"/>
      <c r="K146" s="351"/>
      <c r="L146" s="412"/>
      <c r="M146" s="350"/>
      <c r="N146" s="350"/>
      <c r="O146" s="350"/>
      <c r="P146" s="351"/>
      <c r="Q146" s="412"/>
      <c r="R146" s="350"/>
      <c r="S146" s="350"/>
      <c r="T146" s="350"/>
      <c r="U146" s="350"/>
      <c r="V146" s="350"/>
      <c r="W146" s="350"/>
      <c r="X146" s="350"/>
      <c r="Y146" s="350"/>
      <c r="Z146" s="351"/>
      <c r="AA146" s="412"/>
      <c r="AB146" s="350"/>
      <c r="AC146" s="350"/>
      <c r="AD146" s="350"/>
      <c r="AE146" s="350"/>
      <c r="AF146" s="350"/>
      <c r="AG146" s="350"/>
      <c r="AH146" s="350"/>
      <c r="AI146" s="350"/>
      <c r="AJ146" s="350"/>
      <c r="AK146" s="350"/>
      <c r="AL146" s="350"/>
      <c r="AM146" s="350"/>
      <c r="AN146" s="350"/>
      <c r="AO146" s="350"/>
      <c r="AP146" s="350"/>
      <c r="AQ146" s="351"/>
    </row>
    <row r="147" spans="1:43" ht="30" customHeight="1">
      <c r="A147" s="98">
        <f t="shared" si="0"/>
        <v>135</v>
      </c>
      <c r="B147" s="368" t="s">
        <v>325</v>
      </c>
      <c r="C147" s="350"/>
      <c r="D147" s="351"/>
      <c r="E147" s="736"/>
      <c r="F147" s="350"/>
      <c r="G147" s="351"/>
      <c r="H147" s="368"/>
      <c r="I147" s="350"/>
      <c r="J147" s="350"/>
      <c r="K147" s="351"/>
      <c r="L147" s="368"/>
      <c r="M147" s="350"/>
      <c r="N147" s="350"/>
      <c r="O147" s="350"/>
      <c r="P147" s="351"/>
      <c r="Q147" s="368"/>
      <c r="R147" s="350"/>
      <c r="S147" s="350"/>
      <c r="T147" s="350"/>
      <c r="U147" s="350"/>
      <c r="V147" s="350"/>
      <c r="W147" s="350"/>
      <c r="X147" s="350"/>
      <c r="Y147" s="350"/>
      <c r="Z147" s="351"/>
      <c r="AA147" s="368"/>
      <c r="AB147" s="350"/>
      <c r="AC147" s="350"/>
      <c r="AD147" s="350"/>
      <c r="AE147" s="350"/>
      <c r="AF147" s="350"/>
      <c r="AG147" s="350"/>
      <c r="AH147" s="350"/>
      <c r="AI147" s="350"/>
      <c r="AJ147" s="350"/>
      <c r="AK147" s="350"/>
      <c r="AL147" s="350"/>
      <c r="AM147" s="350"/>
      <c r="AN147" s="350"/>
      <c r="AO147" s="350"/>
      <c r="AP147" s="350"/>
      <c r="AQ147" s="351"/>
    </row>
    <row r="148" spans="1:43" ht="30" customHeight="1">
      <c r="A148" s="98">
        <f t="shared" si="0"/>
        <v>136</v>
      </c>
      <c r="B148" s="412" t="s">
        <v>325</v>
      </c>
      <c r="C148" s="350"/>
      <c r="D148" s="351"/>
      <c r="E148" s="735"/>
      <c r="F148" s="350"/>
      <c r="G148" s="351"/>
      <c r="H148" s="412"/>
      <c r="I148" s="350"/>
      <c r="J148" s="350"/>
      <c r="K148" s="351"/>
      <c r="L148" s="412"/>
      <c r="M148" s="350"/>
      <c r="N148" s="350"/>
      <c r="O148" s="350"/>
      <c r="P148" s="351"/>
      <c r="Q148" s="412"/>
      <c r="R148" s="350"/>
      <c r="S148" s="350"/>
      <c r="T148" s="350"/>
      <c r="U148" s="350"/>
      <c r="V148" s="350"/>
      <c r="W148" s="350"/>
      <c r="X148" s="350"/>
      <c r="Y148" s="350"/>
      <c r="Z148" s="351"/>
      <c r="AA148" s="412"/>
      <c r="AB148" s="350"/>
      <c r="AC148" s="350"/>
      <c r="AD148" s="350"/>
      <c r="AE148" s="350"/>
      <c r="AF148" s="350"/>
      <c r="AG148" s="350"/>
      <c r="AH148" s="350"/>
      <c r="AI148" s="350"/>
      <c r="AJ148" s="350"/>
      <c r="AK148" s="350"/>
      <c r="AL148" s="350"/>
      <c r="AM148" s="350"/>
      <c r="AN148" s="350"/>
      <c r="AO148" s="350"/>
      <c r="AP148" s="350"/>
      <c r="AQ148" s="351"/>
    </row>
    <row r="149" spans="1:43" ht="30" customHeight="1">
      <c r="A149" s="98">
        <f t="shared" si="0"/>
        <v>137</v>
      </c>
      <c r="B149" s="368" t="s">
        <v>325</v>
      </c>
      <c r="C149" s="350"/>
      <c r="D149" s="351"/>
      <c r="E149" s="736"/>
      <c r="F149" s="350"/>
      <c r="G149" s="351"/>
      <c r="H149" s="368"/>
      <c r="I149" s="350"/>
      <c r="J149" s="350"/>
      <c r="K149" s="351"/>
      <c r="L149" s="368"/>
      <c r="M149" s="350"/>
      <c r="N149" s="350"/>
      <c r="O149" s="350"/>
      <c r="P149" s="351"/>
      <c r="Q149" s="368"/>
      <c r="R149" s="350"/>
      <c r="S149" s="350"/>
      <c r="T149" s="350"/>
      <c r="U149" s="350"/>
      <c r="V149" s="350"/>
      <c r="W149" s="350"/>
      <c r="X149" s="350"/>
      <c r="Y149" s="350"/>
      <c r="Z149" s="351"/>
      <c r="AA149" s="368"/>
      <c r="AB149" s="350"/>
      <c r="AC149" s="350"/>
      <c r="AD149" s="350"/>
      <c r="AE149" s="350"/>
      <c r="AF149" s="350"/>
      <c r="AG149" s="350"/>
      <c r="AH149" s="350"/>
      <c r="AI149" s="350"/>
      <c r="AJ149" s="350"/>
      <c r="AK149" s="350"/>
      <c r="AL149" s="350"/>
      <c r="AM149" s="350"/>
      <c r="AN149" s="350"/>
      <c r="AO149" s="350"/>
      <c r="AP149" s="350"/>
      <c r="AQ149" s="351"/>
    </row>
    <row r="150" spans="1:43" ht="30" customHeight="1">
      <c r="A150" s="98">
        <f t="shared" si="0"/>
        <v>138</v>
      </c>
      <c r="B150" s="412" t="s">
        <v>325</v>
      </c>
      <c r="C150" s="350"/>
      <c r="D150" s="351"/>
      <c r="E150" s="735"/>
      <c r="F150" s="350"/>
      <c r="G150" s="351"/>
      <c r="H150" s="412"/>
      <c r="I150" s="350"/>
      <c r="J150" s="350"/>
      <c r="K150" s="351"/>
      <c r="L150" s="412"/>
      <c r="M150" s="350"/>
      <c r="N150" s="350"/>
      <c r="O150" s="350"/>
      <c r="P150" s="351"/>
      <c r="Q150" s="412"/>
      <c r="R150" s="350"/>
      <c r="S150" s="350"/>
      <c r="T150" s="350"/>
      <c r="U150" s="350"/>
      <c r="V150" s="350"/>
      <c r="W150" s="350"/>
      <c r="X150" s="350"/>
      <c r="Y150" s="350"/>
      <c r="Z150" s="351"/>
      <c r="AA150" s="412"/>
      <c r="AB150" s="350"/>
      <c r="AC150" s="350"/>
      <c r="AD150" s="350"/>
      <c r="AE150" s="350"/>
      <c r="AF150" s="350"/>
      <c r="AG150" s="350"/>
      <c r="AH150" s="350"/>
      <c r="AI150" s="350"/>
      <c r="AJ150" s="350"/>
      <c r="AK150" s="350"/>
      <c r="AL150" s="350"/>
      <c r="AM150" s="350"/>
      <c r="AN150" s="350"/>
      <c r="AO150" s="350"/>
      <c r="AP150" s="350"/>
      <c r="AQ150" s="351"/>
    </row>
    <row r="151" spans="1:43" ht="30" customHeight="1">
      <c r="A151" s="98">
        <f t="shared" si="0"/>
        <v>139</v>
      </c>
      <c r="B151" s="368" t="s">
        <v>325</v>
      </c>
      <c r="C151" s="350"/>
      <c r="D151" s="351"/>
      <c r="E151" s="736"/>
      <c r="F151" s="350"/>
      <c r="G151" s="351"/>
      <c r="H151" s="368"/>
      <c r="I151" s="350"/>
      <c r="J151" s="350"/>
      <c r="K151" s="351"/>
      <c r="L151" s="368"/>
      <c r="M151" s="350"/>
      <c r="N151" s="350"/>
      <c r="O151" s="350"/>
      <c r="P151" s="351"/>
      <c r="Q151" s="368"/>
      <c r="R151" s="350"/>
      <c r="S151" s="350"/>
      <c r="T151" s="350"/>
      <c r="U151" s="350"/>
      <c r="V151" s="350"/>
      <c r="W151" s="350"/>
      <c r="X151" s="350"/>
      <c r="Y151" s="350"/>
      <c r="Z151" s="351"/>
      <c r="AA151" s="368"/>
      <c r="AB151" s="350"/>
      <c r="AC151" s="350"/>
      <c r="AD151" s="350"/>
      <c r="AE151" s="350"/>
      <c r="AF151" s="350"/>
      <c r="AG151" s="350"/>
      <c r="AH151" s="350"/>
      <c r="AI151" s="350"/>
      <c r="AJ151" s="350"/>
      <c r="AK151" s="350"/>
      <c r="AL151" s="350"/>
      <c r="AM151" s="350"/>
      <c r="AN151" s="350"/>
      <c r="AO151" s="350"/>
      <c r="AP151" s="350"/>
      <c r="AQ151" s="351"/>
    </row>
    <row r="152" spans="1:43" ht="30" customHeight="1">
      <c r="A152" s="98">
        <f t="shared" si="0"/>
        <v>140</v>
      </c>
      <c r="B152" s="412" t="s">
        <v>325</v>
      </c>
      <c r="C152" s="350"/>
      <c r="D152" s="351"/>
      <c r="E152" s="735"/>
      <c r="F152" s="350"/>
      <c r="G152" s="351"/>
      <c r="H152" s="412"/>
      <c r="I152" s="350"/>
      <c r="J152" s="350"/>
      <c r="K152" s="351"/>
      <c r="L152" s="412"/>
      <c r="M152" s="350"/>
      <c r="N152" s="350"/>
      <c r="O152" s="350"/>
      <c r="P152" s="351"/>
      <c r="Q152" s="412"/>
      <c r="R152" s="350"/>
      <c r="S152" s="350"/>
      <c r="T152" s="350"/>
      <c r="U152" s="350"/>
      <c r="V152" s="350"/>
      <c r="W152" s="350"/>
      <c r="X152" s="350"/>
      <c r="Y152" s="350"/>
      <c r="Z152" s="351"/>
      <c r="AA152" s="412"/>
      <c r="AB152" s="350"/>
      <c r="AC152" s="350"/>
      <c r="AD152" s="350"/>
      <c r="AE152" s="350"/>
      <c r="AF152" s="350"/>
      <c r="AG152" s="350"/>
      <c r="AH152" s="350"/>
      <c r="AI152" s="350"/>
      <c r="AJ152" s="350"/>
      <c r="AK152" s="350"/>
      <c r="AL152" s="350"/>
      <c r="AM152" s="350"/>
      <c r="AN152" s="350"/>
      <c r="AO152" s="350"/>
      <c r="AP152" s="350"/>
      <c r="AQ152" s="351"/>
    </row>
    <row r="153" spans="1:43" ht="30" customHeight="1">
      <c r="A153" s="98">
        <f t="shared" si="0"/>
        <v>141</v>
      </c>
      <c r="B153" s="368" t="s">
        <v>325</v>
      </c>
      <c r="C153" s="350"/>
      <c r="D153" s="351"/>
      <c r="E153" s="736"/>
      <c r="F153" s="350"/>
      <c r="G153" s="351"/>
      <c r="H153" s="368"/>
      <c r="I153" s="350"/>
      <c r="J153" s="350"/>
      <c r="K153" s="351"/>
      <c r="L153" s="368"/>
      <c r="M153" s="350"/>
      <c r="N153" s="350"/>
      <c r="O153" s="350"/>
      <c r="P153" s="351"/>
      <c r="Q153" s="368"/>
      <c r="R153" s="350"/>
      <c r="S153" s="350"/>
      <c r="T153" s="350"/>
      <c r="U153" s="350"/>
      <c r="V153" s="350"/>
      <c r="W153" s="350"/>
      <c r="X153" s="350"/>
      <c r="Y153" s="350"/>
      <c r="Z153" s="351"/>
      <c r="AA153" s="368"/>
      <c r="AB153" s="350"/>
      <c r="AC153" s="350"/>
      <c r="AD153" s="350"/>
      <c r="AE153" s="350"/>
      <c r="AF153" s="350"/>
      <c r="AG153" s="350"/>
      <c r="AH153" s="350"/>
      <c r="AI153" s="350"/>
      <c r="AJ153" s="350"/>
      <c r="AK153" s="350"/>
      <c r="AL153" s="350"/>
      <c r="AM153" s="350"/>
      <c r="AN153" s="350"/>
      <c r="AO153" s="350"/>
      <c r="AP153" s="350"/>
      <c r="AQ153" s="351"/>
    </row>
    <row r="154" spans="1:43" ht="30" customHeight="1">
      <c r="A154" s="98">
        <f t="shared" si="0"/>
        <v>142</v>
      </c>
      <c r="B154" s="412" t="s">
        <v>325</v>
      </c>
      <c r="C154" s="350"/>
      <c r="D154" s="351"/>
      <c r="E154" s="735"/>
      <c r="F154" s="350"/>
      <c r="G154" s="351"/>
      <c r="H154" s="412"/>
      <c r="I154" s="350"/>
      <c r="J154" s="350"/>
      <c r="K154" s="351"/>
      <c r="L154" s="412"/>
      <c r="M154" s="350"/>
      <c r="N154" s="350"/>
      <c r="O154" s="350"/>
      <c r="P154" s="351"/>
      <c r="Q154" s="412"/>
      <c r="R154" s="350"/>
      <c r="S154" s="350"/>
      <c r="T154" s="350"/>
      <c r="U154" s="350"/>
      <c r="V154" s="350"/>
      <c r="W154" s="350"/>
      <c r="X154" s="350"/>
      <c r="Y154" s="350"/>
      <c r="Z154" s="351"/>
      <c r="AA154" s="412"/>
      <c r="AB154" s="350"/>
      <c r="AC154" s="350"/>
      <c r="AD154" s="350"/>
      <c r="AE154" s="350"/>
      <c r="AF154" s="350"/>
      <c r="AG154" s="350"/>
      <c r="AH154" s="350"/>
      <c r="AI154" s="350"/>
      <c r="AJ154" s="350"/>
      <c r="AK154" s="350"/>
      <c r="AL154" s="350"/>
      <c r="AM154" s="350"/>
      <c r="AN154" s="350"/>
      <c r="AO154" s="350"/>
      <c r="AP154" s="350"/>
      <c r="AQ154" s="351"/>
    </row>
    <row r="155" spans="1:43" ht="30" customHeight="1">
      <c r="A155" s="98">
        <f t="shared" si="0"/>
        <v>143</v>
      </c>
      <c r="B155" s="368" t="s">
        <v>325</v>
      </c>
      <c r="C155" s="350"/>
      <c r="D155" s="351"/>
      <c r="E155" s="736"/>
      <c r="F155" s="350"/>
      <c r="G155" s="351"/>
      <c r="H155" s="368"/>
      <c r="I155" s="350"/>
      <c r="J155" s="350"/>
      <c r="K155" s="351"/>
      <c r="L155" s="368"/>
      <c r="M155" s="350"/>
      <c r="N155" s="350"/>
      <c r="O155" s="350"/>
      <c r="P155" s="351"/>
      <c r="Q155" s="368"/>
      <c r="R155" s="350"/>
      <c r="S155" s="350"/>
      <c r="T155" s="350"/>
      <c r="U155" s="350"/>
      <c r="V155" s="350"/>
      <c r="W155" s="350"/>
      <c r="X155" s="350"/>
      <c r="Y155" s="350"/>
      <c r="Z155" s="351"/>
      <c r="AA155" s="368"/>
      <c r="AB155" s="350"/>
      <c r="AC155" s="350"/>
      <c r="AD155" s="350"/>
      <c r="AE155" s="350"/>
      <c r="AF155" s="350"/>
      <c r="AG155" s="350"/>
      <c r="AH155" s="350"/>
      <c r="AI155" s="350"/>
      <c r="AJ155" s="350"/>
      <c r="AK155" s="350"/>
      <c r="AL155" s="350"/>
      <c r="AM155" s="350"/>
      <c r="AN155" s="350"/>
      <c r="AO155" s="350"/>
      <c r="AP155" s="350"/>
      <c r="AQ155" s="351"/>
    </row>
    <row r="156" spans="1:43" ht="30" customHeight="1">
      <c r="A156" s="98">
        <f t="shared" si="0"/>
        <v>144</v>
      </c>
      <c r="B156" s="412" t="s">
        <v>325</v>
      </c>
      <c r="C156" s="350"/>
      <c r="D156" s="351"/>
      <c r="E156" s="735"/>
      <c r="F156" s="350"/>
      <c r="G156" s="351"/>
      <c r="H156" s="412"/>
      <c r="I156" s="350"/>
      <c r="J156" s="350"/>
      <c r="K156" s="351"/>
      <c r="L156" s="412"/>
      <c r="M156" s="350"/>
      <c r="N156" s="350"/>
      <c r="O156" s="350"/>
      <c r="P156" s="351"/>
      <c r="Q156" s="412"/>
      <c r="R156" s="350"/>
      <c r="S156" s="350"/>
      <c r="T156" s="350"/>
      <c r="U156" s="350"/>
      <c r="V156" s="350"/>
      <c r="W156" s="350"/>
      <c r="X156" s="350"/>
      <c r="Y156" s="350"/>
      <c r="Z156" s="351"/>
      <c r="AA156" s="412"/>
      <c r="AB156" s="350"/>
      <c r="AC156" s="350"/>
      <c r="AD156" s="350"/>
      <c r="AE156" s="350"/>
      <c r="AF156" s="350"/>
      <c r="AG156" s="350"/>
      <c r="AH156" s="350"/>
      <c r="AI156" s="350"/>
      <c r="AJ156" s="350"/>
      <c r="AK156" s="350"/>
      <c r="AL156" s="350"/>
      <c r="AM156" s="350"/>
      <c r="AN156" s="350"/>
      <c r="AO156" s="350"/>
      <c r="AP156" s="350"/>
      <c r="AQ156" s="351"/>
    </row>
    <row r="157" spans="1:43" ht="30" customHeight="1">
      <c r="A157" s="98">
        <f t="shared" si="0"/>
        <v>145</v>
      </c>
      <c r="B157" s="368" t="s">
        <v>325</v>
      </c>
      <c r="C157" s="350"/>
      <c r="D157" s="351"/>
      <c r="E157" s="736"/>
      <c r="F157" s="350"/>
      <c r="G157" s="351"/>
      <c r="H157" s="368"/>
      <c r="I157" s="350"/>
      <c r="J157" s="350"/>
      <c r="K157" s="351"/>
      <c r="L157" s="368"/>
      <c r="M157" s="350"/>
      <c r="N157" s="350"/>
      <c r="O157" s="350"/>
      <c r="P157" s="351"/>
      <c r="Q157" s="368"/>
      <c r="R157" s="350"/>
      <c r="S157" s="350"/>
      <c r="T157" s="350"/>
      <c r="U157" s="350"/>
      <c r="V157" s="350"/>
      <c r="W157" s="350"/>
      <c r="X157" s="350"/>
      <c r="Y157" s="350"/>
      <c r="Z157" s="351"/>
      <c r="AA157" s="368"/>
      <c r="AB157" s="350"/>
      <c r="AC157" s="350"/>
      <c r="AD157" s="350"/>
      <c r="AE157" s="350"/>
      <c r="AF157" s="350"/>
      <c r="AG157" s="350"/>
      <c r="AH157" s="350"/>
      <c r="AI157" s="350"/>
      <c r="AJ157" s="350"/>
      <c r="AK157" s="350"/>
      <c r="AL157" s="350"/>
      <c r="AM157" s="350"/>
      <c r="AN157" s="350"/>
      <c r="AO157" s="350"/>
      <c r="AP157" s="350"/>
      <c r="AQ157" s="351"/>
    </row>
    <row r="158" spans="1:43" ht="30" customHeight="1">
      <c r="A158" s="98">
        <f t="shared" si="0"/>
        <v>146</v>
      </c>
      <c r="B158" s="412" t="s">
        <v>325</v>
      </c>
      <c r="C158" s="350"/>
      <c r="D158" s="351"/>
      <c r="E158" s="735"/>
      <c r="F158" s="350"/>
      <c r="G158" s="351"/>
      <c r="H158" s="412"/>
      <c r="I158" s="350"/>
      <c r="J158" s="350"/>
      <c r="K158" s="351"/>
      <c r="L158" s="412"/>
      <c r="M158" s="350"/>
      <c r="N158" s="350"/>
      <c r="O158" s="350"/>
      <c r="P158" s="351"/>
      <c r="Q158" s="412"/>
      <c r="R158" s="350"/>
      <c r="S158" s="350"/>
      <c r="T158" s="350"/>
      <c r="U158" s="350"/>
      <c r="V158" s="350"/>
      <c r="W158" s="350"/>
      <c r="X158" s="350"/>
      <c r="Y158" s="350"/>
      <c r="Z158" s="351"/>
      <c r="AA158" s="412"/>
      <c r="AB158" s="350"/>
      <c r="AC158" s="350"/>
      <c r="AD158" s="350"/>
      <c r="AE158" s="350"/>
      <c r="AF158" s="350"/>
      <c r="AG158" s="350"/>
      <c r="AH158" s="350"/>
      <c r="AI158" s="350"/>
      <c r="AJ158" s="350"/>
      <c r="AK158" s="350"/>
      <c r="AL158" s="350"/>
      <c r="AM158" s="350"/>
      <c r="AN158" s="350"/>
      <c r="AO158" s="350"/>
      <c r="AP158" s="350"/>
      <c r="AQ158" s="351"/>
    </row>
    <row r="159" spans="1:43" ht="30" customHeight="1">
      <c r="A159" s="98">
        <f t="shared" si="0"/>
        <v>147</v>
      </c>
      <c r="B159" s="368" t="s">
        <v>325</v>
      </c>
      <c r="C159" s="350"/>
      <c r="D159" s="351"/>
      <c r="E159" s="736"/>
      <c r="F159" s="350"/>
      <c r="G159" s="351"/>
      <c r="H159" s="368"/>
      <c r="I159" s="350"/>
      <c r="J159" s="350"/>
      <c r="K159" s="351"/>
      <c r="L159" s="368"/>
      <c r="M159" s="350"/>
      <c r="N159" s="350"/>
      <c r="O159" s="350"/>
      <c r="P159" s="351"/>
      <c r="Q159" s="368"/>
      <c r="R159" s="350"/>
      <c r="S159" s="350"/>
      <c r="T159" s="350"/>
      <c r="U159" s="350"/>
      <c r="V159" s="350"/>
      <c r="W159" s="350"/>
      <c r="X159" s="350"/>
      <c r="Y159" s="350"/>
      <c r="Z159" s="351"/>
      <c r="AA159" s="368"/>
      <c r="AB159" s="350"/>
      <c r="AC159" s="350"/>
      <c r="AD159" s="350"/>
      <c r="AE159" s="350"/>
      <c r="AF159" s="350"/>
      <c r="AG159" s="350"/>
      <c r="AH159" s="350"/>
      <c r="AI159" s="350"/>
      <c r="AJ159" s="350"/>
      <c r="AK159" s="350"/>
      <c r="AL159" s="350"/>
      <c r="AM159" s="350"/>
      <c r="AN159" s="350"/>
      <c r="AO159" s="350"/>
      <c r="AP159" s="350"/>
      <c r="AQ159" s="351"/>
    </row>
    <row r="160" spans="1:43" ht="30" customHeight="1">
      <c r="A160" s="98">
        <f t="shared" si="0"/>
        <v>148</v>
      </c>
      <c r="B160" s="412" t="s">
        <v>325</v>
      </c>
      <c r="C160" s="350"/>
      <c r="D160" s="351"/>
      <c r="E160" s="735"/>
      <c r="F160" s="350"/>
      <c r="G160" s="351"/>
      <c r="H160" s="412"/>
      <c r="I160" s="350"/>
      <c r="J160" s="350"/>
      <c r="K160" s="351"/>
      <c r="L160" s="412"/>
      <c r="M160" s="350"/>
      <c r="N160" s="350"/>
      <c r="O160" s="350"/>
      <c r="P160" s="351"/>
      <c r="Q160" s="412"/>
      <c r="R160" s="350"/>
      <c r="S160" s="350"/>
      <c r="T160" s="350"/>
      <c r="U160" s="350"/>
      <c r="V160" s="350"/>
      <c r="W160" s="350"/>
      <c r="X160" s="350"/>
      <c r="Y160" s="350"/>
      <c r="Z160" s="351"/>
      <c r="AA160" s="412"/>
      <c r="AB160" s="350"/>
      <c r="AC160" s="350"/>
      <c r="AD160" s="350"/>
      <c r="AE160" s="350"/>
      <c r="AF160" s="350"/>
      <c r="AG160" s="350"/>
      <c r="AH160" s="350"/>
      <c r="AI160" s="350"/>
      <c r="AJ160" s="350"/>
      <c r="AK160" s="350"/>
      <c r="AL160" s="350"/>
      <c r="AM160" s="350"/>
      <c r="AN160" s="350"/>
      <c r="AO160" s="350"/>
      <c r="AP160" s="350"/>
      <c r="AQ160" s="351"/>
    </row>
    <row r="161" spans="1:43" ht="30" customHeight="1">
      <c r="A161" s="98">
        <f t="shared" si="0"/>
        <v>149</v>
      </c>
      <c r="B161" s="368" t="s">
        <v>325</v>
      </c>
      <c r="C161" s="350"/>
      <c r="D161" s="351"/>
      <c r="E161" s="736"/>
      <c r="F161" s="350"/>
      <c r="G161" s="351"/>
      <c r="H161" s="368"/>
      <c r="I161" s="350"/>
      <c r="J161" s="350"/>
      <c r="K161" s="351"/>
      <c r="L161" s="368"/>
      <c r="M161" s="350"/>
      <c r="N161" s="350"/>
      <c r="O161" s="350"/>
      <c r="P161" s="351"/>
      <c r="Q161" s="368"/>
      <c r="R161" s="350"/>
      <c r="S161" s="350"/>
      <c r="T161" s="350"/>
      <c r="U161" s="350"/>
      <c r="V161" s="350"/>
      <c r="W161" s="350"/>
      <c r="X161" s="350"/>
      <c r="Y161" s="350"/>
      <c r="Z161" s="351"/>
      <c r="AA161" s="368"/>
      <c r="AB161" s="350"/>
      <c r="AC161" s="350"/>
      <c r="AD161" s="350"/>
      <c r="AE161" s="350"/>
      <c r="AF161" s="350"/>
      <c r="AG161" s="350"/>
      <c r="AH161" s="350"/>
      <c r="AI161" s="350"/>
      <c r="AJ161" s="350"/>
      <c r="AK161" s="350"/>
      <c r="AL161" s="350"/>
      <c r="AM161" s="350"/>
      <c r="AN161" s="350"/>
      <c r="AO161" s="350"/>
      <c r="AP161" s="350"/>
      <c r="AQ161" s="351"/>
    </row>
    <row r="162" spans="1:43" ht="30" customHeight="1">
      <c r="A162" s="98">
        <f t="shared" si="0"/>
        <v>150</v>
      </c>
      <c r="B162" s="412" t="s">
        <v>325</v>
      </c>
      <c r="C162" s="350"/>
      <c r="D162" s="351"/>
      <c r="E162" s="735"/>
      <c r="F162" s="350"/>
      <c r="G162" s="351"/>
      <c r="H162" s="412"/>
      <c r="I162" s="350"/>
      <c r="J162" s="350"/>
      <c r="K162" s="351"/>
      <c r="L162" s="412"/>
      <c r="M162" s="350"/>
      <c r="N162" s="350"/>
      <c r="O162" s="350"/>
      <c r="P162" s="351"/>
      <c r="Q162" s="412"/>
      <c r="R162" s="350"/>
      <c r="S162" s="350"/>
      <c r="T162" s="350"/>
      <c r="U162" s="350"/>
      <c r="V162" s="350"/>
      <c r="W162" s="350"/>
      <c r="X162" s="350"/>
      <c r="Y162" s="350"/>
      <c r="Z162" s="351"/>
      <c r="AA162" s="412"/>
      <c r="AB162" s="350"/>
      <c r="AC162" s="350"/>
      <c r="AD162" s="350"/>
      <c r="AE162" s="350"/>
      <c r="AF162" s="350"/>
      <c r="AG162" s="350"/>
      <c r="AH162" s="350"/>
      <c r="AI162" s="350"/>
      <c r="AJ162" s="350"/>
      <c r="AK162" s="350"/>
      <c r="AL162" s="350"/>
      <c r="AM162" s="350"/>
      <c r="AN162" s="350"/>
      <c r="AO162" s="350"/>
      <c r="AP162" s="350"/>
      <c r="AQ162" s="351"/>
    </row>
    <row r="163" spans="1:43" ht="30" customHeight="1">
      <c r="A163" s="98">
        <f t="shared" si="0"/>
        <v>151</v>
      </c>
      <c r="B163" s="368" t="s">
        <v>325</v>
      </c>
      <c r="C163" s="350"/>
      <c r="D163" s="351"/>
      <c r="E163" s="736"/>
      <c r="F163" s="350"/>
      <c r="G163" s="351"/>
      <c r="H163" s="368"/>
      <c r="I163" s="350"/>
      <c r="J163" s="350"/>
      <c r="K163" s="351"/>
      <c r="L163" s="368"/>
      <c r="M163" s="350"/>
      <c r="N163" s="350"/>
      <c r="O163" s="350"/>
      <c r="P163" s="351"/>
      <c r="Q163" s="368"/>
      <c r="R163" s="350"/>
      <c r="S163" s="350"/>
      <c r="T163" s="350"/>
      <c r="U163" s="350"/>
      <c r="V163" s="350"/>
      <c r="W163" s="350"/>
      <c r="X163" s="350"/>
      <c r="Y163" s="350"/>
      <c r="Z163" s="351"/>
      <c r="AA163" s="368"/>
      <c r="AB163" s="350"/>
      <c r="AC163" s="350"/>
      <c r="AD163" s="350"/>
      <c r="AE163" s="350"/>
      <c r="AF163" s="350"/>
      <c r="AG163" s="350"/>
      <c r="AH163" s="350"/>
      <c r="AI163" s="350"/>
      <c r="AJ163" s="350"/>
      <c r="AK163" s="350"/>
      <c r="AL163" s="350"/>
      <c r="AM163" s="350"/>
      <c r="AN163" s="350"/>
      <c r="AO163" s="350"/>
      <c r="AP163" s="350"/>
      <c r="AQ163" s="351"/>
    </row>
    <row r="164" spans="1:43" ht="30" customHeight="1">
      <c r="A164" s="98">
        <f t="shared" si="0"/>
        <v>152</v>
      </c>
      <c r="B164" s="412" t="s">
        <v>325</v>
      </c>
      <c r="C164" s="350"/>
      <c r="D164" s="351"/>
      <c r="E164" s="735"/>
      <c r="F164" s="350"/>
      <c r="G164" s="351"/>
      <c r="H164" s="412"/>
      <c r="I164" s="350"/>
      <c r="J164" s="350"/>
      <c r="K164" s="351"/>
      <c r="L164" s="412"/>
      <c r="M164" s="350"/>
      <c r="N164" s="350"/>
      <c r="O164" s="350"/>
      <c r="P164" s="351"/>
      <c r="Q164" s="412"/>
      <c r="R164" s="350"/>
      <c r="S164" s="350"/>
      <c r="T164" s="350"/>
      <c r="U164" s="350"/>
      <c r="V164" s="350"/>
      <c r="W164" s="350"/>
      <c r="X164" s="350"/>
      <c r="Y164" s="350"/>
      <c r="Z164" s="351"/>
      <c r="AA164" s="412"/>
      <c r="AB164" s="350"/>
      <c r="AC164" s="350"/>
      <c r="AD164" s="350"/>
      <c r="AE164" s="350"/>
      <c r="AF164" s="350"/>
      <c r="AG164" s="350"/>
      <c r="AH164" s="350"/>
      <c r="AI164" s="350"/>
      <c r="AJ164" s="350"/>
      <c r="AK164" s="350"/>
      <c r="AL164" s="350"/>
      <c r="AM164" s="350"/>
      <c r="AN164" s="350"/>
      <c r="AO164" s="350"/>
      <c r="AP164" s="350"/>
      <c r="AQ164" s="351"/>
    </row>
    <row r="165" spans="1:43" ht="30" customHeight="1">
      <c r="A165" s="98">
        <f t="shared" si="0"/>
        <v>153</v>
      </c>
      <c r="B165" s="368" t="s">
        <v>325</v>
      </c>
      <c r="C165" s="350"/>
      <c r="D165" s="351"/>
      <c r="E165" s="736"/>
      <c r="F165" s="350"/>
      <c r="G165" s="351"/>
      <c r="H165" s="368"/>
      <c r="I165" s="350"/>
      <c r="J165" s="350"/>
      <c r="K165" s="351"/>
      <c r="L165" s="368"/>
      <c r="M165" s="350"/>
      <c r="N165" s="350"/>
      <c r="O165" s="350"/>
      <c r="P165" s="351"/>
      <c r="Q165" s="368"/>
      <c r="R165" s="350"/>
      <c r="S165" s="350"/>
      <c r="T165" s="350"/>
      <c r="U165" s="350"/>
      <c r="V165" s="350"/>
      <c r="W165" s="350"/>
      <c r="X165" s="350"/>
      <c r="Y165" s="350"/>
      <c r="Z165" s="351"/>
      <c r="AA165" s="368"/>
      <c r="AB165" s="350"/>
      <c r="AC165" s="350"/>
      <c r="AD165" s="350"/>
      <c r="AE165" s="350"/>
      <c r="AF165" s="350"/>
      <c r="AG165" s="350"/>
      <c r="AH165" s="350"/>
      <c r="AI165" s="350"/>
      <c r="AJ165" s="350"/>
      <c r="AK165" s="350"/>
      <c r="AL165" s="350"/>
      <c r="AM165" s="350"/>
      <c r="AN165" s="350"/>
      <c r="AO165" s="350"/>
      <c r="AP165" s="350"/>
      <c r="AQ165" s="351"/>
    </row>
    <row r="166" spans="1:43" ht="30" customHeight="1">
      <c r="A166" s="98">
        <f t="shared" si="0"/>
        <v>154</v>
      </c>
      <c r="B166" s="412" t="s">
        <v>325</v>
      </c>
      <c r="C166" s="350"/>
      <c r="D166" s="351"/>
      <c r="E166" s="735"/>
      <c r="F166" s="350"/>
      <c r="G166" s="351"/>
      <c r="H166" s="412"/>
      <c r="I166" s="350"/>
      <c r="J166" s="350"/>
      <c r="K166" s="351"/>
      <c r="L166" s="412"/>
      <c r="M166" s="350"/>
      <c r="N166" s="350"/>
      <c r="O166" s="350"/>
      <c r="P166" s="351"/>
      <c r="Q166" s="412"/>
      <c r="R166" s="350"/>
      <c r="S166" s="350"/>
      <c r="T166" s="350"/>
      <c r="U166" s="350"/>
      <c r="V166" s="350"/>
      <c r="W166" s="350"/>
      <c r="X166" s="350"/>
      <c r="Y166" s="350"/>
      <c r="Z166" s="351"/>
      <c r="AA166" s="412"/>
      <c r="AB166" s="350"/>
      <c r="AC166" s="350"/>
      <c r="AD166" s="350"/>
      <c r="AE166" s="350"/>
      <c r="AF166" s="350"/>
      <c r="AG166" s="350"/>
      <c r="AH166" s="350"/>
      <c r="AI166" s="350"/>
      <c r="AJ166" s="350"/>
      <c r="AK166" s="350"/>
      <c r="AL166" s="350"/>
      <c r="AM166" s="350"/>
      <c r="AN166" s="350"/>
      <c r="AO166" s="350"/>
      <c r="AP166" s="350"/>
      <c r="AQ166" s="351"/>
    </row>
    <row r="167" spans="1:43" ht="30" customHeight="1">
      <c r="A167" s="98">
        <f t="shared" si="0"/>
        <v>155</v>
      </c>
      <c r="B167" s="368" t="s">
        <v>325</v>
      </c>
      <c r="C167" s="350"/>
      <c r="D167" s="351"/>
      <c r="E167" s="736"/>
      <c r="F167" s="350"/>
      <c r="G167" s="351"/>
      <c r="H167" s="368"/>
      <c r="I167" s="350"/>
      <c r="J167" s="350"/>
      <c r="K167" s="351"/>
      <c r="L167" s="368"/>
      <c r="M167" s="350"/>
      <c r="N167" s="350"/>
      <c r="O167" s="350"/>
      <c r="P167" s="351"/>
      <c r="Q167" s="368"/>
      <c r="R167" s="350"/>
      <c r="S167" s="350"/>
      <c r="T167" s="350"/>
      <c r="U167" s="350"/>
      <c r="V167" s="350"/>
      <c r="W167" s="350"/>
      <c r="X167" s="350"/>
      <c r="Y167" s="350"/>
      <c r="Z167" s="351"/>
      <c r="AA167" s="368"/>
      <c r="AB167" s="350"/>
      <c r="AC167" s="350"/>
      <c r="AD167" s="350"/>
      <c r="AE167" s="350"/>
      <c r="AF167" s="350"/>
      <c r="AG167" s="350"/>
      <c r="AH167" s="350"/>
      <c r="AI167" s="350"/>
      <c r="AJ167" s="350"/>
      <c r="AK167" s="350"/>
      <c r="AL167" s="350"/>
      <c r="AM167" s="350"/>
      <c r="AN167" s="350"/>
      <c r="AO167" s="350"/>
      <c r="AP167" s="350"/>
      <c r="AQ167" s="351"/>
    </row>
    <row r="168" spans="1:43" ht="30" customHeight="1">
      <c r="A168" s="98">
        <f t="shared" si="0"/>
        <v>156</v>
      </c>
      <c r="B168" s="412" t="s">
        <v>325</v>
      </c>
      <c r="C168" s="350"/>
      <c r="D168" s="351"/>
      <c r="E168" s="735"/>
      <c r="F168" s="350"/>
      <c r="G168" s="351"/>
      <c r="H168" s="412"/>
      <c r="I168" s="350"/>
      <c r="J168" s="350"/>
      <c r="K168" s="351"/>
      <c r="L168" s="412"/>
      <c r="M168" s="350"/>
      <c r="N168" s="350"/>
      <c r="O168" s="350"/>
      <c r="P168" s="351"/>
      <c r="Q168" s="412"/>
      <c r="R168" s="350"/>
      <c r="S168" s="350"/>
      <c r="T168" s="350"/>
      <c r="U168" s="350"/>
      <c r="V168" s="350"/>
      <c r="W168" s="350"/>
      <c r="X168" s="350"/>
      <c r="Y168" s="350"/>
      <c r="Z168" s="351"/>
      <c r="AA168" s="412"/>
      <c r="AB168" s="350"/>
      <c r="AC168" s="350"/>
      <c r="AD168" s="350"/>
      <c r="AE168" s="350"/>
      <c r="AF168" s="350"/>
      <c r="AG168" s="350"/>
      <c r="AH168" s="350"/>
      <c r="AI168" s="350"/>
      <c r="AJ168" s="350"/>
      <c r="AK168" s="350"/>
      <c r="AL168" s="350"/>
      <c r="AM168" s="350"/>
      <c r="AN168" s="350"/>
      <c r="AO168" s="350"/>
      <c r="AP168" s="350"/>
      <c r="AQ168" s="351"/>
    </row>
    <row r="169" spans="1:43" ht="30" customHeight="1">
      <c r="A169" s="98">
        <f t="shared" si="0"/>
        <v>157</v>
      </c>
      <c r="B169" s="368" t="s">
        <v>325</v>
      </c>
      <c r="C169" s="350"/>
      <c r="D169" s="351"/>
      <c r="E169" s="736"/>
      <c r="F169" s="350"/>
      <c r="G169" s="351"/>
      <c r="H169" s="368"/>
      <c r="I169" s="350"/>
      <c r="J169" s="350"/>
      <c r="K169" s="351"/>
      <c r="L169" s="368"/>
      <c r="M169" s="350"/>
      <c r="N169" s="350"/>
      <c r="O169" s="350"/>
      <c r="P169" s="351"/>
      <c r="Q169" s="368"/>
      <c r="R169" s="350"/>
      <c r="S169" s="350"/>
      <c r="T169" s="350"/>
      <c r="U169" s="350"/>
      <c r="V169" s="350"/>
      <c r="W169" s="350"/>
      <c r="X169" s="350"/>
      <c r="Y169" s="350"/>
      <c r="Z169" s="351"/>
      <c r="AA169" s="368"/>
      <c r="AB169" s="350"/>
      <c r="AC169" s="350"/>
      <c r="AD169" s="350"/>
      <c r="AE169" s="350"/>
      <c r="AF169" s="350"/>
      <c r="AG169" s="350"/>
      <c r="AH169" s="350"/>
      <c r="AI169" s="350"/>
      <c r="AJ169" s="350"/>
      <c r="AK169" s="350"/>
      <c r="AL169" s="350"/>
      <c r="AM169" s="350"/>
      <c r="AN169" s="350"/>
      <c r="AO169" s="350"/>
      <c r="AP169" s="350"/>
      <c r="AQ169" s="351"/>
    </row>
    <row r="170" spans="1:43" ht="30" customHeight="1">
      <c r="A170" s="98">
        <f t="shared" si="0"/>
        <v>158</v>
      </c>
      <c r="B170" s="412" t="s">
        <v>325</v>
      </c>
      <c r="C170" s="350"/>
      <c r="D170" s="351"/>
      <c r="E170" s="735"/>
      <c r="F170" s="350"/>
      <c r="G170" s="351"/>
      <c r="H170" s="412"/>
      <c r="I170" s="350"/>
      <c r="J170" s="350"/>
      <c r="K170" s="351"/>
      <c r="L170" s="412"/>
      <c r="M170" s="350"/>
      <c r="N170" s="350"/>
      <c r="O170" s="350"/>
      <c r="P170" s="351"/>
      <c r="Q170" s="412"/>
      <c r="R170" s="350"/>
      <c r="S170" s="350"/>
      <c r="T170" s="350"/>
      <c r="U170" s="350"/>
      <c r="V170" s="350"/>
      <c r="W170" s="350"/>
      <c r="X170" s="350"/>
      <c r="Y170" s="350"/>
      <c r="Z170" s="351"/>
      <c r="AA170" s="412"/>
      <c r="AB170" s="350"/>
      <c r="AC170" s="350"/>
      <c r="AD170" s="350"/>
      <c r="AE170" s="350"/>
      <c r="AF170" s="350"/>
      <c r="AG170" s="350"/>
      <c r="AH170" s="350"/>
      <c r="AI170" s="350"/>
      <c r="AJ170" s="350"/>
      <c r="AK170" s="350"/>
      <c r="AL170" s="350"/>
      <c r="AM170" s="350"/>
      <c r="AN170" s="350"/>
      <c r="AO170" s="350"/>
      <c r="AP170" s="350"/>
      <c r="AQ170" s="351"/>
    </row>
    <row r="171" spans="1:43" ht="30" customHeight="1">
      <c r="A171" s="98">
        <f t="shared" si="0"/>
        <v>159</v>
      </c>
      <c r="B171" s="368" t="s">
        <v>325</v>
      </c>
      <c r="C171" s="350"/>
      <c r="D171" s="351"/>
      <c r="E171" s="736"/>
      <c r="F171" s="350"/>
      <c r="G171" s="351"/>
      <c r="H171" s="368"/>
      <c r="I171" s="350"/>
      <c r="J171" s="350"/>
      <c r="K171" s="351"/>
      <c r="L171" s="368"/>
      <c r="M171" s="350"/>
      <c r="N171" s="350"/>
      <c r="O171" s="350"/>
      <c r="P171" s="351"/>
      <c r="Q171" s="368"/>
      <c r="R171" s="350"/>
      <c r="S171" s="350"/>
      <c r="T171" s="350"/>
      <c r="U171" s="350"/>
      <c r="V171" s="350"/>
      <c r="W171" s="350"/>
      <c r="X171" s="350"/>
      <c r="Y171" s="350"/>
      <c r="Z171" s="351"/>
      <c r="AA171" s="368"/>
      <c r="AB171" s="350"/>
      <c r="AC171" s="350"/>
      <c r="AD171" s="350"/>
      <c r="AE171" s="350"/>
      <c r="AF171" s="350"/>
      <c r="AG171" s="350"/>
      <c r="AH171" s="350"/>
      <c r="AI171" s="350"/>
      <c r="AJ171" s="350"/>
      <c r="AK171" s="350"/>
      <c r="AL171" s="350"/>
      <c r="AM171" s="350"/>
      <c r="AN171" s="350"/>
      <c r="AO171" s="350"/>
      <c r="AP171" s="350"/>
      <c r="AQ171" s="351"/>
    </row>
    <row r="172" spans="1:43" ht="30" customHeight="1">
      <c r="A172" s="98">
        <f t="shared" si="0"/>
        <v>160</v>
      </c>
      <c r="B172" s="412" t="s">
        <v>325</v>
      </c>
      <c r="C172" s="350"/>
      <c r="D172" s="351"/>
      <c r="E172" s="735"/>
      <c r="F172" s="350"/>
      <c r="G172" s="351"/>
      <c r="H172" s="412"/>
      <c r="I172" s="350"/>
      <c r="J172" s="350"/>
      <c r="K172" s="351"/>
      <c r="L172" s="412"/>
      <c r="M172" s="350"/>
      <c r="N172" s="350"/>
      <c r="O172" s="350"/>
      <c r="P172" s="351"/>
      <c r="Q172" s="412"/>
      <c r="R172" s="350"/>
      <c r="S172" s="350"/>
      <c r="T172" s="350"/>
      <c r="U172" s="350"/>
      <c r="V172" s="350"/>
      <c r="W172" s="350"/>
      <c r="X172" s="350"/>
      <c r="Y172" s="350"/>
      <c r="Z172" s="351"/>
      <c r="AA172" s="412"/>
      <c r="AB172" s="350"/>
      <c r="AC172" s="350"/>
      <c r="AD172" s="350"/>
      <c r="AE172" s="350"/>
      <c r="AF172" s="350"/>
      <c r="AG172" s="350"/>
      <c r="AH172" s="350"/>
      <c r="AI172" s="350"/>
      <c r="AJ172" s="350"/>
      <c r="AK172" s="350"/>
      <c r="AL172" s="350"/>
      <c r="AM172" s="350"/>
      <c r="AN172" s="350"/>
      <c r="AO172" s="350"/>
      <c r="AP172" s="350"/>
      <c r="AQ172" s="351"/>
    </row>
    <row r="173" spans="1:43" ht="30" customHeight="1">
      <c r="A173" s="98">
        <f t="shared" si="0"/>
        <v>161</v>
      </c>
      <c r="B173" s="368" t="s">
        <v>325</v>
      </c>
      <c r="C173" s="350"/>
      <c r="D173" s="351"/>
      <c r="E173" s="736"/>
      <c r="F173" s="350"/>
      <c r="G173" s="351"/>
      <c r="H173" s="368"/>
      <c r="I173" s="350"/>
      <c r="J173" s="350"/>
      <c r="K173" s="351"/>
      <c r="L173" s="368"/>
      <c r="M173" s="350"/>
      <c r="N173" s="350"/>
      <c r="O173" s="350"/>
      <c r="P173" s="351"/>
      <c r="Q173" s="368"/>
      <c r="R173" s="350"/>
      <c r="S173" s="350"/>
      <c r="T173" s="350"/>
      <c r="U173" s="350"/>
      <c r="V173" s="350"/>
      <c r="W173" s="350"/>
      <c r="X173" s="350"/>
      <c r="Y173" s="350"/>
      <c r="Z173" s="351"/>
      <c r="AA173" s="368"/>
      <c r="AB173" s="350"/>
      <c r="AC173" s="350"/>
      <c r="AD173" s="350"/>
      <c r="AE173" s="350"/>
      <c r="AF173" s="350"/>
      <c r="AG173" s="350"/>
      <c r="AH173" s="350"/>
      <c r="AI173" s="350"/>
      <c r="AJ173" s="350"/>
      <c r="AK173" s="350"/>
      <c r="AL173" s="350"/>
      <c r="AM173" s="350"/>
      <c r="AN173" s="350"/>
      <c r="AO173" s="350"/>
      <c r="AP173" s="350"/>
      <c r="AQ173" s="351"/>
    </row>
    <row r="174" spans="1:43" ht="30" customHeight="1">
      <c r="A174" s="98">
        <f t="shared" si="0"/>
        <v>162</v>
      </c>
      <c r="B174" s="412" t="s">
        <v>325</v>
      </c>
      <c r="C174" s="350"/>
      <c r="D174" s="351"/>
      <c r="E174" s="735"/>
      <c r="F174" s="350"/>
      <c r="G174" s="351"/>
      <c r="H174" s="412"/>
      <c r="I174" s="350"/>
      <c r="J174" s="350"/>
      <c r="K174" s="351"/>
      <c r="L174" s="412"/>
      <c r="M174" s="350"/>
      <c r="N174" s="350"/>
      <c r="O174" s="350"/>
      <c r="P174" s="351"/>
      <c r="Q174" s="412"/>
      <c r="R174" s="350"/>
      <c r="S174" s="350"/>
      <c r="T174" s="350"/>
      <c r="U174" s="350"/>
      <c r="V174" s="350"/>
      <c r="W174" s="350"/>
      <c r="X174" s="350"/>
      <c r="Y174" s="350"/>
      <c r="Z174" s="351"/>
      <c r="AA174" s="412"/>
      <c r="AB174" s="350"/>
      <c r="AC174" s="350"/>
      <c r="AD174" s="350"/>
      <c r="AE174" s="350"/>
      <c r="AF174" s="350"/>
      <c r="AG174" s="350"/>
      <c r="AH174" s="350"/>
      <c r="AI174" s="350"/>
      <c r="AJ174" s="350"/>
      <c r="AK174" s="350"/>
      <c r="AL174" s="350"/>
      <c r="AM174" s="350"/>
      <c r="AN174" s="350"/>
      <c r="AO174" s="350"/>
      <c r="AP174" s="350"/>
      <c r="AQ174" s="351"/>
    </row>
    <row r="175" spans="1:43" ht="30" customHeight="1">
      <c r="A175" s="98">
        <f t="shared" si="0"/>
        <v>163</v>
      </c>
      <c r="B175" s="368" t="s">
        <v>325</v>
      </c>
      <c r="C175" s="350"/>
      <c r="D175" s="351"/>
      <c r="E175" s="736"/>
      <c r="F175" s="350"/>
      <c r="G175" s="351"/>
      <c r="H175" s="368"/>
      <c r="I175" s="350"/>
      <c r="J175" s="350"/>
      <c r="K175" s="351"/>
      <c r="L175" s="368"/>
      <c r="M175" s="350"/>
      <c r="N175" s="350"/>
      <c r="O175" s="350"/>
      <c r="P175" s="351"/>
      <c r="Q175" s="368"/>
      <c r="R175" s="350"/>
      <c r="S175" s="350"/>
      <c r="T175" s="350"/>
      <c r="U175" s="350"/>
      <c r="V175" s="350"/>
      <c r="W175" s="350"/>
      <c r="X175" s="350"/>
      <c r="Y175" s="350"/>
      <c r="Z175" s="351"/>
      <c r="AA175" s="368"/>
      <c r="AB175" s="350"/>
      <c r="AC175" s="350"/>
      <c r="AD175" s="350"/>
      <c r="AE175" s="350"/>
      <c r="AF175" s="350"/>
      <c r="AG175" s="350"/>
      <c r="AH175" s="350"/>
      <c r="AI175" s="350"/>
      <c r="AJ175" s="350"/>
      <c r="AK175" s="350"/>
      <c r="AL175" s="350"/>
      <c r="AM175" s="350"/>
      <c r="AN175" s="350"/>
      <c r="AO175" s="350"/>
      <c r="AP175" s="350"/>
      <c r="AQ175" s="351"/>
    </row>
    <row r="176" spans="1:43" ht="30" customHeight="1">
      <c r="A176" s="98">
        <f t="shared" si="0"/>
        <v>164</v>
      </c>
      <c r="B176" s="412" t="s">
        <v>325</v>
      </c>
      <c r="C176" s="350"/>
      <c r="D176" s="351"/>
      <c r="E176" s="735"/>
      <c r="F176" s="350"/>
      <c r="G176" s="351"/>
      <c r="H176" s="412"/>
      <c r="I176" s="350"/>
      <c r="J176" s="350"/>
      <c r="K176" s="351"/>
      <c r="L176" s="412"/>
      <c r="M176" s="350"/>
      <c r="N176" s="350"/>
      <c r="O176" s="350"/>
      <c r="P176" s="351"/>
      <c r="Q176" s="412"/>
      <c r="R176" s="350"/>
      <c r="S176" s="350"/>
      <c r="T176" s="350"/>
      <c r="U176" s="350"/>
      <c r="V176" s="350"/>
      <c r="W176" s="350"/>
      <c r="X176" s="350"/>
      <c r="Y176" s="350"/>
      <c r="Z176" s="351"/>
      <c r="AA176" s="412"/>
      <c r="AB176" s="350"/>
      <c r="AC176" s="350"/>
      <c r="AD176" s="350"/>
      <c r="AE176" s="350"/>
      <c r="AF176" s="350"/>
      <c r="AG176" s="350"/>
      <c r="AH176" s="350"/>
      <c r="AI176" s="350"/>
      <c r="AJ176" s="350"/>
      <c r="AK176" s="350"/>
      <c r="AL176" s="350"/>
      <c r="AM176" s="350"/>
      <c r="AN176" s="350"/>
      <c r="AO176" s="350"/>
      <c r="AP176" s="350"/>
      <c r="AQ176" s="351"/>
    </row>
    <row r="177" spans="1:43" ht="30" customHeight="1">
      <c r="A177" s="98">
        <f t="shared" si="0"/>
        <v>165</v>
      </c>
      <c r="B177" s="368" t="s">
        <v>325</v>
      </c>
      <c r="C177" s="350"/>
      <c r="D177" s="351"/>
      <c r="E177" s="736"/>
      <c r="F177" s="350"/>
      <c r="G177" s="351"/>
      <c r="H177" s="368"/>
      <c r="I177" s="350"/>
      <c r="J177" s="350"/>
      <c r="K177" s="351"/>
      <c r="L177" s="368"/>
      <c r="M177" s="350"/>
      <c r="N177" s="350"/>
      <c r="O177" s="350"/>
      <c r="P177" s="351"/>
      <c r="Q177" s="368"/>
      <c r="R177" s="350"/>
      <c r="S177" s="350"/>
      <c r="T177" s="350"/>
      <c r="U177" s="350"/>
      <c r="V177" s="350"/>
      <c r="W177" s="350"/>
      <c r="X177" s="350"/>
      <c r="Y177" s="350"/>
      <c r="Z177" s="351"/>
      <c r="AA177" s="368"/>
      <c r="AB177" s="350"/>
      <c r="AC177" s="350"/>
      <c r="AD177" s="350"/>
      <c r="AE177" s="350"/>
      <c r="AF177" s="350"/>
      <c r="AG177" s="350"/>
      <c r="AH177" s="350"/>
      <c r="AI177" s="350"/>
      <c r="AJ177" s="350"/>
      <c r="AK177" s="350"/>
      <c r="AL177" s="350"/>
      <c r="AM177" s="350"/>
      <c r="AN177" s="350"/>
      <c r="AO177" s="350"/>
      <c r="AP177" s="350"/>
      <c r="AQ177" s="351"/>
    </row>
    <row r="178" spans="1:43" ht="30" customHeight="1">
      <c r="A178" s="98">
        <f t="shared" si="0"/>
        <v>166</v>
      </c>
      <c r="B178" s="412" t="s">
        <v>325</v>
      </c>
      <c r="C178" s="350"/>
      <c r="D178" s="351"/>
      <c r="E178" s="735"/>
      <c r="F178" s="350"/>
      <c r="G178" s="351"/>
      <c r="H178" s="412"/>
      <c r="I178" s="350"/>
      <c r="J178" s="350"/>
      <c r="K178" s="351"/>
      <c r="L178" s="412"/>
      <c r="M178" s="350"/>
      <c r="N178" s="350"/>
      <c r="O178" s="350"/>
      <c r="P178" s="351"/>
      <c r="Q178" s="412"/>
      <c r="R178" s="350"/>
      <c r="S178" s="350"/>
      <c r="T178" s="350"/>
      <c r="U178" s="350"/>
      <c r="V178" s="350"/>
      <c r="W178" s="350"/>
      <c r="X178" s="350"/>
      <c r="Y178" s="350"/>
      <c r="Z178" s="351"/>
      <c r="AA178" s="412"/>
      <c r="AB178" s="350"/>
      <c r="AC178" s="350"/>
      <c r="AD178" s="350"/>
      <c r="AE178" s="350"/>
      <c r="AF178" s="350"/>
      <c r="AG178" s="350"/>
      <c r="AH178" s="350"/>
      <c r="AI178" s="350"/>
      <c r="AJ178" s="350"/>
      <c r="AK178" s="350"/>
      <c r="AL178" s="350"/>
      <c r="AM178" s="350"/>
      <c r="AN178" s="350"/>
      <c r="AO178" s="350"/>
      <c r="AP178" s="350"/>
      <c r="AQ178" s="351"/>
    </row>
    <row r="179" spans="1:43" ht="30" customHeight="1">
      <c r="A179" s="98">
        <f t="shared" si="0"/>
        <v>167</v>
      </c>
      <c r="B179" s="368" t="s">
        <v>325</v>
      </c>
      <c r="C179" s="350"/>
      <c r="D179" s="351"/>
      <c r="E179" s="736"/>
      <c r="F179" s="350"/>
      <c r="G179" s="351"/>
      <c r="H179" s="368"/>
      <c r="I179" s="350"/>
      <c r="J179" s="350"/>
      <c r="K179" s="351"/>
      <c r="L179" s="368"/>
      <c r="M179" s="350"/>
      <c r="N179" s="350"/>
      <c r="O179" s="350"/>
      <c r="P179" s="351"/>
      <c r="Q179" s="368"/>
      <c r="R179" s="350"/>
      <c r="S179" s="350"/>
      <c r="T179" s="350"/>
      <c r="U179" s="350"/>
      <c r="V179" s="350"/>
      <c r="W179" s="350"/>
      <c r="X179" s="350"/>
      <c r="Y179" s="350"/>
      <c r="Z179" s="351"/>
      <c r="AA179" s="368"/>
      <c r="AB179" s="350"/>
      <c r="AC179" s="350"/>
      <c r="AD179" s="350"/>
      <c r="AE179" s="350"/>
      <c r="AF179" s="350"/>
      <c r="AG179" s="350"/>
      <c r="AH179" s="350"/>
      <c r="AI179" s="350"/>
      <c r="AJ179" s="350"/>
      <c r="AK179" s="350"/>
      <c r="AL179" s="350"/>
      <c r="AM179" s="350"/>
      <c r="AN179" s="350"/>
      <c r="AO179" s="350"/>
      <c r="AP179" s="350"/>
      <c r="AQ179" s="351"/>
    </row>
    <row r="180" spans="1:43" ht="30" customHeight="1">
      <c r="A180" s="98">
        <f t="shared" si="0"/>
        <v>168</v>
      </c>
      <c r="B180" s="412" t="s">
        <v>325</v>
      </c>
      <c r="C180" s="350"/>
      <c r="D180" s="351"/>
      <c r="E180" s="735"/>
      <c r="F180" s="350"/>
      <c r="G180" s="351"/>
      <c r="H180" s="412"/>
      <c r="I180" s="350"/>
      <c r="J180" s="350"/>
      <c r="K180" s="351"/>
      <c r="L180" s="412"/>
      <c r="M180" s="350"/>
      <c r="N180" s="350"/>
      <c r="O180" s="350"/>
      <c r="P180" s="351"/>
      <c r="Q180" s="412"/>
      <c r="R180" s="350"/>
      <c r="S180" s="350"/>
      <c r="T180" s="350"/>
      <c r="U180" s="350"/>
      <c r="V180" s="350"/>
      <c r="W180" s="350"/>
      <c r="X180" s="350"/>
      <c r="Y180" s="350"/>
      <c r="Z180" s="351"/>
      <c r="AA180" s="412"/>
      <c r="AB180" s="350"/>
      <c r="AC180" s="350"/>
      <c r="AD180" s="350"/>
      <c r="AE180" s="350"/>
      <c r="AF180" s="350"/>
      <c r="AG180" s="350"/>
      <c r="AH180" s="350"/>
      <c r="AI180" s="350"/>
      <c r="AJ180" s="350"/>
      <c r="AK180" s="350"/>
      <c r="AL180" s="350"/>
      <c r="AM180" s="350"/>
      <c r="AN180" s="350"/>
      <c r="AO180" s="350"/>
      <c r="AP180" s="350"/>
      <c r="AQ180" s="351"/>
    </row>
    <row r="181" spans="1:43" ht="30" customHeight="1">
      <c r="A181" s="98">
        <f t="shared" si="0"/>
        <v>169</v>
      </c>
      <c r="B181" s="368" t="s">
        <v>325</v>
      </c>
      <c r="C181" s="350"/>
      <c r="D181" s="351"/>
      <c r="E181" s="736"/>
      <c r="F181" s="350"/>
      <c r="G181" s="351"/>
      <c r="H181" s="368"/>
      <c r="I181" s="350"/>
      <c r="J181" s="350"/>
      <c r="K181" s="351"/>
      <c r="L181" s="368"/>
      <c r="M181" s="350"/>
      <c r="N181" s="350"/>
      <c r="O181" s="350"/>
      <c r="P181" s="351"/>
      <c r="Q181" s="368"/>
      <c r="R181" s="350"/>
      <c r="S181" s="350"/>
      <c r="T181" s="350"/>
      <c r="U181" s="350"/>
      <c r="V181" s="350"/>
      <c r="W181" s="350"/>
      <c r="X181" s="350"/>
      <c r="Y181" s="350"/>
      <c r="Z181" s="351"/>
      <c r="AA181" s="368"/>
      <c r="AB181" s="350"/>
      <c r="AC181" s="350"/>
      <c r="AD181" s="350"/>
      <c r="AE181" s="350"/>
      <c r="AF181" s="350"/>
      <c r="AG181" s="350"/>
      <c r="AH181" s="350"/>
      <c r="AI181" s="350"/>
      <c r="AJ181" s="350"/>
      <c r="AK181" s="350"/>
      <c r="AL181" s="350"/>
      <c r="AM181" s="350"/>
      <c r="AN181" s="350"/>
      <c r="AO181" s="350"/>
      <c r="AP181" s="350"/>
      <c r="AQ181" s="351"/>
    </row>
    <row r="182" spans="1:43" ht="30" customHeight="1">
      <c r="A182" s="98">
        <f t="shared" si="0"/>
        <v>170</v>
      </c>
      <c r="B182" s="412" t="s">
        <v>325</v>
      </c>
      <c r="C182" s="350"/>
      <c r="D182" s="351"/>
      <c r="E182" s="735"/>
      <c r="F182" s="350"/>
      <c r="G182" s="351"/>
      <c r="H182" s="412"/>
      <c r="I182" s="350"/>
      <c r="J182" s="350"/>
      <c r="K182" s="351"/>
      <c r="L182" s="412"/>
      <c r="M182" s="350"/>
      <c r="N182" s="350"/>
      <c r="O182" s="350"/>
      <c r="P182" s="351"/>
      <c r="Q182" s="412"/>
      <c r="R182" s="350"/>
      <c r="S182" s="350"/>
      <c r="T182" s="350"/>
      <c r="U182" s="350"/>
      <c r="V182" s="350"/>
      <c r="W182" s="350"/>
      <c r="X182" s="350"/>
      <c r="Y182" s="350"/>
      <c r="Z182" s="351"/>
      <c r="AA182" s="412"/>
      <c r="AB182" s="350"/>
      <c r="AC182" s="350"/>
      <c r="AD182" s="350"/>
      <c r="AE182" s="350"/>
      <c r="AF182" s="350"/>
      <c r="AG182" s="350"/>
      <c r="AH182" s="350"/>
      <c r="AI182" s="350"/>
      <c r="AJ182" s="350"/>
      <c r="AK182" s="350"/>
      <c r="AL182" s="350"/>
      <c r="AM182" s="350"/>
      <c r="AN182" s="350"/>
      <c r="AO182" s="350"/>
      <c r="AP182" s="350"/>
      <c r="AQ182" s="351"/>
    </row>
    <row r="183" spans="1:43" ht="30" customHeight="1">
      <c r="A183" s="98">
        <f t="shared" si="0"/>
        <v>171</v>
      </c>
      <c r="B183" s="368" t="s">
        <v>325</v>
      </c>
      <c r="C183" s="350"/>
      <c r="D183" s="351"/>
      <c r="E183" s="736"/>
      <c r="F183" s="350"/>
      <c r="G183" s="351"/>
      <c r="H183" s="368"/>
      <c r="I183" s="350"/>
      <c r="J183" s="350"/>
      <c r="K183" s="351"/>
      <c r="L183" s="368"/>
      <c r="M183" s="350"/>
      <c r="N183" s="350"/>
      <c r="O183" s="350"/>
      <c r="P183" s="351"/>
      <c r="Q183" s="368"/>
      <c r="R183" s="350"/>
      <c r="S183" s="350"/>
      <c r="T183" s="350"/>
      <c r="U183" s="350"/>
      <c r="V183" s="350"/>
      <c r="W183" s="350"/>
      <c r="X183" s="350"/>
      <c r="Y183" s="350"/>
      <c r="Z183" s="351"/>
      <c r="AA183" s="368"/>
      <c r="AB183" s="350"/>
      <c r="AC183" s="350"/>
      <c r="AD183" s="350"/>
      <c r="AE183" s="350"/>
      <c r="AF183" s="350"/>
      <c r="AG183" s="350"/>
      <c r="AH183" s="350"/>
      <c r="AI183" s="350"/>
      <c r="AJ183" s="350"/>
      <c r="AK183" s="350"/>
      <c r="AL183" s="350"/>
      <c r="AM183" s="350"/>
      <c r="AN183" s="350"/>
      <c r="AO183" s="350"/>
      <c r="AP183" s="350"/>
      <c r="AQ183" s="351"/>
    </row>
    <row r="184" spans="1:43" ht="30" customHeight="1">
      <c r="A184" s="98">
        <f t="shared" si="0"/>
        <v>172</v>
      </c>
      <c r="B184" s="412" t="s">
        <v>325</v>
      </c>
      <c r="C184" s="350"/>
      <c r="D184" s="351"/>
      <c r="E184" s="735"/>
      <c r="F184" s="350"/>
      <c r="G184" s="351"/>
      <c r="H184" s="412"/>
      <c r="I184" s="350"/>
      <c r="J184" s="350"/>
      <c r="K184" s="351"/>
      <c r="L184" s="412"/>
      <c r="M184" s="350"/>
      <c r="N184" s="350"/>
      <c r="O184" s="350"/>
      <c r="P184" s="351"/>
      <c r="Q184" s="412"/>
      <c r="R184" s="350"/>
      <c r="S184" s="350"/>
      <c r="T184" s="350"/>
      <c r="U184" s="350"/>
      <c r="V184" s="350"/>
      <c r="W184" s="350"/>
      <c r="X184" s="350"/>
      <c r="Y184" s="350"/>
      <c r="Z184" s="351"/>
      <c r="AA184" s="412"/>
      <c r="AB184" s="350"/>
      <c r="AC184" s="350"/>
      <c r="AD184" s="350"/>
      <c r="AE184" s="350"/>
      <c r="AF184" s="350"/>
      <c r="AG184" s="350"/>
      <c r="AH184" s="350"/>
      <c r="AI184" s="350"/>
      <c r="AJ184" s="350"/>
      <c r="AK184" s="350"/>
      <c r="AL184" s="350"/>
      <c r="AM184" s="350"/>
      <c r="AN184" s="350"/>
      <c r="AO184" s="350"/>
      <c r="AP184" s="350"/>
      <c r="AQ184" s="351"/>
    </row>
    <row r="185" spans="1:43" ht="30" customHeight="1">
      <c r="A185" s="98">
        <f t="shared" si="0"/>
        <v>173</v>
      </c>
      <c r="B185" s="368" t="s">
        <v>325</v>
      </c>
      <c r="C185" s="350"/>
      <c r="D185" s="351"/>
      <c r="E185" s="736"/>
      <c r="F185" s="350"/>
      <c r="G185" s="351"/>
      <c r="H185" s="368"/>
      <c r="I185" s="350"/>
      <c r="J185" s="350"/>
      <c r="K185" s="351"/>
      <c r="L185" s="368"/>
      <c r="M185" s="350"/>
      <c r="N185" s="350"/>
      <c r="O185" s="350"/>
      <c r="P185" s="351"/>
      <c r="Q185" s="368"/>
      <c r="R185" s="350"/>
      <c r="S185" s="350"/>
      <c r="T185" s="350"/>
      <c r="U185" s="350"/>
      <c r="V185" s="350"/>
      <c r="W185" s="350"/>
      <c r="X185" s="350"/>
      <c r="Y185" s="350"/>
      <c r="Z185" s="351"/>
      <c r="AA185" s="368"/>
      <c r="AB185" s="350"/>
      <c r="AC185" s="350"/>
      <c r="AD185" s="350"/>
      <c r="AE185" s="350"/>
      <c r="AF185" s="350"/>
      <c r="AG185" s="350"/>
      <c r="AH185" s="350"/>
      <c r="AI185" s="350"/>
      <c r="AJ185" s="350"/>
      <c r="AK185" s="350"/>
      <c r="AL185" s="350"/>
      <c r="AM185" s="350"/>
      <c r="AN185" s="350"/>
      <c r="AO185" s="350"/>
      <c r="AP185" s="350"/>
      <c r="AQ185" s="351"/>
    </row>
    <row r="186" spans="1:43" ht="30" customHeight="1">
      <c r="A186" s="98">
        <f t="shared" si="0"/>
        <v>174</v>
      </c>
      <c r="B186" s="412" t="s">
        <v>325</v>
      </c>
      <c r="C186" s="350"/>
      <c r="D186" s="351"/>
      <c r="E186" s="735"/>
      <c r="F186" s="350"/>
      <c r="G186" s="351"/>
      <c r="H186" s="412"/>
      <c r="I186" s="350"/>
      <c r="J186" s="350"/>
      <c r="K186" s="351"/>
      <c r="L186" s="412"/>
      <c r="M186" s="350"/>
      <c r="N186" s="350"/>
      <c r="O186" s="350"/>
      <c r="P186" s="351"/>
      <c r="Q186" s="412"/>
      <c r="R186" s="350"/>
      <c r="S186" s="350"/>
      <c r="T186" s="350"/>
      <c r="U186" s="350"/>
      <c r="V186" s="350"/>
      <c r="W186" s="350"/>
      <c r="X186" s="350"/>
      <c r="Y186" s="350"/>
      <c r="Z186" s="351"/>
      <c r="AA186" s="412"/>
      <c r="AB186" s="350"/>
      <c r="AC186" s="350"/>
      <c r="AD186" s="350"/>
      <c r="AE186" s="350"/>
      <c r="AF186" s="350"/>
      <c r="AG186" s="350"/>
      <c r="AH186" s="350"/>
      <c r="AI186" s="350"/>
      <c r="AJ186" s="350"/>
      <c r="AK186" s="350"/>
      <c r="AL186" s="350"/>
      <c r="AM186" s="350"/>
      <c r="AN186" s="350"/>
      <c r="AO186" s="350"/>
      <c r="AP186" s="350"/>
      <c r="AQ186" s="351"/>
    </row>
    <row r="187" spans="1:43" ht="30" customHeight="1">
      <c r="A187" s="98">
        <f t="shared" si="0"/>
        <v>175</v>
      </c>
      <c r="B187" s="368" t="s">
        <v>325</v>
      </c>
      <c r="C187" s="350"/>
      <c r="D187" s="351"/>
      <c r="E187" s="736"/>
      <c r="F187" s="350"/>
      <c r="G187" s="351"/>
      <c r="H187" s="368"/>
      <c r="I187" s="350"/>
      <c r="J187" s="350"/>
      <c r="K187" s="351"/>
      <c r="L187" s="368"/>
      <c r="M187" s="350"/>
      <c r="N187" s="350"/>
      <c r="O187" s="350"/>
      <c r="P187" s="351"/>
      <c r="Q187" s="368"/>
      <c r="R187" s="350"/>
      <c r="S187" s="350"/>
      <c r="T187" s="350"/>
      <c r="U187" s="350"/>
      <c r="V187" s="350"/>
      <c r="W187" s="350"/>
      <c r="X187" s="350"/>
      <c r="Y187" s="350"/>
      <c r="Z187" s="351"/>
      <c r="AA187" s="368"/>
      <c r="AB187" s="350"/>
      <c r="AC187" s="350"/>
      <c r="AD187" s="350"/>
      <c r="AE187" s="350"/>
      <c r="AF187" s="350"/>
      <c r="AG187" s="350"/>
      <c r="AH187" s="350"/>
      <c r="AI187" s="350"/>
      <c r="AJ187" s="350"/>
      <c r="AK187" s="350"/>
      <c r="AL187" s="350"/>
      <c r="AM187" s="350"/>
      <c r="AN187" s="350"/>
      <c r="AO187" s="350"/>
      <c r="AP187" s="350"/>
      <c r="AQ187" s="351"/>
    </row>
    <row r="188" spans="1:43" ht="30" customHeight="1">
      <c r="A188" s="98">
        <f t="shared" si="0"/>
        <v>176</v>
      </c>
      <c r="B188" s="412" t="s">
        <v>325</v>
      </c>
      <c r="C188" s="350"/>
      <c r="D188" s="351"/>
      <c r="E188" s="735"/>
      <c r="F188" s="350"/>
      <c r="G188" s="351"/>
      <c r="H188" s="412"/>
      <c r="I188" s="350"/>
      <c r="J188" s="350"/>
      <c r="K188" s="351"/>
      <c r="L188" s="412"/>
      <c r="M188" s="350"/>
      <c r="N188" s="350"/>
      <c r="O188" s="350"/>
      <c r="P188" s="351"/>
      <c r="Q188" s="412"/>
      <c r="R188" s="350"/>
      <c r="S188" s="350"/>
      <c r="T188" s="350"/>
      <c r="U188" s="350"/>
      <c r="V188" s="350"/>
      <c r="W188" s="350"/>
      <c r="X188" s="350"/>
      <c r="Y188" s="350"/>
      <c r="Z188" s="351"/>
      <c r="AA188" s="412"/>
      <c r="AB188" s="350"/>
      <c r="AC188" s="350"/>
      <c r="AD188" s="350"/>
      <c r="AE188" s="350"/>
      <c r="AF188" s="350"/>
      <c r="AG188" s="350"/>
      <c r="AH188" s="350"/>
      <c r="AI188" s="350"/>
      <c r="AJ188" s="350"/>
      <c r="AK188" s="350"/>
      <c r="AL188" s="350"/>
      <c r="AM188" s="350"/>
      <c r="AN188" s="350"/>
      <c r="AO188" s="350"/>
      <c r="AP188" s="350"/>
      <c r="AQ188" s="351"/>
    </row>
    <row r="189" spans="1:43" ht="30" customHeight="1">
      <c r="A189" s="98">
        <f t="shared" si="0"/>
        <v>177</v>
      </c>
      <c r="B189" s="368" t="s">
        <v>325</v>
      </c>
      <c r="C189" s="350"/>
      <c r="D189" s="351"/>
      <c r="E189" s="736"/>
      <c r="F189" s="350"/>
      <c r="G189" s="351"/>
      <c r="H189" s="368"/>
      <c r="I189" s="350"/>
      <c r="J189" s="350"/>
      <c r="K189" s="351"/>
      <c r="L189" s="368"/>
      <c r="M189" s="350"/>
      <c r="N189" s="350"/>
      <c r="O189" s="350"/>
      <c r="P189" s="351"/>
      <c r="Q189" s="368"/>
      <c r="R189" s="350"/>
      <c r="S189" s="350"/>
      <c r="T189" s="350"/>
      <c r="U189" s="350"/>
      <c r="V189" s="350"/>
      <c r="W189" s="350"/>
      <c r="X189" s="350"/>
      <c r="Y189" s="350"/>
      <c r="Z189" s="351"/>
      <c r="AA189" s="368"/>
      <c r="AB189" s="350"/>
      <c r="AC189" s="350"/>
      <c r="AD189" s="350"/>
      <c r="AE189" s="350"/>
      <c r="AF189" s="350"/>
      <c r="AG189" s="350"/>
      <c r="AH189" s="350"/>
      <c r="AI189" s="350"/>
      <c r="AJ189" s="350"/>
      <c r="AK189" s="350"/>
      <c r="AL189" s="350"/>
      <c r="AM189" s="350"/>
      <c r="AN189" s="350"/>
      <c r="AO189" s="350"/>
      <c r="AP189" s="350"/>
      <c r="AQ189" s="351"/>
    </row>
    <row r="190" spans="1:43" ht="30" customHeight="1">
      <c r="A190" s="98">
        <f t="shared" si="0"/>
        <v>178</v>
      </c>
      <c r="B190" s="412" t="s">
        <v>325</v>
      </c>
      <c r="C190" s="350"/>
      <c r="D190" s="351"/>
      <c r="E190" s="735"/>
      <c r="F190" s="350"/>
      <c r="G190" s="351"/>
      <c r="H190" s="412"/>
      <c r="I190" s="350"/>
      <c r="J190" s="350"/>
      <c r="K190" s="351"/>
      <c r="L190" s="412"/>
      <c r="M190" s="350"/>
      <c r="N190" s="350"/>
      <c r="O190" s="350"/>
      <c r="P190" s="351"/>
      <c r="Q190" s="412"/>
      <c r="R190" s="350"/>
      <c r="S190" s="350"/>
      <c r="T190" s="350"/>
      <c r="U190" s="350"/>
      <c r="V190" s="350"/>
      <c r="W190" s="350"/>
      <c r="X190" s="350"/>
      <c r="Y190" s="350"/>
      <c r="Z190" s="351"/>
      <c r="AA190" s="412"/>
      <c r="AB190" s="350"/>
      <c r="AC190" s="350"/>
      <c r="AD190" s="350"/>
      <c r="AE190" s="350"/>
      <c r="AF190" s="350"/>
      <c r="AG190" s="350"/>
      <c r="AH190" s="350"/>
      <c r="AI190" s="350"/>
      <c r="AJ190" s="350"/>
      <c r="AK190" s="350"/>
      <c r="AL190" s="350"/>
      <c r="AM190" s="350"/>
      <c r="AN190" s="350"/>
      <c r="AO190" s="350"/>
      <c r="AP190" s="350"/>
      <c r="AQ190" s="351"/>
    </row>
    <row r="191" spans="1:43" ht="30" customHeight="1">
      <c r="A191" s="98">
        <f t="shared" si="0"/>
        <v>179</v>
      </c>
      <c r="B191" s="368" t="s">
        <v>325</v>
      </c>
      <c r="C191" s="350"/>
      <c r="D191" s="351"/>
      <c r="E191" s="736"/>
      <c r="F191" s="350"/>
      <c r="G191" s="351"/>
      <c r="H191" s="368"/>
      <c r="I191" s="350"/>
      <c r="J191" s="350"/>
      <c r="K191" s="351"/>
      <c r="L191" s="368"/>
      <c r="M191" s="350"/>
      <c r="N191" s="350"/>
      <c r="O191" s="350"/>
      <c r="P191" s="351"/>
      <c r="Q191" s="368"/>
      <c r="R191" s="350"/>
      <c r="S191" s="350"/>
      <c r="T191" s="350"/>
      <c r="U191" s="350"/>
      <c r="V191" s="350"/>
      <c r="W191" s="350"/>
      <c r="X191" s="350"/>
      <c r="Y191" s="350"/>
      <c r="Z191" s="351"/>
      <c r="AA191" s="368"/>
      <c r="AB191" s="350"/>
      <c r="AC191" s="350"/>
      <c r="AD191" s="350"/>
      <c r="AE191" s="350"/>
      <c r="AF191" s="350"/>
      <c r="AG191" s="350"/>
      <c r="AH191" s="350"/>
      <c r="AI191" s="350"/>
      <c r="AJ191" s="350"/>
      <c r="AK191" s="350"/>
      <c r="AL191" s="350"/>
      <c r="AM191" s="350"/>
      <c r="AN191" s="350"/>
      <c r="AO191" s="350"/>
      <c r="AP191" s="350"/>
      <c r="AQ191" s="351"/>
    </row>
    <row r="192" spans="1:43" ht="30" customHeight="1">
      <c r="A192" s="98">
        <f t="shared" si="0"/>
        <v>180</v>
      </c>
      <c r="B192" s="412" t="s">
        <v>325</v>
      </c>
      <c r="C192" s="350"/>
      <c r="D192" s="351"/>
      <c r="E192" s="735"/>
      <c r="F192" s="350"/>
      <c r="G192" s="351"/>
      <c r="H192" s="412"/>
      <c r="I192" s="350"/>
      <c r="J192" s="350"/>
      <c r="K192" s="351"/>
      <c r="L192" s="412"/>
      <c r="M192" s="350"/>
      <c r="N192" s="350"/>
      <c r="O192" s="350"/>
      <c r="P192" s="351"/>
      <c r="Q192" s="412"/>
      <c r="R192" s="350"/>
      <c r="S192" s="350"/>
      <c r="T192" s="350"/>
      <c r="U192" s="350"/>
      <c r="V192" s="350"/>
      <c r="W192" s="350"/>
      <c r="X192" s="350"/>
      <c r="Y192" s="350"/>
      <c r="Z192" s="351"/>
      <c r="AA192" s="412"/>
      <c r="AB192" s="350"/>
      <c r="AC192" s="350"/>
      <c r="AD192" s="350"/>
      <c r="AE192" s="350"/>
      <c r="AF192" s="350"/>
      <c r="AG192" s="350"/>
      <c r="AH192" s="350"/>
      <c r="AI192" s="350"/>
      <c r="AJ192" s="350"/>
      <c r="AK192" s="350"/>
      <c r="AL192" s="350"/>
      <c r="AM192" s="350"/>
      <c r="AN192" s="350"/>
      <c r="AO192" s="350"/>
      <c r="AP192" s="350"/>
      <c r="AQ192" s="351"/>
    </row>
    <row r="193" spans="1:43" ht="30" customHeight="1">
      <c r="A193" s="98">
        <f t="shared" si="0"/>
        <v>181</v>
      </c>
      <c r="B193" s="368" t="s">
        <v>325</v>
      </c>
      <c r="C193" s="350"/>
      <c r="D193" s="351"/>
      <c r="E193" s="736"/>
      <c r="F193" s="350"/>
      <c r="G193" s="351"/>
      <c r="H193" s="368"/>
      <c r="I193" s="350"/>
      <c r="J193" s="350"/>
      <c r="K193" s="351"/>
      <c r="L193" s="368"/>
      <c r="M193" s="350"/>
      <c r="N193" s="350"/>
      <c r="O193" s="350"/>
      <c r="P193" s="351"/>
      <c r="Q193" s="368"/>
      <c r="R193" s="350"/>
      <c r="S193" s="350"/>
      <c r="T193" s="350"/>
      <c r="U193" s="350"/>
      <c r="V193" s="350"/>
      <c r="W193" s="350"/>
      <c r="X193" s="350"/>
      <c r="Y193" s="350"/>
      <c r="Z193" s="351"/>
      <c r="AA193" s="368"/>
      <c r="AB193" s="350"/>
      <c r="AC193" s="350"/>
      <c r="AD193" s="350"/>
      <c r="AE193" s="350"/>
      <c r="AF193" s="350"/>
      <c r="AG193" s="350"/>
      <c r="AH193" s="350"/>
      <c r="AI193" s="350"/>
      <c r="AJ193" s="350"/>
      <c r="AK193" s="350"/>
      <c r="AL193" s="350"/>
      <c r="AM193" s="350"/>
      <c r="AN193" s="350"/>
      <c r="AO193" s="350"/>
      <c r="AP193" s="350"/>
      <c r="AQ193" s="351"/>
    </row>
    <row r="194" spans="1:43" ht="30" customHeight="1">
      <c r="A194" s="98">
        <f t="shared" si="0"/>
        <v>182</v>
      </c>
      <c r="B194" s="412" t="s">
        <v>325</v>
      </c>
      <c r="C194" s="350"/>
      <c r="D194" s="351"/>
      <c r="E194" s="735"/>
      <c r="F194" s="350"/>
      <c r="G194" s="351"/>
      <c r="H194" s="412"/>
      <c r="I194" s="350"/>
      <c r="J194" s="350"/>
      <c r="K194" s="351"/>
      <c r="L194" s="412"/>
      <c r="M194" s="350"/>
      <c r="N194" s="350"/>
      <c r="O194" s="350"/>
      <c r="P194" s="351"/>
      <c r="Q194" s="412"/>
      <c r="R194" s="350"/>
      <c r="S194" s="350"/>
      <c r="T194" s="350"/>
      <c r="U194" s="350"/>
      <c r="V194" s="350"/>
      <c r="W194" s="350"/>
      <c r="X194" s="350"/>
      <c r="Y194" s="350"/>
      <c r="Z194" s="351"/>
      <c r="AA194" s="412"/>
      <c r="AB194" s="350"/>
      <c r="AC194" s="350"/>
      <c r="AD194" s="350"/>
      <c r="AE194" s="350"/>
      <c r="AF194" s="350"/>
      <c r="AG194" s="350"/>
      <c r="AH194" s="350"/>
      <c r="AI194" s="350"/>
      <c r="AJ194" s="350"/>
      <c r="AK194" s="350"/>
      <c r="AL194" s="350"/>
      <c r="AM194" s="350"/>
      <c r="AN194" s="350"/>
      <c r="AO194" s="350"/>
      <c r="AP194" s="350"/>
      <c r="AQ194" s="351"/>
    </row>
    <row r="195" spans="1:43" ht="30" customHeight="1">
      <c r="A195" s="98">
        <f t="shared" si="0"/>
        <v>183</v>
      </c>
      <c r="B195" s="368" t="s">
        <v>325</v>
      </c>
      <c r="C195" s="350"/>
      <c r="D195" s="351"/>
      <c r="E195" s="736"/>
      <c r="F195" s="350"/>
      <c r="G195" s="351"/>
      <c r="H195" s="368"/>
      <c r="I195" s="350"/>
      <c r="J195" s="350"/>
      <c r="K195" s="351"/>
      <c r="L195" s="368"/>
      <c r="M195" s="350"/>
      <c r="N195" s="350"/>
      <c r="O195" s="350"/>
      <c r="P195" s="351"/>
      <c r="Q195" s="368"/>
      <c r="R195" s="350"/>
      <c r="S195" s="350"/>
      <c r="T195" s="350"/>
      <c r="U195" s="350"/>
      <c r="V195" s="350"/>
      <c r="W195" s="350"/>
      <c r="X195" s="350"/>
      <c r="Y195" s="350"/>
      <c r="Z195" s="351"/>
      <c r="AA195" s="368"/>
      <c r="AB195" s="350"/>
      <c r="AC195" s="350"/>
      <c r="AD195" s="350"/>
      <c r="AE195" s="350"/>
      <c r="AF195" s="350"/>
      <c r="AG195" s="350"/>
      <c r="AH195" s="350"/>
      <c r="AI195" s="350"/>
      <c r="AJ195" s="350"/>
      <c r="AK195" s="350"/>
      <c r="AL195" s="350"/>
      <c r="AM195" s="350"/>
      <c r="AN195" s="350"/>
      <c r="AO195" s="350"/>
      <c r="AP195" s="350"/>
      <c r="AQ195" s="351"/>
    </row>
    <row r="196" spans="1:43" ht="30" customHeight="1">
      <c r="A196" s="98">
        <f t="shared" si="0"/>
        <v>184</v>
      </c>
      <c r="B196" s="412" t="s">
        <v>325</v>
      </c>
      <c r="C196" s="350"/>
      <c r="D196" s="351"/>
      <c r="E196" s="735"/>
      <c r="F196" s="350"/>
      <c r="G196" s="351"/>
      <c r="H196" s="412"/>
      <c r="I196" s="350"/>
      <c r="J196" s="350"/>
      <c r="K196" s="351"/>
      <c r="L196" s="412"/>
      <c r="M196" s="350"/>
      <c r="N196" s="350"/>
      <c r="O196" s="350"/>
      <c r="P196" s="351"/>
      <c r="Q196" s="412"/>
      <c r="R196" s="350"/>
      <c r="S196" s="350"/>
      <c r="T196" s="350"/>
      <c r="U196" s="350"/>
      <c r="V196" s="350"/>
      <c r="W196" s="350"/>
      <c r="X196" s="350"/>
      <c r="Y196" s="350"/>
      <c r="Z196" s="351"/>
      <c r="AA196" s="412"/>
      <c r="AB196" s="350"/>
      <c r="AC196" s="350"/>
      <c r="AD196" s="350"/>
      <c r="AE196" s="350"/>
      <c r="AF196" s="350"/>
      <c r="AG196" s="350"/>
      <c r="AH196" s="350"/>
      <c r="AI196" s="350"/>
      <c r="AJ196" s="350"/>
      <c r="AK196" s="350"/>
      <c r="AL196" s="350"/>
      <c r="AM196" s="350"/>
      <c r="AN196" s="350"/>
      <c r="AO196" s="350"/>
      <c r="AP196" s="350"/>
      <c r="AQ196" s="351"/>
    </row>
    <row r="197" spans="1:43" ht="30" customHeight="1">
      <c r="A197" s="98">
        <f t="shared" si="0"/>
        <v>185</v>
      </c>
      <c r="B197" s="368" t="s">
        <v>325</v>
      </c>
      <c r="C197" s="350"/>
      <c r="D197" s="351"/>
      <c r="E197" s="736"/>
      <c r="F197" s="350"/>
      <c r="G197" s="351"/>
      <c r="H197" s="368"/>
      <c r="I197" s="350"/>
      <c r="J197" s="350"/>
      <c r="K197" s="351"/>
      <c r="L197" s="368"/>
      <c r="M197" s="350"/>
      <c r="N197" s="350"/>
      <c r="O197" s="350"/>
      <c r="P197" s="351"/>
      <c r="Q197" s="368"/>
      <c r="R197" s="350"/>
      <c r="S197" s="350"/>
      <c r="T197" s="350"/>
      <c r="U197" s="350"/>
      <c r="V197" s="350"/>
      <c r="W197" s="350"/>
      <c r="X197" s="350"/>
      <c r="Y197" s="350"/>
      <c r="Z197" s="351"/>
      <c r="AA197" s="368"/>
      <c r="AB197" s="350"/>
      <c r="AC197" s="350"/>
      <c r="AD197" s="350"/>
      <c r="AE197" s="350"/>
      <c r="AF197" s="350"/>
      <c r="AG197" s="350"/>
      <c r="AH197" s="350"/>
      <c r="AI197" s="350"/>
      <c r="AJ197" s="350"/>
      <c r="AK197" s="350"/>
      <c r="AL197" s="350"/>
      <c r="AM197" s="350"/>
      <c r="AN197" s="350"/>
      <c r="AO197" s="350"/>
      <c r="AP197" s="350"/>
      <c r="AQ197" s="351"/>
    </row>
    <row r="198" spans="1:43" ht="30" customHeight="1">
      <c r="A198" s="98">
        <f t="shared" si="0"/>
        <v>186</v>
      </c>
      <c r="B198" s="412" t="s">
        <v>325</v>
      </c>
      <c r="C198" s="350"/>
      <c r="D198" s="351"/>
      <c r="E198" s="735"/>
      <c r="F198" s="350"/>
      <c r="G198" s="351"/>
      <c r="H198" s="412"/>
      <c r="I198" s="350"/>
      <c r="J198" s="350"/>
      <c r="K198" s="351"/>
      <c r="L198" s="412"/>
      <c r="M198" s="350"/>
      <c r="N198" s="350"/>
      <c r="O198" s="350"/>
      <c r="P198" s="351"/>
      <c r="Q198" s="412"/>
      <c r="R198" s="350"/>
      <c r="S198" s="350"/>
      <c r="T198" s="350"/>
      <c r="U198" s="350"/>
      <c r="V198" s="350"/>
      <c r="W198" s="350"/>
      <c r="X198" s="350"/>
      <c r="Y198" s="350"/>
      <c r="Z198" s="351"/>
      <c r="AA198" s="412"/>
      <c r="AB198" s="350"/>
      <c r="AC198" s="350"/>
      <c r="AD198" s="350"/>
      <c r="AE198" s="350"/>
      <c r="AF198" s="350"/>
      <c r="AG198" s="350"/>
      <c r="AH198" s="350"/>
      <c r="AI198" s="350"/>
      <c r="AJ198" s="350"/>
      <c r="AK198" s="350"/>
      <c r="AL198" s="350"/>
      <c r="AM198" s="350"/>
      <c r="AN198" s="350"/>
      <c r="AO198" s="350"/>
      <c r="AP198" s="350"/>
      <c r="AQ198" s="351"/>
    </row>
    <row r="199" spans="1:43" ht="30" customHeight="1">
      <c r="A199" s="98">
        <f t="shared" si="0"/>
        <v>187</v>
      </c>
      <c r="B199" s="368" t="s">
        <v>325</v>
      </c>
      <c r="C199" s="350"/>
      <c r="D199" s="351"/>
      <c r="E199" s="736"/>
      <c r="F199" s="350"/>
      <c r="G199" s="351"/>
      <c r="H199" s="368"/>
      <c r="I199" s="350"/>
      <c r="J199" s="350"/>
      <c r="K199" s="351"/>
      <c r="L199" s="368"/>
      <c r="M199" s="350"/>
      <c r="N199" s="350"/>
      <c r="O199" s="350"/>
      <c r="P199" s="351"/>
      <c r="Q199" s="368"/>
      <c r="R199" s="350"/>
      <c r="S199" s="350"/>
      <c r="T199" s="350"/>
      <c r="U199" s="350"/>
      <c r="V199" s="350"/>
      <c r="W199" s="350"/>
      <c r="X199" s="350"/>
      <c r="Y199" s="350"/>
      <c r="Z199" s="351"/>
      <c r="AA199" s="368"/>
      <c r="AB199" s="350"/>
      <c r="AC199" s="350"/>
      <c r="AD199" s="350"/>
      <c r="AE199" s="350"/>
      <c r="AF199" s="350"/>
      <c r="AG199" s="350"/>
      <c r="AH199" s="350"/>
      <c r="AI199" s="350"/>
      <c r="AJ199" s="350"/>
      <c r="AK199" s="350"/>
      <c r="AL199" s="350"/>
      <c r="AM199" s="350"/>
      <c r="AN199" s="350"/>
      <c r="AO199" s="350"/>
      <c r="AP199" s="350"/>
      <c r="AQ199" s="351"/>
    </row>
    <row r="200" spans="1:43" ht="30" customHeight="1">
      <c r="A200" s="98">
        <f t="shared" si="0"/>
        <v>188</v>
      </c>
      <c r="B200" s="412" t="s">
        <v>325</v>
      </c>
      <c r="C200" s="350"/>
      <c r="D200" s="351"/>
      <c r="E200" s="735"/>
      <c r="F200" s="350"/>
      <c r="G200" s="351"/>
      <c r="H200" s="412"/>
      <c r="I200" s="350"/>
      <c r="J200" s="350"/>
      <c r="K200" s="351"/>
      <c r="L200" s="412"/>
      <c r="M200" s="350"/>
      <c r="N200" s="350"/>
      <c r="O200" s="350"/>
      <c r="P200" s="351"/>
      <c r="Q200" s="412"/>
      <c r="R200" s="350"/>
      <c r="S200" s="350"/>
      <c r="T200" s="350"/>
      <c r="U200" s="350"/>
      <c r="V200" s="350"/>
      <c r="W200" s="350"/>
      <c r="X200" s="350"/>
      <c r="Y200" s="350"/>
      <c r="Z200" s="351"/>
      <c r="AA200" s="412"/>
      <c r="AB200" s="350"/>
      <c r="AC200" s="350"/>
      <c r="AD200" s="350"/>
      <c r="AE200" s="350"/>
      <c r="AF200" s="350"/>
      <c r="AG200" s="350"/>
      <c r="AH200" s="350"/>
      <c r="AI200" s="350"/>
      <c r="AJ200" s="350"/>
      <c r="AK200" s="350"/>
      <c r="AL200" s="350"/>
      <c r="AM200" s="350"/>
      <c r="AN200" s="350"/>
      <c r="AO200" s="350"/>
      <c r="AP200" s="350"/>
      <c r="AQ200" s="351"/>
    </row>
    <row r="201" spans="1:43" ht="30" customHeight="1">
      <c r="A201" s="98">
        <f t="shared" si="0"/>
        <v>189</v>
      </c>
      <c r="B201" s="368" t="s">
        <v>325</v>
      </c>
      <c r="C201" s="350"/>
      <c r="D201" s="351"/>
      <c r="E201" s="736"/>
      <c r="F201" s="350"/>
      <c r="G201" s="351"/>
      <c r="H201" s="368"/>
      <c r="I201" s="350"/>
      <c r="J201" s="350"/>
      <c r="K201" s="351"/>
      <c r="L201" s="368"/>
      <c r="M201" s="350"/>
      <c r="N201" s="350"/>
      <c r="O201" s="350"/>
      <c r="P201" s="351"/>
      <c r="Q201" s="368"/>
      <c r="R201" s="350"/>
      <c r="S201" s="350"/>
      <c r="T201" s="350"/>
      <c r="U201" s="350"/>
      <c r="V201" s="350"/>
      <c r="W201" s="350"/>
      <c r="X201" s="350"/>
      <c r="Y201" s="350"/>
      <c r="Z201" s="351"/>
      <c r="AA201" s="368"/>
      <c r="AB201" s="350"/>
      <c r="AC201" s="350"/>
      <c r="AD201" s="350"/>
      <c r="AE201" s="350"/>
      <c r="AF201" s="350"/>
      <c r="AG201" s="350"/>
      <c r="AH201" s="350"/>
      <c r="AI201" s="350"/>
      <c r="AJ201" s="350"/>
      <c r="AK201" s="350"/>
      <c r="AL201" s="350"/>
      <c r="AM201" s="350"/>
      <c r="AN201" s="350"/>
      <c r="AO201" s="350"/>
      <c r="AP201" s="350"/>
      <c r="AQ201" s="351"/>
    </row>
    <row r="202" spans="1:43" ht="30" customHeight="1">
      <c r="A202" s="98">
        <f t="shared" si="0"/>
        <v>190</v>
      </c>
      <c r="B202" s="412" t="s">
        <v>325</v>
      </c>
      <c r="C202" s="350"/>
      <c r="D202" s="351"/>
      <c r="E202" s="735"/>
      <c r="F202" s="350"/>
      <c r="G202" s="351"/>
      <c r="H202" s="412"/>
      <c r="I202" s="350"/>
      <c r="J202" s="350"/>
      <c r="K202" s="351"/>
      <c r="L202" s="412"/>
      <c r="M202" s="350"/>
      <c r="N202" s="350"/>
      <c r="O202" s="350"/>
      <c r="P202" s="351"/>
      <c r="Q202" s="412"/>
      <c r="R202" s="350"/>
      <c r="S202" s="350"/>
      <c r="T202" s="350"/>
      <c r="U202" s="350"/>
      <c r="V202" s="350"/>
      <c r="W202" s="350"/>
      <c r="X202" s="350"/>
      <c r="Y202" s="350"/>
      <c r="Z202" s="351"/>
      <c r="AA202" s="412"/>
      <c r="AB202" s="350"/>
      <c r="AC202" s="350"/>
      <c r="AD202" s="350"/>
      <c r="AE202" s="350"/>
      <c r="AF202" s="350"/>
      <c r="AG202" s="350"/>
      <c r="AH202" s="350"/>
      <c r="AI202" s="350"/>
      <c r="AJ202" s="350"/>
      <c r="AK202" s="350"/>
      <c r="AL202" s="350"/>
      <c r="AM202" s="350"/>
      <c r="AN202" s="350"/>
      <c r="AO202" s="350"/>
      <c r="AP202" s="350"/>
      <c r="AQ202" s="351"/>
    </row>
    <row r="203" spans="1:43" ht="30" customHeight="1">
      <c r="A203" s="98">
        <f t="shared" si="0"/>
        <v>191</v>
      </c>
      <c r="B203" s="368" t="s">
        <v>325</v>
      </c>
      <c r="C203" s="350"/>
      <c r="D203" s="351"/>
      <c r="E203" s="736"/>
      <c r="F203" s="350"/>
      <c r="G203" s="351"/>
      <c r="H203" s="368"/>
      <c r="I203" s="350"/>
      <c r="J203" s="350"/>
      <c r="K203" s="351"/>
      <c r="L203" s="368"/>
      <c r="M203" s="350"/>
      <c r="N203" s="350"/>
      <c r="O203" s="350"/>
      <c r="P203" s="351"/>
      <c r="Q203" s="368"/>
      <c r="R203" s="350"/>
      <c r="S203" s="350"/>
      <c r="T203" s="350"/>
      <c r="U203" s="350"/>
      <c r="V203" s="350"/>
      <c r="W203" s="350"/>
      <c r="X203" s="350"/>
      <c r="Y203" s="350"/>
      <c r="Z203" s="351"/>
      <c r="AA203" s="368"/>
      <c r="AB203" s="350"/>
      <c r="AC203" s="350"/>
      <c r="AD203" s="350"/>
      <c r="AE203" s="350"/>
      <c r="AF203" s="350"/>
      <c r="AG203" s="350"/>
      <c r="AH203" s="350"/>
      <c r="AI203" s="350"/>
      <c r="AJ203" s="350"/>
      <c r="AK203" s="350"/>
      <c r="AL203" s="350"/>
      <c r="AM203" s="350"/>
      <c r="AN203" s="350"/>
      <c r="AO203" s="350"/>
      <c r="AP203" s="350"/>
      <c r="AQ203" s="351"/>
    </row>
    <row r="204" spans="1:43" ht="30" customHeight="1">
      <c r="A204" s="98">
        <f t="shared" si="0"/>
        <v>192</v>
      </c>
      <c r="B204" s="412" t="s">
        <v>325</v>
      </c>
      <c r="C204" s="350"/>
      <c r="D204" s="351"/>
      <c r="E204" s="735"/>
      <c r="F204" s="350"/>
      <c r="G204" s="351"/>
      <c r="H204" s="412"/>
      <c r="I204" s="350"/>
      <c r="J204" s="350"/>
      <c r="K204" s="351"/>
      <c r="L204" s="412"/>
      <c r="M204" s="350"/>
      <c r="N204" s="350"/>
      <c r="O204" s="350"/>
      <c r="P204" s="351"/>
      <c r="Q204" s="412"/>
      <c r="R204" s="350"/>
      <c r="S204" s="350"/>
      <c r="T204" s="350"/>
      <c r="U204" s="350"/>
      <c r="V204" s="350"/>
      <c r="W204" s="350"/>
      <c r="X204" s="350"/>
      <c r="Y204" s="350"/>
      <c r="Z204" s="351"/>
      <c r="AA204" s="412"/>
      <c r="AB204" s="350"/>
      <c r="AC204" s="350"/>
      <c r="AD204" s="350"/>
      <c r="AE204" s="350"/>
      <c r="AF204" s="350"/>
      <c r="AG204" s="350"/>
      <c r="AH204" s="350"/>
      <c r="AI204" s="350"/>
      <c r="AJ204" s="350"/>
      <c r="AK204" s="350"/>
      <c r="AL204" s="350"/>
      <c r="AM204" s="350"/>
      <c r="AN204" s="350"/>
      <c r="AO204" s="350"/>
      <c r="AP204" s="350"/>
      <c r="AQ204" s="351"/>
    </row>
    <row r="205" spans="1:43" ht="30" customHeight="1">
      <c r="A205" s="98">
        <f t="shared" si="0"/>
        <v>193</v>
      </c>
      <c r="B205" s="368" t="s">
        <v>325</v>
      </c>
      <c r="C205" s="350"/>
      <c r="D205" s="351"/>
      <c r="E205" s="736"/>
      <c r="F205" s="350"/>
      <c r="G205" s="351"/>
      <c r="H205" s="368"/>
      <c r="I205" s="350"/>
      <c r="J205" s="350"/>
      <c r="K205" s="351"/>
      <c r="L205" s="368"/>
      <c r="M205" s="350"/>
      <c r="N205" s="350"/>
      <c r="O205" s="350"/>
      <c r="P205" s="351"/>
      <c r="Q205" s="368"/>
      <c r="R205" s="350"/>
      <c r="S205" s="350"/>
      <c r="T205" s="350"/>
      <c r="U205" s="350"/>
      <c r="V205" s="350"/>
      <c r="W205" s="350"/>
      <c r="X205" s="350"/>
      <c r="Y205" s="350"/>
      <c r="Z205" s="351"/>
      <c r="AA205" s="368"/>
      <c r="AB205" s="350"/>
      <c r="AC205" s="350"/>
      <c r="AD205" s="350"/>
      <c r="AE205" s="350"/>
      <c r="AF205" s="350"/>
      <c r="AG205" s="350"/>
      <c r="AH205" s="350"/>
      <c r="AI205" s="350"/>
      <c r="AJ205" s="350"/>
      <c r="AK205" s="350"/>
      <c r="AL205" s="350"/>
      <c r="AM205" s="350"/>
      <c r="AN205" s="350"/>
      <c r="AO205" s="350"/>
      <c r="AP205" s="350"/>
      <c r="AQ205" s="351"/>
    </row>
    <row r="206" spans="1:43" ht="30" customHeight="1">
      <c r="A206" s="98">
        <f t="shared" si="0"/>
        <v>194</v>
      </c>
      <c r="B206" s="412" t="s">
        <v>325</v>
      </c>
      <c r="C206" s="350"/>
      <c r="D206" s="351"/>
      <c r="E206" s="735"/>
      <c r="F206" s="350"/>
      <c r="G206" s="351"/>
      <c r="H206" s="412"/>
      <c r="I206" s="350"/>
      <c r="J206" s="350"/>
      <c r="K206" s="351"/>
      <c r="L206" s="412"/>
      <c r="M206" s="350"/>
      <c r="N206" s="350"/>
      <c r="O206" s="350"/>
      <c r="P206" s="351"/>
      <c r="Q206" s="412"/>
      <c r="R206" s="350"/>
      <c r="S206" s="350"/>
      <c r="T206" s="350"/>
      <c r="U206" s="350"/>
      <c r="V206" s="350"/>
      <c r="W206" s="350"/>
      <c r="X206" s="350"/>
      <c r="Y206" s="350"/>
      <c r="Z206" s="351"/>
      <c r="AA206" s="412"/>
      <c r="AB206" s="350"/>
      <c r="AC206" s="350"/>
      <c r="AD206" s="350"/>
      <c r="AE206" s="350"/>
      <c r="AF206" s="350"/>
      <c r="AG206" s="350"/>
      <c r="AH206" s="350"/>
      <c r="AI206" s="350"/>
      <c r="AJ206" s="350"/>
      <c r="AK206" s="350"/>
      <c r="AL206" s="350"/>
      <c r="AM206" s="350"/>
      <c r="AN206" s="350"/>
      <c r="AO206" s="350"/>
      <c r="AP206" s="350"/>
      <c r="AQ206" s="351"/>
    </row>
    <row r="207" spans="1:43" ht="30" customHeight="1">
      <c r="A207" s="98">
        <f t="shared" si="0"/>
        <v>195</v>
      </c>
      <c r="B207" s="368" t="s">
        <v>325</v>
      </c>
      <c r="C207" s="350"/>
      <c r="D207" s="351"/>
      <c r="E207" s="736"/>
      <c r="F207" s="350"/>
      <c r="G207" s="351"/>
      <c r="H207" s="368"/>
      <c r="I207" s="350"/>
      <c r="J207" s="350"/>
      <c r="K207" s="351"/>
      <c r="L207" s="368"/>
      <c r="M207" s="350"/>
      <c r="N207" s="350"/>
      <c r="O207" s="350"/>
      <c r="P207" s="351"/>
      <c r="Q207" s="368"/>
      <c r="R207" s="350"/>
      <c r="S207" s="350"/>
      <c r="T207" s="350"/>
      <c r="U207" s="350"/>
      <c r="V207" s="350"/>
      <c r="W207" s="350"/>
      <c r="X207" s="350"/>
      <c r="Y207" s="350"/>
      <c r="Z207" s="351"/>
      <c r="AA207" s="368"/>
      <c r="AB207" s="350"/>
      <c r="AC207" s="350"/>
      <c r="AD207" s="350"/>
      <c r="AE207" s="350"/>
      <c r="AF207" s="350"/>
      <c r="AG207" s="350"/>
      <c r="AH207" s="350"/>
      <c r="AI207" s="350"/>
      <c r="AJ207" s="350"/>
      <c r="AK207" s="350"/>
      <c r="AL207" s="350"/>
      <c r="AM207" s="350"/>
      <c r="AN207" s="350"/>
      <c r="AO207" s="350"/>
      <c r="AP207" s="350"/>
      <c r="AQ207" s="351"/>
    </row>
    <row r="208" spans="1:43" ht="30" customHeight="1">
      <c r="A208" s="98">
        <f t="shared" si="0"/>
        <v>196</v>
      </c>
      <c r="B208" s="412" t="s">
        <v>325</v>
      </c>
      <c r="C208" s="350"/>
      <c r="D208" s="351"/>
      <c r="E208" s="735"/>
      <c r="F208" s="350"/>
      <c r="G208" s="351"/>
      <c r="H208" s="412"/>
      <c r="I208" s="350"/>
      <c r="J208" s="350"/>
      <c r="K208" s="351"/>
      <c r="L208" s="412"/>
      <c r="M208" s="350"/>
      <c r="N208" s="350"/>
      <c r="O208" s="350"/>
      <c r="P208" s="351"/>
      <c r="Q208" s="412"/>
      <c r="R208" s="350"/>
      <c r="S208" s="350"/>
      <c r="T208" s="350"/>
      <c r="U208" s="350"/>
      <c r="V208" s="350"/>
      <c r="W208" s="350"/>
      <c r="X208" s="350"/>
      <c r="Y208" s="350"/>
      <c r="Z208" s="351"/>
      <c r="AA208" s="412"/>
      <c r="AB208" s="350"/>
      <c r="AC208" s="350"/>
      <c r="AD208" s="350"/>
      <c r="AE208" s="350"/>
      <c r="AF208" s="350"/>
      <c r="AG208" s="350"/>
      <c r="AH208" s="350"/>
      <c r="AI208" s="350"/>
      <c r="AJ208" s="350"/>
      <c r="AK208" s="350"/>
      <c r="AL208" s="350"/>
      <c r="AM208" s="350"/>
      <c r="AN208" s="350"/>
      <c r="AO208" s="350"/>
      <c r="AP208" s="350"/>
      <c r="AQ208" s="351"/>
    </row>
    <row r="209" spans="1:43" ht="30" customHeight="1">
      <c r="A209" s="98">
        <f t="shared" si="0"/>
        <v>197</v>
      </c>
      <c r="B209" s="368" t="s">
        <v>325</v>
      </c>
      <c r="C209" s="350"/>
      <c r="D209" s="351"/>
      <c r="E209" s="736"/>
      <c r="F209" s="350"/>
      <c r="G209" s="351"/>
      <c r="H209" s="368"/>
      <c r="I209" s="350"/>
      <c r="J209" s="350"/>
      <c r="K209" s="351"/>
      <c r="L209" s="368"/>
      <c r="M209" s="350"/>
      <c r="N209" s="350"/>
      <c r="O209" s="350"/>
      <c r="P209" s="351"/>
      <c r="Q209" s="368"/>
      <c r="R209" s="350"/>
      <c r="S209" s="350"/>
      <c r="T209" s="350"/>
      <c r="U209" s="350"/>
      <c r="V209" s="350"/>
      <c r="W209" s="350"/>
      <c r="X209" s="350"/>
      <c r="Y209" s="350"/>
      <c r="Z209" s="351"/>
      <c r="AA209" s="368"/>
      <c r="AB209" s="350"/>
      <c r="AC209" s="350"/>
      <c r="AD209" s="350"/>
      <c r="AE209" s="350"/>
      <c r="AF209" s="350"/>
      <c r="AG209" s="350"/>
      <c r="AH209" s="350"/>
      <c r="AI209" s="350"/>
      <c r="AJ209" s="350"/>
      <c r="AK209" s="350"/>
      <c r="AL209" s="350"/>
      <c r="AM209" s="350"/>
      <c r="AN209" s="350"/>
      <c r="AO209" s="350"/>
      <c r="AP209" s="350"/>
      <c r="AQ209" s="351"/>
    </row>
    <row r="210" spans="1:43" ht="30" customHeight="1">
      <c r="A210" s="98">
        <f t="shared" si="0"/>
        <v>198</v>
      </c>
      <c r="B210" s="412" t="s">
        <v>325</v>
      </c>
      <c r="C210" s="350"/>
      <c r="D210" s="351"/>
      <c r="E210" s="735"/>
      <c r="F210" s="350"/>
      <c r="G210" s="351"/>
      <c r="H210" s="412"/>
      <c r="I210" s="350"/>
      <c r="J210" s="350"/>
      <c r="K210" s="351"/>
      <c r="L210" s="412"/>
      <c r="M210" s="350"/>
      <c r="N210" s="350"/>
      <c r="O210" s="350"/>
      <c r="P210" s="351"/>
      <c r="Q210" s="412"/>
      <c r="R210" s="350"/>
      <c r="S210" s="350"/>
      <c r="T210" s="350"/>
      <c r="U210" s="350"/>
      <c r="V210" s="350"/>
      <c r="W210" s="350"/>
      <c r="X210" s="350"/>
      <c r="Y210" s="350"/>
      <c r="Z210" s="351"/>
      <c r="AA210" s="412"/>
      <c r="AB210" s="350"/>
      <c r="AC210" s="350"/>
      <c r="AD210" s="350"/>
      <c r="AE210" s="350"/>
      <c r="AF210" s="350"/>
      <c r="AG210" s="350"/>
      <c r="AH210" s="350"/>
      <c r="AI210" s="350"/>
      <c r="AJ210" s="350"/>
      <c r="AK210" s="350"/>
      <c r="AL210" s="350"/>
      <c r="AM210" s="350"/>
      <c r="AN210" s="350"/>
      <c r="AO210" s="350"/>
      <c r="AP210" s="350"/>
      <c r="AQ210" s="351"/>
    </row>
    <row r="211" spans="1:43" ht="30" customHeight="1">
      <c r="A211" s="98">
        <f t="shared" si="0"/>
        <v>199</v>
      </c>
      <c r="B211" s="368" t="s">
        <v>325</v>
      </c>
      <c r="C211" s="350"/>
      <c r="D211" s="351"/>
      <c r="E211" s="736"/>
      <c r="F211" s="350"/>
      <c r="G211" s="351"/>
      <c r="H211" s="368"/>
      <c r="I211" s="350"/>
      <c r="J211" s="350"/>
      <c r="K211" s="351"/>
      <c r="L211" s="368"/>
      <c r="M211" s="350"/>
      <c r="N211" s="350"/>
      <c r="O211" s="350"/>
      <c r="P211" s="351"/>
      <c r="Q211" s="368"/>
      <c r="R211" s="350"/>
      <c r="S211" s="350"/>
      <c r="T211" s="350"/>
      <c r="U211" s="350"/>
      <c r="V211" s="350"/>
      <c r="W211" s="350"/>
      <c r="X211" s="350"/>
      <c r="Y211" s="350"/>
      <c r="Z211" s="351"/>
      <c r="AA211" s="368"/>
      <c r="AB211" s="350"/>
      <c r="AC211" s="350"/>
      <c r="AD211" s="350"/>
      <c r="AE211" s="350"/>
      <c r="AF211" s="350"/>
      <c r="AG211" s="350"/>
      <c r="AH211" s="350"/>
      <c r="AI211" s="350"/>
      <c r="AJ211" s="350"/>
      <c r="AK211" s="350"/>
      <c r="AL211" s="350"/>
      <c r="AM211" s="350"/>
      <c r="AN211" s="350"/>
      <c r="AO211" s="350"/>
      <c r="AP211" s="350"/>
      <c r="AQ211" s="351"/>
    </row>
    <row r="212" spans="1:43" ht="30" customHeight="1">
      <c r="A212" s="98">
        <f t="shared" si="0"/>
        <v>200</v>
      </c>
      <c r="B212" s="412" t="s">
        <v>325</v>
      </c>
      <c r="C212" s="350"/>
      <c r="D212" s="351"/>
      <c r="E212" s="735"/>
      <c r="F212" s="350"/>
      <c r="G212" s="351"/>
      <c r="H212" s="412"/>
      <c r="I212" s="350"/>
      <c r="J212" s="350"/>
      <c r="K212" s="351"/>
      <c r="L212" s="412"/>
      <c r="M212" s="350"/>
      <c r="N212" s="350"/>
      <c r="O212" s="350"/>
      <c r="P212" s="351"/>
      <c r="Q212" s="412"/>
      <c r="R212" s="350"/>
      <c r="S212" s="350"/>
      <c r="T212" s="350"/>
      <c r="U212" s="350"/>
      <c r="V212" s="350"/>
      <c r="W212" s="350"/>
      <c r="X212" s="350"/>
      <c r="Y212" s="350"/>
      <c r="Z212" s="351"/>
      <c r="AA212" s="412"/>
      <c r="AB212" s="350"/>
      <c r="AC212" s="350"/>
      <c r="AD212" s="350"/>
      <c r="AE212" s="350"/>
      <c r="AF212" s="350"/>
      <c r="AG212" s="350"/>
      <c r="AH212" s="350"/>
      <c r="AI212" s="350"/>
      <c r="AJ212" s="350"/>
      <c r="AK212" s="350"/>
      <c r="AL212" s="350"/>
      <c r="AM212" s="350"/>
      <c r="AN212" s="350"/>
      <c r="AO212" s="350"/>
      <c r="AP212" s="350"/>
      <c r="AQ212" s="351"/>
    </row>
    <row r="213" spans="1:43" ht="30" customHeight="1">
      <c r="A213" s="98">
        <f t="shared" si="0"/>
        <v>201</v>
      </c>
      <c r="B213" s="368" t="s">
        <v>325</v>
      </c>
      <c r="C213" s="350"/>
      <c r="D213" s="351"/>
      <c r="E213" s="736"/>
      <c r="F213" s="350"/>
      <c r="G213" s="351"/>
      <c r="H213" s="368"/>
      <c r="I213" s="350"/>
      <c r="J213" s="350"/>
      <c r="K213" s="351"/>
      <c r="L213" s="368"/>
      <c r="M213" s="350"/>
      <c r="N213" s="350"/>
      <c r="O213" s="350"/>
      <c r="P213" s="351"/>
      <c r="Q213" s="368"/>
      <c r="R213" s="350"/>
      <c r="S213" s="350"/>
      <c r="T213" s="350"/>
      <c r="U213" s="350"/>
      <c r="V213" s="350"/>
      <c r="W213" s="350"/>
      <c r="X213" s="350"/>
      <c r="Y213" s="350"/>
      <c r="Z213" s="351"/>
      <c r="AA213" s="368"/>
      <c r="AB213" s="350"/>
      <c r="AC213" s="350"/>
      <c r="AD213" s="350"/>
      <c r="AE213" s="350"/>
      <c r="AF213" s="350"/>
      <c r="AG213" s="350"/>
      <c r="AH213" s="350"/>
      <c r="AI213" s="350"/>
      <c r="AJ213" s="350"/>
      <c r="AK213" s="350"/>
      <c r="AL213" s="350"/>
      <c r="AM213" s="350"/>
      <c r="AN213" s="350"/>
      <c r="AO213" s="350"/>
      <c r="AP213" s="350"/>
      <c r="AQ213" s="351"/>
    </row>
    <row r="214" spans="1:43" ht="30" customHeight="1">
      <c r="A214" s="98">
        <f t="shared" si="0"/>
        <v>202</v>
      </c>
      <c r="B214" s="412" t="s">
        <v>325</v>
      </c>
      <c r="C214" s="350"/>
      <c r="D214" s="351"/>
      <c r="E214" s="735"/>
      <c r="F214" s="350"/>
      <c r="G214" s="351"/>
      <c r="H214" s="412"/>
      <c r="I214" s="350"/>
      <c r="J214" s="350"/>
      <c r="K214" s="351"/>
      <c r="L214" s="412"/>
      <c r="M214" s="350"/>
      <c r="N214" s="350"/>
      <c r="O214" s="350"/>
      <c r="P214" s="351"/>
      <c r="Q214" s="412"/>
      <c r="R214" s="350"/>
      <c r="S214" s="350"/>
      <c r="T214" s="350"/>
      <c r="U214" s="350"/>
      <c r="V214" s="350"/>
      <c r="W214" s="350"/>
      <c r="X214" s="350"/>
      <c r="Y214" s="350"/>
      <c r="Z214" s="351"/>
      <c r="AA214" s="412"/>
      <c r="AB214" s="350"/>
      <c r="AC214" s="350"/>
      <c r="AD214" s="350"/>
      <c r="AE214" s="350"/>
      <c r="AF214" s="350"/>
      <c r="AG214" s="350"/>
      <c r="AH214" s="350"/>
      <c r="AI214" s="350"/>
      <c r="AJ214" s="350"/>
      <c r="AK214" s="350"/>
      <c r="AL214" s="350"/>
      <c r="AM214" s="350"/>
      <c r="AN214" s="350"/>
      <c r="AO214" s="350"/>
      <c r="AP214" s="350"/>
      <c r="AQ214" s="351"/>
    </row>
    <row r="215" spans="1:43" ht="30" customHeight="1">
      <c r="A215" s="98">
        <f t="shared" si="0"/>
        <v>203</v>
      </c>
      <c r="B215" s="368" t="s">
        <v>325</v>
      </c>
      <c r="C215" s="350"/>
      <c r="D215" s="351"/>
      <c r="E215" s="736"/>
      <c r="F215" s="350"/>
      <c r="G215" s="351"/>
      <c r="H215" s="368"/>
      <c r="I215" s="350"/>
      <c r="J215" s="350"/>
      <c r="K215" s="351"/>
      <c r="L215" s="368"/>
      <c r="M215" s="350"/>
      <c r="N215" s="350"/>
      <c r="O215" s="350"/>
      <c r="P215" s="351"/>
      <c r="Q215" s="368"/>
      <c r="R215" s="350"/>
      <c r="S215" s="350"/>
      <c r="T215" s="350"/>
      <c r="U215" s="350"/>
      <c r="V215" s="350"/>
      <c r="W215" s="350"/>
      <c r="X215" s="350"/>
      <c r="Y215" s="350"/>
      <c r="Z215" s="351"/>
      <c r="AA215" s="368"/>
      <c r="AB215" s="350"/>
      <c r="AC215" s="350"/>
      <c r="AD215" s="350"/>
      <c r="AE215" s="350"/>
      <c r="AF215" s="350"/>
      <c r="AG215" s="350"/>
      <c r="AH215" s="350"/>
      <c r="AI215" s="350"/>
      <c r="AJ215" s="350"/>
      <c r="AK215" s="350"/>
      <c r="AL215" s="350"/>
      <c r="AM215" s="350"/>
      <c r="AN215" s="350"/>
      <c r="AO215" s="350"/>
      <c r="AP215" s="350"/>
      <c r="AQ215" s="351"/>
    </row>
    <row r="216" spans="1:43" ht="30" customHeight="1">
      <c r="A216" s="98">
        <f t="shared" si="0"/>
        <v>204</v>
      </c>
      <c r="B216" s="412" t="s">
        <v>325</v>
      </c>
      <c r="C216" s="350"/>
      <c r="D216" s="351"/>
      <c r="E216" s="735"/>
      <c r="F216" s="350"/>
      <c r="G216" s="351"/>
      <c r="H216" s="412"/>
      <c r="I216" s="350"/>
      <c r="J216" s="350"/>
      <c r="K216" s="351"/>
      <c r="L216" s="412"/>
      <c r="M216" s="350"/>
      <c r="N216" s="350"/>
      <c r="O216" s="350"/>
      <c r="P216" s="351"/>
      <c r="Q216" s="412"/>
      <c r="R216" s="350"/>
      <c r="S216" s="350"/>
      <c r="T216" s="350"/>
      <c r="U216" s="350"/>
      <c r="V216" s="350"/>
      <c r="W216" s="350"/>
      <c r="X216" s="350"/>
      <c r="Y216" s="350"/>
      <c r="Z216" s="351"/>
      <c r="AA216" s="412"/>
      <c r="AB216" s="350"/>
      <c r="AC216" s="350"/>
      <c r="AD216" s="350"/>
      <c r="AE216" s="350"/>
      <c r="AF216" s="350"/>
      <c r="AG216" s="350"/>
      <c r="AH216" s="350"/>
      <c r="AI216" s="350"/>
      <c r="AJ216" s="350"/>
      <c r="AK216" s="350"/>
      <c r="AL216" s="350"/>
      <c r="AM216" s="350"/>
      <c r="AN216" s="350"/>
      <c r="AO216" s="350"/>
      <c r="AP216" s="350"/>
      <c r="AQ216" s="351"/>
    </row>
    <row r="217" spans="1:43" ht="30" customHeight="1">
      <c r="A217" s="98">
        <f t="shared" si="0"/>
        <v>205</v>
      </c>
      <c r="B217" s="368" t="s">
        <v>325</v>
      </c>
      <c r="C217" s="350"/>
      <c r="D217" s="351"/>
      <c r="E217" s="736"/>
      <c r="F217" s="350"/>
      <c r="G217" s="351"/>
      <c r="H217" s="368"/>
      <c r="I217" s="350"/>
      <c r="J217" s="350"/>
      <c r="K217" s="351"/>
      <c r="L217" s="368"/>
      <c r="M217" s="350"/>
      <c r="N217" s="350"/>
      <c r="O217" s="350"/>
      <c r="P217" s="351"/>
      <c r="Q217" s="368"/>
      <c r="R217" s="350"/>
      <c r="S217" s="350"/>
      <c r="T217" s="350"/>
      <c r="U217" s="350"/>
      <c r="V217" s="350"/>
      <c r="W217" s="350"/>
      <c r="X217" s="350"/>
      <c r="Y217" s="350"/>
      <c r="Z217" s="351"/>
      <c r="AA217" s="368"/>
      <c r="AB217" s="350"/>
      <c r="AC217" s="350"/>
      <c r="AD217" s="350"/>
      <c r="AE217" s="350"/>
      <c r="AF217" s="350"/>
      <c r="AG217" s="350"/>
      <c r="AH217" s="350"/>
      <c r="AI217" s="350"/>
      <c r="AJ217" s="350"/>
      <c r="AK217" s="350"/>
      <c r="AL217" s="350"/>
      <c r="AM217" s="350"/>
      <c r="AN217" s="350"/>
      <c r="AO217" s="350"/>
      <c r="AP217" s="350"/>
      <c r="AQ217" s="351"/>
    </row>
    <row r="218" spans="1:43" ht="30" customHeight="1">
      <c r="A218" s="98">
        <f t="shared" si="0"/>
        <v>206</v>
      </c>
      <c r="B218" s="412" t="s">
        <v>325</v>
      </c>
      <c r="C218" s="350"/>
      <c r="D218" s="351"/>
      <c r="E218" s="735"/>
      <c r="F218" s="350"/>
      <c r="G218" s="351"/>
      <c r="H218" s="412"/>
      <c r="I218" s="350"/>
      <c r="J218" s="350"/>
      <c r="K218" s="351"/>
      <c r="L218" s="412"/>
      <c r="M218" s="350"/>
      <c r="N218" s="350"/>
      <c r="O218" s="350"/>
      <c r="P218" s="351"/>
      <c r="Q218" s="412"/>
      <c r="R218" s="350"/>
      <c r="S218" s="350"/>
      <c r="T218" s="350"/>
      <c r="U218" s="350"/>
      <c r="V218" s="350"/>
      <c r="W218" s="350"/>
      <c r="X218" s="350"/>
      <c r="Y218" s="350"/>
      <c r="Z218" s="351"/>
      <c r="AA218" s="412"/>
      <c r="AB218" s="350"/>
      <c r="AC218" s="350"/>
      <c r="AD218" s="350"/>
      <c r="AE218" s="350"/>
      <c r="AF218" s="350"/>
      <c r="AG218" s="350"/>
      <c r="AH218" s="350"/>
      <c r="AI218" s="350"/>
      <c r="AJ218" s="350"/>
      <c r="AK218" s="350"/>
      <c r="AL218" s="350"/>
      <c r="AM218" s="350"/>
      <c r="AN218" s="350"/>
      <c r="AO218" s="350"/>
      <c r="AP218" s="350"/>
      <c r="AQ218" s="351"/>
    </row>
    <row r="219" spans="1:43" ht="30" customHeight="1">
      <c r="A219" s="98">
        <f t="shared" si="0"/>
        <v>207</v>
      </c>
      <c r="B219" s="368" t="s">
        <v>325</v>
      </c>
      <c r="C219" s="350"/>
      <c r="D219" s="351"/>
      <c r="E219" s="736"/>
      <c r="F219" s="350"/>
      <c r="G219" s="351"/>
      <c r="H219" s="368"/>
      <c r="I219" s="350"/>
      <c r="J219" s="350"/>
      <c r="K219" s="351"/>
      <c r="L219" s="368"/>
      <c r="M219" s="350"/>
      <c r="N219" s="350"/>
      <c r="O219" s="350"/>
      <c r="P219" s="351"/>
      <c r="Q219" s="368"/>
      <c r="R219" s="350"/>
      <c r="S219" s="350"/>
      <c r="T219" s="350"/>
      <c r="U219" s="350"/>
      <c r="V219" s="350"/>
      <c r="W219" s="350"/>
      <c r="X219" s="350"/>
      <c r="Y219" s="350"/>
      <c r="Z219" s="351"/>
      <c r="AA219" s="368"/>
      <c r="AB219" s="350"/>
      <c r="AC219" s="350"/>
      <c r="AD219" s="350"/>
      <c r="AE219" s="350"/>
      <c r="AF219" s="350"/>
      <c r="AG219" s="350"/>
      <c r="AH219" s="350"/>
      <c r="AI219" s="350"/>
      <c r="AJ219" s="350"/>
      <c r="AK219" s="350"/>
      <c r="AL219" s="350"/>
      <c r="AM219" s="350"/>
      <c r="AN219" s="350"/>
      <c r="AO219" s="350"/>
      <c r="AP219" s="350"/>
      <c r="AQ219" s="351"/>
    </row>
    <row r="220" spans="1:43" ht="30" customHeight="1">
      <c r="A220" s="98">
        <f t="shared" si="0"/>
        <v>208</v>
      </c>
      <c r="B220" s="412" t="s">
        <v>325</v>
      </c>
      <c r="C220" s="350"/>
      <c r="D220" s="351"/>
      <c r="E220" s="735"/>
      <c r="F220" s="350"/>
      <c r="G220" s="351"/>
      <c r="H220" s="412"/>
      <c r="I220" s="350"/>
      <c r="J220" s="350"/>
      <c r="K220" s="351"/>
      <c r="L220" s="412"/>
      <c r="M220" s="350"/>
      <c r="N220" s="350"/>
      <c r="O220" s="350"/>
      <c r="P220" s="351"/>
      <c r="Q220" s="412"/>
      <c r="R220" s="350"/>
      <c r="S220" s="350"/>
      <c r="T220" s="350"/>
      <c r="U220" s="350"/>
      <c r="V220" s="350"/>
      <c r="W220" s="350"/>
      <c r="X220" s="350"/>
      <c r="Y220" s="350"/>
      <c r="Z220" s="351"/>
      <c r="AA220" s="412"/>
      <c r="AB220" s="350"/>
      <c r="AC220" s="350"/>
      <c r="AD220" s="350"/>
      <c r="AE220" s="350"/>
      <c r="AF220" s="350"/>
      <c r="AG220" s="350"/>
      <c r="AH220" s="350"/>
      <c r="AI220" s="350"/>
      <c r="AJ220" s="350"/>
      <c r="AK220" s="350"/>
      <c r="AL220" s="350"/>
      <c r="AM220" s="350"/>
      <c r="AN220" s="350"/>
      <c r="AO220" s="350"/>
      <c r="AP220" s="350"/>
      <c r="AQ220" s="351"/>
    </row>
    <row r="221" spans="1:43" ht="30" customHeight="1">
      <c r="A221" s="98">
        <f t="shared" si="0"/>
        <v>209</v>
      </c>
      <c r="B221" s="368" t="s">
        <v>325</v>
      </c>
      <c r="C221" s="350"/>
      <c r="D221" s="351"/>
      <c r="E221" s="736"/>
      <c r="F221" s="350"/>
      <c r="G221" s="351"/>
      <c r="H221" s="368"/>
      <c r="I221" s="350"/>
      <c r="J221" s="350"/>
      <c r="K221" s="351"/>
      <c r="L221" s="368"/>
      <c r="M221" s="350"/>
      <c r="N221" s="350"/>
      <c r="O221" s="350"/>
      <c r="P221" s="351"/>
      <c r="Q221" s="368"/>
      <c r="R221" s="350"/>
      <c r="S221" s="350"/>
      <c r="T221" s="350"/>
      <c r="U221" s="350"/>
      <c r="V221" s="350"/>
      <c r="W221" s="350"/>
      <c r="X221" s="350"/>
      <c r="Y221" s="350"/>
      <c r="Z221" s="351"/>
      <c r="AA221" s="368"/>
      <c r="AB221" s="350"/>
      <c r="AC221" s="350"/>
      <c r="AD221" s="350"/>
      <c r="AE221" s="350"/>
      <c r="AF221" s="350"/>
      <c r="AG221" s="350"/>
      <c r="AH221" s="350"/>
      <c r="AI221" s="350"/>
      <c r="AJ221" s="350"/>
      <c r="AK221" s="350"/>
      <c r="AL221" s="350"/>
      <c r="AM221" s="350"/>
      <c r="AN221" s="350"/>
      <c r="AO221" s="350"/>
      <c r="AP221" s="350"/>
      <c r="AQ221" s="351"/>
    </row>
    <row r="222" spans="1:43" ht="30" customHeight="1">
      <c r="A222" s="98">
        <f t="shared" si="0"/>
        <v>210</v>
      </c>
      <c r="B222" s="412" t="s">
        <v>325</v>
      </c>
      <c r="C222" s="350"/>
      <c r="D222" s="351"/>
      <c r="E222" s="735"/>
      <c r="F222" s="350"/>
      <c r="G222" s="351"/>
      <c r="H222" s="412"/>
      <c r="I222" s="350"/>
      <c r="J222" s="350"/>
      <c r="K222" s="351"/>
      <c r="L222" s="412"/>
      <c r="M222" s="350"/>
      <c r="N222" s="350"/>
      <c r="O222" s="350"/>
      <c r="P222" s="351"/>
      <c r="Q222" s="412"/>
      <c r="R222" s="350"/>
      <c r="S222" s="350"/>
      <c r="T222" s="350"/>
      <c r="U222" s="350"/>
      <c r="V222" s="350"/>
      <c r="W222" s="350"/>
      <c r="X222" s="350"/>
      <c r="Y222" s="350"/>
      <c r="Z222" s="351"/>
      <c r="AA222" s="412"/>
      <c r="AB222" s="350"/>
      <c r="AC222" s="350"/>
      <c r="AD222" s="350"/>
      <c r="AE222" s="350"/>
      <c r="AF222" s="350"/>
      <c r="AG222" s="350"/>
      <c r="AH222" s="350"/>
      <c r="AI222" s="350"/>
      <c r="AJ222" s="350"/>
      <c r="AK222" s="350"/>
      <c r="AL222" s="350"/>
      <c r="AM222" s="350"/>
      <c r="AN222" s="350"/>
      <c r="AO222" s="350"/>
      <c r="AP222" s="350"/>
      <c r="AQ222" s="351"/>
    </row>
    <row r="223" spans="1:43" ht="30" customHeight="1">
      <c r="A223" s="98">
        <f t="shared" si="0"/>
        <v>211</v>
      </c>
      <c r="B223" s="368" t="s">
        <v>325</v>
      </c>
      <c r="C223" s="350"/>
      <c r="D223" s="351"/>
      <c r="E223" s="736"/>
      <c r="F223" s="350"/>
      <c r="G223" s="351"/>
      <c r="H223" s="368"/>
      <c r="I223" s="350"/>
      <c r="J223" s="350"/>
      <c r="K223" s="351"/>
      <c r="L223" s="368"/>
      <c r="M223" s="350"/>
      <c r="N223" s="350"/>
      <c r="O223" s="350"/>
      <c r="P223" s="351"/>
      <c r="Q223" s="368"/>
      <c r="R223" s="350"/>
      <c r="S223" s="350"/>
      <c r="T223" s="350"/>
      <c r="U223" s="350"/>
      <c r="V223" s="350"/>
      <c r="W223" s="350"/>
      <c r="X223" s="350"/>
      <c r="Y223" s="350"/>
      <c r="Z223" s="351"/>
      <c r="AA223" s="368"/>
      <c r="AB223" s="350"/>
      <c r="AC223" s="350"/>
      <c r="AD223" s="350"/>
      <c r="AE223" s="350"/>
      <c r="AF223" s="350"/>
      <c r="AG223" s="350"/>
      <c r="AH223" s="350"/>
      <c r="AI223" s="350"/>
      <c r="AJ223" s="350"/>
      <c r="AK223" s="350"/>
      <c r="AL223" s="350"/>
      <c r="AM223" s="350"/>
      <c r="AN223" s="350"/>
      <c r="AO223" s="350"/>
      <c r="AP223" s="350"/>
      <c r="AQ223" s="351"/>
    </row>
    <row r="224" spans="1:43" ht="30" customHeight="1">
      <c r="A224" s="98">
        <f t="shared" si="0"/>
        <v>212</v>
      </c>
      <c r="B224" s="412" t="s">
        <v>325</v>
      </c>
      <c r="C224" s="350"/>
      <c r="D224" s="351"/>
      <c r="E224" s="735"/>
      <c r="F224" s="350"/>
      <c r="G224" s="351"/>
      <c r="H224" s="412"/>
      <c r="I224" s="350"/>
      <c r="J224" s="350"/>
      <c r="K224" s="351"/>
      <c r="L224" s="412"/>
      <c r="M224" s="350"/>
      <c r="N224" s="350"/>
      <c r="O224" s="350"/>
      <c r="P224" s="351"/>
      <c r="Q224" s="412"/>
      <c r="R224" s="350"/>
      <c r="S224" s="350"/>
      <c r="T224" s="350"/>
      <c r="U224" s="350"/>
      <c r="V224" s="350"/>
      <c r="W224" s="350"/>
      <c r="X224" s="350"/>
      <c r="Y224" s="350"/>
      <c r="Z224" s="351"/>
      <c r="AA224" s="412"/>
      <c r="AB224" s="350"/>
      <c r="AC224" s="350"/>
      <c r="AD224" s="350"/>
      <c r="AE224" s="350"/>
      <c r="AF224" s="350"/>
      <c r="AG224" s="350"/>
      <c r="AH224" s="350"/>
      <c r="AI224" s="350"/>
      <c r="AJ224" s="350"/>
      <c r="AK224" s="350"/>
      <c r="AL224" s="350"/>
      <c r="AM224" s="350"/>
      <c r="AN224" s="350"/>
      <c r="AO224" s="350"/>
      <c r="AP224" s="350"/>
      <c r="AQ224" s="351"/>
    </row>
    <row r="225" spans="1:43" ht="30" customHeight="1">
      <c r="A225" s="98">
        <f t="shared" si="0"/>
        <v>213</v>
      </c>
      <c r="B225" s="368" t="s">
        <v>325</v>
      </c>
      <c r="C225" s="350"/>
      <c r="D225" s="351"/>
      <c r="E225" s="736"/>
      <c r="F225" s="350"/>
      <c r="G225" s="351"/>
      <c r="H225" s="368"/>
      <c r="I225" s="350"/>
      <c r="J225" s="350"/>
      <c r="K225" s="351"/>
      <c r="L225" s="368"/>
      <c r="M225" s="350"/>
      <c r="N225" s="350"/>
      <c r="O225" s="350"/>
      <c r="P225" s="351"/>
      <c r="Q225" s="368"/>
      <c r="R225" s="350"/>
      <c r="S225" s="350"/>
      <c r="T225" s="350"/>
      <c r="U225" s="350"/>
      <c r="V225" s="350"/>
      <c r="W225" s="350"/>
      <c r="X225" s="350"/>
      <c r="Y225" s="350"/>
      <c r="Z225" s="351"/>
      <c r="AA225" s="368"/>
      <c r="AB225" s="350"/>
      <c r="AC225" s="350"/>
      <c r="AD225" s="350"/>
      <c r="AE225" s="350"/>
      <c r="AF225" s="350"/>
      <c r="AG225" s="350"/>
      <c r="AH225" s="350"/>
      <c r="AI225" s="350"/>
      <c r="AJ225" s="350"/>
      <c r="AK225" s="350"/>
      <c r="AL225" s="350"/>
      <c r="AM225" s="350"/>
      <c r="AN225" s="350"/>
      <c r="AO225" s="350"/>
      <c r="AP225" s="350"/>
      <c r="AQ225" s="351"/>
    </row>
    <row r="226" spans="1:43" ht="30" customHeight="1">
      <c r="A226" s="98">
        <f t="shared" si="0"/>
        <v>214</v>
      </c>
      <c r="B226" s="412" t="s">
        <v>325</v>
      </c>
      <c r="C226" s="350"/>
      <c r="D226" s="351"/>
      <c r="E226" s="735"/>
      <c r="F226" s="350"/>
      <c r="G226" s="351"/>
      <c r="H226" s="412"/>
      <c r="I226" s="350"/>
      <c r="J226" s="350"/>
      <c r="K226" s="351"/>
      <c r="L226" s="412"/>
      <c r="M226" s="350"/>
      <c r="N226" s="350"/>
      <c r="O226" s="350"/>
      <c r="P226" s="351"/>
      <c r="Q226" s="412"/>
      <c r="R226" s="350"/>
      <c r="S226" s="350"/>
      <c r="T226" s="350"/>
      <c r="U226" s="350"/>
      <c r="V226" s="350"/>
      <c r="W226" s="350"/>
      <c r="X226" s="350"/>
      <c r="Y226" s="350"/>
      <c r="Z226" s="351"/>
      <c r="AA226" s="412"/>
      <c r="AB226" s="350"/>
      <c r="AC226" s="350"/>
      <c r="AD226" s="350"/>
      <c r="AE226" s="350"/>
      <c r="AF226" s="350"/>
      <c r="AG226" s="350"/>
      <c r="AH226" s="350"/>
      <c r="AI226" s="350"/>
      <c r="AJ226" s="350"/>
      <c r="AK226" s="350"/>
      <c r="AL226" s="350"/>
      <c r="AM226" s="350"/>
      <c r="AN226" s="350"/>
      <c r="AO226" s="350"/>
      <c r="AP226" s="350"/>
      <c r="AQ226" s="351"/>
    </row>
    <row r="227" spans="1:43" ht="30" customHeight="1">
      <c r="A227" s="98">
        <f t="shared" si="0"/>
        <v>215</v>
      </c>
      <c r="B227" s="368" t="s">
        <v>325</v>
      </c>
      <c r="C227" s="350"/>
      <c r="D227" s="351"/>
      <c r="E227" s="736"/>
      <c r="F227" s="350"/>
      <c r="G227" s="351"/>
      <c r="H227" s="368"/>
      <c r="I227" s="350"/>
      <c r="J227" s="350"/>
      <c r="K227" s="351"/>
      <c r="L227" s="368"/>
      <c r="M227" s="350"/>
      <c r="N227" s="350"/>
      <c r="O227" s="350"/>
      <c r="P227" s="351"/>
      <c r="Q227" s="368"/>
      <c r="R227" s="350"/>
      <c r="S227" s="350"/>
      <c r="T227" s="350"/>
      <c r="U227" s="350"/>
      <c r="V227" s="350"/>
      <c r="W227" s="350"/>
      <c r="X227" s="350"/>
      <c r="Y227" s="350"/>
      <c r="Z227" s="351"/>
      <c r="AA227" s="368"/>
      <c r="AB227" s="350"/>
      <c r="AC227" s="350"/>
      <c r="AD227" s="350"/>
      <c r="AE227" s="350"/>
      <c r="AF227" s="350"/>
      <c r="AG227" s="350"/>
      <c r="AH227" s="350"/>
      <c r="AI227" s="350"/>
      <c r="AJ227" s="350"/>
      <c r="AK227" s="350"/>
      <c r="AL227" s="350"/>
      <c r="AM227" s="350"/>
      <c r="AN227" s="350"/>
      <c r="AO227" s="350"/>
      <c r="AP227" s="350"/>
      <c r="AQ227" s="351"/>
    </row>
    <row r="228" spans="1:43" ht="30" customHeight="1">
      <c r="A228" s="98">
        <f t="shared" si="0"/>
        <v>216</v>
      </c>
      <c r="B228" s="412" t="s">
        <v>325</v>
      </c>
      <c r="C228" s="350"/>
      <c r="D228" s="351"/>
      <c r="E228" s="735"/>
      <c r="F228" s="350"/>
      <c r="G228" s="351"/>
      <c r="H228" s="412"/>
      <c r="I228" s="350"/>
      <c r="J228" s="350"/>
      <c r="K228" s="351"/>
      <c r="L228" s="412"/>
      <c r="M228" s="350"/>
      <c r="N228" s="350"/>
      <c r="O228" s="350"/>
      <c r="P228" s="351"/>
      <c r="Q228" s="412"/>
      <c r="R228" s="350"/>
      <c r="S228" s="350"/>
      <c r="T228" s="350"/>
      <c r="U228" s="350"/>
      <c r="V228" s="350"/>
      <c r="W228" s="350"/>
      <c r="X228" s="350"/>
      <c r="Y228" s="350"/>
      <c r="Z228" s="351"/>
      <c r="AA228" s="412"/>
      <c r="AB228" s="350"/>
      <c r="AC228" s="350"/>
      <c r="AD228" s="350"/>
      <c r="AE228" s="350"/>
      <c r="AF228" s="350"/>
      <c r="AG228" s="350"/>
      <c r="AH228" s="350"/>
      <c r="AI228" s="350"/>
      <c r="AJ228" s="350"/>
      <c r="AK228" s="350"/>
      <c r="AL228" s="350"/>
      <c r="AM228" s="350"/>
      <c r="AN228" s="350"/>
      <c r="AO228" s="350"/>
      <c r="AP228" s="350"/>
      <c r="AQ228" s="351"/>
    </row>
    <row r="229" spans="1:43" ht="30" customHeight="1">
      <c r="A229" s="98">
        <f t="shared" si="0"/>
        <v>217</v>
      </c>
      <c r="B229" s="368" t="s">
        <v>325</v>
      </c>
      <c r="C229" s="350"/>
      <c r="D229" s="351"/>
      <c r="E229" s="736"/>
      <c r="F229" s="350"/>
      <c r="G229" s="351"/>
      <c r="H229" s="368"/>
      <c r="I229" s="350"/>
      <c r="J229" s="350"/>
      <c r="K229" s="351"/>
      <c r="L229" s="368"/>
      <c r="M229" s="350"/>
      <c r="N229" s="350"/>
      <c r="O229" s="350"/>
      <c r="P229" s="351"/>
      <c r="Q229" s="368"/>
      <c r="R229" s="350"/>
      <c r="S229" s="350"/>
      <c r="T229" s="350"/>
      <c r="U229" s="350"/>
      <c r="V229" s="350"/>
      <c r="W229" s="350"/>
      <c r="X229" s="350"/>
      <c r="Y229" s="350"/>
      <c r="Z229" s="351"/>
      <c r="AA229" s="368"/>
      <c r="AB229" s="350"/>
      <c r="AC229" s="350"/>
      <c r="AD229" s="350"/>
      <c r="AE229" s="350"/>
      <c r="AF229" s="350"/>
      <c r="AG229" s="350"/>
      <c r="AH229" s="350"/>
      <c r="AI229" s="350"/>
      <c r="AJ229" s="350"/>
      <c r="AK229" s="350"/>
      <c r="AL229" s="350"/>
      <c r="AM229" s="350"/>
      <c r="AN229" s="350"/>
      <c r="AO229" s="350"/>
      <c r="AP229" s="350"/>
      <c r="AQ229" s="351"/>
    </row>
    <row r="230" spans="1:43" ht="30" customHeight="1">
      <c r="A230" s="98">
        <f t="shared" si="0"/>
        <v>218</v>
      </c>
      <c r="B230" s="412" t="s">
        <v>325</v>
      </c>
      <c r="C230" s="350"/>
      <c r="D230" s="351"/>
      <c r="E230" s="735"/>
      <c r="F230" s="350"/>
      <c r="G230" s="351"/>
      <c r="H230" s="412"/>
      <c r="I230" s="350"/>
      <c r="J230" s="350"/>
      <c r="K230" s="351"/>
      <c r="L230" s="412"/>
      <c r="M230" s="350"/>
      <c r="N230" s="350"/>
      <c r="O230" s="350"/>
      <c r="P230" s="351"/>
      <c r="Q230" s="412"/>
      <c r="R230" s="350"/>
      <c r="S230" s="350"/>
      <c r="T230" s="350"/>
      <c r="U230" s="350"/>
      <c r="V230" s="350"/>
      <c r="W230" s="350"/>
      <c r="X230" s="350"/>
      <c r="Y230" s="350"/>
      <c r="Z230" s="351"/>
      <c r="AA230" s="412"/>
      <c r="AB230" s="350"/>
      <c r="AC230" s="350"/>
      <c r="AD230" s="350"/>
      <c r="AE230" s="350"/>
      <c r="AF230" s="350"/>
      <c r="AG230" s="350"/>
      <c r="AH230" s="350"/>
      <c r="AI230" s="350"/>
      <c r="AJ230" s="350"/>
      <c r="AK230" s="350"/>
      <c r="AL230" s="350"/>
      <c r="AM230" s="350"/>
      <c r="AN230" s="350"/>
      <c r="AO230" s="350"/>
      <c r="AP230" s="350"/>
      <c r="AQ230" s="351"/>
    </row>
    <row r="231" spans="1:43" ht="30" customHeight="1">
      <c r="A231" s="98">
        <f t="shared" si="0"/>
        <v>219</v>
      </c>
      <c r="B231" s="368" t="s">
        <v>325</v>
      </c>
      <c r="C231" s="350"/>
      <c r="D231" s="351"/>
      <c r="E231" s="736"/>
      <c r="F231" s="350"/>
      <c r="G231" s="351"/>
      <c r="H231" s="368"/>
      <c r="I231" s="350"/>
      <c r="J231" s="350"/>
      <c r="K231" s="351"/>
      <c r="L231" s="368"/>
      <c r="M231" s="350"/>
      <c r="N231" s="350"/>
      <c r="O231" s="350"/>
      <c r="P231" s="351"/>
      <c r="Q231" s="368"/>
      <c r="R231" s="350"/>
      <c r="S231" s="350"/>
      <c r="T231" s="350"/>
      <c r="U231" s="350"/>
      <c r="V231" s="350"/>
      <c r="W231" s="350"/>
      <c r="X231" s="350"/>
      <c r="Y231" s="350"/>
      <c r="Z231" s="351"/>
      <c r="AA231" s="368"/>
      <c r="AB231" s="350"/>
      <c r="AC231" s="350"/>
      <c r="AD231" s="350"/>
      <c r="AE231" s="350"/>
      <c r="AF231" s="350"/>
      <c r="AG231" s="350"/>
      <c r="AH231" s="350"/>
      <c r="AI231" s="350"/>
      <c r="AJ231" s="350"/>
      <c r="AK231" s="350"/>
      <c r="AL231" s="350"/>
      <c r="AM231" s="350"/>
      <c r="AN231" s="350"/>
      <c r="AO231" s="350"/>
      <c r="AP231" s="350"/>
      <c r="AQ231" s="351"/>
    </row>
    <row r="232" spans="1:43" ht="30" customHeight="1">
      <c r="A232" s="98">
        <f t="shared" si="0"/>
        <v>220</v>
      </c>
      <c r="B232" s="412" t="s">
        <v>325</v>
      </c>
      <c r="C232" s="350"/>
      <c r="D232" s="351"/>
      <c r="E232" s="735"/>
      <c r="F232" s="350"/>
      <c r="G232" s="351"/>
      <c r="H232" s="412"/>
      <c r="I232" s="350"/>
      <c r="J232" s="350"/>
      <c r="K232" s="351"/>
      <c r="L232" s="412"/>
      <c r="M232" s="350"/>
      <c r="N232" s="350"/>
      <c r="O232" s="350"/>
      <c r="P232" s="351"/>
      <c r="Q232" s="412"/>
      <c r="R232" s="350"/>
      <c r="S232" s="350"/>
      <c r="T232" s="350"/>
      <c r="U232" s="350"/>
      <c r="V232" s="350"/>
      <c r="W232" s="350"/>
      <c r="X232" s="350"/>
      <c r="Y232" s="350"/>
      <c r="Z232" s="351"/>
      <c r="AA232" s="412"/>
      <c r="AB232" s="350"/>
      <c r="AC232" s="350"/>
      <c r="AD232" s="350"/>
      <c r="AE232" s="350"/>
      <c r="AF232" s="350"/>
      <c r="AG232" s="350"/>
      <c r="AH232" s="350"/>
      <c r="AI232" s="350"/>
      <c r="AJ232" s="350"/>
      <c r="AK232" s="350"/>
      <c r="AL232" s="350"/>
      <c r="AM232" s="350"/>
      <c r="AN232" s="350"/>
      <c r="AO232" s="350"/>
      <c r="AP232" s="350"/>
      <c r="AQ232" s="351"/>
    </row>
    <row r="233" spans="1:43" ht="30" customHeight="1">
      <c r="A233" s="98">
        <f t="shared" si="0"/>
        <v>221</v>
      </c>
      <c r="B233" s="368" t="s">
        <v>325</v>
      </c>
      <c r="C233" s="350"/>
      <c r="D233" s="351"/>
      <c r="E233" s="736"/>
      <c r="F233" s="350"/>
      <c r="G233" s="351"/>
      <c r="H233" s="368"/>
      <c r="I233" s="350"/>
      <c r="J233" s="350"/>
      <c r="K233" s="351"/>
      <c r="L233" s="368"/>
      <c r="M233" s="350"/>
      <c r="N233" s="350"/>
      <c r="O233" s="350"/>
      <c r="P233" s="351"/>
      <c r="Q233" s="368"/>
      <c r="R233" s="350"/>
      <c r="S233" s="350"/>
      <c r="T233" s="350"/>
      <c r="U233" s="350"/>
      <c r="V233" s="350"/>
      <c r="W233" s="350"/>
      <c r="X233" s="350"/>
      <c r="Y233" s="350"/>
      <c r="Z233" s="351"/>
      <c r="AA233" s="368"/>
      <c r="AB233" s="350"/>
      <c r="AC233" s="350"/>
      <c r="AD233" s="350"/>
      <c r="AE233" s="350"/>
      <c r="AF233" s="350"/>
      <c r="AG233" s="350"/>
      <c r="AH233" s="350"/>
      <c r="AI233" s="350"/>
      <c r="AJ233" s="350"/>
      <c r="AK233" s="350"/>
      <c r="AL233" s="350"/>
      <c r="AM233" s="350"/>
      <c r="AN233" s="350"/>
      <c r="AO233" s="350"/>
      <c r="AP233" s="350"/>
      <c r="AQ233" s="351"/>
    </row>
    <row r="234" spans="1:43" ht="30" customHeight="1">
      <c r="A234" s="98">
        <f t="shared" si="0"/>
        <v>222</v>
      </c>
      <c r="B234" s="412" t="s">
        <v>325</v>
      </c>
      <c r="C234" s="350"/>
      <c r="D234" s="351"/>
      <c r="E234" s="735"/>
      <c r="F234" s="350"/>
      <c r="G234" s="351"/>
      <c r="H234" s="412"/>
      <c r="I234" s="350"/>
      <c r="J234" s="350"/>
      <c r="K234" s="351"/>
      <c r="L234" s="412"/>
      <c r="M234" s="350"/>
      <c r="N234" s="350"/>
      <c r="O234" s="350"/>
      <c r="P234" s="351"/>
      <c r="Q234" s="412"/>
      <c r="R234" s="350"/>
      <c r="S234" s="350"/>
      <c r="T234" s="350"/>
      <c r="U234" s="350"/>
      <c r="V234" s="350"/>
      <c r="W234" s="350"/>
      <c r="X234" s="350"/>
      <c r="Y234" s="350"/>
      <c r="Z234" s="351"/>
      <c r="AA234" s="412"/>
      <c r="AB234" s="350"/>
      <c r="AC234" s="350"/>
      <c r="AD234" s="350"/>
      <c r="AE234" s="350"/>
      <c r="AF234" s="350"/>
      <c r="AG234" s="350"/>
      <c r="AH234" s="350"/>
      <c r="AI234" s="350"/>
      <c r="AJ234" s="350"/>
      <c r="AK234" s="350"/>
      <c r="AL234" s="350"/>
      <c r="AM234" s="350"/>
      <c r="AN234" s="350"/>
      <c r="AO234" s="350"/>
      <c r="AP234" s="350"/>
      <c r="AQ234" s="351"/>
    </row>
    <row r="235" spans="1:43" ht="30" customHeight="1">
      <c r="A235" s="98">
        <f t="shared" si="0"/>
        <v>223</v>
      </c>
      <c r="B235" s="368" t="s">
        <v>325</v>
      </c>
      <c r="C235" s="350"/>
      <c r="D235" s="351"/>
      <c r="E235" s="736"/>
      <c r="F235" s="350"/>
      <c r="G235" s="351"/>
      <c r="H235" s="368"/>
      <c r="I235" s="350"/>
      <c r="J235" s="350"/>
      <c r="K235" s="351"/>
      <c r="L235" s="368"/>
      <c r="M235" s="350"/>
      <c r="N235" s="350"/>
      <c r="O235" s="350"/>
      <c r="P235" s="351"/>
      <c r="Q235" s="368"/>
      <c r="R235" s="350"/>
      <c r="S235" s="350"/>
      <c r="T235" s="350"/>
      <c r="U235" s="350"/>
      <c r="V235" s="350"/>
      <c r="W235" s="350"/>
      <c r="X235" s="350"/>
      <c r="Y235" s="350"/>
      <c r="Z235" s="351"/>
      <c r="AA235" s="368"/>
      <c r="AB235" s="350"/>
      <c r="AC235" s="350"/>
      <c r="AD235" s="350"/>
      <c r="AE235" s="350"/>
      <c r="AF235" s="350"/>
      <c r="AG235" s="350"/>
      <c r="AH235" s="350"/>
      <c r="AI235" s="350"/>
      <c r="AJ235" s="350"/>
      <c r="AK235" s="350"/>
      <c r="AL235" s="350"/>
      <c r="AM235" s="350"/>
      <c r="AN235" s="350"/>
      <c r="AO235" s="350"/>
      <c r="AP235" s="350"/>
      <c r="AQ235" s="351"/>
    </row>
    <row r="236" spans="1:43" ht="30" customHeight="1">
      <c r="A236" s="98">
        <f t="shared" si="0"/>
        <v>224</v>
      </c>
      <c r="B236" s="412" t="s">
        <v>325</v>
      </c>
      <c r="C236" s="350"/>
      <c r="D236" s="351"/>
      <c r="E236" s="735"/>
      <c r="F236" s="350"/>
      <c r="G236" s="351"/>
      <c r="H236" s="412"/>
      <c r="I236" s="350"/>
      <c r="J236" s="350"/>
      <c r="K236" s="351"/>
      <c r="L236" s="412"/>
      <c r="M236" s="350"/>
      <c r="N236" s="350"/>
      <c r="O236" s="350"/>
      <c r="P236" s="351"/>
      <c r="Q236" s="412"/>
      <c r="R236" s="350"/>
      <c r="S236" s="350"/>
      <c r="T236" s="350"/>
      <c r="U236" s="350"/>
      <c r="V236" s="350"/>
      <c r="W236" s="350"/>
      <c r="X236" s="350"/>
      <c r="Y236" s="350"/>
      <c r="Z236" s="351"/>
      <c r="AA236" s="412"/>
      <c r="AB236" s="350"/>
      <c r="AC236" s="350"/>
      <c r="AD236" s="350"/>
      <c r="AE236" s="350"/>
      <c r="AF236" s="350"/>
      <c r="AG236" s="350"/>
      <c r="AH236" s="350"/>
      <c r="AI236" s="350"/>
      <c r="AJ236" s="350"/>
      <c r="AK236" s="350"/>
      <c r="AL236" s="350"/>
      <c r="AM236" s="350"/>
      <c r="AN236" s="350"/>
      <c r="AO236" s="350"/>
      <c r="AP236" s="350"/>
      <c r="AQ236" s="351"/>
    </row>
    <row r="237" spans="1:43" ht="30" customHeight="1">
      <c r="A237" s="98">
        <f t="shared" si="0"/>
        <v>225</v>
      </c>
      <c r="B237" s="368" t="s">
        <v>325</v>
      </c>
      <c r="C237" s="350"/>
      <c r="D237" s="351"/>
      <c r="E237" s="736"/>
      <c r="F237" s="350"/>
      <c r="G237" s="351"/>
      <c r="H237" s="368"/>
      <c r="I237" s="350"/>
      <c r="J237" s="350"/>
      <c r="K237" s="351"/>
      <c r="L237" s="368"/>
      <c r="M237" s="350"/>
      <c r="N237" s="350"/>
      <c r="O237" s="350"/>
      <c r="P237" s="351"/>
      <c r="Q237" s="368"/>
      <c r="R237" s="350"/>
      <c r="S237" s="350"/>
      <c r="T237" s="350"/>
      <c r="U237" s="350"/>
      <c r="V237" s="350"/>
      <c r="W237" s="350"/>
      <c r="X237" s="350"/>
      <c r="Y237" s="350"/>
      <c r="Z237" s="351"/>
      <c r="AA237" s="368"/>
      <c r="AB237" s="350"/>
      <c r="AC237" s="350"/>
      <c r="AD237" s="350"/>
      <c r="AE237" s="350"/>
      <c r="AF237" s="350"/>
      <c r="AG237" s="350"/>
      <c r="AH237" s="350"/>
      <c r="AI237" s="350"/>
      <c r="AJ237" s="350"/>
      <c r="AK237" s="350"/>
      <c r="AL237" s="350"/>
      <c r="AM237" s="350"/>
      <c r="AN237" s="350"/>
      <c r="AO237" s="350"/>
      <c r="AP237" s="350"/>
      <c r="AQ237" s="351"/>
    </row>
    <row r="238" spans="1:43" ht="30" customHeight="1">
      <c r="A238" s="98">
        <f t="shared" si="0"/>
        <v>226</v>
      </c>
      <c r="B238" s="412" t="s">
        <v>325</v>
      </c>
      <c r="C238" s="350"/>
      <c r="D238" s="351"/>
      <c r="E238" s="735"/>
      <c r="F238" s="350"/>
      <c r="G238" s="351"/>
      <c r="H238" s="412"/>
      <c r="I238" s="350"/>
      <c r="J238" s="350"/>
      <c r="K238" s="351"/>
      <c r="L238" s="412"/>
      <c r="M238" s="350"/>
      <c r="N238" s="350"/>
      <c r="O238" s="350"/>
      <c r="P238" s="351"/>
      <c r="Q238" s="412"/>
      <c r="R238" s="350"/>
      <c r="S238" s="350"/>
      <c r="T238" s="350"/>
      <c r="U238" s="350"/>
      <c r="V238" s="350"/>
      <c r="W238" s="350"/>
      <c r="X238" s="350"/>
      <c r="Y238" s="350"/>
      <c r="Z238" s="351"/>
      <c r="AA238" s="412"/>
      <c r="AB238" s="350"/>
      <c r="AC238" s="350"/>
      <c r="AD238" s="350"/>
      <c r="AE238" s="350"/>
      <c r="AF238" s="350"/>
      <c r="AG238" s="350"/>
      <c r="AH238" s="350"/>
      <c r="AI238" s="350"/>
      <c r="AJ238" s="350"/>
      <c r="AK238" s="350"/>
      <c r="AL238" s="350"/>
      <c r="AM238" s="350"/>
      <c r="AN238" s="350"/>
      <c r="AO238" s="350"/>
      <c r="AP238" s="350"/>
      <c r="AQ238" s="351"/>
    </row>
    <row r="239" spans="1:43" ht="30" customHeight="1">
      <c r="A239" s="98">
        <f t="shared" si="0"/>
        <v>227</v>
      </c>
      <c r="B239" s="368" t="s">
        <v>325</v>
      </c>
      <c r="C239" s="350"/>
      <c r="D239" s="351"/>
      <c r="E239" s="736"/>
      <c r="F239" s="350"/>
      <c r="G239" s="351"/>
      <c r="H239" s="368"/>
      <c r="I239" s="350"/>
      <c r="J239" s="350"/>
      <c r="K239" s="351"/>
      <c r="L239" s="368"/>
      <c r="M239" s="350"/>
      <c r="N239" s="350"/>
      <c r="O239" s="350"/>
      <c r="P239" s="351"/>
      <c r="Q239" s="368"/>
      <c r="R239" s="350"/>
      <c r="S239" s="350"/>
      <c r="T239" s="350"/>
      <c r="U239" s="350"/>
      <c r="V239" s="350"/>
      <c r="W239" s="350"/>
      <c r="X239" s="350"/>
      <c r="Y239" s="350"/>
      <c r="Z239" s="351"/>
      <c r="AA239" s="368"/>
      <c r="AB239" s="350"/>
      <c r="AC239" s="350"/>
      <c r="AD239" s="350"/>
      <c r="AE239" s="350"/>
      <c r="AF239" s="350"/>
      <c r="AG239" s="350"/>
      <c r="AH239" s="350"/>
      <c r="AI239" s="350"/>
      <c r="AJ239" s="350"/>
      <c r="AK239" s="350"/>
      <c r="AL239" s="350"/>
      <c r="AM239" s="350"/>
      <c r="AN239" s="350"/>
      <c r="AO239" s="350"/>
      <c r="AP239" s="350"/>
      <c r="AQ239" s="351"/>
    </row>
    <row r="240" spans="1:43" ht="30" customHeight="1">
      <c r="A240" s="98">
        <f t="shared" si="0"/>
        <v>228</v>
      </c>
      <c r="B240" s="412" t="s">
        <v>325</v>
      </c>
      <c r="C240" s="350"/>
      <c r="D240" s="351"/>
      <c r="E240" s="735"/>
      <c r="F240" s="350"/>
      <c r="G240" s="351"/>
      <c r="H240" s="412"/>
      <c r="I240" s="350"/>
      <c r="J240" s="350"/>
      <c r="K240" s="351"/>
      <c r="L240" s="412"/>
      <c r="M240" s="350"/>
      <c r="N240" s="350"/>
      <c r="O240" s="350"/>
      <c r="P240" s="351"/>
      <c r="Q240" s="412"/>
      <c r="R240" s="350"/>
      <c r="S240" s="350"/>
      <c r="T240" s="350"/>
      <c r="U240" s="350"/>
      <c r="V240" s="350"/>
      <c r="W240" s="350"/>
      <c r="X240" s="350"/>
      <c r="Y240" s="350"/>
      <c r="Z240" s="351"/>
      <c r="AA240" s="412"/>
      <c r="AB240" s="350"/>
      <c r="AC240" s="350"/>
      <c r="AD240" s="350"/>
      <c r="AE240" s="350"/>
      <c r="AF240" s="350"/>
      <c r="AG240" s="350"/>
      <c r="AH240" s="350"/>
      <c r="AI240" s="350"/>
      <c r="AJ240" s="350"/>
      <c r="AK240" s="350"/>
      <c r="AL240" s="350"/>
      <c r="AM240" s="350"/>
      <c r="AN240" s="350"/>
      <c r="AO240" s="350"/>
      <c r="AP240" s="350"/>
      <c r="AQ240" s="351"/>
    </row>
    <row r="241" spans="1:43" ht="30" customHeight="1">
      <c r="A241" s="98">
        <f t="shared" si="0"/>
        <v>229</v>
      </c>
      <c r="B241" s="368" t="s">
        <v>325</v>
      </c>
      <c r="C241" s="350"/>
      <c r="D241" s="351"/>
      <c r="E241" s="736"/>
      <c r="F241" s="350"/>
      <c r="G241" s="351"/>
      <c r="H241" s="368"/>
      <c r="I241" s="350"/>
      <c r="J241" s="350"/>
      <c r="K241" s="351"/>
      <c r="L241" s="368"/>
      <c r="M241" s="350"/>
      <c r="N241" s="350"/>
      <c r="O241" s="350"/>
      <c r="P241" s="351"/>
      <c r="Q241" s="368"/>
      <c r="R241" s="350"/>
      <c r="S241" s="350"/>
      <c r="T241" s="350"/>
      <c r="U241" s="350"/>
      <c r="V241" s="350"/>
      <c r="W241" s="350"/>
      <c r="X241" s="350"/>
      <c r="Y241" s="350"/>
      <c r="Z241" s="351"/>
      <c r="AA241" s="368"/>
      <c r="AB241" s="350"/>
      <c r="AC241" s="350"/>
      <c r="AD241" s="350"/>
      <c r="AE241" s="350"/>
      <c r="AF241" s="350"/>
      <c r="AG241" s="350"/>
      <c r="AH241" s="350"/>
      <c r="AI241" s="350"/>
      <c r="AJ241" s="350"/>
      <c r="AK241" s="350"/>
      <c r="AL241" s="350"/>
      <c r="AM241" s="350"/>
      <c r="AN241" s="350"/>
      <c r="AO241" s="350"/>
      <c r="AP241" s="350"/>
      <c r="AQ241" s="351"/>
    </row>
    <row r="242" spans="1:43" ht="30" customHeight="1">
      <c r="A242" s="98">
        <f t="shared" si="0"/>
        <v>230</v>
      </c>
      <c r="B242" s="412" t="s">
        <v>325</v>
      </c>
      <c r="C242" s="350"/>
      <c r="D242" s="351"/>
      <c r="E242" s="735"/>
      <c r="F242" s="350"/>
      <c r="G242" s="351"/>
      <c r="H242" s="412"/>
      <c r="I242" s="350"/>
      <c r="J242" s="350"/>
      <c r="K242" s="351"/>
      <c r="L242" s="412"/>
      <c r="M242" s="350"/>
      <c r="N242" s="350"/>
      <c r="O242" s="350"/>
      <c r="P242" s="351"/>
      <c r="Q242" s="412"/>
      <c r="R242" s="350"/>
      <c r="S242" s="350"/>
      <c r="T242" s="350"/>
      <c r="U242" s="350"/>
      <c r="V242" s="350"/>
      <c r="W242" s="350"/>
      <c r="X242" s="350"/>
      <c r="Y242" s="350"/>
      <c r="Z242" s="351"/>
      <c r="AA242" s="412"/>
      <c r="AB242" s="350"/>
      <c r="AC242" s="350"/>
      <c r="AD242" s="350"/>
      <c r="AE242" s="350"/>
      <c r="AF242" s="350"/>
      <c r="AG242" s="350"/>
      <c r="AH242" s="350"/>
      <c r="AI242" s="350"/>
      <c r="AJ242" s="350"/>
      <c r="AK242" s="350"/>
      <c r="AL242" s="350"/>
      <c r="AM242" s="350"/>
      <c r="AN242" s="350"/>
      <c r="AO242" s="350"/>
      <c r="AP242" s="350"/>
      <c r="AQ242" s="351"/>
    </row>
    <row r="243" spans="1:43" ht="30" customHeight="1">
      <c r="A243" s="98">
        <f t="shared" si="0"/>
        <v>231</v>
      </c>
      <c r="B243" s="368" t="s">
        <v>325</v>
      </c>
      <c r="C243" s="350"/>
      <c r="D243" s="351"/>
      <c r="E243" s="736"/>
      <c r="F243" s="350"/>
      <c r="G243" s="351"/>
      <c r="H243" s="368"/>
      <c r="I243" s="350"/>
      <c r="J243" s="350"/>
      <c r="K243" s="351"/>
      <c r="L243" s="368"/>
      <c r="M243" s="350"/>
      <c r="N243" s="350"/>
      <c r="O243" s="350"/>
      <c r="P243" s="351"/>
      <c r="Q243" s="368"/>
      <c r="R243" s="350"/>
      <c r="S243" s="350"/>
      <c r="T243" s="350"/>
      <c r="U243" s="350"/>
      <c r="V243" s="350"/>
      <c r="W243" s="350"/>
      <c r="X243" s="350"/>
      <c r="Y243" s="350"/>
      <c r="Z243" s="351"/>
      <c r="AA243" s="368"/>
      <c r="AB243" s="350"/>
      <c r="AC243" s="350"/>
      <c r="AD243" s="350"/>
      <c r="AE243" s="350"/>
      <c r="AF243" s="350"/>
      <c r="AG243" s="350"/>
      <c r="AH243" s="350"/>
      <c r="AI243" s="350"/>
      <c r="AJ243" s="350"/>
      <c r="AK243" s="350"/>
      <c r="AL243" s="350"/>
      <c r="AM243" s="350"/>
      <c r="AN243" s="350"/>
      <c r="AO243" s="350"/>
      <c r="AP243" s="350"/>
      <c r="AQ243" s="351"/>
    </row>
    <row r="244" spans="1:43" ht="30" customHeight="1">
      <c r="A244" s="98">
        <f t="shared" si="0"/>
        <v>232</v>
      </c>
      <c r="B244" s="412" t="s">
        <v>325</v>
      </c>
      <c r="C244" s="350"/>
      <c r="D244" s="351"/>
      <c r="E244" s="735"/>
      <c r="F244" s="350"/>
      <c r="G244" s="351"/>
      <c r="H244" s="412"/>
      <c r="I244" s="350"/>
      <c r="J244" s="350"/>
      <c r="K244" s="351"/>
      <c r="L244" s="412"/>
      <c r="M244" s="350"/>
      <c r="N244" s="350"/>
      <c r="O244" s="350"/>
      <c r="P244" s="351"/>
      <c r="Q244" s="412"/>
      <c r="R244" s="350"/>
      <c r="S244" s="350"/>
      <c r="T244" s="350"/>
      <c r="U244" s="350"/>
      <c r="V244" s="350"/>
      <c r="W244" s="350"/>
      <c r="X244" s="350"/>
      <c r="Y244" s="350"/>
      <c r="Z244" s="351"/>
      <c r="AA244" s="412"/>
      <c r="AB244" s="350"/>
      <c r="AC244" s="350"/>
      <c r="AD244" s="350"/>
      <c r="AE244" s="350"/>
      <c r="AF244" s="350"/>
      <c r="AG244" s="350"/>
      <c r="AH244" s="350"/>
      <c r="AI244" s="350"/>
      <c r="AJ244" s="350"/>
      <c r="AK244" s="350"/>
      <c r="AL244" s="350"/>
      <c r="AM244" s="350"/>
      <c r="AN244" s="350"/>
      <c r="AO244" s="350"/>
      <c r="AP244" s="350"/>
      <c r="AQ244" s="351"/>
    </row>
    <row r="245" spans="1:43" ht="30" customHeight="1">
      <c r="A245" s="98">
        <f t="shared" si="0"/>
        <v>233</v>
      </c>
      <c r="B245" s="368" t="s">
        <v>325</v>
      </c>
      <c r="C245" s="350"/>
      <c r="D245" s="351"/>
      <c r="E245" s="736"/>
      <c r="F245" s="350"/>
      <c r="G245" s="351"/>
      <c r="H245" s="368"/>
      <c r="I245" s="350"/>
      <c r="J245" s="350"/>
      <c r="K245" s="351"/>
      <c r="L245" s="368"/>
      <c r="M245" s="350"/>
      <c r="N245" s="350"/>
      <c r="O245" s="350"/>
      <c r="P245" s="351"/>
      <c r="Q245" s="368"/>
      <c r="R245" s="350"/>
      <c r="S245" s="350"/>
      <c r="T245" s="350"/>
      <c r="U245" s="350"/>
      <c r="V245" s="350"/>
      <c r="W245" s="350"/>
      <c r="X245" s="350"/>
      <c r="Y245" s="350"/>
      <c r="Z245" s="351"/>
      <c r="AA245" s="368"/>
      <c r="AB245" s="350"/>
      <c r="AC245" s="350"/>
      <c r="AD245" s="350"/>
      <c r="AE245" s="350"/>
      <c r="AF245" s="350"/>
      <c r="AG245" s="350"/>
      <c r="AH245" s="350"/>
      <c r="AI245" s="350"/>
      <c r="AJ245" s="350"/>
      <c r="AK245" s="350"/>
      <c r="AL245" s="350"/>
      <c r="AM245" s="350"/>
      <c r="AN245" s="350"/>
      <c r="AO245" s="350"/>
      <c r="AP245" s="350"/>
      <c r="AQ245" s="351"/>
    </row>
    <row r="246" spans="1:43" ht="30" customHeight="1">
      <c r="A246" s="98">
        <f t="shared" si="0"/>
        <v>234</v>
      </c>
      <c r="B246" s="412" t="s">
        <v>325</v>
      </c>
      <c r="C246" s="350"/>
      <c r="D246" s="351"/>
      <c r="E246" s="735"/>
      <c r="F246" s="350"/>
      <c r="G246" s="351"/>
      <c r="H246" s="412"/>
      <c r="I246" s="350"/>
      <c r="J246" s="350"/>
      <c r="K246" s="351"/>
      <c r="L246" s="412"/>
      <c r="M246" s="350"/>
      <c r="N246" s="350"/>
      <c r="O246" s="350"/>
      <c r="P246" s="351"/>
      <c r="Q246" s="412"/>
      <c r="R246" s="350"/>
      <c r="S246" s="350"/>
      <c r="T246" s="350"/>
      <c r="U246" s="350"/>
      <c r="V246" s="350"/>
      <c r="W246" s="350"/>
      <c r="X246" s="350"/>
      <c r="Y246" s="350"/>
      <c r="Z246" s="351"/>
      <c r="AA246" s="412"/>
      <c r="AB246" s="350"/>
      <c r="AC246" s="350"/>
      <c r="AD246" s="350"/>
      <c r="AE246" s="350"/>
      <c r="AF246" s="350"/>
      <c r="AG246" s="350"/>
      <c r="AH246" s="350"/>
      <c r="AI246" s="350"/>
      <c r="AJ246" s="350"/>
      <c r="AK246" s="350"/>
      <c r="AL246" s="350"/>
      <c r="AM246" s="350"/>
      <c r="AN246" s="350"/>
      <c r="AO246" s="350"/>
      <c r="AP246" s="350"/>
      <c r="AQ246" s="351"/>
    </row>
    <row r="247" spans="1:43" ht="30" customHeight="1">
      <c r="A247" s="98">
        <f t="shared" si="0"/>
        <v>235</v>
      </c>
      <c r="B247" s="368" t="s">
        <v>325</v>
      </c>
      <c r="C247" s="350"/>
      <c r="D247" s="351"/>
      <c r="E247" s="736"/>
      <c r="F247" s="350"/>
      <c r="G247" s="351"/>
      <c r="H247" s="368"/>
      <c r="I247" s="350"/>
      <c r="J247" s="350"/>
      <c r="K247" s="351"/>
      <c r="L247" s="368"/>
      <c r="M247" s="350"/>
      <c r="N247" s="350"/>
      <c r="O247" s="350"/>
      <c r="P247" s="351"/>
      <c r="Q247" s="368"/>
      <c r="R247" s="350"/>
      <c r="S247" s="350"/>
      <c r="T247" s="350"/>
      <c r="U247" s="350"/>
      <c r="V247" s="350"/>
      <c r="W247" s="350"/>
      <c r="X247" s="350"/>
      <c r="Y247" s="350"/>
      <c r="Z247" s="351"/>
      <c r="AA247" s="368"/>
      <c r="AB247" s="350"/>
      <c r="AC247" s="350"/>
      <c r="AD247" s="350"/>
      <c r="AE247" s="350"/>
      <c r="AF247" s="350"/>
      <c r="AG247" s="350"/>
      <c r="AH247" s="350"/>
      <c r="AI247" s="350"/>
      <c r="AJ247" s="350"/>
      <c r="AK247" s="350"/>
      <c r="AL247" s="350"/>
      <c r="AM247" s="350"/>
      <c r="AN247" s="350"/>
      <c r="AO247" s="350"/>
      <c r="AP247" s="350"/>
      <c r="AQ247" s="351"/>
    </row>
    <row r="248" spans="1:43" ht="30" customHeight="1">
      <c r="A248" s="98">
        <f t="shared" si="0"/>
        <v>236</v>
      </c>
      <c r="B248" s="412" t="s">
        <v>325</v>
      </c>
      <c r="C248" s="350"/>
      <c r="D248" s="351"/>
      <c r="E248" s="735"/>
      <c r="F248" s="350"/>
      <c r="G248" s="351"/>
      <c r="H248" s="412"/>
      <c r="I248" s="350"/>
      <c r="J248" s="350"/>
      <c r="K248" s="351"/>
      <c r="L248" s="412"/>
      <c r="M248" s="350"/>
      <c r="N248" s="350"/>
      <c r="O248" s="350"/>
      <c r="P248" s="351"/>
      <c r="Q248" s="412"/>
      <c r="R248" s="350"/>
      <c r="S248" s="350"/>
      <c r="T248" s="350"/>
      <c r="U248" s="350"/>
      <c r="V248" s="350"/>
      <c r="W248" s="350"/>
      <c r="X248" s="350"/>
      <c r="Y248" s="350"/>
      <c r="Z248" s="351"/>
      <c r="AA248" s="412"/>
      <c r="AB248" s="350"/>
      <c r="AC248" s="350"/>
      <c r="AD248" s="350"/>
      <c r="AE248" s="350"/>
      <c r="AF248" s="350"/>
      <c r="AG248" s="350"/>
      <c r="AH248" s="350"/>
      <c r="AI248" s="350"/>
      <c r="AJ248" s="350"/>
      <c r="AK248" s="350"/>
      <c r="AL248" s="350"/>
      <c r="AM248" s="350"/>
      <c r="AN248" s="350"/>
      <c r="AO248" s="350"/>
      <c r="AP248" s="350"/>
      <c r="AQ248" s="351"/>
    </row>
    <row r="249" spans="1:43" ht="30" customHeight="1">
      <c r="A249" s="98">
        <f t="shared" si="0"/>
        <v>237</v>
      </c>
      <c r="B249" s="368" t="s">
        <v>325</v>
      </c>
      <c r="C249" s="350"/>
      <c r="D249" s="351"/>
      <c r="E249" s="736"/>
      <c r="F249" s="350"/>
      <c r="G249" s="351"/>
      <c r="H249" s="368"/>
      <c r="I249" s="350"/>
      <c r="J249" s="350"/>
      <c r="K249" s="351"/>
      <c r="L249" s="368"/>
      <c r="M249" s="350"/>
      <c r="N249" s="350"/>
      <c r="O249" s="350"/>
      <c r="P249" s="351"/>
      <c r="Q249" s="368"/>
      <c r="R249" s="350"/>
      <c r="S249" s="350"/>
      <c r="T249" s="350"/>
      <c r="U249" s="350"/>
      <c r="V249" s="350"/>
      <c r="W249" s="350"/>
      <c r="X249" s="350"/>
      <c r="Y249" s="350"/>
      <c r="Z249" s="351"/>
      <c r="AA249" s="368"/>
      <c r="AB249" s="350"/>
      <c r="AC249" s="350"/>
      <c r="AD249" s="350"/>
      <c r="AE249" s="350"/>
      <c r="AF249" s="350"/>
      <c r="AG249" s="350"/>
      <c r="AH249" s="350"/>
      <c r="AI249" s="350"/>
      <c r="AJ249" s="350"/>
      <c r="AK249" s="350"/>
      <c r="AL249" s="350"/>
      <c r="AM249" s="350"/>
      <c r="AN249" s="350"/>
      <c r="AO249" s="350"/>
      <c r="AP249" s="350"/>
      <c r="AQ249" s="351"/>
    </row>
    <row r="250" spans="1:43" ht="30" customHeight="1">
      <c r="A250" s="98">
        <f t="shared" si="0"/>
        <v>238</v>
      </c>
      <c r="B250" s="412" t="s">
        <v>325</v>
      </c>
      <c r="C250" s="350"/>
      <c r="D250" s="351"/>
      <c r="E250" s="735"/>
      <c r="F250" s="350"/>
      <c r="G250" s="351"/>
      <c r="H250" s="412"/>
      <c r="I250" s="350"/>
      <c r="J250" s="350"/>
      <c r="K250" s="351"/>
      <c r="L250" s="412"/>
      <c r="M250" s="350"/>
      <c r="N250" s="350"/>
      <c r="O250" s="350"/>
      <c r="P250" s="351"/>
      <c r="Q250" s="412"/>
      <c r="R250" s="350"/>
      <c r="S250" s="350"/>
      <c r="T250" s="350"/>
      <c r="U250" s="350"/>
      <c r="V250" s="350"/>
      <c r="W250" s="350"/>
      <c r="X250" s="350"/>
      <c r="Y250" s="350"/>
      <c r="Z250" s="351"/>
      <c r="AA250" s="412"/>
      <c r="AB250" s="350"/>
      <c r="AC250" s="350"/>
      <c r="AD250" s="350"/>
      <c r="AE250" s="350"/>
      <c r="AF250" s="350"/>
      <c r="AG250" s="350"/>
      <c r="AH250" s="350"/>
      <c r="AI250" s="350"/>
      <c r="AJ250" s="350"/>
      <c r="AK250" s="350"/>
      <c r="AL250" s="350"/>
      <c r="AM250" s="350"/>
      <c r="AN250" s="350"/>
      <c r="AO250" s="350"/>
      <c r="AP250" s="350"/>
      <c r="AQ250" s="351"/>
    </row>
    <row r="251" spans="1:43" ht="30" customHeight="1">
      <c r="A251" s="98">
        <f t="shared" si="0"/>
        <v>239</v>
      </c>
      <c r="B251" s="368" t="s">
        <v>325</v>
      </c>
      <c r="C251" s="350"/>
      <c r="D251" s="351"/>
      <c r="E251" s="736"/>
      <c r="F251" s="350"/>
      <c r="G251" s="351"/>
      <c r="H251" s="368"/>
      <c r="I251" s="350"/>
      <c r="J251" s="350"/>
      <c r="K251" s="351"/>
      <c r="L251" s="368"/>
      <c r="M251" s="350"/>
      <c r="N251" s="350"/>
      <c r="O251" s="350"/>
      <c r="P251" s="351"/>
      <c r="Q251" s="368"/>
      <c r="R251" s="350"/>
      <c r="S251" s="350"/>
      <c r="T251" s="350"/>
      <c r="U251" s="350"/>
      <c r="V251" s="350"/>
      <c r="W251" s="350"/>
      <c r="X251" s="350"/>
      <c r="Y251" s="350"/>
      <c r="Z251" s="351"/>
      <c r="AA251" s="368"/>
      <c r="AB251" s="350"/>
      <c r="AC251" s="350"/>
      <c r="AD251" s="350"/>
      <c r="AE251" s="350"/>
      <c r="AF251" s="350"/>
      <c r="AG251" s="350"/>
      <c r="AH251" s="350"/>
      <c r="AI251" s="350"/>
      <c r="AJ251" s="350"/>
      <c r="AK251" s="350"/>
      <c r="AL251" s="350"/>
      <c r="AM251" s="350"/>
      <c r="AN251" s="350"/>
      <c r="AO251" s="350"/>
      <c r="AP251" s="350"/>
      <c r="AQ251" s="351"/>
    </row>
    <row r="252" spans="1:43" ht="30" customHeight="1">
      <c r="A252" s="98">
        <f t="shared" si="0"/>
        <v>240</v>
      </c>
      <c r="B252" s="412" t="s">
        <v>325</v>
      </c>
      <c r="C252" s="350"/>
      <c r="D252" s="351"/>
      <c r="E252" s="735"/>
      <c r="F252" s="350"/>
      <c r="G252" s="351"/>
      <c r="H252" s="412"/>
      <c r="I252" s="350"/>
      <c r="J252" s="350"/>
      <c r="K252" s="351"/>
      <c r="L252" s="412"/>
      <c r="M252" s="350"/>
      <c r="N252" s="350"/>
      <c r="O252" s="350"/>
      <c r="P252" s="351"/>
      <c r="Q252" s="412"/>
      <c r="R252" s="350"/>
      <c r="S252" s="350"/>
      <c r="T252" s="350"/>
      <c r="U252" s="350"/>
      <c r="V252" s="350"/>
      <c r="W252" s="350"/>
      <c r="X252" s="350"/>
      <c r="Y252" s="350"/>
      <c r="Z252" s="351"/>
      <c r="AA252" s="412"/>
      <c r="AB252" s="350"/>
      <c r="AC252" s="350"/>
      <c r="AD252" s="350"/>
      <c r="AE252" s="350"/>
      <c r="AF252" s="350"/>
      <c r="AG252" s="350"/>
      <c r="AH252" s="350"/>
      <c r="AI252" s="350"/>
      <c r="AJ252" s="350"/>
      <c r="AK252" s="350"/>
      <c r="AL252" s="350"/>
      <c r="AM252" s="350"/>
      <c r="AN252" s="350"/>
      <c r="AO252" s="350"/>
      <c r="AP252" s="350"/>
      <c r="AQ252" s="351"/>
    </row>
    <row r="253" spans="1:43" ht="30" customHeight="1">
      <c r="A253" s="98">
        <f t="shared" si="0"/>
        <v>241</v>
      </c>
      <c r="B253" s="368" t="s">
        <v>325</v>
      </c>
      <c r="C253" s="350"/>
      <c r="D253" s="351"/>
      <c r="E253" s="736"/>
      <c r="F253" s="350"/>
      <c r="G253" s="351"/>
      <c r="H253" s="368"/>
      <c r="I253" s="350"/>
      <c r="J253" s="350"/>
      <c r="K253" s="351"/>
      <c r="L253" s="368"/>
      <c r="M253" s="350"/>
      <c r="N253" s="350"/>
      <c r="O253" s="350"/>
      <c r="P253" s="351"/>
      <c r="Q253" s="368"/>
      <c r="R253" s="350"/>
      <c r="S253" s="350"/>
      <c r="T253" s="350"/>
      <c r="U253" s="350"/>
      <c r="V253" s="350"/>
      <c r="W253" s="350"/>
      <c r="X253" s="350"/>
      <c r="Y253" s="350"/>
      <c r="Z253" s="351"/>
      <c r="AA253" s="368"/>
      <c r="AB253" s="350"/>
      <c r="AC253" s="350"/>
      <c r="AD253" s="350"/>
      <c r="AE253" s="350"/>
      <c r="AF253" s="350"/>
      <c r="AG253" s="350"/>
      <c r="AH253" s="350"/>
      <c r="AI253" s="350"/>
      <c r="AJ253" s="350"/>
      <c r="AK253" s="350"/>
      <c r="AL253" s="350"/>
      <c r="AM253" s="350"/>
      <c r="AN253" s="350"/>
      <c r="AO253" s="350"/>
      <c r="AP253" s="350"/>
      <c r="AQ253" s="351"/>
    </row>
    <row r="254" spans="1:43" ht="30" customHeight="1">
      <c r="A254" s="98">
        <f t="shared" si="0"/>
        <v>242</v>
      </c>
      <c r="B254" s="412" t="s">
        <v>325</v>
      </c>
      <c r="C254" s="350"/>
      <c r="D254" s="351"/>
      <c r="E254" s="735"/>
      <c r="F254" s="350"/>
      <c r="G254" s="351"/>
      <c r="H254" s="412"/>
      <c r="I254" s="350"/>
      <c r="J254" s="350"/>
      <c r="K254" s="351"/>
      <c r="L254" s="412"/>
      <c r="M254" s="350"/>
      <c r="N254" s="350"/>
      <c r="O254" s="350"/>
      <c r="P254" s="351"/>
      <c r="Q254" s="412"/>
      <c r="R254" s="350"/>
      <c r="S254" s="350"/>
      <c r="T254" s="350"/>
      <c r="U254" s="350"/>
      <c r="V254" s="350"/>
      <c r="W254" s="350"/>
      <c r="X254" s="350"/>
      <c r="Y254" s="350"/>
      <c r="Z254" s="351"/>
      <c r="AA254" s="412"/>
      <c r="AB254" s="350"/>
      <c r="AC254" s="350"/>
      <c r="AD254" s="350"/>
      <c r="AE254" s="350"/>
      <c r="AF254" s="350"/>
      <c r="AG254" s="350"/>
      <c r="AH254" s="350"/>
      <c r="AI254" s="350"/>
      <c r="AJ254" s="350"/>
      <c r="AK254" s="350"/>
      <c r="AL254" s="350"/>
      <c r="AM254" s="350"/>
      <c r="AN254" s="350"/>
      <c r="AO254" s="350"/>
      <c r="AP254" s="350"/>
      <c r="AQ254" s="351"/>
    </row>
    <row r="255" spans="1:43" ht="30" customHeight="1">
      <c r="A255" s="98">
        <f t="shared" si="0"/>
        <v>243</v>
      </c>
      <c r="B255" s="368" t="s">
        <v>325</v>
      </c>
      <c r="C255" s="350"/>
      <c r="D255" s="351"/>
      <c r="E255" s="736"/>
      <c r="F255" s="350"/>
      <c r="G255" s="351"/>
      <c r="H255" s="368"/>
      <c r="I255" s="350"/>
      <c r="J255" s="350"/>
      <c r="K255" s="351"/>
      <c r="L255" s="368"/>
      <c r="M255" s="350"/>
      <c r="N255" s="350"/>
      <c r="O255" s="350"/>
      <c r="P255" s="351"/>
      <c r="Q255" s="368"/>
      <c r="R255" s="350"/>
      <c r="S255" s="350"/>
      <c r="T255" s="350"/>
      <c r="U255" s="350"/>
      <c r="V255" s="350"/>
      <c r="W255" s="350"/>
      <c r="X255" s="350"/>
      <c r="Y255" s="350"/>
      <c r="Z255" s="351"/>
      <c r="AA255" s="368"/>
      <c r="AB255" s="350"/>
      <c r="AC255" s="350"/>
      <c r="AD255" s="350"/>
      <c r="AE255" s="350"/>
      <c r="AF255" s="350"/>
      <c r="AG255" s="350"/>
      <c r="AH255" s="350"/>
      <c r="AI255" s="350"/>
      <c r="AJ255" s="350"/>
      <c r="AK255" s="350"/>
      <c r="AL255" s="350"/>
      <c r="AM255" s="350"/>
      <c r="AN255" s="350"/>
      <c r="AO255" s="350"/>
      <c r="AP255" s="350"/>
      <c r="AQ255" s="351"/>
    </row>
    <row r="256" spans="1:43" ht="30" customHeight="1">
      <c r="A256" s="98">
        <f t="shared" si="0"/>
        <v>244</v>
      </c>
      <c r="B256" s="412" t="s">
        <v>325</v>
      </c>
      <c r="C256" s="350"/>
      <c r="D256" s="351"/>
      <c r="E256" s="735"/>
      <c r="F256" s="350"/>
      <c r="G256" s="351"/>
      <c r="H256" s="412"/>
      <c r="I256" s="350"/>
      <c r="J256" s="350"/>
      <c r="K256" s="351"/>
      <c r="L256" s="412"/>
      <c r="M256" s="350"/>
      <c r="N256" s="350"/>
      <c r="O256" s="350"/>
      <c r="P256" s="351"/>
      <c r="Q256" s="412"/>
      <c r="R256" s="350"/>
      <c r="S256" s="350"/>
      <c r="T256" s="350"/>
      <c r="U256" s="350"/>
      <c r="V256" s="350"/>
      <c r="W256" s="350"/>
      <c r="X256" s="350"/>
      <c r="Y256" s="350"/>
      <c r="Z256" s="351"/>
      <c r="AA256" s="412"/>
      <c r="AB256" s="350"/>
      <c r="AC256" s="350"/>
      <c r="AD256" s="350"/>
      <c r="AE256" s="350"/>
      <c r="AF256" s="350"/>
      <c r="AG256" s="350"/>
      <c r="AH256" s="350"/>
      <c r="AI256" s="350"/>
      <c r="AJ256" s="350"/>
      <c r="AK256" s="350"/>
      <c r="AL256" s="350"/>
      <c r="AM256" s="350"/>
      <c r="AN256" s="350"/>
      <c r="AO256" s="350"/>
      <c r="AP256" s="350"/>
      <c r="AQ256" s="351"/>
    </row>
    <row r="257" spans="1:43" ht="30" customHeight="1">
      <c r="A257" s="98">
        <f t="shared" si="0"/>
        <v>245</v>
      </c>
      <c r="B257" s="368" t="s">
        <v>325</v>
      </c>
      <c r="C257" s="350"/>
      <c r="D257" s="351"/>
      <c r="E257" s="736"/>
      <c r="F257" s="350"/>
      <c r="G257" s="351"/>
      <c r="H257" s="368"/>
      <c r="I257" s="350"/>
      <c r="J257" s="350"/>
      <c r="K257" s="351"/>
      <c r="L257" s="368"/>
      <c r="M257" s="350"/>
      <c r="N257" s="350"/>
      <c r="O257" s="350"/>
      <c r="P257" s="351"/>
      <c r="Q257" s="368"/>
      <c r="R257" s="350"/>
      <c r="S257" s="350"/>
      <c r="T257" s="350"/>
      <c r="U257" s="350"/>
      <c r="V257" s="350"/>
      <c r="W257" s="350"/>
      <c r="X257" s="350"/>
      <c r="Y257" s="350"/>
      <c r="Z257" s="351"/>
      <c r="AA257" s="368"/>
      <c r="AB257" s="350"/>
      <c r="AC257" s="350"/>
      <c r="AD257" s="350"/>
      <c r="AE257" s="350"/>
      <c r="AF257" s="350"/>
      <c r="AG257" s="350"/>
      <c r="AH257" s="350"/>
      <c r="AI257" s="350"/>
      <c r="AJ257" s="350"/>
      <c r="AK257" s="350"/>
      <c r="AL257" s="350"/>
      <c r="AM257" s="350"/>
      <c r="AN257" s="350"/>
      <c r="AO257" s="350"/>
      <c r="AP257" s="350"/>
      <c r="AQ257" s="351"/>
    </row>
    <row r="258" spans="1:43" ht="30" customHeight="1">
      <c r="A258" s="98">
        <f t="shared" si="0"/>
        <v>246</v>
      </c>
      <c r="B258" s="412" t="s">
        <v>325</v>
      </c>
      <c r="C258" s="350"/>
      <c r="D258" s="351"/>
      <c r="E258" s="735"/>
      <c r="F258" s="350"/>
      <c r="G258" s="351"/>
      <c r="H258" s="412"/>
      <c r="I258" s="350"/>
      <c r="J258" s="350"/>
      <c r="K258" s="351"/>
      <c r="L258" s="412"/>
      <c r="M258" s="350"/>
      <c r="N258" s="350"/>
      <c r="O258" s="350"/>
      <c r="P258" s="351"/>
      <c r="Q258" s="412"/>
      <c r="R258" s="350"/>
      <c r="S258" s="350"/>
      <c r="T258" s="350"/>
      <c r="U258" s="350"/>
      <c r="V258" s="350"/>
      <c r="W258" s="350"/>
      <c r="X258" s="350"/>
      <c r="Y258" s="350"/>
      <c r="Z258" s="351"/>
      <c r="AA258" s="412"/>
      <c r="AB258" s="350"/>
      <c r="AC258" s="350"/>
      <c r="AD258" s="350"/>
      <c r="AE258" s="350"/>
      <c r="AF258" s="350"/>
      <c r="AG258" s="350"/>
      <c r="AH258" s="350"/>
      <c r="AI258" s="350"/>
      <c r="AJ258" s="350"/>
      <c r="AK258" s="350"/>
      <c r="AL258" s="350"/>
      <c r="AM258" s="350"/>
      <c r="AN258" s="350"/>
      <c r="AO258" s="350"/>
      <c r="AP258" s="350"/>
      <c r="AQ258" s="351"/>
    </row>
    <row r="259" spans="1:43" ht="30" customHeight="1">
      <c r="A259" s="98">
        <f t="shared" si="0"/>
        <v>247</v>
      </c>
      <c r="B259" s="368" t="s">
        <v>325</v>
      </c>
      <c r="C259" s="350"/>
      <c r="D259" s="351"/>
      <c r="E259" s="736"/>
      <c r="F259" s="350"/>
      <c r="G259" s="351"/>
      <c r="H259" s="368"/>
      <c r="I259" s="350"/>
      <c r="J259" s="350"/>
      <c r="K259" s="351"/>
      <c r="L259" s="368"/>
      <c r="M259" s="350"/>
      <c r="N259" s="350"/>
      <c r="O259" s="350"/>
      <c r="P259" s="351"/>
      <c r="Q259" s="368"/>
      <c r="R259" s="350"/>
      <c r="S259" s="350"/>
      <c r="T259" s="350"/>
      <c r="U259" s="350"/>
      <c r="V259" s="350"/>
      <c r="W259" s="350"/>
      <c r="X259" s="350"/>
      <c r="Y259" s="350"/>
      <c r="Z259" s="351"/>
      <c r="AA259" s="368"/>
      <c r="AB259" s="350"/>
      <c r="AC259" s="350"/>
      <c r="AD259" s="350"/>
      <c r="AE259" s="350"/>
      <c r="AF259" s="350"/>
      <c r="AG259" s="350"/>
      <c r="AH259" s="350"/>
      <c r="AI259" s="350"/>
      <c r="AJ259" s="350"/>
      <c r="AK259" s="350"/>
      <c r="AL259" s="350"/>
      <c r="AM259" s="350"/>
      <c r="AN259" s="350"/>
      <c r="AO259" s="350"/>
      <c r="AP259" s="350"/>
      <c r="AQ259" s="351"/>
    </row>
    <row r="260" spans="1:43" ht="30" customHeight="1">
      <c r="A260" s="98">
        <f t="shared" si="0"/>
        <v>248</v>
      </c>
      <c r="B260" s="412" t="s">
        <v>325</v>
      </c>
      <c r="C260" s="350"/>
      <c r="D260" s="351"/>
      <c r="E260" s="735"/>
      <c r="F260" s="350"/>
      <c r="G260" s="351"/>
      <c r="H260" s="412"/>
      <c r="I260" s="350"/>
      <c r="J260" s="350"/>
      <c r="K260" s="351"/>
      <c r="L260" s="412"/>
      <c r="M260" s="350"/>
      <c r="N260" s="350"/>
      <c r="O260" s="350"/>
      <c r="P260" s="351"/>
      <c r="Q260" s="412"/>
      <c r="R260" s="350"/>
      <c r="S260" s="350"/>
      <c r="T260" s="350"/>
      <c r="U260" s="350"/>
      <c r="V260" s="350"/>
      <c r="W260" s="350"/>
      <c r="X260" s="350"/>
      <c r="Y260" s="350"/>
      <c r="Z260" s="351"/>
      <c r="AA260" s="412"/>
      <c r="AB260" s="350"/>
      <c r="AC260" s="350"/>
      <c r="AD260" s="350"/>
      <c r="AE260" s="350"/>
      <c r="AF260" s="350"/>
      <c r="AG260" s="350"/>
      <c r="AH260" s="350"/>
      <c r="AI260" s="350"/>
      <c r="AJ260" s="350"/>
      <c r="AK260" s="350"/>
      <c r="AL260" s="350"/>
      <c r="AM260" s="350"/>
      <c r="AN260" s="350"/>
      <c r="AO260" s="350"/>
      <c r="AP260" s="350"/>
      <c r="AQ260" s="351"/>
    </row>
    <row r="261" spans="1:43" ht="30" customHeight="1">
      <c r="A261" s="98">
        <f t="shared" si="0"/>
        <v>249</v>
      </c>
      <c r="B261" s="368" t="s">
        <v>325</v>
      </c>
      <c r="C261" s="350"/>
      <c r="D261" s="351"/>
      <c r="E261" s="736"/>
      <c r="F261" s="350"/>
      <c r="G261" s="351"/>
      <c r="H261" s="368"/>
      <c r="I261" s="350"/>
      <c r="J261" s="350"/>
      <c r="K261" s="351"/>
      <c r="L261" s="368"/>
      <c r="M261" s="350"/>
      <c r="N261" s="350"/>
      <c r="O261" s="350"/>
      <c r="P261" s="351"/>
      <c r="Q261" s="368"/>
      <c r="R261" s="350"/>
      <c r="S261" s="350"/>
      <c r="T261" s="350"/>
      <c r="U261" s="350"/>
      <c r="V261" s="350"/>
      <c r="W261" s="350"/>
      <c r="X261" s="350"/>
      <c r="Y261" s="350"/>
      <c r="Z261" s="351"/>
      <c r="AA261" s="368"/>
      <c r="AB261" s="350"/>
      <c r="AC261" s="350"/>
      <c r="AD261" s="350"/>
      <c r="AE261" s="350"/>
      <c r="AF261" s="350"/>
      <c r="AG261" s="350"/>
      <c r="AH261" s="350"/>
      <c r="AI261" s="350"/>
      <c r="AJ261" s="350"/>
      <c r="AK261" s="350"/>
      <c r="AL261" s="350"/>
      <c r="AM261" s="350"/>
      <c r="AN261" s="350"/>
      <c r="AO261" s="350"/>
      <c r="AP261" s="350"/>
      <c r="AQ261" s="351"/>
    </row>
    <row r="262" spans="1:43" ht="30" customHeight="1">
      <c r="A262" s="98">
        <f t="shared" si="0"/>
        <v>250</v>
      </c>
      <c r="B262" s="412" t="s">
        <v>325</v>
      </c>
      <c r="C262" s="350"/>
      <c r="D262" s="351"/>
      <c r="E262" s="735"/>
      <c r="F262" s="350"/>
      <c r="G262" s="351"/>
      <c r="H262" s="412"/>
      <c r="I262" s="350"/>
      <c r="J262" s="350"/>
      <c r="K262" s="351"/>
      <c r="L262" s="412"/>
      <c r="M262" s="350"/>
      <c r="N262" s="350"/>
      <c r="O262" s="350"/>
      <c r="P262" s="351"/>
      <c r="Q262" s="412"/>
      <c r="R262" s="350"/>
      <c r="S262" s="350"/>
      <c r="T262" s="350"/>
      <c r="U262" s="350"/>
      <c r="V262" s="350"/>
      <c r="W262" s="350"/>
      <c r="X262" s="350"/>
      <c r="Y262" s="350"/>
      <c r="Z262" s="351"/>
      <c r="AA262" s="412"/>
      <c r="AB262" s="350"/>
      <c r="AC262" s="350"/>
      <c r="AD262" s="350"/>
      <c r="AE262" s="350"/>
      <c r="AF262" s="350"/>
      <c r="AG262" s="350"/>
      <c r="AH262" s="350"/>
      <c r="AI262" s="350"/>
      <c r="AJ262" s="350"/>
      <c r="AK262" s="350"/>
      <c r="AL262" s="350"/>
      <c r="AM262" s="350"/>
      <c r="AN262" s="350"/>
      <c r="AO262" s="350"/>
      <c r="AP262" s="350"/>
      <c r="AQ262" s="351"/>
    </row>
    <row r="263" spans="1:43" ht="30" customHeight="1">
      <c r="A263" s="98">
        <f t="shared" si="0"/>
        <v>251</v>
      </c>
      <c r="B263" s="368" t="s">
        <v>325</v>
      </c>
      <c r="C263" s="350"/>
      <c r="D263" s="351"/>
      <c r="E263" s="736"/>
      <c r="F263" s="350"/>
      <c r="G263" s="351"/>
      <c r="H263" s="368"/>
      <c r="I263" s="350"/>
      <c r="J263" s="350"/>
      <c r="K263" s="351"/>
      <c r="L263" s="368"/>
      <c r="M263" s="350"/>
      <c r="N263" s="350"/>
      <c r="O263" s="350"/>
      <c r="P263" s="351"/>
      <c r="Q263" s="368"/>
      <c r="R263" s="350"/>
      <c r="S263" s="350"/>
      <c r="T263" s="350"/>
      <c r="U263" s="350"/>
      <c r="V263" s="350"/>
      <c r="W263" s="350"/>
      <c r="X263" s="350"/>
      <c r="Y263" s="350"/>
      <c r="Z263" s="351"/>
      <c r="AA263" s="368"/>
      <c r="AB263" s="350"/>
      <c r="AC263" s="350"/>
      <c r="AD263" s="350"/>
      <c r="AE263" s="350"/>
      <c r="AF263" s="350"/>
      <c r="AG263" s="350"/>
      <c r="AH263" s="350"/>
      <c r="AI263" s="350"/>
      <c r="AJ263" s="350"/>
      <c r="AK263" s="350"/>
      <c r="AL263" s="350"/>
      <c r="AM263" s="350"/>
      <c r="AN263" s="350"/>
      <c r="AO263" s="350"/>
      <c r="AP263" s="350"/>
      <c r="AQ263" s="351"/>
    </row>
    <row r="264" spans="1:43" ht="30" customHeight="1">
      <c r="A264" s="98">
        <f t="shared" si="0"/>
        <v>252</v>
      </c>
      <c r="B264" s="412" t="s">
        <v>325</v>
      </c>
      <c r="C264" s="350"/>
      <c r="D264" s="351"/>
      <c r="E264" s="735"/>
      <c r="F264" s="350"/>
      <c r="G264" s="351"/>
      <c r="H264" s="412"/>
      <c r="I264" s="350"/>
      <c r="J264" s="350"/>
      <c r="K264" s="351"/>
      <c r="L264" s="412"/>
      <c r="M264" s="350"/>
      <c r="N264" s="350"/>
      <c r="O264" s="350"/>
      <c r="P264" s="351"/>
      <c r="Q264" s="412"/>
      <c r="R264" s="350"/>
      <c r="S264" s="350"/>
      <c r="T264" s="350"/>
      <c r="U264" s="350"/>
      <c r="V264" s="350"/>
      <c r="W264" s="350"/>
      <c r="X264" s="350"/>
      <c r="Y264" s="350"/>
      <c r="Z264" s="351"/>
      <c r="AA264" s="412"/>
      <c r="AB264" s="350"/>
      <c r="AC264" s="350"/>
      <c r="AD264" s="350"/>
      <c r="AE264" s="350"/>
      <c r="AF264" s="350"/>
      <c r="AG264" s="350"/>
      <c r="AH264" s="350"/>
      <c r="AI264" s="350"/>
      <c r="AJ264" s="350"/>
      <c r="AK264" s="350"/>
      <c r="AL264" s="350"/>
      <c r="AM264" s="350"/>
      <c r="AN264" s="350"/>
      <c r="AO264" s="350"/>
      <c r="AP264" s="350"/>
      <c r="AQ264" s="351"/>
    </row>
    <row r="265" spans="1:43" ht="30" customHeight="1">
      <c r="A265" s="98">
        <f t="shared" si="0"/>
        <v>253</v>
      </c>
      <c r="B265" s="368" t="s">
        <v>325</v>
      </c>
      <c r="C265" s="350"/>
      <c r="D265" s="351"/>
      <c r="E265" s="736"/>
      <c r="F265" s="350"/>
      <c r="G265" s="351"/>
      <c r="H265" s="368"/>
      <c r="I265" s="350"/>
      <c r="J265" s="350"/>
      <c r="K265" s="351"/>
      <c r="L265" s="368"/>
      <c r="M265" s="350"/>
      <c r="N265" s="350"/>
      <c r="O265" s="350"/>
      <c r="P265" s="351"/>
      <c r="Q265" s="368"/>
      <c r="R265" s="350"/>
      <c r="S265" s="350"/>
      <c r="T265" s="350"/>
      <c r="U265" s="350"/>
      <c r="V265" s="350"/>
      <c r="W265" s="350"/>
      <c r="X265" s="350"/>
      <c r="Y265" s="350"/>
      <c r="Z265" s="351"/>
      <c r="AA265" s="368"/>
      <c r="AB265" s="350"/>
      <c r="AC265" s="350"/>
      <c r="AD265" s="350"/>
      <c r="AE265" s="350"/>
      <c r="AF265" s="350"/>
      <c r="AG265" s="350"/>
      <c r="AH265" s="350"/>
      <c r="AI265" s="350"/>
      <c r="AJ265" s="350"/>
      <c r="AK265" s="350"/>
      <c r="AL265" s="350"/>
      <c r="AM265" s="350"/>
      <c r="AN265" s="350"/>
      <c r="AO265" s="350"/>
      <c r="AP265" s="350"/>
      <c r="AQ265" s="351"/>
    </row>
    <row r="266" spans="1:43" ht="30" customHeight="1">
      <c r="A266" s="98">
        <f t="shared" si="0"/>
        <v>254</v>
      </c>
      <c r="B266" s="412" t="s">
        <v>325</v>
      </c>
      <c r="C266" s="350"/>
      <c r="D266" s="351"/>
      <c r="E266" s="735"/>
      <c r="F266" s="350"/>
      <c r="G266" s="351"/>
      <c r="H266" s="412"/>
      <c r="I266" s="350"/>
      <c r="J266" s="350"/>
      <c r="K266" s="351"/>
      <c r="L266" s="412"/>
      <c r="M266" s="350"/>
      <c r="N266" s="350"/>
      <c r="O266" s="350"/>
      <c r="P266" s="351"/>
      <c r="Q266" s="412"/>
      <c r="R266" s="350"/>
      <c r="S266" s="350"/>
      <c r="T266" s="350"/>
      <c r="U266" s="350"/>
      <c r="V266" s="350"/>
      <c r="W266" s="350"/>
      <c r="X266" s="350"/>
      <c r="Y266" s="350"/>
      <c r="Z266" s="351"/>
      <c r="AA266" s="412"/>
      <c r="AB266" s="350"/>
      <c r="AC266" s="350"/>
      <c r="AD266" s="350"/>
      <c r="AE266" s="350"/>
      <c r="AF266" s="350"/>
      <c r="AG266" s="350"/>
      <c r="AH266" s="350"/>
      <c r="AI266" s="350"/>
      <c r="AJ266" s="350"/>
      <c r="AK266" s="350"/>
      <c r="AL266" s="350"/>
      <c r="AM266" s="350"/>
      <c r="AN266" s="350"/>
      <c r="AO266" s="350"/>
      <c r="AP266" s="350"/>
      <c r="AQ266" s="351"/>
    </row>
    <row r="267" spans="1:43" ht="30" customHeight="1">
      <c r="A267" s="98">
        <f t="shared" si="0"/>
        <v>255</v>
      </c>
      <c r="B267" s="368" t="s">
        <v>325</v>
      </c>
      <c r="C267" s="350"/>
      <c r="D267" s="351"/>
      <c r="E267" s="736"/>
      <c r="F267" s="350"/>
      <c r="G267" s="351"/>
      <c r="H267" s="368"/>
      <c r="I267" s="350"/>
      <c r="J267" s="350"/>
      <c r="K267" s="351"/>
      <c r="L267" s="368"/>
      <c r="M267" s="350"/>
      <c r="N267" s="350"/>
      <c r="O267" s="350"/>
      <c r="P267" s="351"/>
      <c r="Q267" s="368"/>
      <c r="R267" s="350"/>
      <c r="S267" s="350"/>
      <c r="T267" s="350"/>
      <c r="U267" s="350"/>
      <c r="V267" s="350"/>
      <c r="W267" s="350"/>
      <c r="X267" s="350"/>
      <c r="Y267" s="350"/>
      <c r="Z267" s="351"/>
      <c r="AA267" s="368"/>
      <c r="AB267" s="350"/>
      <c r="AC267" s="350"/>
      <c r="AD267" s="350"/>
      <c r="AE267" s="350"/>
      <c r="AF267" s="350"/>
      <c r="AG267" s="350"/>
      <c r="AH267" s="350"/>
      <c r="AI267" s="350"/>
      <c r="AJ267" s="350"/>
      <c r="AK267" s="350"/>
      <c r="AL267" s="350"/>
      <c r="AM267" s="350"/>
      <c r="AN267" s="350"/>
      <c r="AO267" s="350"/>
      <c r="AP267" s="350"/>
      <c r="AQ267" s="351"/>
    </row>
    <row r="268" spans="1:43" ht="30" customHeight="1">
      <c r="A268" s="98">
        <f t="shared" ref="A268:A512" si="1">ROW(A256)</f>
        <v>256</v>
      </c>
      <c r="B268" s="412" t="s">
        <v>325</v>
      </c>
      <c r="C268" s="350"/>
      <c r="D268" s="351"/>
      <c r="E268" s="735"/>
      <c r="F268" s="350"/>
      <c r="G268" s="351"/>
      <c r="H268" s="412"/>
      <c r="I268" s="350"/>
      <c r="J268" s="350"/>
      <c r="K268" s="351"/>
      <c r="L268" s="412"/>
      <c r="M268" s="350"/>
      <c r="N268" s="350"/>
      <c r="O268" s="350"/>
      <c r="P268" s="351"/>
      <c r="Q268" s="412"/>
      <c r="R268" s="350"/>
      <c r="S268" s="350"/>
      <c r="T268" s="350"/>
      <c r="U268" s="350"/>
      <c r="V268" s="350"/>
      <c r="W268" s="350"/>
      <c r="X268" s="350"/>
      <c r="Y268" s="350"/>
      <c r="Z268" s="351"/>
      <c r="AA268" s="412"/>
      <c r="AB268" s="350"/>
      <c r="AC268" s="350"/>
      <c r="AD268" s="350"/>
      <c r="AE268" s="350"/>
      <c r="AF268" s="350"/>
      <c r="AG268" s="350"/>
      <c r="AH268" s="350"/>
      <c r="AI268" s="350"/>
      <c r="AJ268" s="350"/>
      <c r="AK268" s="350"/>
      <c r="AL268" s="350"/>
      <c r="AM268" s="350"/>
      <c r="AN268" s="350"/>
      <c r="AO268" s="350"/>
      <c r="AP268" s="350"/>
      <c r="AQ268" s="351"/>
    </row>
    <row r="269" spans="1:43" ht="30" customHeight="1">
      <c r="A269" s="98">
        <f t="shared" si="1"/>
        <v>257</v>
      </c>
      <c r="B269" s="368" t="s">
        <v>325</v>
      </c>
      <c r="C269" s="350"/>
      <c r="D269" s="351"/>
      <c r="E269" s="736"/>
      <c r="F269" s="350"/>
      <c r="G269" s="351"/>
      <c r="H269" s="368"/>
      <c r="I269" s="350"/>
      <c r="J269" s="350"/>
      <c r="K269" s="351"/>
      <c r="L269" s="368"/>
      <c r="M269" s="350"/>
      <c r="N269" s="350"/>
      <c r="O269" s="350"/>
      <c r="P269" s="351"/>
      <c r="Q269" s="368"/>
      <c r="R269" s="350"/>
      <c r="S269" s="350"/>
      <c r="T269" s="350"/>
      <c r="U269" s="350"/>
      <c r="V269" s="350"/>
      <c r="W269" s="350"/>
      <c r="X269" s="350"/>
      <c r="Y269" s="350"/>
      <c r="Z269" s="351"/>
      <c r="AA269" s="368"/>
      <c r="AB269" s="350"/>
      <c r="AC269" s="350"/>
      <c r="AD269" s="350"/>
      <c r="AE269" s="350"/>
      <c r="AF269" s="350"/>
      <c r="AG269" s="350"/>
      <c r="AH269" s="350"/>
      <c r="AI269" s="350"/>
      <c r="AJ269" s="350"/>
      <c r="AK269" s="350"/>
      <c r="AL269" s="350"/>
      <c r="AM269" s="350"/>
      <c r="AN269" s="350"/>
      <c r="AO269" s="350"/>
      <c r="AP269" s="350"/>
      <c r="AQ269" s="351"/>
    </row>
    <row r="270" spans="1:43" ht="30" customHeight="1">
      <c r="A270" s="98">
        <f t="shared" si="1"/>
        <v>258</v>
      </c>
      <c r="B270" s="412" t="s">
        <v>325</v>
      </c>
      <c r="C270" s="350"/>
      <c r="D270" s="351"/>
      <c r="E270" s="735"/>
      <c r="F270" s="350"/>
      <c r="G270" s="351"/>
      <c r="H270" s="412"/>
      <c r="I270" s="350"/>
      <c r="J270" s="350"/>
      <c r="K270" s="351"/>
      <c r="L270" s="412"/>
      <c r="M270" s="350"/>
      <c r="N270" s="350"/>
      <c r="O270" s="350"/>
      <c r="P270" s="351"/>
      <c r="Q270" s="412"/>
      <c r="R270" s="350"/>
      <c r="S270" s="350"/>
      <c r="T270" s="350"/>
      <c r="U270" s="350"/>
      <c r="V270" s="350"/>
      <c r="W270" s="350"/>
      <c r="X270" s="350"/>
      <c r="Y270" s="350"/>
      <c r="Z270" s="351"/>
      <c r="AA270" s="412"/>
      <c r="AB270" s="350"/>
      <c r="AC270" s="350"/>
      <c r="AD270" s="350"/>
      <c r="AE270" s="350"/>
      <c r="AF270" s="350"/>
      <c r="AG270" s="350"/>
      <c r="AH270" s="350"/>
      <c r="AI270" s="350"/>
      <c r="AJ270" s="350"/>
      <c r="AK270" s="350"/>
      <c r="AL270" s="350"/>
      <c r="AM270" s="350"/>
      <c r="AN270" s="350"/>
      <c r="AO270" s="350"/>
      <c r="AP270" s="350"/>
      <c r="AQ270" s="351"/>
    </row>
    <row r="271" spans="1:43" ht="30" customHeight="1">
      <c r="A271" s="98">
        <f t="shared" si="1"/>
        <v>259</v>
      </c>
      <c r="B271" s="368" t="s">
        <v>325</v>
      </c>
      <c r="C271" s="350"/>
      <c r="D271" s="351"/>
      <c r="E271" s="736"/>
      <c r="F271" s="350"/>
      <c r="G271" s="351"/>
      <c r="H271" s="368"/>
      <c r="I271" s="350"/>
      <c r="J271" s="350"/>
      <c r="K271" s="351"/>
      <c r="L271" s="368"/>
      <c r="M271" s="350"/>
      <c r="N271" s="350"/>
      <c r="O271" s="350"/>
      <c r="P271" s="351"/>
      <c r="Q271" s="368"/>
      <c r="R271" s="350"/>
      <c r="S271" s="350"/>
      <c r="T271" s="350"/>
      <c r="U271" s="350"/>
      <c r="V271" s="350"/>
      <c r="W271" s="350"/>
      <c r="X271" s="350"/>
      <c r="Y271" s="350"/>
      <c r="Z271" s="351"/>
      <c r="AA271" s="368"/>
      <c r="AB271" s="350"/>
      <c r="AC271" s="350"/>
      <c r="AD271" s="350"/>
      <c r="AE271" s="350"/>
      <c r="AF271" s="350"/>
      <c r="AG271" s="350"/>
      <c r="AH271" s="350"/>
      <c r="AI271" s="350"/>
      <c r="AJ271" s="350"/>
      <c r="AK271" s="350"/>
      <c r="AL271" s="350"/>
      <c r="AM271" s="350"/>
      <c r="AN271" s="350"/>
      <c r="AO271" s="350"/>
      <c r="AP271" s="350"/>
      <c r="AQ271" s="351"/>
    </row>
    <row r="272" spans="1:43" ht="30" customHeight="1">
      <c r="A272" s="98">
        <f t="shared" si="1"/>
        <v>260</v>
      </c>
      <c r="B272" s="412" t="s">
        <v>325</v>
      </c>
      <c r="C272" s="350"/>
      <c r="D272" s="351"/>
      <c r="E272" s="735"/>
      <c r="F272" s="350"/>
      <c r="G272" s="351"/>
      <c r="H272" s="412"/>
      <c r="I272" s="350"/>
      <c r="J272" s="350"/>
      <c r="K272" s="351"/>
      <c r="L272" s="412"/>
      <c r="M272" s="350"/>
      <c r="N272" s="350"/>
      <c r="O272" s="350"/>
      <c r="P272" s="351"/>
      <c r="Q272" s="412"/>
      <c r="R272" s="350"/>
      <c r="S272" s="350"/>
      <c r="T272" s="350"/>
      <c r="U272" s="350"/>
      <c r="V272" s="350"/>
      <c r="W272" s="350"/>
      <c r="X272" s="350"/>
      <c r="Y272" s="350"/>
      <c r="Z272" s="351"/>
      <c r="AA272" s="412"/>
      <c r="AB272" s="350"/>
      <c r="AC272" s="350"/>
      <c r="AD272" s="350"/>
      <c r="AE272" s="350"/>
      <c r="AF272" s="350"/>
      <c r="AG272" s="350"/>
      <c r="AH272" s="350"/>
      <c r="AI272" s="350"/>
      <c r="AJ272" s="350"/>
      <c r="AK272" s="350"/>
      <c r="AL272" s="350"/>
      <c r="AM272" s="350"/>
      <c r="AN272" s="350"/>
      <c r="AO272" s="350"/>
      <c r="AP272" s="350"/>
      <c r="AQ272" s="351"/>
    </row>
    <row r="273" spans="1:43" ht="30" customHeight="1">
      <c r="A273" s="98">
        <f t="shared" si="1"/>
        <v>261</v>
      </c>
      <c r="B273" s="368" t="s">
        <v>325</v>
      </c>
      <c r="C273" s="350"/>
      <c r="D273" s="351"/>
      <c r="E273" s="736"/>
      <c r="F273" s="350"/>
      <c r="G273" s="351"/>
      <c r="H273" s="368"/>
      <c r="I273" s="350"/>
      <c r="J273" s="350"/>
      <c r="K273" s="351"/>
      <c r="L273" s="368"/>
      <c r="M273" s="350"/>
      <c r="N273" s="350"/>
      <c r="O273" s="350"/>
      <c r="P273" s="351"/>
      <c r="Q273" s="368"/>
      <c r="R273" s="350"/>
      <c r="S273" s="350"/>
      <c r="T273" s="350"/>
      <c r="U273" s="350"/>
      <c r="V273" s="350"/>
      <c r="W273" s="350"/>
      <c r="X273" s="350"/>
      <c r="Y273" s="350"/>
      <c r="Z273" s="351"/>
      <c r="AA273" s="368"/>
      <c r="AB273" s="350"/>
      <c r="AC273" s="350"/>
      <c r="AD273" s="350"/>
      <c r="AE273" s="350"/>
      <c r="AF273" s="350"/>
      <c r="AG273" s="350"/>
      <c r="AH273" s="350"/>
      <c r="AI273" s="350"/>
      <c r="AJ273" s="350"/>
      <c r="AK273" s="350"/>
      <c r="AL273" s="350"/>
      <c r="AM273" s="350"/>
      <c r="AN273" s="350"/>
      <c r="AO273" s="350"/>
      <c r="AP273" s="350"/>
      <c r="AQ273" s="351"/>
    </row>
    <row r="274" spans="1:43" ht="30" customHeight="1">
      <c r="A274" s="98">
        <f t="shared" si="1"/>
        <v>262</v>
      </c>
      <c r="B274" s="412" t="s">
        <v>325</v>
      </c>
      <c r="C274" s="350"/>
      <c r="D274" s="351"/>
      <c r="E274" s="735"/>
      <c r="F274" s="350"/>
      <c r="G274" s="351"/>
      <c r="H274" s="412"/>
      <c r="I274" s="350"/>
      <c r="J274" s="350"/>
      <c r="K274" s="351"/>
      <c r="L274" s="412"/>
      <c r="M274" s="350"/>
      <c r="N274" s="350"/>
      <c r="O274" s="350"/>
      <c r="P274" s="351"/>
      <c r="Q274" s="412"/>
      <c r="R274" s="350"/>
      <c r="S274" s="350"/>
      <c r="T274" s="350"/>
      <c r="U274" s="350"/>
      <c r="V274" s="350"/>
      <c r="W274" s="350"/>
      <c r="X274" s="350"/>
      <c r="Y274" s="350"/>
      <c r="Z274" s="351"/>
      <c r="AA274" s="412"/>
      <c r="AB274" s="350"/>
      <c r="AC274" s="350"/>
      <c r="AD274" s="350"/>
      <c r="AE274" s="350"/>
      <c r="AF274" s="350"/>
      <c r="AG274" s="350"/>
      <c r="AH274" s="350"/>
      <c r="AI274" s="350"/>
      <c r="AJ274" s="350"/>
      <c r="AK274" s="350"/>
      <c r="AL274" s="350"/>
      <c r="AM274" s="350"/>
      <c r="AN274" s="350"/>
      <c r="AO274" s="350"/>
      <c r="AP274" s="350"/>
      <c r="AQ274" s="351"/>
    </row>
    <row r="275" spans="1:43" ht="30" customHeight="1">
      <c r="A275" s="98">
        <f t="shared" si="1"/>
        <v>263</v>
      </c>
      <c r="B275" s="368" t="s">
        <v>325</v>
      </c>
      <c r="C275" s="350"/>
      <c r="D275" s="351"/>
      <c r="E275" s="736"/>
      <c r="F275" s="350"/>
      <c r="G275" s="351"/>
      <c r="H275" s="368"/>
      <c r="I275" s="350"/>
      <c r="J275" s="350"/>
      <c r="K275" s="351"/>
      <c r="L275" s="368"/>
      <c r="M275" s="350"/>
      <c r="N275" s="350"/>
      <c r="O275" s="350"/>
      <c r="P275" s="351"/>
      <c r="Q275" s="368"/>
      <c r="R275" s="350"/>
      <c r="S275" s="350"/>
      <c r="T275" s="350"/>
      <c r="U275" s="350"/>
      <c r="V275" s="350"/>
      <c r="W275" s="350"/>
      <c r="X275" s="350"/>
      <c r="Y275" s="350"/>
      <c r="Z275" s="351"/>
      <c r="AA275" s="368"/>
      <c r="AB275" s="350"/>
      <c r="AC275" s="350"/>
      <c r="AD275" s="350"/>
      <c r="AE275" s="350"/>
      <c r="AF275" s="350"/>
      <c r="AG275" s="350"/>
      <c r="AH275" s="350"/>
      <c r="AI275" s="350"/>
      <c r="AJ275" s="350"/>
      <c r="AK275" s="350"/>
      <c r="AL275" s="350"/>
      <c r="AM275" s="350"/>
      <c r="AN275" s="350"/>
      <c r="AO275" s="350"/>
      <c r="AP275" s="350"/>
      <c r="AQ275" s="351"/>
    </row>
    <row r="276" spans="1:43" ht="30" customHeight="1">
      <c r="A276" s="98">
        <f t="shared" si="1"/>
        <v>264</v>
      </c>
      <c r="B276" s="412" t="s">
        <v>325</v>
      </c>
      <c r="C276" s="350"/>
      <c r="D276" s="351"/>
      <c r="E276" s="735"/>
      <c r="F276" s="350"/>
      <c r="G276" s="351"/>
      <c r="H276" s="412"/>
      <c r="I276" s="350"/>
      <c r="J276" s="350"/>
      <c r="K276" s="351"/>
      <c r="L276" s="412"/>
      <c r="M276" s="350"/>
      <c r="N276" s="350"/>
      <c r="O276" s="350"/>
      <c r="P276" s="351"/>
      <c r="Q276" s="412"/>
      <c r="R276" s="350"/>
      <c r="S276" s="350"/>
      <c r="T276" s="350"/>
      <c r="U276" s="350"/>
      <c r="V276" s="350"/>
      <c r="W276" s="350"/>
      <c r="X276" s="350"/>
      <c r="Y276" s="350"/>
      <c r="Z276" s="351"/>
      <c r="AA276" s="412"/>
      <c r="AB276" s="350"/>
      <c r="AC276" s="350"/>
      <c r="AD276" s="350"/>
      <c r="AE276" s="350"/>
      <c r="AF276" s="350"/>
      <c r="AG276" s="350"/>
      <c r="AH276" s="350"/>
      <c r="AI276" s="350"/>
      <c r="AJ276" s="350"/>
      <c r="AK276" s="350"/>
      <c r="AL276" s="350"/>
      <c r="AM276" s="350"/>
      <c r="AN276" s="350"/>
      <c r="AO276" s="350"/>
      <c r="AP276" s="350"/>
      <c r="AQ276" s="351"/>
    </row>
    <row r="277" spans="1:43" ht="30" customHeight="1">
      <c r="A277" s="98">
        <f t="shared" si="1"/>
        <v>265</v>
      </c>
      <c r="B277" s="368" t="s">
        <v>325</v>
      </c>
      <c r="C277" s="350"/>
      <c r="D277" s="351"/>
      <c r="E277" s="736"/>
      <c r="F277" s="350"/>
      <c r="G277" s="351"/>
      <c r="H277" s="368"/>
      <c r="I277" s="350"/>
      <c r="J277" s="350"/>
      <c r="K277" s="351"/>
      <c r="L277" s="368"/>
      <c r="M277" s="350"/>
      <c r="N277" s="350"/>
      <c r="O277" s="350"/>
      <c r="P277" s="351"/>
      <c r="Q277" s="368"/>
      <c r="R277" s="350"/>
      <c r="S277" s="350"/>
      <c r="T277" s="350"/>
      <c r="U277" s="350"/>
      <c r="V277" s="350"/>
      <c r="W277" s="350"/>
      <c r="X277" s="350"/>
      <c r="Y277" s="350"/>
      <c r="Z277" s="351"/>
      <c r="AA277" s="368"/>
      <c r="AB277" s="350"/>
      <c r="AC277" s="350"/>
      <c r="AD277" s="350"/>
      <c r="AE277" s="350"/>
      <c r="AF277" s="350"/>
      <c r="AG277" s="350"/>
      <c r="AH277" s="350"/>
      <c r="AI277" s="350"/>
      <c r="AJ277" s="350"/>
      <c r="AK277" s="350"/>
      <c r="AL277" s="350"/>
      <c r="AM277" s="350"/>
      <c r="AN277" s="350"/>
      <c r="AO277" s="350"/>
      <c r="AP277" s="350"/>
      <c r="AQ277" s="351"/>
    </row>
    <row r="278" spans="1:43" ht="30" customHeight="1">
      <c r="A278" s="98">
        <f t="shared" si="1"/>
        <v>266</v>
      </c>
      <c r="B278" s="412" t="s">
        <v>325</v>
      </c>
      <c r="C278" s="350"/>
      <c r="D278" s="351"/>
      <c r="E278" s="735"/>
      <c r="F278" s="350"/>
      <c r="G278" s="351"/>
      <c r="H278" s="412"/>
      <c r="I278" s="350"/>
      <c r="J278" s="350"/>
      <c r="K278" s="351"/>
      <c r="L278" s="412"/>
      <c r="M278" s="350"/>
      <c r="N278" s="350"/>
      <c r="O278" s="350"/>
      <c r="P278" s="351"/>
      <c r="Q278" s="412"/>
      <c r="R278" s="350"/>
      <c r="S278" s="350"/>
      <c r="T278" s="350"/>
      <c r="U278" s="350"/>
      <c r="V278" s="350"/>
      <c r="W278" s="350"/>
      <c r="X278" s="350"/>
      <c r="Y278" s="350"/>
      <c r="Z278" s="351"/>
      <c r="AA278" s="412"/>
      <c r="AB278" s="350"/>
      <c r="AC278" s="350"/>
      <c r="AD278" s="350"/>
      <c r="AE278" s="350"/>
      <c r="AF278" s="350"/>
      <c r="AG278" s="350"/>
      <c r="AH278" s="350"/>
      <c r="AI278" s="350"/>
      <c r="AJ278" s="350"/>
      <c r="AK278" s="350"/>
      <c r="AL278" s="350"/>
      <c r="AM278" s="350"/>
      <c r="AN278" s="350"/>
      <c r="AO278" s="350"/>
      <c r="AP278" s="350"/>
      <c r="AQ278" s="351"/>
    </row>
    <row r="279" spans="1:43" ht="30" customHeight="1">
      <c r="A279" s="98">
        <f t="shared" si="1"/>
        <v>267</v>
      </c>
      <c r="B279" s="368" t="s">
        <v>325</v>
      </c>
      <c r="C279" s="350"/>
      <c r="D279" s="351"/>
      <c r="E279" s="736"/>
      <c r="F279" s="350"/>
      <c r="G279" s="351"/>
      <c r="H279" s="368"/>
      <c r="I279" s="350"/>
      <c r="J279" s="350"/>
      <c r="K279" s="351"/>
      <c r="L279" s="368"/>
      <c r="M279" s="350"/>
      <c r="N279" s="350"/>
      <c r="O279" s="350"/>
      <c r="P279" s="351"/>
      <c r="Q279" s="368"/>
      <c r="R279" s="350"/>
      <c r="S279" s="350"/>
      <c r="T279" s="350"/>
      <c r="U279" s="350"/>
      <c r="V279" s="350"/>
      <c r="W279" s="350"/>
      <c r="X279" s="350"/>
      <c r="Y279" s="350"/>
      <c r="Z279" s="351"/>
      <c r="AA279" s="368"/>
      <c r="AB279" s="350"/>
      <c r="AC279" s="350"/>
      <c r="AD279" s="350"/>
      <c r="AE279" s="350"/>
      <c r="AF279" s="350"/>
      <c r="AG279" s="350"/>
      <c r="AH279" s="350"/>
      <c r="AI279" s="350"/>
      <c r="AJ279" s="350"/>
      <c r="AK279" s="350"/>
      <c r="AL279" s="350"/>
      <c r="AM279" s="350"/>
      <c r="AN279" s="350"/>
      <c r="AO279" s="350"/>
      <c r="AP279" s="350"/>
      <c r="AQ279" s="351"/>
    </row>
    <row r="280" spans="1:43" ht="30" customHeight="1">
      <c r="A280" s="98">
        <f t="shared" si="1"/>
        <v>268</v>
      </c>
      <c r="B280" s="412" t="s">
        <v>325</v>
      </c>
      <c r="C280" s="350"/>
      <c r="D280" s="351"/>
      <c r="E280" s="735"/>
      <c r="F280" s="350"/>
      <c r="G280" s="351"/>
      <c r="H280" s="412"/>
      <c r="I280" s="350"/>
      <c r="J280" s="350"/>
      <c r="K280" s="351"/>
      <c r="L280" s="412"/>
      <c r="M280" s="350"/>
      <c r="N280" s="350"/>
      <c r="O280" s="350"/>
      <c r="P280" s="351"/>
      <c r="Q280" s="412"/>
      <c r="R280" s="350"/>
      <c r="S280" s="350"/>
      <c r="T280" s="350"/>
      <c r="U280" s="350"/>
      <c r="V280" s="350"/>
      <c r="W280" s="350"/>
      <c r="X280" s="350"/>
      <c r="Y280" s="350"/>
      <c r="Z280" s="351"/>
      <c r="AA280" s="412"/>
      <c r="AB280" s="350"/>
      <c r="AC280" s="350"/>
      <c r="AD280" s="350"/>
      <c r="AE280" s="350"/>
      <c r="AF280" s="350"/>
      <c r="AG280" s="350"/>
      <c r="AH280" s="350"/>
      <c r="AI280" s="350"/>
      <c r="AJ280" s="350"/>
      <c r="AK280" s="350"/>
      <c r="AL280" s="350"/>
      <c r="AM280" s="350"/>
      <c r="AN280" s="350"/>
      <c r="AO280" s="350"/>
      <c r="AP280" s="350"/>
      <c r="AQ280" s="351"/>
    </row>
    <row r="281" spans="1:43" ht="30" customHeight="1">
      <c r="A281" s="98">
        <f t="shared" si="1"/>
        <v>269</v>
      </c>
      <c r="B281" s="368" t="s">
        <v>325</v>
      </c>
      <c r="C281" s="350"/>
      <c r="D281" s="351"/>
      <c r="E281" s="736"/>
      <c r="F281" s="350"/>
      <c r="G281" s="351"/>
      <c r="H281" s="368"/>
      <c r="I281" s="350"/>
      <c r="J281" s="350"/>
      <c r="K281" s="351"/>
      <c r="L281" s="368"/>
      <c r="M281" s="350"/>
      <c r="N281" s="350"/>
      <c r="O281" s="350"/>
      <c r="P281" s="351"/>
      <c r="Q281" s="368"/>
      <c r="R281" s="350"/>
      <c r="S281" s="350"/>
      <c r="T281" s="350"/>
      <c r="U281" s="350"/>
      <c r="V281" s="350"/>
      <c r="W281" s="350"/>
      <c r="X281" s="350"/>
      <c r="Y281" s="350"/>
      <c r="Z281" s="351"/>
      <c r="AA281" s="368"/>
      <c r="AB281" s="350"/>
      <c r="AC281" s="350"/>
      <c r="AD281" s="350"/>
      <c r="AE281" s="350"/>
      <c r="AF281" s="350"/>
      <c r="AG281" s="350"/>
      <c r="AH281" s="350"/>
      <c r="AI281" s="350"/>
      <c r="AJ281" s="350"/>
      <c r="AK281" s="350"/>
      <c r="AL281" s="350"/>
      <c r="AM281" s="350"/>
      <c r="AN281" s="350"/>
      <c r="AO281" s="350"/>
      <c r="AP281" s="350"/>
      <c r="AQ281" s="351"/>
    </row>
    <row r="282" spans="1:43" ht="30" customHeight="1">
      <c r="A282" s="98">
        <f t="shared" si="1"/>
        <v>270</v>
      </c>
      <c r="B282" s="412" t="s">
        <v>325</v>
      </c>
      <c r="C282" s="350"/>
      <c r="D282" s="351"/>
      <c r="E282" s="735"/>
      <c r="F282" s="350"/>
      <c r="G282" s="351"/>
      <c r="H282" s="412"/>
      <c r="I282" s="350"/>
      <c r="J282" s="350"/>
      <c r="K282" s="351"/>
      <c r="L282" s="412"/>
      <c r="M282" s="350"/>
      <c r="N282" s="350"/>
      <c r="O282" s="350"/>
      <c r="P282" s="351"/>
      <c r="Q282" s="412"/>
      <c r="R282" s="350"/>
      <c r="S282" s="350"/>
      <c r="T282" s="350"/>
      <c r="U282" s="350"/>
      <c r="V282" s="350"/>
      <c r="W282" s="350"/>
      <c r="X282" s="350"/>
      <c r="Y282" s="350"/>
      <c r="Z282" s="351"/>
      <c r="AA282" s="412"/>
      <c r="AB282" s="350"/>
      <c r="AC282" s="350"/>
      <c r="AD282" s="350"/>
      <c r="AE282" s="350"/>
      <c r="AF282" s="350"/>
      <c r="AG282" s="350"/>
      <c r="AH282" s="350"/>
      <c r="AI282" s="350"/>
      <c r="AJ282" s="350"/>
      <c r="AK282" s="350"/>
      <c r="AL282" s="350"/>
      <c r="AM282" s="350"/>
      <c r="AN282" s="350"/>
      <c r="AO282" s="350"/>
      <c r="AP282" s="350"/>
      <c r="AQ282" s="351"/>
    </row>
    <row r="283" spans="1:43" ht="30" customHeight="1">
      <c r="A283" s="98">
        <f t="shared" si="1"/>
        <v>271</v>
      </c>
      <c r="B283" s="368" t="s">
        <v>325</v>
      </c>
      <c r="C283" s="350"/>
      <c r="D283" s="351"/>
      <c r="E283" s="736"/>
      <c r="F283" s="350"/>
      <c r="G283" s="351"/>
      <c r="H283" s="368"/>
      <c r="I283" s="350"/>
      <c r="J283" s="350"/>
      <c r="K283" s="351"/>
      <c r="L283" s="368"/>
      <c r="M283" s="350"/>
      <c r="N283" s="350"/>
      <c r="O283" s="350"/>
      <c r="P283" s="351"/>
      <c r="Q283" s="368"/>
      <c r="R283" s="350"/>
      <c r="S283" s="350"/>
      <c r="T283" s="350"/>
      <c r="U283" s="350"/>
      <c r="V283" s="350"/>
      <c r="W283" s="350"/>
      <c r="X283" s="350"/>
      <c r="Y283" s="350"/>
      <c r="Z283" s="351"/>
      <c r="AA283" s="368"/>
      <c r="AB283" s="350"/>
      <c r="AC283" s="350"/>
      <c r="AD283" s="350"/>
      <c r="AE283" s="350"/>
      <c r="AF283" s="350"/>
      <c r="AG283" s="350"/>
      <c r="AH283" s="350"/>
      <c r="AI283" s="350"/>
      <c r="AJ283" s="350"/>
      <c r="AK283" s="350"/>
      <c r="AL283" s="350"/>
      <c r="AM283" s="350"/>
      <c r="AN283" s="350"/>
      <c r="AO283" s="350"/>
      <c r="AP283" s="350"/>
      <c r="AQ283" s="351"/>
    </row>
    <row r="284" spans="1:43" ht="30" customHeight="1">
      <c r="A284" s="98">
        <f t="shared" si="1"/>
        <v>272</v>
      </c>
      <c r="B284" s="412" t="s">
        <v>325</v>
      </c>
      <c r="C284" s="350"/>
      <c r="D284" s="351"/>
      <c r="E284" s="735"/>
      <c r="F284" s="350"/>
      <c r="G284" s="351"/>
      <c r="H284" s="412"/>
      <c r="I284" s="350"/>
      <c r="J284" s="350"/>
      <c r="K284" s="351"/>
      <c r="L284" s="412"/>
      <c r="M284" s="350"/>
      <c r="N284" s="350"/>
      <c r="O284" s="350"/>
      <c r="P284" s="351"/>
      <c r="Q284" s="412"/>
      <c r="R284" s="350"/>
      <c r="S284" s="350"/>
      <c r="T284" s="350"/>
      <c r="U284" s="350"/>
      <c r="V284" s="350"/>
      <c r="W284" s="350"/>
      <c r="X284" s="350"/>
      <c r="Y284" s="350"/>
      <c r="Z284" s="351"/>
      <c r="AA284" s="412"/>
      <c r="AB284" s="350"/>
      <c r="AC284" s="350"/>
      <c r="AD284" s="350"/>
      <c r="AE284" s="350"/>
      <c r="AF284" s="350"/>
      <c r="AG284" s="350"/>
      <c r="AH284" s="350"/>
      <c r="AI284" s="350"/>
      <c r="AJ284" s="350"/>
      <c r="AK284" s="350"/>
      <c r="AL284" s="350"/>
      <c r="AM284" s="350"/>
      <c r="AN284" s="350"/>
      <c r="AO284" s="350"/>
      <c r="AP284" s="350"/>
      <c r="AQ284" s="351"/>
    </row>
    <row r="285" spans="1:43" ht="30" customHeight="1">
      <c r="A285" s="98">
        <f t="shared" si="1"/>
        <v>273</v>
      </c>
      <c r="B285" s="368" t="s">
        <v>325</v>
      </c>
      <c r="C285" s="350"/>
      <c r="D285" s="351"/>
      <c r="E285" s="736"/>
      <c r="F285" s="350"/>
      <c r="G285" s="351"/>
      <c r="H285" s="368"/>
      <c r="I285" s="350"/>
      <c r="J285" s="350"/>
      <c r="K285" s="351"/>
      <c r="L285" s="368"/>
      <c r="M285" s="350"/>
      <c r="N285" s="350"/>
      <c r="O285" s="350"/>
      <c r="P285" s="351"/>
      <c r="Q285" s="368"/>
      <c r="R285" s="350"/>
      <c r="S285" s="350"/>
      <c r="T285" s="350"/>
      <c r="U285" s="350"/>
      <c r="V285" s="350"/>
      <c r="W285" s="350"/>
      <c r="X285" s="350"/>
      <c r="Y285" s="350"/>
      <c r="Z285" s="351"/>
      <c r="AA285" s="368"/>
      <c r="AB285" s="350"/>
      <c r="AC285" s="350"/>
      <c r="AD285" s="350"/>
      <c r="AE285" s="350"/>
      <c r="AF285" s="350"/>
      <c r="AG285" s="350"/>
      <c r="AH285" s="350"/>
      <c r="AI285" s="350"/>
      <c r="AJ285" s="350"/>
      <c r="AK285" s="350"/>
      <c r="AL285" s="350"/>
      <c r="AM285" s="350"/>
      <c r="AN285" s="350"/>
      <c r="AO285" s="350"/>
      <c r="AP285" s="350"/>
      <c r="AQ285" s="351"/>
    </row>
    <row r="286" spans="1:43" ht="30" customHeight="1">
      <c r="A286" s="98">
        <f t="shared" si="1"/>
        <v>274</v>
      </c>
      <c r="B286" s="412" t="s">
        <v>325</v>
      </c>
      <c r="C286" s="350"/>
      <c r="D286" s="351"/>
      <c r="E286" s="735"/>
      <c r="F286" s="350"/>
      <c r="G286" s="351"/>
      <c r="H286" s="412"/>
      <c r="I286" s="350"/>
      <c r="J286" s="350"/>
      <c r="K286" s="351"/>
      <c r="L286" s="412"/>
      <c r="M286" s="350"/>
      <c r="N286" s="350"/>
      <c r="O286" s="350"/>
      <c r="P286" s="351"/>
      <c r="Q286" s="412"/>
      <c r="R286" s="350"/>
      <c r="S286" s="350"/>
      <c r="T286" s="350"/>
      <c r="U286" s="350"/>
      <c r="V286" s="350"/>
      <c r="W286" s="350"/>
      <c r="X286" s="350"/>
      <c r="Y286" s="350"/>
      <c r="Z286" s="351"/>
      <c r="AA286" s="412"/>
      <c r="AB286" s="350"/>
      <c r="AC286" s="350"/>
      <c r="AD286" s="350"/>
      <c r="AE286" s="350"/>
      <c r="AF286" s="350"/>
      <c r="AG286" s="350"/>
      <c r="AH286" s="350"/>
      <c r="AI286" s="350"/>
      <c r="AJ286" s="350"/>
      <c r="AK286" s="350"/>
      <c r="AL286" s="350"/>
      <c r="AM286" s="350"/>
      <c r="AN286" s="350"/>
      <c r="AO286" s="350"/>
      <c r="AP286" s="350"/>
      <c r="AQ286" s="351"/>
    </row>
    <row r="287" spans="1:43" ht="30" customHeight="1">
      <c r="A287" s="98">
        <f t="shared" si="1"/>
        <v>275</v>
      </c>
      <c r="B287" s="368" t="s">
        <v>325</v>
      </c>
      <c r="C287" s="350"/>
      <c r="D287" s="351"/>
      <c r="E287" s="736"/>
      <c r="F287" s="350"/>
      <c r="G287" s="351"/>
      <c r="H287" s="368"/>
      <c r="I287" s="350"/>
      <c r="J287" s="350"/>
      <c r="K287" s="351"/>
      <c r="L287" s="368"/>
      <c r="M287" s="350"/>
      <c r="N287" s="350"/>
      <c r="O287" s="350"/>
      <c r="P287" s="351"/>
      <c r="Q287" s="368"/>
      <c r="R287" s="350"/>
      <c r="S287" s="350"/>
      <c r="T287" s="350"/>
      <c r="U287" s="350"/>
      <c r="V287" s="350"/>
      <c r="W287" s="350"/>
      <c r="X287" s="350"/>
      <c r="Y287" s="350"/>
      <c r="Z287" s="351"/>
      <c r="AA287" s="368"/>
      <c r="AB287" s="350"/>
      <c r="AC287" s="350"/>
      <c r="AD287" s="350"/>
      <c r="AE287" s="350"/>
      <c r="AF287" s="350"/>
      <c r="AG287" s="350"/>
      <c r="AH287" s="350"/>
      <c r="AI287" s="350"/>
      <c r="AJ287" s="350"/>
      <c r="AK287" s="350"/>
      <c r="AL287" s="350"/>
      <c r="AM287" s="350"/>
      <c r="AN287" s="350"/>
      <c r="AO287" s="350"/>
      <c r="AP287" s="350"/>
      <c r="AQ287" s="351"/>
    </row>
    <row r="288" spans="1:43" ht="30" customHeight="1">
      <c r="A288" s="98">
        <f t="shared" si="1"/>
        <v>276</v>
      </c>
      <c r="B288" s="412" t="s">
        <v>325</v>
      </c>
      <c r="C288" s="350"/>
      <c r="D288" s="351"/>
      <c r="E288" s="735"/>
      <c r="F288" s="350"/>
      <c r="G288" s="351"/>
      <c r="H288" s="412"/>
      <c r="I288" s="350"/>
      <c r="J288" s="350"/>
      <c r="K288" s="351"/>
      <c r="L288" s="412"/>
      <c r="M288" s="350"/>
      <c r="N288" s="350"/>
      <c r="O288" s="350"/>
      <c r="P288" s="351"/>
      <c r="Q288" s="412"/>
      <c r="R288" s="350"/>
      <c r="S288" s="350"/>
      <c r="T288" s="350"/>
      <c r="U288" s="350"/>
      <c r="V288" s="350"/>
      <c r="W288" s="350"/>
      <c r="X288" s="350"/>
      <c r="Y288" s="350"/>
      <c r="Z288" s="351"/>
      <c r="AA288" s="412"/>
      <c r="AB288" s="350"/>
      <c r="AC288" s="350"/>
      <c r="AD288" s="350"/>
      <c r="AE288" s="350"/>
      <c r="AF288" s="350"/>
      <c r="AG288" s="350"/>
      <c r="AH288" s="350"/>
      <c r="AI288" s="350"/>
      <c r="AJ288" s="350"/>
      <c r="AK288" s="350"/>
      <c r="AL288" s="350"/>
      <c r="AM288" s="350"/>
      <c r="AN288" s="350"/>
      <c r="AO288" s="350"/>
      <c r="AP288" s="350"/>
      <c r="AQ288" s="351"/>
    </row>
    <row r="289" spans="1:43" ht="30" customHeight="1">
      <c r="A289" s="98">
        <f t="shared" si="1"/>
        <v>277</v>
      </c>
      <c r="B289" s="368" t="s">
        <v>325</v>
      </c>
      <c r="C289" s="350"/>
      <c r="D289" s="351"/>
      <c r="E289" s="736"/>
      <c r="F289" s="350"/>
      <c r="G289" s="351"/>
      <c r="H289" s="368"/>
      <c r="I289" s="350"/>
      <c r="J289" s="350"/>
      <c r="K289" s="351"/>
      <c r="L289" s="368"/>
      <c r="M289" s="350"/>
      <c r="N289" s="350"/>
      <c r="O289" s="350"/>
      <c r="P289" s="351"/>
      <c r="Q289" s="368"/>
      <c r="R289" s="350"/>
      <c r="S289" s="350"/>
      <c r="T289" s="350"/>
      <c r="U289" s="350"/>
      <c r="V289" s="350"/>
      <c r="W289" s="350"/>
      <c r="X289" s="350"/>
      <c r="Y289" s="350"/>
      <c r="Z289" s="351"/>
      <c r="AA289" s="368"/>
      <c r="AB289" s="350"/>
      <c r="AC289" s="350"/>
      <c r="AD289" s="350"/>
      <c r="AE289" s="350"/>
      <c r="AF289" s="350"/>
      <c r="AG289" s="350"/>
      <c r="AH289" s="350"/>
      <c r="AI289" s="350"/>
      <c r="AJ289" s="350"/>
      <c r="AK289" s="350"/>
      <c r="AL289" s="350"/>
      <c r="AM289" s="350"/>
      <c r="AN289" s="350"/>
      <c r="AO289" s="350"/>
      <c r="AP289" s="350"/>
      <c r="AQ289" s="351"/>
    </row>
    <row r="290" spans="1:43" ht="30" customHeight="1">
      <c r="A290" s="98">
        <f t="shared" si="1"/>
        <v>278</v>
      </c>
      <c r="B290" s="412" t="s">
        <v>325</v>
      </c>
      <c r="C290" s="350"/>
      <c r="D290" s="351"/>
      <c r="E290" s="735"/>
      <c r="F290" s="350"/>
      <c r="G290" s="351"/>
      <c r="H290" s="412"/>
      <c r="I290" s="350"/>
      <c r="J290" s="350"/>
      <c r="K290" s="351"/>
      <c r="L290" s="412"/>
      <c r="M290" s="350"/>
      <c r="N290" s="350"/>
      <c r="O290" s="350"/>
      <c r="P290" s="351"/>
      <c r="Q290" s="412"/>
      <c r="R290" s="350"/>
      <c r="S290" s="350"/>
      <c r="T290" s="350"/>
      <c r="U290" s="350"/>
      <c r="V290" s="350"/>
      <c r="W290" s="350"/>
      <c r="X290" s="350"/>
      <c r="Y290" s="350"/>
      <c r="Z290" s="351"/>
      <c r="AA290" s="412"/>
      <c r="AB290" s="350"/>
      <c r="AC290" s="350"/>
      <c r="AD290" s="350"/>
      <c r="AE290" s="350"/>
      <c r="AF290" s="350"/>
      <c r="AG290" s="350"/>
      <c r="AH290" s="350"/>
      <c r="AI290" s="350"/>
      <c r="AJ290" s="350"/>
      <c r="AK290" s="350"/>
      <c r="AL290" s="350"/>
      <c r="AM290" s="350"/>
      <c r="AN290" s="350"/>
      <c r="AO290" s="350"/>
      <c r="AP290" s="350"/>
      <c r="AQ290" s="351"/>
    </row>
    <row r="291" spans="1:43" ht="30" customHeight="1">
      <c r="A291" s="98">
        <f t="shared" si="1"/>
        <v>279</v>
      </c>
      <c r="B291" s="368" t="s">
        <v>325</v>
      </c>
      <c r="C291" s="350"/>
      <c r="D291" s="351"/>
      <c r="E291" s="736"/>
      <c r="F291" s="350"/>
      <c r="G291" s="351"/>
      <c r="H291" s="368"/>
      <c r="I291" s="350"/>
      <c r="J291" s="350"/>
      <c r="K291" s="351"/>
      <c r="L291" s="368"/>
      <c r="M291" s="350"/>
      <c r="N291" s="350"/>
      <c r="O291" s="350"/>
      <c r="P291" s="351"/>
      <c r="Q291" s="368"/>
      <c r="R291" s="350"/>
      <c r="S291" s="350"/>
      <c r="T291" s="350"/>
      <c r="U291" s="350"/>
      <c r="V291" s="350"/>
      <c r="W291" s="350"/>
      <c r="X291" s="350"/>
      <c r="Y291" s="350"/>
      <c r="Z291" s="351"/>
      <c r="AA291" s="368"/>
      <c r="AB291" s="350"/>
      <c r="AC291" s="350"/>
      <c r="AD291" s="350"/>
      <c r="AE291" s="350"/>
      <c r="AF291" s="350"/>
      <c r="AG291" s="350"/>
      <c r="AH291" s="350"/>
      <c r="AI291" s="350"/>
      <c r="AJ291" s="350"/>
      <c r="AK291" s="350"/>
      <c r="AL291" s="350"/>
      <c r="AM291" s="350"/>
      <c r="AN291" s="350"/>
      <c r="AO291" s="350"/>
      <c r="AP291" s="350"/>
      <c r="AQ291" s="351"/>
    </row>
    <row r="292" spans="1:43" ht="30" customHeight="1">
      <c r="A292" s="98">
        <f t="shared" si="1"/>
        <v>280</v>
      </c>
      <c r="B292" s="412" t="s">
        <v>325</v>
      </c>
      <c r="C292" s="350"/>
      <c r="D292" s="351"/>
      <c r="E292" s="735"/>
      <c r="F292" s="350"/>
      <c r="G292" s="351"/>
      <c r="H292" s="412"/>
      <c r="I292" s="350"/>
      <c r="J292" s="350"/>
      <c r="K292" s="351"/>
      <c r="L292" s="412"/>
      <c r="M292" s="350"/>
      <c r="N292" s="350"/>
      <c r="O292" s="350"/>
      <c r="P292" s="351"/>
      <c r="Q292" s="412"/>
      <c r="R292" s="350"/>
      <c r="S292" s="350"/>
      <c r="T292" s="350"/>
      <c r="U292" s="350"/>
      <c r="V292" s="350"/>
      <c r="W292" s="350"/>
      <c r="X292" s="350"/>
      <c r="Y292" s="350"/>
      <c r="Z292" s="351"/>
      <c r="AA292" s="412"/>
      <c r="AB292" s="350"/>
      <c r="AC292" s="350"/>
      <c r="AD292" s="350"/>
      <c r="AE292" s="350"/>
      <c r="AF292" s="350"/>
      <c r="AG292" s="350"/>
      <c r="AH292" s="350"/>
      <c r="AI292" s="350"/>
      <c r="AJ292" s="350"/>
      <c r="AK292" s="350"/>
      <c r="AL292" s="350"/>
      <c r="AM292" s="350"/>
      <c r="AN292" s="350"/>
      <c r="AO292" s="350"/>
      <c r="AP292" s="350"/>
      <c r="AQ292" s="351"/>
    </row>
    <row r="293" spans="1:43" ht="30" customHeight="1">
      <c r="A293" s="98">
        <f t="shared" si="1"/>
        <v>281</v>
      </c>
      <c r="B293" s="368" t="s">
        <v>325</v>
      </c>
      <c r="C293" s="350"/>
      <c r="D293" s="351"/>
      <c r="E293" s="736"/>
      <c r="F293" s="350"/>
      <c r="G293" s="351"/>
      <c r="H293" s="368"/>
      <c r="I293" s="350"/>
      <c r="J293" s="350"/>
      <c r="K293" s="351"/>
      <c r="L293" s="368"/>
      <c r="M293" s="350"/>
      <c r="N293" s="350"/>
      <c r="O293" s="350"/>
      <c r="P293" s="351"/>
      <c r="Q293" s="368"/>
      <c r="R293" s="350"/>
      <c r="S293" s="350"/>
      <c r="T293" s="350"/>
      <c r="U293" s="350"/>
      <c r="V293" s="350"/>
      <c r="W293" s="350"/>
      <c r="X293" s="350"/>
      <c r="Y293" s="350"/>
      <c r="Z293" s="351"/>
      <c r="AA293" s="368"/>
      <c r="AB293" s="350"/>
      <c r="AC293" s="350"/>
      <c r="AD293" s="350"/>
      <c r="AE293" s="350"/>
      <c r="AF293" s="350"/>
      <c r="AG293" s="350"/>
      <c r="AH293" s="350"/>
      <c r="AI293" s="350"/>
      <c r="AJ293" s="350"/>
      <c r="AK293" s="350"/>
      <c r="AL293" s="350"/>
      <c r="AM293" s="350"/>
      <c r="AN293" s="350"/>
      <c r="AO293" s="350"/>
      <c r="AP293" s="350"/>
      <c r="AQ293" s="351"/>
    </row>
    <row r="294" spans="1:43" ht="30" customHeight="1">
      <c r="A294" s="98">
        <f t="shared" si="1"/>
        <v>282</v>
      </c>
      <c r="B294" s="412" t="s">
        <v>325</v>
      </c>
      <c r="C294" s="350"/>
      <c r="D294" s="351"/>
      <c r="E294" s="735"/>
      <c r="F294" s="350"/>
      <c r="G294" s="351"/>
      <c r="H294" s="412"/>
      <c r="I294" s="350"/>
      <c r="J294" s="350"/>
      <c r="K294" s="351"/>
      <c r="L294" s="412"/>
      <c r="M294" s="350"/>
      <c r="N294" s="350"/>
      <c r="O294" s="350"/>
      <c r="P294" s="351"/>
      <c r="Q294" s="412"/>
      <c r="R294" s="350"/>
      <c r="S294" s="350"/>
      <c r="T294" s="350"/>
      <c r="U294" s="350"/>
      <c r="V294" s="350"/>
      <c r="W294" s="350"/>
      <c r="X294" s="350"/>
      <c r="Y294" s="350"/>
      <c r="Z294" s="351"/>
      <c r="AA294" s="412"/>
      <c r="AB294" s="350"/>
      <c r="AC294" s="350"/>
      <c r="AD294" s="350"/>
      <c r="AE294" s="350"/>
      <c r="AF294" s="350"/>
      <c r="AG294" s="350"/>
      <c r="AH294" s="350"/>
      <c r="AI294" s="350"/>
      <c r="AJ294" s="350"/>
      <c r="AK294" s="350"/>
      <c r="AL294" s="350"/>
      <c r="AM294" s="350"/>
      <c r="AN294" s="350"/>
      <c r="AO294" s="350"/>
      <c r="AP294" s="350"/>
      <c r="AQ294" s="351"/>
    </row>
    <row r="295" spans="1:43" ht="30" customHeight="1">
      <c r="A295" s="98">
        <f t="shared" si="1"/>
        <v>283</v>
      </c>
      <c r="B295" s="368" t="s">
        <v>325</v>
      </c>
      <c r="C295" s="350"/>
      <c r="D295" s="351"/>
      <c r="E295" s="736"/>
      <c r="F295" s="350"/>
      <c r="G295" s="351"/>
      <c r="H295" s="368"/>
      <c r="I295" s="350"/>
      <c r="J295" s="350"/>
      <c r="K295" s="351"/>
      <c r="L295" s="368"/>
      <c r="M295" s="350"/>
      <c r="N295" s="350"/>
      <c r="O295" s="350"/>
      <c r="P295" s="351"/>
      <c r="Q295" s="368"/>
      <c r="R295" s="350"/>
      <c r="S295" s="350"/>
      <c r="T295" s="350"/>
      <c r="U295" s="350"/>
      <c r="V295" s="350"/>
      <c r="W295" s="350"/>
      <c r="X295" s="350"/>
      <c r="Y295" s="350"/>
      <c r="Z295" s="351"/>
      <c r="AA295" s="368"/>
      <c r="AB295" s="350"/>
      <c r="AC295" s="350"/>
      <c r="AD295" s="350"/>
      <c r="AE295" s="350"/>
      <c r="AF295" s="350"/>
      <c r="AG295" s="350"/>
      <c r="AH295" s="350"/>
      <c r="AI295" s="350"/>
      <c r="AJ295" s="350"/>
      <c r="AK295" s="350"/>
      <c r="AL295" s="350"/>
      <c r="AM295" s="350"/>
      <c r="AN295" s="350"/>
      <c r="AO295" s="350"/>
      <c r="AP295" s="350"/>
      <c r="AQ295" s="351"/>
    </row>
    <row r="296" spans="1:43" ht="30" customHeight="1">
      <c r="A296" s="98">
        <f t="shared" si="1"/>
        <v>284</v>
      </c>
      <c r="B296" s="412" t="s">
        <v>325</v>
      </c>
      <c r="C296" s="350"/>
      <c r="D296" s="351"/>
      <c r="E296" s="735"/>
      <c r="F296" s="350"/>
      <c r="G296" s="351"/>
      <c r="H296" s="412"/>
      <c r="I296" s="350"/>
      <c r="J296" s="350"/>
      <c r="K296" s="351"/>
      <c r="L296" s="412"/>
      <c r="M296" s="350"/>
      <c r="N296" s="350"/>
      <c r="O296" s="350"/>
      <c r="P296" s="351"/>
      <c r="Q296" s="412"/>
      <c r="R296" s="350"/>
      <c r="S296" s="350"/>
      <c r="T296" s="350"/>
      <c r="U296" s="350"/>
      <c r="V296" s="350"/>
      <c r="W296" s="350"/>
      <c r="X296" s="350"/>
      <c r="Y296" s="350"/>
      <c r="Z296" s="351"/>
      <c r="AA296" s="412"/>
      <c r="AB296" s="350"/>
      <c r="AC296" s="350"/>
      <c r="AD296" s="350"/>
      <c r="AE296" s="350"/>
      <c r="AF296" s="350"/>
      <c r="AG296" s="350"/>
      <c r="AH296" s="350"/>
      <c r="AI296" s="350"/>
      <c r="AJ296" s="350"/>
      <c r="AK296" s="350"/>
      <c r="AL296" s="350"/>
      <c r="AM296" s="350"/>
      <c r="AN296" s="350"/>
      <c r="AO296" s="350"/>
      <c r="AP296" s="350"/>
      <c r="AQ296" s="351"/>
    </row>
    <row r="297" spans="1:43" ht="30" customHeight="1">
      <c r="A297" s="98">
        <f t="shared" si="1"/>
        <v>285</v>
      </c>
      <c r="B297" s="368" t="s">
        <v>325</v>
      </c>
      <c r="C297" s="350"/>
      <c r="D297" s="351"/>
      <c r="E297" s="736"/>
      <c r="F297" s="350"/>
      <c r="G297" s="351"/>
      <c r="H297" s="368"/>
      <c r="I297" s="350"/>
      <c r="J297" s="350"/>
      <c r="K297" s="351"/>
      <c r="L297" s="368"/>
      <c r="M297" s="350"/>
      <c r="N297" s="350"/>
      <c r="O297" s="350"/>
      <c r="P297" s="351"/>
      <c r="Q297" s="368"/>
      <c r="R297" s="350"/>
      <c r="S297" s="350"/>
      <c r="T297" s="350"/>
      <c r="U297" s="350"/>
      <c r="V297" s="350"/>
      <c r="W297" s="350"/>
      <c r="X297" s="350"/>
      <c r="Y297" s="350"/>
      <c r="Z297" s="351"/>
      <c r="AA297" s="368"/>
      <c r="AB297" s="350"/>
      <c r="AC297" s="350"/>
      <c r="AD297" s="350"/>
      <c r="AE297" s="350"/>
      <c r="AF297" s="350"/>
      <c r="AG297" s="350"/>
      <c r="AH297" s="350"/>
      <c r="AI297" s="350"/>
      <c r="AJ297" s="350"/>
      <c r="AK297" s="350"/>
      <c r="AL297" s="350"/>
      <c r="AM297" s="350"/>
      <c r="AN297" s="350"/>
      <c r="AO297" s="350"/>
      <c r="AP297" s="350"/>
      <c r="AQ297" s="351"/>
    </row>
    <row r="298" spans="1:43" ht="30" customHeight="1">
      <c r="A298" s="98">
        <f t="shared" si="1"/>
        <v>286</v>
      </c>
      <c r="B298" s="412" t="s">
        <v>325</v>
      </c>
      <c r="C298" s="350"/>
      <c r="D298" s="351"/>
      <c r="E298" s="735"/>
      <c r="F298" s="350"/>
      <c r="G298" s="351"/>
      <c r="H298" s="412"/>
      <c r="I298" s="350"/>
      <c r="J298" s="350"/>
      <c r="K298" s="351"/>
      <c r="L298" s="412"/>
      <c r="M298" s="350"/>
      <c r="N298" s="350"/>
      <c r="O298" s="350"/>
      <c r="P298" s="351"/>
      <c r="Q298" s="412"/>
      <c r="R298" s="350"/>
      <c r="S298" s="350"/>
      <c r="T298" s="350"/>
      <c r="U298" s="350"/>
      <c r="V298" s="350"/>
      <c r="W298" s="350"/>
      <c r="X298" s="350"/>
      <c r="Y298" s="350"/>
      <c r="Z298" s="351"/>
      <c r="AA298" s="412"/>
      <c r="AB298" s="350"/>
      <c r="AC298" s="350"/>
      <c r="AD298" s="350"/>
      <c r="AE298" s="350"/>
      <c r="AF298" s="350"/>
      <c r="AG298" s="350"/>
      <c r="AH298" s="350"/>
      <c r="AI298" s="350"/>
      <c r="AJ298" s="350"/>
      <c r="AK298" s="350"/>
      <c r="AL298" s="350"/>
      <c r="AM298" s="350"/>
      <c r="AN298" s="350"/>
      <c r="AO298" s="350"/>
      <c r="AP298" s="350"/>
      <c r="AQ298" s="351"/>
    </row>
    <row r="299" spans="1:43" ht="30" customHeight="1">
      <c r="A299" s="98">
        <f t="shared" si="1"/>
        <v>287</v>
      </c>
      <c r="B299" s="368" t="s">
        <v>325</v>
      </c>
      <c r="C299" s="350"/>
      <c r="D299" s="351"/>
      <c r="E299" s="736"/>
      <c r="F299" s="350"/>
      <c r="G299" s="351"/>
      <c r="H299" s="368"/>
      <c r="I299" s="350"/>
      <c r="J299" s="350"/>
      <c r="K299" s="351"/>
      <c r="L299" s="368"/>
      <c r="M299" s="350"/>
      <c r="N299" s="350"/>
      <c r="O299" s="350"/>
      <c r="P299" s="351"/>
      <c r="Q299" s="368"/>
      <c r="R299" s="350"/>
      <c r="S299" s="350"/>
      <c r="T299" s="350"/>
      <c r="U299" s="350"/>
      <c r="V299" s="350"/>
      <c r="W299" s="350"/>
      <c r="X299" s="350"/>
      <c r="Y299" s="350"/>
      <c r="Z299" s="351"/>
      <c r="AA299" s="368"/>
      <c r="AB299" s="350"/>
      <c r="AC299" s="350"/>
      <c r="AD299" s="350"/>
      <c r="AE299" s="350"/>
      <c r="AF299" s="350"/>
      <c r="AG299" s="350"/>
      <c r="AH299" s="350"/>
      <c r="AI299" s="350"/>
      <c r="AJ299" s="350"/>
      <c r="AK299" s="350"/>
      <c r="AL299" s="350"/>
      <c r="AM299" s="350"/>
      <c r="AN299" s="350"/>
      <c r="AO299" s="350"/>
      <c r="AP299" s="350"/>
      <c r="AQ299" s="351"/>
    </row>
    <row r="300" spans="1:43" ht="30" customHeight="1">
      <c r="A300" s="98">
        <f t="shared" si="1"/>
        <v>288</v>
      </c>
      <c r="B300" s="412" t="s">
        <v>325</v>
      </c>
      <c r="C300" s="350"/>
      <c r="D300" s="351"/>
      <c r="E300" s="735"/>
      <c r="F300" s="350"/>
      <c r="G300" s="351"/>
      <c r="H300" s="412"/>
      <c r="I300" s="350"/>
      <c r="J300" s="350"/>
      <c r="K300" s="351"/>
      <c r="L300" s="412"/>
      <c r="M300" s="350"/>
      <c r="N300" s="350"/>
      <c r="O300" s="350"/>
      <c r="P300" s="351"/>
      <c r="Q300" s="412"/>
      <c r="R300" s="350"/>
      <c r="S300" s="350"/>
      <c r="T300" s="350"/>
      <c r="U300" s="350"/>
      <c r="V300" s="350"/>
      <c r="W300" s="350"/>
      <c r="X300" s="350"/>
      <c r="Y300" s="350"/>
      <c r="Z300" s="351"/>
      <c r="AA300" s="412"/>
      <c r="AB300" s="350"/>
      <c r="AC300" s="350"/>
      <c r="AD300" s="350"/>
      <c r="AE300" s="350"/>
      <c r="AF300" s="350"/>
      <c r="AG300" s="350"/>
      <c r="AH300" s="350"/>
      <c r="AI300" s="350"/>
      <c r="AJ300" s="350"/>
      <c r="AK300" s="350"/>
      <c r="AL300" s="350"/>
      <c r="AM300" s="350"/>
      <c r="AN300" s="350"/>
      <c r="AO300" s="350"/>
      <c r="AP300" s="350"/>
      <c r="AQ300" s="351"/>
    </row>
    <row r="301" spans="1:43" ht="30" customHeight="1">
      <c r="A301" s="98">
        <f t="shared" si="1"/>
        <v>289</v>
      </c>
      <c r="B301" s="368" t="s">
        <v>325</v>
      </c>
      <c r="C301" s="350"/>
      <c r="D301" s="351"/>
      <c r="E301" s="736"/>
      <c r="F301" s="350"/>
      <c r="G301" s="351"/>
      <c r="H301" s="368"/>
      <c r="I301" s="350"/>
      <c r="J301" s="350"/>
      <c r="K301" s="351"/>
      <c r="L301" s="368"/>
      <c r="M301" s="350"/>
      <c r="N301" s="350"/>
      <c r="O301" s="350"/>
      <c r="P301" s="351"/>
      <c r="Q301" s="368"/>
      <c r="R301" s="350"/>
      <c r="S301" s="350"/>
      <c r="T301" s="350"/>
      <c r="U301" s="350"/>
      <c r="V301" s="350"/>
      <c r="W301" s="350"/>
      <c r="X301" s="350"/>
      <c r="Y301" s="350"/>
      <c r="Z301" s="351"/>
      <c r="AA301" s="368"/>
      <c r="AB301" s="350"/>
      <c r="AC301" s="350"/>
      <c r="AD301" s="350"/>
      <c r="AE301" s="350"/>
      <c r="AF301" s="350"/>
      <c r="AG301" s="350"/>
      <c r="AH301" s="350"/>
      <c r="AI301" s="350"/>
      <c r="AJ301" s="350"/>
      <c r="AK301" s="350"/>
      <c r="AL301" s="350"/>
      <c r="AM301" s="350"/>
      <c r="AN301" s="350"/>
      <c r="AO301" s="350"/>
      <c r="AP301" s="350"/>
      <c r="AQ301" s="351"/>
    </row>
    <row r="302" spans="1:43" ht="30" customHeight="1">
      <c r="A302" s="98">
        <f t="shared" si="1"/>
        <v>290</v>
      </c>
      <c r="B302" s="412" t="s">
        <v>325</v>
      </c>
      <c r="C302" s="350"/>
      <c r="D302" s="351"/>
      <c r="E302" s="735"/>
      <c r="F302" s="350"/>
      <c r="G302" s="351"/>
      <c r="H302" s="412"/>
      <c r="I302" s="350"/>
      <c r="J302" s="350"/>
      <c r="K302" s="351"/>
      <c r="L302" s="412"/>
      <c r="M302" s="350"/>
      <c r="N302" s="350"/>
      <c r="O302" s="350"/>
      <c r="P302" s="351"/>
      <c r="Q302" s="412"/>
      <c r="R302" s="350"/>
      <c r="S302" s="350"/>
      <c r="T302" s="350"/>
      <c r="U302" s="350"/>
      <c r="V302" s="350"/>
      <c r="W302" s="350"/>
      <c r="X302" s="350"/>
      <c r="Y302" s="350"/>
      <c r="Z302" s="351"/>
      <c r="AA302" s="412"/>
      <c r="AB302" s="350"/>
      <c r="AC302" s="350"/>
      <c r="AD302" s="350"/>
      <c r="AE302" s="350"/>
      <c r="AF302" s="350"/>
      <c r="AG302" s="350"/>
      <c r="AH302" s="350"/>
      <c r="AI302" s="350"/>
      <c r="AJ302" s="350"/>
      <c r="AK302" s="350"/>
      <c r="AL302" s="350"/>
      <c r="AM302" s="350"/>
      <c r="AN302" s="350"/>
      <c r="AO302" s="350"/>
      <c r="AP302" s="350"/>
      <c r="AQ302" s="351"/>
    </row>
    <row r="303" spans="1:43" ht="30" customHeight="1">
      <c r="A303" s="98">
        <f t="shared" si="1"/>
        <v>291</v>
      </c>
      <c r="B303" s="368" t="s">
        <v>325</v>
      </c>
      <c r="C303" s="350"/>
      <c r="D303" s="351"/>
      <c r="E303" s="736"/>
      <c r="F303" s="350"/>
      <c r="G303" s="351"/>
      <c r="H303" s="368"/>
      <c r="I303" s="350"/>
      <c r="J303" s="350"/>
      <c r="K303" s="351"/>
      <c r="L303" s="368"/>
      <c r="M303" s="350"/>
      <c r="N303" s="350"/>
      <c r="O303" s="350"/>
      <c r="P303" s="351"/>
      <c r="Q303" s="368"/>
      <c r="R303" s="350"/>
      <c r="S303" s="350"/>
      <c r="T303" s="350"/>
      <c r="U303" s="350"/>
      <c r="V303" s="350"/>
      <c r="W303" s="350"/>
      <c r="X303" s="350"/>
      <c r="Y303" s="350"/>
      <c r="Z303" s="351"/>
      <c r="AA303" s="368"/>
      <c r="AB303" s="350"/>
      <c r="AC303" s="350"/>
      <c r="AD303" s="350"/>
      <c r="AE303" s="350"/>
      <c r="AF303" s="350"/>
      <c r="AG303" s="350"/>
      <c r="AH303" s="350"/>
      <c r="AI303" s="350"/>
      <c r="AJ303" s="350"/>
      <c r="AK303" s="350"/>
      <c r="AL303" s="350"/>
      <c r="AM303" s="350"/>
      <c r="AN303" s="350"/>
      <c r="AO303" s="350"/>
      <c r="AP303" s="350"/>
      <c r="AQ303" s="351"/>
    </row>
    <row r="304" spans="1:43" ht="30" customHeight="1">
      <c r="A304" s="98">
        <f t="shared" si="1"/>
        <v>292</v>
      </c>
      <c r="B304" s="412" t="s">
        <v>325</v>
      </c>
      <c r="C304" s="350"/>
      <c r="D304" s="351"/>
      <c r="E304" s="735"/>
      <c r="F304" s="350"/>
      <c r="G304" s="351"/>
      <c r="H304" s="412"/>
      <c r="I304" s="350"/>
      <c r="J304" s="350"/>
      <c r="K304" s="351"/>
      <c r="L304" s="412"/>
      <c r="M304" s="350"/>
      <c r="N304" s="350"/>
      <c r="O304" s="350"/>
      <c r="P304" s="351"/>
      <c r="Q304" s="412"/>
      <c r="R304" s="350"/>
      <c r="S304" s="350"/>
      <c r="T304" s="350"/>
      <c r="U304" s="350"/>
      <c r="V304" s="350"/>
      <c r="W304" s="350"/>
      <c r="X304" s="350"/>
      <c r="Y304" s="350"/>
      <c r="Z304" s="351"/>
      <c r="AA304" s="412"/>
      <c r="AB304" s="350"/>
      <c r="AC304" s="350"/>
      <c r="AD304" s="350"/>
      <c r="AE304" s="350"/>
      <c r="AF304" s="350"/>
      <c r="AG304" s="350"/>
      <c r="AH304" s="350"/>
      <c r="AI304" s="350"/>
      <c r="AJ304" s="350"/>
      <c r="AK304" s="350"/>
      <c r="AL304" s="350"/>
      <c r="AM304" s="350"/>
      <c r="AN304" s="350"/>
      <c r="AO304" s="350"/>
      <c r="AP304" s="350"/>
      <c r="AQ304" s="351"/>
    </row>
    <row r="305" spans="1:43" ht="30" customHeight="1">
      <c r="A305" s="98">
        <f t="shared" si="1"/>
        <v>293</v>
      </c>
      <c r="B305" s="368" t="s">
        <v>325</v>
      </c>
      <c r="C305" s="350"/>
      <c r="D305" s="351"/>
      <c r="E305" s="736"/>
      <c r="F305" s="350"/>
      <c r="G305" s="351"/>
      <c r="H305" s="368"/>
      <c r="I305" s="350"/>
      <c r="J305" s="350"/>
      <c r="K305" s="351"/>
      <c r="L305" s="368"/>
      <c r="M305" s="350"/>
      <c r="N305" s="350"/>
      <c r="O305" s="350"/>
      <c r="P305" s="351"/>
      <c r="Q305" s="368"/>
      <c r="R305" s="350"/>
      <c r="S305" s="350"/>
      <c r="T305" s="350"/>
      <c r="U305" s="350"/>
      <c r="V305" s="350"/>
      <c r="W305" s="350"/>
      <c r="X305" s="350"/>
      <c r="Y305" s="350"/>
      <c r="Z305" s="351"/>
      <c r="AA305" s="368"/>
      <c r="AB305" s="350"/>
      <c r="AC305" s="350"/>
      <c r="AD305" s="350"/>
      <c r="AE305" s="350"/>
      <c r="AF305" s="350"/>
      <c r="AG305" s="350"/>
      <c r="AH305" s="350"/>
      <c r="AI305" s="350"/>
      <c r="AJ305" s="350"/>
      <c r="AK305" s="350"/>
      <c r="AL305" s="350"/>
      <c r="AM305" s="350"/>
      <c r="AN305" s="350"/>
      <c r="AO305" s="350"/>
      <c r="AP305" s="350"/>
      <c r="AQ305" s="351"/>
    </row>
    <row r="306" spans="1:43" ht="30" customHeight="1">
      <c r="A306" s="98">
        <f t="shared" si="1"/>
        <v>294</v>
      </c>
      <c r="B306" s="412" t="s">
        <v>325</v>
      </c>
      <c r="C306" s="350"/>
      <c r="D306" s="351"/>
      <c r="E306" s="735"/>
      <c r="F306" s="350"/>
      <c r="G306" s="351"/>
      <c r="H306" s="412"/>
      <c r="I306" s="350"/>
      <c r="J306" s="350"/>
      <c r="K306" s="351"/>
      <c r="L306" s="412"/>
      <c r="M306" s="350"/>
      <c r="N306" s="350"/>
      <c r="O306" s="350"/>
      <c r="P306" s="351"/>
      <c r="Q306" s="412"/>
      <c r="R306" s="350"/>
      <c r="S306" s="350"/>
      <c r="T306" s="350"/>
      <c r="U306" s="350"/>
      <c r="V306" s="350"/>
      <c r="W306" s="350"/>
      <c r="X306" s="350"/>
      <c r="Y306" s="350"/>
      <c r="Z306" s="351"/>
      <c r="AA306" s="412"/>
      <c r="AB306" s="350"/>
      <c r="AC306" s="350"/>
      <c r="AD306" s="350"/>
      <c r="AE306" s="350"/>
      <c r="AF306" s="350"/>
      <c r="AG306" s="350"/>
      <c r="AH306" s="350"/>
      <c r="AI306" s="350"/>
      <c r="AJ306" s="350"/>
      <c r="AK306" s="350"/>
      <c r="AL306" s="350"/>
      <c r="AM306" s="350"/>
      <c r="AN306" s="350"/>
      <c r="AO306" s="350"/>
      <c r="AP306" s="350"/>
      <c r="AQ306" s="351"/>
    </row>
    <row r="307" spans="1:43" ht="30" customHeight="1">
      <c r="A307" s="98">
        <f t="shared" si="1"/>
        <v>295</v>
      </c>
      <c r="B307" s="368" t="s">
        <v>325</v>
      </c>
      <c r="C307" s="350"/>
      <c r="D307" s="351"/>
      <c r="E307" s="736"/>
      <c r="F307" s="350"/>
      <c r="G307" s="351"/>
      <c r="H307" s="368"/>
      <c r="I307" s="350"/>
      <c r="J307" s="350"/>
      <c r="K307" s="351"/>
      <c r="L307" s="368"/>
      <c r="M307" s="350"/>
      <c r="N307" s="350"/>
      <c r="O307" s="350"/>
      <c r="P307" s="351"/>
      <c r="Q307" s="368"/>
      <c r="R307" s="350"/>
      <c r="S307" s="350"/>
      <c r="T307" s="350"/>
      <c r="U307" s="350"/>
      <c r="V307" s="350"/>
      <c r="W307" s="350"/>
      <c r="X307" s="350"/>
      <c r="Y307" s="350"/>
      <c r="Z307" s="351"/>
      <c r="AA307" s="368"/>
      <c r="AB307" s="350"/>
      <c r="AC307" s="350"/>
      <c r="AD307" s="350"/>
      <c r="AE307" s="350"/>
      <c r="AF307" s="350"/>
      <c r="AG307" s="350"/>
      <c r="AH307" s="350"/>
      <c r="AI307" s="350"/>
      <c r="AJ307" s="350"/>
      <c r="AK307" s="350"/>
      <c r="AL307" s="350"/>
      <c r="AM307" s="350"/>
      <c r="AN307" s="350"/>
      <c r="AO307" s="350"/>
      <c r="AP307" s="350"/>
      <c r="AQ307" s="351"/>
    </row>
    <row r="308" spans="1:43" ht="30" customHeight="1">
      <c r="A308" s="98">
        <f t="shared" si="1"/>
        <v>296</v>
      </c>
      <c r="B308" s="412" t="s">
        <v>325</v>
      </c>
      <c r="C308" s="350"/>
      <c r="D308" s="351"/>
      <c r="E308" s="735"/>
      <c r="F308" s="350"/>
      <c r="G308" s="351"/>
      <c r="H308" s="412"/>
      <c r="I308" s="350"/>
      <c r="J308" s="350"/>
      <c r="K308" s="351"/>
      <c r="L308" s="412"/>
      <c r="M308" s="350"/>
      <c r="N308" s="350"/>
      <c r="O308" s="350"/>
      <c r="P308" s="351"/>
      <c r="Q308" s="412"/>
      <c r="R308" s="350"/>
      <c r="S308" s="350"/>
      <c r="T308" s="350"/>
      <c r="U308" s="350"/>
      <c r="V308" s="350"/>
      <c r="W308" s="350"/>
      <c r="X308" s="350"/>
      <c r="Y308" s="350"/>
      <c r="Z308" s="351"/>
      <c r="AA308" s="412"/>
      <c r="AB308" s="350"/>
      <c r="AC308" s="350"/>
      <c r="AD308" s="350"/>
      <c r="AE308" s="350"/>
      <c r="AF308" s="350"/>
      <c r="AG308" s="350"/>
      <c r="AH308" s="350"/>
      <c r="AI308" s="350"/>
      <c r="AJ308" s="350"/>
      <c r="AK308" s="350"/>
      <c r="AL308" s="350"/>
      <c r="AM308" s="350"/>
      <c r="AN308" s="350"/>
      <c r="AO308" s="350"/>
      <c r="AP308" s="350"/>
      <c r="AQ308" s="351"/>
    </row>
    <row r="309" spans="1:43" ht="30" customHeight="1">
      <c r="A309" s="98">
        <f t="shared" si="1"/>
        <v>297</v>
      </c>
      <c r="B309" s="368" t="s">
        <v>325</v>
      </c>
      <c r="C309" s="350"/>
      <c r="D309" s="351"/>
      <c r="E309" s="736"/>
      <c r="F309" s="350"/>
      <c r="G309" s="351"/>
      <c r="H309" s="368"/>
      <c r="I309" s="350"/>
      <c r="J309" s="350"/>
      <c r="K309" s="351"/>
      <c r="L309" s="368"/>
      <c r="M309" s="350"/>
      <c r="N309" s="350"/>
      <c r="O309" s="350"/>
      <c r="P309" s="351"/>
      <c r="Q309" s="368"/>
      <c r="R309" s="350"/>
      <c r="S309" s="350"/>
      <c r="T309" s="350"/>
      <c r="U309" s="350"/>
      <c r="V309" s="350"/>
      <c r="W309" s="350"/>
      <c r="X309" s="350"/>
      <c r="Y309" s="350"/>
      <c r="Z309" s="351"/>
      <c r="AA309" s="368"/>
      <c r="AB309" s="350"/>
      <c r="AC309" s="350"/>
      <c r="AD309" s="350"/>
      <c r="AE309" s="350"/>
      <c r="AF309" s="350"/>
      <c r="AG309" s="350"/>
      <c r="AH309" s="350"/>
      <c r="AI309" s="350"/>
      <c r="AJ309" s="350"/>
      <c r="AK309" s="350"/>
      <c r="AL309" s="350"/>
      <c r="AM309" s="350"/>
      <c r="AN309" s="350"/>
      <c r="AO309" s="350"/>
      <c r="AP309" s="350"/>
      <c r="AQ309" s="351"/>
    </row>
    <row r="310" spans="1:43" ht="30" customHeight="1">
      <c r="A310" s="98">
        <f t="shared" si="1"/>
        <v>298</v>
      </c>
      <c r="B310" s="412" t="s">
        <v>325</v>
      </c>
      <c r="C310" s="350"/>
      <c r="D310" s="351"/>
      <c r="E310" s="735"/>
      <c r="F310" s="350"/>
      <c r="G310" s="351"/>
      <c r="H310" s="412"/>
      <c r="I310" s="350"/>
      <c r="J310" s="350"/>
      <c r="K310" s="351"/>
      <c r="L310" s="412"/>
      <c r="M310" s="350"/>
      <c r="N310" s="350"/>
      <c r="O310" s="350"/>
      <c r="P310" s="351"/>
      <c r="Q310" s="412"/>
      <c r="R310" s="350"/>
      <c r="S310" s="350"/>
      <c r="T310" s="350"/>
      <c r="U310" s="350"/>
      <c r="V310" s="350"/>
      <c r="W310" s="350"/>
      <c r="X310" s="350"/>
      <c r="Y310" s="350"/>
      <c r="Z310" s="351"/>
      <c r="AA310" s="412"/>
      <c r="AB310" s="350"/>
      <c r="AC310" s="350"/>
      <c r="AD310" s="350"/>
      <c r="AE310" s="350"/>
      <c r="AF310" s="350"/>
      <c r="AG310" s="350"/>
      <c r="AH310" s="350"/>
      <c r="AI310" s="350"/>
      <c r="AJ310" s="350"/>
      <c r="AK310" s="350"/>
      <c r="AL310" s="350"/>
      <c r="AM310" s="350"/>
      <c r="AN310" s="350"/>
      <c r="AO310" s="350"/>
      <c r="AP310" s="350"/>
      <c r="AQ310" s="351"/>
    </row>
    <row r="311" spans="1:43" ht="30" customHeight="1">
      <c r="A311" s="98">
        <f t="shared" si="1"/>
        <v>299</v>
      </c>
      <c r="B311" s="368" t="s">
        <v>325</v>
      </c>
      <c r="C311" s="350"/>
      <c r="D311" s="351"/>
      <c r="E311" s="736"/>
      <c r="F311" s="350"/>
      <c r="G311" s="351"/>
      <c r="H311" s="368"/>
      <c r="I311" s="350"/>
      <c r="J311" s="350"/>
      <c r="K311" s="351"/>
      <c r="L311" s="368"/>
      <c r="M311" s="350"/>
      <c r="N311" s="350"/>
      <c r="O311" s="350"/>
      <c r="P311" s="351"/>
      <c r="Q311" s="368"/>
      <c r="R311" s="350"/>
      <c r="S311" s="350"/>
      <c r="T311" s="350"/>
      <c r="U311" s="350"/>
      <c r="V311" s="350"/>
      <c r="W311" s="350"/>
      <c r="X311" s="350"/>
      <c r="Y311" s="350"/>
      <c r="Z311" s="351"/>
      <c r="AA311" s="368"/>
      <c r="AB311" s="350"/>
      <c r="AC311" s="350"/>
      <c r="AD311" s="350"/>
      <c r="AE311" s="350"/>
      <c r="AF311" s="350"/>
      <c r="AG311" s="350"/>
      <c r="AH311" s="350"/>
      <c r="AI311" s="350"/>
      <c r="AJ311" s="350"/>
      <c r="AK311" s="350"/>
      <c r="AL311" s="350"/>
      <c r="AM311" s="350"/>
      <c r="AN311" s="350"/>
      <c r="AO311" s="350"/>
      <c r="AP311" s="350"/>
      <c r="AQ311" s="351"/>
    </row>
    <row r="312" spans="1:43" ht="30" customHeight="1">
      <c r="A312" s="98">
        <f t="shared" si="1"/>
        <v>300</v>
      </c>
      <c r="B312" s="412" t="s">
        <v>325</v>
      </c>
      <c r="C312" s="350"/>
      <c r="D312" s="351"/>
      <c r="E312" s="735"/>
      <c r="F312" s="350"/>
      <c r="G312" s="351"/>
      <c r="H312" s="412"/>
      <c r="I312" s="350"/>
      <c r="J312" s="350"/>
      <c r="K312" s="351"/>
      <c r="L312" s="412"/>
      <c r="M312" s="350"/>
      <c r="N312" s="350"/>
      <c r="O312" s="350"/>
      <c r="P312" s="351"/>
      <c r="Q312" s="412"/>
      <c r="R312" s="350"/>
      <c r="S312" s="350"/>
      <c r="T312" s="350"/>
      <c r="U312" s="350"/>
      <c r="V312" s="350"/>
      <c r="W312" s="350"/>
      <c r="X312" s="350"/>
      <c r="Y312" s="350"/>
      <c r="Z312" s="351"/>
      <c r="AA312" s="412"/>
      <c r="AB312" s="350"/>
      <c r="AC312" s="350"/>
      <c r="AD312" s="350"/>
      <c r="AE312" s="350"/>
      <c r="AF312" s="350"/>
      <c r="AG312" s="350"/>
      <c r="AH312" s="350"/>
      <c r="AI312" s="350"/>
      <c r="AJ312" s="350"/>
      <c r="AK312" s="350"/>
      <c r="AL312" s="350"/>
      <c r="AM312" s="350"/>
      <c r="AN312" s="350"/>
      <c r="AO312" s="350"/>
      <c r="AP312" s="350"/>
      <c r="AQ312" s="351"/>
    </row>
    <row r="313" spans="1:43" ht="30" customHeight="1">
      <c r="A313" s="98">
        <f t="shared" si="1"/>
        <v>301</v>
      </c>
      <c r="B313" s="368" t="s">
        <v>325</v>
      </c>
      <c r="C313" s="350"/>
      <c r="D313" s="351"/>
      <c r="E313" s="736"/>
      <c r="F313" s="350"/>
      <c r="G313" s="351"/>
      <c r="H313" s="368"/>
      <c r="I313" s="350"/>
      <c r="J313" s="350"/>
      <c r="K313" s="351"/>
      <c r="L313" s="368"/>
      <c r="M313" s="350"/>
      <c r="N313" s="350"/>
      <c r="O313" s="350"/>
      <c r="P313" s="351"/>
      <c r="Q313" s="368"/>
      <c r="R313" s="350"/>
      <c r="S313" s="350"/>
      <c r="T313" s="350"/>
      <c r="U313" s="350"/>
      <c r="V313" s="350"/>
      <c r="W313" s="350"/>
      <c r="X313" s="350"/>
      <c r="Y313" s="350"/>
      <c r="Z313" s="351"/>
      <c r="AA313" s="368"/>
      <c r="AB313" s="350"/>
      <c r="AC313" s="350"/>
      <c r="AD313" s="350"/>
      <c r="AE313" s="350"/>
      <c r="AF313" s="350"/>
      <c r="AG313" s="350"/>
      <c r="AH313" s="350"/>
      <c r="AI313" s="350"/>
      <c r="AJ313" s="350"/>
      <c r="AK313" s="350"/>
      <c r="AL313" s="350"/>
      <c r="AM313" s="350"/>
      <c r="AN313" s="350"/>
      <c r="AO313" s="350"/>
      <c r="AP313" s="350"/>
      <c r="AQ313" s="351"/>
    </row>
    <row r="314" spans="1:43" ht="30" customHeight="1">
      <c r="A314" s="98">
        <f t="shared" si="1"/>
        <v>302</v>
      </c>
      <c r="B314" s="412" t="s">
        <v>325</v>
      </c>
      <c r="C314" s="350"/>
      <c r="D314" s="351"/>
      <c r="E314" s="735"/>
      <c r="F314" s="350"/>
      <c r="G314" s="351"/>
      <c r="H314" s="412"/>
      <c r="I314" s="350"/>
      <c r="J314" s="350"/>
      <c r="K314" s="351"/>
      <c r="L314" s="412"/>
      <c r="M314" s="350"/>
      <c r="N314" s="350"/>
      <c r="O314" s="350"/>
      <c r="P314" s="351"/>
      <c r="Q314" s="412"/>
      <c r="R314" s="350"/>
      <c r="S314" s="350"/>
      <c r="T314" s="350"/>
      <c r="U314" s="350"/>
      <c r="V314" s="350"/>
      <c r="W314" s="350"/>
      <c r="X314" s="350"/>
      <c r="Y314" s="350"/>
      <c r="Z314" s="351"/>
      <c r="AA314" s="412"/>
      <c r="AB314" s="350"/>
      <c r="AC314" s="350"/>
      <c r="AD314" s="350"/>
      <c r="AE314" s="350"/>
      <c r="AF314" s="350"/>
      <c r="AG314" s="350"/>
      <c r="AH314" s="350"/>
      <c r="AI314" s="350"/>
      <c r="AJ314" s="350"/>
      <c r="AK314" s="350"/>
      <c r="AL314" s="350"/>
      <c r="AM314" s="350"/>
      <c r="AN314" s="350"/>
      <c r="AO314" s="350"/>
      <c r="AP314" s="350"/>
      <c r="AQ314" s="351"/>
    </row>
    <row r="315" spans="1:43" ht="30" customHeight="1">
      <c r="A315" s="98">
        <f t="shared" si="1"/>
        <v>303</v>
      </c>
      <c r="B315" s="368" t="s">
        <v>325</v>
      </c>
      <c r="C315" s="350"/>
      <c r="D315" s="351"/>
      <c r="E315" s="736"/>
      <c r="F315" s="350"/>
      <c r="G315" s="351"/>
      <c r="H315" s="368"/>
      <c r="I315" s="350"/>
      <c r="J315" s="350"/>
      <c r="K315" s="351"/>
      <c r="L315" s="368"/>
      <c r="M315" s="350"/>
      <c r="N315" s="350"/>
      <c r="O315" s="350"/>
      <c r="P315" s="351"/>
      <c r="Q315" s="368"/>
      <c r="R315" s="350"/>
      <c r="S315" s="350"/>
      <c r="T315" s="350"/>
      <c r="U315" s="350"/>
      <c r="V315" s="350"/>
      <c r="W315" s="350"/>
      <c r="X315" s="350"/>
      <c r="Y315" s="350"/>
      <c r="Z315" s="351"/>
      <c r="AA315" s="368"/>
      <c r="AB315" s="350"/>
      <c r="AC315" s="350"/>
      <c r="AD315" s="350"/>
      <c r="AE315" s="350"/>
      <c r="AF315" s="350"/>
      <c r="AG315" s="350"/>
      <c r="AH315" s="350"/>
      <c r="AI315" s="350"/>
      <c r="AJ315" s="350"/>
      <c r="AK315" s="350"/>
      <c r="AL315" s="350"/>
      <c r="AM315" s="350"/>
      <c r="AN315" s="350"/>
      <c r="AO315" s="350"/>
      <c r="AP315" s="350"/>
      <c r="AQ315" s="351"/>
    </row>
    <row r="316" spans="1:43" ht="30" customHeight="1">
      <c r="A316" s="98">
        <f t="shared" si="1"/>
        <v>304</v>
      </c>
      <c r="B316" s="412" t="s">
        <v>325</v>
      </c>
      <c r="C316" s="350"/>
      <c r="D316" s="351"/>
      <c r="E316" s="735"/>
      <c r="F316" s="350"/>
      <c r="G316" s="351"/>
      <c r="H316" s="412"/>
      <c r="I316" s="350"/>
      <c r="J316" s="350"/>
      <c r="K316" s="351"/>
      <c r="L316" s="412"/>
      <c r="M316" s="350"/>
      <c r="N316" s="350"/>
      <c r="O316" s="350"/>
      <c r="P316" s="351"/>
      <c r="Q316" s="412"/>
      <c r="R316" s="350"/>
      <c r="S316" s="350"/>
      <c r="T316" s="350"/>
      <c r="U316" s="350"/>
      <c r="V316" s="350"/>
      <c r="W316" s="350"/>
      <c r="X316" s="350"/>
      <c r="Y316" s="350"/>
      <c r="Z316" s="351"/>
      <c r="AA316" s="412"/>
      <c r="AB316" s="350"/>
      <c r="AC316" s="350"/>
      <c r="AD316" s="350"/>
      <c r="AE316" s="350"/>
      <c r="AF316" s="350"/>
      <c r="AG316" s="350"/>
      <c r="AH316" s="350"/>
      <c r="AI316" s="350"/>
      <c r="AJ316" s="350"/>
      <c r="AK316" s="350"/>
      <c r="AL316" s="350"/>
      <c r="AM316" s="350"/>
      <c r="AN316" s="350"/>
      <c r="AO316" s="350"/>
      <c r="AP316" s="350"/>
      <c r="AQ316" s="351"/>
    </row>
    <row r="317" spans="1:43" ht="30" customHeight="1">
      <c r="A317" s="98">
        <f t="shared" si="1"/>
        <v>305</v>
      </c>
      <c r="B317" s="368" t="s">
        <v>325</v>
      </c>
      <c r="C317" s="350"/>
      <c r="D317" s="351"/>
      <c r="E317" s="736"/>
      <c r="F317" s="350"/>
      <c r="G317" s="351"/>
      <c r="H317" s="368"/>
      <c r="I317" s="350"/>
      <c r="J317" s="350"/>
      <c r="K317" s="351"/>
      <c r="L317" s="368"/>
      <c r="M317" s="350"/>
      <c r="N317" s="350"/>
      <c r="O317" s="350"/>
      <c r="P317" s="351"/>
      <c r="Q317" s="368"/>
      <c r="R317" s="350"/>
      <c r="S317" s="350"/>
      <c r="T317" s="350"/>
      <c r="U317" s="350"/>
      <c r="V317" s="350"/>
      <c r="W317" s="350"/>
      <c r="X317" s="350"/>
      <c r="Y317" s="350"/>
      <c r="Z317" s="351"/>
      <c r="AA317" s="368"/>
      <c r="AB317" s="350"/>
      <c r="AC317" s="350"/>
      <c r="AD317" s="350"/>
      <c r="AE317" s="350"/>
      <c r="AF317" s="350"/>
      <c r="AG317" s="350"/>
      <c r="AH317" s="350"/>
      <c r="AI317" s="350"/>
      <c r="AJ317" s="350"/>
      <c r="AK317" s="350"/>
      <c r="AL317" s="350"/>
      <c r="AM317" s="350"/>
      <c r="AN317" s="350"/>
      <c r="AO317" s="350"/>
      <c r="AP317" s="350"/>
      <c r="AQ317" s="351"/>
    </row>
    <row r="318" spans="1:43" ht="30" customHeight="1">
      <c r="A318" s="98">
        <f t="shared" si="1"/>
        <v>306</v>
      </c>
      <c r="B318" s="412" t="s">
        <v>325</v>
      </c>
      <c r="C318" s="350"/>
      <c r="D318" s="351"/>
      <c r="E318" s="735"/>
      <c r="F318" s="350"/>
      <c r="G318" s="351"/>
      <c r="H318" s="412"/>
      <c r="I318" s="350"/>
      <c r="J318" s="350"/>
      <c r="K318" s="351"/>
      <c r="L318" s="412"/>
      <c r="M318" s="350"/>
      <c r="N318" s="350"/>
      <c r="O318" s="350"/>
      <c r="P318" s="351"/>
      <c r="Q318" s="412"/>
      <c r="R318" s="350"/>
      <c r="S318" s="350"/>
      <c r="T318" s="350"/>
      <c r="U318" s="350"/>
      <c r="V318" s="350"/>
      <c r="W318" s="350"/>
      <c r="X318" s="350"/>
      <c r="Y318" s="350"/>
      <c r="Z318" s="351"/>
      <c r="AA318" s="412"/>
      <c r="AB318" s="350"/>
      <c r="AC318" s="350"/>
      <c r="AD318" s="350"/>
      <c r="AE318" s="350"/>
      <c r="AF318" s="350"/>
      <c r="AG318" s="350"/>
      <c r="AH318" s="350"/>
      <c r="AI318" s="350"/>
      <c r="AJ318" s="350"/>
      <c r="AK318" s="350"/>
      <c r="AL318" s="350"/>
      <c r="AM318" s="350"/>
      <c r="AN318" s="350"/>
      <c r="AO318" s="350"/>
      <c r="AP318" s="350"/>
      <c r="AQ318" s="351"/>
    </row>
    <row r="319" spans="1:43" ht="30" customHeight="1">
      <c r="A319" s="98">
        <f t="shared" si="1"/>
        <v>307</v>
      </c>
      <c r="B319" s="368" t="s">
        <v>325</v>
      </c>
      <c r="C319" s="350"/>
      <c r="D319" s="351"/>
      <c r="E319" s="736"/>
      <c r="F319" s="350"/>
      <c r="G319" s="351"/>
      <c r="H319" s="368"/>
      <c r="I319" s="350"/>
      <c r="J319" s="350"/>
      <c r="K319" s="351"/>
      <c r="L319" s="368"/>
      <c r="M319" s="350"/>
      <c r="N319" s="350"/>
      <c r="O319" s="350"/>
      <c r="P319" s="351"/>
      <c r="Q319" s="368"/>
      <c r="R319" s="350"/>
      <c r="S319" s="350"/>
      <c r="T319" s="350"/>
      <c r="U319" s="350"/>
      <c r="V319" s="350"/>
      <c r="W319" s="350"/>
      <c r="X319" s="350"/>
      <c r="Y319" s="350"/>
      <c r="Z319" s="351"/>
      <c r="AA319" s="368"/>
      <c r="AB319" s="350"/>
      <c r="AC319" s="350"/>
      <c r="AD319" s="350"/>
      <c r="AE319" s="350"/>
      <c r="AF319" s="350"/>
      <c r="AG319" s="350"/>
      <c r="AH319" s="350"/>
      <c r="AI319" s="350"/>
      <c r="AJ319" s="350"/>
      <c r="AK319" s="350"/>
      <c r="AL319" s="350"/>
      <c r="AM319" s="350"/>
      <c r="AN319" s="350"/>
      <c r="AO319" s="350"/>
      <c r="AP319" s="350"/>
      <c r="AQ319" s="351"/>
    </row>
    <row r="320" spans="1:43" ht="30" customHeight="1">
      <c r="A320" s="98">
        <f t="shared" si="1"/>
        <v>308</v>
      </c>
      <c r="B320" s="412" t="s">
        <v>325</v>
      </c>
      <c r="C320" s="350"/>
      <c r="D320" s="351"/>
      <c r="E320" s="735"/>
      <c r="F320" s="350"/>
      <c r="G320" s="351"/>
      <c r="H320" s="412"/>
      <c r="I320" s="350"/>
      <c r="J320" s="350"/>
      <c r="K320" s="351"/>
      <c r="L320" s="412"/>
      <c r="M320" s="350"/>
      <c r="N320" s="350"/>
      <c r="O320" s="350"/>
      <c r="P320" s="351"/>
      <c r="Q320" s="412"/>
      <c r="R320" s="350"/>
      <c r="S320" s="350"/>
      <c r="T320" s="350"/>
      <c r="U320" s="350"/>
      <c r="V320" s="350"/>
      <c r="W320" s="350"/>
      <c r="X320" s="350"/>
      <c r="Y320" s="350"/>
      <c r="Z320" s="351"/>
      <c r="AA320" s="412"/>
      <c r="AB320" s="350"/>
      <c r="AC320" s="350"/>
      <c r="AD320" s="350"/>
      <c r="AE320" s="350"/>
      <c r="AF320" s="350"/>
      <c r="AG320" s="350"/>
      <c r="AH320" s="350"/>
      <c r="AI320" s="350"/>
      <c r="AJ320" s="350"/>
      <c r="AK320" s="350"/>
      <c r="AL320" s="350"/>
      <c r="AM320" s="350"/>
      <c r="AN320" s="350"/>
      <c r="AO320" s="350"/>
      <c r="AP320" s="350"/>
      <c r="AQ320" s="351"/>
    </row>
    <row r="321" spans="1:43" ht="30" customHeight="1">
      <c r="A321" s="98">
        <f t="shared" si="1"/>
        <v>309</v>
      </c>
      <c r="B321" s="368" t="s">
        <v>325</v>
      </c>
      <c r="C321" s="350"/>
      <c r="D321" s="351"/>
      <c r="E321" s="736"/>
      <c r="F321" s="350"/>
      <c r="G321" s="351"/>
      <c r="H321" s="368"/>
      <c r="I321" s="350"/>
      <c r="J321" s="350"/>
      <c r="K321" s="351"/>
      <c r="L321" s="368"/>
      <c r="M321" s="350"/>
      <c r="N321" s="350"/>
      <c r="O321" s="350"/>
      <c r="P321" s="351"/>
      <c r="Q321" s="368"/>
      <c r="R321" s="350"/>
      <c r="S321" s="350"/>
      <c r="T321" s="350"/>
      <c r="U321" s="350"/>
      <c r="V321" s="350"/>
      <c r="W321" s="350"/>
      <c r="X321" s="350"/>
      <c r="Y321" s="350"/>
      <c r="Z321" s="351"/>
      <c r="AA321" s="368"/>
      <c r="AB321" s="350"/>
      <c r="AC321" s="350"/>
      <c r="AD321" s="350"/>
      <c r="AE321" s="350"/>
      <c r="AF321" s="350"/>
      <c r="AG321" s="350"/>
      <c r="AH321" s="350"/>
      <c r="AI321" s="350"/>
      <c r="AJ321" s="350"/>
      <c r="AK321" s="350"/>
      <c r="AL321" s="350"/>
      <c r="AM321" s="350"/>
      <c r="AN321" s="350"/>
      <c r="AO321" s="350"/>
      <c r="AP321" s="350"/>
      <c r="AQ321" s="351"/>
    </row>
    <row r="322" spans="1:43" ht="30" customHeight="1">
      <c r="A322" s="98">
        <f t="shared" si="1"/>
        <v>310</v>
      </c>
      <c r="B322" s="412" t="s">
        <v>325</v>
      </c>
      <c r="C322" s="350"/>
      <c r="D322" s="351"/>
      <c r="E322" s="735"/>
      <c r="F322" s="350"/>
      <c r="G322" s="351"/>
      <c r="H322" s="412"/>
      <c r="I322" s="350"/>
      <c r="J322" s="350"/>
      <c r="K322" s="351"/>
      <c r="L322" s="412"/>
      <c r="M322" s="350"/>
      <c r="N322" s="350"/>
      <c r="O322" s="350"/>
      <c r="P322" s="351"/>
      <c r="Q322" s="412"/>
      <c r="R322" s="350"/>
      <c r="S322" s="350"/>
      <c r="T322" s="350"/>
      <c r="U322" s="350"/>
      <c r="V322" s="350"/>
      <c r="W322" s="350"/>
      <c r="X322" s="350"/>
      <c r="Y322" s="350"/>
      <c r="Z322" s="351"/>
      <c r="AA322" s="412"/>
      <c r="AB322" s="350"/>
      <c r="AC322" s="350"/>
      <c r="AD322" s="350"/>
      <c r="AE322" s="350"/>
      <c r="AF322" s="350"/>
      <c r="AG322" s="350"/>
      <c r="AH322" s="350"/>
      <c r="AI322" s="350"/>
      <c r="AJ322" s="350"/>
      <c r="AK322" s="350"/>
      <c r="AL322" s="350"/>
      <c r="AM322" s="350"/>
      <c r="AN322" s="350"/>
      <c r="AO322" s="350"/>
      <c r="AP322" s="350"/>
      <c r="AQ322" s="351"/>
    </row>
    <row r="323" spans="1:43" ht="30" customHeight="1">
      <c r="A323" s="98">
        <f t="shared" si="1"/>
        <v>311</v>
      </c>
      <c r="B323" s="368" t="s">
        <v>325</v>
      </c>
      <c r="C323" s="350"/>
      <c r="D323" s="351"/>
      <c r="E323" s="736"/>
      <c r="F323" s="350"/>
      <c r="G323" s="351"/>
      <c r="H323" s="368"/>
      <c r="I323" s="350"/>
      <c r="J323" s="350"/>
      <c r="K323" s="351"/>
      <c r="L323" s="368"/>
      <c r="M323" s="350"/>
      <c r="N323" s="350"/>
      <c r="O323" s="350"/>
      <c r="P323" s="351"/>
      <c r="Q323" s="368"/>
      <c r="R323" s="350"/>
      <c r="S323" s="350"/>
      <c r="T323" s="350"/>
      <c r="U323" s="350"/>
      <c r="V323" s="350"/>
      <c r="W323" s="350"/>
      <c r="X323" s="350"/>
      <c r="Y323" s="350"/>
      <c r="Z323" s="351"/>
      <c r="AA323" s="368"/>
      <c r="AB323" s="350"/>
      <c r="AC323" s="350"/>
      <c r="AD323" s="350"/>
      <c r="AE323" s="350"/>
      <c r="AF323" s="350"/>
      <c r="AG323" s="350"/>
      <c r="AH323" s="350"/>
      <c r="AI323" s="350"/>
      <c r="AJ323" s="350"/>
      <c r="AK323" s="350"/>
      <c r="AL323" s="350"/>
      <c r="AM323" s="350"/>
      <c r="AN323" s="350"/>
      <c r="AO323" s="350"/>
      <c r="AP323" s="350"/>
      <c r="AQ323" s="351"/>
    </row>
    <row r="324" spans="1:43" ht="30" customHeight="1">
      <c r="A324" s="98">
        <f t="shared" si="1"/>
        <v>312</v>
      </c>
      <c r="B324" s="412" t="s">
        <v>325</v>
      </c>
      <c r="C324" s="350"/>
      <c r="D324" s="351"/>
      <c r="E324" s="735"/>
      <c r="F324" s="350"/>
      <c r="G324" s="351"/>
      <c r="H324" s="412"/>
      <c r="I324" s="350"/>
      <c r="J324" s="350"/>
      <c r="K324" s="351"/>
      <c r="L324" s="412"/>
      <c r="M324" s="350"/>
      <c r="N324" s="350"/>
      <c r="O324" s="350"/>
      <c r="P324" s="351"/>
      <c r="Q324" s="412"/>
      <c r="R324" s="350"/>
      <c r="S324" s="350"/>
      <c r="T324" s="350"/>
      <c r="U324" s="350"/>
      <c r="V324" s="350"/>
      <c r="W324" s="350"/>
      <c r="X324" s="350"/>
      <c r="Y324" s="350"/>
      <c r="Z324" s="351"/>
      <c r="AA324" s="412"/>
      <c r="AB324" s="350"/>
      <c r="AC324" s="350"/>
      <c r="AD324" s="350"/>
      <c r="AE324" s="350"/>
      <c r="AF324" s="350"/>
      <c r="AG324" s="350"/>
      <c r="AH324" s="350"/>
      <c r="AI324" s="350"/>
      <c r="AJ324" s="350"/>
      <c r="AK324" s="350"/>
      <c r="AL324" s="350"/>
      <c r="AM324" s="350"/>
      <c r="AN324" s="350"/>
      <c r="AO324" s="350"/>
      <c r="AP324" s="350"/>
      <c r="AQ324" s="351"/>
    </row>
    <row r="325" spans="1:43" ht="30" customHeight="1">
      <c r="A325" s="98">
        <f t="shared" si="1"/>
        <v>313</v>
      </c>
      <c r="B325" s="368" t="s">
        <v>325</v>
      </c>
      <c r="C325" s="350"/>
      <c r="D325" s="351"/>
      <c r="E325" s="736"/>
      <c r="F325" s="350"/>
      <c r="G325" s="351"/>
      <c r="H325" s="368"/>
      <c r="I325" s="350"/>
      <c r="J325" s="350"/>
      <c r="K325" s="351"/>
      <c r="L325" s="368"/>
      <c r="M325" s="350"/>
      <c r="N325" s="350"/>
      <c r="O325" s="350"/>
      <c r="P325" s="351"/>
      <c r="Q325" s="368"/>
      <c r="R325" s="350"/>
      <c r="S325" s="350"/>
      <c r="T325" s="350"/>
      <c r="U325" s="350"/>
      <c r="V325" s="350"/>
      <c r="W325" s="350"/>
      <c r="X325" s="350"/>
      <c r="Y325" s="350"/>
      <c r="Z325" s="351"/>
      <c r="AA325" s="368"/>
      <c r="AB325" s="350"/>
      <c r="AC325" s="350"/>
      <c r="AD325" s="350"/>
      <c r="AE325" s="350"/>
      <c r="AF325" s="350"/>
      <c r="AG325" s="350"/>
      <c r="AH325" s="350"/>
      <c r="AI325" s="350"/>
      <c r="AJ325" s="350"/>
      <c r="AK325" s="350"/>
      <c r="AL325" s="350"/>
      <c r="AM325" s="350"/>
      <c r="AN325" s="350"/>
      <c r="AO325" s="350"/>
      <c r="AP325" s="350"/>
      <c r="AQ325" s="351"/>
    </row>
    <row r="326" spans="1:43" ht="30" customHeight="1">
      <c r="A326" s="98">
        <f t="shared" si="1"/>
        <v>314</v>
      </c>
      <c r="B326" s="412" t="s">
        <v>325</v>
      </c>
      <c r="C326" s="350"/>
      <c r="D326" s="351"/>
      <c r="E326" s="735"/>
      <c r="F326" s="350"/>
      <c r="G326" s="351"/>
      <c r="H326" s="412"/>
      <c r="I326" s="350"/>
      <c r="J326" s="350"/>
      <c r="K326" s="351"/>
      <c r="L326" s="412"/>
      <c r="M326" s="350"/>
      <c r="N326" s="350"/>
      <c r="O326" s="350"/>
      <c r="P326" s="351"/>
      <c r="Q326" s="412"/>
      <c r="R326" s="350"/>
      <c r="S326" s="350"/>
      <c r="T326" s="350"/>
      <c r="U326" s="350"/>
      <c r="V326" s="350"/>
      <c r="W326" s="350"/>
      <c r="X326" s="350"/>
      <c r="Y326" s="350"/>
      <c r="Z326" s="351"/>
      <c r="AA326" s="412"/>
      <c r="AB326" s="350"/>
      <c r="AC326" s="350"/>
      <c r="AD326" s="350"/>
      <c r="AE326" s="350"/>
      <c r="AF326" s="350"/>
      <c r="AG326" s="350"/>
      <c r="AH326" s="350"/>
      <c r="AI326" s="350"/>
      <c r="AJ326" s="350"/>
      <c r="AK326" s="350"/>
      <c r="AL326" s="350"/>
      <c r="AM326" s="350"/>
      <c r="AN326" s="350"/>
      <c r="AO326" s="350"/>
      <c r="AP326" s="350"/>
      <c r="AQ326" s="351"/>
    </row>
    <row r="327" spans="1:43" ht="30" customHeight="1">
      <c r="A327" s="98">
        <f t="shared" si="1"/>
        <v>315</v>
      </c>
      <c r="B327" s="368" t="s">
        <v>325</v>
      </c>
      <c r="C327" s="350"/>
      <c r="D327" s="351"/>
      <c r="E327" s="736"/>
      <c r="F327" s="350"/>
      <c r="G327" s="351"/>
      <c r="H327" s="368"/>
      <c r="I327" s="350"/>
      <c r="J327" s="350"/>
      <c r="K327" s="351"/>
      <c r="L327" s="368"/>
      <c r="M327" s="350"/>
      <c r="N327" s="350"/>
      <c r="O327" s="350"/>
      <c r="P327" s="351"/>
      <c r="Q327" s="368"/>
      <c r="R327" s="350"/>
      <c r="S327" s="350"/>
      <c r="T327" s="350"/>
      <c r="U327" s="350"/>
      <c r="V327" s="350"/>
      <c r="W327" s="350"/>
      <c r="X327" s="350"/>
      <c r="Y327" s="350"/>
      <c r="Z327" s="351"/>
      <c r="AA327" s="368"/>
      <c r="AB327" s="350"/>
      <c r="AC327" s="350"/>
      <c r="AD327" s="350"/>
      <c r="AE327" s="350"/>
      <c r="AF327" s="350"/>
      <c r="AG327" s="350"/>
      <c r="AH327" s="350"/>
      <c r="AI327" s="350"/>
      <c r="AJ327" s="350"/>
      <c r="AK327" s="350"/>
      <c r="AL327" s="350"/>
      <c r="AM327" s="350"/>
      <c r="AN327" s="350"/>
      <c r="AO327" s="350"/>
      <c r="AP327" s="350"/>
      <c r="AQ327" s="351"/>
    </row>
    <row r="328" spans="1:43" ht="30" customHeight="1">
      <c r="A328" s="98">
        <f t="shared" si="1"/>
        <v>316</v>
      </c>
      <c r="B328" s="412" t="s">
        <v>325</v>
      </c>
      <c r="C328" s="350"/>
      <c r="D328" s="351"/>
      <c r="E328" s="735"/>
      <c r="F328" s="350"/>
      <c r="G328" s="351"/>
      <c r="H328" s="412"/>
      <c r="I328" s="350"/>
      <c r="J328" s="350"/>
      <c r="K328" s="351"/>
      <c r="L328" s="412"/>
      <c r="M328" s="350"/>
      <c r="N328" s="350"/>
      <c r="O328" s="350"/>
      <c r="P328" s="351"/>
      <c r="Q328" s="412"/>
      <c r="R328" s="350"/>
      <c r="S328" s="350"/>
      <c r="T328" s="350"/>
      <c r="U328" s="350"/>
      <c r="V328" s="350"/>
      <c r="W328" s="350"/>
      <c r="X328" s="350"/>
      <c r="Y328" s="350"/>
      <c r="Z328" s="351"/>
      <c r="AA328" s="412"/>
      <c r="AB328" s="350"/>
      <c r="AC328" s="350"/>
      <c r="AD328" s="350"/>
      <c r="AE328" s="350"/>
      <c r="AF328" s="350"/>
      <c r="AG328" s="350"/>
      <c r="AH328" s="350"/>
      <c r="AI328" s="350"/>
      <c r="AJ328" s="350"/>
      <c r="AK328" s="350"/>
      <c r="AL328" s="350"/>
      <c r="AM328" s="350"/>
      <c r="AN328" s="350"/>
      <c r="AO328" s="350"/>
      <c r="AP328" s="350"/>
      <c r="AQ328" s="351"/>
    </row>
    <row r="329" spans="1:43" ht="30" customHeight="1">
      <c r="A329" s="98">
        <f t="shared" si="1"/>
        <v>317</v>
      </c>
      <c r="B329" s="368" t="s">
        <v>325</v>
      </c>
      <c r="C329" s="350"/>
      <c r="D329" s="351"/>
      <c r="E329" s="736"/>
      <c r="F329" s="350"/>
      <c r="G329" s="351"/>
      <c r="H329" s="368"/>
      <c r="I329" s="350"/>
      <c r="J329" s="350"/>
      <c r="K329" s="351"/>
      <c r="L329" s="368"/>
      <c r="M329" s="350"/>
      <c r="N329" s="350"/>
      <c r="O329" s="350"/>
      <c r="P329" s="351"/>
      <c r="Q329" s="368"/>
      <c r="R329" s="350"/>
      <c r="S329" s="350"/>
      <c r="T329" s="350"/>
      <c r="U329" s="350"/>
      <c r="V329" s="350"/>
      <c r="W329" s="350"/>
      <c r="X329" s="350"/>
      <c r="Y329" s="350"/>
      <c r="Z329" s="351"/>
      <c r="AA329" s="368"/>
      <c r="AB329" s="350"/>
      <c r="AC329" s="350"/>
      <c r="AD329" s="350"/>
      <c r="AE329" s="350"/>
      <c r="AF329" s="350"/>
      <c r="AG329" s="350"/>
      <c r="AH329" s="350"/>
      <c r="AI329" s="350"/>
      <c r="AJ329" s="350"/>
      <c r="AK329" s="350"/>
      <c r="AL329" s="350"/>
      <c r="AM329" s="350"/>
      <c r="AN329" s="350"/>
      <c r="AO329" s="350"/>
      <c r="AP329" s="350"/>
      <c r="AQ329" s="351"/>
    </row>
    <row r="330" spans="1:43" ht="30" customHeight="1">
      <c r="A330" s="98">
        <f t="shared" si="1"/>
        <v>318</v>
      </c>
      <c r="B330" s="412" t="s">
        <v>325</v>
      </c>
      <c r="C330" s="350"/>
      <c r="D330" s="351"/>
      <c r="E330" s="735"/>
      <c r="F330" s="350"/>
      <c r="G330" s="351"/>
      <c r="H330" s="412"/>
      <c r="I330" s="350"/>
      <c r="J330" s="350"/>
      <c r="K330" s="351"/>
      <c r="L330" s="412"/>
      <c r="M330" s="350"/>
      <c r="N330" s="350"/>
      <c r="O330" s="350"/>
      <c r="P330" s="351"/>
      <c r="Q330" s="412"/>
      <c r="R330" s="350"/>
      <c r="S330" s="350"/>
      <c r="T330" s="350"/>
      <c r="U330" s="350"/>
      <c r="V330" s="350"/>
      <c r="W330" s="350"/>
      <c r="X330" s="350"/>
      <c r="Y330" s="350"/>
      <c r="Z330" s="351"/>
      <c r="AA330" s="412"/>
      <c r="AB330" s="350"/>
      <c r="AC330" s="350"/>
      <c r="AD330" s="350"/>
      <c r="AE330" s="350"/>
      <c r="AF330" s="350"/>
      <c r="AG330" s="350"/>
      <c r="AH330" s="350"/>
      <c r="AI330" s="350"/>
      <c r="AJ330" s="350"/>
      <c r="AK330" s="350"/>
      <c r="AL330" s="350"/>
      <c r="AM330" s="350"/>
      <c r="AN330" s="350"/>
      <c r="AO330" s="350"/>
      <c r="AP330" s="350"/>
      <c r="AQ330" s="351"/>
    </row>
    <row r="331" spans="1:43" ht="30" customHeight="1">
      <c r="A331" s="98">
        <f t="shared" si="1"/>
        <v>319</v>
      </c>
      <c r="B331" s="368" t="s">
        <v>325</v>
      </c>
      <c r="C331" s="350"/>
      <c r="D331" s="351"/>
      <c r="E331" s="736"/>
      <c r="F331" s="350"/>
      <c r="G331" s="351"/>
      <c r="H331" s="368"/>
      <c r="I331" s="350"/>
      <c r="J331" s="350"/>
      <c r="K331" s="351"/>
      <c r="L331" s="368"/>
      <c r="M331" s="350"/>
      <c r="N331" s="350"/>
      <c r="O331" s="350"/>
      <c r="P331" s="351"/>
      <c r="Q331" s="368"/>
      <c r="R331" s="350"/>
      <c r="S331" s="350"/>
      <c r="T331" s="350"/>
      <c r="U331" s="350"/>
      <c r="V331" s="350"/>
      <c r="W331" s="350"/>
      <c r="X331" s="350"/>
      <c r="Y331" s="350"/>
      <c r="Z331" s="351"/>
      <c r="AA331" s="368"/>
      <c r="AB331" s="350"/>
      <c r="AC331" s="350"/>
      <c r="AD331" s="350"/>
      <c r="AE331" s="350"/>
      <c r="AF331" s="350"/>
      <c r="AG331" s="350"/>
      <c r="AH331" s="350"/>
      <c r="AI331" s="350"/>
      <c r="AJ331" s="350"/>
      <c r="AK331" s="350"/>
      <c r="AL331" s="350"/>
      <c r="AM331" s="350"/>
      <c r="AN331" s="350"/>
      <c r="AO331" s="350"/>
      <c r="AP331" s="350"/>
      <c r="AQ331" s="351"/>
    </row>
    <row r="332" spans="1:43" ht="30" customHeight="1">
      <c r="A332" s="98">
        <f t="shared" si="1"/>
        <v>320</v>
      </c>
      <c r="B332" s="412" t="s">
        <v>325</v>
      </c>
      <c r="C332" s="350"/>
      <c r="D332" s="351"/>
      <c r="E332" s="735"/>
      <c r="F332" s="350"/>
      <c r="G332" s="351"/>
      <c r="H332" s="412"/>
      <c r="I332" s="350"/>
      <c r="J332" s="350"/>
      <c r="K332" s="351"/>
      <c r="L332" s="412"/>
      <c r="M332" s="350"/>
      <c r="N332" s="350"/>
      <c r="O332" s="350"/>
      <c r="P332" s="351"/>
      <c r="Q332" s="412"/>
      <c r="R332" s="350"/>
      <c r="S332" s="350"/>
      <c r="T332" s="350"/>
      <c r="U332" s="350"/>
      <c r="V332" s="350"/>
      <c r="W332" s="350"/>
      <c r="X332" s="350"/>
      <c r="Y332" s="350"/>
      <c r="Z332" s="351"/>
      <c r="AA332" s="412"/>
      <c r="AB332" s="350"/>
      <c r="AC332" s="350"/>
      <c r="AD332" s="350"/>
      <c r="AE332" s="350"/>
      <c r="AF332" s="350"/>
      <c r="AG332" s="350"/>
      <c r="AH332" s="350"/>
      <c r="AI332" s="350"/>
      <c r="AJ332" s="350"/>
      <c r="AK332" s="350"/>
      <c r="AL332" s="350"/>
      <c r="AM332" s="350"/>
      <c r="AN332" s="350"/>
      <c r="AO332" s="350"/>
      <c r="AP332" s="350"/>
      <c r="AQ332" s="351"/>
    </row>
    <row r="333" spans="1:43" ht="30" customHeight="1">
      <c r="A333" s="98">
        <f t="shared" si="1"/>
        <v>321</v>
      </c>
      <c r="B333" s="368" t="s">
        <v>325</v>
      </c>
      <c r="C333" s="350"/>
      <c r="D333" s="351"/>
      <c r="E333" s="736"/>
      <c r="F333" s="350"/>
      <c r="G333" s="351"/>
      <c r="H333" s="368"/>
      <c r="I333" s="350"/>
      <c r="J333" s="350"/>
      <c r="K333" s="351"/>
      <c r="L333" s="368"/>
      <c r="M333" s="350"/>
      <c r="N333" s="350"/>
      <c r="O333" s="350"/>
      <c r="P333" s="351"/>
      <c r="Q333" s="368"/>
      <c r="R333" s="350"/>
      <c r="S333" s="350"/>
      <c r="T333" s="350"/>
      <c r="U333" s="350"/>
      <c r="V333" s="350"/>
      <c r="W333" s="350"/>
      <c r="X333" s="350"/>
      <c r="Y333" s="350"/>
      <c r="Z333" s="351"/>
      <c r="AA333" s="368"/>
      <c r="AB333" s="350"/>
      <c r="AC333" s="350"/>
      <c r="AD333" s="350"/>
      <c r="AE333" s="350"/>
      <c r="AF333" s="350"/>
      <c r="AG333" s="350"/>
      <c r="AH333" s="350"/>
      <c r="AI333" s="350"/>
      <c r="AJ333" s="350"/>
      <c r="AK333" s="350"/>
      <c r="AL333" s="350"/>
      <c r="AM333" s="350"/>
      <c r="AN333" s="350"/>
      <c r="AO333" s="350"/>
      <c r="AP333" s="350"/>
      <c r="AQ333" s="351"/>
    </row>
    <row r="334" spans="1:43" ht="30" customHeight="1">
      <c r="A334" s="98">
        <f t="shared" si="1"/>
        <v>322</v>
      </c>
      <c r="B334" s="412" t="s">
        <v>325</v>
      </c>
      <c r="C334" s="350"/>
      <c r="D334" s="351"/>
      <c r="E334" s="735"/>
      <c r="F334" s="350"/>
      <c r="G334" s="351"/>
      <c r="H334" s="412"/>
      <c r="I334" s="350"/>
      <c r="J334" s="350"/>
      <c r="K334" s="351"/>
      <c r="L334" s="412"/>
      <c r="M334" s="350"/>
      <c r="N334" s="350"/>
      <c r="O334" s="350"/>
      <c r="P334" s="351"/>
      <c r="Q334" s="412"/>
      <c r="R334" s="350"/>
      <c r="S334" s="350"/>
      <c r="T334" s="350"/>
      <c r="U334" s="350"/>
      <c r="V334" s="350"/>
      <c r="W334" s="350"/>
      <c r="X334" s="350"/>
      <c r="Y334" s="350"/>
      <c r="Z334" s="351"/>
      <c r="AA334" s="412"/>
      <c r="AB334" s="350"/>
      <c r="AC334" s="350"/>
      <c r="AD334" s="350"/>
      <c r="AE334" s="350"/>
      <c r="AF334" s="350"/>
      <c r="AG334" s="350"/>
      <c r="AH334" s="350"/>
      <c r="AI334" s="350"/>
      <c r="AJ334" s="350"/>
      <c r="AK334" s="350"/>
      <c r="AL334" s="350"/>
      <c r="AM334" s="350"/>
      <c r="AN334" s="350"/>
      <c r="AO334" s="350"/>
      <c r="AP334" s="350"/>
      <c r="AQ334" s="351"/>
    </row>
    <row r="335" spans="1:43" ht="30" customHeight="1">
      <c r="A335" s="98">
        <f t="shared" si="1"/>
        <v>323</v>
      </c>
      <c r="B335" s="368" t="s">
        <v>325</v>
      </c>
      <c r="C335" s="350"/>
      <c r="D335" s="351"/>
      <c r="E335" s="736"/>
      <c r="F335" s="350"/>
      <c r="G335" s="351"/>
      <c r="H335" s="368"/>
      <c r="I335" s="350"/>
      <c r="J335" s="350"/>
      <c r="K335" s="351"/>
      <c r="L335" s="368"/>
      <c r="M335" s="350"/>
      <c r="N335" s="350"/>
      <c r="O335" s="350"/>
      <c r="P335" s="351"/>
      <c r="Q335" s="368"/>
      <c r="R335" s="350"/>
      <c r="S335" s="350"/>
      <c r="T335" s="350"/>
      <c r="U335" s="350"/>
      <c r="V335" s="350"/>
      <c r="W335" s="350"/>
      <c r="X335" s="350"/>
      <c r="Y335" s="350"/>
      <c r="Z335" s="351"/>
      <c r="AA335" s="368"/>
      <c r="AB335" s="350"/>
      <c r="AC335" s="350"/>
      <c r="AD335" s="350"/>
      <c r="AE335" s="350"/>
      <c r="AF335" s="350"/>
      <c r="AG335" s="350"/>
      <c r="AH335" s="350"/>
      <c r="AI335" s="350"/>
      <c r="AJ335" s="350"/>
      <c r="AK335" s="350"/>
      <c r="AL335" s="350"/>
      <c r="AM335" s="350"/>
      <c r="AN335" s="350"/>
      <c r="AO335" s="350"/>
      <c r="AP335" s="350"/>
      <c r="AQ335" s="351"/>
    </row>
    <row r="336" spans="1:43" ht="30" customHeight="1">
      <c r="A336" s="98">
        <f t="shared" si="1"/>
        <v>324</v>
      </c>
      <c r="B336" s="412" t="s">
        <v>325</v>
      </c>
      <c r="C336" s="350"/>
      <c r="D336" s="351"/>
      <c r="E336" s="735"/>
      <c r="F336" s="350"/>
      <c r="G336" s="351"/>
      <c r="H336" s="412"/>
      <c r="I336" s="350"/>
      <c r="J336" s="350"/>
      <c r="K336" s="351"/>
      <c r="L336" s="412"/>
      <c r="M336" s="350"/>
      <c r="N336" s="350"/>
      <c r="O336" s="350"/>
      <c r="P336" s="351"/>
      <c r="Q336" s="412"/>
      <c r="R336" s="350"/>
      <c r="S336" s="350"/>
      <c r="T336" s="350"/>
      <c r="U336" s="350"/>
      <c r="V336" s="350"/>
      <c r="W336" s="350"/>
      <c r="X336" s="350"/>
      <c r="Y336" s="350"/>
      <c r="Z336" s="351"/>
      <c r="AA336" s="412"/>
      <c r="AB336" s="350"/>
      <c r="AC336" s="350"/>
      <c r="AD336" s="350"/>
      <c r="AE336" s="350"/>
      <c r="AF336" s="350"/>
      <c r="AG336" s="350"/>
      <c r="AH336" s="350"/>
      <c r="AI336" s="350"/>
      <c r="AJ336" s="350"/>
      <c r="AK336" s="350"/>
      <c r="AL336" s="350"/>
      <c r="AM336" s="350"/>
      <c r="AN336" s="350"/>
      <c r="AO336" s="350"/>
      <c r="AP336" s="350"/>
      <c r="AQ336" s="351"/>
    </row>
    <row r="337" spans="1:43" ht="30" customHeight="1">
      <c r="A337" s="98">
        <f t="shared" si="1"/>
        <v>325</v>
      </c>
      <c r="B337" s="368" t="s">
        <v>325</v>
      </c>
      <c r="C337" s="350"/>
      <c r="D337" s="351"/>
      <c r="E337" s="736"/>
      <c r="F337" s="350"/>
      <c r="G337" s="351"/>
      <c r="H337" s="368"/>
      <c r="I337" s="350"/>
      <c r="J337" s="350"/>
      <c r="K337" s="351"/>
      <c r="L337" s="368"/>
      <c r="M337" s="350"/>
      <c r="N337" s="350"/>
      <c r="O337" s="350"/>
      <c r="P337" s="351"/>
      <c r="Q337" s="368"/>
      <c r="R337" s="350"/>
      <c r="S337" s="350"/>
      <c r="T337" s="350"/>
      <c r="U337" s="350"/>
      <c r="V337" s="350"/>
      <c r="W337" s="350"/>
      <c r="X337" s="350"/>
      <c r="Y337" s="350"/>
      <c r="Z337" s="351"/>
      <c r="AA337" s="368"/>
      <c r="AB337" s="350"/>
      <c r="AC337" s="350"/>
      <c r="AD337" s="350"/>
      <c r="AE337" s="350"/>
      <c r="AF337" s="350"/>
      <c r="AG337" s="350"/>
      <c r="AH337" s="350"/>
      <c r="AI337" s="350"/>
      <c r="AJ337" s="350"/>
      <c r="AK337" s="350"/>
      <c r="AL337" s="350"/>
      <c r="AM337" s="350"/>
      <c r="AN337" s="350"/>
      <c r="AO337" s="350"/>
      <c r="AP337" s="350"/>
      <c r="AQ337" s="351"/>
    </row>
    <row r="338" spans="1:43" ht="30" customHeight="1">
      <c r="A338" s="98">
        <f t="shared" si="1"/>
        <v>326</v>
      </c>
      <c r="B338" s="412" t="s">
        <v>325</v>
      </c>
      <c r="C338" s="350"/>
      <c r="D338" s="351"/>
      <c r="E338" s="735"/>
      <c r="F338" s="350"/>
      <c r="G338" s="351"/>
      <c r="H338" s="412"/>
      <c r="I338" s="350"/>
      <c r="J338" s="350"/>
      <c r="K338" s="351"/>
      <c r="L338" s="412"/>
      <c r="M338" s="350"/>
      <c r="N338" s="350"/>
      <c r="O338" s="350"/>
      <c r="P338" s="351"/>
      <c r="Q338" s="412"/>
      <c r="R338" s="350"/>
      <c r="S338" s="350"/>
      <c r="T338" s="350"/>
      <c r="U338" s="350"/>
      <c r="V338" s="350"/>
      <c r="W338" s="350"/>
      <c r="X338" s="350"/>
      <c r="Y338" s="350"/>
      <c r="Z338" s="351"/>
      <c r="AA338" s="412"/>
      <c r="AB338" s="350"/>
      <c r="AC338" s="350"/>
      <c r="AD338" s="350"/>
      <c r="AE338" s="350"/>
      <c r="AF338" s="350"/>
      <c r="AG338" s="350"/>
      <c r="AH338" s="350"/>
      <c r="AI338" s="350"/>
      <c r="AJ338" s="350"/>
      <c r="AK338" s="350"/>
      <c r="AL338" s="350"/>
      <c r="AM338" s="350"/>
      <c r="AN338" s="350"/>
      <c r="AO338" s="350"/>
      <c r="AP338" s="350"/>
      <c r="AQ338" s="351"/>
    </row>
    <row r="339" spans="1:43" ht="30" customHeight="1">
      <c r="A339" s="98">
        <f t="shared" si="1"/>
        <v>327</v>
      </c>
      <c r="B339" s="368" t="s">
        <v>325</v>
      </c>
      <c r="C339" s="350"/>
      <c r="D339" s="351"/>
      <c r="E339" s="736"/>
      <c r="F339" s="350"/>
      <c r="G339" s="351"/>
      <c r="H339" s="368"/>
      <c r="I339" s="350"/>
      <c r="J339" s="350"/>
      <c r="K339" s="351"/>
      <c r="L339" s="368"/>
      <c r="M339" s="350"/>
      <c r="N339" s="350"/>
      <c r="O339" s="350"/>
      <c r="P339" s="351"/>
      <c r="Q339" s="368"/>
      <c r="R339" s="350"/>
      <c r="S339" s="350"/>
      <c r="T339" s="350"/>
      <c r="U339" s="350"/>
      <c r="V339" s="350"/>
      <c r="W339" s="350"/>
      <c r="X339" s="350"/>
      <c r="Y339" s="350"/>
      <c r="Z339" s="351"/>
      <c r="AA339" s="368"/>
      <c r="AB339" s="350"/>
      <c r="AC339" s="350"/>
      <c r="AD339" s="350"/>
      <c r="AE339" s="350"/>
      <c r="AF339" s="350"/>
      <c r="AG339" s="350"/>
      <c r="AH339" s="350"/>
      <c r="AI339" s="350"/>
      <c r="AJ339" s="350"/>
      <c r="AK339" s="350"/>
      <c r="AL339" s="350"/>
      <c r="AM339" s="350"/>
      <c r="AN339" s="350"/>
      <c r="AO339" s="350"/>
      <c r="AP339" s="350"/>
      <c r="AQ339" s="351"/>
    </row>
    <row r="340" spans="1:43" ht="30" customHeight="1">
      <c r="A340" s="98">
        <f t="shared" si="1"/>
        <v>328</v>
      </c>
      <c r="B340" s="412" t="s">
        <v>325</v>
      </c>
      <c r="C340" s="350"/>
      <c r="D340" s="351"/>
      <c r="E340" s="735"/>
      <c r="F340" s="350"/>
      <c r="G340" s="351"/>
      <c r="H340" s="412"/>
      <c r="I340" s="350"/>
      <c r="J340" s="350"/>
      <c r="K340" s="351"/>
      <c r="L340" s="412"/>
      <c r="M340" s="350"/>
      <c r="N340" s="350"/>
      <c r="O340" s="350"/>
      <c r="P340" s="351"/>
      <c r="Q340" s="412"/>
      <c r="R340" s="350"/>
      <c r="S340" s="350"/>
      <c r="T340" s="350"/>
      <c r="U340" s="350"/>
      <c r="V340" s="350"/>
      <c r="W340" s="350"/>
      <c r="X340" s="350"/>
      <c r="Y340" s="350"/>
      <c r="Z340" s="351"/>
      <c r="AA340" s="412"/>
      <c r="AB340" s="350"/>
      <c r="AC340" s="350"/>
      <c r="AD340" s="350"/>
      <c r="AE340" s="350"/>
      <c r="AF340" s="350"/>
      <c r="AG340" s="350"/>
      <c r="AH340" s="350"/>
      <c r="AI340" s="350"/>
      <c r="AJ340" s="350"/>
      <c r="AK340" s="350"/>
      <c r="AL340" s="350"/>
      <c r="AM340" s="350"/>
      <c r="AN340" s="350"/>
      <c r="AO340" s="350"/>
      <c r="AP340" s="350"/>
      <c r="AQ340" s="351"/>
    </row>
    <row r="341" spans="1:43" ht="30" customHeight="1">
      <c r="A341" s="98">
        <f t="shared" si="1"/>
        <v>329</v>
      </c>
      <c r="B341" s="368" t="s">
        <v>325</v>
      </c>
      <c r="C341" s="350"/>
      <c r="D341" s="351"/>
      <c r="E341" s="736"/>
      <c r="F341" s="350"/>
      <c r="G341" s="351"/>
      <c r="H341" s="368"/>
      <c r="I341" s="350"/>
      <c r="J341" s="350"/>
      <c r="K341" s="351"/>
      <c r="L341" s="368"/>
      <c r="M341" s="350"/>
      <c r="N341" s="350"/>
      <c r="O341" s="350"/>
      <c r="P341" s="351"/>
      <c r="Q341" s="368"/>
      <c r="R341" s="350"/>
      <c r="S341" s="350"/>
      <c r="T341" s="350"/>
      <c r="U341" s="350"/>
      <c r="V341" s="350"/>
      <c r="W341" s="350"/>
      <c r="X341" s="350"/>
      <c r="Y341" s="350"/>
      <c r="Z341" s="351"/>
      <c r="AA341" s="368"/>
      <c r="AB341" s="350"/>
      <c r="AC341" s="350"/>
      <c r="AD341" s="350"/>
      <c r="AE341" s="350"/>
      <c r="AF341" s="350"/>
      <c r="AG341" s="350"/>
      <c r="AH341" s="350"/>
      <c r="AI341" s="350"/>
      <c r="AJ341" s="350"/>
      <c r="AK341" s="350"/>
      <c r="AL341" s="350"/>
      <c r="AM341" s="350"/>
      <c r="AN341" s="350"/>
      <c r="AO341" s="350"/>
      <c r="AP341" s="350"/>
      <c r="AQ341" s="351"/>
    </row>
    <row r="342" spans="1:43" ht="30" customHeight="1">
      <c r="A342" s="98">
        <f t="shared" si="1"/>
        <v>330</v>
      </c>
      <c r="B342" s="412" t="s">
        <v>325</v>
      </c>
      <c r="C342" s="350"/>
      <c r="D342" s="351"/>
      <c r="E342" s="735"/>
      <c r="F342" s="350"/>
      <c r="G342" s="351"/>
      <c r="H342" s="412"/>
      <c r="I342" s="350"/>
      <c r="J342" s="350"/>
      <c r="K342" s="351"/>
      <c r="L342" s="412"/>
      <c r="M342" s="350"/>
      <c r="N342" s="350"/>
      <c r="O342" s="350"/>
      <c r="P342" s="351"/>
      <c r="Q342" s="412"/>
      <c r="R342" s="350"/>
      <c r="S342" s="350"/>
      <c r="T342" s="350"/>
      <c r="U342" s="350"/>
      <c r="V342" s="350"/>
      <c r="W342" s="350"/>
      <c r="X342" s="350"/>
      <c r="Y342" s="350"/>
      <c r="Z342" s="351"/>
      <c r="AA342" s="412"/>
      <c r="AB342" s="350"/>
      <c r="AC342" s="350"/>
      <c r="AD342" s="350"/>
      <c r="AE342" s="350"/>
      <c r="AF342" s="350"/>
      <c r="AG342" s="350"/>
      <c r="AH342" s="350"/>
      <c r="AI342" s="350"/>
      <c r="AJ342" s="350"/>
      <c r="AK342" s="350"/>
      <c r="AL342" s="350"/>
      <c r="AM342" s="350"/>
      <c r="AN342" s="350"/>
      <c r="AO342" s="350"/>
      <c r="AP342" s="350"/>
      <c r="AQ342" s="351"/>
    </row>
    <row r="343" spans="1:43" ht="30" customHeight="1">
      <c r="A343" s="98">
        <f t="shared" si="1"/>
        <v>331</v>
      </c>
      <c r="B343" s="368" t="s">
        <v>325</v>
      </c>
      <c r="C343" s="350"/>
      <c r="D343" s="351"/>
      <c r="E343" s="736"/>
      <c r="F343" s="350"/>
      <c r="G343" s="351"/>
      <c r="H343" s="368"/>
      <c r="I343" s="350"/>
      <c r="J343" s="350"/>
      <c r="K343" s="351"/>
      <c r="L343" s="368"/>
      <c r="M343" s="350"/>
      <c r="N343" s="350"/>
      <c r="O343" s="350"/>
      <c r="P343" s="351"/>
      <c r="Q343" s="368"/>
      <c r="R343" s="350"/>
      <c r="S343" s="350"/>
      <c r="T343" s="350"/>
      <c r="U343" s="350"/>
      <c r="V343" s="350"/>
      <c r="W343" s="350"/>
      <c r="X343" s="350"/>
      <c r="Y343" s="350"/>
      <c r="Z343" s="351"/>
      <c r="AA343" s="368"/>
      <c r="AB343" s="350"/>
      <c r="AC343" s="350"/>
      <c r="AD343" s="350"/>
      <c r="AE343" s="350"/>
      <c r="AF343" s="350"/>
      <c r="AG343" s="350"/>
      <c r="AH343" s="350"/>
      <c r="AI343" s="350"/>
      <c r="AJ343" s="350"/>
      <c r="AK343" s="350"/>
      <c r="AL343" s="350"/>
      <c r="AM343" s="350"/>
      <c r="AN343" s="350"/>
      <c r="AO343" s="350"/>
      <c r="AP343" s="350"/>
      <c r="AQ343" s="351"/>
    </row>
    <row r="344" spans="1:43" ht="30" customHeight="1">
      <c r="A344" s="98">
        <f t="shared" si="1"/>
        <v>332</v>
      </c>
      <c r="B344" s="412" t="s">
        <v>325</v>
      </c>
      <c r="C344" s="350"/>
      <c r="D344" s="351"/>
      <c r="E344" s="735"/>
      <c r="F344" s="350"/>
      <c r="G344" s="351"/>
      <c r="H344" s="412"/>
      <c r="I344" s="350"/>
      <c r="J344" s="350"/>
      <c r="K344" s="351"/>
      <c r="L344" s="412"/>
      <c r="M344" s="350"/>
      <c r="N344" s="350"/>
      <c r="O344" s="350"/>
      <c r="P344" s="351"/>
      <c r="Q344" s="412"/>
      <c r="R344" s="350"/>
      <c r="S344" s="350"/>
      <c r="T344" s="350"/>
      <c r="U344" s="350"/>
      <c r="V344" s="350"/>
      <c r="W344" s="350"/>
      <c r="X344" s="350"/>
      <c r="Y344" s="350"/>
      <c r="Z344" s="351"/>
      <c r="AA344" s="412"/>
      <c r="AB344" s="350"/>
      <c r="AC344" s="350"/>
      <c r="AD344" s="350"/>
      <c r="AE344" s="350"/>
      <c r="AF344" s="350"/>
      <c r="AG344" s="350"/>
      <c r="AH344" s="350"/>
      <c r="AI344" s="350"/>
      <c r="AJ344" s="350"/>
      <c r="AK344" s="350"/>
      <c r="AL344" s="350"/>
      <c r="AM344" s="350"/>
      <c r="AN344" s="350"/>
      <c r="AO344" s="350"/>
      <c r="AP344" s="350"/>
      <c r="AQ344" s="351"/>
    </row>
    <row r="345" spans="1:43" ht="30" customHeight="1">
      <c r="A345" s="98">
        <f t="shared" si="1"/>
        <v>333</v>
      </c>
      <c r="B345" s="368" t="s">
        <v>325</v>
      </c>
      <c r="C345" s="350"/>
      <c r="D345" s="351"/>
      <c r="E345" s="736"/>
      <c r="F345" s="350"/>
      <c r="G345" s="351"/>
      <c r="H345" s="368"/>
      <c r="I345" s="350"/>
      <c r="J345" s="350"/>
      <c r="K345" s="351"/>
      <c r="L345" s="368"/>
      <c r="M345" s="350"/>
      <c r="N345" s="350"/>
      <c r="O345" s="350"/>
      <c r="P345" s="351"/>
      <c r="Q345" s="368"/>
      <c r="R345" s="350"/>
      <c r="S345" s="350"/>
      <c r="T345" s="350"/>
      <c r="U345" s="350"/>
      <c r="V345" s="350"/>
      <c r="W345" s="350"/>
      <c r="X345" s="350"/>
      <c r="Y345" s="350"/>
      <c r="Z345" s="351"/>
      <c r="AA345" s="368"/>
      <c r="AB345" s="350"/>
      <c r="AC345" s="350"/>
      <c r="AD345" s="350"/>
      <c r="AE345" s="350"/>
      <c r="AF345" s="350"/>
      <c r="AG345" s="350"/>
      <c r="AH345" s="350"/>
      <c r="AI345" s="350"/>
      <c r="AJ345" s="350"/>
      <c r="AK345" s="350"/>
      <c r="AL345" s="350"/>
      <c r="AM345" s="350"/>
      <c r="AN345" s="350"/>
      <c r="AO345" s="350"/>
      <c r="AP345" s="350"/>
      <c r="AQ345" s="351"/>
    </row>
    <row r="346" spans="1:43" ht="30" customHeight="1">
      <c r="A346" s="98">
        <f t="shared" si="1"/>
        <v>334</v>
      </c>
      <c r="B346" s="412" t="s">
        <v>325</v>
      </c>
      <c r="C346" s="350"/>
      <c r="D346" s="351"/>
      <c r="E346" s="735"/>
      <c r="F346" s="350"/>
      <c r="G346" s="351"/>
      <c r="H346" s="412"/>
      <c r="I346" s="350"/>
      <c r="J346" s="350"/>
      <c r="K346" s="351"/>
      <c r="L346" s="412"/>
      <c r="M346" s="350"/>
      <c r="N346" s="350"/>
      <c r="O346" s="350"/>
      <c r="P346" s="351"/>
      <c r="Q346" s="412"/>
      <c r="R346" s="350"/>
      <c r="S346" s="350"/>
      <c r="T346" s="350"/>
      <c r="U346" s="350"/>
      <c r="V346" s="350"/>
      <c r="W346" s="350"/>
      <c r="X346" s="350"/>
      <c r="Y346" s="350"/>
      <c r="Z346" s="351"/>
      <c r="AA346" s="412"/>
      <c r="AB346" s="350"/>
      <c r="AC346" s="350"/>
      <c r="AD346" s="350"/>
      <c r="AE346" s="350"/>
      <c r="AF346" s="350"/>
      <c r="AG346" s="350"/>
      <c r="AH346" s="350"/>
      <c r="AI346" s="350"/>
      <c r="AJ346" s="350"/>
      <c r="AK346" s="350"/>
      <c r="AL346" s="350"/>
      <c r="AM346" s="350"/>
      <c r="AN346" s="350"/>
      <c r="AO346" s="350"/>
      <c r="AP346" s="350"/>
      <c r="AQ346" s="351"/>
    </row>
    <row r="347" spans="1:43" ht="30" customHeight="1">
      <c r="A347" s="98">
        <f t="shared" si="1"/>
        <v>335</v>
      </c>
      <c r="B347" s="368" t="s">
        <v>325</v>
      </c>
      <c r="C347" s="350"/>
      <c r="D347" s="351"/>
      <c r="E347" s="736"/>
      <c r="F347" s="350"/>
      <c r="G347" s="351"/>
      <c r="H347" s="368"/>
      <c r="I347" s="350"/>
      <c r="J347" s="350"/>
      <c r="K347" s="351"/>
      <c r="L347" s="368"/>
      <c r="M347" s="350"/>
      <c r="N347" s="350"/>
      <c r="O347" s="350"/>
      <c r="P347" s="351"/>
      <c r="Q347" s="368"/>
      <c r="R347" s="350"/>
      <c r="S347" s="350"/>
      <c r="T347" s="350"/>
      <c r="U347" s="350"/>
      <c r="V347" s="350"/>
      <c r="W347" s="350"/>
      <c r="X347" s="350"/>
      <c r="Y347" s="350"/>
      <c r="Z347" s="351"/>
      <c r="AA347" s="368"/>
      <c r="AB347" s="350"/>
      <c r="AC347" s="350"/>
      <c r="AD347" s="350"/>
      <c r="AE347" s="350"/>
      <c r="AF347" s="350"/>
      <c r="AG347" s="350"/>
      <c r="AH347" s="350"/>
      <c r="AI347" s="350"/>
      <c r="AJ347" s="350"/>
      <c r="AK347" s="350"/>
      <c r="AL347" s="350"/>
      <c r="AM347" s="350"/>
      <c r="AN347" s="350"/>
      <c r="AO347" s="350"/>
      <c r="AP347" s="350"/>
      <c r="AQ347" s="351"/>
    </row>
    <row r="348" spans="1:43" ht="30" customHeight="1">
      <c r="A348" s="98">
        <f t="shared" si="1"/>
        <v>336</v>
      </c>
      <c r="B348" s="412" t="s">
        <v>325</v>
      </c>
      <c r="C348" s="350"/>
      <c r="D348" s="351"/>
      <c r="E348" s="735"/>
      <c r="F348" s="350"/>
      <c r="G348" s="351"/>
      <c r="H348" s="412"/>
      <c r="I348" s="350"/>
      <c r="J348" s="350"/>
      <c r="K348" s="351"/>
      <c r="L348" s="412"/>
      <c r="M348" s="350"/>
      <c r="N348" s="350"/>
      <c r="O348" s="350"/>
      <c r="P348" s="351"/>
      <c r="Q348" s="412"/>
      <c r="R348" s="350"/>
      <c r="S348" s="350"/>
      <c r="T348" s="350"/>
      <c r="U348" s="350"/>
      <c r="V348" s="350"/>
      <c r="W348" s="350"/>
      <c r="X348" s="350"/>
      <c r="Y348" s="350"/>
      <c r="Z348" s="351"/>
      <c r="AA348" s="412"/>
      <c r="AB348" s="350"/>
      <c r="AC348" s="350"/>
      <c r="AD348" s="350"/>
      <c r="AE348" s="350"/>
      <c r="AF348" s="350"/>
      <c r="AG348" s="350"/>
      <c r="AH348" s="350"/>
      <c r="AI348" s="350"/>
      <c r="AJ348" s="350"/>
      <c r="AK348" s="350"/>
      <c r="AL348" s="350"/>
      <c r="AM348" s="350"/>
      <c r="AN348" s="350"/>
      <c r="AO348" s="350"/>
      <c r="AP348" s="350"/>
      <c r="AQ348" s="351"/>
    </row>
    <row r="349" spans="1:43" ht="30" customHeight="1">
      <c r="A349" s="98">
        <f t="shared" si="1"/>
        <v>337</v>
      </c>
      <c r="B349" s="368" t="s">
        <v>325</v>
      </c>
      <c r="C349" s="350"/>
      <c r="D349" s="351"/>
      <c r="E349" s="736"/>
      <c r="F349" s="350"/>
      <c r="G349" s="351"/>
      <c r="H349" s="368"/>
      <c r="I349" s="350"/>
      <c r="J349" s="350"/>
      <c r="K349" s="351"/>
      <c r="L349" s="368"/>
      <c r="M349" s="350"/>
      <c r="N349" s="350"/>
      <c r="O349" s="350"/>
      <c r="P349" s="351"/>
      <c r="Q349" s="368"/>
      <c r="R349" s="350"/>
      <c r="S349" s="350"/>
      <c r="T349" s="350"/>
      <c r="U349" s="350"/>
      <c r="V349" s="350"/>
      <c r="W349" s="350"/>
      <c r="X349" s="350"/>
      <c r="Y349" s="350"/>
      <c r="Z349" s="351"/>
      <c r="AA349" s="368"/>
      <c r="AB349" s="350"/>
      <c r="AC349" s="350"/>
      <c r="AD349" s="350"/>
      <c r="AE349" s="350"/>
      <c r="AF349" s="350"/>
      <c r="AG349" s="350"/>
      <c r="AH349" s="350"/>
      <c r="AI349" s="350"/>
      <c r="AJ349" s="350"/>
      <c r="AK349" s="350"/>
      <c r="AL349" s="350"/>
      <c r="AM349" s="350"/>
      <c r="AN349" s="350"/>
      <c r="AO349" s="350"/>
      <c r="AP349" s="350"/>
      <c r="AQ349" s="351"/>
    </row>
    <row r="350" spans="1:43" ht="30" customHeight="1">
      <c r="A350" s="98">
        <f t="shared" si="1"/>
        <v>338</v>
      </c>
      <c r="B350" s="412" t="s">
        <v>325</v>
      </c>
      <c r="C350" s="350"/>
      <c r="D350" s="351"/>
      <c r="E350" s="735"/>
      <c r="F350" s="350"/>
      <c r="G350" s="351"/>
      <c r="H350" s="412"/>
      <c r="I350" s="350"/>
      <c r="J350" s="350"/>
      <c r="K350" s="351"/>
      <c r="L350" s="412"/>
      <c r="M350" s="350"/>
      <c r="N350" s="350"/>
      <c r="O350" s="350"/>
      <c r="P350" s="351"/>
      <c r="Q350" s="412"/>
      <c r="R350" s="350"/>
      <c r="S350" s="350"/>
      <c r="T350" s="350"/>
      <c r="U350" s="350"/>
      <c r="V350" s="350"/>
      <c r="W350" s="350"/>
      <c r="X350" s="350"/>
      <c r="Y350" s="350"/>
      <c r="Z350" s="351"/>
      <c r="AA350" s="412"/>
      <c r="AB350" s="350"/>
      <c r="AC350" s="350"/>
      <c r="AD350" s="350"/>
      <c r="AE350" s="350"/>
      <c r="AF350" s="350"/>
      <c r="AG350" s="350"/>
      <c r="AH350" s="350"/>
      <c r="AI350" s="350"/>
      <c r="AJ350" s="350"/>
      <c r="AK350" s="350"/>
      <c r="AL350" s="350"/>
      <c r="AM350" s="350"/>
      <c r="AN350" s="350"/>
      <c r="AO350" s="350"/>
      <c r="AP350" s="350"/>
      <c r="AQ350" s="351"/>
    </row>
    <row r="351" spans="1:43" ht="30" customHeight="1">
      <c r="A351" s="98">
        <f t="shared" si="1"/>
        <v>339</v>
      </c>
      <c r="B351" s="368" t="s">
        <v>325</v>
      </c>
      <c r="C351" s="350"/>
      <c r="D351" s="351"/>
      <c r="E351" s="736"/>
      <c r="F351" s="350"/>
      <c r="G351" s="351"/>
      <c r="H351" s="368"/>
      <c r="I351" s="350"/>
      <c r="J351" s="350"/>
      <c r="K351" s="351"/>
      <c r="L351" s="368"/>
      <c r="M351" s="350"/>
      <c r="N351" s="350"/>
      <c r="O351" s="350"/>
      <c r="P351" s="351"/>
      <c r="Q351" s="368"/>
      <c r="R351" s="350"/>
      <c r="S351" s="350"/>
      <c r="T351" s="350"/>
      <c r="U351" s="350"/>
      <c r="V351" s="350"/>
      <c r="W351" s="350"/>
      <c r="X351" s="350"/>
      <c r="Y351" s="350"/>
      <c r="Z351" s="351"/>
      <c r="AA351" s="368"/>
      <c r="AB351" s="350"/>
      <c r="AC351" s="350"/>
      <c r="AD351" s="350"/>
      <c r="AE351" s="350"/>
      <c r="AF351" s="350"/>
      <c r="AG351" s="350"/>
      <c r="AH351" s="350"/>
      <c r="AI351" s="350"/>
      <c r="AJ351" s="350"/>
      <c r="AK351" s="350"/>
      <c r="AL351" s="350"/>
      <c r="AM351" s="350"/>
      <c r="AN351" s="350"/>
      <c r="AO351" s="350"/>
      <c r="AP351" s="350"/>
      <c r="AQ351" s="351"/>
    </row>
    <row r="352" spans="1:43" ht="30" customHeight="1">
      <c r="A352" s="98">
        <f t="shared" si="1"/>
        <v>340</v>
      </c>
      <c r="B352" s="412" t="s">
        <v>325</v>
      </c>
      <c r="C352" s="350"/>
      <c r="D352" s="351"/>
      <c r="E352" s="735"/>
      <c r="F352" s="350"/>
      <c r="G352" s="351"/>
      <c r="H352" s="412"/>
      <c r="I352" s="350"/>
      <c r="J352" s="350"/>
      <c r="K352" s="351"/>
      <c r="L352" s="412"/>
      <c r="M352" s="350"/>
      <c r="N352" s="350"/>
      <c r="O352" s="350"/>
      <c r="P352" s="351"/>
      <c r="Q352" s="412"/>
      <c r="R352" s="350"/>
      <c r="S352" s="350"/>
      <c r="T352" s="350"/>
      <c r="U352" s="350"/>
      <c r="V352" s="350"/>
      <c r="W352" s="350"/>
      <c r="X352" s="350"/>
      <c r="Y352" s="350"/>
      <c r="Z352" s="351"/>
      <c r="AA352" s="412"/>
      <c r="AB352" s="350"/>
      <c r="AC352" s="350"/>
      <c r="AD352" s="350"/>
      <c r="AE352" s="350"/>
      <c r="AF352" s="350"/>
      <c r="AG352" s="350"/>
      <c r="AH352" s="350"/>
      <c r="AI352" s="350"/>
      <c r="AJ352" s="350"/>
      <c r="AK352" s="350"/>
      <c r="AL352" s="350"/>
      <c r="AM352" s="350"/>
      <c r="AN352" s="350"/>
      <c r="AO352" s="350"/>
      <c r="AP352" s="350"/>
      <c r="AQ352" s="351"/>
    </row>
    <row r="353" spans="1:43" ht="30" customHeight="1">
      <c r="A353" s="98">
        <f t="shared" si="1"/>
        <v>341</v>
      </c>
      <c r="B353" s="368" t="s">
        <v>325</v>
      </c>
      <c r="C353" s="350"/>
      <c r="D353" s="351"/>
      <c r="E353" s="736"/>
      <c r="F353" s="350"/>
      <c r="G353" s="351"/>
      <c r="H353" s="368"/>
      <c r="I353" s="350"/>
      <c r="J353" s="350"/>
      <c r="K353" s="351"/>
      <c r="L353" s="368"/>
      <c r="M353" s="350"/>
      <c r="N353" s="350"/>
      <c r="O353" s="350"/>
      <c r="P353" s="351"/>
      <c r="Q353" s="368"/>
      <c r="R353" s="350"/>
      <c r="S353" s="350"/>
      <c r="T353" s="350"/>
      <c r="U353" s="350"/>
      <c r="V353" s="350"/>
      <c r="W353" s="350"/>
      <c r="X353" s="350"/>
      <c r="Y353" s="350"/>
      <c r="Z353" s="351"/>
      <c r="AA353" s="368"/>
      <c r="AB353" s="350"/>
      <c r="AC353" s="350"/>
      <c r="AD353" s="350"/>
      <c r="AE353" s="350"/>
      <c r="AF353" s="350"/>
      <c r="AG353" s="350"/>
      <c r="AH353" s="350"/>
      <c r="AI353" s="350"/>
      <c r="AJ353" s="350"/>
      <c r="AK353" s="350"/>
      <c r="AL353" s="350"/>
      <c r="AM353" s="350"/>
      <c r="AN353" s="350"/>
      <c r="AO353" s="350"/>
      <c r="AP353" s="350"/>
      <c r="AQ353" s="351"/>
    </row>
    <row r="354" spans="1:43" ht="30" customHeight="1">
      <c r="A354" s="98">
        <f t="shared" si="1"/>
        <v>342</v>
      </c>
      <c r="B354" s="412" t="s">
        <v>325</v>
      </c>
      <c r="C354" s="350"/>
      <c r="D354" s="351"/>
      <c r="E354" s="735"/>
      <c r="F354" s="350"/>
      <c r="G354" s="351"/>
      <c r="H354" s="412"/>
      <c r="I354" s="350"/>
      <c r="J354" s="350"/>
      <c r="K354" s="351"/>
      <c r="L354" s="412"/>
      <c r="M354" s="350"/>
      <c r="N354" s="350"/>
      <c r="O354" s="350"/>
      <c r="P354" s="351"/>
      <c r="Q354" s="412"/>
      <c r="R354" s="350"/>
      <c r="S354" s="350"/>
      <c r="T354" s="350"/>
      <c r="U354" s="350"/>
      <c r="V354" s="350"/>
      <c r="W354" s="350"/>
      <c r="X354" s="350"/>
      <c r="Y354" s="350"/>
      <c r="Z354" s="351"/>
      <c r="AA354" s="412"/>
      <c r="AB354" s="350"/>
      <c r="AC354" s="350"/>
      <c r="AD354" s="350"/>
      <c r="AE354" s="350"/>
      <c r="AF354" s="350"/>
      <c r="AG354" s="350"/>
      <c r="AH354" s="350"/>
      <c r="AI354" s="350"/>
      <c r="AJ354" s="350"/>
      <c r="AK354" s="350"/>
      <c r="AL354" s="350"/>
      <c r="AM354" s="350"/>
      <c r="AN354" s="350"/>
      <c r="AO354" s="350"/>
      <c r="AP354" s="350"/>
      <c r="AQ354" s="351"/>
    </row>
    <row r="355" spans="1:43" ht="30" customHeight="1">
      <c r="A355" s="98">
        <f t="shared" si="1"/>
        <v>343</v>
      </c>
      <c r="B355" s="368" t="s">
        <v>325</v>
      </c>
      <c r="C355" s="350"/>
      <c r="D355" s="351"/>
      <c r="E355" s="736"/>
      <c r="F355" s="350"/>
      <c r="G355" s="351"/>
      <c r="H355" s="368"/>
      <c r="I355" s="350"/>
      <c r="J355" s="350"/>
      <c r="K355" s="351"/>
      <c r="L355" s="368"/>
      <c r="M355" s="350"/>
      <c r="N355" s="350"/>
      <c r="O355" s="350"/>
      <c r="P355" s="351"/>
      <c r="Q355" s="368"/>
      <c r="R355" s="350"/>
      <c r="S355" s="350"/>
      <c r="T355" s="350"/>
      <c r="U355" s="350"/>
      <c r="V355" s="350"/>
      <c r="W355" s="350"/>
      <c r="X355" s="350"/>
      <c r="Y355" s="350"/>
      <c r="Z355" s="351"/>
      <c r="AA355" s="368"/>
      <c r="AB355" s="350"/>
      <c r="AC355" s="350"/>
      <c r="AD355" s="350"/>
      <c r="AE355" s="350"/>
      <c r="AF355" s="350"/>
      <c r="AG355" s="350"/>
      <c r="AH355" s="350"/>
      <c r="AI355" s="350"/>
      <c r="AJ355" s="350"/>
      <c r="AK355" s="350"/>
      <c r="AL355" s="350"/>
      <c r="AM355" s="350"/>
      <c r="AN355" s="350"/>
      <c r="AO355" s="350"/>
      <c r="AP355" s="350"/>
      <c r="AQ355" s="351"/>
    </row>
    <row r="356" spans="1:43" ht="30" customHeight="1">
      <c r="A356" s="98">
        <f t="shared" si="1"/>
        <v>344</v>
      </c>
      <c r="B356" s="412" t="s">
        <v>325</v>
      </c>
      <c r="C356" s="350"/>
      <c r="D356" s="351"/>
      <c r="E356" s="735"/>
      <c r="F356" s="350"/>
      <c r="G356" s="351"/>
      <c r="H356" s="412"/>
      <c r="I356" s="350"/>
      <c r="J356" s="350"/>
      <c r="K356" s="351"/>
      <c r="L356" s="412"/>
      <c r="M356" s="350"/>
      <c r="N356" s="350"/>
      <c r="O356" s="350"/>
      <c r="P356" s="351"/>
      <c r="Q356" s="412"/>
      <c r="R356" s="350"/>
      <c r="S356" s="350"/>
      <c r="T356" s="350"/>
      <c r="U356" s="350"/>
      <c r="V356" s="350"/>
      <c r="W356" s="350"/>
      <c r="X356" s="350"/>
      <c r="Y356" s="350"/>
      <c r="Z356" s="351"/>
      <c r="AA356" s="412"/>
      <c r="AB356" s="350"/>
      <c r="AC356" s="350"/>
      <c r="AD356" s="350"/>
      <c r="AE356" s="350"/>
      <c r="AF356" s="350"/>
      <c r="AG356" s="350"/>
      <c r="AH356" s="350"/>
      <c r="AI356" s="350"/>
      <c r="AJ356" s="350"/>
      <c r="AK356" s="350"/>
      <c r="AL356" s="350"/>
      <c r="AM356" s="350"/>
      <c r="AN356" s="350"/>
      <c r="AO356" s="350"/>
      <c r="AP356" s="350"/>
      <c r="AQ356" s="351"/>
    </row>
    <row r="357" spans="1:43" ht="30" customHeight="1">
      <c r="A357" s="98">
        <f t="shared" si="1"/>
        <v>345</v>
      </c>
      <c r="B357" s="368" t="s">
        <v>325</v>
      </c>
      <c r="C357" s="350"/>
      <c r="D357" s="351"/>
      <c r="E357" s="736"/>
      <c r="F357" s="350"/>
      <c r="G357" s="351"/>
      <c r="H357" s="368"/>
      <c r="I357" s="350"/>
      <c r="J357" s="350"/>
      <c r="K357" s="351"/>
      <c r="L357" s="368"/>
      <c r="M357" s="350"/>
      <c r="N357" s="350"/>
      <c r="O357" s="350"/>
      <c r="P357" s="351"/>
      <c r="Q357" s="368"/>
      <c r="R357" s="350"/>
      <c r="S357" s="350"/>
      <c r="T357" s="350"/>
      <c r="U357" s="350"/>
      <c r="V357" s="350"/>
      <c r="W357" s="350"/>
      <c r="X357" s="350"/>
      <c r="Y357" s="350"/>
      <c r="Z357" s="351"/>
      <c r="AA357" s="368"/>
      <c r="AB357" s="350"/>
      <c r="AC357" s="350"/>
      <c r="AD357" s="350"/>
      <c r="AE357" s="350"/>
      <c r="AF357" s="350"/>
      <c r="AG357" s="350"/>
      <c r="AH357" s="350"/>
      <c r="AI357" s="350"/>
      <c r="AJ357" s="350"/>
      <c r="AK357" s="350"/>
      <c r="AL357" s="350"/>
      <c r="AM357" s="350"/>
      <c r="AN357" s="350"/>
      <c r="AO357" s="350"/>
      <c r="AP357" s="350"/>
      <c r="AQ357" s="351"/>
    </row>
    <row r="358" spans="1:43" ht="30" customHeight="1">
      <c r="A358" s="98">
        <f t="shared" si="1"/>
        <v>346</v>
      </c>
      <c r="B358" s="412" t="s">
        <v>325</v>
      </c>
      <c r="C358" s="350"/>
      <c r="D358" s="351"/>
      <c r="E358" s="735"/>
      <c r="F358" s="350"/>
      <c r="G358" s="351"/>
      <c r="H358" s="412"/>
      <c r="I358" s="350"/>
      <c r="J358" s="350"/>
      <c r="K358" s="351"/>
      <c r="L358" s="412"/>
      <c r="M358" s="350"/>
      <c r="N358" s="350"/>
      <c r="O358" s="350"/>
      <c r="P358" s="351"/>
      <c r="Q358" s="412"/>
      <c r="R358" s="350"/>
      <c r="S358" s="350"/>
      <c r="T358" s="350"/>
      <c r="U358" s="350"/>
      <c r="V358" s="350"/>
      <c r="W358" s="350"/>
      <c r="X358" s="350"/>
      <c r="Y358" s="350"/>
      <c r="Z358" s="351"/>
      <c r="AA358" s="412"/>
      <c r="AB358" s="350"/>
      <c r="AC358" s="350"/>
      <c r="AD358" s="350"/>
      <c r="AE358" s="350"/>
      <c r="AF358" s="350"/>
      <c r="AG358" s="350"/>
      <c r="AH358" s="350"/>
      <c r="AI358" s="350"/>
      <c r="AJ358" s="350"/>
      <c r="AK358" s="350"/>
      <c r="AL358" s="350"/>
      <c r="AM358" s="350"/>
      <c r="AN358" s="350"/>
      <c r="AO358" s="350"/>
      <c r="AP358" s="350"/>
      <c r="AQ358" s="351"/>
    </row>
    <row r="359" spans="1:43" ht="30" customHeight="1">
      <c r="A359" s="98">
        <f t="shared" si="1"/>
        <v>347</v>
      </c>
      <c r="B359" s="368" t="s">
        <v>325</v>
      </c>
      <c r="C359" s="350"/>
      <c r="D359" s="351"/>
      <c r="E359" s="736"/>
      <c r="F359" s="350"/>
      <c r="G359" s="351"/>
      <c r="H359" s="368"/>
      <c r="I359" s="350"/>
      <c r="J359" s="350"/>
      <c r="K359" s="351"/>
      <c r="L359" s="368"/>
      <c r="M359" s="350"/>
      <c r="N359" s="350"/>
      <c r="O359" s="350"/>
      <c r="P359" s="351"/>
      <c r="Q359" s="368"/>
      <c r="R359" s="350"/>
      <c r="S359" s="350"/>
      <c r="T359" s="350"/>
      <c r="U359" s="350"/>
      <c r="V359" s="350"/>
      <c r="W359" s="350"/>
      <c r="X359" s="350"/>
      <c r="Y359" s="350"/>
      <c r="Z359" s="351"/>
      <c r="AA359" s="368"/>
      <c r="AB359" s="350"/>
      <c r="AC359" s="350"/>
      <c r="AD359" s="350"/>
      <c r="AE359" s="350"/>
      <c r="AF359" s="350"/>
      <c r="AG359" s="350"/>
      <c r="AH359" s="350"/>
      <c r="AI359" s="350"/>
      <c r="AJ359" s="350"/>
      <c r="AK359" s="350"/>
      <c r="AL359" s="350"/>
      <c r="AM359" s="350"/>
      <c r="AN359" s="350"/>
      <c r="AO359" s="350"/>
      <c r="AP359" s="350"/>
      <c r="AQ359" s="351"/>
    </row>
    <row r="360" spans="1:43" ht="30" customHeight="1">
      <c r="A360" s="98">
        <f t="shared" si="1"/>
        <v>348</v>
      </c>
      <c r="B360" s="412" t="s">
        <v>325</v>
      </c>
      <c r="C360" s="350"/>
      <c r="D360" s="351"/>
      <c r="E360" s="735"/>
      <c r="F360" s="350"/>
      <c r="G360" s="351"/>
      <c r="H360" s="412"/>
      <c r="I360" s="350"/>
      <c r="J360" s="350"/>
      <c r="K360" s="351"/>
      <c r="L360" s="412"/>
      <c r="M360" s="350"/>
      <c r="N360" s="350"/>
      <c r="O360" s="350"/>
      <c r="P360" s="351"/>
      <c r="Q360" s="412"/>
      <c r="R360" s="350"/>
      <c r="S360" s="350"/>
      <c r="T360" s="350"/>
      <c r="U360" s="350"/>
      <c r="V360" s="350"/>
      <c r="W360" s="350"/>
      <c r="X360" s="350"/>
      <c r="Y360" s="350"/>
      <c r="Z360" s="351"/>
      <c r="AA360" s="412"/>
      <c r="AB360" s="350"/>
      <c r="AC360" s="350"/>
      <c r="AD360" s="350"/>
      <c r="AE360" s="350"/>
      <c r="AF360" s="350"/>
      <c r="AG360" s="350"/>
      <c r="AH360" s="350"/>
      <c r="AI360" s="350"/>
      <c r="AJ360" s="350"/>
      <c r="AK360" s="350"/>
      <c r="AL360" s="350"/>
      <c r="AM360" s="350"/>
      <c r="AN360" s="350"/>
      <c r="AO360" s="350"/>
      <c r="AP360" s="350"/>
      <c r="AQ360" s="351"/>
    </row>
    <row r="361" spans="1:43" ht="30" customHeight="1">
      <c r="A361" s="98">
        <f t="shared" si="1"/>
        <v>349</v>
      </c>
      <c r="B361" s="368" t="s">
        <v>325</v>
      </c>
      <c r="C361" s="350"/>
      <c r="D361" s="351"/>
      <c r="E361" s="736"/>
      <c r="F361" s="350"/>
      <c r="G361" s="351"/>
      <c r="H361" s="368"/>
      <c r="I361" s="350"/>
      <c r="J361" s="350"/>
      <c r="K361" s="351"/>
      <c r="L361" s="368"/>
      <c r="M361" s="350"/>
      <c r="N361" s="350"/>
      <c r="O361" s="350"/>
      <c r="P361" s="351"/>
      <c r="Q361" s="368"/>
      <c r="R361" s="350"/>
      <c r="S361" s="350"/>
      <c r="T361" s="350"/>
      <c r="U361" s="350"/>
      <c r="V361" s="350"/>
      <c r="W361" s="350"/>
      <c r="X361" s="350"/>
      <c r="Y361" s="350"/>
      <c r="Z361" s="351"/>
      <c r="AA361" s="368"/>
      <c r="AB361" s="350"/>
      <c r="AC361" s="350"/>
      <c r="AD361" s="350"/>
      <c r="AE361" s="350"/>
      <c r="AF361" s="350"/>
      <c r="AG361" s="350"/>
      <c r="AH361" s="350"/>
      <c r="AI361" s="350"/>
      <c r="AJ361" s="350"/>
      <c r="AK361" s="350"/>
      <c r="AL361" s="350"/>
      <c r="AM361" s="350"/>
      <c r="AN361" s="350"/>
      <c r="AO361" s="350"/>
      <c r="AP361" s="350"/>
      <c r="AQ361" s="351"/>
    </row>
    <row r="362" spans="1:43" ht="30" customHeight="1">
      <c r="A362" s="98">
        <f t="shared" si="1"/>
        <v>350</v>
      </c>
      <c r="B362" s="412" t="s">
        <v>325</v>
      </c>
      <c r="C362" s="350"/>
      <c r="D362" s="351"/>
      <c r="E362" s="735"/>
      <c r="F362" s="350"/>
      <c r="G362" s="351"/>
      <c r="H362" s="412"/>
      <c r="I362" s="350"/>
      <c r="J362" s="350"/>
      <c r="K362" s="351"/>
      <c r="L362" s="412"/>
      <c r="M362" s="350"/>
      <c r="N362" s="350"/>
      <c r="O362" s="350"/>
      <c r="P362" s="351"/>
      <c r="Q362" s="412"/>
      <c r="R362" s="350"/>
      <c r="S362" s="350"/>
      <c r="T362" s="350"/>
      <c r="U362" s="350"/>
      <c r="V362" s="350"/>
      <c r="W362" s="350"/>
      <c r="X362" s="350"/>
      <c r="Y362" s="350"/>
      <c r="Z362" s="351"/>
      <c r="AA362" s="412"/>
      <c r="AB362" s="350"/>
      <c r="AC362" s="350"/>
      <c r="AD362" s="350"/>
      <c r="AE362" s="350"/>
      <c r="AF362" s="350"/>
      <c r="AG362" s="350"/>
      <c r="AH362" s="350"/>
      <c r="AI362" s="350"/>
      <c r="AJ362" s="350"/>
      <c r="AK362" s="350"/>
      <c r="AL362" s="350"/>
      <c r="AM362" s="350"/>
      <c r="AN362" s="350"/>
      <c r="AO362" s="350"/>
      <c r="AP362" s="350"/>
      <c r="AQ362" s="351"/>
    </row>
    <row r="363" spans="1:43" ht="30" customHeight="1">
      <c r="A363" s="98">
        <f t="shared" si="1"/>
        <v>351</v>
      </c>
      <c r="B363" s="368" t="s">
        <v>325</v>
      </c>
      <c r="C363" s="350"/>
      <c r="D363" s="351"/>
      <c r="E363" s="736"/>
      <c r="F363" s="350"/>
      <c r="G363" s="351"/>
      <c r="H363" s="368"/>
      <c r="I363" s="350"/>
      <c r="J363" s="350"/>
      <c r="K363" s="351"/>
      <c r="L363" s="368"/>
      <c r="M363" s="350"/>
      <c r="N363" s="350"/>
      <c r="O363" s="350"/>
      <c r="P363" s="351"/>
      <c r="Q363" s="368"/>
      <c r="R363" s="350"/>
      <c r="S363" s="350"/>
      <c r="T363" s="350"/>
      <c r="U363" s="350"/>
      <c r="V363" s="350"/>
      <c r="W363" s="350"/>
      <c r="X363" s="350"/>
      <c r="Y363" s="350"/>
      <c r="Z363" s="351"/>
      <c r="AA363" s="368"/>
      <c r="AB363" s="350"/>
      <c r="AC363" s="350"/>
      <c r="AD363" s="350"/>
      <c r="AE363" s="350"/>
      <c r="AF363" s="350"/>
      <c r="AG363" s="350"/>
      <c r="AH363" s="350"/>
      <c r="AI363" s="350"/>
      <c r="AJ363" s="350"/>
      <c r="AK363" s="350"/>
      <c r="AL363" s="350"/>
      <c r="AM363" s="350"/>
      <c r="AN363" s="350"/>
      <c r="AO363" s="350"/>
      <c r="AP363" s="350"/>
      <c r="AQ363" s="351"/>
    </row>
    <row r="364" spans="1:43" ht="30" customHeight="1">
      <c r="A364" s="98">
        <f t="shared" si="1"/>
        <v>352</v>
      </c>
      <c r="B364" s="412" t="s">
        <v>325</v>
      </c>
      <c r="C364" s="350"/>
      <c r="D364" s="351"/>
      <c r="E364" s="735"/>
      <c r="F364" s="350"/>
      <c r="G364" s="351"/>
      <c r="H364" s="412"/>
      <c r="I364" s="350"/>
      <c r="J364" s="350"/>
      <c r="K364" s="351"/>
      <c r="L364" s="412"/>
      <c r="M364" s="350"/>
      <c r="N364" s="350"/>
      <c r="O364" s="350"/>
      <c r="P364" s="351"/>
      <c r="Q364" s="412"/>
      <c r="R364" s="350"/>
      <c r="S364" s="350"/>
      <c r="T364" s="350"/>
      <c r="U364" s="350"/>
      <c r="V364" s="350"/>
      <c r="W364" s="350"/>
      <c r="X364" s="350"/>
      <c r="Y364" s="350"/>
      <c r="Z364" s="351"/>
      <c r="AA364" s="412"/>
      <c r="AB364" s="350"/>
      <c r="AC364" s="350"/>
      <c r="AD364" s="350"/>
      <c r="AE364" s="350"/>
      <c r="AF364" s="350"/>
      <c r="AG364" s="350"/>
      <c r="AH364" s="350"/>
      <c r="AI364" s="350"/>
      <c r="AJ364" s="350"/>
      <c r="AK364" s="350"/>
      <c r="AL364" s="350"/>
      <c r="AM364" s="350"/>
      <c r="AN364" s="350"/>
      <c r="AO364" s="350"/>
      <c r="AP364" s="350"/>
      <c r="AQ364" s="351"/>
    </row>
    <row r="365" spans="1:43" ht="30" customHeight="1">
      <c r="A365" s="98">
        <f t="shared" si="1"/>
        <v>353</v>
      </c>
      <c r="B365" s="368" t="s">
        <v>325</v>
      </c>
      <c r="C365" s="350"/>
      <c r="D365" s="351"/>
      <c r="E365" s="736"/>
      <c r="F365" s="350"/>
      <c r="G365" s="351"/>
      <c r="H365" s="368"/>
      <c r="I365" s="350"/>
      <c r="J365" s="350"/>
      <c r="K365" s="351"/>
      <c r="L365" s="368"/>
      <c r="M365" s="350"/>
      <c r="N365" s="350"/>
      <c r="O365" s="350"/>
      <c r="P365" s="351"/>
      <c r="Q365" s="368"/>
      <c r="R365" s="350"/>
      <c r="S365" s="350"/>
      <c r="T365" s="350"/>
      <c r="U365" s="350"/>
      <c r="V365" s="350"/>
      <c r="W365" s="350"/>
      <c r="X365" s="350"/>
      <c r="Y365" s="350"/>
      <c r="Z365" s="351"/>
      <c r="AA365" s="368"/>
      <c r="AB365" s="350"/>
      <c r="AC365" s="350"/>
      <c r="AD365" s="350"/>
      <c r="AE365" s="350"/>
      <c r="AF365" s="350"/>
      <c r="AG365" s="350"/>
      <c r="AH365" s="350"/>
      <c r="AI365" s="350"/>
      <c r="AJ365" s="350"/>
      <c r="AK365" s="350"/>
      <c r="AL365" s="350"/>
      <c r="AM365" s="350"/>
      <c r="AN365" s="350"/>
      <c r="AO365" s="350"/>
      <c r="AP365" s="350"/>
      <c r="AQ365" s="351"/>
    </row>
    <row r="366" spans="1:43" ht="30" customHeight="1">
      <c r="A366" s="98">
        <f t="shared" si="1"/>
        <v>354</v>
      </c>
      <c r="B366" s="412" t="s">
        <v>325</v>
      </c>
      <c r="C366" s="350"/>
      <c r="D366" s="351"/>
      <c r="E366" s="735"/>
      <c r="F366" s="350"/>
      <c r="G366" s="351"/>
      <c r="H366" s="412"/>
      <c r="I366" s="350"/>
      <c r="J366" s="350"/>
      <c r="K366" s="351"/>
      <c r="L366" s="412"/>
      <c r="M366" s="350"/>
      <c r="N366" s="350"/>
      <c r="O366" s="350"/>
      <c r="P366" s="351"/>
      <c r="Q366" s="412"/>
      <c r="R366" s="350"/>
      <c r="S366" s="350"/>
      <c r="T366" s="350"/>
      <c r="U366" s="350"/>
      <c r="V366" s="350"/>
      <c r="W366" s="350"/>
      <c r="X366" s="350"/>
      <c r="Y366" s="350"/>
      <c r="Z366" s="351"/>
      <c r="AA366" s="412"/>
      <c r="AB366" s="350"/>
      <c r="AC366" s="350"/>
      <c r="AD366" s="350"/>
      <c r="AE366" s="350"/>
      <c r="AF366" s="350"/>
      <c r="AG366" s="350"/>
      <c r="AH366" s="350"/>
      <c r="AI366" s="350"/>
      <c r="AJ366" s="350"/>
      <c r="AK366" s="350"/>
      <c r="AL366" s="350"/>
      <c r="AM366" s="350"/>
      <c r="AN366" s="350"/>
      <c r="AO366" s="350"/>
      <c r="AP366" s="350"/>
      <c r="AQ366" s="351"/>
    </row>
    <row r="367" spans="1:43" ht="30" customHeight="1">
      <c r="A367" s="98">
        <f t="shared" si="1"/>
        <v>355</v>
      </c>
      <c r="B367" s="368" t="s">
        <v>325</v>
      </c>
      <c r="C367" s="350"/>
      <c r="D367" s="351"/>
      <c r="E367" s="736"/>
      <c r="F367" s="350"/>
      <c r="G367" s="351"/>
      <c r="H367" s="368"/>
      <c r="I367" s="350"/>
      <c r="J367" s="350"/>
      <c r="K367" s="351"/>
      <c r="L367" s="368"/>
      <c r="M367" s="350"/>
      <c r="N367" s="350"/>
      <c r="O367" s="350"/>
      <c r="P367" s="351"/>
      <c r="Q367" s="368"/>
      <c r="R367" s="350"/>
      <c r="S367" s="350"/>
      <c r="T367" s="350"/>
      <c r="U367" s="350"/>
      <c r="V367" s="350"/>
      <c r="W367" s="350"/>
      <c r="X367" s="350"/>
      <c r="Y367" s="350"/>
      <c r="Z367" s="351"/>
      <c r="AA367" s="368"/>
      <c r="AB367" s="350"/>
      <c r="AC367" s="350"/>
      <c r="AD367" s="350"/>
      <c r="AE367" s="350"/>
      <c r="AF367" s="350"/>
      <c r="AG367" s="350"/>
      <c r="AH367" s="350"/>
      <c r="AI367" s="350"/>
      <c r="AJ367" s="350"/>
      <c r="AK367" s="350"/>
      <c r="AL367" s="350"/>
      <c r="AM367" s="350"/>
      <c r="AN367" s="350"/>
      <c r="AO367" s="350"/>
      <c r="AP367" s="350"/>
      <c r="AQ367" s="351"/>
    </row>
    <row r="368" spans="1:43" ht="30" customHeight="1">
      <c r="A368" s="98">
        <f t="shared" si="1"/>
        <v>356</v>
      </c>
      <c r="B368" s="412" t="s">
        <v>325</v>
      </c>
      <c r="C368" s="350"/>
      <c r="D368" s="351"/>
      <c r="E368" s="735"/>
      <c r="F368" s="350"/>
      <c r="G368" s="351"/>
      <c r="H368" s="412"/>
      <c r="I368" s="350"/>
      <c r="J368" s="350"/>
      <c r="K368" s="351"/>
      <c r="L368" s="412"/>
      <c r="M368" s="350"/>
      <c r="N368" s="350"/>
      <c r="O368" s="350"/>
      <c r="P368" s="351"/>
      <c r="Q368" s="412"/>
      <c r="R368" s="350"/>
      <c r="S368" s="350"/>
      <c r="T368" s="350"/>
      <c r="U368" s="350"/>
      <c r="V368" s="350"/>
      <c r="W368" s="350"/>
      <c r="X368" s="350"/>
      <c r="Y368" s="350"/>
      <c r="Z368" s="351"/>
      <c r="AA368" s="412"/>
      <c r="AB368" s="350"/>
      <c r="AC368" s="350"/>
      <c r="AD368" s="350"/>
      <c r="AE368" s="350"/>
      <c r="AF368" s="350"/>
      <c r="AG368" s="350"/>
      <c r="AH368" s="350"/>
      <c r="AI368" s="350"/>
      <c r="AJ368" s="350"/>
      <c r="AK368" s="350"/>
      <c r="AL368" s="350"/>
      <c r="AM368" s="350"/>
      <c r="AN368" s="350"/>
      <c r="AO368" s="350"/>
      <c r="AP368" s="350"/>
      <c r="AQ368" s="351"/>
    </row>
    <row r="369" spans="1:43" ht="30" customHeight="1">
      <c r="A369" s="98">
        <f t="shared" si="1"/>
        <v>357</v>
      </c>
      <c r="B369" s="368" t="s">
        <v>325</v>
      </c>
      <c r="C369" s="350"/>
      <c r="D369" s="351"/>
      <c r="E369" s="736"/>
      <c r="F369" s="350"/>
      <c r="G369" s="351"/>
      <c r="H369" s="368"/>
      <c r="I369" s="350"/>
      <c r="J369" s="350"/>
      <c r="K369" s="351"/>
      <c r="L369" s="368"/>
      <c r="M369" s="350"/>
      <c r="N369" s="350"/>
      <c r="O369" s="350"/>
      <c r="P369" s="351"/>
      <c r="Q369" s="368"/>
      <c r="R369" s="350"/>
      <c r="S369" s="350"/>
      <c r="T369" s="350"/>
      <c r="U369" s="350"/>
      <c r="V369" s="350"/>
      <c r="W369" s="350"/>
      <c r="X369" s="350"/>
      <c r="Y369" s="350"/>
      <c r="Z369" s="351"/>
      <c r="AA369" s="368"/>
      <c r="AB369" s="350"/>
      <c r="AC369" s="350"/>
      <c r="AD369" s="350"/>
      <c r="AE369" s="350"/>
      <c r="AF369" s="350"/>
      <c r="AG369" s="350"/>
      <c r="AH369" s="350"/>
      <c r="AI369" s="350"/>
      <c r="AJ369" s="350"/>
      <c r="AK369" s="350"/>
      <c r="AL369" s="350"/>
      <c r="AM369" s="350"/>
      <c r="AN369" s="350"/>
      <c r="AO369" s="350"/>
      <c r="AP369" s="350"/>
      <c r="AQ369" s="351"/>
    </row>
    <row r="370" spans="1:43" ht="30" customHeight="1">
      <c r="A370" s="98">
        <f t="shared" si="1"/>
        <v>358</v>
      </c>
      <c r="B370" s="412" t="s">
        <v>325</v>
      </c>
      <c r="C370" s="350"/>
      <c r="D370" s="351"/>
      <c r="E370" s="735"/>
      <c r="F370" s="350"/>
      <c r="G370" s="351"/>
      <c r="H370" s="412"/>
      <c r="I370" s="350"/>
      <c r="J370" s="350"/>
      <c r="K370" s="351"/>
      <c r="L370" s="412"/>
      <c r="M370" s="350"/>
      <c r="N370" s="350"/>
      <c r="O370" s="350"/>
      <c r="P370" s="351"/>
      <c r="Q370" s="412"/>
      <c r="R370" s="350"/>
      <c r="S370" s="350"/>
      <c r="T370" s="350"/>
      <c r="U370" s="350"/>
      <c r="V370" s="350"/>
      <c r="W370" s="350"/>
      <c r="X370" s="350"/>
      <c r="Y370" s="350"/>
      <c r="Z370" s="351"/>
      <c r="AA370" s="412"/>
      <c r="AB370" s="350"/>
      <c r="AC370" s="350"/>
      <c r="AD370" s="350"/>
      <c r="AE370" s="350"/>
      <c r="AF370" s="350"/>
      <c r="AG370" s="350"/>
      <c r="AH370" s="350"/>
      <c r="AI370" s="350"/>
      <c r="AJ370" s="350"/>
      <c r="AK370" s="350"/>
      <c r="AL370" s="350"/>
      <c r="AM370" s="350"/>
      <c r="AN370" s="350"/>
      <c r="AO370" s="350"/>
      <c r="AP370" s="350"/>
      <c r="AQ370" s="351"/>
    </row>
    <row r="371" spans="1:43" ht="30" customHeight="1">
      <c r="A371" s="98">
        <f t="shared" si="1"/>
        <v>359</v>
      </c>
      <c r="B371" s="368" t="s">
        <v>325</v>
      </c>
      <c r="C371" s="350"/>
      <c r="D371" s="351"/>
      <c r="E371" s="736"/>
      <c r="F371" s="350"/>
      <c r="G371" s="351"/>
      <c r="H371" s="368"/>
      <c r="I371" s="350"/>
      <c r="J371" s="350"/>
      <c r="K371" s="351"/>
      <c r="L371" s="368"/>
      <c r="M371" s="350"/>
      <c r="N371" s="350"/>
      <c r="O371" s="350"/>
      <c r="P371" s="351"/>
      <c r="Q371" s="368"/>
      <c r="R371" s="350"/>
      <c r="S371" s="350"/>
      <c r="T371" s="350"/>
      <c r="U371" s="350"/>
      <c r="V371" s="350"/>
      <c r="W371" s="350"/>
      <c r="X371" s="350"/>
      <c r="Y371" s="350"/>
      <c r="Z371" s="351"/>
      <c r="AA371" s="368"/>
      <c r="AB371" s="350"/>
      <c r="AC371" s="350"/>
      <c r="AD371" s="350"/>
      <c r="AE371" s="350"/>
      <c r="AF371" s="350"/>
      <c r="AG371" s="350"/>
      <c r="AH371" s="350"/>
      <c r="AI371" s="350"/>
      <c r="AJ371" s="350"/>
      <c r="AK371" s="350"/>
      <c r="AL371" s="350"/>
      <c r="AM371" s="350"/>
      <c r="AN371" s="350"/>
      <c r="AO371" s="350"/>
      <c r="AP371" s="350"/>
      <c r="AQ371" s="351"/>
    </row>
    <row r="372" spans="1:43" ht="30" customHeight="1">
      <c r="A372" s="98">
        <f t="shared" si="1"/>
        <v>360</v>
      </c>
      <c r="B372" s="412" t="s">
        <v>325</v>
      </c>
      <c r="C372" s="350"/>
      <c r="D372" s="351"/>
      <c r="E372" s="735"/>
      <c r="F372" s="350"/>
      <c r="G372" s="351"/>
      <c r="H372" s="412"/>
      <c r="I372" s="350"/>
      <c r="J372" s="350"/>
      <c r="K372" s="351"/>
      <c r="L372" s="412"/>
      <c r="M372" s="350"/>
      <c r="N372" s="350"/>
      <c r="O372" s="350"/>
      <c r="P372" s="351"/>
      <c r="Q372" s="412"/>
      <c r="R372" s="350"/>
      <c r="S372" s="350"/>
      <c r="T372" s="350"/>
      <c r="U372" s="350"/>
      <c r="V372" s="350"/>
      <c r="W372" s="350"/>
      <c r="X372" s="350"/>
      <c r="Y372" s="350"/>
      <c r="Z372" s="351"/>
      <c r="AA372" s="412"/>
      <c r="AB372" s="350"/>
      <c r="AC372" s="350"/>
      <c r="AD372" s="350"/>
      <c r="AE372" s="350"/>
      <c r="AF372" s="350"/>
      <c r="AG372" s="350"/>
      <c r="AH372" s="350"/>
      <c r="AI372" s="350"/>
      <c r="AJ372" s="350"/>
      <c r="AK372" s="350"/>
      <c r="AL372" s="350"/>
      <c r="AM372" s="350"/>
      <c r="AN372" s="350"/>
      <c r="AO372" s="350"/>
      <c r="AP372" s="350"/>
      <c r="AQ372" s="351"/>
    </row>
    <row r="373" spans="1:43" ht="30" customHeight="1">
      <c r="A373" s="98">
        <f t="shared" si="1"/>
        <v>361</v>
      </c>
      <c r="B373" s="368" t="s">
        <v>325</v>
      </c>
      <c r="C373" s="350"/>
      <c r="D373" s="351"/>
      <c r="E373" s="736"/>
      <c r="F373" s="350"/>
      <c r="G373" s="351"/>
      <c r="H373" s="368"/>
      <c r="I373" s="350"/>
      <c r="J373" s="350"/>
      <c r="K373" s="351"/>
      <c r="L373" s="368"/>
      <c r="M373" s="350"/>
      <c r="N373" s="350"/>
      <c r="O373" s="350"/>
      <c r="P373" s="351"/>
      <c r="Q373" s="368"/>
      <c r="R373" s="350"/>
      <c r="S373" s="350"/>
      <c r="T373" s="350"/>
      <c r="U373" s="350"/>
      <c r="V373" s="350"/>
      <c r="W373" s="350"/>
      <c r="X373" s="350"/>
      <c r="Y373" s="350"/>
      <c r="Z373" s="351"/>
      <c r="AA373" s="368"/>
      <c r="AB373" s="350"/>
      <c r="AC373" s="350"/>
      <c r="AD373" s="350"/>
      <c r="AE373" s="350"/>
      <c r="AF373" s="350"/>
      <c r="AG373" s="350"/>
      <c r="AH373" s="350"/>
      <c r="AI373" s="350"/>
      <c r="AJ373" s="350"/>
      <c r="AK373" s="350"/>
      <c r="AL373" s="350"/>
      <c r="AM373" s="350"/>
      <c r="AN373" s="350"/>
      <c r="AO373" s="350"/>
      <c r="AP373" s="350"/>
      <c r="AQ373" s="351"/>
    </row>
    <row r="374" spans="1:43" ht="30" customHeight="1">
      <c r="A374" s="98">
        <f t="shared" si="1"/>
        <v>362</v>
      </c>
      <c r="B374" s="412" t="s">
        <v>325</v>
      </c>
      <c r="C374" s="350"/>
      <c r="D374" s="351"/>
      <c r="E374" s="735"/>
      <c r="F374" s="350"/>
      <c r="G374" s="351"/>
      <c r="H374" s="412"/>
      <c r="I374" s="350"/>
      <c r="J374" s="350"/>
      <c r="K374" s="351"/>
      <c r="L374" s="412"/>
      <c r="M374" s="350"/>
      <c r="N374" s="350"/>
      <c r="O374" s="350"/>
      <c r="P374" s="351"/>
      <c r="Q374" s="412"/>
      <c r="R374" s="350"/>
      <c r="S374" s="350"/>
      <c r="T374" s="350"/>
      <c r="U374" s="350"/>
      <c r="V374" s="350"/>
      <c r="W374" s="350"/>
      <c r="X374" s="350"/>
      <c r="Y374" s="350"/>
      <c r="Z374" s="351"/>
      <c r="AA374" s="412"/>
      <c r="AB374" s="350"/>
      <c r="AC374" s="350"/>
      <c r="AD374" s="350"/>
      <c r="AE374" s="350"/>
      <c r="AF374" s="350"/>
      <c r="AG374" s="350"/>
      <c r="AH374" s="350"/>
      <c r="AI374" s="350"/>
      <c r="AJ374" s="350"/>
      <c r="AK374" s="350"/>
      <c r="AL374" s="350"/>
      <c r="AM374" s="350"/>
      <c r="AN374" s="350"/>
      <c r="AO374" s="350"/>
      <c r="AP374" s="350"/>
      <c r="AQ374" s="351"/>
    </row>
    <row r="375" spans="1:43" ht="30" customHeight="1">
      <c r="A375" s="98">
        <f t="shared" si="1"/>
        <v>363</v>
      </c>
      <c r="B375" s="368" t="s">
        <v>325</v>
      </c>
      <c r="C375" s="350"/>
      <c r="D375" s="351"/>
      <c r="E375" s="736"/>
      <c r="F375" s="350"/>
      <c r="G375" s="351"/>
      <c r="H375" s="368"/>
      <c r="I375" s="350"/>
      <c r="J375" s="350"/>
      <c r="K375" s="351"/>
      <c r="L375" s="368"/>
      <c r="M375" s="350"/>
      <c r="N375" s="350"/>
      <c r="O375" s="350"/>
      <c r="P375" s="351"/>
      <c r="Q375" s="368"/>
      <c r="R375" s="350"/>
      <c r="S375" s="350"/>
      <c r="T375" s="350"/>
      <c r="U375" s="350"/>
      <c r="V375" s="350"/>
      <c r="W375" s="350"/>
      <c r="X375" s="350"/>
      <c r="Y375" s="350"/>
      <c r="Z375" s="351"/>
      <c r="AA375" s="368"/>
      <c r="AB375" s="350"/>
      <c r="AC375" s="350"/>
      <c r="AD375" s="350"/>
      <c r="AE375" s="350"/>
      <c r="AF375" s="350"/>
      <c r="AG375" s="350"/>
      <c r="AH375" s="350"/>
      <c r="AI375" s="350"/>
      <c r="AJ375" s="350"/>
      <c r="AK375" s="350"/>
      <c r="AL375" s="350"/>
      <c r="AM375" s="350"/>
      <c r="AN375" s="350"/>
      <c r="AO375" s="350"/>
      <c r="AP375" s="350"/>
      <c r="AQ375" s="351"/>
    </row>
    <row r="376" spans="1:43" ht="30" customHeight="1">
      <c r="A376" s="98">
        <f t="shared" si="1"/>
        <v>364</v>
      </c>
      <c r="B376" s="412" t="s">
        <v>325</v>
      </c>
      <c r="C376" s="350"/>
      <c r="D376" s="351"/>
      <c r="E376" s="735"/>
      <c r="F376" s="350"/>
      <c r="G376" s="351"/>
      <c r="H376" s="412"/>
      <c r="I376" s="350"/>
      <c r="J376" s="350"/>
      <c r="K376" s="351"/>
      <c r="L376" s="412"/>
      <c r="M376" s="350"/>
      <c r="N376" s="350"/>
      <c r="O376" s="350"/>
      <c r="P376" s="351"/>
      <c r="Q376" s="412"/>
      <c r="R376" s="350"/>
      <c r="S376" s="350"/>
      <c r="T376" s="350"/>
      <c r="U376" s="350"/>
      <c r="V376" s="350"/>
      <c r="W376" s="350"/>
      <c r="X376" s="350"/>
      <c r="Y376" s="350"/>
      <c r="Z376" s="351"/>
      <c r="AA376" s="412"/>
      <c r="AB376" s="350"/>
      <c r="AC376" s="350"/>
      <c r="AD376" s="350"/>
      <c r="AE376" s="350"/>
      <c r="AF376" s="350"/>
      <c r="AG376" s="350"/>
      <c r="AH376" s="350"/>
      <c r="AI376" s="350"/>
      <c r="AJ376" s="350"/>
      <c r="AK376" s="350"/>
      <c r="AL376" s="350"/>
      <c r="AM376" s="350"/>
      <c r="AN376" s="350"/>
      <c r="AO376" s="350"/>
      <c r="AP376" s="350"/>
      <c r="AQ376" s="351"/>
    </row>
    <row r="377" spans="1:43" ht="30" customHeight="1">
      <c r="A377" s="98">
        <f t="shared" si="1"/>
        <v>365</v>
      </c>
      <c r="B377" s="368" t="s">
        <v>325</v>
      </c>
      <c r="C377" s="350"/>
      <c r="D377" s="351"/>
      <c r="E377" s="736"/>
      <c r="F377" s="350"/>
      <c r="G377" s="351"/>
      <c r="H377" s="368"/>
      <c r="I377" s="350"/>
      <c r="J377" s="350"/>
      <c r="K377" s="351"/>
      <c r="L377" s="368"/>
      <c r="M377" s="350"/>
      <c r="N377" s="350"/>
      <c r="O377" s="350"/>
      <c r="P377" s="351"/>
      <c r="Q377" s="368"/>
      <c r="R377" s="350"/>
      <c r="S377" s="350"/>
      <c r="T377" s="350"/>
      <c r="U377" s="350"/>
      <c r="V377" s="350"/>
      <c r="W377" s="350"/>
      <c r="X377" s="350"/>
      <c r="Y377" s="350"/>
      <c r="Z377" s="351"/>
      <c r="AA377" s="368"/>
      <c r="AB377" s="350"/>
      <c r="AC377" s="350"/>
      <c r="AD377" s="350"/>
      <c r="AE377" s="350"/>
      <c r="AF377" s="350"/>
      <c r="AG377" s="350"/>
      <c r="AH377" s="350"/>
      <c r="AI377" s="350"/>
      <c r="AJ377" s="350"/>
      <c r="AK377" s="350"/>
      <c r="AL377" s="350"/>
      <c r="AM377" s="350"/>
      <c r="AN377" s="350"/>
      <c r="AO377" s="350"/>
      <c r="AP377" s="350"/>
      <c r="AQ377" s="351"/>
    </row>
    <row r="378" spans="1:43" ht="30" customHeight="1">
      <c r="A378" s="98">
        <f t="shared" si="1"/>
        <v>366</v>
      </c>
      <c r="B378" s="412" t="s">
        <v>325</v>
      </c>
      <c r="C378" s="350"/>
      <c r="D378" s="351"/>
      <c r="E378" s="735"/>
      <c r="F378" s="350"/>
      <c r="G378" s="351"/>
      <c r="H378" s="412"/>
      <c r="I378" s="350"/>
      <c r="J378" s="350"/>
      <c r="K378" s="351"/>
      <c r="L378" s="412"/>
      <c r="M378" s="350"/>
      <c r="N378" s="350"/>
      <c r="O378" s="350"/>
      <c r="P378" s="351"/>
      <c r="Q378" s="412"/>
      <c r="R378" s="350"/>
      <c r="S378" s="350"/>
      <c r="T378" s="350"/>
      <c r="U378" s="350"/>
      <c r="V378" s="350"/>
      <c r="W378" s="350"/>
      <c r="X378" s="350"/>
      <c r="Y378" s="350"/>
      <c r="Z378" s="351"/>
      <c r="AA378" s="412"/>
      <c r="AB378" s="350"/>
      <c r="AC378" s="350"/>
      <c r="AD378" s="350"/>
      <c r="AE378" s="350"/>
      <c r="AF378" s="350"/>
      <c r="AG378" s="350"/>
      <c r="AH378" s="350"/>
      <c r="AI378" s="350"/>
      <c r="AJ378" s="350"/>
      <c r="AK378" s="350"/>
      <c r="AL378" s="350"/>
      <c r="AM378" s="350"/>
      <c r="AN378" s="350"/>
      <c r="AO378" s="350"/>
      <c r="AP378" s="350"/>
      <c r="AQ378" s="351"/>
    </row>
    <row r="379" spans="1:43" ht="30" customHeight="1">
      <c r="A379" s="98">
        <f t="shared" si="1"/>
        <v>367</v>
      </c>
      <c r="B379" s="368" t="s">
        <v>325</v>
      </c>
      <c r="C379" s="350"/>
      <c r="D379" s="351"/>
      <c r="E379" s="736"/>
      <c r="F379" s="350"/>
      <c r="G379" s="351"/>
      <c r="H379" s="368"/>
      <c r="I379" s="350"/>
      <c r="J379" s="350"/>
      <c r="K379" s="351"/>
      <c r="L379" s="368"/>
      <c r="M379" s="350"/>
      <c r="N379" s="350"/>
      <c r="O379" s="350"/>
      <c r="P379" s="351"/>
      <c r="Q379" s="368"/>
      <c r="R379" s="350"/>
      <c r="S379" s="350"/>
      <c r="T379" s="350"/>
      <c r="U379" s="350"/>
      <c r="V379" s="350"/>
      <c r="W379" s="350"/>
      <c r="X379" s="350"/>
      <c r="Y379" s="350"/>
      <c r="Z379" s="351"/>
      <c r="AA379" s="368"/>
      <c r="AB379" s="350"/>
      <c r="AC379" s="350"/>
      <c r="AD379" s="350"/>
      <c r="AE379" s="350"/>
      <c r="AF379" s="350"/>
      <c r="AG379" s="350"/>
      <c r="AH379" s="350"/>
      <c r="AI379" s="350"/>
      <c r="AJ379" s="350"/>
      <c r="AK379" s="350"/>
      <c r="AL379" s="350"/>
      <c r="AM379" s="350"/>
      <c r="AN379" s="350"/>
      <c r="AO379" s="350"/>
      <c r="AP379" s="350"/>
      <c r="AQ379" s="351"/>
    </row>
    <row r="380" spans="1:43" ht="30" customHeight="1">
      <c r="A380" s="98">
        <f t="shared" si="1"/>
        <v>368</v>
      </c>
      <c r="B380" s="412" t="s">
        <v>325</v>
      </c>
      <c r="C380" s="350"/>
      <c r="D380" s="351"/>
      <c r="E380" s="735"/>
      <c r="F380" s="350"/>
      <c r="G380" s="351"/>
      <c r="H380" s="412"/>
      <c r="I380" s="350"/>
      <c r="J380" s="350"/>
      <c r="K380" s="351"/>
      <c r="L380" s="412"/>
      <c r="M380" s="350"/>
      <c r="N380" s="350"/>
      <c r="O380" s="350"/>
      <c r="P380" s="351"/>
      <c r="Q380" s="412"/>
      <c r="R380" s="350"/>
      <c r="S380" s="350"/>
      <c r="T380" s="350"/>
      <c r="U380" s="350"/>
      <c r="V380" s="350"/>
      <c r="W380" s="350"/>
      <c r="X380" s="350"/>
      <c r="Y380" s="350"/>
      <c r="Z380" s="351"/>
      <c r="AA380" s="412"/>
      <c r="AB380" s="350"/>
      <c r="AC380" s="350"/>
      <c r="AD380" s="350"/>
      <c r="AE380" s="350"/>
      <c r="AF380" s="350"/>
      <c r="AG380" s="350"/>
      <c r="AH380" s="350"/>
      <c r="AI380" s="350"/>
      <c r="AJ380" s="350"/>
      <c r="AK380" s="350"/>
      <c r="AL380" s="350"/>
      <c r="AM380" s="350"/>
      <c r="AN380" s="350"/>
      <c r="AO380" s="350"/>
      <c r="AP380" s="350"/>
      <c r="AQ380" s="351"/>
    </row>
    <row r="381" spans="1:43" ht="30" customHeight="1">
      <c r="A381" s="98">
        <f t="shared" si="1"/>
        <v>369</v>
      </c>
      <c r="B381" s="368" t="s">
        <v>325</v>
      </c>
      <c r="C381" s="350"/>
      <c r="D381" s="351"/>
      <c r="E381" s="736"/>
      <c r="F381" s="350"/>
      <c r="G381" s="351"/>
      <c r="H381" s="368"/>
      <c r="I381" s="350"/>
      <c r="J381" s="350"/>
      <c r="K381" s="351"/>
      <c r="L381" s="368"/>
      <c r="M381" s="350"/>
      <c r="N381" s="350"/>
      <c r="O381" s="350"/>
      <c r="P381" s="351"/>
      <c r="Q381" s="368"/>
      <c r="R381" s="350"/>
      <c r="S381" s="350"/>
      <c r="T381" s="350"/>
      <c r="U381" s="350"/>
      <c r="V381" s="350"/>
      <c r="W381" s="350"/>
      <c r="X381" s="350"/>
      <c r="Y381" s="350"/>
      <c r="Z381" s="351"/>
      <c r="AA381" s="368"/>
      <c r="AB381" s="350"/>
      <c r="AC381" s="350"/>
      <c r="AD381" s="350"/>
      <c r="AE381" s="350"/>
      <c r="AF381" s="350"/>
      <c r="AG381" s="350"/>
      <c r="AH381" s="350"/>
      <c r="AI381" s="350"/>
      <c r="AJ381" s="350"/>
      <c r="AK381" s="350"/>
      <c r="AL381" s="350"/>
      <c r="AM381" s="350"/>
      <c r="AN381" s="350"/>
      <c r="AO381" s="350"/>
      <c r="AP381" s="350"/>
      <c r="AQ381" s="351"/>
    </row>
    <row r="382" spans="1:43" ht="30" customHeight="1">
      <c r="A382" s="98">
        <f t="shared" si="1"/>
        <v>370</v>
      </c>
      <c r="B382" s="412" t="s">
        <v>325</v>
      </c>
      <c r="C382" s="350"/>
      <c r="D382" s="351"/>
      <c r="E382" s="735"/>
      <c r="F382" s="350"/>
      <c r="G382" s="351"/>
      <c r="H382" s="412"/>
      <c r="I382" s="350"/>
      <c r="J382" s="350"/>
      <c r="K382" s="351"/>
      <c r="L382" s="412"/>
      <c r="M382" s="350"/>
      <c r="N382" s="350"/>
      <c r="O382" s="350"/>
      <c r="P382" s="351"/>
      <c r="Q382" s="412"/>
      <c r="R382" s="350"/>
      <c r="S382" s="350"/>
      <c r="T382" s="350"/>
      <c r="U382" s="350"/>
      <c r="V382" s="350"/>
      <c r="W382" s="350"/>
      <c r="X382" s="350"/>
      <c r="Y382" s="350"/>
      <c r="Z382" s="351"/>
      <c r="AA382" s="412"/>
      <c r="AB382" s="350"/>
      <c r="AC382" s="350"/>
      <c r="AD382" s="350"/>
      <c r="AE382" s="350"/>
      <c r="AF382" s="350"/>
      <c r="AG382" s="350"/>
      <c r="AH382" s="350"/>
      <c r="AI382" s="350"/>
      <c r="AJ382" s="350"/>
      <c r="AK382" s="350"/>
      <c r="AL382" s="350"/>
      <c r="AM382" s="350"/>
      <c r="AN382" s="350"/>
      <c r="AO382" s="350"/>
      <c r="AP382" s="350"/>
      <c r="AQ382" s="351"/>
    </row>
    <row r="383" spans="1:43" ht="30" customHeight="1">
      <c r="A383" s="98">
        <f t="shared" si="1"/>
        <v>371</v>
      </c>
      <c r="B383" s="368" t="s">
        <v>325</v>
      </c>
      <c r="C383" s="350"/>
      <c r="D383" s="351"/>
      <c r="E383" s="736"/>
      <c r="F383" s="350"/>
      <c r="G383" s="351"/>
      <c r="H383" s="368"/>
      <c r="I383" s="350"/>
      <c r="J383" s="350"/>
      <c r="K383" s="351"/>
      <c r="L383" s="368"/>
      <c r="M383" s="350"/>
      <c r="N383" s="350"/>
      <c r="O383" s="350"/>
      <c r="P383" s="351"/>
      <c r="Q383" s="368"/>
      <c r="R383" s="350"/>
      <c r="S383" s="350"/>
      <c r="T383" s="350"/>
      <c r="U383" s="350"/>
      <c r="V383" s="350"/>
      <c r="W383" s="350"/>
      <c r="X383" s="350"/>
      <c r="Y383" s="350"/>
      <c r="Z383" s="351"/>
      <c r="AA383" s="368"/>
      <c r="AB383" s="350"/>
      <c r="AC383" s="350"/>
      <c r="AD383" s="350"/>
      <c r="AE383" s="350"/>
      <c r="AF383" s="350"/>
      <c r="AG383" s="350"/>
      <c r="AH383" s="350"/>
      <c r="AI383" s="350"/>
      <c r="AJ383" s="350"/>
      <c r="AK383" s="350"/>
      <c r="AL383" s="350"/>
      <c r="AM383" s="350"/>
      <c r="AN383" s="350"/>
      <c r="AO383" s="350"/>
      <c r="AP383" s="350"/>
      <c r="AQ383" s="351"/>
    </row>
    <row r="384" spans="1:43" ht="30" customHeight="1">
      <c r="A384" s="98">
        <f t="shared" si="1"/>
        <v>372</v>
      </c>
      <c r="B384" s="412" t="s">
        <v>325</v>
      </c>
      <c r="C384" s="350"/>
      <c r="D384" s="351"/>
      <c r="E384" s="735"/>
      <c r="F384" s="350"/>
      <c r="G384" s="351"/>
      <c r="H384" s="412"/>
      <c r="I384" s="350"/>
      <c r="J384" s="350"/>
      <c r="K384" s="351"/>
      <c r="L384" s="412"/>
      <c r="M384" s="350"/>
      <c r="N384" s="350"/>
      <c r="O384" s="350"/>
      <c r="P384" s="351"/>
      <c r="Q384" s="412"/>
      <c r="R384" s="350"/>
      <c r="S384" s="350"/>
      <c r="T384" s="350"/>
      <c r="U384" s="350"/>
      <c r="V384" s="350"/>
      <c r="W384" s="350"/>
      <c r="X384" s="350"/>
      <c r="Y384" s="350"/>
      <c r="Z384" s="351"/>
      <c r="AA384" s="412"/>
      <c r="AB384" s="350"/>
      <c r="AC384" s="350"/>
      <c r="AD384" s="350"/>
      <c r="AE384" s="350"/>
      <c r="AF384" s="350"/>
      <c r="AG384" s="350"/>
      <c r="AH384" s="350"/>
      <c r="AI384" s="350"/>
      <c r="AJ384" s="350"/>
      <c r="AK384" s="350"/>
      <c r="AL384" s="350"/>
      <c r="AM384" s="350"/>
      <c r="AN384" s="350"/>
      <c r="AO384" s="350"/>
      <c r="AP384" s="350"/>
      <c r="AQ384" s="351"/>
    </row>
    <row r="385" spans="1:43" ht="30" customHeight="1">
      <c r="A385" s="98">
        <f t="shared" si="1"/>
        <v>373</v>
      </c>
      <c r="B385" s="368" t="s">
        <v>325</v>
      </c>
      <c r="C385" s="350"/>
      <c r="D385" s="351"/>
      <c r="E385" s="736"/>
      <c r="F385" s="350"/>
      <c r="G385" s="351"/>
      <c r="H385" s="368"/>
      <c r="I385" s="350"/>
      <c r="J385" s="350"/>
      <c r="K385" s="351"/>
      <c r="L385" s="368"/>
      <c r="M385" s="350"/>
      <c r="N385" s="350"/>
      <c r="O385" s="350"/>
      <c r="P385" s="351"/>
      <c r="Q385" s="368"/>
      <c r="R385" s="350"/>
      <c r="S385" s="350"/>
      <c r="T385" s="350"/>
      <c r="U385" s="350"/>
      <c r="V385" s="350"/>
      <c r="W385" s="350"/>
      <c r="X385" s="350"/>
      <c r="Y385" s="350"/>
      <c r="Z385" s="351"/>
      <c r="AA385" s="368"/>
      <c r="AB385" s="350"/>
      <c r="AC385" s="350"/>
      <c r="AD385" s="350"/>
      <c r="AE385" s="350"/>
      <c r="AF385" s="350"/>
      <c r="AG385" s="350"/>
      <c r="AH385" s="350"/>
      <c r="AI385" s="350"/>
      <c r="AJ385" s="350"/>
      <c r="AK385" s="350"/>
      <c r="AL385" s="350"/>
      <c r="AM385" s="350"/>
      <c r="AN385" s="350"/>
      <c r="AO385" s="350"/>
      <c r="AP385" s="350"/>
      <c r="AQ385" s="351"/>
    </row>
    <row r="386" spans="1:43" ht="30" customHeight="1">
      <c r="A386" s="98">
        <f t="shared" si="1"/>
        <v>374</v>
      </c>
      <c r="B386" s="412" t="s">
        <v>325</v>
      </c>
      <c r="C386" s="350"/>
      <c r="D386" s="351"/>
      <c r="E386" s="735"/>
      <c r="F386" s="350"/>
      <c r="G386" s="351"/>
      <c r="H386" s="412"/>
      <c r="I386" s="350"/>
      <c r="J386" s="350"/>
      <c r="K386" s="351"/>
      <c r="L386" s="412"/>
      <c r="M386" s="350"/>
      <c r="N386" s="350"/>
      <c r="O386" s="350"/>
      <c r="P386" s="351"/>
      <c r="Q386" s="412"/>
      <c r="R386" s="350"/>
      <c r="S386" s="350"/>
      <c r="T386" s="350"/>
      <c r="U386" s="350"/>
      <c r="V386" s="350"/>
      <c r="W386" s="350"/>
      <c r="X386" s="350"/>
      <c r="Y386" s="350"/>
      <c r="Z386" s="351"/>
      <c r="AA386" s="412"/>
      <c r="AB386" s="350"/>
      <c r="AC386" s="350"/>
      <c r="AD386" s="350"/>
      <c r="AE386" s="350"/>
      <c r="AF386" s="350"/>
      <c r="AG386" s="350"/>
      <c r="AH386" s="350"/>
      <c r="AI386" s="350"/>
      <c r="AJ386" s="350"/>
      <c r="AK386" s="350"/>
      <c r="AL386" s="350"/>
      <c r="AM386" s="350"/>
      <c r="AN386" s="350"/>
      <c r="AO386" s="350"/>
      <c r="AP386" s="350"/>
      <c r="AQ386" s="351"/>
    </row>
    <row r="387" spans="1:43" ht="30" customHeight="1">
      <c r="A387" s="98">
        <f t="shared" si="1"/>
        <v>375</v>
      </c>
      <c r="B387" s="368" t="s">
        <v>325</v>
      </c>
      <c r="C387" s="350"/>
      <c r="D387" s="351"/>
      <c r="E387" s="736"/>
      <c r="F387" s="350"/>
      <c r="G387" s="351"/>
      <c r="H387" s="368"/>
      <c r="I387" s="350"/>
      <c r="J387" s="350"/>
      <c r="K387" s="351"/>
      <c r="L387" s="368"/>
      <c r="M387" s="350"/>
      <c r="N387" s="350"/>
      <c r="O387" s="350"/>
      <c r="P387" s="351"/>
      <c r="Q387" s="368"/>
      <c r="R387" s="350"/>
      <c r="S387" s="350"/>
      <c r="T387" s="350"/>
      <c r="U387" s="350"/>
      <c r="V387" s="350"/>
      <c r="W387" s="350"/>
      <c r="X387" s="350"/>
      <c r="Y387" s="350"/>
      <c r="Z387" s="351"/>
      <c r="AA387" s="368"/>
      <c r="AB387" s="350"/>
      <c r="AC387" s="350"/>
      <c r="AD387" s="350"/>
      <c r="AE387" s="350"/>
      <c r="AF387" s="350"/>
      <c r="AG387" s="350"/>
      <c r="AH387" s="350"/>
      <c r="AI387" s="350"/>
      <c r="AJ387" s="350"/>
      <c r="AK387" s="350"/>
      <c r="AL387" s="350"/>
      <c r="AM387" s="350"/>
      <c r="AN387" s="350"/>
      <c r="AO387" s="350"/>
      <c r="AP387" s="350"/>
      <c r="AQ387" s="351"/>
    </row>
    <row r="388" spans="1:43" ht="30" customHeight="1">
      <c r="A388" s="98">
        <f t="shared" si="1"/>
        <v>376</v>
      </c>
      <c r="B388" s="412" t="s">
        <v>325</v>
      </c>
      <c r="C388" s="350"/>
      <c r="D388" s="351"/>
      <c r="E388" s="735"/>
      <c r="F388" s="350"/>
      <c r="G388" s="351"/>
      <c r="H388" s="412"/>
      <c r="I388" s="350"/>
      <c r="J388" s="350"/>
      <c r="K388" s="351"/>
      <c r="L388" s="412"/>
      <c r="M388" s="350"/>
      <c r="N388" s="350"/>
      <c r="O388" s="350"/>
      <c r="P388" s="351"/>
      <c r="Q388" s="412"/>
      <c r="R388" s="350"/>
      <c r="S388" s="350"/>
      <c r="T388" s="350"/>
      <c r="U388" s="350"/>
      <c r="V388" s="350"/>
      <c r="W388" s="350"/>
      <c r="X388" s="350"/>
      <c r="Y388" s="350"/>
      <c r="Z388" s="351"/>
      <c r="AA388" s="412"/>
      <c r="AB388" s="350"/>
      <c r="AC388" s="350"/>
      <c r="AD388" s="350"/>
      <c r="AE388" s="350"/>
      <c r="AF388" s="350"/>
      <c r="AG388" s="350"/>
      <c r="AH388" s="350"/>
      <c r="AI388" s="350"/>
      <c r="AJ388" s="350"/>
      <c r="AK388" s="350"/>
      <c r="AL388" s="350"/>
      <c r="AM388" s="350"/>
      <c r="AN388" s="350"/>
      <c r="AO388" s="350"/>
      <c r="AP388" s="350"/>
      <c r="AQ388" s="351"/>
    </row>
    <row r="389" spans="1:43" ht="30" customHeight="1">
      <c r="A389" s="98">
        <f t="shared" si="1"/>
        <v>377</v>
      </c>
      <c r="B389" s="368" t="s">
        <v>325</v>
      </c>
      <c r="C389" s="350"/>
      <c r="D389" s="351"/>
      <c r="E389" s="736"/>
      <c r="F389" s="350"/>
      <c r="G389" s="351"/>
      <c r="H389" s="368"/>
      <c r="I389" s="350"/>
      <c r="J389" s="350"/>
      <c r="K389" s="351"/>
      <c r="L389" s="368"/>
      <c r="M389" s="350"/>
      <c r="N389" s="350"/>
      <c r="O389" s="350"/>
      <c r="P389" s="351"/>
      <c r="Q389" s="368"/>
      <c r="R389" s="350"/>
      <c r="S389" s="350"/>
      <c r="T389" s="350"/>
      <c r="U389" s="350"/>
      <c r="V389" s="350"/>
      <c r="W389" s="350"/>
      <c r="X389" s="350"/>
      <c r="Y389" s="350"/>
      <c r="Z389" s="351"/>
      <c r="AA389" s="368"/>
      <c r="AB389" s="350"/>
      <c r="AC389" s="350"/>
      <c r="AD389" s="350"/>
      <c r="AE389" s="350"/>
      <c r="AF389" s="350"/>
      <c r="AG389" s="350"/>
      <c r="AH389" s="350"/>
      <c r="AI389" s="350"/>
      <c r="AJ389" s="350"/>
      <c r="AK389" s="350"/>
      <c r="AL389" s="350"/>
      <c r="AM389" s="350"/>
      <c r="AN389" s="350"/>
      <c r="AO389" s="350"/>
      <c r="AP389" s="350"/>
      <c r="AQ389" s="351"/>
    </row>
    <row r="390" spans="1:43" ht="30" customHeight="1">
      <c r="A390" s="98">
        <f t="shared" si="1"/>
        <v>378</v>
      </c>
      <c r="B390" s="412" t="s">
        <v>325</v>
      </c>
      <c r="C390" s="350"/>
      <c r="D390" s="351"/>
      <c r="E390" s="735"/>
      <c r="F390" s="350"/>
      <c r="G390" s="351"/>
      <c r="H390" s="412"/>
      <c r="I390" s="350"/>
      <c r="J390" s="350"/>
      <c r="K390" s="351"/>
      <c r="L390" s="412"/>
      <c r="M390" s="350"/>
      <c r="N390" s="350"/>
      <c r="O390" s="350"/>
      <c r="P390" s="351"/>
      <c r="Q390" s="412"/>
      <c r="R390" s="350"/>
      <c r="S390" s="350"/>
      <c r="T390" s="350"/>
      <c r="U390" s="350"/>
      <c r="V390" s="350"/>
      <c r="W390" s="350"/>
      <c r="X390" s="350"/>
      <c r="Y390" s="350"/>
      <c r="Z390" s="351"/>
      <c r="AA390" s="412"/>
      <c r="AB390" s="350"/>
      <c r="AC390" s="350"/>
      <c r="AD390" s="350"/>
      <c r="AE390" s="350"/>
      <c r="AF390" s="350"/>
      <c r="AG390" s="350"/>
      <c r="AH390" s="350"/>
      <c r="AI390" s="350"/>
      <c r="AJ390" s="350"/>
      <c r="AK390" s="350"/>
      <c r="AL390" s="350"/>
      <c r="AM390" s="350"/>
      <c r="AN390" s="350"/>
      <c r="AO390" s="350"/>
      <c r="AP390" s="350"/>
      <c r="AQ390" s="351"/>
    </row>
    <row r="391" spans="1:43" ht="30" customHeight="1">
      <c r="A391" s="98">
        <f t="shared" si="1"/>
        <v>379</v>
      </c>
      <c r="B391" s="368" t="s">
        <v>325</v>
      </c>
      <c r="C391" s="350"/>
      <c r="D391" s="351"/>
      <c r="E391" s="736"/>
      <c r="F391" s="350"/>
      <c r="G391" s="351"/>
      <c r="H391" s="368"/>
      <c r="I391" s="350"/>
      <c r="J391" s="350"/>
      <c r="K391" s="351"/>
      <c r="L391" s="368"/>
      <c r="M391" s="350"/>
      <c r="N391" s="350"/>
      <c r="O391" s="350"/>
      <c r="P391" s="351"/>
      <c r="Q391" s="368"/>
      <c r="R391" s="350"/>
      <c r="S391" s="350"/>
      <c r="T391" s="350"/>
      <c r="U391" s="350"/>
      <c r="V391" s="350"/>
      <c r="W391" s="350"/>
      <c r="X391" s="350"/>
      <c r="Y391" s="350"/>
      <c r="Z391" s="351"/>
      <c r="AA391" s="368"/>
      <c r="AB391" s="350"/>
      <c r="AC391" s="350"/>
      <c r="AD391" s="350"/>
      <c r="AE391" s="350"/>
      <c r="AF391" s="350"/>
      <c r="AG391" s="350"/>
      <c r="AH391" s="350"/>
      <c r="AI391" s="350"/>
      <c r="AJ391" s="350"/>
      <c r="AK391" s="350"/>
      <c r="AL391" s="350"/>
      <c r="AM391" s="350"/>
      <c r="AN391" s="350"/>
      <c r="AO391" s="350"/>
      <c r="AP391" s="350"/>
      <c r="AQ391" s="351"/>
    </row>
    <row r="392" spans="1:43" ht="30" customHeight="1">
      <c r="A392" s="98">
        <f t="shared" si="1"/>
        <v>380</v>
      </c>
      <c r="B392" s="412" t="s">
        <v>325</v>
      </c>
      <c r="C392" s="350"/>
      <c r="D392" s="351"/>
      <c r="E392" s="735"/>
      <c r="F392" s="350"/>
      <c r="G392" s="351"/>
      <c r="H392" s="412"/>
      <c r="I392" s="350"/>
      <c r="J392" s="350"/>
      <c r="K392" s="351"/>
      <c r="L392" s="412"/>
      <c r="M392" s="350"/>
      <c r="N392" s="350"/>
      <c r="O392" s="350"/>
      <c r="P392" s="351"/>
      <c r="Q392" s="412"/>
      <c r="R392" s="350"/>
      <c r="S392" s="350"/>
      <c r="T392" s="350"/>
      <c r="U392" s="350"/>
      <c r="V392" s="350"/>
      <c r="W392" s="350"/>
      <c r="X392" s="350"/>
      <c r="Y392" s="350"/>
      <c r="Z392" s="351"/>
      <c r="AA392" s="412"/>
      <c r="AB392" s="350"/>
      <c r="AC392" s="350"/>
      <c r="AD392" s="350"/>
      <c r="AE392" s="350"/>
      <c r="AF392" s="350"/>
      <c r="AG392" s="350"/>
      <c r="AH392" s="350"/>
      <c r="AI392" s="350"/>
      <c r="AJ392" s="350"/>
      <c r="AK392" s="350"/>
      <c r="AL392" s="350"/>
      <c r="AM392" s="350"/>
      <c r="AN392" s="350"/>
      <c r="AO392" s="350"/>
      <c r="AP392" s="350"/>
      <c r="AQ392" s="351"/>
    </row>
    <row r="393" spans="1:43" ht="30" customHeight="1">
      <c r="A393" s="98">
        <f t="shared" si="1"/>
        <v>381</v>
      </c>
      <c r="B393" s="368" t="s">
        <v>325</v>
      </c>
      <c r="C393" s="350"/>
      <c r="D393" s="351"/>
      <c r="E393" s="736"/>
      <c r="F393" s="350"/>
      <c r="G393" s="351"/>
      <c r="H393" s="368"/>
      <c r="I393" s="350"/>
      <c r="J393" s="350"/>
      <c r="K393" s="351"/>
      <c r="L393" s="368"/>
      <c r="M393" s="350"/>
      <c r="N393" s="350"/>
      <c r="O393" s="350"/>
      <c r="P393" s="351"/>
      <c r="Q393" s="368"/>
      <c r="R393" s="350"/>
      <c r="S393" s="350"/>
      <c r="T393" s="350"/>
      <c r="U393" s="350"/>
      <c r="V393" s="350"/>
      <c r="W393" s="350"/>
      <c r="X393" s="350"/>
      <c r="Y393" s="350"/>
      <c r="Z393" s="351"/>
      <c r="AA393" s="368"/>
      <c r="AB393" s="350"/>
      <c r="AC393" s="350"/>
      <c r="AD393" s="350"/>
      <c r="AE393" s="350"/>
      <c r="AF393" s="350"/>
      <c r="AG393" s="350"/>
      <c r="AH393" s="350"/>
      <c r="AI393" s="350"/>
      <c r="AJ393" s="350"/>
      <c r="AK393" s="350"/>
      <c r="AL393" s="350"/>
      <c r="AM393" s="350"/>
      <c r="AN393" s="350"/>
      <c r="AO393" s="350"/>
      <c r="AP393" s="350"/>
      <c r="AQ393" s="351"/>
    </row>
    <row r="394" spans="1:43" ht="30" customHeight="1">
      <c r="A394" s="98">
        <f t="shared" si="1"/>
        <v>382</v>
      </c>
      <c r="B394" s="412" t="s">
        <v>325</v>
      </c>
      <c r="C394" s="350"/>
      <c r="D394" s="351"/>
      <c r="E394" s="735"/>
      <c r="F394" s="350"/>
      <c r="G394" s="351"/>
      <c r="H394" s="412"/>
      <c r="I394" s="350"/>
      <c r="J394" s="350"/>
      <c r="K394" s="351"/>
      <c r="L394" s="412"/>
      <c r="M394" s="350"/>
      <c r="N394" s="350"/>
      <c r="O394" s="350"/>
      <c r="P394" s="351"/>
      <c r="Q394" s="412"/>
      <c r="R394" s="350"/>
      <c r="S394" s="350"/>
      <c r="T394" s="350"/>
      <c r="U394" s="350"/>
      <c r="V394" s="350"/>
      <c r="W394" s="350"/>
      <c r="X394" s="350"/>
      <c r="Y394" s="350"/>
      <c r="Z394" s="351"/>
      <c r="AA394" s="412"/>
      <c r="AB394" s="350"/>
      <c r="AC394" s="350"/>
      <c r="AD394" s="350"/>
      <c r="AE394" s="350"/>
      <c r="AF394" s="350"/>
      <c r="AG394" s="350"/>
      <c r="AH394" s="350"/>
      <c r="AI394" s="350"/>
      <c r="AJ394" s="350"/>
      <c r="AK394" s="350"/>
      <c r="AL394" s="350"/>
      <c r="AM394" s="350"/>
      <c r="AN394" s="350"/>
      <c r="AO394" s="350"/>
      <c r="AP394" s="350"/>
      <c r="AQ394" s="351"/>
    </row>
    <row r="395" spans="1:43" ht="30" customHeight="1">
      <c r="A395" s="98">
        <f t="shared" si="1"/>
        <v>383</v>
      </c>
      <c r="B395" s="368" t="s">
        <v>325</v>
      </c>
      <c r="C395" s="350"/>
      <c r="D395" s="351"/>
      <c r="E395" s="736"/>
      <c r="F395" s="350"/>
      <c r="G395" s="351"/>
      <c r="H395" s="368"/>
      <c r="I395" s="350"/>
      <c r="J395" s="350"/>
      <c r="K395" s="351"/>
      <c r="L395" s="368"/>
      <c r="M395" s="350"/>
      <c r="N395" s="350"/>
      <c r="O395" s="350"/>
      <c r="P395" s="351"/>
      <c r="Q395" s="368"/>
      <c r="R395" s="350"/>
      <c r="S395" s="350"/>
      <c r="T395" s="350"/>
      <c r="U395" s="350"/>
      <c r="V395" s="350"/>
      <c r="W395" s="350"/>
      <c r="X395" s="350"/>
      <c r="Y395" s="350"/>
      <c r="Z395" s="351"/>
      <c r="AA395" s="368"/>
      <c r="AB395" s="350"/>
      <c r="AC395" s="350"/>
      <c r="AD395" s="350"/>
      <c r="AE395" s="350"/>
      <c r="AF395" s="350"/>
      <c r="AG395" s="350"/>
      <c r="AH395" s="350"/>
      <c r="AI395" s="350"/>
      <c r="AJ395" s="350"/>
      <c r="AK395" s="350"/>
      <c r="AL395" s="350"/>
      <c r="AM395" s="350"/>
      <c r="AN395" s="350"/>
      <c r="AO395" s="350"/>
      <c r="AP395" s="350"/>
      <c r="AQ395" s="351"/>
    </row>
    <row r="396" spans="1:43" ht="30" customHeight="1">
      <c r="A396" s="98">
        <f t="shared" si="1"/>
        <v>384</v>
      </c>
      <c r="B396" s="412" t="s">
        <v>325</v>
      </c>
      <c r="C396" s="350"/>
      <c r="D396" s="351"/>
      <c r="E396" s="735"/>
      <c r="F396" s="350"/>
      <c r="G396" s="351"/>
      <c r="H396" s="412"/>
      <c r="I396" s="350"/>
      <c r="J396" s="350"/>
      <c r="K396" s="351"/>
      <c r="L396" s="412"/>
      <c r="M396" s="350"/>
      <c r="N396" s="350"/>
      <c r="O396" s="350"/>
      <c r="P396" s="351"/>
      <c r="Q396" s="412"/>
      <c r="R396" s="350"/>
      <c r="S396" s="350"/>
      <c r="T396" s="350"/>
      <c r="U396" s="350"/>
      <c r="V396" s="350"/>
      <c r="W396" s="350"/>
      <c r="X396" s="350"/>
      <c r="Y396" s="350"/>
      <c r="Z396" s="351"/>
      <c r="AA396" s="412"/>
      <c r="AB396" s="350"/>
      <c r="AC396" s="350"/>
      <c r="AD396" s="350"/>
      <c r="AE396" s="350"/>
      <c r="AF396" s="350"/>
      <c r="AG396" s="350"/>
      <c r="AH396" s="350"/>
      <c r="AI396" s="350"/>
      <c r="AJ396" s="350"/>
      <c r="AK396" s="350"/>
      <c r="AL396" s="350"/>
      <c r="AM396" s="350"/>
      <c r="AN396" s="350"/>
      <c r="AO396" s="350"/>
      <c r="AP396" s="350"/>
      <c r="AQ396" s="351"/>
    </row>
    <row r="397" spans="1:43" ht="30" customHeight="1">
      <c r="A397" s="98">
        <f t="shared" si="1"/>
        <v>385</v>
      </c>
      <c r="B397" s="368" t="s">
        <v>325</v>
      </c>
      <c r="C397" s="350"/>
      <c r="D397" s="351"/>
      <c r="E397" s="736"/>
      <c r="F397" s="350"/>
      <c r="G397" s="351"/>
      <c r="H397" s="368"/>
      <c r="I397" s="350"/>
      <c r="J397" s="350"/>
      <c r="K397" s="351"/>
      <c r="L397" s="368"/>
      <c r="M397" s="350"/>
      <c r="N397" s="350"/>
      <c r="O397" s="350"/>
      <c r="P397" s="351"/>
      <c r="Q397" s="368"/>
      <c r="R397" s="350"/>
      <c r="S397" s="350"/>
      <c r="T397" s="350"/>
      <c r="U397" s="350"/>
      <c r="V397" s="350"/>
      <c r="W397" s="350"/>
      <c r="X397" s="350"/>
      <c r="Y397" s="350"/>
      <c r="Z397" s="351"/>
      <c r="AA397" s="368"/>
      <c r="AB397" s="350"/>
      <c r="AC397" s="350"/>
      <c r="AD397" s="350"/>
      <c r="AE397" s="350"/>
      <c r="AF397" s="350"/>
      <c r="AG397" s="350"/>
      <c r="AH397" s="350"/>
      <c r="AI397" s="350"/>
      <c r="AJ397" s="350"/>
      <c r="AK397" s="350"/>
      <c r="AL397" s="350"/>
      <c r="AM397" s="350"/>
      <c r="AN397" s="350"/>
      <c r="AO397" s="350"/>
      <c r="AP397" s="350"/>
      <c r="AQ397" s="351"/>
    </row>
    <row r="398" spans="1:43" ht="30" customHeight="1">
      <c r="A398" s="98">
        <f t="shared" si="1"/>
        <v>386</v>
      </c>
      <c r="B398" s="412" t="s">
        <v>325</v>
      </c>
      <c r="C398" s="350"/>
      <c r="D398" s="351"/>
      <c r="E398" s="735"/>
      <c r="F398" s="350"/>
      <c r="G398" s="351"/>
      <c r="H398" s="412"/>
      <c r="I398" s="350"/>
      <c r="J398" s="350"/>
      <c r="K398" s="351"/>
      <c r="L398" s="412"/>
      <c r="M398" s="350"/>
      <c r="N398" s="350"/>
      <c r="O398" s="350"/>
      <c r="P398" s="351"/>
      <c r="Q398" s="412"/>
      <c r="R398" s="350"/>
      <c r="S398" s="350"/>
      <c r="T398" s="350"/>
      <c r="U398" s="350"/>
      <c r="V398" s="350"/>
      <c r="W398" s="350"/>
      <c r="X398" s="350"/>
      <c r="Y398" s="350"/>
      <c r="Z398" s="351"/>
      <c r="AA398" s="412"/>
      <c r="AB398" s="350"/>
      <c r="AC398" s="350"/>
      <c r="AD398" s="350"/>
      <c r="AE398" s="350"/>
      <c r="AF398" s="350"/>
      <c r="AG398" s="350"/>
      <c r="AH398" s="350"/>
      <c r="AI398" s="350"/>
      <c r="AJ398" s="350"/>
      <c r="AK398" s="350"/>
      <c r="AL398" s="350"/>
      <c r="AM398" s="350"/>
      <c r="AN398" s="350"/>
      <c r="AO398" s="350"/>
      <c r="AP398" s="350"/>
      <c r="AQ398" s="351"/>
    </row>
    <row r="399" spans="1:43" ht="30" customHeight="1">
      <c r="A399" s="98">
        <f t="shared" si="1"/>
        <v>387</v>
      </c>
      <c r="B399" s="368" t="s">
        <v>325</v>
      </c>
      <c r="C399" s="350"/>
      <c r="D399" s="351"/>
      <c r="E399" s="736"/>
      <c r="F399" s="350"/>
      <c r="G399" s="351"/>
      <c r="H399" s="368"/>
      <c r="I399" s="350"/>
      <c r="J399" s="350"/>
      <c r="K399" s="351"/>
      <c r="L399" s="368"/>
      <c r="M399" s="350"/>
      <c r="N399" s="350"/>
      <c r="O399" s="350"/>
      <c r="P399" s="351"/>
      <c r="Q399" s="368"/>
      <c r="R399" s="350"/>
      <c r="S399" s="350"/>
      <c r="T399" s="350"/>
      <c r="U399" s="350"/>
      <c r="V399" s="350"/>
      <c r="W399" s="350"/>
      <c r="X399" s="350"/>
      <c r="Y399" s="350"/>
      <c r="Z399" s="351"/>
      <c r="AA399" s="368"/>
      <c r="AB399" s="350"/>
      <c r="AC399" s="350"/>
      <c r="AD399" s="350"/>
      <c r="AE399" s="350"/>
      <c r="AF399" s="350"/>
      <c r="AG399" s="350"/>
      <c r="AH399" s="350"/>
      <c r="AI399" s="350"/>
      <c r="AJ399" s="350"/>
      <c r="AK399" s="350"/>
      <c r="AL399" s="350"/>
      <c r="AM399" s="350"/>
      <c r="AN399" s="350"/>
      <c r="AO399" s="350"/>
      <c r="AP399" s="350"/>
      <c r="AQ399" s="351"/>
    </row>
    <row r="400" spans="1:43" ht="30" customHeight="1">
      <c r="A400" s="98">
        <f t="shared" si="1"/>
        <v>388</v>
      </c>
      <c r="B400" s="412" t="s">
        <v>325</v>
      </c>
      <c r="C400" s="350"/>
      <c r="D400" s="351"/>
      <c r="E400" s="735"/>
      <c r="F400" s="350"/>
      <c r="G400" s="351"/>
      <c r="H400" s="412"/>
      <c r="I400" s="350"/>
      <c r="J400" s="350"/>
      <c r="K400" s="351"/>
      <c r="L400" s="412"/>
      <c r="M400" s="350"/>
      <c r="N400" s="350"/>
      <c r="O400" s="350"/>
      <c r="P400" s="351"/>
      <c r="Q400" s="412"/>
      <c r="R400" s="350"/>
      <c r="S400" s="350"/>
      <c r="T400" s="350"/>
      <c r="U400" s="350"/>
      <c r="V400" s="350"/>
      <c r="W400" s="350"/>
      <c r="X400" s="350"/>
      <c r="Y400" s="350"/>
      <c r="Z400" s="351"/>
      <c r="AA400" s="412"/>
      <c r="AB400" s="350"/>
      <c r="AC400" s="350"/>
      <c r="AD400" s="350"/>
      <c r="AE400" s="350"/>
      <c r="AF400" s="350"/>
      <c r="AG400" s="350"/>
      <c r="AH400" s="350"/>
      <c r="AI400" s="350"/>
      <c r="AJ400" s="350"/>
      <c r="AK400" s="350"/>
      <c r="AL400" s="350"/>
      <c r="AM400" s="350"/>
      <c r="AN400" s="350"/>
      <c r="AO400" s="350"/>
      <c r="AP400" s="350"/>
      <c r="AQ400" s="351"/>
    </row>
    <row r="401" spans="1:43" ht="30" customHeight="1">
      <c r="A401" s="98">
        <f t="shared" si="1"/>
        <v>389</v>
      </c>
      <c r="B401" s="368" t="s">
        <v>325</v>
      </c>
      <c r="C401" s="350"/>
      <c r="D401" s="351"/>
      <c r="E401" s="736"/>
      <c r="F401" s="350"/>
      <c r="G401" s="351"/>
      <c r="H401" s="368"/>
      <c r="I401" s="350"/>
      <c r="J401" s="350"/>
      <c r="K401" s="351"/>
      <c r="L401" s="368"/>
      <c r="M401" s="350"/>
      <c r="N401" s="350"/>
      <c r="O401" s="350"/>
      <c r="P401" s="351"/>
      <c r="Q401" s="368"/>
      <c r="R401" s="350"/>
      <c r="S401" s="350"/>
      <c r="T401" s="350"/>
      <c r="U401" s="350"/>
      <c r="V401" s="350"/>
      <c r="W401" s="350"/>
      <c r="X401" s="350"/>
      <c r="Y401" s="350"/>
      <c r="Z401" s="351"/>
      <c r="AA401" s="368"/>
      <c r="AB401" s="350"/>
      <c r="AC401" s="350"/>
      <c r="AD401" s="350"/>
      <c r="AE401" s="350"/>
      <c r="AF401" s="350"/>
      <c r="AG401" s="350"/>
      <c r="AH401" s="350"/>
      <c r="AI401" s="350"/>
      <c r="AJ401" s="350"/>
      <c r="AK401" s="350"/>
      <c r="AL401" s="350"/>
      <c r="AM401" s="350"/>
      <c r="AN401" s="350"/>
      <c r="AO401" s="350"/>
      <c r="AP401" s="350"/>
      <c r="AQ401" s="351"/>
    </row>
    <row r="402" spans="1:43" ht="30" customHeight="1">
      <c r="A402" s="98">
        <f t="shared" si="1"/>
        <v>390</v>
      </c>
      <c r="B402" s="412" t="s">
        <v>325</v>
      </c>
      <c r="C402" s="350"/>
      <c r="D402" s="351"/>
      <c r="E402" s="735"/>
      <c r="F402" s="350"/>
      <c r="G402" s="351"/>
      <c r="H402" s="412"/>
      <c r="I402" s="350"/>
      <c r="J402" s="350"/>
      <c r="K402" s="351"/>
      <c r="L402" s="412"/>
      <c r="M402" s="350"/>
      <c r="N402" s="350"/>
      <c r="O402" s="350"/>
      <c r="P402" s="351"/>
      <c r="Q402" s="412"/>
      <c r="R402" s="350"/>
      <c r="S402" s="350"/>
      <c r="T402" s="350"/>
      <c r="U402" s="350"/>
      <c r="V402" s="350"/>
      <c r="W402" s="350"/>
      <c r="X402" s="350"/>
      <c r="Y402" s="350"/>
      <c r="Z402" s="351"/>
      <c r="AA402" s="412"/>
      <c r="AB402" s="350"/>
      <c r="AC402" s="350"/>
      <c r="AD402" s="350"/>
      <c r="AE402" s="350"/>
      <c r="AF402" s="350"/>
      <c r="AG402" s="350"/>
      <c r="AH402" s="350"/>
      <c r="AI402" s="350"/>
      <c r="AJ402" s="350"/>
      <c r="AK402" s="350"/>
      <c r="AL402" s="350"/>
      <c r="AM402" s="350"/>
      <c r="AN402" s="350"/>
      <c r="AO402" s="350"/>
      <c r="AP402" s="350"/>
      <c r="AQ402" s="351"/>
    </row>
    <row r="403" spans="1:43" ht="30" customHeight="1">
      <c r="A403" s="98">
        <f t="shared" si="1"/>
        <v>391</v>
      </c>
      <c r="B403" s="368" t="s">
        <v>325</v>
      </c>
      <c r="C403" s="350"/>
      <c r="D403" s="351"/>
      <c r="E403" s="736"/>
      <c r="F403" s="350"/>
      <c r="G403" s="351"/>
      <c r="H403" s="368"/>
      <c r="I403" s="350"/>
      <c r="J403" s="350"/>
      <c r="K403" s="351"/>
      <c r="L403" s="368"/>
      <c r="M403" s="350"/>
      <c r="N403" s="350"/>
      <c r="O403" s="350"/>
      <c r="P403" s="351"/>
      <c r="Q403" s="368"/>
      <c r="R403" s="350"/>
      <c r="S403" s="350"/>
      <c r="T403" s="350"/>
      <c r="U403" s="350"/>
      <c r="V403" s="350"/>
      <c r="W403" s="350"/>
      <c r="X403" s="350"/>
      <c r="Y403" s="350"/>
      <c r="Z403" s="351"/>
      <c r="AA403" s="368"/>
      <c r="AB403" s="350"/>
      <c r="AC403" s="350"/>
      <c r="AD403" s="350"/>
      <c r="AE403" s="350"/>
      <c r="AF403" s="350"/>
      <c r="AG403" s="350"/>
      <c r="AH403" s="350"/>
      <c r="AI403" s="350"/>
      <c r="AJ403" s="350"/>
      <c r="AK403" s="350"/>
      <c r="AL403" s="350"/>
      <c r="AM403" s="350"/>
      <c r="AN403" s="350"/>
      <c r="AO403" s="350"/>
      <c r="AP403" s="350"/>
      <c r="AQ403" s="351"/>
    </row>
    <row r="404" spans="1:43" ht="30" customHeight="1">
      <c r="A404" s="98">
        <f t="shared" si="1"/>
        <v>392</v>
      </c>
      <c r="B404" s="412" t="s">
        <v>325</v>
      </c>
      <c r="C404" s="350"/>
      <c r="D404" s="351"/>
      <c r="E404" s="735"/>
      <c r="F404" s="350"/>
      <c r="G404" s="351"/>
      <c r="H404" s="412"/>
      <c r="I404" s="350"/>
      <c r="J404" s="350"/>
      <c r="K404" s="351"/>
      <c r="L404" s="412"/>
      <c r="M404" s="350"/>
      <c r="N404" s="350"/>
      <c r="O404" s="350"/>
      <c r="P404" s="351"/>
      <c r="Q404" s="412"/>
      <c r="R404" s="350"/>
      <c r="S404" s="350"/>
      <c r="T404" s="350"/>
      <c r="U404" s="350"/>
      <c r="V404" s="350"/>
      <c r="W404" s="350"/>
      <c r="X404" s="350"/>
      <c r="Y404" s="350"/>
      <c r="Z404" s="351"/>
      <c r="AA404" s="412"/>
      <c r="AB404" s="350"/>
      <c r="AC404" s="350"/>
      <c r="AD404" s="350"/>
      <c r="AE404" s="350"/>
      <c r="AF404" s="350"/>
      <c r="AG404" s="350"/>
      <c r="AH404" s="350"/>
      <c r="AI404" s="350"/>
      <c r="AJ404" s="350"/>
      <c r="AK404" s="350"/>
      <c r="AL404" s="350"/>
      <c r="AM404" s="350"/>
      <c r="AN404" s="350"/>
      <c r="AO404" s="350"/>
      <c r="AP404" s="350"/>
      <c r="AQ404" s="351"/>
    </row>
    <row r="405" spans="1:43" ht="30" customHeight="1">
      <c r="A405" s="98">
        <f t="shared" si="1"/>
        <v>393</v>
      </c>
      <c r="B405" s="368" t="s">
        <v>325</v>
      </c>
      <c r="C405" s="350"/>
      <c r="D405" s="351"/>
      <c r="E405" s="736"/>
      <c r="F405" s="350"/>
      <c r="G405" s="351"/>
      <c r="H405" s="368"/>
      <c r="I405" s="350"/>
      <c r="J405" s="350"/>
      <c r="K405" s="351"/>
      <c r="L405" s="368"/>
      <c r="M405" s="350"/>
      <c r="N405" s="350"/>
      <c r="O405" s="350"/>
      <c r="P405" s="351"/>
      <c r="Q405" s="368"/>
      <c r="R405" s="350"/>
      <c r="S405" s="350"/>
      <c r="T405" s="350"/>
      <c r="U405" s="350"/>
      <c r="V405" s="350"/>
      <c r="W405" s="350"/>
      <c r="X405" s="350"/>
      <c r="Y405" s="350"/>
      <c r="Z405" s="351"/>
      <c r="AA405" s="368"/>
      <c r="AB405" s="350"/>
      <c r="AC405" s="350"/>
      <c r="AD405" s="350"/>
      <c r="AE405" s="350"/>
      <c r="AF405" s="350"/>
      <c r="AG405" s="350"/>
      <c r="AH405" s="350"/>
      <c r="AI405" s="350"/>
      <c r="AJ405" s="350"/>
      <c r="AK405" s="350"/>
      <c r="AL405" s="350"/>
      <c r="AM405" s="350"/>
      <c r="AN405" s="350"/>
      <c r="AO405" s="350"/>
      <c r="AP405" s="350"/>
      <c r="AQ405" s="351"/>
    </row>
    <row r="406" spans="1:43" ht="30" customHeight="1">
      <c r="A406" s="98">
        <f t="shared" si="1"/>
        <v>394</v>
      </c>
      <c r="B406" s="412" t="s">
        <v>325</v>
      </c>
      <c r="C406" s="350"/>
      <c r="D406" s="351"/>
      <c r="E406" s="735"/>
      <c r="F406" s="350"/>
      <c r="G406" s="351"/>
      <c r="H406" s="412"/>
      <c r="I406" s="350"/>
      <c r="J406" s="350"/>
      <c r="K406" s="351"/>
      <c r="L406" s="412"/>
      <c r="M406" s="350"/>
      <c r="N406" s="350"/>
      <c r="O406" s="350"/>
      <c r="P406" s="351"/>
      <c r="Q406" s="412"/>
      <c r="R406" s="350"/>
      <c r="S406" s="350"/>
      <c r="T406" s="350"/>
      <c r="U406" s="350"/>
      <c r="V406" s="350"/>
      <c r="W406" s="350"/>
      <c r="X406" s="350"/>
      <c r="Y406" s="350"/>
      <c r="Z406" s="351"/>
      <c r="AA406" s="412"/>
      <c r="AB406" s="350"/>
      <c r="AC406" s="350"/>
      <c r="AD406" s="350"/>
      <c r="AE406" s="350"/>
      <c r="AF406" s="350"/>
      <c r="AG406" s="350"/>
      <c r="AH406" s="350"/>
      <c r="AI406" s="350"/>
      <c r="AJ406" s="350"/>
      <c r="AK406" s="350"/>
      <c r="AL406" s="350"/>
      <c r="AM406" s="350"/>
      <c r="AN406" s="350"/>
      <c r="AO406" s="350"/>
      <c r="AP406" s="350"/>
      <c r="AQ406" s="351"/>
    </row>
    <row r="407" spans="1:43" ht="30" customHeight="1">
      <c r="A407" s="98">
        <f t="shared" si="1"/>
        <v>395</v>
      </c>
      <c r="B407" s="368" t="s">
        <v>325</v>
      </c>
      <c r="C407" s="350"/>
      <c r="D407" s="351"/>
      <c r="E407" s="736"/>
      <c r="F407" s="350"/>
      <c r="G407" s="351"/>
      <c r="H407" s="368"/>
      <c r="I407" s="350"/>
      <c r="J407" s="350"/>
      <c r="K407" s="351"/>
      <c r="L407" s="368"/>
      <c r="M407" s="350"/>
      <c r="N407" s="350"/>
      <c r="O407" s="350"/>
      <c r="P407" s="351"/>
      <c r="Q407" s="368"/>
      <c r="R407" s="350"/>
      <c r="S407" s="350"/>
      <c r="T407" s="350"/>
      <c r="U407" s="350"/>
      <c r="V407" s="350"/>
      <c r="W407" s="350"/>
      <c r="X407" s="350"/>
      <c r="Y407" s="350"/>
      <c r="Z407" s="351"/>
      <c r="AA407" s="368"/>
      <c r="AB407" s="350"/>
      <c r="AC407" s="350"/>
      <c r="AD407" s="350"/>
      <c r="AE407" s="350"/>
      <c r="AF407" s="350"/>
      <c r="AG407" s="350"/>
      <c r="AH407" s="350"/>
      <c r="AI407" s="350"/>
      <c r="AJ407" s="350"/>
      <c r="AK407" s="350"/>
      <c r="AL407" s="350"/>
      <c r="AM407" s="350"/>
      <c r="AN407" s="350"/>
      <c r="AO407" s="350"/>
      <c r="AP407" s="350"/>
      <c r="AQ407" s="351"/>
    </row>
    <row r="408" spans="1:43" ht="30" customHeight="1">
      <c r="A408" s="98">
        <f t="shared" si="1"/>
        <v>396</v>
      </c>
      <c r="B408" s="412" t="s">
        <v>325</v>
      </c>
      <c r="C408" s="350"/>
      <c r="D408" s="351"/>
      <c r="E408" s="735"/>
      <c r="F408" s="350"/>
      <c r="G408" s="351"/>
      <c r="H408" s="412"/>
      <c r="I408" s="350"/>
      <c r="J408" s="350"/>
      <c r="K408" s="351"/>
      <c r="L408" s="412"/>
      <c r="M408" s="350"/>
      <c r="N408" s="350"/>
      <c r="O408" s="350"/>
      <c r="P408" s="351"/>
      <c r="Q408" s="412"/>
      <c r="R408" s="350"/>
      <c r="S408" s="350"/>
      <c r="T408" s="350"/>
      <c r="U408" s="350"/>
      <c r="V408" s="350"/>
      <c r="W408" s="350"/>
      <c r="X408" s="350"/>
      <c r="Y408" s="350"/>
      <c r="Z408" s="351"/>
      <c r="AA408" s="412"/>
      <c r="AB408" s="350"/>
      <c r="AC408" s="350"/>
      <c r="AD408" s="350"/>
      <c r="AE408" s="350"/>
      <c r="AF408" s="350"/>
      <c r="AG408" s="350"/>
      <c r="AH408" s="350"/>
      <c r="AI408" s="350"/>
      <c r="AJ408" s="350"/>
      <c r="AK408" s="350"/>
      <c r="AL408" s="350"/>
      <c r="AM408" s="350"/>
      <c r="AN408" s="350"/>
      <c r="AO408" s="350"/>
      <c r="AP408" s="350"/>
      <c r="AQ408" s="351"/>
    </row>
    <row r="409" spans="1:43" ht="30" customHeight="1">
      <c r="A409" s="98">
        <f t="shared" si="1"/>
        <v>397</v>
      </c>
      <c r="B409" s="368" t="s">
        <v>325</v>
      </c>
      <c r="C409" s="350"/>
      <c r="D409" s="351"/>
      <c r="E409" s="736"/>
      <c r="F409" s="350"/>
      <c r="G409" s="351"/>
      <c r="H409" s="368"/>
      <c r="I409" s="350"/>
      <c r="J409" s="350"/>
      <c r="K409" s="351"/>
      <c r="L409" s="368"/>
      <c r="M409" s="350"/>
      <c r="N409" s="350"/>
      <c r="O409" s="350"/>
      <c r="P409" s="351"/>
      <c r="Q409" s="368"/>
      <c r="R409" s="350"/>
      <c r="S409" s="350"/>
      <c r="T409" s="350"/>
      <c r="U409" s="350"/>
      <c r="V409" s="350"/>
      <c r="W409" s="350"/>
      <c r="X409" s="350"/>
      <c r="Y409" s="350"/>
      <c r="Z409" s="351"/>
      <c r="AA409" s="368"/>
      <c r="AB409" s="350"/>
      <c r="AC409" s="350"/>
      <c r="AD409" s="350"/>
      <c r="AE409" s="350"/>
      <c r="AF409" s="350"/>
      <c r="AG409" s="350"/>
      <c r="AH409" s="350"/>
      <c r="AI409" s="350"/>
      <c r="AJ409" s="350"/>
      <c r="AK409" s="350"/>
      <c r="AL409" s="350"/>
      <c r="AM409" s="350"/>
      <c r="AN409" s="350"/>
      <c r="AO409" s="350"/>
      <c r="AP409" s="350"/>
      <c r="AQ409" s="351"/>
    </row>
    <row r="410" spans="1:43" ht="30" customHeight="1">
      <c r="A410" s="98">
        <f t="shared" si="1"/>
        <v>398</v>
      </c>
      <c r="B410" s="412" t="s">
        <v>325</v>
      </c>
      <c r="C410" s="350"/>
      <c r="D410" s="351"/>
      <c r="E410" s="735"/>
      <c r="F410" s="350"/>
      <c r="G410" s="351"/>
      <c r="H410" s="412"/>
      <c r="I410" s="350"/>
      <c r="J410" s="350"/>
      <c r="K410" s="351"/>
      <c r="L410" s="412"/>
      <c r="M410" s="350"/>
      <c r="N410" s="350"/>
      <c r="O410" s="350"/>
      <c r="P410" s="351"/>
      <c r="Q410" s="412"/>
      <c r="R410" s="350"/>
      <c r="S410" s="350"/>
      <c r="T410" s="350"/>
      <c r="U410" s="350"/>
      <c r="V410" s="350"/>
      <c r="W410" s="350"/>
      <c r="X410" s="350"/>
      <c r="Y410" s="350"/>
      <c r="Z410" s="351"/>
      <c r="AA410" s="412"/>
      <c r="AB410" s="350"/>
      <c r="AC410" s="350"/>
      <c r="AD410" s="350"/>
      <c r="AE410" s="350"/>
      <c r="AF410" s="350"/>
      <c r="AG410" s="350"/>
      <c r="AH410" s="350"/>
      <c r="AI410" s="350"/>
      <c r="AJ410" s="350"/>
      <c r="AK410" s="350"/>
      <c r="AL410" s="350"/>
      <c r="AM410" s="350"/>
      <c r="AN410" s="350"/>
      <c r="AO410" s="350"/>
      <c r="AP410" s="350"/>
      <c r="AQ410" s="351"/>
    </row>
    <row r="411" spans="1:43" ht="30" customHeight="1">
      <c r="A411" s="98">
        <f t="shared" si="1"/>
        <v>399</v>
      </c>
      <c r="B411" s="368" t="s">
        <v>325</v>
      </c>
      <c r="C411" s="350"/>
      <c r="D411" s="351"/>
      <c r="E411" s="736"/>
      <c r="F411" s="350"/>
      <c r="G411" s="351"/>
      <c r="H411" s="368"/>
      <c r="I411" s="350"/>
      <c r="J411" s="350"/>
      <c r="K411" s="351"/>
      <c r="L411" s="368"/>
      <c r="M411" s="350"/>
      <c r="N411" s="350"/>
      <c r="O411" s="350"/>
      <c r="P411" s="351"/>
      <c r="Q411" s="368"/>
      <c r="R411" s="350"/>
      <c r="S411" s="350"/>
      <c r="T411" s="350"/>
      <c r="U411" s="350"/>
      <c r="V411" s="350"/>
      <c r="W411" s="350"/>
      <c r="X411" s="350"/>
      <c r="Y411" s="350"/>
      <c r="Z411" s="351"/>
      <c r="AA411" s="368"/>
      <c r="AB411" s="350"/>
      <c r="AC411" s="350"/>
      <c r="AD411" s="350"/>
      <c r="AE411" s="350"/>
      <c r="AF411" s="350"/>
      <c r="AG411" s="350"/>
      <c r="AH411" s="350"/>
      <c r="AI411" s="350"/>
      <c r="AJ411" s="350"/>
      <c r="AK411" s="350"/>
      <c r="AL411" s="350"/>
      <c r="AM411" s="350"/>
      <c r="AN411" s="350"/>
      <c r="AO411" s="350"/>
      <c r="AP411" s="350"/>
      <c r="AQ411" s="351"/>
    </row>
    <row r="412" spans="1:43" ht="30" customHeight="1">
      <c r="A412" s="98">
        <f t="shared" si="1"/>
        <v>400</v>
      </c>
      <c r="B412" s="412" t="s">
        <v>325</v>
      </c>
      <c r="C412" s="350"/>
      <c r="D412" s="351"/>
      <c r="E412" s="735"/>
      <c r="F412" s="350"/>
      <c r="G412" s="351"/>
      <c r="H412" s="412"/>
      <c r="I412" s="350"/>
      <c r="J412" s="350"/>
      <c r="K412" s="351"/>
      <c r="L412" s="412"/>
      <c r="M412" s="350"/>
      <c r="N412" s="350"/>
      <c r="O412" s="350"/>
      <c r="P412" s="351"/>
      <c r="Q412" s="412"/>
      <c r="R412" s="350"/>
      <c r="S412" s="350"/>
      <c r="T412" s="350"/>
      <c r="U412" s="350"/>
      <c r="V412" s="350"/>
      <c r="W412" s="350"/>
      <c r="X412" s="350"/>
      <c r="Y412" s="350"/>
      <c r="Z412" s="351"/>
      <c r="AA412" s="412"/>
      <c r="AB412" s="350"/>
      <c r="AC412" s="350"/>
      <c r="AD412" s="350"/>
      <c r="AE412" s="350"/>
      <c r="AF412" s="350"/>
      <c r="AG412" s="350"/>
      <c r="AH412" s="350"/>
      <c r="AI412" s="350"/>
      <c r="AJ412" s="350"/>
      <c r="AK412" s="350"/>
      <c r="AL412" s="350"/>
      <c r="AM412" s="350"/>
      <c r="AN412" s="350"/>
      <c r="AO412" s="350"/>
      <c r="AP412" s="350"/>
      <c r="AQ412" s="351"/>
    </row>
    <row r="413" spans="1:43" ht="30" customHeight="1">
      <c r="A413" s="98">
        <f t="shared" si="1"/>
        <v>401</v>
      </c>
      <c r="B413" s="368" t="s">
        <v>325</v>
      </c>
      <c r="C413" s="350"/>
      <c r="D413" s="351"/>
      <c r="E413" s="736"/>
      <c r="F413" s="350"/>
      <c r="G413" s="351"/>
      <c r="H413" s="368"/>
      <c r="I413" s="350"/>
      <c r="J413" s="350"/>
      <c r="K413" s="351"/>
      <c r="L413" s="368"/>
      <c r="M413" s="350"/>
      <c r="N413" s="350"/>
      <c r="O413" s="350"/>
      <c r="P413" s="351"/>
      <c r="Q413" s="368"/>
      <c r="R413" s="350"/>
      <c r="S413" s="350"/>
      <c r="T413" s="350"/>
      <c r="U413" s="350"/>
      <c r="V413" s="350"/>
      <c r="W413" s="350"/>
      <c r="X413" s="350"/>
      <c r="Y413" s="350"/>
      <c r="Z413" s="351"/>
      <c r="AA413" s="368"/>
      <c r="AB413" s="350"/>
      <c r="AC413" s="350"/>
      <c r="AD413" s="350"/>
      <c r="AE413" s="350"/>
      <c r="AF413" s="350"/>
      <c r="AG413" s="350"/>
      <c r="AH413" s="350"/>
      <c r="AI413" s="350"/>
      <c r="AJ413" s="350"/>
      <c r="AK413" s="350"/>
      <c r="AL413" s="350"/>
      <c r="AM413" s="350"/>
      <c r="AN413" s="350"/>
      <c r="AO413" s="350"/>
      <c r="AP413" s="350"/>
      <c r="AQ413" s="351"/>
    </row>
    <row r="414" spans="1:43" ht="30" customHeight="1">
      <c r="A414" s="98">
        <f t="shared" si="1"/>
        <v>402</v>
      </c>
      <c r="B414" s="412" t="s">
        <v>325</v>
      </c>
      <c r="C414" s="350"/>
      <c r="D414" s="351"/>
      <c r="E414" s="735"/>
      <c r="F414" s="350"/>
      <c r="G414" s="351"/>
      <c r="H414" s="412"/>
      <c r="I414" s="350"/>
      <c r="J414" s="350"/>
      <c r="K414" s="351"/>
      <c r="L414" s="412"/>
      <c r="M414" s="350"/>
      <c r="N414" s="350"/>
      <c r="O414" s="350"/>
      <c r="P414" s="351"/>
      <c r="Q414" s="412"/>
      <c r="R414" s="350"/>
      <c r="S414" s="350"/>
      <c r="T414" s="350"/>
      <c r="U414" s="350"/>
      <c r="V414" s="350"/>
      <c r="W414" s="350"/>
      <c r="X414" s="350"/>
      <c r="Y414" s="350"/>
      <c r="Z414" s="351"/>
      <c r="AA414" s="412"/>
      <c r="AB414" s="350"/>
      <c r="AC414" s="350"/>
      <c r="AD414" s="350"/>
      <c r="AE414" s="350"/>
      <c r="AF414" s="350"/>
      <c r="AG414" s="350"/>
      <c r="AH414" s="350"/>
      <c r="AI414" s="350"/>
      <c r="AJ414" s="350"/>
      <c r="AK414" s="350"/>
      <c r="AL414" s="350"/>
      <c r="AM414" s="350"/>
      <c r="AN414" s="350"/>
      <c r="AO414" s="350"/>
      <c r="AP414" s="350"/>
      <c r="AQ414" s="351"/>
    </row>
    <row r="415" spans="1:43" ht="30" customHeight="1">
      <c r="A415" s="98">
        <f t="shared" si="1"/>
        <v>403</v>
      </c>
      <c r="B415" s="368" t="s">
        <v>325</v>
      </c>
      <c r="C415" s="350"/>
      <c r="D415" s="351"/>
      <c r="E415" s="736"/>
      <c r="F415" s="350"/>
      <c r="G415" s="351"/>
      <c r="H415" s="368"/>
      <c r="I415" s="350"/>
      <c r="J415" s="350"/>
      <c r="K415" s="351"/>
      <c r="L415" s="368"/>
      <c r="M415" s="350"/>
      <c r="N415" s="350"/>
      <c r="O415" s="350"/>
      <c r="P415" s="351"/>
      <c r="Q415" s="368"/>
      <c r="R415" s="350"/>
      <c r="S415" s="350"/>
      <c r="T415" s="350"/>
      <c r="U415" s="350"/>
      <c r="V415" s="350"/>
      <c r="W415" s="350"/>
      <c r="X415" s="350"/>
      <c r="Y415" s="350"/>
      <c r="Z415" s="351"/>
      <c r="AA415" s="368"/>
      <c r="AB415" s="350"/>
      <c r="AC415" s="350"/>
      <c r="AD415" s="350"/>
      <c r="AE415" s="350"/>
      <c r="AF415" s="350"/>
      <c r="AG415" s="350"/>
      <c r="AH415" s="350"/>
      <c r="AI415" s="350"/>
      <c r="AJ415" s="350"/>
      <c r="AK415" s="350"/>
      <c r="AL415" s="350"/>
      <c r="AM415" s="350"/>
      <c r="AN415" s="350"/>
      <c r="AO415" s="350"/>
      <c r="AP415" s="350"/>
      <c r="AQ415" s="351"/>
    </row>
    <row r="416" spans="1:43" ht="30" customHeight="1">
      <c r="A416" s="98">
        <f t="shared" si="1"/>
        <v>404</v>
      </c>
      <c r="B416" s="412" t="s">
        <v>325</v>
      </c>
      <c r="C416" s="350"/>
      <c r="D416" s="351"/>
      <c r="E416" s="735"/>
      <c r="F416" s="350"/>
      <c r="G416" s="351"/>
      <c r="H416" s="412"/>
      <c r="I416" s="350"/>
      <c r="J416" s="350"/>
      <c r="K416" s="351"/>
      <c r="L416" s="412"/>
      <c r="M416" s="350"/>
      <c r="N416" s="350"/>
      <c r="O416" s="350"/>
      <c r="P416" s="351"/>
      <c r="Q416" s="412"/>
      <c r="R416" s="350"/>
      <c r="S416" s="350"/>
      <c r="T416" s="350"/>
      <c r="U416" s="350"/>
      <c r="V416" s="350"/>
      <c r="W416" s="350"/>
      <c r="X416" s="350"/>
      <c r="Y416" s="350"/>
      <c r="Z416" s="351"/>
      <c r="AA416" s="412"/>
      <c r="AB416" s="350"/>
      <c r="AC416" s="350"/>
      <c r="AD416" s="350"/>
      <c r="AE416" s="350"/>
      <c r="AF416" s="350"/>
      <c r="AG416" s="350"/>
      <c r="AH416" s="350"/>
      <c r="AI416" s="350"/>
      <c r="AJ416" s="350"/>
      <c r="AK416" s="350"/>
      <c r="AL416" s="350"/>
      <c r="AM416" s="350"/>
      <c r="AN416" s="350"/>
      <c r="AO416" s="350"/>
      <c r="AP416" s="350"/>
      <c r="AQ416" s="351"/>
    </row>
    <row r="417" spans="1:43" ht="30" customHeight="1">
      <c r="A417" s="98">
        <f t="shared" si="1"/>
        <v>405</v>
      </c>
      <c r="B417" s="368" t="s">
        <v>325</v>
      </c>
      <c r="C417" s="350"/>
      <c r="D417" s="351"/>
      <c r="E417" s="736"/>
      <c r="F417" s="350"/>
      <c r="G417" s="351"/>
      <c r="H417" s="368"/>
      <c r="I417" s="350"/>
      <c r="J417" s="350"/>
      <c r="K417" s="351"/>
      <c r="L417" s="368"/>
      <c r="M417" s="350"/>
      <c r="N417" s="350"/>
      <c r="O417" s="350"/>
      <c r="P417" s="351"/>
      <c r="Q417" s="368"/>
      <c r="R417" s="350"/>
      <c r="S417" s="350"/>
      <c r="T417" s="350"/>
      <c r="U417" s="350"/>
      <c r="V417" s="350"/>
      <c r="W417" s="350"/>
      <c r="X417" s="350"/>
      <c r="Y417" s="350"/>
      <c r="Z417" s="351"/>
      <c r="AA417" s="368"/>
      <c r="AB417" s="350"/>
      <c r="AC417" s="350"/>
      <c r="AD417" s="350"/>
      <c r="AE417" s="350"/>
      <c r="AF417" s="350"/>
      <c r="AG417" s="350"/>
      <c r="AH417" s="350"/>
      <c r="AI417" s="350"/>
      <c r="AJ417" s="350"/>
      <c r="AK417" s="350"/>
      <c r="AL417" s="350"/>
      <c r="AM417" s="350"/>
      <c r="AN417" s="350"/>
      <c r="AO417" s="350"/>
      <c r="AP417" s="350"/>
      <c r="AQ417" s="351"/>
    </row>
    <row r="418" spans="1:43" ht="30" customHeight="1">
      <c r="A418" s="98">
        <f t="shared" si="1"/>
        <v>406</v>
      </c>
      <c r="B418" s="412" t="s">
        <v>325</v>
      </c>
      <c r="C418" s="350"/>
      <c r="D418" s="351"/>
      <c r="E418" s="735"/>
      <c r="F418" s="350"/>
      <c r="G418" s="351"/>
      <c r="H418" s="412"/>
      <c r="I418" s="350"/>
      <c r="J418" s="350"/>
      <c r="K418" s="351"/>
      <c r="L418" s="412"/>
      <c r="M418" s="350"/>
      <c r="N418" s="350"/>
      <c r="O418" s="350"/>
      <c r="P418" s="351"/>
      <c r="Q418" s="412"/>
      <c r="R418" s="350"/>
      <c r="S418" s="350"/>
      <c r="T418" s="350"/>
      <c r="U418" s="350"/>
      <c r="V418" s="350"/>
      <c r="W418" s="350"/>
      <c r="X418" s="350"/>
      <c r="Y418" s="350"/>
      <c r="Z418" s="351"/>
      <c r="AA418" s="412"/>
      <c r="AB418" s="350"/>
      <c r="AC418" s="350"/>
      <c r="AD418" s="350"/>
      <c r="AE418" s="350"/>
      <c r="AF418" s="350"/>
      <c r="AG418" s="350"/>
      <c r="AH418" s="350"/>
      <c r="AI418" s="350"/>
      <c r="AJ418" s="350"/>
      <c r="AK418" s="350"/>
      <c r="AL418" s="350"/>
      <c r="AM418" s="350"/>
      <c r="AN418" s="350"/>
      <c r="AO418" s="350"/>
      <c r="AP418" s="350"/>
      <c r="AQ418" s="351"/>
    </row>
    <row r="419" spans="1:43" ht="30" customHeight="1">
      <c r="A419" s="98">
        <f t="shared" si="1"/>
        <v>407</v>
      </c>
      <c r="B419" s="368" t="s">
        <v>325</v>
      </c>
      <c r="C419" s="350"/>
      <c r="D419" s="351"/>
      <c r="E419" s="736"/>
      <c r="F419" s="350"/>
      <c r="G419" s="351"/>
      <c r="H419" s="368"/>
      <c r="I419" s="350"/>
      <c r="J419" s="350"/>
      <c r="K419" s="351"/>
      <c r="L419" s="368"/>
      <c r="M419" s="350"/>
      <c r="N419" s="350"/>
      <c r="O419" s="350"/>
      <c r="P419" s="351"/>
      <c r="Q419" s="368"/>
      <c r="R419" s="350"/>
      <c r="S419" s="350"/>
      <c r="T419" s="350"/>
      <c r="U419" s="350"/>
      <c r="V419" s="350"/>
      <c r="W419" s="350"/>
      <c r="X419" s="350"/>
      <c r="Y419" s="350"/>
      <c r="Z419" s="351"/>
      <c r="AA419" s="368"/>
      <c r="AB419" s="350"/>
      <c r="AC419" s="350"/>
      <c r="AD419" s="350"/>
      <c r="AE419" s="350"/>
      <c r="AF419" s="350"/>
      <c r="AG419" s="350"/>
      <c r="AH419" s="350"/>
      <c r="AI419" s="350"/>
      <c r="AJ419" s="350"/>
      <c r="AK419" s="350"/>
      <c r="AL419" s="350"/>
      <c r="AM419" s="350"/>
      <c r="AN419" s="350"/>
      <c r="AO419" s="350"/>
      <c r="AP419" s="350"/>
      <c r="AQ419" s="351"/>
    </row>
    <row r="420" spans="1:43" ht="30" customHeight="1">
      <c r="A420" s="98">
        <f t="shared" si="1"/>
        <v>408</v>
      </c>
      <c r="B420" s="412" t="s">
        <v>325</v>
      </c>
      <c r="C420" s="350"/>
      <c r="D420" s="351"/>
      <c r="E420" s="735"/>
      <c r="F420" s="350"/>
      <c r="G420" s="351"/>
      <c r="H420" s="412"/>
      <c r="I420" s="350"/>
      <c r="J420" s="350"/>
      <c r="K420" s="351"/>
      <c r="L420" s="412"/>
      <c r="M420" s="350"/>
      <c r="N420" s="350"/>
      <c r="O420" s="350"/>
      <c r="P420" s="351"/>
      <c r="Q420" s="412"/>
      <c r="R420" s="350"/>
      <c r="S420" s="350"/>
      <c r="T420" s="350"/>
      <c r="U420" s="350"/>
      <c r="V420" s="350"/>
      <c r="W420" s="350"/>
      <c r="X420" s="350"/>
      <c r="Y420" s="350"/>
      <c r="Z420" s="351"/>
      <c r="AA420" s="412"/>
      <c r="AB420" s="350"/>
      <c r="AC420" s="350"/>
      <c r="AD420" s="350"/>
      <c r="AE420" s="350"/>
      <c r="AF420" s="350"/>
      <c r="AG420" s="350"/>
      <c r="AH420" s="350"/>
      <c r="AI420" s="350"/>
      <c r="AJ420" s="350"/>
      <c r="AK420" s="350"/>
      <c r="AL420" s="350"/>
      <c r="AM420" s="350"/>
      <c r="AN420" s="350"/>
      <c r="AO420" s="350"/>
      <c r="AP420" s="350"/>
      <c r="AQ420" s="351"/>
    </row>
    <row r="421" spans="1:43" ht="30" customHeight="1">
      <c r="A421" s="98">
        <f t="shared" si="1"/>
        <v>409</v>
      </c>
      <c r="B421" s="368" t="s">
        <v>325</v>
      </c>
      <c r="C421" s="350"/>
      <c r="D421" s="351"/>
      <c r="E421" s="736"/>
      <c r="F421" s="350"/>
      <c r="G421" s="351"/>
      <c r="H421" s="368"/>
      <c r="I421" s="350"/>
      <c r="J421" s="350"/>
      <c r="K421" s="351"/>
      <c r="L421" s="368"/>
      <c r="M421" s="350"/>
      <c r="N421" s="350"/>
      <c r="O421" s="350"/>
      <c r="P421" s="351"/>
      <c r="Q421" s="368"/>
      <c r="R421" s="350"/>
      <c r="S421" s="350"/>
      <c r="T421" s="350"/>
      <c r="U421" s="350"/>
      <c r="V421" s="350"/>
      <c r="W421" s="350"/>
      <c r="X421" s="350"/>
      <c r="Y421" s="350"/>
      <c r="Z421" s="351"/>
      <c r="AA421" s="368"/>
      <c r="AB421" s="350"/>
      <c r="AC421" s="350"/>
      <c r="AD421" s="350"/>
      <c r="AE421" s="350"/>
      <c r="AF421" s="350"/>
      <c r="AG421" s="350"/>
      <c r="AH421" s="350"/>
      <c r="AI421" s="350"/>
      <c r="AJ421" s="350"/>
      <c r="AK421" s="350"/>
      <c r="AL421" s="350"/>
      <c r="AM421" s="350"/>
      <c r="AN421" s="350"/>
      <c r="AO421" s="350"/>
      <c r="AP421" s="350"/>
      <c r="AQ421" s="351"/>
    </row>
    <row r="422" spans="1:43" ht="30" customHeight="1">
      <c r="A422" s="98">
        <f t="shared" si="1"/>
        <v>410</v>
      </c>
      <c r="B422" s="412" t="s">
        <v>325</v>
      </c>
      <c r="C422" s="350"/>
      <c r="D422" s="351"/>
      <c r="E422" s="735"/>
      <c r="F422" s="350"/>
      <c r="G422" s="351"/>
      <c r="H422" s="412"/>
      <c r="I422" s="350"/>
      <c r="J422" s="350"/>
      <c r="K422" s="351"/>
      <c r="L422" s="412"/>
      <c r="M422" s="350"/>
      <c r="N422" s="350"/>
      <c r="O422" s="350"/>
      <c r="P422" s="351"/>
      <c r="Q422" s="412"/>
      <c r="R422" s="350"/>
      <c r="S422" s="350"/>
      <c r="T422" s="350"/>
      <c r="U422" s="350"/>
      <c r="V422" s="350"/>
      <c r="W422" s="350"/>
      <c r="X422" s="350"/>
      <c r="Y422" s="350"/>
      <c r="Z422" s="351"/>
      <c r="AA422" s="412"/>
      <c r="AB422" s="350"/>
      <c r="AC422" s="350"/>
      <c r="AD422" s="350"/>
      <c r="AE422" s="350"/>
      <c r="AF422" s="350"/>
      <c r="AG422" s="350"/>
      <c r="AH422" s="350"/>
      <c r="AI422" s="350"/>
      <c r="AJ422" s="350"/>
      <c r="AK422" s="350"/>
      <c r="AL422" s="350"/>
      <c r="AM422" s="350"/>
      <c r="AN422" s="350"/>
      <c r="AO422" s="350"/>
      <c r="AP422" s="350"/>
      <c r="AQ422" s="351"/>
    </row>
    <row r="423" spans="1:43" ht="30" customHeight="1">
      <c r="A423" s="98">
        <f t="shared" si="1"/>
        <v>411</v>
      </c>
      <c r="B423" s="368" t="s">
        <v>325</v>
      </c>
      <c r="C423" s="350"/>
      <c r="D423" s="351"/>
      <c r="E423" s="736"/>
      <c r="F423" s="350"/>
      <c r="G423" s="351"/>
      <c r="H423" s="368"/>
      <c r="I423" s="350"/>
      <c r="J423" s="350"/>
      <c r="K423" s="351"/>
      <c r="L423" s="368"/>
      <c r="M423" s="350"/>
      <c r="N423" s="350"/>
      <c r="O423" s="350"/>
      <c r="P423" s="351"/>
      <c r="Q423" s="368"/>
      <c r="R423" s="350"/>
      <c r="S423" s="350"/>
      <c r="T423" s="350"/>
      <c r="U423" s="350"/>
      <c r="V423" s="350"/>
      <c r="W423" s="350"/>
      <c r="X423" s="350"/>
      <c r="Y423" s="350"/>
      <c r="Z423" s="351"/>
      <c r="AA423" s="368"/>
      <c r="AB423" s="350"/>
      <c r="AC423" s="350"/>
      <c r="AD423" s="350"/>
      <c r="AE423" s="350"/>
      <c r="AF423" s="350"/>
      <c r="AG423" s="350"/>
      <c r="AH423" s="350"/>
      <c r="AI423" s="350"/>
      <c r="AJ423" s="350"/>
      <c r="AK423" s="350"/>
      <c r="AL423" s="350"/>
      <c r="AM423" s="350"/>
      <c r="AN423" s="350"/>
      <c r="AO423" s="350"/>
      <c r="AP423" s="350"/>
      <c r="AQ423" s="351"/>
    </row>
    <row r="424" spans="1:43" ht="30" customHeight="1">
      <c r="A424" s="98">
        <f t="shared" si="1"/>
        <v>412</v>
      </c>
      <c r="B424" s="412" t="s">
        <v>325</v>
      </c>
      <c r="C424" s="350"/>
      <c r="D424" s="351"/>
      <c r="E424" s="735"/>
      <c r="F424" s="350"/>
      <c r="G424" s="351"/>
      <c r="H424" s="412"/>
      <c r="I424" s="350"/>
      <c r="J424" s="350"/>
      <c r="K424" s="351"/>
      <c r="L424" s="412"/>
      <c r="M424" s="350"/>
      <c r="N424" s="350"/>
      <c r="O424" s="350"/>
      <c r="P424" s="351"/>
      <c r="Q424" s="412"/>
      <c r="R424" s="350"/>
      <c r="S424" s="350"/>
      <c r="T424" s="350"/>
      <c r="U424" s="350"/>
      <c r="V424" s="350"/>
      <c r="W424" s="350"/>
      <c r="X424" s="350"/>
      <c r="Y424" s="350"/>
      <c r="Z424" s="351"/>
      <c r="AA424" s="412"/>
      <c r="AB424" s="350"/>
      <c r="AC424" s="350"/>
      <c r="AD424" s="350"/>
      <c r="AE424" s="350"/>
      <c r="AF424" s="350"/>
      <c r="AG424" s="350"/>
      <c r="AH424" s="350"/>
      <c r="AI424" s="350"/>
      <c r="AJ424" s="350"/>
      <c r="AK424" s="350"/>
      <c r="AL424" s="350"/>
      <c r="AM424" s="350"/>
      <c r="AN424" s="350"/>
      <c r="AO424" s="350"/>
      <c r="AP424" s="350"/>
      <c r="AQ424" s="351"/>
    </row>
    <row r="425" spans="1:43" ht="30" customHeight="1">
      <c r="A425" s="98">
        <f t="shared" si="1"/>
        <v>413</v>
      </c>
      <c r="B425" s="368" t="s">
        <v>325</v>
      </c>
      <c r="C425" s="350"/>
      <c r="D425" s="351"/>
      <c r="E425" s="736"/>
      <c r="F425" s="350"/>
      <c r="G425" s="351"/>
      <c r="H425" s="368"/>
      <c r="I425" s="350"/>
      <c r="J425" s="350"/>
      <c r="K425" s="351"/>
      <c r="L425" s="368"/>
      <c r="M425" s="350"/>
      <c r="N425" s="350"/>
      <c r="O425" s="350"/>
      <c r="P425" s="351"/>
      <c r="Q425" s="368"/>
      <c r="R425" s="350"/>
      <c r="S425" s="350"/>
      <c r="T425" s="350"/>
      <c r="U425" s="350"/>
      <c r="V425" s="350"/>
      <c r="W425" s="350"/>
      <c r="X425" s="350"/>
      <c r="Y425" s="350"/>
      <c r="Z425" s="351"/>
      <c r="AA425" s="368"/>
      <c r="AB425" s="350"/>
      <c r="AC425" s="350"/>
      <c r="AD425" s="350"/>
      <c r="AE425" s="350"/>
      <c r="AF425" s="350"/>
      <c r="AG425" s="350"/>
      <c r="AH425" s="350"/>
      <c r="AI425" s="350"/>
      <c r="AJ425" s="350"/>
      <c r="AK425" s="350"/>
      <c r="AL425" s="350"/>
      <c r="AM425" s="350"/>
      <c r="AN425" s="350"/>
      <c r="AO425" s="350"/>
      <c r="AP425" s="350"/>
      <c r="AQ425" s="351"/>
    </row>
    <row r="426" spans="1:43" ht="30" customHeight="1">
      <c r="A426" s="98">
        <f t="shared" si="1"/>
        <v>414</v>
      </c>
      <c r="B426" s="412" t="s">
        <v>325</v>
      </c>
      <c r="C426" s="350"/>
      <c r="D426" s="351"/>
      <c r="E426" s="735"/>
      <c r="F426" s="350"/>
      <c r="G426" s="351"/>
      <c r="H426" s="412"/>
      <c r="I426" s="350"/>
      <c r="J426" s="350"/>
      <c r="K426" s="351"/>
      <c r="L426" s="412"/>
      <c r="M426" s="350"/>
      <c r="N426" s="350"/>
      <c r="O426" s="350"/>
      <c r="P426" s="351"/>
      <c r="Q426" s="412"/>
      <c r="R426" s="350"/>
      <c r="S426" s="350"/>
      <c r="T426" s="350"/>
      <c r="U426" s="350"/>
      <c r="V426" s="350"/>
      <c r="W426" s="350"/>
      <c r="X426" s="350"/>
      <c r="Y426" s="350"/>
      <c r="Z426" s="351"/>
      <c r="AA426" s="412"/>
      <c r="AB426" s="350"/>
      <c r="AC426" s="350"/>
      <c r="AD426" s="350"/>
      <c r="AE426" s="350"/>
      <c r="AF426" s="350"/>
      <c r="AG426" s="350"/>
      <c r="AH426" s="350"/>
      <c r="AI426" s="350"/>
      <c r="AJ426" s="350"/>
      <c r="AK426" s="350"/>
      <c r="AL426" s="350"/>
      <c r="AM426" s="350"/>
      <c r="AN426" s="350"/>
      <c r="AO426" s="350"/>
      <c r="AP426" s="350"/>
      <c r="AQ426" s="351"/>
    </row>
    <row r="427" spans="1:43" ht="30" customHeight="1">
      <c r="A427" s="98">
        <f t="shared" si="1"/>
        <v>415</v>
      </c>
      <c r="B427" s="368" t="s">
        <v>325</v>
      </c>
      <c r="C427" s="350"/>
      <c r="D427" s="351"/>
      <c r="E427" s="736"/>
      <c r="F427" s="350"/>
      <c r="G427" s="351"/>
      <c r="H427" s="368"/>
      <c r="I427" s="350"/>
      <c r="J427" s="350"/>
      <c r="K427" s="351"/>
      <c r="L427" s="368"/>
      <c r="M427" s="350"/>
      <c r="N427" s="350"/>
      <c r="O427" s="350"/>
      <c r="P427" s="351"/>
      <c r="Q427" s="368"/>
      <c r="R427" s="350"/>
      <c r="S427" s="350"/>
      <c r="T427" s="350"/>
      <c r="U427" s="350"/>
      <c r="V427" s="350"/>
      <c r="W427" s="350"/>
      <c r="X427" s="350"/>
      <c r="Y427" s="350"/>
      <c r="Z427" s="351"/>
      <c r="AA427" s="368"/>
      <c r="AB427" s="350"/>
      <c r="AC427" s="350"/>
      <c r="AD427" s="350"/>
      <c r="AE427" s="350"/>
      <c r="AF427" s="350"/>
      <c r="AG427" s="350"/>
      <c r="AH427" s="350"/>
      <c r="AI427" s="350"/>
      <c r="AJ427" s="350"/>
      <c r="AK427" s="350"/>
      <c r="AL427" s="350"/>
      <c r="AM427" s="350"/>
      <c r="AN427" s="350"/>
      <c r="AO427" s="350"/>
      <c r="AP427" s="350"/>
      <c r="AQ427" s="351"/>
    </row>
    <row r="428" spans="1:43" ht="30" customHeight="1">
      <c r="A428" s="98">
        <f t="shared" si="1"/>
        <v>416</v>
      </c>
      <c r="B428" s="412" t="s">
        <v>325</v>
      </c>
      <c r="C428" s="350"/>
      <c r="D428" s="351"/>
      <c r="E428" s="735"/>
      <c r="F428" s="350"/>
      <c r="G428" s="351"/>
      <c r="H428" s="412"/>
      <c r="I428" s="350"/>
      <c r="J428" s="350"/>
      <c r="K428" s="351"/>
      <c r="L428" s="412"/>
      <c r="M428" s="350"/>
      <c r="N428" s="350"/>
      <c r="O428" s="350"/>
      <c r="P428" s="351"/>
      <c r="Q428" s="412"/>
      <c r="R428" s="350"/>
      <c r="S428" s="350"/>
      <c r="T428" s="350"/>
      <c r="U428" s="350"/>
      <c r="V428" s="350"/>
      <c r="W428" s="350"/>
      <c r="X428" s="350"/>
      <c r="Y428" s="350"/>
      <c r="Z428" s="351"/>
      <c r="AA428" s="412"/>
      <c r="AB428" s="350"/>
      <c r="AC428" s="350"/>
      <c r="AD428" s="350"/>
      <c r="AE428" s="350"/>
      <c r="AF428" s="350"/>
      <c r="AG428" s="350"/>
      <c r="AH428" s="350"/>
      <c r="AI428" s="350"/>
      <c r="AJ428" s="350"/>
      <c r="AK428" s="350"/>
      <c r="AL428" s="350"/>
      <c r="AM428" s="350"/>
      <c r="AN428" s="350"/>
      <c r="AO428" s="350"/>
      <c r="AP428" s="350"/>
      <c r="AQ428" s="351"/>
    </row>
    <row r="429" spans="1:43" ht="30" customHeight="1">
      <c r="A429" s="98">
        <f t="shared" si="1"/>
        <v>417</v>
      </c>
      <c r="B429" s="368" t="s">
        <v>325</v>
      </c>
      <c r="C429" s="350"/>
      <c r="D429" s="351"/>
      <c r="E429" s="736"/>
      <c r="F429" s="350"/>
      <c r="G429" s="351"/>
      <c r="H429" s="368"/>
      <c r="I429" s="350"/>
      <c r="J429" s="350"/>
      <c r="K429" s="351"/>
      <c r="L429" s="368"/>
      <c r="M429" s="350"/>
      <c r="N429" s="350"/>
      <c r="O429" s="350"/>
      <c r="P429" s="351"/>
      <c r="Q429" s="368"/>
      <c r="R429" s="350"/>
      <c r="S429" s="350"/>
      <c r="T429" s="350"/>
      <c r="U429" s="350"/>
      <c r="V429" s="350"/>
      <c r="W429" s="350"/>
      <c r="X429" s="350"/>
      <c r="Y429" s="350"/>
      <c r="Z429" s="351"/>
      <c r="AA429" s="368"/>
      <c r="AB429" s="350"/>
      <c r="AC429" s="350"/>
      <c r="AD429" s="350"/>
      <c r="AE429" s="350"/>
      <c r="AF429" s="350"/>
      <c r="AG429" s="350"/>
      <c r="AH429" s="350"/>
      <c r="AI429" s="350"/>
      <c r="AJ429" s="350"/>
      <c r="AK429" s="350"/>
      <c r="AL429" s="350"/>
      <c r="AM429" s="350"/>
      <c r="AN429" s="350"/>
      <c r="AO429" s="350"/>
      <c r="AP429" s="350"/>
      <c r="AQ429" s="351"/>
    </row>
    <row r="430" spans="1:43" ht="30" customHeight="1">
      <c r="A430" s="98">
        <f t="shared" si="1"/>
        <v>418</v>
      </c>
      <c r="B430" s="412" t="s">
        <v>325</v>
      </c>
      <c r="C430" s="350"/>
      <c r="D430" s="351"/>
      <c r="E430" s="735"/>
      <c r="F430" s="350"/>
      <c r="G430" s="351"/>
      <c r="H430" s="412"/>
      <c r="I430" s="350"/>
      <c r="J430" s="350"/>
      <c r="K430" s="351"/>
      <c r="L430" s="412"/>
      <c r="M430" s="350"/>
      <c r="N430" s="350"/>
      <c r="O430" s="350"/>
      <c r="P430" s="351"/>
      <c r="Q430" s="412"/>
      <c r="R430" s="350"/>
      <c r="S430" s="350"/>
      <c r="T430" s="350"/>
      <c r="U430" s="350"/>
      <c r="V430" s="350"/>
      <c r="W430" s="350"/>
      <c r="X430" s="350"/>
      <c r="Y430" s="350"/>
      <c r="Z430" s="351"/>
      <c r="AA430" s="412"/>
      <c r="AB430" s="350"/>
      <c r="AC430" s="350"/>
      <c r="AD430" s="350"/>
      <c r="AE430" s="350"/>
      <c r="AF430" s="350"/>
      <c r="AG430" s="350"/>
      <c r="AH430" s="350"/>
      <c r="AI430" s="350"/>
      <c r="AJ430" s="350"/>
      <c r="AK430" s="350"/>
      <c r="AL430" s="350"/>
      <c r="AM430" s="350"/>
      <c r="AN430" s="350"/>
      <c r="AO430" s="350"/>
      <c r="AP430" s="350"/>
      <c r="AQ430" s="351"/>
    </row>
    <row r="431" spans="1:43" ht="30" customHeight="1">
      <c r="A431" s="98">
        <f t="shared" si="1"/>
        <v>419</v>
      </c>
      <c r="B431" s="368" t="s">
        <v>325</v>
      </c>
      <c r="C431" s="350"/>
      <c r="D431" s="351"/>
      <c r="E431" s="736"/>
      <c r="F431" s="350"/>
      <c r="G431" s="351"/>
      <c r="H431" s="368"/>
      <c r="I431" s="350"/>
      <c r="J431" s="350"/>
      <c r="K431" s="351"/>
      <c r="L431" s="368"/>
      <c r="M431" s="350"/>
      <c r="N431" s="350"/>
      <c r="O431" s="350"/>
      <c r="P431" s="351"/>
      <c r="Q431" s="368"/>
      <c r="R431" s="350"/>
      <c r="S431" s="350"/>
      <c r="T431" s="350"/>
      <c r="U431" s="350"/>
      <c r="V431" s="350"/>
      <c r="W431" s="350"/>
      <c r="X431" s="350"/>
      <c r="Y431" s="350"/>
      <c r="Z431" s="351"/>
      <c r="AA431" s="368"/>
      <c r="AB431" s="350"/>
      <c r="AC431" s="350"/>
      <c r="AD431" s="350"/>
      <c r="AE431" s="350"/>
      <c r="AF431" s="350"/>
      <c r="AG431" s="350"/>
      <c r="AH431" s="350"/>
      <c r="AI431" s="350"/>
      <c r="AJ431" s="350"/>
      <c r="AK431" s="350"/>
      <c r="AL431" s="350"/>
      <c r="AM431" s="350"/>
      <c r="AN431" s="350"/>
      <c r="AO431" s="350"/>
      <c r="AP431" s="350"/>
      <c r="AQ431" s="351"/>
    </row>
    <row r="432" spans="1:43" ht="30" customHeight="1">
      <c r="A432" s="98">
        <f t="shared" si="1"/>
        <v>420</v>
      </c>
      <c r="B432" s="412" t="s">
        <v>325</v>
      </c>
      <c r="C432" s="350"/>
      <c r="D432" s="351"/>
      <c r="E432" s="735"/>
      <c r="F432" s="350"/>
      <c r="G432" s="351"/>
      <c r="H432" s="412"/>
      <c r="I432" s="350"/>
      <c r="J432" s="350"/>
      <c r="K432" s="351"/>
      <c r="L432" s="412"/>
      <c r="M432" s="350"/>
      <c r="N432" s="350"/>
      <c r="O432" s="350"/>
      <c r="P432" s="351"/>
      <c r="Q432" s="412"/>
      <c r="R432" s="350"/>
      <c r="S432" s="350"/>
      <c r="T432" s="350"/>
      <c r="U432" s="350"/>
      <c r="V432" s="350"/>
      <c r="W432" s="350"/>
      <c r="X432" s="350"/>
      <c r="Y432" s="350"/>
      <c r="Z432" s="351"/>
      <c r="AA432" s="412"/>
      <c r="AB432" s="350"/>
      <c r="AC432" s="350"/>
      <c r="AD432" s="350"/>
      <c r="AE432" s="350"/>
      <c r="AF432" s="350"/>
      <c r="AG432" s="350"/>
      <c r="AH432" s="350"/>
      <c r="AI432" s="350"/>
      <c r="AJ432" s="350"/>
      <c r="AK432" s="350"/>
      <c r="AL432" s="350"/>
      <c r="AM432" s="350"/>
      <c r="AN432" s="350"/>
      <c r="AO432" s="350"/>
      <c r="AP432" s="350"/>
      <c r="AQ432" s="351"/>
    </row>
    <row r="433" spans="1:43" ht="30" customHeight="1">
      <c r="A433" s="98">
        <f t="shared" si="1"/>
        <v>421</v>
      </c>
      <c r="B433" s="368" t="s">
        <v>325</v>
      </c>
      <c r="C433" s="350"/>
      <c r="D433" s="351"/>
      <c r="E433" s="736"/>
      <c r="F433" s="350"/>
      <c r="G433" s="351"/>
      <c r="H433" s="368"/>
      <c r="I433" s="350"/>
      <c r="J433" s="350"/>
      <c r="K433" s="351"/>
      <c r="L433" s="368"/>
      <c r="M433" s="350"/>
      <c r="N433" s="350"/>
      <c r="O433" s="350"/>
      <c r="P433" s="351"/>
      <c r="Q433" s="368"/>
      <c r="R433" s="350"/>
      <c r="S433" s="350"/>
      <c r="T433" s="350"/>
      <c r="U433" s="350"/>
      <c r="V433" s="350"/>
      <c r="W433" s="350"/>
      <c r="X433" s="350"/>
      <c r="Y433" s="350"/>
      <c r="Z433" s="351"/>
      <c r="AA433" s="368"/>
      <c r="AB433" s="350"/>
      <c r="AC433" s="350"/>
      <c r="AD433" s="350"/>
      <c r="AE433" s="350"/>
      <c r="AF433" s="350"/>
      <c r="AG433" s="350"/>
      <c r="AH433" s="350"/>
      <c r="AI433" s="350"/>
      <c r="AJ433" s="350"/>
      <c r="AK433" s="350"/>
      <c r="AL433" s="350"/>
      <c r="AM433" s="350"/>
      <c r="AN433" s="350"/>
      <c r="AO433" s="350"/>
      <c r="AP433" s="350"/>
      <c r="AQ433" s="351"/>
    </row>
    <row r="434" spans="1:43" ht="30" customHeight="1">
      <c r="A434" s="98">
        <f t="shared" si="1"/>
        <v>422</v>
      </c>
      <c r="B434" s="412" t="s">
        <v>325</v>
      </c>
      <c r="C434" s="350"/>
      <c r="D434" s="351"/>
      <c r="E434" s="735"/>
      <c r="F434" s="350"/>
      <c r="G434" s="351"/>
      <c r="H434" s="412"/>
      <c r="I434" s="350"/>
      <c r="J434" s="350"/>
      <c r="K434" s="351"/>
      <c r="L434" s="412"/>
      <c r="M434" s="350"/>
      <c r="N434" s="350"/>
      <c r="O434" s="350"/>
      <c r="P434" s="351"/>
      <c r="Q434" s="412"/>
      <c r="R434" s="350"/>
      <c r="S434" s="350"/>
      <c r="T434" s="350"/>
      <c r="U434" s="350"/>
      <c r="V434" s="350"/>
      <c r="W434" s="350"/>
      <c r="X434" s="350"/>
      <c r="Y434" s="350"/>
      <c r="Z434" s="351"/>
      <c r="AA434" s="412"/>
      <c r="AB434" s="350"/>
      <c r="AC434" s="350"/>
      <c r="AD434" s="350"/>
      <c r="AE434" s="350"/>
      <c r="AF434" s="350"/>
      <c r="AG434" s="350"/>
      <c r="AH434" s="350"/>
      <c r="AI434" s="350"/>
      <c r="AJ434" s="350"/>
      <c r="AK434" s="350"/>
      <c r="AL434" s="350"/>
      <c r="AM434" s="350"/>
      <c r="AN434" s="350"/>
      <c r="AO434" s="350"/>
      <c r="AP434" s="350"/>
      <c r="AQ434" s="351"/>
    </row>
    <row r="435" spans="1:43" ht="30" customHeight="1">
      <c r="A435" s="98">
        <f t="shared" si="1"/>
        <v>423</v>
      </c>
      <c r="B435" s="368" t="s">
        <v>325</v>
      </c>
      <c r="C435" s="350"/>
      <c r="D435" s="351"/>
      <c r="E435" s="736"/>
      <c r="F435" s="350"/>
      <c r="G435" s="351"/>
      <c r="H435" s="368"/>
      <c r="I435" s="350"/>
      <c r="J435" s="350"/>
      <c r="K435" s="351"/>
      <c r="L435" s="368"/>
      <c r="M435" s="350"/>
      <c r="N435" s="350"/>
      <c r="O435" s="350"/>
      <c r="P435" s="351"/>
      <c r="Q435" s="368"/>
      <c r="R435" s="350"/>
      <c r="S435" s="350"/>
      <c r="T435" s="350"/>
      <c r="U435" s="350"/>
      <c r="V435" s="350"/>
      <c r="W435" s="350"/>
      <c r="X435" s="350"/>
      <c r="Y435" s="350"/>
      <c r="Z435" s="351"/>
      <c r="AA435" s="368"/>
      <c r="AB435" s="350"/>
      <c r="AC435" s="350"/>
      <c r="AD435" s="350"/>
      <c r="AE435" s="350"/>
      <c r="AF435" s="350"/>
      <c r="AG435" s="350"/>
      <c r="AH435" s="350"/>
      <c r="AI435" s="350"/>
      <c r="AJ435" s="350"/>
      <c r="AK435" s="350"/>
      <c r="AL435" s="350"/>
      <c r="AM435" s="350"/>
      <c r="AN435" s="350"/>
      <c r="AO435" s="350"/>
      <c r="AP435" s="350"/>
      <c r="AQ435" s="351"/>
    </row>
    <row r="436" spans="1:43" ht="30" customHeight="1">
      <c r="A436" s="98">
        <f t="shared" si="1"/>
        <v>424</v>
      </c>
      <c r="B436" s="412" t="s">
        <v>325</v>
      </c>
      <c r="C436" s="350"/>
      <c r="D436" s="351"/>
      <c r="E436" s="735"/>
      <c r="F436" s="350"/>
      <c r="G436" s="351"/>
      <c r="H436" s="412"/>
      <c r="I436" s="350"/>
      <c r="J436" s="350"/>
      <c r="K436" s="351"/>
      <c r="L436" s="412"/>
      <c r="M436" s="350"/>
      <c r="N436" s="350"/>
      <c r="O436" s="350"/>
      <c r="P436" s="351"/>
      <c r="Q436" s="412"/>
      <c r="R436" s="350"/>
      <c r="S436" s="350"/>
      <c r="T436" s="350"/>
      <c r="U436" s="350"/>
      <c r="V436" s="350"/>
      <c r="W436" s="350"/>
      <c r="X436" s="350"/>
      <c r="Y436" s="350"/>
      <c r="Z436" s="351"/>
      <c r="AA436" s="412"/>
      <c r="AB436" s="350"/>
      <c r="AC436" s="350"/>
      <c r="AD436" s="350"/>
      <c r="AE436" s="350"/>
      <c r="AF436" s="350"/>
      <c r="AG436" s="350"/>
      <c r="AH436" s="350"/>
      <c r="AI436" s="350"/>
      <c r="AJ436" s="350"/>
      <c r="AK436" s="350"/>
      <c r="AL436" s="350"/>
      <c r="AM436" s="350"/>
      <c r="AN436" s="350"/>
      <c r="AO436" s="350"/>
      <c r="AP436" s="350"/>
      <c r="AQ436" s="351"/>
    </row>
    <row r="437" spans="1:43" ht="30" customHeight="1">
      <c r="A437" s="98">
        <f t="shared" si="1"/>
        <v>425</v>
      </c>
      <c r="B437" s="368" t="s">
        <v>325</v>
      </c>
      <c r="C437" s="350"/>
      <c r="D437" s="351"/>
      <c r="E437" s="736"/>
      <c r="F437" s="350"/>
      <c r="G437" s="351"/>
      <c r="H437" s="368"/>
      <c r="I437" s="350"/>
      <c r="J437" s="350"/>
      <c r="K437" s="351"/>
      <c r="L437" s="368"/>
      <c r="M437" s="350"/>
      <c r="N437" s="350"/>
      <c r="O437" s="350"/>
      <c r="P437" s="351"/>
      <c r="Q437" s="368"/>
      <c r="R437" s="350"/>
      <c r="S437" s="350"/>
      <c r="T437" s="350"/>
      <c r="U437" s="350"/>
      <c r="V437" s="350"/>
      <c r="W437" s="350"/>
      <c r="X437" s="350"/>
      <c r="Y437" s="350"/>
      <c r="Z437" s="351"/>
      <c r="AA437" s="368"/>
      <c r="AB437" s="350"/>
      <c r="AC437" s="350"/>
      <c r="AD437" s="350"/>
      <c r="AE437" s="350"/>
      <c r="AF437" s="350"/>
      <c r="AG437" s="350"/>
      <c r="AH437" s="350"/>
      <c r="AI437" s="350"/>
      <c r="AJ437" s="350"/>
      <c r="AK437" s="350"/>
      <c r="AL437" s="350"/>
      <c r="AM437" s="350"/>
      <c r="AN437" s="350"/>
      <c r="AO437" s="350"/>
      <c r="AP437" s="350"/>
      <c r="AQ437" s="351"/>
    </row>
    <row r="438" spans="1:43" ht="30" customHeight="1">
      <c r="A438" s="98">
        <f t="shared" si="1"/>
        <v>426</v>
      </c>
      <c r="B438" s="412" t="s">
        <v>325</v>
      </c>
      <c r="C438" s="350"/>
      <c r="D438" s="351"/>
      <c r="E438" s="735"/>
      <c r="F438" s="350"/>
      <c r="G438" s="351"/>
      <c r="H438" s="412"/>
      <c r="I438" s="350"/>
      <c r="J438" s="350"/>
      <c r="K438" s="351"/>
      <c r="L438" s="412"/>
      <c r="M438" s="350"/>
      <c r="N438" s="350"/>
      <c r="O438" s="350"/>
      <c r="P438" s="351"/>
      <c r="Q438" s="412"/>
      <c r="R438" s="350"/>
      <c r="S438" s="350"/>
      <c r="T438" s="350"/>
      <c r="U438" s="350"/>
      <c r="V438" s="350"/>
      <c r="W438" s="350"/>
      <c r="X438" s="350"/>
      <c r="Y438" s="350"/>
      <c r="Z438" s="351"/>
      <c r="AA438" s="412"/>
      <c r="AB438" s="350"/>
      <c r="AC438" s="350"/>
      <c r="AD438" s="350"/>
      <c r="AE438" s="350"/>
      <c r="AF438" s="350"/>
      <c r="AG438" s="350"/>
      <c r="AH438" s="350"/>
      <c r="AI438" s="350"/>
      <c r="AJ438" s="350"/>
      <c r="AK438" s="350"/>
      <c r="AL438" s="350"/>
      <c r="AM438" s="350"/>
      <c r="AN438" s="350"/>
      <c r="AO438" s="350"/>
      <c r="AP438" s="350"/>
      <c r="AQ438" s="351"/>
    </row>
    <row r="439" spans="1:43" ht="30" customHeight="1">
      <c r="A439" s="98">
        <f t="shared" si="1"/>
        <v>427</v>
      </c>
      <c r="B439" s="368" t="s">
        <v>325</v>
      </c>
      <c r="C439" s="350"/>
      <c r="D439" s="351"/>
      <c r="E439" s="736"/>
      <c r="F439" s="350"/>
      <c r="G439" s="351"/>
      <c r="H439" s="368"/>
      <c r="I439" s="350"/>
      <c r="J439" s="350"/>
      <c r="K439" s="351"/>
      <c r="L439" s="368"/>
      <c r="M439" s="350"/>
      <c r="N439" s="350"/>
      <c r="O439" s="350"/>
      <c r="P439" s="351"/>
      <c r="Q439" s="368"/>
      <c r="R439" s="350"/>
      <c r="S439" s="350"/>
      <c r="T439" s="350"/>
      <c r="U439" s="350"/>
      <c r="V439" s="350"/>
      <c r="W439" s="350"/>
      <c r="X439" s="350"/>
      <c r="Y439" s="350"/>
      <c r="Z439" s="351"/>
      <c r="AA439" s="368"/>
      <c r="AB439" s="350"/>
      <c r="AC439" s="350"/>
      <c r="AD439" s="350"/>
      <c r="AE439" s="350"/>
      <c r="AF439" s="350"/>
      <c r="AG439" s="350"/>
      <c r="AH439" s="350"/>
      <c r="AI439" s="350"/>
      <c r="AJ439" s="350"/>
      <c r="AK439" s="350"/>
      <c r="AL439" s="350"/>
      <c r="AM439" s="350"/>
      <c r="AN439" s="350"/>
      <c r="AO439" s="350"/>
      <c r="AP439" s="350"/>
      <c r="AQ439" s="351"/>
    </row>
    <row r="440" spans="1:43" ht="30" customHeight="1">
      <c r="A440" s="98">
        <f t="shared" si="1"/>
        <v>428</v>
      </c>
      <c r="B440" s="412" t="s">
        <v>325</v>
      </c>
      <c r="C440" s="350"/>
      <c r="D440" s="351"/>
      <c r="E440" s="735"/>
      <c r="F440" s="350"/>
      <c r="G440" s="351"/>
      <c r="H440" s="412"/>
      <c r="I440" s="350"/>
      <c r="J440" s="350"/>
      <c r="K440" s="351"/>
      <c r="L440" s="412"/>
      <c r="M440" s="350"/>
      <c r="N440" s="350"/>
      <c r="O440" s="350"/>
      <c r="P440" s="351"/>
      <c r="Q440" s="412"/>
      <c r="R440" s="350"/>
      <c r="S440" s="350"/>
      <c r="T440" s="350"/>
      <c r="U440" s="350"/>
      <c r="V440" s="350"/>
      <c r="W440" s="350"/>
      <c r="X440" s="350"/>
      <c r="Y440" s="350"/>
      <c r="Z440" s="351"/>
      <c r="AA440" s="412"/>
      <c r="AB440" s="350"/>
      <c r="AC440" s="350"/>
      <c r="AD440" s="350"/>
      <c r="AE440" s="350"/>
      <c r="AF440" s="350"/>
      <c r="AG440" s="350"/>
      <c r="AH440" s="350"/>
      <c r="AI440" s="350"/>
      <c r="AJ440" s="350"/>
      <c r="AK440" s="350"/>
      <c r="AL440" s="350"/>
      <c r="AM440" s="350"/>
      <c r="AN440" s="350"/>
      <c r="AO440" s="350"/>
      <c r="AP440" s="350"/>
      <c r="AQ440" s="351"/>
    </row>
    <row r="441" spans="1:43" ht="30" customHeight="1">
      <c r="A441" s="98">
        <f t="shared" si="1"/>
        <v>429</v>
      </c>
      <c r="B441" s="368" t="s">
        <v>325</v>
      </c>
      <c r="C441" s="350"/>
      <c r="D441" s="351"/>
      <c r="E441" s="736"/>
      <c r="F441" s="350"/>
      <c r="G441" s="351"/>
      <c r="H441" s="368"/>
      <c r="I441" s="350"/>
      <c r="J441" s="350"/>
      <c r="K441" s="351"/>
      <c r="L441" s="368"/>
      <c r="M441" s="350"/>
      <c r="N441" s="350"/>
      <c r="O441" s="350"/>
      <c r="P441" s="351"/>
      <c r="Q441" s="368"/>
      <c r="R441" s="350"/>
      <c r="S441" s="350"/>
      <c r="T441" s="350"/>
      <c r="U441" s="350"/>
      <c r="V441" s="350"/>
      <c r="W441" s="350"/>
      <c r="X441" s="350"/>
      <c r="Y441" s="350"/>
      <c r="Z441" s="351"/>
      <c r="AA441" s="368"/>
      <c r="AB441" s="350"/>
      <c r="AC441" s="350"/>
      <c r="AD441" s="350"/>
      <c r="AE441" s="350"/>
      <c r="AF441" s="350"/>
      <c r="AG441" s="350"/>
      <c r="AH441" s="350"/>
      <c r="AI441" s="350"/>
      <c r="AJ441" s="350"/>
      <c r="AK441" s="350"/>
      <c r="AL441" s="350"/>
      <c r="AM441" s="350"/>
      <c r="AN441" s="350"/>
      <c r="AO441" s="350"/>
      <c r="AP441" s="350"/>
      <c r="AQ441" s="351"/>
    </row>
    <row r="442" spans="1:43" ht="30" customHeight="1">
      <c r="A442" s="98">
        <f t="shared" si="1"/>
        <v>430</v>
      </c>
      <c r="B442" s="412" t="s">
        <v>325</v>
      </c>
      <c r="C442" s="350"/>
      <c r="D442" s="351"/>
      <c r="E442" s="735"/>
      <c r="F442" s="350"/>
      <c r="G442" s="351"/>
      <c r="H442" s="412"/>
      <c r="I442" s="350"/>
      <c r="J442" s="350"/>
      <c r="K442" s="351"/>
      <c r="L442" s="412"/>
      <c r="M442" s="350"/>
      <c r="N442" s="350"/>
      <c r="O442" s="350"/>
      <c r="P442" s="351"/>
      <c r="Q442" s="412"/>
      <c r="R442" s="350"/>
      <c r="S442" s="350"/>
      <c r="T442" s="350"/>
      <c r="U442" s="350"/>
      <c r="V442" s="350"/>
      <c r="W442" s="350"/>
      <c r="X442" s="350"/>
      <c r="Y442" s="350"/>
      <c r="Z442" s="351"/>
      <c r="AA442" s="412"/>
      <c r="AB442" s="350"/>
      <c r="AC442" s="350"/>
      <c r="AD442" s="350"/>
      <c r="AE442" s="350"/>
      <c r="AF442" s="350"/>
      <c r="AG442" s="350"/>
      <c r="AH442" s="350"/>
      <c r="AI442" s="350"/>
      <c r="AJ442" s="350"/>
      <c r="AK442" s="350"/>
      <c r="AL442" s="350"/>
      <c r="AM442" s="350"/>
      <c r="AN442" s="350"/>
      <c r="AO442" s="350"/>
      <c r="AP442" s="350"/>
      <c r="AQ442" s="351"/>
    </row>
    <row r="443" spans="1:43" ht="30" customHeight="1">
      <c r="A443" s="98">
        <f t="shared" si="1"/>
        <v>431</v>
      </c>
      <c r="B443" s="368" t="s">
        <v>325</v>
      </c>
      <c r="C443" s="350"/>
      <c r="D443" s="351"/>
      <c r="E443" s="736"/>
      <c r="F443" s="350"/>
      <c r="G443" s="351"/>
      <c r="H443" s="368"/>
      <c r="I443" s="350"/>
      <c r="J443" s="350"/>
      <c r="K443" s="351"/>
      <c r="L443" s="368"/>
      <c r="M443" s="350"/>
      <c r="N443" s="350"/>
      <c r="O443" s="350"/>
      <c r="P443" s="351"/>
      <c r="Q443" s="368"/>
      <c r="R443" s="350"/>
      <c r="S443" s="350"/>
      <c r="T443" s="350"/>
      <c r="U443" s="350"/>
      <c r="V443" s="350"/>
      <c r="W443" s="350"/>
      <c r="X443" s="350"/>
      <c r="Y443" s="350"/>
      <c r="Z443" s="351"/>
      <c r="AA443" s="368"/>
      <c r="AB443" s="350"/>
      <c r="AC443" s="350"/>
      <c r="AD443" s="350"/>
      <c r="AE443" s="350"/>
      <c r="AF443" s="350"/>
      <c r="AG443" s="350"/>
      <c r="AH443" s="350"/>
      <c r="AI443" s="350"/>
      <c r="AJ443" s="350"/>
      <c r="AK443" s="350"/>
      <c r="AL443" s="350"/>
      <c r="AM443" s="350"/>
      <c r="AN443" s="350"/>
      <c r="AO443" s="350"/>
      <c r="AP443" s="350"/>
      <c r="AQ443" s="351"/>
    </row>
    <row r="444" spans="1:43" ht="30" customHeight="1">
      <c r="A444" s="98">
        <f t="shared" si="1"/>
        <v>432</v>
      </c>
      <c r="B444" s="412" t="s">
        <v>325</v>
      </c>
      <c r="C444" s="350"/>
      <c r="D444" s="351"/>
      <c r="E444" s="735"/>
      <c r="F444" s="350"/>
      <c r="G444" s="351"/>
      <c r="H444" s="412"/>
      <c r="I444" s="350"/>
      <c r="J444" s="350"/>
      <c r="K444" s="351"/>
      <c r="L444" s="412"/>
      <c r="M444" s="350"/>
      <c r="N444" s="350"/>
      <c r="O444" s="350"/>
      <c r="P444" s="351"/>
      <c r="Q444" s="412"/>
      <c r="R444" s="350"/>
      <c r="S444" s="350"/>
      <c r="T444" s="350"/>
      <c r="U444" s="350"/>
      <c r="V444" s="350"/>
      <c r="W444" s="350"/>
      <c r="X444" s="350"/>
      <c r="Y444" s="350"/>
      <c r="Z444" s="351"/>
      <c r="AA444" s="412"/>
      <c r="AB444" s="350"/>
      <c r="AC444" s="350"/>
      <c r="AD444" s="350"/>
      <c r="AE444" s="350"/>
      <c r="AF444" s="350"/>
      <c r="AG444" s="350"/>
      <c r="AH444" s="350"/>
      <c r="AI444" s="350"/>
      <c r="AJ444" s="350"/>
      <c r="AK444" s="350"/>
      <c r="AL444" s="350"/>
      <c r="AM444" s="350"/>
      <c r="AN444" s="350"/>
      <c r="AO444" s="350"/>
      <c r="AP444" s="350"/>
      <c r="AQ444" s="351"/>
    </row>
    <row r="445" spans="1:43" ht="30" customHeight="1">
      <c r="A445" s="98">
        <f t="shared" si="1"/>
        <v>433</v>
      </c>
      <c r="B445" s="368" t="s">
        <v>325</v>
      </c>
      <c r="C445" s="350"/>
      <c r="D445" s="351"/>
      <c r="E445" s="736"/>
      <c r="F445" s="350"/>
      <c r="G445" s="351"/>
      <c r="H445" s="368"/>
      <c r="I445" s="350"/>
      <c r="J445" s="350"/>
      <c r="K445" s="351"/>
      <c r="L445" s="368"/>
      <c r="M445" s="350"/>
      <c r="N445" s="350"/>
      <c r="O445" s="350"/>
      <c r="P445" s="351"/>
      <c r="Q445" s="368"/>
      <c r="R445" s="350"/>
      <c r="S445" s="350"/>
      <c r="T445" s="350"/>
      <c r="U445" s="350"/>
      <c r="V445" s="350"/>
      <c r="W445" s="350"/>
      <c r="X445" s="350"/>
      <c r="Y445" s="350"/>
      <c r="Z445" s="351"/>
      <c r="AA445" s="368"/>
      <c r="AB445" s="350"/>
      <c r="AC445" s="350"/>
      <c r="AD445" s="350"/>
      <c r="AE445" s="350"/>
      <c r="AF445" s="350"/>
      <c r="AG445" s="350"/>
      <c r="AH445" s="350"/>
      <c r="AI445" s="350"/>
      <c r="AJ445" s="350"/>
      <c r="AK445" s="350"/>
      <c r="AL445" s="350"/>
      <c r="AM445" s="350"/>
      <c r="AN445" s="350"/>
      <c r="AO445" s="350"/>
      <c r="AP445" s="350"/>
      <c r="AQ445" s="351"/>
    </row>
    <row r="446" spans="1:43" ht="30" customHeight="1">
      <c r="A446" s="98">
        <f t="shared" si="1"/>
        <v>434</v>
      </c>
      <c r="B446" s="412" t="s">
        <v>325</v>
      </c>
      <c r="C446" s="350"/>
      <c r="D446" s="351"/>
      <c r="E446" s="735"/>
      <c r="F446" s="350"/>
      <c r="G446" s="351"/>
      <c r="H446" s="412"/>
      <c r="I446" s="350"/>
      <c r="J446" s="350"/>
      <c r="K446" s="351"/>
      <c r="L446" s="412"/>
      <c r="M446" s="350"/>
      <c r="N446" s="350"/>
      <c r="O446" s="350"/>
      <c r="P446" s="351"/>
      <c r="Q446" s="412"/>
      <c r="R446" s="350"/>
      <c r="S446" s="350"/>
      <c r="T446" s="350"/>
      <c r="U446" s="350"/>
      <c r="V446" s="350"/>
      <c r="W446" s="350"/>
      <c r="X446" s="350"/>
      <c r="Y446" s="350"/>
      <c r="Z446" s="351"/>
      <c r="AA446" s="412"/>
      <c r="AB446" s="350"/>
      <c r="AC446" s="350"/>
      <c r="AD446" s="350"/>
      <c r="AE446" s="350"/>
      <c r="AF446" s="350"/>
      <c r="AG446" s="350"/>
      <c r="AH446" s="350"/>
      <c r="AI446" s="350"/>
      <c r="AJ446" s="350"/>
      <c r="AK446" s="350"/>
      <c r="AL446" s="350"/>
      <c r="AM446" s="350"/>
      <c r="AN446" s="350"/>
      <c r="AO446" s="350"/>
      <c r="AP446" s="350"/>
      <c r="AQ446" s="351"/>
    </row>
    <row r="447" spans="1:43" ht="30" customHeight="1">
      <c r="A447" s="98">
        <f t="shared" si="1"/>
        <v>435</v>
      </c>
      <c r="B447" s="368" t="s">
        <v>325</v>
      </c>
      <c r="C447" s="350"/>
      <c r="D447" s="351"/>
      <c r="E447" s="736"/>
      <c r="F447" s="350"/>
      <c r="G447" s="351"/>
      <c r="H447" s="368"/>
      <c r="I447" s="350"/>
      <c r="J447" s="350"/>
      <c r="K447" s="351"/>
      <c r="L447" s="368"/>
      <c r="M447" s="350"/>
      <c r="N447" s="350"/>
      <c r="O447" s="350"/>
      <c r="P447" s="351"/>
      <c r="Q447" s="368"/>
      <c r="R447" s="350"/>
      <c r="S447" s="350"/>
      <c r="T447" s="350"/>
      <c r="U447" s="350"/>
      <c r="V447" s="350"/>
      <c r="W447" s="350"/>
      <c r="X447" s="350"/>
      <c r="Y447" s="350"/>
      <c r="Z447" s="351"/>
      <c r="AA447" s="368"/>
      <c r="AB447" s="350"/>
      <c r="AC447" s="350"/>
      <c r="AD447" s="350"/>
      <c r="AE447" s="350"/>
      <c r="AF447" s="350"/>
      <c r="AG447" s="350"/>
      <c r="AH447" s="350"/>
      <c r="AI447" s="350"/>
      <c r="AJ447" s="350"/>
      <c r="AK447" s="350"/>
      <c r="AL447" s="350"/>
      <c r="AM447" s="350"/>
      <c r="AN447" s="350"/>
      <c r="AO447" s="350"/>
      <c r="AP447" s="350"/>
      <c r="AQ447" s="351"/>
    </row>
    <row r="448" spans="1:43" ht="30" customHeight="1">
      <c r="A448" s="98">
        <f t="shared" si="1"/>
        <v>436</v>
      </c>
      <c r="B448" s="412" t="s">
        <v>325</v>
      </c>
      <c r="C448" s="350"/>
      <c r="D448" s="351"/>
      <c r="E448" s="735"/>
      <c r="F448" s="350"/>
      <c r="G448" s="351"/>
      <c r="H448" s="412"/>
      <c r="I448" s="350"/>
      <c r="J448" s="350"/>
      <c r="K448" s="351"/>
      <c r="L448" s="412"/>
      <c r="M448" s="350"/>
      <c r="N448" s="350"/>
      <c r="O448" s="350"/>
      <c r="P448" s="351"/>
      <c r="Q448" s="412"/>
      <c r="R448" s="350"/>
      <c r="S448" s="350"/>
      <c r="T448" s="350"/>
      <c r="U448" s="350"/>
      <c r="V448" s="350"/>
      <c r="W448" s="350"/>
      <c r="X448" s="350"/>
      <c r="Y448" s="350"/>
      <c r="Z448" s="351"/>
      <c r="AA448" s="412"/>
      <c r="AB448" s="350"/>
      <c r="AC448" s="350"/>
      <c r="AD448" s="350"/>
      <c r="AE448" s="350"/>
      <c r="AF448" s="350"/>
      <c r="AG448" s="350"/>
      <c r="AH448" s="350"/>
      <c r="AI448" s="350"/>
      <c r="AJ448" s="350"/>
      <c r="AK448" s="350"/>
      <c r="AL448" s="350"/>
      <c r="AM448" s="350"/>
      <c r="AN448" s="350"/>
      <c r="AO448" s="350"/>
      <c r="AP448" s="350"/>
      <c r="AQ448" s="351"/>
    </row>
    <row r="449" spans="1:43" ht="30" customHeight="1">
      <c r="A449" s="98">
        <f t="shared" si="1"/>
        <v>437</v>
      </c>
      <c r="B449" s="368" t="s">
        <v>325</v>
      </c>
      <c r="C449" s="350"/>
      <c r="D449" s="351"/>
      <c r="E449" s="736"/>
      <c r="F449" s="350"/>
      <c r="G449" s="351"/>
      <c r="H449" s="368"/>
      <c r="I449" s="350"/>
      <c r="J449" s="350"/>
      <c r="K449" s="351"/>
      <c r="L449" s="368"/>
      <c r="M449" s="350"/>
      <c r="N449" s="350"/>
      <c r="O449" s="350"/>
      <c r="P449" s="351"/>
      <c r="Q449" s="368"/>
      <c r="R449" s="350"/>
      <c r="S449" s="350"/>
      <c r="T449" s="350"/>
      <c r="U449" s="350"/>
      <c r="V449" s="350"/>
      <c r="W449" s="350"/>
      <c r="X449" s="350"/>
      <c r="Y449" s="350"/>
      <c r="Z449" s="351"/>
      <c r="AA449" s="368"/>
      <c r="AB449" s="350"/>
      <c r="AC449" s="350"/>
      <c r="AD449" s="350"/>
      <c r="AE449" s="350"/>
      <c r="AF449" s="350"/>
      <c r="AG449" s="350"/>
      <c r="AH449" s="350"/>
      <c r="AI449" s="350"/>
      <c r="AJ449" s="350"/>
      <c r="AK449" s="350"/>
      <c r="AL449" s="350"/>
      <c r="AM449" s="350"/>
      <c r="AN449" s="350"/>
      <c r="AO449" s="350"/>
      <c r="AP449" s="350"/>
      <c r="AQ449" s="351"/>
    </row>
    <row r="450" spans="1:43" ht="30" customHeight="1">
      <c r="A450" s="98">
        <f t="shared" si="1"/>
        <v>438</v>
      </c>
      <c r="B450" s="412" t="s">
        <v>325</v>
      </c>
      <c r="C450" s="350"/>
      <c r="D450" s="351"/>
      <c r="E450" s="735"/>
      <c r="F450" s="350"/>
      <c r="G450" s="351"/>
      <c r="H450" s="412"/>
      <c r="I450" s="350"/>
      <c r="J450" s="350"/>
      <c r="K450" s="351"/>
      <c r="L450" s="412"/>
      <c r="M450" s="350"/>
      <c r="N450" s="350"/>
      <c r="O450" s="350"/>
      <c r="P450" s="351"/>
      <c r="Q450" s="412"/>
      <c r="R450" s="350"/>
      <c r="S450" s="350"/>
      <c r="T450" s="350"/>
      <c r="U450" s="350"/>
      <c r="V450" s="350"/>
      <c r="W450" s="350"/>
      <c r="X450" s="350"/>
      <c r="Y450" s="350"/>
      <c r="Z450" s="351"/>
      <c r="AA450" s="412"/>
      <c r="AB450" s="350"/>
      <c r="AC450" s="350"/>
      <c r="AD450" s="350"/>
      <c r="AE450" s="350"/>
      <c r="AF450" s="350"/>
      <c r="AG450" s="350"/>
      <c r="AH450" s="350"/>
      <c r="AI450" s="350"/>
      <c r="AJ450" s="350"/>
      <c r="AK450" s="350"/>
      <c r="AL450" s="350"/>
      <c r="AM450" s="350"/>
      <c r="AN450" s="350"/>
      <c r="AO450" s="350"/>
      <c r="AP450" s="350"/>
      <c r="AQ450" s="351"/>
    </row>
    <row r="451" spans="1:43" ht="30" customHeight="1">
      <c r="A451" s="98">
        <f t="shared" si="1"/>
        <v>439</v>
      </c>
      <c r="B451" s="368" t="s">
        <v>325</v>
      </c>
      <c r="C451" s="350"/>
      <c r="D451" s="351"/>
      <c r="E451" s="736"/>
      <c r="F451" s="350"/>
      <c r="G451" s="351"/>
      <c r="H451" s="368"/>
      <c r="I451" s="350"/>
      <c r="J451" s="350"/>
      <c r="K451" s="351"/>
      <c r="L451" s="368"/>
      <c r="M451" s="350"/>
      <c r="N451" s="350"/>
      <c r="O451" s="350"/>
      <c r="P451" s="351"/>
      <c r="Q451" s="368"/>
      <c r="R451" s="350"/>
      <c r="S451" s="350"/>
      <c r="T451" s="350"/>
      <c r="U451" s="350"/>
      <c r="V451" s="350"/>
      <c r="W451" s="350"/>
      <c r="X451" s="350"/>
      <c r="Y451" s="350"/>
      <c r="Z451" s="351"/>
      <c r="AA451" s="368"/>
      <c r="AB451" s="350"/>
      <c r="AC451" s="350"/>
      <c r="AD451" s="350"/>
      <c r="AE451" s="350"/>
      <c r="AF451" s="350"/>
      <c r="AG451" s="350"/>
      <c r="AH451" s="350"/>
      <c r="AI451" s="350"/>
      <c r="AJ451" s="350"/>
      <c r="AK451" s="350"/>
      <c r="AL451" s="350"/>
      <c r="AM451" s="350"/>
      <c r="AN451" s="350"/>
      <c r="AO451" s="350"/>
      <c r="AP451" s="350"/>
      <c r="AQ451" s="351"/>
    </row>
    <row r="452" spans="1:43" ht="30" customHeight="1">
      <c r="A452" s="98">
        <f t="shared" si="1"/>
        <v>440</v>
      </c>
      <c r="B452" s="412" t="s">
        <v>325</v>
      </c>
      <c r="C452" s="350"/>
      <c r="D452" s="351"/>
      <c r="E452" s="735"/>
      <c r="F452" s="350"/>
      <c r="G452" s="351"/>
      <c r="H452" s="412"/>
      <c r="I452" s="350"/>
      <c r="J452" s="350"/>
      <c r="K452" s="351"/>
      <c r="L452" s="412"/>
      <c r="M452" s="350"/>
      <c r="N452" s="350"/>
      <c r="O452" s="350"/>
      <c r="P452" s="351"/>
      <c r="Q452" s="412"/>
      <c r="R452" s="350"/>
      <c r="S452" s="350"/>
      <c r="T452" s="350"/>
      <c r="U452" s="350"/>
      <c r="V452" s="350"/>
      <c r="W452" s="350"/>
      <c r="X452" s="350"/>
      <c r="Y452" s="350"/>
      <c r="Z452" s="351"/>
      <c r="AA452" s="412"/>
      <c r="AB452" s="350"/>
      <c r="AC452" s="350"/>
      <c r="AD452" s="350"/>
      <c r="AE452" s="350"/>
      <c r="AF452" s="350"/>
      <c r="AG452" s="350"/>
      <c r="AH452" s="350"/>
      <c r="AI452" s="350"/>
      <c r="AJ452" s="350"/>
      <c r="AK452" s="350"/>
      <c r="AL452" s="350"/>
      <c r="AM452" s="350"/>
      <c r="AN452" s="350"/>
      <c r="AO452" s="350"/>
      <c r="AP452" s="350"/>
      <c r="AQ452" s="351"/>
    </row>
    <row r="453" spans="1:43" ht="30" customHeight="1">
      <c r="A453" s="98">
        <f t="shared" si="1"/>
        <v>441</v>
      </c>
      <c r="B453" s="368" t="s">
        <v>325</v>
      </c>
      <c r="C453" s="350"/>
      <c r="D453" s="351"/>
      <c r="E453" s="736"/>
      <c r="F453" s="350"/>
      <c r="G453" s="351"/>
      <c r="H453" s="368"/>
      <c r="I453" s="350"/>
      <c r="J453" s="350"/>
      <c r="K453" s="351"/>
      <c r="L453" s="368"/>
      <c r="M453" s="350"/>
      <c r="N453" s="350"/>
      <c r="O453" s="350"/>
      <c r="P453" s="351"/>
      <c r="Q453" s="368"/>
      <c r="R453" s="350"/>
      <c r="S453" s="350"/>
      <c r="T453" s="350"/>
      <c r="U453" s="350"/>
      <c r="V453" s="350"/>
      <c r="W453" s="350"/>
      <c r="X453" s="350"/>
      <c r="Y453" s="350"/>
      <c r="Z453" s="351"/>
      <c r="AA453" s="368"/>
      <c r="AB453" s="350"/>
      <c r="AC453" s="350"/>
      <c r="AD453" s="350"/>
      <c r="AE453" s="350"/>
      <c r="AF453" s="350"/>
      <c r="AG453" s="350"/>
      <c r="AH453" s="350"/>
      <c r="AI453" s="350"/>
      <c r="AJ453" s="350"/>
      <c r="AK453" s="350"/>
      <c r="AL453" s="350"/>
      <c r="AM453" s="350"/>
      <c r="AN453" s="350"/>
      <c r="AO453" s="350"/>
      <c r="AP453" s="350"/>
      <c r="AQ453" s="351"/>
    </row>
    <row r="454" spans="1:43" ht="30" customHeight="1">
      <c r="A454" s="98">
        <f t="shared" si="1"/>
        <v>442</v>
      </c>
      <c r="B454" s="412" t="s">
        <v>325</v>
      </c>
      <c r="C454" s="350"/>
      <c r="D454" s="351"/>
      <c r="E454" s="735"/>
      <c r="F454" s="350"/>
      <c r="G454" s="351"/>
      <c r="H454" s="412"/>
      <c r="I454" s="350"/>
      <c r="J454" s="350"/>
      <c r="K454" s="351"/>
      <c r="L454" s="412"/>
      <c r="M454" s="350"/>
      <c r="N454" s="350"/>
      <c r="O454" s="350"/>
      <c r="P454" s="351"/>
      <c r="Q454" s="412"/>
      <c r="R454" s="350"/>
      <c r="S454" s="350"/>
      <c r="T454" s="350"/>
      <c r="U454" s="350"/>
      <c r="V454" s="350"/>
      <c r="W454" s="350"/>
      <c r="X454" s="350"/>
      <c r="Y454" s="350"/>
      <c r="Z454" s="351"/>
      <c r="AA454" s="412"/>
      <c r="AB454" s="350"/>
      <c r="AC454" s="350"/>
      <c r="AD454" s="350"/>
      <c r="AE454" s="350"/>
      <c r="AF454" s="350"/>
      <c r="AG454" s="350"/>
      <c r="AH454" s="350"/>
      <c r="AI454" s="350"/>
      <c r="AJ454" s="350"/>
      <c r="AK454" s="350"/>
      <c r="AL454" s="350"/>
      <c r="AM454" s="350"/>
      <c r="AN454" s="350"/>
      <c r="AO454" s="350"/>
      <c r="AP454" s="350"/>
      <c r="AQ454" s="351"/>
    </row>
    <row r="455" spans="1:43" ht="30" customHeight="1">
      <c r="A455" s="98">
        <f t="shared" si="1"/>
        <v>443</v>
      </c>
      <c r="B455" s="368" t="s">
        <v>325</v>
      </c>
      <c r="C455" s="350"/>
      <c r="D455" s="351"/>
      <c r="E455" s="736"/>
      <c r="F455" s="350"/>
      <c r="G455" s="351"/>
      <c r="H455" s="368"/>
      <c r="I455" s="350"/>
      <c r="J455" s="350"/>
      <c r="K455" s="351"/>
      <c r="L455" s="368"/>
      <c r="M455" s="350"/>
      <c r="N455" s="350"/>
      <c r="O455" s="350"/>
      <c r="P455" s="351"/>
      <c r="Q455" s="368"/>
      <c r="R455" s="350"/>
      <c r="S455" s="350"/>
      <c r="T455" s="350"/>
      <c r="U455" s="350"/>
      <c r="V455" s="350"/>
      <c r="W455" s="350"/>
      <c r="X455" s="350"/>
      <c r="Y455" s="350"/>
      <c r="Z455" s="351"/>
      <c r="AA455" s="368"/>
      <c r="AB455" s="350"/>
      <c r="AC455" s="350"/>
      <c r="AD455" s="350"/>
      <c r="AE455" s="350"/>
      <c r="AF455" s="350"/>
      <c r="AG455" s="350"/>
      <c r="AH455" s="350"/>
      <c r="AI455" s="350"/>
      <c r="AJ455" s="350"/>
      <c r="AK455" s="350"/>
      <c r="AL455" s="350"/>
      <c r="AM455" s="350"/>
      <c r="AN455" s="350"/>
      <c r="AO455" s="350"/>
      <c r="AP455" s="350"/>
      <c r="AQ455" s="351"/>
    </row>
    <row r="456" spans="1:43" ht="30" customHeight="1">
      <c r="A456" s="98">
        <f t="shared" si="1"/>
        <v>444</v>
      </c>
      <c r="B456" s="412" t="s">
        <v>325</v>
      </c>
      <c r="C456" s="350"/>
      <c r="D456" s="351"/>
      <c r="E456" s="735"/>
      <c r="F456" s="350"/>
      <c r="G456" s="351"/>
      <c r="H456" s="412"/>
      <c r="I456" s="350"/>
      <c r="J456" s="350"/>
      <c r="K456" s="351"/>
      <c r="L456" s="412"/>
      <c r="M456" s="350"/>
      <c r="N456" s="350"/>
      <c r="O456" s="350"/>
      <c r="P456" s="351"/>
      <c r="Q456" s="412"/>
      <c r="R456" s="350"/>
      <c r="S456" s="350"/>
      <c r="T456" s="350"/>
      <c r="U456" s="350"/>
      <c r="V456" s="350"/>
      <c r="W456" s="350"/>
      <c r="X456" s="350"/>
      <c r="Y456" s="350"/>
      <c r="Z456" s="351"/>
      <c r="AA456" s="412"/>
      <c r="AB456" s="350"/>
      <c r="AC456" s="350"/>
      <c r="AD456" s="350"/>
      <c r="AE456" s="350"/>
      <c r="AF456" s="350"/>
      <c r="AG456" s="350"/>
      <c r="AH456" s="350"/>
      <c r="AI456" s="350"/>
      <c r="AJ456" s="350"/>
      <c r="AK456" s="350"/>
      <c r="AL456" s="350"/>
      <c r="AM456" s="350"/>
      <c r="AN456" s="350"/>
      <c r="AO456" s="350"/>
      <c r="AP456" s="350"/>
      <c r="AQ456" s="351"/>
    </row>
    <row r="457" spans="1:43" ht="30" customHeight="1">
      <c r="A457" s="98">
        <f t="shared" si="1"/>
        <v>445</v>
      </c>
      <c r="B457" s="368" t="s">
        <v>325</v>
      </c>
      <c r="C457" s="350"/>
      <c r="D457" s="351"/>
      <c r="E457" s="736"/>
      <c r="F457" s="350"/>
      <c r="G457" s="351"/>
      <c r="H457" s="368"/>
      <c r="I457" s="350"/>
      <c r="J457" s="350"/>
      <c r="K457" s="351"/>
      <c r="L457" s="368"/>
      <c r="M457" s="350"/>
      <c r="N457" s="350"/>
      <c r="O457" s="350"/>
      <c r="P457" s="351"/>
      <c r="Q457" s="368"/>
      <c r="R457" s="350"/>
      <c r="S457" s="350"/>
      <c r="T457" s="350"/>
      <c r="U457" s="350"/>
      <c r="V457" s="350"/>
      <c r="W457" s="350"/>
      <c r="X457" s="350"/>
      <c r="Y457" s="350"/>
      <c r="Z457" s="351"/>
      <c r="AA457" s="368"/>
      <c r="AB457" s="350"/>
      <c r="AC457" s="350"/>
      <c r="AD457" s="350"/>
      <c r="AE457" s="350"/>
      <c r="AF457" s="350"/>
      <c r="AG457" s="350"/>
      <c r="AH457" s="350"/>
      <c r="AI457" s="350"/>
      <c r="AJ457" s="350"/>
      <c r="AK457" s="350"/>
      <c r="AL457" s="350"/>
      <c r="AM457" s="350"/>
      <c r="AN457" s="350"/>
      <c r="AO457" s="350"/>
      <c r="AP457" s="350"/>
      <c r="AQ457" s="351"/>
    </row>
    <row r="458" spans="1:43" ht="30" customHeight="1">
      <c r="A458" s="98">
        <f t="shared" si="1"/>
        <v>446</v>
      </c>
      <c r="B458" s="412" t="s">
        <v>325</v>
      </c>
      <c r="C458" s="350"/>
      <c r="D458" s="351"/>
      <c r="E458" s="735"/>
      <c r="F458" s="350"/>
      <c r="G458" s="351"/>
      <c r="H458" s="412"/>
      <c r="I458" s="350"/>
      <c r="J458" s="350"/>
      <c r="K458" s="351"/>
      <c r="L458" s="412"/>
      <c r="M458" s="350"/>
      <c r="N458" s="350"/>
      <c r="O458" s="350"/>
      <c r="P458" s="351"/>
      <c r="Q458" s="412"/>
      <c r="R458" s="350"/>
      <c r="S458" s="350"/>
      <c r="T458" s="350"/>
      <c r="U458" s="350"/>
      <c r="V458" s="350"/>
      <c r="W458" s="350"/>
      <c r="X458" s="350"/>
      <c r="Y458" s="350"/>
      <c r="Z458" s="351"/>
      <c r="AA458" s="412"/>
      <c r="AB458" s="350"/>
      <c r="AC458" s="350"/>
      <c r="AD458" s="350"/>
      <c r="AE458" s="350"/>
      <c r="AF458" s="350"/>
      <c r="AG458" s="350"/>
      <c r="AH458" s="350"/>
      <c r="AI458" s="350"/>
      <c r="AJ458" s="350"/>
      <c r="AK458" s="350"/>
      <c r="AL458" s="350"/>
      <c r="AM458" s="350"/>
      <c r="AN458" s="350"/>
      <c r="AO458" s="350"/>
      <c r="AP458" s="350"/>
      <c r="AQ458" s="351"/>
    </row>
    <row r="459" spans="1:43" ht="30" customHeight="1">
      <c r="A459" s="98">
        <f t="shared" si="1"/>
        <v>447</v>
      </c>
      <c r="B459" s="368" t="s">
        <v>325</v>
      </c>
      <c r="C459" s="350"/>
      <c r="D459" s="351"/>
      <c r="E459" s="736"/>
      <c r="F459" s="350"/>
      <c r="G459" s="351"/>
      <c r="H459" s="368"/>
      <c r="I459" s="350"/>
      <c r="J459" s="350"/>
      <c r="K459" s="351"/>
      <c r="L459" s="368"/>
      <c r="M459" s="350"/>
      <c r="N459" s="350"/>
      <c r="O459" s="350"/>
      <c r="P459" s="351"/>
      <c r="Q459" s="368"/>
      <c r="R459" s="350"/>
      <c r="S459" s="350"/>
      <c r="T459" s="350"/>
      <c r="U459" s="350"/>
      <c r="V459" s="350"/>
      <c r="W459" s="350"/>
      <c r="X459" s="350"/>
      <c r="Y459" s="350"/>
      <c r="Z459" s="351"/>
      <c r="AA459" s="368"/>
      <c r="AB459" s="350"/>
      <c r="AC459" s="350"/>
      <c r="AD459" s="350"/>
      <c r="AE459" s="350"/>
      <c r="AF459" s="350"/>
      <c r="AG459" s="350"/>
      <c r="AH459" s="350"/>
      <c r="AI459" s="350"/>
      <c r="AJ459" s="350"/>
      <c r="AK459" s="350"/>
      <c r="AL459" s="350"/>
      <c r="AM459" s="350"/>
      <c r="AN459" s="350"/>
      <c r="AO459" s="350"/>
      <c r="AP459" s="350"/>
      <c r="AQ459" s="351"/>
    </row>
    <row r="460" spans="1:43" ht="30" customHeight="1">
      <c r="A460" s="98">
        <f t="shared" si="1"/>
        <v>448</v>
      </c>
      <c r="B460" s="412" t="s">
        <v>325</v>
      </c>
      <c r="C460" s="350"/>
      <c r="D460" s="351"/>
      <c r="E460" s="735"/>
      <c r="F460" s="350"/>
      <c r="G460" s="351"/>
      <c r="H460" s="412"/>
      <c r="I460" s="350"/>
      <c r="J460" s="350"/>
      <c r="K460" s="351"/>
      <c r="L460" s="412"/>
      <c r="M460" s="350"/>
      <c r="N460" s="350"/>
      <c r="O460" s="350"/>
      <c r="P460" s="351"/>
      <c r="Q460" s="412"/>
      <c r="R460" s="350"/>
      <c r="S460" s="350"/>
      <c r="T460" s="350"/>
      <c r="U460" s="350"/>
      <c r="V460" s="350"/>
      <c r="W460" s="350"/>
      <c r="X460" s="350"/>
      <c r="Y460" s="350"/>
      <c r="Z460" s="351"/>
      <c r="AA460" s="412"/>
      <c r="AB460" s="350"/>
      <c r="AC460" s="350"/>
      <c r="AD460" s="350"/>
      <c r="AE460" s="350"/>
      <c r="AF460" s="350"/>
      <c r="AG460" s="350"/>
      <c r="AH460" s="350"/>
      <c r="AI460" s="350"/>
      <c r="AJ460" s="350"/>
      <c r="AK460" s="350"/>
      <c r="AL460" s="350"/>
      <c r="AM460" s="350"/>
      <c r="AN460" s="350"/>
      <c r="AO460" s="350"/>
      <c r="AP460" s="350"/>
      <c r="AQ460" s="351"/>
    </row>
    <row r="461" spans="1:43" ht="30" customHeight="1">
      <c r="A461" s="98">
        <f t="shared" si="1"/>
        <v>449</v>
      </c>
      <c r="B461" s="368" t="s">
        <v>325</v>
      </c>
      <c r="C461" s="350"/>
      <c r="D461" s="351"/>
      <c r="E461" s="736"/>
      <c r="F461" s="350"/>
      <c r="G461" s="351"/>
      <c r="H461" s="368"/>
      <c r="I461" s="350"/>
      <c r="J461" s="350"/>
      <c r="K461" s="351"/>
      <c r="L461" s="368"/>
      <c r="M461" s="350"/>
      <c r="N461" s="350"/>
      <c r="O461" s="350"/>
      <c r="P461" s="351"/>
      <c r="Q461" s="368"/>
      <c r="R461" s="350"/>
      <c r="S461" s="350"/>
      <c r="T461" s="350"/>
      <c r="U461" s="350"/>
      <c r="V461" s="350"/>
      <c r="W461" s="350"/>
      <c r="X461" s="350"/>
      <c r="Y461" s="350"/>
      <c r="Z461" s="351"/>
      <c r="AA461" s="368"/>
      <c r="AB461" s="350"/>
      <c r="AC461" s="350"/>
      <c r="AD461" s="350"/>
      <c r="AE461" s="350"/>
      <c r="AF461" s="350"/>
      <c r="AG461" s="350"/>
      <c r="AH461" s="350"/>
      <c r="AI461" s="350"/>
      <c r="AJ461" s="350"/>
      <c r="AK461" s="350"/>
      <c r="AL461" s="350"/>
      <c r="AM461" s="350"/>
      <c r="AN461" s="350"/>
      <c r="AO461" s="350"/>
      <c r="AP461" s="350"/>
      <c r="AQ461" s="351"/>
    </row>
    <row r="462" spans="1:43" ht="30" customHeight="1">
      <c r="A462" s="98">
        <f t="shared" si="1"/>
        <v>450</v>
      </c>
      <c r="B462" s="412" t="s">
        <v>325</v>
      </c>
      <c r="C462" s="350"/>
      <c r="D462" s="351"/>
      <c r="E462" s="735"/>
      <c r="F462" s="350"/>
      <c r="G462" s="351"/>
      <c r="H462" s="412"/>
      <c r="I462" s="350"/>
      <c r="J462" s="350"/>
      <c r="K462" s="351"/>
      <c r="L462" s="412"/>
      <c r="M462" s="350"/>
      <c r="N462" s="350"/>
      <c r="O462" s="350"/>
      <c r="P462" s="351"/>
      <c r="Q462" s="412"/>
      <c r="R462" s="350"/>
      <c r="S462" s="350"/>
      <c r="T462" s="350"/>
      <c r="U462" s="350"/>
      <c r="V462" s="350"/>
      <c r="W462" s="350"/>
      <c r="X462" s="350"/>
      <c r="Y462" s="350"/>
      <c r="Z462" s="351"/>
      <c r="AA462" s="412"/>
      <c r="AB462" s="350"/>
      <c r="AC462" s="350"/>
      <c r="AD462" s="350"/>
      <c r="AE462" s="350"/>
      <c r="AF462" s="350"/>
      <c r="AG462" s="350"/>
      <c r="AH462" s="350"/>
      <c r="AI462" s="350"/>
      <c r="AJ462" s="350"/>
      <c r="AK462" s="350"/>
      <c r="AL462" s="350"/>
      <c r="AM462" s="350"/>
      <c r="AN462" s="350"/>
      <c r="AO462" s="350"/>
      <c r="AP462" s="350"/>
      <c r="AQ462" s="351"/>
    </row>
    <row r="463" spans="1:43" ht="30" customHeight="1">
      <c r="A463" s="98">
        <f t="shared" si="1"/>
        <v>451</v>
      </c>
      <c r="B463" s="368" t="s">
        <v>325</v>
      </c>
      <c r="C463" s="350"/>
      <c r="D463" s="351"/>
      <c r="E463" s="736"/>
      <c r="F463" s="350"/>
      <c r="G463" s="351"/>
      <c r="H463" s="368"/>
      <c r="I463" s="350"/>
      <c r="J463" s="350"/>
      <c r="K463" s="351"/>
      <c r="L463" s="368"/>
      <c r="M463" s="350"/>
      <c r="N463" s="350"/>
      <c r="O463" s="350"/>
      <c r="P463" s="351"/>
      <c r="Q463" s="368"/>
      <c r="R463" s="350"/>
      <c r="S463" s="350"/>
      <c r="T463" s="350"/>
      <c r="U463" s="350"/>
      <c r="V463" s="350"/>
      <c r="W463" s="350"/>
      <c r="X463" s="350"/>
      <c r="Y463" s="350"/>
      <c r="Z463" s="351"/>
      <c r="AA463" s="368"/>
      <c r="AB463" s="350"/>
      <c r="AC463" s="350"/>
      <c r="AD463" s="350"/>
      <c r="AE463" s="350"/>
      <c r="AF463" s="350"/>
      <c r="AG463" s="350"/>
      <c r="AH463" s="350"/>
      <c r="AI463" s="350"/>
      <c r="AJ463" s="350"/>
      <c r="AK463" s="350"/>
      <c r="AL463" s="350"/>
      <c r="AM463" s="350"/>
      <c r="AN463" s="350"/>
      <c r="AO463" s="350"/>
      <c r="AP463" s="350"/>
      <c r="AQ463" s="351"/>
    </row>
    <row r="464" spans="1:43" ht="30" customHeight="1">
      <c r="A464" s="98">
        <f t="shared" si="1"/>
        <v>452</v>
      </c>
      <c r="B464" s="412" t="s">
        <v>325</v>
      </c>
      <c r="C464" s="350"/>
      <c r="D464" s="351"/>
      <c r="E464" s="735"/>
      <c r="F464" s="350"/>
      <c r="G464" s="351"/>
      <c r="H464" s="412"/>
      <c r="I464" s="350"/>
      <c r="J464" s="350"/>
      <c r="K464" s="351"/>
      <c r="L464" s="412"/>
      <c r="M464" s="350"/>
      <c r="N464" s="350"/>
      <c r="O464" s="350"/>
      <c r="P464" s="351"/>
      <c r="Q464" s="412"/>
      <c r="R464" s="350"/>
      <c r="S464" s="350"/>
      <c r="T464" s="350"/>
      <c r="U464" s="350"/>
      <c r="V464" s="350"/>
      <c r="W464" s="350"/>
      <c r="X464" s="350"/>
      <c r="Y464" s="350"/>
      <c r="Z464" s="351"/>
      <c r="AA464" s="412"/>
      <c r="AB464" s="350"/>
      <c r="AC464" s="350"/>
      <c r="AD464" s="350"/>
      <c r="AE464" s="350"/>
      <c r="AF464" s="350"/>
      <c r="AG464" s="350"/>
      <c r="AH464" s="350"/>
      <c r="AI464" s="350"/>
      <c r="AJ464" s="350"/>
      <c r="AK464" s="350"/>
      <c r="AL464" s="350"/>
      <c r="AM464" s="350"/>
      <c r="AN464" s="350"/>
      <c r="AO464" s="350"/>
      <c r="AP464" s="350"/>
      <c r="AQ464" s="351"/>
    </row>
    <row r="465" spans="1:43" ht="30" customHeight="1">
      <c r="A465" s="98">
        <f t="shared" si="1"/>
        <v>453</v>
      </c>
      <c r="B465" s="368" t="s">
        <v>325</v>
      </c>
      <c r="C465" s="350"/>
      <c r="D465" s="351"/>
      <c r="E465" s="736"/>
      <c r="F465" s="350"/>
      <c r="G465" s="351"/>
      <c r="H465" s="368"/>
      <c r="I465" s="350"/>
      <c r="J465" s="350"/>
      <c r="K465" s="351"/>
      <c r="L465" s="368"/>
      <c r="M465" s="350"/>
      <c r="N465" s="350"/>
      <c r="O465" s="350"/>
      <c r="P465" s="351"/>
      <c r="Q465" s="368"/>
      <c r="R465" s="350"/>
      <c r="S465" s="350"/>
      <c r="T465" s="350"/>
      <c r="U465" s="350"/>
      <c r="V465" s="350"/>
      <c r="W465" s="350"/>
      <c r="X465" s="350"/>
      <c r="Y465" s="350"/>
      <c r="Z465" s="351"/>
      <c r="AA465" s="368"/>
      <c r="AB465" s="350"/>
      <c r="AC465" s="350"/>
      <c r="AD465" s="350"/>
      <c r="AE465" s="350"/>
      <c r="AF465" s="350"/>
      <c r="AG465" s="350"/>
      <c r="AH465" s="350"/>
      <c r="AI465" s="350"/>
      <c r="AJ465" s="350"/>
      <c r="AK465" s="350"/>
      <c r="AL465" s="350"/>
      <c r="AM465" s="350"/>
      <c r="AN465" s="350"/>
      <c r="AO465" s="350"/>
      <c r="AP465" s="350"/>
      <c r="AQ465" s="351"/>
    </row>
    <row r="466" spans="1:43" ht="30" customHeight="1">
      <c r="A466" s="98">
        <f t="shared" si="1"/>
        <v>454</v>
      </c>
      <c r="B466" s="412" t="s">
        <v>325</v>
      </c>
      <c r="C466" s="350"/>
      <c r="D466" s="351"/>
      <c r="E466" s="735"/>
      <c r="F466" s="350"/>
      <c r="G466" s="351"/>
      <c r="H466" s="412"/>
      <c r="I466" s="350"/>
      <c r="J466" s="350"/>
      <c r="K466" s="351"/>
      <c r="L466" s="412"/>
      <c r="M466" s="350"/>
      <c r="N466" s="350"/>
      <c r="O466" s="350"/>
      <c r="P466" s="351"/>
      <c r="Q466" s="412"/>
      <c r="R466" s="350"/>
      <c r="S466" s="350"/>
      <c r="T466" s="350"/>
      <c r="U466" s="350"/>
      <c r="V466" s="350"/>
      <c r="W466" s="350"/>
      <c r="X466" s="350"/>
      <c r="Y466" s="350"/>
      <c r="Z466" s="351"/>
      <c r="AA466" s="412"/>
      <c r="AB466" s="350"/>
      <c r="AC466" s="350"/>
      <c r="AD466" s="350"/>
      <c r="AE466" s="350"/>
      <c r="AF466" s="350"/>
      <c r="AG466" s="350"/>
      <c r="AH466" s="350"/>
      <c r="AI466" s="350"/>
      <c r="AJ466" s="350"/>
      <c r="AK466" s="350"/>
      <c r="AL466" s="350"/>
      <c r="AM466" s="350"/>
      <c r="AN466" s="350"/>
      <c r="AO466" s="350"/>
      <c r="AP466" s="350"/>
      <c r="AQ466" s="351"/>
    </row>
    <row r="467" spans="1:43" ht="30" customHeight="1">
      <c r="A467" s="98">
        <f t="shared" si="1"/>
        <v>455</v>
      </c>
      <c r="B467" s="368" t="s">
        <v>325</v>
      </c>
      <c r="C467" s="350"/>
      <c r="D467" s="351"/>
      <c r="E467" s="736"/>
      <c r="F467" s="350"/>
      <c r="G467" s="351"/>
      <c r="H467" s="368"/>
      <c r="I467" s="350"/>
      <c r="J467" s="350"/>
      <c r="K467" s="351"/>
      <c r="L467" s="368"/>
      <c r="M467" s="350"/>
      <c r="N467" s="350"/>
      <c r="O467" s="350"/>
      <c r="P467" s="351"/>
      <c r="Q467" s="368"/>
      <c r="R467" s="350"/>
      <c r="S467" s="350"/>
      <c r="T467" s="350"/>
      <c r="U467" s="350"/>
      <c r="V467" s="350"/>
      <c r="W467" s="350"/>
      <c r="X467" s="350"/>
      <c r="Y467" s="350"/>
      <c r="Z467" s="351"/>
      <c r="AA467" s="368"/>
      <c r="AB467" s="350"/>
      <c r="AC467" s="350"/>
      <c r="AD467" s="350"/>
      <c r="AE467" s="350"/>
      <c r="AF467" s="350"/>
      <c r="AG467" s="350"/>
      <c r="AH467" s="350"/>
      <c r="AI467" s="350"/>
      <c r="AJ467" s="350"/>
      <c r="AK467" s="350"/>
      <c r="AL467" s="350"/>
      <c r="AM467" s="350"/>
      <c r="AN467" s="350"/>
      <c r="AO467" s="350"/>
      <c r="AP467" s="350"/>
      <c r="AQ467" s="351"/>
    </row>
    <row r="468" spans="1:43" ht="30" customHeight="1">
      <c r="A468" s="98">
        <f t="shared" si="1"/>
        <v>456</v>
      </c>
      <c r="B468" s="412" t="s">
        <v>325</v>
      </c>
      <c r="C468" s="350"/>
      <c r="D468" s="351"/>
      <c r="E468" s="735"/>
      <c r="F468" s="350"/>
      <c r="G468" s="351"/>
      <c r="H468" s="412"/>
      <c r="I468" s="350"/>
      <c r="J468" s="350"/>
      <c r="K468" s="351"/>
      <c r="L468" s="412"/>
      <c r="M468" s="350"/>
      <c r="N468" s="350"/>
      <c r="O468" s="350"/>
      <c r="P468" s="351"/>
      <c r="Q468" s="412"/>
      <c r="R468" s="350"/>
      <c r="S468" s="350"/>
      <c r="T468" s="350"/>
      <c r="U468" s="350"/>
      <c r="V468" s="350"/>
      <c r="W468" s="350"/>
      <c r="X468" s="350"/>
      <c r="Y468" s="350"/>
      <c r="Z468" s="351"/>
      <c r="AA468" s="412"/>
      <c r="AB468" s="350"/>
      <c r="AC468" s="350"/>
      <c r="AD468" s="350"/>
      <c r="AE468" s="350"/>
      <c r="AF468" s="350"/>
      <c r="AG468" s="350"/>
      <c r="AH468" s="350"/>
      <c r="AI468" s="350"/>
      <c r="AJ468" s="350"/>
      <c r="AK468" s="350"/>
      <c r="AL468" s="350"/>
      <c r="AM468" s="350"/>
      <c r="AN468" s="350"/>
      <c r="AO468" s="350"/>
      <c r="AP468" s="350"/>
      <c r="AQ468" s="351"/>
    </row>
    <row r="469" spans="1:43" ht="30" customHeight="1">
      <c r="A469" s="98">
        <f t="shared" si="1"/>
        <v>457</v>
      </c>
      <c r="B469" s="368" t="s">
        <v>325</v>
      </c>
      <c r="C469" s="350"/>
      <c r="D469" s="351"/>
      <c r="E469" s="736"/>
      <c r="F469" s="350"/>
      <c r="G469" s="351"/>
      <c r="H469" s="368"/>
      <c r="I469" s="350"/>
      <c r="J469" s="350"/>
      <c r="K469" s="351"/>
      <c r="L469" s="368"/>
      <c r="M469" s="350"/>
      <c r="N469" s="350"/>
      <c r="O469" s="350"/>
      <c r="P469" s="351"/>
      <c r="Q469" s="368"/>
      <c r="R469" s="350"/>
      <c r="S469" s="350"/>
      <c r="T469" s="350"/>
      <c r="U469" s="350"/>
      <c r="V469" s="350"/>
      <c r="W469" s="350"/>
      <c r="X469" s="350"/>
      <c r="Y469" s="350"/>
      <c r="Z469" s="351"/>
      <c r="AA469" s="368"/>
      <c r="AB469" s="350"/>
      <c r="AC469" s="350"/>
      <c r="AD469" s="350"/>
      <c r="AE469" s="350"/>
      <c r="AF469" s="350"/>
      <c r="AG469" s="350"/>
      <c r="AH469" s="350"/>
      <c r="AI469" s="350"/>
      <c r="AJ469" s="350"/>
      <c r="AK469" s="350"/>
      <c r="AL469" s="350"/>
      <c r="AM469" s="350"/>
      <c r="AN469" s="350"/>
      <c r="AO469" s="350"/>
      <c r="AP469" s="350"/>
      <c r="AQ469" s="351"/>
    </row>
    <row r="470" spans="1:43" ht="30" customHeight="1">
      <c r="A470" s="98">
        <f t="shared" si="1"/>
        <v>458</v>
      </c>
      <c r="B470" s="412" t="s">
        <v>325</v>
      </c>
      <c r="C470" s="350"/>
      <c r="D470" s="351"/>
      <c r="E470" s="735"/>
      <c r="F470" s="350"/>
      <c r="G470" s="351"/>
      <c r="H470" s="412"/>
      <c r="I470" s="350"/>
      <c r="J470" s="350"/>
      <c r="K470" s="351"/>
      <c r="L470" s="412"/>
      <c r="M470" s="350"/>
      <c r="N470" s="350"/>
      <c r="O470" s="350"/>
      <c r="P470" s="351"/>
      <c r="Q470" s="412"/>
      <c r="R470" s="350"/>
      <c r="S470" s="350"/>
      <c r="T470" s="350"/>
      <c r="U470" s="350"/>
      <c r="V470" s="350"/>
      <c r="W470" s="350"/>
      <c r="X470" s="350"/>
      <c r="Y470" s="350"/>
      <c r="Z470" s="351"/>
      <c r="AA470" s="412"/>
      <c r="AB470" s="350"/>
      <c r="AC470" s="350"/>
      <c r="AD470" s="350"/>
      <c r="AE470" s="350"/>
      <c r="AF470" s="350"/>
      <c r="AG470" s="350"/>
      <c r="AH470" s="350"/>
      <c r="AI470" s="350"/>
      <c r="AJ470" s="350"/>
      <c r="AK470" s="350"/>
      <c r="AL470" s="350"/>
      <c r="AM470" s="350"/>
      <c r="AN470" s="350"/>
      <c r="AO470" s="350"/>
      <c r="AP470" s="350"/>
      <c r="AQ470" s="351"/>
    </row>
    <row r="471" spans="1:43" ht="30" customHeight="1">
      <c r="A471" s="98">
        <f t="shared" si="1"/>
        <v>459</v>
      </c>
      <c r="B471" s="368" t="s">
        <v>325</v>
      </c>
      <c r="C471" s="350"/>
      <c r="D471" s="351"/>
      <c r="E471" s="736"/>
      <c r="F471" s="350"/>
      <c r="G471" s="351"/>
      <c r="H471" s="368"/>
      <c r="I471" s="350"/>
      <c r="J471" s="350"/>
      <c r="K471" s="351"/>
      <c r="L471" s="368"/>
      <c r="M471" s="350"/>
      <c r="N471" s="350"/>
      <c r="O471" s="350"/>
      <c r="P471" s="351"/>
      <c r="Q471" s="368"/>
      <c r="R471" s="350"/>
      <c r="S471" s="350"/>
      <c r="T471" s="350"/>
      <c r="U471" s="350"/>
      <c r="V471" s="350"/>
      <c r="W471" s="350"/>
      <c r="X471" s="350"/>
      <c r="Y471" s="350"/>
      <c r="Z471" s="351"/>
      <c r="AA471" s="368"/>
      <c r="AB471" s="350"/>
      <c r="AC471" s="350"/>
      <c r="AD471" s="350"/>
      <c r="AE471" s="350"/>
      <c r="AF471" s="350"/>
      <c r="AG471" s="350"/>
      <c r="AH471" s="350"/>
      <c r="AI471" s="350"/>
      <c r="AJ471" s="350"/>
      <c r="AK471" s="350"/>
      <c r="AL471" s="350"/>
      <c r="AM471" s="350"/>
      <c r="AN471" s="350"/>
      <c r="AO471" s="350"/>
      <c r="AP471" s="350"/>
      <c r="AQ471" s="351"/>
    </row>
    <row r="472" spans="1:43" ht="30" customHeight="1">
      <c r="A472" s="98">
        <f t="shared" si="1"/>
        <v>460</v>
      </c>
      <c r="B472" s="412" t="s">
        <v>325</v>
      </c>
      <c r="C472" s="350"/>
      <c r="D472" s="351"/>
      <c r="E472" s="735"/>
      <c r="F472" s="350"/>
      <c r="G472" s="351"/>
      <c r="H472" s="412"/>
      <c r="I472" s="350"/>
      <c r="J472" s="350"/>
      <c r="K472" s="351"/>
      <c r="L472" s="412"/>
      <c r="M472" s="350"/>
      <c r="N472" s="350"/>
      <c r="O472" s="350"/>
      <c r="P472" s="351"/>
      <c r="Q472" s="412"/>
      <c r="R472" s="350"/>
      <c r="S472" s="350"/>
      <c r="T472" s="350"/>
      <c r="U472" s="350"/>
      <c r="V472" s="350"/>
      <c r="W472" s="350"/>
      <c r="X472" s="350"/>
      <c r="Y472" s="350"/>
      <c r="Z472" s="351"/>
      <c r="AA472" s="412"/>
      <c r="AB472" s="350"/>
      <c r="AC472" s="350"/>
      <c r="AD472" s="350"/>
      <c r="AE472" s="350"/>
      <c r="AF472" s="350"/>
      <c r="AG472" s="350"/>
      <c r="AH472" s="350"/>
      <c r="AI472" s="350"/>
      <c r="AJ472" s="350"/>
      <c r="AK472" s="350"/>
      <c r="AL472" s="350"/>
      <c r="AM472" s="350"/>
      <c r="AN472" s="350"/>
      <c r="AO472" s="350"/>
      <c r="AP472" s="350"/>
      <c r="AQ472" s="351"/>
    </row>
    <row r="473" spans="1:43" ht="30" customHeight="1">
      <c r="A473" s="98">
        <f t="shared" si="1"/>
        <v>461</v>
      </c>
      <c r="B473" s="368" t="s">
        <v>325</v>
      </c>
      <c r="C473" s="350"/>
      <c r="D473" s="351"/>
      <c r="E473" s="736"/>
      <c r="F473" s="350"/>
      <c r="G473" s="351"/>
      <c r="H473" s="368"/>
      <c r="I473" s="350"/>
      <c r="J473" s="350"/>
      <c r="K473" s="351"/>
      <c r="L473" s="368"/>
      <c r="M473" s="350"/>
      <c r="N473" s="350"/>
      <c r="O473" s="350"/>
      <c r="P473" s="351"/>
      <c r="Q473" s="368"/>
      <c r="R473" s="350"/>
      <c r="S473" s="350"/>
      <c r="T473" s="350"/>
      <c r="U473" s="350"/>
      <c r="V473" s="350"/>
      <c r="W473" s="350"/>
      <c r="X473" s="350"/>
      <c r="Y473" s="350"/>
      <c r="Z473" s="351"/>
      <c r="AA473" s="368"/>
      <c r="AB473" s="350"/>
      <c r="AC473" s="350"/>
      <c r="AD473" s="350"/>
      <c r="AE473" s="350"/>
      <c r="AF473" s="350"/>
      <c r="AG473" s="350"/>
      <c r="AH473" s="350"/>
      <c r="AI473" s="350"/>
      <c r="AJ473" s="350"/>
      <c r="AK473" s="350"/>
      <c r="AL473" s="350"/>
      <c r="AM473" s="350"/>
      <c r="AN473" s="350"/>
      <c r="AO473" s="350"/>
      <c r="AP473" s="350"/>
      <c r="AQ473" s="351"/>
    </row>
    <row r="474" spans="1:43" ht="30" customHeight="1">
      <c r="A474" s="98">
        <f t="shared" si="1"/>
        <v>462</v>
      </c>
      <c r="B474" s="412" t="s">
        <v>325</v>
      </c>
      <c r="C474" s="350"/>
      <c r="D474" s="351"/>
      <c r="E474" s="735"/>
      <c r="F474" s="350"/>
      <c r="G474" s="351"/>
      <c r="H474" s="412"/>
      <c r="I474" s="350"/>
      <c r="J474" s="350"/>
      <c r="K474" s="351"/>
      <c r="L474" s="412"/>
      <c r="M474" s="350"/>
      <c r="N474" s="350"/>
      <c r="O474" s="350"/>
      <c r="P474" s="351"/>
      <c r="Q474" s="412"/>
      <c r="R474" s="350"/>
      <c r="S474" s="350"/>
      <c r="T474" s="350"/>
      <c r="U474" s="350"/>
      <c r="V474" s="350"/>
      <c r="W474" s="350"/>
      <c r="X474" s="350"/>
      <c r="Y474" s="350"/>
      <c r="Z474" s="351"/>
      <c r="AA474" s="412"/>
      <c r="AB474" s="350"/>
      <c r="AC474" s="350"/>
      <c r="AD474" s="350"/>
      <c r="AE474" s="350"/>
      <c r="AF474" s="350"/>
      <c r="AG474" s="350"/>
      <c r="AH474" s="350"/>
      <c r="AI474" s="350"/>
      <c r="AJ474" s="350"/>
      <c r="AK474" s="350"/>
      <c r="AL474" s="350"/>
      <c r="AM474" s="350"/>
      <c r="AN474" s="350"/>
      <c r="AO474" s="350"/>
      <c r="AP474" s="350"/>
      <c r="AQ474" s="351"/>
    </row>
    <row r="475" spans="1:43" ht="30" customHeight="1">
      <c r="A475" s="98">
        <f t="shared" si="1"/>
        <v>463</v>
      </c>
      <c r="B475" s="368" t="s">
        <v>325</v>
      </c>
      <c r="C475" s="350"/>
      <c r="D475" s="351"/>
      <c r="E475" s="736"/>
      <c r="F475" s="350"/>
      <c r="G475" s="351"/>
      <c r="H475" s="368"/>
      <c r="I475" s="350"/>
      <c r="J475" s="350"/>
      <c r="K475" s="351"/>
      <c r="L475" s="368"/>
      <c r="M475" s="350"/>
      <c r="N475" s="350"/>
      <c r="O475" s="350"/>
      <c r="P475" s="351"/>
      <c r="Q475" s="368"/>
      <c r="R475" s="350"/>
      <c r="S475" s="350"/>
      <c r="T475" s="350"/>
      <c r="U475" s="350"/>
      <c r="V475" s="350"/>
      <c r="W475" s="350"/>
      <c r="X475" s="350"/>
      <c r="Y475" s="350"/>
      <c r="Z475" s="351"/>
      <c r="AA475" s="368"/>
      <c r="AB475" s="350"/>
      <c r="AC475" s="350"/>
      <c r="AD475" s="350"/>
      <c r="AE475" s="350"/>
      <c r="AF475" s="350"/>
      <c r="AG475" s="350"/>
      <c r="AH475" s="350"/>
      <c r="AI475" s="350"/>
      <c r="AJ475" s="350"/>
      <c r="AK475" s="350"/>
      <c r="AL475" s="350"/>
      <c r="AM475" s="350"/>
      <c r="AN475" s="350"/>
      <c r="AO475" s="350"/>
      <c r="AP475" s="350"/>
      <c r="AQ475" s="351"/>
    </row>
    <row r="476" spans="1:43" ht="30" customHeight="1">
      <c r="A476" s="98">
        <f t="shared" si="1"/>
        <v>464</v>
      </c>
      <c r="B476" s="412" t="s">
        <v>325</v>
      </c>
      <c r="C476" s="350"/>
      <c r="D476" s="351"/>
      <c r="E476" s="735"/>
      <c r="F476" s="350"/>
      <c r="G476" s="351"/>
      <c r="H476" s="412"/>
      <c r="I476" s="350"/>
      <c r="J476" s="350"/>
      <c r="K476" s="351"/>
      <c r="L476" s="412"/>
      <c r="M476" s="350"/>
      <c r="N476" s="350"/>
      <c r="O476" s="350"/>
      <c r="P476" s="351"/>
      <c r="Q476" s="412"/>
      <c r="R476" s="350"/>
      <c r="S476" s="350"/>
      <c r="T476" s="350"/>
      <c r="U476" s="350"/>
      <c r="V476" s="350"/>
      <c r="W476" s="350"/>
      <c r="X476" s="350"/>
      <c r="Y476" s="350"/>
      <c r="Z476" s="351"/>
      <c r="AA476" s="412"/>
      <c r="AB476" s="350"/>
      <c r="AC476" s="350"/>
      <c r="AD476" s="350"/>
      <c r="AE476" s="350"/>
      <c r="AF476" s="350"/>
      <c r="AG476" s="350"/>
      <c r="AH476" s="350"/>
      <c r="AI476" s="350"/>
      <c r="AJ476" s="350"/>
      <c r="AK476" s="350"/>
      <c r="AL476" s="350"/>
      <c r="AM476" s="350"/>
      <c r="AN476" s="350"/>
      <c r="AO476" s="350"/>
      <c r="AP476" s="350"/>
      <c r="AQ476" s="351"/>
    </row>
    <row r="477" spans="1:43" ht="30" customHeight="1">
      <c r="A477" s="98">
        <f t="shared" si="1"/>
        <v>465</v>
      </c>
      <c r="B477" s="368" t="s">
        <v>325</v>
      </c>
      <c r="C477" s="350"/>
      <c r="D477" s="351"/>
      <c r="E477" s="736"/>
      <c r="F477" s="350"/>
      <c r="G477" s="351"/>
      <c r="H477" s="368"/>
      <c r="I477" s="350"/>
      <c r="J477" s="350"/>
      <c r="K477" s="351"/>
      <c r="L477" s="368"/>
      <c r="M477" s="350"/>
      <c r="N477" s="350"/>
      <c r="O477" s="350"/>
      <c r="P477" s="351"/>
      <c r="Q477" s="368"/>
      <c r="R477" s="350"/>
      <c r="S477" s="350"/>
      <c r="T477" s="350"/>
      <c r="U477" s="350"/>
      <c r="V477" s="350"/>
      <c r="W477" s="350"/>
      <c r="X477" s="350"/>
      <c r="Y477" s="350"/>
      <c r="Z477" s="351"/>
      <c r="AA477" s="368"/>
      <c r="AB477" s="350"/>
      <c r="AC477" s="350"/>
      <c r="AD477" s="350"/>
      <c r="AE477" s="350"/>
      <c r="AF477" s="350"/>
      <c r="AG477" s="350"/>
      <c r="AH477" s="350"/>
      <c r="AI477" s="350"/>
      <c r="AJ477" s="350"/>
      <c r="AK477" s="350"/>
      <c r="AL477" s="350"/>
      <c r="AM477" s="350"/>
      <c r="AN477" s="350"/>
      <c r="AO477" s="350"/>
      <c r="AP477" s="350"/>
      <c r="AQ477" s="351"/>
    </row>
    <row r="478" spans="1:43" ht="30" customHeight="1">
      <c r="A478" s="98">
        <f t="shared" si="1"/>
        <v>466</v>
      </c>
      <c r="B478" s="412" t="s">
        <v>325</v>
      </c>
      <c r="C478" s="350"/>
      <c r="D478" s="351"/>
      <c r="E478" s="735"/>
      <c r="F478" s="350"/>
      <c r="G478" s="351"/>
      <c r="H478" s="412"/>
      <c r="I478" s="350"/>
      <c r="J478" s="350"/>
      <c r="K478" s="351"/>
      <c r="L478" s="412"/>
      <c r="M478" s="350"/>
      <c r="N478" s="350"/>
      <c r="O478" s="350"/>
      <c r="P478" s="351"/>
      <c r="Q478" s="412"/>
      <c r="R478" s="350"/>
      <c r="S478" s="350"/>
      <c r="T478" s="350"/>
      <c r="U478" s="350"/>
      <c r="V478" s="350"/>
      <c r="W478" s="350"/>
      <c r="X478" s="350"/>
      <c r="Y478" s="350"/>
      <c r="Z478" s="351"/>
      <c r="AA478" s="412"/>
      <c r="AB478" s="350"/>
      <c r="AC478" s="350"/>
      <c r="AD478" s="350"/>
      <c r="AE478" s="350"/>
      <c r="AF478" s="350"/>
      <c r="AG478" s="350"/>
      <c r="AH478" s="350"/>
      <c r="AI478" s="350"/>
      <c r="AJ478" s="350"/>
      <c r="AK478" s="350"/>
      <c r="AL478" s="350"/>
      <c r="AM478" s="350"/>
      <c r="AN478" s="350"/>
      <c r="AO478" s="350"/>
      <c r="AP478" s="350"/>
      <c r="AQ478" s="351"/>
    </row>
    <row r="479" spans="1:43" ht="30" customHeight="1">
      <c r="A479" s="98">
        <f t="shared" si="1"/>
        <v>467</v>
      </c>
      <c r="B479" s="368" t="s">
        <v>325</v>
      </c>
      <c r="C479" s="350"/>
      <c r="D479" s="351"/>
      <c r="E479" s="736"/>
      <c r="F479" s="350"/>
      <c r="G479" s="351"/>
      <c r="H479" s="368"/>
      <c r="I479" s="350"/>
      <c r="J479" s="350"/>
      <c r="K479" s="351"/>
      <c r="L479" s="368"/>
      <c r="M479" s="350"/>
      <c r="N479" s="350"/>
      <c r="O479" s="350"/>
      <c r="P479" s="351"/>
      <c r="Q479" s="368"/>
      <c r="R479" s="350"/>
      <c r="S479" s="350"/>
      <c r="T479" s="350"/>
      <c r="U479" s="350"/>
      <c r="V479" s="350"/>
      <c r="W479" s="350"/>
      <c r="X479" s="350"/>
      <c r="Y479" s="350"/>
      <c r="Z479" s="351"/>
      <c r="AA479" s="368"/>
      <c r="AB479" s="350"/>
      <c r="AC479" s="350"/>
      <c r="AD479" s="350"/>
      <c r="AE479" s="350"/>
      <c r="AF479" s="350"/>
      <c r="AG479" s="350"/>
      <c r="AH479" s="350"/>
      <c r="AI479" s="350"/>
      <c r="AJ479" s="350"/>
      <c r="AK479" s="350"/>
      <c r="AL479" s="350"/>
      <c r="AM479" s="350"/>
      <c r="AN479" s="350"/>
      <c r="AO479" s="350"/>
      <c r="AP479" s="350"/>
      <c r="AQ479" s="351"/>
    </row>
    <row r="480" spans="1:43" ht="30" customHeight="1">
      <c r="A480" s="98">
        <f t="shared" si="1"/>
        <v>468</v>
      </c>
      <c r="B480" s="412" t="s">
        <v>325</v>
      </c>
      <c r="C480" s="350"/>
      <c r="D480" s="351"/>
      <c r="E480" s="735"/>
      <c r="F480" s="350"/>
      <c r="G480" s="351"/>
      <c r="H480" s="412"/>
      <c r="I480" s="350"/>
      <c r="J480" s="350"/>
      <c r="K480" s="351"/>
      <c r="L480" s="412"/>
      <c r="M480" s="350"/>
      <c r="N480" s="350"/>
      <c r="O480" s="350"/>
      <c r="P480" s="351"/>
      <c r="Q480" s="412"/>
      <c r="R480" s="350"/>
      <c r="S480" s="350"/>
      <c r="T480" s="350"/>
      <c r="U480" s="350"/>
      <c r="V480" s="350"/>
      <c r="W480" s="350"/>
      <c r="X480" s="350"/>
      <c r="Y480" s="350"/>
      <c r="Z480" s="351"/>
      <c r="AA480" s="412"/>
      <c r="AB480" s="350"/>
      <c r="AC480" s="350"/>
      <c r="AD480" s="350"/>
      <c r="AE480" s="350"/>
      <c r="AF480" s="350"/>
      <c r="AG480" s="350"/>
      <c r="AH480" s="350"/>
      <c r="AI480" s="350"/>
      <c r="AJ480" s="350"/>
      <c r="AK480" s="350"/>
      <c r="AL480" s="350"/>
      <c r="AM480" s="350"/>
      <c r="AN480" s="350"/>
      <c r="AO480" s="350"/>
      <c r="AP480" s="350"/>
      <c r="AQ480" s="351"/>
    </row>
    <row r="481" spans="1:43" ht="30" customHeight="1">
      <c r="A481" s="98">
        <f t="shared" si="1"/>
        <v>469</v>
      </c>
      <c r="B481" s="368" t="s">
        <v>325</v>
      </c>
      <c r="C481" s="350"/>
      <c r="D481" s="351"/>
      <c r="E481" s="736"/>
      <c r="F481" s="350"/>
      <c r="G481" s="351"/>
      <c r="H481" s="368"/>
      <c r="I481" s="350"/>
      <c r="J481" s="350"/>
      <c r="K481" s="351"/>
      <c r="L481" s="368"/>
      <c r="M481" s="350"/>
      <c r="N481" s="350"/>
      <c r="O481" s="350"/>
      <c r="P481" s="351"/>
      <c r="Q481" s="368"/>
      <c r="R481" s="350"/>
      <c r="S481" s="350"/>
      <c r="T481" s="350"/>
      <c r="U481" s="350"/>
      <c r="V481" s="350"/>
      <c r="W481" s="350"/>
      <c r="X481" s="350"/>
      <c r="Y481" s="350"/>
      <c r="Z481" s="351"/>
      <c r="AA481" s="368"/>
      <c r="AB481" s="350"/>
      <c r="AC481" s="350"/>
      <c r="AD481" s="350"/>
      <c r="AE481" s="350"/>
      <c r="AF481" s="350"/>
      <c r="AG481" s="350"/>
      <c r="AH481" s="350"/>
      <c r="AI481" s="350"/>
      <c r="AJ481" s="350"/>
      <c r="AK481" s="350"/>
      <c r="AL481" s="350"/>
      <c r="AM481" s="350"/>
      <c r="AN481" s="350"/>
      <c r="AO481" s="350"/>
      <c r="AP481" s="350"/>
      <c r="AQ481" s="351"/>
    </row>
    <row r="482" spans="1:43" ht="30" customHeight="1">
      <c r="A482" s="98">
        <f t="shared" si="1"/>
        <v>470</v>
      </c>
      <c r="B482" s="412" t="s">
        <v>325</v>
      </c>
      <c r="C482" s="350"/>
      <c r="D482" s="351"/>
      <c r="E482" s="735"/>
      <c r="F482" s="350"/>
      <c r="G482" s="351"/>
      <c r="H482" s="412"/>
      <c r="I482" s="350"/>
      <c r="J482" s="350"/>
      <c r="K482" s="351"/>
      <c r="L482" s="412"/>
      <c r="M482" s="350"/>
      <c r="N482" s="350"/>
      <c r="O482" s="350"/>
      <c r="P482" s="351"/>
      <c r="Q482" s="412"/>
      <c r="R482" s="350"/>
      <c r="S482" s="350"/>
      <c r="T482" s="350"/>
      <c r="U482" s="350"/>
      <c r="V482" s="350"/>
      <c r="W482" s="350"/>
      <c r="X482" s="350"/>
      <c r="Y482" s="350"/>
      <c r="Z482" s="351"/>
      <c r="AA482" s="412"/>
      <c r="AB482" s="350"/>
      <c r="AC482" s="350"/>
      <c r="AD482" s="350"/>
      <c r="AE482" s="350"/>
      <c r="AF482" s="350"/>
      <c r="AG482" s="350"/>
      <c r="AH482" s="350"/>
      <c r="AI482" s="350"/>
      <c r="AJ482" s="350"/>
      <c r="AK482" s="350"/>
      <c r="AL482" s="350"/>
      <c r="AM482" s="350"/>
      <c r="AN482" s="350"/>
      <c r="AO482" s="350"/>
      <c r="AP482" s="350"/>
      <c r="AQ482" s="351"/>
    </row>
    <row r="483" spans="1:43" ht="30" customHeight="1">
      <c r="A483" s="98">
        <f t="shared" si="1"/>
        <v>471</v>
      </c>
      <c r="B483" s="368" t="s">
        <v>325</v>
      </c>
      <c r="C483" s="350"/>
      <c r="D483" s="351"/>
      <c r="E483" s="736"/>
      <c r="F483" s="350"/>
      <c r="G483" s="351"/>
      <c r="H483" s="368"/>
      <c r="I483" s="350"/>
      <c r="J483" s="350"/>
      <c r="K483" s="351"/>
      <c r="L483" s="368"/>
      <c r="M483" s="350"/>
      <c r="N483" s="350"/>
      <c r="O483" s="350"/>
      <c r="P483" s="351"/>
      <c r="Q483" s="368"/>
      <c r="R483" s="350"/>
      <c r="S483" s="350"/>
      <c r="T483" s="350"/>
      <c r="U483" s="350"/>
      <c r="V483" s="350"/>
      <c r="W483" s="350"/>
      <c r="X483" s="350"/>
      <c r="Y483" s="350"/>
      <c r="Z483" s="351"/>
      <c r="AA483" s="368"/>
      <c r="AB483" s="350"/>
      <c r="AC483" s="350"/>
      <c r="AD483" s="350"/>
      <c r="AE483" s="350"/>
      <c r="AF483" s="350"/>
      <c r="AG483" s="350"/>
      <c r="AH483" s="350"/>
      <c r="AI483" s="350"/>
      <c r="AJ483" s="350"/>
      <c r="AK483" s="350"/>
      <c r="AL483" s="350"/>
      <c r="AM483" s="350"/>
      <c r="AN483" s="350"/>
      <c r="AO483" s="350"/>
      <c r="AP483" s="350"/>
      <c r="AQ483" s="351"/>
    </row>
    <row r="484" spans="1:43" ht="30" customHeight="1">
      <c r="A484" s="98">
        <f t="shared" si="1"/>
        <v>472</v>
      </c>
      <c r="B484" s="412" t="s">
        <v>325</v>
      </c>
      <c r="C484" s="350"/>
      <c r="D484" s="351"/>
      <c r="E484" s="735"/>
      <c r="F484" s="350"/>
      <c r="G484" s="351"/>
      <c r="H484" s="412"/>
      <c r="I484" s="350"/>
      <c r="J484" s="350"/>
      <c r="K484" s="351"/>
      <c r="L484" s="412"/>
      <c r="M484" s="350"/>
      <c r="N484" s="350"/>
      <c r="O484" s="350"/>
      <c r="P484" s="351"/>
      <c r="Q484" s="412"/>
      <c r="R484" s="350"/>
      <c r="S484" s="350"/>
      <c r="T484" s="350"/>
      <c r="U484" s="350"/>
      <c r="V484" s="350"/>
      <c r="W484" s="350"/>
      <c r="X484" s="350"/>
      <c r="Y484" s="350"/>
      <c r="Z484" s="351"/>
      <c r="AA484" s="412"/>
      <c r="AB484" s="350"/>
      <c r="AC484" s="350"/>
      <c r="AD484" s="350"/>
      <c r="AE484" s="350"/>
      <c r="AF484" s="350"/>
      <c r="AG484" s="350"/>
      <c r="AH484" s="350"/>
      <c r="AI484" s="350"/>
      <c r="AJ484" s="350"/>
      <c r="AK484" s="350"/>
      <c r="AL484" s="350"/>
      <c r="AM484" s="350"/>
      <c r="AN484" s="350"/>
      <c r="AO484" s="350"/>
      <c r="AP484" s="350"/>
      <c r="AQ484" s="351"/>
    </row>
    <row r="485" spans="1:43" ht="30" customHeight="1">
      <c r="A485" s="98">
        <f t="shared" si="1"/>
        <v>473</v>
      </c>
      <c r="B485" s="368" t="s">
        <v>325</v>
      </c>
      <c r="C485" s="350"/>
      <c r="D485" s="351"/>
      <c r="E485" s="736"/>
      <c r="F485" s="350"/>
      <c r="G485" s="351"/>
      <c r="H485" s="368"/>
      <c r="I485" s="350"/>
      <c r="J485" s="350"/>
      <c r="K485" s="351"/>
      <c r="L485" s="368"/>
      <c r="M485" s="350"/>
      <c r="N485" s="350"/>
      <c r="O485" s="350"/>
      <c r="P485" s="351"/>
      <c r="Q485" s="368"/>
      <c r="R485" s="350"/>
      <c r="S485" s="350"/>
      <c r="T485" s="350"/>
      <c r="U485" s="350"/>
      <c r="V485" s="350"/>
      <c r="W485" s="350"/>
      <c r="X485" s="350"/>
      <c r="Y485" s="350"/>
      <c r="Z485" s="351"/>
      <c r="AA485" s="368"/>
      <c r="AB485" s="350"/>
      <c r="AC485" s="350"/>
      <c r="AD485" s="350"/>
      <c r="AE485" s="350"/>
      <c r="AF485" s="350"/>
      <c r="AG485" s="350"/>
      <c r="AH485" s="350"/>
      <c r="AI485" s="350"/>
      <c r="AJ485" s="350"/>
      <c r="AK485" s="350"/>
      <c r="AL485" s="350"/>
      <c r="AM485" s="350"/>
      <c r="AN485" s="350"/>
      <c r="AO485" s="350"/>
      <c r="AP485" s="350"/>
      <c r="AQ485" s="351"/>
    </row>
    <row r="486" spans="1:43" ht="30" customHeight="1">
      <c r="A486" s="98">
        <f t="shared" si="1"/>
        <v>474</v>
      </c>
      <c r="B486" s="412" t="s">
        <v>325</v>
      </c>
      <c r="C486" s="350"/>
      <c r="D486" s="351"/>
      <c r="E486" s="735"/>
      <c r="F486" s="350"/>
      <c r="G486" s="351"/>
      <c r="H486" s="412"/>
      <c r="I486" s="350"/>
      <c r="J486" s="350"/>
      <c r="K486" s="351"/>
      <c r="L486" s="412"/>
      <c r="M486" s="350"/>
      <c r="N486" s="350"/>
      <c r="O486" s="350"/>
      <c r="P486" s="351"/>
      <c r="Q486" s="412"/>
      <c r="R486" s="350"/>
      <c r="S486" s="350"/>
      <c r="T486" s="350"/>
      <c r="U486" s="350"/>
      <c r="V486" s="350"/>
      <c r="W486" s="350"/>
      <c r="X486" s="350"/>
      <c r="Y486" s="350"/>
      <c r="Z486" s="351"/>
      <c r="AA486" s="412"/>
      <c r="AB486" s="350"/>
      <c r="AC486" s="350"/>
      <c r="AD486" s="350"/>
      <c r="AE486" s="350"/>
      <c r="AF486" s="350"/>
      <c r="AG486" s="350"/>
      <c r="AH486" s="350"/>
      <c r="AI486" s="350"/>
      <c r="AJ486" s="350"/>
      <c r="AK486" s="350"/>
      <c r="AL486" s="350"/>
      <c r="AM486" s="350"/>
      <c r="AN486" s="350"/>
      <c r="AO486" s="350"/>
      <c r="AP486" s="350"/>
      <c r="AQ486" s="351"/>
    </row>
    <row r="487" spans="1:43" ht="30" customHeight="1">
      <c r="A487" s="98">
        <f t="shared" si="1"/>
        <v>475</v>
      </c>
      <c r="B487" s="368" t="s">
        <v>325</v>
      </c>
      <c r="C487" s="350"/>
      <c r="D487" s="351"/>
      <c r="E487" s="736"/>
      <c r="F487" s="350"/>
      <c r="G487" s="351"/>
      <c r="H487" s="368"/>
      <c r="I487" s="350"/>
      <c r="J487" s="350"/>
      <c r="K487" s="351"/>
      <c r="L487" s="368"/>
      <c r="M487" s="350"/>
      <c r="N487" s="350"/>
      <c r="O487" s="350"/>
      <c r="P487" s="351"/>
      <c r="Q487" s="368"/>
      <c r="R487" s="350"/>
      <c r="S487" s="350"/>
      <c r="T487" s="350"/>
      <c r="U487" s="350"/>
      <c r="V487" s="350"/>
      <c r="W487" s="350"/>
      <c r="X487" s="350"/>
      <c r="Y487" s="350"/>
      <c r="Z487" s="351"/>
      <c r="AA487" s="368"/>
      <c r="AB487" s="350"/>
      <c r="AC487" s="350"/>
      <c r="AD487" s="350"/>
      <c r="AE487" s="350"/>
      <c r="AF487" s="350"/>
      <c r="AG487" s="350"/>
      <c r="AH487" s="350"/>
      <c r="AI487" s="350"/>
      <c r="AJ487" s="350"/>
      <c r="AK487" s="350"/>
      <c r="AL487" s="350"/>
      <c r="AM487" s="350"/>
      <c r="AN487" s="350"/>
      <c r="AO487" s="350"/>
      <c r="AP487" s="350"/>
      <c r="AQ487" s="351"/>
    </row>
    <row r="488" spans="1:43" ht="30" customHeight="1">
      <c r="A488" s="98">
        <f t="shared" si="1"/>
        <v>476</v>
      </c>
      <c r="B488" s="412" t="s">
        <v>325</v>
      </c>
      <c r="C488" s="350"/>
      <c r="D488" s="351"/>
      <c r="E488" s="735"/>
      <c r="F488" s="350"/>
      <c r="G488" s="351"/>
      <c r="H488" s="412"/>
      <c r="I488" s="350"/>
      <c r="J488" s="350"/>
      <c r="K488" s="351"/>
      <c r="L488" s="412"/>
      <c r="M488" s="350"/>
      <c r="N488" s="350"/>
      <c r="O488" s="350"/>
      <c r="P488" s="351"/>
      <c r="Q488" s="412"/>
      <c r="R488" s="350"/>
      <c r="S488" s="350"/>
      <c r="T488" s="350"/>
      <c r="U488" s="350"/>
      <c r="V488" s="350"/>
      <c r="W488" s="350"/>
      <c r="X488" s="350"/>
      <c r="Y488" s="350"/>
      <c r="Z488" s="351"/>
      <c r="AA488" s="412"/>
      <c r="AB488" s="350"/>
      <c r="AC488" s="350"/>
      <c r="AD488" s="350"/>
      <c r="AE488" s="350"/>
      <c r="AF488" s="350"/>
      <c r="AG488" s="350"/>
      <c r="AH488" s="350"/>
      <c r="AI488" s="350"/>
      <c r="AJ488" s="350"/>
      <c r="AK488" s="350"/>
      <c r="AL488" s="350"/>
      <c r="AM488" s="350"/>
      <c r="AN488" s="350"/>
      <c r="AO488" s="350"/>
      <c r="AP488" s="350"/>
      <c r="AQ488" s="351"/>
    </row>
    <row r="489" spans="1:43" ht="30" customHeight="1">
      <c r="A489" s="98">
        <f t="shared" si="1"/>
        <v>477</v>
      </c>
      <c r="B489" s="368" t="s">
        <v>325</v>
      </c>
      <c r="C489" s="350"/>
      <c r="D489" s="351"/>
      <c r="E489" s="736"/>
      <c r="F489" s="350"/>
      <c r="G489" s="351"/>
      <c r="H489" s="368"/>
      <c r="I489" s="350"/>
      <c r="J489" s="350"/>
      <c r="K489" s="351"/>
      <c r="L489" s="368"/>
      <c r="M489" s="350"/>
      <c r="N489" s="350"/>
      <c r="O489" s="350"/>
      <c r="P489" s="351"/>
      <c r="Q489" s="368"/>
      <c r="R489" s="350"/>
      <c r="S489" s="350"/>
      <c r="T489" s="350"/>
      <c r="U489" s="350"/>
      <c r="V489" s="350"/>
      <c r="W489" s="350"/>
      <c r="X489" s="350"/>
      <c r="Y489" s="350"/>
      <c r="Z489" s="351"/>
      <c r="AA489" s="368"/>
      <c r="AB489" s="350"/>
      <c r="AC489" s="350"/>
      <c r="AD489" s="350"/>
      <c r="AE489" s="350"/>
      <c r="AF489" s="350"/>
      <c r="AG489" s="350"/>
      <c r="AH489" s="350"/>
      <c r="AI489" s="350"/>
      <c r="AJ489" s="350"/>
      <c r="AK489" s="350"/>
      <c r="AL489" s="350"/>
      <c r="AM489" s="350"/>
      <c r="AN489" s="350"/>
      <c r="AO489" s="350"/>
      <c r="AP489" s="350"/>
      <c r="AQ489" s="351"/>
    </row>
    <row r="490" spans="1:43" ht="30" customHeight="1">
      <c r="A490" s="98">
        <f t="shared" si="1"/>
        <v>478</v>
      </c>
      <c r="B490" s="412" t="s">
        <v>325</v>
      </c>
      <c r="C490" s="350"/>
      <c r="D490" s="351"/>
      <c r="E490" s="735"/>
      <c r="F490" s="350"/>
      <c r="G490" s="351"/>
      <c r="H490" s="412"/>
      <c r="I490" s="350"/>
      <c r="J490" s="350"/>
      <c r="K490" s="351"/>
      <c r="L490" s="412"/>
      <c r="M490" s="350"/>
      <c r="N490" s="350"/>
      <c r="O490" s="350"/>
      <c r="P490" s="351"/>
      <c r="Q490" s="412"/>
      <c r="R490" s="350"/>
      <c r="S490" s="350"/>
      <c r="T490" s="350"/>
      <c r="U490" s="350"/>
      <c r="V490" s="350"/>
      <c r="W490" s="350"/>
      <c r="X490" s="350"/>
      <c r="Y490" s="350"/>
      <c r="Z490" s="351"/>
      <c r="AA490" s="412"/>
      <c r="AB490" s="350"/>
      <c r="AC490" s="350"/>
      <c r="AD490" s="350"/>
      <c r="AE490" s="350"/>
      <c r="AF490" s="350"/>
      <c r="AG490" s="350"/>
      <c r="AH490" s="350"/>
      <c r="AI490" s="350"/>
      <c r="AJ490" s="350"/>
      <c r="AK490" s="350"/>
      <c r="AL490" s="350"/>
      <c r="AM490" s="350"/>
      <c r="AN490" s="350"/>
      <c r="AO490" s="350"/>
      <c r="AP490" s="350"/>
      <c r="AQ490" s="351"/>
    </row>
    <row r="491" spans="1:43" ht="30" customHeight="1">
      <c r="A491" s="98">
        <f t="shared" si="1"/>
        <v>479</v>
      </c>
      <c r="B491" s="368" t="s">
        <v>325</v>
      </c>
      <c r="C491" s="350"/>
      <c r="D491" s="351"/>
      <c r="E491" s="736"/>
      <c r="F491" s="350"/>
      <c r="G491" s="351"/>
      <c r="H491" s="368"/>
      <c r="I491" s="350"/>
      <c r="J491" s="350"/>
      <c r="K491" s="351"/>
      <c r="L491" s="368"/>
      <c r="M491" s="350"/>
      <c r="N491" s="350"/>
      <c r="O491" s="350"/>
      <c r="P491" s="351"/>
      <c r="Q491" s="368"/>
      <c r="R491" s="350"/>
      <c r="S491" s="350"/>
      <c r="T491" s="350"/>
      <c r="U491" s="350"/>
      <c r="V491" s="350"/>
      <c r="W491" s="350"/>
      <c r="X491" s="350"/>
      <c r="Y491" s="350"/>
      <c r="Z491" s="351"/>
      <c r="AA491" s="368"/>
      <c r="AB491" s="350"/>
      <c r="AC491" s="350"/>
      <c r="AD491" s="350"/>
      <c r="AE491" s="350"/>
      <c r="AF491" s="350"/>
      <c r="AG491" s="350"/>
      <c r="AH491" s="350"/>
      <c r="AI491" s="350"/>
      <c r="AJ491" s="350"/>
      <c r="AK491" s="350"/>
      <c r="AL491" s="350"/>
      <c r="AM491" s="350"/>
      <c r="AN491" s="350"/>
      <c r="AO491" s="350"/>
      <c r="AP491" s="350"/>
      <c r="AQ491" s="351"/>
    </row>
    <row r="492" spans="1:43" ht="30" customHeight="1">
      <c r="A492" s="98">
        <f t="shared" si="1"/>
        <v>480</v>
      </c>
      <c r="B492" s="412" t="s">
        <v>325</v>
      </c>
      <c r="C492" s="350"/>
      <c r="D492" s="351"/>
      <c r="E492" s="735"/>
      <c r="F492" s="350"/>
      <c r="G492" s="351"/>
      <c r="H492" s="412"/>
      <c r="I492" s="350"/>
      <c r="J492" s="350"/>
      <c r="K492" s="351"/>
      <c r="L492" s="412"/>
      <c r="M492" s="350"/>
      <c r="N492" s="350"/>
      <c r="O492" s="350"/>
      <c r="P492" s="351"/>
      <c r="Q492" s="412"/>
      <c r="R492" s="350"/>
      <c r="S492" s="350"/>
      <c r="T492" s="350"/>
      <c r="U492" s="350"/>
      <c r="V492" s="350"/>
      <c r="W492" s="350"/>
      <c r="X492" s="350"/>
      <c r="Y492" s="350"/>
      <c r="Z492" s="351"/>
      <c r="AA492" s="412"/>
      <c r="AB492" s="350"/>
      <c r="AC492" s="350"/>
      <c r="AD492" s="350"/>
      <c r="AE492" s="350"/>
      <c r="AF492" s="350"/>
      <c r="AG492" s="350"/>
      <c r="AH492" s="350"/>
      <c r="AI492" s="350"/>
      <c r="AJ492" s="350"/>
      <c r="AK492" s="350"/>
      <c r="AL492" s="350"/>
      <c r="AM492" s="350"/>
      <c r="AN492" s="350"/>
      <c r="AO492" s="350"/>
      <c r="AP492" s="350"/>
      <c r="AQ492" s="351"/>
    </row>
    <row r="493" spans="1:43" ht="30" customHeight="1">
      <c r="A493" s="98">
        <f t="shared" si="1"/>
        <v>481</v>
      </c>
      <c r="B493" s="368" t="s">
        <v>325</v>
      </c>
      <c r="C493" s="350"/>
      <c r="D493" s="351"/>
      <c r="E493" s="736"/>
      <c r="F493" s="350"/>
      <c r="G493" s="351"/>
      <c r="H493" s="368"/>
      <c r="I493" s="350"/>
      <c r="J493" s="350"/>
      <c r="K493" s="351"/>
      <c r="L493" s="368"/>
      <c r="M493" s="350"/>
      <c r="N493" s="350"/>
      <c r="O493" s="350"/>
      <c r="P493" s="351"/>
      <c r="Q493" s="368"/>
      <c r="R493" s="350"/>
      <c r="S493" s="350"/>
      <c r="T493" s="350"/>
      <c r="U493" s="350"/>
      <c r="V493" s="350"/>
      <c r="W493" s="350"/>
      <c r="X493" s="350"/>
      <c r="Y493" s="350"/>
      <c r="Z493" s="351"/>
      <c r="AA493" s="368"/>
      <c r="AB493" s="350"/>
      <c r="AC493" s="350"/>
      <c r="AD493" s="350"/>
      <c r="AE493" s="350"/>
      <c r="AF493" s="350"/>
      <c r="AG493" s="350"/>
      <c r="AH493" s="350"/>
      <c r="AI493" s="350"/>
      <c r="AJ493" s="350"/>
      <c r="AK493" s="350"/>
      <c r="AL493" s="350"/>
      <c r="AM493" s="350"/>
      <c r="AN493" s="350"/>
      <c r="AO493" s="350"/>
      <c r="AP493" s="350"/>
      <c r="AQ493" s="351"/>
    </row>
    <row r="494" spans="1:43" ht="30" customHeight="1">
      <c r="A494" s="98">
        <f t="shared" si="1"/>
        <v>482</v>
      </c>
      <c r="B494" s="412" t="s">
        <v>325</v>
      </c>
      <c r="C494" s="350"/>
      <c r="D494" s="351"/>
      <c r="E494" s="735"/>
      <c r="F494" s="350"/>
      <c r="G494" s="351"/>
      <c r="H494" s="412"/>
      <c r="I494" s="350"/>
      <c r="J494" s="350"/>
      <c r="K494" s="351"/>
      <c r="L494" s="412"/>
      <c r="M494" s="350"/>
      <c r="N494" s="350"/>
      <c r="O494" s="350"/>
      <c r="P494" s="351"/>
      <c r="Q494" s="412"/>
      <c r="R494" s="350"/>
      <c r="S494" s="350"/>
      <c r="T494" s="350"/>
      <c r="U494" s="350"/>
      <c r="V494" s="350"/>
      <c r="W494" s="350"/>
      <c r="X494" s="350"/>
      <c r="Y494" s="350"/>
      <c r="Z494" s="351"/>
      <c r="AA494" s="412"/>
      <c r="AB494" s="350"/>
      <c r="AC494" s="350"/>
      <c r="AD494" s="350"/>
      <c r="AE494" s="350"/>
      <c r="AF494" s="350"/>
      <c r="AG494" s="350"/>
      <c r="AH494" s="350"/>
      <c r="AI494" s="350"/>
      <c r="AJ494" s="350"/>
      <c r="AK494" s="350"/>
      <c r="AL494" s="350"/>
      <c r="AM494" s="350"/>
      <c r="AN494" s="350"/>
      <c r="AO494" s="350"/>
      <c r="AP494" s="350"/>
      <c r="AQ494" s="351"/>
    </row>
    <row r="495" spans="1:43" ht="30" customHeight="1">
      <c r="A495" s="98">
        <f t="shared" si="1"/>
        <v>483</v>
      </c>
      <c r="B495" s="368" t="s">
        <v>325</v>
      </c>
      <c r="C495" s="350"/>
      <c r="D495" s="351"/>
      <c r="E495" s="736"/>
      <c r="F495" s="350"/>
      <c r="G495" s="351"/>
      <c r="H495" s="368"/>
      <c r="I495" s="350"/>
      <c r="J495" s="350"/>
      <c r="K495" s="351"/>
      <c r="L495" s="368"/>
      <c r="M495" s="350"/>
      <c r="N495" s="350"/>
      <c r="O495" s="350"/>
      <c r="P495" s="351"/>
      <c r="Q495" s="368"/>
      <c r="R495" s="350"/>
      <c r="S495" s="350"/>
      <c r="T495" s="350"/>
      <c r="U495" s="350"/>
      <c r="V495" s="350"/>
      <c r="W495" s="350"/>
      <c r="X495" s="350"/>
      <c r="Y495" s="350"/>
      <c r="Z495" s="351"/>
      <c r="AA495" s="368"/>
      <c r="AB495" s="350"/>
      <c r="AC495" s="350"/>
      <c r="AD495" s="350"/>
      <c r="AE495" s="350"/>
      <c r="AF495" s="350"/>
      <c r="AG495" s="350"/>
      <c r="AH495" s="350"/>
      <c r="AI495" s="350"/>
      <c r="AJ495" s="350"/>
      <c r="AK495" s="350"/>
      <c r="AL495" s="350"/>
      <c r="AM495" s="350"/>
      <c r="AN495" s="350"/>
      <c r="AO495" s="350"/>
      <c r="AP495" s="350"/>
      <c r="AQ495" s="351"/>
    </row>
    <row r="496" spans="1:43" ht="30" customHeight="1">
      <c r="A496" s="98">
        <f t="shared" si="1"/>
        <v>484</v>
      </c>
      <c r="B496" s="412" t="s">
        <v>325</v>
      </c>
      <c r="C496" s="350"/>
      <c r="D496" s="351"/>
      <c r="E496" s="735"/>
      <c r="F496" s="350"/>
      <c r="G496" s="351"/>
      <c r="H496" s="412"/>
      <c r="I496" s="350"/>
      <c r="J496" s="350"/>
      <c r="K496" s="351"/>
      <c r="L496" s="412"/>
      <c r="M496" s="350"/>
      <c r="N496" s="350"/>
      <c r="O496" s="350"/>
      <c r="P496" s="351"/>
      <c r="Q496" s="412"/>
      <c r="R496" s="350"/>
      <c r="S496" s="350"/>
      <c r="T496" s="350"/>
      <c r="U496" s="350"/>
      <c r="V496" s="350"/>
      <c r="W496" s="350"/>
      <c r="X496" s="350"/>
      <c r="Y496" s="350"/>
      <c r="Z496" s="351"/>
      <c r="AA496" s="412"/>
      <c r="AB496" s="350"/>
      <c r="AC496" s="350"/>
      <c r="AD496" s="350"/>
      <c r="AE496" s="350"/>
      <c r="AF496" s="350"/>
      <c r="AG496" s="350"/>
      <c r="AH496" s="350"/>
      <c r="AI496" s="350"/>
      <c r="AJ496" s="350"/>
      <c r="AK496" s="350"/>
      <c r="AL496" s="350"/>
      <c r="AM496" s="350"/>
      <c r="AN496" s="350"/>
      <c r="AO496" s="350"/>
      <c r="AP496" s="350"/>
      <c r="AQ496" s="351"/>
    </row>
    <row r="497" spans="1:43" ht="30" customHeight="1">
      <c r="A497" s="98">
        <f t="shared" si="1"/>
        <v>485</v>
      </c>
      <c r="B497" s="368" t="s">
        <v>325</v>
      </c>
      <c r="C497" s="350"/>
      <c r="D497" s="351"/>
      <c r="E497" s="736"/>
      <c r="F497" s="350"/>
      <c r="G497" s="351"/>
      <c r="H497" s="368"/>
      <c r="I497" s="350"/>
      <c r="J497" s="350"/>
      <c r="K497" s="351"/>
      <c r="L497" s="368"/>
      <c r="M497" s="350"/>
      <c r="N497" s="350"/>
      <c r="O497" s="350"/>
      <c r="P497" s="351"/>
      <c r="Q497" s="368"/>
      <c r="R497" s="350"/>
      <c r="S497" s="350"/>
      <c r="T497" s="350"/>
      <c r="U497" s="350"/>
      <c r="V497" s="350"/>
      <c r="W497" s="350"/>
      <c r="X497" s="350"/>
      <c r="Y497" s="350"/>
      <c r="Z497" s="351"/>
      <c r="AA497" s="368"/>
      <c r="AB497" s="350"/>
      <c r="AC497" s="350"/>
      <c r="AD497" s="350"/>
      <c r="AE497" s="350"/>
      <c r="AF497" s="350"/>
      <c r="AG497" s="350"/>
      <c r="AH497" s="350"/>
      <c r="AI497" s="350"/>
      <c r="AJ497" s="350"/>
      <c r="AK497" s="350"/>
      <c r="AL497" s="350"/>
      <c r="AM497" s="350"/>
      <c r="AN497" s="350"/>
      <c r="AO497" s="350"/>
      <c r="AP497" s="350"/>
      <c r="AQ497" s="351"/>
    </row>
    <row r="498" spans="1:43" ht="30" customHeight="1">
      <c r="A498" s="98">
        <f t="shared" si="1"/>
        <v>486</v>
      </c>
      <c r="B498" s="412" t="s">
        <v>325</v>
      </c>
      <c r="C498" s="350"/>
      <c r="D498" s="351"/>
      <c r="E498" s="735"/>
      <c r="F498" s="350"/>
      <c r="G498" s="351"/>
      <c r="H498" s="412"/>
      <c r="I498" s="350"/>
      <c r="J498" s="350"/>
      <c r="K498" s="351"/>
      <c r="L498" s="412"/>
      <c r="M498" s="350"/>
      <c r="N498" s="350"/>
      <c r="O498" s="350"/>
      <c r="P498" s="351"/>
      <c r="Q498" s="412"/>
      <c r="R498" s="350"/>
      <c r="S498" s="350"/>
      <c r="T498" s="350"/>
      <c r="U498" s="350"/>
      <c r="V498" s="350"/>
      <c r="W498" s="350"/>
      <c r="X498" s="350"/>
      <c r="Y498" s="350"/>
      <c r="Z498" s="351"/>
      <c r="AA498" s="412"/>
      <c r="AB498" s="350"/>
      <c r="AC498" s="350"/>
      <c r="AD498" s="350"/>
      <c r="AE498" s="350"/>
      <c r="AF498" s="350"/>
      <c r="AG498" s="350"/>
      <c r="AH498" s="350"/>
      <c r="AI498" s="350"/>
      <c r="AJ498" s="350"/>
      <c r="AK498" s="350"/>
      <c r="AL498" s="350"/>
      <c r="AM498" s="350"/>
      <c r="AN498" s="350"/>
      <c r="AO498" s="350"/>
      <c r="AP498" s="350"/>
      <c r="AQ498" s="351"/>
    </row>
    <row r="499" spans="1:43" ht="30" customHeight="1">
      <c r="A499" s="98">
        <f t="shared" si="1"/>
        <v>487</v>
      </c>
      <c r="B499" s="368" t="s">
        <v>325</v>
      </c>
      <c r="C499" s="350"/>
      <c r="D499" s="351"/>
      <c r="E499" s="736"/>
      <c r="F499" s="350"/>
      <c r="G499" s="351"/>
      <c r="H499" s="368"/>
      <c r="I499" s="350"/>
      <c r="J499" s="350"/>
      <c r="K499" s="351"/>
      <c r="L499" s="368"/>
      <c r="M499" s="350"/>
      <c r="N499" s="350"/>
      <c r="O499" s="350"/>
      <c r="P499" s="351"/>
      <c r="Q499" s="368"/>
      <c r="R499" s="350"/>
      <c r="S499" s="350"/>
      <c r="T499" s="350"/>
      <c r="U499" s="350"/>
      <c r="V499" s="350"/>
      <c r="W499" s="350"/>
      <c r="X499" s="350"/>
      <c r="Y499" s="350"/>
      <c r="Z499" s="351"/>
      <c r="AA499" s="368"/>
      <c r="AB499" s="350"/>
      <c r="AC499" s="350"/>
      <c r="AD499" s="350"/>
      <c r="AE499" s="350"/>
      <c r="AF499" s="350"/>
      <c r="AG499" s="350"/>
      <c r="AH499" s="350"/>
      <c r="AI499" s="350"/>
      <c r="AJ499" s="350"/>
      <c r="AK499" s="350"/>
      <c r="AL499" s="350"/>
      <c r="AM499" s="350"/>
      <c r="AN499" s="350"/>
      <c r="AO499" s="350"/>
      <c r="AP499" s="350"/>
      <c r="AQ499" s="351"/>
    </row>
    <row r="500" spans="1:43" ht="30" customHeight="1">
      <c r="A500" s="98">
        <f t="shared" si="1"/>
        <v>488</v>
      </c>
      <c r="B500" s="412" t="s">
        <v>325</v>
      </c>
      <c r="C500" s="350"/>
      <c r="D500" s="351"/>
      <c r="E500" s="735"/>
      <c r="F500" s="350"/>
      <c r="G500" s="351"/>
      <c r="H500" s="412"/>
      <c r="I500" s="350"/>
      <c r="J500" s="350"/>
      <c r="K500" s="351"/>
      <c r="L500" s="412"/>
      <c r="M500" s="350"/>
      <c r="N500" s="350"/>
      <c r="O500" s="350"/>
      <c r="P500" s="351"/>
      <c r="Q500" s="412"/>
      <c r="R500" s="350"/>
      <c r="S500" s="350"/>
      <c r="T500" s="350"/>
      <c r="U500" s="350"/>
      <c r="V500" s="350"/>
      <c r="W500" s="350"/>
      <c r="X500" s="350"/>
      <c r="Y500" s="350"/>
      <c r="Z500" s="351"/>
      <c r="AA500" s="412"/>
      <c r="AB500" s="350"/>
      <c r="AC500" s="350"/>
      <c r="AD500" s="350"/>
      <c r="AE500" s="350"/>
      <c r="AF500" s="350"/>
      <c r="AG500" s="350"/>
      <c r="AH500" s="350"/>
      <c r="AI500" s="350"/>
      <c r="AJ500" s="350"/>
      <c r="AK500" s="350"/>
      <c r="AL500" s="350"/>
      <c r="AM500" s="350"/>
      <c r="AN500" s="350"/>
      <c r="AO500" s="350"/>
      <c r="AP500" s="350"/>
      <c r="AQ500" s="351"/>
    </row>
    <row r="501" spans="1:43" ht="30" customHeight="1">
      <c r="A501" s="98">
        <f t="shared" si="1"/>
        <v>489</v>
      </c>
      <c r="B501" s="368" t="s">
        <v>325</v>
      </c>
      <c r="C501" s="350"/>
      <c r="D501" s="351"/>
      <c r="E501" s="736"/>
      <c r="F501" s="350"/>
      <c r="G501" s="351"/>
      <c r="H501" s="368"/>
      <c r="I501" s="350"/>
      <c r="J501" s="350"/>
      <c r="K501" s="351"/>
      <c r="L501" s="368"/>
      <c r="M501" s="350"/>
      <c r="N501" s="350"/>
      <c r="O501" s="350"/>
      <c r="P501" s="351"/>
      <c r="Q501" s="368"/>
      <c r="R501" s="350"/>
      <c r="S501" s="350"/>
      <c r="T501" s="350"/>
      <c r="U501" s="350"/>
      <c r="V501" s="350"/>
      <c r="W501" s="350"/>
      <c r="X501" s="350"/>
      <c r="Y501" s="350"/>
      <c r="Z501" s="351"/>
      <c r="AA501" s="368"/>
      <c r="AB501" s="350"/>
      <c r="AC501" s="350"/>
      <c r="AD501" s="350"/>
      <c r="AE501" s="350"/>
      <c r="AF501" s="350"/>
      <c r="AG501" s="350"/>
      <c r="AH501" s="350"/>
      <c r="AI501" s="350"/>
      <c r="AJ501" s="350"/>
      <c r="AK501" s="350"/>
      <c r="AL501" s="350"/>
      <c r="AM501" s="350"/>
      <c r="AN501" s="350"/>
      <c r="AO501" s="350"/>
      <c r="AP501" s="350"/>
      <c r="AQ501" s="351"/>
    </row>
    <row r="502" spans="1:43" ht="30" customHeight="1">
      <c r="A502" s="98">
        <f t="shared" si="1"/>
        <v>490</v>
      </c>
      <c r="B502" s="412" t="s">
        <v>325</v>
      </c>
      <c r="C502" s="350"/>
      <c r="D502" s="351"/>
      <c r="E502" s="735"/>
      <c r="F502" s="350"/>
      <c r="G502" s="351"/>
      <c r="H502" s="412"/>
      <c r="I502" s="350"/>
      <c r="J502" s="350"/>
      <c r="K502" s="351"/>
      <c r="L502" s="412"/>
      <c r="M502" s="350"/>
      <c r="N502" s="350"/>
      <c r="O502" s="350"/>
      <c r="P502" s="351"/>
      <c r="Q502" s="412"/>
      <c r="R502" s="350"/>
      <c r="S502" s="350"/>
      <c r="T502" s="350"/>
      <c r="U502" s="350"/>
      <c r="V502" s="350"/>
      <c r="W502" s="350"/>
      <c r="X502" s="350"/>
      <c r="Y502" s="350"/>
      <c r="Z502" s="351"/>
      <c r="AA502" s="412"/>
      <c r="AB502" s="350"/>
      <c r="AC502" s="350"/>
      <c r="AD502" s="350"/>
      <c r="AE502" s="350"/>
      <c r="AF502" s="350"/>
      <c r="AG502" s="350"/>
      <c r="AH502" s="350"/>
      <c r="AI502" s="350"/>
      <c r="AJ502" s="350"/>
      <c r="AK502" s="350"/>
      <c r="AL502" s="350"/>
      <c r="AM502" s="350"/>
      <c r="AN502" s="350"/>
      <c r="AO502" s="350"/>
      <c r="AP502" s="350"/>
      <c r="AQ502" s="351"/>
    </row>
    <row r="503" spans="1:43" ht="30" customHeight="1">
      <c r="A503" s="98">
        <f t="shared" si="1"/>
        <v>491</v>
      </c>
      <c r="B503" s="368" t="s">
        <v>325</v>
      </c>
      <c r="C503" s="350"/>
      <c r="D503" s="351"/>
      <c r="E503" s="736"/>
      <c r="F503" s="350"/>
      <c r="G503" s="351"/>
      <c r="H503" s="368"/>
      <c r="I503" s="350"/>
      <c r="J503" s="350"/>
      <c r="K503" s="351"/>
      <c r="L503" s="368"/>
      <c r="M503" s="350"/>
      <c r="N503" s="350"/>
      <c r="O503" s="350"/>
      <c r="P503" s="351"/>
      <c r="Q503" s="368"/>
      <c r="R503" s="350"/>
      <c r="S503" s="350"/>
      <c r="T503" s="350"/>
      <c r="U503" s="350"/>
      <c r="V503" s="350"/>
      <c r="W503" s="350"/>
      <c r="X503" s="350"/>
      <c r="Y503" s="350"/>
      <c r="Z503" s="351"/>
      <c r="AA503" s="368"/>
      <c r="AB503" s="350"/>
      <c r="AC503" s="350"/>
      <c r="AD503" s="350"/>
      <c r="AE503" s="350"/>
      <c r="AF503" s="350"/>
      <c r="AG503" s="350"/>
      <c r="AH503" s="350"/>
      <c r="AI503" s="350"/>
      <c r="AJ503" s="350"/>
      <c r="AK503" s="350"/>
      <c r="AL503" s="350"/>
      <c r="AM503" s="350"/>
      <c r="AN503" s="350"/>
      <c r="AO503" s="350"/>
      <c r="AP503" s="350"/>
      <c r="AQ503" s="351"/>
    </row>
    <row r="504" spans="1:43" ht="30" customHeight="1">
      <c r="A504" s="98">
        <f t="shared" si="1"/>
        <v>492</v>
      </c>
      <c r="B504" s="412" t="s">
        <v>325</v>
      </c>
      <c r="C504" s="350"/>
      <c r="D504" s="351"/>
      <c r="E504" s="735"/>
      <c r="F504" s="350"/>
      <c r="G504" s="351"/>
      <c r="H504" s="412"/>
      <c r="I504" s="350"/>
      <c r="J504" s="350"/>
      <c r="K504" s="351"/>
      <c r="L504" s="412"/>
      <c r="M504" s="350"/>
      <c r="N504" s="350"/>
      <c r="O504" s="350"/>
      <c r="P504" s="351"/>
      <c r="Q504" s="412"/>
      <c r="R504" s="350"/>
      <c r="S504" s="350"/>
      <c r="T504" s="350"/>
      <c r="U504" s="350"/>
      <c r="V504" s="350"/>
      <c r="W504" s="350"/>
      <c r="X504" s="350"/>
      <c r="Y504" s="350"/>
      <c r="Z504" s="351"/>
      <c r="AA504" s="412"/>
      <c r="AB504" s="350"/>
      <c r="AC504" s="350"/>
      <c r="AD504" s="350"/>
      <c r="AE504" s="350"/>
      <c r="AF504" s="350"/>
      <c r="AG504" s="350"/>
      <c r="AH504" s="350"/>
      <c r="AI504" s="350"/>
      <c r="AJ504" s="350"/>
      <c r="AK504" s="350"/>
      <c r="AL504" s="350"/>
      <c r="AM504" s="350"/>
      <c r="AN504" s="350"/>
      <c r="AO504" s="350"/>
      <c r="AP504" s="350"/>
      <c r="AQ504" s="351"/>
    </row>
    <row r="505" spans="1:43" ht="30" customHeight="1">
      <c r="A505" s="98">
        <f t="shared" si="1"/>
        <v>493</v>
      </c>
      <c r="B505" s="368" t="s">
        <v>325</v>
      </c>
      <c r="C505" s="350"/>
      <c r="D505" s="351"/>
      <c r="E505" s="736"/>
      <c r="F505" s="350"/>
      <c r="G505" s="351"/>
      <c r="H505" s="368"/>
      <c r="I505" s="350"/>
      <c r="J505" s="350"/>
      <c r="K505" s="351"/>
      <c r="L505" s="368"/>
      <c r="M505" s="350"/>
      <c r="N505" s="350"/>
      <c r="O505" s="350"/>
      <c r="P505" s="351"/>
      <c r="Q505" s="368"/>
      <c r="R505" s="350"/>
      <c r="S505" s="350"/>
      <c r="T505" s="350"/>
      <c r="U505" s="350"/>
      <c r="V505" s="350"/>
      <c r="W505" s="350"/>
      <c r="X505" s="350"/>
      <c r="Y505" s="350"/>
      <c r="Z505" s="351"/>
      <c r="AA505" s="368"/>
      <c r="AB505" s="350"/>
      <c r="AC505" s="350"/>
      <c r="AD505" s="350"/>
      <c r="AE505" s="350"/>
      <c r="AF505" s="350"/>
      <c r="AG505" s="350"/>
      <c r="AH505" s="350"/>
      <c r="AI505" s="350"/>
      <c r="AJ505" s="350"/>
      <c r="AK505" s="350"/>
      <c r="AL505" s="350"/>
      <c r="AM505" s="350"/>
      <c r="AN505" s="350"/>
      <c r="AO505" s="350"/>
      <c r="AP505" s="350"/>
      <c r="AQ505" s="351"/>
    </row>
    <row r="506" spans="1:43" ht="30" customHeight="1">
      <c r="A506" s="98">
        <f t="shared" si="1"/>
        <v>494</v>
      </c>
      <c r="B506" s="412" t="s">
        <v>325</v>
      </c>
      <c r="C506" s="350"/>
      <c r="D506" s="351"/>
      <c r="E506" s="735"/>
      <c r="F506" s="350"/>
      <c r="G506" s="351"/>
      <c r="H506" s="412"/>
      <c r="I506" s="350"/>
      <c r="J506" s="350"/>
      <c r="K506" s="351"/>
      <c r="L506" s="412"/>
      <c r="M506" s="350"/>
      <c r="N506" s="350"/>
      <c r="O506" s="350"/>
      <c r="P506" s="351"/>
      <c r="Q506" s="412"/>
      <c r="R506" s="350"/>
      <c r="S506" s="350"/>
      <c r="T506" s="350"/>
      <c r="U506" s="350"/>
      <c r="V506" s="350"/>
      <c r="W506" s="350"/>
      <c r="X506" s="350"/>
      <c r="Y506" s="350"/>
      <c r="Z506" s="351"/>
      <c r="AA506" s="412"/>
      <c r="AB506" s="350"/>
      <c r="AC506" s="350"/>
      <c r="AD506" s="350"/>
      <c r="AE506" s="350"/>
      <c r="AF506" s="350"/>
      <c r="AG506" s="350"/>
      <c r="AH506" s="350"/>
      <c r="AI506" s="350"/>
      <c r="AJ506" s="350"/>
      <c r="AK506" s="350"/>
      <c r="AL506" s="350"/>
      <c r="AM506" s="350"/>
      <c r="AN506" s="350"/>
      <c r="AO506" s="350"/>
      <c r="AP506" s="350"/>
      <c r="AQ506" s="351"/>
    </row>
    <row r="507" spans="1:43" ht="30" customHeight="1">
      <c r="A507" s="98">
        <f t="shared" si="1"/>
        <v>495</v>
      </c>
      <c r="B507" s="368" t="s">
        <v>325</v>
      </c>
      <c r="C507" s="350"/>
      <c r="D507" s="351"/>
      <c r="E507" s="736"/>
      <c r="F507" s="350"/>
      <c r="G507" s="351"/>
      <c r="H507" s="368"/>
      <c r="I507" s="350"/>
      <c r="J507" s="350"/>
      <c r="K507" s="351"/>
      <c r="L507" s="368"/>
      <c r="M507" s="350"/>
      <c r="N507" s="350"/>
      <c r="O507" s="350"/>
      <c r="P507" s="351"/>
      <c r="Q507" s="368"/>
      <c r="R507" s="350"/>
      <c r="S507" s="350"/>
      <c r="T507" s="350"/>
      <c r="U507" s="350"/>
      <c r="V507" s="350"/>
      <c r="W507" s="350"/>
      <c r="X507" s="350"/>
      <c r="Y507" s="350"/>
      <c r="Z507" s="351"/>
      <c r="AA507" s="368"/>
      <c r="AB507" s="350"/>
      <c r="AC507" s="350"/>
      <c r="AD507" s="350"/>
      <c r="AE507" s="350"/>
      <c r="AF507" s="350"/>
      <c r="AG507" s="350"/>
      <c r="AH507" s="350"/>
      <c r="AI507" s="350"/>
      <c r="AJ507" s="350"/>
      <c r="AK507" s="350"/>
      <c r="AL507" s="350"/>
      <c r="AM507" s="350"/>
      <c r="AN507" s="350"/>
      <c r="AO507" s="350"/>
      <c r="AP507" s="350"/>
      <c r="AQ507" s="351"/>
    </row>
    <row r="508" spans="1:43" ht="30" customHeight="1">
      <c r="A508" s="98">
        <f t="shared" si="1"/>
        <v>496</v>
      </c>
      <c r="B508" s="412" t="s">
        <v>325</v>
      </c>
      <c r="C508" s="350"/>
      <c r="D508" s="351"/>
      <c r="E508" s="735"/>
      <c r="F508" s="350"/>
      <c r="G508" s="351"/>
      <c r="H508" s="412"/>
      <c r="I508" s="350"/>
      <c r="J508" s="350"/>
      <c r="K508" s="351"/>
      <c r="L508" s="412"/>
      <c r="M508" s="350"/>
      <c r="N508" s="350"/>
      <c r="O508" s="350"/>
      <c r="P508" s="351"/>
      <c r="Q508" s="412"/>
      <c r="R508" s="350"/>
      <c r="S508" s="350"/>
      <c r="T508" s="350"/>
      <c r="U508" s="350"/>
      <c r="V508" s="350"/>
      <c r="W508" s="350"/>
      <c r="X508" s="350"/>
      <c r="Y508" s="350"/>
      <c r="Z508" s="351"/>
      <c r="AA508" s="412"/>
      <c r="AB508" s="350"/>
      <c r="AC508" s="350"/>
      <c r="AD508" s="350"/>
      <c r="AE508" s="350"/>
      <c r="AF508" s="350"/>
      <c r="AG508" s="350"/>
      <c r="AH508" s="350"/>
      <c r="AI508" s="350"/>
      <c r="AJ508" s="350"/>
      <c r="AK508" s="350"/>
      <c r="AL508" s="350"/>
      <c r="AM508" s="350"/>
      <c r="AN508" s="350"/>
      <c r="AO508" s="350"/>
      <c r="AP508" s="350"/>
      <c r="AQ508" s="351"/>
    </row>
    <row r="509" spans="1:43" ht="30" customHeight="1">
      <c r="A509" s="98">
        <f t="shared" si="1"/>
        <v>497</v>
      </c>
      <c r="B509" s="368" t="s">
        <v>325</v>
      </c>
      <c r="C509" s="350"/>
      <c r="D509" s="351"/>
      <c r="E509" s="736"/>
      <c r="F509" s="350"/>
      <c r="G509" s="351"/>
      <c r="H509" s="368"/>
      <c r="I509" s="350"/>
      <c r="J509" s="350"/>
      <c r="K509" s="351"/>
      <c r="L509" s="368"/>
      <c r="M509" s="350"/>
      <c r="N509" s="350"/>
      <c r="O509" s="350"/>
      <c r="P509" s="351"/>
      <c r="Q509" s="368"/>
      <c r="R509" s="350"/>
      <c r="S509" s="350"/>
      <c r="T509" s="350"/>
      <c r="U509" s="350"/>
      <c r="V509" s="350"/>
      <c r="W509" s="350"/>
      <c r="X509" s="350"/>
      <c r="Y509" s="350"/>
      <c r="Z509" s="351"/>
      <c r="AA509" s="368"/>
      <c r="AB509" s="350"/>
      <c r="AC509" s="350"/>
      <c r="AD509" s="350"/>
      <c r="AE509" s="350"/>
      <c r="AF509" s="350"/>
      <c r="AG509" s="350"/>
      <c r="AH509" s="350"/>
      <c r="AI509" s="350"/>
      <c r="AJ509" s="350"/>
      <c r="AK509" s="350"/>
      <c r="AL509" s="350"/>
      <c r="AM509" s="350"/>
      <c r="AN509" s="350"/>
      <c r="AO509" s="350"/>
      <c r="AP509" s="350"/>
      <c r="AQ509" s="351"/>
    </row>
    <row r="510" spans="1:43" ht="30" customHeight="1">
      <c r="A510" s="98">
        <f t="shared" si="1"/>
        <v>498</v>
      </c>
      <c r="B510" s="412" t="s">
        <v>325</v>
      </c>
      <c r="C510" s="350"/>
      <c r="D510" s="351"/>
      <c r="E510" s="735"/>
      <c r="F510" s="350"/>
      <c r="G510" s="351"/>
      <c r="H510" s="412"/>
      <c r="I510" s="350"/>
      <c r="J510" s="350"/>
      <c r="K510" s="351"/>
      <c r="L510" s="412"/>
      <c r="M510" s="350"/>
      <c r="N510" s="350"/>
      <c r="O510" s="350"/>
      <c r="P510" s="351"/>
      <c r="Q510" s="412"/>
      <c r="R510" s="350"/>
      <c r="S510" s="350"/>
      <c r="T510" s="350"/>
      <c r="U510" s="350"/>
      <c r="V510" s="350"/>
      <c r="W510" s="350"/>
      <c r="X510" s="350"/>
      <c r="Y510" s="350"/>
      <c r="Z510" s="351"/>
      <c r="AA510" s="412"/>
      <c r="AB510" s="350"/>
      <c r="AC510" s="350"/>
      <c r="AD510" s="350"/>
      <c r="AE510" s="350"/>
      <c r="AF510" s="350"/>
      <c r="AG510" s="350"/>
      <c r="AH510" s="350"/>
      <c r="AI510" s="350"/>
      <c r="AJ510" s="350"/>
      <c r="AK510" s="350"/>
      <c r="AL510" s="350"/>
      <c r="AM510" s="350"/>
      <c r="AN510" s="350"/>
      <c r="AO510" s="350"/>
      <c r="AP510" s="350"/>
      <c r="AQ510" s="351"/>
    </row>
    <row r="511" spans="1:43" ht="30" customHeight="1">
      <c r="A511" s="98">
        <f t="shared" si="1"/>
        <v>499</v>
      </c>
      <c r="B511" s="368" t="s">
        <v>325</v>
      </c>
      <c r="C511" s="350"/>
      <c r="D511" s="351"/>
      <c r="E511" s="736"/>
      <c r="F511" s="350"/>
      <c r="G511" s="351"/>
      <c r="H511" s="368"/>
      <c r="I511" s="350"/>
      <c r="J511" s="350"/>
      <c r="K511" s="351"/>
      <c r="L511" s="368"/>
      <c r="M511" s="350"/>
      <c r="N511" s="350"/>
      <c r="O511" s="350"/>
      <c r="P511" s="351"/>
      <c r="Q511" s="368"/>
      <c r="R511" s="350"/>
      <c r="S511" s="350"/>
      <c r="T511" s="350"/>
      <c r="U511" s="350"/>
      <c r="V511" s="350"/>
      <c r="W511" s="350"/>
      <c r="X511" s="350"/>
      <c r="Y511" s="350"/>
      <c r="Z511" s="351"/>
      <c r="AA511" s="368"/>
      <c r="AB511" s="350"/>
      <c r="AC511" s="350"/>
      <c r="AD511" s="350"/>
      <c r="AE511" s="350"/>
      <c r="AF511" s="350"/>
      <c r="AG511" s="350"/>
      <c r="AH511" s="350"/>
      <c r="AI511" s="350"/>
      <c r="AJ511" s="350"/>
      <c r="AK511" s="350"/>
      <c r="AL511" s="350"/>
      <c r="AM511" s="350"/>
      <c r="AN511" s="350"/>
      <c r="AO511" s="350"/>
      <c r="AP511" s="350"/>
      <c r="AQ511" s="351"/>
    </row>
    <row r="512" spans="1:43" ht="30" customHeight="1">
      <c r="A512" s="98">
        <f t="shared" si="1"/>
        <v>500</v>
      </c>
      <c r="B512" s="412" t="s">
        <v>325</v>
      </c>
      <c r="C512" s="350"/>
      <c r="D512" s="351"/>
      <c r="E512" s="735"/>
      <c r="F512" s="350"/>
      <c r="G512" s="351"/>
      <c r="H512" s="412"/>
      <c r="I512" s="350"/>
      <c r="J512" s="350"/>
      <c r="K512" s="351"/>
      <c r="L512" s="412"/>
      <c r="M512" s="350"/>
      <c r="N512" s="350"/>
      <c r="O512" s="350"/>
      <c r="P512" s="351"/>
      <c r="Q512" s="412"/>
      <c r="R512" s="350"/>
      <c r="S512" s="350"/>
      <c r="T512" s="350"/>
      <c r="U512" s="350"/>
      <c r="V512" s="350"/>
      <c r="W512" s="350"/>
      <c r="X512" s="350"/>
      <c r="Y512" s="350"/>
      <c r="Z512" s="351"/>
      <c r="AA512" s="412"/>
      <c r="AB512" s="350"/>
      <c r="AC512" s="350"/>
      <c r="AD512" s="350"/>
      <c r="AE512" s="350"/>
      <c r="AF512" s="350"/>
      <c r="AG512" s="350"/>
      <c r="AH512" s="350"/>
      <c r="AI512" s="350"/>
      <c r="AJ512" s="350"/>
      <c r="AK512" s="350"/>
      <c r="AL512" s="350"/>
      <c r="AM512" s="350"/>
      <c r="AN512" s="350"/>
      <c r="AO512" s="350"/>
      <c r="AP512" s="350"/>
      <c r="AQ512" s="351"/>
    </row>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35">
    <mergeCell ref="B373:D373"/>
    <mergeCell ref="E373:G373"/>
    <mergeCell ref="H373:K373"/>
    <mergeCell ref="L373:P373"/>
    <mergeCell ref="Q373:Z373"/>
    <mergeCell ref="AA373:AQ373"/>
    <mergeCell ref="B337:D337"/>
    <mergeCell ref="E337:G337"/>
    <mergeCell ref="H337:K337"/>
    <mergeCell ref="L337:P337"/>
    <mergeCell ref="Q337:Z337"/>
    <mergeCell ref="AA337:AQ337"/>
    <mergeCell ref="B338:D338"/>
    <mergeCell ref="L338:P338"/>
    <mergeCell ref="Q338:Z338"/>
    <mergeCell ref="E339:G339"/>
    <mergeCell ref="H339:K339"/>
    <mergeCell ref="L339:P339"/>
    <mergeCell ref="Q339:Z339"/>
    <mergeCell ref="AA339:AQ339"/>
    <mergeCell ref="B339:D339"/>
    <mergeCell ref="B340:D340"/>
    <mergeCell ref="E340:G340"/>
    <mergeCell ref="H340:K340"/>
    <mergeCell ref="B342:D342"/>
    <mergeCell ref="AA342:AQ342"/>
    <mergeCell ref="E344:G344"/>
    <mergeCell ref="H344:K344"/>
    <mergeCell ref="Q344:Z344"/>
    <mergeCell ref="AA344:AQ344"/>
    <mergeCell ref="B344:D344"/>
    <mergeCell ref="B345:D345"/>
    <mergeCell ref="E345:G345"/>
    <mergeCell ref="H345:K345"/>
    <mergeCell ref="L345:P345"/>
    <mergeCell ref="Q345:Z345"/>
    <mergeCell ref="AA345:AQ345"/>
    <mergeCell ref="L344:P344"/>
    <mergeCell ref="E371:G371"/>
    <mergeCell ref="H371:K371"/>
    <mergeCell ref="E372:G372"/>
    <mergeCell ref="H372:K372"/>
    <mergeCell ref="L372:P372"/>
    <mergeCell ref="Q372:Z372"/>
    <mergeCell ref="AA372:AQ372"/>
    <mergeCell ref="B372:D372"/>
    <mergeCell ref="E360:G360"/>
    <mergeCell ref="H360:K360"/>
    <mergeCell ref="L360:P360"/>
    <mergeCell ref="Q360:Z360"/>
    <mergeCell ref="AA360:AQ360"/>
    <mergeCell ref="B360:D360"/>
    <mergeCell ref="B361:D361"/>
    <mergeCell ref="E361:G361"/>
    <mergeCell ref="H361:K361"/>
    <mergeCell ref="L361:P361"/>
    <mergeCell ref="Q361:Z361"/>
    <mergeCell ref="AA361:AQ361"/>
    <mergeCell ref="L363:P363"/>
    <mergeCell ref="Q363:Z363"/>
    <mergeCell ref="B362:D362"/>
    <mergeCell ref="E362:G362"/>
    <mergeCell ref="H362:K362"/>
    <mergeCell ref="L362:P362"/>
    <mergeCell ref="Q365:Z365"/>
    <mergeCell ref="AA365:AQ365"/>
    <mergeCell ref="L367:P367"/>
    <mergeCell ref="Q367:Z367"/>
    <mergeCell ref="B366:D366"/>
    <mergeCell ref="E366:G366"/>
    <mergeCell ref="H366:K366"/>
    <mergeCell ref="L366:P366"/>
    <mergeCell ref="Q366:Z366"/>
    <mergeCell ref="AA366:AQ366"/>
    <mergeCell ref="B367:D367"/>
    <mergeCell ref="AA367:AQ367"/>
    <mergeCell ref="E367:G367"/>
    <mergeCell ref="Q368:Z368"/>
    <mergeCell ref="AA368:AQ368"/>
    <mergeCell ref="B368:D368"/>
    <mergeCell ref="B369:D369"/>
    <mergeCell ref="E369:G369"/>
    <mergeCell ref="H369:K369"/>
    <mergeCell ref="L369:P369"/>
    <mergeCell ref="Q369:Z369"/>
    <mergeCell ref="AA369:AQ369"/>
    <mergeCell ref="Q362:Z362"/>
    <mergeCell ref="AA362:AQ362"/>
    <mergeCell ref="B363:D363"/>
    <mergeCell ref="AA363:AQ363"/>
    <mergeCell ref="E363:G363"/>
    <mergeCell ref="H363:K363"/>
    <mergeCell ref="H370:K370"/>
    <mergeCell ref="L370:P370"/>
    <mergeCell ref="Q370:Z370"/>
    <mergeCell ref="AA370:AQ370"/>
    <mergeCell ref="Q374:Z374"/>
    <mergeCell ref="AA374:AQ374"/>
    <mergeCell ref="B375:D375"/>
    <mergeCell ref="L375:P375"/>
    <mergeCell ref="Q375:Z375"/>
    <mergeCell ref="E376:G376"/>
    <mergeCell ref="H376:K376"/>
    <mergeCell ref="L376:P376"/>
    <mergeCell ref="Q376:Z376"/>
    <mergeCell ref="H367:K367"/>
    <mergeCell ref="E364:G364"/>
    <mergeCell ref="H364:K364"/>
    <mergeCell ref="L364:P364"/>
    <mergeCell ref="B371:D371"/>
    <mergeCell ref="AA371:AQ371"/>
    <mergeCell ref="Q364:Z364"/>
    <mergeCell ref="AA364:AQ364"/>
    <mergeCell ref="B364:D364"/>
    <mergeCell ref="B365:D365"/>
    <mergeCell ref="E365:G365"/>
    <mergeCell ref="H365:K365"/>
    <mergeCell ref="L365:P365"/>
    <mergeCell ref="AA463:AQ463"/>
    <mergeCell ref="B463:D463"/>
    <mergeCell ref="Q457:Z457"/>
    <mergeCell ref="AA457:AQ457"/>
    <mergeCell ref="B458:D458"/>
    <mergeCell ref="AA458:AQ458"/>
    <mergeCell ref="E458:G458"/>
    <mergeCell ref="H458:K458"/>
    <mergeCell ref="E459:G459"/>
    <mergeCell ref="H459:K459"/>
    <mergeCell ref="L459:P459"/>
    <mergeCell ref="Q459:Z459"/>
    <mergeCell ref="AA459:AQ459"/>
    <mergeCell ref="B459:D459"/>
    <mergeCell ref="B460:D460"/>
    <mergeCell ref="E460:G460"/>
    <mergeCell ref="E368:G368"/>
    <mergeCell ref="H368:K368"/>
    <mergeCell ref="L368:P368"/>
    <mergeCell ref="H436:K436"/>
    <mergeCell ref="L436:P436"/>
    <mergeCell ref="Q436:Z436"/>
    <mergeCell ref="AA436:AQ436"/>
    <mergeCell ref="E455:G455"/>
    <mergeCell ref="H455:K455"/>
    <mergeCell ref="L455:P455"/>
    <mergeCell ref="L462:P462"/>
    <mergeCell ref="Q462:Z462"/>
    <mergeCell ref="L371:P371"/>
    <mergeCell ref="Q371:Z371"/>
    <mergeCell ref="B370:D370"/>
    <mergeCell ref="E370:G370"/>
    <mergeCell ref="B374:D374"/>
    <mergeCell ref="E374:G374"/>
    <mergeCell ref="H374:K374"/>
    <mergeCell ref="L374:P374"/>
    <mergeCell ref="B428:D428"/>
    <mergeCell ref="E428:G428"/>
    <mergeCell ref="H428:K428"/>
    <mergeCell ref="L428:P428"/>
    <mergeCell ref="Q428:Z428"/>
    <mergeCell ref="AA428:AQ428"/>
    <mergeCell ref="B429:D429"/>
    <mergeCell ref="L429:P429"/>
    <mergeCell ref="Q429:Z429"/>
    <mergeCell ref="E430:G430"/>
    <mergeCell ref="H430:K430"/>
    <mergeCell ref="L430:P430"/>
    <mergeCell ref="Q430:Z430"/>
    <mergeCell ref="H382:K382"/>
    <mergeCell ref="L382:P382"/>
    <mergeCell ref="Q382:Z382"/>
    <mergeCell ref="AA382:AQ382"/>
    <mergeCell ref="L379:P379"/>
    <mergeCell ref="Q379:Z379"/>
    <mergeCell ref="Q380:Z380"/>
    <mergeCell ref="AA380:AQ380"/>
    <mergeCell ref="E379:G379"/>
    <mergeCell ref="H379:K379"/>
    <mergeCell ref="B380:D380"/>
    <mergeCell ref="E380:G380"/>
    <mergeCell ref="H380:K380"/>
    <mergeCell ref="L380:P380"/>
    <mergeCell ref="L381:P381"/>
    <mergeCell ref="E451:G451"/>
    <mergeCell ref="H451:K451"/>
    <mergeCell ref="L451:P451"/>
    <mergeCell ref="Q451:Z451"/>
    <mergeCell ref="AA451:AQ451"/>
    <mergeCell ref="B451:D451"/>
    <mergeCell ref="B452:D452"/>
    <mergeCell ref="E452:G452"/>
    <mergeCell ref="H452:K452"/>
    <mergeCell ref="L452:P452"/>
    <mergeCell ref="Q452:Z452"/>
    <mergeCell ref="AA452:AQ452"/>
    <mergeCell ref="L454:P454"/>
    <mergeCell ref="Q454:Z454"/>
    <mergeCell ref="B453:D453"/>
    <mergeCell ref="B432:D432"/>
    <mergeCell ref="E432:G432"/>
    <mergeCell ref="H432:K432"/>
    <mergeCell ref="L432:P432"/>
    <mergeCell ref="Q432:Z432"/>
    <mergeCell ref="L438:P438"/>
    <mergeCell ref="Q438:Z438"/>
    <mergeCell ref="B437:D437"/>
    <mergeCell ref="E437:G437"/>
    <mergeCell ref="H437:K437"/>
    <mergeCell ref="L437:P437"/>
    <mergeCell ref="Q437:Z437"/>
    <mergeCell ref="AA437:AQ437"/>
    <mergeCell ref="B438:D438"/>
    <mergeCell ref="AA438:AQ438"/>
    <mergeCell ref="E453:G453"/>
    <mergeCell ref="H453:K453"/>
    <mergeCell ref="B464:D464"/>
    <mergeCell ref="E464:G464"/>
    <mergeCell ref="H464:K464"/>
    <mergeCell ref="L464:P464"/>
    <mergeCell ref="Q464:Z464"/>
    <mergeCell ref="AA464:AQ464"/>
    <mergeCell ref="E463:G463"/>
    <mergeCell ref="H463:K463"/>
    <mergeCell ref="L463:P463"/>
    <mergeCell ref="Q463:Z463"/>
    <mergeCell ref="E462:G462"/>
    <mergeCell ref="H462:K462"/>
    <mergeCell ref="H460:K460"/>
    <mergeCell ref="L460:P460"/>
    <mergeCell ref="Q460:Z460"/>
    <mergeCell ref="AA460:AQ460"/>
    <mergeCell ref="AA430:AQ430"/>
    <mergeCell ref="B430:D430"/>
    <mergeCell ref="B431:D431"/>
    <mergeCell ref="E431:G431"/>
    <mergeCell ref="H431:K431"/>
    <mergeCell ref="L431:P431"/>
    <mergeCell ref="Q431:Z431"/>
    <mergeCell ref="AA431:AQ431"/>
    <mergeCell ref="Q455:Z455"/>
    <mergeCell ref="AA455:AQ455"/>
    <mergeCell ref="B455:D455"/>
    <mergeCell ref="B456:D456"/>
    <mergeCell ref="E456:G456"/>
    <mergeCell ref="H456:K456"/>
    <mergeCell ref="L456:P456"/>
    <mergeCell ref="Q456:Z456"/>
    <mergeCell ref="Q465:Z465"/>
    <mergeCell ref="AA465:AQ465"/>
    <mergeCell ref="B466:D466"/>
    <mergeCell ref="L466:P466"/>
    <mergeCell ref="Q466:Z466"/>
    <mergeCell ref="E467:G467"/>
    <mergeCell ref="H467:K467"/>
    <mergeCell ref="L467:P467"/>
    <mergeCell ref="Q467:Z467"/>
    <mergeCell ref="AA467:AQ467"/>
    <mergeCell ref="B467:D467"/>
    <mergeCell ref="B468:D468"/>
    <mergeCell ref="E468:G468"/>
    <mergeCell ref="H468:K468"/>
    <mergeCell ref="L468:P468"/>
    <mergeCell ref="Q468:Z468"/>
    <mergeCell ref="AA468:AQ468"/>
    <mergeCell ref="E466:G466"/>
    <mergeCell ref="H466:K466"/>
    <mergeCell ref="AA466:AQ466"/>
    <mergeCell ref="B465:D465"/>
    <mergeCell ref="E465:G465"/>
    <mergeCell ref="H465:K465"/>
    <mergeCell ref="L465:P465"/>
    <mergeCell ref="B469:D469"/>
    <mergeCell ref="E469:G469"/>
    <mergeCell ref="H469:K469"/>
    <mergeCell ref="L469:P469"/>
    <mergeCell ref="Q469:Z469"/>
    <mergeCell ref="AA469:AQ469"/>
    <mergeCell ref="B470:D470"/>
    <mergeCell ref="AA470:AQ470"/>
    <mergeCell ref="E472:G472"/>
    <mergeCell ref="H472:K472"/>
    <mergeCell ref="Q472:Z472"/>
    <mergeCell ref="AA472:AQ472"/>
    <mergeCell ref="B472:D472"/>
    <mergeCell ref="B473:D473"/>
    <mergeCell ref="E473:G473"/>
    <mergeCell ref="H473:K473"/>
    <mergeCell ref="L473:P473"/>
    <mergeCell ref="Q473:Z473"/>
    <mergeCell ref="AA473:AQ473"/>
    <mergeCell ref="L470:P470"/>
    <mergeCell ref="Q470:Z470"/>
    <mergeCell ref="Q471:Z471"/>
    <mergeCell ref="AA471:AQ471"/>
    <mergeCell ref="E470:G470"/>
    <mergeCell ref="H470:K470"/>
    <mergeCell ref="B471:D471"/>
    <mergeCell ref="E471:G471"/>
    <mergeCell ref="H471:K471"/>
    <mergeCell ref="L471:P471"/>
    <mergeCell ref="L472:P472"/>
    <mergeCell ref="E475:G475"/>
    <mergeCell ref="H475:K475"/>
    <mergeCell ref="AA475:AQ475"/>
    <mergeCell ref="L479:P479"/>
    <mergeCell ref="Q479:Z479"/>
    <mergeCell ref="Q480:Z480"/>
    <mergeCell ref="AA480:AQ480"/>
    <mergeCell ref="E479:G479"/>
    <mergeCell ref="H479:K479"/>
    <mergeCell ref="B480:D480"/>
    <mergeCell ref="E480:G480"/>
    <mergeCell ref="H480:K480"/>
    <mergeCell ref="L480:P480"/>
    <mergeCell ref="L481:P481"/>
    <mergeCell ref="B474:D474"/>
    <mergeCell ref="E474:G474"/>
    <mergeCell ref="H474:K474"/>
    <mergeCell ref="L474:P474"/>
    <mergeCell ref="Q474:Z474"/>
    <mergeCell ref="AA474:AQ474"/>
    <mergeCell ref="B475:D475"/>
    <mergeCell ref="L475:P475"/>
    <mergeCell ref="Q475:Z475"/>
    <mergeCell ref="E476:G476"/>
    <mergeCell ref="H476:K476"/>
    <mergeCell ref="L476:P476"/>
    <mergeCell ref="Q476:Z476"/>
    <mergeCell ref="AA476:AQ476"/>
    <mergeCell ref="B476:D476"/>
    <mergeCell ref="B477:D477"/>
    <mergeCell ref="E477:G477"/>
    <mergeCell ref="H477:K477"/>
    <mergeCell ref="L477:P477"/>
    <mergeCell ref="Q477:Z477"/>
    <mergeCell ref="AA477:AQ477"/>
    <mergeCell ref="B478:D478"/>
    <mergeCell ref="E478:G478"/>
    <mergeCell ref="H478:K478"/>
    <mergeCell ref="L478:P478"/>
    <mergeCell ref="Q478:Z478"/>
    <mergeCell ref="AA478:AQ478"/>
    <mergeCell ref="B479:D479"/>
    <mergeCell ref="AA479:AQ479"/>
    <mergeCell ref="E481:G481"/>
    <mergeCell ref="H481:K481"/>
    <mergeCell ref="Q481:Z481"/>
    <mergeCell ref="AA481:AQ481"/>
    <mergeCell ref="B481:D481"/>
    <mergeCell ref="B482:D482"/>
    <mergeCell ref="E482:G482"/>
    <mergeCell ref="H482:K482"/>
    <mergeCell ref="L482:P482"/>
    <mergeCell ref="Q482:Z482"/>
    <mergeCell ref="AA482:AQ482"/>
    <mergeCell ref="E484:G484"/>
    <mergeCell ref="H484:K484"/>
    <mergeCell ref="AA484:AQ484"/>
    <mergeCell ref="L488:P488"/>
    <mergeCell ref="Q488:Z488"/>
    <mergeCell ref="Q489:Z489"/>
    <mergeCell ref="AA489:AQ489"/>
    <mergeCell ref="E488:G488"/>
    <mergeCell ref="H488:K488"/>
    <mergeCell ref="B489:D489"/>
    <mergeCell ref="E489:G489"/>
    <mergeCell ref="H489:K489"/>
    <mergeCell ref="L489:P489"/>
    <mergeCell ref="L490:P490"/>
    <mergeCell ref="B483:D483"/>
    <mergeCell ref="E483:G483"/>
    <mergeCell ref="H483:K483"/>
    <mergeCell ref="L483:P483"/>
    <mergeCell ref="Q483:Z483"/>
    <mergeCell ref="AA483:AQ483"/>
    <mergeCell ref="B484:D484"/>
    <mergeCell ref="L484:P484"/>
    <mergeCell ref="Q484:Z484"/>
    <mergeCell ref="E485:G485"/>
    <mergeCell ref="H485:K485"/>
    <mergeCell ref="L485:P485"/>
    <mergeCell ref="Q485:Z485"/>
    <mergeCell ref="AA485:AQ485"/>
    <mergeCell ref="B485:D485"/>
    <mergeCell ref="B486:D486"/>
    <mergeCell ref="E486:G486"/>
    <mergeCell ref="H486:K486"/>
    <mergeCell ref="L486:P486"/>
    <mergeCell ref="Q486:Z486"/>
    <mergeCell ref="AA486:AQ486"/>
    <mergeCell ref="B487:D487"/>
    <mergeCell ref="E487:G487"/>
    <mergeCell ref="H487:K487"/>
    <mergeCell ref="L487:P487"/>
    <mergeCell ref="Q487:Z487"/>
    <mergeCell ref="AA487:AQ487"/>
    <mergeCell ref="B488:D488"/>
    <mergeCell ref="AA488:AQ488"/>
    <mergeCell ref="E490:G490"/>
    <mergeCell ref="H490:K490"/>
    <mergeCell ref="Q490:Z490"/>
    <mergeCell ref="AA490:AQ490"/>
    <mergeCell ref="B490:D490"/>
    <mergeCell ref="B491:D491"/>
    <mergeCell ref="E491:G491"/>
    <mergeCell ref="H491:K491"/>
    <mergeCell ref="L491:P491"/>
    <mergeCell ref="Q491:Z491"/>
    <mergeCell ref="AA491:AQ491"/>
    <mergeCell ref="B492:D492"/>
    <mergeCell ref="E492:G492"/>
    <mergeCell ref="H492:K492"/>
    <mergeCell ref="L492:P492"/>
    <mergeCell ref="Q492:Z492"/>
    <mergeCell ref="AA492:AQ492"/>
    <mergeCell ref="B493:D493"/>
    <mergeCell ref="L493:P493"/>
    <mergeCell ref="Q493:Z493"/>
    <mergeCell ref="E494:G494"/>
    <mergeCell ref="H494:K494"/>
    <mergeCell ref="L494:P494"/>
    <mergeCell ref="Q494:Z494"/>
    <mergeCell ref="AA494:AQ494"/>
    <mergeCell ref="B494:D494"/>
    <mergeCell ref="B495:D495"/>
    <mergeCell ref="E495:G495"/>
    <mergeCell ref="H495:K495"/>
    <mergeCell ref="Q499:Z499"/>
    <mergeCell ref="AA499:AQ499"/>
    <mergeCell ref="B499:D499"/>
    <mergeCell ref="B500:D500"/>
    <mergeCell ref="E500:G500"/>
    <mergeCell ref="H500:K500"/>
    <mergeCell ref="L500:P500"/>
    <mergeCell ref="Q500:Z500"/>
    <mergeCell ref="AA500:AQ500"/>
    <mergeCell ref="E493:G493"/>
    <mergeCell ref="H493:K493"/>
    <mergeCell ref="AA493:AQ493"/>
    <mergeCell ref="L497:P497"/>
    <mergeCell ref="Q497:Z497"/>
    <mergeCell ref="Q498:Z498"/>
    <mergeCell ref="AA498:AQ498"/>
    <mergeCell ref="E497:G497"/>
    <mergeCell ref="H497:K497"/>
    <mergeCell ref="B498:D498"/>
    <mergeCell ref="E498:G498"/>
    <mergeCell ref="H498:K498"/>
    <mergeCell ref="L498:P498"/>
    <mergeCell ref="L499:P499"/>
    <mergeCell ref="L495:P495"/>
    <mergeCell ref="Q495:Z495"/>
    <mergeCell ref="AA495:AQ495"/>
    <mergeCell ref="Q496:Z496"/>
    <mergeCell ref="AA496:AQ496"/>
    <mergeCell ref="B497:D497"/>
    <mergeCell ref="AA497:AQ497"/>
    <mergeCell ref="E499:G499"/>
    <mergeCell ref="H499:K499"/>
    <mergeCell ref="H509:K509"/>
    <mergeCell ref="L509:P509"/>
    <mergeCell ref="Q509:Z509"/>
    <mergeCell ref="AA509:AQ509"/>
    <mergeCell ref="E502:G502"/>
    <mergeCell ref="H502:K502"/>
    <mergeCell ref="AA502:AQ502"/>
    <mergeCell ref="L506:P506"/>
    <mergeCell ref="Q506:Z506"/>
    <mergeCell ref="Q507:Z507"/>
    <mergeCell ref="AA507:AQ507"/>
    <mergeCell ref="E506:G506"/>
    <mergeCell ref="H506:K506"/>
    <mergeCell ref="B507:D507"/>
    <mergeCell ref="E507:G507"/>
    <mergeCell ref="H507:K507"/>
    <mergeCell ref="L507:P507"/>
    <mergeCell ref="L508:P508"/>
    <mergeCell ref="B502:D502"/>
    <mergeCell ref="L502:P502"/>
    <mergeCell ref="Q502:Z502"/>
    <mergeCell ref="E503:G503"/>
    <mergeCell ref="H503:K503"/>
    <mergeCell ref="L503:P503"/>
    <mergeCell ref="Q503:Z503"/>
    <mergeCell ref="AA503:AQ503"/>
    <mergeCell ref="B503:D503"/>
    <mergeCell ref="B504:D504"/>
    <mergeCell ref="E504:G504"/>
    <mergeCell ref="H504:K504"/>
    <mergeCell ref="L504:P504"/>
    <mergeCell ref="Q504:Z504"/>
    <mergeCell ref="AA504:AQ504"/>
    <mergeCell ref="B505:D505"/>
    <mergeCell ref="E505:G505"/>
    <mergeCell ref="H505:K505"/>
    <mergeCell ref="L505:P505"/>
    <mergeCell ref="Q505:Z505"/>
    <mergeCell ref="AA505:AQ505"/>
    <mergeCell ref="B506:D506"/>
    <mergeCell ref="AA506:AQ506"/>
    <mergeCell ref="E508:G508"/>
    <mergeCell ref="H508:K508"/>
    <mergeCell ref="Q508:Z508"/>
    <mergeCell ref="AA508:AQ508"/>
    <mergeCell ref="B508:D508"/>
    <mergeCell ref="B501:D501"/>
    <mergeCell ref="E501:G501"/>
    <mergeCell ref="H501:K501"/>
    <mergeCell ref="L501:P501"/>
    <mergeCell ref="Q501:Z501"/>
    <mergeCell ref="AA501:AQ501"/>
    <mergeCell ref="L453:P453"/>
    <mergeCell ref="Q453:Z453"/>
    <mergeCell ref="AA453:AQ453"/>
    <mergeCell ref="B454:D454"/>
    <mergeCell ref="AA454:AQ454"/>
    <mergeCell ref="E454:G454"/>
    <mergeCell ref="H454:K454"/>
    <mergeCell ref="B461:D461"/>
    <mergeCell ref="E461:G461"/>
    <mergeCell ref="H461:K461"/>
    <mergeCell ref="L461:P461"/>
    <mergeCell ref="Q461:Z461"/>
    <mergeCell ref="AA461:AQ461"/>
    <mergeCell ref="B462:D462"/>
    <mergeCell ref="AA462:AQ462"/>
    <mergeCell ref="L458:P458"/>
    <mergeCell ref="Q458:Z458"/>
    <mergeCell ref="B457:D457"/>
    <mergeCell ref="E457:G457"/>
    <mergeCell ref="H457:K457"/>
    <mergeCell ref="L457:P457"/>
    <mergeCell ref="AA456:AQ456"/>
    <mergeCell ref="L511:P511"/>
    <mergeCell ref="Q511:Z511"/>
    <mergeCell ref="B512:D512"/>
    <mergeCell ref="E512:G512"/>
    <mergeCell ref="H512:K512"/>
    <mergeCell ref="L512:P512"/>
    <mergeCell ref="Q512:Z512"/>
    <mergeCell ref="AA512:AQ512"/>
    <mergeCell ref="B510:D510"/>
    <mergeCell ref="E510:G510"/>
    <mergeCell ref="H510:K510"/>
    <mergeCell ref="L510:P510"/>
    <mergeCell ref="Q510:Z510"/>
    <mergeCell ref="AA510:AQ510"/>
    <mergeCell ref="B511:D511"/>
    <mergeCell ref="E511:G511"/>
    <mergeCell ref="H511:K511"/>
    <mergeCell ref="AA511:AQ511"/>
    <mergeCell ref="B496:D496"/>
    <mergeCell ref="E496:G496"/>
    <mergeCell ref="H496:K496"/>
    <mergeCell ref="L496:P496"/>
    <mergeCell ref="B509:D509"/>
    <mergeCell ref="E509:G509"/>
    <mergeCell ref="AA376:AQ376"/>
    <mergeCell ref="B376:D376"/>
    <mergeCell ref="B377:D377"/>
    <mergeCell ref="E377:G377"/>
    <mergeCell ref="H377:K377"/>
    <mergeCell ref="L377:P377"/>
    <mergeCell ref="Q377:Z377"/>
    <mergeCell ref="AA377:AQ377"/>
    <mergeCell ref="E375:G375"/>
    <mergeCell ref="H375:K375"/>
    <mergeCell ref="AA375:AQ375"/>
    <mergeCell ref="B378:D378"/>
    <mergeCell ref="E378:G378"/>
    <mergeCell ref="H378:K378"/>
    <mergeCell ref="L378:P378"/>
    <mergeCell ref="Q378:Z378"/>
    <mergeCell ref="AA378:AQ378"/>
    <mergeCell ref="B379:D379"/>
    <mergeCell ref="AA379:AQ379"/>
    <mergeCell ref="E381:G381"/>
    <mergeCell ref="H381:K381"/>
    <mergeCell ref="Q381:Z381"/>
    <mergeCell ref="AA381:AQ381"/>
    <mergeCell ref="B381:D381"/>
    <mergeCell ref="B382:D382"/>
    <mergeCell ref="E382:G382"/>
    <mergeCell ref="E384:G384"/>
    <mergeCell ref="H384:K384"/>
    <mergeCell ref="AA384:AQ384"/>
    <mergeCell ref="B383:D383"/>
    <mergeCell ref="E383:G383"/>
    <mergeCell ref="H383:K383"/>
    <mergeCell ref="L383:P383"/>
    <mergeCell ref="Q383:Z383"/>
    <mergeCell ref="AA383:AQ383"/>
    <mergeCell ref="B384:D384"/>
    <mergeCell ref="L384:P384"/>
    <mergeCell ref="Q384:Z384"/>
    <mergeCell ref="E385:G385"/>
    <mergeCell ref="H385:K385"/>
    <mergeCell ref="L385:P385"/>
    <mergeCell ref="Q385:Z385"/>
    <mergeCell ref="AA385:AQ385"/>
    <mergeCell ref="B385:D385"/>
    <mergeCell ref="B386:D386"/>
    <mergeCell ref="E386:G386"/>
    <mergeCell ref="H386:K386"/>
    <mergeCell ref="L386:P386"/>
    <mergeCell ref="Q386:Z386"/>
    <mergeCell ref="AA386:AQ386"/>
    <mergeCell ref="B387:D387"/>
    <mergeCell ref="E387:G387"/>
    <mergeCell ref="H387:K387"/>
    <mergeCell ref="L387:P387"/>
    <mergeCell ref="Q387:Z387"/>
    <mergeCell ref="AA387:AQ387"/>
    <mergeCell ref="B388:D388"/>
    <mergeCell ref="AA388:AQ388"/>
    <mergeCell ref="E390:G390"/>
    <mergeCell ref="H390:K390"/>
    <mergeCell ref="Q390:Z390"/>
    <mergeCell ref="AA390:AQ390"/>
    <mergeCell ref="B390:D390"/>
    <mergeCell ref="B391:D391"/>
    <mergeCell ref="E391:G391"/>
    <mergeCell ref="H391:K391"/>
    <mergeCell ref="L391:P391"/>
    <mergeCell ref="Q391:Z391"/>
    <mergeCell ref="AA391:AQ391"/>
    <mergeCell ref="L388:P388"/>
    <mergeCell ref="Q388:Z388"/>
    <mergeCell ref="Q389:Z389"/>
    <mergeCell ref="AA389:AQ389"/>
    <mergeCell ref="E388:G388"/>
    <mergeCell ref="H388:K388"/>
    <mergeCell ref="B389:D389"/>
    <mergeCell ref="E389:G389"/>
    <mergeCell ref="H389:K389"/>
    <mergeCell ref="L389:P389"/>
    <mergeCell ref="L390:P390"/>
    <mergeCell ref="E393:G393"/>
    <mergeCell ref="H393:K393"/>
    <mergeCell ref="AA393:AQ393"/>
    <mergeCell ref="L397:P397"/>
    <mergeCell ref="Q397:Z397"/>
    <mergeCell ref="Q398:Z398"/>
    <mergeCell ref="AA398:AQ398"/>
    <mergeCell ref="E397:G397"/>
    <mergeCell ref="H397:K397"/>
    <mergeCell ref="B398:D398"/>
    <mergeCell ref="E398:G398"/>
    <mergeCell ref="H398:K398"/>
    <mergeCell ref="L398:P398"/>
    <mergeCell ref="L399:P399"/>
    <mergeCell ref="B392:D392"/>
    <mergeCell ref="E392:G392"/>
    <mergeCell ref="H392:K392"/>
    <mergeCell ref="L392:P392"/>
    <mergeCell ref="Q392:Z392"/>
    <mergeCell ref="AA392:AQ392"/>
    <mergeCell ref="B393:D393"/>
    <mergeCell ref="L393:P393"/>
    <mergeCell ref="Q393:Z393"/>
    <mergeCell ref="E394:G394"/>
    <mergeCell ref="H394:K394"/>
    <mergeCell ref="L394:P394"/>
    <mergeCell ref="Q394:Z394"/>
    <mergeCell ref="AA394:AQ394"/>
    <mergeCell ref="B394:D394"/>
    <mergeCell ref="B395:D395"/>
    <mergeCell ref="E395:G395"/>
    <mergeCell ref="H395:K395"/>
    <mergeCell ref="L395:P395"/>
    <mergeCell ref="Q395:Z395"/>
    <mergeCell ref="AA395:AQ395"/>
    <mergeCell ref="B396:D396"/>
    <mergeCell ref="E396:G396"/>
    <mergeCell ref="H396:K396"/>
    <mergeCell ref="L396:P396"/>
    <mergeCell ref="Q396:Z396"/>
    <mergeCell ref="AA396:AQ396"/>
    <mergeCell ref="B397:D397"/>
    <mergeCell ref="AA397:AQ397"/>
    <mergeCell ref="E399:G399"/>
    <mergeCell ref="H399:K399"/>
    <mergeCell ref="Q399:Z399"/>
    <mergeCell ref="AA399:AQ399"/>
    <mergeCell ref="B399:D399"/>
    <mergeCell ref="B400:D400"/>
    <mergeCell ref="E400:G400"/>
    <mergeCell ref="H400:K400"/>
    <mergeCell ref="L400:P400"/>
    <mergeCell ref="Q400:Z400"/>
    <mergeCell ref="AA400:AQ400"/>
    <mergeCell ref="E402:G402"/>
    <mergeCell ref="H402:K402"/>
    <mergeCell ref="AA402:AQ402"/>
    <mergeCell ref="L406:P406"/>
    <mergeCell ref="Q406:Z406"/>
    <mergeCell ref="Q407:Z407"/>
    <mergeCell ref="AA407:AQ407"/>
    <mergeCell ref="E406:G406"/>
    <mergeCell ref="H406:K406"/>
    <mergeCell ref="B407:D407"/>
    <mergeCell ref="E407:G407"/>
    <mergeCell ref="H407:K407"/>
    <mergeCell ref="L407:P407"/>
    <mergeCell ref="L408:P408"/>
    <mergeCell ref="B401:D401"/>
    <mergeCell ref="E401:G401"/>
    <mergeCell ref="H401:K401"/>
    <mergeCell ref="L401:P401"/>
    <mergeCell ref="Q401:Z401"/>
    <mergeCell ref="AA401:AQ401"/>
    <mergeCell ref="B402:D402"/>
    <mergeCell ref="L402:P402"/>
    <mergeCell ref="Q402:Z402"/>
    <mergeCell ref="E403:G403"/>
    <mergeCell ref="H403:K403"/>
    <mergeCell ref="L403:P403"/>
    <mergeCell ref="Q403:Z403"/>
    <mergeCell ref="AA403:AQ403"/>
    <mergeCell ref="B403:D403"/>
    <mergeCell ref="B404:D404"/>
    <mergeCell ref="E404:G404"/>
    <mergeCell ref="H404:K404"/>
    <mergeCell ref="L404:P404"/>
    <mergeCell ref="Q404:Z404"/>
    <mergeCell ref="AA404:AQ404"/>
    <mergeCell ref="B405:D405"/>
    <mergeCell ref="E405:G405"/>
    <mergeCell ref="H405:K405"/>
    <mergeCell ref="L405:P405"/>
    <mergeCell ref="Q405:Z405"/>
    <mergeCell ref="AA405:AQ405"/>
    <mergeCell ref="B406:D406"/>
    <mergeCell ref="AA406:AQ406"/>
    <mergeCell ref="E408:G408"/>
    <mergeCell ref="H408:K408"/>
    <mergeCell ref="Q408:Z408"/>
    <mergeCell ref="AA408:AQ408"/>
    <mergeCell ref="B408:D408"/>
    <mergeCell ref="B409:D409"/>
    <mergeCell ref="E409:G409"/>
    <mergeCell ref="H409:K409"/>
    <mergeCell ref="L409:P409"/>
    <mergeCell ref="Q409:Z409"/>
    <mergeCell ref="AA409:AQ409"/>
    <mergeCell ref="E411:G411"/>
    <mergeCell ref="H411:K411"/>
    <mergeCell ref="AA411:AQ411"/>
    <mergeCell ref="L415:P415"/>
    <mergeCell ref="Q415:Z415"/>
    <mergeCell ref="Q416:Z416"/>
    <mergeCell ref="AA416:AQ416"/>
    <mergeCell ref="E415:G415"/>
    <mergeCell ref="H415:K415"/>
    <mergeCell ref="B416:D416"/>
    <mergeCell ref="E416:G416"/>
    <mergeCell ref="H416:K416"/>
    <mergeCell ref="L416:P416"/>
    <mergeCell ref="L417:P417"/>
    <mergeCell ref="B410:D410"/>
    <mergeCell ref="E410:G410"/>
    <mergeCell ref="H410:K410"/>
    <mergeCell ref="L410:P410"/>
    <mergeCell ref="Q410:Z410"/>
    <mergeCell ref="AA410:AQ410"/>
    <mergeCell ref="B411:D411"/>
    <mergeCell ref="L411:P411"/>
    <mergeCell ref="Q411:Z411"/>
    <mergeCell ref="E412:G412"/>
    <mergeCell ref="H412:K412"/>
    <mergeCell ref="L412:P412"/>
    <mergeCell ref="Q412:Z412"/>
    <mergeCell ref="AA412:AQ412"/>
    <mergeCell ref="B412:D412"/>
    <mergeCell ref="B413:D413"/>
    <mergeCell ref="E413:G413"/>
    <mergeCell ref="H413:K413"/>
    <mergeCell ref="L413:P413"/>
    <mergeCell ref="Q413:Z413"/>
    <mergeCell ref="AA413:AQ413"/>
    <mergeCell ref="B414:D414"/>
    <mergeCell ref="E414:G414"/>
    <mergeCell ref="H414:K414"/>
    <mergeCell ref="L414:P414"/>
    <mergeCell ref="Q414:Z414"/>
    <mergeCell ref="AA414:AQ414"/>
    <mergeCell ref="B415:D415"/>
    <mergeCell ref="AA415:AQ415"/>
    <mergeCell ref="E417:G417"/>
    <mergeCell ref="H417:K417"/>
    <mergeCell ref="Q417:Z417"/>
    <mergeCell ref="AA417:AQ417"/>
    <mergeCell ref="B417:D417"/>
    <mergeCell ref="B418:D418"/>
    <mergeCell ref="E418:G418"/>
    <mergeCell ref="H418:K418"/>
    <mergeCell ref="L418:P418"/>
    <mergeCell ref="Q418:Z418"/>
    <mergeCell ref="AA418:AQ418"/>
    <mergeCell ref="E420:G420"/>
    <mergeCell ref="H420:K420"/>
    <mergeCell ref="AA420:AQ420"/>
    <mergeCell ref="L424:P424"/>
    <mergeCell ref="Q424:Z424"/>
    <mergeCell ref="Q425:Z425"/>
    <mergeCell ref="AA425:AQ425"/>
    <mergeCell ref="E424:G424"/>
    <mergeCell ref="H424:K424"/>
    <mergeCell ref="B425:D425"/>
    <mergeCell ref="E425:G425"/>
    <mergeCell ref="H425:K425"/>
    <mergeCell ref="L425:P425"/>
    <mergeCell ref="L426:P426"/>
    <mergeCell ref="B419:D419"/>
    <mergeCell ref="E419:G419"/>
    <mergeCell ref="H419:K419"/>
    <mergeCell ref="L419:P419"/>
    <mergeCell ref="Q419:Z419"/>
    <mergeCell ref="AA419:AQ419"/>
    <mergeCell ref="B420:D420"/>
    <mergeCell ref="L420:P420"/>
    <mergeCell ref="Q420:Z420"/>
    <mergeCell ref="E421:G421"/>
    <mergeCell ref="H421:K421"/>
    <mergeCell ref="L421:P421"/>
    <mergeCell ref="Q421:Z421"/>
    <mergeCell ref="AA421:AQ421"/>
    <mergeCell ref="B421:D421"/>
    <mergeCell ref="B422:D422"/>
    <mergeCell ref="E422:G422"/>
    <mergeCell ref="H422:K422"/>
    <mergeCell ref="L422:P422"/>
    <mergeCell ref="Q422:Z422"/>
    <mergeCell ref="AA422:AQ422"/>
    <mergeCell ref="B423:D423"/>
    <mergeCell ref="E423:G423"/>
    <mergeCell ref="H423:K423"/>
    <mergeCell ref="L423:P423"/>
    <mergeCell ref="Q423:Z423"/>
    <mergeCell ref="AA423:AQ423"/>
    <mergeCell ref="B424:D424"/>
    <mergeCell ref="AA424:AQ424"/>
    <mergeCell ref="E426:G426"/>
    <mergeCell ref="H426:K426"/>
    <mergeCell ref="Q426:Z426"/>
    <mergeCell ref="AA426:AQ426"/>
    <mergeCell ref="B426:D426"/>
    <mergeCell ref="B427:D427"/>
    <mergeCell ref="E427:G427"/>
    <mergeCell ref="H427:K427"/>
    <mergeCell ref="L427:P427"/>
    <mergeCell ref="Q427:Z427"/>
    <mergeCell ref="AA427:AQ427"/>
    <mergeCell ref="E429:G429"/>
    <mergeCell ref="H429:K429"/>
    <mergeCell ref="AA429:AQ429"/>
    <mergeCell ref="L433:P433"/>
    <mergeCell ref="Q433:Z433"/>
    <mergeCell ref="Q434:Z434"/>
    <mergeCell ref="AA434:AQ434"/>
    <mergeCell ref="E433:G433"/>
    <mergeCell ref="H433:K433"/>
    <mergeCell ref="B434:D434"/>
    <mergeCell ref="E434:G434"/>
    <mergeCell ref="H434:K434"/>
    <mergeCell ref="L434:P434"/>
    <mergeCell ref="L435:P435"/>
    <mergeCell ref="E438:G438"/>
    <mergeCell ref="H438:K438"/>
    <mergeCell ref="E439:G439"/>
    <mergeCell ref="H439:K439"/>
    <mergeCell ref="L439:P439"/>
    <mergeCell ref="Q439:Z439"/>
    <mergeCell ref="AA439:AQ439"/>
    <mergeCell ref="B439:D439"/>
    <mergeCell ref="AA432:AQ432"/>
    <mergeCell ref="B433:D433"/>
    <mergeCell ref="AA433:AQ433"/>
    <mergeCell ref="E435:G435"/>
    <mergeCell ref="H435:K435"/>
    <mergeCell ref="Q435:Z435"/>
    <mergeCell ref="AA435:AQ435"/>
    <mergeCell ref="B435:D435"/>
    <mergeCell ref="B436:D436"/>
    <mergeCell ref="E436:G436"/>
    <mergeCell ref="B440:D440"/>
    <mergeCell ref="E440:G440"/>
    <mergeCell ref="H440:K440"/>
    <mergeCell ref="L440:P440"/>
    <mergeCell ref="Q440:Z440"/>
    <mergeCell ref="AA440:AQ440"/>
    <mergeCell ref="L442:P442"/>
    <mergeCell ref="Q442:Z442"/>
    <mergeCell ref="B441:D441"/>
    <mergeCell ref="E441:G441"/>
    <mergeCell ref="H441:K441"/>
    <mergeCell ref="L441:P441"/>
    <mergeCell ref="Q441:Z441"/>
    <mergeCell ref="AA441:AQ441"/>
    <mergeCell ref="B442:D442"/>
    <mergeCell ref="AA442:AQ442"/>
    <mergeCell ref="E442:G442"/>
    <mergeCell ref="H442:K442"/>
    <mergeCell ref="E443:G443"/>
    <mergeCell ref="H443:K443"/>
    <mergeCell ref="L443:P443"/>
    <mergeCell ref="Q443:Z443"/>
    <mergeCell ref="AA443:AQ443"/>
    <mergeCell ref="B443:D443"/>
    <mergeCell ref="B444:D444"/>
    <mergeCell ref="E444:G444"/>
    <mergeCell ref="H444:K444"/>
    <mergeCell ref="L444:P444"/>
    <mergeCell ref="Q444:Z444"/>
    <mergeCell ref="AA444:AQ444"/>
    <mergeCell ref="L446:P446"/>
    <mergeCell ref="Q446:Z446"/>
    <mergeCell ref="B445:D445"/>
    <mergeCell ref="E445:G445"/>
    <mergeCell ref="H445:K445"/>
    <mergeCell ref="L445:P445"/>
    <mergeCell ref="Q445:Z445"/>
    <mergeCell ref="AA445:AQ445"/>
    <mergeCell ref="B446:D446"/>
    <mergeCell ref="AA446:AQ446"/>
    <mergeCell ref="E446:G446"/>
    <mergeCell ref="H446:K446"/>
    <mergeCell ref="E447:G447"/>
    <mergeCell ref="H447:K447"/>
    <mergeCell ref="L447:P447"/>
    <mergeCell ref="Q447:Z447"/>
    <mergeCell ref="AA447:AQ447"/>
    <mergeCell ref="B447:D447"/>
    <mergeCell ref="B448:D448"/>
    <mergeCell ref="E448:G448"/>
    <mergeCell ref="H448:K448"/>
    <mergeCell ref="L448:P448"/>
    <mergeCell ref="Q448:Z448"/>
    <mergeCell ref="AA448:AQ448"/>
    <mergeCell ref="L450:P450"/>
    <mergeCell ref="Q450:Z450"/>
    <mergeCell ref="B449:D449"/>
    <mergeCell ref="E449:G449"/>
    <mergeCell ref="H449:K449"/>
    <mergeCell ref="L449:P449"/>
    <mergeCell ref="Q449:Z449"/>
    <mergeCell ref="AA449:AQ449"/>
    <mergeCell ref="B450:D450"/>
    <mergeCell ref="AA450:AQ450"/>
    <mergeCell ref="E450:G450"/>
    <mergeCell ref="H450:K450"/>
    <mergeCell ref="B1:D1"/>
    <mergeCell ref="E1:G1"/>
    <mergeCell ref="H1:K1"/>
    <mergeCell ref="L1:P1"/>
    <mergeCell ref="Q1:Z1"/>
    <mergeCell ref="AA1:AQ1"/>
    <mergeCell ref="A2:AD2"/>
    <mergeCell ref="A3:AD3"/>
    <mergeCell ref="A4:AQ4"/>
    <mergeCell ref="A5:E5"/>
    <mergeCell ref="F5:P5"/>
    <mergeCell ref="X5:AF5"/>
    <mergeCell ref="A6:E6"/>
    <mergeCell ref="F6:P6"/>
    <mergeCell ref="X6:AF6"/>
    <mergeCell ref="R5:W5"/>
    <mergeCell ref="R6:W6"/>
    <mergeCell ref="F7:P8"/>
    <mergeCell ref="R7:W7"/>
    <mergeCell ref="X7:AF7"/>
    <mergeCell ref="R8:W8"/>
    <mergeCell ref="X8:AF8"/>
    <mergeCell ref="X9:AF9"/>
    <mergeCell ref="L12:P12"/>
    <mergeCell ref="Q12:Z12"/>
    <mergeCell ref="AA12:AQ12"/>
    <mergeCell ref="AA13:AQ13"/>
    <mergeCell ref="A7:E8"/>
    <mergeCell ref="A9:E9"/>
    <mergeCell ref="F9:M9"/>
    <mergeCell ref="N9:P9"/>
    <mergeCell ref="R9:W9"/>
    <mergeCell ref="A10:AC10"/>
    <mergeCell ref="B12:D12"/>
    <mergeCell ref="E12:G12"/>
    <mergeCell ref="H12:K12"/>
    <mergeCell ref="B13:D13"/>
    <mergeCell ref="E13:G13"/>
    <mergeCell ref="H13:K13"/>
    <mergeCell ref="L13:P13"/>
    <mergeCell ref="Q13:Z13"/>
    <mergeCell ref="E15:G15"/>
    <mergeCell ref="H15:K15"/>
    <mergeCell ref="L19:P19"/>
    <mergeCell ref="Q19:Z19"/>
    <mergeCell ref="Q20:Z20"/>
    <mergeCell ref="AA20:AQ20"/>
    <mergeCell ref="E19:G19"/>
    <mergeCell ref="H19:K19"/>
    <mergeCell ref="B20:D20"/>
    <mergeCell ref="E20:G20"/>
    <mergeCell ref="H20:K20"/>
    <mergeCell ref="L20:P20"/>
    <mergeCell ref="L21:P21"/>
    <mergeCell ref="L24:P24"/>
    <mergeCell ref="Q24:Z24"/>
    <mergeCell ref="B23:D23"/>
    <mergeCell ref="E23:G23"/>
    <mergeCell ref="H23:K23"/>
    <mergeCell ref="L23:P23"/>
    <mergeCell ref="Q23:Z23"/>
    <mergeCell ref="AA23:AQ23"/>
    <mergeCell ref="B24:D24"/>
    <mergeCell ref="AA24:AQ24"/>
    <mergeCell ref="E24:G24"/>
    <mergeCell ref="H24:K24"/>
    <mergeCell ref="B17:D17"/>
    <mergeCell ref="E17:G17"/>
    <mergeCell ref="H17:K17"/>
    <mergeCell ref="L17:P17"/>
    <mergeCell ref="Q17:Z17"/>
    <mergeCell ref="AA17:AQ17"/>
    <mergeCell ref="B18:D18"/>
    <mergeCell ref="E25:G25"/>
    <mergeCell ref="H25:K25"/>
    <mergeCell ref="L25:P25"/>
    <mergeCell ref="Q25:Z25"/>
    <mergeCell ref="AA25:AQ25"/>
    <mergeCell ref="B25:D25"/>
    <mergeCell ref="B26:D26"/>
    <mergeCell ref="E26:G26"/>
    <mergeCell ref="H26:K26"/>
    <mergeCell ref="L26:P26"/>
    <mergeCell ref="Q26:Z26"/>
    <mergeCell ref="AA26:AQ26"/>
    <mergeCell ref="L28:P28"/>
    <mergeCell ref="Q28:Z28"/>
    <mergeCell ref="B27:D27"/>
    <mergeCell ref="E27:G27"/>
    <mergeCell ref="H27:K27"/>
    <mergeCell ref="L27:P27"/>
    <mergeCell ref="Q27:Z27"/>
    <mergeCell ref="AA27:AQ27"/>
    <mergeCell ref="B28:D28"/>
    <mergeCell ref="AA28:AQ28"/>
    <mergeCell ref="E28:G28"/>
    <mergeCell ref="H28:K28"/>
    <mergeCell ref="AA29:AQ29"/>
    <mergeCell ref="B29:D29"/>
    <mergeCell ref="B30:D30"/>
    <mergeCell ref="E30:G30"/>
    <mergeCell ref="H30:K30"/>
    <mergeCell ref="L30:P30"/>
    <mergeCell ref="Q30:Z30"/>
    <mergeCell ref="AA30:AQ30"/>
    <mergeCell ref="L32:P32"/>
    <mergeCell ref="Q32:Z32"/>
    <mergeCell ref="B31:D31"/>
    <mergeCell ref="E31:G31"/>
    <mergeCell ref="H31:K31"/>
    <mergeCell ref="L31:P31"/>
    <mergeCell ref="Q31:Z31"/>
    <mergeCell ref="AA31:AQ31"/>
    <mergeCell ref="B32:D32"/>
    <mergeCell ref="AA32:AQ32"/>
    <mergeCell ref="E32:G32"/>
    <mergeCell ref="H32:K32"/>
    <mergeCell ref="B47:D47"/>
    <mergeCell ref="E47:G47"/>
    <mergeCell ref="H47:K47"/>
    <mergeCell ref="L47:P47"/>
    <mergeCell ref="Q47:Z47"/>
    <mergeCell ref="AA47:AQ47"/>
    <mergeCell ref="B48:D48"/>
    <mergeCell ref="L48:P48"/>
    <mergeCell ref="Q48:Z48"/>
    <mergeCell ref="E49:G49"/>
    <mergeCell ref="H49:K49"/>
    <mergeCell ref="L49:P49"/>
    <mergeCell ref="Q49:Z49"/>
    <mergeCell ref="AA49:AQ49"/>
    <mergeCell ref="B49:D49"/>
    <mergeCell ref="B50:D50"/>
    <mergeCell ref="E50:G50"/>
    <mergeCell ref="H50:K50"/>
    <mergeCell ref="L50:P50"/>
    <mergeCell ref="Q50:Z50"/>
    <mergeCell ref="AA50:AQ50"/>
    <mergeCell ref="E48:G48"/>
    <mergeCell ref="H48:K48"/>
    <mergeCell ref="AA48:AQ48"/>
    <mergeCell ref="B51:D51"/>
    <mergeCell ref="E51:G51"/>
    <mergeCell ref="H51:K51"/>
    <mergeCell ref="L51:P51"/>
    <mergeCell ref="Q51:Z51"/>
    <mergeCell ref="AA51:AQ51"/>
    <mergeCell ref="B52:D52"/>
    <mergeCell ref="AA52:AQ52"/>
    <mergeCell ref="E54:G54"/>
    <mergeCell ref="H54:K54"/>
    <mergeCell ref="Q54:Z54"/>
    <mergeCell ref="AA54:AQ54"/>
    <mergeCell ref="B54:D54"/>
    <mergeCell ref="B55:D55"/>
    <mergeCell ref="E55:G55"/>
    <mergeCell ref="H55:K55"/>
    <mergeCell ref="L55:P55"/>
    <mergeCell ref="Q55:Z55"/>
    <mergeCell ref="AA55:AQ55"/>
    <mergeCell ref="L52:P52"/>
    <mergeCell ref="Q52:Z52"/>
    <mergeCell ref="Q53:Z53"/>
    <mergeCell ref="AA53:AQ53"/>
    <mergeCell ref="E52:G52"/>
    <mergeCell ref="H52:K52"/>
    <mergeCell ref="B53:D53"/>
    <mergeCell ref="E53:G53"/>
    <mergeCell ref="H53:K53"/>
    <mergeCell ref="L53:P53"/>
    <mergeCell ref="L54:P54"/>
    <mergeCell ref="E57:G57"/>
    <mergeCell ref="H57:K57"/>
    <mergeCell ref="AA57:AQ57"/>
    <mergeCell ref="L61:P61"/>
    <mergeCell ref="Q61:Z61"/>
    <mergeCell ref="Q62:Z62"/>
    <mergeCell ref="AA62:AQ62"/>
    <mergeCell ref="E61:G61"/>
    <mergeCell ref="H61:K61"/>
    <mergeCell ref="B62:D62"/>
    <mergeCell ref="E62:G62"/>
    <mergeCell ref="H62:K62"/>
    <mergeCell ref="L62:P62"/>
    <mergeCell ref="L63:P63"/>
    <mergeCell ref="B56:D56"/>
    <mergeCell ref="E56:G56"/>
    <mergeCell ref="H56:K56"/>
    <mergeCell ref="L56:P56"/>
    <mergeCell ref="Q56:Z56"/>
    <mergeCell ref="AA56:AQ56"/>
    <mergeCell ref="B57:D57"/>
    <mergeCell ref="L57:P57"/>
    <mergeCell ref="Q57:Z57"/>
    <mergeCell ref="E58:G58"/>
    <mergeCell ref="H58:K58"/>
    <mergeCell ref="L58:P58"/>
    <mergeCell ref="Q58:Z58"/>
    <mergeCell ref="AA58:AQ58"/>
    <mergeCell ref="B58:D58"/>
    <mergeCell ref="B59:D59"/>
    <mergeCell ref="E59:G59"/>
    <mergeCell ref="H59:K59"/>
    <mergeCell ref="L59:P59"/>
    <mergeCell ref="Q59:Z59"/>
    <mergeCell ref="AA59:AQ59"/>
    <mergeCell ref="B60:D60"/>
    <mergeCell ref="E60:G60"/>
    <mergeCell ref="H60:K60"/>
    <mergeCell ref="L60:P60"/>
    <mergeCell ref="Q60:Z60"/>
    <mergeCell ref="AA60:AQ60"/>
    <mergeCell ref="B61:D61"/>
    <mergeCell ref="AA61:AQ61"/>
    <mergeCell ref="E63:G63"/>
    <mergeCell ref="H63:K63"/>
    <mergeCell ref="Q63:Z63"/>
    <mergeCell ref="AA63:AQ63"/>
    <mergeCell ref="B63:D63"/>
    <mergeCell ref="B64:D64"/>
    <mergeCell ref="E64:G64"/>
    <mergeCell ref="H64:K64"/>
    <mergeCell ref="L64:P64"/>
    <mergeCell ref="Q64:Z64"/>
    <mergeCell ref="AA64:AQ64"/>
    <mergeCell ref="E66:G66"/>
    <mergeCell ref="H66:K66"/>
    <mergeCell ref="AA66:AQ66"/>
    <mergeCell ref="L70:P70"/>
    <mergeCell ref="Q70:Z70"/>
    <mergeCell ref="Q71:Z71"/>
    <mergeCell ref="AA71:AQ71"/>
    <mergeCell ref="E70:G70"/>
    <mergeCell ref="H70:K70"/>
    <mergeCell ref="B71:D71"/>
    <mergeCell ref="E71:G71"/>
    <mergeCell ref="H71:K71"/>
    <mergeCell ref="L71:P71"/>
    <mergeCell ref="L72:P72"/>
    <mergeCell ref="B65:D65"/>
    <mergeCell ref="E65:G65"/>
    <mergeCell ref="H65:K65"/>
    <mergeCell ref="L65:P65"/>
    <mergeCell ref="Q65:Z65"/>
    <mergeCell ref="AA65:AQ65"/>
    <mergeCell ref="B66:D66"/>
    <mergeCell ref="L66:P66"/>
    <mergeCell ref="Q66:Z66"/>
    <mergeCell ref="E67:G67"/>
    <mergeCell ref="H67:K67"/>
    <mergeCell ref="L67:P67"/>
    <mergeCell ref="Q67:Z67"/>
    <mergeCell ref="AA67:AQ67"/>
    <mergeCell ref="B67:D67"/>
    <mergeCell ref="B68:D68"/>
    <mergeCell ref="E68:G68"/>
    <mergeCell ref="H68:K68"/>
    <mergeCell ref="L68:P68"/>
    <mergeCell ref="Q68:Z68"/>
    <mergeCell ref="AA68:AQ68"/>
    <mergeCell ref="B69:D69"/>
    <mergeCell ref="E69:G69"/>
    <mergeCell ref="H69:K69"/>
    <mergeCell ref="L69:P69"/>
    <mergeCell ref="Q69:Z69"/>
    <mergeCell ref="AA69:AQ69"/>
    <mergeCell ref="B70:D70"/>
    <mergeCell ref="AA70:AQ70"/>
    <mergeCell ref="E72:G72"/>
    <mergeCell ref="H72:K72"/>
    <mergeCell ref="Q72:Z72"/>
    <mergeCell ref="AA72:AQ72"/>
    <mergeCell ref="B72:D72"/>
    <mergeCell ref="B73:D73"/>
    <mergeCell ref="E73:G73"/>
    <mergeCell ref="H73:K73"/>
    <mergeCell ref="L73:P73"/>
    <mergeCell ref="Q73:Z73"/>
    <mergeCell ref="AA73:AQ73"/>
    <mergeCell ref="E75:G75"/>
    <mergeCell ref="H75:K75"/>
    <mergeCell ref="AA75:AQ75"/>
    <mergeCell ref="L79:P79"/>
    <mergeCell ref="Q79:Z79"/>
    <mergeCell ref="Q80:Z80"/>
    <mergeCell ref="AA80:AQ80"/>
    <mergeCell ref="E79:G79"/>
    <mergeCell ref="H79:K79"/>
    <mergeCell ref="B80:D80"/>
    <mergeCell ref="E80:G80"/>
    <mergeCell ref="H80:K80"/>
    <mergeCell ref="L80:P80"/>
    <mergeCell ref="L81:P81"/>
    <mergeCell ref="B74:D74"/>
    <mergeCell ref="E74:G74"/>
    <mergeCell ref="H74:K74"/>
    <mergeCell ref="L74:P74"/>
    <mergeCell ref="Q74:Z74"/>
    <mergeCell ref="AA74:AQ74"/>
    <mergeCell ref="B75:D75"/>
    <mergeCell ref="L75:P75"/>
    <mergeCell ref="Q75:Z75"/>
    <mergeCell ref="E76:G76"/>
    <mergeCell ref="H76:K76"/>
    <mergeCell ref="L76:P76"/>
    <mergeCell ref="Q76:Z76"/>
    <mergeCell ref="AA76:AQ76"/>
    <mergeCell ref="B76:D76"/>
    <mergeCell ref="B77:D77"/>
    <mergeCell ref="E77:G77"/>
    <mergeCell ref="H77:K77"/>
    <mergeCell ref="L77:P77"/>
    <mergeCell ref="Q77:Z77"/>
    <mergeCell ref="AA77:AQ77"/>
    <mergeCell ref="B78:D78"/>
    <mergeCell ref="E78:G78"/>
    <mergeCell ref="H78:K78"/>
    <mergeCell ref="L78:P78"/>
    <mergeCell ref="Q78:Z78"/>
    <mergeCell ref="AA78:AQ78"/>
    <mergeCell ref="B79:D79"/>
    <mergeCell ref="AA79:AQ79"/>
    <mergeCell ref="E81:G81"/>
    <mergeCell ref="H81:K81"/>
    <mergeCell ref="Q81:Z81"/>
    <mergeCell ref="AA81:AQ81"/>
    <mergeCell ref="B81:D81"/>
    <mergeCell ref="B82:D82"/>
    <mergeCell ref="E82:G82"/>
    <mergeCell ref="H82:K82"/>
    <mergeCell ref="L82:P82"/>
    <mergeCell ref="Q82:Z82"/>
    <mergeCell ref="AA82:AQ82"/>
    <mergeCell ref="E84:G84"/>
    <mergeCell ref="H84:K84"/>
    <mergeCell ref="AA84:AQ84"/>
    <mergeCell ref="L88:P88"/>
    <mergeCell ref="Q88:Z88"/>
    <mergeCell ref="Q89:Z89"/>
    <mergeCell ref="AA89:AQ89"/>
    <mergeCell ref="E88:G88"/>
    <mergeCell ref="H88:K88"/>
    <mergeCell ref="B89:D89"/>
    <mergeCell ref="E89:G89"/>
    <mergeCell ref="H89:K89"/>
    <mergeCell ref="L89:P89"/>
    <mergeCell ref="L90:P90"/>
    <mergeCell ref="B83:D83"/>
    <mergeCell ref="E83:G83"/>
    <mergeCell ref="H83:K83"/>
    <mergeCell ref="L83:P83"/>
    <mergeCell ref="Q83:Z83"/>
    <mergeCell ref="AA83:AQ83"/>
    <mergeCell ref="B84:D84"/>
    <mergeCell ref="L84:P84"/>
    <mergeCell ref="Q84:Z84"/>
    <mergeCell ref="E85:G85"/>
    <mergeCell ref="H85:K85"/>
    <mergeCell ref="L85:P85"/>
    <mergeCell ref="Q85:Z85"/>
    <mergeCell ref="AA85:AQ85"/>
    <mergeCell ref="B85:D85"/>
    <mergeCell ref="B86:D86"/>
    <mergeCell ref="E86:G86"/>
    <mergeCell ref="H86:K86"/>
    <mergeCell ref="L86:P86"/>
    <mergeCell ref="Q86:Z86"/>
    <mergeCell ref="AA86:AQ86"/>
    <mergeCell ref="B87:D87"/>
    <mergeCell ref="E87:G87"/>
    <mergeCell ref="H87:K87"/>
    <mergeCell ref="L87:P87"/>
    <mergeCell ref="Q87:Z87"/>
    <mergeCell ref="AA87:AQ87"/>
    <mergeCell ref="B88:D88"/>
    <mergeCell ref="AA88:AQ88"/>
    <mergeCell ref="E90:G90"/>
    <mergeCell ref="H90:K90"/>
    <mergeCell ref="Q90:Z90"/>
    <mergeCell ref="AA90:AQ90"/>
    <mergeCell ref="B90:D90"/>
    <mergeCell ref="B91:D91"/>
    <mergeCell ref="E91:G91"/>
    <mergeCell ref="H91:K91"/>
    <mergeCell ref="L91:P91"/>
    <mergeCell ref="Q91:Z91"/>
    <mergeCell ref="AA91:AQ91"/>
    <mergeCell ref="E93:G93"/>
    <mergeCell ref="H93:K93"/>
    <mergeCell ref="AA93:AQ93"/>
    <mergeCell ref="L97:P97"/>
    <mergeCell ref="Q97:Z97"/>
    <mergeCell ref="Q98:Z98"/>
    <mergeCell ref="AA98:AQ98"/>
    <mergeCell ref="E97:G97"/>
    <mergeCell ref="H97:K97"/>
    <mergeCell ref="B98:D98"/>
    <mergeCell ref="E98:G98"/>
    <mergeCell ref="H98:K98"/>
    <mergeCell ref="L98:P98"/>
    <mergeCell ref="L99:P99"/>
    <mergeCell ref="B92:D92"/>
    <mergeCell ref="E92:G92"/>
    <mergeCell ref="H92:K92"/>
    <mergeCell ref="L92:P92"/>
    <mergeCell ref="Q92:Z92"/>
    <mergeCell ref="AA92:AQ92"/>
    <mergeCell ref="B93:D93"/>
    <mergeCell ref="L93:P93"/>
    <mergeCell ref="Q93:Z93"/>
    <mergeCell ref="E94:G94"/>
    <mergeCell ref="H94:K94"/>
    <mergeCell ref="L94:P94"/>
    <mergeCell ref="Q94:Z94"/>
    <mergeCell ref="AA94:AQ94"/>
    <mergeCell ref="B94:D94"/>
    <mergeCell ref="B95:D95"/>
    <mergeCell ref="E95:G95"/>
    <mergeCell ref="H95:K95"/>
    <mergeCell ref="L95:P95"/>
    <mergeCell ref="Q95:Z95"/>
    <mergeCell ref="AA95:AQ95"/>
    <mergeCell ref="B96:D96"/>
    <mergeCell ref="E96:G96"/>
    <mergeCell ref="H96:K96"/>
    <mergeCell ref="L96:P96"/>
    <mergeCell ref="Q96:Z96"/>
    <mergeCell ref="AA96:AQ96"/>
    <mergeCell ref="B97:D97"/>
    <mergeCell ref="AA97:AQ97"/>
    <mergeCell ref="E99:G99"/>
    <mergeCell ref="H99:K99"/>
    <mergeCell ref="Q99:Z99"/>
    <mergeCell ref="AA99:AQ99"/>
    <mergeCell ref="B99:D99"/>
    <mergeCell ref="B100:D100"/>
    <mergeCell ref="E100:G100"/>
    <mergeCell ref="H100:K100"/>
    <mergeCell ref="L100:P100"/>
    <mergeCell ref="Q100:Z100"/>
    <mergeCell ref="AA100:AQ100"/>
    <mergeCell ref="E45:G45"/>
    <mergeCell ref="H45:K45"/>
    <mergeCell ref="L45:P45"/>
    <mergeCell ref="Q45:Z45"/>
    <mergeCell ref="AA45:AQ45"/>
    <mergeCell ref="B45:D45"/>
    <mergeCell ref="B46:D46"/>
    <mergeCell ref="E46:G46"/>
    <mergeCell ref="H46:K46"/>
    <mergeCell ref="L46:P46"/>
    <mergeCell ref="Q46:Z46"/>
    <mergeCell ref="AA46:AQ46"/>
    <mergeCell ref="B14:D14"/>
    <mergeCell ref="E14:G14"/>
    <mergeCell ref="H14:K14"/>
    <mergeCell ref="L14:P14"/>
    <mergeCell ref="Q14:Z14"/>
    <mergeCell ref="AA14:AQ14"/>
    <mergeCell ref="B15:D15"/>
    <mergeCell ref="AA15:AQ15"/>
    <mergeCell ref="L15:P15"/>
    <mergeCell ref="Q15:Z15"/>
    <mergeCell ref="E16:G16"/>
    <mergeCell ref="H16:K16"/>
    <mergeCell ref="L16:P16"/>
    <mergeCell ref="Q16:Z16"/>
    <mergeCell ref="AA16:AQ16"/>
    <mergeCell ref="B16:D16"/>
    <mergeCell ref="E29:G29"/>
    <mergeCell ref="H29:K29"/>
    <mergeCell ref="L29:P29"/>
    <mergeCell ref="Q29:Z29"/>
    <mergeCell ref="E18:G18"/>
    <mergeCell ref="H18:K18"/>
    <mergeCell ref="L18:P18"/>
    <mergeCell ref="Q18:Z18"/>
    <mergeCell ref="AA18:AQ18"/>
    <mergeCell ref="B19:D19"/>
    <mergeCell ref="AA19:AQ19"/>
    <mergeCell ref="E21:G21"/>
    <mergeCell ref="H21:K21"/>
    <mergeCell ref="Q21:Z21"/>
    <mergeCell ref="AA21:AQ21"/>
    <mergeCell ref="B21:D21"/>
    <mergeCell ref="B22:D22"/>
    <mergeCell ref="E22:G22"/>
    <mergeCell ref="H22:K22"/>
    <mergeCell ref="L22:P22"/>
    <mergeCell ref="Q22:Z22"/>
    <mergeCell ref="AA22:AQ22"/>
    <mergeCell ref="E33:G33"/>
    <mergeCell ref="H33:K33"/>
    <mergeCell ref="L33:P33"/>
    <mergeCell ref="Q33:Z33"/>
    <mergeCell ref="AA33:AQ33"/>
    <mergeCell ref="B33:D33"/>
    <mergeCell ref="B34:D34"/>
    <mergeCell ref="E34:G34"/>
    <mergeCell ref="H34:K34"/>
    <mergeCell ref="L34:P34"/>
    <mergeCell ref="Q34:Z34"/>
    <mergeCell ref="AA34:AQ34"/>
    <mergeCell ref="L36:P36"/>
    <mergeCell ref="Q36:Z36"/>
    <mergeCell ref="B35:D35"/>
    <mergeCell ref="E35:G35"/>
    <mergeCell ref="H35:K35"/>
    <mergeCell ref="L35:P35"/>
    <mergeCell ref="Q35:Z35"/>
    <mergeCell ref="AA35:AQ35"/>
    <mergeCell ref="B36:D36"/>
    <mergeCell ref="AA36:AQ36"/>
    <mergeCell ref="E36:G36"/>
    <mergeCell ref="H36:K36"/>
    <mergeCell ref="E37:G37"/>
    <mergeCell ref="H37:K37"/>
    <mergeCell ref="L37:P37"/>
    <mergeCell ref="Q37:Z37"/>
    <mergeCell ref="AA37:AQ37"/>
    <mergeCell ref="B37:D37"/>
    <mergeCell ref="B38:D38"/>
    <mergeCell ref="E38:G38"/>
    <mergeCell ref="H38:K38"/>
    <mergeCell ref="L38:P38"/>
    <mergeCell ref="Q38:Z38"/>
    <mergeCell ref="AA38:AQ38"/>
    <mergeCell ref="L40:P40"/>
    <mergeCell ref="Q40:Z40"/>
    <mergeCell ref="B39:D39"/>
    <mergeCell ref="E39:G39"/>
    <mergeCell ref="H39:K39"/>
    <mergeCell ref="L39:P39"/>
    <mergeCell ref="Q39:Z39"/>
    <mergeCell ref="AA39:AQ39"/>
    <mergeCell ref="B40:D40"/>
    <mergeCell ref="AA40:AQ40"/>
    <mergeCell ref="E40:G40"/>
    <mergeCell ref="H40:K40"/>
    <mergeCell ref="E41:G41"/>
    <mergeCell ref="H41:K41"/>
    <mergeCell ref="L41:P41"/>
    <mergeCell ref="Q41:Z41"/>
    <mergeCell ref="AA41:AQ41"/>
    <mergeCell ref="B41:D41"/>
    <mergeCell ref="B42:D42"/>
    <mergeCell ref="E42:G42"/>
    <mergeCell ref="H42:K42"/>
    <mergeCell ref="L42:P42"/>
    <mergeCell ref="Q42:Z42"/>
    <mergeCell ref="AA42:AQ42"/>
    <mergeCell ref="L44:P44"/>
    <mergeCell ref="Q44:Z44"/>
    <mergeCell ref="B43:D43"/>
    <mergeCell ref="E43:G43"/>
    <mergeCell ref="H43:K43"/>
    <mergeCell ref="L43:P43"/>
    <mergeCell ref="Q43:Z43"/>
    <mergeCell ref="AA43:AQ43"/>
    <mergeCell ref="B44:D44"/>
    <mergeCell ref="AA44:AQ44"/>
    <mergeCell ref="E44:G44"/>
    <mergeCell ref="H44:K44"/>
    <mergeCell ref="L165:P165"/>
    <mergeCell ref="Q165:Z165"/>
    <mergeCell ref="B164:D164"/>
    <mergeCell ref="E164:G164"/>
    <mergeCell ref="H164:K164"/>
    <mergeCell ref="L164:P164"/>
    <mergeCell ref="Q164:Z164"/>
    <mergeCell ref="AA164:AQ164"/>
    <mergeCell ref="B165:D165"/>
    <mergeCell ref="AA165:AQ165"/>
    <mergeCell ref="L106:P106"/>
    <mergeCell ref="Q106:Z106"/>
    <mergeCell ref="Q107:Z107"/>
    <mergeCell ref="AA107:AQ107"/>
    <mergeCell ref="E106:G106"/>
    <mergeCell ref="H106:K106"/>
    <mergeCell ref="B107:D107"/>
    <mergeCell ref="E107:G107"/>
    <mergeCell ref="H107:K107"/>
    <mergeCell ref="L107:P107"/>
    <mergeCell ref="L108:P108"/>
    <mergeCell ref="E111:G111"/>
    <mergeCell ref="H111:K111"/>
    <mergeCell ref="AA111:AQ111"/>
    <mergeCell ref="L115:P115"/>
    <mergeCell ref="Q115:Z115"/>
    <mergeCell ref="Q116:Z116"/>
    <mergeCell ref="AA116:AQ116"/>
    <mergeCell ref="E115:G115"/>
    <mergeCell ref="H115:K115"/>
    <mergeCell ref="B116:D116"/>
    <mergeCell ref="E116:G116"/>
    <mergeCell ref="B101:D101"/>
    <mergeCell ref="E101:G101"/>
    <mergeCell ref="H101:K101"/>
    <mergeCell ref="L101:P101"/>
    <mergeCell ref="Q101:Z101"/>
    <mergeCell ref="AA101:AQ101"/>
    <mergeCell ref="B102:D102"/>
    <mergeCell ref="AA102:AQ102"/>
    <mergeCell ref="L102:P102"/>
    <mergeCell ref="Q102:Z102"/>
    <mergeCell ref="E103:G103"/>
    <mergeCell ref="H103:K103"/>
    <mergeCell ref="L103:P103"/>
    <mergeCell ref="Q103:Z103"/>
    <mergeCell ref="AA103:AQ103"/>
    <mergeCell ref="B103:D103"/>
    <mergeCell ref="B104:D104"/>
    <mergeCell ref="E104:G104"/>
    <mergeCell ref="H104:K104"/>
    <mergeCell ref="L104:P104"/>
    <mergeCell ref="Q104:Z104"/>
    <mergeCell ref="AA104:AQ104"/>
    <mergeCell ref="E102:G102"/>
    <mergeCell ref="H102:K102"/>
    <mergeCell ref="B105:D105"/>
    <mergeCell ref="E105:G105"/>
    <mergeCell ref="H105:K105"/>
    <mergeCell ref="L105:P105"/>
    <mergeCell ref="Q105:Z105"/>
    <mergeCell ref="AA105:AQ105"/>
    <mergeCell ref="B106:D106"/>
    <mergeCell ref="AA106:AQ106"/>
    <mergeCell ref="E108:G108"/>
    <mergeCell ref="H108:K108"/>
    <mergeCell ref="Q108:Z108"/>
    <mergeCell ref="AA108:AQ108"/>
    <mergeCell ref="B108:D108"/>
    <mergeCell ref="B109:D109"/>
    <mergeCell ref="E109:G109"/>
    <mergeCell ref="H109:K109"/>
    <mergeCell ref="L109:P109"/>
    <mergeCell ref="Q109:Z109"/>
    <mergeCell ref="AA109:AQ109"/>
    <mergeCell ref="H116:K116"/>
    <mergeCell ref="L116:P116"/>
    <mergeCell ref="L117:P117"/>
    <mergeCell ref="B110:D110"/>
    <mergeCell ref="E110:G110"/>
    <mergeCell ref="H110:K110"/>
    <mergeCell ref="L110:P110"/>
    <mergeCell ref="Q110:Z110"/>
    <mergeCell ref="AA110:AQ110"/>
    <mergeCell ref="B111:D111"/>
    <mergeCell ref="L111:P111"/>
    <mergeCell ref="Q111:Z111"/>
    <mergeCell ref="E112:G112"/>
    <mergeCell ref="H112:K112"/>
    <mergeCell ref="L112:P112"/>
    <mergeCell ref="Q112:Z112"/>
    <mergeCell ref="AA112:AQ112"/>
    <mergeCell ref="B112:D112"/>
    <mergeCell ref="B113:D113"/>
    <mergeCell ref="E113:G113"/>
    <mergeCell ref="H113:K113"/>
    <mergeCell ref="L113:P113"/>
    <mergeCell ref="Q113:Z113"/>
    <mergeCell ref="AA113:AQ113"/>
    <mergeCell ref="B114:D114"/>
    <mergeCell ref="E114:G114"/>
    <mergeCell ref="H114:K114"/>
    <mergeCell ref="L114:P114"/>
    <mergeCell ref="Q114:Z114"/>
    <mergeCell ref="AA114:AQ114"/>
    <mergeCell ref="B115:D115"/>
    <mergeCell ref="AA115:AQ115"/>
    <mergeCell ref="E117:G117"/>
    <mergeCell ref="H117:K117"/>
    <mergeCell ref="Q117:Z117"/>
    <mergeCell ref="AA117:AQ117"/>
    <mergeCell ref="B117:D117"/>
    <mergeCell ref="B118:D118"/>
    <mergeCell ref="E118:G118"/>
    <mergeCell ref="H118:K118"/>
    <mergeCell ref="L118:P118"/>
    <mergeCell ref="Q118:Z118"/>
    <mergeCell ref="AA118:AQ118"/>
    <mergeCell ref="E120:G120"/>
    <mergeCell ref="H120:K120"/>
    <mergeCell ref="AA120:AQ120"/>
    <mergeCell ref="L124:P124"/>
    <mergeCell ref="Q124:Z124"/>
    <mergeCell ref="Q125:Z125"/>
    <mergeCell ref="AA125:AQ125"/>
    <mergeCell ref="E124:G124"/>
    <mergeCell ref="H124:K124"/>
    <mergeCell ref="B125:D125"/>
    <mergeCell ref="E125:G125"/>
    <mergeCell ref="H125:K125"/>
    <mergeCell ref="L125:P125"/>
    <mergeCell ref="L126:P126"/>
    <mergeCell ref="B119:D119"/>
    <mergeCell ref="E119:G119"/>
    <mergeCell ref="H119:K119"/>
    <mergeCell ref="L119:P119"/>
    <mergeCell ref="Q119:Z119"/>
    <mergeCell ref="AA119:AQ119"/>
    <mergeCell ref="B120:D120"/>
    <mergeCell ref="L120:P120"/>
    <mergeCell ref="Q120:Z120"/>
    <mergeCell ref="E121:G121"/>
    <mergeCell ref="H121:K121"/>
    <mergeCell ref="L121:P121"/>
    <mergeCell ref="Q121:Z121"/>
    <mergeCell ref="AA121:AQ121"/>
    <mergeCell ref="B121:D121"/>
    <mergeCell ref="B122:D122"/>
    <mergeCell ref="E122:G122"/>
    <mergeCell ref="H122:K122"/>
    <mergeCell ref="L122:P122"/>
    <mergeCell ref="Q122:Z122"/>
    <mergeCell ref="AA122:AQ122"/>
    <mergeCell ref="B123:D123"/>
    <mergeCell ref="E123:G123"/>
    <mergeCell ref="H123:K123"/>
    <mergeCell ref="L123:P123"/>
    <mergeCell ref="Q123:Z123"/>
    <mergeCell ref="AA123:AQ123"/>
    <mergeCell ref="B124:D124"/>
    <mergeCell ref="AA124:AQ124"/>
    <mergeCell ref="E126:G126"/>
    <mergeCell ref="H126:K126"/>
    <mergeCell ref="B132:D132"/>
    <mergeCell ref="E132:G132"/>
    <mergeCell ref="H132:K132"/>
    <mergeCell ref="L132:P132"/>
    <mergeCell ref="Q132:Z132"/>
    <mergeCell ref="AA132:AQ132"/>
    <mergeCell ref="B133:D133"/>
    <mergeCell ref="AA133:AQ133"/>
    <mergeCell ref="E135:G135"/>
    <mergeCell ref="H135:K135"/>
    <mergeCell ref="Q126:Z126"/>
    <mergeCell ref="AA126:AQ126"/>
    <mergeCell ref="B126:D126"/>
    <mergeCell ref="B127:D127"/>
    <mergeCell ref="E127:G127"/>
    <mergeCell ref="H127:K127"/>
    <mergeCell ref="L127:P127"/>
    <mergeCell ref="Q127:Z127"/>
    <mergeCell ref="AA127:AQ127"/>
    <mergeCell ref="E129:G129"/>
    <mergeCell ref="H129:K129"/>
    <mergeCell ref="AA129:AQ129"/>
    <mergeCell ref="L133:P133"/>
    <mergeCell ref="Q133:Z133"/>
    <mergeCell ref="Q134:Z134"/>
    <mergeCell ref="AA134:AQ134"/>
    <mergeCell ref="E133:G133"/>
    <mergeCell ref="H133:K133"/>
    <mergeCell ref="B134:D134"/>
    <mergeCell ref="E134:G134"/>
    <mergeCell ref="H134:K134"/>
    <mergeCell ref="L134:P134"/>
    <mergeCell ref="B128:D128"/>
    <mergeCell ref="E128:G128"/>
    <mergeCell ref="H128:K128"/>
    <mergeCell ref="L128:P128"/>
    <mergeCell ref="Q128:Z128"/>
    <mergeCell ref="AA128:AQ128"/>
    <mergeCell ref="B129:D129"/>
    <mergeCell ref="L129:P129"/>
    <mergeCell ref="Q129:Z129"/>
    <mergeCell ref="E130:G130"/>
    <mergeCell ref="H130:K130"/>
    <mergeCell ref="L130:P130"/>
    <mergeCell ref="Q130:Z130"/>
    <mergeCell ref="AA130:AQ130"/>
    <mergeCell ref="B130:D130"/>
    <mergeCell ref="B131:D131"/>
    <mergeCell ref="E131:G131"/>
    <mergeCell ref="H131:K131"/>
    <mergeCell ref="L131:P131"/>
    <mergeCell ref="Q131:Z131"/>
    <mergeCell ref="AA131:AQ131"/>
    <mergeCell ref="H144:K144"/>
    <mergeCell ref="Q135:Z135"/>
    <mergeCell ref="AA135:AQ135"/>
    <mergeCell ref="B135:D135"/>
    <mergeCell ref="B136:D136"/>
    <mergeCell ref="E136:G136"/>
    <mergeCell ref="H136:K136"/>
    <mergeCell ref="L136:P136"/>
    <mergeCell ref="Q136:Z136"/>
    <mergeCell ref="AA136:AQ136"/>
    <mergeCell ref="E138:G138"/>
    <mergeCell ref="H138:K138"/>
    <mergeCell ref="AA138:AQ138"/>
    <mergeCell ref="L142:P142"/>
    <mergeCell ref="Q142:Z142"/>
    <mergeCell ref="Q143:Z143"/>
    <mergeCell ref="AA143:AQ143"/>
    <mergeCell ref="E142:G142"/>
    <mergeCell ref="H142:K142"/>
    <mergeCell ref="B143:D143"/>
    <mergeCell ref="E143:G143"/>
    <mergeCell ref="H143:K143"/>
    <mergeCell ref="L143:P143"/>
    <mergeCell ref="L135:P135"/>
    <mergeCell ref="L152:P152"/>
    <mergeCell ref="L144:P144"/>
    <mergeCell ref="B137:D137"/>
    <mergeCell ref="E137:G137"/>
    <mergeCell ref="H137:K137"/>
    <mergeCell ref="L137:P137"/>
    <mergeCell ref="Q137:Z137"/>
    <mergeCell ref="AA137:AQ137"/>
    <mergeCell ref="B138:D138"/>
    <mergeCell ref="L138:P138"/>
    <mergeCell ref="Q138:Z138"/>
    <mergeCell ref="E139:G139"/>
    <mergeCell ref="H139:K139"/>
    <mergeCell ref="L139:P139"/>
    <mergeCell ref="Q139:Z139"/>
    <mergeCell ref="AA139:AQ139"/>
    <mergeCell ref="B139:D139"/>
    <mergeCell ref="B140:D140"/>
    <mergeCell ref="E140:G140"/>
    <mergeCell ref="H140:K140"/>
    <mergeCell ref="L140:P140"/>
    <mergeCell ref="Q140:Z140"/>
    <mergeCell ref="AA140:AQ140"/>
    <mergeCell ref="B141:D141"/>
    <mergeCell ref="E141:G141"/>
    <mergeCell ref="H141:K141"/>
    <mergeCell ref="L141:P141"/>
    <mergeCell ref="Q141:Z141"/>
    <mergeCell ref="AA141:AQ141"/>
    <mergeCell ref="B142:D142"/>
    <mergeCell ref="AA142:AQ142"/>
    <mergeCell ref="E144:G144"/>
    <mergeCell ref="AA149:AQ149"/>
    <mergeCell ref="B150:D150"/>
    <mergeCell ref="E150:G150"/>
    <mergeCell ref="H150:K150"/>
    <mergeCell ref="L150:P150"/>
    <mergeCell ref="Q150:Z150"/>
    <mergeCell ref="AA150:AQ150"/>
    <mergeCell ref="B151:D151"/>
    <mergeCell ref="AA151:AQ151"/>
    <mergeCell ref="E153:G153"/>
    <mergeCell ref="H153:K153"/>
    <mergeCell ref="Q144:Z144"/>
    <mergeCell ref="AA144:AQ144"/>
    <mergeCell ref="B144:D144"/>
    <mergeCell ref="B145:D145"/>
    <mergeCell ref="E145:G145"/>
    <mergeCell ref="H145:K145"/>
    <mergeCell ref="L145:P145"/>
    <mergeCell ref="Q145:Z145"/>
    <mergeCell ref="AA145:AQ145"/>
    <mergeCell ref="E147:G147"/>
    <mergeCell ref="H147:K147"/>
    <mergeCell ref="AA147:AQ147"/>
    <mergeCell ref="L151:P151"/>
    <mergeCell ref="Q151:Z151"/>
    <mergeCell ref="Q152:Z152"/>
    <mergeCell ref="AA152:AQ152"/>
    <mergeCell ref="E151:G151"/>
    <mergeCell ref="H151:K151"/>
    <mergeCell ref="B152:D152"/>
    <mergeCell ref="E152:G152"/>
    <mergeCell ref="H152:K152"/>
    <mergeCell ref="L161:P161"/>
    <mergeCell ref="L158:P158"/>
    <mergeCell ref="Q158:Z158"/>
    <mergeCell ref="AA158:AQ158"/>
    <mergeCell ref="B159:D159"/>
    <mergeCell ref="E159:G159"/>
    <mergeCell ref="H159:K159"/>
    <mergeCell ref="L159:P159"/>
    <mergeCell ref="Q159:Z159"/>
    <mergeCell ref="AA159:AQ159"/>
    <mergeCell ref="B160:D160"/>
    <mergeCell ref="L153:P153"/>
    <mergeCell ref="B146:D146"/>
    <mergeCell ref="E146:G146"/>
    <mergeCell ref="H146:K146"/>
    <mergeCell ref="L146:P146"/>
    <mergeCell ref="Q146:Z146"/>
    <mergeCell ref="AA146:AQ146"/>
    <mergeCell ref="B147:D147"/>
    <mergeCell ref="L147:P147"/>
    <mergeCell ref="Q147:Z147"/>
    <mergeCell ref="E148:G148"/>
    <mergeCell ref="H148:K148"/>
    <mergeCell ref="L148:P148"/>
    <mergeCell ref="Q148:Z148"/>
    <mergeCell ref="AA148:AQ148"/>
    <mergeCell ref="B148:D148"/>
    <mergeCell ref="B149:D149"/>
    <mergeCell ref="E149:G149"/>
    <mergeCell ref="H149:K149"/>
    <mergeCell ref="L149:P149"/>
    <mergeCell ref="Q149:Z149"/>
    <mergeCell ref="Q169:Z169"/>
    <mergeCell ref="B168:D168"/>
    <mergeCell ref="E168:G168"/>
    <mergeCell ref="H168:K168"/>
    <mergeCell ref="L168:P168"/>
    <mergeCell ref="Q168:Z168"/>
    <mergeCell ref="AA168:AQ168"/>
    <mergeCell ref="B169:D169"/>
    <mergeCell ref="AA169:AQ169"/>
    <mergeCell ref="E169:G169"/>
    <mergeCell ref="H169:K169"/>
    <mergeCell ref="Q153:Z153"/>
    <mergeCell ref="AA153:AQ153"/>
    <mergeCell ref="B153:D153"/>
    <mergeCell ref="B154:D154"/>
    <mergeCell ref="E154:G154"/>
    <mergeCell ref="H154:K154"/>
    <mergeCell ref="L154:P154"/>
    <mergeCell ref="Q154:Z154"/>
    <mergeCell ref="AA154:AQ154"/>
    <mergeCell ref="E156:G156"/>
    <mergeCell ref="H156:K156"/>
    <mergeCell ref="AA156:AQ156"/>
    <mergeCell ref="L160:P160"/>
    <mergeCell ref="Q160:Z160"/>
    <mergeCell ref="Q161:Z161"/>
    <mergeCell ref="AA161:AQ161"/>
    <mergeCell ref="E160:G160"/>
    <mergeCell ref="H160:K160"/>
    <mergeCell ref="B161:D161"/>
    <mergeCell ref="E161:G161"/>
    <mergeCell ref="H161:K161"/>
    <mergeCell ref="H171:K171"/>
    <mergeCell ref="L171:P171"/>
    <mergeCell ref="Q171:Z171"/>
    <mergeCell ref="AA171:AQ171"/>
    <mergeCell ref="L173:P173"/>
    <mergeCell ref="Q173:Z173"/>
    <mergeCell ref="B172:D172"/>
    <mergeCell ref="E172:G172"/>
    <mergeCell ref="H172:K172"/>
    <mergeCell ref="L172:P172"/>
    <mergeCell ref="Q172:Z172"/>
    <mergeCell ref="AA172:AQ172"/>
    <mergeCell ref="B173:D173"/>
    <mergeCell ref="AA173:AQ173"/>
    <mergeCell ref="E173:G173"/>
    <mergeCell ref="H173:K173"/>
    <mergeCell ref="L162:P162"/>
    <mergeCell ref="E165:G165"/>
    <mergeCell ref="H165:K165"/>
    <mergeCell ref="E166:G166"/>
    <mergeCell ref="H166:K166"/>
    <mergeCell ref="L166:P166"/>
    <mergeCell ref="Q166:Z166"/>
    <mergeCell ref="AA166:AQ166"/>
    <mergeCell ref="B166:D166"/>
    <mergeCell ref="B167:D167"/>
    <mergeCell ref="E167:G167"/>
    <mergeCell ref="H167:K167"/>
    <mergeCell ref="L167:P167"/>
    <mergeCell ref="Q167:Z167"/>
    <mergeCell ref="AA167:AQ167"/>
    <mergeCell ref="L169:P169"/>
    <mergeCell ref="E158:G158"/>
    <mergeCell ref="H158:K158"/>
    <mergeCell ref="E174:G174"/>
    <mergeCell ref="H174:K174"/>
    <mergeCell ref="L174:P174"/>
    <mergeCell ref="Q174:Z174"/>
    <mergeCell ref="AA174:AQ174"/>
    <mergeCell ref="B174:D174"/>
    <mergeCell ref="B175:D175"/>
    <mergeCell ref="E175:G175"/>
    <mergeCell ref="H175:K175"/>
    <mergeCell ref="L175:P175"/>
    <mergeCell ref="Q175:Z175"/>
    <mergeCell ref="AA175:AQ175"/>
    <mergeCell ref="L177:P177"/>
    <mergeCell ref="Q177:Z177"/>
    <mergeCell ref="B176:D176"/>
    <mergeCell ref="E176:G176"/>
    <mergeCell ref="H176:K176"/>
    <mergeCell ref="L176:P176"/>
    <mergeCell ref="Q176:Z176"/>
    <mergeCell ref="AA176:AQ176"/>
    <mergeCell ref="B177:D177"/>
    <mergeCell ref="AA177:AQ177"/>
    <mergeCell ref="E170:G170"/>
    <mergeCell ref="H170:K170"/>
    <mergeCell ref="L170:P170"/>
    <mergeCell ref="Q170:Z170"/>
    <mergeCell ref="AA170:AQ170"/>
    <mergeCell ref="B170:D170"/>
    <mergeCell ref="B171:D171"/>
    <mergeCell ref="E171:G171"/>
    <mergeCell ref="Q181:Z181"/>
    <mergeCell ref="B180:D180"/>
    <mergeCell ref="E189:G189"/>
    <mergeCell ref="H189:K189"/>
    <mergeCell ref="E190:G190"/>
    <mergeCell ref="H190:K190"/>
    <mergeCell ref="L190:P190"/>
    <mergeCell ref="Q190:Z190"/>
    <mergeCell ref="AA190:AQ190"/>
    <mergeCell ref="B190:D190"/>
    <mergeCell ref="B191:D191"/>
    <mergeCell ref="E191:G191"/>
    <mergeCell ref="H191:K191"/>
    <mergeCell ref="L191:P191"/>
    <mergeCell ref="Q191:Z191"/>
    <mergeCell ref="AA191:AQ191"/>
    <mergeCell ref="B155:D155"/>
    <mergeCell ref="E155:G155"/>
    <mergeCell ref="H155:K155"/>
    <mergeCell ref="L155:P155"/>
    <mergeCell ref="Q155:Z155"/>
    <mergeCell ref="AA155:AQ155"/>
    <mergeCell ref="B156:D156"/>
    <mergeCell ref="L156:P156"/>
    <mergeCell ref="Q156:Z156"/>
    <mergeCell ref="E157:G157"/>
    <mergeCell ref="H157:K157"/>
    <mergeCell ref="L157:P157"/>
    <mergeCell ref="Q157:Z157"/>
    <mergeCell ref="AA157:AQ157"/>
    <mergeCell ref="B157:D157"/>
    <mergeCell ref="B158:D158"/>
    <mergeCell ref="E183:G183"/>
    <mergeCell ref="H183:K183"/>
    <mergeCell ref="L183:P183"/>
    <mergeCell ref="Q183:Z183"/>
    <mergeCell ref="AA183:AQ183"/>
    <mergeCell ref="AA160:AQ160"/>
    <mergeCell ref="E162:G162"/>
    <mergeCell ref="H162:K162"/>
    <mergeCell ref="Q162:Z162"/>
    <mergeCell ref="AA162:AQ162"/>
    <mergeCell ref="B162:D162"/>
    <mergeCell ref="B163:D163"/>
    <mergeCell ref="E163:G163"/>
    <mergeCell ref="H163:K163"/>
    <mergeCell ref="L163:P163"/>
    <mergeCell ref="Q163:Z163"/>
    <mergeCell ref="AA163:AQ163"/>
    <mergeCell ref="E177:G177"/>
    <mergeCell ref="H177:K177"/>
    <mergeCell ref="E178:G178"/>
    <mergeCell ref="H178:K178"/>
    <mergeCell ref="L178:P178"/>
    <mergeCell ref="Q178:Z178"/>
    <mergeCell ref="AA178:AQ178"/>
    <mergeCell ref="B178:D178"/>
    <mergeCell ref="B179:D179"/>
    <mergeCell ref="E179:G179"/>
    <mergeCell ref="H179:K179"/>
    <mergeCell ref="L179:P179"/>
    <mergeCell ref="Q179:Z179"/>
    <mergeCell ref="AA179:AQ179"/>
    <mergeCell ref="L181:P181"/>
    <mergeCell ref="B184:D184"/>
    <mergeCell ref="E184:G184"/>
    <mergeCell ref="H184:K184"/>
    <mergeCell ref="L184:P184"/>
    <mergeCell ref="Q184:Z184"/>
    <mergeCell ref="AA184:AQ184"/>
    <mergeCell ref="B185:D185"/>
    <mergeCell ref="AA185:AQ185"/>
    <mergeCell ref="E185:G185"/>
    <mergeCell ref="H185:K185"/>
    <mergeCell ref="E186:G186"/>
    <mergeCell ref="H186:K186"/>
    <mergeCell ref="L186:P186"/>
    <mergeCell ref="Q186:Z186"/>
    <mergeCell ref="AA186:AQ186"/>
    <mergeCell ref="B186:D186"/>
    <mergeCell ref="E180:G180"/>
    <mergeCell ref="H180:K180"/>
    <mergeCell ref="L180:P180"/>
    <mergeCell ref="Q180:Z180"/>
    <mergeCell ref="AA180:AQ180"/>
    <mergeCell ref="B181:D181"/>
    <mergeCell ref="AA181:AQ181"/>
    <mergeCell ref="E181:G181"/>
    <mergeCell ref="H181:K181"/>
    <mergeCell ref="E182:G182"/>
    <mergeCell ref="H182:K182"/>
    <mergeCell ref="L182:P182"/>
    <mergeCell ref="Q182:Z182"/>
    <mergeCell ref="AA182:AQ182"/>
    <mergeCell ref="B182:D182"/>
    <mergeCell ref="B183:D183"/>
    <mergeCell ref="Q256:Z256"/>
    <mergeCell ref="B255:D255"/>
    <mergeCell ref="E255:G255"/>
    <mergeCell ref="H255:K255"/>
    <mergeCell ref="L255:P255"/>
    <mergeCell ref="Q255:Z255"/>
    <mergeCell ref="AA255:AQ255"/>
    <mergeCell ref="B256:D256"/>
    <mergeCell ref="AA256:AQ256"/>
    <mergeCell ref="L197:P197"/>
    <mergeCell ref="Q197:Z197"/>
    <mergeCell ref="Q198:Z198"/>
    <mergeCell ref="AA198:AQ198"/>
    <mergeCell ref="E197:G197"/>
    <mergeCell ref="H197:K197"/>
    <mergeCell ref="L185:P185"/>
    <mergeCell ref="Q185:Z185"/>
    <mergeCell ref="E193:G193"/>
    <mergeCell ref="H193:K193"/>
    <mergeCell ref="AA193:AQ193"/>
    <mergeCell ref="Q195:Z195"/>
    <mergeCell ref="AA195:AQ195"/>
    <mergeCell ref="B196:D196"/>
    <mergeCell ref="E196:G196"/>
    <mergeCell ref="H196:K196"/>
    <mergeCell ref="L196:P196"/>
    <mergeCell ref="Q196:Z196"/>
    <mergeCell ref="AA196:AQ196"/>
    <mergeCell ref="B187:D187"/>
    <mergeCell ref="E187:G187"/>
    <mergeCell ref="H187:K187"/>
    <mergeCell ref="L187:P187"/>
    <mergeCell ref="Q187:Z187"/>
    <mergeCell ref="AA187:AQ187"/>
    <mergeCell ref="L189:P189"/>
    <mergeCell ref="Q189:Z189"/>
    <mergeCell ref="B188:D188"/>
    <mergeCell ref="E188:G188"/>
    <mergeCell ref="H188:K188"/>
    <mergeCell ref="L188:P188"/>
    <mergeCell ref="Q188:Z188"/>
    <mergeCell ref="AA188:AQ188"/>
    <mergeCell ref="B189:D189"/>
    <mergeCell ref="AA189:AQ189"/>
    <mergeCell ref="L206:P206"/>
    <mergeCell ref="Q206:Z206"/>
    <mergeCell ref="H205:K205"/>
    <mergeCell ref="L205:P205"/>
    <mergeCell ref="Q205:Z205"/>
    <mergeCell ref="AA205:AQ205"/>
    <mergeCell ref="B206:D206"/>
    <mergeCell ref="AA206:AQ206"/>
    <mergeCell ref="B198:D198"/>
    <mergeCell ref="E198:G198"/>
    <mergeCell ref="H198:K198"/>
    <mergeCell ref="L198:P198"/>
    <mergeCell ref="L199:P199"/>
    <mergeCell ref="B192:D192"/>
    <mergeCell ref="E192:G192"/>
    <mergeCell ref="H192:K192"/>
    <mergeCell ref="L192:P192"/>
    <mergeCell ref="Q192:Z192"/>
    <mergeCell ref="AA192:AQ192"/>
    <mergeCell ref="B193:D193"/>
    <mergeCell ref="L193:P193"/>
    <mergeCell ref="Q193:Z193"/>
    <mergeCell ref="E194:G194"/>
    <mergeCell ref="H194:K194"/>
    <mergeCell ref="L194:P194"/>
    <mergeCell ref="Q194:Z194"/>
    <mergeCell ref="AA194:AQ194"/>
    <mergeCell ref="B194:D194"/>
    <mergeCell ref="B195:D195"/>
    <mergeCell ref="E195:G195"/>
    <mergeCell ref="H195:K195"/>
    <mergeCell ref="L195:P195"/>
    <mergeCell ref="B205:D205"/>
    <mergeCell ref="E205:G205"/>
    <mergeCell ref="B197:D197"/>
    <mergeCell ref="AA197:AQ197"/>
    <mergeCell ref="E199:G199"/>
    <mergeCell ref="H199:K199"/>
    <mergeCell ref="Q199:Z199"/>
    <mergeCell ref="AA199:AQ199"/>
    <mergeCell ref="B199:D199"/>
    <mergeCell ref="B200:D200"/>
    <mergeCell ref="E200:G200"/>
    <mergeCell ref="H200:K200"/>
    <mergeCell ref="L200:P200"/>
    <mergeCell ref="Q200:Z200"/>
    <mergeCell ref="AA200:AQ200"/>
    <mergeCell ref="E202:G202"/>
    <mergeCell ref="H202:K202"/>
    <mergeCell ref="AA202:AQ202"/>
    <mergeCell ref="H216:K216"/>
    <mergeCell ref="L216:P216"/>
    <mergeCell ref="Q207:Z207"/>
    <mergeCell ref="AA207:AQ207"/>
    <mergeCell ref="E206:G206"/>
    <mergeCell ref="H206:K206"/>
    <mergeCell ref="B207:D207"/>
    <mergeCell ref="E207:G207"/>
    <mergeCell ref="H207:K207"/>
    <mergeCell ref="L207:P207"/>
    <mergeCell ref="L208:P208"/>
    <mergeCell ref="B201:D201"/>
    <mergeCell ref="E201:G201"/>
    <mergeCell ref="H201:K201"/>
    <mergeCell ref="L201:P201"/>
    <mergeCell ref="Q201:Z201"/>
    <mergeCell ref="AA201:AQ201"/>
    <mergeCell ref="B202:D202"/>
    <mergeCell ref="L202:P202"/>
    <mergeCell ref="Q202:Z202"/>
    <mergeCell ref="E203:G203"/>
    <mergeCell ref="H203:K203"/>
    <mergeCell ref="L203:P203"/>
    <mergeCell ref="Q203:Z203"/>
    <mergeCell ref="AA203:AQ203"/>
    <mergeCell ref="B203:D203"/>
    <mergeCell ref="B204:D204"/>
    <mergeCell ref="E204:G204"/>
    <mergeCell ref="H204:K204"/>
    <mergeCell ref="L204:P204"/>
    <mergeCell ref="Q204:Z204"/>
    <mergeCell ref="AA204:AQ204"/>
    <mergeCell ref="B214:D214"/>
    <mergeCell ref="E214:G214"/>
    <mergeCell ref="H214:K214"/>
    <mergeCell ref="L214:P214"/>
    <mergeCell ref="Q214:Z214"/>
    <mergeCell ref="AA214:AQ214"/>
    <mergeCell ref="B215:D215"/>
    <mergeCell ref="AA215:AQ215"/>
    <mergeCell ref="E217:G217"/>
    <mergeCell ref="H217:K217"/>
    <mergeCell ref="E208:G208"/>
    <mergeCell ref="H208:K208"/>
    <mergeCell ref="Q208:Z208"/>
    <mergeCell ref="AA208:AQ208"/>
    <mergeCell ref="B208:D208"/>
    <mergeCell ref="B209:D209"/>
    <mergeCell ref="E209:G209"/>
    <mergeCell ref="H209:K209"/>
    <mergeCell ref="L209:P209"/>
    <mergeCell ref="Q209:Z209"/>
    <mergeCell ref="AA209:AQ209"/>
    <mergeCell ref="E211:G211"/>
    <mergeCell ref="H211:K211"/>
    <mergeCell ref="AA211:AQ211"/>
    <mergeCell ref="L215:P215"/>
    <mergeCell ref="Q215:Z215"/>
    <mergeCell ref="Q216:Z216"/>
    <mergeCell ref="AA216:AQ216"/>
    <mergeCell ref="E215:G215"/>
    <mergeCell ref="H215:K215"/>
    <mergeCell ref="B216:D216"/>
    <mergeCell ref="E216:G216"/>
    <mergeCell ref="B210:D210"/>
    <mergeCell ref="E210:G210"/>
    <mergeCell ref="H210:K210"/>
    <mergeCell ref="L210:P210"/>
    <mergeCell ref="Q210:Z210"/>
    <mergeCell ref="AA210:AQ210"/>
    <mergeCell ref="B211:D211"/>
    <mergeCell ref="L211:P211"/>
    <mergeCell ref="Q211:Z211"/>
    <mergeCell ref="E212:G212"/>
    <mergeCell ref="H212:K212"/>
    <mergeCell ref="L212:P212"/>
    <mergeCell ref="Q212:Z212"/>
    <mergeCell ref="AA212:AQ212"/>
    <mergeCell ref="B212:D212"/>
    <mergeCell ref="B213:D213"/>
    <mergeCell ref="E213:G213"/>
    <mergeCell ref="H213:K213"/>
    <mergeCell ref="L213:P213"/>
    <mergeCell ref="Q213:Z213"/>
    <mergeCell ref="AA213:AQ213"/>
    <mergeCell ref="Q217:Z217"/>
    <mergeCell ref="AA217:AQ217"/>
    <mergeCell ref="B217:D217"/>
    <mergeCell ref="B218:D218"/>
    <mergeCell ref="E218:G218"/>
    <mergeCell ref="H218:K218"/>
    <mergeCell ref="L218:P218"/>
    <mergeCell ref="Q218:Z218"/>
    <mergeCell ref="AA218:AQ218"/>
    <mergeCell ref="E220:G220"/>
    <mergeCell ref="H220:K220"/>
    <mergeCell ref="AA220:AQ220"/>
    <mergeCell ref="L224:P224"/>
    <mergeCell ref="Q224:Z224"/>
    <mergeCell ref="Q225:Z225"/>
    <mergeCell ref="AA225:AQ225"/>
    <mergeCell ref="E224:G224"/>
    <mergeCell ref="H224:K224"/>
    <mergeCell ref="B225:D225"/>
    <mergeCell ref="E225:G225"/>
    <mergeCell ref="H225:K225"/>
    <mergeCell ref="L225:P225"/>
    <mergeCell ref="L217:P217"/>
    <mergeCell ref="L226:P226"/>
    <mergeCell ref="B219:D219"/>
    <mergeCell ref="E219:G219"/>
    <mergeCell ref="H219:K219"/>
    <mergeCell ref="L219:P219"/>
    <mergeCell ref="Q219:Z219"/>
    <mergeCell ref="AA219:AQ219"/>
    <mergeCell ref="B220:D220"/>
    <mergeCell ref="L220:P220"/>
    <mergeCell ref="Q220:Z220"/>
    <mergeCell ref="E221:G221"/>
    <mergeCell ref="H221:K221"/>
    <mergeCell ref="L221:P221"/>
    <mergeCell ref="Q221:Z221"/>
    <mergeCell ref="AA221:AQ221"/>
    <mergeCell ref="B221:D221"/>
    <mergeCell ref="B222:D222"/>
    <mergeCell ref="E222:G222"/>
    <mergeCell ref="H222:K222"/>
    <mergeCell ref="L222:P222"/>
    <mergeCell ref="Q222:Z222"/>
    <mergeCell ref="AA222:AQ222"/>
    <mergeCell ref="B223:D223"/>
    <mergeCell ref="E223:G223"/>
    <mergeCell ref="H223:K223"/>
    <mergeCell ref="L223:P223"/>
    <mergeCell ref="Q223:Z223"/>
    <mergeCell ref="AA223:AQ223"/>
    <mergeCell ref="B224:D224"/>
    <mergeCell ref="AA224:AQ224"/>
    <mergeCell ref="E226:G226"/>
    <mergeCell ref="H226:K226"/>
    <mergeCell ref="B232:D232"/>
    <mergeCell ref="E232:G232"/>
    <mergeCell ref="H232:K232"/>
    <mergeCell ref="L232:P232"/>
    <mergeCell ref="Q232:Z232"/>
    <mergeCell ref="AA232:AQ232"/>
    <mergeCell ref="B233:D233"/>
    <mergeCell ref="AA233:AQ233"/>
    <mergeCell ref="E235:G235"/>
    <mergeCell ref="H235:K235"/>
    <mergeCell ref="Q226:Z226"/>
    <mergeCell ref="AA226:AQ226"/>
    <mergeCell ref="B226:D226"/>
    <mergeCell ref="B227:D227"/>
    <mergeCell ref="E227:G227"/>
    <mergeCell ref="H227:K227"/>
    <mergeCell ref="L227:P227"/>
    <mergeCell ref="Q227:Z227"/>
    <mergeCell ref="AA227:AQ227"/>
    <mergeCell ref="E229:G229"/>
    <mergeCell ref="H229:K229"/>
    <mergeCell ref="AA229:AQ229"/>
    <mergeCell ref="L233:P233"/>
    <mergeCell ref="Q233:Z233"/>
    <mergeCell ref="Q234:Z234"/>
    <mergeCell ref="AA234:AQ234"/>
    <mergeCell ref="E233:G233"/>
    <mergeCell ref="H233:K233"/>
    <mergeCell ref="B234:D234"/>
    <mergeCell ref="E234:G234"/>
    <mergeCell ref="H234:K234"/>
    <mergeCell ref="L234:P234"/>
    <mergeCell ref="B228:D228"/>
    <mergeCell ref="E228:G228"/>
    <mergeCell ref="H228:K228"/>
    <mergeCell ref="L228:P228"/>
    <mergeCell ref="Q228:Z228"/>
    <mergeCell ref="AA228:AQ228"/>
    <mergeCell ref="B229:D229"/>
    <mergeCell ref="L229:P229"/>
    <mergeCell ref="Q229:Z229"/>
    <mergeCell ref="E230:G230"/>
    <mergeCell ref="H230:K230"/>
    <mergeCell ref="L230:P230"/>
    <mergeCell ref="Q230:Z230"/>
    <mergeCell ref="AA230:AQ230"/>
    <mergeCell ref="B230:D230"/>
    <mergeCell ref="B231:D231"/>
    <mergeCell ref="E231:G231"/>
    <mergeCell ref="H231:K231"/>
    <mergeCell ref="L231:P231"/>
    <mergeCell ref="Q231:Z231"/>
    <mergeCell ref="AA231:AQ231"/>
    <mergeCell ref="Q235:Z235"/>
    <mergeCell ref="AA235:AQ235"/>
    <mergeCell ref="B235:D235"/>
    <mergeCell ref="B236:D236"/>
    <mergeCell ref="E236:G236"/>
    <mergeCell ref="H236:K236"/>
    <mergeCell ref="L236:P236"/>
    <mergeCell ref="Q236:Z236"/>
    <mergeCell ref="AA236:AQ236"/>
    <mergeCell ref="E238:G238"/>
    <mergeCell ref="H238:K238"/>
    <mergeCell ref="AA238:AQ238"/>
    <mergeCell ref="L242:P242"/>
    <mergeCell ref="Q242:Z242"/>
    <mergeCell ref="Q243:Z243"/>
    <mergeCell ref="AA243:AQ243"/>
    <mergeCell ref="E242:G242"/>
    <mergeCell ref="H242:K242"/>
    <mergeCell ref="B243:D243"/>
    <mergeCell ref="E243:G243"/>
    <mergeCell ref="H243:K243"/>
    <mergeCell ref="L243:P243"/>
    <mergeCell ref="L235:P235"/>
    <mergeCell ref="L244:P244"/>
    <mergeCell ref="B237:D237"/>
    <mergeCell ref="E237:G237"/>
    <mergeCell ref="H237:K237"/>
    <mergeCell ref="L237:P237"/>
    <mergeCell ref="Q237:Z237"/>
    <mergeCell ref="AA237:AQ237"/>
    <mergeCell ref="B238:D238"/>
    <mergeCell ref="L238:P238"/>
    <mergeCell ref="Q238:Z238"/>
    <mergeCell ref="E239:G239"/>
    <mergeCell ref="H239:K239"/>
    <mergeCell ref="L239:P239"/>
    <mergeCell ref="Q239:Z239"/>
    <mergeCell ref="AA239:AQ239"/>
    <mergeCell ref="B239:D239"/>
    <mergeCell ref="B240:D240"/>
    <mergeCell ref="E240:G240"/>
    <mergeCell ref="H240:K240"/>
    <mergeCell ref="L240:P240"/>
    <mergeCell ref="Q240:Z240"/>
    <mergeCell ref="AA240:AQ240"/>
    <mergeCell ref="B241:D241"/>
    <mergeCell ref="E241:G241"/>
    <mergeCell ref="H241:K241"/>
    <mergeCell ref="L241:P241"/>
    <mergeCell ref="Q241:Z241"/>
    <mergeCell ref="AA241:AQ241"/>
    <mergeCell ref="B242:D242"/>
    <mergeCell ref="AA242:AQ242"/>
    <mergeCell ref="E244:G244"/>
    <mergeCell ref="H244:K244"/>
    <mergeCell ref="Q244:Z244"/>
    <mergeCell ref="AA244:AQ244"/>
    <mergeCell ref="B244:D244"/>
    <mergeCell ref="B245:D245"/>
    <mergeCell ref="E245:G245"/>
    <mergeCell ref="H245:K245"/>
    <mergeCell ref="L245:P245"/>
    <mergeCell ref="Q245:Z245"/>
    <mergeCell ref="AA245:AQ245"/>
    <mergeCell ref="E247:G247"/>
    <mergeCell ref="H247:K247"/>
    <mergeCell ref="AA247:AQ247"/>
    <mergeCell ref="L251:P251"/>
    <mergeCell ref="Q251:Z251"/>
    <mergeCell ref="Q252:Z252"/>
    <mergeCell ref="AA252:AQ252"/>
    <mergeCell ref="E251:G251"/>
    <mergeCell ref="H251:K251"/>
    <mergeCell ref="B252:D252"/>
    <mergeCell ref="E252:G252"/>
    <mergeCell ref="H252:K252"/>
    <mergeCell ref="L252:P252"/>
    <mergeCell ref="L249:P249"/>
    <mergeCell ref="Q249:Z249"/>
    <mergeCell ref="AA249:AQ249"/>
    <mergeCell ref="B250:D250"/>
    <mergeCell ref="E250:G250"/>
    <mergeCell ref="H250:K250"/>
    <mergeCell ref="L250:P250"/>
    <mergeCell ref="Q250:Z250"/>
    <mergeCell ref="AA250:AQ250"/>
    <mergeCell ref="B251:D251"/>
    <mergeCell ref="B264:D264"/>
    <mergeCell ref="AA264:AQ264"/>
    <mergeCell ref="E264:G264"/>
    <mergeCell ref="H264:K264"/>
    <mergeCell ref="L253:P253"/>
    <mergeCell ref="E256:G256"/>
    <mergeCell ref="H256:K256"/>
    <mergeCell ref="E257:G257"/>
    <mergeCell ref="H257:K257"/>
    <mergeCell ref="L257:P257"/>
    <mergeCell ref="Q257:Z257"/>
    <mergeCell ref="AA257:AQ257"/>
    <mergeCell ref="B257:D257"/>
    <mergeCell ref="B258:D258"/>
    <mergeCell ref="E258:G258"/>
    <mergeCell ref="H258:K258"/>
    <mergeCell ref="L258:P258"/>
    <mergeCell ref="Q258:Z258"/>
    <mergeCell ref="AA258:AQ258"/>
    <mergeCell ref="L260:P260"/>
    <mergeCell ref="Q260:Z260"/>
    <mergeCell ref="B259:D259"/>
    <mergeCell ref="E259:G259"/>
    <mergeCell ref="H259:K259"/>
    <mergeCell ref="L259:P259"/>
    <mergeCell ref="Q259:Z259"/>
    <mergeCell ref="AA259:AQ259"/>
    <mergeCell ref="B260:D260"/>
    <mergeCell ref="AA260:AQ260"/>
    <mergeCell ref="E260:G260"/>
    <mergeCell ref="H260:K260"/>
    <mergeCell ref="L256:P256"/>
    <mergeCell ref="Q266:Z266"/>
    <mergeCell ref="AA266:AQ266"/>
    <mergeCell ref="L268:P268"/>
    <mergeCell ref="Q268:Z268"/>
    <mergeCell ref="B267:D267"/>
    <mergeCell ref="E267:G267"/>
    <mergeCell ref="H267:K267"/>
    <mergeCell ref="L267:P267"/>
    <mergeCell ref="Q267:Z267"/>
    <mergeCell ref="AA267:AQ267"/>
    <mergeCell ref="B268:D268"/>
    <mergeCell ref="AA268:AQ268"/>
    <mergeCell ref="E261:G261"/>
    <mergeCell ref="H261:K261"/>
    <mergeCell ref="L261:P261"/>
    <mergeCell ref="Q261:Z261"/>
    <mergeCell ref="AA261:AQ261"/>
    <mergeCell ref="B261:D261"/>
    <mergeCell ref="B262:D262"/>
    <mergeCell ref="E262:G262"/>
    <mergeCell ref="H262:K262"/>
    <mergeCell ref="L262:P262"/>
    <mergeCell ref="Q262:Z262"/>
    <mergeCell ref="AA262:AQ262"/>
    <mergeCell ref="L264:P264"/>
    <mergeCell ref="Q264:Z264"/>
    <mergeCell ref="B263:D263"/>
    <mergeCell ref="E263:G263"/>
    <mergeCell ref="H263:K263"/>
    <mergeCell ref="L263:P263"/>
    <mergeCell ref="Q263:Z263"/>
    <mergeCell ref="AA263:AQ263"/>
    <mergeCell ref="H282:K282"/>
    <mergeCell ref="L282:P282"/>
    <mergeCell ref="Q282:Z282"/>
    <mergeCell ref="AA282:AQ282"/>
    <mergeCell ref="B246:D246"/>
    <mergeCell ref="E246:G246"/>
    <mergeCell ref="H246:K246"/>
    <mergeCell ref="L246:P246"/>
    <mergeCell ref="Q246:Z246"/>
    <mergeCell ref="AA246:AQ246"/>
    <mergeCell ref="B247:D247"/>
    <mergeCell ref="L247:P247"/>
    <mergeCell ref="Q247:Z247"/>
    <mergeCell ref="E248:G248"/>
    <mergeCell ref="H248:K248"/>
    <mergeCell ref="L248:P248"/>
    <mergeCell ref="Q248:Z248"/>
    <mergeCell ref="AA248:AQ248"/>
    <mergeCell ref="B248:D248"/>
    <mergeCell ref="B249:D249"/>
    <mergeCell ref="E249:G249"/>
    <mergeCell ref="H249:K249"/>
    <mergeCell ref="E265:G265"/>
    <mergeCell ref="H265:K265"/>
    <mergeCell ref="L265:P265"/>
    <mergeCell ref="Q265:Z265"/>
    <mergeCell ref="AA265:AQ265"/>
    <mergeCell ref="B265:D265"/>
    <mergeCell ref="B266:D266"/>
    <mergeCell ref="E266:G266"/>
    <mergeCell ref="H266:K266"/>
    <mergeCell ref="L266:P266"/>
    <mergeCell ref="AA251:AQ251"/>
    <mergeCell ref="E253:G253"/>
    <mergeCell ref="H253:K253"/>
    <mergeCell ref="Q253:Z253"/>
    <mergeCell ref="AA253:AQ253"/>
    <mergeCell ref="B253:D253"/>
    <mergeCell ref="B254:D254"/>
    <mergeCell ref="E254:G254"/>
    <mergeCell ref="H254:K254"/>
    <mergeCell ref="L254:P254"/>
    <mergeCell ref="Q254:Z254"/>
    <mergeCell ref="AA254:AQ254"/>
    <mergeCell ref="E284:G284"/>
    <mergeCell ref="H284:K284"/>
    <mergeCell ref="AA284:AQ284"/>
    <mergeCell ref="E268:G268"/>
    <mergeCell ref="H268:K268"/>
    <mergeCell ref="E269:G269"/>
    <mergeCell ref="H269:K269"/>
    <mergeCell ref="L269:P269"/>
    <mergeCell ref="Q269:Z269"/>
    <mergeCell ref="AA269:AQ269"/>
    <mergeCell ref="B269:D269"/>
    <mergeCell ref="B270:D270"/>
    <mergeCell ref="E270:G270"/>
    <mergeCell ref="H270:K270"/>
    <mergeCell ref="L270:P270"/>
    <mergeCell ref="Q270:Z270"/>
    <mergeCell ref="AA270:AQ270"/>
    <mergeCell ref="L272:P272"/>
    <mergeCell ref="Q272:Z272"/>
    <mergeCell ref="B271:D271"/>
    <mergeCell ref="E271:G271"/>
    <mergeCell ref="H271:K271"/>
    <mergeCell ref="L271:P271"/>
    <mergeCell ref="Q271:Z271"/>
    <mergeCell ref="AA271:AQ271"/>
    <mergeCell ref="B272:D272"/>
    <mergeCell ref="AA272:AQ272"/>
    <mergeCell ref="E272:G272"/>
    <mergeCell ref="H272:K272"/>
    <mergeCell ref="E273:G273"/>
    <mergeCell ref="H273:K273"/>
    <mergeCell ref="L273:P273"/>
    <mergeCell ref="Q273:Z273"/>
    <mergeCell ref="AA273:AQ273"/>
    <mergeCell ref="B273:D273"/>
    <mergeCell ref="B274:D274"/>
    <mergeCell ref="E274:G274"/>
    <mergeCell ref="H274:K274"/>
    <mergeCell ref="L274:P274"/>
    <mergeCell ref="Q274:Z274"/>
    <mergeCell ref="AA274:AQ274"/>
    <mergeCell ref="B346:D346"/>
    <mergeCell ref="E346:G346"/>
    <mergeCell ref="H346:K346"/>
    <mergeCell ref="L346:P346"/>
    <mergeCell ref="Q346:Z346"/>
    <mergeCell ref="AA346:AQ346"/>
    <mergeCell ref="B347:D347"/>
    <mergeCell ref="AA347:AQ347"/>
    <mergeCell ref="L288:P288"/>
    <mergeCell ref="Q288:Z288"/>
    <mergeCell ref="Q289:Z289"/>
    <mergeCell ref="AA289:AQ289"/>
    <mergeCell ref="E288:G288"/>
    <mergeCell ref="H288:K288"/>
    <mergeCell ref="L276:P276"/>
    <mergeCell ref="Q276:Z276"/>
    <mergeCell ref="B275:D275"/>
    <mergeCell ref="E275:G275"/>
    <mergeCell ref="H275:K275"/>
    <mergeCell ref="L275:P275"/>
    <mergeCell ref="Q275:Z275"/>
    <mergeCell ref="AA275:AQ275"/>
    <mergeCell ref="B276:D276"/>
    <mergeCell ref="AA276:AQ276"/>
    <mergeCell ref="E276:G276"/>
    <mergeCell ref="H276:K276"/>
    <mergeCell ref="E277:G277"/>
    <mergeCell ref="H277:K277"/>
    <mergeCell ref="L277:P277"/>
    <mergeCell ref="Q277:Z277"/>
    <mergeCell ref="AA277:AQ277"/>
    <mergeCell ref="B277:D277"/>
    <mergeCell ref="B287:D287"/>
    <mergeCell ref="E287:G287"/>
    <mergeCell ref="H287:K287"/>
    <mergeCell ref="L287:P287"/>
    <mergeCell ref="Q287:Z287"/>
    <mergeCell ref="AA287:AQ287"/>
    <mergeCell ref="B278:D278"/>
    <mergeCell ref="E278:G278"/>
    <mergeCell ref="H278:K278"/>
    <mergeCell ref="L278:P278"/>
    <mergeCell ref="Q278:Z278"/>
    <mergeCell ref="AA278:AQ278"/>
    <mergeCell ref="L280:P280"/>
    <mergeCell ref="Q280:Z280"/>
    <mergeCell ref="B279:D279"/>
    <mergeCell ref="E279:G279"/>
    <mergeCell ref="H279:K279"/>
    <mergeCell ref="L279:P279"/>
    <mergeCell ref="Q279:Z279"/>
    <mergeCell ref="AA279:AQ279"/>
    <mergeCell ref="B280:D280"/>
    <mergeCell ref="AA280:AQ280"/>
    <mergeCell ref="E280:G280"/>
    <mergeCell ref="H280:K280"/>
    <mergeCell ref="E281:G281"/>
    <mergeCell ref="H281:K281"/>
    <mergeCell ref="L281:P281"/>
    <mergeCell ref="Q281:Z281"/>
    <mergeCell ref="AA281:AQ281"/>
    <mergeCell ref="B281:D281"/>
    <mergeCell ref="B282:D282"/>
    <mergeCell ref="E282:G282"/>
    <mergeCell ref="B283:D283"/>
    <mergeCell ref="E283:G283"/>
    <mergeCell ref="H283:K283"/>
    <mergeCell ref="L283:P283"/>
    <mergeCell ref="Q283:Z283"/>
    <mergeCell ref="AA283:AQ283"/>
    <mergeCell ref="B284:D284"/>
    <mergeCell ref="L284:P284"/>
    <mergeCell ref="Q284:Z284"/>
    <mergeCell ref="E285:G285"/>
    <mergeCell ref="H285:K285"/>
    <mergeCell ref="L285:P285"/>
    <mergeCell ref="Q285:Z285"/>
    <mergeCell ref="AA285:AQ285"/>
    <mergeCell ref="B285:D285"/>
    <mergeCell ref="B286:D286"/>
    <mergeCell ref="E286:G286"/>
    <mergeCell ref="H286:K286"/>
    <mergeCell ref="L286:P286"/>
    <mergeCell ref="Q286:Z286"/>
    <mergeCell ref="AA286:AQ286"/>
    <mergeCell ref="B288:D288"/>
    <mergeCell ref="AA288:AQ288"/>
    <mergeCell ref="E290:G290"/>
    <mergeCell ref="H290:K290"/>
    <mergeCell ref="Q290:Z290"/>
    <mergeCell ref="AA290:AQ290"/>
    <mergeCell ref="B290:D290"/>
    <mergeCell ref="B291:D291"/>
    <mergeCell ref="E291:G291"/>
    <mergeCell ref="H291:K291"/>
    <mergeCell ref="L291:P291"/>
    <mergeCell ref="Q291:Z291"/>
    <mergeCell ref="AA291:AQ291"/>
    <mergeCell ref="E293:G293"/>
    <mergeCell ref="H293:K293"/>
    <mergeCell ref="AA293:AQ293"/>
    <mergeCell ref="L297:P297"/>
    <mergeCell ref="Q297:Z297"/>
    <mergeCell ref="H296:K296"/>
    <mergeCell ref="L296:P296"/>
    <mergeCell ref="Q296:Z296"/>
    <mergeCell ref="AA296:AQ296"/>
    <mergeCell ref="B297:D297"/>
    <mergeCell ref="AA297:AQ297"/>
    <mergeCell ref="B289:D289"/>
    <mergeCell ref="E289:G289"/>
    <mergeCell ref="H289:K289"/>
    <mergeCell ref="L289:P289"/>
    <mergeCell ref="L290:P290"/>
    <mergeCell ref="Q298:Z298"/>
    <mergeCell ref="AA298:AQ298"/>
    <mergeCell ref="E297:G297"/>
    <mergeCell ref="H297:K297"/>
    <mergeCell ref="B298:D298"/>
    <mergeCell ref="E298:G298"/>
    <mergeCell ref="H298:K298"/>
    <mergeCell ref="L298:P298"/>
    <mergeCell ref="L299:P299"/>
    <mergeCell ref="B292:D292"/>
    <mergeCell ref="E292:G292"/>
    <mergeCell ref="H292:K292"/>
    <mergeCell ref="L292:P292"/>
    <mergeCell ref="Q292:Z292"/>
    <mergeCell ref="AA292:AQ292"/>
    <mergeCell ref="B293:D293"/>
    <mergeCell ref="L293:P293"/>
    <mergeCell ref="Q293:Z293"/>
    <mergeCell ref="E294:G294"/>
    <mergeCell ref="H294:K294"/>
    <mergeCell ref="L294:P294"/>
    <mergeCell ref="Q294:Z294"/>
    <mergeCell ref="AA294:AQ294"/>
    <mergeCell ref="B294:D294"/>
    <mergeCell ref="B295:D295"/>
    <mergeCell ref="E295:G295"/>
    <mergeCell ref="H295:K295"/>
    <mergeCell ref="L295:P295"/>
    <mergeCell ref="Q295:Z295"/>
    <mergeCell ref="AA295:AQ295"/>
    <mergeCell ref="B296:D296"/>
    <mergeCell ref="E296:G296"/>
    <mergeCell ref="E299:G299"/>
    <mergeCell ref="H299:K299"/>
    <mergeCell ref="Q299:Z299"/>
    <mergeCell ref="AA299:AQ299"/>
    <mergeCell ref="B299:D299"/>
    <mergeCell ref="B300:D300"/>
    <mergeCell ref="E300:G300"/>
    <mergeCell ref="H300:K300"/>
    <mergeCell ref="L300:P300"/>
    <mergeCell ref="Q300:Z300"/>
    <mergeCell ref="AA300:AQ300"/>
    <mergeCell ref="E302:G302"/>
    <mergeCell ref="H302:K302"/>
    <mergeCell ref="AA302:AQ302"/>
    <mergeCell ref="L306:P306"/>
    <mergeCell ref="Q306:Z306"/>
    <mergeCell ref="Q307:Z307"/>
    <mergeCell ref="AA307:AQ307"/>
    <mergeCell ref="E306:G306"/>
    <mergeCell ref="H306:K306"/>
    <mergeCell ref="B307:D307"/>
    <mergeCell ref="E307:G307"/>
    <mergeCell ref="H307:K307"/>
    <mergeCell ref="L307:P307"/>
    <mergeCell ref="L308:P308"/>
    <mergeCell ref="B301:D301"/>
    <mergeCell ref="E301:G301"/>
    <mergeCell ref="H301:K301"/>
    <mergeCell ref="L301:P301"/>
    <mergeCell ref="Q301:Z301"/>
    <mergeCell ref="AA301:AQ301"/>
    <mergeCell ref="B302:D302"/>
    <mergeCell ref="L302:P302"/>
    <mergeCell ref="Q302:Z302"/>
    <mergeCell ref="E303:G303"/>
    <mergeCell ref="H303:K303"/>
    <mergeCell ref="L303:P303"/>
    <mergeCell ref="Q303:Z303"/>
    <mergeCell ref="AA303:AQ303"/>
    <mergeCell ref="B303:D303"/>
    <mergeCell ref="B304:D304"/>
    <mergeCell ref="E304:G304"/>
    <mergeCell ref="H304:K304"/>
    <mergeCell ref="L304:P304"/>
    <mergeCell ref="Q304:Z304"/>
    <mergeCell ref="AA304:AQ304"/>
    <mergeCell ref="B305:D305"/>
    <mergeCell ref="E305:G305"/>
    <mergeCell ref="H305:K305"/>
    <mergeCell ref="L305:P305"/>
    <mergeCell ref="Q305:Z305"/>
    <mergeCell ref="AA305:AQ305"/>
    <mergeCell ref="B306:D306"/>
    <mergeCell ref="AA306:AQ306"/>
    <mergeCell ref="E308:G308"/>
    <mergeCell ref="H308:K308"/>
    <mergeCell ref="B314:D314"/>
    <mergeCell ref="E314:G314"/>
    <mergeCell ref="H314:K314"/>
    <mergeCell ref="L314:P314"/>
    <mergeCell ref="Q314:Z314"/>
    <mergeCell ref="AA314:AQ314"/>
    <mergeCell ref="B315:D315"/>
    <mergeCell ref="AA315:AQ315"/>
    <mergeCell ref="E317:G317"/>
    <mergeCell ref="H317:K317"/>
    <mergeCell ref="Q308:Z308"/>
    <mergeCell ref="AA308:AQ308"/>
    <mergeCell ref="B308:D308"/>
    <mergeCell ref="B309:D309"/>
    <mergeCell ref="E309:G309"/>
    <mergeCell ref="H309:K309"/>
    <mergeCell ref="L309:P309"/>
    <mergeCell ref="Q309:Z309"/>
    <mergeCell ref="AA309:AQ309"/>
    <mergeCell ref="E311:G311"/>
    <mergeCell ref="H311:K311"/>
    <mergeCell ref="AA311:AQ311"/>
    <mergeCell ref="L315:P315"/>
    <mergeCell ref="Q315:Z315"/>
    <mergeCell ref="Q316:Z316"/>
    <mergeCell ref="AA316:AQ316"/>
    <mergeCell ref="E315:G315"/>
    <mergeCell ref="H315:K315"/>
    <mergeCell ref="B316:D316"/>
    <mergeCell ref="E316:G316"/>
    <mergeCell ref="H316:K316"/>
    <mergeCell ref="L316:P316"/>
    <mergeCell ref="B310:D310"/>
    <mergeCell ref="E310:G310"/>
    <mergeCell ref="H310:K310"/>
    <mergeCell ref="L310:P310"/>
    <mergeCell ref="Q310:Z310"/>
    <mergeCell ref="AA310:AQ310"/>
    <mergeCell ref="B311:D311"/>
    <mergeCell ref="L311:P311"/>
    <mergeCell ref="Q311:Z311"/>
    <mergeCell ref="E312:G312"/>
    <mergeCell ref="H312:K312"/>
    <mergeCell ref="L312:P312"/>
    <mergeCell ref="Q312:Z312"/>
    <mergeCell ref="AA312:AQ312"/>
    <mergeCell ref="B312:D312"/>
    <mergeCell ref="B313:D313"/>
    <mergeCell ref="E313:G313"/>
    <mergeCell ref="H313:K313"/>
    <mergeCell ref="L313:P313"/>
    <mergeCell ref="Q313:Z313"/>
    <mergeCell ref="AA313:AQ313"/>
    <mergeCell ref="Q317:Z317"/>
    <mergeCell ref="AA317:AQ317"/>
    <mergeCell ref="B317:D317"/>
    <mergeCell ref="B318:D318"/>
    <mergeCell ref="E318:G318"/>
    <mergeCell ref="H318:K318"/>
    <mergeCell ref="L318:P318"/>
    <mergeCell ref="Q318:Z318"/>
    <mergeCell ref="AA318:AQ318"/>
    <mergeCell ref="E320:G320"/>
    <mergeCell ref="H320:K320"/>
    <mergeCell ref="AA320:AQ320"/>
    <mergeCell ref="L324:P324"/>
    <mergeCell ref="Q324:Z324"/>
    <mergeCell ref="Q325:Z325"/>
    <mergeCell ref="AA325:AQ325"/>
    <mergeCell ref="E324:G324"/>
    <mergeCell ref="H324:K324"/>
    <mergeCell ref="B325:D325"/>
    <mergeCell ref="E325:G325"/>
    <mergeCell ref="H325:K325"/>
    <mergeCell ref="L325:P325"/>
    <mergeCell ref="L317:P317"/>
    <mergeCell ref="L326:P326"/>
    <mergeCell ref="B319:D319"/>
    <mergeCell ref="E319:G319"/>
    <mergeCell ref="H319:K319"/>
    <mergeCell ref="L319:P319"/>
    <mergeCell ref="Q319:Z319"/>
    <mergeCell ref="AA319:AQ319"/>
    <mergeCell ref="B320:D320"/>
    <mergeCell ref="L320:P320"/>
    <mergeCell ref="Q320:Z320"/>
    <mergeCell ref="E321:G321"/>
    <mergeCell ref="H321:K321"/>
    <mergeCell ref="L321:P321"/>
    <mergeCell ref="Q321:Z321"/>
    <mergeCell ref="AA321:AQ321"/>
    <mergeCell ref="B321:D321"/>
    <mergeCell ref="B322:D322"/>
    <mergeCell ref="E322:G322"/>
    <mergeCell ref="H322:K322"/>
    <mergeCell ref="L322:P322"/>
    <mergeCell ref="Q322:Z322"/>
    <mergeCell ref="AA322:AQ322"/>
    <mergeCell ref="B323:D323"/>
    <mergeCell ref="E323:G323"/>
    <mergeCell ref="H323:K323"/>
    <mergeCell ref="L323:P323"/>
    <mergeCell ref="Q323:Z323"/>
    <mergeCell ref="AA323:AQ323"/>
    <mergeCell ref="B324:D324"/>
    <mergeCell ref="AA324:AQ324"/>
    <mergeCell ref="E326:G326"/>
    <mergeCell ref="H326:K326"/>
    <mergeCell ref="B332:D332"/>
    <mergeCell ref="E332:G332"/>
    <mergeCell ref="H332:K332"/>
    <mergeCell ref="L332:P332"/>
    <mergeCell ref="Q332:Z332"/>
    <mergeCell ref="AA332:AQ332"/>
    <mergeCell ref="B333:D333"/>
    <mergeCell ref="AA333:AQ333"/>
    <mergeCell ref="E335:G335"/>
    <mergeCell ref="H335:K335"/>
    <mergeCell ref="Q326:Z326"/>
    <mergeCell ref="AA326:AQ326"/>
    <mergeCell ref="B326:D326"/>
    <mergeCell ref="B327:D327"/>
    <mergeCell ref="E327:G327"/>
    <mergeCell ref="H327:K327"/>
    <mergeCell ref="L327:P327"/>
    <mergeCell ref="Q327:Z327"/>
    <mergeCell ref="AA327:AQ327"/>
    <mergeCell ref="E329:G329"/>
    <mergeCell ref="H329:K329"/>
    <mergeCell ref="AA329:AQ329"/>
    <mergeCell ref="L333:P333"/>
    <mergeCell ref="Q333:Z333"/>
    <mergeCell ref="Q334:Z334"/>
    <mergeCell ref="AA334:AQ334"/>
    <mergeCell ref="E333:G333"/>
    <mergeCell ref="H333:K333"/>
    <mergeCell ref="B334:D334"/>
    <mergeCell ref="E334:G334"/>
    <mergeCell ref="H334:K334"/>
    <mergeCell ref="L334:P334"/>
    <mergeCell ref="B328:D328"/>
    <mergeCell ref="E328:G328"/>
    <mergeCell ref="H328:K328"/>
    <mergeCell ref="L328:P328"/>
    <mergeCell ref="Q328:Z328"/>
    <mergeCell ref="AA328:AQ328"/>
    <mergeCell ref="B329:D329"/>
    <mergeCell ref="L329:P329"/>
    <mergeCell ref="Q329:Z329"/>
    <mergeCell ref="E330:G330"/>
    <mergeCell ref="H330:K330"/>
    <mergeCell ref="L330:P330"/>
    <mergeCell ref="Q330:Z330"/>
    <mergeCell ref="AA330:AQ330"/>
    <mergeCell ref="B330:D330"/>
    <mergeCell ref="B331:D331"/>
    <mergeCell ref="E331:G331"/>
    <mergeCell ref="H331:K331"/>
    <mergeCell ref="L331:P331"/>
    <mergeCell ref="Q331:Z331"/>
    <mergeCell ref="AA331:AQ331"/>
    <mergeCell ref="Q335:Z335"/>
    <mergeCell ref="AA335:AQ335"/>
    <mergeCell ref="B335:D335"/>
    <mergeCell ref="B336:D336"/>
    <mergeCell ref="E336:G336"/>
    <mergeCell ref="H336:K336"/>
    <mergeCell ref="L336:P336"/>
    <mergeCell ref="Q336:Z336"/>
    <mergeCell ref="AA336:AQ336"/>
    <mergeCell ref="E338:G338"/>
    <mergeCell ref="H338:K338"/>
    <mergeCell ref="AA338:AQ338"/>
    <mergeCell ref="L342:P342"/>
    <mergeCell ref="Q342:Z342"/>
    <mergeCell ref="Q343:Z343"/>
    <mergeCell ref="AA343:AQ343"/>
    <mergeCell ref="E342:G342"/>
    <mergeCell ref="H342:K342"/>
    <mergeCell ref="B343:D343"/>
    <mergeCell ref="E343:G343"/>
    <mergeCell ref="H343:K343"/>
    <mergeCell ref="L343:P343"/>
    <mergeCell ref="L335:P335"/>
    <mergeCell ref="L340:P340"/>
    <mergeCell ref="Q340:Z340"/>
    <mergeCell ref="AA340:AQ340"/>
    <mergeCell ref="B341:D341"/>
    <mergeCell ref="E341:G341"/>
    <mergeCell ref="H341:K341"/>
    <mergeCell ref="L341:P341"/>
    <mergeCell ref="Q341:Z341"/>
    <mergeCell ref="AA341:AQ341"/>
    <mergeCell ref="E347:G347"/>
    <mergeCell ref="H347:K347"/>
    <mergeCell ref="E348:G348"/>
    <mergeCell ref="H348:K348"/>
    <mergeCell ref="L348:P348"/>
    <mergeCell ref="Q348:Z348"/>
    <mergeCell ref="AA348:AQ348"/>
    <mergeCell ref="B348:D348"/>
    <mergeCell ref="B349:D349"/>
    <mergeCell ref="E349:G349"/>
    <mergeCell ref="H349:K349"/>
    <mergeCell ref="L349:P349"/>
    <mergeCell ref="Q349:Z349"/>
    <mergeCell ref="AA349:AQ349"/>
    <mergeCell ref="L351:P351"/>
    <mergeCell ref="Q351:Z351"/>
    <mergeCell ref="B350:D350"/>
    <mergeCell ref="E350:G350"/>
    <mergeCell ref="H350:K350"/>
    <mergeCell ref="L350:P350"/>
    <mergeCell ref="Q350:Z350"/>
    <mergeCell ref="AA350:AQ350"/>
    <mergeCell ref="B351:D351"/>
    <mergeCell ref="AA351:AQ351"/>
    <mergeCell ref="E351:G351"/>
    <mergeCell ref="H351:K351"/>
    <mergeCell ref="L347:P347"/>
    <mergeCell ref="Q347:Z347"/>
    <mergeCell ref="E352:G352"/>
    <mergeCell ref="H352:K352"/>
    <mergeCell ref="L352:P352"/>
    <mergeCell ref="Q352:Z352"/>
    <mergeCell ref="AA352:AQ352"/>
    <mergeCell ref="B352:D352"/>
    <mergeCell ref="B353:D353"/>
    <mergeCell ref="E353:G353"/>
    <mergeCell ref="H353:K353"/>
    <mergeCell ref="L353:P353"/>
    <mergeCell ref="Q353:Z353"/>
    <mergeCell ref="AA353:AQ353"/>
    <mergeCell ref="L355:P355"/>
    <mergeCell ref="Q355:Z355"/>
    <mergeCell ref="B354:D354"/>
    <mergeCell ref="E354:G354"/>
    <mergeCell ref="H354:K354"/>
    <mergeCell ref="L354:P354"/>
    <mergeCell ref="Q354:Z354"/>
    <mergeCell ref="AA354:AQ354"/>
    <mergeCell ref="B355:D355"/>
    <mergeCell ref="AA355:AQ355"/>
    <mergeCell ref="E355:G355"/>
    <mergeCell ref="H355:K355"/>
    <mergeCell ref="E356:G356"/>
    <mergeCell ref="H356:K356"/>
    <mergeCell ref="L356:P356"/>
    <mergeCell ref="Q356:Z356"/>
    <mergeCell ref="AA356:AQ356"/>
    <mergeCell ref="B356:D356"/>
    <mergeCell ref="B357:D357"/>
    <mergeCell ref="E357:G357"/>
    <mergeCell ref="H357:K357"/>
    <mergeCell ref="L357:P357"/>
    <mergeCell ref="Q357:Z357"/>
    <mergeCell ref="AA357:AQ357"/>
    <mergeCell ref="L359:P359"/>
    <mergeCell ref="Q359:Z359"/>
    <mergeCell ref="B358:D358"/>
    <mergeCell ref="E358:G358"/>
    <mergeCell ref="H358:K358"/>
    <mergeCell ref="L358:P358"/>
    <mergeCell ref="Q358:Z358"/>
    <mergeCell ref="AA358:AQ358"/>
    <mergeCell ref="B359:D359"/>
    <mergeCell ref="AA359:AQ359"/>
    <mergeCell ref="E359:G359"/>
    <mergeCell ref="H359:K359"/>
  </mergeCells>
  <pageMargins left="0.25" right="0.25" top="0.75" bottom="0.75" header="0" footer="0"/>
  <pageSetup paperSize="5"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800-000000000000}">
          <x14:formula1>
            <xm:f>'Drop-Down Boxes '!$D$105:$D$108</xm:f>
          </x14:formula1>
          <xm:sqref>E13:E512</xm:sqref>
        </x14:dataValidation>
        <x14:dataValidation type="list" allowBlank="1" showErrorMessage="1" xr:uid="{00000000-0002-0000-0800-000001000000}">
          <x14:formula1>
            <xm:f>'Drop-Down Boxes '!$D$3:$D$14</xm:f>
          </x14:formula1>
          <xm:sqref>F9</xm:sqref>
        </x14:dataValidation>
        <x14:dataValidation type="list" allowBlank="1" showErrorMessage="1" xr:uid="{00000000-0002-0000-0800-000002000000}">
          <x14:formula1>
            <xm:f>'Drop-Down Boxes '!$H$3:$H$5</xm:f>
          </x14:formula1>
          <xm:sqref>N9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N F Y + V t 4 O g 2 C k A A A A 9 g A A A B I A H A B D b 2 5 m a W c v U G F j a 2 F n Z S 5 4 b W w g o h g A K K A U A A A A A A A A A A A A A A A A A A A A A A A A A A A A h Y 9 L C s I w G I S v U r J v X k W Q k q Y L t x a E o r g N a a z B 9 q 8 0 q e n d X H g k r 2 B F q + 5 c z s w 3 M H O / 3 k Q + t k 1 0 M b 2 z H W S I Y Y o i A 7 q r L N Q Z G v w h X q J c i o 3 S J 1 W b a I L B p a O z G T p 6 f 0 4 J C S H g k O C u r w m n l J F 9 s S 7 1 0 b Q q t u C 8 A m 3 Q p 1 X 9 b y E p d q 8 x k m P G O F 7 w B F N B Z l M U F r 4 A n / Y + 0 x 9 T r I b G D 7 2 R B u J t K c g s B X l / k A 9 Q S w M E F A A C A A g A N F Y + 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R W P l Y o i k e 4 D g A A A B E A A A A T A B w A R m 9 y b X V s Y X M v U 2 V j d G l v b j E u b S C i G A A o o B Q A A A A A A A A A A A A A A A A A A A A A A A A A A A A r T k 0 u y c z P U w i G 0 I b W A F B L A Q I t A B Q A A g A I A D R W P l b e D o N g p A A A A P Y A A A A S A A A A A A A A A A A A A A A A A A A A A A B D b 2 5 m a W c v U G F j a 2 F n Z S 5 4 b W x Q S w E C L Q A U A A I A C A A 0 V j 5 W D 8 r p q 6 Q A A A D p A A A A E w A A A A A A A A A A A A A A A A D w A A A A W 0 N v b n R l b n R f V H l w Z X N d L n h t b F B L A Q I t A B Q A A g A I A D R W P l Y 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z F F P v B c h O Q a m s N + T 6 P Q X K A A A A A A I A A A A A A A N m A A D A A A A A E A A A A N w w 6 0 X S j U K u k O Q E 2 z X 9 W G o A A A A A B I A A A K A A A A A Q A A A A T E i v 3 7 I x 5 m n Z 1 D 4 X M s b K G F A A A A A s A b N N v 7 s P 9 j Z 5 f K z 2 C U P L X p z m g M B 8 / D f G R P P s 0 U O W T I N q g Q c L I l m l b h 9 W T 2 u h L Q 1 x u L q 7 s T R / q t u w A f 6 6 U 3 y + t I 6 K u d T p W 7 Z c b Z D 5 6 M F a s B Q A A A A y U T 9 N a 2 a O J e j 9 4 F v D p 6 z a g 4 a u y g = = < / D a t a M a s h u p > 
</file>

<file path=customXml/itemProps1.xml><?xml version="1.0" encoding="utf-8"?>
<ds:datastoreItem xmlns:ds="http://schemas.openxmlformats.org/officeDocument/2006/customXml" ds:itemID="{7B719467-D17A-4884-B5D0-F4FE7DBFB9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INSTRUCTIONS </vt:lpstr>
      <vt:lpstr>GRANTEE SET UP INFO &amp; DATE </vt:lpstr>
      <vt:lpstr>REFERRAL ONLY</vt:lpstr>
      <vt:lpstr>refer admin discharge</vt:lpstr>
      <vt:lpstr>NOMS PRE ADM POST DISC</vt:lpstr>
      <vt:lpstr>TRAINING</vt:lpstr>
      <vt:lpstr>Naloxone Training Distribution</vt:lpstr>
      <vt:lpstr>ACTIVITIES MEETINGS EVENTS </vt:lpstr>
      <vt:lpstr>CONSUMER FEEDBACK</vt:lpstr>
      <vt:lpstr>SUMMARY</vt:lpstr>
      <vt:lpstr>Sheet1</vt:lpstr>
      <vt:lpstr>Sheet2</vt:lpstr>
      <vt:lpstr>Drop-Down Boxes </vt:lpstr>
      <vt:lpstr> Scratch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Winston, Pat A</dc:creator>
  <cp:lastModifiedBy>Perry, Saundra K</cp:lastModifiedBy>
  <dcterms:created xsi:type="dcterms:W3CDTF">2015-12-01T21:42:32Z</dcterms:created>
  <dcterms:modified xsi:type="dcterms:W3CDTF">2023-12-08T18:16:34Z</dcterms:modified>
</cp:coreProperties>
</file>